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66925"/>
  <mc:AlternateContent xmlns:mc="http://schemas.openxmlformats.org/markup-compatibility/2006">
    <mc:Choice Requires="x15">
      <x15ac:absPath xmlns:x15ac="http://schemas.microsoft.com/office/spreadsheetml/2010/11/ac" url="\\hca.local\wa\NREG\Data\NROSH+\Draft Work and Analysis\Lookup tool\2022_tools\"/>
    </mc:Choice>
  </mc:AlternateContent>
  <xr:revisionPtr revIDLastSave="0" documentId="13_ncr:1_{B97C1046-DD70-455F-9F5E-D694F49DE291}" xr6:coauthVersionLast="47" xr6:coauthVersionMax="47" xr10:uidLastSave="{00000000-0000-0000-0000-000000000000}"/>
  <workbookProtection workbookAlgorithmName="SHA-512" workbookHashValue="vwsF1jh8OHGA8Yk1UlAtjRRcRpAlPlK8Dr1eRci1KvHHijPZuD3xj9KAZjkPd18XU61kWijHmPw50E0ZEAGQaQ==" workbookSaltValue="bj07P6I6NruU+MGDWmgSbQ==" workbookSpinCount="100000" lockStructure="1"/>
  <bookViews>
    <workbookView xWindow="-28920" yWindow="2430" windowWidth="29040" windowHeight="15840" xr2:uid="{C443AE31-B773-4F41-B5E2-86075DEDC625}"/>
  </bookViews>
  <sheets>
    <sheet name="Introduction and contents" sheetId="11" r:id="rId1"/>
    <sheet name="Glossary" sheetId="12" r:id="rId2"/>
    <sheet name="Version History" sheetId="13" r:id="rId3"/>
    <sheet name="Area summary" sheetId="1" r:id="rId4"/>
    <sheet name="PRPs in area" sheetId="6" r:id="rId5"/>
    <sheet name="How to use the search function" sheetId="14" r:id="rId6"/>
    <sheet name="2022_LA_and_Region_Data_final" sheetId="2" state="veryHidden" r:id="rId7"/>
    <sheet name="LA-Lookup" sheetId="4" state="veryHidden" r:id="rId8"/>
    <sheet name="Lookup source" sheetId="7" state="veryHidden" r:id="rId9"/>
    <sheet name="totals" sheetId="8" state="veryHidden" r:id="rId10"/>
    <sheet name="SDR22_STOCK_BY_LA" sheetId="9" state="veryHidden" r:id="rId11"/>
    <sheet name="Search Box Config" sheetId="10" state="veryHidden" r:id="rId12"/>
  </sheets>
  <definedNames>
    <definedName name="_xlnm._FilterDatabase" localSheetId="7" hidden="1">'LA-Lookup'!$A$1:$C$321</definedName>
    <definedName name="_xlnm._FilterDatabase" localSheetId="10" hidden="1">SDR22_STOCK_BY_LA!$A$1:$O$11610</definedName>
    <definedName name="LA_Data">'2022_LA_and_Region_Data_final'!$A$5:$FN$323</definedName>
    <definedName name="Lookup_Source">'Lookup source'!$B$1:$MK$324</definedName>
    <definedName name="Search_Box_List">OFFSET('Search Box Config'!$D$2,,,COUNTIF('Search Box Config'!$D$2:$D$321,"?*"))</definedName>
    <definedName name="Stock_By_LA">SDR22_STOCK_BY_LA!$H$2:$O$11679</definedName>
    <definedName name="Totals">totals!$B$2:$I$1345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61" i="1" l="1"/>
  <c r="BS469" i="6"/>
  <c r="BS470" i="6"/>
  <c r="B186" i="1" l="1"/>
  <c r="B164" i="1"/>
  <c r="B161" i="1"/>
  <c r="T167" i="1" l="1"/>
  <c r="BQ469" i="6"/>
  <c r="BQ470" i="6"/>
  <c r="BI469" i="6"/>
  <c r="BI470" i="6"/>
  <c r="BA469" i="6" l="1"/>
  <c r="BA470" i="6"/>
  <c r="AS469" i="6"/>
  <c r="AS470" i="6"/>
  <c r="AL469" i="6"/>
  <c r="AL470" i="6"/>
  <c r="AE469" i="6" l="1"/>
  <c r="AE470" i="6"/>
  <c r="T233" i="1"/>
  <c r="T234" i="1"/>
  <c r="T235" i="1"/>
  <c r="T236" i="1"/>
  <c r="T237" i="1"/>
  <c r="T238" i="1"/>
  <c r="T239" i="1"/>
  <c r="T240" i="1"/>
  <c r="T212" i="1"/>
  <c r="T213" i="1"/>
  <c r="T214" i="1"/>
  <c r="T215" i="1"/>
  <c r="T216" i="1"/>
  <c r="T217" i="1"/>
  <c r="T218" i="1"/>
  <c r="T219" i="1"/>
  <c r="T220" i="1"/>
  <c r="T221" i="1"/>
  <c r="T188" i="1"/>
  <c r="T189" i="1"/>
  <c r="T190" i="1"/>
  <c r="T191" i="1"/>
  <c r="T192" i="1"/>
  <c r="T193" i="1"/>
  <c r="T194" i="1"/>
  <c r="T195" i="1"/>
  <c r="T168" i="1"/>
  <c r="T169" i="1"/>
  <c r="T170" i="1"/>
  <c r="T171" i="1"/>
  <c r="T172" i="1"/>
  <c r="T173" i="1"/>
  <c r="T174" i="1"/>
  <c r="T175" i="1"/>
  <c r="T176" i="1"/>
  <c r="A2" i="10" l="1"/>
  <c r="AD470" i="6"/>
  <c r="AD469" i="6"/>
  <c r="B6" i="6"/>
  <c r="B3" i="6" s="1"/>
  <c r="D5" i="1"/>
  <c r="C5" i="1" s="1"/>
  <c r="K3" i="1"/>
  <c r="I2" i="1"/>
  <c r="G240" i="1"/>
  <c r="B225" i="1" s="1"/>
  <c r="F240" i="1"/>
  <c r="A240" i="1"/>
  <c r="G239" i="1"/>
  <c r="F239" i="1"/>
  <c r="A239" i="1"/>
  <c r="G238" i="1"/>
  <c r="F238" i="1"/>
  <c r="A238" i="1"/>
  <c r="G237" i="1"/>
  <c r="F237" i="1"/>
  <c r="A237" i="1"/>
  <c r="G236" i="1"/>
  <c r="F236" i="1"/>
  <c r="A236" i="1"/>
  <c r="G235" i="1"/>
  <c r="F235" i="1"/>
  <c r="A235" i="1"/>
  <c r="G234" i="1"/>
  <c r="F234" i="1"/>
  <c r="A234" i="1"/>
  <c r="G233" i="1"/>
  <c r="F233" i="1"/>
  <c r="A233" i="1"/>
  <c r="B230" i="1"/>
  <c r="B227" i="1"/>
  <c r="G220" i="1"/>
  <c r="B203" i="1" s="1"/>
  <c r="F220" i="1"/>
  <c r="A220" i="1"/>
  <c r="G219" i="1"/>
  <c r="F219" i="1"/>
  <c r="A219" i="1"/>
  <c r="G218" i="1"/>
  <c r="F218" i="1"/>
  <c r="A218" i="1"/>
  <c r="G217" i="1"/>
  <c r="F217" i="1"/>
  <c r="A217" i="1"/>
  <c r="G216" i="1"/>
  <c r="F216" i="1"/>
  <c r="A216" i="1"/>
  <c r="G215" i="1"/>
  <c r="F215" i="1"/>
  <c r="A215" i="1"/>
  <c r="G214" i="1"/>
  <c r="F214" i="1"/>
  <c r="A214" i="1"/>
  <c r="G213" i="1"/>
  <c r="F213" i="1"/>
  <c r="A213" i="1"/>
  <c r="G212" i="1"/>
  <c r="F212" i="1"/>
  <c r="A212" i="1"/>
  <c r="G211" i="1"/>
  <c r="F211" i="1"/>
  <c r="A211" i="1"/>
  <c r="B208" i="1"/>
  <c r="B205" i="1"/>
  <c r="G196" i="1"/>
  <c r="B181" i="1" s="1"/>
  <c r="F196" i="1"/>
  <c r="E196" i="1"/>
  <c r="D196" i="1"/>
  <c r="C196" i="1"/>
  <c r="A196" i="1"/>
  <c r="G195" i="1"/>
  <c r="F195" i="1"/>
  <c r="E195" i="1"/>
  <c r="D195" i="1"/>
  <c r="C195" i="1"/>
  <c r="A195" i="1"/>
  <c r="G194" i="1"/>
  <c r="F194" i="1"/>
  <c r="E194" i="1"/>
  <c r="D194" i="1"/>
  <c r="C194" i="1"/>
  <c r="A194" i="1"/>
  <c r="G193" i="1"/>
  <c r="F193" i="1"/>
  <c r="E193" i="1"/>
  <c r="D193" i="1"/>
  <c r="C193" i="1"/>
  <c r="A193" i="1"/>
  <c r="G192" i="1"/>
  <c r="F192" i="1"/>
  <c r="E192" i="1"/>
  <c r="D192" i="1"/>
  <c r="C192" i="1"/>
  <c r="A192" i="1"/>
  <c r="G191" i="1"/>
  <c r="F191" i="1"/>
  <c r="E191" i="1"/>
  <c r="D191" i="1"/>
  <c r="C191" i="1"/>
  <c r="A191" i="1"/>
  <c r="G190" i="1"/>
  <c r="F190" i="1"/>
  <c r="E190" i="1"/>
  <c r="D190" i="1"/>
  <c r="C190" i="1"/>
  <c r="A190" i="1"/>
  <c r="G189" i="1"/>
  <c r="F189" i="1"/>
  <c r="E189" i="1"/>
  <c r="D189" i="1"/>
  <c r="C189" i="1"/>
  <c r="A189" i="1"/>
  <c r="B183" i="1"/>
  <c r="G176" i="1"/>
  <c r="B159" i="1" s="1"/>
  <c r="F176" i="1"/>
  <c r="E176" i="1"/>
  <c r="D176" i="1"/>
  <c r="C176" i="1"/>
  <c r="A176" i="1"/>
  <c r="G175" i="1"/>
  <c r="F175" i="1"/>
  <c r="E175" i="1"/>
  <c r="D175" i="1"/>
  <c r="C175" i="1"/>
  <c r="A175" i="1"/>
  <c r="G174" i="1"/>
  <c r="F174" i="1"/>
  <c r="E174" i="1"/>
  <c r="D174" i="1"/>
  <c r="C174" i="1"/>
  <c r="A174" i="1"/>
  <c r="G173" i="1"/>
  <c r="F173" i="1"/>
  <c r="E173" i="1"/>
  <c r="D173" i="1"/>
  <c r="C173" i="1"/>
  <c r="A173" i="1"/>
  <c r="G172" i="1"/>
  <c r="F172" i="1"/>
  <c r="E172" i="1"/>
  <c r="D172" i="1"/>
  <c r="C172" i="1"/>
  <c r="A172" i="1"/>
  <c r="G171" i="1"/>
  <c r="F171" i="1"/>
  <c r="E171" i="1"/>
  <c r="D171" i="1"/>
  <c r="C171" i="1"/>
  <c r="A171" i="1"/>
  <c r="G170" i="1"/>
  <c r="F170" i="1"/>
  <c r="E170" i="1"/>
  <c r="D170" i="1"/>
  <c r="C170" i="1"/>
  <c r="A170" i="1"/>
  <c r="G169" i="1"/>
  <c r="F169" i="1"/>
  <c r="E169" i="1"/>
  <c r="D169" i="1"/>
  <c r="C169" i="1"/>
  <c r="A169" i="1"/>
  <c r="G168" i="1"/>
  <c r="F168" i="1"/>
  <c r="E168" i="1"/>
  <c r="D168" i="1"/>
  <c r="C168" i="1"/>
  <c r="A168" i="1"/>
  <c r="G167" i="1"/>
  <c r="F167" i="1"/>
  <c r="E167" i="1"/>
  <c r="D167" i="1"/>
  <c r="C167" i="1"/>
  <c r="R151" i="1"/>
  <c r="F147" i="1"/>
  <c r="B147" i="1"/>
  <c r="S146" i="1"/>
  <c r="R126" i="1"/>
  <c r="F126" i="1"/>
  <c r="B126" i="1"/>
  <c r="G126" i="1" s="1"/>
  <c r="S121" i="1"/>
  <c r="R104" i="1"/>
  <c r="G104" i="1"/>
  <c r="F104" i="1"/>
  <c r="E104" i="1"/>
  <c r="D104" i="1"/>
  <c r="C104" i="1"/>
  <c r="S99" i="1"/>
  <c r="R81" i="1"/>
  <c r="G81" i="1"/>
  <c r="F81" i="1"/>
  <c r="E81" i="1"/>
  <c r="D81" i="1"/>
  <c r="C81" i="1"/>
  <c r="S76" i="1"/>
  <c r="G60" i="1"/>
  <c r="E60" i="1"/>
  <c r="G59" i="1"/>
  <c r="E59" i="1"/>
  <c r="S59" i="1" s="1"/>
  <c r="G58" i="1"/>
  <c r="E58" i="1"/>
  <c r="G56" i="1"/>
  <c r="E56" i="1"/>
  <c r="R55" i="1"/>
  <c r="D53" i="1"/>
  <c r="G40" i="1"/>
  <c r="E40" i="1"/>
  <c r="G39" i="1"/>
  <c r="E39" i="1"/>
  <c r="O38" i="1"/>
  <c r="M38" i="1"/>
  <c r="O37" i="1"/>
  <c r="M37" i="1"/>
  <c r="O36" i="1"/>
  <c r="M36" i="1"/>
  <c r="O35" i="1"/>
  <c r="M35" i="1"/>
  <c r="G35" i="1"/>
  <c r="E35" i="1"/>
  <c r="O34" i="1"/>
  <c r="M34" i="1"/>
  <c r="G34" i="1"/>
  <c r="E34" i="1"/>
  <c r="L31" i="1"/>
  <c r="D31" i="1"/>
  <c r="G25" i="1"/>
  <c r="E25" i="1"/>
  <c r="G24" i="1"/>
  <c r="E24" i="1"/>
  <c r="D21" i="1"/>
  <c r="G19" i="1"/>
  <c r="F19" i="1"/>
  <c r="G17" i="1"/>
  <c r="F17" i="1"/>
  <c r="B17" i="1"/>
  <c r="G16" i="1"/>
  <c r="F16" i="1"/>
  <c r="S17" i="1" s="1"/>
  <c r="G15" i="1"/>
  <c r="F15" i="1"/>
  <c r="S16" i="1" s="1"/>
  <c r="G14" i="1"/>
  <c r="F14" i="1"/>
  <c r="S15" i="1" s="1"/>
  <c r="G13" i="1"/>
  <c r="F13" i="1"/>
  <c r="G12" i="1"/>
  <c r="F12" i="1"/>
  <c r="S7" i="1"/>
  <c r="Q7" i="1"/>
  <c r="B7" i="1"/>
  <c r="B6" i="1"/>
  <c r="AC470" i="6"/>
  <c r="AC469" i="6"/>
  <c r="E61" i="1" l="1"/>
  <c r="AB466" i="6"/>
  <c r="B466" i="6" s="1"/>
  <c r="BS466" i="6" s="1"/>
  <c r="AB458" i="6"/>
  <c r="B458" i="6" s="1"/>
  <c r="BS458" i="6" s="1"/>
  <c r="AB450" i="6"/>
  <c r="AB442" i="6"/>
  <c r="B442" i="6" s="1"/>
  <c r="BS442" i="6" s="1"/>
  <c r="AB434" i="6"/>
  <c r="B434" i="6" s="1"/>
  <c r="BS434" i="6" s="1"/>
  <c r="AB426" i="6"/>
  <c r="B426" i="6" s="1"/>
  <c r="BS426" i="6" s="1"/>
  <c r="AB418" i="6"/>
  <c r="B418" i="6" s="1"/>
  <c r="BS418" i="6" s="1"/>
  <c r="AB410" i="6"/>
  <c r="B410" i="6" s="1"/>
  <c r="BS410" i="6" s="1"/>
  <c r="AB402" i="6"/>
  <c r="B402" i="6" s="1"/>
  <c r="BS402" i="6" s="1"/>
  <c r="AB394" i="6"/>
  <c r="B394" i="6" s="1"/>
  <c r="BS394" i="6" s="1"/>
  <c r="AB386" i="6"/>
  <c r="B386" i="6" s="1"/>
  <c r="BS386" i="6" s="1"/>
  <c r="AB378" i="6"/>
  <c r="B378" i="6" s="1"/>
  <c r="BS378" i="6" s="1"/>
  <c r="AB370" i="6"/>
  <c r="AB362" i="6"/>
  <c r="B362" i="6" s="1"/>
  <c r="BS362" i="6" s="1"/>
  <c r="AB354" i="6"/>
  <c r="B354" i="6" s="1"/>
  <c r="BS354" i="6" s="1"/>
  <c r="AB346" i="6"/>
  <c r="B346" i="6" s="1"/>
  <c r="BS346" i="6" s="1"/>
  <c r="AB338" i="6"/>
  <c r="B338" i="6" s="1"/>
  <c r="BS338" i="6" s="1"/>
  <c r="AB330" i="6"/>
  <c r="B330" i="6" s="1"/>
  <c r="BS330" i="6" s="1"/>
  <c r="AB322" i="6"/>
  <c r="B322" i="6" s="1"/>
  <c r="BS322" i="6" s="1"/>
  <c r="AB314" i="6"/>
  <c r="B314" i="6" s="1"/>
  <c r="BS314" i="6" s="1"/>
  <c r="AB306" i="6"/>
  <c r="AB298" i="6"/>
  <c r="B298" i="6" s="1"/>
  <c r="BS298" i="6" s="1"/>
  <c r="AB290" i="6"/>
  <c r="B290" i="6" s="1"/>
  <c r="BS290" i="6" s="1"/>
  <c r="AB282" i="6"/>
  <c r="B282" i="6" s="1"/>
  <c r="BS282" i="6" s="1"/>
  <c r="AB274" i="6"/>
  <c r="B274" i="6" s="1"/>
  <c r="BS274" i="6" s="1"/>
  <c r="AB266" i="6"/>
  <c r="B266" i="6" s="1"/>
  <c r="BS266" i="6" s="1"/>
  <c r="AB258" i="6"/>
  <c r="AB250" i="6"/>
  <c r="B250" i="6" s="1"/>
  <c r="BS250" i="6" s="1"/>
  <c r="AB242" i="6"/>
  <c r="AB234" i="6"/>
  <c r="B234" i="6" s="1"/>
  <c r="BS234" i="6" s="1"/>
  <c r="AB226" i="6"/>
  <c r="B226" i="6" s="1"/>
  <c r="BS226" i="6" s="1"/>
  <c r="AB218" i="6"/>
  <c r="B218" i="6" s="1"/>
  <c r="BS218" i="6" s="1"/>
  <c r="AB210" i="6"/>
  <c r="B210" i="6" s="1"/>
  <c r="BS210" i="6" s="1"/>
  <c r="AB202" i="6"/>
  <c r="B202" i="6" s="1"/>
  <c r="BS202" i="6" s="1"/>
  <c r="AB194" i="6"/>
  <c r="B194" i="6" s="1"/>
  <c r="BS194" i="6" s="1"/>
  <c r="AB186" i="6"/>
  <c r="B186" i="6" s="1"/>
  <c r="BS186" i="6" s="1"/>
  <c r="AB178" i="6"/>
  <c r="B178" i="6" s="1"/>
  <c r="BS178" i="6" s="1"/>
  <c r="AB170" i="6"/>
  <c r="B170" i="6" s="1"/>
  <c r="BS170" i="6" s="1"/>
  <c r="AB162" i="6"/>
  <c r="B162" i="6" s="1"/>
  <c r="BS162" i="6" s="1"/>
  <c r="AB154" i="6"/>
  <c r="B154" i="6" s="1"/>
  <c r="BS154" i="6" s="1"/>
  <c r="AB146" i="6"/>
  <c r="B146" i="6" s="1"/>
  <c r="BS146" i="6" s="1"/>
  <c r="AB138" i="6"/>
  <c r="B138" i="6" s="1"/>
  <c r="BS138" i="6" s="1"/>
  <c r="AB130" i="6"/>
  <c r="B130" i="6" s="1"/>
  <c r="BS130" i="6" s="1"/>
  <c r="AB122" i="6"/>
  <c r="B122" i="6" s="1"/>
  <c r="BS122" i="6" s="1"/>
  <c r="AB114" i="6"/>
  <c r="B114" i="6" s="1"/>
  <c r="BS114" i="6" s="1"/>
  <c r="AB106" i="6"/>
  <c r="B106" i="6" s="1"/>
  <c r="BS106" i="6" s="1"/>
  <c r="AB98" i="6"/>
  <c r="B98" i="6" s="1"/>
  <c r="BS98" i="6" s="1"/>
  <c r="AB90" i="6"/>
  <c r="B90" i="6" s="1"/>
  <c r="BS90" i="6" s="1"/>
  <c r="AB82" i="6"/>
  <c r="B82" i="6" s="1"/>
  <c r="BS82" i="6" s="1"/>
  <c r="AB74" i="6"/>
  <c r="B74" i="6" s="1"/>
  <c r="BS74" i="6" s="1"/>
  <c r="AB66" i="6"/>
  <c r="AB58" i="6"/>
  <c r="B58" i="6" s="1"/>
  <c r="BS58" i="6" s="1"/>
  <c r="AB50" i="6"/>
  <c r="B50" i="6" s="1"/>
  <c r="BS50" i="6" s="1"/>
  <c r="AB42" i="6"/>
  <c r="B42" i="6" s="1"/>
  <c r="BS42" i="6" s="1"/>
  <c r="AB34" i="6"/>
  <c r="B34" i="6" s="1"/>
  <c r="BS34" i="6" s="1"/>
  <c r="AB26" i="6"/>
  <c r="B26" i="6" s="1"/>
  <c r="BS26" i="6" s="1"/>
  <c r="AB18" i="6"/>
  <c r="B18" i="6" s="1"/>
  <c r="BS18" i="6" s="1"/>
  <c r="AB10" i="6"/>
  <c r="B10" i="6" s="1"/>
  <c r="BS10" i="6" s="1"/>
  <c r="AB465" i="6"/>
  <c r="B465" i="6" s="1"/>
  <c r="BS465" i="6" s="1"/>
  <c r="AB457" i="6"/>
  <c r="B457" i="6" s="1"/>
  <c r="BS457" i="6" s="1"/>
  <c r="AB449" i="6"/>
  <c r="B449" i="6" s="1"/>
  <c r="BS449" i="6" s="1"/>
  <c r="AB441" i="6"/>
  <c r="B441" i="6" s="1"/>
  <c r="BS441" i="6" s="1"/>
  <c r="AB433" i="6"/>
  <c r="B433" i="6" s="1"/>
  <c r="BS433" i="6" s="1"/>
  <c r="AB425" i="6"/>
  <c r="B425" i="6" s="1"/>
  <c r="BS425" i="6" s="1"/>
  <c r="AB417" i="6"/>
  <c r="B417" i="6" s="1"/>
  <c r="BS417" i="6" s="1"/>
  <c r="AB409" i="6"/>
  <c r="B409" i="6" s="1"/>
  <c r="BS409" i="6" s="1"/>
  <c r="AB401" i="6"/>
  <c r="B401" i="6" s="1"/>
  <c r="BS401" i="6" s="1"/>
  <c r="AB393" i="6"/>
  <c r="B393" i="6" s="1"/>
  <c r="BS393" i="6" s="1"/>
  <c r="AB385" i="6"/>
  <c r="AB377" i="6"/>
  <c r="B377" i="6" s="1"/>
  <c r="BS377" i="6" s="1"/>
  <c r="AB369" i="6"/>
  <c r="B369" i="6" s="1"/>
  <c r="BS369" i="6" s="1"/>
  <c r="AB361" i="6"/>
  <c r="B361" i="6" s="1"/>
  <c r="BS361" i="6" s="1"/>
  <c r="AB353" i="6"/>
  <c r="B353" i="6" s="1"/>
  <c r="BS353" i="6" s="1"/>
  <c r="AB345" i="6"/>
  <c r="B345" i="6" s="1"/>
  <c r="BS345" i="6" s="1"/>
  <c r="AB337" i="6"/>
  <c r="B337" i="6" s="1"/>
  <c r="BS337" i="6" s="1"/>
  <c r="AB329" i="6"/>
  <c r="B329" i="6" s="1"/>
  <c r="BS329" i="6" s="1"/>
  <c r="AB321" i="6"/>
  <c r="B321" i="6" s="1"/>
  <c r="BS321" i="6" s="1"/>
  <c r="AB313" i="6"/>
  <c r="B313" i="6" s="1"/>
  <c r="BS313" i="6" s="1"/>
  <c r="AB305" i="6"/>
  <c r="B305" i="6" s="1"/>
  <c r="BS305" i="6" s="1"/>
  <c r="AB297" i="6"/>
  <c r="B297" i="6" s="1"/>
  <c r="BS297" i="6" s="1"/>
  <c r="AB289" i="6"/>
  <c r="B289" i="6" s="1"/>
  <c r="BS289" i="6" s="1"/>
  <c r="AB281" i="6"/>
  <c r="B281" i="6" s="1"/>
  <c r="BS281" i="6" s="1"/>
  <c r="AB273" i="6"/>
  <c r="B273" i="6" s="1"/>
  <c r="BS273" i="6" s="1"/>
  <c r="AB265" i="6"/>
  <c r="B265" i="6" s="1"/>
  <c r="BS265" i="6" s="1"/>
  <c r="AB257" i="6"/>
  <c r="AB249" i="6"/>
  <c r="B249" i="6" s="1"/>
  <c r="BS249" i="6" s="1"/>
  <c r="AB241" i="6"/>
  <c r="B241" i="6" s="1"/>
  <c r="BS241" i="6" s="1"/>
  <c r="AB233" i="6"/>
  <c r="B233" i="6" s="1"/>
  <c r="BS233" i="6" s="1"/>
  <c r="AB225" i="6"/>
  <c r="B225" i="6" s="1"/>
  <c r="BS225" i="6" s="1"/>
  <c r="AB217" i="6"/>
  <c r="B217" i="6" s="1"/>
  <c r="BS217" i="6" s="1"/>
  <c r="AB209" i="6"/>
  <c r="B209" i="6" s="1"/>
  <c r="BS209" i="6" s="1"/>
  <c r="AB201" i="6"/>
  <c r="B201" i="6" s="1"/>
  <c r="BS201" i="6" s="1"/>
  <c r="AB193" i="6"/>
  <c r="AB185" i="6"/>
  <c r="B185" i="6" s="1"/>
  <c r="BS185" i="6" s="1"/>
  <c r="AB177" i="6"/>
  <c r="B177" i="6" s="1"/>
  <c r="BS177" i="6" s="1"/>
  <c r="AB169" i="6"/>
  <c r="B169" i="6" s="1"/>
  <c r="BS169" i="6" s="1"/>
  <c r="AB161" i="6"/>
  <c r="B161" i="6" s="1"/>
  <c r="BS161" i="6" s="1"/>
  <c r="AB153" i="6"/>
  <c r="B153" i="6" s="1"/>
  <c r="BS153" i="6" s="1"/>
  <c r="AB145" i="6"/>
  <c r="AB137" i="6"/>
  <c r="B137" i="6" s="1"/>
  <c r="BS137" i="6" s="1"/>
  <c r="AB129" i="6"/>
  <c r="AB121" i="6"/>
  <c r="B121" i="6" s="1"/>
  <c r="BS121" i="6" s="1"/>
  <c r="AB113" i="6"/>
  <c r="B113" i="6" s="1"/>
  <c r="BS113" i="6" s="1"/>
  <c r="AB105" i="6"/>
  <c r="B105" i="6" s="1"/>
  <c r="BS105" i="6" s="1"/>
  <c r="AB97" i="6"/>
  <c r="B97" i="6" s="1"/>
  <c r="BS97" i="6" s="1"/>
  <c r="AB89" i="6"/>
  <c r="B89" i="6" s="1"/>
  <c r="BS89" i="6" s="1"/>
  <c r="AB81" i="6"/>
  <c r="B81" i="6" s="1"/>
  <c r="BS81" i="6" s="1"/>
  <c r="AB73" i="6"/>
  <c r="B73" i="6" s="1"/>
  <c r="BS73" i="6" s="1"/>
  <c r="AB65" i="6"/>
  <c r="AB57" i="6"/>
  <c r="B57" i="6" s="1"/>
  <c r="BS57" i="6" s="1"/>
  <c r="AB49" i="6"/>
  <c r="B49" i="6" s="1"/>
  <c r="BS49" i="6" s="1"/>
  <c r="AB41" i="6"/>
  <c r="B41" i="6" s="1"/>
  <c r="BS41" i="6" s="1"/>
  <c r="AB33" i="6"/>
  <c r="B33" i="6" s="1"/>
  <c r="BS33" i="6" s="1"/>
  <c r="AB25" i="6"/>
  <c r="B25" i="6" s="1"/>
  <c r="BS25" i="6" s="1"/>
  <c r="AB17" i="6"/>
  <c r="B17" i="6" s="1"/>
  <c r="BS17" i="6" s="1"/>
  <c r="AB9" i="6"/>
  <c r="B9" i="6" s="1"/>
  <c r="BS9" i="6" s="1"/>
  <c r="AB292" i="6"/>
  <c r="AB180" i="6"/>
  <c r="B180" i="6" s="1"/>
  <c r="BS180" i="6" s="1"/>
  <c r="AB124" i="6"/>
  <c r="B124" i="6" s="1"/>
  <c r="BS124" i="6" s="1"/>
  <c r="AB84" i="6"/>
  <c r="B84" i="6" s="1"/>
  <c r="BS84" i="6" s="1"/>
  <c r="AB52" i="6"/>
  <c r="B52" i="6" s="1"/>
  <c r="BS52" i="6" s="1"/>
  <c r="AB467" i="6"/>
  <c r="B467" i="6" s="1"/>
  <c r="BS467" i="6" s="1"/>
  <c r="AB411" i="6"/>
  <c r="B411" i="6" s="1"/>
  <c r="BS411" i="6" s="1"/>
  <c r="AB464" i="6"/>
  <c r="B464" i="6" s="1"/>
  <c r="BS464" i="6" s="1"/>
  <c r="AB456" i="6"/>
  <c r="B456" i="6" s="1"/>
  <c r="BS456" i="6" s="1"/>
  <c r="AB448" i="6"/>
  <c r="B448" i="6" s="1"/>
  <c r="BS448" i="6" s="1"/>
  <c r="AB440" i="6"/>
  <c r="B440" i="6" s="1"/>
  <c r="BS440" i="6" s="1"/>
  <c r="AB432" i="6"/>
  <c r="B432" i="6" s="1"/>
  <c r="BS432" i="6" s="1"/>
  <c r="AB424" i="6"/>
  <c r="B424" i="6" s="1"/>
  <c r="BS424" i="6" s="1"/>
  <c r="AB416" i="6"/>
  <c r="B416" i="6" s="1"/>
  <c r="BS416" i="6" s="1"/>
  <c r="AB408" i="6"/>
  <c r="B408" i="6" s="1"/>
  <c r="BS408" i="6" s="1"/>
  <c r="AB400" i="6"/>
  <c r="B400" i="6" s="1"/>
  <c r="BS400" i="6" s="1"/>
  <c r="AB392" i="6"/>
  <c r="B392" i="6" s="1"/>
  <c r="BS392" i="6" s="1"/>
  <c r="AB384" i="6"/>
  <c r="B384" i="6" s="1"/>
  <c r="BS384" i="6" s="1"/>
  <c r="AB376" i="6"/>
  <c r="B376" i="6" s="1"/>
  <c r="BS376" i="6" s="1"/>
  <c r="AB368" i="6"/>
  <c r="B368" i="6" s="1"/>
  <c r="BS368" i="6" s="1"/>
  <c r="AB360" i="6"/>
  <c r="B360" i="6" s="1"/>
  <c r="BS360" i="6" s="1"/>
  <c r="AB352" i="6"/>
  <c r="B352" i="6" s="1"/>
  <c r="BS352" i="6" s="1"/>
  <c r="AB344" i="6"/>
  <c r="B344" i="6" s="1"/>
  <c r="BS344" i="6" s="1"/>
  <c r="AB336" i="6"/>
  <c r="B336" i="6" s="1"/>
  <c r="BS336" i="6" s="1"/>
  <c r="AB328" i="6"/>
  <c r="B328" i="6" s="1"/>
  <c r="BS328" i="6" s="1"/>
  <c r="AB320" i="6"/>
  <c r="B320" i="6" s="1"/>
  <c r="BS320" i="6" s="1"/>
  <c r="AB312" i="6"/>
  <c r="B312" i="6" s="1"/>
  <c r="BS312" i="6" s="1"/>
  <c r="AB304" i="6"/>
  <c r="B304" i="6" s="1"/>
  <c r="BS304" i="6" s="1"/>
  <c r="AB296" i="6"/>
  <c r="B296" i="6" s="1"/>
  <c r="BS296" i="6" s="1"/>
  <c r="AB288" i="6"/>
  <c r="B288" i="6" s="1"/>
  <c r="BS288" i="6" s="1"/>
  <c r="AB280" i="6"/>
  <c r="B280" i="6" s="1"/>
  <c r="BS280" i="6" s="1"/>
  <c r="AB272" i="6"/>
  <c r="B272" i="6" s="1"/>
  <c r="BS272" i="6" s="1"/>
  <c r="AB264" i="6"/>
  <c r="B264" i="6" s="1"/>
  <c r="BS264" i="6" s="1"/>
  <c r="AB256" i="6"/>
  <c r="B256" i="6" s="1"/>
  <c r="BS256" i="6" s="1"/>
  <c r="AB248" i="6"/>
  <c r="B248" i="6" s="1"/>
  <c r="BS248" i="6" s="1"/>
  <c r="AB240" i="6"/>
  <c r="B240" i="6" s="1"/>
  <c r="BS240" i="6" s="1"/>
  <c r="AB232" i="6"/>
  <c r="B232" i="6" s="1"/>
  <c r="BS232" i="6" s="1"/>
  <c r="AB224" i="6"/>
  <c r="B224" i="6" s="1"/>
  <c r="BS224" i="6" s="1"/>
  <c r="AB216" i="6"/>
  <c r="B216" i="6" s="1"/>
  <c r="BS216" i="6" s="1"/>
  <c r="AB208" i="6"/>
  <c r="B208" i="6" s="1"/>
  <c r="BS208" i="6" s="1"/>
  <c r="AB200" i="6"/>
  <c r="B200" i="6" s="1"/>
  <c r="BS200" i="6" s="1"/>
  <c r="AB192" i="6"/>
  <c r="B192" i="6" s="1"/>
  <c r="BS192" i="6" s="1"/>
  <c r="AB184" i="6"/>
  <c r="B184" i="6" s="1"/>
  <c r="BS184" i="6" s="1"/>
  <c r="AB176" i="6"/>
  <c r="B176" i="6" s="1"/>
  <c r="BS176" i="6" s="1"/>
  <c r="AB168" i="6"/>
  <c r="B168" i="6" s="1"/>
  <c r="BS168" i="6" s="1"/>
  <c r="AB160" i="6"/>
  <c r="B160" i="6" s="1"/>
  <c r="BS160" i="6" s="1"/>
  <c r="AB152" i="6"/>
  <c r="B152" i="6" s="1"/>
  <c r="BS152" i="6" s="1"/>
  <c r="AB144" i="6"/>
  <c r="B144" i="6" s="1"/>
  <c r="BS144" i="6" s="1"/>
  <c r="AB136" i="6"/>
  <c r="B136" i="6" s="1"/>
  <c r="BS136" i="6" s="1"/>
  <c r="AB128" i="6"/>
  <c r="B128" i="6" s="1"/>
  <c r="BS128" i="6" s="1"/>
  <c r="AB120" i="6"/>
  <c r="B120" i="6" s="1"/>
  <c r="BS120" i="6" s="1"/>
  <c r="AB112" i="6"/>
  <c r="B112" i="6" s="1"/>
  <c r="BS112" i="6" s="1"/>
  <c r="AB104" i="6"/>
  <c r="B104" i="6" s="1"/>
  <c r="BS104" i="6" s="1"/>
  <c r="AB96" i="6"/>
  <c r="B96" i="6" s="1"/>
  <c r="BS96" i="6" s="1"/>
  <c r="AB88" i="6"/>
  <c r="B88" i="6" s="1"/>
  <c r="BS88" i="6" s="1"/>
  <c r="AB80" i="6"/>
  <c r="B80" i="6" s="1"/>
  <c r="BS80" i="6" s="1"/>
  <c r="AB72" i="6"/>
  <c r="B72" i="6" s="1"/>
  <c r="BS72" i="6" s="1"/>
  <c r="AB64" i="6"/>
  <c r="B64" i="6" s="1"/>
  <c r="BS64" i="6" s="1"/>
  <c r="AB56" i="6"/>
  <c r="B56" i="6" s="1"/>
  <c r="BS56" i="6" s="1"/>
  <c r="AB48" i="6"/>
  <c r="B48" i="6" s="1"/>
  <c r="BS48" i="6" s="1"/>
  <c r="AB40" i="6"/>
  <c r="B40" i="6" s="1"/>
  <c r="BS40" i="6" s="1"/>
  <c r="AB32" i="6"/>
  <c r="B32" i="6" s="1"/>
  <c r="BS32" i="6" s="1"/>
  <c r="AB24" i="6"/>
  <c r="B24" i="6" s="1"/>
  <c r="BS24" i="6" s="1"/>
  <c r="AB16" i="6"/>
  <c r="B16" i="6" s="1"/>
  <c r="BS16" i="6" s="1"/>
  <c r="AB412" i="6"/>
  <c r="B412" i="6" s="1"/>
  <c r="BS412" i="6" s="1"/>
  <c r="AB284" i="6"/>
  <c r="B284" i="6" s="1"/>
  <c r="BS284" i="6" s="1"/>
  <c r="AB228" i="6"/>
  <c r="B228" i="6" s="1"/>
  <c r="BS228" i="6" s="1"/>
  <c r="AB156" i="6"/>
  <c r="B156" i="6" s="1"/>
  <c r="BS156" i="6" s="1"/>
  <c r="AB92" i="6"/>
  <c r="B92" i="6" s="1"/>
  <c r="BS92" i="6" s="1"/>
  <c r="AB12" i="6"/>
  <c r="B12" i="6" s="1"/>
  <c r="BS12" i="6" s="1"/>
  <c r="AB463" i="6"/>
  <c r="B463" i="6" s="1"/>
  <c r="BS463" i="6" s="1"/>
  <c r="AB455" i="6"/>
  <c r="B455" i="6" s="1"/>
  <c r="BS455" i="6" s="1"/>
  <c r="AB447" i="6"/>
  <c r="B447" i="6" s="1"/>
  <c r="BS447" i="6" s="1"/>
  <c r="AB439" i="6"/>
  <c r="B439" i="6" s="1"/>
  <c r="BS439" i="6" s="1"/>
  <c r="AB431" i="6"/>
  <c r="B431" i="6" s="1"/>
  <c r="BS431" i="6" s="1"/>
  <c r="AB423" i="6"/>
  <c r="B423" i="6" s="1"/>
  <c r="BS423" i="6" s="1"/>
  <c r="AB415" i="6"/>
  <c r="B415" i="6" s="1"/>
  <c r="BS415" i="6" s="1"/>
  <c r="AB407" i="6"/>
  <c r="B407" i="6" s="1"/>
  <c r="BS407" i="6" s="1"/>
  <c r="AB399" i="6"/>
  <c r="B399" i="6" s="1"/>
  <c r="BS399" i="6" s="1"/>
  <c r="AB391" i="6"/>
  <c r="B391" i="6" s="1"/>
  <c r="BS391" i="6" s="1"/>
  <c r="AB383" i="6"/>
  <c r="B383" i="6" s="1"/>
  <c r="BS383" i="6" s="1"/>
  <c r="AB375" i="6"/>
  <c r="B375" i="6" s="1"/>
  <c r="BS375" i="6" s="1"/>
  <c r="AB367" i="6"/>
  <c r="B367" i="6" s="1"/>
  <c r="BS367" i="6" s="1"/>
  <c r="AB359" i="6"/>
  <c r="B359" i="6" s="1"/>
  <c r="BS359" i="6" s="1"/>
  <c r="AB351" i="6"/>
  <c r="B351" i="6" s="1"/>
  <c r="BS351" i="6" s="1"/>
  <c r="AB343" i="6"/>
  <c r="B343" i="6" s="1"/>
  <c r="BS343" i="6" s="1"/>
  <c r="AB335" i="6"/>
  <c r="B335" i="6" s="1"/>
  <c r="BS335" i="6" s="1"/>
  <c r="AB327" i="6"/>
  <c r="B327" i="6" s="1"/>
  <c r="BS327" i="6" s="1"/>
  <c r="AB319" i="6"/>
  <c r="B319" i="6" s="1"/>
  <c r="BS319" i="6" s="1"/>
  <c r="AB311" i="6"/>
  <c r="B311" i="6" s="1"/>
  <c r="BS311" i="6" s="1"/>
  <c r="AB303" i="6"/>
  <c r="B303" i="6" s="1"/>
  <c r="BS303" i="6" s="1"/>
  <c r="AB295" i="6"/>
  <c r="B295" i="6" s="1"/>
  <c r="BS295" i="6" s="1"/>
  <c r="AB287" i="6"/>
  <c r="B287" i="6" s="1"/>
  <c r="BS287" i="6" s="1"/>
  <c r="AB279" i="6"/>
  <c r="B279" i="6" s="1"/>
  <c r="BS279" i="6" s="1"/>
  <c r="AB271" i="6"/>
  <c r="B271" i="6" s="1"/>
  <c r="BS271" i="6" s="1"/>
  <c r="AB263" i="6"/>
  <c r="B263" i="6" s="1"/>
  <c r="BS263" i="6" s="1"/>
  <c r="AB255" i="6"/>
  <c r="B255" i="6" s="1"/>
  <c r="BS255" i="6" s="1"/>
  <c r="AB247" i="6"/>
  <c r="B247" i="6" s="1"/>
  <c r="BS247" i="6" s="1"/>
  <c r="AB239" i="6"/>
  <c r="B239" i="6" s="1"/>
  <c r="BS239" i="6" s="1"/>
  <c r="AB231" i="6"/>
  <c r="B231" i="6" s="1"/>
  <c r="BS231" i="6" s="1"/>
  <c r="AB223" i="6"/>
  <c r="B223" i="6" s="1"/>
  <c r="BS223" i="6" s="1"/>
  <c r="AB215" i="6"/>
  <c r="B215" i="6" s="1"/>
  <c r="BS215" i="6" s="1"/>
  <c r="AB207" i="6"/>
  <c r="B207" i="6" s="1"/>
  <c r="BS207" i="6" s="1"/>
  <c r="AB199" i="6"/>
  <c r="B199" i="6" s="1"/>
  <c r="BS199" i="6" s="1"/>
  <c r="AB191" i="6"/>
  <c r="B191" i="6" s="1"/>
  <c r="BS191" i="6" s="1"/>
  <c r="AB183" i="6"/>
  <c r="B183" i="6" s="1"/>
  <c r="BS183" i="6" s="1"/>
  <c r="AB175" i="6"/>
  <c r="B175" i="6" s="1"/>
  <c r="BS175" i="6" s="1"/>
  <c r="AB167" i="6"/>
  <c r="B167" i="6" s="1"/>
  <c r="BS167" i="6" s="1"/>
  <c r="AB159" i="6"/>
  <c r="B159" i="6" s="1"/>
  <c r="BS159" i="6" s="1"/>
  <c r="AB151" i="6"/>
  <c r="B151" i="6" s="1"/>
  <c r="BS151" i="6" s="1"/>
  <c r="AB143" i="6"/>
  <c r="B143" i="6" s="1"/>
  <c r="BS143" i="6" s="1"/>
  <c r="AB135" i="6"/>
  <c r="B135" i="6" s="1"/>
  <c r="BS135" i="6" s="1"/>
  <c r="AB127" i="6"/>
  <c r="B127" i="6" s="1"/>
  <c r="BS127" i="6" s="1"/>
  <c r="AB119" i="6"/>
  <c r="B119" i="6" s="1"/>
  <c r="BS119" i="6" s="1"/>
  <c r="AB111" i="6"/>
  <c r="B111" i="6" s="1"/>
  <c r="BS111" i="6" s="1"/>
  <c r="AB103" i="6"/>
  <c r="B103" i="6" s="1"/>
  <c r="BS103" i="6" s="1"/>
  <c r="AB95" i="6"/>
  <c r="B95" i="6" s="1"/>
  <c r="BS95" i="6" s="1"/>
  <c r="AB87" i="6"/>
  <c r="B87" i="6" s="1"/>
  <c r="BS87" i="6" s="1"/>
  <c r="AB79" i="6"/>
  <c r="B79" i="6" s="1"/>
  <c r="BS79" i="6" s="1"/>
  <c r="AB71" i="6"/>
  <c r="B71" i="6" s="1"/>
  <c r="BS71" i="6" s="1"/>
  <c r="AB63" i="6"/>
  <c r="B63" i="6" s="1"/>
  <c r="BS63" i="6" s="1"/>
  <c r="AB55" i="6"/>
  <c r="B55" i="6" s="1"/>
  <c r="BS55" i="6" s="1"/>
  <c r="AB47" i="6"/>
  <c r="B47" i="6" s="1"/>
  <c r="BS47" i="6" s="1"/>
  <c r="AB39" i="6"/>
  <c r="B39" i="6" s="1"/>
  <c r="BS39" i="6" s="1"/>
  <c r="AB31" i="6"/>
  <c r="B31" i="6" s="1"/>
  <c r="BS31" i="6" s="1"/>
  <c r="AB23" i="6"/>
  <c r="B23" i="6" s="1"/>
  <c r="BS23" i="6" s="1"/>
  <c r="AB15" i="6"/>
  <c r="B15" i="6" s="1"/>
  <c r="BS15" i="6" s="1"/>
  <c r="AB452" i="6"/>
  <c r="B452" i="6" s="1"/>
  <c r="BS452" i="6" s="1"/>
  <c r="AB332" i="6"/>
  <c r="B332" i="6" s="1"/>
  <c r="BS332" i="6" s="1"/>
  <c r="AB276" i="6"/>
  <c r="B276" i="6" s="1"/>
  <c r="BS276" i="6" s="1"/>
  <c r="AB252" i="6"/>
  <c r="B252" i="6" s="1"/>
  <c r="BS252" i="6" s="1"/>
  <c r="AB220" i="6"/>
  <c r="B220" i="6" s="1"/>
  <c r="BS220" i="6" s="1"/>
  <c r="AB188" i="6"/>
  <c r="B188" i="6" s="1"/>
  <c r="BS188" i="6" s="1"/>
  <c r="AB164" i="6"/>
  <c r="B164" i="6" s="1"/>
  <c r="BS164" i="6" s="1"/>
  <c r="AB132" i="6"/>
  <c r="B132" i="6" s="1"/>
  <c r="BS132" i="6" s="1"/>
  <c r="AB116" i="6"/>
  <c r="B116" i="6" s="1"/>
  <c r="BS116" i="6" s="1"/>
  <c r="AB100" i="6"/>
  <c r="B100" i="6" s="1"/>
  <c r="BS100" i="6" s="1"/>
  <c r="AB68" i="6"/>
  <c r="B68" i="6" s="1"/>
  <c r="BS68" i="6" s="1"/>
  <c r="AB44" i="6"/>
  <c r="B44" i="6" s="1"/>
  <c r="BS44" i="6" s="1"/>
  <c r="AB462" i="6"/>
  <c r="B462" i="6" s="1"/>
  <c r="BS462" i="6" s="1"/>
  <c r="AB454" i="6"/>
  <c r="B454" i="6" s="1"/>
  <c r="BS454" i="6" s="1"/>
  <c r="AB446" i="6"/>
  <c r="B446" i="6" s="1"/>
  <c r="BS446" i="6" s="1"/>
  <c r="AB438" i="6"/>
  <c r="B438" i="6" s="1"/>
  <c r="BS438" i="6" s="1"/>
  <c r="AB430" i="6"/>
  <c r="B430" i="6" s="1"/>
  <c r="BS430" i="6" s="1"/>
  <c r="AB422" i="6"/>
  <c r="B422" i="6" s="1"/>
  <c r="BS422" i="6" s="1"/>
  <c r="AB414" i="6"/>
  <c r="B414" i="6" s="1"/>
  <c r="BS414" i="6" s="1"/>
  <c r="AB406" i="6"/>
  <c r="B406" i="6" s="1"/>
  <c r="BS406" i="6" s="1"/>
  <c r="AB398" i="6"/>
  <c r="B398" i="6" s="1"/>
  <c r="BS398" i="6" s="1"/>
  <c r="AB390" i="6"/>
  <c r="B390" i="6" s="1"/>
  <c r="BS390" i="6" s="1"/>
  <c r="AB382" i="6"/>
  <c r="B382" i="6" s="1"/>
  <c r="BS382" i="6" s="1"/>
  <c r="AB374" i="6"/>
  <c r="B374" i="6" s="1"/>
  <c r="BS374" i="6" s="1"/>
  <c r="AB366" i="6"/>
  <c r="B366" i="6" s="1"/>
  <c r="BS366" i="6" s="1"/>
  <c r="AB358" i="6"/>
  <c r="B358" i="6" s="1"/>
  <c r="BS358" i="6" s="1"/>
  <c r="AB350" i="6"/>
  <c r="B350" i="6" s="1"/>
  <c r="BS350" i="6" s="1"/>
  <c r="AB342" i="6"/>
  <c r="B342" i="6" s="1"/>
  <c r="BS342" i="6" s="1"/>
  <c r="AB334" i="6"/>
  <c r="B334" i="6" s="1"/>
  <c r="BS334" i="6" s="1"/>
  <c r="AB326" i="6"/>
  <c r="B326" i="6" s="1"/>
  <c r="BS326" i="6" s="1"/>
  <c r="AB318" i="6"/>
  <c r="B318" i="6" s="1"/>
  <c r="BS318" i="6" s="1"/>
  <c r="AB310" i="6"/>
  <c r="B310" i="6" s="1"/>
  <c r="BS310" i="6" s="1"/>
  <c r="AB302" i="6"/>
  <c r="B302" i="6" s="1"/>
  <c r="BS302" i="6" s="1"/>
  <c r="AB294" i="6"/>
  <c r="B294" i="6" s="1"/>
  <c r="BS294" i="6" s="1"/>
  <c r="AB286" i="6"/>
  <c r="B286" i="6" s="1"/>
  <c r="BS286" i="6" s="1"/>
  <c r="AB278" i="6"/>
  <c r="B278" i="6" s="1"/>
  <c r="BS278" i="6" s="1"/>
  <c r="AB270" i="6"/>
  <c r="B270" i="6" s="1"/>
  <c r="BS270" i="6" s="1"/>
  <c r="AB262" i="6"/>
  <c r="B262" i="6" s="1"/>
  <c r="BS262" i="6" s="1"/>
  <c r="AB254" i="6"/>
  <c r="B254" i="6" s="1"/>
  <c r="BS254" i="6" s="1"/>
  <c r="AB246" i="6"/>
  <c r="B246" i="6" s="1"/>
  <c r="BS246" i="6" s="1"/>
  <c r="AB238" i="6"/>
  <c r="B238" i="6" s="1"/>
  <c r="BS238" i="6" s="1"/>
  <c r="AB230" i="6"/>
  <c r="B230" i="6" s="1"/>
  <c r="BS230" i="6" s="1"/>
  <c r="AB222" i="6"/>
  <c r="B222" i="6" s="1"/>
  <c r="BS222" i="6" s="1"/>
  <c r="AB214" i="6"/>
  <c r="B214" i="6" s="1"/>
  <c r="BS214" i="6" s="1"/>
  <c r="AB206" i="6"/>
  <c r="B206" i="6" s="1"/>
  <c r="BS206" i="6" s="1"/>
  <c r="AB198" i="6"/>
  <c r="B198" i="6" s="1"/>
  <c r="BS198" i="6" s="1"/>
  <c r="AB190" i="6"/>
  <c r="B190" i="6" s="1"/>
  <c r="BS190" i="6" s="1"/>
  <c r="AB182" i="6"/>
  <c r="B182" i="6" s="1"/>
  <c r="BS182" i="6" s="1"/>
  <c r="AB174" i="6"/>
  <c r="B174" i="6" s="1"/>
  <c r="BS174" i="6" s="1"/>
  <c r="AB166" i="6"/>
  <c r="B166" i="6" s="1"/>
  <c r="BS166" i="6" s="1"/>
  <c r="AB158" i="6"/>
  <c r="B158" i="6" s="1"/>
  <c r="BS158" i="6" s="1"/>
  <c r="AB150" i="6"/>
  <c r="B150" i="6" s="1"/>
  <c r="BS150" i="6" s="1"/>
  <c r="AB142" i="6"/>
  <c r="B142" i="6" s="1"/>
  <c r="BS142" i="6" s="1"/>
  <c r="AB134" i="6"/>
  <c r="B134" i="6" s="1"/>
  <c r="BS134" i="6" s="1"/>
  <c r="AB126" i="6"/>
  <c r="B126" i="6" s="1"/>
  <c r="BS126" i="6" s="1"/>
  <c r="AB118" i="6"/>
  <c r="B118" i="6" s="1"/>
  <c r="BS118" i="6" s="1"/>
  <c r="AB110" i="6"/>
  <c r="B110" i="6" s="1"/>
  <c r="BS110" i="6" s="1"/>
  <c r="AB102" i="6"/>
  <c r="B102" i="6" s="1"/>
  <c r="BS102" i="6" s="1"/>
  <c r="AB94" i="6"/>
  <c r="B94" i="6" s="1"/>
  <c r="BS94" i="6" s="1"/>
  <c r="AB86" i="6"/>
  <c r="B86" i="6" s="1"/>
  <c r="BS86" i="6" s="1"/>
  <c r="AB78" i="6"/>
  <c r="B78" i="6" s="1"/>
  <c r="BS78" i="6" s="1"/>
  <c r="AB70" i="6"/>
  <c r="B70" i="6" s="1"/>
  <c r="BS70" i="6" s="1"/>
  <c r="AB62" i="6"/>
  <c r="B62" i="6" s="1"/>
  <c r="BS62" i="6" s="1"/>
  <c r="AB54" i="6"/>
  <c r="B54" i="6" s="1"/>
  <c r="BS54" i="6" s="1"/>
  <c r="AB46" i="6"/>
  <c r="B46" i="6" s="1"/>
  <c r="BS46" i="6" s="1"/>
  <c r="AB38" i="6"/>
  <c r="B38" i="6" s="1"/>
  <c r="BS38" i="6" s="1"/>
  <c r="AB30" i="6"/>
  <c r="B30" i="6" s="1"/>
  <c r="BS30" i="6" s="1"/>
  <c r="AB22" i="6"/>
  <c r="B22" i="6" s="1"/>
  <c r="BS22" i="6" s="1"/>
  <c r="AB14" i="6"/>
  <c r="B14" i="6" s="1"/>
  <c r="BS14" i="6" s="1"/>
  <c r="AB45" i="6"/>
  <c r="B45" i="6" s="1"/>
  <c r="BS45" i="6" s="1"/>
  <c r="AB29" i="6"/>
  <c r="B29" i="6" s="1"/>
  <c r="BS29" i="6" s="1"/>
  <c r="AB13" i="6"/>
  <c r="B13" i="6" s="1"/>
  <c r="BS13" i="6" s="1"/>
  <c r="AB468" i="6"/>
  <c r="B468" i="6" s="1"/>
  <c r="BS468" i="6" s="1"/>
  <c r="AB444" i="6"/>
  <c r="B444" i="6" s="1"/>
  <c r="BS444" i="6" s="1"/>
  <c r="AB436" i="6"/>
  <c r="B436" i="6" s="1"/>
  <c r="BS436" i="6" s="1"/>
  <c r="AB428" i="6"/>
  <c r="B428" i="6" s="1"/>
  <c r="BS428" i="6" s="1"/>
  <c r="AB420" i="6"/>
  <c r="B420" i="6" s="1"/>
  <c r="BS420" i="6" s="1"/>
  <c r="AB404" i="6"/>
  <c r="B404" i="6" s="1"/>
  <c r="BS404" i="6" s="1"/>
  <c r="AB388" i="6"/>
  <c r="B388" i="6" s="1"/>
  <c r="BS388" i="6" s="1"/>
  <c r="AB380" i="6"/>
  <c r="B380" i="6" s="1"/>
  <c r="BS380" i="6" s="1"/>
  <c r="AB364" i="6"/>
  <c r="B364" i="6" s="1"/>
  <c r="BS364" i="6" s="1"/>
  <c r="AB356" i="6"/>
  <c r="B356" i="6" s="1"/>
  <c r="BS356" i="6" s="1"/>
  <c r="AB340" i="6"/>
  <c r="B340" i="6" s="1"/>
  <c r="BS340" i="6" s="1"/>
  <c r="AB324" i="6"/>
  <c r="B324" i="6" s="1"/>
  <c r="BS324" i="6" s="1"/>
  <c r="AB308" i="6"/>
  <c r="B308" i="6" s="1"/>
  <c r="BS308" i="6" s="1"/>
  <c r="AB268" i="6"/>
  <c r="B268" i="6" s="1"/>
  <c r="BS268" i="6" s="1"/>
  <c r="AB244" i="6"/>
  <c r="B244" i="6" s="1"/>
  <c r="BS244" i="6" s="1"/>
  <c r="AB212" i="6"/>
  <c r="B212" i="6" s="1"/>
  <c r="BS212" i="6" s="1"/>
  <c r="AB196" i="6"/>
  <c r="B196" i="6" s="1"/>
  <c r="BS196" i="6" s="1"/>
  <c r="AB172" i="6"/>
  <c r="B172" i="6" s="1"/>
  <c r="BS172" i="6" s="1"/>
  <c r="AB140" i="6"/>
  <c r="B140" i="6" s="1"/>
  <c r="BS140" i="6" s="1"/>
  <c r="AB108" i="6"/>
  <c r="B108" i="6" s="1"/>
  <c r="BS108" i="6" s="1"/>
  <c r="AB60" i="6"/>
  <c r="B60" i="6" s="1"/>
  <c r="BS60" i="6" s="1"/>
  <c r="AB36" i="6"/>
  <c r="B36" i="6" s="1"/>
  <c r="BS36" i="6" s="1"/>
  <c r="AB20" i="6"/>
  <c r="B20" i="6" s="1"/>
  <c r="BS20" i="6" s="1"/>
  <c r="AB451" i="6"/>
  <c r="B451" i="6" s="1"/>
  <c r="BS451" i="6" s="1"/>
  <c r="AB419" i="6"/>
  <c r="B419" i="6" s="1"/>
  <c r="BS419" i="6" s="1"/>
  <c r="AB461" i="6"/>
  <c r="B461" i="6" s="1"/>
  <c r="BS461" i="6" s="1"/>
  <c r="AB453" i="6"/>
  <c r="B453" i="6" s="1"/>
  <c r="BS453" i="6" s="1"/>
  <c r="AB445" i="6"/>
  <c r="B445" i="6" s="1"/>
  <c r="BS445" i="6" s="1"/>
  <c r="AB437" i="6"/>
  <c r="B437" i="6" s="1"/>
  <c r="BS437" i="6" s="1"/>
  <c r="AB429" i="6"/>
  <c r="B429" i="6" s="1"/>
  <c r="BS429" i="6" s="1"/>
  <c r="AB421" i="6"/>
  <c r="B421" i="6" s="1"/>
  <c r="BS421" i="6" s="1"/>
  <c r="AB413" i="6"/>
  <c r="B413" i="6" s="1"/>
  <c r="BS413" i="6" s="1"/>
  <c r="AB405" i="6"/>
  <c r="B405" i="6" s="1"/>
  <c r="BS405" i="6" s="1"/>
  <c r="AB397" i="6"/>
  <c r="B397" i="6" s="1"/>
  <c r="BS397" i="6" s="1"/>
  <c r="AB389" i="6"/>
  <c r="B389" i="6" s="1"/>
  <c r="BS389" i="6" s="1"/>
  <c r="AB381" i="6"/>
  <c r="B381" i="6" s="1"/>
  <c r="BS381" i="6" s="1"/>
  <c r="AB373" i="6"/>
  <c r="B373" i="6" s="1"/>
  <c r="BS373" i="6" s="1"/>
  <c r="AB365" i="6"/>
  <c r="B365" i="6" s="1"/>
  <c r="BS365" i="6" s="1"/>
  <c r="AB357" i="6"/>
  <c r="B357" i="6" s="1"/>
  <c r="BS357" i="6" s="1"/>
  <c r="AB349" i="6"/>
  <c r="B349" i="6" s="1"/>
  <c r="BS349" i="6" s="1"/>
  <c r="AB341" i="6"/>
  <c r="B341" i="6" s="1"/>
  <c r="BS341" i="6" s="1"/>
  <c r="AB333" i="6"/>
  <c r="B333" i="6" s="1"/>
  <c r="BS333" i="6" s="1"/>
  <c r="AB325" i="6"/>
  <c r="B325" i="6" s="1"/>
  <c r="BS325" i="6" s="1"/>
  <c r="AB317" i="6"/>
  <c r="B317" i="6" s="1"/>
  <c r="BS317" i="6" s="1"/>
  <c r="AB309" i="6"/>
  <c r="B309" i="6" s="1"/>
  <c r="BS309" i="6" s="1"/>
  <c r="AB301" i="6"/>
  <c r="B301" i="6" s="1"/>
  <c r="BS301" i="6" s="1"/>
  <c r="AB293" i="6"/>
  <c r="B293" i="6" s="1"/>
  <c r="BS293" i="6" s="1"/>
  <c r="AB285" i="6"/>
  <c r="B285" i="6" s="1"/>
  <c r="BS285" i="6" s="1"/>
  <c r="AB277" i="6"/>
  <c r="B277" i="6" s="1"/>
  <c r="BS277" i="6" s="1"/>
  <c r="AB269" i="6"/>
  <c r="B269" i="6" s="1"/>
  <c r="BS269" i="6" s="1"/>
  <c r="AB261" i="6"/>
  <c r="B261" i="6" s="1"/>
  <c r="BS261" i="6" s="1"/>
  <c r="AB253" i="6"/>
  <c r="B253" i="6" s="1"/>
  <c r="BS253" i="6" s="1"/>
  <c r="AB245" i="6"/>
  <c r="B245" i="6" s="1"/>
  <c r="BS245" i="6" s="1"/>
  <c r="AB237" i="6"/>
  <c r="B237" i="6" s="1"/>
  <c r="BS237" i="6" s="1"/>
  <c r="AB229" i="6"/>
  <c r="B229" i="6" s="1"/>
  <c r="BS229" i="6" s="1"/>
  <c r="AB221" i="6"/>
  <c r="B221" i="6" s="1"/>
  <c r="BS221" i="6" s="1"/>
  <c r="AB213" i="6"/>
  <c r="B213" i="6" s="1"/>
  <c r="BS213" i="6" s="1"/>
  <c r="AB205" i="6"/>
  <c r="B205" i="6" s="1"/>
  <c r="BS205" i="6" s="1"/>
  <c r="AB197" i="6"/>
  <c r="B197" i="6" s="1"/>
  <c r="BS197" i="6" s="1"/>
  <c r="AB189" i="6"/>
  <c r="B189" i="6" s="1"/>
  <c r="BS189" i="6" s="1"/>
  <c r="AB181" i="6"/>
  <c r="B181" i="6" s="1"/>
  <c r="BS181" i="6" s="1"/>
  <c r="AB173" i="6"/>
  <c r="B173" i="6" s="1"/>
  <c r="BS173" i="6" s="1"/>
  <c r="AB165" i="6"/>
  <c r="B165" i="6" s="1"/>
  <c r="BS165" i="6" s="1"/>
  <c r="AB157" i="6"/>
  <c r="B157" i="6" s="1"/>
  <c r="BS157" i="6" s="1"/>
  <c r="AB149" i="6"/>
  <c r="B149" i="6" s="1"/>
  <c r="BS149" i="6" s="1"/>
  <c r="AB141" i="6"/>
  <c r="B141" i="6" s="1"/>
  <c r="BS141" i="6" s="1"/>
  <c r="AB133" i="6"/>
  <c r="B133" i="6" s="1"/>
  <c r="BS133" i="6" s="1"/>
  <c r="AB125" i="6"/>
  <c r="B125" i="6" s="1"/>
  <c r="BS125" i="6" s="1"/>
  <c r="AB117" i="6"/>
  <c r="B117" i="6" s="1"/>
  <c r="BS117" i="6" s="1"/>
  <c r="AB109" i="6"/>
  <c r="B109" i="6" s="1"/>
  <c r="BS109" i="6" s="1"/>
  <c r="AB101" i="6"/>
  <c r="B101" i="6" s="1"/>
  <c r="BS101" i="6" s="1"/>
  <c r="AB93" i="6"/>
  <c r="B93" i="6" s="1"/>
  <c r="BS93" i="6" s="1"/>
  <c r="AB85" i="6"/>
  <c r="B85" i="6" s="1"/>
  <c r="BS85" i="6" s="1"/>
  <c r="AB77" i="6"/>
  <c r="B77" i="6" s="1"/>
  <c r="BS77" i="6" s="1"/>
  <c r="AB69" i="6"/>
  <c r="B69" i="6" s="1"/>
  <c r="BS69" i="6" s="1"/>
  <c r="AB61" i="6"/>
  <c r="B61" i="6" s="1"/>
  <c r="BS61" i="6" s="1"/>
  <c r="AB53" i="6"/>
  <c r="B53" i="6" s="1"/>
  <c r="BS53" i="6" s="1"/>
  <c r="AB37" i="6"/>
  <c r="B37" i="6" s="1"/>
  <c r="BS37" i="6" s="1"/>
  <c r="AB21" i="6"/>
  <c r="B21" i="6" s="1"/>
  <c r="BS21" i="6" s="1"/>
  <c r="AB460" i="6"/>
  <c r="B460" i="6" s="1"/>
  <c r="BS460" i="6" s="1"/>
  <c r="AB396" i="6"/>
  <c r="B396" i="6" s="1"/>
  <c r="BS396" i="6" s="1"/>
  <c r="AB372" i="6"/>
  <c r="B372" i="6" s="1"/>
  <c r="BS372" i="6" s="1"/>
  <c r="AB348" i="6"/>
  <c r="B348" i="6" s="1"/>
  <c r="BS348" i="6" s="1"/>
  <c r="AB316" i="6"/>
  <c r="B316" i="6" s="1"/>
  <c r="BS316" i="6" s="1"/>
  <c r="AB300" i="6"/>
  <c r="B300" i="6" s="1"/>
  <c r="BS300" i="6" s="1"/>
  <c r="AB260" i="6"/>
  <c r="B260" i="6" s="1"/>
  <c r="BS260" i="6" s="1"/>
  <c r="AB236" i="6"/>
  <c r="B236" i="6" s="1"/>
  <c r="BS236" i="6" s="1"/>
  <c r="AB204" i="6"/>
  <c r="B204" i="6" s="1"/>
  <c r="BS204" i="6" s="1"/>
  <c r="AB148" i="6"/>
  <c r="B148" i="6" s="1"/>
  <c r="BS148" i="6" s="1"/>
  <c r="AB76" i="6"/>
  <c r="B76" i="6" s="1"/>
  <c r="BS76" i="6" s="1"/>
  <c r="AB28" i="6"/>
  <c r="B28" i="6" s="1"/>
  <c r="BS28" i="6" s="1"/>
  <c r="AB403" i="6"/>
  <c r="B403" i="6" s="1"/>
  <c r="BS403" i="6" s="1"/>
  <c r="AB339" i="6"/>
  <c r="B339" i="6" s="1"/>
  <c r="BS339" i="6" s="1"/>
  <c r="AB275" i="6"/>
  <c r="B275" i="6" s="1"/>
  <c r="BS275" i="6" s="1"/>
  <c r="AB211" i="6"/>
  <c r="B211" i="6" s="1"/>
  <c r="BS211" i="6" s="1"/>
  <c r="AB147" i="6"/>
  <c r="B147" i="6" s="1"/>
  <c r="BS147" i="6" s="1"/>
  <c r="AB83" i="6"/>
  <c r="B83" i="6" s="1"/>
  <c r="BS83" i="6" s="1"/>
  <c r="AB19" i="6"/>
  <c r="B19" i="6" s="1"/>
  <c r="BS19" i="6" s="1"/>
  <c r="AB267" i="6"/>
  <c r="B267" i="6" s="1"/>
  <c r="BS267" i="6" s="1"/>
  <c r="AB139" i="6"/>
  <c r="B139" i="6" s="1"/>
  <c r="BS139" i="6" s="1"/>
  <c r="AB75" i="6"/>
  <c r="B75" i="6" s="1"/>
  <c r="BS75" i="6" s="1"/>
  <c r="AB387" i="6"/>
  <c r="B387" i="6" s="1"/>
  <c r="BS387" i="6" s="1"/>
  <c r="AB259" i="6"/>
  <c r="B259" i="6" s="1"/>
  <c r="BS259" i="6" s="1"/>
  <c r="AB131" i="6"/>
  <c r="B131" i="6" s="1"/>
  <c r="BS131" i="6" s="1"/>
  <c r="AB315" i="6"/>
  <c r="B315" i="6" s="1"/>
  <c r="BS315" i="6" s="1"/>
  <c r="AB187" i="6"/>
  <c r="B187" i="6" s="1"/>
  <c r="BS187" i="6" s="1"/>
  <c r="AB59" i="6"/>
  <c r="B59" i="6" s="1"/>
  <c r="BS59" i="6" s="1"/>
  <c r="AB371" i="6"/>
  <c r="B371" i="6" s="1"/>
  <c r="BS371" i="6" s="1"/>
  <c r="AB179" i="6"/>
  <c r="B179" i="6" s="1"/>
  <c r="BS179" i="6" s="1"/>
  <c r="AB443" i="6"/>
  <c r="B443" i="6" s="1"/>
  <c r="BS443" i="6" s="1"/>
  <c r="AB235" i="6"/>
  <c r="B235" i="6" s="1"/>
  <c r="BS235" i="6" s="1"/>
  <c r="AB43" i="6"/>
  <c r="B43" i="6" s="1"/>
  <c r="BS43" i="6" s="1"/>
  <c r="AB291" i="6"/>
  <c r="B291" i="6" s="1"/>
  <c r="BS291" i="6" s="1"/>
  <c r="AB99" i="6"/>
  <c r="B99" i="6" s="1"/>
  <c r="BS99" i="6" s="1"/>
  <c r="AB347" i="6"/>
  <c r="B347" i="6" s="1"/>
  <c r="BS347" i="6" s="1"/>
  <c r="AB155" i="6"/>
  <c r="B155" i="6" s="1"/>
  <c r="BS155" i="6" s="1"/>
  <c r="AB395" i="6"/>
  <c r="B395" i="6" s="1"/>
  <c r="BS395" i="6" s="1"/>
  <c r="AB331" i="6"/>
  <c r="B331" i="6" s="1"/>
  <c r="BS331" i="6" s="1"/>
  <c r="AB203" i="6"/>
  <c r="B203" i="6" s="1"/>
  <c r="BS203" i="6" s="1"/>
  <c r="AB11" i="6"/>
  <c r="B11" i="6" s="1"/>
  <c r="BS11" i="6" s="1"/>
  <c r="AB195" i="6"/>
  <c r="B195" i="6" s="1"/>
  <c r="BS195" i="6" s="1"/>
  <c r="AB67" i="6"/>
  <c r="B67" i="6" s="1"/>
  <c r="BS67" i="6" s="1"/>
  <c r="AB251" i="6"/>
  <c r="B251" i="6" s="1"/>
  <c r="BS251" i="6" s="1"/>
  <c r="AB459" i="6"/>
  <c r="B459" i="6" s="1"/>
  <c r="BS459" i="6" s="1"/>
  <c r="AB115" i="6"/>
  <c r="B115" i="6" s="1"/>
  <c r="BS115" i="6" s="1"/>
  <c r="AB299" i="6"/>
  <c r="B299" i="6" s="1"/>
  <c r="BS299" i="6" s="1"/>
  <c r="AB107" i="6"/>
  <c r="B107" i="6" s="1"/>
  <c r="BS107" i="6" s="1"/>
  <c r="AB355" i="6"/>
  <c r="B355" i="6" s="1"/>
  <c r="BS355" i="6" s="1"/>
  <c r="AB163" i="6"/>
  <c r="B163" i="6" s="1"/>
  <c r="BS163" i="6" s="1"/>
  <c r="AB283" i="6"/>
  <c r="B283" i="6" s="1"/>
  <c r="BS283" i="6" s="1"/>
  <c r="AB91" i="6"/>
  <c r="B91" i="6" s="1"/>
  <c r="BS91" i="6" s="1"/>
  <c r="AB323" i="6"/>
  <c r="B323" i="6" s="1"/>
  <c r="BS323" i="6" s="1"/>
  <c r="AB379" i="6"/>
  <c r="B379" i="6" s="1"/>
  <c r="BS379" i="6" s="1"/>
  <c r="AB123" i="6"/>
  <c r="B123" i="6" s="1"/>
  <c r="BS123" i="6" s="1"/>
  <c r="AB307" i="6"/>
  <c r="B307" i="6" s="1"/>
  <c r="BS307" i="6" s="1"/>
  <c r="AB243" i="6"/>
  <c r="B243" i="6" s="1"/>
  <c r="BS243" i="6" s="1"/>
  <c r="AB51" i="6"/>
  <c r="B51" i="6" s="1"/>
  <c r="BS51" i="6" s="1"/>
  <c r="AB363" i="6"/>
  <c r="B363" i="6" s="1"/>
  <c r="BS363" i="6" s="1"/>
  <c r="AB171" i="6"/>
  <c r="B171" i="6" s="1"/>
  <c r="BS171" i="6" s="1"/>
  <c r="AB435" i="6"/>
  <c r="B435" i="6" s="1"/>
  <c r="BS435" i="6" s="1"/>
  <c r="AB227" i="6"/>
  <c r="B227" i="6" s="1"/>
  <c r="BS227" i="6" s="1"/>
  <c r="AB35" i="6"/>
  <c r="B35" i="6" s="1"/>
  <c r="BS35" i="6" s="1"/>
  <c r="AB427" i="6"/>
  <c r="B427" i="6" s="1"/>
  <c r="BS427" i="6" s="1"/>
  <c r="AB219" i="6"/>
  <c r="B219" i="6" s="1"/>
  <c r="BS219" i="6" s="1"/>
  <c r="AB27" i="6"/>
  <c r="B27" i="6" s="1"/>
  <c r="BS27" i="6" s="1"/>
  <c r="G147" i="1"/>
  <c r="G41" i="1"/>
  <c r="G45" i="1" s="1"/>
  <c r="G63" i="1"/>
  <c r="G26" i="1"/>
  <c r="G62" i="1"/>
  <c r="E36" i="1"/>
  <c r="E4" i="1" s="1"/>
  <c r="F11" i="1"/>
  <c r="S14" i="1" s="1"/>
  <c r="A3" i="10"/>
  <c r="E41" i="1"/>
  <c r="E45" i="1" s="1"/>
  <c r="E62" i="1"/>
  <c r="G36" i="1"/>
  <c r="G11" i="1"/>
  <c r="E26" i="1"/>
  <c r="T51" i="1"/>
  <c r="R127" i="1"/>
  <c r="S127" i="1" s="1"/>
  <c r="B125" i="1" s="1"/>
  <c r="N36" i="1"/>
  <c r="F21" i="1"/>
  <c r="F31" i="1"/>
  <c r="B51" i="1" s="1"/>
  <c r="Q2" i="8"/>
  <c r="Q3" i="8" s="1"/>
  <c r="AB469" i="6"/>
  <c r="AB470" i="6"/>
  <c r="B385" i="6"/>
  <c r="BS385" i="6" s="1"/>
  <c r="B450" i="6"/>
  <c r="BS450" i="6" s="1"/>
  <c r="B257" i="6"/>
  <c r="BS257" i="6" s="1"/>
  <c r="B242" i="6"/>
  <c r="BS242" i="6" s="1"/>
  <c r="B193" i="6"/>
  <c r="BS193" i="6" s="1"/>
  <c r="B258" i="6"/>
  <c r="BS258" i="6" s="1"/>
  <c r="B145" i="6"/>
  <c r="BS145" i="6" s="1"/>
  <c r="B129" i="6"/>
  <c r="BS129" i="6" s="1"/>
  <c r="B65" i="6"/>
  <c r="BS65" i="6" s="1"/>
  <c r="C6" i="6"/>
  <c r="B66" i="6"/>
  <c r="BS66" i="6" s="1"/>
  <c r="B100" i="1"/>
  <c r="R152" i="1"/>
  <c r="T7" i="1"/>
  <c r="B18" i="1"/>
  <c r="N35" i="1"/>
  <c r="R82" i="1"/>
  <c r="S82" i="1" s="1"/>
  <c r="B143" i="1"/>
  <c r="N37" i="1"/>
  <c r="F53" i="1"/>
  <c r="S58" i="1"/>
  <c r="B122" i="1"/>
  <c r="N34" i="1"/>
  <c r="R105" i="1"/>
  <c r="N38" i="1"/>
  <c r="E63" i="1"/>
  <c r="B77" i="1"/>
  <c r="N31" i="1"/>
  <c r="BT470" i="6"/>
  <c r="BT469" i="6"/>
  <c r="B370" i="6"/>
  <c r="BS370" i="6" s="1"/>
  <c r="B306" i="6"/>
  <c r="BS306" i="6" s="1"/>
  <c r="B292" i="6"/>
  <c r="BS292" i="6" s="1"/>
  <c r="B29" i="1" l="1"/>
  <c r="I29" i="1" s="1"/>
  <c r="B53" i="1"/>
  <c r="BQ168" i="6"/>
  <c r="BI168" i="6"/>
  <c r="BA168" i="6"/>
  <c r="AS168" i="6"/>
  <c r="AL168" i="6"/>
  <c r="BQ224" i="6"/>
  <c r="BI224" i="6"/>
  <c r="BA224" i="6"/>
  <c r="AS224" i="6"/>
  <c r="AL224" i="6"/>
  <c r="AE313" i="6"/>
  <c r="BQ313" i="6"/>
  <c r="BI313" i="6"/>
  <c r="BA313" i="6"/>
  <c r="AS313" i="6"/>
  <c r="AL313" i="6"/>
  <c r="BQ408" i="6"/>
  <c r="BI408" i="6"/>
  <c r="BA408" i="6"/>
  <c r="AL408" i="6"/>
  <c r="AS408" i="6"/>
  <c r="BQ457" i="6"/>
  <c r="BI457" i="6"/>
  <c r="BA457" i="6"/>
  <c r="AS457" i="6"/>
  <c r="AL457" i="6"/>
  <c r="BQ107" i="6"/>
  <c r="BI107" i="6"/>
  <c r="BA107" i="6"/>
  <c r="AS107" i="6"/>
  <c r="AL107" i="6"/>
  <c r="BQ146" i="6"/>
  <c r="BI146" i="6"/>
  <c r="BA146" i="6"/>
  <c r="AS146" i="6"/>
  <c r="AL146" i="6"/>
  <c r="BQ88" i="6"/>
  <c r="BI88" i="6"/>
  <c r="BA88" i="6"/>
  <c r="AS88" i="6"/>
  <c r="AL88" i="6"/>
  <c r="BQ432" i="6"/>
  <c r="BI432" i="6"/>
  <c r="BA432" i="6"/>
  <c r="AL432" i="6"/>
  <c r="AS432" i="6"/>
  <c r="BQ466" i="6"/>
  <c r="BI466" i="6"/>
  <c r="BA466" i="6"/>
  <c r="AS466" i="6"/>
  <c r="AL466" i="6"/>
  <c r="BQ417" i="6"/>
  <c r="BI417" i="6"/>
  <c r="BA417" i="6"/>
  <c r="AS417" i="6"/>
  <c r="AL417" i="6"/>
  <c r="BQ363" i="6"/>
  <c r="BI363" i="6"/>
  <c r="BA363" i="6"/>
  <c r="AS363" i="6"/>
  <c r="AL363" i="6"/>
  <c r="BI404" i="6"/>
  <c r="BQ404" i="6"/>
  <c r="BA404" i="6"/>
  <c r="AL404" i="6"/>
  <c r="AS404" i="6"/>
  <c r="BQ416" i="6"/>
  <c r="BI416" i="6"/>
  <c r="BA416" i="6"/>
  <c r="AL416" i="6"/>
  <c r="AS416" i="6"/>
  <c r="BQ446" i="6"/>
  <c r="BI446" i="6"/>
  <c r="BA446" i="6"/>
  <c r="AL446" i="6"/>
  <c r="AS446" i="6"/>
  <c r="AE19" i="6"/>
  <c r="BQ19" i="6"/>
  <c r="BI19" i="6"/>
  <c r="BA19" i="6"/>
  <c r="AS19" i="6"/>
  <c r="AL19" i="6"/>
  <c r="BQ99" i="6"/>
  <c r="BI99" i="6"/>
  <c r="BA99" i="6"/>
  <c r="AS99" i="6"/>
  <c r="AL99" i="6"/>
  <c r="BQ114" i="6"/>
  <c r="BI114" i="6"/>
  <c r="BA114" i="6"/>
  <c r="AS114" i="6"/>
  <c r="AL114" i="6"/>
  <c r="BQ133" i="6"/>
  <c r="BI133" i="6"/>
  <c r="BA133" i="6"/>
  <c r="AS133" i="6"/>
  <c r="AL133" i="6"/>
  <c r="AE120" i="6"/>
  <c r="BQ120" i="6"/>
  <c r="BI120" i="6"/>
  <c r="BA120" i="6"/>
  <c r="AS120" i="6"/>
  <c r="AL120" i="6"/>
  <c r="BQ154" i="6"/>
  <c r="BI154" i="6"/>
  <c r="BA154" i="6"/>
  <c r="AS154" i="6"/>
  <c r="AL154" i="6"/>
  <c r="BQ14" i="6"/>
  <c r="BI14" i="6"/>
  <c r="BA14" i="6"/>
  <c r="AS14" i="6"/>
  <c r="AL14" i="6"/>
  <c r="BQ64" i="6"/>
  <c r="BI64" i="6"/>
  <c r="BA64" i="6"/>
  <c r="AS64" i="6"/>
  <c r="AL64" i="6"/>
  <c r="BQ54" i="6"/>
  <c r="BI54" i="6"/>
  <c r="BA54" i="6"/>
  <c r="AS54" i="6"/>
  <c r="AL54" i="6"/>
  <c r="BQ205" i="6"/>
  <c r="BI205" i="6"/>
  <c r="BA205" i="6"/>
  <c r="AS205" i="6"/>
  <c r="AL205" i="6"/>
  <c r="AE233" i="6"/>
  <c r="BQ233" i="6"/>
  <c r="BI233" i="6"/>
  <c r="BA233" i="6"/>
  <c r="AS233" i="6"/>
  <c r="AL233" i="6"/>
  <c r="BQ275" i="6"/>
  <c r="BI275" i="6"/>
  <c r="BA275" i="6"/>
  <c r="AS275" i="6"/>
  <c r="AL275" i="6"/>
  <c r="BQ292" i="6"/>
  <c r="BI292" i="6"/>
  <c r="BA292" i="6"/>
  <c r="AS292" i="6"/>
  <c r="AL292" i="6"/>
  <c r="BQ286" i="6"/>
  <c r="BI286" i="6"/>
  <c r="BA286" i="6"/>
  <c r="AS286" i="6"/>
  <c r="AL286" i="6"/>
  <c r="BQ290" i="6"/>
  <c r="BI290" i="6"/>
  <c r="BA290" i="6"/>
  <c r="AS290" i="6"/>
  <c r="AL290" i="6"/>
  <c r="BQ321" i="6"/>
  <c r="BI321" i="6"/>
  <c r="BA321" i="6"/>
  <c r="AS321" i="6"/>
  <c r="AL321" i="6"/>
  <c r="AE336" i="6"/>
  <c r="BQ336" i="6"/>
  <c r="BI336" i="6"/>
  <c r="BA336" i="6"/>
  <c r="AL336" i="6"/>
  <c r="AS336" i="6"/>
  <c r="BQ359" i="6"/>
  <c r="BI359" i="6"/>
  <c r="BA359" i="6"/>
  <c r="AL359" i="6"/>
  <c r="AS359" i="6"/>
  <c r="BQ379" i="6"/>
  <c r="BI379" i="6"/>
  <c r="BA379" i="6"/>
  <c r="AS379" i="6"/>
  <c r="AL379" i="6"/>
  <c r="BQ393" i="6"/>
  <c r="BI393" i="6"/>
  <c r="AS393" i="6"/>
  <c r="AL393" i="6"/>
  <c r="BA393" i="6"/>
  <c r="BQ425" i="6"/>
  <c r="BI425" i="6"/>
  <c r="BA425" i="6"/>
  <c r="AS425" i="6"/>
  <c r="AL425" i="6"/>
  <c r="BQ424" i="6"/>
  <c r="BI424" i="6"/>
  <c r="BA424" i="6"/>
  <c r="AL424" i="6"/>
  <c r="AS424" i="6"/>
  <c r="BQ449" i="6"/>
  <c r="BI449" i="6"/>
  <c r="BA449" i="6"/>
  <c r="AS449" i="6"/>
  <c r="AL449" i="6"/>
  <c r="AE458" i="6"/>
  <c r="AD458" i="6" s="1"/>
  <c r="BQ458" i="6"/>
  <c r="BI458" i="6"/>
  <c r="BA458" i="6"/>
  <c r="AS458" i="6"/>
  <c r="AL458" i="6"/>
  <c r="AE32" i="6"/>
  <c r="BQ32" i="6"/>
  <c r="BI32" i="6"/>
  <c r="BA32" i="6"/>
  <c r="AS32" i="6"/>
  <c r="AL32" i="6"/>
  <c r="BQ46" i="6"/>
  <c r="BI46" i="6"/>
  <c r="BA46" i="6"/>
  <c r="AS46" i="6"/>
  <c r="AL46" i="6"/>
  <c r="BQ24" i="6"/>
  <c r="BI24" i="6"/>
  <c r="BA24" i="6"/>
  <c r="AS24" i="6"/>
  <c r="AL24" i="6"/>
  <c r="BQ70" i="6"/>
  <c r="BI70" i="6"/>
  <c r="BA70" i="6"/>
  <c r="AS70" i="6"/>
  <c r="AL70" i="6"/>
  <c r="BQ21" i="6"/>
  <c r="BI21" i="6"/>
  <c r="BA21" i="6"/>
  <c r="AS21" i="6"/>
  <c r="AL21" i="6"/>
  <c r="BQ53" i="6"/>
  <c r="BI53" i="6"/>
  <c r="BA53" i="6"/>
  <c r="AS53" i="6"/>
  <c r="AL53" i="6"/>
  <c r="BQ139" i="6"/>
  <c r="BI139" i="6"/>
  <c r="BA139" i="6"/>
  <c r="AS139" i="6"/>
  <c r="AL139" i="6"/>
  <c r="AE135" i="6"/>
  <c r="AD135" i="6" s="1"/>
  <c r="BQ135" i="6"/>
  <c r="BI135" i="6"/>
  <c r="BA135" i="6"/>
  <c r="AS135" i="6"/>
  <c r="AL135" i="6"/>
  <c r="AE86" i="6"/>
  <c r="AD86" i="6" s="1"/>
  <c r="D86" i="6" s="1"/>
  <c r="BQ86" i="6"/>
  <c r="BI86" i="6"/>
  <c r="BA86" i="6"/>
  <c r="AS86" i="6"/>
  <c r="AL86" i="6"/>
  <c r="BQ118" i="6"/>
  <c r="BI118" i="6"/>
  <c r="BA118" i="6"/>
  <c r="AS118" i="6"/>
  <c r="AL118" i="6"/>
  <c r="BQ155" i="6"/>
  <c r="BI155" i="6"/>
  <c r="BA155" i="6"/>
  <c r="AS155" i="6"/>
  <c r="AL155" i="6"/>
  <c r="BQ105" i="6"/>
  <c r="BI105" i="6"/>
  <c r="BA105" i="6"/>
  <c r="AS105" i="6"/>
  <c r="AL105" i="6"/>
  <c r="BQ137" i="6"/>
  <c r="BI137" i="6"/>
  <c r="AS137" i="6"/>
  <c r="BA137" i="6"/>
  <c r="AL137" i="6"/>
  <c r="BQ181" i="6"/>
  <c r="BI181" i="6"/>
  <c r="BA181" i="6"/>
  <c r="AS181" i="6"/>
  <c r="AL181" i="6"/>
  <c r="BQ92" i="6"/>
  <c r="BI92" i="6"/>
  <c r="BA92" i="6"/>
  <c r="AS92" i="6"/>
  <c r="AL92" i="6"/>
  <c r="AE124" i="6"/>
  <c r="AD124" i="6" s="1"/>
  <c r="BQ124" i="6"/>
  <c r="BI124" i="6"/>
  <c r="BA124" i="6"/>
  <c r="AS124" i="6"/>
  <c r="AL124" i="6"/>
  <c r="BQ157" i="6"/>
  <c r="BI157" i="6"/>
  <c r="BA157" i="6"/>
  <c r="AS157" i="6"/>
  <c r="AL157" i="6"/>
  <c r="BQ185" i="6"/>
  <c r="BI185" i="6"/>
  <c r="BA185" i="6"/>
  <c r="AS185" i="6"/>
  <c r="AL185" i="6"/>
  <c r="BQ223" i="6"/>
  <c r="BI223" i="6"/>
  <c r="BA223" i="6"/>
  <c r="AS223" i="6"/>
  <c r="AL223" i="6"/>
  <c r="BQ201" i="6"/>
  <c r="BI201" i="6"/>
  <c r="AS201" i="6"/>
  <c r="BA201" i="6"/>
  <c r="AL201" i="6"/>
  <c r="AE256" i="6"/>
  <c r="BQ256" i="6"/>
  <c r="BI256" i="6"/>
  <c r="BA256" i="6"/>
  <c r="AS256" i="6"/>
  <c r="AL256" i="6"/>
  <c r="AE180" i="6"/>
  <c r="BQ180" i="6"/>
  <c r="BI180" i="6"/>
  <c r="BA180" i="6"/>
  <c r="AS180" i="6"/>
  <c r="AL180" i="6"/>
  <c r="BQ270" i="6"/>
  <c r="BI270" i="6"/>
  <c r="BA270" i="6"/>
  <c r="AS270" i="6"/>
  <c r="AL270" i="6"/>
  <c r="AE227" i="6"/>
  <c r="AD227" i="6" s="1"/>
  <c r="BQ227" i="6"/>
  <c r="BI227" i="6"/>
  <c r="BA227" i="6"/>
  <c r="AS227" i="6"/>
  <c r="AL227" i="6"/>
  <c r="BQ294" i="6"/>
  <c r="BI294" i="6"/>
  <c r="BA294" i="6"/>
  <c r="AS294" i="6"/>
  <c r="AL294" i="6"/>
  <c r="BQ206" i="6"/>
  <c r="BI206" i="6"/>
  <c r="BA206" i="6"/>
  <c r="AS206" i="6"/>
  <c r="AL206" i="6"/>
  <c r="BQ302" i="6"/>
  <c r="BI302" i="6"/>
  <c r="BA302" i="6"/>
  <c r="AS302" i="6"/>
  <c r="AL302" i="6"/>
  <c r="BQ237" i="6"/>
  <c r="BI237" i="6"/>
  <c r="BA237" i="6"/>
  <c r="AS237" i="6"/>
  <c r="AL237" i="6"/>
  <c r="BQ330" i="6"/>
  <c r="BI330" i="6"/>
  <c r="BA330" i="6"/>
  <c r="AS330" i="6"/>
  <c r="AL330" i="6"/>
  <c r="BQ287" i="6"/>
  <c r="BI287" i="6"/>
  <c r="BA287" i="6"/>
  <c r="AS287" i="6"/>
  <c r="AL287" i="6"/>
  <c r="BQ358" i="6"/>
  <c r="BI358" i="6"/>
  <c r="BA358" i="6"/>
  <c r="AL358" i="6"/>
  <c r="AS358" i="6"/>
  <c r="AE418" i="6"/>
  <c r="AD418" i="6" s="1"/>
  <c r="BQ418" i="6"/>
  <c r="BI418" i="6"/>
  <c r="BA418" i="6"/>
  <c r="AS418" i="6"/>
  <c r="AL418" i="6"/>
  <c r="BQ421" i="6"/>
  <c r="BI421" i="6"/>
  <c r="BA421" i="6"/>
  <c r="AL421" i="6"/>
  <c r="AS421" i="6"/>
  <c r="C7" i="6"/>
  <c r="BQ38" i="6"/>
  <c r="BI38" i="6"/>
  <c r="BA38" i="6"/>
  <c r="AS38" i="6"/>
  <c r="AL38" i="6"/>
  <c r="BQ289" i="6"/>
  <c r="BI289" i="6"/>
  <c r="BA289" i="6"/>
  <c r="AS289" i="6"/>
  <c r="AL289" i="6"/>
  <c r="BQ349" i="6"/>
  <c r="BI349" i="6"/>
  <c r="BA349" i="6"/>
  <c r="AL349" i="6"/>
  <c r="AS349" i="6"/>
  <c r="BQ123" i="6"/>
  <c r="BI123" i="6"/>
  <c r="BA123" i="6"/>
  <c r="AS123" i="6"/>
  <c r="AL123" i="6"/>
  <c r="AE82" i="6"/>
  <c r="BQ82" i="6"/>
  <c r="BI82" i="6"/>
  <c r="BA82" i="6"/>
  <c r="AS82" i="6"/>
  <c r="AL82" i="6"/>
  <c r="BQ101" i="6"/>
  <c r="BI101" i="6"/>
  <c r="BA101" i="6"/>
  <c r="AS101" i="6"/>
  <c r="AL101" i="6"/>
  <c r="BQ153" i="6"/>
  <c r="BI153" i="6"/>
  <c r="BA153" i="6"/>
  <c r="AS153" i="6"/>
  <c r="AL153" i="6"/>
  <c r="BQ20" i="6"/>
  <c r="BI20" i="6"/>
  <c r="BA20" i="6"/>
  <c r="AS20" i="6"/>
  <c r="AL20" i="6"/>
  <c r="AE27" i="6"/>
  <c r="AD27" i="6" s="1"/>
  <c r="D27" i="6" s="1"/>
  <c r="BQ27" i="6"/>
  <c r="BI27" i="6"/>
  <c r="BA27" i="6"/>
  <c r="AS27" i="6"/>
  <c r="AL27" i="6"/>
  <c r="BQ58" i="6"/>
  <c r="BI58" i="6"/>
  <c r="BA58" i="6"/>
  <c r="AS58" i="6"/>
  <c r="AL58" i="6"/>
  <c r="BQ176" i="6"/>
  <c r="BI176" i="6"/>
  <c r="BA176" i="6"/>
  <c r="AS176" i="6"/>
  <c r="AL176" i="6"/>
  <c r="BQ240" i="6"/>
  <c r="BI240" i="6"/>
  <c r="BA240" i="6"/>
  <c r="AS240" i="6"/>
  <c r="AL240" i="6"/>
  <c r="BI202" i="6"/>
  <c r="BQ202" i="6"/>
  <c r="BA202" i="6"/>
  <c r="AS202" i="6"/>
  <c r="AL202" i="6"/>
  <c r="BQ283" i="6"/>
  <c r="BI283" i="6"/>
  <c r="BA283" i="6"/>
  <c r="AS283" i="6"/>
  <c r="AL283" i="6"/>
  <c r="BQ315" i="6"/>
  <c r="BI315" i="6"/>
  <c r="BA315" i="6"/>
  <c r="AS315" i="6"/>
  <c r="AL315" i="6"/>
  <c r="AE304" i="6"/>
  <c r="AD304" i="6" s="1"/>
  <c r="BQ304" i="6"/>
  <c r="BI304" i="6"/>
  <c r="BA304" i="6"/>
  <c r="AS304" i="6"/>
  <c r="AL304" i="6"/>
  <c r="BQ298" i="6"/>
  <c r="BI298" i="6"/>
  <c r="BA298" i="6"/>
  <c r="AS298" i="6"/>
  <c r="AL298" i="6"/>
  <c r="BQ351" i="6"/>
  <c r="BI351" i="6"/>
  <c r="BA351" i="6"/>
  <c r="AL351" i="6"/>
  <c r="AS351" i="6"/>
  <c r="BQ342" i="6"/>
  <c r="BI342" i="6"/>
  <c r="BA342" i="6"/>
  <c r="AL342" i="6"/>
  <c r="AS342" i="6"/>
  <c r="BQ370" i="6"/>
  <c r="BI370" i="6"/>
  <c r="BA370" i="6"/>
  <c r="AS370" i="6"/>
  <c r="AL370" i="6"/>
  <c r="BQ374" i="6"/>
  <c r="BI374" i="6"/>
  <c r="BA374" i="6"/>
  <c r="AL374" i="6"/>
  <c r="AS374" i="6"/>
  <c r="BQ400" i="6"/>
  <c r="BI400" i="6"/>
  <c r="BA400" i="6"/>
  <c r="AL400" i="6"/>
  <c r="AS400" i="6"/>
  <c r="BQ420" i="6"/>
  <c r="BI420" i="6"/>
  <c r="BA420" i="6"/>
  <c r="AS420" i="6"/>
  <c r="AL420" i="6"/>
  <c r="BQ440" i="6"/>
  <c r="BI440" i="6"/>
  <c r="BA440" i="6"/>
  <c r="AL440" i="6"/>
  <c r="AS440" i="6"/>
  <c r="BQ450" i="6"/>
  <c r="BI450" i="6"/>
  <c r="BA450" i="6"/>
  <c r="AS450" i="6"/>
  <c r="AL450" i="6"/>
  <c r="BQ460" i="6"/>
  <c r="BI460" i="6"/>
  <c r="BA460" i="6"/>
  <c r="AS460" i="6"/>
  <c r="AL460" i="6"/>
  <c r="AE26" i="6"/>
  <c r="AD26" i="6" s="1"/>
  <c r="D26" i="6" s="1"/>
  <c r="BQ26" i="6"/>
  <c r="BI26" i="6"/>
  <c r="BA26" i="6"/>
  <c r="AS26" i="6"/>
  <c r="AL26" i="6"/>
  <c r="BQ36" i="6"/>
  <c r="BI36" i="6"/>
  <c r="BA36" i="6"/>
  <c r="AS36" i="6"/>
  <c r="AL36" i="6"/>
  <c r="BQ23" i="6"/>
  <c r="BI23" i="6"/>
  <c r="BA23" i="6"/>
  <c r="AS23" i="6"/>
  <c r="AL23" i="6"/>
  <c r="BQ74" i="6"/>
  <c r="BI74" i="6"/>
  <c r="BA74" i="6"/>
  <c r="AS74" i="6"/>
  <c r="AL74" i="6"/>
  <c r="BQ25" i="6"/>
  <c r="BI25" i="6"/>
  <c r="BA25" i="6"/>
  <c r="AS25" i="6"/>
  <c r="AL25" i="6"/>
  <c r="AE57" i="6"/>
  <c r="AD57" i="6" s="1"/>
  <c r="D57" i="6" s="1"/>
  <c r="BQ57" i="6"/>
  <c r="BI57" i="6"/>
  <c r="BA57" i="6"/>
  <c r="AS57" i="6"/>
  <c r="AL57" i="6"/>
  <c r="BQ77" i="6"/>
  <c r="BI77" i="6"/>
  <c r="BA77" i="6"/>
  <c r="AS77" i="6"/>
  <c r="AL77" i="6"/>
  <c r="BQ169" i="6"/>
  <c r="BI169" i="6"/>
  <c r="BA169" i="6"/>
  <c r="AS169" i="6"/>
  <c r="AL169" i="6"/>
  <c r="BQ90" i="6"/>
  <c r="BI90" i="6"/>
  <c r="BA90" i="6"/>
  <c r="AS90" i="6"/>
  <c r="AL90" i="6"/>
  <c r="AE122" i="6"/>
  <c r="AD122" i="6" s="1"/>
  <c r="BI122" i="6"/>
  <c r="BQ122" i="6"/>
  <c r="BA122" i="6"/>
  <c r="AS122" i="6"/>
  <c r="AL122" i="6"/>
  <c r="BQ159" i="6"/>
  <c r="BI159" i="6"/>
  <c r="BA159" i="6"/>
  <c r="AS159" i="6"/>
  <c r="AL159" i="6"/>
  <c r="BQ109" i="6"/>
  <c r="BI109" i="6"/>
  <c r="BA109" i="6"/>
  <c r="AS109" i="6"/>
  <c r="AL109" i="6"/>
  <c r="AE141" i="6"/>
  <c r="AD141" i="6" s="1"/>
  <c r="BQ141" i="6"/>
  <c r="BI141" i="6"/>
  <c r="BA141" i="6"/>
  <c r="AS141" i="6"/>
  <c r="AL141" i="6"/>
  <c r="BQ209" i="6"/>
  <c r="BI209" i="6"/>
  <c r="BA209" i="6"/>
  <c r="AS209" i="6"/>
  <c r="AL209" i="6"/>
  <c r="BQ96" i="6"/>
  <c r="BI96" i="6"/>
  <c r="BA96" i="6"/>
  <c r="AS96" i="6"/>
  <c r="AL96" i="6"/>
  <c r="AE128" i="6"/>
  <c r="AD128" i="6" s="1"/>
  <c r="BQ128" i="6"/>
  <c r="BI128" i="6"/>
  <c r="BA128" i="6"/>
  <c r="AS128" i="6"/>
  <c r="AL128" i="6"/>
  <c r="BQ191" i="6"/>
  <c r="BI191" i="6"/>
  <c r="BA191" i="6"/>
  <c r="AS191" i="6"/>
  <c r="AL191" i="6"/>
  <c r="BQ199" i="6"/>
  <c r="BI199" i="6"/>
  <c r="BA199" i="6"/>
  <c r="AS199" i="6"/>
  <c r="AL199" i="6"/>
  <c r="BQ226" i="6"/>
  <c r="BI226" i="6"/>
  <c r="BA226" i="6"/>
  <c r="AS226" i="6"/>
  <c r="AL226" i="6"/>
  <c r="AE255" i="6"/>
  <c r="BQ255" i="6"/>
  <c r="BI255" i="6"/>
  <c r="BA255" i="6"/>
  <c r="AS255" i="6"/>
  <c r="AL255" i="6"/>
  <c r="AE179" i="6"/>
  <c r="BQ179" i="6"/>
  <c r="BI179" i="6"/>
  <c r="BA179" i="6"/>
  <c r="AS179" i="6"/>
  <c r="AL179" i="6"/>
  <c r="BQ192" i="6"/>
  <c r="BI192" i="6"/>
  <c r="BA192" i="6"/>
  <c r="AS192" i="6"/>
  <c r="AL192" i="6"/>
  <c r="BQ193" i="6"/>
  <c r="BI193" i="6"/>
  <c r="AS193" i="6"/>
  <c r="BA193" i="6"/>
  <c r="AL193" i="6"/>
  <c r="BQ271" i="6"/>
  <c r="BI271" i="6"/>
  <c r="BA271" i="6"/>
  <c r="AS271" i="6"/>
  <c r="AL271" i="6"/>
  <c r="BQ230" i="6"/>
  <c r="BI230" i="6"/>
  <c r="BA230" i="6"/>
  <c r="AS230" i="6"/>
  <c r="AL230" i="6"/>
  <c r="BQ178" i="6"/>
  <c r="BI178" i="6"/>
  <c r="BA178" i="6"/>
  <c r="AS178" i="6"/>
  <c r="AL178" i="6"/>
  <c r="BQ210" i="6"/>
  <c r="BI210" i="6"/>
  <c r="BA210" i="6"/>
  <c r="AS210" i="6"/>
  <c r="AL210" i="6"/>
  <c r="BQ244" i="6"/>
  <c r="BI244" i="6"/>
  <c r="BA244" i="6"/>
  <c r="AS244" i="6"/>
  <c r="AL244" i="6"/>
  <c r="BQ220" i="6"/>
  <c r="BI220" i="6"/>
  <c r="BA220" i="6"/>
  <c r="AS220" i="6"/>
  <c r="AL220" i="6"/>
  <c r="BQ281" i="6"/>
  <c r="BI281" i="6"/>
  <c r="BA281" i="6"/>
  <c r="AS281" i="6"/>
  <c r="AL281" i="6"/>
  <c r="AE241" i="6"/>
  <c r="BQ241" i="6"/>
  <c r="BI241" i="6"/>
  <c r="BA241" i="6"/>
  <c r="AS241" i="6"/>
  <c r="AL241" i="6"/>
  <c r="BQ273" i="6"/>
  <c r="BI273" i="6"/>
  <c r="BA273" i="6"/>
  <c r="AS273" i="6"/>
  <c r="AL273" i="6"/>
  <c r="BQ310" i="6"/>
  <c r="BI310" i="6"/>
  <c r="BA310" i="6"/>
  <c r="AS310" i="6"/>
  <c r="AL310" i="6"/>
  <c r="AE364" i="6"/>
  <c r="BQ364" i="6"/>
  <c r="BI364" i="6"/>
  <c r="BA364" i="6"/>
  <c r="AS364" i="6"/>
  <c r="AL364" i="6"/>
  <c r="BQ312" i="6"/>
  <c r="BI312" i="6"/>
  <c r="BA312" i="6"/>
  <c r="AS312" i="6"/>
  <c r="AL312" i="6"/>
  <c r="BQ372" i="6"/>
  <c r="BI372" i="6"/>
  <c r="BA372" i="6"/>
  <c r="AS372" i="6"/>
  <c r="AL372" i="6"/>
  <c r="BQ291" i="6"/>
  <c r="BI291" i="6"/>
  <c r="BA291" i="6"/>
  <c r="AS291" i="6"/>
  <c r="AL291" i="6"/>
  <c r="BQ323" i="6"/>
  <c r="BI323" i="6"/>
  <c r="BA323" i="6"/>
  <c r="AS323" i="6"/>
  <c r="AL323" i="6"/>
  <c r="BQ352" i="6"/>
  <c r="BI352" i="6"/>
  <c r="BA352" i="6"/>
  <c r="AL352" i="6"/>
  <c r="AS352" i="6"/>
  <c r="BQ325" i="6"/>
  <c r="BI325" i="6"/>
  <c r="BA325" i="6"/>
  <c r="AL325" i="6"/>
  <c r="AS325" i="6"/>
  <c r="BQ354" i="6"/>
  <c r="BI354" i="6"/>
  <c r="BA354" i="6"/>
  <c r="AS354" i="6"/>
  <c r="AL354" i="6"/>
  <c r="BQ346" i="6"/>
  <c r="BI346" i="6"/>
  <c r="BA346" i="6"/>
  <c r="AS346" i="6"/>
  <c r="AL346" i="6"/>
  <c r="BQ430" i="6"/>
  <c r="BI430" i="6"/>
  <c r="BA430" i="6"/>
  <c r="AL430" i="6"/>
  <c r="AS430" i="6"/>
  <c r="BQ365" i="6"/>
  <c r="BI365" i="6"/>
  <c r="BA365" i="6"/>
  <c r="AL365" i="6"/>
  <c r="AS365" i="6"/>
  <c r="BQ397" i="6"/>
  <c r="BI397" i="6"/>
  <c r="BA397" i="6"/>
  <c r="AL397" i="6"/>
  <c r="AS397" i="6"/>
  <c r="BQ402" i="6"/>
  <c r="BI402" i="6"/>
  <c r="BA402" i="6"/>
  <c r="AS402" i="6"/>
  <c r="AL402" i="6"/>
  <c r="BQ399" i="6"/>
  <c r="BI399" i="6"/>
  <c r="BA399" i="6"/>
  <c r="AL399" i="6"/>
  <c r="AS399" i="6"/>
  <c r="AE403" i="6"/>
  <c r="BQ403" i="6"/>
  <c r="BI403" i="6"/>
  <c r="BA403" i="6"/>
  <c r="AS403" i="6"/>
  <c r="AL403" i="6"/>
  <c r="BQ428" i="6"/>
  <c r="BI428" i="6"/>
  <c r="BA428" i="6"/>
  <c r="AL428" i="6"/>
  <c r="AS428" i="6"/>
  <c r="BQ445" i="6"/>
  <c r="BI445" i="6"/>
  <c r="BA445" i="6"/>
  <c r="AL445" i="6"/>
  <c r="AS445" i="6"/>
  <c r="AE433" i="6"/>
  <c r="AD433" i="6" s="1"/>
  <c r="BQ433" i="6"/>
  <c r="BI433" i="6"/>
  <c r="AS433" i="6"/>
  <c r="AL433" i="6"/>
  <c r="BA433" i="6"/>
  <c r="BQ427" i="6"/>
  <c r="BI427" i="6"/>
  <c r="BA427" i="6"/>
  <c r="AS427" i="6"/>
  <c r="AL427" i="6"/>
  <c r="BQ459" i="6"/>
  <c r="BI459" i="6"/>
  <c r="BA459" i="6"/>
  <c r="AS459" i="6"/>
  <c r="AL459" i="6"/>
  <c r="BQ43" i="6"/>
  <c r="BI43" i="6"/>
  <c r="BA43" i="6"/>
  <c r="AS43" i="6"/>
  <c r="AL43" i="6"/>
  <c r="BQ31" i="6"/>
  <c r="BI31" i="6"/>
  <c r="BA31" i="6"/>
  <c r="AS31" i="6"/>
  <c r="AL31" i="6"/>
  <c r="BQ10" i="6"/>
  <c r="BI10" i="6"/>
  <c r="BA10" i="6"/>
  <c r="AS10" i="6"/>
  <c r="AL10" i="6"/>
  <c r="BQ94" i="6"/>
  <c r="BI94" i="6"/>
  <c r="BA94" i="6"/>
  <c r="AS94" i="6"/>
  <c r="AL94" i="6"/>
  <c r="AE165" i="6"/>
  <c r="AD165" i="6" s="1"/>
  <c r="BQ165" i="6"/>
  <c r="BI165" i="6"/>
  <c r="BA165" i="6"/>
  <c r="AS165" i="6"/>
  <c r="AL165" i="6"/>
  <c r="BQ145" i="6"/>
  <c r="BI145" i="6"/>
  <c r="BA145" i="6"/>
  <c r="AS145" i="6"/>
  <c r="AL145" i="6"/>
  <c r="BQ100" i="6"/>
  <c r="BI100" i="6"/>
  <c r="BA100" i="6"/>
  <c r="AS100" i="6"/>
  <c r="AL100" i="6"/>
  <c r="BQ132" i="6"/>
  <c r="BI132" i="6"/>
  <c r="BA132" i="6"/>
  <c r="AS132" i="6"/>
  <c r="AL132" i="6"/>
  <c r="BQ148" i="6"/>
  <c r="BI148" i="6"/>
  <c r="BA148" i="6"/>
  <c r="AS148" i="6"/>
  <c r="AL148" i="6"/>
  <c r="BQ212" i="6"/>
  <c r="BI212" i="6"/>
  <c r="BA212" i="6"/>
  <c r="AS212" i="6"/>
  <c r="AL212" i="6"/>
  <c r="BQ266" i="6"/>
  <c r="BI266" i="6"/>
  <c r="BA266" i="6"/>
  <c r="AS266" i="6"/>
  <c r="AL266" i="6"/>
  <c r="BQ268" i="6"/>
  <c r="BI268" i="6"/>
  <c r="BA268" i="6"/>
  <c r="AS268" i="6"/>
  <c r="AL268" i="6"/>
  <c r="BQ195" i="6"/>
  <c r="BI195" i="6"/>
  <c r="BA195" i="6"/>
  <c r="AS195" i="6"/>
  <c r="AL195" i="6"/>
  <c r="BQ204" i="6"/>
  <c r="BI204" i="6"/>
  <c r="BA204" i="6"/>
  <c r="AS204" i="6"/>
  <c r="AL204" i="6"/>
  <c r="BQ196" i="6"/>
  <c r="BI196" i="6"/>
  <c r="BA196" i="6"/>
  <c r="AS196" i="6"/>
  <c r="AL196" i="6"/>
  <c r="BQ272" i="6"/>
  <c r="BI272" i="6"/>
  <c r="BA272" i="6"/>
  <c r="AS272" i="6"/>
  <c r="AL272" i="6"/>
  <c r="BQ250" i="6"/>
  <c r="BI250" i="6"/>
  <c r="BA250" i="6"/>
  <c r="AS250" i="6"/>
  <c r="AL250" i="6"/>
  <c r="BQ182" i="6"/>
  <c r="BI182" i="6"/>
  <c r="BA182" i="6"/>
  <c r="AS182" i="6"/>
  <c r="AL182" i="6"/>
  <c r="BQ214" i="6"/>
  <c r="BI214" i="6"/>
  <c r="BA214" i="6"/>
  <c r="AS214" i="6"/>
  <c r="AL214" i="6"/>
  <c r="BQ274" i="6"/>
  <c r="BI274" i="6"/>
  <c r="BA274" i="6"/>
  <c r="AS274" i="6"/>
  <c r="AL274" i="6"/>
  <c r="BQ246" i="6"/>
  <c r="BI246" i="6"/>
  <c r="BA246" i="6"/>
  <c r="AS246" i="6"/>
  <c r="AL246" i="6"/>
  <c r="AE305" i="6"/>
  <c r="AD305" i="6" s="1"/>
  <c r="BQ305" i="6"/>
  <c r="BI305" i="6"/>
  <c r="BA305" i="6"/>
  <c r="AS305" i="6"/>
  <c r="AL305" i="6"/>
  <c r="BQ245" i="6"/>
  <c r="BI245" i="6"/>
  <c r="BA245" i="6"/>
  <c r="AS245" i="6"/>
  <c r="AL245" i="6"/>
  <c r="AE277" i="6"/>
  <c r="AD277" i="6" s="1"/>
  <c r="BQ277" i="6"/>
  <c r="BI277" i="6"/>
  <c r="BA277" i="6"/>
  <c r="AS277" i="6"/>
  <c r="AL277" i="6"/>
  <c r="BQ395" i="6"/>
  <c r="BI395" i="6"/>
  <c r="BA395" i="6"/>
  <c r="AS395" i="6"/>
  <c r="AL395" i="6"/>
  <c r="BQ284" i="6"/>
  <c r="BI284" i="6"/>
  <c r="BA284" i="6"/>
  <c r="AS284" i="6"/>
  <c r="AL284" i="6"/>
  <c r="AE316" i="6"/>
  <c r="AD316" i="6" s="1"/>
  <c r="BQ316" i="6"/>
  <c r="BI316" i="6"/>
  <c r="BA316" i="6"/>
  <c r="AL316" i="6"/>
  <c r="AS316" i="6"/>
  <c r="BQ382" i="6"/>
  <c r="BI382" i="6"/>
  <c r="BA382" i="6"/>
  <c r="AL382" i="6"/>
  <c r="AS382" i="6"/>
  <c r="AE295" i="6"/>
  <c r="BQ295" i="6"/>
  <c r="BI295" i="6"/>
  <c r="BA295" i="6"/>
  <c r="AS295" i="6"/>
  <c r="AL295" i="6"/>
  <c r="BQ327" i="6"/>
  <c r="BI327" i="6"/>
  <c r="BA327" i="6"/>
  <c r="AL327" i="6"/>
  <c r="AS327" i="6"/>
  <c r="AE362" i="6"/>
  <c r="AD362" i="6" s="1"/>
  <c r="BQ362" i="6"/>
  <c r="BI362" i="6"/>
  <c r="BA362" i="6"/>
  <c r="AS362" i="6"/>
  <c r="AL362" i="6"/>
  <c r="BQ329" i="6"/>
  <c r="BI329" i="6"/>
  <c r="AS329" i="6"/>
  <c r="BA329" i="6"/>
  <c r="AL329" i="6"/>
  <c r="BQ355" i="6"/>
  <c r="BI355" i="6"/>
  <c r="BA355" i="6"/>
  <c r="AS355" i="6"/>
  <c r="AL355" i="6"/>
  <c r="BQ347" i="6"/>
  <c r="BI347" i="6"/>
  <c r="BA347" i="6"/>
  <c r="AS347" i="6"/>
  <c r="AL347" i="6"/>
  <c r="BQ360" i="6"/>
  <c r="BI360" i="6"/>
  <c r="BA360" i="6"/>
  <c r="AL360" i="6"/>
  <c r="AS360" i="6"/>
  <c r="BQ337" i="6"/>
  <c r="BI337" i="6"/>
  <c r="BA337" i="6"/>
  <c r="AS337" i="6"/>
  <c r="AL337" i="6"/>
  <c r="BQ369" i="6"/>
  <c r="BI369" i="6"/>
  <c r="BA369" i="6"/>
  <c r="AS369" i="6"/>
  <c r="AL369" i="6"/>
  <c r="AE401" i="6"/>
  <c r="BQ401" i="6"/>
  <c r="BI401" i="6"/>
  <c r="BA401" i="6"/>
  <c r="AS401" i="6"/>
  <c r="AL401" i="6"/>
  <c r="AE405" i="6"/>
  <c r="AD405" i="6" s="1"/>
  <c r="BQ405" i="6"/>
  <c r="BI405" i="6"/>
  <c r="BA405" i="6"/>
  <c r="AL405" i="6"/>
  <c r="AS405" i="6"/>
  <c r="AE406" i="6"/>
  <c r="AD406" i="6" s="1"/>
  <c r="BQ406" i="6"/>
  <c r="BI406" i="6"/>
  <c r="BA406" i="6"/>
  <c r="AL406" i="6"/>
  <c r="AS406" i="6"/>
  <c r="BQ419" i="6"/>
  <c r="BI419" i="6"/>
  <c r="BA419" i="6"/>
  <c r="AS419" i="6"/>
  <c r="AL419" i="6"/>
  <c r="BQ448" i="6"/>
  <c r="BI448" i="6"/>
  <c r="BA448" i="6"/>
  <c r="AL448" i="6"/>
  <c r="AS448" i="6"/>
  <c r="BQ453" i="6"/>
  <c r="BI453" i="6"/>
  <c r="BA453" i="6"/>
  <c r="AL453" i="6"/>
  <c r="AS453" i="6"/>
  <c r="BI436" i="6"/>
  <c r="BQ436" i="6"/>
  <c r="BA436" i="6"/>
  <c r="AS436" i="6"/>
  <c r="AL436" i="6"/>
  <c r="AE431" i="6"/>
  <c r="AD431" i="6" s="1"/>
  <c r="BQ431" i="6"/>
  <c r="BI431" i="6"/>
  <c r="BA431" i="6"/>
  <c r="AL431" i="6"/>
  <c r="AS431" i="6"/>
  <c r="BQ463" i="6"/>
  <c r="BI463" i="6"/>
  <c r="BA463" i="6"/>
  <c r="AL463" i="6"/>
  <c r="AS463" i="6"/>
  <c r="BQ22" i="6"/>
  <c r="BI22" i="6"/>
  <c r="BA22" i="6"/>
  <c r="AS22" i="6"/>
  <c r="AL22" i="6"/>
  <c r="AE89" i="6"/>
  <c r="AD89" i="6" s="1"/>
  <c r="D89" i="6" s="1"/>
  <c r="BQ89" i="6"/>
  <c r="BI89" i="6"/>
  <c r="BA89" i="6"/>
  <c r="AS89" i="6"/>
  <c r="AL89" i="6"/>
  <c r="BQ50" i="6"/>
  <c r="BI50" i="6"/>
  <c r="BA50" i="6"/>
  <c r="AS50" i="6"/>
  <c r="AL50" i="6"/>
  <c r="BQ15" i="6"/>
  <c r="BI15" i="6"/>
  <c r="BA15" i="6"/>
  <c r="AS15" i="6"/>
  <c r="AL15" i="6"/>
  <c r="BQ28" i="6"/>
  <c r="BI28" i="6"/>
  <c r="BA28" i="6"/>
  <c r="AS28" i="6"/>
  <c r="AL28" i="6"/>
  <c r="BQ17" i="6"/>
  <c r="BI17" i="6"/>
  <c r="BA17" i="6"/>
  <c r="AS17" i="6"/>
  <c r="AL17" i="6"/>
  <c r="BQ91" i="6"/>
  <c r="BI91" i="6"/>
  <c r="BA91" i="6"/>
  <c r="AS91" i="6"/>
  <c r="AL91" i="6"/>
  <c r="BQ218" i="6"/>
  <c r="BI218" i="6"/>
  <c r="BA218" i="6"/>
  <c r="AS218" i="6"/>
  <c r="AL218" i="6"/>
  <c r="BQ285" i="6"/>
  <c r="BI285" i="6"/>
  <c r="BA285" i="6"/>
  <c r="AS285" i="6"/>
  <c r="AL285" i="6"/>
  <c r="BQ357" i="6"/>
  <c r="BI357" i="6"/>
  <c r="BA357" i="6"/>
  <c r="AL357" i="6"/>
  <c r="AS357" i="6"/>
  <c r="BQ381" i="6"/>
  <c r="BI381" i="6"/>
  <c r="BA381" i="6"/>
  <c r="AL381" i="6"/>
  <c r="AS381" i="6"/>
  <c r="AE79" i="6"/>
  <c r="AD79" i="6" s="1"/>
  <c r="D79" i="6" s="1"/>
  <c r="BQ79" i="6"/>
  <c r="BI79" i="6"/>
  <c r="BA79" i="6"/>
  <c r="AS79" i="6"/>
  <c r="AL79" i="6"/>
  <c r="BQ61" i="6"/>
  <c r="BI61" i="6"/>
  <c r="BA61" i="6"/>
  <c r="AS61" i="6"/>
  <c r="AL61" i="6"/>
  <c r="BQ93" i="6"/>
  <c r="BI93" i="6"/>
  <c r="BA93" i="6"/>
  <c r="AS93" i="6"/>
  <c r="AL93" i="6"/>
  <c r="BQ111" i="6"/>
  <c r="BI111" i="6"/>
  <c r="BA111" i="6"/>
  <c r="AS111" i="6"/>
  <c r="AL111" i="6"/>
  <c r="BQ126" i="6"/>
  <c r="BI126" i="6"/>
  <c r="BA126" i="6"/>
  <c r="AS126" i="6"/>
  <c r="AL126" i="6"/>
  <c r="BQ113" i="6"/>
  <c r="BI113" i="6"/>
  <c r="BA113" i="6"/>
  <c r="AS113" i="6"/>
  <c r="AL113" i="6"/>
  <c r="BQ213" i="6"/>
  <c r="BI213" i="6"/>
  <c r="BA213" i="6"/>
  <c r="AS213" i="6"/>
  <c r="AL213" i="6"/>
  <c r="BQ40" i="6"/>
  <c r="BI40" i="6"/>
  <c r="BA40" i="6"/>
  <c r="AS40" i="6"/>
  <c r="AL40" i="6"/>
  <c r="BQ60" i="6"/>
  <c r="BI60" i="6"/>
  <c r="BA60" i="6"/>
  <c r="AS60" i="6"/>
  <c r="AL60" i="6"/>
  <c r="BQ104" i="6"/>
  <c r="BI104" i="6"/>
  <c r="BA104" i="6"/>
  <c r="AS104" i="6"/>
  <c r="AL104" i="6"/>
  <c r="BQ187" i="6"/>
  <c r="BI187" i="6"/>
  <c r="BA187" i="6"/>
  <c r="AS187" i="6"/>
  <c r="AL187" i="6"/>
  <c r="AE215" i="6"/>
  <c r="BQ215" i="6"/>
  <c r="BI215" i="6"/>
  <c r="BA215" i="6"/>
  <c r="AS215" i="6"/>
  <c r="AL215" i="6"/>
  <c r="BQ243" i="6"/>
  <c r="BI243" i="6"/>
  <c r="BA243" i="6"/>
  <c r="AS243" i="6"/>
  <c r="AL243" i="6"/>
  <c r="BQ247" i="6"/>
  <c r="BI247" i="6"/>
  <c r="BA247" i="6"/>
  <c r="AS247" i="6"/>
  <c r="AL247" i="6"/>
  <c r="BQ293" i="6"/>
  <c r="BI293" i="6"/>
  <c r="BA293" i="6"/>
  <c r="AS293" i="6"/>
  <c r="AL293" i="6"/>
  <c r="BQ314" i="6"/>
  <c r="BI314" i="6"/>
  <c r="BA314" i="6"/>
  <c r="AS314" i="6"/>
  <c r="AL314" i="6"/>
  <c r="BQ326" i="6"/>
  <c r="BI326" i="6"/>
  <c r="BA326" i="6"/>
  <c r="AL326" i="6"/>
  <c r="AS326" i="6"/>
  <c r="BQ324" i="6"/>
  <c r="BI324" i="6"/>
  <c r="BA324" i="6"/>
  <c r="AS324" i="6"/>
  <c r="AL324" i="6"/>
  <c r="BQ343" i="6"/>
  <c r="BI343" i="6"/>
  <c r="BA343" i="6"/>
  <c r="AL343" i="6"/>
  <c r="AS343" i="6"/>
  <c r="BQ384" i="6"/>
  <c r="BI384" i="6"/>
  <c r="BA384" i="6"/>
  <c r="AL384" i="6"/>
  <c r="AS384" i="6"/>
  <c r="BQ411" i="6"/>
  <c r="BI411" i="6"/>
  <c r="BA411" i="6"/>
  <c r="AS411" i="6"/>
  <c r="AL411" i="6"/>
  <c r="BQ389" i="6"/>
  <c r="BI389" i="6"/>
  <c r="BA389" i="6"/>
  <c r="AL389" i="6"/>
  <c r="AS389" i="6"/>
  <c r="BQ415" i="6"/>
  <c r="BI415" i="6"/>
  <c r="BA415" i="6"/>
  <c r="AL415" i="6"/>
  <c r="AS415" i="6"/>
  <c r="AE437" i="6"/>
  <c r="AD437" i="6" s="1"/>
  <c r="BQ437" i="6"/>
  <c r="BI437" i="6"/>
  <c r="BA437" i="6"/>
  <c r="AL437" i="6"/>
  <c r="AS437" i="6"/>
  <c r="AE451" i="6"/>
  <c r="AD451" i="6" s="1"/>
  <c r="BQ451" i="6"/>
  <c r="BI451" i="6"/>
  <c r="BA451" i="6"/>
  <c r="AS451" i="6"/>
  <c r="AL451" i="6"/>
  <c r="BQ467" i="6"/>
  <c r="BI467" i="6"/>
  <c r="BA467" i="6"/>
  <c r="AS467" i="6"/>
  <c r="AL467" i="6"/>
  <c r="BQ18" i="6"/>
  <c r="BI18" i="6"/>
  <c r="BA18" i="6"/>
  <c r="AS18" i="6"/>
  <c r="AL18" i="6"/>
  <c r="BQ95" i="6"/>
  <c r="BI95" i="6"/>
  <c r="BA95" i="6"/>
  <c r="AS95" i="6"/>
  <c r="AL95" i="6"/>
  <c r="AE33" i="6"/>
  <c r="BQ33" i="6"/>
  <c r="BI33" i="6"/>
  <c r="BA33" i="6"/>
  <c r="AS33" i="6"/>
  <c r="AL33" i="6"/>
  <c r="AE65" i="6"/>
  <c r="BQ65" i="6"/>
  <c r="BI65" i="6"/>
  <c r="AS65" i="6"/>
  <c r="BA65" i="6"/>
  <c r="AL65" i="6"/>
  <c r="AE119" i="6"/>
  <c r="AD119" i="6" s="1"/>
  <c r="BI119" i="6"/>
  <c r="BQ119" i="6"/>
  <c r="BA119" i="6"/>
  <c r="AS119" i="6"/>
  <c r="AL119" i="6"/>
  <c r="BQ127" i="6"/>
  <c r="BI127" i="6"/>
  <c r="BA127" i="6"/>
  <c r="AS127" i="6"/>
  <c r="AL127" i="6"/>
  <c r="BQ98" i="6"/>
  <c r="BI98" i="6"/>
  <c r="BA98" i="6"/>
  <c r="AS98" i="6"/>
  <c r="AL98" i="6"/>
  <c r="BQ130" i="6"/>
  <c r="BI130" i="6"/>
  <c r="BA130" i="6"/>
  <c r="AS130" i="6"/>
  <c r="AL130" i="6"/>
  <c r="BQ161" i="6"/>
  <c r="BI161" i="6"/>
  <c r="BA161" i="6"/>
  <c r="AS161" i="6"/>
  <c r="AL161" i="6"/>
  <c r="BQ117" i="6"/>
  <c r="BI117" i="6"/>
  <c r="BA117" i="6"/>
  <c r="AS117" i="6"/>
  <c r="AL117" i="6"/>
  <c r="BQ163" i="6"/>
  <c r="BI163" i="6"/>
  <c r="BA163" i="6"/>
  <c r="AS163" i="6"/>
  <c r="AL163" i="6"/>
  <c r="BI217" i="6"/>
  <c r="BQ217" i="6"/>
  <c r="BA217" i="6"/>
  <c r="AS217" i="6"/>
  <c r="AL217" i="6"/>
  <c r="AE136" i="6"/>
  <c r="AD136" i="6" s="1"/>
  <c r="BQ136" i="6"/>
  <c r="BI136" i="6"/>
  <c r="BA136" i="6"/>
  <c r="AS136" i="6"/>
  <c r="AL136" i="6"/>
  <c r="BQ152" i="6"/>
  <c r="BI152" i="6"/>
  <c r="BA152" i="6"/>
  <c r="AS152" i="6"/>
  <c r="AL152" i="6"/>
  <c r="BQ175" i="6"/>
  <c r="BI175" i="6"/>
  <c r="BA175" i="6"/>
  <c r="AS175" i="6"/>
  <c r="AL175" i="6"/>
  <c r="BQ158" i="6"/>
  <c r="BI158" i="6"/>
  <c r="BA158" i="6"/>
  <c r="AS158" i="6"/>
  <c r="AL158" i="6"/>
  <c r="BQ203" i="6"/>
  <c r="BI203" i="6"/>
  <c r="BA203" i="6"/>
  <c r="AS203" i="6"/>
  <c r="AL203" i="6"/>
  <c r="AE144" i="6"/>
  <c r="AD144" i="6" s="1"/>
  <c r="BQ144" i="6"/>
  <c r="BI144" i="6"/>
  <c r="BA144" i="6"/>
  <c r="AS144" i="6"/>
  <c r="AL144" i="6"/>
  <c r="AE278" i="6"/>
  <c r="AD278" i="6" s="1"/>
  <c r="BQ278" i="6"/>
  <c r="BI278" i="6"/>
  <c r="BA278" i="6"/>
  <c r="AS278" i="6"/>
  <c r="AL278" i="6"/>
  <c r="BQ34" i="6"/>
  <c r="BI34" i="6"/>
  <c r="BA34" i="6"/>
  <c r="AS34" i="6"/>
  <c r="AL34" i="6"/>
  <c r="BQ51" i="6"/>
  <c r="BI51" i="6"/>
  <c r="BA51" i="6"/>
  <c r="AS51" i="6"/>
  <c r="AL51" i="6"/>
  <c r="BQ11" i="6"/>
  <c r="BI11" i="6"/>
  <c r="BA11" i="6"/>
  <c r="AS11" i="6"/>
  <c r="AL11" i="6"/>
  <c r="AE29" i="6"/>
  <c r="AD29" i="6" s="1"/>
  <c r="D29" i="6" s="1"/>
  <c r="BQ29" i="6"/>
  <c r="BI29" i="6"/>
  <c r="BA29" i="6"/>
  <c r="AS29" i="6"/>
  <c r="AL29" i="6"/>
  <c r="BQ48" i="6"/>
  <c r="BI48" i="6"/>
  <c r="BA48" i="6"/>
  <c r="AS48" i="6"/>
  <c r="AL48" i="6"/>
  <c r="BQ44" i="6"/>
  <c r="BI44" i="6"/>
  <c r="BA44" i="6"/>
  <c r="AS44" i="6"/>
  <c r="AL44" i="6"/>
  <c r="BQ81" i="6"/>
  <c r="BI81" i="6"/>
  <c r="BA81" i="6"/>
  <c r="AS81" i="6"/>
  <c r="AL81" i="6"/>
  <c r="BQ174" i="6"/>
  <c r="BI174" i="6"/>
  <c r="BA174" i="6"/>
  <c r="AS174" i="6"/>
  <c r="AL174" i="6"/>
  <c r="BQ231" i="6"/>
  <c r="BI231" i="6"/>
  <c r="BA231" i="6"/>
  <c r="AS231" i="6"/>
  <c r="AL231" i="6"/>
  <c r="BQ236" i="6"/>
  <c r="BI236" i="6"/>
  <c r="BA236" i="6"/>
  <c r="AS236" i="6"/>
  <c r="AL236" i="6"/>
  <c r="BQ264" i="6"/>
  <c r="BI264" i="6"/>
  <c r="BA264" i="6"/>
  <c r="AS264" i="6"/>
  <c r="AL264" i="6"/>
  <c r="BQ301" i="6"/>
  <c r="BI301" i="6"/>
  <c r="BA301" i="6"/>
  <c r="AS301" i="6"/>
  <c r="AL301" i="6"/>
  <c r="BQ280" i="6"/>
  <c r="BI280" i="6"/>
  <c r="BA280" i="6"/>
  <c r="AS280" i="6"/>
  <c r="AL280" i="6"/>
  <c r="AE319" i="6"/>
  <c r="AD319" i="6" s="1"/>
  <c r="BQ319" i="6"/>
  <c r="BI319" i="6"/>
  <c r="BA319" i="6"/>
  <c r="AL319" i="6"/>
  <c r="AS319" i="6"/>
  <c r="BQ332" i="6"/>
  <c r="BI332" i="6"/>
  <c r="BA332" i="6"/>
  <c r="AS332" i="6"/>
  <c r="AL332" i="6"/>
  <c r="BQ338" i="6"/>
  <c r="BI338" i="6"/>
  <c r="BA338" i="6"/>
  <c r="AS338" i="6"/>
  <c r="AL338" i="6"/>
  <c r="BQ348" i="6"/>
  <c r="BI348" i="6"/>
  <c r="BA348" i="6"/>
  <c r="AL348" i="6"/>
  <c r="AS348" i="6"/>
  <c r="BQ409" i="6"/>
  <c r="BI409" i="6"/>
  <c r="BA409" i="6"/>
  <c r="AS409" i="6"/>
  <c r="AL409" i="6"/>
  <c r="BQ390" i="6"/>
  <c r="BI390" i="6"/>
  <c r="BA390" i="6"/>
  <c r="AL390" i="6"/>
  <c r="AS390" i="6"/>
  <c r="BQ439" i="6"/>
  <c r="BI439" i="6"/>
  <c r="BA439" i="6"/>
  <c r="AL439" i="6"/>
  <c r="AS439" i="6"/>
  <c r="BQ438" i="6"/>
  <c r="BI438" i="6"/>
  <c r="BA438" i="6"/>
  <c r="AL438" i="6"/>
  <c r="AS438" i="6"/>
  <c r="BQ454" i="6"/>
  <c r="BI454" i="6"/>
  <c r="BA454" i="6"/>
  <c r="AL454" i="6"/>
  <c r="AS454" i="6"/>
  <c r="BR469" i="6"/>
  <c r="BM469" i="6"/>
  <c r="BE469" i="6"/>
  <c r="BH469" i="6" s="1"/>
  <c r="BG469" i="6" s="1"/>
  <c r="BF469" i="6" s="1"/>
  <c r="AW469" i="6"/>
  <c r="AO469" i="6"/>
  <c r="AR469" i="6" s="1"/>
  <c r="AQ469" i="6" s="1"/>
  <c r="AP469" i="6" s="1"/>
  <c r="BQ66" i="6"/>
  <c r="BI66" i="6"/>
  <c r="BA66" i="6"/>
  <c r="AS66" i="6"/>
  <c r="AL66" i="6"/>
  <c r="BQ85" i="6"/>
  <c r="BI85" i="6"/>
  <c r="BA85" i="6"/>
  <c r="AS85" i="6"/>
  <c r="AL85" i="6"/>
  <c r="BQ143" i="6"/>
  <c r="BI143" i="6"/>
  <c r="BA143" i="6"/>
  <c r="AS143" i="6"/>
  <c r="AL143" i="6"/>
  <c r="AE37" i="6"/>
  <c r="AD37" i="6" s="1"/>
  <c r="D37" i="6" s="1"/>
  <c r="BQ37" i="6"/>
  <c r="BI37" i="6"/>
  <c r="BA37" i="6"/>
  <c r="AS37" i="6"/>
  <c r="AL37" i="6"/>
  <c r="BQ69" i="6"/>
  <c r="BI69" i="6"/>
  <c r="BA69" i="6"/>
  <c r="AS69" i="6"/>
  <c r="AL69" i="6"/>
  <c r="BQ68" i="6"/>
  <c r="BI68" i="6"/>
  <c r="BA68" i="6"/>
  <c r="AS68" i="6"/>
  <c r="AL68" i="6"/>
  <c r="BQ149" i="6"/>
  <c r="BI149" i="6"/>
  <c r="BA149" i="6"/>
  <c r="AS149" i="6"/>
  <c r="AL149" i="6"/>
  <c r="BQ102" i="6"/>
  <c r="BI102" i="6"/>
  <c r="BA102" i="6"/>
  <c r="AS102" i="6"/>
  <c r="AL102" i="6"/>
  <c r="BQ134" i="6"/>
  <c r="BI134" i="6"/>
  <c r="BA134" i="6"/>
  <c r="AS134" i="6"/>
  <c r="AL134" i="6"/>
  <c r="BQ200" i="6"/>
  <c r="BI200" i="6"/>
  <c r="BA200" i="6"/>
  <c r="AS200" i="6"/>
  <c r="AL200" i="6"/>
  <c r="BQ121" i="6"/>
  <c r="BI121" i="6"/>
  <c r="BA121" i="6"/>
  <c r="AS121" i="6"/>
  <c r="AL121" i="6"/>
  <c r="AE172" i="6"/>
  <c r="AD172" i="6" s="1"/>
  <c r="BQ172" i="6"/>
  <c r="BI172" i="6"/>
  <c r="BA172" i="6"/>
  <c r="AS172" i="6"/>
  <c r="AL172" i="6"/>
  <c r="AE76" i="6"/>
  <c r="BQ76" i="6"/>
  <c r="BI76" i="6"/>
  <c r="BA76" i="6"/>
  <c r="AS76" i="6"/>
  <c r="AL76" i="6"/>
  <c r="BQ108" i="6"/>
  <c r="BI108" i="6"/>
  <c r="BA108" i="6"/>
  <c r="AS108" i="6"/>
  <c r="AL108" i="6"/>
  <c r="BQ140" i="6"/>
  <c r="BI140" i="6"/>
  <c r="BA140" i="6"/>
  <c r="AS140" i="6"/>
  <c r="AL140" i="6"/>
  <c r="BQ156" i="6"/>
  <c r="BI156" i="6"/>
  <c r="BA156" i="6"/>
  <c r="AS156" i="6"/>
  <c r="AL156" i="6"/>
  <c r="BQ258" i="6"/>
  <c r="BI258" i="6"/>
  <c r="BA258" i="6"/>
  <c r="AS258" i="6"/>
  <c r="AL258" i="6"/>
  <c r="BQ183" i="6"/>
  <c r="BI183" i="6"/>
  <c r="BA183" i="6"/>
  <c r="AS183" i="6"/>
  <c r="AL183" i="6"/>
  <c r="BQ162" i="6"/>
  <c r="BI162" i="6"/>
  <c r="BA162" i="6"/>
  <c r="AS162" i="6"/>
  <c r="AL162" i="6"/>
  <c r="BQ267" i="6"/>
  <c r="BI267" i="6"/>
  <c r="BA267" i="6"/>
  <c r="AS267" i="6"/>
  <c r="AL267" i="6"/>
  <c r="BQ235" i="6"/>
  <c r="BI235" i="6"/>
  <c r="BA235" i="6"/>
  <c r="AS235" i="6"/>
  <c r="AL235" i="6"/>
  <c r="BQ207" i="6"/>
  <c r="BI207" i="6"/>
  <c r="BA207" i="6"/>
  <c r="AS207" i="6"/>
  <c r="AL207" i="6"/>
  <c r="BQ318" i="6"/>
  <c r="BI318" i="6"/>
  <c r="BA318" i="6"/>
  <c r="AL318" i="6"/>
  <c r="AS318" i="6"/>
  <c r="BQ252" i="6"/>
  <c r="BI252" i="6"/>
  <c r="BA252" i="6"/>
  <c r="AS252" i="6"/>
  <c r="AL252" i="6"/>
  <c r="AE190" i="6"/>
  <c r="AD190" i="6" s="1"/>
  <c r="BQ190" i="6"/>
  <c r="BI190" i="6"/>
  <c r="BA190" i="6"/>
  <c r="AS190" i="6"/>
  <c r="AL190" i="6"/>
  <c r="BQ228" i="6"/>
  <c r="BI228" i="6"/>
  <c r="BA228" i="6"/>
  <c r="AS228" i="6"/>
  <c r="AL228" i="6"/>
  <c r="BI276" i="6"/>
  <c r="BQ276" i="6"/>
  <c r="BA276" i="6"/>
  <c r="AS276" i="6"/>
  <c r="AL276" i="6"/>
  <c r="BQ248" i="6"/>
  <c r="BI248" i="6"/>
  <c r="BA248" i="6"/>
  <c r="AS248" i="6"/>
  <c r="AL248" i="6"/>
  <c r="BQ221" i="6"/>
  <c r="BI221" i="6"/>
  <c r="BA221" i="6"/>
  <c r="AS221" i="6"/>
  <c r="AL221" i="6"/>
  <c r="BQ253" i="6"/>
  <c r="BI253" i="6"/>
  <c r="BA253" i="6"/>
  <c r="AS253" i="6"/>
  <c r="AL253" i="6"/>
  <c r="BQ376" i="6"/>
  <c r="BI376" i="6"/>
  <c r="BA376" i="6"/>
  <c r="AL376" i="6"/>
  <c r="AS376" i="6"/>
  <c r="BQ331" i="6"/>
  <c r="BI331" i="6"/>
  <c r="BA331" i="6"/>
  <c r="AS331" i="6"/>
  <c r="AL331" i="6"/>
  <c r="AE303" i="6"/>
  <c r="AD303" i="6" s="1"/>
  <c r="BQ303" i="6"/>
  <c r="BI303" i="6"/>
  <c r="BA303" i="6"/>
  <c r="AS303" i="6"/>
  <c r="AL303" i="6"/>
  <c r="BQ375" i="6"/>
  <c r="BI375" i="6"/>
  <c r="BA375" i="6"/>
  <c r="AL375" i="6"/>
  <c r="AS375" i="6"/>
  <c r="BQ371" i="6"/>
  <c r="BI371" i="6"/>
  <c r="BA371" i="6"/>
  <c r="AS371" i="6"/>
  <c r="AL371" i="6"/>
  <c r="AE367" i="6"/>
  <c r="BQ367" i="6"/>
  <c r="BI367" i="6"/>
  <c r="BA367" i="6"/>
  <c r="AL367" i="6"/>
  <c r="AS367" i="6"/>
  <c r="BQ386" i="6"/>
  <c r="BI386" i="6"/>
  <c r="BA386" i="6"/>
  <c r="AS386" i="6"/>
  <c r="AL386" i="6"/>
  <c r="BQ378" i="6"/>
  <c r="BI378" i="6"/>
  <c r="BA378" i="6"/>
  <c r="AS378" i="6"/>
  <c r="AL378" i="6"/>
  <c r="BQ391" i="6"/>
  <c r="BI391" i="6"/>
  <c r="BA391" i="6"/>
  <c r="AL391" i="6"/>
  <c r="AS391" i="6"/>
  <c r="AE345" i="6"/>
  <c r="BQ345" i="6"/>
  <c r="BI345" i="6"/>
  <c r="BA345" i="6"/>
  <c r="AS345" i="6"/>
  <c r="AL345" i="6"/>
  <c r="BQ377" i="6"/>
  <c r="BI377" i="6"/>
  <c r="BA377" i="6"/>
  <c r="AS377" i="6"/>
  <c r="AL377" i="6"/>
  <c r="BQ414" i="6"/>
  <c r="BI414" i="6"/>
  <c r="BA414" i="6"/>
  <c r="AL414" i="6"/>
  <c r="AS414" i="6"/>
  <c r="BQ461" i="6"/>
  <c r="BI461" i="6"/>
  <c r="BA461" i="6"/>
  <c r="AL461" i="6"/>
  <c r="AS461" i="6"/>
  <c r="BQ456" i="6"/>
  <c r="BI456" i="6"/>
  <c r="BA456" i="6"/>
  <c r="AL456" i="6"/>
  <c r="AS456" i="6"/>
  <c r="BQ452" i="6"/>
  <c r="BI452" i="6"/>
  <c r="BA452" i="6"/>
  <c r="AL452" i="6"/>
  <c r="AS452" i="6"/>
  <c r="AE75" i="6"/>
  <c r="BQ75" i="6"/>
  <c r="BI75" i="6"/>
  <c r="BA75" i="6"/>
  <c r="AS75" i="6"/>
  <c r="AL75" i="6"/>
  <c r="BQ62" i="6"/>
  <c r="BI62" i="6"/>
  <c r="BA62" i="6"/>
  <c r="AS62" i="6"/>
  <c r="AL62" i="6"/>
  <c r="AE39" i="6"/>
  <c r="AD39" i="6" s="1"/>
  <c r="D39" i="6" s="1"/>
  <c r="BQ39" i="6"/>
  <c r="BI39" i="6"/>
  <c r="BA39" i="6"/>
  <c r="AS39" i="6"/>
  <c r="AL39" i="6"/>
  <c r="BQ16" i="6"/>
  <c r="BI16" i="6"/>
  <c r="BA16" i="6"/>
  <c r="AS16" i="6"/>
  <c r="AL16" i="6"/>
  <c r="AE197" i="6"/>
  <c r="AD197" i="6" s="1"/>
  <c r="BQ197" i="6"/>
  <c r="BI197" i="6"/>
  <c r="BA197" i="6"/>
  <c r="AS197" i="6"/>
  <c r="AL197" i="6"/>
  <c r="BI308" i="6"/>
  <c r="BQ308" i="6"/>
  <c r="BA308" i="6"/>
  <c r="AS308" i="6"/>
  <c r="AL308" i="6"/>
  <c r="BQ67" i="6"/>
  <c r="BI67" i="6"/>
  <c r="BA67" i="6"/>
  <c r="AS67" i="6"/>
  <c r="AL67" i="6"/>
  <c r="BQ12" i="6"/>
  <c r="BI12" i="6"/>
  <c r="BA12" i="6"/>
  <c r="AS12" i="6"/>
  <c r="AL12" i="6"/>
  <c r="BQ35" i="6"/>
  <c r="BI35" i="6"/>
  <c r="BA35" i="6"/>
  <c r="AS35" i="6"/>
  <c r="AL35" i="6"/>
  <c r="BQ52" i="6"/>
  <c r="BI52" i="6"/>
  <c r="BA52" i="6"/>
  <c r="AS52" i="6"/>
  <c r="AL52" i="6"/>
  <c r="BQ194" i="6"/>
  <c r="BI194" i="6"/>
  <c r="BA194" i="6"/>
  <c r="AS194" i="6"/>
  <c r="AL194" i="6"/>
  <c r="BQ251" i="6"/>
  <c r="BI251" i="6"/>
  <c r="BA251" i="6"/>
  <c r="AS251" i="6"/>
  <c r="AL251" i="6"/>
  <c r="BQ309" i="6"/>
  <c r="BI309" i="6"/>
  <c r="BA309" i="6"/>
  <c r="AS309" i="6"/>
  <c r="AL309" i="6"/>
  <c r="BQ320" i="6"/>
  <c r="BI320" i="6"/>
  <c r="BA320" i="6"/>
  <c r="AS320" i="6"/>
  <c r="AL320" i="6"/>
  <c r="BQ339" i="6"/>
  <c r="BI339" i="6"/>
  <c r="BA339" i="6"/>
  <c r="AS339" i="6"/>
  <c r="AL339" i="6"/>
  <c r="BQ387" i="6"/>
  <c r="BI387" i="6"/>
  <c r="BA387" i="6"/>
  <c r="AS387" i="6"/>
  <c r="AL387" i="6"/>
  <c r="BQ441" i="6"/>
  <c r="BI441" i="6"/>
  <c r="BA441" i="6"/>
  <c r="AS441" i="6"/>
  <c r="AL441" i="6"/>
  <c r="BQ455" i="6"/>
  <c r="BI455" i="6"/>
  <c r="AL455" i="6"/>
  <c r="AS455" i="6"/>
  <c r="BA455" i="6"/>
  <c r="BQ56" i="6"/>
  <c r="BI56" i="6"/>
  <c r="BA56" i="6"/>
  <c r="AS56" i="6"/>
  <c r="AL56" i="6"/>
  <c r="BQ103" i="6"/>
  <c r="BI103" i="6"/>
  <c r="BA103" i="6"/>
  <c r="AS103" i="6"/>
  <c r="AL103" i="6"/>
  <c r="BQ9" i="6"/>
  <c r="BI9" i="6"/>
  <c r="BA9" i="6"/>
  <c r="AL9" i="6"/>
  <c r="AS9" i="6"/>
  <c r="BQ41" i="6"/>
  <c r="BI41" i="6"/>
  <c r="BA41" i="6"/>
  <c r="AS41" i="6"/>
  <c r="AL41" i="6"/>
  <c r="BQ73" i="6"/>
  <c r="BI73" i="6"/>
  <c r="AS73" i="6"/>
  <c r="BA73" i="6"/>
  <c r="AL73" i="6"/>
  <c r="BQ72" i="6"/>
  <c r="BI72" i="6"/>
  <c r="BA72" i="6"/>
  <c r="AS72" i="6"/>
  <c r="AL72" i="6"/>
  <c r="BQ171" i="6"/>
  <c r="BI171" i="6"/>
  <c r="BA171" i="6"/>
  <c r="AS171" i="6"/>
  <c r="AL171" i="6"/>
  <c r="BQ106" i="6"/>
  <c r="BI106" i="6"/>
  <c r="BA106" i="6"/>
  <c r="AS106" i="6"/>
  <c r="AL106" i="6"/>
  <c r="BQ138" i="6"/>
  <c r="BI138" i="6"/>
  <c r="BA138" i="6"/>
  <c r="AS138" i="6"/>
  <c r="AL138" i="6"/>
  <c r="BQ222" i="6"/>
  <c r="BI222" i="6"/>
  <c r="BA222" i="6"/>
  <c r="AS222" i="6"/>
  <c r="AL222" i="6"/>
  <c r="AE125" i="6"/>
  <c r="AD125" i="6" s="1"/>
  <c r="BQ125" i="6"/>
  <c r="BI125" i="6"/>
  <c r="BA125" i="6"/>
  <c r="AS125" i="6"/>
  <c r="AL125" i="6"/>
  <c r="BQ232" i="6"/>
  <c r="BI232" i="6"/>
  <c r="BA232" i="6"/>
  <c r="AS232" i="6"/>
  <c r="AL232" i="6"/>
  <c r="BQ80" i="6"/>
  <c r="BI80" i="6"/>
  <c r="BA80" i="6"/>
  <c r="AS80" i="6"/>
  <c r="AL80" i="6"/>
  <c r="BQ112" i="6"/>
  <c r="BI112" i="6"/>
  <c r="BA112" i="6"/>
  <c r="AS112" i="6"/>
  <c r="AL112" i="6"/>
  <c r="BQ160" i="6"/>
  <c r="BI160" i="6"/>
  <c r="BA160" i="6"/>
  <c r="AS160" i="6"/>
  <c r="AL160" i="6"/>
  <c r="BQ177" i="6"/>
  <c r="BI177" i="6"/>
  <c r="BA177" i="6"/>
  <c r="AS177" i="6"/>
  <c r="AL177" i="6"/>
  <c r="BQ211" i="6"/>
  <c r="BI211" i="6"/>
  <c r="BA211" i="6"/>
  <c r="AS211" i="6"/>
  <c r="AL211" i="6"/>
  <c r="BQ166" i="6"/>
  <c r="BI166" i="6"/>
  <c r="BA166" i="6"/>
  <c r="AS166" i="6"/>
  <c r="AL166" i="6"/>
  <c r="AE260" i="6"/>
  <c r="BQ260" i="6"/>
  <c r="BI260" i="6"/>
  <c r="BA260" i="6"/>
  <c r="AS260" i="6"/>
  <c r="AL260" i="6"/>
  <c r="BQ238" i="6"/>
  <c r="BI238" i="6"/>
  <c r="BA238" i="6"/>
  <c r="AS238" i="6"/>
  <c r="AL238" i="6"/>
  <c r="AE262" i="6"/>
  <c r="AD262" i="6" s="1"/>
  <c r="BQ262" i="6"/>
  <c r="BI262" i="6"/>
  <c r="BA262" i="6"/>
  <c r="AS262" i="6"/>
  <c r="AL262" i="6"/>
  <c r="BQ225" i="6"/>
  <c r="BI225" i="6"/>
  <c r="BA225" i="6"/>
  <c r="AS225" i="6"/>
  <c r="AL225" i="6"/>
  <c r="BQ257" i="6"/>
  <c r="BI257" i="6"/>
  <c r="AS257" i="6"/>
  <c r="BA257" i="6"/>
  <c r="AL257" i="6"/>
  <c r="BQ296" i="6"/>
  <c r="BI296" i="6"/>
  <c r="BA296" i="6"/>
  <c r="AS296" i="6"/>
  <c r="AL296" i="6"/>
  <c r="BQ59" i="6"/>
  <c r="BI59" i="6"/>
  <c r="BA59" i="6"/>
  <c r="AS59" i="6"/>
  <c r="AL59" i="6"/>
  <c r="BQ299" i="6"/>
  <c r="BI299" i="6"/>
  <c r="BA299" i="6"/>
  <c r="AS299" i="6"/>
  <c r="AL299" i="6"/>
  <c r="BQ350" i="6"/>
  <c r="BI350" i="6"/>
  <c r="BA350" i="6"/>
  <c r="AL350" i="6"/>
  <c r="AS350" i="6"/>
  <c r="BQ49" i="6"/>
  <c r="BI49" i="6"/>
  <c r="BA49" i="6"/>
  <c r="AS49" i="6"/>
  <c r="AL49" i="6"/>
  <c r="BQ186" i="6"/>
  <c r="BI186" i="6"/>
  <c r="BA186" i="6"/>
  <c r="AS186" i="6"/>
  <c r="AL186" i="6"/>
  <c r="BQ242" i="6"/>
  <c r="BI242" i="6"/>
  <c r="BA242" i="6"/>
  <c r="AS242" i="6"/>
  <c r="AL242" i="6"/>
  <c r="BQ269" i="6"/>
  <c r="BI269" i="6"/>
  <c r="BA269" i="6"/>
  <c r="AS269" i="6"/>
  <c r="AL269" i="6"/>
  <c r="BQ306" i="6"/>
  <c r="BI306" i="6"/>
  <c r="BA306" i="6"/>
  <c r="AS306" i="6"/>
  <c r="AL306" i="6"/>
  <c r="AE322" i="6"/>
  <c r="BQ322" i="6"/>
  <c r="BI322" i="6"/>
  <c r="BA322" i="6"/>
  <c r="AS322" i="6"/>
  <c r="AL322" i="6"/>
  <c r="BQ373" i="6"/>
  <c r="BI373" i="6"/>
  <c r="BA373" i="6"/>
  <c r="AL373" i="6"/>
  <c r="AS373" i="6"/>
  <c r="BQ361" i="6"/>
  <c r="BI361" i="6"/>
  <c r="BA361" i="6"/>
  <c r="AS361" i="6"/>
  <c r="AL361" i="6"/>
  <c r="BQ392" i="6"/>
  <c r="BI392" i="6"/>
  <c r="BA392" i="6"/>
  <c r="AL392" i="6"/>
  <c r="AS392" i="6"/>
  <c r="BQ412" i="6"/>
  <c r="BI412" i="6"/>
  <c r="BA412" i="6"/>
  <c r="AS412" i="6"/>
  <c r="AL412" i="6"/>
  <c r="BI434" i="6"/>
  <c r="BQ434" i="6"/>
  <c r="BA434" i="6"/>
  <c r="AS434" i="6"/>
  <c r="AL434" i="6"/>
  <c r="BQ443" i="6"/>
  <c r="BI443" i="6"/>
  <c r="BA443" i="6"/>
  <c r="AS443" i="6"/>
  <c r="AL443" i="6"/>
  <c r="BI468" i="6"/>
  <c r="BQ468" i="6"/>
  <c r="BA468" i="6"/>
  <c r="AL468" i="6"/>
  <c r="AS468" i="6"/>
  <c r="BQ63" i="6"/>
  <c r="BI63" i="6"/>
  <c r="BA63" i="6"/>
  <c r="AS63" i="6"/>
  <c r="AL63" i="6"/>
  <c r="BQ151" i="6"/>
  <c r="BI151" i="6"/>
  <c r="BA151" i="6"/>
  <c r="AS151" i="6"/>
  <c r="AL151" i="6"/>
  <c r="BQ208" i="6"/>
  <c r="BI208" i="6"/>
  <c r="BA208" i="6"/>
  <c r="AS208" i="6"/>
  <c r="AL208" i="6"/>
  <c r="BQ249" i="6"/>
  <c r="BI249" i="6"/>
  <c r="BA249" i="6"/>
  <c r="AS249" i="6"/>
  <c r="AL249" i="6"/>
  <c r="BQ288" i="6"/>
  <c r="BI288" i="6"/>
  <c r="BA288" i="6"/>
  <c r="AS288" i="6"/>
  <c r="AL288" i="6"/>
  <c r="AE333" i="6"/>
  <c r="AD333" i="6" s="1"/>
  <c r="BQ333" i="6"/>
  <c r="BI333" i="6"/>
  <c r="BA333" i="6"/>
  <c r="AL333" i="6"/>
  <c r="AS333" i="6"/>
  <c r="BQ356" i="6"/>
  <c r="BI356" i="6"/>
  <c r="BA356" i="6"/>
  <c r="AL356" i="6"/>
  <c r="AS356" i="6"/>
  <c r="BQ429" i="6"/>
  <c r="BI429" i="6"/>
  <c r="BA429" i="6"/>
  <c r="AL429" i="6"/>
  <c r="AS429" i="6"/>
  <c r="BQ435" i="6"/>
  <c r="BI435" i="6"/>
  <c r="BA435" i="6"/>
  <c r="AS435" i="6"/>
  <c r="AL435" i="6"/>
  <c r="BQ465" i="6"/>
  <c r="BI465" i="6"/>
  <c r="BA465" i="6"/>
  <c r="AS465" i="6"/>
  <c r="AL465" i="6"/>
  <c r="BQ131" i="6"/>
  <c r="BI131" i="6"/>
  <c r="BA131" i="6"/>
  <c r="AS131" i="6"/>
  <c r="AL131" i="6"/>
  <c r="BQ42" i="6"/>
  <c r="BI42" i="6"/>
  <c r="BA42" i="6"/>
  <c r="AS42" i="6"/>
  <c r="AL42" i="6"/>
  <c r="BQ30" i="6"/>
  <c r="BI30" i="6"/>
  <c r="BA30" i="6"/>
  <c r="AS30" i="6"/>
  <c r="AL30" i="6"/>
  <c r="AE147" i="6"/>
  <c r="AD147" i="6" s="1"/>
  <c r="BQ147" i="6"/>
  <c r="BI147" i="6"/>
  <c r="BA147" i="6"/>
  <c r="AS147" i="6"/>
  <c r="AL147" i="6"/>
  <c r="BQ189" i="6"/>
  <c r="BI189" i="6"/>
  <c r="BA189" i="6"/>
  <c r="AS189" i="6"/>
  <c r="AL189" i="6"/>
  <c r="BQ216" i="6"/>
  <c r="BI216" i="6"/>
  <c r="BA216" i="6"/>
  <c r="AS216" i="6"/>
  <c r="AL216" i="6"/>
  <c r="BQ259" i="6"/>
  <c r="BI259" i="6"/>
  <c r="BA259" i="6"/>
  <c r="AS259" i="6"/>
  <c r="AL259" i="6"/>
  <c r="BQ265" i="6"/>
  <c r="BI265" i="6"/>
  <c r="AS265" i="6"/>
  <c r="BA265" i="6"/>
  <c r="AL265" i="6"/>
  <c r="BQ317" i="6"/>
  <c r="BI317" i="6"/>
  <c r="BA317" i="6"/>
  <c r="AL317" i="6"/>
  <c r="AS317" i="6"/>
  <c r="AE307" i="6"/>
  <c r="AD307" i="6" s="1"/>
  <c r="BQ307" i="6"/>
  <c r="BI307" i="6"/>
  <c r="BA307" i="6"/>
  <c r="AL307" i="6"/>
  <c r="AS307" i="6"/>
  <c r="BQ328" i="6"/>
  <c r="BI328" i="6"/>
  <c r="BA328" i="6"/>
  <c r="AL328" i="6"/>
  <c r="AS328" i="6"/>
  <c r="BQ341" i="6"/>
  <c r="BI341" i="6"/>
  <c r="BA341" i="6"/>
  <c r="AL341" i="6"/>
  <c r="AS341" i="6"/>
  <c r="BI340" i="6"/>
  <c r="BQ340" i="6"/>
  <c r="BA340" i="6"/>
  <c r="AS340" i="6"/>
  <c r="AL340" i="6"/>
  <c r="BQ368" i="6"/>
  <c r="BI368" i="6"/>
  <c r="BA368" i="6"/>
  <c r="AL368" i="6"/>
  <c r="AS368" i="6"/>
  <c r="BQ398" i="6"/>
  <c r="BI398" i="6"/>
  <c r="BA398" i="6"/>
  <c r="AL398" i="6"/>
  <c r="AS398" i="6"/>
  <c r="BQ396" i="6"/>
  <c r="BI396" i="6"/>
  <c r="BA396" i="6"/>
  <c r="AS396" i="6"/>
  <c r="AL396" i="6"/>
  <c r="BQ423" i="6"/>
  <c r="BI423" i="6"/>
  <c r="BA423" i="6"/>
  <c r="AL423" i="6"/>
  <c r="AS423" i="6"/>
  <c r="BQ444" i="6"/>
  <c r="BI444" i="6"/>
  <c r="BA444" i="6"/>
  <c r="AS444" i="6"/>
  <c r="AL444" i="6"/>
  <c r="BQ462" i="6"/>
  <c r="BI462" i="6"/>
  <c r="BA462" i="6"/>
  <c r="AL462" i="6"/>
  <c r="AS462" i="6"/>
  <c r="BR470" i="6"/>
  <c r="BM470" i="6"/>
  <c r="BE470" i="6"/>
  <c r="BH470" i="6" s="1"/>
  <c r="BG470" i="6" s="1"/>
  <c r="BF470" i="6" s="1"/>
  <c r="AW470" i="6"/>
  <c r="AO470" i="6"/>
  <c r="BQ71" i="6"/>
  <c r="BI71" i="6"/>
  <c r="BA71" i="6"/>
  <c r="AS71" i="6"/>
  <c r="AL71" i="6"/>
  <c r="BQ55" i="6"/>
  <c r="BI55" i="6"/>
  <c r="BA55" i="6"/>
  <c r="AS55" i="6"/>
  <c r="AL55" i="6"/>
  <c r="BQ115" i="6"/>
  <c r="BI115" i="6"/>
  <c r="BA115" i="6"/>
  <c r="AS115" i="6"/>
  <c r="AL115" i="6"/>
  <c r="BQ13" i="6"/>
  <c r="BI13" i="6"/>
  <c r="BA13" i="6"/>
  <c r="AS13" i="6"/>
  <c r="AL13" i="6"/>
  <c r="BQ45" i="6"/>
  <c r="BI45" i="6"/>
  <c r="BA45" i="6"/>
  <c r="AS45" i="6"/>
  <c r="AL45" i="6"/>
  <c r="BQ83" i="6"/>
  <c r="BI83" i="6"/>
  <c r="BA83" i="6"/>
  <c r="AS83" i="6"/>
  <c r="AL83" i="6"/>
  <c r="BQ87" i="6"/>
  <c r="BI87" i="6"/>
  <c r="BA87" i="6"/>
  <c r="AS87" i="6"/>
  <c r="AL87" i="6"/>
  <c r="BQ78" i="6"/>
  <c r="BI78" i="6"/>
  <c r="BA78" i="6"/>
  <c r="AS78" i="6"/>
  <c r="AL78" i="6"/>
  <c r="BQ110" i="6"/>
  <c r="BI110" i="6"/>
  <c r="BA110" i="6"/>
  <c r="AS110" i="6"/>
  <c r="AL110" i="6"/>
  <c r="BQ142" i="6"/>
  <c r="BI142" i="6"/>
  <c r="BA142" i="6"/>
  <c r="AS142" i="6"/>
  <c r="AL142" i="6"/>
  <c r="BQ97" i="6"/>
  <c r="BI97" i="6"/>
  <c r="BA97" i="6"/>
  <c r="AS97" i="6"/>
  <c r="AL97" i="6"/>
  <c r="BQ129" i="6"/>
  <c r="BI129" i="6"/>
  <c r="AS129" i="6"/>
  <c r="BA129" i="6"/>
  <c r="AL129" i="6"/>
  <c r="BQ150" i="6"/>
  <c r="BI150" i="6"/>
  <c r="BA150" i="6"/>
  <c r="AS150" i="6"/>
  <c r="AL150" i="6"/>
  <c r="BQ84" i="6"/>
  <c r="BI84" i="6"/>
  <c r="BA84" i="6"/>
  <c r="AS84" i="6"/>
  <c r="AL84" i="6"/>
  <c r="BQ116" i="6"/>
  <c r="BI116" i="6"/>
  <c r="BA116" i="6"/>
  <c r="AS116" i="6"/>
  <c r="AL116" i="6"/>
  <c r="BQ167" i="6"/>
  <c r="BI167" i="6"/>
  <c r="BA167" i="6"/>
  <c r="AS167" i="6"/>
  <c r="AL167" i="6"/>
  <c r="AE164" i="6"/>
  <c r="AD164" i="6" s="1"/>
  <c r="BQ164" i="6"/>
  <c r="BI164" i="6"/>
  <c r="BA164" i="6"/>
  <c r="AS164" i="6"/>
  <c r="AL164" i="6"/>
  <c r="BQ184" i="6"/>
  <c r="BI184" i="6"/>
  <c r="BA184" i="6"/>
  <c r="AS184" i="6"/>
  <c r="AL184" i="6"/>
  <c r="BQ254" i="6"/>
  <c r="BI254" i="6"/>
  <c r="BA254" i="6"/>
  <c r="AS254" i="6"/>
  <c r="AL254" i="6"/>
  <c r="BQ188" i="6"/>
  <c r="BI188" i="6"/>
  <c r="BA188" i="6"/>
  <c r="AS188" i="6"/>
  <c r="AL188" i="6"/>
  <c r="BQ170" i="6"/>
  <c r="BI170" i="6"/>
  <c r="BA170" i="6"/>
  <c r="AS170" i="6"/>
  <c r="AL170" i="6"/>
  <c r="BQ173" i="6"/>
  <c r="BI173" i="6"/>
  <c r="BA173" i="6"/>
  <c r="AS173" i="6"/>
  <c r="AL173" i="6"/>
  <c r="BQ239" i="6"/>
  <c r="BI239" i="6"/>
  <c r="BA239" i="6"/>
  <c r="AS239" i="6"/>
  <c r="AL239" i="6"/>
  <c r="BQ219" i="6"/>
  <c r="BI219" i="6"/>
  <c r="BA219" i="6"/>
  <c r="AS219" i="6"/>
  <c r="AL219" i="6"/>
  <c r="AE263" i="6"/>
  <c r="AD263" i="6" s="1"/>
  <c r="BQ263" i="6"/>
  <c r="BI263" i="6"/>
  <c r="BA263" i="6"/>
  <c r="AS263" i="6"/>
  <c r="AL263" i="6"/>
  <c r="BQ198" i="6"/>
  <c r="BI198" i="6"/>
  <c r="BA198" i="6"/>
  <c r="AS198" i="6"/>
  <c r="AL198" i="6"/>
  <c r="AE234" i="6"/>
  <c r="AD234" i="6" s="1"/>
  <c r="BQ234" i="6"/>
  <c r="BI234" i="6"/>
  <c r="BA234" i="6"/>
  <c r="AS234" i="6"/>
  <c r="AL234" i="6"/>
  <c r="BQ282" i="6"/>
  <c r="BI282" i="6"/>
  <c r="BA282" i="6"/>
  <c r="AS282" i="6"/>
  <c r="AL282" i="6"/>
  <c r="AE279" i="6"/>
  <c r="BQ279" i="6"/>
  <c r="BI279" i="6"/>
  <c r="BA279" i="6"/>
  <c r="AS279" i="6"/>
  <c r="AL279" i="6"/>
  <c r="BQ229" i="6"/>
  <c r="BI229" i="6"/>
  <c r="BA229" i="6"/>
  <c r="AS229" i="6"/>
  <c r="AL229" i="6"/>
  <c r="BQ261" i="6"/>
  <c r="BI261" i="6"/>
  <c r="BA261" i="6"/>
  <c r="AS261" i="6"/>
  <c r="AL261" i="6"/>
  <c r="BQ297" i="6"/>
  <c r="BI297" i="6"/>
  <c r="BA297" i="6"/>
  <c r="AS297" i="6"/>
  <c r="AL297" i="6"/>
  <c r="AE344" i="6"/>
  <c r="AD344" i="6" s="1"/>
  <c r="BQ344" i="6"/>
  <c r="BI344" i="6"/>
  <c r="BA344" i="6"/>
  <c r="AL344" i="6"/>
  <c r="AS344" i="6"/>
  <c r="BQ300" i="6"/>
  <c r="BI300" i="6"/>
  <c r="BA300" i="6"/>
  <c r="AS300" i="6"/>
  <c r="AL300" i="6"/>
  <c r="BQ335" i="6"/>
  <c r="BI335" i="6"/>
  <c r="BA335" i="6"/>
  <c r="AL335" i="6"/>
  <c r="AS335" i="6"/>
  <c r="BQ366" i="6"/>
  <c r="BI366" i="6"/>
  <c r="BA366" i="6"/>
  <c r="AL366" i="6"/>
  <c r="AS366" i="6"/>
  <c r="AE311" i="6"/>
  <c r="AD311" i="6" s="1"/>
  <c r="BQ311" i="6"/>
  <c r="BI311" i="6"/>
  <c r="BA311" i="6"/>
  <c r="AS311" i="6"/>
  <c r="AL311" i="6"/>
  <c r="AE394" i="6"/>
  <c r="AD394" i="6" s="1"/>
  <c r="BQ394" i="6"/>
  <c r="BI394" i="6"/>
  <c r="BA394" i="6"/>
  <c r="AS394" i="6"/>
  <c r="AL394" i="6"/>
  <c r="AE383" i="6"/>
  <c r="AD383" i="6" s="1"/>
  <c r="BQ383" i="6"/>
  <c r="BI383" i="6"/>
  <c r="BA383" i="6"/>
  <c r="AL383" i="6"/>
  <c r="AS383" i="6"/>
  <c r="BQ334" i="6"/>
  <c r="BI334" i="6"/>
  <c r="BA334" i="6"/>
  <c r="AL334" i="6"/>
  <c r="AS334" i="6"/>
  <c r="BQ388" i="6"/>
  <c r="BI388" i="6"/>
  <c r="BA388" i="6"/>
  <c r="AS388" i="6"/>
  <c r="AL388" i="6"/>
  <c r="BQ380" i="6"/>
  <c r="BI380" i="6"/>
  <c r="BA380" i="6"/>
  <c r="AL380" i="6"/>
  <c r="AS380" i="6"/>
  <c r="BQ407" i="6"/>
  <c r="BI407" i="6"/>
  <c r="BA407" i="6"/>
  <c r="AL407" i="6"/>
  <c r="AS407" i="6"/>
  <c r="BQ353" i="6"/>
  <c r="BI353" i="6"/>
  <c r="BA353" i="6"/>
  <c r="AS353" i="6"/>
  <c r="AL353" i="6"/>
  <c r="BQ385" i="6"/>
  <c r="BI385" i="6"/>
  <c r="BA385" i="6"/>
  <c r="AS385" i="6"/>
  <c r="AL385" i="6"/>
  <c r="BQ442" i="6"/>
  <c r="BI442" i="6"/>
  <c r="BA442" i="6"/>
  <c r="AS442" i="6"/>
  <c r="AL442" i="6"/>
  <c r="BQ422" i="6"/>
  <c r="BI422" i="6"/>
  <c r="BA422" i="6"/>
  <c r="AL422" i="6"/>
  <c r="AS422" i="6"/>
  <c r="BQ426" i="6"/>
  <c r="BI426" i="6"/>
  <c r="BA426" i="6"/>
  <c r="AS426" i="6"/>
  <c r="AL426" i="6"/>
  <c r="AE410" i="6"/>
  <c r="AD410" i="6" s="1"/>
  <c r="BQ410" i="6"/>
  <c r="BI410" i="6"/>
  <c r="BA410" i="6"/>
  <c r="AS410" i="6"/>
  <c r="AL410" i="6"/>
  <c r="BQ464" i="6"/>
  <c r="BI464" i="6"/>
  <c r="BA464" i="6"/>
  <c r="AL464" i="6"/>
  <c r="AS464" i="6"/>
  <c r="AE413" i="6"/>
  <c r="AD413" i="6" s="1"/>
  <c r="BQ413" i="6"/>
  <c r="BI413" i="6"/>
  <c r="BA413" i="6"/>
  <c r="AL413" i="6"/>
  <c r="AS413" i="6"/>
  <c r="AE447" i="6"/>
  <c r="AD447" i="6" s="1"/>
  <c r="BQ447" i="6"/>
  <c r="BI447" i="6"/>
  <c r="BA447" i="6"/>
  <c r="AL447" i="6"/>
  <c r="AS447" i="6"/>
  <c r="BQ47" i="6"/>
  <c r="BI47" i="6"/>
  <c r="BA47" i="6"/>
  <c r="AS47" i="6"/>
  <c r="AL47" i="6"/>
  <c r="G44" i="1"/>
  <c r="AE366" i="6"/>
  <c r="AD366" i="6" s="1"/>
  <c r="AE334" i="6"/>
  <c r="AD334" i="6" s="1"/>
  <c r="C40" i="6"/>
  <c r="AE40" i="6"/>
  <c r="AD40" i="6" s="1"/>
  <c r="D40" i="6" s="1"/>
  <c r="AE187" i="6"/>
  <c r="AD187" i="6" s="1"/>
  <c r="AE247" i="6"/>
  <c r="AD247" i="6" s="1"/>
  <c r="AE326" i="6"/>
  <c r="AD326" i="6" s="1"/>
  <c r="AE370" i="6"/>
  <c r="AD370" i="6" s="1"/>
  <c r="AE450" i="6"/>
  <c r="AD450" i="6" s="1"/>
  <c r="AE24" i="6"/>
  <c r="AD24" i="6" s="1"/>
  <c r="D24" i="6" s="1"/>
  <c r="AE70" i="6"/>
  <c r="AE21" i="6"/>
  <c r="AD21" i="6" s="1"/>
  <c r="D21" i="6" s="1"/>
  <c r="AE53" i="6"/>
  <c r="AD53" i="6" s="1"/>
  <c r="D53" i="6" s="1"/>
  <c r="AE139" i="6"/>
  <c r="AD139" i="6" s="1"/>
  <c r="AE118" i="6"/>
  <c r="AD118" i="6" s="1"/>
  <c r="AE155" i="6"/>
  <c r="AD155" i="6" s="1"/>
  <c r="AE105" i="6"/>
  <c r="AD105" i="6" s="1"/>
  <c r="AE137" i="6"/>
  <c r="AD137" i="6" s="1"/>
  <c r="AE181" i="6"/>
  <c r="AE92" i="6"/>
  <c r="AD92" i="6" s="1"/>
  <c r="D92" i="6" s="1"/>
  <c r="AE157" i="6"/>
  <c r="AD157" i="6" s="1"/>
  <c r="AE185" i="6"/>
  <c r="AD185" i="6" s="1"/>
  <c r="AE223" i="6"/>
  <c r="AD223" i="6" s="1"/>
  <c r="AE201" i="6"/>
  <c r="AD201" i="6" s="1"/>
  <c r="C270" i="6"/>
  <c r="AE270" i="6"/>
  <c r="AD270" i="6" s="1"/>
  <c r="AE294" i="6"/>
  <c r="AD294" i="6" s="1"/>
  <c r="AE206" i="6"/>
  <c r="AD206" i="6" s="1"/>
  <c r="AE302" i="6"/>
  <c r="AD302" i="6" s="1"/>
  <c r="AE237" i="6"/>
  <c r="AD237" i="6" s="1"/>
  <c r="AE330" i="6"/>
  <c r="AD330" i="6" s="1"/>
  <c r="AE287" i="6"/>
  <c r="AD287" i="6" s="1"/>
  <c r="AE358" i="6"/>
  <c r="AD358" i="6" s="1"/>
  <c r="AE421" i="6"/>
  <c r="AD421" i="6" s="1"/>
  <c r="AE20" i="6"/>
  <c r="AE58" i="6"/>
  <c r="AD58" i="6" s="1"/>
  <c r="D58" i="6" s="1"/>
  <c r="AE240" i="6"/>
  <c r="AD240" i="6" s="1"/>
  <c r="C283" i="6"/>
  <c r="AE283" i="6"/>
  <c r="AD283" i="6" s="1"/>
  <c r="AE315" i="6"/>
  <c r="AD315" i="6" s="1"/>
  <c r="AE351" i="6"/>
  <c r="AD351" i="6" s="1"/>
  <c r="AE104" i="6"/>
  <c r="AD104" i="6" s="1"/>
  <c r="C159" i="6"/>
  <c r="AE159" i="6"/>
  <c r="AD159" i="6" s="1"/>
  <c r="AE109" i="6"/>
  <c r="AD109" i="6" s="1"/>
  <c r="AE209" i="6"/>
  <c r="AE96" i="6"/>
  <c r="AD96" i="6" s="1"/>
  <c r="AE191" i="6"/>
  <c r="AD191" i="6" s="1"/>
  <c r="AE199" i="6"/>
  <c r="AD199" i="6" s="1"/>
  <c r="AE226" i="6"/>
  <c r="AE192" i="6"/>
  <c r="AD192" i="6" s="1"/>
  <c r="C193" i="6"/>
  <c r="AE193" i="6"/>
  <c r="AD193" i="6" s="1"/>
  <c r="AE271" i="6"/>
  <c r="AD271" i="6" s="1"/>
  <c r="AE230" i="6"/>
  <c r="AD230" i="6" s="1"/>
  <c r="AE178" i="6"/>
  <c r="AD178" i="6" s="1"/>
  <c r="C210" i="6"/>
  <c r="AE210" i="6"/>
  <c r="AD210" i="6" s="1"/>
  <c r="AE244" i="6"/>
  <c r="AD244" i="6" s="1"/>
  <c r="AE220" i="6"/>
  <c r="AD220" i="6" s="1"/>
  <c r="AE281" i="6"/>
  <c r="AD281" i="6" s="1"/>
  <c r="C273" i="6"/>
  <c r="AE273" i="6"/>
  <c r="AD273" i="6" s="1"/>
  <c r="C310" i="6"/>
  <c r="AE310" i="6"/>
  <c r="AD310" i="6" s="1"/>
  <c r="C312" i="6"/>
  <c r="AE312" i="6"/>
  <c r="AE372" i="6"/>
  <c r="AD372" i="6" s="1"/>
  <c r="C291" i="6"/>
  <c r="AE291" i="6"/>
  <c r="AD291" i="6" s="1"/>
  <c r="C323" i="6"/>
  <c r="AE323" i="6"/>
  <c r="AD323" i="6" s="1"/>
  <c r="C352" i="6"/>
  <c r="AE352" i="6"/>
  <c r="AD352" i="6" s="1"/>
  <c r="C325" i="6"/>
  <c r="AE325" i="6"/>
  <c r="AD325" i="6" s="1"/>
  <c r="C354" i="6"/>
  <c r="AE354" i="6"/>
  <c r="AD354" i="6" s="1"/>
  <c r="C346" i="6"/>
  <c r="AE346" i="6"/>
  <c r="AD346" i="6" s="1"/>
  <c r="C430" i="6"/>
  <c r="AE430" i="6"/>
  <c r="AD430" i="6" s="1"/>
  <c r="C365" i="6"/>
  <c r="AE365" i="6"/>
  <c r="AD365" i="6" s="1"/>
  <c r="C397" i="6"/>
  <c r="AE397" i="6"/>
  <c r="AD397" i="6" s="1"/>
  <c r="C402" i="6"/>
  <c r="AE402" i="6"/>
  <c r="AD402" i="6" s="1"/>
  <c r="C399" i="6"/>
  <c r="AE399" i="6"/>
  <c r="AD399" i="6" s="1"/>
  <c r="C428" i="6"/>
  <c r="AE428" i="6"/>
  <c r="AD428" i="6" s="1"/>
  <c r="C445" i="6"/>
  <c r="AE445" i="6"/>
  <c r="AD445" i="6" s="1"/>
  <c r="C427" i="6"/>
  <c r="AE427" i="6"/>
  <c r="AD427" i="6" s="1"/>
  <c r="C459" i="6"/>
  <c r="AE459" i="6"/>
  <c r="C43" i="6"/>
  <c r="AE43" i="6"/>
  <c r="AD43" i="6" s="1"/>
  <c r="D43" i="6" s="1"/>
  <c r="C31" i="6"/>
  <c r="AE31" i="6"/>
  <c r="AD31" i="6" s="1"/>
  <c r="D31" i="6" s="1"/>
  <c r="C10" i="6"/>
  <c r="AE10" i="6"/>
  <c r="AD10" i="6" s="1"/>
  <c r="D10" i="6" s="1"/>
  <c r="C77" i="6"/>
  <c r="AE77" i="6"/>
  <c r="AD77" i="6" s="1"/>
  <c r="D77" i="6" s="1"/>
  <c r="C169" i="6"/>
  <c r="AE169" i="6"/>
  <c r="AD169" i="6" s="1"/>
  <c r="C90" i="6"/>
  <c r="AE90" i="6"/>
  <c r="C63" i="6"/>
  <c r="AE63" i="6"/>
  <c r="C52" i="6"/>
  <c r="AE52" i="6"/>
  <c r="AD52" i="6" s="1"/>
  <c r="D52" i="6" s="1"/>
  <c r="C151" i="6"/>
  <c r="AE151" i="6"/>
  <c r="AD151" i="6" s="1"/>
  <c r="C194" i="6"/>
  <c r="AE194" i="6"/>
  <c r="AD194" i="6" s="1"/>
  <c r="C208" i="6"/>
  <c r="AE208" i="6"/>
  <c r="AD208" i="6" s="1"/>
  <c r="C251" i="6"/>
  <c r="AE251" i="6"/>
  <c r="AD251" i="6" s="1"/>
  <c r="C249" i="6"/>
  <c r="AE249" i="6"/>
  <c r="AD249" i="6" s="1"/>
  <c r="C309" i="6"/>
  <c r="AE309" i="6"/>
  <c r="C288" i="6"/>
  <c r="AE288" i="6"/>
  <c r="AD288" i="6" s="1"/>
  <c r="C320" i="6"/>
  <c r="AE320" i="6"/>
  <c r="C61" i="6"/>
  <c r="AE61" i="6"/>
  <c r="AD61" i="6" s="1"/>
  <c r="D61" i="6" s="1"/>
  <c r="C93" i="6"/>
  <c r="AE93" i="6"/>
  <c r="AD93" i="6" s="1"/>
  <c r="D93" i="6" s="1"/>
  <c r="C111" i="6"/>
  <c r="AE111" i="6"/>
  <c r="AD111" i="6" s="1"/>
  <c r="C94" i="6"/>
  <c r="AE94" i="6"/>
  <c r="AD94" i="6" s="1"/>
  <c r="C126" i="6"/>
  <c r="AE126" i="6"/>
  <c r="AD126" i="6" s="1"/>
  <c r="C145" i="6"/>
  <c r="AE145" i="6"/>
  <c r="AD145" i="6" s="1"/>
  <c r="C395" i="6"/>
  <c r="AE395" i="6"/>
  <c r="AD395" i="6" s="1"/>
  <c r="C284" i="6"/>
  <c r="AE284" i="6"/>
  <c r="AD284" i="6" s="1"/>
  <c r="C382" i="6"/>
  <c r="AE382" i="6"/>
  <c r="AD382" i="6" s="1"/>
  <c r="C327" i="6"/>
  <c r="AE327" i="6"/>
  <c r="AD327" i="6" s="1"/>
  <c r="C329" i="6"/>
  <c r="AE329" i="6"/>
  <c r="C355" i="6"/>
  <c r="AE355" i="6"/>
  <c r="AD355" i="6" s="1"/>
  <c r="C347" i="6"/>
  <c r="AE347" i="6"/>
  <c r="AD347" i="6" s="1"/>
  <c r="C360" i="6"/>
  <c r="AE360" i="6"/>
  <c r="AD360" i="6" s="1"/>
  <c r="C337" i="6"/>
  <c r="AE337" i="6"/>
  <c r="AD337" i="6" s="1"/>
  <c r="C369" i="6"/>
  <c r="AE369" i="6"/>
  <c r="AD369" i="6" s="1"/>
  <c r="C419" i="6"/>
  <c r="AE419" i="6"/>
  <c r="AD419" i="6" s="1"/>
  <c r="C448" i="6"/>
  <c r="AE448" i="6"/>
  <c r="AD448" i="6" s="1"/>
  <c r="C453" i="6"/>
  <c r="AE453" i="6"/>
  <c r="AD453" i="6" s="1"/>
  <c r="C436" i="6"/>
  <c r="AE436" i="6"/>
  <c r="AD436" i="6" s="1"/>
  <c r="C463" i="6"/>
  <c r="AE463" i="6"/>
  <c r="AD463" i="6" s="1"/>
  <c r="C22" i="6"/>
  <c r="AE22" i="6"/>
  <c r="AD22" i="6" s="1"/>
  <c r="D22" i="6" s="1"/>
  <c r="C50" i="6"/>
  <c r="AE50" i="6"/>
  <c r="AD50" i="6" s="1"/>
  <c r="D50" i="6" s="1"/>
  <c r="C44" i="6"/>
  <c r="AE44" i="6"/>
  <c r="AD44" i="6" s="1"/>
  <c r="D44" i="6" s="1"/>
  <c r="C231" i="6"/>
  <c r="AE231" i="6"/>
  <c r="AD231" i="6" s="1"/>
  <c r="C264" i="6"/>
  <c r="AE264" i="6"/>
  <c r="AD264" i="6" s="1"/>
  <c r="C280" i="6"/>
  <c r="AE280" i="6"/>
  <c r="AD280" i="6" s="1"/>
  <c r="C332" i="6"/>
  <c r="AE332" i="6"/>
  <c r="AD332" i="6" s="1"/>
  <c r="C392" i="6"/>
  <c r="AE392" i="6"/>
  <c r="AD392" i="6" s="1"/>
  <c r="C412" i="6"/>
  <c r="AE412" i="6"/>
  <c r="AD412" i="6" s="1"/>
  <c r="C434" i="6"/>
  <c r="AE434" i="6"/>
  <c r="AD434" i="6" s="1"/>
  <c r="C468" i="6"/>
  <c r="AE468" i="6"/>
  <c r="AD468" i="6" s="1"/>
  <c r="C23" i="6"/>
  <c r="AE23" i="6"/>
  <c r="AD23" i="6" s="1"/>
  <c r="D23" i="6" s="1"/>
  <c r="C74" i="6"/>
  <c r="AE74" i="6"/>
  <c r="C25" i="6"/>
  <c r="AE25" i="6"/>
  <c r="AD25" i="6" s="1"/>
  <c r="D25" i="6" s="1"/>
  <c r="C467" i="6"/>
  <c r="AE467" i="6"/>
  <c r="AD467" i="6" s="1"/>
  <c r="C18" i="6"/>
  <c r="AE18" i="6"/>
  <c r="AD18" i="6" s="1"/>
  <c r="D18" i="6" s="1"/>
  <c r="C11" i="6"/>
  <c r="AE11" i="6"/>
  <c r="AD11" i="6" s="1"/>
  <c r="D11" i="6" s="1"/>
  <c r="C113" i="6"/>
  <c r="AE113" i="6"/>
  <c r="AD113" i="6" s="1"/>
  <c r="C213" i="6"/>
  <c r="AE213" i="6"/>
  <c r="AD213" i="6" s="1"/>
  <c r="C100" i="6"/>
  <c r="AE100" i="6"/>
  <c r="AD100" i="6" s="1"/>
  <c r="C132" i="6"/>
  <c r="AE132" i="6"/>
  <c r="AD132" i="6" s="1"/>
  <c r="C148" i="6"/>
  <c r="AE148" i="6"/>
  <c r="AD148" i="6" s="1"/>
  <c r="C212" i="6"/>
  <c r="AE212" i="6"/>
  <c r="AD212" i="6" s="1"/>
  <c r="C266" i="6"/>
  <c r="AE266" i="6"/>
  <c r="AD266" i="6" s="1"/>
  <c r="C268" i="6"/>
  <c r="AE268" i="6"/>
  <c r="AD268" i="6" s="1"/>
  <c r="C195" i="6"/>
  <c r="AE195" i="6"/>
  <c r="AD195" i="6" s="1"/>
  <c r="C204" i="6"/>
  <c r="AE204" i="6"/>
  <c r="AD204" i="6" s="1"/>
  <c r="C196" i="6"/>
  <c r="AE196" i="6"/>
  <c r="AD196" i="6" s="1"/>
  <c r="C272" i="6"/>
  <c r="AE272" i="6"/>
  <c r="AD272" i="6" s="1"/>
  <c r="C250" i="6"/>
  <c r="AE250" i="6"/>
  <c r="AD250" i="6" s="1"/>
  <c r="C182" i="6"/>
  <c r="AE182" i="6"/>
  <c r="AD182" i="6" s="1"/>
  <c r="C214" i="6"/>
  <c r="AE214" i="6"/>
  <c r="AD214" i="6" s="1"/>
  <c r="C274" i="6"/>
  <c r="AE274" i="6"/>
  <c r="AD274" i="6" s="1"/>
  <c r="C246" i="6"/>
  <c r="AE246" i="6"/>
  <c r="AD246" i="6" s="1"/>
  <c r="C245" i="6"/>
  <c r="AE245" i="6"/>
  <c r="AD245" i="6" s="1"/>
  <c r="C42" i="6"/>
  <c r="AE42" i="6"/>
  <c r="AD42" i="6" s="1"/>
  <c r="D42" i="6" s="1"/>
  <c r="C30" i="6"/>
  <c r="AE30" i="6"/>
  <c r="AD30" i="6" s="1"/>
  <c r="D30" i="6" s="1"/>
  <c r="C189" i="6"/>
  <c r="AE189" i="6"/>
  <c r="AD189" i="6" s="1"/>
  <c r="C216" i="6"/>
  <c r="AE216" i="6"/>
  <c r="AD216" i="6" s="1"/>
  <c r="C259" i="6"/>
  <c r="AE259" i="6"/>
  <c r="AD259" i="6" s="1"/>
  <c r="C265" i="6"/>
  <c r="AE265" i="6"/>
  <c r="AD265" i="6" s="1"/>
  <c r="C317" i="6"/>
  <c r="AE317" i="6"/>
  <c r="AD317" i="6" s="1"/>
  <c r="C328" i="6"/>
  <c r="AE328" i="6"/>
  <c r="AD328" i="6" s="1"/>
  <c r="C339" i="6"/>
  <c r="AE339" i="6"/>
  <c r="AD339" i="6" s="1"/>
  <c r="C348" i="6"/>
  <c r="AE348" i="6"/>
  <c r="AD348" i="6" s="1"/>
  <c r="C409" i="6"/>
  <c r="AE409" i="6"/>
  <c r="AD409" i="6" s="1"/>
  <c r="C390" i="6"/>
  <c r="AE390" i="6"/>
  <c r="AD390" i="6" s="1"/>
  <c r="C439" i="6"/>
  <c r="AE439" i="6"/>
  <c r="AD439" i="6" s="1"/>
  <c r="C438" i="6"/>
  <c r="AE438" i="6"/>
  <c r="AD438" i="6" s="1"/>
  <c r="C454" i="6"/>
  <c r="AE454" i="6"/>
  <c r="AD454" i="6" s="1"/>
  <c r="C95" i="6"/>
  <c r="AE95" i="6"/>
  <c r="AD95" i="6" s="1"/>
  <c r="C127" i="6"/>
  <c r="AE127" i="6"/>
  <c r="AD127" i="6" s="1"/>
  <c r="C98" i="6"/>
  <c r="AE98" i="6"/>
  <c r="AD98" i="6" s="1"/>
  <c r="C130" i="6"/>
  <c r="AE130" i="6"/>
  <c r="AD130" i="6" s="1"/>
  <c r="C161" i="6"/>
  <c r="AE161" i="6"/>
  <c r="AD161" i="6" s="1"/>
  <c r="C117" i="6"/>
  <c r="AE117" i="6"/>
  <c r="AD117" i="6" s="1"/>
  <c r="C163" i="6"/>
  <c r="AE163" i="6"/>
  <c r="C217" i="6"/>
  <c r="AE217" i="6"/>
  <c r="AD217" i="6" s="1"/>
  <c r="C152" i="6"/>
  <c r="AE152" i="6"/>
  <c r="AD152" i="6" s="1"/>
  <c r="C175" i="6"/>
  <c r="AE175" i="6"/>
  <c r="AD175" i="6" s="1"/>
  <c r="C158" i="6"/>
  <c r="AE158" i="6"/>
  <c r="AD158" i="6" s="1"/>
  <c r="C203" i="6"/>
  <c r="AE203" i="6"/>
  <c r="C15" i="6"/>
  <c r="AE15" i="6"/>
  <c r="AD15" i="6" s="1"/>
  <c r="D15" i="6" s="1"/>
  <c r="C28" i="6"/>
  <c r="AE28" i="6"/>
  <c r="AD28" i="6" s="1"/>
  <c r="D28" i="6" s="1"/>
  <c r="C176" i="6"/>
  <c r="AE176" i="6"/>
  <c r="AD176" i="6" s="1"/>
  <c r="C202" i="6"/>
  <c r="AE202" i="6"/>
  <c r="AD202" i="6" s="1"/>
  <c r="C298" i="6"/>
  <c r="AE298" i="6"/>
  <c r="AD298" i="6" s="1"/>
  <c r="C60" i="6"/>
  <c r="AE60" i="6"/>
  <c r="AD60" i="6" s="1"/>
  <c r="D60" i="6" s="1"/>
  <c r="C243" i="6"/>
  <c r="AE243" i="6"/>
  <c r="AD243" i="6" s="1"/>
  <c r="C293" i="6"/>
  <c r="AE293" i="6"/>
  <c r="AD293" i="6" s="1"/>
  <c r="C324" i="6"/>
  <c r="AE324" i="6"/>
  <c r="AD324" i="6" s="1"/>
  <c r="C373" i="6"/>
  <c r="AE373" i="6"/>
  <c r="AD373" i="6" s="1"/>
  <c r="C374" i="6"/>
  <c r="AE374" i="6"/>
  <c r="AD374" i="6" s="1"/>
  <c r="C400" i="6"/>
  <c r="AE400" i="6"/>
  <c r="AD400" i="6" s="1"/>
  <c r="C420" i="6"/>
  <c r="AE420" i="6"/>
  <c r="AD420" i="6" s="1"/>
  <c r="C440" i="6"/>
  <c r="AE440" i="6"/>
  <c r="AD440" i="6" s="1"/>
  <c r="C460" i="6"/>
  <c r="AE460" i="6"/>
  <c r="AD460" i="6" s="1"/>
  <c r="C81" i="6"/>
  <c r="AE81" i="6"/>
  <c r="AD81" i="6" s="1"/>
  <c r="D81" i="6" s="1"/>
  <c r="C35" i="6"/>
  <c r="AE35" i="6"/>
  <c r="AD35" i="6" s="1"/>
  <c r="D35" i="6" s="1"/>
  <c r="C338" i="6"/>
  <c r="AE338" i="6"/>
  <c r="AD338" i="6" s="1"/>
  <c r="C384" i="6"/>
  <c r="AE384" i="6"/>
  <c r="AD384" i="6" s="1"/>
  <c r="C411" i="6"/>
  <c r="AE411" i="6"/>
  <c r="AD411" i="6" s="1"/>
  <c r="C389" i="6"/>
  <c r="AE389" i="6"/>
  <c r="AD389" i="6" s="1"/>
  <c r="C415" i="6"/>
  <c r="AE415" i="6"/>
  <c r="AD415" i="6" s="1"/>
  <c r="C224" i="6"/>
  <c r="AE224" i="6"/>
  <c r="AD224" i="6" s="1"/>
  <c r="C289" i="6"/>
  <c r="AE289" i="6"/>
  <c r="AD289" i="6" s="1"/>
  <c r="C299" i="6"/>
  <c r="AE299" i="6"/>
  <c r="AD299" i="6" s="1"/>
  <c r="C308" i="6"/>
  <c r="AE308" i="6"/>
  <c r="AD308" i="6" s="1"/>
  <c r="C108" i="6"/>
  <c r="AE108" i="6"/>
  <c r="AD108" i="6" s="1"/>
  <c r="C140" i="6"/>
  <c r="AE140" i="6"/>
  <c r="AD140" i="6" s="1"/>
  <c r="C156" i="6"/>
  <c r="AE156" i="6"/>
  <c r="AD156" i="6" s="1"/>
  <c r="C258" i="6"/>
  <c r="AE258" i="6"/>
  <c r="AD258" i="6" s="1"/>
  <c r="C183" i="6"/>
  <c r="AE183" i="6"/>
  <c r="AD183" i="6" s="1"/>
  <c r="C162" i="6"/>
  <c r="AE162" i="6"/>
  <c r="AD162" i="6" s="1"/>
  <c r="C267" i="6"/>
  <c r="AE267" i="6"/>
  <c r="AD267" i="6" s="1"/>
  <c r="C235" i="6"/>
  <c r="AE235" i="6"/>
  <c r="AD235" i="6" s="1"/>
  <c r="C207" i="6"/>
  <c r="AE207" i="6"/>
  <c r="AD207" i="6" s="1"/>
  <c r="C318" i="6"/>
  <c r="AE318" i="6"/>
  <c r="AD318" i="6" s="1"/>
  <c r="C252" i="6"/>
  <c r="AE252" i="6"/>
  <c r="C228" i="6"/>
  <c r="AE228" i="6"/>
  <c r="AD228" i="6" s="1"/>
  <c r="C276" i="6"/>
  <c r="AE276" i="6"/>
  <c r="AD276" i="6" s="1"/>
  <c r="C248" i="6"/>
  <c r="AE248" i="6"/>
  <c r="AD248" i="6" s="1"/>
  <c r="C221" i="6"/>
  <c r="AE221" i="6"/>
  <c r="AD221" i="6" s="1"/>
  <c r="C253" i="6"/>
  <c r="AE253" i="6"/>
  <c r="AD253" i="6" s="1"/>
  <c r="C376" i="6"/>
  <c r="AE376" i="6"/>
  <c r="C331" i="6"/>
  <c r="AE331" i="6"/>
  <c r="AD331" i="6" s="1"/>
  <c r="C375" i="6"/>
  <c r="AE375" i="6"/>
  <c r="AD375" i="6" s="1"/>
  <c r="C371" i="6"/>
  <c r="AE371" i="6"/>
  <c r="AD371" i="6" s="1"/>
  <c r="C386" i="6"/>
  <c r="AE386" i="6"/>
  <c r="AD386" i="6" s="1"/>
  <c r="C378" i="6"/>
  <c r="AE378" i="6"/>
  <c r="AD378" i="6" s="1"/>
  <c r="C391" i="6"/>
  <c r="AE391" i="6"/>
  <c r="AD391" i="6" s="1"/>
  <c r="C377" i="6"/>
  <c r="AE377" i="6"/>
  <c r="AD377" i="6" s="1"/>
  <c r="C414" i="6"/>
  <c r="AE414" i="6"/>
  <c r="AD414" i="6" s="1"/>
  <c r="C461" i="6"/>
  <c r="AE461" i="6"/>
  <c r="AD461" i="6" s="1"/>
  <c r="C456" i="6"/>
  <c r="AE456" i="6"/>
  <c r="AD456" i="6" s="1"/>
  <c r="C452" i="6"/>
  <c r="AE452" i="6"/>
  <c r="AD452" i="6" s="1"/>
  <c r="C62" i="6"/>
  <c r="AE62" i="6"/>
  <c r="AD62" i="6" s="1"/>
  <c r="D62" i="6" s="1"/>
  <c r="C314" i="6"/>
  <c r="AE314" i="6"/>
  <c r="AD314" i="6" s="1"/>
  <c r="C36" i="6"/>
  <c r="AE36" i="6"/>
  <c r="AD36" i="6" s="1"/>
  <c r="D36" i="6" s="1"/>
  <c r="C48" i="6"/>
  <c r="AE48" i="6"/>
  <c r="AD48" i="6" s="1"/>
  <c r="D48" i="6" s="1"/>
  <c r="C174" i="6"/>
  <c r="AE174" i="6"/>
  <c r="AD174" i="6" s="1"/>
  <c r="C236" i="6"/>
  <c r="AE236" i="6"/>
  <c r="AD236" i="6" s="1"/>
  <c r="C301" i="6"/>
  <c r="AE301" i="6"/>
  <c r="AD301" i="6" s="1"/>
  <c r="C343" i="6"/>
  <c r="AE343" i="6"/>
  <c r="AD343" i="6" s="1"/>
  <c r="C361" i="6"/>
  <c r="AE361" i="6"/>
  <c r="AD361" i="6" s="1"/>
  <c r="C381" i="6"/>
  <c r="AE381" i="6"/>
  <c r="AD381" i="6" s="1"/>
  <c r="C443" i="6"/>
  <c r="AE443" i="6"/>
  <c r="AD443" i="6" s="1"/>
  <c r="C16" i="6"/>
  <c r="AE16" i="6"/>
  <c r="AD16" i="6" s="1"/>
  <c r="D16" i="6" s="1"/>
  <c r="C59" i="6"/>
  <c r="AE59" i="6"/>
  <c r="AD59" i="6" s="1"/>
  <c r="D59" i="6" s="1"/>
  <c r="C38" i="6"/>
  <c r="AE38" i="6"/>
  <c r="AD38" i="6" s="1"/>
  <c r="D38" i="6" s="1"/>
  <c r="C341" i="6"/>
  <c r="AE341" i="6"/>
  <c r="AD341" i="6" s="1"/>
  <c r="C340" i="6"/>
  <c r="AE340" i="6"/>
  <c r="AD340" i="6" s="1"/>
  <c r="C356" i="6"/>
  <c r="AE356" i="6"/>
  <c r="AD356" i="6" s="1"/>
  <c r="C387" i="6"/>
  <c r="AE387" i="6"/>
  <c r="AD387" i="6" s="1"/>
  <c r="C429" i="6"/>
  <c r="AE429" i="6"/>
  <c r="AD429" i="6" s="1"/>
  <c r="C441" i="6"/>
  <c r="AE441" i="6"/>
  <c r="AD441" i="6" s="1"/>
  <c r="C435" i="6"/>
  <c r="AE435" i="6"/>
  <c r="AD435" i="6" s="1"/>
  <c r="C455" i="6"/>
  <c r="AE455" i="6"/>
  <c r="AD455" i="6" s="1"/>
  <c r="C465" i="6"/>
  <c r="AE465" i="6"/>
  <c r="AD465" i="6" s="1"/>
  <c r="C131" i="6"/>
  <c r="AE131" i="6"/>
  <c r="AD131" i="6" s="1"/>
  <c r="C66" i="6"/>
  <c r="AE66" i="6"/>
  <c r="AD66" i="6" s="1"/>
  <c r="D66" i="6" s="1"/>
  <c r="C85" i="6"/>
  <c r="AE85" i="6"/>
  <c r="AD85" i="6" s="1"/>
  <c r="D85" i="6" s="1"/>
  <c r="C143" i="6"/>
  <c r="AE143" i="6"/>
  <c r="AD143" i="6" s="1"/>
  <c r="C69" i="6"/>
  <c r="AE69" i="6"/>
  <c r="AD69" i="6" s="1"/>
  <c r="D69" i="6" s="1"/>
  <c r="C68" i="6"/>
  <c r="AE68" i="6"/>
  <c r="AD68" i="6" s="1"/>
  <c r="D68" i="6" s="1"/>
  <c r="C149" i="6"/>
  <c r="AE149" i="6"/>
  <c r="AD149" i="6" s="1"/>
  <c r="C102" i="6"/>
  <c r="AE102" i="6"/>
  <c r="AD102" i="6" s="1"/>
  <c r="C134" i="6"/>
  <c r="AE134" i="6"/>
  <c r="AD134" i="6" s="1"/>
  <c r="C200" i="6"/>
  <c r="AE200" i="6"/>
  <c r="AD200" i="6" s="1"/>
  <c r="C121" i="6"/>
  <c r="AE121" i="6"/>
  <c r="AD121" i="6" s="1"/>
  <c r="C14" i="6"/>
  <c r="AE14" i="6"/>
  <c r="AD14" i="6" s="1"/>
  <c r="D14" i="6" s="1"/>
  <c r="C64" i="6"/>
  <c r="AE64" i="6"/>
  <c r="AD64" i="6" s="1"/>
  <c r="D64" i="6" s="1"/>
  <c r="C54" i="6"/>
  <c r="AE54" i="6"/>
  <c r="AD54" i="6" s="1"/>
  <c r="D54" i="6" s="1"/>
  <c r="C168" i="6"/>
  <c r="AE168" i="6"/>
  <c r="AD168" i="6" s="1"/>
  <c r="C205" i="6"/>
  <c r="AE205" i="6"/>
  <c r="AD205" i="6" s="1"/>
  <c r="C275" i="6"/>
  <c r="AE275" i="6"/>
  <c r="AD275" i="6" s="1"/>
  <c r="C292" i="6"/>
  <c r="AE292" i="6"/>
  <c r="AD292" i="6" s="1"/>
  <c r="C286" i="6"/>
  <c r="AE286" i="6"/>
  <c r="AD286" i="6" s="1"/>
  <c r="C290" i="6"/>
  <c r="AE290" i="6"/>
  <c r="AD290" i="6" s="1"/>
  <c r="C321" i="6"/>
  <c r="AE321" i="6"/>
  <c r="AD321" i="6" s="1"/>
  <c r="C349" i="6"/>
  <c r="AE349" i="6"/>
  <c r="AD349" i="6" s="1"/>
  <c r="C350" i="6"/>
  <c r="AE350" i="6"/>
  <c r="AD350" i="6" s="1"/>
  <c r="C368" i="6"/>
  <c r="AE368" i="6"/>
  <c r="AD368" i="6" s="1"/>
  <c r="C398" i="6"/>
  <c r="AE398" i="6"/>
  <c r="AD398" i="6" s="1"/>
  <c r="C396" i="6"/>
  <c r="AE396" i="6"/>
  <c r="AD396" i="6" s="1"/>
  <c r="C423" i="6"/>
  <c r="AE423" i="6"/>
  <c r="AD423" i="6" s="1"/>
  <c r="C444" i="6"/>
  <c r="AE444" i="6"/>
  <c r="AD444" i="6" s="1"/>
  <c r="C462" i="6"/>
  <c r="AE462" i="6"/>
  <c r="AD462" i="6" s="1"/>
  <c r="C71" i="6"/>
  <c r="AE71" i="6"/>
  <c r="AD71" i="6" s="1"/>
  <c r="D71" i="6" s="1"/>
  <c r="C56" i="6"/>
  <c r="AE56" i="6"/>
  <c r="AD56" i="6" s="1"/>
  <c r="D56" i="6" s="1"/>
  <c r="C103" i="6"/>
  <c r="AE103" i="6"/>
  <c r="AD103" i="6" s="1"/>
  <c r="C9" i="6"/>
  <c r="AE9" i="6"/>
  <c r="AD9" i="6" s="1"/>
  <c r="D9" i="6" s="1"/>
  <c r="C41" i="6"/>
  <c r="AE41" i="6"/>
  <c r="AD41" i="6" s="1"/>
  <c r="D41" i="6" s="1"/>
  <c r="C73" i="6"/>
  <c r="AE73" i="6"/>
  <c r="AD73" i="6" s="1"/>
  <c r="D73" i="6" s="1"/>
  <c r="C72" i="6"/>
  <c r="AE72" i="6"/>
  <c r="AD72" i="6" s="1"/>
  <c r="D72" i="6" s="1"/>
  <c r="C171" i="6"/>
  <c r="AE171" i="6"/>
  <c r="AD171" i="6" s="1"/>
  <c r="C106" i="6"/>
  <c r="AE106" i="6"/>
  <c r="AD106" i="6" s="1"/>
  <c r="C138" i="6"/>
  <c r="AE138" i="6"/>
  <c r="AD138" i="6" s="1"/>
  <c r="C222" i="6"/>
  <c r="AE222" i="6"/>
  <c r="AD222" i="6" s="1"/>
  <c r="C232" i="6"/>
  <c r="AE232" i="6"/>
  <c r="AD232" i="6" s="1"/>
  <c r="C80" i="6"/>
  <c r="AE80" i="6"/>
  <c r="AD80" i="6" s="1"/>
  <c r="D80" i="6" s="1"/>
  <c r="C112" i="6"/>
  <c r="AE112" i="6"/>
  <c r="AD112" i="6" s="1"/>
  <c r="C160" i="6"/>
  <c r="AE160" i="6"/>
  <c r="AD160" i="6" s="1"/>
  <c r="C177" i="6"/>
  <c r="AE177" i="6"/>
  <c r="AD177" i="6" s="1"/>
  <c r="C211" i="6"/>
  <c r="AE211" i="6"/>
  <c r="AD211" i="6" s="1"/>
  <c r="C166" i="6"/>
  <c r="AE166" i="6"/>
  <c r="AD166" i="6" s="1"/>
  <c r="C238" i="6"/>
  <c r="AE238" i="6"/>
  <c r="AD238" i="6" s="1"/>
  <c r="C225" i="6"/>
  <c r="AE225" i="6"/>
  <c r="AD225" i="6" s="1"/>
  <c r="C257" i="6"/>
  <c r="AE257" i="6"/>
  <c r="AD257" i="6" s="1"/>
  <c r="C296" i="6"/>
  <c r="AE296" i="6"/>
  <c r="AD296" i="6" s="1"/>
  <c r="C359" i="6"/>
  <c r="AE359" i="6"/>
  <c r="AD359" i="6" s="1"/>
  <c r="C363" i="6"/>
  <c r="AE363" i="6"/>
  <c r="AD363" i="6" s="1"/>
  <c r="C408" i="6"/>
  <c r="AE408" i="6"/>
  <c r="AD408" i="6" s="1"/>
  <c r="C404" i="6"/>
  <c r="AE404" i="6"/>
  <c r="AD404" i="6" s="1"/>
  <c r="C416" i="6"/>
  <c r="AE416" i="6"/>
  <c r="AD416" i="6" s="1"/>
  <c r="C446" i="6"/>
  <c r="AE446" i="6"/>
  <c r="AD446" i="6" s="1"/>
  <c r="C457" i="6"/>
  <c r="AE457" i="6"/>
  <c r="AD457" i="6" s="1"/>
  <c r="C67" i="6"/>
  <c r="AE67" i="6"/>
  <c r="AD67" i="6" s="1"/>
  <c r="D67" i="6" s="1"/>
  <c r="C184" i="6"/>
  <c r="AE184" i="6"/>
  <c r="AD184" i="6" s="1"/>
  <c r="C254" i="6"/>
  <c r="AE254" i="6"/>
  <c r="AD254" i="6" s="1"/>
  <c r="C188" i="6"/>
  <c r="AE188" i="6"/>
  <c r="AD188" i="6" s="1"/>
  <c r="C170" i="6"/>
  <c r="AE170" i="6"/>
  <c r="AD170" i="6" s="1"/>
  <c r="C173" i="6"/>
  <c r="AE173" i="6"/>
  <c r="AD173" i="6" s="1"/>
  <c r="C239" i="6"/>
  <c r="AE239" i="6"/>
  <c r="AD239" i="6" s="1"/>
  <c r="C219" i="6"/>
  <c r="AE219" i="6"/>
  <c r="AD219" i="6" s="1"/>
  <c r="C282" i="6"/>
  <c r="AE282" i="6"/>
  <c r="AD282" i="6" s="1"/>
  <c r="C388" i="6"/>
  <c r="AE388" i="6"/>
  <c r="AD388" i="6" s="1"/>
  <c r="C380" i="6"/>
  <c r="AE380" i="6"/>
  <c r="AD380" i="6" s="1"/>
  <c r="C407" i="6"/>
  <c r="AE407" i="6"/>
  <c r="AD407" i="6" s="1"/>
  <c r="C353" i="6"/>
  <c r="AE353" i="6"/>
  <c r="AD353" i="6" s="1"/>
  <c r="C385" i="6"/>
  <c r="AE385" i="6"/>
  <c r="AD385" i="6" s="1"/>
  <c r="C442" i="6"/>
  <c r="AE442" i="6"/>
  <c r="AD442" i="6" s="1"/>
  <c r="C422" i="6"/>
  <c r="AE422" i="6"/>
  <c r="AD422" i="6" s="1"/>
  <c r="C426" i="6"/>
  <c r="AE426" i="6"/>
  <c r="AD426" i="6" s="1"/>
  <c r="C464" i="6"/>
  <c r="AE464" i="6"/>
  <c r="AD464" i="6" s="1"/>
  <c r="C55" i="6"/>
  <c r="AE55" i="6"/>
  <c r="AD55" i="6" s="1"/>
  <c r="D55" i="6" s="1"/>
  <c r="C115" i="6"/>
  <c r="AE115" i="6"/>
  <c r="AD115" i="6" s="1"/>
  <c r="C13" i="6"/>
  <c r="AE13" i="6"/>
  <c r="AD13" i="6" s="1"/>
  <c r="D13" i="6" s="1"/>
  <c r="C45" i="6"/>
  <c r="AE45" i="6"/>
  <c r="AD45" i="6" s="1"/>
  <c r="D45" i="6" s="1"/>
  <c r="C83" i="6"/>
  <c r="AE83" i="6"/>
  <c r="AD83" i="6" s="1"/>
  <c r="D83" i="6" s="1"/>
  <c r="C87" i="6"/>
  <c r="AE87" i="6"/>
  <c r="AD87" i="6" s="1"/>
  <c r="D87" i="6" s="1"/>
  <c r="C78" i="6"/>
  <c r="AE78" i="6"/>
  <c r="AD78" i="6" s="1"/>
  <c r="D78" i="6" s="1"/>
  <c r="C110" i="6"/>
  <c r="AE110" i="6"/>
  <c r="AD110" i="6" s="1"/>
  <c r="C142" i="6"/>
  <c r="AE142" i="6"/>
  <c r="AD142" i="6" s="1"/>
  <c r="C97" i="6"/>
  <c r="AE97" i="6"/>
  <c r="AD97" i="6" s="1"/>
  <c r="C129" i="6"/>
  <c r="AE129" i="6"/>
  <c r="AD129" i="6" s="1"/>
  <c r="C150" i="6"/>
  <c r="AE150" i="6"/>
  <c r="AD150" i="6" s="1"/>
  <c r="C84" i="6"/>
  <c r="AE84" i="6"/>
  <c r="AD84" i="6" s="1"/>
  <c r="D84" i="6" s="1"/>
  <c r="C116" i="6"/>
  <c r="AE116" i="6"/>
  <c r="AD116" i="6" s="1"/>
  <c r="C167" i="6"/>
  <c r="AE167" i="6"/>
  <c r="AD167" i="6" s="1"/>
  <c r="C198" i="6"/>
  <c r="AE198" i="6"/>
  <c r="AD198" i="6" s="1"/>
  <c r="C229" i="6"/>
  <c r="AE229" i="6"/>
  <c r="AD229" i="6" s="1"/>
  <c r="C261" i="6"/>
  <c r="AE261" i="6"/>
  <c r="AD261" i="6" s="1"/>
  <c r="C297" i="6"/>
  <c r="AE297" i="6"/>
  <c r="AD297" i="6" s="1"/>
  <c r="C300" i="6"/>
  <c r="AE300" i="6"/>
  <c r="AD300" i="6" s="1"/>
  <c r="C335" i="6"/>
  <c r="AE335" i="6"/>
  <c r="AD335" i="6" s="1"/>
  <c r="C12" i="6"/>
  <c r="AE12" i="6"/>
  <c r="AD12" i="6" s="1"/>
  <c r="D12" i="6" s="1"/>
  <c r="C51" i="6"/>
  <c r="AE51" i="6"/>
  <c r="AD51" i="6" s="1"/>
  <c r="D51" i="6" s="1"/>
  <c r="C91" i="6"/>
  <c r="AE91" i="6"/>
  <c r="AD91" i="6" s="1"/>
  <c r="D91" i="6" s="1"/>
  <c r="C186" i="6"/>
  <c r="AE186" i="6"/>
  <c r="AD186" i="6" s="1"/>
  <c r="C242" i="6"/>
  <c r="AE242" i="6"/>
  <c r="AD242" i="6" s="1"/>
  <c r="C218" i="6"/>
  <c r="AE218" i="6"/>
  <c r="AD218" i="6" s="1"/>
  <c r="C269" i="6"/>
  <c r="AE269" i="6"/>
  <c r="AD269" i="6" s="1"/>
  <c r="C285" i="6"/>
  <c r="AE285" i="6"/>
  <c r="AD285" i="6" s="1"/>
  <c r="C306" i="6"/>
  <c r="AE306" i="6"/>
  <c r="AD306" i="6" s="1"/>
  <c r="C357" i="6"/>
  <c r="AE357" i="6"/>
  <c r="AD357" i="6" s="1"/>
  <c r="C342" i="6"/>
  <c r="AE342" i="6"/>
  <c r="AD342" i="6" s="1"/>
  <c r="C379" i="6"/>
  <c r="AE379" i="6"/>
  <c r="AD379" i="6" s="1"/>
  <c r="C393" i="6"/>
  <c r="AE393" i="6"/>
  <c r="AD393" i="6" s="1"/>
  <c r="C425" i="6"/>
  <c r="AE425" i="6"/>
  <c r="AD425" i="6" s="1"/>
  <c r="C424" i="6"/>
  <c r="AE424" i="6"/>
  <c r="AD424" i="6" s="1"/>
  <c r="C449" i="6"/>
  <c r="AE449" i="6"/>
  <c r="AD449" i="6" s="1"/>
  <c r="C46" i="6"/>
  <c r="AE46" i="6"/>
  <c r="AD46" i="6" s="1"/>
  <c r="D46" i="6" s="1"/>
  <c r="C34" i="6"/>
  <c r="AE34" i="6"/>
  <c r="AD34" i="6" s="1"/>
  <c r="D34" i="6" s="1"/>
  <c r="C123" i="6"/>
  <c r="AE123" i="6"/>
  <c r="AD123" i="6" s="1"/>
  <c r="C17" i="6"/>
  <c r="AE17" i="6"/>
  <c r="AD17" i="6" s="1"/>
  <c r="D17" i="6" s="1"/>
  <c r="C49" i="6"/>
  <c r="AE49" i="6"/>
  <c r="AD49" i="6" s="1"/>
  <c r="D49" i="6" s="1"/>
  <c r="C107" i="6"/>
  <c r="AE107" i="6"/>
  <c r="AD107" i="6" s="1"/>
  <c r="C99" i="6"/>
  <c r="AE99" i="6"/>
  <c r="AD99" i="6" s="1"/>
  <c r="C114" i="6"/>
  <c r="AE114" i="6"/>
  <c r="AD114" i="6" s="1"/>
  <c r="C146" i="6"/>
  <c r="AE146" i="6"/>
  <c r="AD146" i="6" s="1"/>
  <c r="C101" i="6"/>
  <c r="AE101" i="6"/>
  <c r="AD101" i="6" s="1"/>
  <c r="C133" i="6"/>
  <c r="AE133" i="6"/>
  <c r="AD133" i="6" s="1"/>
  <c r="C153" i="6"/>
  <c r="AE153" i="6"/>
  <c r="AD153" i="6" s="1"/>
  <c r="C88" i="6"/>
  <c r="AE88" i="6"/>
  <c r="AD88" i="6" s="1"/>
  <c r="D88" i="6" s="1"/>
  <c r="C154" i="6"/>
  <c r="AE154" i="6"/>
  <c r="AD154" i="6" s="1"/>
  <c r="C432" i="6"/>
  <c r="AE432" i="6"/>
  <c r="AD432" i="6" s="1"/>
  <c r="C466" i="6"/>
  <c r="AE466" i="6"/>
  <c r="AD466" i="6" s="1"/>
  <c r="C417" i="6"/>
  <c r="AE417" i="6"/>
  <c r="AD417" i="6" s="1"/>
  <c r="C47" i="6"/>
  <c r="AE47" i="6"/>
  <c r="AD47" i="6" s="1"/>
  <c r="D47" i="6" s="1"/>
  <c r="BT86" i="6"/>
  <c r="AH86" i="6" s="1"/>
  <c r="BT215" i="6"/>
  <c r="AH215" i="6" s="1"/>
  <c r="BT304" i="6"/>
  <c r="BT336" i="6"/>
  <c r="C336" i="6"/>
  <c r="BT141" i="6"/>
  <c r="AH141" i="6" s="1"/>
  <c r="BT241" i="6"/>
  <c r="AH241" i="6" s="1"/>
  <c r="BT322" i="6"/>
  <c r="AH322" i="6" s="1"/>
  <c r="BT33" i="6"/>
  <c r="C33" i="6"/>
  <c r="BT65" i="6"/>
  <c r="AH65" i="6" s="1"/>
  <c r="BT119" i="6"/>
  <c r="AH119" i="6" s="1"/>
  <c r="BT136" i="6"/>
  <c r="BT303" i="6"/>
  <c r="AH303" i="6" s="1"/>
  <c r="C303" i="6"/>
  <c r="BT367" i="6"/>
  <c r="AH367" i="6" s="1"/>
  <c r="BT345" i="6"/>
  <c r="AH345" i="6" s="1"/>
  <c r="BT75" i="6"/>
  <c r="AH75" i="6" s="1"/>
  <c r="BT39" i="6"/>
  <c r="AH39" i="6" s="1"/>
  <c r="C39" i="6"/>
  <c r="BT125" i="6"/>
  <c r="BT260" i="6"/>
  <c r="AH260" i="6" s="1"/>
  <c r="BT262" i="6"/>
  <c r="BT234" i="6"/>
  <c r="C234" i="6"/>
  <c r="BT279" i="6"/>
  <c r="BT344" i="6"/>
  <c r="AH344" i="6" s="1"/>
  <c r="BT311" i="6"/>
  <c r="BT394" i="6"/>
  <c r="AH394" i="6" s="1"/>
  <c r="C394" i="6"/>
  <c r="BT383" i="6"/>
  <c r="AH383" i="6" s="1"/>
  <c r="BT410" i="6"/>
  <c r="AH410" i="6" s="1"/>
  <c r="BT413" i="6"/>
  <c r="BT447" i="6"/>
  <c r="BT451" i="6"/>
  <c r="AH451" i="6" s="1"/>
  <c r="BT135" i="6"/>
  <c r="AH135" i="6" s="1"/>
  <c r="BT57" i="6"/>
  <c r="BT122" i="6"/>
  <c r="C122" i="6"/>
  <c r="BT128" i="6"/>
  <c r="AH128" i="6" s="1"/>
  <c r="BT255" i="6"/>
  <c r="AH255" i="6" s="1"/>
  <c r="BT179" i="6"/>
  <c r="AH179" i="6" s="1"/>
  <c r="BT364" i="6"/>
  <c r="AH364" i="6" s="1"/>
  <c r="C364" i="6"/>
  <c r="BT79" i="6"/>
  <c r="AH79" i="6" s="1"/>
  <c r="BT29" i="6"/>
  <c r="AH29" i="6" s="1"/>
  <c r="BT165" i="6"/>
  <c r="BT305" i="6"/>
  <c r="AH305" i="6" s="1"/>
  <c r="C305" i="6"/>
  <c r="BT277" i="6"/>
  <c r="AH277" i="6" s="1"/>
  <c r="BT147" i="6"/>
  <c r="AH147" i="6" s="1"/>
  <c r="BT319" i="6"/>
  <c r="BT37" i="6"/>
  <c r="C37" i="6"/>
  <c r="BT172" i="6"/>
  <c r="AH172" i="6" s="1"/>
  <c r="BT76" i="6"/>
  <c r="AH76" i="6" s="1"/>
  <c r="BT190" i="6"/>
  <c r="BT144" i="6"/>
  <c r="C144" i="6"/>
  <c r="BT197" i="6"/>
  <c r="AH197" i="6" s="1"/>
  <c r="BT333" i="6"/>
  <c r="AH333" i="6" s="1"/>
  <c r="BT458" i="6"/>
  <c r="AH458" i="6" s="1"/>
  <c r="BT19" i="6"/>
  <c r="AH19" i="6" s="1"/>
  <c r="C19" i="6"/>
  <c r="BT233" i="6"/>
  <c r="AH233" i="6" s="1"/>
  <c r="BT307" i="6"/>
  <c r="BT32" i="6"/>
  <c r="BT164" i="6"/>
  <c r="AH164" i="6" s="1"/>
  <c r="BT263" i="6"/>
  <c r="AH263" i="6" s="1"/>
  <c r="BT27" i="6"/>
  <c r="BT278" i="6"/>
  <c r="BT313" i="6"/>
  <c r="AH313" i="6" s="1"/>
  <c r="C313" i="6"/>
  <c r="BT437" i="6"/>
  <c r="AH437" i="6" s="1"/>
  <c r="C437" i="6"/>
  <c r="BT26" i="6"/>
  <c r="AH26" i="6" s="1"/>
  <c r="C26" i="6"/>
  <c r="BT82" i="6"/>
  <c r="C82" i="6"/>
  <c r="BT120" i="6"/>
  <c r="AH120" i="6" s="1"/>
  <c r="C120" i="6"/>
  <c r="BT124" i="6"/>
  <c r="C124" i="6"/>
  <c r="BT256" i="6"/>
  <c r="AH256" i="6" s="1"/>
  <c r="C256" i="6"/>
  <c r="BT180" i="6"/>
  <c r="C180" i="6"/>
  <c r="BT227" i="6"/>
  <c r="C227" i="6"/>
  <c r="BT418" i="6"/>
  <c r="AH418" i="6" s="1"/>
  <c r="C418" i="6"/>
  <c r="BT403" i="6"/>
  <c r="AH403" i="6" s="1"/>
  <c r="C403" i="6"/>
  <c r="BT433" i="6"/>
  <c r="AH433" i="6" s="1"/>
  <c r="C433" i="6"/>
  <c r="BT316" i="6"/>
  <c r="AH316" i="6" s="1"/>
  <c r="C316" i="6"/>
  <c r="BT295" i="6"/>
  <c r="AH295" i="6" s="1"/>
  <c r="C295" i="6"/>
  <c r="BT362" i="6"/>
  <c r="AH362" i="6" s="1"/>
  <c r="C362" i="6"/>
  <c r="BT401" i="6"/>
  <c r="AH401" i="6" s="1"/>
  <c r="C401" i="6"/>
  <c r="BT405" i="6"/>
  <c r="AH405" i="6" s="1"/>
  <c r="C405" i="6"/>
  <c r="BT406" i="6"/>
  <c r="AH406" i="6" s="1"/>
  <c r="C406" i="6"/>
  <c r="BT431" i="6"/>
  <c r="AH431" i="6" s="1"/>
  <c r="C431" i="6"/>
  <c r="BT89" i="6"/>
  <c r="C89" i="6"/>
  <c r="S120" i="1"/>
  <c r="E44" i="1"/>
  <c r="S126" i="1"/>
  <c r="A4" i="10"/>
  <c r="BT56" i="6"/>
  <c r="AH56" i="6" s="1"/>
  <c r="BT103" i="6"/>
  <c r="AH103" i="6" s="1"/>
  <c r="D103" i="6"/>
  <c r="BT9" i="6"/>
  <c r="BT72" i="6"/>
  <c r="AH72" i="6" s="1"/>
  <c r="BT171" i="6"/>
  <c r="AH171" i="6" s="1"/>
  <c r="D171" i="6"/>
  <c r="BT106" i="6"/>
  <c r="AH106" i="6" s="1"/>
  <c r="D106" i="6"/>
  <c r="D222" i="6"/>
  <c r="D112" i="6"/>
  <c r="BT34" i="6"/>
  <c r="AH34" i="6" s="1"/>
  <c r="D123" i="6"/>
  <c r="D99" i="6"/>
  <c r="BT114" i="6"/>
  <c r="D114" i="6"/>
  <c r="D133" i="6"/>
  <c r="D153" i="6"/>
  <c r="BT153" i="6"/>
  <c r="AH153" i="6" s="1"/>
  <c r="BT46" i="6"/>
  <c r="AH46" i="6" s="1"/>
  <c r="BT17" i="6"/>
  <c r="AH17" i="6" s="1"/>
  <c r="BT107" i="6"/>
  <c r="D107" i="6"/>
  <c r="D146" i="6"/>
  <c r="BT24" i="6"/>
  <c r="BT18" i="6"/>
  <c r="AH18" i="6" s="1"/>
  <c r="BT16" i="6"/>
  <c r="AH16" i="6" s="1"/>
  <c r="BT66" i="6"/>
  <c r="AH66" i="6" s="1"/>
  <c r="BT84" i="6"/>
  <c r="AH84" i="6" s="1"/>
  <c r="BT110" i="6"/>
  <c r="D110" i="6"/>
  <c r="BT169" i="6"/>
  <c r="AH169" i="6" s="1"/>
  <c r="D169" i="6"/>
  <c r="D101" i="6"/>
  <c r="D143" i="6"/>
  <c r="BT168" i="6"/>
  <c r="AH168" i="6" s="1"/>
  <c r="D168" i="6"/>
  <c r="BT162" i="6"/>
  <c r="AH162" i="6" s="1"/>
  <c r="D162" i="6"/>
  <c r="BT181" i="6"/>
  <c r="AH181" i="6" s="1"/>
  <c r="D181" i="6"/>
  <c r="BT158" i="6"/>
  <c r="D158" i="6"/>
  <c r="C185" i="6"/>
  <c r="D185" i="6"/>
  <c r="D188" i="6"/>
  <c r="D199" i="6"/>
  <c r="D214" i="6"/>
  <c r="D215" i="6"/>
  <c r="BT232" i="6"/>
  <c r="AH232" i="6" s="1"/>
  <c r="D232" i="6"/>
  <c r="BT210" i="6"/>
  <c r="D210" i="6"/>
  <c r="BT243" i="6"/>
  <c r="D243" i="6"/>
  <c r="BT252" i="6"/>
  <c r="AH252" i="6" s="1"/>
  <c r="D252" i="6"/>
  <c r="AD252" i="6"/>
  <c r="BT245" i="6"/>
  <c r="AH245" i="6" s="1"/>
  <c r="D245" i="6"/>
  <c r="BT270" i="6"/>
  <c r="AH270" i="6" s="1"/>
  <c r="D270" i="6"/>
  <c r="BT281" i="6"/>
  <c r="D281" i="6"/>
  <c r="BT292" i="6"/>
  <c r="D292" i="6"/>
  <c r="BT294" i="6"/>
  <c r="D294" i="6"/>
  <c r="D306" i="6"/>
  <c r="D308" i="6"/>
  <c r="D351" i="6"/>
  <c r="BT324" i="6"/>
  <c r="AH324" i="6" s="1"/>
  <c r="D324" i="6"/>
  <c r="D349" i="6"/>
  <c r="D350" i="6"/>
  <c r="D366" i="6"/>
  <c r="BT354" i="6"/>
  <c r="D354" i="6"/>
  <c r="D369" i="6"/>
  <c r="BT374" i="6"/>
  <c r="D374" i="6"/>
  <c r="BT397" i="6"/>
  <c r="D397" i="6"/>
  <c r="D393" i="6"/>
  <c r="D382" i="6"/>
  <c r="BT417" i="6"/>
  <c r="D417" i="6"/>
  <c r="BT412" i="6"/>
  <c r="D412" i="6"/>
  <c r="BT439" i="6"/>
  <c r="D439" i="6"/>
  <c r="D424" i="6"/>
  <c r="BT419" i="6"/>
  <c r="D419" i="6"/>
  <c r="BT445" i="6"/>
  <c r="D445" i="6"/>
  <c r="D443" i="6"/>
  <c r="D455" i="6"/>
  <c r="BT460" i="6"/>
  <c r="D460" i="6"/>
  <c r="AR470" i="6"/>
  <c r="AQ470" i="6" s="1"/>
  <c r="AP470" i="6" s="1"/>
  <c r="BP470" i="6"/>
  <c r="BO470" i="6" s="1"/>
  <c r="BN470" i="6" s="1"/>
  <c r="BT25" i="6"/>
  <c r="AH25" i="6" s="1"/>
  <c r="BT61" i="6"/>
  <c r="BT74" i="6"/>
  <c r="BT83" i="6"/>
  <c r="BT92" i="6"/>
  <c r="C92" i="6"/>
  <c r="BT81" i="6"/>
  <c r="D129" i="6"/>
  <c r="D122" i="6"/>
  <c r="D124" i="6"/>
  <c r="BT109" i="6"/>
  <c r="C109" i="6"/>
  <c r="D109" i="6"/>
  <c r="D128" i="6"/>
  <c r="BT170" i="6"/>
  <c r="D170" i="6"/>
  <c r="BT166" i="6"/>
  <c r="D166" i="6"/>
  <c r="D193" i="6"/>
  <c r="BT196" i="6"/>
  <c r="D196" i="6"/>
  <c r="D221" i="6"/>
  <c r="D223" i="6"/>
  <c r="BT258" i="6"/>
  <c r="D258" i="6"/>
  <c r="BT218" i="6"/>
  <c r="D218" i="6"/>
  <c r="D212" i="6"/>
  <c r="BT259" i="6"/>
  <c r="AH259" i="6" s="1"/>
  <c r="D259" i="6"/>
  <c r="BT253" i="6"/>
  <c r="D253" i="6"/>
  <c r="D277" i="6"/>
  <c r="D291" i="6"/>
  <c r="AD241" i="6"/>
  <c r="D241" i="6"/>
  <c r="BT300" i="6"/>
  <c r="AH300" i="6" s="1"/>
  <c r="D300" i="6"/>
  <c r="AD309" i="6"/>
  <c r="D309" i="6"/>
  <c r="BT302" i="6"/>
  <c r="D302" i="6"/>
  <c r="D326" i="6"/>
  <c r="BT312" i="6"/>
  <c r="AD312" i="6"/>
  <c r="D312" i="6"/>
  <c r="D357" i="6"/>
  <c r="D332" i="6"/>
  <c r="AD336" i="6"/>
  <c r="D336" i="6"/>
  <c r="BT347" i="6"/>
  <c r="D347" i="6"/>
  <c r="D358" i="6"/>
  <c r="BT370" i="6"/>
  <c r="D370" i="6"/>
  <c r="BT355" i="6"/>
  <c r="D355" i="6"/>
  <c r="D377" i="6"/>
  <c r="BT380" i="6"/>
  <c r="D380" i="6"/>
  <c r="D409" i="6"/>
  <c r="BT390" i="6"/>
  <c r="D390" i="6"/>
  <c r="D395" i="6"/>
  <c r="BT414" i="6"/>
  <c r="D414" i="6"/>
  <c r="BT415" i="6"/>
  <c r="D415" i="6"/>
  <c r="BT441" i="6"/>
  <c r="D441" i="6"/>
  <c r="D440" i="6"/>
  <c r="BT427" i="6"/>
  <c r="D427" i="6"/>
  <c r="BT435" i="6"/>
  <c r="D435" i="6"/>
  <c r="D447" i="6"/>
  <c r="BT453" i="6"/>
  <c r="D453" i="6"/>
  <c r="BT464" i="6"/>
  <c r="D464" i="6"/>
  <c r="AD19" i="6"/>
  <c r="D19" i="6" s="1"/>
  <c r="D134" i="6"/>
  <c r="BT87" i="6"/>
  <c r="BT53" i="6"/>
  <c r="BT73" i="6"/>
  <c r="D176" i="6"/>
  <c r="D342" i="6"/>
  <c r="BT50" i="6"/>
  <c r="BT95" i="6"/>
  <c r="D95" i="6"/>
  <c r="BT97" i="6"/>
  <c r="D97" i="6"/>
  <c r="D141" i="6"/>
  <c r="BT127" i="6"/>
  <c r="D127" i="6"/>
  <c r="D156" i="6"/>
  <c r="D159" i="6"/>
  <c r="D204" i="6"/>
  <c r="D197" i="6"/>
  <c r="BT192" i="6"/>
  <c r="D192" i="6"/>
  <c r="D239" i="6"/>
  <c r="BT231" i="6"/>
  <c r="D231" i="6"/>
  <c r="BT209" i="6"/>
  <c r="D209" i="6"/>
  <c r="AD209" i="6"/>
  <c r="D234" i="6"/>
  <c r="D228" i="6"/>
  <c r="BT268" i="6"/>
  <c r="D268" i="6"/>
  <c r="D269" i="6"/>
  <c r="D247" i="6"/>
  <c r="D256" i="6"/>
  <c r="AD256" i="6"/>
  <c r="BT257" i="6"/>
  <c r="D257" i="6"/>
  <c r="BT306" i="6"/>
  <c r="BT318" i="6"/>
  <c r="D318" i="6"/>
  <c r="BT290" i="6"/>
  <c r="D290" i="6"/>
  <c r="AD320" i="6"/>
  <c r="D320" i="6"/>
  <c r="D323" i="6"/>
  <c r="D333" i="6"/>
  <c r="D373" i="6"/>
  <c r="D331" i="6"/>
  <c r="BT369" i="6"/>
  <c r="AD345" i="6"/>
  <c r="D345" i="6"/>
  <c r="C345" i="6"/>
  <c r="D356" i="6"/>
  <c r="BT363" i="6"/>
  <c r="D363" i="6"/>
  <c r="BT411" i="6"/>
  <c r="D411" i="6"/>
  <c r="BT387" i="6"/>
  <c r="D387" i="6"/>
  <c r="D383" i="6"/>
  <c r="D396" i="6"/>
  <c r="D422" i="6"/>
  <c r="D418" i="6"/>
  <c r="D437" i="6"/>
  <c r="BT446" i="6"/>
  <c r="D446" i="6"/>
  <c r="D467" i="6"/>
  <c r="AD33" i="6"/>
  <c r="D33" i="6" s="1"/>
  <c r="BT91" i="6"/>
  <c r="D130" i="6"/>
  <c r="BT117" i="6"/>
  <c r="D117" i="6"/>
  <c r="BT174" i="6"/>
  <c r="D174" i="6"/>
  <c r="D213" i="6"/>
  <c r="BT266" i="6"/>
  <c r="D266" i="6"/>
  <c r="D261" i="6"/>
  <c r="D314" i="6"/>
  <c r="BT375" i="6"/>
  <c r="D375" i="6"/>
  <c r="D392" i="6"/>
  <c r="AD401" i="6"/>
  <c r="D401" i="6"/>
  <c r="C413" i="6"/>
  <c r="D413" i="6"/>
  <c r="BT444" i="6"/>
  <c r="D444" i="6"/>
  <c r="BT456" i="6"/>
  <c r="D456" i="6"/>
  <c r="BT47" i="6"/>
  <c r="C104" i="6"/>
  <c r="D104" i="6"/>
  <c r="BT70" i="6"/>
  <c r="C70" i="6"/>
  <c r="AD70" i="6"/>
  <c r="D70" i="6" s="1"/>
  <c r="BT138" i="6"/>
  <c r="D138" i="6"/>
  <c r="BT132" i="6"/>
  <c r="D132" i="6"/>
  <c r="D125" i="6"/>
  <c r="D144" i="6"/>
  <c r="C155" i="6"/>
  <c r="D155" i="6"/>
  <c r="BT267" i="6"/>
  <c r="D267" i="6"/>
  <c r="BT15" i="6"/>
  <c r="BT11" i="6"/>
  <c r="BT51" i="6"/>
  <c r="AD65" i="6"/>
  <c r="D65" i="6" s="1"/>
  <c r="C65" i="6"/>
  <c r="BT38" i="6"/>
  <c r="BT55" i="6"/>
  <c r="BT90" i="6"/>
  <c r="AD90" i="6"/>
  <c r="D90" i="6" s="1"/>
  <c r="BT78" i="6"/>
  <c r="BT88" i="6"/>
  <c r="BT145" i="6"/>
  <c r="D145" i="6"/>
  <c r="D135" i="6"/>
  <c r="C135" i="6"/>
  <c r="BT152" i="6"/>
  <c r="D152" i="6"/>
  <c r="BT186" i="6"/>
  <c r="D186" i="6"/>
  <c r="BT159" i="6"/>
  <c r="D164" i="6"/>
  <c r="BT167" i="6"/>
  <c r="D167" i="6"/>
  <c r="D182" i="6"/>
  <c r="BT200" i="6"/>
  <c r="D200" i="6"/>
  <c r="BT205" i="6"/>
  <c r="D205" i="6"/>
  <c r="D238" i="6"/>
  <c r="BT208" i="6"/>
  <c r="D208" i="6"/>
  <c r="BT217" i="6"/>
  <c r="D217" i="6"/>
  <c r="BT250" i="6"/>
  <c r="D250" i="6"/>
  <c r="D236" i="6"/>
  <c r="BT276" i="6"/>
  <c r="D276" i="6"/>
  <c r="D275" i="6"/>
  <c r="BT297" i="6"/>
  <c r="D297" i="6"/>
  <c r="C255" i="6"/>
  <c r="D255" i="6"/>
  <c r="AD255" i="6"/>
  <c r="BT265" i="6"/>
  <c r="D265" i="6"/>
  <c r="BT315" i="6"/>
  <c r="C315" i="6"/>
  <c r="D315" i="6"/>
  <c r="BT317" i="6"/>
  <c r="D317" i="6"/>
  <c r="D279" i="6"/>
  <c r="AD279" i="6"/>
  <c r="BT280" i="6"/>
  <c r="D280" i="6"/>
  <c r="D298" i="6"/>
  <c r="D311" i="6"/>
  <c r="D328" i="6"/>
  <c r="AD329" i="6"/>
  <c r="D329" i="6"/>
  <c r="C334" i="6"/>
  <c r="D334" i="6"/>
  <c r="D343" i="6"/>
  <c r="BT339" i="6"/>
  <c r="D339" i="6"/>
  <c r="BT359" i="6"/>
  <c r="D359" i="6"/>
  <c r="BT353" i="6"/>
  <c r="D353" i="6"/>
  <c r="D362" i="6"/>
  <c r="D385" i="6"/>
  <c r="D394" i="6"/>
  <c r="D405" i="6"/>
  <c r="D391" i="6"/>
  <c r="BT404" i="6"/>
  <c r="D404" i="6"/>
  <c r="BT407" i="6"/>
  <c r="D407" i="6"/>
  <c r="C421" i="6"/>
  <c r="D421" i="6"/>
  <c r="D431" i="6"/>
  <c r="BT426" i="6"/>
  <c r="D426" i="6"/>
  <c r="BT459" i="6"/>
  <c r="AD459" i="6"/>
  <c r="D459" i="6"/>
  <c r="D451" i="6"/>
  <c r="C451" i="6"/>
  <c r="D462" i="6"/>
  <c r="BP469" i="6"/>
  <c r="BO469" i="6" s="1"/>
  <c r="BN469" i="6" s="1"/>
  <c r="AD32" i="6"/>
  <c r="D32" i="6" s="1"/>
  <c r="BT115" i="6"/>
  <c r="D115" i="6"/>
  <c r="BT13" i="6"/>
  <c r="BT178" i="6"/>
  <c r="D178" i="6"/>
  <c r="C220" i="6"/>
  <c r="D220" i="6"/>
  <c r="D282" i="6"/>
  <c r="BT399" i="6"/>
  <c r="D399" i="6"/>
  <c r="BT12" i="6"/>
  <c r="BT23" i="6"/>
  <c r="C57" i="6"/>
  <c r="BT42" i="6"/>
  <c r="BT111" i="6"/>
  <c r="D111" i="6"/>
  <c r="BT96" i="6"/>
  <c r="D96" i="6"/>
  <c r="BT150" i="6"/>
  <c r="D150" i="6"/>
  <c r="BT154" i="6"/>
  <c r="D154" i="6"/>
  <c r="BT140" i="6"/>
  <c r="D140" i="6"/>
  <c r="D147" i="6"/>
  <c r="C165" i="6"/>
  <c r="D165" i="6"/>
  <c r="BT156" i="6"/>
  <c r="BT177" i="6"/>
  <c r="D177" i="6"/>
  <c r="BT163" i="6"/>
  <c r="AD163" i="6"/>
  <c r="D163" i="6"/>
  <c r="D172" i="6"/>
  <c r="BT175" i="6"/>
  <c r="D175" i="6"/>
  <c r="D194" i="6"/>
  <c r="D190" i="6"/>
  <c r="AD203" i="6"/>
  <c r="D203" i="6"/>
  <c r="BT211" i="6"/>
  <c r="D211" i="6"/>
  <c r="BT240" i="6"/>
  <c r="D240" i="6"/>
  <c r="C240" i="6"/>
  <c r="BT216" i="6"/>
  <c r="D216" i="6"/>
  <c r="BT225" i="6"/>
  <c r="D225" i="6"/>
  <c r="D289" i="6"/>
  <c r="BT246" i="6"/>
  <c r="D246" i="6"/>
  <c r="C263" i="6"/>
  <c r="D263" i="6"/>
  <c r="BT264" i="6"/>
  <c r="D264" i="6"/>
  <c r="D299" i="6"/>
  <c r="BT285" i="6"/>
  <c r="D285" i="6"/>
  <c r="D278" i="6"/>
  <c r="C278" i="6"/>
  <c r="BT287" i="6"/>
  <c r="C287" i="6"/>
  <c r="D287" i="6"/>
  <c r="D288" i="6"/>
  <c r="D322" i="6"/>
  <c r="C322" i="6"/>
  <c r="AD322" i="6"/>
  <c r="C319" i="6"/>
  <c r="D319" i="6"/>
  <c r="D305" i="6"/>
  <c r="BT337" i="6"/>
  <c r="D337" i="6"/>
  <c r="BT342" i="6"/>
  <c r="BT340" i="6"/>
  <c r="D340" i="6"/>
  <c r="BT356" i="6"/>
  <c r="BT361" i="6"/>
  <c r="D361" i="6"/>
  <c r="BT371" i="6"/>
  <c r="D371" i="6"/>
  <c r="D398" i="6"/>
  <c r="BT381" i="6"/>
  <c r="D381" i="6"/>
  <c r="BT429" i="6"/>
  <c r="D429" i="6"/>
  <c r="D425" i="6"/>
  <c r="D410" i="6"/>
  <c r="BT423" i="6"/>
  <c r="D423" i="6"/>
  <c r="D434" i="6"/>
  <c r="D438" i="6"/>
  <c r="D449" i="6"/>
  <c r="BT454" i="6"/>
  <c r="D454" i="6"/>
  <c r="D463" i="6"/>
  <c r="C29" i="6"/>
  <c r="BT131" i="6"/>
  <c r="D131" i="6"/>
  <c r="BT100" i="6"/>
  <c r="D100" i="6"/>
  <c r="D136" i="6"/>
  <c r="C136" i="6"/>
  <c r="BT188" i="6"/>
  <c r="D249" i="6"/>
  <c r="BT310" i="6"/>
  <c r="D310" i="6"/>
  <c r="BT330" i="6"/>
  <c r="D330" i="6"/>
  <c r="C330" i="6"/>
  <c r="BT366" i="6"/>
  <c r="BT348" i="6"/>
  <c r="D348" i="6"/>
  <c r="AD403" i="6"/>
  <c r="D403" i="6"/>
  <c r="BT428" i="6"/>
  <c r="D428" i="6"/>
  <c r="BT468" i="6"/>
  <c r="D468" i="6"/>
  <c r="BT43" i="6"/>
  <c r="BT40" i="6"/>
  <c r="BT60" i="6"/>
  <c r="D149" i="6"/>
  <c r="BT21" i="6"/>
  <c r="C21" i="6"/>
  <c r="BT20" i="6"/>
  <c r="AD20" i="6"/>
  <c r="D20" i="6" s="1"/>
  <c r="C20" i="6"/>
  <c r="BT48" i="6"/>
  <c r="BT63" i="6"/>
  <c r="AD63" i="6"/>
  <c r="D63" i="6" s="1"/>
  <c r="BT64" i="6"/>
  <c r="BT58" i="6"/>
  <c r="C58" i="6"/>
  <c r="BT108" i="6"/>
  <c r="D108" i="6"/>
  <c r="C76" i="6"/>
  <c r="AD76" i="6"/>
  <c r="D76" i="6" s="1"/>
  <c r="C86" i="6"/>
  <c r="BT118" i="6"/>
  <c r="D118" i="6"/>
  <c r="D102" i="6"/>
  <c r="D113" i="6"/>
  <c r="BT173" i="6"/>
  <c r="D173" i="6"/>
  <c r="BT142" i="6"/>
  <c r="D142" i="6"/>
  <c r="BT160" i="6"/>
  <c r="D160" i="6"/>
  <c r="D183" i="6"/>
  <c r="BT176" i="6"/>
  <c r="BT195" i="6"/>
  <c r="D195" i="6"/>
  <c r="BT198" i="6"/>
  <c r="D198" i="6"/>
  <c r="BT219" i="6"/>
  <c r="D219" i="6"/>
  <c r="D229" i="6"/>
  <c r="BT242" i="6"/>
  <c r="D242" i="6"/>
  <c r="BT220" i="6"/>
  <c r="D233" i="6"/>
  <c r="C233" i="6"/>
  <c r="AD233" i="6"/>
  <c r="D227" i="6"/>
  <c r="BT247" i="6"/>
  <c r="BT244" i="6"/>
  <c r="D244" i="6"/>
  <c r="C244" i="6"/>
  <c r="D283" i="6"/>
  <c r="D254" i="6"/>
  <c r="BT271" i="6"/>
  <c r="C271" i="6"/>
  <c r="D271" i="6"/>
  <c r="BT272" i="6"/>
  <c r="D272" i="6"/>
  <c r="BT284" i="6"/>
  <c r="D284" i="6"/>
  <c r="BT293" i="6"/>
  <c r="D293" i="6"/>
  <c r="BT282" i="6"/>
  <c r="AD295" i="6"/>
  <c r="D295" i="6"/>
  <c r="BT296" i="6"/>
  <c r="D296" i="6"/>
  <c r="BT325" i="6"/>
  <c r="D325" i="6"/>
  <c r="BT323" i="6"/>
  <c r="D313" i="6"/>
  <c r="AD313" i="6"/>
  <c r="D316" i="6"/>
  <c r="BT335" i="6"/>
  <c r="D335" i="6"/>
  <c r="BT346" i="6"/>
  <c r="D346" i="6"/>
  <c r="C344" i="6"/>
  <c r="D344" i="6"/>
  <c r="D360" i="6"/>
  <c r="C367" i="6"/>
  <c r="AD367" i="6"/>
  <c r="D367" i="6"/>
  <c r="BT368" i="6"/>
  <c r="D368" i="6"/>
  <c r="BT379" i="6"/>
  <c r="D379" i="6"/>
  <c r="BT382" i="6"/>
  <c r="BT408" i="6"/>
  <c r="D408" i="6"/>
  <c r="BT389" i="6"/>
  <c r="D389" i="6"/>
  <c r="D402" i="6"/>
  <c r="BT421" i="6"/>
  <c r="D430" i="6"/>
  <c r="D433" i="6"/>
  <c r="BT416" i="6"/>
  <c r="D416" i="6"/>
  <c r="BT436" i="6"/>
  <c r="D436" i="6"/>
  <c r="BT432" i="6"/>
  <c r="D432" i="6"/>
  <c r="BT450" i="6"/>
  <c r="D450" i="6"/>
  <c r="C450" i="6"/>
  <c r="BT455" i="6"/>
  <c r="BT457" i="6"/>
  <c r="D457" i="6"/>
  <c r="BT465" i="6"/>
  <c r="D465" i="6"/>
  <c r="C27" i="6"/>
  <c r="AD82" i="6"/>
  <c r="D82" i="6" s="1"/>
  <c r="BT137" i="6"/>
  <c r="D137" i="6"/>
  <c r="C137" i="6"/>
  <c r="BT139" i="6"/>
  <c r="D139" i="6"/>
  <c r="C139" i="6"/>
  <c r="C119" i="6"/>
  <c r="D119" i="6"/>
  <c r="BT148" i="6"/>
  <c r="D148" i="6"/>
  <c r="BT189" i="6"/>
  <c r="D189" i="6"/>
  <c r="C230" i="6"/>
  <c r="D230" i="6"/>
  <c r="BT226" i="6"/>
  <c r="AD226" i="6"/>
  <c r="D226" i="6"/>
  <c r="C226" i="6"/>
  <c r="D260" i="6"/>
  <c r="C260" i="6"/>
  <c r="AD260" i="6"/>
  <c r="D248" i="6"/>
  <c r="C304" i="6"/>
  <c r="D304" i="6"/>
  <c r="BT365" i="6"/>
  <c r="D365" i="6"/>
  <c r="BT378" i="6"/>
  <c r="D378" i="6"/>
  <c r="BT400" i="6"/>
  <c r="D400" i="6"/>
  <c r="BT448" i="6"/>
  <c r="D448" i="6"/>
  <c r="BT59" i="6"/>
  <c r="BT105" i="6"/>
  <c r="C105" i="6"/>
  <c r="D105" i="6"/>
  <c r="BT68" i="6"/>
  <c r="BT45" i="6"/>
  <c r="BT62" i="6"/>
  <c r="C75" i="6"/>
  <c r="AD75" i="6"/>
  <c r="D75" i="6" s="1"/>
  <c r="BT80" i="6"/>
  <c r="D98" i="6"/>
  <c r="BT94" i="6"/>
  <c r="D94" i="6"/>
  <c r="D126" i="6"/>
  <c r="D121" i="6"/>
  <c r="BT157" i="6"/>
  <c r="D157" i="6"/>
  <c r="C157" i="6"/>
  <c r="D116" i="6"/>
  <c r="BT151" i="6"/>
  <c r="D151" i="6"/>
  <c r="BT161" i="6"/>
  <c r="D161" i="6"/>
  <c r="AD120" i="6"/>
  <c r="D120" i="6"/>
  <c r="BT187" i="6"/>
  <c r="D187" i="6"/>
  <c r="C187" i="6"/>
  <c r="C179" i="6"/>
  <c r="AD179" i="6"/>
  <c r="D179" i="6"/>
  <c r="AD180" i="6"/>
  <c r="D180" i="6"/>
  <c r="BT184" i="6"/>
  <c r="D184" i="6"/>
  <c r="BT201" i="6"/>
  <c r="D201" i="6"/>
  <c r="C201" i="6"/>
  <c r="D191" i="6"/>
  <c r="C191" i="6"/>
  <c r="BT206" i="6"/>
  <c r="D206" i="6"/>
  <c r="C206" i="6"/>
  <c r="BT237" i="6"/>
  <c r="D237" i="6"/>
  <c r="C237" i="6"/>
  <c r="BT207" i="6"/>
  <c r="D207" i="6"/>
  <c r="BT224" i="6"/>
  <c r="D224" i="6"/>
  <c r="BT202" i="6"/>
  <c r="D202" i="6"/>
  <c r="D235" i="6"/>
  <c r="BT251" i="6"/>
  <c r="D251" i="6"/>
  <c r="BT248" i="6"/>
  <c r="D262" i="6"/>
  <c r="C262" i="6"/>
  <c r="BT273" i="6"/>
  <c r="D273" i="6"/>
  <c r="BT274" i="6"/>
  <c r="D274" i="6"/>
  <c r="BT288" i="6"/>
  <c r="D301" i="6"/>
  <c r="BT286" i="6"/>
  <c r="D286" i="6"/>
  <c r="D303" i="6"/>
  <c r="C307" i="6"/>
  <c r="D307" i="6"/>
  <c r="BT326" i="6"/>
  <c r="D327" i="6"/>
  <c r="BT321" i="6"/>
  <c r="D321" i="6"/>
  <c r="BT320" i="6"/>
  <c r="BT341" i="6"/>
  <c r="D341" i="6"/>
  <c r="BT338" i="6"/>
  <c r="D338" i="6"/>
  <c r="D352" i="6"/>
  <c r="D364" i="6"/>
  <c r="AD364" i="6"/>
  <c r="D384" i="6"/>
  <c r="BT376" i="6"/>
  <c r="D376" i="6"/>
  <c r="AD376" i="6"/>
  <c r="BT372" i="6"/>
  <c r="D372" i="6"/>
  <c r="C372" i="6"/>
  <c r="D386" i="6"/>
  <c r="BT388" i="6"/>
  <c r="D388" i="6"/>
  <c r="BT396" i="6"/>
  <c r="D406" i="6"/>
  <c r="D420" i="6"/>
  <c r="BT442" i="6"/>
  <c r="D442" i="6"/>
  <c r="BT420" i="6"/>
  <c r="BT438" i="6"/>
  <c r="BT434" i="6"/>
  <c r="BT461" i="6"/>
  <c r="D461" i="6"/>
  <c r="BT452" i="6"/>
  <c r="D452" i="6"/>
  <c r="C458" i="6"/>
  <c r="D458" i="6"/>
  <c r="BT466" i="6"/>
  <c r="D466" i="6"/>
  <c r="B80" i="1"/>
  <c r="S75" i="1"/>
  <c r="S105" i="1"/>
  <c r="S104" i="1"/>
  <c r="F35" i="1"/>
  <c r="F56" i="1"/>
  <c r="F59" i="1"/>
  <c r="F25" i="1"/>
  <c r="F40" i="1"/>
  <c r="G18" i="1"/>
  <c r="F18" i="1"/>
  <c r="F24" i="1"/>
  <c r="F60" i="1"/>
  <c r="F61" i="1" s="1"/>
  <c r="F58" i="1"/>
  <c r="F39" i="1"/>
  <c r="F34" i="1"/>
  <c r="G125" i="1"/>
  <c r="F125" i="1"/>
  <c r="S152" i="1"/>
  <c r="S151" i="1"/>
  <c r="S81" i="1"/>
  <c r="AC35" i="6"/>
  <c r="AC99" i="6"/>
  <c r="AC129" i="6"/>
  <c r="AC116" i="6"/>
  <c r="AC22" i="6"/>
  <c r="AC23" i="6"/>
  <c r="AC56" i="6"/>
  <c r="AC57" i="6"/>
  <c r="AC34" i="6"/>
  <c r="AC43" i="6"/>
  <c r="AC28" i="6"/>
  <c r="AC108" i="6"/>
  <c r="AC81" i="6"/>
  <c r="AC105" i="6"/>
  <c r="AC137" i="6"/>
  <c r="AC122" i="6"/>
  <c r="AC150" i="6"/>
  <c r="C141" i="6"/>
  <c r="AC141" i="6"/>
  <c r="AC124" i="6"/>
  <c r="C125" i="6"/>
  <c r="AC125" i="6"/>
  <c r="AC179" i="6"/>
  <c r="AC201" i="6"/>
  <c r="C197" i="6"/>
  <c r="AC197" i="6"/>
  <c r="C215" i="6"/>
  <c r="AD215" i="6"/>
  <c r="AC215" i="6"/>
  <c r="AC216" i="6"/>
  <c r="AC266" i="6"/>
  <c r="AC233" i="6"/>
  <c r="AC226" i="6"/>
  <c r="AC227" i="6"/>
  <c r="AC220" i="6"/>
  <c r="AC251" i="6"/>
  <c r="AC253" i="6"/>
  <c r="C277" i="6"/>
  <c r="AC277" i="6"/>
  <c r="C241" i="6"/>
  <c r="AC241" i="6"/>
  <c r="AC293" i="6"/>
  <c r="AC278" i="6"/>
  <c r="AC303" i="6"/>
  <c r="AC288" i="6"/>
  <c r="AC282" i="6"/>
  <c r="AC322" i="6"/>
  <c r="AC311" i="6"/>
  <c r="C311" i="6"/>
  <c r="AC320" i="6"/>
  <c r="AC335" i="6"/>
  <c r="AC347" i="6"/>
  <c r="AC352" i="6"/>
  <c r="A352" i="6" s="1"/>
  <c r="AC375" i="6"/>
  <c r="A375" i="6" s="1"/>
  <c r="AC367" i="6"/>
  <c r="A367" i="6" s="1"/>
  <c r="AC348" i="6"/>
  <c r="AC368" i="6"/>
  <c r="A368" i="6" s="1"/>
  <c r="AC397" i="6"/>
  <c r="A397" i="6" s="1"/>
  <c r="AC408" i="6"/>
  <c r="A408" i="6" s="1"/>
  <c r="AC381" i="6"/>
  <c r="A381" i="6" s="1"/>
  <c r="AC402" i="6"/>
  <c r="A402" i="6" s="1"/>
  <c r="AC396" i="6"/>
  <c r="A396" i="6" s="1"/>
  <c r="BT402" i="6"/>
  <c r="C410" i="6"/>
  <c r="AC410" i="6"/>
  <c r="A410" i="6" s="1"/>
  <c r="AC441" i="6"/>
  <c r="A441" i="6" s="1"/>
  <c r="AC435" i="6"/>
  <c r="A435" i="6" s="1"/>
  <c r="AC451" i="6"/>
  <c r="A451" i="6" s="1"/>
  <c r="AC453" i="6"/>
  <c r="A453" i="6" s="1"/>
  <c r="AH470" i="6"/>
  <c r="AC17" i="6"/>
  <c r="AC12" i="6"/>
  <c r="AC64" i="6"/>
  <c r="AC65" i="6"/>
  <c r="AC61" i="6"/>
  <c r="AC54" i="6"/>
  <c r="AC55" i="6"/>
  <c r="AC82" i="6"/>
  <c r="AC92" i="6"/>
  <c r="AC85" i="6"/>
  <c r="AC62" i="6"/>
  <c r="AC94" i="6"/>
  <c r="AC95" i="6"/>
  <c r="AC126" i="6"/>
  <c r="AC96" i="6"/>
  <c r="C96" i="6"/>
  <c r="BT85" i="6"/>
  <c r="BT126" i="6"/>
  <c r="BT129" i="6"/>
  <c r="AC143" i="6"/>
  <c r="AC136" i="6"/>
  <c r="AC160" i="6"/>
  <c r="AC177" i="6"/>
  <c r="AC178" i="6"/>
  <c r="C178" i="6"/>
  <c r="C181" i="6"/>
  <c r="AD181" i="6"/>
  <c r="AC181" i="6"/>
  <c r="C172" i="6"/>
  <c r="AC172" i="6"/>
  <c r="AC174" i="6"/>
  <c r="AC175" i="6"/>
  <c r="AC204" i="6"/>
  <c r="BT204" i="6"/>
  <c r="AC200" i="6"/>
  <c r="AC211" i="6"/>
  <c r="AC230" i="6"/>
  <c r="BT230" i="6"/>
  <c r="AC244" i="6"/>
  <c r="AC275" i="6"/>
  <c r="AC246" i="6"/>
  <c r="AC271" i="6"/>
  <c r="AC256" i="6"/>
  <c r="AC300" i="6"/>
  <c r="BT275" i="6"/>
  <c r="AC306" i="6"/>
  <c r="AC325" i="6"/>
  <c r="C351" i="6"/>
  <c r="AC351" i="6"/>
  <c r="A351" i="6" s="1"/>
  <c r="AC316" i="6"/>
  <c r="AC373" i="6"/>
  <c r="A373" i="6" s="1"/>
  <c r="AC359" i="6"/>
  <c r="A359" i="6" s="1"/>
  <c r="AC384" i="6"/>
  <c r="A384" i="6" s="1"/>
  <c r="BT352" i="6"/>
  <c r="AC378" i="6"/>
  <c r="A378" i="6" s="1"/>
  <c r="AC385" i="6"/>
  <c r="A385" i="6" s="1"/>
  <c r="AC409" i="6"/>
  <c r="A409" i="6" s="1"/>
  <c r="BT384" i="6"/>
  <c r="BT385" i="6"/>
  <c r="C383" i="6"/>
  <c r="AC383" i="6"/>
  <c r="A383" i="6" s="1"/>
  <c r="AC406" i="6"/>
  <c r="A406" i="6" s="1"/>
  <c r="AC430" i="6"/>
  <c r="A430" i="6" s="1"/>
  <c r="AC421" i="6"/>
  <c r="A421" i="6" s="1"/>
  <c r="BT430" i="6"/>
  <c r="AC418" i="6"/>
  <c r="A418" i="6" s="1"/>
  <c r="AC419" i="6"/>
  <c r="A419" i="6" s="1"/>
  <c r="AC437" i="6"/>
  <c r="A437" i="6" s="1"/>
  <c r="AC454" i="6"/>
  <c r="A454" i="6" s="1"/>
  <c r="AC463" i="6"/>
  <c r="A463" i="6" s="1"/>
  <c r="AC10" i="6"/>
  <c r="A10" i="6" s="1"/>
  <c r="BT10" i="6"/>
  <c r="AC9" i="6"/>
  <c r="AC11" i="6"/>
  <c r="AC67" i="6"/>
  <c r="AC63" i="6"/>
  <c r="AC42" i="6"/>
  <c r="AC69" i="6"/>
  <c r="AC51" i="6"/>
  <c r="AC36" i="6"/>
  <c r="AC71" i="6"/>
  <c r="BT71" i="6"/>
  <c r="AC104" i="6"/>
  <c r="BT104" i="6"/>
  <c r="AC134" i="6"/>
  <c r="AC89" i="6"/>
  <c r="AC113" i="6"/>
  <c r="AC130" i="6"/>
  <c r="AC146" i="6"/>
  <c r="AC132" i="6"/>
  <c r="AC101" i="6"/>
  <c r="AC133" i="6"/>
  <c r="AC165" i="6"/>
  <c r="AC183" i="6"/>
  <c r="AC155" i="6"/>
  <c r="AC188" i="6"/>
  <c r="AC182" i="6"/>
  <c r="AC191" i="6"/>
  <c r="AC203" i="6"/>
  <c r="AC229" i="6"/>
  <c r="C223" i="6"/>
  <c r="AC223" i="6"/>
  <c r="AC224" i="6"/>
  <c r="C209" i="6"/>
  <c r="AC209" i="6"/>
  <c r="AC202" i="6"/>
  <c r="AC234" i="6"/>
  <c r="AC235" i="6"/>
  <c r="AC228" i="6"/>
  <c r="AC259" i="6"/>
  <c r="AC261" i="6"/>
  <c r="AC273" i="6"/>
  <c r="AC249" i="6"/>
  <c r="AC301" i="6"/>
  <c r="AC286" i="6"/>
  <c r="C279" i="6"/>
  <c r="AC279" i="6"/>
  <c r="AC296" i="6"/>
  <c r="AC290" i="6"/>
  <c r="AC319" i="6"/>
  <c r="AC328" i="6"/>
  <c r="AC357" i="6"/>
  <c r="A357" i="6" s="1"/>
  <c r="AC341" i="6"/>
  <c r="AC343" i="6"/>
  <c r="AC350" i="6"/>
  <c r="AC345" i="6"/>
  <c r="BT350" i="6"/>
  <c r="AC356" i="6"/>
  <c r="A356" i="6" s="1"/>
  <c r="AC376" i="6"/>
  <c r="A376" i="6" s="1"/>
  <c r="AC363" i="6"/>
  <c r="A363" i="6" s="1"/>
  <c r="AC388" i="6"/>
  <c r="A388" i="6" s="1"/>
  <c r="AC389" i="6"/>
  <c r="A389" i="6" s="1"/>
  <c r="AC417" i="6"/>
  <c r="A417" i="6" s="1"/>
  <c r="AC404" i="6"/>
  <c r="A404" i="6" s="1"/>
  <c r="AC420" i="6"/>
  <c r="A420" i="6" s="1"/>
  <c r="AC422" i="6"/>
  <c r="A422" i="6" s="1"/>
  <c r="AC416" i="6"/>
  <c r="A416" i="6" s="1"/>
  <c r="BT422" i="6"/>
  <c r="AC444" i="6"/>
  <c r="A444" i="6" s="1"/>
  <c r="AC456" i="6"/>
  <c r="A456" i="6" s="1"/>
  <c r="AC467" i="6"/>
  <c r="A467" i="6" s="1"/>
  <c r="BT467" i="6"/>
  <c r="AC33" i="6"/>
  <c r="AC14" i="6"/>
  <c r="AC21" i="6"/>
  <c r="BT14" i="6"/>
  <c r="BT67" i="6"/>
  <c r="AC37" i="6"/>
  <c r="AC30" i="6"/>
  <c r="AC31" i="6"/>
  <c r="AC58" i="6"/>
  <c r="AC90" i="6"/>
  <c r="AC75" i="6"/>
  <c r="AC114" i="6"/>
  <c r="BT99" i="6"/>
  <c r="AC93" i="6"/>
  <c r="AC70" i="6"/>
  <c r="AC110" i="6"/>
  <c r="AC106" i="6"/>
  <c r="AC72" i="6"/>
  <c r="AC102" i="6"/>
  <c r="BT93" i="6"/>
  <c r="AC149" i="6"/>
  <c r="BT134" i="6"/>
  <c r="AC123" i="6"/>
  <c r="AC154" i="6"/>
  <c r="AC119" i="6"/>
  <c r="AC112" i="6"/>
  <c r="AC168" i="6"/>
  <c r="AC187" i="6"/>
  <c r="AC148" i="6"/>
  <c r="AC180" i="6"/>
  <c r="BT182" i="6"/>
  <c r="AC184" i="6"/>
  <c r="AC194" i="6"/>
  <c r="AC213" i="6"/>
  <c r="AC237" i="6"/>
  <c r="AC238" i="6"/>
  <c r="BT228" i="6"/>
  <c r="BT213" i="6"/>
  <c r="BT238" i="6"/>
  <c r="AC243" i="6"/>
  <c r="AC252" i="6"/>
  <c r="AC283" i="6"/>
  <c r="AC254" i="6"/>
  <c r="C247" i="6"/>
  <c r="AC247" i="6"/>
  <c r="AC264" i="6"/>
  <c r="AC299" i="6"/>
  <c r="BT283" i="6"/>
  <c r="AC314" i="6"/>
  <c r="AC305" i="6"/>
  <c r="AC324" i="6"/>
  <c r="AC349" i="6"/>
  <c r="AC331" i="6"/>
  <c r="AC360" i="6"/>
  <c r="A360" i="6" s="1"/>
  <c r="BT349" i="6"/>
  <c r="AC354" i="6"/>
  <c r="A354" i="6" s="1"/>
  <c r="BT360" i="6"/>
  <c r="AC374" i="6"/>
  <c r="A374" i="6" s="1"/>
  <c r="AC387" i="6"/>
  <c r="A387" i="6" s="1"/>
  <c r="AC393" i="6"/>
  <c r="A393" i="6" s="1"/>
  <c r="AC391" i="6"/>
  <c r="A391" i="6" s="1"/>
  <c r="AC395" i="6"/>
  <c r="A395" i="6" s="1"/>
  <c r="AC414" i="6"/>
  <c r="A414" i="6" s="1"/>
  <c r="AC412" i="6"/>
  <c r="A412" i="6" s="1"/>
  <c r="AC426" i="6"/>
  <c r="A426" i="6" s="1"/>
  <c r="AC427" i="6"/>
  <c r="A427" i="6" s="1"/>
  <c r="AC438" i="6"/>
  <c r="A438" i="6" s="1"/>
  <c r="AC446" i="6"/>
  <c r="A446" i="6" s="1"/>
  <c r="AC461" i="6"/>
  <c r="A461" i="6" s="1"/>
  <c r="AC457" i="6"/>
  <c r="A457" i="6" s="1"/>
  <c r="BT463" i="6"/>
  <c r="C32" i="6"/>
  <c r="AC32" i="6"/>
  <c r="AC40" i="6"/>
  <c r="AC41" i="6"/>
  <c r="AC68" i="6"/>
  <c r="AC50" i="6"/>
  <c r="AC27" i="6"/>
  <c r="AC44" i="6"/>
  <c r="BT41" i="6"/>
  <c r="BT35" i="6"/>
  <c r="AC100" i="6"/>
  <c r="AC98" i="6"/>
  <c r="AC97" i="6"/>
  <c r="AC121" i="6"/>
  <c r="AC153" i="6"/>
  <c r="AC138" i="6"/>
  <c r="AC173" i="6"/>
  <c r="AC140" i="6"/>
  <c r="AC109" i="6"/>
  <c r="BT146" i="6"/>
  <c r="BT123" i="6"/>
  <c r="BT116" i="6"/>
  <c r="AC163" i="6"/>
  <c r="BT183" i="6"/>
  <c r="BT155" i="6"/>
  <c r="AC196" i="6"/>
  <c r="AC190" i="6"/>
  <c r="C190" i="6"/>
  <c r="AC199" i="6"/>
  <c r="C199" i="6"/>
  <c r="AC219" i="6"/>
  <c r="AC239" i="6"/>
  <c r="AC240" i="6"/>
  <c r="AC231" i="6"/>
  <c r="AC232" i="6"/>
  <c r="AC217" i="6"/>
  <c r="AC210" i="6"/>
  <c r="AC250" i="6"/>
  <c r="AC236" i="6"/>
  <c r="AC267" i="6"/>
  <c r="AC269" i="6"/>
  <c r="AC257" i="6"/>
  <c r="AC315" i="6"/>
  <c r="AC309" i="6"/>
  <c r="AC294" i="6"/>
  <c r="C294" i="6"/>
  <c r="AC287" i="6"/>
  <c r="AC318" i="6"/>
  <c r="AC307" i="6"/>
  <c r="AC298" i="6"/>
  <c r="C326" i="6"/>
  <c r="AC326" i="6"/>
  <c r="AC327" i="6"/>
  <c r="BT309" i="6"/>
  <c r="AC323" i="6"/>
  <c r="AC332" i="6"/>
  <c r="AC334" i="6"/>
  <c r="BT332" i="6"/>
  <c r="AC346" i="6"/>
  <c r="C358" i="6"/>
  <c r="AC358" i="6"/>
  <c r="A358" i="6" s="1"/>
  <c r="AC364" i="6"/>
  <c r="A364" i="6" s="1"/>
  <c r="AC353" i="6"/>
  <c r="A353" i="6" s="1"/>
  <c r="BT358" i="6"/>
  <c r="AC369" i="6"/>
  <c r="A369" i="6" s="1"/>
  <c r="AC371" i="6"/>
  <c r="A371" i="6" s="1"/>
  <c r="BT391" i="6"/>
  <c r="AC382" i="6"/>
  <c r="A382" i="6" s="1"/>
  <c r="AC425" i="6"/>
  <c r="A425" i="6" s="1"/>
  <c r="BT395" i="6"/>
  <c r="AC415" i="6"/>
  <c r="A415" i="6" s="1"/>
  <c r="BT425" i="6"/>
  <c r="AC431" i="6"/>
  <c r="A431" i="6" s="1"/>
  <c r="AC424" i="6"/>
  <c r="A424" i="6" s="1"/>
  <c r="AC459" i="6"/>
  <c r="A459" i="6" s="1"/>
  <c r="AC443" i="6"/>
  <c r="A443" i="6" s="1"/>
  <c r="AC452" i="6"/>
  <c r="A452" i="6" s="1"/>
  <c r="AC458" i="6"/>
  <c r="A458" i="6" s="1"/>
  <c r="AC465" i="6"/>
  <c r="A465" i="6" s="1"/>
  <c r="AC29" i="6"/>
  <c r="AC20" i="6"/>
  <c r="AC25" i="6"/>
  <c r="BT44" i="6"/>
  <c r="BT69" i="6"/>
  <c r="BT54" i="6"/>
  <c r="BT31" i="6"/>
  <c r="AC60" i="6"/>
  <c r="AC45" i="6"/>
  <c r="AC38" i="6"/>
  <c r="AC39" i="6"/>
  <c r="AC66" i="6"/>
  <c r="BT98" i="6"/>
  <c r="AC83" i="6"/>
  <c r="AC76" i="6"/>
  <c r="AC115" i="6"/>
  <c r="AC78" i="6"/>
  <c r="AC79" i="6"/>
  <c r="C79" i="6"/>
  <c r="AC111" i="6"/>
  <c r="AC80" i="6"/>
  <c r="AC107" i="6"/>
  <c r="BT102" i="6"/>
  <c r="AC157" i="6"/>
  <c r="BT143" i="6"/>
  <c r="AC131" i="6"/>
  <c r="BT112" i="6"/>
  <c r="AC142" i="6"/>
  <c r="BT113" i="6"/>
  <c r="AC147" i="6"/>
  <c r="C147" i="6"/>
  <c r="AC127" i="6"/>
  <c r="AC120" i="6"/>
  <c r="AC144" i="6"/>
  <c r="AC176" i="6"/>
  <c r="AC162" i="6"/>
  <c r="AC156" i="6"/>
  <c r="AC158" i="6"/>
  <c r="AC159" i="6"/>
  <c r="AC185" i="6"/>
  <c r="BT191" i="6"/>
  <c r="BT185" i="6"/>
  <c r="BT194" i="6"/>
  <c r="AC221" i="6"/>
  <c r="BT203" i="6"/>
  <c r="BT239" i="6"/>
  <c r="AC214" i="6"/>
  <c r="AC242" i="6"/>
  <c r="BT235" i="6"/>
  <c r="BT236" i="6"/>
  <c r="BT221" i="6"/>
  <c r="BT214" i="6"/>
  <c r="BT254" i="6"/>
  <c r="AC260" i="6"/>
  <c r="AC262" i="6"/>
  <c r="AC255" i="6"/>
  <c r="AC291" i="6"/>
  <c r="AC272" i="6"/>
  <c r="BT261" i="6"/>
  <c r="AC284" i="6"/>
  <c r="AC310" i="6"/>
  <c r="BT298" i="6"/>
  <c r="BT291" i="6"/>
  <c r="BT301" i="6"/>
  <c r="BT328" i="6"/>
  <c r="AC313" i="6"/>
  <c r="BT327" i="6"/>
  <c r="AC336" i="6"/>
  <c r="BT334" i="6"/>
  <c r="AC339" i="6"/>
  <c r="AC365" i="6"/>
  <c r="A365" i="6" s="1"/>
  <c r="C366" i="6"/>
  <c r="AC366" i="6"/>
  <c r="A366" i="6" s="1"/>
  <c r="BT357" i="6"/>
  <c r="BT351" i="6"/>
  <c r="AC362" i="6"/>
  <c r="A362" i="6" s="1"/>
  <c r="BT373" i="6"/>
  <c r="AC380" i="6"/>
  <c r="A380" i="6" s="1"/>
  <c r="AC386" i="6"/>
  <c r="A386" i="6" s="1"/>
  <c r="AC394" i="6"/>
  <c r="A394" i="6" s="1"/>
  <c r="AC400" i="6"/>
  <c r="A400" i="6" s="1"/>
  <c r="BT386" i="6"/>
  <c r="BT424" i="6"/>
  <c r="AC403" i="6"/>
  <c r="A403" i="6" s="1"/>
  <c r="BT409" i="6"/>
  <c r="AC399" i="6"/>
  <c r="A399" i="6" s="1"/>
  <c r="AC413" i="6"/>
  <c r="A413" i="6" s="1"/>
  <c r="AC433" i="6"/>
  <c r="A433" i="6" s="1"/>
  <c r="AC434" i="6"/>
  <c r="A434" i="6" s="1"/>
  <c r="AC432" i="6"/>
  <c r="A432" i="6" s="1"/>
  <c r="BT443" i="6"/>
  <c r="AC447" i="6"/>
  <c r="A447" i="6" s="1"/>
  <c r="C447" i="6"/>
  <c r="AC455" i="6"/>
  <c r="A455" i="6" s="1"/>
  <c r="AC462" i="6"/>
  <c r="A462" i="6" s="1"/>
  <c r="AC460" i="6"/>
  <c r="A460" i="6" s="1"/>
  <c r="AH469" i="6"/>
  <c r="BT28" i="6"/>
  <c r="BT22" i="6"/>
  <c r="BT36" i="6"/>
  <c r="AC26" i="6"/>
  <c r="AC49" i="6"/>
  <c r="AC73" i="6"/>
  <c r="AC145" i="6"/>
  <c r="AC117" i="6"/>
  <c r="AC171" i="6"/>
  <c r="AC195" i="6"/>
  <c r="AC189" i="6"/>
  <c r="AC198" i="6"/>
  <c r="AC206" i="6"/>
  <c r="AC207" i="6"/>
  <c r="AC208" i="6"/>
  <c r="AC225" i="6"/>
  <c r="AC218" i="6"/>
  <c r="AC212" i="6"/>
  <c r="AC276" i="6"/>
  <c r="AC245" i="6"/>
  <c r="AC297" i="6"/>
  <c r="AC274" i="6"/>
  <c r="AC265" i="6"/>
  <c r="AC285" i="6"/>
  <c r="C302" i="6"/>
  <c r="AC302" i="6"/>
  <c r="AC295" i="6"/>
  <c r="AC280" i="6"/>
  <c r="AC308" i="6"/>
  <c r="AC330" i="6"/>
  <c r="AC312" i="6"/>
  <c r="AC329" i="6"/>
  <c r="BT329" i="6"/>
  <c r="AC342" i="6"/>
  <c r="AC338" i="6"/>
  <c r="AC340" i="6"/>
  <c r="AC361" i="6"/>
  <c r="A361" i="6" s="1"/>
  <c r="AC355" i="6"/>
  <c r="A355" i="6" s="1"/>
  <c r="AC377" i="6"/>
  <c r="A377" i="6" s="1"/>
  <c r="AC379" i="6"/>
  <c r="A379" i="6" s="1"/>
  <c r="AC392" i="6"/>
  <c r="A392" i="6" s="1"/>
  <c r="AC398" i="6"/>
  <c r="A398" i="6" s="1"/>
  <c r="AC390" i="6"/>
  <c r="A390" i="6" s="1"/>
  <c r="AC429" i="6"/>
  <c r="A429" i="6" s="1"/>
  <c r="AC442" i="6"/>
  <c r="A442" i="6" s="1"/>
  <c r="AC440" i="6"/>
  <c r="A440" i="6" s="1"/>
  <c r="AC436" i="6"/>
  <c r="A436" i="6" s="1"/>
  <c r="BT440" i="6"/>
  <c r="AC449" i="6"/>
  <c r="A449" i="6" s="1"/>
  <c r="AC448" i="6"/>
  <c r="A448" i="6" s="1"/>
  <c r="AC464" i="6"/>
  <c r="A464" i="6" s="1"/>
  <c r="BT462" i="6"/>
  <c r="AC19" i="6"/>
  <c r="C24" i="6"/>
  <c r="AC24" i="6"/>
  <c r="AC48" i="6"/>
  <c r="AC52" i="6"/>
  <c r="BT49" i="6"/>
  <c r="AC103" i="6"/>
  <c r="AC169" i="6"/>
  <c r="AC16" i="6"/>
  <c r="AC15" i="6"/>
  <c r="AC13" i="6"/>
  <c r="BT52" i="6"/>
  <c r="BT30" i="6"/>
  <c r="AC59" i="6"/>
  <c r="AC53" i="6"/>
  <c r="C53" i="6"/>
  <c r="AC46" i="6"/>
  <c r="AC47" i="6"/>
  <c r="AD74" i="6"/>
  <c r="D74" i="6" s="1"/>
  <c r="AC74" i="6"/>
  <c r="AC91" i="6"/>
  <c r="AC84" i="6"/>
  <c r="AC77" i="6"/>
  <c r="BT130" i="6"/>
  <c r="AC86" i="6"/>
  <c r="AC87" i="6"/>
  <c r="AC118" i="6"/>
  <c r="C118" i="6"/>
  <c r="AC88" i="6"/>
  <c r="BT77" i="6"/>
  <c r="BT101" i="6"/>
  <c r="BT133" i="6"/>
  <c r="BT149" i="6"/>
  <c r="AC139" i="6"/>
  <c r="AC151" i="6"/>
  <c r="BT121" i="6"/>
  <c r="AC161" i="6"/>
  <c r="AC135" i="6"/>
  <c r="C128" i="6"/>
  <c r="AC128" i="6"/>
  <c r="AC152" i="6"/>
  <c r="AC186" i="6"/>
  <c r="AC170" i="6"/>
  <c r="C164" i="6"/>
  <c r="AC164" i="6"/>
  <c r="AC166" i="6"/>
  <c r="AC167" i="6"/>
  <c r="AC193" i="6"/>
  <c r="BT199" i="6"/>
  <c r="BT193" i="6"/>
  <c r="C192" i="6"/>
  <c r="AC192" i="6"/>
  <c r="AC205" i="6"/>
  <c r="AC222" i="6"/>
  <c r="BT212" i="6"/>
  <c r="AC258" i="6"/>
  <c r="BT229" i="6"/>
  <c r="BT222" i="6"/>
  <c r="BT223" i="6"/>
  <c r="AC289" i="6"/>
  <c r="AC268" i="6"/>
  <c r="BT249" i="6"/>
  <c r="BT308" i="6"/>
  <c r="AC270" i="6"/>
  <c r="AC263" i="6"/>
  <c r="AC248" i="6"/>
  <c r="AC281" i="6"/>
  <c r="C281" i="6"/>
  <c r="BT269" i="6"/>
  <c r="AC292" i="6"/>
  <c r="BT289" i="6"/>
  <c r="AC317" i="6"/>
  <c r="AC304" i="6"/>
  <c r="BT299" i="6"/>
  <c r="BT314" i="6"/>
  <c r="AC321" i="6"/>
  <c r="AC337" i="6"/>
  <c r="C333" i="6"/>
  <c r="AC333" i="6"/>
  <c r="BT331" i="6"/>
  <c r="BT343" i="6"/>
  <c r="AC344" i="6"/>
  <c r="BT377" i="6"/>
  <c r="AC370" i="6"/>
  <c r="A370" i="6" s="1"/>
  <c r="C370" i="6"/>
  <c r="AC372" i="6"/>
  <c r="A372" i="6" s="1"/>
  <c r="AC411" i="6"/>
  <c r="A411" i="6" s="1"/>
  <c r="BT393" i="6"/>
  <c r="AC405" i="6"/>
  <c r="A405" i="6" s="1"/>
  <c r="AC401" i="6"/>
  <c r="A401" i="6" s="1"/>
  <c r="BT398" i="6"/>
  <c r="BT392" i="6"/>
  <c r="AC407" i="6"/>
  <c r="A407" i="6" s="1"/>
  <c r="AC439" i="6"/>
  <c r="A439" i="6" s="1"/>
  <c r="AC423" i="6"/>
  <c r="A423" i="6" s="1"/>
  <c r="AC428" i="6"/>
  <c r="A428" i="6" s="1"/>
  <c r="AC445" i="6"/>
  <c r="A445" i="6" s="1"/>
  <c r="AC450" i="6"/>
  <c r="A450" i="6" s="1"/>
  <c r="BT449" i="6"/>
  <c r="AC468" i="6"/>
  <c r="A468" i="6" s="1"/>
  <c r="AC466" i="6"/>
  <c r="A466" i="6" s="1"/>
  <c r="AC18" i="6"/>
  <c r="BR193" i="6" l="1"/>
  <c r="T193" i="6" s="1"/>
  <c r="BM193" i="6"/>
  <c r="BE193" i="6"/>
  <c r="AW193" i="6"/>
  <c r="AO193" i="6"/>
  <c r="AH396" i="6"/>
  <c r="E396" i="6" s="1"/>
  <c r="BR396" i="6"/>
  <c r="T396" i="6" s="1"/>
  <c r="BM396" i="6"/>
  <c r="BE396" i="6"/>
  <c r="AW396" i="6"/>
  <c r="K396" i="6" s="1"/>
  <c r="AO396" i="6"/>
  <c r="AH151" i="6"/>
  <c r="E151" i="6" s="1"/>
  <c r="BR151" i="6"/>
  <c r="T151" i="6" s="1"/>
  <c r="BM151" i="6"/>
  <c r="BE151" i="6"/>
  <c r="AW151" i="6"/>
  <c r="K151" i="6" s="1"/>
  <c r="AO151" i="6"/>
  <c r="AH366" i="6"/>
  <c r="E366" i="6" s="1"/>
  <c r="BR366" i="6"/>
  <c r="T366" i="6" s="1"/>
  <c r="BE366" i="6"/>
  <c r="BM366" i="6"/>
  <c r="AW366" i="6"/>
  <c r="K366" i="6" s="1"/>
  <c r="AO366" i="6"/>
  <c r="AH225" i="6"/>
  <c r="AK225" i="6" s="1"/>
  <c r="AJ225" i="6" s="1"/>
  <c r="AI225" i="6" s="1"/>
  <c r="G225" i="6" s="1"/>
  <c r="BR225" i="6"/>
  <c r="T225" i="6" s="1"/>
  <c r="BM225" i="6"/>
  <c r="BE225" i="6"/>
  <c r="AW225" i="6"/>
  <c r="AZ225" i="6" s="1"/>
  <c r="AY225" i="6" s="1"/>
  <c r="AX225" i="6" s="1"/>
  <c r="M225" i="6" s="1"/>
  <c r="AO225" i="6"/>
  <c r="AH317" i="6"/>
  <c r="AK317" i="6" s="1"/>
  <c r="AJ317" i="6" s="1"/>
  <c r="AI317" i="6" s="1"/>
  <c r="G317" i="6" s="1"/>
  <c r="BR317" i="6"/>
  <c r="T317" i="6" s="1"/>
  <c r="BM317" i="6"/>
  <c r="BE317" i="6"/>
  <c r="AW317" i="6"/>
  <c r="K317" i="6" s="1"/>
  <c r="AO317" i="6"/>
  <c r="BR308" i="6"/>
  <c r="T308" i="6" s="1"/>
  <c r="BM308" i="6"/>
  <c r="BE308" i="6"/>
  <c r="AW308" i="6"/>
  <c r="AO308" i="6"/>
  <c r="BR149" i="6"/>
  <c r="T149" i="6" s="1"/>
  <c r="BM149" i="6"/>
  <c r="BE149" i="6"/>
  <c r="AW149" i="6"/>
  <c r="AO149" i="6"/>
  <c r="BR49" i="6"/>
  <c r="T49" i="6" s="1"/>
  <c r="BM49" i="6"/>
  <c r="BE49" i="6"/>
  <c r="AW49" i="6"/>
  <c r="AO49" i="6"/>
  <c r="AH237" i="6"/>
  <c r="E237" i="6" s="1"/>
  <c r="BR237" i="6"/>
  <c r="T237" i="6" s="1"/>
  <c r="BM237" i="6"/>
  <c r="BE237" i="6"/>
  <c r="AW237" i="6"/>
  <c r="K237" i="6" s="1"/>
  <c r="AO237" i="6"/>
  <c r="AH60" i="6"/>
  <c r="AK60" i="6" s="1"/>
  <c r="AJ60" i="6" s="1"/>
  <c r="AI60" i="6" s="1"/>
  <c r="G60" i="6" s="1"/>
  <c r="BR60" i="6"/>
  <c r="T60" i="6" s="1"/>
  <c r="BE60" i="6"/>
  <c r="BM60" i="6"/>
  <c r="AW60" i="6"/>
  <c r="AZ60" i="6" s="1"/>
  <c r="AY60" i="6" s="1"/>
  <c r="AX60" i="6" s="1"/>
  <c r="M60" i="6" s="1"/>
  <c r="AO60" i="6"/>
  <c r="AH174" i="6"/>
  <c r="AK174" i="6" s="1"/>
  <c r="AJ174" i="6" s="1"/>
  <c r="AI174" i="6" s="1"/>
  <c r="G174" i="6" s="1"/>
  <c r="BM174" i="6"/>
  <c r="BR174" i="6"/>
  <c r="T174" i="6" s="1"/>
  <c r="BE174" i="6"/>
  <c r="AW174" i="6"/>
  <c r="AZ174" i="6" s="1"/>
  <c r="AY174" i="6" s="1"/>
  <c r="AX174" i="6" s="1"/>
  <c r="M174" i="6" s="1"/>
  <c r="AO174" i="6"/>
  <c r="AH87" i="6"/>
  <c r="AK87" i="6" s="1"/>
  <c r="AJ87" i="6" s="1"/>
  <c r="AI87" i="6" s="1"/>
  <c r="G87" i="6" s="1"/>
  <c r="BR87" i="6"/>
  <c r="T87" i="6" s="1"/>
  <c r="BM87" i="6"/>
  <c r="BE87" i="6"/>
  <c r="AW87" i="6"/>
  <c r="K87" i="6" s="1"/>
  <c r="AO87" i="6"/>
  <c r="AH441" i="6"/>
  <c r="AK441" i="6" s="1"/>
  <c r="AJ441" i="6" s="1"/>
  <c r="AI441" i="6" s="1"/>
  <c r="G441" i="6" s="1"/>
  <c r="BR441" i="6"/>
  <c r="T441" i="6" s="1"/>
  <c r="BM441" i="6"/>
  <c r="BE441" i="6"/>
  <c r="AW441" i="6"/>
  <c r="AZ441" i="6" s="1"/>
  <c r="AY441" i="6" s="1"/>
  <c r="AX441" i="6" s="1"/>
  <c r="M441" i="6" s="1"/>
  <c r="AO441" i="6"/>
  <c r="BM69" i="6"/>
  <c r="BR69" i="6"/>
  <c r="T69" i="6" s="1"/>
  <c r="BE69" i="6"/>
  <c r="AW69" i="6"/>
  <c r="AO69" i="6"/>
  <c r="BR309" i="6"/>
  <c r="T309" i="6" s="1"/>
  <c r="BM309" i="6"/>
  <c r="BE309" i="6"/>
  <c r="AW309" i="6"/>
  <c r="AO309" i="6"/>
  <c r="BR299" i="6"/>
  <c r="T299" i="6" s="1"/>
  <c r="BM299" i="6"/>
  <c r="BE299" i="6"/>
  <c r="AW299" i="6"/>
  <c r="AO299" i="6"/>
  <c r="BR199" i="6"/>
  <c r="T199" i="6" s="1"/>
  <c r="BM199" i="6"/>
  <c r="BE199" i="6"/>
  <c r="AW199" i="6"/>
  <c r="AO199" i="6"/>
  <c r="BR77" i="6"/>
  <c r="T77" i="6" s="1"/>
  <c r="BM77" i="6"/>
  <c r="BE77" i="6"/>
  <c r="AW77" i="6"/>
  <c r="AO77" i="6"/>
  <c r="BR30" i="6"/>
  <c r="T30" i="6" s="1"/>
  <c r="BE30" i="6"/>
  <c r="BM30" i="6"/>
  <c r="AW30" i="6"/>
  <c r="AO30" i="6"/>
  <c r="BR36" i="6"/>
  <c r="T36" i="6" s="1"/>
  <c r="BM36" i="6"/>
  <c r="BE36" i="6"/>
  <c r="AW36" i="6"/>
  <c r="AO36" i="6"/>
  <c r="BR102" i="6"/>
  <c r="T102" i="6" s="1"/>
  <c r="BM102" i="6"/>
  <c r="BE102" i="6"/>
  <c r="AW102" i="6"/>
  <c r="AO102" i="6"/>
  <c r="BR398" i="6"/>
  <c r="T398" i="6" s="1"/>
  <c r="BE398" i="6"/>
  <c r="BM398" i="6"/>
  <c r="AW398" i="6"/>
  <c r="AO398" i="6"/>
  <c r="BR223" i="6"/>
  <c r="T223" i="6" s="1"/>
  <c r="BM223" i="6"/>
  <c r="BE223" i="6"/>
  <c r="AW223" i="6"/>
  <c r="AO223" i="6"/>
  <c r="BR121" i="6"/>
  <c r="T121" i="6" s="1"/>
  <c r="BM121" i="6"/>
  <c r="BE121" i="6"/>
  <c r="AW121" i="6"/>
  <c r="AO121" i="6"/>
  <c r="BR301" i="6"/>
  <c r="T301" i="6" s="1"/>
  <c r="BM301" i="6"/>
  <c r="BE301" i="6"/>
  <c r="AW301" i="6"/>
  <c r="AO301" i="6"/>
  <c r="BR236" i="6"/>
  <c r="T236" i="6" s="1"/>
  <c r="BM236" i="6"/>
  <c r="BE236" i="6"/>
  <c r="AW236" i="6"/>
  <c r="AO236" i="6"/>
  <c r="BR194" i="6"/>
  <c r="T194" i="6" s="1"/>
  <c r="BM194" i="6"/>
  <c r="BE194" i="6"/>
  <c r="AW194" i="6"/>
  <c r="AO194" i="6"/>
  <c r="BR228" i="6"/>
  <c r="T228" i="6" s="1"/>
  <c r="BM228" i="6"/>
  <c r="BE228" i="6"/>
  <c r="AW228" i="6"/>
  <c r="AO228" i="6"/>
  <c r="BR85" i="6"/>
  <c r="T85" i="6" s="1"/>
  <c r="BM85" i="6"/>
  <c r="BE85" i="6"/>
  <c r="AW85" i="6"/>
  <c r="AO85" i="6"/>
  <c r="AH226" i="6"/>
  <c r="E226" i="6" s="1"/>
  <c r="BR226" i="6"/>
  <c r="T226" i="6" s="1"/>
  <c r="BM226" i="6"/>
  <c r="BE226" i="6"/>
  <c r="AW226" i="6"/>
  <c r="AZ226" i="6" s="1"/>
  <c r="AY226" i="6" s="1"/>
  <c r="AX226" i="6" s="1"/>
  <c r="M226" i="6" s="1"/>
  <c r="AO226" i="6"/>
  <c r="AH142" i="6"/>
  <c r="AK142" i="6" s="1"/>
  <c r="AJ142" i="6" s="1"/>
  <c r="AI142" i="6" s="1"/>
  <c r="G142" i="6" s="1"/>
  <c r="BR142" i="6"/>
  <c r="T142" i="6" s="1"/>
  <c r="BM142" i="6"/>
  <c r="BE142" i="6"/>
  <c r="AW142" i="6"/>
  <c r="K142" i="6" s="1"/>
  <c r="AO142" i="6"/>
  <c r="AH429" i="6"/>
  <c r="AK429" i="6" s="1"/>
  <c r="AJ429" i="6" s="1"/>
  <c r="AI429" i="6" s="1"/>
  <c r="G429" i="6" s="1"/>
  <c r="BR429" i="6"/>
  <c r="T429" i="6" s="1"/>
  <c r="BM429" i="6"/>
  <c r="BE429" i="6"/>
  <c r="AW429" i="6"/>
  <c r="AZ429" i="6" s="1"/>
  <c r="AY429" i="6" s="1"/>
  <c r="AX429" i="6" s="1"/>
  <c r="M429" i="6" s="1"/>
  <c r="AO429" i="6"/>
  <c r="AH154" i="6"/>
  <c r="AK154" i="6" s="1"/>
  <c r="AJ154" i="6" s="1"/>
  <c r="AI154" i="6" s="1"/>
  <c r="G154" i="6" s="1"/>
  <c r="BR154" i="6"/>
  <c r="T154" i="6" s="1"/>
  <c r="BM154" i="6"/>
  <c r="BE154" i="6"/>
  <c r="AW154" i="6"/>
  <c r="K154" i="6" s="1"/>
  <c r="AO154" i="6"/>
  <c r="AH339" i="6"/>
  <c r="AK339" i="6" s="1"/>
  <c r="AJ339" i="6" s="1"/>
  <c r="AI339" i="6" s="1"/>
  <c r="G339" i="6" s="1"/>
  <c r="BR339" i="6"/>
  <c r="T339" i="6" s="1"/>
  <c r="BM339" i="6"/>
  <c r="BE339" i="6"/>
  <c r="AW339" i="6"/>
  <c r="AZ339" i="6" s="1"/>
  <c r="AY339" i="6" s="1"/>
  <c r="AX339" i="6" s="1"/>
  <c r="M339" i="6" s="1"/>
  <c r="AO339" i="6"/>
  <c r="AH417" i="6"/>
  <c r="AK417" i="6" s="1"/>
  <c r="AJ417" i="6" s="1"/>
  <c r="AI417" i="6" s="1"/>
  <c r="G417" i="6" s="1"/>
  <c r="BR417" i="6"/>
  <c r="T417" i="6" s="1"/>
  <c r="BM417" i="6"/>
  <c r="BE417" i="6"/>
  <c r="AW417" i="6"/>
  <c r="K417" i="6" s="1"/>
  <c r="AO417" i="6"/>
  <c r="BR443" i="6"/>
  <c r="T443" i="6" s="1"/>
  <c r="BM443" i="6"/>
  <c r="BE443" i="6"/>
  <c r="AW443" i="6"/>
  <c r="AO443" i="6"/>
  <c r="BR424" i="6"/>
  <c r="T424" i="6" s="1"/>
  <c r="BM424" i="6"/>
  <c r="BE424" i="6"/>
  <c r="AW424" i="6"/>
  <c r="AO424" i="6"/>
  <c r="BR183" i="6"/>
  <c r="T183" i="6" s="1"/>
  <c r="BM183" i="6"/>
  <c r="BE183" i="6"/>
  <c r="AW183" i="6"/>
  <c r="AO183" i="6"/>
  <c r="BR463" i="6"/>
  <c r="T463" i="6" s="1"/>
  <c r="BM463" i="6"/>
  <c r="BE463" i="6"/>
  <c r="AW463" i="6"/>
  <c r="AO463" i="6"/>
  <c r="AH448" i="6"/>
  <c r="BR448" i="6"/>
  <c r="T448" i="6" s="1"/>
  <c r="BM448" i="6"/>
  <c r="BE448" i="6"/>
  <c r="AW448" i="6"/>
  <c r="K448" i="6" s="1"/>
  <c r="AO448" i="6"/>
  <c r="AH246" i="6"/>
  <c r="AK246" i="6" s="1"/>
  <c r="AJ246" i="6" s="1"/>
  <c r="AI246" i="6" s="1"/>
  <c r="G246" i="6" s="1"/>
  <c r="BR246" i="6"/>
  <c r="T246" i="6" s="1"/>
  <c r="BM246" i="6"/>
  <c r="BE246" i="6"/>
  <c r="AW246" i="6"/>
  <c r="AZ246" i="6" s="1"/>
  <c r="AY246" i="6" s="1"/>
  <c r="AX246" i="6" s="1"/>
  <c r="M246" i="6" s="1"/>
  <c r="AO246" i="6"/>
  <c r="BR31" i="6"/>
  <c r="T31" i="6" s="1"/>
  <c r="BM31" i="6"/>
  <c r="BE31" i="6"/>
  <c r="AW31" i="6"/>
  <c r="AO31" i="6"/>
  <c r="BR123" i="6"/>
  <c r="T123" i="6" s="1"/>
  <c r="BM123" i="6"/>
  <c r="BE123" i="6"/>
  <c r="AW123" i="6"/>
  <c r="AO123" i="6"/>
  <c r="BR289" i="6"/>
  <c r="T289" i="6" s="1"/>
  <c r="BM289" i="6"/>
  <c r="BE289" i="6"/>
  <c r="AW289" i="6"/>
  <c r="AO289" i="6"/>
  <c r="BR229" i="6"/>
  <c r="T229" i="6" s="1"/>
  <c r="BM229" i="6"/>
  <c r="BE229" i="6"/>
  <c r="AW229" i="6"/>
  <c r="AO229" i="6"/>
  <c r="BR298" i="6"/>
  <c r="T298" i="6" s="1"/>
  <c r="BM298" i="6"/>
  <c r="BE298" i="6"/>
  <c r="AW298" i="6"/>
  <c r="AO298" i="6"/>
  <c r="BR191" i="6"/>
  <c r="T191" i="6" s="1"/>
  <c r="BM191" i="6"/>
  <c r="BE191" i="6"/>
  <c r="AW191" i="6"/>
  <c r="AO191" i="6"/>
  <c r="AH205" i="6"/>
  <c r="E205" i="6" s="1"/>
  <c r="BR205" i="6"/>
  <c r="T205" i="6" s="1"/>
  <c r="BM205" i="6"/>
  <c r="BE205" i="6"/>
  <c r="AW205" i="6"/>
  <c r="K205" i="6" s="1"/>
  <c r="AO205" i="6"/>
  <c r="AH192" i="6"/>
  <c r="AK192" i="6" s="1"/>
  <c r="AJ192" i="6" s="1"/>
  <c r="AI192" i="6" s="1"/>
  <c r="G192" i="6" s="1"/>
  <c r="BR192" i="6"/>
  <c r="T192" i="6" s="1"/>
  <c r="BM192" i="6"/>
  <c r="BE192" i="6"/>
  <c r="AW192" i="6"/>
  <c r="AZ192" i="6" s="1"/>
  <c r="AY192" i="6" s="1"/>
  <c r="AX192" i="6" s="1"/>
  <c r="M192" i="6" s="1"/>
  <c r="AO192" i="6"/>
  <c r="BR327" i="6"/>
  <c r="T327" i="6" s="1"/>
  <c r="BM327" i="6"/>
  <c r="BE327" i="6"/>
  <c r="AW327" i="6"/>
  <c r="AO327" i="6"/>
  <c r="BR314" i="6"/>
  <c r="T314" i="6" s="1"/>
  <c r="BM314" i="6"/>
  <c r="BE314" i="6"/>
  <c r="AW314" i="6"/>
  <c r="AO314" i="6"/>
  <c r="BR440" i="6"/>
  <c r="T440" i="6" s="1"/>
  <c r="BM440" i="6"/>
  <c r="BE440" i="6"/>
  <c r="AW440" i="6"/>
  <c r="AO440" i="6"/>
  <c r="BR449" i="6"/>
  <c r="T449" i="6" s="1"/>
  <c r="BM449" i="6"/>
  <c r="BE449" i="6"/>
  <c r="AW449" i="6"/>
  <c r="AO449" i="6"/>
  <c r="BR357" i="6"/>
  <c r="T357" i="6" s="1"/>
  <c r="BM357" i="6"/>
  <c r="BE357" i="6"/>
  <c r="AW357" i="6"/>
  <c r="AO357" i="6"/>
  <c r="BM112" i="6"/>
  <c r="BR112" i="6"/>
  <c r="T112" i="6" s="1"/>
  <c r="BE112" i="6"/>
  <c r="AW112" i="6"/>
  <c r="AO112" i="6"/>
  <c r="BR358" i="6"/>
  <c r="T358" i="6" s="1"/>
  <c r="BM358" i="6"/>
  <c r="BE358" i="6"/>
  <c r="AW358" i="6"/>
  <c r="AO358" i="6"/>
  <c r="AH434" i="6"/>
  <c r="BR434" i="6"/>
  <c r="T434" i="6" s="1"/>
  <c r="BM434" i="6"/>
  <c r="BE434" i="6"/>
  <c r="AW434" i="6"/>
  <c r="K434" i="6" s="1"/>
  <c r="AO434" i="6"/>
  <c r="AH198" i="6"/>
  <c r="AK198" i="6" s="1"/>
  <c r="AJ198" i="6" s="1"/>
  <c r="AI198" i="6" s="1"/>
  <c r="G198" i="6" s="1"/>
  <c r="BR198" i="6"/>
  <c r="T198" i="6" s="1"/>
  <c r="BM198" i="6"/>
  <c r="BE198" i="6"/>
  <c r="AW198" i="6"/>
  <c r="K198" i="6" s="1"/>
  <c r="AO198" i="6"/>
  <c r="AH330" i="6"/>
  <c r="BR330" i="6"/>
  <c r="T330" i="6" s="1"/>
  <c r="BM330" i="6"/>
  <c r="BE330" i="6"/>
  <c r="AW330" i="6"/>
  <c r="AZ330" i="6" s="1"/>
  <c r="AY330" i="6" s="1"/>
  <c r="AX330" i="6" s="1"/>
  <c r="M330" i="6" s="1"/>
  <c r="AO330" i="6"/>
  <c r="AH131" i="6"/>
  <c r="AK131" i="6" s="1"/>
  <c r="AJ131" i="6" s="1"/>
  <c r="AI131" i="6" s="1"/>
  <c r="G131" i="6" s="1"/>
  <c r="BR131" i="6"/>
  <c r="T131" i="6" s="1"/>
  <c r="BM131" i="6"/>
  <c r="BE131" i="6"/>
  <c r="AW131" i="6"/>
  <c r="AZ131" i="6" s="1"/>
  <c r="AY131" i="6" s="1"/>
  <c r="AX131" i="6" s="1"/>
  <c r="M131" i="6" s="1"/>
  <c r="AO131" i="6"/>
  <c r="AH11" i="6"/>
  <c r="BR11" i="6"/>
  <c r="T11" i="6" s="1"/>
  <c r="BM11" i="6"/>
  <c r="BE11" i="6"/>
  <c r="AW11" i="6"/>
  <c r="AZ11" i="6" s="1"/>
  <c r="AY11" i="6" s="1"/>
  <c r="AX11" i="6" s="1"/>
  <c r="M11" i="6" s="1"/>
  <c r="AO11" i="6"/>
  <c r="AH91" i="6"/>
  <c r="AK91" i="6" s="1"/>
  <c r="AJ91" i="6" s="1"/>
  <c r="AI91" i="6" s="1"/>
  <c r="G91" i="6" s="1"/>
  <c r="BR91" i="6"/>
  <c r="T91" i="6" s="1"/>
  <c r="BM91" i="6"/>
  <c r="BE91" i="6"/>
  <c r="AW91" i="6"/>
  <c r="AZ91" i="6" s="1"/>
  <c r="AY91" i="6" s="1"/>
  <c r="AX91" i="6" s="1"/>
  <c r="M91" i="6" s="1"/>
  <c r="AO91" i="6"/>
  <c r="AH312" i="6"/>
  <c r="BR312" i="6"/>
  <c r="T312" i="6" s="1"/>
  <c r="BM312" i="6"/>
  <c r="BE312" i="6"/>
  <c r="AW312" i="6"/>
  <c r="AZ312" i="6" s="1"/>
  <c r="AY312" i="6" s="1"/>
  <c r="AX312" i="6" s="1"/>
  <c r="M312" i="6" s="1"/>
  <c r="AO312" i="6"/>
  <c r="AH294" i="6"/>
  <c r="AK294" i="6" s="1"/>
  <c r="AJ294" i="6" s="1"/>
  <c r="AI294" i="6" s="1"/>
  <c r="G294" i="6" s="1"/>
  <c r="BR294" i="6"/>
  <c r="T294" i="6" s="1"/>
  <c r="BM294" i="6"/>
  <c r="BE294" i="6"/>
  <c r="AW294" i="6"/>
  <c r="AZ294" i="6" s="1"/>
  <c r="AY294" i="6" s="1"/>
  <c r="AX294" i="6" s="1"/>
  <c r="M294" i="6" s="1"/>
  <c r="AO294" i="6"/>
  <c r="BR393" i="6"/>
  <c r="T393" i="6" s="1"/>
  <c r="BE393" i="6"/>
  <c r="BM393" i="6"/>
  <c r="AW393" i="6"/>
  <c r="AO393" i="6"/>
  <c r="BR329" i="6"/>
  <c r="T329" i="6" s="1"/>
  <c r="BM329" i="6"/>
  <c r="BE329" i="6"/>
  <c r="AW329" i="6"/>
  <c r="AO329" i="6"/>
  <c r="BR261" i="6"/>
  <c r="T261" i="6" s="1"/>
  <c r="BM261" i="6"/>
  <c r="BE261" i="6"/>
  <c r="AW261" i="6"/>
  <c r="AO261" i="6"/>
  <c r="BR254" i="6"/>
  <c r="T254" i="6" s="1"/>
  <c r="BM254" i="6"/>
  <c r="BE254" i="6"/>
  <c r="AW254" i="6"/>
  <c r="AO254" i="6"/>
  <c r="BR239" i="6"/>
  <c r="T239" i="6" s="1"/>
  <c r="BM239" i="6"/>
  <c r="BE239" i="6"/>
  <c r="AW239" i="6"/>
  <c r="AO239" i="6"/>
  <c r="BR35" i="6"/>
  <c r="T35" i="6" s="1"/>
  <c r="BM35" i="6"/>
  <c r="BE35" i="6"/>
  <c r="AW35" i="6"/>
  <c r="AO35" i="6"/>
  <c r="BR99" i="6"/>
  <c r="T99" i="6" s="1"/>
  <c r="BM99" i="6"/>
  <c r="BE99" i="6"/>
  <c r="AW99" i="6"/>
  <c r="AO99" i="6"/>
  <c r="BR10" i="6"/>
  <c r="T10" i="6" s="1"/>
  <c r="BM10" i="6"/>
  <c r="BE10" i="6"/>
  <c r="AW10" i="6"/>
  <c r="AO10" i="6"/>
  <c r="BR384" i="6"/>
  <c r="T384" i="6" s="1"/>
  <c r="BM384" i="6"/>
  <c r="BE384" i="6"/>
  <c r="AW384" i="6"/>
  <c r="AO384" i="6"/>
  <c r="BR275" i="6"/>
  <c r="T275" i="6" s="1"/>
  <c r="BM275" i="6"/>
  <c r="BE275" i="6"/>
  <c r="AW275" i="6"/>
  <c r="AO275" i="6"/>
  <c r="BR204" i="6"/>
  <c r="T204" i="6" s="1"/>
  <c r="BM204" i="6"/>
  <c r="BE204" i="6"/>
  <c r="AW204" i="6"/>
  <c r="AO204" i="6"/>
  <c r="AH224" i="6"/>
  <c r="BR224" i="6"/>
  <c r="T224" i="6" s="1"/>
  <c r="BM224" i="6"/>
  <c r="BE224" i="6"/>
  <c r="AW224" i="6"/>
  <c r="AZ224" i="6" s="1"/>
  <c r="AY224" i="6" s="1"/>
  <c r="AX224" i="6" s="1"/>
  <c r="M224" i="6" s="1"/>
  <c r="AO224" i="6"/>
  <c r="AH271" i="6"/>
  <c r="E271" i="6" s="1"/>
  <c r="BR271" i="6"/>
  <c r="T271" i="6" s="1"/>
  <c r="BM271" i="6"/>
  <c r="BE271" i="6"/>
  <c r="AW271" i="6"/>
  <c r="AZ271" i="6" s="1"/>
  <c r="AY271" i="6" s="1"/>
  <c r="AX271" i="6" s="1"/>
  <c r="M271" i="6" s="1"/>
  <c r="AO271" i="6"/>
  <c r="AH454" i="6"/>
  <c r="AK454" i="6" s="1"/>
  <c r="AJ454" i="6" s="1"/>
  <c r="AI454" i="6" s="1"/>
  <c r="G454" i="6" s="1"/>
  <c r="BR454" i="6"/>
  <c r="T454" i="6" s="1"/>
  <c r="BM454" i="6"/>
  <c r="BE454" i="6"/>
  <c r="AW454" i="6"/>
  <c r="AZ454" i="6" s="1"/>
  <c r="AY454" i="6" s="1"/>
  <c r="AX454" i="6" s="1"/>
  <c r="M454" i="6" s="1"/>
  <c r="AO454" i="6"/>
  <c r="BR34" i="6"/>
  <c r="T34" i="6" s="1"/>
  <c r="BM34" i="6"/>
  <c r="BE34" i="6"/>
  <c r="AW34" i="6"/>
  <c r="K34" i="6" s="1"/>
  <c r="AO34" i="6"/>
  <c r="BR343" i="6"/>
  <c r="T343" i="6" s="1"/>
  <c r="BM343" i="6"/>
  <c r="BE343" i="6"/>
  <c r="AW343" i="6"/>
  <c r="AO343" i="6"/>
  <c r="BR101" i="6"/>
  <c r="T101" i="6" s="1"/>
  <c r="BM101" i="6"/>
  <c r="BE101" i="6"/>
  <c r="AW101" i="6"/>
  <c r="AO101" i="6"/>
  <c r="BR350" i="6"/>
  <c r="T350" i="6" s="1"/>
  <c r="BE350" i="6"/>
  <c r="BM350" i="6"/>
  <c r="AW350" i="6"/>
  <c r="AO350" i="6"/>
  <c r="BR71" i="6"/>
  <c r="T71" i="6" s="1"/>
  <c r="BM71" i="6"/>
  <c r="BE71" i="6"/>
  <c r="AW71" i="6"/>
  <c r="AO71" i="6"/>
  <c r="BR129" i="6"/>
  <c r="T129" i="6" s="1"/>
  <c r="BM129" i="6"/>
  <c r="BE129" i="6"/>
  <c r="AW129" i="6"/>
  <c r="AO129" i="6"/>
  <c r="AH240" i="6"/>
  <c r="AK240" i="6" s="1"/>
  <c r="AJ240" i="6" s="1"/>
  <c r="AI240" i="6" s="1"/>
  <c r="G240" i="6" s="1"/>
  <c r="BR240" i="6"/>
  <c r="T240" i="6" s="1"/>
  <c r="BM240" i="6"/>
  <c r="BE240" i="6"/>
  <c r="AW240" i="6"/>
  <c r="AZ240" i="6" s="1"/>
  <c r="AY240" i="6" s="1"/>
  <c r="AX240" i="6" s="1"/>
  <c r="M240" i="6" s="1"/>
  <c r="AO240" i="6"/>
  <c r="AH265" i="6"/>
  <c r="E265" i="6" s="1"/>
  <c r="BR265" i="6"/>
  <c r="T265" i="6" s="1"/>
  <c r="BM265" i="6"/>
  <c r="BE265" i="6"/>
  <c r="AW265" i="6"/>
  <c r="K265" i="6" s="1"/>
  <c r="AO265" i="6"/>
  <c r="AH81" i="6"/>
  <c r="AK81" i="6" s="1"/>
  <c r="AJ81" i="6" s="1"/>
  <c r="AI81" i="6" s="1"/>
  <c r="G81" i="6" s="1"/>
  <c r="BR81" i="6"/>
  <c r="T81" i="6" s="1"/>
  <c r="BM81" i="6"/>
  <c r="BE81" i="6"/>
  <c r="AW81" i="6"/>
  <c r="AZ81" i="6" s="1"/>
  <c r="AY81" i="6" s="1"/>
  <c r="AX81" i="6" s="1"/>
  <c r="M81" i="6" s="1"/>
  <c r="AO81" i="6"/>
  <c r="BM168" i="6"/>
  <c r="BR168" i="6"/>
  <c r="T168" i="6" s="1"/>
  <c r="BE168" i="6"/>
  <c r="AW168" i="6"/>
  <c r="K168" i="6" s="1"/>
  <c r="AO168" i="6"/>
  <c r="BR405" i="6"/>
  <c r="T405" i="6" s="1"/>
  <c r="BM405" i="6"/>
  <c r="Q405" i="6" s="1"/>
  <c r="BE405" i="6"/>
  <c r="AW405" i="6"/>
  <c r="K405" i="6" s="1"/>
  <c r="AO405" i="6"/>
  <c r="H405" i="6" s="1"/>
  <c r="BR316" i="6"/>
  <c r="T316" i="6" s="1"/>
  <c r="BM316" i="6"/>
  <c r="BE316" i="6"/>
  <c r="N316" i="6" s="1"/>
  <c r="AW316" i="6"/>
  <c r="AZ316" i="6" s="1"/>
  <c r="AY316" i="6" s="1"/>
  <c r="AX316" i="6" s="1"/>
  <c r="M316" i="6" s="1"/>
  <c r="AO316" i="6"/>
  <c r="AR316" i="6" s="1"/>
  <c r="AQ316" i="6" s="1"/>
  <c r="AP316" i="6" s="1"/>
  <c r="J316" i="6" s="1"/>
  <c r="BR227" i="6"/>
  <c r="T227" i="6" s="1"/>
  <c r="BM227" i="6"/>
  <c r="Q227" i="6" s="1"/>
  <c r="BE227" i="6"/>
  <c r="N227" i="6" s="1"/>
  <c r="AW227" i="6"/>
  <c r="K227" i="6" s="1"/>
  <c r="AO227" i="6"/>
  <c r="AH227" i="6"/>
  <c r="AK227" i="6" s="1"/>
  <c r="AJ227" i="6" s="1"/>
  <c r="AI227" i="6" s="1"/>
  <c r="G227" i="6" s="1"/>
  <c r="BR120" i="6"/>
  <c r="T120" i="6" s="1"/>
  <c r="BM120" i="6"/>
  <c r="BE120" i="6"/>
  <c r="AW120" i="6"/>
  <c r="K120" i="6" s="1"/>
  <c r="AO120" i="6"/>
  <c r="H120" i="6" s="1"/>
  <c r="BR313" i="6"/>
  <c r="T313" i="6" s="1"/>
  <c r="BM313" i="6"/>
  <c r="BE313" i="6"/>
  <c r="N313" i="6" s="1"/>
  <c r="AW313" i="6"/>
  <c r="K313" i="6" s="1"/>
  <c r="AO313" i="6"/>
  <c r="H313" i="6" s="1"/>
  <c r="BR164" i="6"/>
  <c r="T164" i="6" s="1"/>
  <c r="BM164" i="6"/>
  <c r="Q164" i="6" s="1"/>
  <c r="BE164" i="6"/>
  <c r="N164" i="6" s="1"/>
  <c r="AW164" i="6"/>
  <c r="AZ164" i="6" s="1"/>
  <c r="AY164" i="6" s="1"/>
  <c r="AX164" i="6" s="1"/>
  <c r="M164" i="6" s="1"/>
  <c r="AO164" i="6"/>
  <c r="BR19" i="6"/>
  <c r="T19" i="6" s="1"/>
  <c r="BM19" i="6"/>
  <c r="Q19" i="6" s="1"/>
  <c r="BE19" i="6"/>
  <c r="N19" i="6" s="1"/>
  <c r="AW19" i="6"/>
  <c r="AO19" i="6"/>
  <c r="H19" i="6" s="1"/>
  <c r="BM144" i="6"/>
  <c r="BR144" i="6"/>
  <c r="T144" i="6" s="1"/>
  <c r="BE144" i="6"/>
  <c r="AW144" i="6"/>
  <c r="AZ144" i="6" s="1"/>
  <c r="AY144" i="6" s="1"/>
  <c r="AX144" i="6" s="1"/>
  <c r="M144" i="6" s="1"/>
  <c r="AO144" i="6"/>
  <c r="AH144" i="6"/>
  <c r="BR37" i="6"/>
  <c r="T37" i="6" s="1"/>
  <c r="BM37" i="6"/>
  <c r="Q37" i="6" s="1"/>
  <c r="BE37" i="6"/>
  <c r="N37" i="6" s="1"/>
  <c r="AW37" i="6"/>
  <c r="AZ37" i="6" s="1"/>
  <c r="AY37" i="6" s="1"/>
  <c r="AX37" i="6" s="1"/>
  <c r="M37" i="6" s="1"/>
  <c r="AO37" i="6"/>
  <c r="AH37" i="6"/>
  <c r="E37" i="6" s="1"/>
  <c r="BR305" i="6"/>
  <c r="T305" i="6" s="1"/>
  <c r="BM305" i="6"/>
  <c r="BE305" i="6"/>
  <c r="AW305" i="6"/>
  <c r="AZ305" i="6" s="1"/>
  <c r="AY305" i="6" s="1"/>
  <c r="AX305" i="6" s="1"/>
  <c r="M305" i="6" s="1"/>
  <c r="AO305" i="6"/>
  <c r="BR364" i="6"/>
  <c r="T364" i="6" s="1"/>
  <c r="BM364" i="6"/>
  <c r="Q364" i="6" s="1"/>
  <c r="BE364" i="6"/>
  <c r="N364" i="6" s="1"/>
  <c r="AW364" i="6"/>
  <c r="AZ364" i="6" s="1"/>
  <c r="AY364" i="6" s="1"/>
  <c r="AX364" i="6" s="1"/>
  <c r="M364" i="6" s="1"/>
  <c r="AO364" i="6"/>
  <c r="BR122" i="6"/>
  <c r="T122" i="6" s="1"/>
  <c r="BM122" i="6"/>
  <c r="Q122" i="6" s="1"/>
  <c r="BE122" i="6"/>
  <c r="N122" i="6" s="1"/>
  <c r="AW122" i="6"/>
  <c r="AZ122" i="6" s="1"/>
  <c r="AY122" i="6" s="1"/>
  <c r="AX122" i="6" s="1"/>
  <c r="M122" i="6" s="1"/>
  <c r="AO122" i="6"/>
  <c r="AH122" i="6"/>
  <c r="E122" i="6" s="1"/>
  <c r="BR447" i="6"/>
  <c r="T447" i="6" s="1"/>
  <c r="BM447" i="6"/>
  <c r="BE447" i="6"/>
  <c r="AW447" i="6"/>
  <c r="AZ447" i="6" s="1"/>
  <c r="AY447" i="6" s="1"/>
  <c r="AX447" i="6" s="1"/>
  <c r="M447" i="6" s="1"/>
  <c r="AO447" i="6"/>
  <c r="H447" i="6" s="1"/>
  <c r="AH447" i="6"/>
  <c r="E447" i="6" s="1"/>
  <c r="BR394" i="6"/>
  <c r="T394" i="6" s="1"/>
  <c r="BM394" i="6"/>
  <c r="BE394" i="6"/>
  <c r="AW394" i="6"/>
  <c r="K394" i="6" s="1"/>
  <c r="AO394" i="6"/>
  <c r="BR234" i="6"/>
  <c r="T234" i="6" s="1"/>
  <c r="BM234" i="6"/>
  <c r="Q234" i="6" s="1"/>
  <c r="BE234" i="6"/>
  <c r="N234" i="6" s="1"/>
  <c r="AW234" i="6"/>
  <c r="AZ234" i="6" s="1"/>
  <c r="AY234" i="6" s="1"/>
  <c r="AX234" i="6" s="1"/>
  <c r="M234" i="6" s="1"/>
  <c r="AO234" i="6"/>
  <c r="H234" i="6" s="1"/>
  <c r="BR39" i="6"/>
  <c r="T39" i="6" s="1"/>
  <c r="BM39" i="6"/>
  <c r="BE39" i="6"/>
  <c r="AW39" i="6"/>
  <c r="K39" i="6" s="1"/>
  <c r="AO39" i="6"/>
  <c r="H39" i="6" s="1"/>
  <c r="BR303" i="6"/>
  <c r="T303" i="6" s="1"/>
  <c r="BM303" i="6"/>
  <c r="Q303" i="6" s="1"/>
  <c r="BE303" i="6"/>
  <c r="N303" i="6" s="1"/>
  <c r="AW303" i="6"/>
  <c r="AZ303" i="6" s="1"/>
  <c r="AY303" i="6" s="1"/>
  <c r="AX303" i="6" s="1"/>
  <c r="M303" i="6" s="1"/>
  <c r="AO303" i="6"/>
  <c r="H303" i="6" s="1"/>
  <c r="BR33" i="6"/>
  <c r="T33" i="6" s="1"/>
  <c r="BM33" i="6"/>
  <c r="Q33" i="6" s="1"/>
  <c r="BE33" i="6"/>
  <c r="N33" i="6" s="1"/>
  <c r="AW33" i="6"/>
  <c r="AZ33" i="6" s="1"/>
  <c r="AY33" i="6" s="1"/>
  <c r="AX33" i="6" s="1"/>
  <c r="M33" i="6" s="1"/>
  <c r="AO33" i="6"/>
  <c r="BR336" i="6"/>
  <c r="T336" i="6" s="1"/>
  <c r="BM336" i="6"/>
  <c r="Q336" i="6" s="1"/>
  <c r="BE336" i="6"/>
  <c r="N336" i="6" s="1"/>
  <c r="AW336" i="6"/>
  <c r="AO336" i="6"/>
  <c r="H336" i="6" s="1"/>
  <c r="BR377" i="6"/>
  <c r="T377" i="6" s="1"/>
  <c r="BM377" i="6"/>
  <c r="BE377" i="6"/>
  <c r="AW377" i="6"/>
  <c r="AO377" i="6"/>
  <c r="BR222" i="6"/>
  <c r="T222" i="6" s="1"/>
  <c r="BM222" i="6"/>
  <c r="BE222" i="6"/>
  <c r="AW222" i="6"/>
  <c r="AO222" i="6"/>
  <c r="BR52" i="6"/>
  <c r="T52" i="6" s="1"/>
  <c r="BM52" i="6"/>
  <c r="BE52" i="6"/>
  <c r="AW52" i="6"/>
  <c r="AO52" i="6"/>
  <c r="AH336" i="6"/>
  <c r="AK336" i="6" s="1"/>
  <c r="AJ336" i="6" s="1"/>
  <c r="AI336" i="6" s="1"/>
  <c r="G336" i="6" s="1"/>
  <c r="BR113" i="6"/>
  <c r="T113" i="6" s="1"/>
  <c r="BM113" i="6"/>
  <c r="BE113" i="6"/>
  <c r="AW113" i="6"/>
  <c r="AO113" i="6"/>
  <c r="BR44" i="6"/>
  <c r="T44" i="6" s="1"/>
  <c r="BM44" i="6"/>
  <c r="BE44" i="6"/>
  <c r="AW44" i="6"/>
  <c r="AO44" i="6"/>
  <c r="BR425" i="6"/>
  <c r="T425" i="6" s="1"/>
  <c r="BE425" i="6"/>
  <c r="BM425" i="6"/>
  <c r="AW425" i="6"/>
  <c r="AO425" i="6"/>
  <c r="BR391" i="6"/>
  <c r="T391" i="6" s="1"/>
  <c r="BM391" i="6"/>
  <c r="BE391" i="6"/>
  <c r="AW391" i="6"/>
  <c r="AO391" i="6"/>
  <c r="BR155" i="6"/>
  <c r="T155" i="6" s="1"/>
  <c r="BM155" i="6"/>
  <c r="BE155" i="6"/>
  <c r="AW155" i="6"/>
  <c r="AO155" i="6"/>
  <c r="BR467" i="6"/>
  <c r="T467" i="6" s="1"/>
  <c r="BM467" i="6"/>
  <c r="BE467" i="6"/>
  <c r="AW467" i="6"/>
  <c r="AO467" i="6"/>
  <c r="AH438" i="6"/>
  <c r="BR438" i="6"/>
  <c r="T438" i="6" s="1"/>
  <c r="BM438" i="6"/>
  <c r="BE438" i="6"/>
  <c r="AW438" i="6"/>
  <c r="AZ438" i="6" s="1"/>
  <c r="AY438" i="6" s="1"/>
  <c r="AX438" i="6" s="1"/>
  <c r="M438" i="6" s="1"/>
  <c r="AO438" i="6"/>
  <c r="AH338" i="6"/>
  <c r="E338" i="6" s="1"/>
  <c r="BR338" i="6"/>
  <c r="T338" i="6" s="1"/>
  <c r="BM338" i="6"/>
  <c r="BE338" i="6"/>
  <c r="AW338" i="6"/>
  <c r="AZ338" i="6" s="1"/>
  <c r="AY338" i="6" s="1"/>
  <c r="AX338" i="6" s="1"/>
  <c r="M338" i="6" s="1"/>
  <c r="AO338" i="6"/>
  <c r="AH187" i="6"/>
  <c r="E187" i="6" s="1"/>
  <c r="BR187" i="6"/>
  <c r="T187" i="6" s="1"/>
  <c r="BM187" i="6"/>
  <c r="BE187" i="6"/>
  <c r="AW187" i="6"/>
  <c r="AZ187" i="6" s="1"/>
  <c r="AY187" i="6" s="1"/>
  <c r="AX187" i="6" s="1"/>
  <c r="M187" i="6" s="1"/>
  <c r="AO187" i="6"/>
  <c r="AH94" i="6"/>
  <c r="AK94" i="6" s="1"/>
  <c r="AJ94" i="6" s="1"/>
  <c r="AI94" i="6" s="1"/>
  <c r="G94" i="6" s="1"/>
  <c r="BR94" i="6"/>
  <c r="T94" i="6" s="1"/>
  <c r="BE94" i="6"/>
  <c r="BM94" i="6"/>
  <c r="AW94" i="6"/>
  <c r="AZ94" i="6" s="1"/>
  <c r="AY94" i="6" s="1"/>
  <c r="AX94" i="6" s="1"/>
  <c r="M94" i="6" s="1"/>
  <c r="AO94" i="6"/>
  <c r="AH59" i="6"/>
  <c r="BR59" i="6"/>
  <c r="T59" i="6" s="1"/>
  <c r="BM59" i="6"/>
  <c r="BE59" i="6"/>
  <c r="AW59" i="6"/>
  <c r="AZ59" i="6" s="1"/>
  <c r="AY59" i="6" s="1"/>
  <c r="AX59" i="6" s="1"/>
  <c r="M59" i="6" s="1"/>
  <c r="AO59" i="6"/>
  <c r="AH389" i="6"/>
  <c r="E389" i="6" s="1"/>
  <c r="BR389" i="6"/>
  <c r="T389" i="6" s="1"/>
  <c r="BM389" i="6"/>
  <c r="BE389" i="6"/>
  <c r="AW389" i="6"/>
  <c r="AZ389" i="6" s="1"/>
  <c r="AY389" i="6" s="1"/>
  <c r="AX389" i="6" s="1"/>
  <c r="M389" i="6" s="1"/>
  <c r="AO389" i="6"/>
  <c r="AH379" i="6"/>
  <c r="E379" i="6" s="1"/>
  <c r="BR379" i="6"/>
  <c r="T379" i="6" s="1"/>
  <c r="BM379" i="6"/>
  <c r="BE379" i="6"/>
  <c r="AW379" i="6"/>
  <c r="AZ379" i="6" s="1"/>
  <c r="AY379" i="6" s="1"/>
  <c r="AX379" i="6" s="1"/>
  <c r="M379" i="6" s="1"/>
  <c r="AO379" i="6"/>
  <c r="AH325" i="6"/>
  <c r="E325" i="6" s="1"/>
  <c r="BR325" i="6"/>
  <c r="T325" i="6" s="1"/>
  <c r="BM325" i="6"/>
  <c r="BE325" i="6"/>
  <c r="AW325" i="6"/>
  <c r="AZ325" i="6" s="1"/>
  <c r="AY325" i="6" s="1"/>
  <c r="AX325" i="6" s="1"/>
  <c r="M325" i="6" s="1"/>
  <c r="AO325" i="6"/>
  <c r="AH282" i="6"/>
  <c r="BR282" i="6"/>
  <c r="T282" i="6" s="1"/>
  <c r="BM282" i="6"/>
  <c r="BE282" i="6"/>
  <c r="AW282" i="6"/>
  <c r="AZ282" i="6" s="1"/>
  <c r="AY282" i="6" s="1"/>
  <c r="AX282" i="6" s="1"/>
  <c r="M282" i="6" s="1"/>
  <c r="AO282" i="6"/>
  <c r="AH284" i="6"/>
  <c r="AK284" i="6" s="1"/>
  <c r="AJ284" i="6" s="1"/>
  <c r="AI284" i="6" s="1"/>
  <c r="G284" i="6" s="1"/>
  <c r="BR284" i="6"/>
  <c r="T284" i="6" s="1"/>
  <c r="BM284" i="6"/>
  <c r="BE284" i="6"/>
  <c r="AW284" i="6"/>
  <c r="K284" i="6" s="1"/>
  <c r="AO284" i="6"/>
  <c r="AH63" i="6"/>
  <c r="AK63" i="6" s="1"/>
  <c r="AJ63" i="6" s="1"/>
  <c r="AI63" i="6" s="1"/>
  <c r="G63" i="6" s="1"/>
  <c r="BR63" i="6"/>
  <c r="T63" i="6" s="1"/>
  <c r="BM63" i="6"/>
  <c r="BE63" i="6"/>
  <c r="AW63" i="6"/>
  <c r="AZ63" i="6" s="1"/>
  <c r="AY63" i="6" s="1"/>
  <c r="AX63" i="6" s="1"/>
  <c r="M63" i="6" s="1"/>
  <c r="AO63" i="6"/>
  <c r="AH468" i="6"/>
  <c r="E468" i="6" s="1"/>
  <c r="BR468" i="6"/>
  <c r="T468" i="6" s="1"/>
  <c r="BE468" i="6"/>
  <c r="BM468" i="6"/>
  <c r="AW468" i="6"/>
  <c r="K468" i="6" s="1"/>
  <c r="AO468" i="6"/>
  <c r="AH264" i="6"/>
  <c r="AK264" i="6" s="1"/>
  <c r="AJ264" i="6" s="1"/>
  <c r="AI264" i="6" s="1"/>
  <c r="G264" i="6" s="1"/>
  <c r="BR264" i="6"/>
  <c r="T264" i="6" s="1"/>
  <c r="BM264" i="6"/>
  <c r="BE264" i="6"/>
  <c r="AW264" i="6"/>
  <c r="AZ264" i="6" s="1"/>
  <c r="AY264" i="6" s="1"/>
  <c r="AX264" i="6" s="1"/>
  <c r="M264" i="6" s="1"/>
  <c r="AO264" i="6"/>
  <c r="AH426" i="6"/>
  <c r="E426" i="6" s="1"/>
  <c r="BR426" i="6"/>
  <c r="T426" i="6" s="1"/>
  <c r="BM426" i="6"/>
  <c r="BE426" i="6"/>
  <c r="AW426" i="6"/>
  <c r="AZ426" i="6" s="1"/>
  <c r="AY426" i="6" s="1"/>
  <c r="AX426" i="6" s="1"/>
  <c r="M426" i="6" s="1"/>
  <c r="AO426" i="6"/>
  <c r="AH353" i="6"/>
  <c r="AK353" i="6" s="1"/>
  <c r="AJ353" i="6" s="1"/>
  <c r="AI353" i="6" s="1"/>
  <c r="G353" i="6" s="1"/>
  <c r="BR353" i="6"/>
  <c r="T353" i="6" s="1"/>
  <c r="BM353" i="6"/>
  <c r="BE353" i="6"/>
  <c r="AW353" i="6"/>
  <c r="AZ353" i="6" s="1"/>
  <c r="AY353" i="6" s="1"/>
  <c r="AX353" i="6" s="1"/>
  <c r="M353" i="6" s="1"/>
  <c r="AO353" i="6"/>
  <c r="AH186" i="6"/>
  <c r="E186" i="6" s="1"/>
  <c r="BR186" i="6"/>
  <c r="T186" i="6" s="1"/>
  <c r="BM186" i="6"/>
  <c r="BE186" i="6"/>
  <c r="AW186" i="6"/>
  <c r="AZ186" i="6" s="1"/>
  <c r="AY186" i="6" s="1"/>
  <c r="AX186" i="6" s="1"/>
  <c r="M186" i="6" s="1"/>
  <c r="AO186" i="6"/>
  <c r="AH38" i="6"/>
  <c r="BR38" i="6"/>
  <c r="T38" i="6" s="1"/>
  <c r="BM38" i="6"/>
  <c r="BE38" i="6"/>
  <c r="AW38" i="6"/>
  <c r="K38" i="6" s="1"/>
  <c r="AO38" i="6"/>
  <c r="AH444" i="6"/>
  <c r="AK444" i="6" s="1"/>
  <c r="AJ444" i="6" s="1"/>
  <c r="AI444" i="6" s="1"/>
  <c r="G444" i="6" s="1"/>
  <c r="BR444" i="6"/>
  <c r="T444" i="6" s="1"/>
  <c r="BM444" i="6"/>
  <c r="BE444" i="6"/>
  <c r="AW444" i="6"/>
  <c r="AZ444" i="6" s="1"/>
  <c r="AY444" i="6" s="1"/>
  <c r="AX444" i="6" s="1"/>
  <c r="M444" i="6" s="1"/>
  <c r="AO444" i="6"/>
  <c r="AH375" i="6"/>
  <c r="AK375" i="6" s="1"/>
  <c r="AJ375" i="6" s="1"/>
  <c r="AI375" i="6" s="1"/>
  <c r="G375" i="6" s="1"/>
  <c r="BR375" i="6"/>
  <c r="T375" i="6" s="1"/>
  <c r="BM375" i="6"/>
  <c r="BE375" i="6"/>
  <c r="AW375" i="6"/>
  <c r="K375" i="6" s="1"/>
  <c r="AO375" i="6"/>
  <c r="AH363" i="6"/>
  <c r="AK363" i="6" s="1"/>
  <c r="AJ363" i="6" s="1"/>
  <c r="AI363" i="6" s="1"/>
  <c r="G363" i="6" s="1"/>
  <c r="BR363" i="6"/>
  <c r="T363" i="6" s="1"/>
  <c r="BM363" i="6"/>
  <c r="BE363" i="6"/>
  <c r="AW363" i="6"/>
  <c r="AZ363" i="6" s="1"/>
  <c r="AY363" i="6" s="1"/>
  <c r="AX363" i="6" s="1"/>
  <c r="M363" i="6" s="1"/>
  <c r="AO363" i="6"/>
  <c r="AH290" i="6"/>
  <c r="E290" i="6" s="1"/>
  <c r="BR290" i="6"/>
  <c r="T290" i="6" s="1"/>
  <c r="BM290" i="6"/>
  <c r="BE290" i="6"/>
  <c r="AW290" i="6"/>
  <c r="AZ290" i="6" s="1"/>
  <c r="AY290" i="6" s="1"/>
  <c r="AX290" i="6" s="1"/>
  <c r="M290" i="6" s="1"/>
  <c r="AO290" i="6"/>
  <c r="AH380" i="6"/>
  <c r="AK380" i="6" s="1"/>
  <c r="AJ380" i="6" s="1"/>
  <c r="AI380" i="6" s="1"/>
  <c r="G380" i="6" s="1"/>
  <c r="BR380" i="6"/>
  <c r="T380" i="6" s="1"/>
  <c r="BM380" i="6"/>
  <c r="BE380" i="6"/>
  <c r="AW380" i="6"/>
  <c r="AZ380" i="6" s="1"/>
  <c r="AY380" i="6" s="1"/>
  <c r="AX380" i="6" s="1"/>
  <c r="M380" i="6" s="1"/>
  <c r="AO380" i="6"/>
  <c r="AH370" i="6"/>
  <c r="BR370" i="6"/>
  <c r="T370" i="6" s="1"/>
  <c r="BM370" i="6"/>
  <c r="BE370" i="6"/>
  <c r="AW370" i="6"/>
  <c r="K370" i="6" s="1"/>
  <c r="AO370" i="6"/>
  <c r="AH302" i="6"/>
  <c r="AK302" i="6" s="1"/>
  <c r="AJ302" i="6" s="1"/>
  <c r="AI302" i="6" s="1"/>
  <c r="G302" i="6" s="1"/>
  <c r="BR302" i="6"/>
  <c r="T302" i="6" s="1"/>
  <c r="BM302" i="6"/>
  <c r="BE302" i="6"/>
  <c r="AW302" i="6"/>
  <c r="K302" i="6" s="1"/>
  <c r="AO302" i="6"/>
  <c r="BR259" i="6"/>
  <c r="T259" i="6" s="1"/>
  <c r="BM259" i="6"/>
  <c r="BE259" i="6"/>
  <c r="AW259" i="6"/>
  <c r="K259" i="6" s="1"/>
  <c r="AO259" i="6"/>
  <c r="AH258" i="6"/>
  <c r="E258" i="6" s="1"/>
  <c r="BR258" i="6"/>
  <c r="T258" i="6" s="1"/>
  <c r="BM258" i="6"/>
  <c r="BE258" i="6"/>
  <c r="AW258" i="6"/>
  <c r="AZ258" i="6" s="1"/>
  <c r="AY258" i="6" s="1"/>
  <c r="AX258" i="6" s="1"/>
  <c r="M258" i="6" s="1"/>
  <c r="AO258" i="6"/>
  <c r="AH92" i="6"/>
  <c r="AK92" i="6" s="1"/>
  <c r="AJ92" i="6" s="1"/>
  <c r="AI92" i="6" s="1"/>
  <c r="G92" i="6" s="1"/>
  <c r="BR92" i="6"/>
  <c r="T92" i="6" s="1"/>
  <c r="BM92" i="6"/>
  <c r="BE92" i="6"/>
  <c r="AW92" i="6"/>
  <c r="AZ92" i="6" s="1"/>
  <c r="AY92" i="6" s="1"/>
  <c r="AX92" i="6" s="1"/>
  <c r="M92" i="6" s="1"/>
  <c r="AO92" i="6"/>
  <c r="AH445" i="6"/>
  <c r="AK445" i="6" s="1"/>
  <c r="AJ445" i="6" s="1"/>
  <c r="AI445" i="6" s="1"/>
  <c r="G445" i="6" s="1"/>
  <c r="BR445" i="6"/>
  <c r="T445" i="6" s="1"/>
  <c r="BM445" i="6"/>
  <c r="BE445" i="6"/>
  <c r="AW445" i="6"/>
  <c r="K445" i="6" s="1"/>
  <c r="AO445" i="6"/>
  <c r="AH439" i="6"/>
  <c r="BR439" i="6"/>
  <c r="T439" i="6" s="1"/>
  <c r="BM439" i="6"/>
  <c r="BE439" i="6"/>
  <c r="AW439" i="6"/>
  <c r="K439" i="6" s="1"/>
  <c r="AO439" i="6"/>
  <c r="AH374" i="6"/>
  <c r="E374" i="6" s="1"/>
  <c r="BR374" i="6"/>
  <c r="T374" i="6" s="1"/>
  <c r="BM374" i="6"/>
  <c r="BE374" i="6"/>
  <c r="AW374" i="6"/>
  <c r="K374" i="6" s="1"/>
  <c r="AO374" i="6"/>
  <c r="BR270" i="6"/>
  <c r="T270" i="6" s="1"/>
  <c r="BM270" i="6"/>
  <c r="BE270" i="6"/>
  <c r="AW270" i="6"/>
  <c r="AZ270" i="6" s="1"/>
  <c r="AY270" i="6" s="1"/>
  <c r="AX270" i="6" s="1"/>
  <c r="M270" i="6" s="1"/>
  <c r="AO270" i="6"/>
  <c r="AH158" i="6"/>
  <c r="E158" i="6" s="1"/>
  <c r="BE158" i="6"/>
  <c r="BR158" i="6"/>
  <c r="T158" i="6" s="1"/>
  <c r="BM158" i="6"/>
  <c r="AW158" i="6"/>
  <c r="AZ158" i="6" s="1"/>
  <c r="AY158" i="6" s="1"/>
  <c r="AX158" i="6" s="1"/>
  <c r="M158" i="6" s="1"/>
  <c r="AO158" i="6"/>
  <c r="BR169" i="6"/>
  <c r="T169" i="6" s="1"/>
  <c r="BM169" i="6"/>
  <c r="BE169" i="6"/>
  <c r="AW169" i="6"/>
  <c r="AZ169" i="6" s="1"/>
  <c r="AY169" i="6" s="1"/>
  <c r="AX169" i="6" s="1"/>
  <c r="M169" i="6" s="1"/>
  <c r="AO169" i="6"/>
  <c r="BR66" i="6"/>
  <c r="T66" i="6" s="1"/>
  <c r="BM66" i="6"/>
  <c r="BE66" i="6"/>
  <c r="AW66" i="6"/>
  <c r="K66" i="6" s="1"/>
  <c r="AO66" i="6"/>
  <c r="BM46" i="6"/>
  <c r="BR46" i="6"/>
  <c r="T46" i="6" s="1"/>
  <c r="BE46" i="6"/>
  <c r="AW46" i="6"/>
  <c r="K46" i="6" s="1"/>
  <c r="AO46" i="6"/>
  <c r="AH9" i="6"/>
  <c r="AK9" i="6" s="1"/>
  <c r="AJ9" i="6" s="1"/>
  <c r="AI9" i="6" s="1"/>
  <c r="G9" i="6" s="1"/>
  <c r="BR9" i="6"/>
  <c r="T9" i="6" s="1"/>
  <c r="BM9" i="6"/>
  <c r="BE9" i="6"/>
  <c r="AW9" i="6"/>
  <c r="AZ9" i="6" s="1"/>
  <c r="AY9" i="6" s="1"/>
  <c r="AX9" i="6" s="1"/>
  <c r="M9" i="6" s="1"/>
  <c r="AO9" i="6"/>
  <c r="AH420" i="6"/>
  <c r="E420" i="6" s="1"/>
  <c r="BR420" i="6"/>
  <c r="T420" i="6" s="1"/>
  <c r="BM420" i="6"/>
  <c r="BE420" i="6"/>
  <c r="AW420" i="6"/>
  <c r="K420" i="6" s="1"/>
  <c r="AO420" i="6"/>
  <c r="AH372" i="6"/>
  <c r="E372" i="6" s="1"/>
  <c r="BR372" i="6"/>
  <c r="T372" i="6" s="1"/>
  <c r="BE372" i="6"/>
  <c r="BM372" i="6"/>
  <c r="AW372" i="6"/>
  <c r="AZ372" i="6" s="1"/>
  <c r="AY372" i="6" s="1"/>
  <c r="AX372" i="6" s="1"/>
  <c r="M372" i="6" s="1"/>
  <c r="AO372" i="6"/>
  <c r="AH321" i="6"/>
  <c r="BR321" i="6"/>
  <c r="T321" i="6" s="1"/>
  <c r="BE321" i="6"/>
  <c r="BM321" i="6"/>
  <c r="AO321" i="6"/>
  <c r="AW321" i="6"/>
  <c r="AZ321" i="6" s="1"/>
  <c r="AY321" i="6" s="1"/>
  <c r="AX321" i="6" s="1"/>
  <c r="M321" i="6" s="1"/>
  <c r="AH273" i="6"/>
  <c r="AK273" i="6" s="1"/>
  <c r="AJ273" i="6" s="1"/>
  <c r="AI273" i="6" s="1"/>
  <c r="G273" i="6" s="1"/>
  <c r="BR273" i="6"/>
  <c r="T273" i="6" s="1"/>
  <c r="BE273" i="6"/>
  <c r="BM273" i="6"/>
  <c r="AW273" i="6"/>
  <c r="AZ273" i="6" s="1"/>
  <c r="AY273" i="6" s="1"/>
  <c r="AX273" i="6" s="1"/>
  <c r="M273" i="6" s="1"/>
  <c r="AO273" i="6"/>
  <c r="AH248" i="6"/>
  <c r="AK248" i="6" s="1"/>
  <c r="AJ248" i="6" s="1"/>
  <c r="AI248" i="6" s="1"/>
  <c r="G248" i="6" s="1"/>
  <c r="BR248" i="6"/>
  <c r="T248" i="6" s="1"/>
  <c r="BM248" i="6"/>
  <c r="BE248" i="6"/>
  <c r="AW248" i="6"/>
  <c r="AO248" i="6"/>
  <c r="AH68" i="6"/>
  <c r="AK68" i="6" s="1"/>
  <c r="AJ68" i="6" s="1"/>
  <c r="AI68" i="6" s="1"/>
  <c r="G68" i="6" s="1"/>
  <c r="BR68" i="6"/>
  <c r="T68" i="6" s="1"/>
  <c r="BM68" i="6"/>
  <c r="BE68" i="6"/>
  <c r="AW68" i="6"/>
  <c r="AO68" i="6"/>
  <c r="AH457" i="6"/>
  <c r="AK457" i="6" s="1"/>
  <c r="AJ457" i="6" s="1"/>
  <c r="AI457" i="6" s="1"/>
  <c r="G457" i="6" s="1"/>
  <c r="BR457" i="6"/>
  <c r="T457" i="6" s="1"/>
  <c r="BE457" i="6"/>
  <c r="BM457" i="6"/>
  <c r="AW457" i="6"/>
  <c r="K457" i="6" s="1"/>
  <c r="AO457" i="6"/>
  <c r="AH421" i="6"/>
  <c r="E421" i="6" s="1"/>
  <c r="BR421" i="6"/>
  <c r="T421" i="6" s="1"/>
  <c r="BM421" i="6"/>
  <c r="BE421" i="6"/>
  <c r="AW421" i="6"/>
  <c r="AZ421" i="6" s="1"/>
  <c r="AY421" i="6" s="1"/>
  <c r="AX421" i="6" s="1"/>
  <c r="M421" i="6" s="1"/>
  <c r="AO421" i="6"/>
  <c r="AH244" i="6"/>
  <c r="AK244" i="6" s="1"/>
  <c r="AJ244" i="6" s="1"/>
  <c r="AI244" i="6" s="1"/>
  <c r="G244" i="6" s="1"/>
  <c r="BR244" i="6"/>
  <c r="T244" i="6" s="1"/>
  <c r="BM244" i="6"/>
  <c r="BE244" i="6"/>
  <c r="AW244" i="6"/>
  <c r="AZ244" i="6" s="1"/>
  <c r="AY244" i="6" s="1"/>
  <c r="AX244" i="6" s="1"/>
  <c r="M244" i="6" s="1"/>
  <c r="AO244" i="6"/>
  <c r="AH220" i="6"/>
  <c r="E220" i="6" s="1"/>
  <c r="BR220" i="6"/>
  <c r="T220" i="6" s="1"/>
  <c r="BM220" i="6"/>
  <c r="BE220" i="6"/>
  <c r="AW220" i="6"/>
  <c r="AZ220" i="6" s="1"/>
  <c r="AY220" i="6" s="1"/>
  <c r="AX220" i="6" s="1"/>
  <c r="M220" i="6" s="1"/>
  <c r="AO220" i="6"/>
  <c r="AH58" i="6"/>
  <c r="E58" i="6" s="1"/>
  <c r="BR58" i="6"/>
  <c r="T58" i="6" s="1"/>
  <c r="BM58" i="6"/>
  <c r="BE58" i="6"/>
  <c r="AW58" i="6"/>
  <c r="AZ58" i="6" s="1"/>
  <c r="AY58" i="6" s="1"/>
  <c r="AX58" i="6" s="1"/>
  <c r="M58" i="6" s="1"/>
  <c r="AO58" i="6"/>
  <c r="AH21" i="6"/>
  <c r="AK21" i="6" s="1"/>
  <c r="AJ21" i="6" s="1"/>
  <c r="AI21" i="6" s="1"/>
  <c r="G21" i="6" s="1"/>
  <c r="BR21" i="6"/>
  <c r="T21" i="6" s="1"/>
  <c r="BM21" i="6"/>
  <c r="BE21" i="6"/>
  <c r="AW21" i="6"/>
  <c r="K21" i="6" s="1"/>
  <c r="AO21" i="6"/>
  <c r="AH40" i="6"/>
  <c r="AK40" i="6" s="1"/>
  <c r="AJ40" i="6" s="1"/>
  <c r="AI40" i="6" s="1"/>
  <c r="G40" i="6" s="1"/>
  <c r="BM40" i="6"/>
  <c r="BR40" i="6"/>
  <c r="T40" i="6" s="1"/>
  <c r="BE40" i="6"/>
  <c r="AW40" i="6"/>
  <c r="K40" i="6" s="1"/>
  <c r="AO40" i="6"/>
  <c r="AH340" i="6"/>
  <c r="AK340" i="6" s="1"/>
  <c r="AJ340" i="6" s="1"/>
  <c r="AI340" i="6" s="1"/>
  <c r="G340" i="6" s="1"/>
  <c r="BR340" i="6"/>
  <c r="T340" i="6" s="1"/>
  <c r="BE340" i="6"/>
  <c r="BM340" i="6"/>
  <c r="AW340" i="6"/>
  <c r="K340" i="6" s="1"/>
  <c r="AO340" i="6"/>
  <c r="AH177" i="6"/>
  <c r="E177" i="6" s="1"/>
  <c r="BR177" i="6"/>
  <c r="T177" i="6" s="1"/>
  <c r="BM177" i="6"/>
  <c r="BE177" i="6"/>
  <c r="AW177" i="6"/>
  <c r="AZ177" i="6" s="1"/>
  <c r="AY177" i="6" s="1"/>
  <c r="AX177" i="6" s="1"/>
  <c r="M177" i="6" s="1"/>
  <c r="AO177" i="6"/>
  <c r="AH407" i="6"/>
  <c r="E407" i="6" s="1"/>
  <c r="BR407" i="6"/>
  <c r="T407" i="6" s="1"/>
  <c r="BM407" i="6"/>
  <c r="BE407" i="6"/>
  <c r="AW407" i="6"/>
  <c r="AZ407" i="6" s="1"/>
  <c r="AY407" i="6" s="1"/>
  <c r="AX407" i="6" s="1"/>
  <c r="M407" i="6" s="1"/>
  <c r="AO407" i="6"/>
  <c r="AH250" i="6"/>
  <c r="E250" i="6" s="1"/>
  <c r="BR250" i="6"/>
  <c r="T250" i="6" s="1"/>
  <c r="BM250" i="6"/>
  <c r="BE250" i="6"/>
  <c r="AW250" i="6"/>
  <c r="K250" i="6" s="1"/>
  <c r="AO250" i="6"/>
  <c r="AH208" i="6"/>
  <c r="AK208" i="6" s="1"/>
  <c r="AJ208" i="6" s="1"/>
  <c r="AI208" i="6" s="1"/>
  <c r="G208" i="6" s="1"/>
  <c r="BR208" i="6"/>
  <c r="T208" i="6" s="1"/>
  <c r="BM208" i="6"/>
  <c r="BE208" i="6"/>
  <c r="AW208" i="6"/>
  <c r="K208" i="6" s="1"/>
  <c r="AO208" i="6"/>
  <c r="AH266" i="6"/>
  <c r="AK266" i="6" s="1"/>
  <c r="AJ266" i="6" s="1"/>
  <c r="AI266" i="6" s="1"/>
  <c r="G266" i="6" s="1"/>
  <c r="BR266" i="6"/>
  <c r="T266" i="6" s="1"/>
  <c r="BM266" i="6"/>
  <c r="BE266" i="6"/>
  <c r="AW266" i="6"/>
  <c r="K266" i="6" s="1"/>
  <c r="AO266" i="6"/>
  <c r="AH387" i="6"/>
  <c r="AK387" i="6" s="1"/>
  <c r="AJ387" i="6" s="1"/>
  <c r="AI387" i="6" s="1"/>
  <c r="G387" i="6" s="1"/>
  <c r="BR387" i="6"/>
  <c r="T387" i="6" s="1"/>
  <c r="BM387" i="6"/>
  <c r="BE387" i="6"/>
  <c r="AW387" i="6"/>
  <c r="AZ387" i="6" s="1"/>
  <c r="AY387" i="6" s="1"/>
  <c r="AX387" i="6" s="1"/>
  <c r="M387" i="6" s="1"/>
  <c r="AO387" i="6"/>
  <c r="AH453" i="6"/>
  <c r="AK453" i="6" s="1"/>
  <c r="AJ453" i="6" s="1"/>
  <c r="AI453" i="6" s="1"/>
  <c r="G453" i="6" s="1"/>
  <c r="BR453" i="6"/>
  <c r="T453" i="6" s="1"/>
  <c r="BM453" i="6"/>
  <c r="BE453" i="6"/>
  <c r="AW453" i="6"/>
  <c r="AZ453" i="6" s="1"/>
  <c r="AY453" i="6" s="1"/>
  <c r="AX453" i="6" s="1"/>
  <c r="M453" i="6" s="1"/>
  <c r="AO453" i="6"/>
  <c r="AH427" i="6"/>
  <c r="E427" i="6" s="1"/>
  <c r="BR427" i="6"/>
  <c r="T427" i="6" s="1"/>
  <c r="BM427" i="6"/>
  <c r="BE427" i="6"/>
  <c r="AW427" i="6"/>
  <c r="AZ427" i="6" s="1"/>
  <c r="AY427" i="6" s="1"/>
  <c r="AX427" i="6" s="1"/>
  <c r="M427" i="6" s="1"/>
  <c r="AO427" i="6"/>
  <c r="AH166" i="6"/>
  <c r="E166" i="6" s="1"/>
  <c r="BR166" i="6"/>
  <c r="T166" i="6" s="1"/>
  <c r="BM166" i="6"/>
  <c r="BE166" i="6"/>
  <c r="AW166" i="6"/>
  <c r="K166" i="6" s="1"/>
  <c r="AO166" i="6"/>
  <c r="AH281" i="6"/>
  <c r="AK281" i="6" s="1"/>
  <c r="AJ281" i="6" s="1"/>
  <c r="AI281" i="6" s="1"/>
  <c r="G281" i="6" s="1"/>
  <c r="BR281" i="6"/>
  <c r="T281" i="6" s="1"/>
  <c r="BM281" i="6"/>
  <c r="BE281" i="6"/>
  <c r="AW281" i="6"/>
  <c r="AZ281" i="6" s="1"/>
  <c r="AY281" i="6" s="1"/>
  <c r="AX281" i="6" s="1"/>
  <c r="M281" i="6" s="1"/>
  <c r="AO281" i="6"/>
  <c r="BR89" i="6"/>
  <c r="T89" i="6" s="1"/>
  <c r="BM89" i="6"/>
  <c r="Q89" i="6" s="1"/>
  <c r="BE89" i="6"/>
  <c r="N89" i="6" s="1"/>
  <c r="AW89" i="6"/>
  <c r="AO89" i="6"/>
  <c r="H89" i="6" s="1"/>
  <c r="BR401" i="6"/>
  <c r="T401" i="6" s="1"/>
  <c r="BE401" i="6"/>
  <c r="N401" i="6" s="1"/>
  <c r="BM401" i="6"/>
  <c r="Q401" i="6" s="1"/>
  <c r="AW401" i="6"/>
  <c r="K401" i="6" s="1"/>
  <c r="AO401" i="6"/>
  <c r="H401" i="6" s="1"/>
  <c r="BR433" i="6"/>
  <c r="T433" i="6" s="1"/>
  <c r="BE433" i="6"/>
  <c r="N433" i="6" s="1"/>
  <c r="BM433" i="6"/>
  <c r="Q433" i="6" s="1"/>
  <c r="AW433" i="6"/>
  <c r="AZ433" i="6" s="1"/>
  <c r="AY433" i="6" s="1"/>
  <c r="AX433" i="6" s="1"/>
  <c r="M433" i="6" s="1"/>
  <c r="AO433" i="6"/>
  <c r="H433" i="6" s="1"/>
  <c r="BR180" i="6"/>
  <c r="T180" i="6" s="1"/>
  <c r="BM180" i="6"/>
  <c r="Q180" i="6" s="1"/>
  <c r="BE180" i="6"/>
  <c r="BH180" i="6" s="1"/>
  <c r="BG180" i="6" s="1"/>
  <c r="BF180" i="6" s="1"/>
  <c r="P180" i="6" s="1"/>
  <c r="AW180" i="6"/>
  <c r="AZ180" i="6" s="1"/>
  <c r="AY180" i="6" s="1"/>
  <c r="AX180" i="6" s="1"/>
  <c r="M180" i="6" s="1"/>
  <c r="AO180" i="6"/>
  <c r="H180" i="6" s="1"/>
  <c r="BR82" i="6"/>
  <c r="T82" i="6" s="1"/>
  <c r="BM82" i="6"/>
  <c r="Q82" i="6" s="1"/>
  <c r="BE82" i="6"/>
  <c r="AW82" i="6"/>
  <c r="K82" i="6" s="1"/>
  <c r="AO82" i="6"/>
  <c r="H82" i="6" s="1"/>
  <c r="BR278" i="6"/>
  <c r="T278" i="6" s="1"/>
  <c r="BM278" i="6"/>
  <c r="BP278" i="6" s="1"/>
  <c r="BO278" i="6" s="1"/>
  <c r="BN278" i="6" s="1"/>
  <c r="S278" i="6" s="1"/>
  <c r="BE278" i="6"/>
  <c r="N278" i="6" s="1"/>
  <c r="AW278" i="6"/>
  <c r="K278" i="6" s="1"/>
  <c r="AO278" i="6"/>
  <c r="AR278" i="6" s="1"/>
  <c r="AQ278" i="6" s="1"/>
  <c r="AP278" i="6" s="1"/>
  <c r="J278" i="6" s="1"/>
  <c r="BR32" i="6"/>
  <c r="T32" i="6" s="1"/>
  <c r="BM32" i="6"/>
  <c r="Q32" i="6" s="1"/>
  <c r="BE32" i="6"/>
  <c r="N32" i="6" s="1"/>
  <c r="AW32" i="6"/>
  <c r="AZ32" i="6" s="1"/>
  <c r="AY32" i="6" s="1"/>
  <c r="AX32" i="6" s="1"/>
  <c r="M32" i="6" s="1"/>
  <c r="AO32" i="6"/>
  <c r="H32" i="6" s="1"/>
  <c r="BR458" i="6"/>
  <c r="T458" i="6" s="1"/>
  <c r="BM458" i="6"/>
  <c r="Q458" i="6" s="1"/>
  <c r="BE458" i="6"/>
  <c r="N458" i="6" s="1"/>
  <c r="AW458" i="6"/>
  <c r="AO458" i="6"/>
  <c r="AR458" i="6" s="1"/>
  <c r="AQ458" i="6" s="1"/>
  <c r="AP458" i="6" s="1"/>
  <c r="J458" i="6" s="1"/>
  <c r="BR190" i="6"/>
  <c r="T190" i="6" s="1"/>
  <c r="BM190" i="6"/>
  <c r="Q190" i="6" s="1"/>
  <c r="BE190" i="6"/>
  <c r="N190" i="6" s="1"/>
  <c r="AW190" i="6"/>
  <c r="K190" i="6" s="1"/>
  <c r="AO190" i="6"/>
  <c r="H190" i="6" s="1"/>
  <c r="BR319" i="6"/>
  <c r="T319" i="6" s="1"/>
  <c r="BM319" i="6"/>
  <c r="BE319" i="6"/>
  <c r="BH319" i="6" s="1"/>
  <c r="BG319" i="6" s="1"/>
  <c r="BF319" i="6" s="1"/>
  <c r="P319" i="6" s="1"/>
  <c r="AW319" i="6"/>
  <c r="AZ319" i="6" s="1"/>
  <c r="AY319" i="6" s="1"/>
  <c r="AX319" i="6" s="1"/>
  <c r="M319" i="6" s="1"/>
  <c r="AO319" i="6"/>
  <c r="H319" i="6" s="1"/>
  <c r="BR165" i="6"/>
  <c r="T165" i="6" s="1"/>
  <c r="BM165" i="6"/>
  <c r="BP165" i="6" s="1"/>
  <c r="BO165" i="6" s="1"/>
  <c r="BN165" i="6" s="1"/>
  <c r="S165" i="6" s="1"/>
  <c r="BE165" i="6"/>
  <c r="N165" i="6" s="1"/>
  <c r="AW165" i="6"/>
  <c r="AZ165" i="6" s="1"/>
  <c r="AY165" i="6" s="1"/>
  <c r="AX165" i="6" s="1"/>
  <c r="M165" i="6" s="1"/>
  <c r="AO165" i="6"/>
  <c r="BR179" i="6"/>
  <c r="T179" i="6" s="1"/>
  <c r="BM179" i="6"/>
  <c r="Q179" i="6" s="1"/>
  <c r="BE179" i="6"/>
  <c r="N179" i="6" s="1"/>
  <c r="AO179" i="6"/>
  <c r="H179" i="6" s="1"/>
  <c r="AW179" i="6"/>
  <c r="K179" i="6" s="1"/>
  <c r="BR57" i="6"/>
  <c r="T57" i="6" s="1"/>
  <c r="BM57" i="6"/>
  <c r="Q57" i="6" s="1"/>
  <c r="BE57" i="6"/>
  <c r="N57" i="6" s="1"/>
  <c r="AW57" i="6"/>
  <c r="K57" i="6" s="1"/>
  <c r="AO57" i="6"/>
  <c r="BR413" i="6"/>
  <c r="T413" i="6" s="1"/>
  <c r="BM413" i="6"/>
  <c r="Q413" i="6" s="1"/>
  <c r="BE413" i="6"/>
  <c r="N413" i="6" s="1"/>
  <c r="AW413" i="6"/>
  <c r="K413" i="6" s="1"/>
  <c r="AO413" i="6"/>
  <c r="H413" i="6" s="1"/>
  <c r="BR311" i="6"/>
  <c r="T311" i="6" s="1"/>
  <c r="BM311" i="6"/>
  <c r="Q311" i="6" s="1"/>
  <c r="BE311" i="6"/>
  <c r="AW311" i="6"/>
  <c r="AO311" i="6"/>
  <c r="H311" i="6" s="1"/>
  <c r="BR262" i="6"/>
  <c r="T262" i="6" s="1"/>
  <c r="BM262" i="6"/>
  <c r="BE262" i="6"/>
  <c r="N262" i="6" s="1"/>
  <c r="AW262" i="6"/>
  <c r="AZ262" i="6" s="1"/>
  <c r="AY262" i="6" s="1"/>
  <c r="AX262" i="6" s="1"/>
  <c r="M262" i="6" s="1"/>
  <c r="AO262" i="6"/>
  <c r="H262" i="6" s="1"/>
  <c r="BR75" i="6"/>
  <c r="T75" i="6" s="1"/>
  <c r="BM75" i="6"/>
  <c r="BE75" i="6"/>
  <c r="N75" i="6" s="1"/>
  <c r="AW75" i="6"/>
  <c r="K75" i="6" s="1"/>
  <c r="AO75" i="6"/>
  <c r="H75" i="6" s="1"/>
  <c r="BM136" i="6"/>
  <c r="Q136" i="6" s="1"/>
  <c r="BR136" i="6"/>
  <c r="T136" i="6" s="1"/>
  <c r="BE136" i="6"/>
  <c r="N136" i="6" s="1"/>
  <c r="AW136" i="6"/>
  <c r="AZ136" i="6" s="1"/>
  <c r="AY136" i="6" s="1"/>
  <c r="AX136" i="6" s="1"/>
  <c r="M136" i="6" s="1"/>
  <c r="AO136" i="6"/>
  <c r="H136" i="6" s="1"/>
  <c r="BR322" i="6"/>
  <c r="T322" i="6" s="1"/>
  <c r="BM322" i="6"/>
  <c r="Q322" i="6" s="1"/>
  <c r="BE322" i="6"/>
  <c r="AW322" i="6"/>
  <c r="AZ322" i="6" s="1"/>
  <c r="AY322" i="6" s="1"/>
  <c r="AX322" i="6" s="1"/>
  <c r="M322" i="6" s="1"/>
  <c r="AO322" i="6"/>
  <c r="AR322" i="6" s="1"/>
  <c r="AQ322" i="6" s="1"/>
  <c r="AP322" i="6" s="1"/>
  <c r="J322" i="6" s="1"/>
  <c r="BR304" i="6"/>
  <c r="T304" i="6" s="1"/>
  <c r="BM304" i="6"/>
  <c r="BE304" i="6"/>
  <c r="AW304" i="6"/>
  <c r="K304" i="6" s="1"/>
  <c r="AO304" i="6"/>
  <c r="H304" i="6" s="1"/>
  <c r="BR134" i="6"/>
  <c r="T134" i="6" s="1"/>
  <c r="BM134" i="6"/>
  <c r="BE134" i="6"/>
  <c r="AW134" i="6"/>
  <c r="AO134" i="6"/>
  <c r="BR67" i="6"/>
  <c r="T67" i="6" s="1"/>
  <c r="BM67" i="6"/>
  <c r="BE67" i="6"/>
  <c r="AW67" i="6"/>
  <c r="AO67" i="6"/>
  <c r="BR230" i="6"/>
  <c r="T230" i="6" s="1"/>
  <c r="BM230" i="6"/>
  <c r="BE230" i="6"/>
  <c r="AW230" i="6"/>
  <c r="AO230" i="6"/>
  <c r="AH452" i="6"/>
  <c r="AK452" i="6" s="1"/>
  <c r="AJ452" i="6" s="1"/>
  <c r="AI452" i="6" s="1"/>
  <c r="G452" i="6" s="1"/>
  <c r="BR452" i="6"/>
  <c r="T452" i="6" s="1"/>
  <c r="BM452" i="6"/>
  <c r="BE452" i="6"/>
  <c r="AW452" i="6"/>
  <c r="AZ452" i="6" s="1"/>
  <c r="AY452" i="6" s="1"/>
  <c r="AX452" i="6" s="1"/>
  <c r="M452" i="6" s="1"/>
  <c r="AO452" i="6"/>
  <c r="AH288" i="6"/>
  <c r="E288" i="6" s="1"/>
  <c r="BR288" i="6"/>
  <c r="T288" i="6" s="1"/>
  <c r="BM288" i="6"/>
  <c r="BE288" i="6"/>
  <c r="AW288" i="6"/>
  <c r="AZ288" i="6" s="1"/>
  <c r="AY288" i="6" s="1"/>
  <c r="AX288" i="6" s="1"/>
  <c r="M288" i="6" s="1"/>
  <c r="AO288" i="6"/>
  <c r="AH201" i="6"/>
  <c r="E201" i="6" s="1"/>
  <c r="BR201" i="6"/>
  <c r="T201" i="6" s="1"/>
  <c r="BM201" i="6"/>
  <c r="BE201" i="6"/>
  <c r="AW201" i="6"/>
  <c r="K201" i="6" s="1"/>
  <c r="AO201" i="6"/>
  <c r="AH378" i="6"/>
  <c r="AK378" i="6" s="1"/>
  <c r="AJ378" i="6" s="1"/>
  <c r="AI378" i="6" s="1"/>
  <c r="G378" i="6" s="1"/>
  <c r="BR378" i="6"/>
  <c r="T378" i="6" s="1"/>
  <c r="BM378" i="6"/>
  <c r="BE378" i="6"/>
  <c r="AW378" i="6"/>
  <c r="AZ378" i="6" s="1"/>
  <c r="AY378" i="6" s="1"/>
  <c r="AX378" i="6" s="1"/>
  <c r="M378" i="6" s="1"/>
  <c r="AO378" i="6"/>
  <c r="AH148" i="6"/>
  <c r="E148" i="6" s="1"/>
  <c r="BR148" i="6"/>
  <c r="T148" i="6" s="1"/>
  <c r="BM148" i="6"/>
  <c r="BE148" i="6"/>
  <c r="AW148" i="6"/>
  <c r="AZ148" i="6" s="1"/>
  <c r="AY148" i="6" s="1"/>
  <c r="AX148" i="6" s="1"/>
  <c r="M148" i="6" s="1"/>
  <c r="AO148" i="6"/>
  <c r="AH139" i="6"/>
  <c r="E139" i="6" s="1"/>
  <c r="BR139" i="6"/>
  <c r="T139" i="6" s="1"/>
  <c r="BM139" i="6"/>
  <c r="BE139" i="6"/>
  <c r="AW139" i="6"/>
  <c r="AZ139" i="6" s="1"/>
  <c r="AY139" i="6" s="1"/>
  <c r="AX139" i="6" s="1"/>
  <c r="M139" i="6" s="1"/>
  <c r="AO139" i="6"/>
  <c r="AH455" i="6"/>
  <c r="AK455" i="6" s="1"/>
  <c r="AJ455" i="6" s="1"/>
  <c r="AI455" i="6" s="1"/>
  <c r="G455" i="6" s="1"/>
  <c r="BR455" i="6"/>
  <c r="T455" i="6" s="1"/>
  <c r="BM455" i="6"/>
  <c r="BE455" i="6"/>
  <c r="AW455" i="6"/>
  <c r="AZ455" i="6" s="1"/>
  <c r="AY455" i="6" s="1"/>
  <c r="AX455" i="6" s="1"/>
  <c r="M455" i="6" s="1"/>
  <c r="AO455" i="6"/>
  <c r="AH432" i="6"/>
  <c r="AK432" i="6" s="1"/>
  <c r="AJ432" i="6" s="1"/>
  <c r="AI432" i="6" s="1"/>
  <c r="G432" i="6" s="1"/>
  <c r="BR432" i="6"/>
  <c r="T432" i="6" s="1"/>
  <c r="BM432" i="6"/>
  <c r="BE432" i="6"/>
  <c r="AW432" i="6"/>
  <c r="AZ432" i="6" s="1"/>
  <c r="AY432" i="6" s="1"/>
  <c r="AX432" i="6" s="1"/>
  <c r="M432" i="6" s="1"/>
  <c r="AO432" i="6"/>
  <c r="AH416" i="6"/>
  <c r="E416" i="6" s="1"/>
  <c r="BR416" i="6"/>
  <c r="T416" i="6" s="1"/>
  <c r="BM416" i="6"/>
  <c r="BE416" i="6"/>
  <c r="AW416" i="6"/>
  <c r="K416" i="6" s="1"/>
  <c r="AO416" i="6"/>
  <c r="AH346" i="6"/>
  <c r="AK346" i="6" s="1"/>
  <c r="AJ346" i="6" s="1"/>
  <c r="AI346" i="6" s="1"/>
  <c r="G346" i="6" s="1"/>
  <c r="BR346" i="6"/>
  <c r="T346" i="6" s="1"/>
  <c r="BM346" i="6"/>
  <c r="BE346" i="6"/>
  <c r="AW346" i="6"/>
  <c r="AZ346" i="6" s="1"/>
  <c r="AY346" i="6" s="1"/>
  <c r="AX346" i="6" s="1"/>
  <c r="M346" i="6" s="1"/>
  <c r="AO346" i="6"/>
  <c r="AH247" i="6"/>
  <c r="AK247" i="6" s="1"/>
  <c r="AJ247" i="6" s="1"/>
  <c r="AI247" i="6" s="1"/>
  <c r="G247" i="6" s="1"/>
  <c r="BR247" i="6"/>
  <c r="T247" i="6" s="1"/>
  <c r="BM247" i="6"/>
  <c r="BE247" i="6"/>
  <c r="AW247" i="6"/>
  <c r="AZ247" i="6" s="1"/>
  <c r="AY247" i="6" s="1"/>
  <c r="AX247" i="6" s="1"/>
  <c r="M247" i="6" s="1"/>
  <c r="AO247" i="6"/>
  <c r="AH188" i="6"/>
  <c r="E188" i="6" s="1"/>
  <c r="BR188" i="6"/>
  <c r="T188" i="6" s="1"/>
  <c r="BM188" i="6"/>
  <c r="BE188" i="6"/>
  <c r="AW188" i="6"/>
  <c r="K188" i="6" s="1"/>
  <c r="AO188" i="6"/>
  <c r="AH337" i="6"/>
  <c r="E337" i="6" s="1"/>
  <c r="BR337" i="6"/>
  <c r="T337" i="6" s="1"/>
  <c r="BE337" i="6"/>
  <c r="BM337" i="6"/>
  <c r="AW337" i="6"/>
  <c r="K337" i="6" s="1"/>
  <c r="AO337" i="6"/>
  <c r="AH285" i="6"/>
  <c r="BR285" i="6"/>
  <c r="T285" i="6" s="1"/>
  <c r="BM285" i="6"/>
  <c r="BE285" i="6"/>
  <c r="AW285" i="6"/>
  <c r="K285" i="6" s="1"/>
  <c r="AO285" i="6"/>
  <c r="AH211" i="6"/>
  <c r="AK211" i="6" s="1"/>
  <c r="AJ211" i="6" s="1"/>
  <c r="AI211" i="6" s="1"/>
  <c r="G211" i="6" s="1"/>
  <c r="BR211" i="6"/>
  <c r="T211" i="6" s="1"/>
  <c r="BM211" i="6"/>
  <c r="BE211" i="6"/>
  <c r="AW211" i="6"/>
  <c r="K211" i="6" s="1"/>
  <c r="AO211" i="6"/>
  <c r="AH156" i="6"/>
  <c r="E156" i="6" s="1"/>
  <c r="BR156" i="6"/>
  <c r="T156" i="6" s="1"/>
  <c r="BM156" i="6"/>
  <c r="BE156" i="6"/>
  <c r="AW156" i="6"/>
  <c r="K156" i="6" s="1"/>
  <c r="AO156" i="6"/>
  <c r="AH111" i="6"/>
  <c r="AK111" i="6" s="1"/>
  <c r="AJ111" i="6" s="1"/>
  <c r="AI111" i="6" s="1"/>
  <c r="G111" i="6" s="1"/>
  <c r="BR111" i="6"/>
  <c r="T111" i="6" s="1"/>
  <c r="BM111" i="6"/>
  <c r="BE111" i="6"/>
  <c r="AW111" i="6"/>
  <c r="K111" i="6" s="1"/>
  <c r="AO111" i="6"/>
  <c r="AH399" i="6"/>
  <c r="BR399" i="6"/>
  <c r="T399" i="6" s="1"/>
  <c r="BM399" i="6"/>
  <c r="BE399" i="6"/>
  <c r="AW399" i="6"/>
  <c r="AZ399" i="6" s="1"/>
  <c r="AY399" i="6" s="1"/>
  <c r="AX399" i="6" s="1"/>
  <c r="M399" i="6" s="1"/>
  <c r="AO399" i="6"/>
  <c r="AH13" i="6"/>
  <c r="AK13" i="6" s="1"/>
  <c r="AJ13" i="6" s="1"/>
  <c r="AI13" i="6" s="1"/>
  <c r="G13" i="6" s="1"/>
  <c r="BR13" i="6"/>
  <c r="T13" i="6" s="1"/>
  <c r="BM13" i="6"/>
  <c r="BE13" i="6"/>
  <c r="AW13" i="6"/>
  <c r="AZ13" i="6" s="1"/>
  <c r="AY13" i="6" s="1"/>
  <c r="AX13" i="6" s="1"/>
  <c r="M13" i="6" s="1"/>
  <c r="AO13" i="6"/>
  <c r="AH280" i="6"/>
  <c r="AK280" i="6" s="1"/>
  <c r="AJ280" i="6" s="1"/>
  <c r="AI280" i="6" s="1"/>
  <c r="G280" i="6" s="1"/>
  <c r="BR280" i="6"/>
  <c r="T280" i="6" s="1"/>
  <c r="BM280" i="6"/>
  <c r="BE280" i="6"/>
  <c r="AW280" i="6"/>
  <c r="AZ280" i="6" s="1"/>
  <c r="AY280" i="6" s="1"/>
  <c r="AX280" i="6" s="1"/>
  <c r="M280" i="6" s="1"/>
  <c r="AO280" i="6"/>
  <c r="AH167" i="6"/>
  <c r="E167" i="6" s="1"/>
  <c r="BR167" i="6"/>
  <c r="T167" i="6" s="1"/>
  <c r="BM167" i="6"/>
  <c r="BE167" i="6"/>
  <c r="AW167" i="6"/>
  <c r="AZ167" i="6" s="1"/>
  <c r="AY167" i="6" s="1"/>
  <c r="AX167" i="6" s="1"/>
  <c r="M167" i="6" s="1"/>
  <c r="AO167" i="6"/>
  <c r="AH145" i="6"/>
  <c r="BR145" i="6"/>
  <c r="T145" i="6" s="1"/>
  <c r="BM145" i="6"/>
  <c r="BE145" i="6"/>
  <c r="AW145" i="6"/>
  <c r="AZ145" i="6" s="1"/>
  <c r="AY145" i="6" s="1"/>
  <c r="AX145" i="6" s="1"/>
  <c r="M145" i="6" s="1"/>
  <c r="AO145" i="6"/>
  <c r="AH15" i="6"/>
  <c r="AK15" i="6" s="1"/>
  <c r="AJ15" i="6" s="1"/>
  <c r="AI15" i="6" s="1"/>
  <c r="G15" i="6" s="1"/>
  <c r="BR15" i="6"/>
  <c r="T15" i="6" s="1"/>
  <c r="BM15" i="6"/>
  <c r="BE15" i="6"/>
  <c r="AW15" i="6"/>
  <c r="K15" i="6" s="1"/>
  <c r="AO15" i="6"/>
  <c r="AH117" i="6"/>
  <c r="AK117" i="6" s="1"/>
  <c r="AJ117" i="6" s="1"/>
  <c r="AI117" i="6" s="1"/>
  <c r="G117" i="6" s="1"/>
  <c r="BM117" i="6"/>
  <c r="BR117" i="6"/>
  <c r="T117" i="6" s="1"/>
  <c r="BE117" i="6"/>
  <c r="AW117" i="6"/>
  <c r="AZ117" i="6" s="1"/>
  <c r="AY117" i="6" s="1"/>
  <c r="AX117" i="6" s="1"/>
  <c r="M117" i="6" s="1"/>
  <c r="AO117" i="6"/>
  <c r="AH97" i="6"/>
  <c r="E97" i="6" s="1"/>
  <c r="BR97" i="6"/>
  <c r="T97" i="6" s="1"/>
  <c r="BM97" i="6"/>
  <c r="BE97" i="6"/>
  <c r="AW97" i="6"/>
  <c r="K97" i="6" s="1"/>
  <c r="AO97" i="6"/>
  <c r="AH73" i="6"/>
  <c r="E73" i="6" s="1"/>
  <c r="BR73" i="6"/>
  <c r="T73" i="6" s="1"/>
  <c r="BM73" i="6"/>
  <c r="BE73" i="6"/>
  <c r="AW73" i="6"/>
  <c r="K73" i="6" s="1"/>
  <c r="AO73" i="6"/>
  <c r="AH415" i="6"/>
  <c r="E415" i="6" s="1"/>
  <c r="BR415" i="6"/>
  <c r="T415" i="6" s="1"/>
  <c r="BM415" i="6"/>
  <c r="BE415" i="6"/>
  <c r="AW415" i="6"/>
  <c r="K415" i="6" s="1"/>
  <c r="AO415" i="6"/>
  <c r="AH109" i="6"/>
  <c r="E109" i="6" s="1"/>
  <c r="BR109" i="6"/>
  <c r="T109" i="6" s="1"/>
  <c r="BM109" i="6"/>
  <c r="BE109" i="6"/>
  <c r="AW109" i="6"/>
  <c r="K109" i="6" s="1"/>
  <c r="AO109" i="6"/>
  <c r="AH83" i="6"/>
  <c r="E83" i="6" s="1"/>
  <c r="BR83" i="6"/>
  <c r="T83" i="6" s="1"/>
  <c r="BM83" i="6"/>
  <c r="BE83" i="6"/>
  <c r="AW83" i="6"/>
  <c r="K83" i="6" s="1"/>
  <c r="AO83" i="6"/>
  <c r="AH460" i="6"/>
  <c r="E460" i="6" s="1"/>
  <c r="BR460" i="6"/>
  <c r="T460" i="6" s="1"/>
  <c r="BM460" i="6"/>
  <c r="BE460" i="6"/>
  <c r="AW460" i="6"/>
  <c r="K460" i="6" s="1"/>
  <c r="AO460" i="6"/>
  <c r="AH419" i="6"/>
  <c r="AK419" i="6" s="1"/>
  <c r="AJ419" i="6" s="1"/>
  <c r="AI419" i="6" s="1"/>
  <c r="G419" i="6" s="1"/>
  <c r="BR419" i="6"/>
  <c r="T419" i="6" s="1"/>
  <c r="BM419" i="6"/>
  <c r="BE419" i="6"/>
  <c r="AW419" i="6"/>
  <c r="AZ419" i="6" s="1"/>
  <c r="AY419" i="6" s="1"/>
  <c r="AX419" i="6" s="1"/>
  <c r="M419" i="6" s="1"/>
  <c r="AO419" i="6"/>
  <c r="BM245" i="6"/>
  <c r="BE245" i="6"/>
  <c r="BR245" i="6"/>
  <c r="T245" i="6" s="1"/>
  <c r="AW245" i="6"/>
  <c r="AZ245" i="6" s="1"/>
  <c r="AY245" i="6" s="1"/>
  <c r="AX245" i="6" s="1"/>
  <c r="M245" i="6" s="1"/>
  <c r="AO245" i="6"/>
  <c r="BR232" i="6"/>
  <c r="T232" i="6" s="1"/>
  <c r="BM232" i="6"/>
  <c r="BE232" i="6"/>
  <c r="AW232" i="6"/>
  <c r="AZ232" i="6" s="1"/>
  <c r="AY232" i="6" s="1"/>
  <c r="AX232" i="6" s="1"/>
  <c r="M232" i="6" s="1"/>
  <c r="AO232" i="6"/>
  <c r="BR181" i="6"/>
  <c r="T181" i="6" s="1"/>
  <c r="BM181" i="6"/>
  <c r="BE181" i="6"/>
  <c r="AW181" i="6"/>
  <c r="AZ181" i="6" s="1"/>
  <c r="AY181" i="6" s="1"/>
  <c r="AX181" i="6" s="1"/>
  <c r="M181" i="6" s="1"/>
  <c r="AO181" i="6"/>
  <c r="BR110" i="6"/>
  <c r="T110" i="6" s="1"/>
  <c r="BM110" i="6"/>
  <c r="BE110" i="6"/>
  <c r="AW110" i="6"/>
  <c r="AZ110" i="6" s="1"/>
  <c r="AY110" i="6" s="1"/>
  <c r="AX110" i="6" s="1"/>
  <c r="M110" i="6" s="1"/>
  <c r="AO110" i="6"/>
  <c r="BM16" i="6"/>
  <c r="BR16" i="6"/>
  <c r="T16" i="6" s="1"/>
  <c r="BE16" i="6"/>
  <c r="AW16" i="6"/>
  <c r="AZ16" i="6" s="1"/>
  <c r="AY16" i="6" s="1"/>
  <c r="AX16" i="6" s="1"/>
  <c r="M16" i="6" s="1"/>
  <c r="AO16" i="6"/>
  <c r="BM24" i="6"/>
  <c r="BR24" i="6"/>
  <c r="T24" i="6" s="1"/>
  <c r="BE24" i="6"/>
  <c r="AW24" i="6"/>
  <c r="AZ24" i="6" s="1"/>
  <c r="AY24" i="6" s="1"/>
  <c r="AX24" i="6" s="1"/>
  <c r="M24" i="6" s="1"/>
  <c r="AO24" i="6"/>
  <c r="BR106" i="6"/>
  <c r="T106" i="6" s="1"/>
  <c r="BM106" i="6"/>
  <c r="BE106" i="6"/>
  <c r="AW106" i="6"/>
  <c r="AZ106" i="6" s="1"/>
  <c r="AY106" i="6" s="1"/>
  <c r="AX106" i="6" s="1"/>
  <c r="M106" i="6" s="1"/>
  <c r="AO106" i="6"/>
  <c r="BR103" i="6"/>
  <c r="T103" i="6" s="1"/>
  <c r="BM103" i="6"/>
  <c r="BE103" i="6"/>
  <c r="AW103" i="6"/>
  <c r="K103" i="6" s="1"/>
  <c r="AO103" i="6"/>
  <c r="BR22" i="6"/>
  <c r="T22" i="6" s="1"/>
  <c r="BM22" i="6"/>
  <c r="BE22" i="6"/>
  <c r="AW22" i="6"/>
  <c r="AO22" i="6"/>
  <c r="BR409" i="6"/>
  <c r="T409" i="6" s="1"/>
  <c r="BM409" i="6"/>
  <c r="BE409" i="6"/>
  <c r="AW409" i="6"/>
  <c r="AO409" i="6"/>
  <c r="BR214" i="6"/>
  <c r="T214" i="6" s="1"/>
  <c r="BM214" i="6"/>
  <c r="BE214" i="6"/>
  <c r="AW214" i="6"/>
  <c r="AO214" i="6"/>
  <c r="BR203" i="6"/>
  <c r="T203" i="6" s="1"/>
  <c r="BM203" i="6"/>
  <c r="BE203" i="6"/>
  <c r="AW203" i="6"/>
  <c r="AO203" i="6"/>
  <c r="BR395" i="6"/>
  <c r="T395" i="6" s="1"/>
  <c r="BM395" i="6"/>
  <c r="BE395" i="6"/>
  <c r="AW395" i="6"/>
  <c r="AO395" i="6"/>
  <c r="BR332" i="6"/>
  <c r="T332" i="6" s="1"/>
  <c r="BM332" i="6"/>
  <c r="BE332" i="6"/>
  <c r="AW332" i="6"/>
  <c r="AO332" i="6"/>
  <c r="BR41" i="6"/>
  <c r="T41" i="6" s="1"/>
  <c r="BM41" i="6"/>
  <c r="BE41" i="6"/>
  <c r="AW41" i="6"/>
  <c r="AO41" i="6"/>
  <c r="BM238" i="6"/>
  <c r="BR238" i="6"/>
  <c r="T238" i="6" s="1"/>
  <c r="BE238" i="6"/>
  <c r="AW238" i="6"/>
  <c r="AO238" i="6"/>
  <c r="AH165" i="6"/>
  <c r="AK165" i="6" s="1"/>
  <c r="AJ165" i="6" s="1"/>
  <c r="AI165" i="6" s="1"/>
  <c r="G165" i="6" s="1"/>
  <c r="BR126" i="6"/>
  <c r="T126" i="6" s="1"/>
  <c r="BM126" i="6"/>
  <c r="BE126" i="6"/>
  <c r="AW126" i="6"/>
  <c r="AO126" i="6"/>
  <c r="BR466" i="6"/>
  <c r="T466" i="6" s="1"/>
  <c r="BM466" i="6"/>
  <c r="BE466" i="6"/>
  <c r="AW466" i="6"/>
  <c r="K466" i="6" s="1"/>
  <c r="AO466" i="6"/>
  <c r="AH388" i="6"/>
  <c r="BR388" i="6"/>
  <c r="T388" i="6" s="1"/>
  <c r="BM388" i="6"/>
  <c r="BE388" i="6"/>
  <c r="AW388" i="6"/>
  <c r="K388" i="6" s="1"/>
  <c r="AO388" i="6"/>
  <c r="AH207" i="6"/>
  <c r="E207" i="6" s="1"/>
  <c r="BR207" i="6"/>
  <c r="T207" i="6" s="1"/>
  <c r="BM207" i="6"/>
  <c r="BE207" i="6"/>
  <c r="AW207" i="6"/>
  <c r="AZ207" i="6" s="1"/>
  <c r="AY207" i="6" s="1"/>
  <c r="AX207" i="6" s="1"/>
  <c r="M207" i="6" s="1"/>
  <c r="AO207" i="6"/>
  <c r="AH206" i="6"/>
  <c r="BR206" i="6"/>
  <c r="T206" i="6" s="1"/>
  <c r="BM206" i="6"/>
  <c r="BE206" i="6"/>
  <c r="AW206" i="6"/>
  <c r="K206" i="6" s="1"/>
  <c r="AO206" i="6"/>
  <c r="AH161" i="6"/>
  <c r="AK161" i="6" s="1"/>
  <c r="AJ161" i="6" s="1"/>
  <c r="AI161" i="6" s="1"/>
  <c r="G161" i="6" s="1"/>
  <c r="BR161" i="6"/>
  <c r="T161" i="6" s="1"/>
  <c r="BM161" i="6"/>
  <c r="BE161" i="6"/>
  <c r="AW161" i="6"/>
  <c r="K161" i="6" s="1"/>
  <c r="AO161" i="6"/>
  <c r="AH80" i="6"/>
  <c r="AK80" i="6" s="1"/>
  <c r="AJ80" i="6" s="1"/>
  <c r="AI80" i="6" s="1"/>
  <c r="G80" i="6" s="1"/>
  <c r="BM80" i="6"/>
  <c r="BR80" i="6"/>
  <c r="T80" i="6" s="1"/>
  <c r="BE80" i="6"/>
  <c r="AW80" i="6"/>
  <c r="AZ80" i="6" s="1"/>
  <c r="AY80" i="6" s="1"/>
  <c r="AX80" i="6" s="1"/>
  <c r="M80" i="6" s="1"/>
  <c r="AO80" i="6"/>
  <c r="AH45" i="6"/>
  <c r="BR45" i="6"/>
  <c r="T45" i="6" s="1"/>
  <c r="BM45" i="6"/>
  <c r="BE45" i="6"/>
  <c r="AW45" i="6"/>
  <c r="AZ45" i="6" s="1"/>
  <c r="AY45" i="6" s="1"/>
  <c r="AX45" i="6" s="1"/>
  <c r="M45" i="6" s="1"/>
  <c r="AO45" i="6"/>
  <c r="AH408" i="6"/>
  <c r="AK408" i="6" s="1"/>
  <c r="AJ408" i="6" s="1"/>
  <c r="AI408" i="6" s="1"/>
  <c r="G408" i="6" s="1"/>
  <c r="BM408" i="6"/>
  <c r="BR408" i="6"/>
  <c r="T408" i="6" s="1"/>
  <c r="BE408" i="6"/>
  <c r="AW408" i="6"/>
  <c r="K408" i="6" s="1"/>
  <c r="AO408" i="6"/>
  <c r="AH272" i="6"/>
  <c r="AK272" i="6" s="1"/>
  <c r="AJ272" i="6" s="1"/>
  <c r="AI272" i="6" s="1"/>
  <c r="G272" i="6" s="1"/>
  <c r="BR272" i="6"/>
  <c r="T272" i="6" s="1"/>
  <c r="BM272" i="6"/>
  <c r="BE272" i="6"/>
  <c r="AW272" i="6"/>
  <c r="K272" i="6" s="1"/>
  <c r="AO272" i="6"/>
  <c r="AH219" i="6"/>
  <c r="E219" i="6" s="1"/>
  <c r="BR219" i="6"/>
  <c r="T219" i="6" s="1"/>
  <c r="BM219" i="6"/>
  <c r="BE219" i="6"/>
  <c r="AW219" i="6"/>
  <c r="K219" i="6" s="1"/>
  <c r="AO219" i="6"/>
  <c r="AH195" i="6"/>
  <c r="AK195" i="6" s="1"/>
  <c r="AJ195" i="6" s="1"/>
  <c r="AI195" i="6" s="1"/>
  <c r="G195" i="6" s="1"/>
  <c r="BR195" i="6"/>
  <c r="T195" i="6" s="1"/>
  <c r="BM195" i="6"/>
  <c r="BE195" i="6"/>
  <c r="AW195" i="6"/>
  <c r="AZ195" i="6" s="1"/>
  <c r="AY195" i="6" s="1"/>
  <c r="AX195" i="6" s="1"/>
  <c r="M195" i="6" s="1"/>
  <c r="AO195" i="6"/>
  <c r="AH160" i="6"/>
  <c r="E160" i="6" s="1"/>
  <c r="BR160" i="6"/>
  <c r="T160" i="6" s="1"/>
  <c r="BM160" i="6"/>
  <c r="BE160" i="6"/>
  <c r="AW160" i="6"/>
  <c r="AZ160" i="6" s="1"/>
  <c r="AY160" i="6" s="1"/>
  <c r="AX160" i="6" s="1"/>
  <c r="M160" i="6" s="1"/>
  <c r="AO160" i="6"/>
  <c r="AH173" i="6"/>
  <c r="E173" i="6" s="1"/>
  <c r="BR173" i="6"/>
  <c r="T173" i="6" s="1"/>
  <c r="BM173" i="6"/>
  <c r="BE173" i="6"/>
  <c r="AW173" i="6"/>
  <c r="K173" i="6" s="1"/>
  <c r="AO173" i="6"/>
  <c r="AH48" i="6"/>
  <c r="AK48" i="6" s="1"/>
  <c r="AJ48" i="6" s="1"/>
  <c r="AI48" i="6" s="1"/>
  <c r="G48" i="6" s="1"/>
  <c r="BM48" i="6"/>
  <c r="BR48" i="6"/>
  <c r="T48" i="6" s="1"/>
  <c r="BE48" i="6"/>
  <c r="AW48" i="6"/>
  <c r="K48" i="6" s="1"/>
  <c r="AO48" i="6"/>
  <c r="AH310" i="6"/>
  <c r="BR310" i="6"/>
  <c r="T310" i="6" s="1"/>
  <c r="BM310" i="6"/>
  <c r="BE310" i="6"/>
  <c r="AW310" i="6"/>
  <c r="AZ310" i="6" s="1"/>
  <c r="AY310" i="6" s="1"/>
  <c r="AX310" i="6" s="1"/>
  <c r="M310" i="6" s="1"/>
  <c r="AO310" i="6"/>
  <c r="AH100" i="6"/>
  <c r="BR100" i="6"/>
  <c r="T100" i="6" s="1"/>
  <c r="BM100" i="6"/>
  <c r="BE100" i="6"/>
  <c r="AW100" i="6"/>
  <c r="AZ100" i="6" s="1"/>
  <c r="AY100" i="6" s="1"/>
  <c r="AX100" i="6" s="1"/>
  <c r="M100" i="6" s="1"/>
  <c r="AO100" i="6"/>
  <c r="AH423" i="6"/>
  <c r="AK423" i="6" s="1"/>
  <c r="AJ423" i="6" s="1"/>
  <c r="AI423" i="6" s="1"/>
  <c r="G423" i="6" s="1"/>
  <c r="BR423" i="6"/>
  <c r="T423" i="6" s="1"/>
  <c r="BM423" i="6"/>
  <c r="BE423" i="6"/>
  <c r="AW423" i="6"/>
  <c r="K423" i="6" s="1"/>
  <c r="AO423" i="6"/>
  <c r="AH381" i="6"/>
  <c r="AK381" i="6" s="1"/>
  <c r="AJ381" i="6" s="1"/>
  <c r="AI381" i="6" s="1"/>
  <c r="G381" i="6" s="1"/>
  <c r="BR381" i="6"/>
  <c r="T381" i="6" s="1"/>
  <c r="BM381" i="6"/>
  <c r="BE381" i="6"/>
  <c r="AW381" i="6"/>
  <c r="AZ381" i="6" s="1"/>
  <c r="AY381" i="6" s="1"/>
  <c r="AX381" i="6" s="1"/>
  <c r="M381" i="6" s="1"/>
  <c r="AO381" i="6"/>
  <c r="AH287" i="6"/>
  <c r="AK287" i="6" s="1"/>
  <c r="AJ287" i="6" s="1"/>
  <c r="AI287" i="6" s="1"/>
  <c r="G287" i="6" s="1"/>
  <c r="BR287" i="6"/>
  <c r="T287" i="6" s="1"/>
  <c r="BM287" i="6"/>
  <c r="BE287" i="6"/>
  <c r="AW287" i="6"/>
  <c r="AZ287" i="6" s="1"/>
  <c r="AY287" i="6" s="1"/>
  <c r="AX287" i="6" s="1"/>
  <c r="M287" i="6" s="1"/>
  <c r="AO287" i="6"/>
  <c r="AH216" i="6"/>
  <c r="AK216" i="6" s="1"/>
  <c r="AJ216" i="6" s="1"/>
  <c r="AI216" i="6" s="1"/>
  <c r="G216" i="6" s="1"/>
  <c r="BR216" i="6"/>
  <c r="T216" i="6" s="1"/>
  <c r="BM216" i="6"/>
  <c r="BE216" i="6"/>
  <c r="AW216" i="6"/>
  <c r="AZ216" i="6" s="1"/>
  <c r="AY216" i="6" s="1"/>
  <c r="AX216" i="6" s="1"/>
  <c r="M216" i="6" s="1"/>
  <c r="AO216" i="6"/>
  <c r="AH140" i="6"/>
  <c r="AK140" i="6" s="1"/>
  <c r="AJ140" i="6" s="1"/>
  <c r="AI140" i="6" s="1"/>
  <c r="G140" i="6" s="1"/>
  <c r="BR140" i="6"/>
  <c r="T140" i="6" s="1"/>
  <c r="BM140" i="6"/>
  <c r="BE140" i="6"/>
  <c r="AW140" i="6"/>
  <c r="K140" i="6" s="1"/>
  <c r="AO140" i="6"/>
  <c r="AH150" i="6"/>
  <c r="AK150" i="6" s="1"/>
  <c r="AJ150" i="6" s="1"/>
  <c r="AI150" i="6" s="1"/>
  <c r="G150" i="6" s="1"/>
  <c r="BR150" i="6"/>
  <c r="T150" i="6" s="1"/>
  <c r="BM150" i="6"/>
  <c r="BE150" i="6"/>
  <c r="AW150" i="6"/>
  <c r="AO150" i="6"/>
  <c r="AH42" i="6"/>
  <c r="BR42" i="6"/>
  <c r="T42" i="6" s="1"/>
  <c r="BM42" i="6"/>
  <c r="BE42" i="6"/>
  <c r="AW42" i="6"/>
  <c r="K42" i="6" s="1"/>
  <c r="AO42" i="6"/>
  <c r="AH178" i="6"/>
  <c r="BR178" i="6"/>
  <c r="T178" i="6" s="1"/>
  <c r="BM178" i="6"/>
  <c r="BE178" i="6"/>
  <c r="AW178" i="6"/>
  <c r="AZ178" i="6" s="1"/>
  <c r="AY178" i="6" s="1"/>
  <c r="AX178" i="6" s="1"/>
  <c r="M178" i="6" s="1"/>
  <c r="AO178" i="6"/>
  <c r="AH315" i="6"/>
  <c r="AK315" i="6" s="1"/>
  <c r="AJ315" i="6" s="1"/>
  <c r="AI315" i="6" s="1"/>
  <c r="G315" i="6" s="1"/>
  <c r="BR315" i="6"/>
  <c r="T315" i="6" s="1"/>
  <c r="BM315" i="6"/>
  <c r="BE315" i="6"/>
  <c r="AW315" i="6"/>
  <c r="AZ315" i="6" s="1"/>
  <c r="AY315" i="6" s="1"/>
  <c r="AX315" i="6" s="1"/>
  <c r="M315" i="6" s="1"/>
  <c r="AO315" i="6"/>
  <c r="AH200" i="6"/>
  <c r="BR200" i="6"/>
  <c r="T200" i="6" s="1"/>
  <c r="BM200" i="6"/>
  <c r="BE200" i="6"/>
  <c r="AW200" i="6"/>
  <c r="K200" i="6" s="1"/>
  <c r="AO200" i="6"/>
  <c r="AH90" i="6"/>
  <c r="E90" i="6" s="1"/>
  <c r="BR90" i="6"/>
  <c r="T90" i="6" s="1"/>
  <c r="BM90" i="6"/>
  <c r="BE90" i="6"/>
  <c r="AW90" i="6"/>
  <c r="K90" i="6" s="1"/>
  <c r="AO90" i="6"/>
  <c r="AH132" i="6"/>
  <c r="BR132" i="6"/>
  <c r="T132" i="6" s="1"/>
  <c r="BM132" i="6"/>
  <c r="BE132" i="6"/>
  <c r="AW132" i="6"/>
  <c r="AZ132" i="6" s="1"/>
  <c r="AY132" i="6" s="1"/>
  <c r="AX132" i="6" s="1"/>
  <c r="M132" i="6" s="1"/>
  <c r="AO132" i="6"/>
  <c r="AH318" i="6"/>
  <c r="AK318" i="6" s="1"/>
  <c r="AJ318" i="6" s="1"/>
  <c r="AI318" i="6" s="1"/>
  <c r="G318" i="6" s="1"/>
  <c r="BR318" i="6"/>
  <c r="T318" i="6" s="1"/>
  <c r="BM318" i="6"/>
  <c r="BE318" i="6"/>
  <c r="AW318" i="6"/>
  <c r="AZ318" i="6" s="1"/>
  <c r="AY318" i="6" s="1"/>
  <c r="AX318" i="6" s="1"/>
  <c r="M318" i="6" s="1"/>
  <c r="AO318" i="6"/>
  <c r="AH257" i="6"/>
  <c r="AK257" i="6" s="1"/>
  <c r="AJ257" i="6" s="1"/>
  <c r="AI257" i="6" s="1"/>
  <c r="G257" i="6" s="1"/>
  <c r="BR257" i="6"/>
  <c r="T257" i="6" s="1"/>
  <c r="BE257" i="6"/>
  <c r="BM257" i="6"/>
  <c r="AO257" i="6"/>
  <c r="AW257" i="6"/>
  <c r="K257" i="6" s="1"/>
  <c r="AH209" i="6"/>
  <c r="E209" i="6" s="1"/>
  <c r="BR209" i="6"/>
  <c r="T209" i="6" s="1"/>
  <c r="BE209" i="6"/>
  <c r="BM209" i="6"/>
  <c r="AW209" i="6"/>
  <c r="AZ209" i="6" s="1"/>
  <c r="AY209" i="6" s="1"/>
  <c r="AX209" i="6" s="1"/>
  <c r="M209" i="6" s="1"/>
  <c r="AO209" i="6"/>
  <c r="AH50" i="6"/>
  <c r="BR50" i="6"/>
  <c r="T50" i="6" s="1"/>
  <c r="BM50" i="6"/>
  <c r="BE50" i="6"/>
  <c r="AW50" i="6"/>
  <c r="AZ50" i="6" s="1"/>
  <c r="AY50" i="6" s="1"/>
  <c r="AX50" i="6" s="1"/>
  <c r="M50" i="6" s="1"/>
  <c r="AO50" i="6"/>
  <c r="AH390" i="6"/>
  <c r="AK390" i="6" s="1"/>
  <c r="AJ390" i="6" s="1"/>
  <c r="AI390" i="6" s="1"/>
  <c r="G390" i="6" s="1"/>
  <c r="BR390" i="6"/>
  <c r="T390" i="6" s="1"/>
  <c r="BM390" i="6"/>
  <c r="BE390" i="6"/>
  <c r="AW390" i="6"/>
  <c r="K390" i="6" s="1"/>
  <c r="AO390" i="6"/>
  <c r="AH74" i="6"/>
  <c r="BR74" i="6"/>
  <c r="T74" i="6" s="1"/>
  <c r="BM74" i="6"/>
  <c r="BE74" i="6"/>
  <c r="AW74" i="6"/>
  <c r="K74" i="6" s="1"/>
  <c r="AO74" i="6"/>
  <c r="BR25" i="6"/>
  <c r="T25" i="6" s="1"/>
  <c r="BM25" i="6"/>
  <c r="BE25" i="6"/>
  <c r="AW25" i="6"/>
  <c r="AZ25" i="6" s="1"/>
  <c r="AY25" i="6" s="1"/>
  <c r="AX25" i="6" s="1"/>
  <c r="M25" i="6" s="1"/>
  <c r="AO25" i="6"/>
  <c r="AH412" i="6"/>
  <c r="E412" i="6" s="1"/>
  <c r="BR412" i="6"/>
  <c r="T412" i="6" s="1"/>
  <c r="BM412" i="6"/>
  <c r="BE412" i="6"/>
  <c r="AW412" i="6"/>
  <c r="AZ412" i="6" s="1"/>
  <c r="AY412" i="6" s="1"/>
  <c r="AX412" i="6" s="1"/>
  <c r="M412" i="6" s="1"/>
  <c r="AO412" i="6"/>
  <c r="AH243" i="6"/>
  <c r="BR243" i="6"/>
  <c r="T243" i="6" s="1"/>
  <c r="BM243" i="6"/>
  <c r="BE243" i="6"/>
  <c r="AW243" i="6"/>
  <c r="K243" i="6" s="1"/>
  <c r="AO243" i="6"/>
  <c r="BR84" i="6"/>
  <c r="T84" i="6" s="1"/>
  <c r="BM84" i="6"/>
  <c r="BE84" i="6"/>
  <c r="AW84" i="6"/>
  <c r="AZ84" i="6" s="1"/>
  <c r="AY84" i="6" s="1"/>
  <c r="AX84" i="6" s="1"/>
  <c r="M84" i="6" s="1"/>
  <c r="AO84" i="6"/>
  <c r="BR114" i="6"/>
  <c r="T114" i="6" s="1"/>
  <c r="BM114" i="6"/>
  <c r="BE114" i="6"/>
  <c r="AW114" i="6"/>
  <c r="AZ114" i="6" s="1"/>
  <c r="AY114" i="6" s="1"/>
  <c r="AX114" i="6" s="1"/>
  <c r="M114" i="6" s="1"/>
  <c r="AO114" i="6"/>
  <c r="BR56" i="6"/>
  <c r="T56" i="6" s="1"/>
  <c r="BM56" i="6"/>
  <c r="BE56" i="6"/>
  <c r="AW56" i="6"/>
  <c r="AZ56" i="6" s="1"/>
  <c r="AY56" i="6" s="1"/>
  <c r="AX56" i="6" s="1"/>
  <c r="M56" i="6" s="1"/>
  <c r="AO56" i="6"/>
  <c r="BR431" i="6"/>
  <c r="T431" i="6" s="1"/>
  <c r="BM431" i="6"/>
  <c r="Q431" i="6" s="1"/>
  <c r="BE431" i="6"/>
  <c r="BH431" i="6" s="1"/>
  <c r="BG431" i="6" s="1"/>
  <c r="BF431" i="6" s="1"/>
  <c r="P431" i="6" s="1"/>
  <c r="AW431" i="6"/>
  <c r="AO431" i="6"/>
  <c r="H431" i="6" s="1"/>
  <c r="BR362" i="6"/>
  <c r="T362" i="6" s="1"/>
  <c r="BM362" i="6"/>
  <c r="Q362" i="6" s="1"/>
  <c r="BE362" i="6"/>
  <c r="AW362" i="6"/>
  <c r="K362" i="6" s="1"/>
  <c r="AO362" i="6"/>
  <c r="BR403" i="6"/>
  <c r="T403" i="6" s="1"/>
  <c r="BM403" i="6"/>
  <c r="Q403" i="6" s="1"/>
  <c r="BE403" i="6"/>
  <c r="N403" i="6" s="1"/>
  <c r="AW403" i="6"/>
  <c r="AZ403" i="6" s="1"/>
  <c r="AY403" i="6" s="1"/>
  <c r="AX403" i="6" s="1"/>
  <c r="M403" i="6" s="1"/>
  <c r="AO403" i="6"/>
  <c r="H403" i="6" s="1"/>
  <c r="BR256" i="6"/>
  <c r="T256" i="6" s="1"/>
  <c r="BM256" i="6"/>
  <c r="Q256" i="6" s="1"/>
  <c r="BE256" i="6"/>
  <c r="BH256" i="6" s="1"/>
  <c r="BG256" i="6" s="1"/>
  <c r="BF256" i="6" s="1"/>
  <c r="P256" i="6" s="1"/>
  <c r="AW256" i="6"/>
  <c r="AZ256" i="6" s="1"/>
  <c r="AY256" i="6" s="1"/>
  <c r="AX256" i="6" s="1"/>
  <c r="M256" i="6" s="1"/>
  <c r="AO256" i="6"/>
  <c r="H256" i="6" s="1"/>
  <c r="BR26" i="6"/>
  <c r="T26" i="6" s="1"/>
  <c r="BM26" i="6"/>
  <c r="Q26" i="6" s="1"/>
  <c r="BE26" i="6"/>
  <c r="AW26" i="6"/>
  <c r="AZ26" i="6" s="1"/>
  <c r="AY26" i="6" s="1"/>
  <c r="AX26" i="6" s="1"/>
  <c r="M26" i="6" s="1"/>
  <c r="AO26" i="6"/>
  <c r="H26" i="6" s="1"/>
  <c r="BR27" i="6"/>
  <c r="T27" i="6" s="1"/>
  <c r="BM27" i="6"/>
  <c r="BP27" i="6" s="1"/>
  <c r="BO27" i="6" s="1"/>
  <c r="BN27" i="6" s="1"/>
  <c r="S27" i="6" s="1"/>
  <c r="BE27" i="6"/>
  <c r="AW27" i="6"/>
  <c r="AZ27" i="6" s="1"/>
  <c r="AY27" i="6" s="1"/>
  <c r="AX27" i="6" s="1"/>
  <c r="M27" i="6" s="1"/>
  <c r="AO27" i="6"/>
  <c r="BR307" i="6"/>
  <c r="T307" i="6" s="1"/>
  <c r="BM307" i="6"/>
  <c r="BE307" i="6"/>
  <c r="N307" i="6" s="1"/>
  <c r="AW307" i="6"/>
  <c r="AO307" i="6"/>
  <c r="H307" i="6" s="1"/>
  <c r="BR333" i="6"/>
  <c r="T333" i="6" s="1"/>
  <c r="BM333" i="6"/>
  <c r="Q333" i="6" s="1"/>
  <c r="BE333" i="6"/>
  <c r="N333" i="6" s="1"/>
  <c r="AW333" i="6"/>
  <c r="AO333" i="6"/>
  <c r="BR76" i="6"/>
  <c r="T76" i="6" s="1"/>
  <c r="BM76" i="6"/>
  <c r="BE76" i="6"/>
  <c r="AW76" i="6"/>
  <c r="K76" i="6" s="1"/>
  <c r="AO76" i="6"/>
  <c r="BR147" i="6"/>
  <c r="T147" i="6" s="1"/>
  <c r="BM147" i="6"/>
  <c r="BE147" i="6"/>
  <c r="AW147" i="6"/>
  <c r="AZ147" i="6" s="1"/>
  <c r="AY147" i="6" s="1"/>
  <c r="AX147" i="6" s="1"/>
  <c r="M147" i="6" s="1"/>
  <c r="AO147" i="6"/>
  <c r="BR29" i="6"/>
  <c r="T29" i="6" s="1"/>
  <c r="BM29" i="6"/>
  <c r="Q29" i="6" s="1"/>
  <c r="BE29" i="6"/>
  <c r="N29" i="6" s="1"/>
  <c r="AO29" i="6"/>
  <c r="H29" i="6" s="1"/>
  <c r="AW29" i="6"/>
  <c r="AZ29" i="6" s="1"/>
  <c r="AY29" i="6" s="1"/>
  <c r="AX29" i="6" s="1"/>
  <c r="M29" i="6" s="1"/>
  <c r="BR255" i="6"/>
  <c r="T255" i="6" s="1"/>
  <c r="BM255" i="6"/>
  <c r="BE255" i="6"/>
  <c r="N255" i="6" s="1"/>
  <c r="AW255" i="6"/>
  <c r="AO255" i="6"/>
  <c r="H255" i="6" s="1"/>
  <c r="BR135" i="6"/>
  <c r="T135" i="6" s="1"/>
  <c r="BM135" i="6"/>
  <c r="Q135" i="6" s="1"/>
  <c r="BE135" i="6"/>
  <c r="AW135" i="6"/>
  <c r="AZ135" i="6" s="1"/>
  <c r="AY135" i="6" s="1"/>
  <c r="AX135" i="6" s="1"/>
  <c r="M135" i="6" s="1"/>
  <c r="AO135" i="6"/>
  <c r="H135" i="6" s="1"/>
  <c r="BR410" i="6"/>
  <c r="T410" i="6" s="1"/>
  <c r="BM410" i="6"/>
  <c r="Q410" i="6" s="1"/>
  <c r="BE410" i="6"/>
  <c r="N410" i="6" s="1"/>
  <c r="AW410" i="6"/>
  <c r="AZ410" i="6" s="1"/>
  <c r="AY410" i="6" s="1"/>
  <c r="AX410" i="6" s="1"/>
  <c r="M410" i="6" s="1"/>
  <c r="AO410" i="6"/>
  <c r="H410" i="6" s="1"/>
  <c r="BR344" i="6"/>
  <c r="T344" i="6" s="1"/>
  <c r="BM344" i="6"/>
  <c r="Q344" i="6" s="1"/>
  <c r="BE344" i="6"/>
  <c r="N344" i="6" s="1"/>
  <c r="AW344" i="6"/>
  <c r="K344" i="6" s="1"/>
  <c r="AO344" i="6"/>
  <c r="H344" i="6" s="1"/>
  <c r="BR260" i="6"/>
  <c r="T260" i="6" s="1"/>
  <c r="BM260" i="6"/>
  <c r="Q260" i="6" s="1"/>
  <c r="BE260" i="6"/>
  <c r="AW260" i="6"/>
  <c r="AZ260" i="6" s="1"/>
  <c r="AY260" i="6" s="1"/>
  <c r="AX260" i="6" s="1"/>
  <c r="M260" i="6" s="1"/>
  <c r="AO260" i="6"/>
  <c r="BR345" i="6"/>
  <c r="T345" i="6" s="1"/>
  <c r="BM345" i="6"/>
  <c r="Q345" i="6" s="1"/>
  <c r="BE345" i="6"/>
  <c r="N345" i="6" s="1"/>
  <c r="AW345" i="6"/>
  <c r="K345" i="6" s="1"/>
  <c r="AO345" i="6"/>
  <c r="H345" i="6" s="1"/>
  <c r="BR119" i="6"/>
  <c r="T119" i="6" s="1"/>
  <c r="BM119" i="6"/>
  <c r="BE119" i="6"/>
  <c r="AW119" i="6"/>
  <c r="AZ119" i="6" s="1"/>
  <c r="AY119" i="6" s="1"/>
  <c r="AX119" i="6" s="1"/>
  <c r="M119" i="6" s="1"/>
  <c r="AO119" i="6"/>
  <c r="AR119" i="6" s="1"/>
  <c r="AQ119" i="6" s="1"/>
  <c r="AP119" i="6" s="1"/>
  <c r="J119" i="6" s="1"/>
  <c r="BR241" i="6"/>
  <c r="T241" i="6" s="1"/>
  <c r="BM241" i="6"/>
  <c r="Q241" i="6" s="1"/>
  <c r="BE241" i="6"/>
  <c r="AW241" i="6"/>
  <c r="K241" i="6" s="1"/>
  <c r="AO241" i="6"/>
  <c r="BR215" i="6"/>
  <c r="T215" i="6" s="1"/>
  <c r="BM215" i="6"/>
  <c r="BP215" i="6" s="1"/>
  <c r="BO215" i="6" s="1"/>
  <c r="BN215" i="6" s="1"/>
  <c r="S215" i="6" s="1"/>
  <c r="BE215" i="6"/>
  <c r="AW215" i="6"/>
  <c r="AZ215" i="6" s="1"/>
  <c r="AY215" i="6" s="1"/>
  <c r="AX215" i="6" s="1"/>
  <c r="M215" i="6" s="1"/>
  <c r="AO215" i="6"/>
  <c r="H215" i="6" s="1"/>
  <c r="BR392" i="6"/>
  <c r="T392" i="6" s="1"/>
  <c r="BM392" i="6"/>
  <c r="BE392" i="6"/>
  <c r="AW392" i="6"/>
  <c r="AO392" i="6"/>
  <c r="BR331" i="6"/>
  <c r="T331" i="6" s="1"/>
  <c r="BM331" i="6"/>
  <c r="BE331" i="6"/>
  <c r="AW331" i="6"/>
  <c r="AO331" i="6"/>
  <c r="AH278" i="6"/>
  <c r="BR269" i="6"/>
  <c r="T269" i="6" s="1"/>
  <c r="BM269" i="6"/>
  <c r="BE269" i="6"/>
  <c r="AW269" i="6"/>
  <c r="AO269" i="6"/>
  <c r="BR249" i="6"/>
  <c r="T249" i="6" s="1"/>
  <c r="BM249" i="6"/>
  <c r="BE249" i="6"/>
  <c r="AW249" i="6"/>
  <c r="AO249" i="6"/>
  <c r="BR212" i="6"/>
  <c r="T212" i="6" s="1"/>
  <c r="BE212" i="6"/>
  <c r="BM212" i="6"/>
  <c r="AW212" i="6"/>
  <c r="AO212" i="6"/>
  <c r="BM133" i="6"/>
  <c r="BR133" i="6"/>
  <c r="T133" i="6" s="1"/>
  <c r="BE133" i="6"/>
  <c r="AW133" i="6"/>
  <c r="AO133" i="6"/>
  <c r="BR130" i="6"/>
  <c r="T130" i="6" s="1"/>
  <c r="BM130" i="6"/>
  <c r="BE130" i="6"/>
  <c r="AW130" i="6"/>
  <c r="AO130" i="6"/>
  <c r="AH24" i="6"/>
  <c r="BR462" i="6"/>
  <c r="T462" i="6" s="1"/>
  <c r="BE462" i="6"/>
  <c r="BM462" i="6"/>
  <c r="AW462" i="6"/>
  <c r="AO462" i="6"/>
  <c r="BR28" i="6"/>
  <c r="T28" i="6" s="1"/>
  <c r="BM28" i="6"/>
  <c r="BE28" i="6"/>
  <c r="AW28" i="6"/>
  <c r="AO28" i="6"/>
  <c r="BR373" i="6"/>
  <c r="T373" i="6" s="1"/>
  <c r="BM373" i="6"/>
  <c r="BE373" i="6"/>
  <c r="AW373" i="6"/>
  <c r="AO373" i="6"/>
  <c r="BM328" i="6"/>
  <c r="BR328" i="6"/>
  <c r="T328" i="6" s="1"/>
  <c r="BE328" i="6"/>
  <c r="AW328" i="6"/>
  <c r="AO328" i="6"/>
  <c r="BR221" i="6"/>
  <c r="T221" i="6" s="1"/>
  <c r="BM221" i="6"/>
  <c r="BE221" i="6"/>
  <c r="AO221" i="6"/>
  <c r="AW221" i="6"/>
  <c r="BR143" i="6"/>
  <c r="T143" i="6" s="1"/>
  <c r="BM143" i="6"/>
  <c r="BE143" i="6"/>
  <c r="AW143" i="6"/>
  <c r="AO143" i="6"/>
  <c r="BR116" i="6"/>
  <c r="T116" i="6" s="1"/>
  <c r="BM116" i="6"/>
  <c r="BE116" i="6"/>
  <c r="AW116" i="6"/>
  <c r="AO116" i="6"/>
  <c r="AH110" i="6"/>
  <c r="AK110" i="6" s="1"/>
  <c r="AJ110" i="6" s="1"/>
  <c r="AI110" i="6" s="1"/>
  <c r="G110" i="6" s="1"/>
  <c r="BR360" i="6"/>
  <c r="T360" i="6" s="1"/>
  <c r="BM360" i="6"/>
  <c r="BE360" i="6"/>
  <c r="AW360" i="6"/>
  <c r="AO360" i="6"/>
  <c r="BR213" i="6"/>
  <c r="T213" i="6" s="1"/>
  <c r="BM213" i="6"/>
  <c r="BE213" i="6"/>
  <c r="AW213" i="6"/>
  <c r="AO213" i="6"/>
  <c r="BR182" i="6"/>
  <c r="T182" i="6" s="1"/>
  <c r="BE182" i="6"/>
  <c r="BM182" i="6"/>
  <c r="AW182" i="6"/>
  <c r="AO182" i="6"/>
  <c r="BR93" i="6"/>
  <c r="T93" i="6" s="1"/>
  <c r="BM93" i="6"/>
  <c r="BE93" i="6"/>
  <c r="AO93" i="6"/>
  <c r="AW93" i="6"/>
  <c r="BR14" i="6"/>
  <c r="T14" i="6" s="1"/>
  <c r="BM14" i="6"/>
  <c r="BE14" i="6"/>
  <c r="AW14" i="6"/>
  <c r="AO14" i="6"/>
  <c r="AH307" i="6"/>
  <c r="AH234" i="6"/>
  <c r="AK234" i="6" s="1"/>
  <c r="AJ234" i="6" s="1"/>
  <c r="AI234" i="6" s="1"/>
  <c r="G234" i="6" s="1"/>
  <c r="AH190" i="6"/>
  <c r="AK190" i="6" s="1"/>
  <c r="AJ190" i="6" s="1"/>
  <c r="AI190" i="6" s="1"/>
  <c r="G190" i="6" s="1"/>
  <c r="BM104" i="6"/>
  <c r="BR104" i="6"/>
  <c r="T104" i="6" s="1"/>
  <c r="BE104" i="6"/>
  <c r="AW104" i="6"/>
  <c r="AO104" i="6"/>
  <c r="AH27" i="6"/>
  <c r="E27" i="6" s="1"/>
  <c r="BR352" i="6"/>
  <c r="T352" i="6" s="1"/>
  <c r="BM352" i="6"/>
  <c r="BE352" i="6"/>
  <c r="AW352" i="6"/>
  <c r="AO352" i="6"/>
  <c r="AH114" i="6"/>
  <c r="E114" i="6" s="1"/>
  <c r="AH341" i="6"/>
  <c r="E341" i="6" s="1"/>
  <c r="BR341" i="6"/>
  <c r="T341" i="6" s="1"/>
  <c r="BM341" i="6"/>
  <c r="BE341" i="6"/>
  <c r="AW341" i="6"/>
  <c r="K341" i="6" s="1"/>
  <c r="AO341" i="6"/>
  <c r="AH202" i="6"/>
  <c r="AK202" i="6" s="1"/>
  <c r="AJ202" i="6" s="1"/>
  <c r="AI202" i="6" s="1"/>
  <c r="G202" i="6" s="1"/>
  <c r="BR202" i="6"/>
  <c r="T202" i="6" s="1"/>
  <c r="BM202" i="6"/>
  <c r="BE202" i="6"/>
  <c r="AW202" i="6"/>
  <c r="AZ202" i="6" s="1"/>
  <c r="AY202" i="6" s="1"/>
  <c r="AX202" i="6" s="1"/>
  <c r="M202" i="6" s="1"/>
  <c r="AO202" i="6"/>
  <c r="AH382" i="6"/>
  <c r="BR382" i="6"/>
  <c r="T382" i="6" s="1"/>
  <c r="BE382" i="6"/>
  <c r="BM382" i="6"/>
  <c r="AW382" i="6"/>
  <c r="AZ382" i="6" s="1"/>
  <c r="AY382" i="6" s="1"/>
  <c r="AX382" i="6" s="1"/>
  <c r="M382" i="6" s="1"/>
  <c r="AO382" i="6"/>
  <c r="AH368" i="6"/>
  <c r="AK368" i="6" s="1"/>
  <c r="AJ368" i="6" s="1"/>
  <c r="AI368" i="6" s="1"/>
  <c r="G368" i="6" s="1"/>
  <c r="BR368" i="6"/>
  <c r="T368" i="6" s="1"/>
  <c r="BM368" i="6"/>
  <c r="BE368" i="6"/>
  <c r="AW368" i="6"/>
  <c r="K368" i="6" s="1"/>
  <c r="AO368" i="6"/>
  <c r="AH323" i="6"/>
  <c r="E323" i="6" s="1"/>
  <c r="BR323" i="6"/>
  <c r="T323" i="6" s="1"/>
  <c r="BM323" i="6"/>
  <c r="BE323" i="6"/>
  <c r="AW323" i="6"/>
  <c r="AZ323" i="6" s="1"/>
  <c r="AY323" i="6" s="1"/>
  <c r="AX323" i="6" s="1"/>
  <c r="M323" i="6" s="1"/>
  <c r="AO323" i="6"/>
  <c r="AH296" i="6"/>
  <c r="E296" i="6" s="1"/>
  <c r="BR296" i="6"/>
  <c r="T296" i="6" s="1"/>
  <c r="BM296" i="6"/>
  <c r="BE296" i="6"/>
  <c r="AW296" i="6"/>
  <c r="AZ296" i="6" s="1"/>
  <c r="AY296" i="6" s="1"/>
  <c r="AX296" i="6" s="1"/>
  <c r="M296" i="6" s="1"/>
  <c r="AO296" i="6"/>
  <c r="AH293" i="6"/>
  <c r="E293" i="6" s="1"/>
  <c r="BR293" i="6"/>
  <c r="T293" i="6" s="1"/>
  <c r="BM293" i="6"/>
  <c r="BE293" i="6"/>
  <c r="AW293" i="6"/>
  <c r="AZ293" i="6" s="1"/>
  <c r="AY293" i="6" s="1"/>
  <c r="AX293" i="6" s="1"/>
  <c r="M293" i="6" s="1"/>
  <c r="AO293" i="6"/>
  <c r="AH176" i="6"/>
  <c r="AK176" i="6" s="1"/>
  <c r="AJ176" i="6" s="1"/>
  <c r="AI176" i="6" s="1"/>
  <c r="G176" i="6" s="1"/>
  <c r="BM176" i="6"/>
  <c r="BR176" i="6"/>
  <c r="T176" i="6" s="1"/>
  <c r="BE176" i="6"/>
  <c r="AW176" i="6"/>
  <c r="K176" i="6" s="1"/>
  <c r="AO176" i="6"/>
  <c r="AH118" i="6"/>
  <c r="AK118" i="6" s="1"/>
  <c r="AJ118" i="6" s="1"/>
  <c r="AI118" i="6" s="1"/>
  <c r="G118" i="6" s="1"/>
  <c r="BR118" i="6"/>
  <c r="T118" i="6" s="1"/>
  <c r="BM118" i="6"/>
  <c r="BE118" i="6"/>
  <c r="AW118" i="6"/>
  <c r="AZ118" i="6" s="1"/>
  <c r="AY118" i="6" s="1"/>
  <c r="AX118" i="6" s="1"/>
  <c r="M118" i="6" s="1"/>
  <c r="AO118" i="6"/>
  <c r="AH43" i="6"/>
  <c r="AK43" i="6" s="1"/>
  <c r="AJ43" i="6" s="1"/>
  <c r="AI43" i="6" s="1"/>
  <c r="G43" i="6" s="1"/>
  <c r="BR43" i="6"/>
  <c r="T43" i="6" s="1"/>
  <c r="BM43" i="6"/>
  <c r="BE43" i="6"/>
  <c r="AW43" i="6"/>
  <c r="AZ43" i="6" s="1"/>
  <c r="AY43" i="6" s="1"/>
  <c r="AX43" i="6" s="1"/>
  <c r="M43" i="6" s="1"/>
  <c r="AO43" i="6"/>
  <c r="AH428" i="6"/>
  <c r="BR428" i="6"/>
  <c r="T428" i="6" s="1"/>
  <c r="BM428" i="6"/>
  <c r="BE428" i="6"/>
  <c r="AW428" i="6"/>
  <c r="K428" i="6" s="1"/>
  <c r="AO428" i="6"/>
  <c r="AH361" i="6"/>
  <c r="AK361" i="6" s="1"/>
  <c r="AJ361" i="6" s="1"/>
  <c r="AI361" i="6" s="1"/>
  <c r="G361" i="6" s="1"/>
  <c r="BR361" i="6"/>
  <c r="T361" i="6" s="1"/>
  <c r="BE361" i="6"/>
  <c r="BM361" i="6"/>
  <c r="AW361" i="6"/>
  <c r="K361" i="6" s="1"/>
  <c r="AO361" i="6"/>
  <c r="AH23" i="6"/>
  <c r="AK23" i="6" s="1"/>
  <c r="AJ23" i="6" s="1"/>
  <c r="AI23" i="6" s="1"/>
  <c r="G23" i="6" s="1"/>
  <c r="BR23" i="6"/>
  <c r="T23" i="6" s="1"/>
  <c r="BM23" i="6"/>
  <c r="BE23" i="6"/>
  <c r="AW23" i="6"/>
  <c r="AZ23" i="6" s="1"/>
  <c r="AY23" i="6" s="1"/>
  <c r="AX23" i="6" s="1"/>
  <c r="M23" i="6" s="1"/>
  <c r="AO23" i="6"/>
  <c r="AH459" i="6"/>
  <c r="E459" i="6" s="1"/>
  <c r="BR459" i="6"/>
  <c r="T459" i="6" s="1"/>
  <c r="BM459" i="6"/>
  <c r="BE459" i="6"/>
  <c r="AW459" i="6"/>
  <c r="AZ459" i="6" s="1"/>
  <c r="AY459" i="6" s="1"/>
  <c r="AX459" i="6" s="1"/>
  <c r="M459" i="6" s="1"/>
  <c r="AO459" i="6"/>
  <c r="AH404" i="6"/>
  <c r="AK404" i="6" s="1"/>
  <c r="AJ404" i="6" s="1"/>
  <c r="AI404" i="6" s="1"/>
  <c r="G404" i="6" s="1"/>
  <c r="BR404" i="6"/>
  <c r="T404" i="6" s="1"/>
  <c r="BE404" i="6"/>
  <c r="BM404" i="6"/>
  <c r="AW404" i="6"/>
  <c r="AZ404" i="6" s="1"/>
  <c r="AY404" i="6" s="1"/>
  <c r="AX404" i="6" s="1"/>
  <c r="M404" i="6" s="1"/>
  <c r="AO404" i="6"/>
  <c r="AH359" i="6"/>
  <c r="AK359" i="6" s="1"/>
  <c r="AJ359" i="6" s="1"/>
  <c r="AI359" i="6" s="1"/>
  <c r="G359" i="6" s="1"/>
  <c r="BR359" i="6"/>
  <c r="T359" i="6" s="1"/>
  <c r="BM359" i="6"/>
  <c r="BE359" i="6"/>
  <c r="AW359" i="6"/>
  <c r="AZ359" i="6" s="1"/>
  <c r="AY359" i="6" s="1"/>
  <c r="AX359" i="6" s="1"/>
  <c r="M359" i="6" s="1"/>
  <c r="AO359" i="6"/>
  <c r="AH276" i="6"/>
  <c r="E276" i="6" s="1"/>
  <c r="BR276" i="6"/>
  <c r="T276" i="6" s="1"/>
  <c r="BE276" i="6"/>
  <c r="BM276" i="6"/>
  <c r="AW276" i="6"/>
  <c r="K276" i="6" s="1"/>
  <c r="AO276" i="6"/>
  <c r="AH152" i="6"/>
  <c r="E152" i="6" s="1"/>
  <c r="BM152" i="6"/>
  <c r="BR152" i="6"/>
  <c r="T152" i="6" s="1"/>
  <c r="BE152" i="6"/>
  <c r="AW152" i="6"/>
  <c r="K152" i="6" s="1"/>
  <c r="AO152" i="6"/>
  <c r="AH88" i="6"/>
  <c r="BM88" i="6"/>
  <c r="BR88" i="6"/>
  <c r="T88" i="6" s="1"/>
  <c r="BE88" i="6"/>
  <c r="AW88" i="6"/>
  <c r="AZ88" i="6" s="1"/>
  <c r="AY88" i="6" s="1"/>
  <c r="AX88" i="6" s="1"/>
  <c r="M88" i="6" s="1"/>
  <c r="AO88" i="6"/>
  <c r="AH47" i="6"/>
  <c r="AK47" i="6" s="1"/>
  <c r="AJ47" i="6" s="1"/>
  <c r="AI47" i="6" s="1"/>
  <c r="G47" i="6" s="1"/>
  <c r="BR47" i="6"/>
  <c r="T47" i="6" s="1"/>
  <c r="BM47" i="6"/>
  <c r="BE47" i="6"/>
  <c r="AW47" i="6"/>
  <c r="AZ47" i="6" s="1"/>
  <c r="AY47" i="6" s="1"/>
  <c r="AX47" i="6" s="1"/>
  <c r="M47" i="6" s="1"/>
  <c r="AO47" i="6"/>
  <c r="AH456" i="6"/>
  <c r="AK456" i="6" s="1"/>
  <c r="AJ456" i="6" s="1"/>
  <c r="AI456" i="6" s="1"/>
  <c r="G456" i="6" s="1"/>
  <c r="BR456" i="6"/>
  <c r="T456" i="6" s="1"/>
  <c r="BM456" i="6"/>
  <c r="BE456" i="6"/>
  <c r="AW456" i="6"/>
  <c r="K456" i="6" s="1"/>
  <c r="AO456" i="6"/>
  <c r="AH411" i="6"/>
  <c r="E411" i="6" s="1"/>
  <c r="BR411" i="6"/>
  <c r="T411" i="6" s="1"/>
  <c r="BM411" i="6"/>
  <c r="BE411" i="6"/>
  <c r="AW411" i="6"/>
  <c r="K411" i="6" s="1"/>
  <c r="AO411" i="6"/>
  <c r="AH306" i="6"/>
  <c r="E306" i="6" s="1"/>
  <c r="BR306" i="6"/>
  <c r="T306" i="6" s="1"/>
  <c r="BM306" i="6"/>
  <c r="BE306" i="6"/>
  <c r="AW306" i="6"/>
  <c r="K306" i="6" s="1"/>
  <c r="AO306" i="6"/>
  <c r="AH268" i="6"/>
  <c r="E268" i="6" s="1"/>
  <c r="BR268" i="6"/>
  <c r="T268" i="6" s="1"/>
  <c r="BM268" i="6"/>
  <c r="BE268" i="6"/>
  <c r="AW268" i="6"/>
  <c r="AZ268" i="6" s="1"/>
  <c r="AY268" i="6" s="1"/>
  <c r="AX268" i="6" s="1"/>
  <c r="M268" i="6" s="1"/>
  <c r="AO268" i="6"/>
  <c r="AH53" i="6"/>
  <c r="AK53" i="6" s="1"/>
  <c r="AJ53" i="6" s="1"/>
  <c r="AI53" i="6" s="1"/>
  <c r="G53" i="6" s="1"/>
  <c r="BM53" i="6"/>
  <c r="BR53" i="6"/>
  <c r="T53" i="6" s="1"/>
  <c r="BE53" i="6"/>
  <c r="AW53" i="6"/>
  <c r="AZ53" i="6" s="1"/>
  <c r="AY53" i="6" s="1"/>
  <c r="AX53" i="6" s="1"/>
  <c r="M53" i="6" s="1"/>
  <c r="AO53" i="6"/>
  <c r="AH196" i="6"/>
  <c r="E196" i="6" s="1"/>
  <c r="BR196" i="6"/>
  <c r="T196" i="6" s="1"/>
  <c r="BM196" i="6"/>
  <c r="BE196" i="6"/>
  <c r="AW196" i="6"/>
  <c r="K196" i="6" s="1"/>
  <c r="AO196" i="6"/>
  <c r="AH170" i="6"/>
  <c r="BR170" i="6"/>
  <c r="T170" i="6" s="1"/>
  <c r="BM170" i="6"/>
  <c r="BE170" i="6"/>
  <c r="AW170" i="6"/>
  <c r="AZ170" i="6" s="1"/>
  <c r="AY170" i="6" s="1"/>
  <c r="AX170" i="6" s="1"/>
  <c r="M170" i="6" s="1"/>
  <c r="AO170" i="6"/>
  <c r="BR162" i="6"/>
  <c r="T162" i="6" s="1"/>
  <c r="BM162" i="6"/>
  <c r="BE162" i="6"/>
  <c r="AW162" i="6"/>
  <c r="AZ162" i="6" s="1"/>
  <c r="AY162" i="6" s="1"/>
  <c r="AX162" i="6" s="1"/>
  <c r="M162" i="6" s="1"/>
  <c r="AO162" i="6"/>
  <c r="BR171" i="6"/>
  <c r="T171" i="6" s="1"/>
  <c r="BM171" i="6"/>
  <c r="BE171" i="6"/>
  <c r="AW171" i="6"/>
  <c r="K171" i="6" s="1"/>
  <c r="AO171" i="6"/>
  <c r="AH442" i="6"/>
  <c r="AK442" i="6" s="1"/>
  <c r="AJ442" i="6" s="1"/>
  <c r="AI442" i="6" s="1"/>
  <c r="G442" i="6" s="1"/>
  <c r="BR442" i="6"/>
  <c r="T442" i="6" s="1"/>
  <c r="BM442" i="6"/>
  <c r="BE442" i="6"/>
  <c r="AW442" i="6"/>
  <c r="K442" i="6" s="1"/>
  <c r="AO442" i="6"/>
  <c r="AH376" i="6"/>
  <c r="AK376" i="6" s="1"/>
  <c r="AJ376" i="6" s="1"/>
  <c r="AI376" i="6" s="1"/>
  <c r="G376" i="6" s="1"/>
  <c r="BR376" i="6"/>
  <c r="T376" i="6" s="1"/>
  <c r="BM376" i="6"/>
  <c r="BE376" i="6"/>
  <c r="AW376" i="6"/>
  <c r="K376" i="6" s="1"/>
  <c r="AO376" i="6"/>
  <c r="AH320" i="6"/>
  <c r="AK320" i="6" s="1"/>
  <c r="AJ320" i="6" s="1"/>
  <c r="AI320" i="6" s="1"/>
  <c r="G320" i="6" s="1"/>
  <c r="BR320" i="6"/>
  <c r="T320" i="6" s="1"/>
  <c r="BM320" i="6"/>
  <c r="BE320" i="6"/>
  <c r="AW320" i="6"/>
  <c r="AZ320" i="6" s="1"/>
  <c r="AY320" i="6" s="1"/>
  <c r="AX320" i="6" s="1"/>
  <c r="M320" i="6" s="1"/>
  <c r="AO320" i="6"/>
  <c r="AH326" i="6"/>
  <c r="AK326" i="6" s="1"/>
  <c r="AJ326" i="6" s="1"/>
  <c r="AI326" i="6" s="1"/>
  <c r="G326" i="6" s="1"/>
  <c r="BR326" i="6"/>
  <c r="T326" i="6" s="1"/>
  <c r="BM326" i="6"/>
  <c r="BE326" i="6"/>
  <c r="AW326" i="6"/>
  <c r="K326" i="6" s="1"/>
  <c r="AO326" i="6"/>
  <c r="AH274" i="6"/>
  <c r="AK274" i="6" s="1"/>
  <c r="AJ274" i="6" s="1"/>
  <c r="AI274" i="6" s="1"/>
  <c r="G274" i="6" s="1"/>
  <c r="BR274" i="6"/>
  <c r="T274" i="6" s="1"/>
  <c r="BM274" i="6"/>
  <c r="BE274" i="6"/>
  <c r="AW274" i="6"/>
  <c r="K274" i="6" s="1"/>
  <c r="AO274" i="6"/>
  <c r="AH251" i="6"/>
  <c r="AK251" i="6" s="1"/>
  <c r="AJ251" i="6" s="1"/>
  <c r="AI251" i="6" s="1"/>
  <c r="G251" i="6" s="1"/>
  <c r="BR251" i="6"/>
  <c r="T251" i="6" s="1"/>
  <c r="BM251" i="6"/>
  <c r="BE251" i="6"/>
  <c r="AW251" i="6"/>
  <c r="K251" i="6" s="1"/>
  <c r="AO251" i="6"/>
  <c r="AH105" i="6"/>
  <c r="AK105" i="6" s="1"/>
  <c r="AJ105" i="6" s="1"/>
  <c r="AI105" i="6" s="1"/>
  <c r="G105" i="6" s="1"/>
  <c r="BR105" i="6"/>
  <c r="T105" i="6" s="1"/>
  <c r="BM105" i="6"/>
  <c r="BE105" i="6"/>
  <c r="AW105" i="6"/>
  <c r="AZ105" i="6" s="1"/>
  <c r="AY105" i="6" s="1"/>
  <c r="AX105" i="6" s="1"/>
  <c r="M105" i="6" s="1"/>
  <c r="AO105" i="6"/>
  <c r="AH242" i="6"/>
  <c r="E242" i="6" s="1"/>
  <c r="BR242" i="6"/>
  <c r="T242" i="6" s="1"/>
  <c r="BM242" i="6"/>
  <c r="BE242" i="6"/>
  <c r="AW242" i="6"/>
  <c r="K242" i="6" s="1"/>
  <c r="AO242" i="6"/>
  <c r="AH64" i="6"/>
  <c r="BM64" i="6"/>
  <c r="BR64" i="6"/>
  <c r="T64" i="6" s="1"/>
  <c r="BE64" i="6"/>
  <c r="AW64" i="6"/>
  <c r="K64" i="6" s="1"/>
  <c r="AO64" i="6"/>
  <c r="AH371" i="6"/>
  <c r="AK371" i="6" s="1"/>
  <c r="AJ371" i="6" s="1"/>
  <c r="AI371" i="6" s="1"/>
  <c r="G371" i="6" s="1"/>
  <c r="BR371" i="6"/>
  <c r="T371" i="6" s="1"/>
  <c r="BM371" i="6"/>
  <c r="BE371" i="6"/>
  <c r="AW371" i="6"/>
  <c r="AZ371" i="6" s="1"/>
  <c r="AY371" i="6" s="1"/>
  <c r="AX371" i="6" s="1"/>
  <c r="M371" i="6" s="1"/>
  <c r="AO371" i="6"/>
  <c r="AH356" i="6"/>
  <c r="AK356" i="6" s="1"/>
  <c r="AJ356" i="6" s="1"/>
  <c r="AI356" i="6" s="1"/>
  <c r="G356" i="6" s="1"/>
  <c r="BR356" i="6"/>
  <c r="T356" i="6" s="1"/>
  <c r="BM356" i="6"/>
  <c r="BE356" i="6"/>
  <c r="AW356" i="6"/>
  <c r="AZ356" i="6" s="1"/>
  <c r="AY356" i="6" s="1"/>
  <c r="AX356" i="6" s="1"/>
  <c r="M356" i="6" s="1"/>
  <c r="AO356" i="6"/>
  <c r="AH175" i="6"/>
  <c r="E175" i="6" s="1"/>
  <c r="BR175" i="6"/>
  <c r="T175" i="6" s="1"/>
  <c r="BM175" i="6"/>
  <c r="BE175" i="6"/>
  <c r="AW175" i="6"/>
  <c r="AZ175" i="6" s="1"/>
  <c r="AY175" i="6" s="1"/>
  <c r="AX175" i="6" s="1"/>
  <c r="M175" i="6" s="1"/>
  <c r="AO175" i="6"/>
  <c r="AH163" i="6"/>
  <c r="BR163" i="6"/>
  <c r="T163" i="6" s="1"/>
  <c r="BM163" i="6"/>
  <c r="BE163" i="6"/>
  <c r="AW163" i="6"/>
  <c r="AZ163" i="6" s="1"/>
  <c r="AY163" i="6" s="1"/>
  <c r="AX163" i="6" s="1"/>
  <c r="M163" i="6" s="1"/>
  <c r="AO163" i="6"/>
  <c r="AH217" i="6"/>
  <c r="AK217" i="6" s="1"/>
  <c r="AJ217" i="6" s="1"/>
  <c r="AI217" i="6" s="1"/>
  <c r="G217" i="6" s="1"/>
  <c r="BR217" i="6"/>
  <c r="T217" i="6" s="1"/>
  <c r="BM217" i="6"/>
  <c r="BE217" i="6"/>
  <c r="AW217" i="6"/>
  <c r="AZ217" i="6" s="1"/>
  <c r="AY217" i="6" s="1"/>
  <c r="AX217" i="6" s="1"/>
  <c r="M217" i="6" s="1"/>
  <c r="AO217" i="6"/>
  <c r="AH159" i="6"/>
  <c r="E159" i="6" s="1"/>
  <c r="BR159" i="6"/>
  <c r="T159" i="6" s="1"/>
  <c r="BM159" i="6"/>
  <c r="BE159" i="6"/>
  <c r="AW159" i="6"/>
  <c r="AZ159" i="6" s="1"/>
  <c r="AY159" i="6" s="1"/>
  <c r="AX159" i="6" s="1"/>
  <c r="M159" i="6" s="1"/>
  <c r="AO159" i="6"/>
  <c r="AH55" i="6"/>
  <c r="AK55" i="6" s="1"/>
  <c r="AJ55" i="6" s="1"/>
  <c r="AI55" i="6" s="1"/>
  <c r="G55" i="6" s="1"/>
  <c r="BR55" i="6"/>
  <c r="T55" i="6" s="1"/>
  <c r="BM55" i="6"/>
  <c r="BE55" i="6"/>
  <c r="AW55" i="6"/>
  <c r="AZ55" i="6" s="1"/>
  <c r="AY55" i="6" s="1"/>
  <c r="AX55" i="6" s="1"/>
  <c r="M55" i="6" s="1"/>
  <c r="AO55" i="6"/>
  <c r="AH51" i="6"/>
  <c r="BR51" i="6"/>
  <c r="T51" i="6" s="1"/>
  <c r="BM51" i="6"/>
  <c r="BE51" i="6"/>
  <c r="AO51" i="6"/>
  <c r="AW51" i="6"/>
  <c r="K51" i="6" s="1"/>
  <c r="AH127" i="6"/>
  <c r="E127" i="6" s="1"/>
  <c r="BR127" i="6"/>
  <c r="T127" i="6" s="1"/>
  <c r="BM127" i="6"/>
  <c r="BE127" i="6"/>
  <c r="AW127" i="6"/>
  <c r="AZ127" i="6" s="1"/>
  <c r="AY127" i="6" s="1"/>
  <c r="AX127" i="6" s="1"/>
  <c r="M127" i="6" s="1"/>
  <c r="AO127" i="6"/>
  <c r="AH95" i="6"/>
  <c r="AK95" i="6" s="1"/>
  <c r="AJ95" i="6" s="1"/>
  <c r="AI95" i="6" s="1"/>
  <c r="G95" i="6" s="1"/>
  <c r="BR95" i="6"/>
  <c r="T95" i="6" s="1"/>
  <c r="BM95" i="6"/>
  <c r="BE95" i="6"/>
  <c r="AW95" i="6"/>
  <c r="K95" i="6" s="1"/>
  <c r="AO95" i="6"/>
  <c r="AH414" i="6"/>
  <c r="E414" i="6" s="1"/>
  <c r="BR414" i="6"/>
  <c r="T414" i="6" s="1"/>
  <c r="BE414" i="6"/>
  <c r="BM414" i="6"/>
  <c r="AW414" i="6"/>
  <c r="AZ414" i="6" s="1"/>
  <c r="AY414" i="6" s="1"/>
  <c r="AX414" i="6" s="1"/>
  <c r="M414" i="6" s="1"/>
  <c r="AO414" i="6"/>
  <c r="AH355" i="6"/>
  <c r="AK355" i="6" s="1"/>
  <c r="AJ355" i="6" s="1"/>
  <c r="AI355" i="6" s="1"/>
  <c r="G355" i="6" s="1"/>
  <c r="BR355" i="6"/>
  <c r="T355" i="6" s="1"/>
  <c r="BM355" i="6"/>
  <c r="BE355" i="6"/>
  <c r="AW355" i="6"/>
  <c r="AZ355" i="6" s="1"/>
  <c r="AY355" i="6" s="1"/>
  <c r="AX355" i="6" s="1"/>
  <c r="M355" i="6" s="1"/>
  <c r="AO355" i="6"/>
  <c r="BR300" i="6"/>
  <c r="T300" i="6" s="1"/>
  <c r="BM300" i="6"/>
  <c r="BE300" i="6"/>
  <c r="AW300" i="6"/>
  <c r="K300" i="6" s="1"/>
  <c r="AO300" i="6"/>
  <c r="AH253" i="6"/>
  <c r="E253" i="6" s="1"/>
  <c r="BR253" i="6"/>
  <c r="T253" i="6" s="1"/>
  <c r="BM253" i="6"/>
  <c r="BE253" i="6"/>
  <c r="AW253" i="6"/>
  <c r="AZ253" i="6" s="1"/>
  <c r="AY253" i="6" s="1"/>
  <c r="AX253" i="6" s="1"/>
  <c r="M253" i="6" s="1"/>
  <c r="AO253" i="6"/>
  <c r="AH218" i="6"/>
  <c r="E218" i="6" s="1"/>
  <c r="BR218" i="6"/>
  <c r="T218" i="6" s="1"/>
  <c r="BM218" i="6"/>
  <c r="BE218" i="6"/>
  <c r="AW218" i="6"/>
  <c r="AZ218" i="6" s="1"/>
  <c r="AY218" i="6" s="1"/>
  <c r="AX218" i="6" s="1"/>
  <c r="M218" i="6" s="1"/>
  <c r="AO218" i="6"/>
  <c r="AH354" i="6"/>
  <c r="E354" i="6" s="1"/>
  <c r="BR354" i="6"/>
  <c r="T354" i="6" s="1"/>
  <c r="BM354" i="6"/>
  <c r="BE354" i="6"/>
  <c r="AW354" i="6"/>
  <c r="AZ354" i="6" s="1"/>
  <c r="AY354" i="6" s="1"/>
  <c r="AX354" i="6" s="1"/>
  <c r="M354" i="6" s="1"/>
  <c r="AO354" i="6"/>
  <c r="BR324" i="6"/>
  <c r="T324" i="6" s="1"/>
  <c r="BM324" i="6"/>
  <c r="BE324" i="6"/>
  <c r="AW324" i="6"/>
  <c r="K324" i="6" s="1"/>
  <c r="AO324" i="6"/>
  <c r="AH107" i="6"/>
  <c r="AK107" i="6" s="1"/>
  <c r="AJ107" i="6" s="1"/>
  <c r="AI107" i="6" s="1"/>
  <c r="G107" i="6" s="1"/>
  <c r="BR107" i="6"/>
  <c r="T107" i="6" s="1"/>
  <c r="BM107" i="6"/>
  <c r="BE107" i="6"/>
  <c r="AW107" i="6"/>
  <c r="K107" i="6" s="1"/>
  <c r="AO107" i="6"/>
  <c r="BM72" i="6"/>
  <c r="BR72" i="6"/>
  <c r="T72" i="6" s="1"/>
  <c r="BE72" i="6"/>
  <c r="AW72" i="6"/>
  <c r="K72" i="6" s="1"/>
  <c r="AO72" i="6"/>
  <c r="BR406" i="6"/>
  <c r="T406" i="6" s="1"/>
  <c r="BM406" i="6"/>
  <c r="BE406" i="6"/>
  <c r="N406" i="6" s="1"/>
  <c r="AW406" i="6"/>
  <c r="AO406" i="6"/>
  <c r="H406" i="6" s="1"/>
  <c r="BR295" i="6"/>
  <c r="T295" i="6" s="1"/>
  <c r="BM295" i="6"/>
  <c r="Q295" i="6" s="1"/>
  <c r="BE295" i="6"/>
  <c r="N295" i="6" s="1"/>
  <c r="AW295" i="6"/>
  <c r="AO295" i="6"/>
  <c r="H295" i="6" s="1"/>
  <c r="BR418" i="6"/>
  <c r="T418" i="6" s="1"/>
  <c r="BM418" i="6"/>
  <c r="BE418" i="6"/>
  <c r="N418" i="6" s="1"/>
  <c r="AW418" i="6"/>
  <c r="AZ418" i="6" s="1"/>
  <c r="AY418" i="6" s="1"/>
  <c r="AX418" i="6" s="1"/>
  <c r="M418" i="6" s="1"/>
  <c r="AO418" i="6"/>
  <c r="H418" i="6" s="1"/>
  <c r="BR124" i="6"/>
  <c r="T124" i="6" s="1"/>
  <c r="BM124" i="6"/>
  <c r="Q124" i="6" s="1"/>
  <c r="BE124" i="6"/>
  <c r="N124" i="6" s="1"/>
  <c r="AW124" i="6"/>
  <c r="K124" i="6" s="1"/>
  <c r="AO124" i="6"/>
  <c r="BR437" i="6"/>
  <c r="T437" i="6" s="1"/>
  <c r="BM437" i="6"/>
  <c r="Q437" i="6" s="1"/>
  <c r="BE437" i="6"/>
  <c r="N437" i="6" s="1"/>
  <c r="AW437" i="6"/>
  <c r="K437" i="6" s="1"/>
  <c r="AO437" i="6"/>
  <c r="BR263" i="6"/>
  <c r="T263" i="6" s="1"/>
  <c r="BM263" i="6"/>
  <c r="Q263" i="6" s="1"/>
  <c r="BE263" i="6"/>
  <c r="N263" i="6" s="1"/>
  <c r="AW263" i="6"/>
  <c r="K263" i="6" s="1"/>
  <c r="AO263" i="6"/>
  <c r="H263" i="6" s="1"/>
  <c r="BR233" i="6"/>
  <c r="T233" i="6" s="1"/>
  <c r="BM233" i="6"/>
  <c r="Q233" i="6" s="1"/>
  <c r="BE233" i="6"/>
  <c r="N233" i="6" s="1"/>
  <c r="AW233" i="6"/>
  <c r="AZ233" i="6" s="1"/>
  <c r="AY233" i="6" s="1"/>
  <c r="AX233" i="6" s="1"/>
  <c r="M233" i="6" s="1"/>
  <c r="AO233" i="6"/>
  <c r="BR197" i="6"/>
  <c r="T197" i="6" s="1"/>
  <c r="BM197" i="6"/>
  <c r="Q197" i="6" s="1"/>
  <c r="BE197" i="6"/>
  <c r="N197" i="6" s="1"/>
  <c r="AW197" i="6"/>
  <c r="AZ197" i="6" s="1"/>
  <c r="AY197" i="6" s="1"/>
  <c r="AX197" i="6" s="1"/>
  <c r="M197" i="6" s="1"/>
  <c r="AO197" i="6"/>
  <c r="H197" i="6" s="1"/>
  <c r="BR172" i="6"/>
  <c r="T172" i="6" s="1"/>
  <c r="BM172" i="6"/>
  <c r="BE172" i="6"/>
  <c r="AW172" i="6"/>
  <c r="AZ172" i="6" s="1"/>
  <c r="AY172" i="6" s="1"/>
  <c r="AX172" i="6" s="1"/>
  <c r="M172" i="6" s="1"/>
  <c r="AO172" i="6"/>
  <c r="BR277" i="6"/>
  <c r="T277" i="6" s="1"/>
  <c r="BM277" i="6"/>
  <c r="Q277" i="6" s="1"/>
  <c r="BE277" i="6"/>
  <c r="N277" i="6" s="1"/>
  <c r="AW277" i="6"/>
  <c r="AO277" i="6"/>
  <c r="H277" i="6" s="1"/>
  <c r="BR79" i="6"/>
  <c r="T79" i="6" s="1"/>
  <c r="BM79" i="6"/>
  <c r="BE79" i="6"/>
  <c r="AW79" i="6"/>
  <c r="AZ79" i="6" s="1"/>
  <c r="AY79" i="6" s="1"/>
  <c r="AX79" i="6" s="1"/>
  <c r="M79" i="6" s="1"/>
  <c r="AO79" i="6"/>
  <c r="H79" i="6" s="1"/>
  <c r="BM128" i="6"/>
  <c r="Q128" i="6" s="1"/>
  <c r="BR128" i="6"/>
  <c r="T128" i="6" s="1"/>
  <c r="BE128" i="6"/>
  <c r="N128" i="6" s="1"/>
  <c r="AW128" i="6"/>
  <c r="AO128" i="6"/>
  <c r="BR451" i="6"/>
  <c r="T451" i="6" s="1"/>
  <c r="BM451" i="6"/>
  <c r="Q451" i="6" s="1"/>
  <c r="BE451" i="6"/>
  <c r="N451" i="6" s="1"/>
  <c r="AW451" i="6"/>
  <c r="AZ451" i="6" s="1"/>
  <c r="AY451" i="6" s="1"/>
  <c r="AX451" i="6" s="1"/>
  <c r="M451" i="6" s="1"/>
  <c r="AO451" i="6"/>
  <c r="H451" i="6" s="1"/>
  <c r="BR383" i="6"/>
  <c r="T383" i="6" s="1"/>
  <c r="BM383" i="6"/>
  <c r="Q383" i="6" s="1"/>
  <c r="BE383" i="6"/>
  <c r="N383" i="6" s="1"/>
  <c r="AW383" i="6"/>
  <c r="AZ383" i="6" s="1"/>
  <c r="AY383" i="6" s="1"/>
  <c r="AX383" i="6" s="1"/>
  <c r="M383" i="6" s="1"/>
  <c r="AO383" i="6"/>
  <c r="H383" i="6" s="1"/>
  <c r="BR279" i="6"/>
  <c r="T279" i="6" s="1"/>
  <c r="BM279" i="6"/>
  <c r="Q279" i="6" s="1"/>
  <c r="BE279" i="6"/>
  <c r="AW279" i="6"/>
  <c r="K279" i="6" s="1"/>
  <c r="AO279" i="6"/>
  <c r="H279" i="6" s="1"/>
  <c r="BR125" i="6"/>
  <c r="T125" i="6" s="1"/>
  <c r="BM125" i="6"/>
  <c r="Q125" i="6" s="1"/>
  <c r="BE125" i="6"/>
  <c r="N125" i="6" s="1"/>
  <c r="AW125" i="6"/>
  <c r="AZ125" i="6" s="1"/>
  <c r="AY125" i="6" s="1"/>
  <c r="AX125" i="6" s="1"/>
  <c r="M125" i="6" s="1"/>
  <c r="AO125" i="6"/>
  <c r="H125" i="6" s="1"/>
  <c r="BR367" i="6"/>
  <c r="T367" i="6" s="1"/>
  <c r="BM367" i="6"/>
  <c r="BE367" i="6"/>
  <c r="AW367" i="6"/>
  <c r="AO367" i="6"/>
  <c r="H367" i="6" s="1"/>
  <c r="BR65" i="6"/>
  <c r="T65" i="6" s="1"/>
  <c r="BM65" i="6"/>
  <c r="Q65" i="6" s="1"/>
  <c r="BE65" i="6"/>
  <c r="N65" i="6" s="1"/>
  <c r="AW65" i="6"/>
  <c r="AO65" i="6"/>
  <c r="H65" i="6" s="1"/>
  <c r="BR141" i="6"/>
  <c r="T141" i="6" s="1"/>
  <c r="BM141" i="6"/>
  <c r="Q141" i="6" s="1"/>
  <c r="BE141" i="6"/>
  <c r="N141" i="6" s="1"/>
  <c r="AW141" i="6"/>
  <c r="AZ141" i="6" s="1"/>
  <c r="AY141" i="6" s="1"/>
  <c r="AX141" i="6" s="1"/>
  <c r="M141" i="6" s="1"/>
  <c r="AO141" i="6"/>
  <c r="H141" i="6" s="1"/>
  <c r="BR86" i="6"/>
  <c r="T86" i="6" s="1"/>
  <c r="BM86" i="6"/>
  <c r="Q86" i="6" s="1"/>
  <c r="BE86" i="6"/>
  <c r="N86" i="6" s="1"/>
  <c r="AW86" i="6"/>
  <c r="K86" i="6" s="1"/>
  <c r="AO86" i="6"/>
  <c r="AH124" i="6"/>
  <c r="E124" i="6" s="1"/>
  <c r="AH57" i="6"/>
  <c r="E57" i="6" s="1"/>
  <c r="BR386" i="6"/>
  <c r="T386" i="6" s="1"/>
  <c r="BM386" i="6"/>
  <c r="BE386" i="6"/>
  <c r="AW386" i="6"/>
  <c r="AO386" i="6"/>
  <c r="BR351" i="6"/>
  <c r="T351" i="6" s="1"/>
  <c r="BM351" i="6"/>
  <c r="BE351" i="6"/>
  <c r="AW351" i="6"/>
  <c r="AO351" i="6"/>
  <c r="BR334" i="6"/>
  <c r="T334" i="6" s="1"/>
  <c r="BM334" i="6"/>
  <c r="BE334" i="6"/>
  <c r="AW334" i="6"/>
  <c r="AO334" i="6"/>
  <c r="BR291" i="6"/>
  <c r="T291" i="6" s="1"/>
  <c r="BM291" i="6"/>
  <c r="BE291" i="6"/>
  <c r="AW291" i="6"/>
  <c r="AO291" i="6"/>
  <c r="BR235" i="6"/>
  <c r="T235" i="6" s="1"/>
  <c r="BM235" i="6"/>
  <c r="BE235" i="6"/>
  <c r="AW235" i="6"/>
  <c r="AO235" i="6"/>
  <c r="BR185" i="6"/>
  <c r="T185" i="6" s="1"/>
  <c r="BM185" i="6"/>
  <c r="BE185" i="6"/>
  <c r="AW185" i="6"/>
  <c r="AO185" i="6"/>
  <c r="AH125" i="6"/>
  <c r="E125" i="6" s="1"/>
  <c r="BR98" i="6"/>
  <c r="T98" i="6" s="1"/>
  <c r="BM98" i="6"/>
  <c r="BE98" i="6"/>
  <c r="AW98" i="6"/>
  <c r="AO98" i="6"/>
  <c r="BR54" i="6"/>
  <c r="T54" i="6" s="1"/>
  <c r="BM54" i="6"/>
  <c r="BE54" i="6"/>
  <c r="AW54" i="6"/>
  <c r="AO54" i="6"/>
  <c r="BR146" i="6"/>
  <c r="T146" i="6" s="1"/>
  <c r="BM146" i="6"/>
  <c r="BE146" i="6"/>
  <c r="AW146" i="6"/>
  <c r="AO146" i="6"/>
  <c r="BR349" i="6"/>
  <c r="T349" i="6" s="1"/>
  <c r="BM349" i="6"/>
  <c r="BE349" i="6"/>
  <c r="AW349" i="6"/>
  <c r="AO349" i="6"/>
  <c r="BR283" i="6"/>
  <c r="T283" i="6" s="1"/>
  <c r="BM283" i="6"/>
  <c r="BE283" i="6"/>
  <c r="AW283" i="6"/>
  <c r="AO283" i="6"/>
  <c r="BR422" i="6"/>
  <c r="T422" i="6" s="1"/>
  <c r="BM422" i="6"/>
  <c r="BE422" i="6"/>
  <c r="AW422" i="6"/>
  <c r="AO422" i="6"/>
  <c r="AH279" i="6"/>
  <c r="AK279" i="6" s="1"/>
  <c r="AJ279" i="6" s="1"/>
  <c r="AI279" i="6" s="1"/>
  <c r="G279" i="6" s="1"/>
  <c r="AH33" i="6"/>
  <c r="E33" i="6" s="1"/>
  <c r="BR430" i="6"/>
  <c r="T430" i="6" s="1"/>
  <c r="BE430" i="6"/>
  <c r="BM430" i="6"/>
  <c r="AW430" i="6"/>
  <c r="AO430" i="6"/>
  <c r="BR385" i="6"/>
  <c r="T385" i="6" s="1"/>
  <c r="BM385" i="6"/>
  <c r="BE385" i="6"/>
  <c r="AO385" i="6"/>
  <c r="AW385" i="6"/>
  <c r="BR402" i="6"/>
  <c r="T402" i="6" s="1"/>
  <c r="BM402" i="6"/>
  <c r="BE402" i="6"/>
  <c r="AW402" i="6"/>
  <c r="AO402" i="6"/>
  <c r="AH461" i="6"/>
  <c r="E461" i="6" s="1"/>
  <c r="BR461" i="6"/>
  <c r="T461" i="6" s="1"/>
  <c r="BM461" i="6"/>
  <c r="BE461" i="6"/>
  <c r="AW461" i="6"/>
  <c r="K461" i="6" s="1"/>
  <c r="AO461" i="6"/>
  <c r="AH286" i="6"/>
  <c r="AK286" i="6" s="1"/>
  <c r="AJ286" i="6" s="1"/>
  <c r="AI286" i="6" s="1"/>
  <c r="G286" i="6" s="1"/>
  <c r="BR286" i="6"/>
  <c r="T286" i="6" s="1"/>
  <c r="BM286" i="6"/>
  <c r="BE286" i="6"/>
  <c r="AW286" i="6"/>
  <c r="K286" i="6" s="1"/>
  <c r="AO286" i="6"/>
  <c r="AH184" i="6"/>
  <c r="BR184" i="6"/>
  <c r="T184" i="6" s="1"/>
  <c r="BM184" i="6"/>
  <c r="BE184" i="6"/>
  <c r="AW184" i="6"/>
  <c r="K184" i="6" s="1"/>
  <c r="AO184" i="6"/>
  <c r="AH157" i="6"/>
  <c r="AK157" i="6" s="1"/>
  <c r="AJ157" i="6" s="1"/>
  <c r="AI157" i="6" s="1"/>
  <c r="G157" i="6" s="1"/>
  <c r="BR157" i="6"/>
  <c r="T157" i="6" s="1"/>
  <c r="BM157" i="6"/>
  <c r="BE157" i="6"/>
  <c r="AW157" i="6"/>
  <c r="K157" i="6" s="1"/>
  <c r="AO157" i="6"/>
  <c r="AH62" i="6"/>
  <c r="E62" i="6" s="1"/>
  <c r="BR62" i="6"/>
  <c r="T62" i="6" s="1"/>
  <c r="BE62" i="6"/>
  <c r="BM62" i="6"/>
  <c r="AW62" i="6"/>
  <c r="AZ62" i="6" s="1"/>
  <c r="AY62" i="6" s="1"/>
  <c r="AX62" i="6" s="1"/>
  <c r="M62" i="6" s="1"/>
  <c r="AO62" i="6"/>
  <c r="AH400" i="6"/>
  <c r="BR400" i="6"/>
  <c r="T400" i="6" s="1"/>
  <c r="BM400" i="6"/>
  <c r="BE400" i="6"/>
  <c r="AW400" i="6"/>
  <c r="K400" i="6" s="1"/>
  <c r="AO400" i="6"/>
  <c r="AH365" i="6"/>
  <c r="BR365" i="6"/>
  <c r="T365" i="6" s="1"/>
  <c r="BM365" i="6"/>
  <c r="BE365" i="6"/>
  <c r="AW365" i="6"/>
  <c r="K365" i="6" s="1"/>
  <c r="AO365" i="6"/>
  <c r="AH189" i="6"/>
  <c r="AK189" i="6" s="1"/>
  <c r="AJ189" i="6" s="1"/>
  <c r="AI189" i="6" s="1"/>
  <c r="G189" i="6" s="1"/>
  <c r="BR189" i="6"/>
  <c r="T189" i="6" s="1"/>
  <c r="BM189" i="6"/>
  <c r="BE189" i="6"/>
  <c r="AW189" i="6"/>
  <c r="AZ189" i="6" s="1"/>
  <c r="AY189" i="6" s="1"/>
  <c r="AX189" i="6" s="1"/>
  <c r="M189" i="6" s="1"/>
  <c r="AO189" i="6"/>
  <c r="AH137" i="6"/>
  <c r="E137" i="6" s="1"/>
  <c r="BR137" i="6"/>
  <c r="T137" i="6" s="1"/>
  <c r="BM137" i="6"/>
  <c r="BE137" i="6"/>
  <c r="AW137" i="6"/>
  <c r="K137" i="6" s="1"/>
  <c r="AO137" i="6"/>
  <c r="AH465" i="6"/>
  <c r="AK465" i="6" s="1"/>
  <c r="AJ465" i="6" s="1"/>
  <c r="AI465" i="6" s="1"/>
  <c r="G465" i="6" s="1"/>
  <c r="BR465" i="6"/>
  <c r="T465" i="6" s="1"/>
  <c r="BE465" i="6"/>
  <c r="BM465" i="6"/>
  <c r="AW465" i="6"/>
  <c r="K465" i="6" s="1"/>
  <c r="AO465" i="6"/>
  <c r="AH450" i="6"/>
  <c r="BR450" i="6"/>
  <c r="T450" i="6" s="1"/>
  <c r="BM450" i="6"/>
  <c r="BE450" i="6"/>
  <c r="AW450" i="6"/>
  <c r="AZ450" i="6" s="1"/>
  <c r="AY450" i="6" s="1"/>
  <c r="AX450" i="6" s="1"/>
  <c r="M450" i="6" s="1"/>
  <c r="AO450" i="6"/>
  <c r="AH436" i="6"/>
  <c r="E436" i="6" s="1"/>
  <c r="BR436" i="6"/>
  <c r="T436" i="6" s="1"/>
  <c r="BE436" i="6"/>
  <c r="BM436" i="6"/>
  <c r="AW436" i="6"/>
  <c r="AZ436" i="6" s="1"/>
  <c r="AY436" i="6" s="1"/>
  <c r="AX436" i="6" s="1"/>
  <c r="M436" i="6" s="1"/>
  <c r="AO436" i="6"/>
  <c r="AH335" i="6"/>
  <c r="E335" i="6" s="1"/>
  <c r="BR335" i="6"/>
  <c r="T335" i="6" s="1"/>
  <c r="BM335" i="6"/>
  <c r="BE335" i="6"/>
  <c r="AW335" i="6"/>
  <c r="AZ335" i="6" s="1"/>
  <c r="AY335" i="6" s="1"/>
  <c r="AX335" i="6" s="1"/>
  <c r="M335" i="6" s="1"/>
  <c r="AO335" i="6"/>
  <c r="AH108" i="6"/>
  <c r="AK108" i="6" s="1"/>
  <c r="AJ108" i="6" s="1"/>
  <c r="AI108" i="6" s="1"/>
  <c r="G108" i="6" s="1"/>
  <c r="BR108" i="6"/>
  <c r="T108" i="6" s="1"/>
  <c r="BM108" i="6"/>
  <c r="BE108" i="6"/>
  <c r="AW108" i="6"/>
  <c r="K108" i="6" s="1"/>
  <c r="AO108" i="6"/>
  <c r="AH20" i="6"/>
  <c r="BR20" i="6"/>
  <c r="T20" i="6" s="1"/>
  <c r="BM20" i="6"/>
  <c r="BE20" i="6"/>
  <c r="AW20" i="6"/>
  <c r="K20" i="6" s="1"/>
  <c r="AO20" i="6"/>
  <c r="AH348" i="6"/>
  <c r="AK348" i="6" s="1"/>
  <c r="AJ348" i="6" s="1"/>
  <c r="AI348" i="6" s="1"/>
  <c r="G348" i="6" s="1"/>
  <c r="BR348" i="6"/>
  <c r="T348" i="6" s="1"/>
  <c r="BM348" i="6"/>
  <c r="BE348" i="6"/>
  <c r="AW348" i="6"/>
  <c r="K348" i="6" s="1"/>
  <c r="AO348" i="6"/>
  <c r="AH342" i="6"/>
  <c r="AK342" i="6" s="1"/>
  <c r="AJ342" i="6" s="1"/>
  <c r="AI342" i="6" s="1"/>
  <c r="G342" i="6" s="1"/>
  <c r="BR342" i="6"/>
  <c r="T342" i="6" s="1"/>
  <c r="BM342" i="6"/>
  <c r="BE342" i="6"/>
  <c r="AW342" i="6"/>
  <c r="K342" i="6" s="1"/>
  <c r="AO342" i="6"/>
  <c r="AH96" i="6"/>
  <c r="E96" i="6" s="1"/>
  <c r="BR96" i="6"/>
  <c r="T96" i="6" s="1"/>
  <c r="BM96" i="6"/>
  <c r="BE96" i="6"/>
  <c r="AW96" i="6"/>
  <c r="AZ96" i="6" s="1"/>
  <c r="AY96" i="6" s="1"/>
  <c r="AX96" i="6" s="1"/>
  <c r="M96" i="6" s="1"/>
  <c r="AO96" i="6"/>
  <c r="AH12" i="6"/>
  <c r="AK12" i="6" s="1"/>
  <c r="AJ12" i="6" s="1"/>
  <c r="AI12" i="6" s="1"/>
  <c r="G12" i="6" s="1"/>
  <c r="BR12" i="6"/>
  <c r="T12" i="6" s="1"/>
  <c r="BM12" i="6"/>
  <c r="BE12" i="6"/>
  <c r="AW12" i="6"/>
  <c r="AZ12" i="6" s="1"/>
  <c r="AY12" i="6" s="1"/>
  <c r="AX12" i="6" s="1"/>
  <c r="M12" i="6" s="1"/>
  <c r="AO12" i="6"/>
  <c r="AH115" i="6"/>
  <c r="AK115" i="6" s="1"/>
  <c r="AJ115" i="6" s="1"/>
  <c r="AI115" i="6" s="1"/>
  <c r="G115" i="6" s="1"/>
  <c r="BR115" i="6"/>
  <c r="T115" i="6" s="1"/>
  <c r="BM115" i="6"/>
  <c r="BE115" i="6"/>
  <c r="AO115" i="6"/>
  <c r="AW115" i="6"/>
  <c r="K115" i="6" s="1"/>
  <c r="AH297" i="6"/>
  <c r="AK297" i="6" s="1"/>
  <c r="AJ297" i="6" s="1"/>
  <c r="AI297" i="6" s="1"/>
  <c r="G297" i="6" s="1"/>
  <c r="BR297" i="6"/>
  <c r="T297" i="6" s="1"/>
  <c r="BM297" i="6"/>
  <c r="BE297" i="6"/>
  <c r="AW297" i="6"/>
  <c r="AZ297" i="6" s="1"/>
  <c r="AY297" i="6" s="1"/>
  <c r="AX297" i="6" s="1"/>
  <c r="M297" i="6" s="1"/>
  <c r="AO297" i="6"/>
  <c r="AH78" i="6"/>
  <c r="AK78" i="6" s="1"/>
  <c r="AJ78" i="6" s="1"/>
  <c r="AI78" i="6" s="1"/>
  <c r="G78" i="6" s="1"/>
  <c r="BR78" i="6"/>
  <c r="T78" i="6" s="1"/>
  <c r="BM78" i="6"/>
  <c r="BE78" i="6"/>
  <c r="AW78" i="6"/>
  <c r="AZ78" i="6" s="1"/>
  <c r="AY78" i="6" s="1"/>
  <c r="AX78" i="6" s="1"/>
  <c r="M78" i="6" s="1"/>
  <c r="AO78" i="6"/>
  <c r="AH267" i="6"/>
  <c r="AK267" i="6" s="1"/>
  <c r="AJ267" i="6" s="1"/>
  <c r="AI267" i="6" s="1"/>
  <c r="G267" i="6" s="1"/>
  <c r="BR267" i="6"/>
  <c r="T267" i="6" s="1"/>
  <c r="BM267" i="6"/>
  <c r="BE267" i="6"/>
  <c r="AW267" i="6"/>
  <c r="AZ267" i="6" s="1"/>
  <c r="AY267" i="6" s="1"/>
  <c r="AX267" i="6" s="1"/>
  <c r="M267" i="6" s="1"/>
  <c r="AO267" i="6"/>
  <c r="AH138" i="6"/>
  <c r="E138" i="6" s="1"/>
  <c r="BR138" i="6"/>
  <c r="T138" i="6" s="1"/>
  <c r="BM138" i="6"/>
  <c r="BE138" i="6"/>
  <c r="AW138" i="6"/>
  <c r="K138" i="6" s="1"/>
  <c r="AO138" i="6"/>
  <c r="AH70" i="6"/>
  <c r="E70" i="6" s="1"/>
  <c r="BR70" i="6"/>
  <c r="T70" i="6" s="1"/>
  <c r="BM70" i="6"/>
  <c r="BE70" i="6"/>
  <c r="AW70" i="6"/>
  <c r="K70" i="6" s="1"/>
  <c r="AO70" i="6"/>
  <c r="AH446" i="6"/>
  <c r="BR446" i="6"/>
  <c r="T446" i="6" s="1"/>
  <c r="BE446" i="6"/>
  <c r="BM446" i="6"/>
  <c r="AW446" i="6"/>
  <c r="AZ446" i="6" s="1"/>
  <c r="AY446" i="6" s="1"/>
  <c r="AX446" i="6" s="1"/>
  <c r="M446" i="6" s="1"/>
  <c r="AO446" i="6"/>
  <c r="AH369" i="6"/>
  <c r="E369" i="6" s="1"/>
  <c r="BR369" i="6"/>
  <c r="T369" i="6" s="1"/>
  <c r="BE369" i="6"/>
  <c r="BM369" i="6"/>
  <c r="AW369" i="6"/>
  <c r="K369" i="6" s="1"/>
  <c r="AO369" i="6"/>
  <c r="AH231" i="6"/>
  <c r="E231" i="6" s="1"/>
  <c r="BR231" i="6"/>
  <c r="T231" i="6" s="1"/>
  <c r="BM231" i="6"/>
  <c r="BE231" i="6"/>
  <c r="AW231" i="6"/>
  <c r="K231" i="6" s="1"/>
  <c r="AO231" i="6"/>
  <c r="AH464" i="6"/>
  <c r="AK464" i="6" s="1"/>
  <c r="AJ464" i="6" s="1"/>
  <c r="AI464" i="6" s="1"/>
  <c r="G464" i="6" s="1"/>
  <c r="BR464" i="6"/>
  <c r="T464" i="6" s="1"/>
  <c r="BM464" i="6"/>
  <c r="BE464" i="6"/>
  <c r="AW464" i="6"/>
  <c r="K464" i="6" s="1"/>
  <c r="AO464" i="6"/>
  <c r="AH435" i="6"/>
  <c r="E435" i="6" s="1"/>
  <c r="BR435" i="6"/>
  <c r="T435" i="6" s="1"/>
  <c r="BM435" i="6"/>
  <c r="BE435" i="6"/>
  <c r="AW435" i="6"/>
  <c r="AZ435" i="6" s="1"/>
  <c r="AY435" i="6" s="1"/>
  <c r="AX435" i="6" s="1"/>
  <c r="M435" i="6" s="1"/>
  <c r="AO435" i="6"/>
  <c r="AH347" i="6"/>
  <c r="AK347" i="6" s="1"/>
  <c r="AJ347" i="6" s="1"/>
  <c r="AI347" i="6" s="1"/>
  <c r="G347" i="6" s="1"/>
  <c r="BR347" i="6"/>
  <c r="T347" i="6" s="1"/>
  <c r="BM347" i="6"/>
  <c r="BE347" i="6"/>
  <c r="AW347" i="6"/>
  <c r="K347" i="6" s="1"/>
  <c r="AO347" i="6"/>
  <c r="AH61" i="6"/>
  <c r="AK61" i="6" s="1"/>
  <c r="AJ61" i="6" s="1"/>
  <c r="AI61" i="6" s="1"/>
  <c r="G61" i="6" s="1"/>
  <c r="BR61" i="6"/>
  <c r="T61" i="6" s="1"/>
  <c r="BM61" i="6"/>
  <c r="BE61" i="6"/>
  <c r="AW61" i="6"/>
  <c r="K61" i="6" s="1"/>
  <c r="AO61" i="6"/>
  <c r="AH397" i="6"/>
  <c r="AK397" i="6" s="1"/>
  <c r="AJ397" i="6" s="1"/>
  <c r="AI397" i="6" s="1"/>
  <c r="G397" i="6" s="1"/>
  <c r="BR397" i="6"/>
  <c r="T397" i="6" s="1"/>
  <c r="BM397" i="6"/>
  <c r="BE397" i="6"/>
  <c r="AW397" i="6"/>
  <c r="AZ397" i="6" s="1"/>
  <c r="AY397" i="6" s="1"/>
  <c r="AX397" i="6" s="1"/>
  <c r="M397" i="6" s="1"/>
  <c r="AO397" i="6"/>
  <c r="AH292" i="6"/>
  <c r="E292" i="6" s="1"/>
  <c r="BR292" i="6"/>
  <c r="T292" i="6" s="1"/>
  <c r="BM292" i="6"/>
  <c r="BE292" i="6"/>
  <c r="AW292" i="6"/>
  <c r="K292" i="6" s="1"/>
  <c r="AO292" i="6"/>
  <c r="BR252" i="6"/>
  <c r="T252" i="6" s="1"/>
  <c r="BM252" i="6"/>
  <c r="BE252" i="6"/>
  <c r="AW252" i="6"/>
  <c r="AZ252" i="6" s="1"/>
  <c r="AY252" i="6" s="1"/>
  <c r="AX252" i="6" s="1"/>
  <c r="M252" i="6" s="1"/>
  <c r="AO252" i="6"/>
  <c r="AH210" i="6"/>
  <c r="AK210" i="6" s="1"/>
  <c r="AJ210" i="6" s="1"/>
  <c r="AI210" i="6" s="1"/>
  <c r="G210" i="6" s="1"/>
  <c r="BR210" i="6"/>
  <c r="T210" i="6" s="1"/>
  <c r="BM210" i="6"/>
  <c r="BE210" i="6"/>
  <c r="AW210" i="6"/>
  <c r="AZ210" i="6" s="1"/>
  <c r="AY210" i="6" s="1"/>
  <c r="AX210" i="6" s="1"/>
  <c r="M210" i="6" s="1"/>
  <c r="AO210" i="6"/>
  <c r="BR18" i="6"/>
  <c r="T18" i="6" s="1"/>
  <c r="BM18" i="6"/>
  <c r="BE18" i="6"/>
  <c r="AW18" i="6"/>
  <c r="AZ18" i="6" s="1"/>
  <c r="AY18" i="6" s="1"/>
  <c r="AX18" i="6" s="1"/>
  <c r="M18" i="6" s="1"/>
  <c r="AO18" i="6"/>
  <c r="BR17" i="6"/>
  <c r="T17" i="6" s="1"/>
  <c r="BM17" i="6"/>
  <c r="BE17" i="6"/>
  <c r="AW17" i="6"/>
  <c r="AZ17" i="6" s="1"/>
  <c r="AY17" i="6" s="1"/>
  <c r="AX17" i="6" s="1"/>
  <c r="M17" i="6" s="1"/>
  <c r="AO17" i="6"/>
  <c r="BR153" i="6"/>
  <c r="T153" i="6" s="1"/>
  <c r="BM153" i="6"/>
  <c r="BE153" i="6"/>
  <c r="AW153" i="6"/>
  <c r="AZ153" i="6" s="1"/>
  <c r="AY153" i="6" s="1"/>
  <c r="AX153" i="6" s="1"/>
  <c r="M153" i="6" s="1"/>
  <c r="AO153" i="6"/>
  <c r="AH89" i="6"/>
  <c r="AK89" i="6" s="1"/>
  <c r="AJ89" i="6" s="1"/>
  <c r="AI89" i="6" s="1"/>
  <c r="G89" i="6" s="1"/>
  <c r="AH304" i="6"/>
  <c r="E304" i="6" s="1"/>
  <c r="AH180" i="6"/>
  <c r="AK180" i="6" s="1"/>
  <c r="AJ180" i="6" s="1"/>
  <c r="AI180" i="6" s="1"/>
  <c r="G180" i="6" s="1"/>
  <c r="AH262" i="6"/>
  <c r="E262" i="6" s="1"/>
  <c r="AH413" i="6"/>
  <c r="AH32" i="6"/>
  <c r="AK32" i="6" s="1"/>
  <c r="AJ32" i="6" s="1"/>
  <c r="AI32" i="6" s="1"/>
  <c r="G32" i="6" s="1"/>
  <c r="AH82" i="6"/>
  <c r="AK82" i="6" s="1"/>
  <c r="AJ82" i="6" s="1"/>
  <c r="AI82" i="6" s="1"/>
  <c r="G82" i="6" s="1"/>
  <c r="AH319" i="6"/>
  <c r="AK319" i="6" s="1"/>
  <c r="AJ319" i="6" s="1"/>
  <c r="AI319" i="6" s="1"/>
  <c r="G319" i="6" s="1"/>
  <c r="AH311" i="6"/>
  <c r="AH136" i="6"/>
  <c r="AK136" i="6" s="1"/>
  <c r="AJ136" i="6" s="1"/>
  <c r="AI136" i="6" s="1"/>
  <c r="G136" i="6" s="1"/>
  <c r="S119" i="1"/>
  <c r="B124" i="1"/>
  <c r="A11" i="6"/>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A165" i="6" s="1"/>
  <c r="A166" i="6" s="1"/>
  <c r="A167" i="6" s="1"/>
  <c r="A168" i="6" s="1"/>
  <c r="A169" i="6" s="1"/>
  <c r="A170" i="6" s="1"/>
  <c r="A171" i="6" s="1"/>
  <c r="A172" i="6" s="1"/>
  <c r="A173" i="6" s="1"/>
  <c r="A174" i="6" s="1"/>
  <c r="A175" i="6" s="1"/>
  <c r="A176" i="6" s="1"/>
  <c r="A177" i="6" s="1"/>
  <c r="A178" i="6" s="1"/>
  <c r="A179" i="6" s="1"/>
  <c r="A180" i="6" s="1"/>
  <c r="A181" i="6" s="1"/>
  <c r="A182" i="6" s="1"/>
  <c r="A183" i="6" s="1"/>
  <c r="A184" i="6" s="1"/>
  <c r="A185" i="6" s="1"/>
  <c r="A186" i="6" s="1"/>
  <c r="A187" i="6" s="1"/>
  <c r="A188" i="6" s="1"/>
  <c r="A189" i="6" s="1"/>
  <c r="A190" i="6" s="1"/>
  <c r="A191" i="6" s="1"/>
  <c r="A192" i="6" s="1"/>
  <c r="A193" i="6" s="1"/>
  <c r="A194" i="6" s="1"/>
  <c r="A195" i="6" s="1"/>
  <c r="A196" i="6" s="1"/>
  <c r="A197" i="6" s="1"/>
  <c r="A198" i="6" s="1"/>
  <c r="A199" i="6" s="1"/>
  <c r="A200" i="6" s="1"/>
  <c r="A201" i="6" s="1"/>
  <c r="A202" i="6" s="1"/>
  <c r="A203" i="6" s="1"/>
  <c r="A204" i="6" s="1"/>
  <c r="A205" i="6" s="1"/>
  <c r="A206" i="6" s="1"/>
  <c r="A207" i="6" s="1"/>
  <c r="A208" i="6" s="1"/>
  <c r="A209" i="6" s="1"/>
  <c r="A210" i="6" s="1"/>
  <c r="A211" i="6" s="1"/>
  <c r="A212" i="6" s="1"/>
  <c r="A213" i="6" s="1"/>
  <c r="A214" i="6" s="1"/>
  <c r="A215" i="6" s="1"/>
  <c r="A216" i="6" s="1"/>
  <c r="A217" i="6" s="1"/>
  <c r="A218" i="6" s="1"/>
  <c r="A219" i="6" s="1"/>
  <c r="A220" i="6" s="1"/>
  <c r="A221" i="6" s="1"/>
  <c r="A222" i="6" s="1"/>
  <c r="A223" i="6" s="1"/>
  <c r="A224" i="6" s="1"/>
  <c r="A225" i="6" s="1"/>
  <c r="A226" i="6" s="1"/>
  <c r="A227" i="6" s="1"/>
  <c r="A228" i="6" s="1"/>
  <c r="A229" i="6" s="1"/>
  <c r="A230" i="6" s="1"/>
  <c r="A231" i="6" s="1"/>
  <c r="A232" i="6" s="1"/>
  <c r="A233" i="6" s="1"/>
  <c r="A234" i="6" s="1"/>
  <c r="A235" i="6" s="1"/>
  <c r="A236" i="6" s="1"/>
  <c r="A237" i="6" s="1"/>
  <c r="A238" i="6" s="1"/>
  <c r="A239" i="6" s="1"/>
  <c r="A240" i="6" s="1"/>
  <c r="A241" i="6" s="1"/>
  <c r="A242" i="6" s="1"/>
  <c r="A243" i="6" s="1"/>
  <c r="A244" i="6" s="1"/>
  <c r="A245" i="6" s="1"/>
  <c r="A246" i="6" s="1"/>
  <c r="A247" i="6" s="1"/>
  <c r="A248" i="6" s="1"/>
  <c r="A249" i="6" s="1"/>
  <c r="A250" i="6" s="1"/>
  <c r="A251" i="6" s="1"/>
  <c r="A252" i="6" s="1"/>
  <c r="A253" i="6" s="1"/>
  <c r="A254" i="6" s="1"/>
  <c r="A255" i="6" s="1"/>
  <c r="A256" i="6" s="1"/>
  <c r="A257" i="6" s="1"/>
  <c r="A258" i="6" s="1"/>
  <c r="A259" i="6" s="1"/>
  <c r="A260" i="6" s="1"/>
  <c r="A261" i="6" s="1"/>
  <c r="A262" i="6" s="1"/>
  <c r="A263" i="6" s="1"/>
  <c r="A264" i="6" s="1"/>
  <c r="A265" i="6" s="1"/>
  <c r="A266" i="6" s="1"/>
  <c r="A267" i="6" s="1"/>
  <c r="A268" i="6" s="1"/>
  <c r="A269" i="6" s="1"/>
  <c r="A270" i="6" s="1"/>
  <c r="A271" i="6" s="1"/>
  <c r="A272" i="6" s="1"/>
  <c r="A273" i="6" s="1"/>
  <c r="A274" i="6" s="1"/>
  <c r="A275" i="6" s="1"/>
  <c r="A276" i="6" s="1"/>
  <c r="A277" i="6" s="1"/>
  <c r="A278" i="6" s="1"/>
  <c r="A279" i="6" s="1"/>
  <c r="A280" i="6" s="1"/>
  <c r="A281" i="6" s="1"/>
  <c r="A282" i="6" s="1"/>
  <c r="A283" i="6" s="1"/>
  <c r="A284" i="6" s="1"/>
  <c r="A285" i="6" s="1"/>
  <c r="A286" i="6" s="1"/>
  <c r="A287" i="6" s="1"/>
  <c r="A288" i="6" s="1"/>
  <c r="A289" i="6" s="1"/>
  <c r="A290" i="6" s="1"/>
  <c r="A291" i="6" s="1"/>
  <c r="A292" i="6" s="1"/>
  <c r="A293" i="6" s="1"/>
  <c r="A294" i="6" s="1"/>
  <c r="A295" i="6" s="1"/>
  <c r="A296" i="6" s="1"/>
  <c r="A297" i="6" s="1"/>
  <c r="A298" i="6" s="1"/>
  <c r="A299" i="6" s="1"/>
  <c r="A300" i="6" s="1"/>
  <c r="A301" i="6" s="1"/>
  <c r="A302" i="6" s="1"/>
  <c r="A303" i="6" s="1"/>
  <c r="A304" i="6" s="1"/>
  <c r="A305" i="6" s="1"/>
  <c r="A306" i="6" s="1"/>
  <c r="A307" i="6" s="1"/>
  <c r="A308" i="6" s="1"/>
  <c r="A309" i="6" s="1"/>
  <c r="A310" i="6" s="1"/>
  <c r="A311" i="6" s="1"/>
  <c r="A312" i="6" s="1"/>
  <c r="A313" i="6" s="1"/>
  <c r="A314" i="6" s="1"/>
  <c r="A315" i="6" s="1"/>
  <c r="A316" i="6" s="1"/>
  <c r="A317" i="6" s="1"/>
  <c r="A318" i="6" s="1"/>
  <c r="A319" i="6" s="1"/>
  <c r="A320" i="6" s="1"/>
  <c r="A321" i="6" s="1"/>
  <c r="A322" i="6" s="1"/>
  <c r="A323" i="6" s="1"/>
  <c r="A324" i="6" s="1"/>
  <c r="A325" i="6" s="1"/>
  <c r="A326" i="6" s="1"/>
  <c r="A327" i="6" s="1"/>
  <c r="A328" i="6" s="1"/>
  <c r="A329" i="6" s="1"/>
  <c r="A330" i="6" s="1"/>
  <c r="A331" i="6" s="1"/>
  <c r="A332" i="6" s="1"/>
  <c r="A333" i="6" s="1"/>
  <c r="A334" i="6" s="1"/>
  <c r="A335" i="6" s="1"/>
  <c r="A336" i="6" s="1"/>
  <c r="A337" i="6" s="1"/>
  <c r="A338" i="6" s="1"/>
  <c r="A339" i="6" s="1"/>
  <c r="A340" i="6" s="1"/>
  <c r="A341" i="6" s="1"/>
  <c r="A342" i="6" s="1"/>
  <c r="A343" i="6" s="1"/>
  <c r="A344" i="6" s="1"/>
  <c r="A345" i="6" s="1"/>
  <c r="A346" i="6" s="1"/>
  <c r="A347" i="6" s="1"/>
  <c r="A348" i="6" s="1"/>
  <c r="A349" i="6" s="1"/>
  <c r="A350" i="6" s="1"/>
  <c r="A5" i="10"/>
  <c r="A6" i="10" s="1"/>
  <c r="AH466" i="6"/>
  <c r="E466" i="6" s="1"/>
  <c r="B79" i="1"/>
  <c r="S74" i="1"/>
  <c r="F62" i="1"/>
  <c r="B145" i="1"/>
  <c r="S144" i="1"/>
  <c r="S145" i="1"/>
  <c r="B146" i="1"/>
  <c r="S97" i="1"/>
  <c r="B102" i="1"/>
  <c r="S98" i="1"/>
  <c r="B103" i="1"/>
  <c r="F36" i="1"/>
  <c r="K4" i="1" s="1"/>
  <c r="F26" i="1"/>
  <c r="F41" i="1"/>
  <c r="F44" i="1" s="1"/>
  <c r="F63" i="1"/>
  <c r="D80" i="1"/>
  <c r="C80" i="1"/>
  <c r="G103" i="1"/>
  <c r="F103" i="1"/>
  <c r="E80" i="1"/>
  <c r="E103" i="1"/>
  <c r="D103" i="1"/>
  <c r="G80" i="1"/>
  <c r="C103" i="1"/>
  <c r="F80" i="1"/>
  <c r="AK135" i="6"/>
  <c r="AJ135" i="6" s="1"/>
  <c r="AI135" i="6" s="1"/>
  <c r="G135" i="6" s="1"/>
  <c r="E135" i="6"/>
  <c r="AK75" i="6"/>
  <c r="AJ75" i="6" s="1"/>
  <c r="AI75" i="6" s="1"/>
  <c r="G75" i="6" s="1"/>
  <c r="E75" i="6"/>
  <c r="AH351" i="6"/>
  <c r="AH214" i="6"/>
  <c r="E458" i="6"/>
  <c r="AK458" i="6"/>
  <c r="AJ458" i="6" s="1"/>
  <c r="AI458" i="6" s="1"/>
  <c r="G458" i="6" s="1"/>
  <c r="AH183" i="6"/>
  <c r="AH116" i="6"/>
  <c r="AH269" i="6"/>
  <c r="AK401" i="6"/>
  <c r="AJ401" i="6" s="1"/>
  <c r="AI401" i="6" s="1"/>
  <c r="G401" i="6" s="1"/>
  <c r="E401" i="6"/>
  <c r="E313" i="6"/>
  <c r="AK313" i="6"/>
  <c r="AJ313" i="6" s="1"/>
  <c r="AI313" i="6" s="1"/>
  <c r="G313" i="6" s="1"/>
  <c r="AH36" i="6"/>
  <c r="AH261" i="6"/>
  <c r="AH235" i="6"/>
  <c r="AH191" i="6"/>
  <c r="AH395" i="6"/>
  <c r="AK394" i="6"/>
  <c r="AJ394" i="6" s="1"/>
  <c r="AI394" i="6" s="1"/>
  <c r="G394" i="6" s="1"/>
  <c r="E394" i="6"/>
  <c r="AH358" i="6"/>
  <c r="AK256" i="6"/>
  <c r="AJ256" i="6" s="1"/>
  <c r="AI256" i="6" s="1"/>
  <c r="G256" i="6" s="1"/>
  <c r="E256" i="6"/>
  <c r="AH463" i="6"/>
  <c r="AK405" i="6"/>
  <c r="AJ405" i="6" s="1"/>
  <c r="AI405" i="6" s="1"/>
  <c r="G405" i="6" s="1"/>
  <c r="E405" i="6"/>
  <c r="AH349" i="6"/>
  <c r="AH213" i="6"/>
  <c r="AH93" i="6"/>
  <c r="AH14" i="6"/>
  <c r="AK65" i="6"/>
  <c r="AJ65" i="6" s="1"/>
  <c r="AI65" i="6" s="1"/>
  <c r="G65" i="6" s="1"/>
  <c r="E65" i="6"/>
  <c r="AK197" i="6"/>
  <c r="AJ197" i="6" s="1"/>
  <c r="AI197" i="6" s="1"/>
  <c r="G197" i="6" s="1"/>
  <c r="E197" i="6"/>
  <c r="AH149" i="6"/>
  <c r="AH377" i="6"/>
  <c r="AH133" i="6"/>
  <c r="AK259" i="6"/>
  <c r="AJ259" i="6" s="1"/>
  <c r="AI259" i="6" s="1"/>
  <c r="G259" i="6" s="1"/>
  <c r="E259" i="6"/>
  <c r="AK153" i="6"/>
  <c r="AJ153" i="6" s="1"/>
  <c r="AI153" i="6" s="1"/>
  <c r="G153" i="6" s="1"/>
  <c r="E153" i="6"/>
  <c r="AH22" i="6"/>
  <c r="AH443" i="6"/>
  <c r="AH409" i="6"/>
  <c r="AK362" i="6"/>
  <c r="AJ362" i="6" s="1"/>
  <c r="AI362" i="6" s="1"/>
  <c r="G362" i="6" s="1"/>
  <c r="E362" i="6"/>
  <c r="AH44" i="6"/>
  <c r="AH391" i="6"/>
  <c r="AK106" i="6"/>
  <c r="AJ106" i="6" s="1"/>
  <c r="AI106" i="6" s="1"/>
  <c r="G106" i="6" s="1"/>
  <c r="E106" i="6"/>
  <c r="AK300" i="6"/>
  <c r="AJ300" i="6" s="1"/>
  <c r="AI300" i="6" s="1"/>
  <c r="G300" i="6" s="1"/>
  <c r="E300" i="6"/>
  <c r="AH228" i="6"/>
  <c r="AH350" i="6"/>
  <c r="E164" i="6"/>
  <c r="AK164" i="6"/>
  <c r="AJ164" i="6" s="1"/>
  <c r="AI164" i="6" s="1"/>
  <c r="G164" i="6" s="1"/>
  <c r="AK303" i="6"/>
  <c r="AJ303" i="6" s="1"/>
  <c r="AI303" i="6" s="1"/>
  <c r="G303" i="6" s="1"/>
  <c r="E303" i="6"/>
  <c r="E141" i="6"/>
  <c r="AK141" i="6"/>
  <c r="AJ141" i="6" s="1"/>
  <c r="AI141" i="6" s="1"/>
  <c r="G141" i="6" s="1"/>
  <c r="AH449" i="6"/>
  <c r="AH314" i="6"/>
  <c r="AH289" i="6"/>
  <c r="AH249" i="6"/>
  <c r="AK215" i="6"/>
  <c r="AJ215" i="6" s="1"/>
  <c r="AI215" i="6" s="1"/>
  <c r="G215" i="6" s="1"/>
  <c r="E215" i="6"/>
  <c r="AH54" i="6"/>
  <c r="AH49" i="6"/>
  <c r="AK403" i="6"/>
  <c r="AJ403" i="6" s="1"/>
  <c r="AI403" i="6" s="1"/>
  <c r="G403" i="6" s="1"/>
  <c r="E403" i="6"/>
  <c r="AH212" i="6"/>
  <c r="AH121" i="6"/>
  <c r="AH30" i="6"/>
  <c r="E364" i="6"/>
  <c r="AK364" i="6"/>
  <c r="AJ364" i="6" s="1"/>
  <c r="AI364" i="6" s="1"/>
  <c r="G364" i="6" s="1"/>
  <c r="E316" i="6"/>
  <c r="AK316" i="6"/>
  <c r="AJ316" i="6" s="1"/>
  <c r="AI316" i="6" s="1"/>
  <c r="G316" i="6" s="1"/>
  <c r="AH101" i="6"/>
  <c r="AK410" i="6"/>
  <c r="AJ410" i="6" s="1"/>
  <c r="AI410" i="6" s="1"/>
  <c r="G410" i="6" s="1"/>
  <c r="E410" i="6"/>
  <c r="AH299" i="6"/>
  <c r="AH193" i="6"/>
  <c r="E120" i="6"/>
  <c r="AK120" i="6"/>
  <c r="AJ120" i="6" s="1"/>
  <c r="AI120" i="6" s="1"/>
  <c r="G120" i="6" s="1"/>
  <c r="AH77" i="6"/>
  <c r="AK56" i="6"/>
  <c r="AJ56" i="6" s="1"/>
  <c r="AI56" i="6" s="1"/>
  <c r="G56" i="6" s="1"/>
  <c r="E56" i="6"/>
  <c r="AK295" i="6"/>
  <c r="AJ295" i="6" s="1"/>
  <c r="AI295" i="6" s="1"/>
  <c r="G295" i="6" s="1"/>
  <c r="E295" i="6"/>
  <c r="AK162" i="6"/>
  <c r="AJ162" i="6" s="1"/>
  <c r="AI162" i="6" s="1"/>
  <c r="G162" i="6" s="1"/>
  <c r="E162" i="6"/>
  <c r="AH28" i="6"/>
  <c r="AH334" i="6"/>
  <c r="AH328" i="6"/>
  <c r="AH254" i="6"/>
  <c r="AK431" i="6"/>
  <c r="AJ431" i="6" s="1"/>
  <c r="AI431" i="6" s="1"/>
  <c r="G431" i="6" s="1"/>
  <c r="E431" i="6"/>
  <c r="AK119" i="6"/>
  <c r="AJ119" i="6" s="1"/>
  <c r="AI119" i="6" s="1"/>
  <c r="G119" i="6" s="1"/>
  <c r="E119" i="6"/>
  <c r="AH352" i="6"/>
  <c r="AH275" i="6"/>
  <c r="AH129" i="6"/>
  <c r="AH85" i="6"/>
  <c r="AK84" i="6"/>
  <c r="AJ84" i="6" s="1"/>
  <c r="AI84" i="6" s="1"/>
  <c r="G84" i="6" s="1"/>
  <c r="E84" i="6"/>
  <c r="AH329" i="6"/>
  <c r="AH301" i="6"/>
  <c r="AH309" i="6"/>
  <c r="AK367" i="6"/>
  <c r="AJ367" i="6" s="1"/>
  <c r="AI367" i="6" s="1"/>
  <c r="G367" i="6" s="1"/>
  <c r="E367" i="6"/>
  <c r="E383" i="6"/>
  <c r="AK383" i="6"/>
  <c r="AJ383" i="6" s="1"/>
  <c r="AI383" i="6" s="1"/>
  <c r="G383" i="6" s="1"/>
  <c r="AH104" i="6"/>
  <c r="AK26" i="6"/>
  <c r="AJ26" i="6" s="1"/>
  <c r="AI26" i="6" s="1"/>
  <c r="G26" i="6" s="1"/>
  <c r="E26" i="6"/>
  <c r="AK406" i="6"/>
  <c r="AJ406" i="6" s="1"/>
  <c r="AI406" i="6" s="1"/>
  <c r="G406" i="6" s="1"/>
  <c r="E406" i="6"/>
  <c r="E128" i="6"/>
  <c r="AK128" i="6"/>
  <c r="AJ128" i="6" s="1"/>
  <c r="AI128" i="6" s="1"/>
  <c r="G128" i="6" s="1"/>
  <c r="AH402" i="6"/>
  <c r="AK232" i="6"/>
  <c r="AJ232" i="6" s="1"/>
  <c r="AI232" i="6" s="1"/>
  <c r="G232" i="6" s="1"/>
  <c r="E232" i="6"/>
  <c r="AH199" i="6"/>
  <c r="AH52" i="6"/>
  <c r="AZ469" i="6"/>
  <c r="AY469" i="6" s="1"/>
  <c r="AX469" i="6" s="1"/>
  <c r="AH424" i="6"/>
  <c r="AH373" i="6"/>
  <c r="AH239" i="6"/>
  <c r="AH113" i="6"/>
  <c r="AH102" i="6"/>
  <c r="AK181" i="6"/>
  <c r="AJ181" i="6" s="1"/>
  <c r="AI181" i="6" s="1"/>
  <c r="G181" i="6" s="1"/>
  <c r="E181" i="6"/>
  <c r="AK76" i="6"/>
  <c r="AJ76" i="6" s="1"/>
  <c r="AI76" i="6" s="1"/>
  <c r="G76" i="6" s="1"/>
  <c r="E76" i="6"/>
  <c r="AH35" i="6"/>
  <c r="AH283" i="6"/>
  <c r="AH393" i="6"/>
  <c r="AH343" i="6"/>
  <c r="AK333" i="6"/>
  <c r="AJ333" i="6" s="1"/>
  <c r="AI333" i="6" s="1"/>
  <c r="G333" i="6" s="1"/>
  <c r="E333" i="6"/>
  <c r="AH308" i="6"/>
  <c r="AH223" i="6"/>
  <c r="AH462" i="6"/>
  <c r="AK469" i="6"/>
  <c r="AJ469" i="6" s="1"/>
  <c r="AI469" i="6" s="1"/>
  <c r="AH386" i="6"/>
  <c r="AH291" i="6"/>
  <c r="AH203" i="6"/>
  <c r="AH31" i="6"/>
  <c r="AH155" i="6"/>
  <c r="E172" i="6"/>
  <c r="AK172" i="6"/>
  <c r="AJ172" i="6" s="1"/>
  <c r="AI172" i="6" s="1"/>
  <c r="G172" i="6" s="1"/>
  <c r="AK72" i="6"/>
  <c r="AJ72" i="6" s="1"/>
  <c r="AI72" i="6" s="1"/>
  <c r="G72" i="6" s="1"/>
  <c r="E72" i="6"/>
  <c r="AK34" i="6"/>
  <c r="AJ34" i="6" s="1"/>
  <c r="AI34" i="6" s="1"/>
  <c r="G34" i="6" s="1"/>
  <c r="E34" i="6"/>
  <c r="AK46" i="6"/>
  <c r="AJ46" i="6" s="1"/>
  <c r="AI46" i="6" s="1"/>
  <c r="G46" i="6" s="1"/>
  <c r="E46" i="6"/>
  <c r="AH467" i="6"/>
  <c r="E433" i="6"/>
  <c r="AK433" i="6"/>
  <c r="AJ433" i="6" s="1"/>
  <c r="AI433" i="6" s="1"/>
  <c r="G433" i="6" s="1"/>
  <c r="AK147" i="6"/>
  <c r="AJ147" i="6" s="1"/>
  <c r="AI147" i="6" s="1"/>
  <c r="G147" i="6" s="1"/>
  <c r="E147" i="6"/>
  <c r="AH430" i="6"/>
  <c r="AZ470" i="6"/>
  <c r="AY470" i="6" s="1"/>
  <c r="AX470" i="6" s="1"/>
  <c r="E324" i="6"/>
  <c r="AK324" i="6"/>
  <c r="AJ324" i="6" s="1"/>
  <c r="AI324" i="6" s="1"/>
  <c r="G324" i="6" s="1"/>
  <c r="AK25" i="6"/>
  <c r="AJ25" i="6" s="1"/>
  <c r="AI25" i="6" s="1"/>
  <c r="G25" i="6" s="1"/>
  <c r="E25" i="6"/>
  <c r="E16" i="6"/>
  <c r="AK16" i="6"/>
  <c r="AJ16" i="6" s="1"/>
  <c r="AI16" i="6" s="1"/>
  <c r="G16" i="6" s="1"/>
  <c r="AK252" i="6"/>
  <c r="AJ252" i="6" s="1"/>
  <c r="AI252" i="6" s="1"/>
  <c r="G252" i="6" s="1"/>
  <c r="E252" i="6"/>
  <c r="AH222" i="6"/>
  <c r="AK270" i="6"/>
  <c r="AJ270" i="6" s="1"/>
  <c r="AI270" i="6" s="1"/>
  <c r="G270" i="6" s="1"/>
  <c r="E270" i="6"/>
  <c r="AK263" i="6"/>
  <c r="AJ263" i="6" s="1"/>
  <c r="AI263" i="6" s="1"/>
  <c r="G263" i="6" s="1"/>
  <c r="E263" i="6"/>
  <c r="AH182" i="6"/>
  <c r="AH67" i="6"/>
  <c r="AK260" i="6"/>
  <c r="AJ260" i="6" s="1"/>
  <c r="AI260" i="6" s="1"/>
  <c r="G260" i="6" s="1"/>
  <c r="E260" i="6"/>
  <c r="AH71" i="6"/>
  <c r="AH385" i="6"/>
  <c r="AK233" i="6"/>
  <c r="AJ233" i="6" s="1"/>
  <c r="AI233" i="6" s="1"/>
  <c r="G233" i="6" s="1"/>
  <c r="E233" i="6"/>
  <c r="AK470" i="6"/>
  <c r="AJ470" i="6" s="1"/>
  <c r="AI470" i="6" s="1"/>
  <c r="AK245" i="6"/>
  <c r="AJ245" i="6" s="1"/>
  <c r="AI245" i="6" s="1"/>
  <c r="G245" i="6" s="1"/>
  <c r="E245" i="6"/>
  <c r="AK171" i="6"/>
  <c r="AJ171" i="6" s="1"/>
  <c r="AI171" i="6" s="1"/>
  <c r="G171" i="6" s="1"/>
  <c r="E171" i="6"/>
  <c r="AK169" i="6"/>
  <c r="AJ169" i="6" s="1"/>
  <c r="AI169" i="6" s="1"/>
  <c r="G169" i="6" s="1"/>
  <c r="E169" i="6"/>
  <c r="E345" i="6"/>
  <c r="AK345" i="6"/>
  <c r="AJ345" i="6" s="1"/>
  <c r="AI345" i="6" s="1"/>
  <c r="G345" i="6" s="1"/>
  <c r="E437" i="6"/>
  <c r="AK437" i="6"/>
  <c r="AJ437" i="6" s="1"/>
  <c r="AI437" i="6" s="1"/>
  <c r="G437" i="6" s="1"/>
  <c r="AH392" i="6"/>
  <c r="AH229" i="6"/>
  <c r="E39" i="6"/>
  <c r="AK39" i="6"/>
  <c r="AJ39" i="6" s="1"/>
  <c r="AI39" i="6" s="1"/>
  <c r="G39" i="6" s="1"/>
  <c r="AK451" i="6"/>
  <c r="AJ451" i="6" s="1"/>
  <c r="AI451" i="6" s="1"/>
  <c r="G451" i="6" s="1"/>
  <c r="E451" i="6"/>
  <c r="AH440" i="6"/>
  <c r="AH357" i="6"/>
  <c r="AH327" i="6"/>
  <c r="E241" i="6"/>
  <c r="AK241" i="6"/>
  <c r="AJ241" i="6" s="1"/>
  <c r="AI241" i="6" s="1"/>
  <c r="G241" i="6" s="1"/>
  <c r="AH221" i="6"/>
  <c r="AH194" i="6"/>
  <c r="AH98" i="6"/>
  <c r="AH69" i="6"/>
  <c r="AH425" i="6"/>
  <c r="AH123" i="6"/>
  <c r="AK79" i="6"/>
  <c r="AJ79" i="6" s="1"/>
  <c r="AI79" i="6" s="1"/>
  <c r="G79" i="6" s="1"/>
  <c r="E79" i="6"/>
  <c r="AH41" i="6"/>
  <c r="AH360" i="6"/>
  <c r="AK344" i="6"/>
  <c r="AJ344" i="6" s="1"/>
  <c r="AI344" i="6" s="1"/>
  <c r="G344" i="6" s="1"/>
  <c r="E344" i="6"/>
  <c r="E305" i="6"/>
  <c r="AK305" i="6"/>
  <c r="AJ305" i="6" s="1"/>
  <c r="AI305" i="6" s="1"/>
  <c r="G305" i="6" s="1"/>
  <c r="AK277" i="6"/>
  <c r="AJ277" i="6" s="1"/>
  <c r="AI277" i="6" s="1"/>
  <c r="G277" i="6" s="1"/>
  <c r="E277" i="6"/>
  <c r="AH134" i="6"/>
  <c r="AH422" i="6"/>
  <c r="E66" i="6"/>
  <c r="AK66" i="6"/>
  <c r="AJ66" i="6" s="1"/>
  <c r="AI66" i="6" s="1"/>
  <c r="G66" i="6" s="1"/>
  <c r="AK418" i="6"/>
  <c r="AJ418" i="6" s="1"/>
  <c r="AI418" i="6" s="1"/>
  <c r="G418" i="6" s="1"/>
  <c r="E418" i="6"/>
  <c r="AH384" i="6"/>
  <c r="AK255" i="6"/>
  <c r="AJ255" i="6" s="1"/>
  <c r="AI255" i="6" s="1"/>
  <c r="G255" i="6" s="1"/>
  <c r="E255" i="6"/>
  <c r="AH331" i="6"/>
  <c r="AH298" i="6"/>
  <c r="AH112" i="6"/>
  <c r="AK17" i="6"/>
  <c r="AJ17" i="6" s="1"/>
  <c r="AI17" i="6" s="1"/>
  <c r="G17" i="6" s="1"/>
  <c r="E17" i="6"/>
  <c r="AH398" i="6"/>
  <c r="AH130" i="6"/>
  <c r="AH236" i="6"/>
  <c r="AH185" i="6"/>
  <c r="AH143" i="6"/>
  <c r="AK18" i="6"/>
  <c r="AJ18" i="6" s="1"/>
  <c r="AI18" i="6" s="1"/>
  <c r="G18" i="6" s="1"/>
  <c r="E18" i="6"/>
  <c r="AH332" i="6"/>
  <c r="AH146" i="6"/>
  <c r="AK322" i="6"/>
  <c r="AJ322" i="6" s="1"/>
  <c r="AI322" i="6" s="1"/>
  <c r="G322" i="6" s="1"/>
  <c r="E322" i="6"/>
  <c r="AH238" i="6"/>
  <c r="AH99" i="6"/>
  <c r="AK179" i="6"/>
  <c r="AJ179" i="6" s="1"/>
  <c r="AI179" i="6" s="1"/>
  <c r="G179" i="6" s="1"/>
  <c r="E179" i="6"/>
  <c r="AK86" i="6"/>
  <c r="AJ86" i="6" s="1"/>
  <c r="AI86" i="6" s="1"/>
  <c r="G86" i="6" s="1"/>
  <c r="E86" i="6"/>
  <c r="AK29" i="6"/>
  <c r="AJ29" i="6" s="1"/>
  <c r="AI29" i="6" s="1"/>
  <c r="G29" i="6" s="1"/>
  <c r="E29" i="6"/>
  <c r="AH10" i="6"/>
  <c r="AH230" i="6"/>
  <c r="AH204" i="6"/>
  <c r="AH126" i="6"/>
  <c r="AK19" i="6"/>
  <c r="AJ19" i="6" s="1"/>
  <c r="AI19" i="6" s="1"/>
  <c r="G19" i="6" s="1"/>
  <c r="E19" i="6"/>
  <c r="E168" i="6"/>
  <c r="AK168" i="6"/>
  <c r="AJ168" i="6" s="1"/>
  <c r="AI168" i="6" s="1"/>
  <c r="G168" i="6" s="1"/>
  <c r="AK103" i="6"/>
  <c r="AJ103" i="6" s="1"/>
  <c r="AI103" i="6" s="1"/>
  <c r="G103" i="6" s="1"/>
  <c r="E103" i="6"/>
  <c r="BH364" i="6" l="1"/>
  <c r="BG364" i="6" s="1"/>
  <c r="BF364" i="6" s="1"/>
  <c r="P364" i="6" s="1"/>
  <c r="BH33" i="6"/>
  <c r="BG33" i="6" s="1"/>
  <c r="BF33" i="6" s="1"/>
  <c r="P33" i="6" s="1"/>
  <c r="E294" i="6"/>
  <c r="E131" i="6"/>
  <c r="E174" i="6"/>
  <c r="AK325" i="6"/>
  <c r="AJ325" i="6" s="1"/>
  <c r="AI325" i="6" s="1"/>
  <c r="G325" i="6" s="1"/>
  <c r="BH164" i="6"/>
  <c r="BG164" i="6" s="1"/>
  <c r="BF164" i="6" s="1"/>
  <c r="P164" i="6" s="1"/>
  <c r="E302" i="6"/>
  <c r="AZ83" i="6"/>
  <c r="AY83" i="6" s="1"/>
  <c r="AX83" i="6" s="1"/>
  <c r="M83" i="6" s="1"/>
  <c r="AR120" i="6"/>
  <c r="AQ120" i="6" s="1"/>
  <c r="AP120" i="6" s="1"/>
  <c r="J120" i="6" s="1"/>
  <c r="E363" i="6"/>
  <c r="AK396" i="6"/>
  <c r="AJ396" i="6" s="1"/>
  <c r="AI396" i="6" s="1"/>
  <c r="G396" i="6" s="1"/>
  <c r="E417" i="6"/>
  <c r="BH383" i="6"/>
  <c r="BG383" i="6" s="1"/>
  <c r="BF383" i="6" s="1"/>
  <c r="P383" i="6" s="1"/>
  <c r="AK468" i="6"/>
  <c r="AJ468" i="6" s="1"/>
  <c r="AI468" i="6" s="1"/>
  <c r="G468" i="6" s="1"/>
  <c r="AK293" i="6"/>
  <c r="AJ293" i="6" s="1"/>
  <c r="AI293" i="6" s="1"/>
  <c r="G293" i="6" s="1"/>
  <c r="BH37" i="6"/>
  <c r="BG37" i="6" s="1"/>
  <c r="BF37" i="6" s="1"/>
  <c r="P37" i="6" s="1"/>
  <c r="E455" i="6"/>
  <c r="E211" i="6"/>
  <c r="E15" i="6"/>
  <c r="E247" i="6"/>
  <c r="E94" i="6"/>
  <c r="BP234" i="6"/>
  <c r="BO234" i="6" s="1"/>
  <c r="BN234" i="6" s="1"/>
  <c r="S234" i="6" s="1"/>
  <c r="AK201" i="6"/>
  <c r="AJ201" i="6" s="1"/>
  <c r="AI201" i="6" s="1"/>
  <c r="G201" i="6" s="1"/>
  <c r="AZ57" i="6"/>
  <c r="AY57" i="6" s="1"/>
  <c r="AX57" i="6" s="1"/>
  <c r="M57" i="6" s="1"/>
  <c r="AR39" i="6"/>
  <c r="AQ39" i="6" s="1"/>
  <c r="AP39" i="6" s="1"/>
  <c r="J39" i="6" s="1"/>
  <c r="AK265" i="6"/>
  <c r="AJ265" i="6" s="1"/>
  <c r="AI265" i="6" s="1"/>
  <c r="G265" i="6" s="1"/>
  <c r="E281" i="6"/>
  <c r="E161" i="6"/>
  <c r="AK374" i="6"/>
  <c r="AJ374" i="6" s="1"/>
  <c r="AI374" i="6" s="1"/>
  <c r="G374" i="6" s="1"/>
  <c r="E246" i="6"/>
  <c r="E273" i="6"/>
  <c r="E21" i="6"/>
  <c r="AK421" i="6"/>
  <c r="AJ421" i="6" s="1"/>
  <c r="AI421" i="6" s="1"/>
  <c r="G421" i="6" s="1"/>
  <c r="AK258" i="6"/>
  <c r="AJ258" i="6" s="1"/>
  <c r="AI258" i="6" s="1"/>
  <c r="G258" i="6" s="1"/>
  <c r="AK271" i="6"/>
  <c r="AJ271" i="6" s="1"/>
  <c r="AI271" i="6" s="1"/>
  <c r="G271" i="6" s="1"/>
  <c r="BH303" i="6"/>
  <c r="BG303" i="6" s="1"/>
  <c r="BF303" i="6" s="1"/>
  <c r="P303" i="6" s="1"/>
  <c r="BH125" i="6"/>
  <c r="BG125" i="6" s="1"/>
  <c r="BF125" i="6" s="1"/>
  <c r="P125" i="6" s="1"/>
  <c r="AK57" i="6"/>
  <c r="AJ57" i="6" s="1"/>
  <c r="AI57" i="6" s="1"/>
  <c r="G57" i="6" s="1"/>
  <c r="AK242" i="6"/>
  <c r="AJ242" i="6" s="1"/>
  <c r="AI242" i="6" s="1"/>
  <c r="G242" i="6" s="1"/>
  <c r="E55" i="6"/>
  <c r="E342" i="6"/>
  <c r="AK151" i="6"/>
  <c r="AJ151" i="6" s="1"/>
  <c r="AI151" i="6" s="1"/>
  <c r="G151" i="6" s="1"/>
  <c r="BH227" i="6"/>
  <c r="BG227" i="6" s="1"/>
  <c r="BF227" i="6" s="1"/>
  <c r="P227" i="6" s="1"/>
  <c r="BP431" i="6"/>
  <c r="BO431" i="6" s="1"/>
  <c r="BN431" i="6" s="1"/>
  <c r="S431" i="6" s="1"/>
  <c r="N319" i="6"/>
  <c r="AZ76" i="6"/>
  <c r="AY76" i="6" s="1"/>
  <c r="AX76" i="6" s="1"/>
  <c r="M76" i="6" s="1"/>
  <c r="AK186" i="6"/>
  <c r="AJ186" i="6" s="1"/>
  <c r="AI186" i="6" s="1"/>
  <c r="G186" i="6" s="1"/>
  <c r="AR405" i="6"/>
  <c r="AQ405" i="6" s="1"/>
  <c r="AP405" i="6" s="1"/>
  <c r="J405" i="6" s="1"/>
  <c r="AR447" i="6"/>
  <c r="AQ447" i="6" s="1"/>
  <c r="AP447" i="6" s="1"/>
  <c r="J447" i="6" s="1"/>
  <c r="BH122" i="6"/>
  <c r="BG122" i="6" s="1"/>
  <c r="BF122" i="6" s="1"/>
  <c r="P122" i="6" s="1"/>
  <c r="H458" i="6"/>
  <c r="AK414" i="6"/>
  <c r="AJ414" i="6" s="1"/>
  <c r="AI414" i="6" s="1"/>
  <c r="G414" i="6" s="1"/>
  <c r="E23" i="6"/>
  <c r="K164" i="6"/>
  <c r="K325" i="6"/>
  <c r="BP32" i="6"/>
  <c r="BO32" i="6" s="1"/>
  <c r="BN32" i="6" s="1"/>
  <c r="S32" i="6" s="1"/>
  <c r="K418" i="6"/>
  <c r="AK262" i="6"/>
  <c r="AJ262" i="6" s="1"/>
  <c r="AI262" i="6" s="1"/>
  <c r="G262" i="6" s="1"/>
  <c r="AZ251" i="6"/>
  <c r="AY251" i="6" s="1"/>
  <c r="AX251" i="6" s="1"/>
  <c r="M251" i="6" s="1"/>
  <c r="AR26" i="6"/>
  <c r="AQ26" i="6" s="1"/>
  <c r="AP26" i="6" s="1"/>
  <c r="J26" i="6" s="1"/>
  <c r="AK338" i="6"/>
  <c r="AJ338" i="6" s="1"/>
  <c r="AI338" i="6" s="1"/>
  <c r="G338" i="6" s="1"/>
  <c r="AZ437" i="6"/>
  <c r="AY437" i="6" s="1"/>
  <c r="AX437" i="6" s="1"/>
  <c r="M437" i="6" s="1"/>
  <c r="E315" i="6"/>
  <c r="AZ304" i="6"/>
  <c r="AY304" i="6" s="1"/>
  <c r="AX304" i="6" s="1"/>
  <c r="M304" i="6" s="1"/>
  <c r="E142" i="6"/>
  <c r="E423" i="6"/>
  <c r="AZ286" i="6"/>
  <c r="AY286" i="6" s="1"/>
  <c r="AX286" i="6" s="1"/>
  <c r="M286" i="6" s="1"/>
  <c r="AK407" i="6"/>
  <c r="AJ407" i="6" s="1"/>
  <c r="AI407" i="6" s="1"/>
  <c r="G407" i="6" s="1"/>
  <c r="E346" i="6"/>
  <c r="BP437" i="6"/>
  <c r="BO437" i="6" s="1"/>
  <c r="BN437" i="6" s="1"/>
  <c r="S437" i="6" s="1"/>
  <c r="AK122" i="6"/>
  <c r="AJ122" i="6" s="1"/>
  <c r="AI122" i="6" s="1"/>
  <c r="G122" i="6" s="1"/>
  <c r="E387" i="6"/>
  <c r="E227" i="6"/>
  <c r="E390" i="6"/>
  <c r="E318" i="6"/>
  <c r="AK152" i="6"/>
  <c r="AJ152" i="6" s="1"/>
  <c r="AI152" i="6" s="1"/>
  <c r="G152" i="6" s="1"/>
  <c r="AK196" i="6"/>
  <c r="AJ196" i="6" s="1"/>
  <c r="AI196" i="6" s="1"/>
  <c r="G196" i="6" s="1"/>
  <c r="AK296" i="6"/>
  <c r="AJ296" i="6" s="1"/>
  <c r="AI296" i="6" s="1"/>
  <c r="G296" i="6" s="1"/>
  <c r="AK411" i="6"/>
  <c r="AJ411" i="6" s="1"/>
  <c r="AI411" i="6" s="1"/>
  <c r="G411" i="6" s="1"/>
  <c r="E210" i="6"/>
  <c r="E43" i="6"/>
  <c r="E115" i="6"/>
  <c r="E257" i="6"/>
  <c r="AK460" i="6"/>
  <c r="AJ460" i="6" s="1"/>
  <c r="AI460" i="6" s="1"/>
  <c r="G460" i="6" s="1"/>
  <c r="E453" i="6"/>
  <c r="AK73" i="6"/>
  <c r="AJ73" i="6" s="1"/>
  <c r="AI73" i="6" s="1"/>
  <c r="G73" i="6" s="1"/>
  <c r="E9" i="6"/>
  <c r="K144" i="6"/>
  <c r="AZ176" i="6"/>
  <c r="AY176" i="6" s="1"/>
  <c r="AX176" i="6" s="1"/>
  <c r="M176" i="6" s="1"/>
  <c r="AK173" i="6"/>
  <c r="AJ173" i="6" s="1"/>
  <c r="AI173" i="6" s="1"/>
  <c r="G173" i="6" s="1"/>
  <c r="AK37" i="6"/>
  <c r="AJ37" i="6" s="1"/>
  <c r="AI37" i="6" s="1"/>
  <c r="G37" i="6" s="1"/>
  <c r="E157" i="6"/>
  <c r="AZ179" i="6"/>
  <c r="AY179" i="6" s="1"/>
  <c r="AX179" i="6" s="1"/>
  <c r="M179" i="6" s="1"/>
  <c r="AK124" i="6"/>
  <c r="AJ124" i="6" s="1"/>
  <c r="AI124" i="6" s="1"/>
  <c r="G124" i="6" s="1"/>
  <c r="AK114" i="6"/>
  <c r="AJ114" i="6" s="1"/>
  <c r="AI114" i="6" s="1"/>
  <c r="G114" i="6" s="1"/>
  <c r="K207" i="6"/>
  <c r="AK109" i="6"/>
  <c r="AJ109" i="6" s="1"/>
  <c r="AI109" i="6" s="1"/>
  <c r="G109" i="6" s="1"/>
  <c r="AK436" i="6"/>
  <c r="AJ436" i="6" s="1"/>
  <c r="AI436" i="6" s="1"/>
  <c r="G436" i="6" s="1"/>
  <c r="BH437" i="6"/>
  <c r="BG437" i="6" s="1"/>
  <c r="BF437" i="6" s="1"/>
  <c r="P437" i="6" s="1"/>
  <c r="E82" i="6"/>
  <c r="AK231" i="6"/>
  <c r="AJ231" i="6" s="1"/>
  <c r="AI231" i="6" s="1"/>
  <c r="G231" i="6" s="1"/>
  <c r="K410" i="6"/>
  <c r="AZ272" i="6"/>
  <c r="AY272" i="6" s="1"/>
  <c r="AX272" i="6" s="1"/>
  <c r="M272" i="6" s="1"/>
  <c r="K125" i="6"/>
  <c r="AR311" i="6"/>
  <c r="AQ311" i="6" s="1"/>
  <c r="AP311" i="6" s="1"/>
  <c r="J311" i="6" s="1"/>
  <c r="AR345" i="6"/>
  <c r="AQ345" i="6" s="1"/>
  <c r="AP345" i="6" s="1"/>
  <c r="J345" i="6" s="1"/>
  <c r="E429" i="6"/>
  <c r="AK125" i="6"/>
  <c r="AJ125" i="6" s="1"/>
  <c r="AI125" i="6" s="1"/>
  <c r="G125" i="6" s="1"/>
  <c r="AR431" i="6"/>
  <c r="AQ431" i="6" s="1"/>
  <c r="AP431" i="6" s="1"/>
  <c r="J431" i="6" s="1"/>
  <c r="AZ396" i="6"/>
  <c r="AY396" i="6" s="1"/>
  <c r="AX396" i="6" s="1"/>
  <c r="M396" i="6" s="1"/>
  <c r="AK139" i="6"/>
  <c r="AJ139" i="6" s="1"/>
  <c r="AI139" i="6" s="1"/>
  <c r="G139" i="6" s="1"/>
  <c r="K127" i="6"/>
  <c r="E326" i="6"/>
  <c r="AK188" i="6"/>
  <c r="AJ188" i="6" s="1"/>
  <c r="AI188" i="6" s="1"/>
  <c r="G188" i="6" s="1"/>
  <c r="AK175" i="6"/>
  <c r="AJ175" i="6" s="1"/>
  <c r="AI175" i="6" s="1"/>
  <c r="G175" i="6" s="1"/>
  <c r="BP241" i="6"/>
  <c r="BO241" i="6" s="1"/>
  <c r="BN241" i="6" s="1"/>
  <c r="S241" i="6" s="1"/>
  <c r="E444" i="6"/>
  <c r="AK207" i="6"/>
  <c r="AJ207" i="6" s="1"/>
  <c r="AI207" i="6" s="1"/>
  <c r="G207" i="6" s="1"/>
  <c r="K33" i="6"/>
  <c r="AK459" i="6"/>
  <c r="AJ459" i="6" s="1"/>
  <c r="AI459" i="6" s="1"/>
  <c r="G459" i="6" s="1"/>
  <c r="E356" i="6"/>
  <c r="K262" i="6"/>
  <c r="E202" i="6"/>
  <c r="E195" i="6"/>
  <c r="BH344" i="6"/>
  <c r="BG344" i="6" s="1"/>
  <c r="BF344" i="6" s="1"/>
  <c r="P344" i="6" s="1"/>
  <c r="BH197" i="6"/>
  <c r="BG197" i="6" s="1"/>
  <c r="BF197" i="6" s="1"/>
  <c r="P197" i="6" s="1"/>
  <c r="H322" i="6"/>
  <c r="AK354" i="6"/>
  <c r="AJ354" i="6" s="1"/>
  <c r="AI354" i="6" s="1"/>
  <c r="G354" i="6" s="1"/>
  <c r="K119" i="6"/>
  <c r="K147" i="6"/>
  <c r="E107" i="6"/>
  <c r="AK288" i="6"/>
  <c r="AJ288" i="6" s="1"/>
  <c r="AI288" i="6" s="1"/>
  <c r="G288" i="6" s="1"/>
  <c r="K79" i="6"/>
  <c r="K141" i="6"/>
  <c r="AR215" i="6"/>
  <c r="AQ215" i="6" s="1"/>
  <c r="AP215" i="6" s="1"/>
  <c r="J215" i="6" s="1"/>
  <c r="BP256" i="6"/>
  <c r="BO256" i="6" s="1"/>
  <c r="BN256" i="6" s="1"/>
  <c r="S256" i="6" s="1"/>
  <c r="AR256" i="6"/>
  <c r="AQ256" i="6" s="1"/>
  <c r="AP256" i="6" s="1"/>
  <c r="J256" i="6" s="1"/>
  <c r="AK366" i="6"/>
  <c r="AJ366" i="6" s="1"/>
  <c r="AI366" i="6" s="1"/>
  <c r="G366" i="6" s="1"/>
  <c r="AK209" i="6"/>
  <c r="AJ209" i="6" s="1"/>
  <c r="AI209" i="6" s="1"/>
  <c r="G209" i="6" s="1"/>
  <c r="AZ345" i="6"/>
  <c r="AY345" i="6" s="1"/>
  <c r="AX345" i="6" s="1"/>
  <c r="M345" i="6" s="1"/>
  <c r="E287" i="6"/>
  <c r="AK268" i="6"/>
  <c r="AJ268" i="6" s="1"/>
  <c r="AI268" i="6" s="1"/>
  <c r="G268" i="6" s="1"/>
  <c r="BP451" i="6"/>
  <c r="BO451" i="6" s="1"/>
  <c r="BN451" i="6" s="1"/>
  <c r="S451" i="6" s="1"/>
  <c r="AR383" i="6"/>
  <c r="AQ383" i="6" s="1"/>
  <c r="AP383" i="6" s="1"/>
  <c r="J383" i="6" s="1"/>
  <c r="AR135" i="6"/>
  <c r="AQ135" i="6" s="1"/>
  <c r="AP135" i="6" s="1"/>
  <c r="J135" i="6" s="1"/>
  <c r="BH179" i="6"/>
  <c r="BG179" i="6" s="1"/>
  <c r="BF179" i="6" s="1"/>
  <c r="P179" i="6" s="1"/>
  <c r="AZ405" i="6"/>
  <c r="AY405" i="6" s="1"/>
  <c r="AX405" i="6" s="1"/>
  <c r="M405" i="6" s="1"/>
  <c r="E234" i="6"/>
  <c r="K26" i="6"/>
  <c r="AK156" i="6"/>
  <c r="AJ156" i="6" s="1"/>
  <c r="AI156" i="6" s="1"/>
  <c r="G156" i="6" s="1"/>
  <c r="AR336" i="6"/>
  <c r="AQ336" i="6" s="1"/>
  <c r="AP336" i="6" s="1"/>
  <c r="J336" i="6" s="1"/>
  <c r="BH124" i="6"/>
  <c r="BG124" i="6" s="1"/>
  <c r="BF124" i="6" s="1"/>
  <c r="P124" i="6" s="1"/>
  <c r="K322" i="6"/>
  <c r="AK372" i="6"/>
  <c r="AJ372" i="6" s="1"/>
  <c r="AI372" i="6" s="1"/>
  <c r="G372" i="6" s="1"/>
  <c r="K447" i="6"/>
  <c r="AK416" i="6"/>
  <c r="AJ416" i="6" s="1"/>
  <c r="AI416" i="6" s="1"/>
  <c r="G416" i="6" s="1"/>
  <c r="E176" i="6"/>
  <c r="E381" i="6"/>
  <c r="AZ279" i="6"/>
  <c r="AY279" i="6" s="1"/>
  <c r="AX279" i="6" s="1"/>
  <c r="M279" i="6" s="1"/>
  <c r="E361" i="6"/>
  <c r="E464" i="6"/>
  <c r="AR344" i="6"/>
  <c r="AQ344" i="6" s="1"/>
  <c r="AP344" i="6" s="1"/>
  <c r="J344" i="6" s="1"/>
  <c r="AR413" i="6"/>
  <c r="AQ413" i="6" s="1"/>
  <c r="AP413" i="6" s="1"/>
  <c r="J413" i="6" s="1"/>
  <c r="E445" i="6"/>
  <c r="K197" i="6"/>
  <c r="E371" i="6"/>
  <c r="AZ39" i="6"/>
  <c r="AY39" i="6" s="1"/>
  <c r="AX39" i="6" s="1"/>
  <c r="M39" i="6" s="1"/>
  <c r="E442" i="6"/>
  <c r="AK389" i="6"/>
  <c r="AJ389" i="6" s="1"/>
  <c r="AI389" i="6" s="1"/>
  <c r="G389" i="6" s="1"/>
  <c r="AK415" i="6"/>
  <c r="AJ415" i="6" s="1"/>
  <c r="AI415" i="6" s="1"/>
  <c r="G415" i="6" s="1"/>
  <c r="AK379" i="6"/>
  <c r="AJ379" i="6" s="1"/>
  <c r="AI379" i="6" s="1"/>
  <c r="G379" i="6" s="1"/>
  <c r="E441" i="6"/>
  <c r="E180" i="6"/>
  <c r="BH128" i="6"/>
  <c r="BG128" i="6" s="1"/>
  <c r="BF128" i="6" s="1"/>
  <c r="P128" i="6" s="1"/>
  <c r="BH141" i="6"/>
  <c r="BG141" i="6" s="1"/>
  <c r="BF141" i="6" s="1"/>
  <c r="P141" i="6" s="1"/>
  <c r="BP37" i="6"/>
  <c r="BO37" i="6" s="1"/>
  <c r="BN37" i="6" s="1"/>
  <c r="S37" i="6" s="1"/>
  <c r="BP311" i="6"/>
  <c r="BO311" i="6" s="1"/>
  <c r="BN311" i="6" s="1"/>
  <c r="S311" i="6" s="1"/>
  <c r="Q278" i="6"/>
  <c r="E251" i="6"/>
  <c r="E280" i="6"/>
  <c r="K135" i="6"/>
  <c r="K165" i="6"/>
  <c r="E368" i="6"/>
  <c r="E376" i="6"/>
  <c r="E208" i="6"/>
  <c r="AZ413" i="6"/>
  <c r="AY413" i="6" s="1"/>
  <c r="AX413" i="6" s="1"/>
  <c r="M413" i="6" s="1"/>
  <c r="AZ120" i="6"/>
  <c r="AY120" i="6" s="1"/>
  <c r="AX120" i="6" s="1"/>
  <c r="M120" i="6" s="1"/>
  <c r="E154" i="6"/>
  <c r="E68" i="6"/>
  <c r="AK427" i="6"/>
  <c r="AJ427" i="6" s="1"/>
  <c r="AI427" i="6" s="1"/>
  <c r="G427" i="6" s="1"/>
  <c r="BH86" i="6"/>
  <c r="BG86" i="6" s="1"/>
  <c r="BF86" i="6" s="1"/>
  <c r="P86" i="6" s="1"/>
  <c r="K305" i="6"/>
  <c r="E340" i="6"/>
  <c r="E359" i="6"/>
  <c r="K433" i="6"/>
  <c r="K233" i="6"/>
  <c r="AZ190" i="6"/>
  <c r="AY190" i="6" s="1"/>
  <c r="AX190" i="6" s="1"/>
  <c r="M190" i="6" s="1"/>
  <c r="AK127" i="6"/>
  <c r="AJ127" i="6" s="1"/>
  <c r="AI127" i="6" s="1"/>
  <c r="G127" i="6" s="1"/>
  <c r="K162" i="6"/>
  <c r="E150" i="6"/>
  <c r="AK237" i="6"/>
  <c r="AJ237" i="6" s="1"/>
  <c r="AI237" i="6" s="1"/>
  <c r="G237" i="6" s="1"/>
  <c r="E217" i="6"/>
  <c r="AR295" i="6"/>
  <c r="AQ295" i="6" s="1"/>
  <c r="AP295" i="6" s="1"/>
  <c r="J295" i="6" s="1"/>
  <c r="AR29" i="6"/>
  <c r="AQ29" i="6" s="1"/>
  <c r="AP29" i="6" s="1"/>
  <c r="J29" i="6" s="1"/>
  <c r="BH345" i="6"/>
  <c r="BG345" i="6" s="1"/>
  <c r="BF345" i="6" s="1"/>
  <c r="P345" i="6" s="1"/>
  <c r="E117" i="6"/>
  <c r="E454" i="6"/>
  <c r="AK447" i="6"/>
  <c r="AJ447" i="6" s="1"/>
  <c r="AI447" i="6" s="1"/>
  <c r="G447" i="6" s="1"/>
  <c r="AZ82" i="6"/>
  <c r="AY82" i="6" s="1"/>
  <c r="AX82" i="6" s="1"/>
  <c r="M82" i="6" s="1"/>
  <c r="E317" i="6"/>
  <c r="AK205" i="6"/>
  <c r="AJ205" i="6" s="1"/>
  <c r="AI205" i="6" s="1"/>
  <c r="G205" i="6" s="1"/>
  <c r="E248" i="6"/>
  <c r="AK426" i="6"/>
  <c r="AJ426" i="6" s="1"/>
  <c r="AI426" i="6" s="1"/>
  <c r="G426" i="6" s="1"/>
  <c r="E47" i="6"/>
  <c r="E336" i="6"/>
  <c r="BP279" i="6"/>
  <c r="BO279" i="6" s="1"/>
  <c r="BN279" i="6" s="1"/>
  <c r="S279" i="6" s="1"/>
  <c r="BP33" i="6"/>
  <c r="BO33" i="6" s="1"/>
  <c r="BN33" i="6" s="1"/>
  <c r="S33" i="6" s="1"/>
  <c r="BP128" i="6"/>
  <c r="BO128" i="6" s="1"/>
  <c r="BN128" i="6" s="1"/>
  <c r="S128" i="6" s="1"/>
  <c r="BP136" i="6"/>
  <c r="BO136" i="6" s="1"/>
  <c r="BN136" i="6" s="1"/>
  <c r="S136" i="6" s="1"/>
  <c r="E100" i="6"/>
  <c r="AK100" i="6"/>
  <c r="AJ100" i="6" s="1"/>
  <c r="AI100" i="6" s="1"/>
  <c r="G100" i="6" s="1"/>
  <c r="Q262" i="6"/>
  <c r="BP262" i="6"/>
  <c r="BO262" i="6" s="1"/>
  <c r="BN262" i="6" s="1"/>
  <c r="S262" i="6" s="1"/>
  <c r="E282" i="6"/>
  <c r="AK282" i="6"/>
  <c r="AJ282" i="6" s="1"/>
  <c r="AI282" i="6" s="1"/>
  <c r="G282" i="6" s="1"/>
  <c r="N39" i="6"/>
  <c r="BH39" i="6"/>
  <c r="BG39" i="6" s="1"/>
  <c r="BF39" i="6" s="1"/>
  <c r="P39" i="6" s="1"/>
  <c r="N120" i="6"/>
  <c r="BH120" i="6"/>
  <c r="BG120" i="6" s="1"/>
  <c r="BF120" i="6" s="1"/>
  <c r="P120" i="6" s="1"/>
  <c r="AZ278" i="6"/>
  <c r="AY278" i="6" s="1"/>
  <c r="AX278" i="6" s="1"/>
  <c r="M278" i="6" s="1"/>
  <c r="AK38" i="6"/>
  <c r="AJ38" i="6" s="1"/>
  <c r="AI38" i="6" s="1"/>
  <c r="G38" i="6" s="1"/>
  <c r="E38" i="6"/>
  <c r="E59" i="6"/>
  <c r="AK59" i="6"/>
  <c r="AJ59" i="6" s="1"/>
  <c r="AI59" i="6" s="1"/>
  <c r="G59" i="6" s="1"/>
  <c r="AZ336" i="6"/>
  <c r="AY336" i="6" s="1"/>
  <c r="AX336" i="6" s="1"/>
  <c r="M336" i="6" s="1"/>
  <c r="K336" i="6"/>
  <c r="N447" i="6"/>
  <c r="BH447" i="6"/>
  <c r="BG447" i="6" s="1"/>
  <c r="BF447" i="6" s="1"/>
  <c r="P447" i="6" s="1"/>
  <c r="E264" i="6"/>
  <c r="AK27" i="6"/>
  <c r="AJ27" i="6" s="1"/>
  <c r="AI27" i="6" s="1"/>
  <c r="G27" i="6" s="1"/>
  <c r="AK160" i="6"/>
  <c r="AJ160" i="6" s="1"/>
  <c r="AI160" i="6" s="1"/>
  <c r="G160" i="6" s="1"/>
  <c r="AK450" i="6"/>
  <c r="AJ450" i="6" s="1"/>
  <c r="AI450" i="6" s="1"/>
  <c r="G450" i="6" s="1"/>
  <c r="E450" i="6"/>
  <c r="N135" i="6"/>
  <c r="BH135" i="6"/>
  <c r="BG135" i="6" s="1"/>
  <c r="BF135" i="6" s="1"/>
  <c r="P135" i="6" s="1"/>
  <c r="AZ333" i="6"/>
  <c r="AY333" i="6" s="1"/>
  <c r="AX333" i="6" s="1"/>
  <c r="M333" i="6" s="1"/>
  <c r="K333" i="6"/>
  <c r="AK50" i="6"/>
  <c r="AJ50" i="6" s="1"/>
  <c r="AI50" i="6" s="1"/>
  <c r="G50" i="6" s="1"/>
  <c r="E50" i="6"/>
  <c r="AK178" i="6"/>
  <c r="AJ178" i="6" s="1"/>
  <c r="AI178" i="6" s="1"/>
  <c r="G178" i="6" s="1"/>
  <c r="E178" i="6"/>
  <c r="AK206" i="6"/>
  <c r="AJ206" i="6" s="1"/>
  <c r="AI206" i="6" s="1"/>
  <c r="G206" i="6" s="1"/>
  <c r="E206" i="6"/>
  <c r="N305" i="6"/>
  <c r="BH305" i="6"/>
  <c r="BG305" i="6" s="1"/>
  <c r="BF305" i="6" s="1"/>
  <c r="P305" i="6" s="1"/>
  <c r="AK11" i="6"/>
  <c r="AJ11" i="6" s="1"/>
  <c r="AI11" i="6" s="1"/>
  <c r="G11" i="6" s="1"/>
  <c r="E11" i="6"/>
  <c r="AK434" i="6"/>
  <c r="AJ434" i="6" s="1"/>
  <c r="AI434" i="6" s="1"/>
  <c r="G434" i="6" s="1"/>
  <c r="E434" i="6"/>
  <c r="E216" i="6"/>
  <c r="AK158" i="6"/>
  <c r="AJ158" i="6" s="1"/>
  <c r="AI158" i="6" s="1"/>
  <c r="G158" i="6" s="1"/>
  <c r="AK290" i="6"/>
  <c r="AJ290" i="6" s="1"/>
  <c r="AI290" i="6" s="1"/>
  <c r="G290" i="6" s="1"/>
  <c r="K381" i="6"/>
  <c r="AK132" i="6"/>
  <c r="AJ132" i="6" s="1"/>
  <c r="AI132" i="6" s="1"/>
  <c r="G132" i="6" s="1"/>
  <c r="E132" i="6"/>
  <c r="K150" i="6"/>
  <c r="AZ150" i="6"/>
  <c r="AY150" i="6" s="1"/>
  <c r="AX150" i="6" s="1"/>
  <c r="M150" i="6" s="1"/>
  <c r="N322" i="6"/>
  <c r="BH322" i="6"/>
  <c r="BG322" i="6" s="1"/>
  <c r="BF322" i="6" s="1"/>
  <c r="P322" i="6" s="1"/>
  <c r="AK438" i="6"/>
  <c r="AJ438" i="6" s="1"/>
  <c r="AI438" i="6" s="1"/>
  <c r="G438" i="6" s="1"/>
  <c r="E438" i="6"/>
  <c r="AZ19" i="6"/>
  <c r="AY19" i="6" s="1"/>
  <c r="AX19" i="6" s="1"/>
  <c r="M19" i="6" s="1"/>
  <c r="K19" i="6"/>
  <c r="N405" i="6"/>
  <c r="BH405" i="6"/>
  <c r="BG405" i="6" s="1"/>
  <c r="BF405" i="6" s="1"/>
  <c r="P405" i="6" s="1"/>
  <c r="E408" i="6"/>
  <c r="E225" i="6"/>
  <c r="AK323" i="6"/>
  <c r="AJ323" i="6" s="1"/>
  <c r="AI323" i="6" s="1"/>
  <c r="G323" i="6" s="1"/>
  <c r="E111" i="6"/>
  <c r="E80" i="6"/>
  <c r="AK412" i="6"/>
  <c r="AJ412" i="6" s="1"/>
  <c r="AI412" i="6" s="1"/>
  <c r="G412" i="6" s="1"/>
  <c r="E105" i="6"/>
  <c r="E456" i="6"/>
  <c r="N431" i="6"/>
  <c r="Q165" i="6"/>
  <c r="AK461" i="6"/>
  <c r="AJ461" i="6" s="1"/>
  <c r="AI461" i="6" s="1"/>
  <c r="G461" i="6" s="1"/>
  <c r="E353" i="6"/>
  <c r="E110" i="6"/>
  <c r="E348" i="6"/>
  <c r="AK148" i="6"/>
  <c r="AJ148" i="6" s="1"/>
  <c r="AI148" i="6" s="1"/>
  <c r="G148" i="6" s="1"/>
  <c r="AK167" i="6"/>
  <c r="AJ167" i="6" s="1"/>
  <c r="AI167" i="6" s="1"/>
  <c r="G167" i="6" s="1"/>
  <c r="E419" i="6"/>
  <c r="AK159" i="6"/>
  <c r="AJ159" i="6" s="1"/>
  <c r="AI159" i="6" s="1"/>
  <c r="G159" i="6" s="1"/>
  <c r="BP295" i="6"/>
  <c r="BO295" i="6" s="1"/>
  <c r="BN295" i="6" s="1"/>
  <c r="S295" i="6" s="1"/>
  <c r="AR410" i="6"/>
  <c r="AQ410" i="6" s="1"/>
  <c r="AP410" i="6" s="1"/>
  <c r="J410" i="6" s="1"/>
  <c r="BH255" i="6"/>
  <c r="BG255" i="6" s="1"/>
  <c r="BF255" i="6" s="1"/>
  <c r="P255" i="6" s="1"/>
  <c r="K403" i="6"/>
  <c r="AK337" i="6"/>
  <c r="AJ337" i="6" s="1"/>
  <c r="AI337" i="6" s="1"/>
  <c r="G337" i="6" s="1"/>
  <c r="BH65" i="6"/>
  <c r="BG65" i="6" s="1"/>
  <c r="BF65" i="6" s="1"/>
  <c r="P65" i="6" s="1"/>
  <c r="K451" i="6"/>
  <c r="K215" i="6"/>
  <c r="E53" i="6"/>
  <c r="E95" i="6"/>
  <c r="E375" i="6"/>
  <c r="K37" i="6"/>
  <c r="E198" i="6"/>
  <c r="E118" i="6"/>
  <c r="E320" i="6"/>
  <c r="AZ263" i="6"/>
  <c r="AY263" i="6" s="1"/>
  <c r="AX263" i="6" s="1"/>
  <c r="M263" i="6" s="1"/>
  <c r="AZ75" i="6"/>
  <c r="AY75" i="6" s="1"/>
  <c r="AX75" i="6" s="1"/>
  <c r="M75" i="6" s="1"/>
  <c r="E91" i="6"/>
  <c r="E60" i="6"/>
  <c r="E272" i="6"/>
  <c r="E192" i="6"/>
  <c r="E140" i="6"/>
  <c r="E452" i="6"/>
  <c r="BP336" i="6"/>
  <c r="BO336" i="6" s="1"/>
  <c r="BN336" i="6" s="1"/>
  <c r="S336" i="6" s="1"/>
  <c r="AR32" i="6"/>
  <c r="AQ32" i="6" s="1"/>
  <c r="AP32" i="6" s="1"/>
  <c r="J32" i="6" s="1"/>
  <c r="BH277" i="6"/>
  <c r="BG277" i="6" s="1"/>
  <c r="BF277" i="6" s="1"/>
  <c r="P277" i="6" s="1"/>
  <c r="AR180" i="6"/>
  <c r="AQ180" i="6" s="1"/>
  <c r="AP180" i="6" s="1"/>
  <c r="J180" i="6" s="1"/>
  <c r="BH433" i="6"/>
  <c r="BG433" i="6" s="1"/>
  <c r="BF433" i="6" s="1"/>
  <c r="P433" i="6" s="1"/>
  <c r="BH136" i="6"/>
  <c r="BG136" i="6" s="1"/>
  <c r="BF136" i="6" s="1"/>
  <c r="P136" i="6" s="1"/>
  <c r="AR125" i="6"/>
  <c r="AQ125" i="6" s="1"/>
  <c r="AP125" i="6" s="1"/>
  <c r="J125" i="6" s="1"/>
  <c r="BP197" i="6"/>
  <c r="BO197" i="6" s="1"/>
  <c r="BN197" i="6" s="1"/>
  <c r="S197" i="6" s="1"/>
  <c r="BP233" i="6"/>
  <c r="BO233" i="6" s="1"/>
  <c r="BN233" i="6" s="1"/>
  <c r="S233" i="6" s="1"/>
  <c r="AK250" i="6"/>
  <c r="AJ250" i="6" s="1"/>
  <c r="AI250" i="6" s="1"/>
  <c r="G250" i="6" s="1"/>
  <c r="E189" i="6"/>
  <c r="E13" i="6"/>
  <c r="E61" i="6"/>
  <c r="AK83" i="6"/>
  <c r="AJ83" i="6" s="1"/>
  <c r="AI83" i="6" s="1"/>
  <c r="G83" i="6" s="1"/>
  <c r="AK253" i="6"/>
  <c r="AJ253" i="6" s="1"/>
  <c r="AI253" i="6" s="1"/>
  <c r="G253" i="6" s="1"/>
  <c r="AK97" i="6"/>
  <c r="AJ97" i="6" s="1"/>
  <c r="AI97" i="6" s="1"/>
  <c r="G97" i="6" s="1"/>
  <c r="AK420" i="6"/>
  <c r="AJ420" i="6" s="1"/>
  <c r="AI420" i="6" s="1"/>
  <c r="G420" i="6" s="1"/>
  <c r="K364" i="6"/>
  <c r="BH333" i="6"/>
  <c r="BG333" i="6" s="1"/>
  <c r="BF333" i="6" s="1"/>
  <c r="P333" i="6" s="1"/>
  <c r="BP413" i="6"/>
  <c r="BO413" i="6" s="1"/>
  <c r="BN413" i="6" s="1"/>
  <c r="S413" i="6" s="1"/>
  <c r="H364" i="6"/>
  <c r="AR364" i="6"/>
  <c r="AQ364" i="6" s="1"/>
  <c r="AP364" i="6" s="1"/>
  <c r="J364" i="6" s="1"/>
  <c r="E144" i="6"/>
  <c r="AK144" i="6"/>
  <c r="AJ144" i="6" s="1"/>
  <c r="AI144" i="6" s="1"/>
  <c r="G144" i="6" s="1"/>
  <c r="BP120" i="6"/>
  <c r="BO120" i="6" s="1"/>
  <c r="BN120" i="6" s="1"/>
  <c r="S120" i="6" s="1"/>
  <c r="Q120" i="6"/>
  <c r="AK224" i="6"/>
  <c r="AJ224" i="6" s="1"/>
  <c r="AI224" i="6" s="1"/>
  <c r="G224" i="6" s="1"/>
  <c r="E224" i="6"/>
  <c r="E279" i="6"/>
  <c r="E274" i="6"/>
  <c r="K431" i="6"/>
  <c r="AZ431" i="6"/>
  <c r="AY431" i="6" s="1"/>
  <c r="AX431" i="6" s="1"/>
  <c r="M431" i="6" s="1"/>
  <c r="AK243" i="6"/>
  <c r="AJ243" i="6" s="1"/>
  <c r="AI243" i="6" s="1"/>
  <c r="G243" i="6" s="1"/>
  <c r="E243" i="6"/>
  <c r="E145" i="6"/>
  <c r="AK145" i="6"/>
  <c r="AJ145" i="6" s="1"/>
  <c r="AI145" i="6" s="1"/>
  <c r="G145" i="6" s="1"/>
  <c r="E399" i="6"/>
  <c r="AK399" i="6"/>
  <c r="AJ399" i="6" s="1"/>
  <c r="AI399" i="6" s="1"/>
  <c r="G399" i="6" s="1"/>
  <c r="AK285" i="6"/>
  <c r="AJ285" i="6" s="1"/>
  <c r="AI285" i="6" s="1"/>
  <c r="G285" i="6" s="1"/>
  <c r="E285" i="6"/>
  <c r="N304" i="6"/>
  <c r="BH304" i="6"/>
  <c r="BG304" i="6" s="1"/>
  <c r="BF304" i="6" s="1"/>
  <c r="P304" i="6" s="1"/>
  <c r="Q75" i="6"/>
  <c r="BP75" i="6"/>
  <c r="BO75" i="6" s="1"/>
  <c r="BN75" i="6" s="1"/>
  <c r="S75" i="6" s="1"/>
  <c r="AZ311" i="6"/>
  <c r="AY311" i="6" s="1"/>
  <c r="AX311" i="6" s="1"/>
  <c r="M311" i="6" s="1"/>
  <c r="K311" i="6"/>
  <c r="AZ89" i="6"/>
  <c r="AY89" i="6" s="1"/>
  <c r="AX89" i="6" s="1"/>
  <c r="M89" i="6" s="1"/>
  <c r="K89" i="6"/>
  <c r="K248" i="6"/>
  <c r="AZ248" i="6"/>
  <c r="AY248" i="6" s="1"/>
  <c r="AX248" i="6" s="1"/>
  <c r="M248" i="6" s="1"/>
  <c r="E321" i="6"/>
  <c r="AK321" i="6"/>
  <c r="AJ321" i="6" s="1"/>
  <c r="AI321" i="6" s="1"/>
  <c r="G321" i="6" s="1"/>
  <c r="E439" i="6"/>
  <c r="AK439" i="6"/>
  <c r="AJ439" i="6" s="1"/>
  <c r="AI439" i="6" s="1"/>
  <c r="G439" i="6" s="1"/>
  <c r="Q39" i="6"/>
  <c r="BP39" i="6"/>
  <c r="BO39" i="6" s="1"/>
  <c r="BN39" i="6" s="1"/>
  <c r="S39" i="6" s="1"/>
  <c r="Q447" i="6"/>
  <c r="BP447" i="6"/>
  <c r="BO447" i="6" s="1"/>
  <c r="BN447" i="6" s="1"/>
  <c r="S447" i="6" s="1"/>
  <c r="E448" i="6"/>
  <c r="AK448" i="6"/>
  <c r="AJ448" i="6" s="1"/>
  <c r="AI448" i="6" s="1"/>
  <c r="G448" i="6" s="1"/>
  <c r="E404" i="6"/>
  <c r="AK226" i="6"/>
  <c r="AJ226" i="6" s="1"/>
  <c r="AI226" i="6" s="1"/>
  <c r="G226" i="6" s="1"/>
  <c r="E108" i="6"/>
  <c r="E266" i="6"/>
  <c r="E457" i="6"/>
  <c r="AZ255" i="6"/>
  <c r="AY255" i="6" s="1"/>
  <c r="AX255" i="6" s="1"/>
  <c r="M255" i="6" s="1"/>
  <c r="K255" i="6"/>
  <c r="N76" i="6"/>
  <c r="BH76" i="6"/>
  <c r="BG76" i="6" s="1"/>
  <c r="BF76" i="6" s="1"/>
  <c r="P76" i="6" s="1"/>
  <c r="AK74" i="6"/>
  <c r="AJ74" i="6" s="1"/>
  <c r="AI74" i="6" s="1"/>
  <c r="G74" i="6" s="1"/>
  <c r="E74" i="6"/>
  <c r="E200" i="6"/>
  <c r="AK200" i="6"/>
  <c r="AJ200" i="6" s="1"/>
  <c r="AI200" i="6" s="1"/>
  <c r="G200" i="6" s="1"/>
  <c r="AK388" i="6"/>
  <c r="AJ388" i="6" s="1"/>
  <c r="AI388" i="6" s="1"/>
  <c r="G388" i="6" s="1"/>
  <c r="E388" i="6"/>
  <c r="Q304" i="6"/>
  <c r="BP304" i="6"/>
  <c r="BO304" i="6" s="1"/>
  <c r="BN304" i="6" s="1"/>
  <c r="S304" i="6" s="1"/>
  <c r="BH311" i="6"/>
  <c r="BG311" i="6" s="1"/>
  <c r="BF311" i="6" s="1"/>
  <c r="P311" i="6" s="1"/>
  <c r="N311" i="6"/>
  <c r="AR57" i="6"/>
  <c r="AQ57" i="6" s="1"/>
  <c r="AP57" i="6" s="1"/>
  <c r="J57" i="6" s="1"/>
  <c r="H57" i="6"/>
  <c r="H86" i="6"/>
  <c r="AR86" i="6"/>
  <c r="AQ86" i="6" s="1"/>
  <c r="AP86" i="6" s="1"/>
  <c r="J86" i="6" s="1"/>
  <c r="AZ406" i="6"/>
  <c r="AY406" i="6" s="1"/>
  <c r="AX406" i="6" s="1"/>
  <c r="M406" i="6" s="1"/>
  <c r="K406" i="6"/>
  <c r="AK88" i="6"/>
  <c r="AJ88" i="6" s="1"/>
  <c r="AI88" i="6" s="1"/>
  <c r="G88" i="6" s="1"/>
  <c r="E88" i="6"/>
  <c r="E428" i="6"/>
  <c r="AK428" i="6"/>
  <c r="AJ428" i="6" s="1"/>
  <c r="AI428" i="6" s="1"/>
  <c r="G428" i="6" s="1"/>
  <c r="Q316" i="6"/>
  <c r="BP316" i="6"/>
  <c r="BO316" i="6" s="1"/>
  <c r="BN316" i="6" s="1"/>
  <c r="S316" i="6" s="1"/>
  <c r="E355" i="6"/>
  <c r="E446" i="6"/>
  <c r="AK446" i="6"/>
  <c r="AJ446" i="6" s="1"/>
  <c r="AI446" i="6" s="1"/>
  <c r="G446" i="6" s="1"/>
  <c r="E400" i="6"/>
  <c r="AK400" i="6"/>
  <c r="AJ400" i="6" s="1"/>
  <c r="AI400" i="6" s="1"/>
  <c r="G400" i="6" s="1"/>
  <c r="H233" i="6"/>
  <c r="AR233" i="6"/>
  <c r="AQ233" i="6" s="1"/>
  <c r="AP233" i="6" s="1"/>
  <c r="J233" i="6" s="1"/>
  <c r="E42" i="6"/>
  <c r="AK42" i="6"/>
  <c r="AJ42" i="6" s="1"/>
  <c r="AI42" i="6" s="1"/>
  <c r="G42" i="6" s="1"/>
  <c r="AK310" i="6"/>
  <c r="AJ310" i="6" s="1"/>
  <c r="AI310" i="6" s="1"/>
  <c r="G310" i="6" s="1"/>
  <c r="E310" i="6"/>
  <c r="AK45" i="6"/>
  <c r="AJ45" i="6" s="1"/>
  <c r="AI45" i="6" s="1"/>
  <c r="G45" i="6" s="1"/>
  <c r="E45" i="6"/>
  <c r="H165" i="6"/>
  <c r="AR165" i="6"/>
  <c r="AQ165" i="6" s="1"/>
  <c r="AP165" i="6" s="1"/>
  <c r="J165" i="6" s="1"/>
  <c r="Q319" i="6"/>
  <c r="BP319" i="6"/>
  <c r="BO319" i="6" s="1"/>
  <c r="BN319" i="6" s="1"/>
  <c r="S319" i="6" s="1"/>
  <c r="K458" i="6"/>
  <c r="AZ458" i="6"/>
  <c r="AY458" i="6" s="1"/>
  <c r="AX458" i="6" s="1"/>
  <c r="M458" i="6" s="1"/>
  <c r="N82" i="6"/>
  <c r="BH82" i="6"/>
  <c r="BG82" i="6" s="1"/>
  <c r="BF82" i="6" s="1"/>
  <c r="P82" i="6" s="1"/>
  <c r="N180" i="6"/>
  <c r="K367" i="6"/>
  <c r="AZ367" i="6"/>
  <c r="AY367" i="6" s="1"/>
  <c r="AX367" i="6" s="1"/>
  <c r="M367" i="6" s="1"/>
  <c r="Q79" i="6"/>
  <c r="BP79" i="6"/>
  <c r="BO79" i="6" s="1"/>
  <c r="BN79" i="6" s="1"/>
  <c r="S79" i="6" s="1"/>
  <c r="AK51" i="6"/>
  <c r="AJ51" i="6" s="1"/>
  <c r="AI51" i="6" s="1"/>
  <c r="G51" i="6" s="1"/>
  <c r="E51" i="6"/>
  <c r="E382" i="6"/>
  <c r="AK382" i="6"/>
  <c r="AJ382" i="6" s="1"/>
  <c r="AI382" i="6" s="1"/>
  <c r="G382" i="6" s="1"/>
  <c r="H122" i="6"/>
  <c r="AR122" i="6"/>
  <c r="AQ122" i="6" s="1"/>
  <c r="AP122" i="6" s="1"/>
  <c r="J122" i="6" s="1"/>
  <c r="H164" i="6"/>
  <c r="AR164" i="6"/>
  <c r="AQ164" i="6" s="1"/>
  <c r="AP164" i="6" s="1"/>
  <c r="J164" i="6" s="1"/>
  <c r="AR303" i="6"/>
  <c r="AQ303" i="6" s="1"/>
  <c r="AP303" i="6" s="1"/>
  <c r="J303" i="6" s="1"/>
  <c r="K128" i="6"/>
  <c r="AZ128" i="6"/>
  <c r="AY128" i="6" s="1"/>
  <c r="AX128" i="6" s="1"/>
  <c r="M128" i="6" s="1"/>
  <c r="E24" i="6"/>
  <c r="AK24" i="6"/>
  <c r="AJ24" i="6" s="1"/>
  <c r="AI24" i="6" s="1"/>
  <c r="G24" i="6" s="1"/>
  <c r="K256" i="6"/>
  <c r="AK58" i="6"/>
  <c r="AJ58" i="6" s="1"/>
  <c r="AI58" i="6" s="1"/>
  <c r="G58" i="6" s="1"/>
  <c r="AK219" i="6"/>
  <c r="AJ219" i="6" s="1"/>
  <c r="AI219" i="6" s="1"/>
  <c r="G219" i="6" s="1"/>
  <c r="AZ324" i="6"/>
  <c r="AY324" i="6" s="1"/>
  <c r="AX324" i="6" s="1"/>
  <c r="M324" i="6" s="1"/>
  <c r="E190" i="6"/>
  <c r="AK369" i="6"/>
  <c r="AJ369" i="6" s="1"/>
  <c r="AI369" i="6" s="1"/>
  <c r="G369" i="6" s="1"/>
  <c r="E63" i="6"/>
  <c r="AK90" i="6"/>
  <c r="AJ90" i="6" s="1"/>
  <c r="AI90" i="6" s="1"/>
  <c r="G90" i="6" s="1"/>
  <c r="AK306" i="6"/>
  <c r="AJ306" i="6" s="1"/>
  <c r="AI306" i="6" s="1"/>
  <c r="G306" i="6" s="1"/>
  <c r="BP263" i="6"/>
  <c r="BO263" i="6" s="1"/>
  <c r="BN263" i="6" s="1"/>
  <c r="S263" i="6" s="1"/>
  <c r="BH263" i="6"/>
  <c r="BG263" i="6" s="1"/>
  <c r="BF263" i="6" s="1"/>
  <c r="P263" i="6" s="1"/>
  <c r="BP141" i="6"/>
  <c r="BO141" i="6" s="1"/>
  <c r="BN141" i="6" s="1"/>
  <c r="S141" i="6" s="1"/>
  <c r="AK413" i="6"/>
  <c r="AJ413" i="6" s="1"/>
  <c r="AI413" i="6" s="1"/>
  <c r="G413" i="6" s="1"/>
  <c r="E413" i="6"/>
  <c r="H260" i="6"/>
  <c r="AR260" i="6"/>
  <c r="AQ260" i="6" s="1"/>
  <c r="AP260" i="6" s="1"/>
  <c r="J260" i="6" s="1"/>
  <c r="N147" i="6"/>
  <c r="BH147" i="6"/>
  <c r="BG147" i="6" s="1"/>
  <c r="BF147" i="6" s="1"/>
  <c r="P147" i="6" s="1"/>
  <c r="H333" i="6"/>
  <c r="AR333" i="6"/>
  <c r="AQ333" i="6" s="1"/>
  <c r="AP333" i="6" s="1"/>
  <c r="J333" i="6" s="1"/>
  <c r="Q307" i="6"/>
  <c r="BP307" i="6"/>
  <c r="BO307" i="6" s="1"/>
  <c r="BN307" i="6" s="1"/>
  <c r="S307" i="6" s="1"/>
  <c r="BH362" i="6"/>
  <c r="BG362" i="6" s="1"/>
  <c r="BF362" i="6" s="1"/>
  <c r="P362" i="6" s="1"/>
  <c r="N362" i="6"/>
  <c r="H128" i="6"/>
  <c r="AR128" i="6"/>
  <c r="AQ128" i="6" s="1"/>
  <c r="AP128" i="6" s="1"/>
  <c r="J128" i="6" s="1"/>
  <c r="AK163" i="6"/>
  <c r="AJ163" i="6" s="1"/>
  <c r="AI163" i="6" s="1"/>
  <c r="G163" i="6" s="1"/>
  <c r="E163" i="6"/>
  <c r="E170" i="6"/>
  <c r="AK170" i="6"/>
  <c r="AJ170" i="6" s="1"/>
  <c r="AI170" i="6" s="1"/>
  <c r="G170" i="6" s="1"/>
  <c r="Q76" i="6"/>
  <c r="BP76" i="6"/>
  <c r="BO76" i="6" s="1"/>
  <c r="BN76" i="6" s="1"/>
  <c r="S76" i="6" s="1"/>
  <c r="H362" i="6"/>
  <c r="AR362" i="6"/>
  <c r="AQ362" i="6" s="1"/>
  <c r="AP362" i="6" s="1"/>
  <c r="J362" i="6" s="1"/>
  <c r="AK370" i="6"/>
  <c r="AJ370" i="6" s="1"/>
  <c r="AI370" i="6" s="1"/>
  <c r="G370" i="6" s="1"/>
  <c r="E370" i="6"/>
  <c r="H33" i="6"/>
  <c r="AR33" i="6"/>
  <c r="AQ33" i="6" s="1"/>
  <c r="AP33" i="6" s="1"/>
  <c r="J33" i="6" s="1"/>
  <c r="Q313" i="6"/>
  <c r="BP313" i="6"/>
  <c r="BO313" i="6" s="1"/>
  <c r="BN313" i="6" s="1"/>
  <c r="S313" i="6" s="1"/>
  <c r="AK312" i="6"/>
  <c r="AJ312" i="6" s="1"/>
  <c r="AI312" i="6" s="1"/>
  <c r="G312" i="6" s="1"/>
  <c r="E312" i="6"/>
  <c r="AZ344" i="6"/>
  <c r="AY344" i="6" s="1"/>
  <c r="AX344" i="6" s="1"/>
  <c r="M344" i="6" s="1"/>
  <c r="K172" i="6"/>
  <c r="K234" i="6"/>
  <c r="E311" i="6"/>
  <c r="AK311" i="6"/>
  <c r="AJ311" i="6" s="1"/>
  <c r="AI311" i="6" s="1"/>
  <c r="G311" i="6" s="1"/>
  <c r="E20" i="6"/>
  <c r="AK20" i="6"/>
  <c r="AJ20" i="6" s="1"/>
  <c r="AI20" i="6" s="1"/>
  <c r="G20" i="6" s="1"/>
  <c r="AK184" i="6"/>
  <c r="AJ184" i="6" s="1"/>
  <c r="AI184" i="6" s="1"/>
  <c r="G184" i="6" s="1"/>
  <c r="E184" i="6"/>
  <c r="K65" i="6"/>
  <c r="AZ65" i="6"/>
  <c r="AY65" i="6" s="1"/>
  <c r="AX65" i="6" s="1"/>
  <c r="M65" i="6" s="1"/>
  <c r="N279" i="6"/>
  <c r="BH279" i="6"/>
  <c r="BG279" i="6" s="1"/>
  <c r="BF279" i="6" s="1"/>
  <c r="P279" i="6" s="1"/>
  <c r="K277" i="6"/>
  <c r="AZ277" i="6"/>
  <c r="AY277" i="6" s="1"/>
  <c r="AX277" i="6" s="1"/>
  <c r="M277" i="6" s="1"/>
  <c r="H437" i="6"/>
  <c r="AR437" i="6"/>
  <c r="AQ437" i="6" s="1"/>
  <c r="AP437" i="6" s="1"/>
  <c r="J437" i="6" s="1"/>
  <c r="K295" i="6"/>
  <c r="AZ295" i="6"/>
  <c r="AY295" i="6" s="1"/>
  <c r="AX295" i="6" s="1"/>
  <c r="M295" i="6" s="1"/>
  <c r="AK307" i="6"/>
  <c r="AJ307" i="6" s="1"/>
  <c r="AI307" i="6" s="1"/>
  <c r="G307" i="6" s="1"/>
  <c r="E307" i="6"/>
  <c r="AK278" i="6"/>
  <c r="AJ278" i="6" s="1"/>
  <c r="AI278" i="6" s="1"/>
  <c r="G278" i="6" s="1"/>
  <c r="E278" i="6"/>
  <c r="H241" i="6"/>
  <c r="AR241" i="6"/>
  <c r="AQ241" i="6" s="1"/>
  <c r="AP241" i="6" s="1"/>
  <c r="J241" i="6" s="1"/>
  <c r="Q119" i="6"/>
  <c r="BP119" i="6"/>
  <c r="BO119" i="6" s="1"/>
  <c r="BN119" i="6" s="1"/>
  <c r="S119" i="6" s="1"/>
  <c r="Q418" i="6"/>
  <c r="BP418" i="6"/>
  <c r="BO418" i="6" s="1"/>
  <c r="BN418" i="6" s="1"/>
  <c r="S418" i="6" s="1"/>
  <c r="E64" i="6"/>
  <c r="AK64" i="6"/>
  <c r="AJ64" i="6" s="1"/>
  <c r="AI64" i="6" s="1"/>
  <c r="G64" i="6" s="1"/>
  <c r="H147" i="6"/>
  <c r="AR147" i="6"/>
  <c r="AQ147" i="6" s="1"/>
  <c r="AP147" i="6" s="1"/>
  <c r="J147" i="6" s="1"/>
  <c r="K307" i="6"/>
  <c r="AZ307" i="6"/>
  <c r="AY307" i="6" s="1"/>
  <c r="AX307" i="6" s="1"/>
  <c r="M307" i="6" s="1"/>
  <c r="H37" i="6"/>
  <c r="AR37" i="6"/>
  <c r="AQ37" i="6" s="1"/>
  <c r="AP37" i="6" s="1"/>
  <c r="J37" i="6" s="1"/>
  <c r="H227" i="6"/>
  <c r="AR227" i="6"/>
  <c r="AQ227" i="6" s="1"/>
  <c r="AP227" i="6" s="1"/>
  <c r="J227" i="6" s="1"/>
  <c r="AK330" i="6"/>
  <c r="AJ330" i="6" s="1"/>
  <c r="AI330" i="6" s="1"/>
  <c r="G330" i="6" s="1"/>
  <c r="E330" i="6"/>
  <c r="H316" i="6"/>
  <c r="E240" i="6"/>
  <c r="BH336" i="6"/>
  <c r="BG336" i="6" s="1"/>
  <c r="BF336" i="6" s="1"/>
  <c r="P336" i="6" s="1"/>
  <c r="BP364" i="6"/>
  <c r="BO364" i="6" s="1"/>
  <c r="BN364" i="6" s="1"/>
  <c r="S364" i="6" s="1"/>
  <c r="BP303" i="6"/>
  <c r="BO303" i="6" s="1"/>
  <c r="BN303" i="6" s="1"/>
  <c r="S303" i="6" s="1"/>
  <c r="AK365" i="6"/>
  <c r="AJ365" i="6" s="1"/>
  <c r="AI365" i="6" s="1"/>
  <c r="G365" i="6" s="1"/>
  <c r="E365" i="6"/>
  <c r="AZ394" i="6"/>
  <c r="AY394" i="6" s="1"/>
  <c r="AX394" i="6" s="1"/>
  <c r="M394" i="6" s="1"/>
  <c r="AK187" i="6"/>
  <c r="AJ187" i="6" s="1"/>
  <c r="AI187" i="6" s="1"/>
  <c r="G187" i="6" s="1"/>
  <c r="E48" i="6"/>
  <c r="E339" i="6"/>
  <c r="AK177" i="6"/>
  <c r="AJ177" i="6" s="1"/>
  <c r="AI177" i="6" s="1"/>
  <c r="G177" i="6" s="1"/>
  <c r="AK166" i="6"/>
  <c r="AJ166" i="6" s="1"/>
  <c r="AI166" i="6" s="1"/>
  <c r="G166" i="6" s="1"/>
  <c r="N256" i="6"/>
  <c r="AZ241" i="6"/>
  <c r="AY241" i="6" s="1"/>
  <c r="AX241" i="6" s="1"/>
  <c r="M241" i="6" s="1"/>
  <c r="E92" i="6"/>
  <c r="BH295" i="6"/>
  <c r="BG295" i="6" s="1"/>
  <c r="BF295" i="6" s="1"/>
  <c r="P295" i="6" s="1"/>
  <c r="Q406" i="6"/>
  <c r="BP406" i="6"/>
  <c r="BO406" i="6" s="1"/>
  <c r="BN406" i="6" s="1"/>
  <c r="S406" i="6" s="1"/>
  <c r="AZ68" i="6"/>
  <c r="AY68" i="6" s="1"/>
  <c r="AX68" i="6" s="1"/>
  <c r="M68" i="6" s="1"/>
  <c r="K68" i="6"/>
  <c r="AR197" i="6"/>
  <c r="AQ197" i="6" s="1"/>
  <c r="AP197" i="6" s="1"/>
  <c r="J197" i="6" s="1"/>
  <c r="N241" i="6"/>
  <c r="BH241" i="6"/>
  <c r="BG241" i="6" s="1"/>
  <c r="BF241" i="6" s="1"/>
  <c r="P241" i="6" s="1"/>
  <c r="N26" i="6"/>
  <c r="BH26" i="6"/>
  <c r="BG26" i="6" s="1"/>
  <c r="BF26" i="6" s="1"/>
  <c r="P26" i="6" s="1"/>
  <c r="E380" i="6"/>
  <c r="K260" i="6"/>
  <c r="E378" i="6"/>
  <c r="K303" i="6"/>
  <c r="BH458" i="6"/>
  <c r="BG458" i="6" s="1"/>
  <c r="BF458" i="6" s="1"/>
  <c r="P458" i="6" s="1"/>
  <c r="AZ313" i="6"/>
  <c r="AY313" i="6" s="1"/>
  <c r="AX313" i="6" s="1"/>
  <c r="M313" i="6" s="1"/>
  <c r="AK276" i="6"/>
  <c r="AJ276" i="6" s="1"/>
  <c r="AI276" i="6" s="1"/>
  <c r="G276" i="6" s="1"/>
  <c r="K316" i="6"/>
  <c r="E284" i="6"/>
  <c r="E87" i="6"/>
  <c r="BH262" i="6"/>
  <c r="BG262" i="6" s="1"/>
  <c r="BF262" i="6" s="1"/>
  <c r="P262" i="6" s="1"/>
  <c r="H76" i="6"/>
  <c r="AR76" i="6"/>
  <c r="AQ76" i="6" s="1"/>
  <c r="AP76" i="6" s="1"/>
  <c r="J76" i="6" s="1"/>
  <c r="E40" i="6"/>
  <c r="E244" i="6"/>
  <c r="AK341" i="6"/>
  <c r="AJ341" i="6" s="1"/>
  <c r="AI341" i="6" s="1"/>
  <c r="G341" i="6" s="1"/>
  <c r="AK304" i="6"/>
  <c r="AJ304" i="6" s="1"/>
  <c r="AI304" i="6" s="1"/>
  <c r="G304" i="6" s="1"/>
  <c r="AZ227" i="6"/>
  <c r="AY227" i="6" s="1"/>
  <c r="AX227" i="6" s="1"/>
  <c r="M227" i="6" s="1"/>
  <c r="BP19" i="6"/>
  <c r="BO19" i="6" s="1"/>
  <c r="BN19" i="6" s="1"/>
  <c r="S19" i="6" s="1"/>
  <c r="E432" i="6"/>
  <c r="H278" i="6"/>
  <c r="K122" i="6"/>
  <c r="AZ257" i="6"/>
  <c r="AY257" i="6" s="1"/>
  <c r="AX257" i="6" s="1"/>
  <c r="M257" i="6" s="1"/>
  <c r="K29" i="6"/>
  <c r="E81" i="6"/>
  <c r="K27" i="6"/>
  <c r="AK138" i="6"/>
  <c r="AJ138" i="6" s="1"/>
  <c r="AI138" i="6" s="1"/>
  <c r="G138" i="6" s="1"/>
  <c r="AR263" i="6"/>
  <c r="AQ263" i="6" s="1"/>
  <c r="AP263" i="6" s="1"/>
  <c r="J263" i="6" s="1"/>
  <c r="AR141" i="6"/>
  <c r="AQ141" i="6" s="1"/>
  <c r="AP141" i="6" s="1"/>
  <c r="J141" i="6" s="1"/>
  <c r="BP458" i="6"/>
  <c r="BO458" i="6" s="1"/>
  <c r="BN458" i="6" s="1"/>
  <c r="S458" i="6" s="1"/>
  <c r="BH313" i="6"/>
  <c r="BG313" i="6" s="1"/>
  <c r="BF313" i="6" s="1"/>
  <c r="P313" i="6" s="1"/>
  <c r="AK137" i="6"/>
  <c r="AJ137" i="6" s="1"/>
  <c r="AI137" i="6" s="1"/>
  <c r="G137" i="6" s="1"/>
  <c r="Q215" i="6"/>
  <c r="BP305" i="6"/>
  <c r="BO305" i="6" s="1"/>
  <c r="BN305" i="6" s="1"/>
  <c r="S305" i="6" s="1"/>
  <c r="Q305" i="6"/>
  <c r="AK292" i="6"/>
  <c r="AJ292" i="6" s="1"/>
  <c r="AI292" i="6" s="1"/>
  <c r="G292" i="6" s="1"/>
  <c r="K253" i="6"/>
  <c r="K383" i="6"/>
  <c r="AK62" i="6"/>
  <c r="AJ62" i="6" s="1"/>
  <c r="AI62" i="6" s="1"/>
  <c r="G62" i="6" s="1"/>
  <c r="E267" i="6"/>
  <c r="AK220" i="6"/>
  <c r="AJ220" i="6" s="1"/>
  <c r="AI220" i="6" s="1"/>
  <c r="G220" i="6" s="1"/>
  <c r="E319" i="6"/>
  <c r="K180" i="6"/>
  <c r="AK70" i="6"/>
  <c r="AJ70" i="6" s="1"/>
  <c r="AI70" i="6" s="1"/>
  <c r="G70" i="6" s="1"/>
  <c r="AZ124" i="6"/>
  <c r="AY124" i="6" s="1"/>
  <c r="AX124" i="6" s="1"/>
  <c r="M124" i="6" s="1"/>
  <c r="AR279" i="6"/>
  <c r="AQ279" i="6" s="1"/>
  <c r="AP279" i="6" s="1"/>
  <c r="J279" i="6" s="1"/>
  <c r="AR262" i="6"/>
  <c r="AQ262" i="6" s="1"/>
  <c r="AP262" i="6" s="1"/>
  <c r="J262" i="6" s="1"/>
  <c r="BP405" i="6"/>
  <c r="BO405" i="6" s="1"/>
  <c r="BN405" i="6" s="1"/>
  <c r="S405" i="6" s="1"/>
  <c r="AR277" i="6"/>
  <c r="AQ277" i="6" s="1"/>
  <c r="AP277" i="6" s="1"/>
  <c r="J277" i="6" s="1"/>
  <c r="AR65" i="6"/>
  <c r="AQ65" i="6" s="1"/>
  <c r="AP65" i="6" s="1"/>
  <c r="J65" i="6" s="1"/>
  <c r="BP122" i="6"/>
  <c r="BO122" i="6" s="1"/>
  <c r="BN122" i="6" s="1"/>
  <c r="S122" i="6" s="1"/>
  <c r="BP135" i="6"/>
  <c r="BO135" i="6" s="1"/>
  <c r="BN135" i="6" s="1"/>
  <c r="S135" i="6" s="1"/>
  <c r="BP410" i="6"/>
  <c r="BO410" i="6" s="1"/>
  <c r="BN410" i="6" s="1"/>
  <c r="S410" i="6" s="1"/>
  <c r="BP260" i="6"/>
  <c r="BO260" i="6" s="1"/>
  <c r="BN260" i="6" s="1"/>
  <c r="S260" i="6" s="1"/>
  <c r="H119" i="6"/>
  <c r="BP255" i="6"/>
  <c r="BO255" i="6" s="1"/>
  <c r="BN255" i="6" s="1"/>
  <c r="S255" i="6" s="1"/>
  <c r="Q255" i="6"/>
  <c r="BH394" i="6"/>
  <c r="BG394" i="6" s="1"/>
  <c r="BF394" i="6" s="1"/>
  <c r="P394" i="6" s="1"/>
  <c r="N394" i="6"/>
  <c r="H144" i="6"/>
  <c r="AR144" i="6"/>
  <c r="AQ144" i="6" s="1"/>
  <c r="AP144" i="6" s="1"/>
  <c r="J144" i="6" s="1"/>
  <c r="AK33" i="6"/>
  <c r="AJ33" i="6" s="1"/>
  <c r="AI33" i="6" s="1"/>
  <c r="G33" i="6" s="1"/>
  <c r="BP125" i="6"/>
  <c r="BO125" i="6" s="1"/>
  <c r="BN125" i="6" s="1"/>
  <c r="S125" i="6" s="1"/>
  <c r="N172" i="6"/>
  <c r="BH172" i="6"/>
  <c r="BG172" i="6" s="1"/>
  <c r="BF172" i="6" s="1"/>
  <c r="P172" i="6" s="1"/>
  <c r="AK96" i="6"/>
  <c r="AJ96" i="6" s="1"/>
  <c r="AI96" i="6" s="1"/>
  <c r="G96" i="6" s="1"/>
  <c r="AZ138" i="6"/>
  <c r="AY138" i="6" s="1"/>
  <c r="AX138" i="6" s="1"/>
  <c r="M138" i="6" s="1"/>
  <c r="E397" i="6"/>
  <c r="E165" i="6"/>
  <c r="AZ362" i="6"/>
  <c r="AY362" i="6" s="1"/>
  <c r="AX362" i="6" s="1"/>
  <c r="M362" i="6" s="1"/>
  <c r="AR451" i="6"/>
  <c r="AQ451" i="6" s="1"/>
  <c r="AP451" i="6" s="1"/>
  <c r="J451" i="6" s="1"/>
  <c r="BP345" i="6"/>
  <c r="BO345" i="6" s="1"/>
  <c r="BN345" i="6" s="1"/>
  <c r="S345" i="6" s="1"/>
  <c r="BH233" i="6"/>
  <c r="BG233" i="6" s="1"/>
  <c r="BF233" i="6" s="1"/>
  <c r="P233" i="6" s="1"/>
  <c r="Q27" i="6"/>
  <c r="BP394" i="6"/>
  <c r="BO394" i="6" s="1"/>
  <c r="BN394" i="6" s="1"/>
  <c r="S394" i="6" s="1"/>
  <c r="Q394" i="6"/>
  <c r="AZ86" i="6"/>
  <c r="AY86" i="6" s="1"/>
  <c r="AX86" i="6" s="1"/>
  <c r="M86" i="6" s="1"/>
  <c r="E89" i="6"/>
  <c r="E12" i="6"/>
  <c r="AK218" i="6"/>
  <c r="AJ218" i="6" s="1"/>
  <c r="AI218" i="6" s="1"/>
  <c r="G218" i="6" s="1"/>
  <c r="E465" i="6"/>
  <c r="E286" i="6"/>
  <c r="E78" i="6"/>
  <c r="E297" i="6"/>
  <c r="E347" i="6"/>
  <c r="E32" i="6"/>
  <c r="AK435" i="6"/>
  <c r="AJ435" i="6" s="1"/>
  <c r="AI435" i="6" s="1"/>
  <c r="G435" i="6" s="1"/>
  <c r="BH406" i="6"/>
  <c r="BG406" i="6" s="1"/>
  <c r="BF406" i="6" s="1"/>
  <c r="P406" i="6" s="1"/>
  <c r="BP164" i="6"/>
  <c r="BO164" i="6" s="1"/>
  <c r="BN164" i="6" s="1"/>
  <c r="S164" i="6" s="1"/>
  <c r="BP86" i="6"/>
  <c r="BO86" i="6" s="1"/>
  <c r="BN86" i="6" s="1"/>
  <c r="S86" i="6" s="1"/>
  <c r="AR367" i="6"/>
  <c r="AQ367" i="6" s="1"/>
  <c r="AP367" i="6" s="1"/>
  <c r="J367" i="6" s="1"/>
  <c r="K454" i="6"/>
  <c r="K281" i="6"/>
  <c r="AZ420" i="6"/>
  <c r="AY420" i="6" s="1"/>
  <c r="AX420" i="6" s="1"/>
  <c r="M420" i="6" s="1"/>
  <c r="AR406" i="6"/>
  <c r="AQ406" i="6" s="1"/>
  <c r="AP406" i="6" s="1"/>
  <c r="J406" i="6" s="1"/>
  <c r="BH418" i="6"/>
  <c r="BG418" i="6" s="1"/>
  <c r="BF418" i="6" s="1"/>
  <c r="P418" i="6" s="1"/>
  <c r="BP383" i="6"/>
  <c r="BO383" i="6" s="1"/>
  <c r="BN383" i="6" s="1"/>
  <c r="S383" i="6" s="1"/>
  <c r="BP26" i="6"/>
  <c r="BO26" i="6" s="1"/>
  <c r="BN26" i="6" s="1"/>
  <c r="S26" i="6" s="1"/>
  <c r="BP344" i="6"/>
  <c r="BO344" i="6" s="1"/>
  <c r="BN344" i="6" s="1"/>
  <c r="S344" i="6" s="1"/>
  <c r="AR313" i="6"/>
  <c r="AQ313" i="6" s="1"/>
  <c r="AP313" i="6" s="1"/>
  <c r="J313" i="6" s="1"/>
  <c r="BP29" i="6"/>
  <c r="BO29" i="6" s="1"/>
  <c r="BN29" i="6" s="1"/>
  <c r="S29" i="6" s="1"/>
  <c r="BH19" i="6"/>
  <c r="BG19" i="6" s="1"/>
  <c r="BF19" i="6" s="1"/>
  <c r="P19" i="6" s="1"/>
  <c r="AR234" i="6"/>
  <c r="AQ234" i="6" s="1"/>
  <c r="AP234" i="6" s="1"/>
  <c r="J234" i="6" s="1"/>
  <c r="AR307" i="6"/>
  <c r="AQ307" i="6" s="1"/>
  <c r="AP307" i="6" s="1"/>
  <c r="J307" i="6" s="1"/>
  <c r="BP333" i="6"/>
  <c r="BO333" i="6" s="1"/>
  <c r="BN333" i="6" s="1"/>
  <c r="S333" i="6" s="1"/>
  <c r="BH75" i="6"/>
  <c r="BG75" i="6" s="1"/>
  <c r="BF75" i="6" s="1"/>
  <c r="P75" i="6" s="1"/>
  <c r="AR79" i="6"/>
  <c r="AQ79" i="6" s="1"/>
  <c r="AP79" i="6" s="1"/>
  <c r="J79" i="6" s="1"/>
  <c r="N260" i="6"/>
  <c r="BH260" i="6"/>
  <c r="BG260" i="6" s="1"/>
  <c r="BF260" i="6" s="1"/>
  <c r="P260" i="6" s="1"/>
  <c r="BH144" i="6"/>
  <c r="BG144" i="6" s="1"/>
  <c r="BF144" i="6" s="1"/>
  <c r="P144" i="6" s="1"/>
  <c r="N144" i="6"/>
  <c r="N79" i="6"/>
  <c r="BH79" i="6"/>
  <c r="BG79" i="6" s="1"/>
  <c r="BF79" i="6" s="1"/>
  <c r="P79" i="6" s="1"/>
  <c r="H172" i="6"/>
  <c r="AR172" i="6"/>
  <c r="AQ172" i="6" s="1"/>
  <c r="AP172" i="6" s="1"/>
  <c r="J172" i="6" s="1"/>
  <c r="BP147" i="6"/>
  <c r="BO147" i="6" s="1"/>
  <c r="BN147" i="6" s="1"/>
  <c r="S147" i="6" s="1"/>
  <c r="Q147" i="6"/>
  <c r="BP227" i="6"/>
  <c r="BO227" i="6" s="1"/>
  <c r="BN227" i="6" s="1"/>
  <c r="S227" i="6" s="1"/>
  <c r="AR19" i="6"/>
  <c r="AQ19" i="6" s="1"/>
  <c r="AP19" i="6" s="1"/>
  <c r="J19" i="6" s="1"/>
  <c r="BP124" i="6"/>
  <c r="BO124" i="6" s="1"/>
  <c r="BN124" i="6" s="1"/>
  <c r="S124" i="6" s="1"/>
  <c r="BH316" i="6"/>
  <c r="BG316" i="6" s="1"/>
  <c r="BF316" i="6" s="1"/>
  <c r="P316" i="6" s="1"/>
  <c r="BH410" i="6"/>
  <c r="BG410" i="6" s="1"/>
  <c r="BF410" i="6" s="1"/>
  <c r="P410" i="6" s="1"/>
  <c r="BH32" i="6"/>
  <c r="BG32" i="6" s="1"/>
  <c r="BF32" i="6" s="1"/>
  <c r="P32" i="6" s="1"/>
  <c r="BP180" i="6"/>
  <c r="BO180" i="6" s="1"/>
  <c r="BN180" i="6" s="1"/>
  <c r="S180" i="6" s="1"/>
  <c r="BH29" i="6"/>
  <c r="BG29" i="6" s="1"/>
  <c r="BF29" i="6" s="1"/>
  <c r="P29" i="6" s="1"/>
  <c r="AR124" i="6"/>
  <c r="AQ124" i="6" s="1"/>
  <c r="AP124" i="6" s="1"/>
  <c r="J124" i="6" s="1"/>
  <c r="H124" i="6"/>
  <c r="N215" i="6"/>
  <c r="BH215" i="6"/>
  <c r="BG215" i="6" s="1"/>
  <c r="BF215" i="6" s="1"/>
  <c r="P215" i="6" s="1"/>
  <c r="H27" i="6"/>
  <c r="AR27" i="6"/>
  <c r="AQ27" i="6" s="1"/>
  <c r="AP27" i="6" s="1"/>
  <c r="J27" i="6" s="1"/>
  <c r="AR305" i="6"/>
  <c r="AQ305" i="6" s="1"/>
  <c r="AP305" i="6" s="1"/>
  <c r="J305" i="6" s="1"/>
  <c r="H305" i="6"/>
  <c r="Q144" i="6"/>
  <c r="BP144" i="6"/>
  <c r="BO144" i="6" s="1"/>
  <c r="BN144" i="6" s="1"/>
  <c r="S144" i="6" s="1"/>
  <c r="BH367" i="6"/>
  <c r="BG367" i="6" s="1"/>
  <c r="BF367" i="6" s="1"/>
  <c r="P367" i="6" s="1"/>
  <c r="N367" i="6"/>
  <c r="AK335" i="6"/>
  <c r="AJ335" i="6" s="1"/>
  <c r="AI335" i="6" s="1"/>
  <c r="G335" i="6" s="1"/>
  <c r="BH451" i="6"/>
  <c r="BG451" i="6" s="1"/>
  <c r="BF451" i="6" s="1"/>
  <c r="P451" i="6" s="1"/>
  <c r="AR418" i="6"/>
  <c r="AQ418" i="6" s="1"/>
  <c r="AP418" i="6" s="1"/>
  <c r="J418" i="6" s="1"/>
  <c r="AR255" i="6"/>
  <c r="AQ255" i="6" s="1"/>
  <c r="AP255" i="6" s="1"/>
  <c r="J255" i="6" s="1"/>
  <c r="BP65" i="6"/>
  <c r="BO65" i="6" s="1"/>
  <c r="BN65" i="6" s="1"/>
  <c r="S65" i="6" s="1"/>
  <c r="BH234" i="6"/>
  <c r="BG234" i="6" s="1"/>
  <c r="BF234" i="6" s="1"/>
  <c r="P234" i="6" s="1"/>
  <c r="BP277" i="6"/>
  <c r="BO277" i="6" s="1"/>
  <c r="BN277" i="6" s="1"/>
  <c r="S277" i="6" s="1"/>
  <c r="BH307" i="6"/>
  <c r="BG307" i="6" s="1"/>
  <c r="BF307" i="6" s="1"/>
  <c r="P307" i="6" s="1"/>
  <c r="BH278" i="6"/>
  <c r="BG278" i="6" s="1"/>
  <c r="BF278" i="6" s="1"/>
  <c r="P278" i="6" s="1"/>
  <c r="BH57" i="6"/>
  <c r="BG57" i="6" s="1"/>
  <c r="BF57" i="6" s="1"/>
  <c r="P57" i="6" s="1"/>
  <c r="Q367" i="6"/>
  <c r="BP367" i="6"/>
  <c r="BO367" i="6" s="1"/>
  <c r="BN367" i="6" s="1"/>
  <c r="S367" i="6" s="1"/>
  <c r="Q172" i="6"/>
  <c r="BP172" i="6"/>
  <c r="BO172" i="6" s="1"/>
  <c r="BN172" i="6" s="1"/>
  <c r="S172" i="6" s="1"/>
  <c r="N27" i="6"/>
  <c r="BH27" i="6"/>
  <c r="BG27" i="6" s="1"/>
  <c r="BF27" i="6" s="1"/>
  <c r="P27" i="6" s="1"/>
  <c r="AR394" i="6"/>
  <c r="AQ394" i="6" s="1"/>
  <c r="AP394" i="6" s="1"/>
  <c r="J394" i="6" s="1"/>
  <c r="H394" i="6"/>
  <c r="BP362" i="6"/>
  <c r="BO362" i="6" s="1"/>
  <c r="BN362" i="6" s="1"/>
  <c r="S362" i="6" s="1"/>
  <c r="BH119" i="6"/>
  <c r="BG119" i="6" s="1"/>
  <c r="BF119" i="6" s="1"/>
  <c r="P119" i="6" s="1"/>
  <c r="N119" i="6"/>
  <c r="K32" i="6"/>
  <c r="E136" i="6"/>
  <c r="AR319" i="6"/>
  <c r="AQ319" i="6" s="1"/>
  <c r="AP319" i="6" s="1"/>
  <c r="J319" i="6" s="1"/>
  <c r="AR136" i="6"/>
  <c r="AQ136" i="6" s="1"/>
  <c r="AP136" i="6" s="1"/>
  <c r="J136" i="6" s="1"/>
  <c r="BP322" i="6"/>
  <c r="BO322" i="6" s="1"/>
  <c r="BN322" i="6" s="1"/>
  <c r="S322" i="6" s="1"/>
  <c r="K136" i="6"/>
  <c r="AR304" i="6"/>
  <c r="AQ304" i="6" s="1"/>
  <c r="AP304" i="6" s="1"/>
  <c r="J304" i="6" s="1"/>
  <c r="AZ154" i="6"/>
  <c r="AY154" i="6" s="1"/>
  <c r="AX154" i="6" s="1"/>
  <c r="M154" i="6" s="1"/>
  <c r="AZ361" i="6"/>
  <c r="AY361" i="6" s="1"/>
  <c r="AX361" i="6" s="1"/>
  <c r="M361" i="6" s="1"/>
  <c r="AR75" i="6"/>
  <c r="AQ75" i="6" s="1"/>
  <c r="AP75" i="6" s="1"/>
  <c r="J75" i="6" s="1"/>
  <c r="BP82" i="6"/>
  <c r="BO82" i="6" s="1"/>
  <c r="BN82" i="6" s="1"/>
  <c r="S82" i="6" s="1"/>
  <c r="BH413" i="6"/>
  <c r="BG413" i="6" s="1"/>
  <c r="BF413" i="6" s="1"/>
  <c r="P413" i="6" s="1"/>
  <c r="BP57" i="6"/>
  <c r="BO57" i="6" s="1"/>
  <c r="BN57" i="6" s="1"/>
  <c r="S57" i="6" s="1"/>
  <c r="BH165" i="6"/>
  <c r="BG165" i="6" s="1"/>
  <c r="BF165" i="6" s="1"/>
  <c r="P165" i="6" s="1"/>
  <c r="AZ366" i="6"/>
  <c r="AY366" i="6" s="1"/>
  <c r="AX366" i="6" s="1"/>
  <c r="M366" i="6" s="1"/>
  <c r="K319" i="6"/>
  <c r="AR82" i="6"/>
  <c r="AQ82" i="6" s="1"/>
  <c r="AP82" i="6" s="1"/>
  <c r="J82" i="6" s="1"/>
  <c r="AR433" i="6"/>
  <c r="AQ433" i="6" s="1"/>
  <c r="AP433" i="6" s="1"/>
  <c r="J433" i="6" s="1"/>
  <c r="K118" i="6"/>
  <c r="AZ326" i="6"/>
  <c r="AY326" i="6" s="1"/>
  <c r="AX326" i="6" s="1"/>
  <c r="M326" i="6" s="1"/>
  <c r="K18" i="6"/>
  <c r="AZ20" i="6"/>
  <c r="AY20" i="6" s="1"/>
  <c r="AX20" i="6" s="1"/>
  <c r="M20" i="6" s="1"/>
  <c r="BP433" i="6"/>
  <c r="BO433" i="6" s="1"/>
  <c r="BN433" i="6" s="1"/>
  <c r="S433" i="6" s="1"/>
  <c r="AR190" i="6"/>
  <c r="AQ190" i="6" s="1"/>
  <c r="AP190" i="6" s="1"/>
  <c r="J190" i="6" s="1"/>
  <c r="AZ266" i="6"/>
  <c r="AY266" i="6" s="1"/>
  <c r="AX266" i="6" s="1"/>
  <c r="M266" i="6" s="1"/>
  <c r="AZ171" i="6"/>
  <c r="AY171" i="6" s="1"/>
  <c r="AX171" i="6" s="1"/>
  <c r="M171" i="6" s="1"/>
  <c r="AZ457" i="6"/>
  <c r="AY457" i="6" s="1"/>
  <c r="AX457" i="6" s="1"/>
  <c r="M457" i="6" s="1"/>
  <c r="AZ201" i="6"/>
  <c r="AY201" i="6" s="1"/>
  <c r="AX201" i="6" s="1"/>
  <c r="M201" i="6" s="1"/>
  <c r="K438" i="6"/>
  <c r="K232" i="6"/>
  <c r="AZ137" i="6"/>
  <c r="AY137" i="6" s="1"/>
  <c r="AX137" i="6" s="1"/>
  <c r="M137" i="6" s="1"/>
  <c r="AZ157" i="6"/>
  <c r="AY157" i="6" s="1"/>
  <c r="AX157" i="6" s="1"/>
  <c r="M157" i="6" s="1"/>
  <c r="K452" i="6"/>
  <c r="K186" i="6"/>
  <c r="K353" i="6"/>
  <c r="AZ411" i="6"/>
  <c r="AY411" i="6" s="1"/>
  <c r="AX411" i="6" s="1"/>
  <c r="M411" i="6" s="1"/>
  <c r="K195" i="6"/>
  <c r="AZ300" i="6"/>
  <c r="AY300" i="6" s="1"/>
  <c r="AX300" i="6" s="1"/>
  <c r="M300" i="6" s="1"/>
  <c r="K246" i="6"/>
  <c r="K56" i="6"/>
  <c r="AZ259" i="6"/>
  <c r="AY259" i="6" s="1"/>
  <c r="AX259" i="6" s="1"/>
  <c r="M259" i="6" s="1"/>
  <c r="AZ416" i="6"/>
  <c r="AY416" i="6" s="1"/>
  <c r="AX416" i="6" s="1"/>
  <c r="M416" i="6" s="1"/>
  <c r="AZ151" i="6"/>
  <c r="AY151" i="6" s="1"/>
  <c r="AX151" i="6" s="1"/>
  <c r="M151" i="6" s="1"/>
  <c r="K23" i="6"/>
  <c r="AZ168" i="6"/>
  <c r="AY168" i="6" s="1"/>
  <c r="AX168" i="6" s="1"/>
  <c r="M168" i="6" s="1"/>
  <c r="AZ468" i="6"/>
  <c r="AY468" i="6" s="1"/>
  <c r="AX468" i="6" s="1"/>
  <c r="M468" i="6" s="1"/>
  <c r="K17" i="6"/>
  <c r="K189" i="6"/>
  <c r="AZ196" i="6"/>
  <c r="AY196" i="6" s="1"/>
  <c r="AX196" i="6" s="1"/>
  <c r="M196" i="6" s="1"/>
  <c r="AZ211" i="6"/>
  <c r="AY211" i="6" s="1"/>
  <c r="AX211" i="6" s="1"/>
  <c r="M211" i="6" s="1"/>
  <c r="BP190" i="6"/>
  <c r="BO190" i="6" s="1"/>
  <c r="BN190" i="6" s="1"/>
  <c r="S190" i="6" s="1"/>
  <c r="AR89" i="6"/>
  <c r="AQ89" i="6" s="1"/>
  <c r="AP89" i="6" s="1"/>
  <c r="J89" i="6" s="1"/>
  <c r="BH190" i="6"/>
  <c r="BG190" i="6" s="1"/>
  <c r="BF190" i="6" s="1"/>
  <c r="P190" i="6" s="1"/>
  <c r="AZ423" i="6"/>
  <c r="AY423" i="6" s="1"/>
  <c r="AX423" i="6" s="1"/>
  <c r="M423" i="6" s="1"/>
  <c r="AZ250" i="6"/>
  <c r="AY250" i="6" s="1"/>
  <c r="AX250" i="6" s="1"/>
  <c r="M250" i="6" s="1"/>
  <c r="AZ70" i="6"/>
  <c r="AY70" i="6" s="1"/>
  <c r="AX70" i="6" s="1"/>
  <c r="M70" i="6" s="1"/>
  <c r="K441" i="6"/>
  <c r="AZ415" i="6"/>
  <c r="AY415" i="6" s="1"/>
  <c r="AX415" i="6" s="1"/>
  <c r="M415" i="6" s="1"/>
  <c r="K429" i="6"/>
  <c r="AZ152" i="6"/>
  <c r="AY152" i="6" s="1"/>
  <c r="AX152" i="6" s="1"/>
  <c r="M152" i="6" s="1"/>
  <c r="AZ388" i="6"/>
  <c r="AY388" i="6" s="1"/>
  <c r="AX388" i="6" s="1"/>
  <c r="M388" i="6" s="1"/>
  <c r="AZ375" i="6"/>
  <c r="AY375" i="6" s="1"/>
  <c r="AX375" i="6" s="1"/>
  <c r="M375" i="6" s="1"/>
  <c r="AZ442" i="6"/>
  <c r="AY442" i="6" s="1"/>
  <c r="AX442" i="6" s="1"/>
  <c r="M442" i="6" s="1"/>
  <c r="K88" i="6"/>
  <c r="AZ456" i="6"/>
  <c r="AY456" i="6" s="1"/>
  <c r="AX456" i="6" s="1"/>
  <c r="M456" i="6" s="1"/>
  <c r="K163" i="6"/>
  <c r="AZ73" i="6"/>
  <c r="AY73" i="6" s="1"/>
  <c r="AX73" i="6" s="1"/>
  <c r="M73" i="6" s="1"/>
  <c r="K47" i="6"/>
  <c r="AZ408" i="6"/>
  <c r="AY408" i="6" s="1"/>
  <c r="AX408" i="6" s="1"/>
  <c r="M408" i="6" s="1"/>
  <c r="K363" i="6"/>
  <c r="K290" i="6"/>
  <c r="AZ200" i="6"/>
  <c r="AY200" i="6" s="1"/>
  <c r="AX200" i="6" s="1"/>
  <c r="M200" i="6" s="1"/>
  <c r="K436" i="6"/>
  <c r="AZ460" i="6"/>
  <c r="AY460" i="6" s="1"/>
  <c r="AX460" i="6" s="1"/>
  <c r="M460" i="6" s="1"/>
  <c r="K421" i="6"/>
  <c r="AZ107" i="6"/>
  <c r="AY107" i="6" s="1"/>
  <c r="AX107" i="6" s="1"/>
  <c r="M107" i="6" s="1"/>
  <c r="K25" i="6"/>
  <c r="K339" i="6"/>
  <c r="K117" i="6"/>
  <c r="AZ464" i="6"/>
  <c r="AY464" i="6" s="1"/>
  <c r="AX464" i="6" s="1"/>
  <c r="M464" i="6" s="1"/>
  <c r="AZ292" i="6"/>
  <c r="AY292" i="6" s="1"/>
  <c r="AX292" i="6" s="1"/>
  <c r="M292" i="6" s="1"/>
  <c r="BP89" i="6"/>
  <c r="BO89" i="6" s="1"/>
  <c r="BN89" i="6" s="1"/>
  <c r="S89" i="6" s="1"/>
  <c r="BH89" i="6"/>
  <c r="BG89" i="6" s="1"/>
  <c r="BF89" i="6" s="1"/>
  <c r="P89" i="6" s="1"/>
  <c r="K13" i="6"/>
  <c r="K293" i="6"/>
  <c r="AZ401" i="6"/>
  <c r="AY401" i="6" s="1"/>
  <c r="AX401" i="6" s="1"/>
  <c r="M401" i="6" s="1"/>
  <c r="AZ161" i="6"/>
  <c r="AY161" i="6" s="1"/>
  <c r="AX161" i="6" s="1"/>
  <c r="M161" i="6" s="1"/>
  <c r="K273" i="6"/>
  <c r="K264" i="6"/>
  <c r="AZ156" i="6"/>
  <c r="AY156" i="6" s="1"/>
  <c r="AX156" i="6" s="1"/>
  <c r="M156" i="6" s="1"/>
  <c r="K323" i="6"/>
  <c r="AZ48" i="6"/>
  <c r="AY48" i="6" s="1"/>
  <c r="AX48" i="6" s="1"/>
  <c r="M48" i="6" s="1"/>
  <c r="K240" i="6"/>
  <c r="AZ46" i="6"/>
  <c r="AY46" i="6" s="1"/>
  <c r="AX46" i="6" s="1"/>
  <c r="M46" i="6" s="1"/>
  <c r="AZ184" i="6"/>
  <c r="AY184" i="6" s="1"/>
  <c r="AX184" i="6" s="1"/>
  <c r="M184" i="6" s="1"/>
  <c r="K271" i="6"/>
  <c r="K446" i="6"/>
  <c r="AZ111" i="6"/>
  <c r="AY111" i="6" s="1"/>
  <c r="AX111" i="6" s="1"/>
  <c r="M111" i="6" s="1"/>
  <c r="BP403" i="6"/>
  <c r="BO403" i="6" s="1"/>
  <c r="BN403" i="6" s="1"/>
  <c r="S403" i="6" s="1"/>
  <c r="K382" i="6"/>
  <c r="K453" i="6"/>
  <c r="AZ461" i="6"/>
  <c r="AY461" i="6" s="1"/>
  <c r="AX461" i="6" s="1"/>
  <c r="M461" i="6" s="1"/>
  <c r="K459" i="6"/>
  <c r="AZ219" i="6"/>
  <c r="AY219" i="6" s="1"/>
  <c r="AX219" i="6" s="1"/>
  <c r="M219" i="6" s="1"/>
  <c r="AZ428" i="6"/>
  <c r="AY428" i="6" s="1"/>
  <c r="AX428" i="6" s="1"/>
  <c r="M428" i="6" s="1"/>
  <c r="AR179" i="6"/>
  <c r="AQ179" i="6" s="1"/>
  <c r="AP179" i="6" s="1"/>
  <c r="J179" i="6" s="1"/>
  <c r="AZ108" i="6"/>
  <c r="AY108" i="6" s="1"/>
  <c r="AX108" i="6" s="1"/>
  <c r="M108" i="6" s="1"/>
  <c r="AZ166" i="6"/>
  <c r="AY166" i="6" s="1"/>
  <c r="AX166" i="6" s="1"/>
  <c r="M166" i="6" s="1"/>
  <c r="K268" i="6"/>
  <c r="AZ90" i="6"/>
  <c r="AY90" i="6" s="1"/>
  <c r="AX90" i="6" s="1"/>
  <c r="M90" i="6" s="1"/>
  <c r="K270" i="6"/>
  <c r="AK466" i="6"/>
  <c r="AJ466" i="6" s="1"/>
  <c r="AI466" i="6" s="1"/>
  <c r="G466" i="6" s="1"/>
  <c r="AZ445" i="6"/>
  <c r="AY445" i="6" s="1"/>
  <c r="AX445" i="6" s="1"/>
  <c r="M445" i="6" s="1"/>
  <c r="AZ341" i="6"/>
  <c r="AY341" i="6" s="1"/>
  <c r="AX341" i="6" s="1"/>
  <c r="M341" i="6" s="1"/>
  <c r="K209" i="6"/>
  <c r="K371" i="6"/>
  <c r="K282" i="6"/>
  <c r="K9" i="6"/>
  <c r="K426" i="6"/>
  <c r="K60" i="6"/>
  <c r="K450" i="6"/>
  <c r="K419" i="6"/>
  <c r="AR403" i="6"/>
  <c r="AQ403" i="6" s="1"/>
  <c r="AP403" i="6" s="1"/>
  <c r="J403" i="6" s="1"/>
  <c r="BH403" i="6"/>
  <c r="BG403" i="6" s="1"/>
  <c r="BF403" i="6" s="1"/>
  <c r="P403" i="6" s="1"/>
  <c r="BH401" i="6"/>
  <c r="BG401" i="6" s="1"/>
  <c r="BF401" i="6" s="1"/>
  <c r="P401" i="6" s="1"/>
  <c r="AR401" i="6"/>
  <c r="AQ401" i="6" s="1"/>
  <c r="AP401" i="6" s="1"/>
  <c r="J401" i="6" s="1"/>
  <c r="BP401" i="6"/>
  <c r="BO401" i="6" s="1"/>
  <c r="BN401" i="6" s="1"/>
  <c r="S401" i="6" s="1"/>
  <c r="K167" i="6"/>
  <c r="AZ42" i="6"/>
  <c r="AY42" i="6" s="1"/>
  <c r="AX42" i="6" s="1"/>
  <c r="M42" i="6" s="1"/>
  <c r="BP179" i="6"/>
  <c r="BO179" i="6" s="1"/>
  <c r="BN179" i="6" s="1"/>
  <c r="S179" i="6" s="1"/>
  <c r="K355" i="6"/>
  <c r="K318" i="6"/>
  <c r="K224" i="6"/>
  <c r="AZ285" i="6"/>
  <c r="AY285" i="6" s="1"/>
  <c r="AX285" i="6" s="1"/>
  <c r="M285" i="6" s="1"/>
  <c r="AZ265" i="6"/>
  <c r="AY265" i="6" s="1"/>
  <c r="AX265" i="6" s="1"/>
  <c r="M265" i="6" s="1"/>
  <c r="K114" i="6"/>
  <c r="K177" i="6"/>
  <c r="AZ103" i="6"/>
  <c r="AY103" i="6" s="1"/>
  <c r="AX103" i="6" s="1"/>
  <c r="M103" i="6" s="1"/>
  <c r="AZ173" i="6"/>
  <c r="AY173" i="6" s="1"/>
  <c r="AX173" i="6" s="1"/>
  <c r="M173" i="6" s="1"/>
  <c r="K139" i="6"/>
  <c r="K247" i="6"/>
  <c r="K267" i="6"/>
  <c r="K192" i="6"/>
  <c r="AZ306" i="6"/>
  <c r="AY306" i="6" s="1"/>
  <c r="AX306" i="6" s="1"/>
  <c r="M306" i="6" s="1"/>
  <c r="K399" i="6"/>
  <c r="K169" i="6"/>
  <c r="AZ38" i="6"/>
  <c r="AY38" i="6" s="1"/>
  <c r="AX38" i="6" s="1"/>
  <c r="M38" i="6" s="1"/>
  <c r="AZ34" i="6"/>
  <c r="AY34" i="6" s="1"/>
  <c r="AX34" i="6" s="1"/>
  <c r="M34" i="6" s="1"/>
  <c r="AZ439" i="6"/>
  <c r="AY439" i="6" s="1"/>
  <c r="AX439" i="6" s="1"/>
  <c r="M439" i="6" s="1"/>
  <c r="K297" i="6"/>
  <c r="K91" i="6"/>
  <c r="K414" i="6"/>
  <c r="K356" i="6"/>
  <c r="AZ390" i="6"/>
  <c r="AY390" i="6" s="1"/>
  <c r="AX390" i="6" s="1"/>
  <c r="M390" i="6" s="1"/>
  <c r="K359" i="6"/>
  <c r="K387" i="6"/>
  <c r="AZ370" i="6"/>
  <c r="AY370" i="6" s="1"/>
  <c r="AX370" i="6" s="1"/>
  <c r="M370" i="6" s="1"/>
  <c r="AZ400" i="6"/>
  <c r="AY400" i="6" s="1"/>
  <c r="AX400" i="6" s="1"/>
  <c r="M400" i="6" s="1"/>
  <c r="K380" i="6"/>
  <c r="K372" i="6"/>
  <c r="K338" i="6"/>
  <c r="K346" i="6"/>
  <c r="AZ347" i="6"/>
  <c r="AY347" i="6" s="1"/>
  <c r="AX347" i="6" s="1"/>
  <c r="M347" i="6" s="1"/>
  <c r="K335" i="6"/>
  <c r="AZ342" i="6"/>
  <c r="AY342" i="6" s="1"/>
  <c r="AX342" i="6" s="1"/>
  <c r="M342" i="6" s="1"/>
  <c r="K312" i="6"/>
  <c r="AZ317" i="6"/>
  <c r="AY317" i="6" s="1"/>
  <c r="AX317" i="6" s="1"/>
  <c r="M317" i="6" s="1"/>
  <c r="AZ337" i="6"/>
  <c r="AY337" i="6" s="1"/>
  <c r="AX337" i="6" s="1"/>
  <c r="M337" i="6" s="1"/>
  <c r="K444" i="6"/>
  <c r="AZ231" i="6"/>
  <c r="AY231" i="6" s="1"/>
  <c r="AX231" i="6" s="1"/>
  <c r="M231" i="6" s="1"/>
  <c r="AZ376" i="6"/>
  <c r="AY376" i="6" s="1"/>
  <c r="AX376" i="6" s="1"/>
  <c r="M376" i="6" s="1"/>
  <c r="K294" i="6"/>
  <c r="K187" i="6"/>
  <c r="K160" i="6"/>
  <c r="K11" i="6"/>
  <c r="AZ465" i="6"/>
  <c r="AY465" i="6" s="1"/>
  <c r="AX465" i="6" s="1"/>
  <c r="M465" i="6" s="1"/>
  <c r="AZ51" i="6"/>
  <c r="AY51" i="6" s="1"/>
  <c r="AX51" i="6" s="1"/>
  <c r="M51" i="6" s="1"/>
  <c r="AZ448" i="6"/>
  <c r="AY448" i="6" s="1"/>
  <c r="AX448" i="6" s="1"/>
  <c r="M448" i="6" s="1"/>
  <c r="K280" i="6"/>
  <c r="K389" i="6"/>
  <c r="AZ109" i="6"/>
  <c r="AY109" i="6" s="1"/>
  <c r="AX109" i="6" s="1"/>
  <c r="M109" i="6" s="1"/>
  <c r="AZ466" i="6"/>
  <c r="AY466" i="6" s="1"/>
  <c r="AX466" i="6" s="1"/>
  <c r="M466" i="6" s="1"/>
  <c r="K63" i="6"/>
  <c r="AZ417" i="6"/>
  <c r="AY417" i="6" s="1"/>
  <c r="AX417" i="6" s="1"/>
  <c r="M417" i="6" s="1"/>
  <c r="K92" i="6"/>
  <c r="K378" i="6"/>
  <c r="AZ95" i="6"/>
  <c r="AY95" i="6" s="1"/>
  <c r="AX95" i="6" s="1"/>
  <c r="M95" i="6" s="1"/>
  <c r="K170" i="6"/>
  <c r="AZ87" i="6"/>
  <c r="AY87" i="6" s="1"/>
  <c r="AX87" i="6" s="1"/>
  <c r="M87" i="6" s="1"/>
  <c r="AZ97" i="6"/>
  <c r="AY97" i="6" s="1"/>
  <c r="AX97" i="6" s="1"/>
  <c r="M97" i="6" s="1"/>
  <c r="AZ369" i="6"/>
  <c r="AY369" i="6" s="1"/>
  <c r="AX369" i="6" s="1"/>
  <c r="M369" i="6" s="1"/>
  <c r="K427" i="6"/>
  <c r="AZ208" i="6"/>
  <c r="AY208" i="6" s="1"/>
  <c r="AX208" i="6" s="1"/>
  <c r="M208" i="6" s="1"/>
  <c r="K174" i="6"/>
  <c r="AZ374" i="6"/>
  <c r="AY374" i="6" s="1"/>
  <c r="AX374" i="6" s="1"/>
  <c r="M374" i="6" s="1"/>
  <c r="K455" i="6"/>
  <c r="K12" i="6"/>
  <c r="K296" i="6"/>
  <c r="K287" i="6"/>
  <c r="AZ243" i="6"/>
  <c r="AY243" i="6" s="1"/>
  <c r="AX243" i="6" s="1"/>
  <c r="M243" i="6" s="1"/>
  <c r="AZ205" i="6"/>
  <c r="AY205" i="6" s="1"/>
  <c r="AX205" i="6" s="1"/>
  <c r="M205" i="6" s="1"/>
  <c r="K245" i="6"/>
  <c r="K226" i="6"/>
  <c r="AZ206" i="6"/>
  <c r="AY206" i="6" s="1"/>
  <c r="AX206" i="6" s="1"/>
  <c r="M206" i="6" s="1"/>
  <c r="K220" i="6"/>
  <c r="K218" i="6"/>
  <c r="K217" i="6"/>
  <c r="K244" i="6"/>
  <c r="K175" i="6"/>
  <c r="K158" i="6"/>
  <c r="AZ140" i="6"/>
  <c r="AY140" i="6" s="1"/>
  <c r="AX140" i="6" s="1"/>
  <c r="M140" i="6" s="1"/>
  <c r="AZ142" i="6"/>
  <c r="AY142" i="6" s="1"/>
  <c r="AX142" i="6" s="1"/>
  <c r="M142" i="6" s="1"/>
  <c r="K148" i="6"/>
  <c r="K105" i="6"/>
  <c r="K145" i="6"/>
  <c r="K320" i="6"/>
  <c r="AZ21" i="6"/>
  <c r="AY21" i="6" s="1"/>
  <c r="AX21" i="6" s="1"/>
  <c r="M21" i="6" s="1"/>
  <c r="AZ115" i="6"/>
  <c r="AY115" i="6" s="1"/>
  <c r="AX115" i="6" s="1"/>
  <c r="M115" i="6" s="1"/>
  <c r="AZ368" i="6"/>
  <c r="AY368" i="6" s="1"/>
  <c r="AX368" i="6" s="1"/>
  <c r="M368" i="6" s="1"/>
  <c r="K379" i="6"/>
  <c r="K153" i="6"/>
  <c r="AZ198" i="6"/>
  <c r="AY198" i="6" s="1"/>
  <c r="AX198" i="6" s="1"/>
  <c r="M198" i="6" s="1"/>
  <c r="K258" i="6"/>
  <c r="K202" i="6"/>
  <c r="AZ66" i="6"/>
  <c r="AY66" i="6" s="1"/>
  <c r="AX66" i="6" s="1"/>
  <c r="M66" i="6" s="1"/>
  <c r="K78" i="6"/>
  <c r="K55" i="6"/>
  <c r="AZ61" i="6"/>
  <c r="AY61" i="6" s="1"/>
  <c r="AX61" i="6" s="1"/>
  <c r="M61" i="6" s="1"/>
  <c r="K84" i="6"/>
  <c r="AZ74" i="6"/>
  <c r="AY74" i="6" s="1"/>
  <c r="AX74" i="6" s="1"/>
  <c r="M74" i="6" s="1"/>
  <c r="AZ72" i="6"/>
  <c r="AY72" i="6" s="1"/>
  <c r="AX72" i="6" s="1"/>
  <c r="M72" i="6" s="1"/>
  <c r="K45" i="6"/>
  <c r="K16" i="6"/>
  <c r="K43" i="6"/>
  <c r="AZ64" i="6"/>
  <c r="AY64" i="6" s="1"/>
  <c r="AX64" i="6" s="1"/>
  <c r="M64" i="6" s="1"/>
  <c r="K94" i="6"/>
  <c r="K81" i="6"/>
  <c r="K80" i="6"/>
  <c r="K62" i="6"/>
  <c r="K53" i="6"/>
  <c r="K100" i="6"/>
  <c r="AZ40" i="6"/>
  <c r="AY40" i="6" s="1"/>
  <c r="AX40" i="6" s="1"/>
  <c r="M40" i="6" s="1"/>
  <c r="K435" i="6"/>
  <c r="AZ302" i="6"/>
  <c r="AY302" i="6" s="1"/>
  <c r="AX302" i="6" s="1"/>
  <c r="M302" i="6" s="1"/>
  <c r="K432" i="6"/>
  <c r="AZ434" i="6"/>
  <c r="AY434" i="6" s="1"/>
  <c r="AX434" i="6" s="1"/>
  <c r="M434" i="6" s="1"/>
  <c r="K397" i="6"/>
  <c r="K131" i="6"/>
  <c r="K58" i="6"/>
  <c r="K210" i="6"/>
  <c r="G124" i="1"/>
  <c r="F124" i="1"/>
  <c r="K288" i="6"/>
  <c r="K132" i="6"/>
  <c r="K50" i="6"/>
  <c r="AZ276" i="6"/>
  <c r="AY276" i="6" s="1"/>
  <c r="AX276" i="6" s="1"/>
  <c r="M276" i="6" s="1"/>
  <c r="K354" i="6"/>
  <c r="AZ242" i="6"/>
  <c r="AY242" i="6" s="1"/>
  <c r="AX242" i="6" s="1"/>
  <c r="M242" i="6" s="1"/>
  <c r="AZ274" i="6"/>
  <c r="AY274" i="6" s="1"/>
  <c r="AX274" i="6" s="1"/>
  <c r="M274" i="6" s="1"/>
  <c r="K216" i="6"/>
  <c r="K24" i="6"/>
  <c r="K106" i="6"/>
  <c r="AZ188" i="6"/>
  <c r="AY188" i="6" s="1"/>
  <c r="AX188" i="6" s="1"/>
  <c r="M188" i="6" s="1"/>
  <c r="K330" i="6"/>
  <c r="K59" i="6"/>
  <c r="K315" i="6"/>
  <c r="K110" i="6"/>
  <c r="AZ365" i="6"/>
  <c r="AY365" i="6" s="1"/>
  <c r="AX365" i="6" s="1"/>
  <c r="M365" i="6" s="1"/>
  <c r="K407" i="6"/>
  <c r="K252" i="6"/>
  <c r="K225" i="6"/>
  <c r="K96" i="6"/>
  <c r="AZ15" i="6"/>
  <c r="AY15" i="6" s="1"/>
  <c r="AX15" i="6" s="1"/>
  <c r="M15" i="6" s="1"/>
  <c r="AZ340" i="6"/>
  <c r="AY340" i="6" s="1"/>
  <c r="AX340" i="6" s="1"/>
  <c r="M340" i="6" s="1"/>
  <c r="K181" i="6"/>
  <c r="A7" i="10"/>
  <c r="A8" i="10" s="1"/>
  <c r="AZ237" i="6"/>
  <c r="AY237" i="6" s="1"/>
  <c r="AX237" i="6" s="1"/>
  <c r="M237" i="6" s="1"/>
  <c r="AZ348" i="6"/>
  <c r="AY348" i="6" s="1"/>
  <c r="AX348" i="6" s="1"/>
  <c r="M348" i="6" s="1"/>
  <c r="K310" i="6"/>
  <c r="K321" i="6"/>
  <c r="K159" i="6"/>
  <c r="K178" i="6"/>
  <c r="AZ284" i="6"/>
  <c r="AY284" i="6" s="1"/>
  <c r="AX284" i="6" s="1"/>
  <c r="M284" i="6" s="1"/>
  <c r="K412" i="6"/>
  <c r="K404" i="6"/>
  <c r="Q103" i="6"/>
  <c r="BP103" i="6"/>
  <c r="BO103" i="6" s="1"/>
  <c r="BN103" i="6" s="1"/>
  <c r="S103" i="6" s="1"/>
  <c r="Q169" i="6"/>
  <c r="BP169" i="6"/>
  <c r="BO169" i="6" s="1"/>
  <c r="BN169" i="6" s="1"/>
  <c r="S169" i="6" s="1"/>
  <c r="H210" i="6"/>
  <c r="AR210" i="6"/>
  <c r="AQ210" i="6" s="1"/>
  <c r="AP210" i="6" s="1"/>
  <c r="J210" i="6" s="1"/>
  <c r="N245" i="6"/>
  <c r="BH245" i="6"/>
  <c r="BG245" i="6" s="1"/>
  <c r="BF245" i="6" s="1"/>
  <c r="P245" i="6" s="1"/>
  <c r="N374" i="6"/>
  <c r="BH374" i="6"/>
  <c r="BG374" i="6" s="1"/>
  <c r="BF374" i="6" s="1"/>
  <c r="P374" i="6" s="1"/>
  <c r="Q412" i="6"/>
  <c r="BP412" i="6"/>
  <c r="BO412" i="6" s="1"/>
  <c r="BN412" i="6" s="1"/>
  <c r="S412" i="6" s="1"/>
  <c r="Q370" i="6"/>
  <c r="BP370" i="6"/>
  <c r="BO370" i="6" s="1"/>
  <c r="BN370" i="6" s="1"/>
  <c r="S370" i="6" s="1"/>
  <c r="N369" i="6"/>
  <c r="BH369" i="6"/>
  <c r="BG369" i="6" s="1"/>
  <c r="BF369" i="6" s="1"/>
  <c r="P369" i="6" s="1"/>
  <c r="Q38" i="6"/>
  <c r="BP38" i="6"/>
  <c r="BO38" i="6" s="1"/>
  <c r="BN38" i="6" s="1"/>
  <c r="S38" i="6" s="1"/>
  <c r="Q159" i="6"/>
  <c r="BP159" i="6"/>
  <c r="BO159" i="6" s="1"/>
  <c r="BN159" i="6" s="1"/>
  <c r="S159" i="6" s="1"/>
  <c r="Q404" i="6"/>
  <c r="BP404" i="6"/>
  <c r="BO404" i="6" s="1"/>
  <c r="BN404" i="6" s="1"/>
  <c r="S404" i="6" s="1"/>
  <c r="Q177" i="6"/>
  <c r="BP177" i="6"/>
  <c r="BO177" i="6" s="1"/>
  <c r="BN177" i="6" s="1"/>
  <c r="S177" i="6" s="1"/>
  <c r="N310" i="6"/>
  <c r="BH310" i="6"/>
  <c r="BG310" i="6" s="1"/>
  <c r="BF310" i="6" s="1"/>
  <c r="P310" i="6" s="1"/>
  <c r="H43" i="6"/>
  <c r="AR43" i="6"/>
  <c r="AQ43" i="6" s="1"/>
  <c r="AP43" i="6" s="1"/>
  <c r="J43" i="6" s="1"/>
  <c r="H198" i="6"/>
  <c r="AR198" i="6"/>
  <c r="AQ198" i="6" s="1"/>
  <c r="AP198" i="6" s="1"/>
  <c r="J198" i="6" s="1"/>
  <c r="H284" i="6"/>
  <c r="AR284" i="6"/>
  <c r="AQ284" i="6" s="1"/>
  <c r="AP284" i="6" s="1"/>
  <c r="J284" i="6" s="1"/>
  <c r="N432" i="6"/>
  <c r="BH432" i="6"/>
  <c r="BG432" i="6" s="1"/>
  <c r="BF432" i="6" s="1"/>
  <c r="P432" i="6" s="1"/>
  <c r="Q45" i="6"/>
  <c r="BP45" i="6"/>
  <c r="BO45" i="6" s="1"/>
  <c r="BN45" i="6" s="1"/>
  <c r="S45" i="6" s="1"/>
  <c r="H321" i="6"/>
  <c r="AR321" i="6"/>
  <c r="AQ321" i="6" s="1"/>
  <c r="AP321" i="6" s="1"/>
  <c r="J321" i="6" s="1"/>
  <c r="N98" i="6"/>
  <c r="BH98" i="6"/>
  <c r="BG98" i="6" s="1"/>
  <c r="BF98" i="6" s="1"/>
  <c r="P98" i="6" s="1"/>
  <c r="H291" i="6"/>
  <c r="AR291" i="6"/>
  <c r="AQ291" i="6" s="1"/>
  <c r="AP291" i="6" s="1"/>
  <c r="J291" i="6" s="1"/>
  <c r="N398" i="6"/>
  <c r="BH398" i="6"/>
  <c r="BG398" i="6" s="1"/>
  <c r="BF398" i="6" s="1"/>
  <c r="P398" i="6" s="1"/>
  <c r="H275" i="6"/>
  <c r="AR275" i="6"/>
  <c r="AQ275" i="6" s="1"/>
  <c r="AP275" i="6" s="1"/>
  <c r="J275" i="6" s="1"/>
  <c r="H238" i="6"/>
  <c r="AR238" i="6"/>
  <c r="AQ238" i="6" s="1"/>
  <c r="AP238" i="6" s="1"/>
  <c r="J238" i="6" s="1"/>
  <c r="H112" i="6"/>
  <c r="AR112" i="6"/>
  <c r="AQ112" i="6" s="1"/>
  <c r="AP112" i="6" s="1"/>
  <c r="J112" i="6" s="1"/>
  <c r="H28" i="6"/>
  <c r="AR28" i="6"/>
  <c r="AQ28" i="6" s="1"/>
  <c r="AP28" i="6" s="1"/>
  <c r="J28" i="6" s="1"/>
  <c r="H392" i="6"/>
  <c r="AR392" i="6"/>
  <c r="AQ392" i="6" s="1"/>
  <c r="AP392" i="6" s="1"/>
  <c r="J392" i="6" s="1"/>
  <c r="N261" i="6"/>
  <c r="BH261" i="6"/>
  <c r="BG261" i="6" s="1"/>
  <c r="BF261" i="6" s="1"/>
  <c r="P261" i="6" s="1"/>
  <c r="H334" i="6"/>
  <c r="AR334" i="6"/>
  <c r="AQ334" i="6" s="1"/>
  <c r="AP334" i="6" s="1"/>
  <c r="J334" i="6" s="1"/>
  <c r="N34" i="6"/>
  <c r="BH34" i="6"/>
  <c r="BG34" i="6" s="1"/>
  <c r="BF34" i="6" s="1"/>
  <c r="P34" i="6" s="1"/>
  <c r="N243" i="6"/>
  <c r="BH243" i="6"/>
  <c r="BG243" i="6" s="1"/>
  <c r="BF243" i="6" s="1"/>
  <c r="P243" i="6" s="1"/>
  <c r="H270" i="6"/>
  <c r="AR270" i="6"/>
  <c r="AQ270" i="6" s="1"/>
  <c r="AP270" i="6" s="1"/>
  <c r="J270" i="6" s="1"/>
  <c r="H397" i="6"/>
  <c r="AR397" i="6"/>
  <c r="AQ397" i="6" s="1"/>
  <c r="AP397" i="6" s="1"/>
  <c r="J397" i="6" s="1"/>
  <c r="H453" i="6"/>
  <c r="AR453" i="6"/>
  <c r="AQ453" i="6" s="1"/>
  <c r="AP453" i="6" s="1"/>
  <c r="J453" i="6" s="1"/>
  <c r="Q363" i="6"/>
  <c r="BP363" i="6"/>
  <c r="BO363" i="6" s="1"/>
  <c r="BN363" i="6" s="1"/>
  <c r="S363" i="6" s="1"/>
  <c r="N55" i="6"/>
  <c r="BH55" i="6"/>
  <c r="BG55" i="6" s="1"/>
  <c r="BF55" i="6" s="1"/>
  <c r="P55" i="6" s="1"/>
  <c r="Q167" i="6"/>
  <c r="BP167" i="6"/>
  <c r="BO167" i="6" s="1"/>
  <c r="BN167" i="6" s="1"/>
  <c r="S167" i="6" s="1"/>
  <c r="H399" i="6"/>
  <c r="AR399" i="6"/>
  <c r="AQ399" i="6" s="1"/>
  <c r="AP399" i="6" s="1"/>
  <c r="J399" i="6" s="1"/>
  <c r="H42" i="6"/>
  <c r="AR42" i="6"/>
  <c r="AQ42" i="6" s="1"/>
  <c r="AP42" i="6" s="1"/>
  <c r="J42" i="6" s="1"/>
  <c r="H287" i="6"/>
  <c r="AR287" i="6"/>
  <c r="AQ287" i="6" s="1"/>
  <c r="AP287" i="6" s="1"/>
  <c r="J287" i="6" s="1"/>
  <c r="Q219" i="6"/>
  <c r="BP219" i="6"/>
  <c r="BO219" i="6" s="1"/>
  <c r="BN219" i="6" s="1"/>
  <c r="S219" i="6" s="1"/>
  <c r="Q379" i="6"/>
  <c r="BP379" i="6"/>
  <c r="BO379" i="6" s="1"/>
  <c r="BN379" i="6" s="1"/>
  <c r="S379" i="6" s="1"/>
  <c r="Q450" i="6"/>
  <c r="BP450" i="6"/>
  <c r="BO450" i="6" s="1"/>
  <c r="BN450" i="6" s="1"/>
  <c r="S450" i="6" s="1"/>
  <c r="H461" i="6"/>
  <c r="AR461" i="6"/>
  <c r="AQ461" i="6" s="1"/>
  <c r="AP461" i="6" s="1"/>
  <c r="J461" i="6" s="1"/>
  <c r="H72" i="6"/>
  <c r="AR72" i="6"/>
  <c r="AQ72" i="6" s="1"/>
  <c r="AP72" i="6" s="1"/>
  <c r="J72" i="6" s="1"/>
  <c r="N417" i="6"/>
  <c r="BH417" i="6"/>
  <c r="BG417" i="6" s="1"/>
  <c r="BF417" i="6" s="1"/>
  <c r="P417" i="6" s="1"/>
  <c r="N109" i="6"/>
  <c r="BH109" i="6"/>
  <c r="BG109" i="6" s="1"/>
  <c r="BF109" i="6" s="1"/>
  <c r="P109" i="6" s="1"/>
  <c r="H231" i="6"/>
  <c r="AR231" i="6"/>
  <c r="AQ231" i="6" s="1"/>
  <c r="AP231" i="6" s="1"/>
  <c r="J231" i="6" s="1"/>
  <c r="N411" i="6"/>
  <c r="BH411" i="6"/>
  <c r="BG411" i="6" s="1"/>
  <c r="BF411" i="6" s="1"/>
  <c r="P411" i="6" s="1"/>
  <c r="N174" i="6"/>
  <c r="BH174" i="6"/>
  <c r="BG174" i="6" s="1"/>
  <c r="BF174" i="6" s="1"/>
  <c r="P174" i="6" s="1"/>
  <c r="H426" i="6"/>
  <c r="AR426" i="6"/>
  <c r="AQ426" i="6" s="1"/>
  <c r="AP426" i="6" s="1"/>
  <c r="J426" i="6" s="1"/>
  <c r="N12" i="6"/>
  <c r="BH12" i="6"/>
  <c r="BG12" i="6" s="1"/>
  <c r="BF12" i="6" s="1"/>
  <c r="P12" i="6" s="1"/>
  <c r="Q131" i="6"/>
  <c r="BP131" i="6"/>
  <c r="BO131" i="6" s="1"/>
  <c r="BN131" i="6" s="1"/>
  <c r="S131" i="6" s="1"/>
  <c r="Q282" i="6"/>
  <c r="BP282" i="6"/>
  <c r="BO282" i="6" s="1"/>
  <c r="BN282" i="6" s="1"/>
  <c r="S282" i="6" s="1"/>
  <c r="N455" i="6"/>
  <c r="BH455" i="6"/>
  <c r="BG455" i="6" s="1"/>
  <c r="BF455" i="6" s="1"/>
  <c r="P455" i="6" s="1"/>
  <c r="H80" i="6"/>
  <c r="AR80" i="6"/>
  <c r="AQ80" i="6" s="1"/>
  <c r="AP80" i="6" s="1"/>
  <c r="J80" i="6" s="1"/>
  <c r="N224" i="6"/>
  <c r="BH224" i="6"/>
  <c r="BG224" i="6" s="1"/>
  <c r="BF224" i="6" s="1"/>
  <c r="P224" i="6" s="1"/>
  <c r="H452" i="6"/>
  <c r="AR452" i="6"/>
  <c r="AQ452" i="6" s="1"/>
  <c r="AP452" i="6" s="1"/>
  <c r="J452" i="6" s="1"/>
  <c r="N85" i="6"/>
  <c r="BH85" i="6"/>
  <c r="BG85" i="6" s="1"/>
  <c r="BF85" i="6" s="1"/>
  <c r="P85" i="6" s="1"/>
  <c r="Q350" i="6"/>
  <c r="BP350" i="6"/>
  <c r="BO350" i="6" s="1"/>
  <c r="BN350" i="6" s="1"/>
  <c r="S350" i="6" s="1"/>
  <c r="H35" i="6"/>
  <c r="AR35" i="6"/>
  <c r="AQ35" i="6" s="1"/>
  <c r="AP35" i="6" s="1"/>
  <c r="J35" i="6" s="1"/>
  <c r="H143" i="6"/>
  <c r="AR143" i="6"/>
  <c r="AQ143" i="6" s="1"/>
  <c r="AP143" i="6" s="1"/>
  <c r="J143" i="6" s="1"/>
  <c r="Q153" i="6"/>
  <c r="BP153" i="6"/>
  <c r="BO153" i="6" s="1"/>
  <c r="BN153" i="6" s="1"/>
  <c r="S153" i="6" s="1"/>
  <c r="N445" i="6"/>
  <c r="BH445" i="6"/>
  <c r="BG445" i="6" s="1"/>
  <c r="BF445" i="6" s="1"/>
  <c r="P445" i="6" s="1"/>
  <c r="Q170" i="6"/>
  <c r="BP170" i="6"/>
  <c r="BO170" i="6" s="1"/>
  <c r="BN170" i="6" s="1"/>
  <c r="S170" i="6" s="1"/>
  <c r="N390" i="6"/>
  <c r="BH390" i="6"/>
  <c r="BG390" i="6" s="1"/>
  <c r="BF390" i="6" s="1"/>
  <c r="P390" i="6" s="1"/>
  <c r="Q87" i="6"/>
  <c r="BP87" i="6"/>
  <c r="BO87" i="6" s="1"/>
  <c r="BN87" i="6" s="1"/>
  <c r="S87" i="6" s="1"/>
  <c r="N387" i="6"/>
  <c r="BH387" i="6"/>
  <c r="BG387" i="6" s="1"/>
  <c r="BF387" i="6" s="1"/>
  <c r="P387" i="6" s="1"/>
  <c r="Q205" i="6"/>
  <c r="BP205" i="6"/>
  <c r="BO205" i="6" s="1"/>
  <c r="BN205" i="6" s="1"/>
  <c r="S205" i="6" s="1"/>
  <c r="N23" i="6"/>
  <c r="BH23" i="6"/>
  <c r="BG23" i="6" s="1"/>
  <c r="BF23" i="6" s="1"/>
  <c r="P23" i="6" s="1"/>
  <c r="N342" i="6"/>
  <c r="BH342" i="6"/>
  <c r="BG342" i="6" s="1"/>
  <c r="BF342" i="6" s="1"/>
  <c r="P342" i="6" s="1"/>
  <c r="N21" i="6"/>
  <c r="BH21" i="6"/>
  <c r="BG21" i="6" s="1"/>
  <c r="BF21" i="6" s="1"/>
  <c r="P21" i="6" s="1"/>
  <c r="N173" i="6"/>
  <c r="BH173" i="6"/>
  <c r="BG173" i="6" s="1"/>
  <c r="BF173" i="6" s="1"/>
  <c r="P173" i="6" s="1"/>
  <c r="Q296" i="6"/>
  <c r="BP296" i="6"/>
  <c r="BO296" i="6" s="1"/>
  <c r="BN296" i="6" s="1"/>
  <c r="S296" i="6" s="1"/>
  <c r="N273" i="6"/>
  <c r="BH273" i="6"/>
  <c r="BG273" i="6" s="1"/>
  <c r="BF273" i="6" s="1"/>
  <c r="P273" i="6" s="1"/>
  <c r="H466" i="6"/>
  <c r="AR466" i="6"/>
  <c r="AQ466" i="6" s="1"/>
  <c r="AP466" i="6" s="1"/>
  <c r="J466" i="6" s="1"/>
  <c r="N74" i="6"/>
  <c r="BH74" i="6"/>
  <c r="BG74" i="6" s="1"/>
  <c r="BF74" i="6" s="1"/>
  <c r="P74" i="6" s="1"/>
  <c r="H166" i="6"/>
  <c r="AR166" i="6"/>
  <c r="AQ166" i="6" s="1"/>
  <c r="AP166" i="6" s="1"/>
  <c r="J166" i="6" s="1"/>
  <c r="H218" i="6"/>
  <c r="AR218" i="6"/>
  <c r="AQ218" i="6" s="1"/>
  <c r="AP218" i="6" s="1"/>
  <c r="J218" i="6" s="1"/>
  <c r="N95" i="6"/>
  <c r="BH95" i="6"/>
  <c r="BG95" i="6" s="1"/>
  <c r="BF95" i="6" s="1"/>
  <c r="P95" i="6" s="1"/>
  <c r="Q268" i="6"/>
  <c r="BP268" i="6"/>
  <c r="BO268" i="6" s="1"/>
  <c r="BN268" i="6" s="1"/>
  <c r="S268" i="6" s="1"/>
  <c r="N208" i="6"/>
  <c r="BH208" i="6"/>
  <c r="BG208" i="6" s="1"/>
  <c r="BF208" i="6" s="1"/>
  <c r="P208" i="6" s="1"/>
  <c r="N280" i="6"/>
  <c r="BH280" i="6"/>
  <c r="BG280" i="6" s="1"/>
  <c r="BF280" i="6" s="1"/>
  <c r="P280" i="6" s="1"/>
  <c r="Q240" i="6"/>
  <c r="BP240" i="6"/>
  <c r="BO240" i="6" s="1"/>
  <c r="BN240" i="6" s="1"/>
  <c r="S240" i="6" s="1"/>
  <c r="N142" i="6"/>
  <c r="BH142" i="6"/>
  <c r="BG142" i="6" s="1"/>
  <c r="BF142" i="6" s="1"/>
  <c r="P142" i="6" s="1"/>
  <c r="N465" i="6"/>
  <c r="BH465" i="6"/>
  <c r="BG465" i="6" s="1"/>
  <c r="BF465" i="6" s="1"/>
  <c r="P465" i="6" s="1"/>
  <c r="H157" i="6"/>
  <c r="AR157" i="6"/>
  <c r="AQ157" i="6" s="1"/>
  <c r="AP157" i="6" s="1"/>
  <c r="J157" i="6" s="1"/>
  <c r="Q187" i="6"/>
  <c r="BP187" i="6"/>
  <c r="BO187" i="6" s="1"/>
  <c r="BN187" i="6" s="1"/>
  <c r="S187" i="6" s="1"/>
  <c r="N376" i="6"/>
  <c r="BH376" i="6"/>
  <c r="BG376" i="6" s="1"/>
  <c r="BF376" i="6" s="1"/>
  <c r="P376" i="6" s="1"/>
  <c r="N83" i="6"/>
  <c r="BH83" i="6"/>
  <c r="BG83" i="6" s="1"/>
  <c r="BF83" i="6" s="1"/>
  <c r="P83" i="6" s="1"/>
  <c r="Q259" i="6"/>
  <c r="BP259" i="6"/>
  <c r="BO259" i="6" s="1"/>
  <c r="BN259" i="6" s="1"/>
  <c r="S259" i="6" s="1"/>
  <c r="Q257" i="6"/>
  <c r="BP257" i="6"/>
  <c r="BO257" i="6" s="1"/>
  <c r="BN257" i="6" s="1"/>
  <c r="S257" i="6" s="1"/>
  <c r="N217" i="6"/>
  <c r="BH217" i="6"/>
  <c r="BG217" i="6" s="1"/>
  <c r="BF217" i="6" s="1"/>
  <c r="P217" i="6" s="1"/>
  <c r="H339" i="6"/>
  <c r="AR339" i="6"/>
  <c r="AQ339" i="6" s="1"/>
  <c r="AP339" i="6" s="1"/>
  <c r="J339" i="6" s="1"/>
  <c r="N160" i="6"/>
  <c r="BH160" i="6"/>
  <c r="BG160" i="6" s="1"/>
  <c r="BF160" i="6" s="1"/>
  <c r="P160" i="6" s="1"/>
  <c r="H323" i="6"/>
  <c r="AR323" i="6"/>
  <c r="AQ323" i="6" s="1"/>
  <c r="AP323" i="6" s="1"/>
  <c r="J323" i="6" s="1"/>
  <c r="Q421" i="6"/>
  <c r="BP421" i="6"/>
  <c r="BO421" i="6" s="1"/>
  <c r="BN421" i="6" s="1"/>
  <c r="S421" i="6" s="1"/>
  <c r="N378" i="6"/>
  <c r="BH378" i="6"/>
  <c r="BG378" i="6" s="1"/>
  <c r="BF378" i="6" s="1"/>
  <c r="P378" i="6" s="1"/>
  <c r="N184" i="6"/>
  <c r="BH184" i="6"/>
  <c r="BG184" i="6" s="1"/>
  <c r="BF184" i="6" s="1"/>
  <c r="P184" i="6" s="1"/>
  <c r="Q17" i="6"/>
  <c r="BP17" i="6"/>
  <c r="BO17" i="6" s="1"/>
  <c r="BN17" i="6" s="1"/>
  <c r="S17" i="6" s="1"/>
  <c r="Q84" i="6"/>
  <c r="BP84" i="6"/>
  <c r="BO84" i="6" s="1"/>
  <c r="BN84" i="6" s="1"/>
  <c r="S84" i="6" s="1"/>
  <c r="Q294" i="6"/>
  <c r="BP294" i="6"/>
  <c r="BO294" i="6" s="1"/>
  <c r="BN294" i="6" s="1"/>
  <c r="S294" i="6" s="1"/>
  <c r="H253" i="6"/>
  <c r="AR253" i="6"/>
  <c r="AQ253" i="6" s="1"/>
  <c r="AP253" i="6" s="1"/>
  <c r="J253" i="6" s="1"/>
  <c r="H312" i="6"/>
  <c r="AR312" i="6"/>
  <c r="AQ312" i="6" s="1"/>
  <c r="AP312" i="6" s="1"/>
  <c r="J312" i="6" s="1"/>
  <c r="N11" i="6"/>
  <c r="BH11" i="6"/>
  <c r="BG11" i="6" s="1"/>
  <c r="BF11" i="6" s="1"/>
  <c r="P11" i="6" s="1"/>
  <c r="N250" i="6"/>
  <c r="BH250" i="6"/>
  <c r="BG250" i="6" s="1"/>
  <c r="BF250" i="6" s="1"/>
  <c r="P250" i="6" s="1"/>
  <c r="N428" i="6"/>
  <c r="BH428" i="6"/>
  <c r="BG428" i="6" s="1"/>
  <c r="BF428" i="6" s="1"/>
  <c r="P428" i="6" s="1"/>
  <c r="N416" i="6"/>
  <c r="BH416" i="6"/>
  <c r="BG416" i="6" s="1"/>
  <c r="BF416" i="6" s="1"/>
  <c r="P416" i="6" s="1"/>
  <c r="Q226" i="6"/>
  <c r="BP226" i="6"/>
  <c r="BO226" i="6" s="1"/>
  <c r="BN226" i="6" s="1"/>
  <c r="S226" i="6" s="1"/>
  <c r="H105" i="6"/>
  <c r="AR105" i="6"/>
  <c r="AQ105" i="6" s="1"/>
  <c r="AP105" i="6" s="1"/>
  <c r="J105" i="6" s="1"/>
  <c r="N201" i="6"/>
  <c r="BH201" i="6"/>
  <c r="BG201" i="6" s="1"/>
  <c r="BF201" i="6" s="1"/>
  <c r="P201" i="6" s="1"/>
  <c r="N56" i="6"/>
  <c r="BH56" i="6"/>
  <c r="BG56" i="6" s="1"/>
  <c r="BF56" i="6" s="1"/>
  <c r="P56" i="6" s="1"/>
  <c r="Q232" i="6"/>
  <c r="BP232" i="6"/>
  <c r="BO232" i="6" s="1"/>
  <c r="BN232" i="6" s="1"/>
  <c r="S232" i="6" s="1"/>
  <c r="Q427" i="6"/>
  <c r="BP427" i="6"/>
  <c r="BO427" i="6" s="1"/>
  <c r="BN427" i="6" s="1"/>
  <c r="S427" i="6" s="1"/>
  <c r="H186" i="6"/>
  <c r="AR186" i="6"/>
  <c r="AQ186" i="6" s="1"/>
  <c r="AP186" i="6" s="1"/>
  <c r="J186" i="6" s="1"/>
  <c r="N156" i="6"/>
  <c r="BH156" i="6"/>
  <c r="BG156" i="6" s="1"/>
  <c r="BF156" i="6" s="1"/>
  <c r="P156" i="6" s="1"/>
  <c r="N264" i="6"/>
  <c r="BH264" i="6"/>
  <c r="BG264" i="6" s="1"/>
  <c r="BF264" i="6" s="1"/>
  <c r="P264" i="6" s="1"/>
  <c r="Q468" i="6"/>
  <c r="BP468" i="6"/>
  <c r="BO468" i="6" s="1"/>
  <c r="BN468" i="6" s="1"/>
  <c r="S468" i="6" s="1"/>
  <c r="H272" i="6"/>
  <c r="AR272" i="6"/>
  <c r="AQ272" i="6" s="1"/>
  <c r="AP272" i="6" s="1"/>
  <c r="J272" i="6" s="1"/>
  <c r="H68" i="6"/>
  <c r="AR68" i="6"/>
  <c r="AQ68" i="6" s="1"/>
  <c r="AP68" i="6" s="1"/>
  <c r="J68" i="6" s="1"/>
  <c r="H326" i="6"/>
  <c r="AR326" i="6"/>
  <c r="AQ326" i="6" s="1"/>
  <c r="AP326" i="6" s="1"/>
  <c r="J326" i="6" s="1"/>
  <c r="Q67" i="6"/>
  <c r="BP67" i="6"/>
  <c r="BO67" i="6" s="1"/>
  <c r="BN67" i="6" s="1"/>
  <c r="S67" i="6" s="1"/>
  <c r="H155" i="6"/>
  <c r="AR155" i="6"/>
  <c r="AQ155" i="6" s="1"/>
  <c r="AP155" i="6" s="1"/>
  <c r="J155" i="6" s="1"/>
  <c r="N44" i="6"/>
  <c r="BH44" i="6"/>
  <c r="BG44" i="6" s="1"/>
  <c r="BF44" i="6" s="1"/>
  <c r="P44" i="6" s="1"/>
  <c r="Q298" i="6"/>
  <c r="BP298" i="6"/>
  <c r="BO298" i="6" s="1"/>
  <c r="BN298" i="6" s="1"/>
  <c r="S298" i="6" s="1"/>
  <c r="H212" i="6"/>
  <c r="AR212" i="6"/>
  <c r="AQ212" i="6" s="1"/>
  <c r="AP212" i="6" s="1"/>
  <c r="J212" i="6" s="1"/>
  <c r="Q236" i="6"/>
  <c r="BP236" i="6"/>
  <c r="BO236" i="6" s="1"/>
  <c r="BN236" i="6" s="1"/>
  <c r="S236" i="6" s="1"/>
  <c r="N409" i="6"/>
  <c r="BH409" i="6"/>
  <c r="BG409" i="6" s="1"/>
  <c r="BF409" i="6" s="1"/>
  <c r="P409" i="6" s="1"/>
  <c r="N384" i="6"/>
  <c r="BH384" i="6"/>
  <c r="BG384" i="6" s="1"/>
  <c r="BF384" i="6" s="1"/>
  <c r="P384" i="6" s="1"/>
  <c r="N69" i="6"/>
  <c r="BH69" i="6"/>
  <c r="BG69" i="6" s="1"/>
  <c r="BF69" i="6" s="1"/>
  <c r="P69" i="6" s="1"/>
  <c r="H249" i="6"/>
  <c r="AR249" i="6"/>
  <c r="AQ249" i="6" s="1"/>
  <c r="AP249" i="6" s="1"/>
  <c r="J249" i="6" s="1"/>
  <c r="Q463" i="6"/>
  <c r="BP463" i="6"/>
  <c r="BO463" i="6" s="1"/>
  <c r="BN463" i="6" s="1"/>
  <c r="S463" i="6" s="1"/>
  <c r="N373" i="6"/>
  <c r="BH373" i="6"/>
  <c r="BG373" i="6" s="1"/>
  <c r="BF373" i="6" s="1"/>
  <c r="P373" i="6" s="1"/>
  <c r="Q308" i="6"/>
  <c r="BP308" i="6"/>
  <c r="BO308" i="6" s="1"/>
  <c r="BN308" i="6" s="1"/>
  <c r="S308" i="6" s="1"/>
  <c r="Q430" i="6"/>
  <c r="BP430" i="6"/>
  <c r="BO430" i="6" s="1"/>
  <c r="BN430" i="6" s="1"/>
  <c r="S430" i="6" s="1"/>
  <c r="N191" i="6"/>
  <c r="BH191" i="6"/>
  <c r="BG191" i="6" s="1"/>
  <c r="BF191" i="6" s="1"/>
  <c r="P191" i="6" s="1"/>
  <c r="Q14" i="6"/>
  <c r="BP14" i="6"/>
  <c r="BO14" i="6" s="1"/>
  <c r="BN14" i="6" s="1"/>
  <c r="S14" i="6" s="1"/>
  <c r="H77" i="6"/>
  <c r="AR77" i="6"/>
  <c r="AQ77" i="6" s="1"/>
  <c r="AP77" i="6" s="1"/>
  <c r="J77" i="6" s="1"/>
  <c r="N199" i="6"/>
  <c r="BH199" i="6"/>
  <c r="BG199" i="6" s="1"/>
  <c r="BF199" i="6" s="1"/>
  <c r="P199" i="6" s="1"/>
  <c r="N352" i="6"/>
  <c r="BH352" i="6"/>
  <c r="BG352" i="6" s="1"/>
  <c r="BF352" i="6" s="1"/>
  <c r="P352" i="6" s="1"/>
  <c r="Q228" i="6"/>
  <c r="BP228" i="6"/>
  <c r="BO228" i="6" s="1"/>
  <c r="BN228" i="6" s="1"/>
  <c r="S228" i="6" s="1"/>
  <c r="H332" i="6"/>
  <c r="AR332" i="6"/>
  <c r="AQ332" i="6" s="1"/>
  <c r="AP332" i="6" s="1"/>
  <c r="J332" i="6" s="1"/>
  <c r="N193" i="6"/>
  <c r="BH193" i="6"/>
  <c r="BG193" i="6" s="1"/>
  <c r="BF193" i="6" s="1"/>
  <c r="P193" i="6" s="1"/>
  <c r="Q210" i="6"/>
  <c r="BP210" i="6"/>
  <c r="BO210" i="6" s="1"/>
  <c r="BN210" i="6" s="1"/>
  <c r="S210" i="6" s="1"/>
  <c r="Q245" i="6"/>
  <c r="BP245" i="6"/>
  <c r="BO245" i="6" s="1"/>
  <c r="BN245" i="6" s="1"/>
  <c r="S245" i="6" s="1"/>
  <c r="Q374" i="6"/>
  <c r="BP374" i="6"/>
  <c r="BO374" i="6" s="1"/>
  <c r="BN374" i="6" s="1"/>
  <c r="S374" i="6" s="1"/>
  <c r="Q302" i="6"/>
  <c r="BP302" i="6"/>
  <c r="BO302" i="6" s="1"/>
  <c r="BN302" i="6" s="1"/>
  <c r="S302" i="6" s="1"/>
  <c r="H370" i="6"/>
  <c r="AR370" i="6"/>
  <c r="AQ370" i="6" s="1"/>
  <c r="AP370" i="6" s="1"/>
  <c r="J370" i="6" s="1"/>
  <c r="H306" i="6"/>
  <c r="AR306" i="6"/>
  <c r="AQ306" i="6" s="1"/>
  <c r="AP306" i="6" s="1"/>
  <c r="J306" i="6" s="1"/>
  <c r="Q369" i="6"/>
  <c r="BP369" i="6"/>
  <c r="BO369" i="6" s="1"/>
  <c r="BN369" i="6" s="1"/>
  <c r="S369" i="6" s="1"/>
  <c r="N38" i="6"/>
  <c r="BH38" i="6"/>
  <c r="BG38" i="6" s="1"/>
  <c r="BF38" i="6" s="1"/>
  <c r="P38" i="6" s="1"/>
  <c r="H297" i="6"/>
  <c r="AR297" i="6"/>
  <c r="AQ297" i="6" s="1"/>
  <c r="AP297" i="6" s="1"/>
  <c r="J297" i="6" s="1"/>
  <c r="H404" i="6"/>
  <c r="AR404" i="6"/>
  <c r="AQ404" i="6" s="1"/>
  <c r="AP404" i="6" s="1"/>
  <c r="J404" i="6" s="1"/>
  <c r="H177" i="6"/>
  <c r="AR177" i="6"/>
  <c r="AQ177" i="6" s="1"/>
  <c r="AP177" i="6" s="1"/>
  <c r="J177" i="6" s="1"/>
  <c r="H348" i="6"/>
  <c r="AR348" i="6"/>
  <c r="AQ348" i="6" s="1"/>
  <c r="AP348" i="6" s="1"/>
  <c r="J348" i="6" s="1"/>
  <c r="Q43" i="6"/>
  <c r="BP43" i="6"/>
  <c r="BO43" i="6" s="1"/>
  <c r="BN43" i="6" s="1"/>
  <c r="S43" i="6" s="1"/>
  <c r="Q198" i="6"/>
  <c r="BP198" i="6"/>
  <c r="BO198" i="6" s="1"/>
  <c r="BN198" i="6" s="1"/>
  <c r="S198" i="6" s="1"/>
  <c r="H385" i="6"/>
  <c r="AR385" i="6"/>
  <c r="AQ385" i="6" s="1"/>
  <c r="AP385" i="6" s="1"/>
  <c r="J385" i="6" s="1"/>
  <c r="H41" i="6"/>
  <c r="AR41" i="6"/>
  <c r="AQ41" i="6" s="1"/>
  <c r="AP41" i="6" s="1"/>
  <c r="J41" i="6" s="1"/>
  <c r="H424" i="6"/>
  <c r="AR424" i="6"/>
  <c r="AQ424" i="6" s="1"/>
  <c r="AP424" i="6" s="1"/>
  <c r="J424" i="6" s="1"/>
  <c r="H440" i="6"/>
  <c r="AR440" i="6"/>
  <c r="AQ440" i="6" s="1"/>
  <c r="AP440" i="6" s="1"/>
  <c r="J440" i="6" s="1"/>
  <c r="N93" i="6"/>
  <c r="BH93" i="6"/>
  <c r="BG93" i="6" s="1"/>
  <c r="BF93" i="6" s="1"/>
  <c r="P93" i="6" s="1"/>
  <c r="N112" i="6"/>
  <c r="BH112" i="6"/>
  <c r="BG112" i="6" s="1"/>
  <c r="BF112" i="6" s="1"/>
  <c r="P112" i="6" s="1"/>
  <c r="H301" i="6"/>
  <c r="AR301" i="6"/>
  <c r="AQ301" i="6" s="1"/>
  <c r="AP301" i="6" s="1"/>
  <c r="J301" i="6" s="1"/>
  <c r="Q392" i="6"/>
  <c r="BP392" i="6"/>
  <c r="BO392" i="6" s="1"/>
  <c r="BN392" i="6" s="1"/>
  <c r="S392" i="6" s="1"/>
  <c r="Q261" i="6"/>
  <c r="BP261" i="6"/>
  <c r="BO261" i="6" s="1"/>
  <c r="BN261" i="6" s="1"/>
  <c r="S261" i="6" s="1"/>
  <c r="T8" i="6"/>
  <c r="H34" i="6"/>
  <c r="AR34" i="6"/>
  <c r="AQ34" i="6" s="1"/>
  <c r="AP34" i="6" s="1"/>
  <c r="J34" i="6" s="1"/>
  <c r="Q243" i="6"/>
  <c r="BP243" i="6"/>
  <c r="BO243" i="6" s="1"/>
  <c r="BN243" i="6" s="1"/>
  <c r="S243" i="6" s="1"/>
  <c r="N397" i="6"/>
  <c r="BH397" i="6"/>
  <c r="BG397" i="6" s="1"/>
  <c r="BF397" i="6" s="1"/>
  <c r="P397" i="6" s="1"/>
  <c r="Q355" i="6"/>
  <c r="BP355" i="6"/>
  <c r="BO355" i="6" s="1"/>
  <c r="BN355" i="6" s="1"/>
  <c r="S355" i="6" s="1"/>
  <c r="N363" i="6"/>
  <c r="BH363" i="6"/>
  <c r="BG363" i="6" s="1"/>
  <c r="BF363" i="6" s="1"/>
  <c r="P363" i="6" s="1"/>
  <c r="Q446" i="6"/>
  <c r="BP446" i="6"/>
  <c r="BO446" i="6" s="1"/>
  <c r="BN446" i="6" s="1"/>
  <c r="S446" i="6" s="1"/>
  <c r="N407" i="6"/>
  <c r="BH407" i="6"/>
  <c r="BG407" i="6" s="1"/>
  <c r="BF407" i="6" s="1"/>
  <c r="P407" i="6" s="1"/>
  <c r="N371" i="6"/>
  <c r="BH371" i="6"/>
  <c r="BG371" i="6" s="1"/>
  <c r="BF371" i="6" s="1"/>
  <c r="P371" i="6" s="1"/>
  <c r="N330" i="6"/>
  <c r="BH330" i="6"/>
  <c r="BG330" i="6" s="1"/>
  <c r="BF330" i="6" s="1"/>
  <c r="P330" i="6" s="1"/>
  <c r="N108" i="6"/>
  <c r="BH108" i="6"/>
  <c r="BG108" i="6" s="1"/>
  <c r="BF108" i="6" s="1"/>
  <c r="P108" i="6" s="1"/>
  <c r="H379" i="6"/>
  <c r="AR379" i="6"/>
  <c r="AQ379" i="6" s="1"/>
  <c r="AP379" i="6" s="1"/>
  <c r="J379" i="6" s="1"/>
  <c r="Q62" i="6"/>
  <c r="BP62" i="6"/>
  <c r="BO62" i="6" s="1"/>
  <c r="BN62" i="6" s="1"/>
  <c r="S62" i="6" s="1"/>
  <c r="N207" i="6"/>
  <c r="BH207" i="6"/>
  <c r="BG207" i="6" s="1"/>
  <c r="BF207" i="6" s="1"/>
  <c r="P207" i="6" s="1"/>
  <c r="Q24" i="6"/>
  <c r="BP24" i="6"/>
  <c r="BO24" i="6" s="1"/>
  <c r="BN24" i="6" s="1"/>
  <c r="S24" i="6" s="1"/>
  <c r="N18" i="6"/>
  <c r="BH18" i="6"/>
  <c r="BG18" i="6" s="1"/>
  <c r="BF18" i="6" s="1"/>
  <c r="P18" i="6" s="1"/>
  <c r="Q417" i="6"/>
  <c r="BP417" i="6"/>
  <c r="BO417" i="6" s="1"/>
  <c r="BN417" i="6" s="1"/>
  <c r="S417" i="6" s="1"/>
  <c r="H25" i="6"/>
  <c r="AR25" i="6"/>
  <c r="AQ25" i="6" s="1"/>
  <c r="AP25" i="6" s="1"/>
  <c r="J25" i="6" s="1"/>
  <c r="N464" i="6"/>
  <c r="BH464" i="6"/>
  <c r="BG464" i="6" s="1"/>
  <c r="BF464" i="6" s="1"/>
  <c r="P464" i="6" s="1"/>
  <c r="Q411" i="6"/>
  <c r="BP411" i="6"/>
  <c r="BO411" i="6" s="1"/>
  <c r="BN411" i="6" s="1"/>
  <c r="S411" i="6" s="1"/>
  <c r="N138" i="6"/>
  <c r="BH138" i="6"/>
  <c r="BG138" i="6" s="1"/>
  <c r="BF138" i="6" s="1"/>
  <c r="P138" i="6" s="1"/>
  <c r="Q90" i="6"/>
  <c r="BP90" i="6"/>
  <c r="BO90" i="6" s="1"/>
  <c r="BN90" i="6" s="1"/>
  <c r="S90" i="6" s="1"/>
  <c r="N315" i="6"/>
  <c r="BH315" i="6"/>
  <c r="BG315" i="6" s="1"/>
  <c r="BF315" i="6" s="1"/>
  <c r="P315" i="6" s="1"/>
  <c r="Q426" i="6"/>
  <c r="BP426" i="6"/>
  <c r="BO426" i="6" s="1"/>
  <c r="BN426" i="6" s="1"/>
  <c r="S426" i="6" s="1"/>
  <c r="Q12" i="6"/>
  <c r="BP12" i="6"/>
  <c r="BO12" i="6" s="1"/>
  <c r="BN12" i="6" s="1"/>
  <c r="S12" i="6" s="1"/>
  <c r="Q175" i="6"/>
  <c r="BP175" i="6"/>
  <c r="BO175" i="6" s="1"/>
  <c r="BN175" i="6" s="1"/>
  <c r="S175" i="6" s="1"/>
  <c r="Q337" i="6"/>
  <c r="BP337" i="6"/>
  <c r="BO337" i="6" s="1"/>
  <c r="BN337" i="6" s="1"/>
  <c r="S337" i="6" s="1"/>
  <c r="H131" i="6"/>
  <c r="AR131" i="6"/>
  <c r="AQ131" i="6" s="1"/>
  <c r="AP131" i="6" s="1"/>
  <c r="J131" i="6" s="1"/>
  <c r="N60" i="6"/>
  <c r="BH60" i="6"/>
  <c r="BG60" i="6" s="1"/>
  <c r="BF60" i="6" s="1"/>
  <c r="P60" i="6" s="1"/>
  <c r="Q242" i="6"/>
  <c r="BP242" i="6"/>
  <c r="BO242" i="6" s="1"/>
  <c r="BN242" i="6" s="1"/>
  <c r="S242" i="6" s="1"/>
  <c r="H455" i="6"/>
  <c r="AR455" i="6"/>
  <c r="AQ455" i="6" s="1"/>
  <c r="AP455" i="6" s="1"/>
  <c r="J455" i="6" s="1"/>
  <c r="N452" i="6"/>
  <c r="BH452" i="6"/>
  <c r="BG452" i="6" s="1"/>
  <c r="BF452" i="6" s="1"/>
  <c r="P452" i="6" s="1"/>
  <c r="H350" i="6"/>
  <c r="AR350" i="6"/>
  <c r="AQ350" i="6" s="1"/>
  <c r="AP350" i="6" s="1"/>
  <c r="J350" i="6" s="1"/>
  <c r="N35" i="6"/>
  <c r="BH35" i="6"/>
  <c r="BG35" i="6" s="1"/>
  <c r="BF35" i="6" s="1"/>
  <c r="P35" i="6" s="1"/>
  <c r="H387" i="6"/>
  <c r="AR387" i="6"/>
  <c r="AQ387" i="6" s="1"/>
  <c r="AP387" i="6" s="1"/>
  <c r="J387" i="6" s="1"/>
  <c r="H47" i="6"/>
  <c r="AR47" i="6"/>
  <c r="AQ47" i="6" s="1"/>
  <c r="AP47" i="6" s="1"/>
  <c r="J47" i="6" s="1"/>
  <c r="N132" i="6"/>
  <c r="BH132" i="6"/>
  <c r="BG132" i="6" s="1"/>
  <c r="BF132" i="6" s="1"/>
  <c r="P132" i="6" s="1"/>
  <c r="N205" i="6"/>
  <c r="BH205" i="6"/>
  <c r="BG205" i="6" s="1"/>
  <c r="BF205" i="6" s="1"/>
  <c r="P205" i="6" s="1"/>
  <c r="H342" i="6"/>
  <c r="AR342" i="6"/>
  <c r="AQ342" i="6" s="1"/>
  <c r="AP342" i="6" s="1"/>
  <c r="J342" i="6" s="1"/>
  <c r="Q202" i="6"/>
  <c r="BP202" i="6"/>
  <c r="BO202" i="6" s="1"/>
  <c r="BN202" i="6" s="1"/>
  <c r="S202" i="6" s="1"/>
  <c r="Q273" i="6"/>
  <c r="BP273" i="6"/>
  <c r="BO273" i="6" s="1"/>
  <c r="BN273" i="6" s="1"/>
  <c r="S273" i="6" s="1"/>
  <c r="N466" i="6"/>
  <c r="BH466" i="6"/>
  <c r="BG466" i="6" s="1"/>
  <c r="BF466" i="6" s="1"/>
  <c r="P466" i="6" s="1"/>
  <c r="H460" i="6"/>
  <c r="AR460" i="6"/>
  <c r="AQ460" i="6" s="1"/>
  <c r="AP460" i="6" s="1"/>
  <c r="J460" i="6" s="1"/>
  <c r="H74" i="6"/>
  <c r="AR74" i="6"/>
  <c r="AQ74" i="6" s="1"/>
  <c r="AP74" i="6" s="1"/>
  <c r="J74" i="6" s="1"/>
  <c r="H53" i="6"/>
  <c r="AR53" i="6"/>
  <c r="AQ53" i="6" s="1"/>
  <c r="AP53" i="6" s="1"/>
  <c r="J53" i="6" s="1"/>
  <c r="Q70" i="6"/>
  <c r="BP70" i="6"/>
  <c r="BO70" i="6" s="1"/>
  <c r="BN70" i="6" s="1"/>
  <c r="S70" i="6" s="1"/>
  <c r="Q208" i="6"/>
  <c r="BP208" i="6"/>
  <c r="BO208" i="6" s="1"/>
  <c r="BN208" i="6" s="1"/>
  <c r="S208" i="6" s="1"/>
  <c r="H150" i="6"/>
  <c r="AR150" i="6"/>
  <c r="AQ150" i="6" s="1"/>
  <c r="AP150" i="6" s="1"/>
  <c r="J150" i="6" s="1"/>
  <c r="Q142" i="6"/>
  <c r="BP142" i="6"/>
  <c r="BO142" i="6" s="1"/>
  <c r="BN142" i="6" s="1"/>
  <c r="S142" i="6" s="1"/>
  <c r="H389" i="6"/>
  <c r="AR389" i="6"/>
  <c r="AQ389" i="6" s="1"/>
  <c r="AP389" i="6" s="1"/>
  <c r="J389" i="6" s="1"/>
  <c r="N365" i="6"/>
  <c r="BH365" i="6"/>
  <c r="BG365" i="6" s="1"/>
  <c r="BF365" i="6" s="1"/>
  <c r="P365" i="6" s="1"/>
  <c r="N157" i="6"/>
  <c r="BH157" i="6"/>
  <c r="BG157" i="6" s="1"/>
  <c r="BF157" i="6" s="1"/>
  <c r="P157" i="6" s="1"/>
  <c r="N187" i="6"/>
  <c r="BH187" i="6"/>
  <c r="BG187" i="6" s="1"/>
  <c r="BF187" i="6" s="1"/>
  <c r="P187" i="6" s="1"/>
  <c r="Q274" i="6"/>
  <c r="BP274" i="6"/>
  <c r="BO274" i="6" s="1"/>
  <c r="BN274" i="6" s="1"/>
  <c r="S274" i="6" s="1"/>
  <c r="N259" i="6"/>
  <c r="BH259" i="6"/>
  <c r="BG259" i="6" s="1"/>
  <c r="BF259" i="6" s="1"/>
  <c r="P259" i="6" s="1"/>
  <c r="H415" i="6"/>
  <c r="AR415" i="6"/>
  <c r="AQ415" i="6" s="1"/>
  <c r="AP415" i="6" s="1"/>
  <c r="J415" i="6" s="1"/>
  <c r="N97" i="6"/>
  <c r="BH97" i="6"/>
  <c r="BG97" i="6" s="1"/>
  <c r="BF97" i="6" s="1"/>
  <c r="P97" i="6" s="1"/>
  <c r="Q456" i="6"/>
  <c r="BP456" i="6"/>
  <c r="BO456" i="6" s="1"/>
  <c r="BN456" i="6" s="1"/>
  <c r="S456" i="6" s="1"/>
  <c r="N15" i="6"/>
  <c r="BH15" i="6"/>
  <c r="BG15" i="6" s="1"/>
  <c r="BF15" i="6" s="1"/>
  <c r="P15" i="6" s="1"/>
  <c r="H217" i="6"/>
  <c r="AR217" i="6"/>
  <c r="AQ217" i="6" s="1"/>
  <c r="AP217" i="6" s="1"/>
  <c r="J217" i="6" s="1"/>
  <c r="Q216" i="6"/>
  <c r="BP216" i="6"/>
  <c r="BO216" i="6" s="1"/>
  <c r="BN216" i="6" s="1"/>
  <c r="S216" i="6" s="1"/>
  <c r="H160" i="6"/>
  <c r="AR160" i="6"/>
  <c r="AQ160" i="6" s="1"/>
  <c r="AP160" i="6" s="1"/>
  <c r="J160" i="6" s="1"/>
  <c r="Q378" i="6"/>
  <c r="BP378" i="6"/>
  <c r="BO378" i="6" s="1"/>
  <c r="BN378" i="6" s="1"/>
  <c r="S378" i="6" s="1"/>
  <c r="N288" i="6"/>
  <c r="BH288" i="6"/>
  <c r="BG288" i="6" s="1"/>
  <c r="BF288" i="6" s="1"/>
  <c r="P288" i="6" s="1"/>
  <c r="N372" i="6"/>
  <c r="BH372" i="6"/>
  <c r="BG372" i="6" s="1"/>
  <c r="BF372" i="6" s="1"/>
  <c r="P372" i="6" s="1"/>
  <c r="N168" i="6"/>
  <c r="BH168" i="6"/>
  <c r="BG168" i="6" s="1"/>
  <c r="BF168" i="6" s="1"/>
  <c r="P168" i="6" s="1"/>
  <c r="H294" i="6"/>
  <c r="AR294" i="6"/>
  <c r="AQ294" i="6" s="1"/>
  <c r="AP294" i="6" s="1"/>
  <c r="J294" i="6" s="1"/>
  <c r="N50" i="6"/>
  <c r="BH50" i="6"/>
  <c r="BG50" i="6" s="1"/>
  <c r="BF50" i="6" s="1"/>
  <c r="P50" i="6" s="1"/>
  <c r="Q375" i="6"/>
  <c r="BP375" i="6"/>
  <c r="BO375" i="6" s="1"/>
  <c r="BN375" i="6" s="1"/>
  <c r="S375" i="6" s="1"/>
  <c r="Q225" i="6"/>
  <c r="BP225" i="6"/>
  <c r="BO225" i="6" s="1"/>
  <c r="BN225" i="6" s="1"/>
  <c r="S225" i="6" s="1"/>
  <c r="Q428" i="6"/>
  <c r="BP428" i="6"/>
  <c r="BO428" i="6" s="1"/>
  <c r="BN428" i="6" s="1"/>
  <c r="S428" i="6" s="1"/>
  <c r="H176" i="6"/>
  <c r="AR176" i="6"/>
  <c r="AQ176" i="6" s="1"/>
  <c r="AP176" i="6" s="1"/>
  <c r="J176" i="6" s="1"/>
  <c r="Q416" i="6"/>
  <c r="BP416" i="6"/>
  <c r="BO416" i="6" s="1"/>
  <c r="BN416" i="6" s="1"/>
  <c r="S416" i="6" s="1"/>
  <c r="Q201" i="6"/>
  <c r="BP201" i="6"/>
  <c r="BO201" i="6" s="1"/>
  <c r="BN201" i="6" s="1"/>
  <c r="S201" i="6" s="1"/>
  <c r="N286" i="6"/>
  <c r="BH286" i="6"/>
  <c r="BG286" i="6" s="1"/>
  <c r="BF286" i="6" s="1"/>
  <c r="P286" i="6" s="1"/>
  <c r="H420" i="6"/>
  <c r="AR420" i="6"/>
  <c r="AQ420" i="6" s="1"/>
  <c r="AP420" i="6" s="1"/>
  <c r="J420" i="6" s="1"/>
  <c r="Q110" i="6"/>
  <c r="BP110" i="6"/>
  <c r="BO110" i="6" s="1"/>
  <c r="BN110" i="6" s="1"/>
  <c r="S110" i="6" s="1"/>
  <c r="H232" i="6"/>
  <c r="AR232" i="6"/>
  <c r="AQ232" i="6" s="1"/>
  <c r="AP232" i="6" s="1"/>
  <c r="J232" i="6" s="1"/>
  <c r="N252" i="6"/>
  <c r="BH252" i="6"/>
  <c r="BG252" i="6" s="1"/>
  <c r="BF252" i="6" s="1"/>
  <c r="P252" i="6" s="1"/>
  <c r="Q354" i="6"/>
  <c r="BP354" i="6"/>
  <c r="BO354" i="6" s="1"/>
  <c r="BN354" i="6" s="1"/>
  <c r="S354" i="6" s="1"/>
  <c r="N347" i="6"/>
  <c r="BH347" i="6"/>
  <c r="BG347" i="6" s="1"/>
  <c r="BF347" i="6" s="1"/>
  <c r="P347" i="6" s="1"/>
  <c r="H427" i="6"/>
  <c r="AR427" i="6"/>
  <c r="AQ427" i="6" s="1"/>
  <c r="AP427" i="6" s="1"/>
  <c r="J427" i="6" s="1"/>
  <c r="N186" i="6"/>
  <c r="BH186" i="6"/>
  <c r="BG186" i="6" s="1"/>
  <c r="BF186" i="6" s="1"/>
  <c r="P186" i="6" s="1"/>
  <c r="N276" i="6"/>
  <c r="BH276" i="6"/>
  <c r="BG276" i="6" s="1"/>
  <c r="BF276" i="6" s="1"/>
  <c r="P276" i="6" s="1"/>
  <c r="Q156" i="6"/>
  <c r="BP156" i="6"/>
  <c r="BO156" i="6" s="1"/>
  <c r="BN156" i="6" s="1"/>
  <c r="S156" i="6" s="1"/>
  <c r="H381" i="6"/>
  <c r="AR381" i="6"/>
  <c r="AQ381" i="6" s="1"/>
  <c r="AP381" i="6" s="1"/>
  <c r="J381" i="6" s="1"/>
  <c r="N454" i="6"/>
  <c r="BH454" i="6"/>
  <c r="BG454" i="6" s="1"/>
  <c r="BF454" i="6" s="1"/>
  <c r="P454" i="6" s="1"/>
  <c r="H468" i="6"/>
  <c r="AR468" i="6"/>
  <c r="AQ468" i="6" s="1"/>
  <c r="AP468" i="6" s="1"/>
  <c r="J468" i="6" s="1"/>
  <c r="N64" i="6"/>
  <c r="BH64" i="6"/>
  <c r="BG64" i="6" s="1"/>
  <c r="BF64" i="6" s="1"/>
  <c r="P64" i="6" s="1"/>
  <c r="Q272" i="6"/>
  <c r="BP272" i="6"/>
  <c r="BO272" i="6" s="1"/>
  <c r="BN272" i="6" s="1"/>
  <c r="S272" i="6" s="1"/>
  <c r="H436" i="6"/>
  <c r="AR436" i="6"/>
  <c r="AQ436" i="6" s="1"/>
  <c r="AP436" i="6" s="1"/>
  <c r="J436" i="6" s="1"/>
  <c r="Q326" i="6"/>
  <c r="BP326" i="6"/>
  <c r="BO326" i="6" s="1"/>
  <c r="BN326" i="6" s="1"/>
  <c r="S326" i="6" s="1"/>
  <c r="N396" i="6"/>
  <c r="BH396" i="6"/>
  <c r="BG396" i="6" s="1"/>
  <c r="BF396" i="6" s="1"/>
  <c r="P396" i="6" s="1"/>
  <c r="N126" i="6"/>
  <c r="BH126" i="6"/>
  <c r="BG126" i="6" s="1"/>
  <c r="BF126" i="6" s="1"/>
  <c r="P126" i="6" s="1"/>
  <c r="N235" i="6"/>
  <c r="BH235" i="6"/>
  <c r="BG235" i="6" s="1"/>
  <c r="BF235" i="6" s="1"/>
  <c r="P235" i="6" s="1"/>
  <c r="N133" i="6"/>
  <c r="BH133" i="6"/>
  <c r="BG133" i="6" s="1"/>
  <c r="BF133" i="6" s="1"/>
  <c r="P133" i="6" s="1"/>
  <c r="N391" i="6"/>
  <c r="BH391" i="6"/>
  <c r="BG391" i="6" s="1"/>
  <c r="BF391" i="6" s="1"/>
  <c r="P391" i="6" s="1"/>
  <c r="Q409" i="6"/>
  <c r="BP409" i="6"/>
  <c r="BO409" i="6" s="1"/>
  <c r="BN409" i="6" s="1"/>
  <c r="S409" i="6" s="1"/>
  <c r="H402" i="6"/>
  <c r="AR402" i="6"/>
  <c r="AQ402" i="6" s="1"/>
  <c r="AP402" i="6" s="1"/>
  <c r="J402" i="6" s="1"/>
  <c r="H349" i="6"/>
  <c r="AR349" i="6"/>
  <c r="AQ349" i="6" s="1"/>
  <c r="AP349" i="6" s="1"/>
  <c r="J349" i="6" s="1"/>
  <c r="Q299" i="6"/>
  <c r="BP299" i="6"/>
  <c r="BO299" i="6" s="1"/>
  <c r="BN299" i="6" s="1"/>
  <c r="S299" i="6" s="1"/>
  <c r="H377" i="6"/>
  <c r="AR377" i="6"/>
  <c r="AQ377" i="6" s="1"/>
  <c r="AP377" i="6" s="1"/>
  <c r="J377" i="6" s="1"/>
  <c r="N422" i="6"/>
  <c r="BH422" i="6"/>
  <c r="BG422" i="6" s="1"/>
  <c r="BF422" i="6" s="1"/>
  <c r="P422" i="6" s="1"/>
  <c r="H463" i="6"/>
  <c r="AR463" i="6"/>
  <c r="AQ463" i="6" s="1"/>
  <c r="AP463" i="6" s="1"/>
  <c r="J463" i="6" s="1"/>
  <c r="Q373" i="6"/>
  <c r="BP373" i="6"/>
  <c r="BO373" i="6" s="1"/>
  <c r="BN373" i="6" s="1"/>
  <c r="S373" i="6" s="1"/>
  <c r="Q10" i="6"/>
  <c r="BP10" i="6"/>
  <c r="BO10" i="6" s="1"/>
  <c r="BN10" i="6" s="1"/>
  <c r="S10" i="6" s="1"/>
  <c r="H49" i="6"/>
  <c r="AR49" i="6"/>
  <c r="AQ49" i="6" s="1"/>
  <c r="AP49" i="6" s="1"/>
  <c r="J49" i="6" s="1"/>
  <c r="N449" i="6"/>
  <c r="BH449" i="6"/>
  <c r="BG449" i="6" s="1"/>
  <c r="BF449" i="6" s="1"/>
  <c r="P449" i="6" s="1"/>
  <c r="N99" i="6"/>
  <c r="BH99" i="6"/>
  <c r="BG99" i="6" s="1"/>
  <c r="BF99" i="6" s="1"/>
  <c r="P99" i="6" s="1"/>
  <c r="N462" i="6"/>
  <c r="BH462" i="6"/>
  <c r="BG462" i="6" s="1"/>
  <c r="BF462" i="6" s="1"/>
  <c r="P462" i="6" s="1"/>
  <c r="H121" i="6"/>
  <c r="AR121" i="6"/>
  <c r="AQ121" i="6" s="1"/>
  <c r="AP121" i="6" s="1"/>
  <c r="J121" i="6" s="1"/>
  <c r="N229" i="6"/>
  <c r="BH229" i="6"/>
  <c r="BG229" i="6" s="1"/>
  <c r="BF229" i="6" s="1"/>
  <c r="P229" i="6" s="1"/>
  <c r="N358" i="6"/>
  <c r="BH358" i="6"/>
  <c r="BG358" i="6" s="1"/>
  <c r="BF358" i="6" s="1"/>
  <c r="P358" i="6" s="1"/>
  <c r="H185" i="6"/>
  <c r="AR185" i="6"/>
  <c r="AQ185" i="6" s="1"/>
  <c r="AP185" i="6" s="1"/>
  <c r="J185" i="6" s="1"/>
  <c r="Q199" i="6"/>
  <c r="BP199" i="6"/>
  <c r="BO199" i="6" s="1"/>
  <c r="BN199" i="6" s="1"/>
  <c r="S199" i="6" s="1"/>
  <c r="N289" i="6"/>
  <c r="BH289" i="6"/>
  <c r="BG289" i="6" s="1"/>
  <c r="BF289" i="6" s="1"/>
  <c r="P289" i="6" s="1"/>
  <c r="H71" i="6"/>
  <c r="AR71" i="6"/>
  <c r="AQ71" i="6" s="1"/>
  <c r="AP71" i="6" s="1"/>
  <c r="J71" i="6" s="1"/>
  <c r="H228" i="6"/>
  <c r="AR228" i="6"/>
  <c r="AQ228" i="6" s="1"/>
  <c r="AP228" i="6" s="1"/>
  <c r="J228" i="6" s="1"/>
  <c r="H194" i="6"/>
  <c r="AR194" i="6"/>
  <c r="AQ194" i="6" s="1"/>
  <c r="AP194" i="6" s="1"/>
  <c r="J194" i="6" s="1"/>
  <c r="H193" i="6"/>
  <c r="AR193" i="6"/>
  <c r="AQ193" i="6" s="1"/>
  <c r="AP193" i="6" s="1"/>
  <c r="J193" i="6" s="1"/>
  <c r="F45" i="1"/>
  <c r="Q66" i="6"/>
  <c r="BP66" i="6"/>
  <c r="BO66" i="6" s="1"/>
  <c r="BN66" i="6" s="1"/>
  <c r="S66" i="6" s="1"/>
  <c r="N292" i="6"/>
  <c r="BH292" i="6"/>
  <c r="BG292" i="6" s="1"/>
  <c r="BF292" i="6" s="1"/>
  <c r="P292" i="6" s="1"/>
  <c r="H374" i="6"/>
  <c r="AR374" i="6"/>
  <c r="AQ374" i="6" s="1"/>
  <c r="AP374" i="6" s="1"/>
  <c r="J374" i="6" s="1"/>
  <c r="H302" i="6"/>
  <c r="AR302" i="6"/>
  <c r="AQ302" i="6" s="1"/>
  <c r="AP302" i="6" s="1"/>
  <c r="J302" i="6" s="1"/>
  <c r="H38" i="6"/>
  <c r="AR38" i="6"/>
  <c r="AQ38" i="6" s="1"/>
  <c r="AP38" i="6" s="1"/>
  <c r="J38" i="6" s="1"/>
  <c r="N297" i="6"/>
  <c r="BH297" i="6"/>
  <c r="BG297" i="6" s="1"/>
  <c r="BF297" i="6" s="1"/>
  <c r="P297" i="6" s="1"/>
  <c r="H188" i="6"/>
  <c r="AR188" i="6"/>
  <c r="AQ188" i="6" s="1"/>
  <c r="AP188" i="6" s="1"/>
  <c r="J188" i="6" s="1"/>
  <c r="Q348" i="6"/>
  <c r="BP348" i="6"/>
  <c r="BO348" i="6" s="1"/>
  <c r="BN348" i="6" s="1"/>
  <c r="S348" i="6" s="1"/>
  <c r="Q368" i="6"/>
  <c r="BP368" i="6"/>
  <c r="BO368" i="6" s="1"/>
  <c r="BN368" i="6" s="1"/>
  <c r="S368" i="6" s="1"/>
  <c r="H432" i="6"/>
  <c r="AR432" i="6"/>
  <c r="AQ432" i="6" s="1"/>
  <c r="AP432" i="6" s="1"/>
  <c r="J432" i="6" s="1"/>
  <c r="H237" i="6"/>
  <c r="AR237" i="6"/>
  <c r="AQ237" i="6" s="1"/>
  <c r="AP237" i="6" s="1"/>
  <c r="J237" i="6" s="1"/>
  <c r="Q213" i="6"/>
  <c r="BP213" i="6"/>
  <c r="BO213" i="6" s="1"/>
  <c r="BN213" i="6" s="1"/>
  <c r="S213" i="6" s="1"/>
  <c r="Q54" i="6"/>
  <c r="BP54" i="6"/>
  <c r="BO54" i="6" s="1"/>
  <c r="BN54" i="6" s="1"/>
  <c r="S54" i="6" s="1"/>
  <c r="H98" i="6"/>
  <c r="AR98" i="6"/>
  <c r="AQ98" i="6" s="1"/>
  <c r="AP98" i="6" s="1"/>
  <c r="J98" i="6" s="1"/>
  <c r="N329" i="6"/>
  <c r="BH329" i="6"/>
  <c r="BG329" i="6" s="1"/>
  <c r="BF329" i="6" s="1"/>
  <c r="P329" i="6" s="1"/>
  <c r="Q440" i="6"/>
  <c r="BP440" i="6"/>
  <c r="BO440" i="6" s="1"/>
  <c r="BN440" i="6" s="1"/>
  <c r="S440" i="6" s="1"/>
  <c r="Q93" i="6"/>
  <c r="BP93" i="6"/>
  <c r="BO93" i="6" s="1"/>
  <c r="BN93" i="6" s="1"/>
  <c r="S93" i="6" s="1"/>
  <c r="N31" i="6"/>
  <c r="BH31" i="6"/>
  <c r="BG31" i="6" s="1"/>
  <c r="BF31" i="6" s="1"/>
  <c r="P31" i="6" s="1"/>
  <c r="Q112" i="6"/>
  <c r="BP112" i="6"/>
  <c r="BO112" i="6" s="1"/>
  <c r="BN112" i="6" s="1"/>
  <c r="S112" i="6" s="1"/>
  <c r="Q301" i="6"/>
  <c r="BP301" i="6"/>
  <c r="BO301" i="6" s="1"/>
  <c r="BN301" i="6" s="1"/>
  <c r="S301" i="6" s="1"/>
  <c r="N28" i="6"/>
  <c r="BH28" i="6"/>
  <c r="BG28" i="6" s="1"/>
  <c r="BF28" i="6" s="1"/>
  <c r="P28" i="6" s="1"/>
  <c r="H327" i="6"/>
  <c r="AR327" i="6"/>
  <c r="AQ327" i="6" s="1"/>
  <c r="AP327" i="6" s="1"/>
  <c r="J327" i="6" s="1"/>
  <c r="H9" i="6"/>
  <c r="AR9" i="6"/>
  <c r="AQ9" i="6" s="1"/>
  <c r="AP9" i="6" s="1"/>
  <c r="J9" i="6" s="1"/>
  <c r="H243" i="6"/>
  <c r="AR243" i="6"/>
  <c r="AQ243" i="6" s="1"/>
  <c r="AP243" i="6" s="1"/>
  <c r="J243" i="6" s="1"/>
  <c r="Q397" i="6"/>
  <c r="BP397" i="6"/>
  <c r="BO397" i="6" s="1"/>
  <c r="BN397" i="6" s="1"/>
  <c r="S397" i="6" s="1"/>
  <c r="N355" i="6"/>
  <c r="BH355" i="6"/>
  <c r="BG355" i="6" s="1"/>
  <c r="BF355" i="6" s="1"/>
  <c r="P355" i="6" s="1"/>
  <c r="N453" i="6"/>
  <c r="BH453" i="6"/>
  <c r="BG453" i="6" s="1"/>
  <c r="BF453" i="6" s="1"/>
  <c r="P453" i="6" s="1"/>
  <c r="H363" i="6"/>
  <c r="AR363" i="6"/>
  <c r="AQ363" i="6" s="1"/>
  <c r="AP363" i="6" s="1"/>
  <c r="J363" i="6" s="1"/>
  <c r="H117" i="6"/>
  <c r="AR117" i="6"/>
  <c r="AQ117" i="6" s="1"/>
  <c r="AP117" i="6" s="1"/>
  <c r="J117" i="6" s="1"/>
  <c r="Q55" i="6"/>
  <c r="BP55" i="6"/>
  <c r="BO55" i="6" s="1"/>
  <c r="BN55" i="6" s="1"/>
  <c r="S55" i="6" s="1"/>
  <c r="H265" i="6"/>
  <c r="AR265" i="6"/>
  <c r="AQ265" i="6" s="1"/>
  <c r="AP265" i="6" s="1"/>
  <c r="J265" i="6" s="1"/>
  <c r="Q407" i="6"/>
  <c r="BP407" i="6"/>
  <c r="BO407" i="6" s="1"/>
  <c r="BN407" i="6" s="1"/>
  <c r="S407" i="6" s="1"/>
  <c r="Q371" i="6"/>
  <c r="BP371" i="6"/>
  <c r="BO371" i="6" s="1"/>
  <c r="BN371" i="6" s="1"/>
  <c r="S371" i="6" s="1"/>
  <c r="Q108" i="6"/>
  <c r="BP108" i="6"/>
  <c r="BO108" i="6" s="1"/>
  <c r="BN108" i="6" s="1"/>
  <c r="S108" i="6" s="1"/>
  <c r="Q293" i="6"/>
  <c r="BP293" i="6"/>
  <c r="BO293" i="6" s="1"/>
  <c r="BN293" i="6" s="1"/>
  <c r="S293" i="6" s="1"/>
  <c r="Q207" i="6"/>
  <c r="BP207" i="6"/>
  <c r="BO207" i="6" s="1"/>
  <c r="BN207" i="6" s="1"/>
  <c r="S207" i="6" s="1"/>
  <c r="Q461" i="6"/>
  <c r="BP461" i="6"/>
  <c r="BO461" i="6" s="1"/>
  <c r="BN461" i="6" s="1"/>
  <c r="S461" i="6" s="1"/>
  <c r="N72" i="6"/>
  <c r="BH72" i="6"/>
  <c r="BG72" i="6" s="1"/>
  <c r="BF72" i="6" s="1"/>
  <c r="P72" i="6" s="1"/>
  <c r="H24" i="6"/>
  <c r="AR24" i="6"/>
  <c r="AQ24" i="6" s="1"/>
  <c r="AP24" i="6" s="1"/>
  <c r="J24" i="6" s="1"/>
  <c r="Q16" i="6"/>
  <c r="BP16" i="6"/>
  <c r="BO16" i="6" s="1"/>
  <c r="BN16" i="6" s="1"/>
  <c r="S16" i="6" s="1"/>
  <c r="N25" i="6"/>
  <c r="BH25" i="6"/>
  <c r="BG25" i="6" s="1"/>
  <c r="BF25" i="6" s="1"/>
  <c r="P25" i="6" s="1"/>
  <c r="H109" i="6"/>
  <c r="AR109" i="6"/>
  <c r="AQ109" i="6" s="1"/>
  <c r="AP109" i="6" s="1"/>
  <c r="J109" i="6" s="1"/>
  <c r="Q464" i="6"/>
  <c r="BP464" i="6"/>
  <c r="BO464" i="6" s="1"/>
  <c r="BN464" i="6" s="1"/>
  <c r="S464" i="6" s="1"/>
  <c r="Q138" i="6"/>
  <c r="BP138" i="6"/>
  <c r="BO138" i="6" s="1"/>
  <c r="BN138" i="6" s="1"/>
  <c r="S138" i="6" s="1"/>
  <c r="N13" i="6"/>
  <c r="BH13" i="6"/>
  <c r="BG13" i="6" s="1"/>
  <c r="BF13" i="6" s="1"/>
  <c r="P13" i="6" s="1"/>
  <c r="H12" i="6"/>
  <c r="AR12" i="6"/>
  <c r="AQ12" i="6" s="1"/>
  <c r="AP12" i="6" s="1"/>
  <c r="J12" i="6" s="1"/>
  <c r="N175" i="6"/>
  <c r="BH175" i="6"/>
  <c r="BG175" i="6" s="1"/>
  <c r="BF175" i="6" s="1"/>
  <c r="P175" i="6" s="1"/>
  <c r="N337" i="6"/>
  <c r="BH337" i="6"/>
  <c r="BG337" i="6" s="1"/>
  <c r="BF337" i="6" s="1"/>
  <c r="P337" i="6" s="1"/>
  <c r="H242" i="6"/>
  <c r="AR242" i="6"/>
  <c r="AQ242" i="6" s="1"/>
  <c r="AP242" i="6" s="1"/>
  <c r="J242" i="6" s="1"/>
  <c r="N382" i="6"/>
  <c r="BH382" i="6"/>
  <c r="BG382" i="6" s="1"/>
  <c r="BF382" i="6" s="1"/>
  <c r="P382" i="6" s="1"/>
  <c r="Q80" i="6"/>
  <c r="BP80" i="6"/>
  <c r="BO80" i="6" s="1"/>
  <c r="BN80" i="6" s="1"/>
  <c r="S80" i="6" s="1"/>
  <c r="Q341" i="6"/>
  <c r="BP341" i="6"/>
  <c r="BO341" i="6" s="1"/>
  <c r="BN341" i="6" s="1"/>
  <c r="S341" i="6" s="1"/>
  <c r="H104" i="6"/>
  <c r="AR104" i="6"/>
  <c r="AQ104" i="6" s="1"/>
  <c r="AP104" i="6" s="1"/>
  <c r="J104" i="6" s="1"/>
  <c r="H153" i="6"/>
  <c r="AR153" i="6"/>
  <c r="AQ153" i="6" s="1"/>
  <c r="AP153" i="6" s="1"/>
  <c r="J153" i="6" s="1"/>
  <c r="H61" i="6"/>
  <c r="AR61" i="6"/>
  <c r="AQ61" i="6" s="1"/>
  <c r="AP61" i="6" s="1"/>
  <c r="J61" i="6" s="1"/>
  <c r="N170" i="6"/>
  <c r="BH170" i="6"/>
  <c r="BG170" i="6" s="1"/>
  <c r="BF170" i="6" s="1"/>
  <c r="P170" i="6" s="1"/>
  <c r="Q390" i="6"/>
  <c r="BP390" i="6"/>
  <c r="BO390" i="6" s="1"/>
  <c r="BN390" i="6" s="1"/>
  <c r="S390" i="6" s="1"/>
  <c r="Q209" i="6"/>
  <c r="BP209" i="6"/>
  <c r="BO209" i="6" s="1"/>
  <c r="BN209" i="6" s="1"/>
  <c r="S209" i="6" s="1"/>
  <c r="N47" i="6"/>
  <c r="BH47" i="6"/>
  <c r="BG47" i="6" s="1"/>
  <c r="BF47" i="6" s="1"/>
  <c r="P47" i="6" s="1"/>
  <c r="Q132" i="6"/>
  <c r="BP132" i="6"/>
  <c r="BO132" i="6" s="1"/>
  <c r="BN132" i="6" s="1"/>
  <c r="S132" i="6" s="1"/>
  <c r="H205" i="6"/>
  <c r="AR205" i="6"/>
  <c r="AQ205" i="6" s="1"/>
  <c r="AP205" i="6" s="1"/>
  <c r="J205" i="6" s="1"/>
  <c r="Q23" i="6"/>
  <c r="BP23" i="6"/>
  <c r="BO23" i="6" s="1"/>
  <c r="BN23" i="6" s="1"/>
  <c r="S23" i="6" s="1"/>
  <c r="H211" i="6"/>
  <c r="AR211" i="6"/>
  <c r="AQ211" i="6" s="1"/>
  <c r="AP211" i="6" s="1"/>
  <c r="J211" i="6" s="1"/>
  <c r="Q342" i="6"/>
  <c r="BP342" i="6"/>
  <c r="BO342" i="6" s="1"/>
  <c r="BN342" i="6" s="1"/>
  <c r="S342" i="6" s="1"/>
  <c r="H21" i="6"/>
  <c r="AR21" i="6"/>
  <c r="AQ21" i="6" s="1"/>
  <c r="AP21" i="6" s="1"/>
  <c r="J21" i="6" s="1"/>
  <c r="N220" i="6"/>
  <c r="BH220" i="6"/>
  <c r="BG220" i="6" s="1"/>
  <c r="BF220" i="6" s="1"/>
  <c r="P220" i="6" s="1"/>
  <c r="H296" i="6"/>
  <c r="AR296" i="6"/>
  <c r="AQ296" i="6" s="1"/>
  <c r="AP296" i="6" s="1"/>
  <c r="J296" i="6" s="1"/>
  <c r="Q457" i="6"/>
  <c r="BP457" i="6"/>
  <c r="BO457" i="6" s="1"/>
  <c r="BN457" i="6" s="1"/>
  <c r="S457" i="6" s="1"/>
  <c r="N139" i="6"/>
  <c r="BH139" i="6"/>
  <c r="BG139" i="6" s="1"/>
  <c r="BF139" i="6" s="1"/>
  <c r="P139" i="6" s="1"/>
  <c r="H202" i="6"/>
  <c r="AR202" i="6"/>
  <c r="AQ202" i="6" s="1"/>
  <c r="AP202" i="6" s="1"/>
  <c r="J202" i="6" s="1"/>
  <c r="H338" i="6"/>
  <c r="AR338" i="6"/>
  <c r="AQ338" i="6" s="1"/>
  <c r="AP338" i="6" s="1"/>
  <c r="J338" i="6" s="1"/>
  <c r="Q466" i="6"/>
  <c r="BP466" i="6"/>
  <c r="BO466" i="6" s="1"/>
  <c r="BN466" i="6" s="1"/>
  <c r="S466" i="6" s="1"/>
  <c r="Q460" i="6"/>
  <c r="BP460" i="6"/>
  <c r="BO460" i="6" s="1"/>
  <c r="BN460" i="6" s="1"/>
  <c r="S460" i="6" s="1"/>
  <c r="Q166" i="6"/>
  <c r="BP166" i="6"/>
  <c r="BO166" i="6" s="1"/>
  <c r="BN166" i="6" s="1"/>
  <c r="S166" i="6" s="1"/>
  <c r="N192" i="6"/>
  <c r="BH192" i="6"/>
  <c r="BG192" i="6" s="1"/>
  <c r="BF192" i="6" s="1"/>
  <c r="P192" i="6" s="1"/>
  <c r="N268" i="6"/>
  <c r="BH268" i="6"/>
  <c r="BG268" i="6" s="1"/>
  <c r="BF268" i="6" s="1"/>
  <c r="P268" i="6" s="1"/>
  <c r="N70" i="6"/>
  <c r="BH70" i="6"/>
  <c r="BG70" i="6" s="1"/>
  <c r="BF70" i="6" s="1"/>
  <c r="P70" i="6" s="1"/>
  <c r="H88" i="6"/>
  <c r="AR88" i="6"/>
  <c r="AQ88" i="6" s="1"/>
  <c r="AP88" i="6" s="1"/>
  <c r="J88" i="6" s="1"/>
  <c r="H208" i="6"/>
  <c r="AR208" i="6"/>
  <c r="AQ208" i="6" s="1"/>
  <c r="AP208" i="6" s="1"/>
  <c r="J208" i="6" s="1"/>
  <c r="N240" i="6"/>
  <c r="BH240" i="6"/>
  <c r="BG240" i="6" s="1"/>
  <c r="BF240" i="6" s="1"/>
  <c r="P240" i="6" s="1"/>
  <c r="H142" i="6"/>
  <c r="AR142" i="6"/>
  <c r="AQ142" i="6" s="1"/>
  <c r="AP142" i="6" s="1"/>
  <c r="J142" i="6" s="1"/>
  <c r="N325" i="6"/>
  <c r="BH325" i="6"/>
  <c r="BG325" i="6" s="1"/>
  <c r="BF325" i="6" s="1"/>
  <c r="P325" i="6" s="1"/>
  <c r="N389" i="6"/>
  <c r="BH389" i="6"/>
  <c r="BG389" i="6" s="1"/>
  <c r="BF389" i="6" s="1"/>
  <c r="P389" i="6" s="1"/>
  <c r="N148" i="6"/>
  <c r="BH148" i="6"/>
  <c r="BG148" i="6" s="1"/>
  <c r="BF148" i="6" s="1"/>
  <c r="P148" i="6" s="1"/>
  <c r="Q365" i="6"/>
  <c r="BP365" i="6"/>
  <c r="BO365" i="6" s="1"/>
  <c r="BN365" i="6" s="1"/>
  <c r="S365" i="6" s="1"/>
  <c r="Q157" i="6"/>
  <c r="BP157" i="6"/>
  <c r="BO157" i="6" s="1"/>
  <c r="BN157" i="6" s="1"/>
  <c r="S157" i="6" s="1"/>
  <c r="N251" i="6"/>
  <c r="BH251" i="6"/>
  <c r="BG251" i="6" s="1"/>
  <c r="BF251" i="6" s="1"/>
  <c r="P251" i="6" s="1"/>
  <c r="H274" i="6"/>
  <c r="AR274" i="6"/>
  <c r="AQ274" i="6" s="1"/>
  <c r="AP274" i="6" s="1"/>
  <c r="J274" i="6" s="1"/>
  <c r="Q46" i="6"/>
  <c r="BP46" i="6"/>
  <c r="BO46" i="6" s="1"/>
  <c r="BN46" i="6" s="1"/>
  <c r="S46" i="6" s="1"/>
  <c r="H83" i="6"/>
  <c r="AR83" i="6"/>
  <c r="AQ83" i="6" s="1"/>
  <c r="AP83" i="6" s="1"/>
  <c r="J83" i="6" s="1"/>
  <c r="H259" i="6"/>
  <c r="AR259" i="6"/>
  <c r="AQ259" i="6" s="1"/>
  <c r="AP259" i="6" s="1"/>
  <c r="J259" i="6" s="1"/>
  <c r="H73" i="6"/>
  <c r="AR73" i="6"/>
  <c r="AQ73" i="6" s="1"/>
  <c r="AP73" i="6" s="1"/>
  <c r="J73" i="6" s="1"/>
  <c r="Q97" i="6"/>
  <c r="BP97" i="6"/>
  <c r="BO97" i="6" s="1"/>
  <c r="BN97" i="6" s="1"/>
  <c r="S97" i="6" s="1"/>
  <c r="Q15" i="6"/>
  <c r="BP15" i="6"/>
  <c r="BO15" i="6" s="1"/>
  <c r="BN15" i="6" s="1"/>
  <c r="S15" i="6" s="1"/>
  <c r="H216" i="6"/>
  <c r="AR216" i="6"/>
  <c r="AQ216" i="6" s="1"/>
  <c r="AP216" i="6" s="1"/>
  <c r="J216" i="6" s="1"/>
  <c r="Q48" i="6"/>
  <c r="BP48" i="6"/>
  <c r="BO48" i="6" s="1"/>
  <c r="BN48" i="6" s="1"/>
  <c r="S48" i="6" s="1"/>
  <c r="N189" i="6"/>
  <c r="BH189" i="6"/>
  <c r="BG189" i="6" s="1"/>
  <c r="BF189" i="6" s="1"/>
  <c r="P189" i="6" s="1"/>
  <c r="H378" i="6"/>
  <c r="AR378" i="6"/>
  <c r="AQ378" i="6" s="1"/>
  <c r="AP378" i="6" s="1"/>
  <c r="J378" i="6" s="1"/>
  <c r="H151" i="6"/>
  <c r="AR151" i="6"/>
  <c r="AQ151" i="6" s="1"/>
  <c r="AP151" i="6" s="1"/>
  <c r="J151" i="6" s="1"/>
  <c r="Q184" i="6"/>
  <c r="BP184" i="6"/>
  <c r="BO184" i="6" s="1"/>
  <c r="BN184" i="6" s="1"/>
  <c r="S184" i="6" s="1"/>
  <c r="Q288" i="6"/>
  <c r="BP288" i="6"/>
  <c r="BO288" i="6" s="1"/>
  <c r="BN288" i="6" s="1"/>
  <c r="S288" i="6" s="1"/>
  <c r="H442" i="6"/>
  <c r="AR442" i="6"/>
  <c r="AQ442" i="6" s="1"/>
  <c r="AP442" i="6" s="1"/>
  <c r="J442" i="6" s="1"/>
  <c r="H17" i="6"/>
  <c r="AR17" i="6"/>
  <c r="AQ17" i="6" s="1"/>
  <c r="AP17" i="6" s="1"/>
  <c r="J17" i="6" s="1"/>
  <c r="Q168" i="6"/>
  <c r="BP168" i="6"/>
  <c r="BO168" i="6" s="1"/>
  <c r="BN168" i="6" s="1"/>
  <c r="S168" i="6" s="1"/>
  <c r="N294" i="6"/>
  <c r="BH294" i="6"/>
  <c r="BG294" i="6" s="1"/>
  <c r="BF294" i="6" s="1"/>
  <c r="P294" i="6" s="1"/>
  <c r="H441" i="6"/>
  <c r="AR441" i="6"/>
  <c r="AQ441" i="6" s="1"/>
  <c r="AP441" i="6" s="1"/>
  <c r="J441" i="6" s="1"/>
  <c r="H50" i="6"/>
  <c r="AR50" i="6"/>
  <c r="AQ50" i="6" s="1"/>
  <c r="AP50" i="6" s="1"/>
  <c r="J50" i="6" s="1"/>
  <c r="N375" i="6"/>
  <c r="BH375" i="6"/>
  <c r="BG375" i="6" s="1"/>
  <c r="BF375" i="6" s="1"/>
  <c r="P375" i="6" s="1"/>
  <c r="Q11" i="6"/>
  <c r="BP11" i="6"/>
  <c r="BO11" i="6" s="1"/>
  <c r="BN11" i="6" s="1"/>
  <c r="S11" i="6" s="1"/>
  <c r="Q250" i="6"/>
  <c r="BP250" i="6"/>
  <c r="BO250" i="6" s="1"/>
  <c r="BN250" i="6" s="1"/>
  <c r="S250" i="6" s="1"/>
  <c r="H225" i="6"/>
  <c r="AR225" i="6"/>
  <c r="AQ225" i="6" s="1"/>
  <c r="AP225" i="6" s="1"/>
  <c r="J225" i="6" s="1"/>
  <c r="Q423" i="6"/>
  <c r="BP423" i="6"/>
  <c r="BO423" i="6" s="1"/>
  <c r="BN423" i="6" s="1"/>
  <c r="S423" i="6" s="1"/>
  <c r="N335" i="6"/>
  <c r="BH335" i="6"/>
  <c r="BG335" i="6" s="1"/>
  <c r="BF335" i="6" s="1"/>
  <c r="P335" i="6" s="1"/>
  <c r="N400" i="6"/>
  <c r="BH400" i="6"/>
  <c r="BG400" i="6" s="1"/>
  <c r="BF400" i="6" s="1"/>
  <c r="P400" i="6" s="1"/>
  <c r="N105" i="6"/>
  <c r="BH105" i="6"/>
  <c r="BG105" i="6" s="1"/>
  <c r="BF105" i="6" s="1"/>
  <c r="P105" i="6" s="1"/>
  <c r="H201" i="6"/>
  <c r="AR201" i="6"/>
  <c r="AQ201" i="6" s="1"/>
  <c r="AP201" i="6" s="1"/>
  <c r="J201" i="6" s="1"/>
  <c r="Q388" i="6"/>
  <c r="BP388" i="6"/>
  <c r="BO388" i="6" s="1"/>
  <c r="BN388" i="6" s="1"/>
  <c r="S388" i="6" s="1"/>
  <c r="N107" i="6"/>
  <c r="BH107" i="6"/>
  <c r="BG107" i="6" s="1"/>
  <c r="BF107" i="6" s="1"/>
  <c r="P107" i="6" s="1"/>
  <c r="N232" i="6"/>
  <c r="BH232" i="6"/>
  <c r="BG232" i="6" s="1"/>
  <c r="BF232" i="6" s="1"/>
  <c r="P232" i="6" s="1"/>
  <c r="H354" i="6"/>
  <c r="AR354" i="6"/>
  <c r="AQ354" i="6" s="1"/>
  <c r="AP354" i="6" s="1"/>
  <c r="J354" i="6" s="1"/>
  <c r="Q347" i="6"/>
  <c r="BP347" i="6"/>
  <c r="BO347" i="6" s="1"/>
  <c r="BN347" i="6" s="1"/>
  <c r="S347" i="6" s="1"/>
  <c r="H156" i="6"/>
  <c r="AR156" i="6"/>
  <c r="AQ156" i="6" s="1"/>
  <c r="AP156" i="6" s="1"/>
  <c r="J156" i="6" s="1"/>
  <c r="Q454" i="6"/>
  <c r="BP454" i="6"/>
  <c r="BO454" i="6" s="1"/>
  <c r="BN454" i="6" s="1"/>
  <c r="S454" i="6" s="1"/>
  <c r="Q195" i="6"/>
  <c r="BP195" i="6"/>
  <c r="BO195" i="6" s="1"/>
  <c r="BN195" i="6" s="1"/>
  <c r="S195" i="6" s="1"/>
  <c r="N436" i="6"/>
  <c r="BH436" i="6"/>
  <c r="BG436" i="6" s="1"/>
  <c r="BF436" i="6" s="1"/>
  <c r="P436" i="6" s="1"/>
  <c r="N68" i="6"/>
  <c r="BH68" i="6"/>
  <c r="BG68" i="6" s="1"/>
  <c r="BF68" i="6" s="1"/>
  <c r="P68" i="6" s="1"/>
  <c r="Q126" i="6"/>
  <c r="BP126" i="6"/>
  <c r="BO126" i="6" s="1"/>
  <c r="BN126" i="6" s="1"/>
  <c r="S126" i="6" s="1"/>
  <c r="H360" i="6"/>
  <c r="AR360" i="6"/>
  <c r="AQ360" i="6" s="1"/>
  <c r="AP360" i="6" s="1"/>
  <c r="J360" i="6" s="1"/>
  <c r="N155" i="6"/>
  <c r="BH155" i="6"/>
  <c r="BG155" i="6" s="1"/>
  <c r="BF155" i="6" s="1"/>
  <c r="P155" i="6" s="1"/>
  <c r="Q235" i="6"/>
  <c r="BP235" i="6"/>
  <c r="BO235" i="6" s="1"/>
  <c r="BN235" i="6" s="1"/>
  <c r="S235" i="6" s="1"/>
  <c r="N298" i="6"/>
  <c r="BH298" i="6"/>
  <c r="BG298" i="6" s="1"/>
  <c r="BF298" i="6" s="1"/>
  <c r="P298" i="6" s="1"/>
  <c r="Q133" i="6"/>
  <c r="BP133" i="6"/>
  <c r="BO133" i="6" s="1"/>
  <c r="BN133" i="6" s="1"/>
  <c r="S133" i="6" s="1"/>
  <c r="H269" i="6"/>
  <c r="AR269" i="6"/>
  <c r="AQ269" i="6" s="1"/>
  <c r="AP269" i="6" s="1"/>
  <c r="J269" i="6" s="1"/>
  <c r="N393" i="6"/>
  <c r="BH393" i="6"/>
  <c r="BG393" i="6" s="1"/>
  <c r="BF393" i="6" s="1"/>
  <c r="P393" i="6" s="1"/>
  <c r="Q391" i="6"/>
  <c r="BP391" i="6"/>
  <c r="BO391" i="6" s="1"/>
  <c r="BN391" i="6" s="1"/>
  <c r="S391" i="6" s="1"/>
  <c r="N236" i="6"/>
  <c r="BH236" i="6"/>
  <c r="BG236" i="6" s="1"/>
  <c r="BF236" i="6" s="1"/>
  <c r="P236" i="6" s="1"/>
  <c r="Q69" i="6"/>
  <c r="BP69" i="6"/>
  <c r="BO69" i="6" s="1"/>
  <c r="BN69" i="6" s="1"/>
  <c r="S69" i="6" s="1"/>
  <c r="N343" i="6"/>
  <c r="BH343" i="6"/>
  <c r="BG343" i="6" s="1"/>
  <c r="BF343" i="6" s="1"/>
  <c r="P343" i="6" s="1"/>
  <c r="N377" i="6"/>
  <c r="BH377" i="6"/>
  <c r="BG377" i="6" s="1"/>
  <c r="BF377" i="6" s="1"/>
  <c r="P377" i="6" s="1"/>
  <c r="Q422" i="6"/>
  <c r="BP422" i="6"/>
  <c r="BO422" i="6" s="1"/>
  <c r="BN422" i="6" s="1"/>
  <c r="S422" i="6" s="1"/>
  <c r="H357" i="6"/>
  <c r="AR357" i="6"/>
  <c r="AQ357" i="6" s="1"/>
  <c r="AP357" i="6" s="1"/>
  <c r="J357" i="6" s="1"/>
  <c r="H308" i="6"/>
  <c r="AR308" i="6"/>
  <c r="AQ308" i="6" s="1"/>
  <c r="AP308" i="6" s="1"/>
  <c r="J308" i="6" s="1"/>
  <c r="N425" i="6"/>
  <c r="BH425" i="6"/>
  <c r="BG425" i="6" s="1"/>
  <c r="BF425" i="6" s="1"/>
  <c r="P425" i="6" s="1"/>
  <c r="N49" i="6"/>
  <c r="BH49" i="6"/>
  <c r="BG49" i="6" s="1"/>
  <c r="BF49" i="6" s="1"/>
  <c r="P49" i="6" s="1"/>
  <c r="N204" i="6"/>
  <c r="BH204" i="6"/>
  <c r="BG204" i="6" s="1"/>
  <c r="BF204" i="6" s="1"/>
  <c r="P204" i="6" s="1"/>
  <c r="Q99" i="6"/>
  <c r="BP99" i="6"/>
  <c r="BO99" i="6" s="1"/>
  <c r="BN99" i="6" s="1"/>
  <c r="S99" i="6" s="1"/>
  <c r="H203" i="6"/>
  <c r="AR203" i="6"/>
  <c r="AQ203" i="6" s="1"/>
  <c r="AP203" i="6" s="1"/>
  <c r="J203" i="6" s="1"/>
  <c r="Q462" i="6"/>
  <c r="BP462" i="6"/>
  <c r="BO462" i="6" s="1"/>
  <c r="BN462" i="6" s="1"/>
  <c r="S462" i="6" s="1"/>
  <c r="H314" i="6"/>
  <c r="AR314" i="6"/>
  <c r="AQ314" i="6" s="1"/>
  <c r="AP314" i="6" s="1"/>
  <c r="J314" i="6" s="1"/>
  <c r="H14" i="6"/>
  <c r="AR14" i="6"/>
  <c r="AQ14" i="6" s="1"/>
  <c r="AP14" i="6" s="1"/>
  <c r="J14" i="6" s="1"/>
  <c r="N77" i="6"/>
  <c r="BH77" i="6"/>
  <c r="BG77" i="6" s="1"/>
  <c r="BF77" i="6" s="1"/>
  <c r="P77" i="6" s="1"/>
  <c r="Q289" i="6"/>
  <c r="BP289" i="6"/>
  <c r="BO289" i="6" s="1"/>
  <c r="BN289" i="6" s="1"/>
  <c r="S289" i="6" s="1"/>
  <c r="N71" i="6"/>
  <c r="BH71" i="6"/>
  <c r="BG71" i="6" s="1"/>
  <c r="BF71" i="6" s="1"/>
  <c r="P71" i="6" s="1"/>
  <c r="H183" i="6"/>
  <c r="AR183" i="6"/>
  <c r="AQ183" i="6" s="1"/>
  <c r="AP183" i="6" s="1"/>
  <c r="J183" i="6" s="1"/>
  <c r="N395" i="6"/>
  <c r="BH395" i="6"/>
  <c r="BG395" i="6" s="1"/>
  <c r="BF395" i="6" s="1"/>
  <c r="P395" i="6" s="1"/>
  <c r="N194" i="6"/>
  <c r="BH194" i="6"/>
  <c r="BG194" i="6" s="1"/>
  <c r="BF194" i="6" s="1"/>
  <c r="P194" i="6" s="1"/>
  <c r="H101" i="6"/>
  <c r="AR101" i="6"/>
  <c r="AQ101" i="6" s="1"/>
  <c r="AP101" i="6" s="1"/>
  <c r="J101" i="6" s="1"/>
  <c r="V95" i="1"/>
  <c r="N66" i="6"/>
  <c r="BH66" i="6"/>
  <c r="BG66" i="6" s="1"/>
  <c r="BF66" i="6" s="1"/>
  <c r="P66" i="6" s="1"/>
  <c r="N181" i="6"/>
  <c r="BH181" i="6"/>
  <c r="BG181" i="6" s="1"/>
  <c r="BF181" i="6" s="1"/>
  <c r="P181" i="6" s="1"/>
  <c r="Q292" i="6"/>
  <c r="BP292" i="6"/>
  <c r="BO292" i="6" s="1"/>
  <c r="BN292" i="6" s="1"/>
  <c r="S292" i="6" s="1"/>
  <c r="Q306" i="6"/>
  <c r="BP306" i="6"/>
  <c r="BO306" i="6" s="1"/>
  <c r="BN306" i="6" s="1"/>
  <c r="S306" i="6" s="1"/>
  <c r="H91" i="6"/>
  <c r="AR91" i="6"/>
  <c r="AQ91" i="6" s="1"/>
  <c r="AP91" i="6" s="1"/>
  <c r="J91" i="6" s="1"/>
  <c r="Q297" i="6"/>
  <c r="BP297" i="6"/>
  <c r="BO297" i="6" s="1"/>
  <c r="BN297" i="6" s="1"/>
  <c r="S297" i="6" s="1"/>
  <c r="N177" i="6"/>
  <c r="BH177" i="6"/>
  <c r="BG177" i="6" s="1"/>
  <c r="BF177" i="6" s="1"/>
  <c r="P177" i="6" s="1"/>
  <c r="H429" i="6"/>
  <c r="AR429" i="6"/>
  <c r="AQ429" i="6" s="1"/>
  <c r="AP429" i="6" s="1"/>
  <c r="J429" i="6" s="1"/>
  <c r="Q188" i="6"/>
  <c r="BP188" i="6"/>
  <c r="BO188" i="6" s="1"/>
  <c r="BN188" i="6" s="1"/>
  <c r="S188" i="6" s="1"/>
  <c r="H368" i="6"/>
  <c r="AR368" i="6"/>
  <c r="AQ368" i="6" s="1"/>
  <c r="AP368" i="6" s="1"/>
  <c r="J368" i="6" s="1"/>
  <c r="N385" i="6"/>
  <c r="BH385" i="6"/>
  <c r="BG385" i="6" s="1"/>
  <c r="BF385" i="6" s="1"/>
  <c r="P385" i="6" s="1"/>
  <c r="N213" i="6"/>
  <c r="BH213" i="6"/>
  <c r="BG213" i="6" s="1"/>
  <c r="BF213" i="6" s="1"/>
  <c r="P213" i="6" s="1"/>
  <c r="Q41" i="6"/>
  <c r="BP41" i="6"/>
  <c r="BO41" i="6" s="1"/>
  <c r="BN41" i="6" s="1"/>
  <c r="S41" i="6" s="1"/>
  <c r="N54" i="6"/>
  <c r="BH54" i="6"/>
  <c r="BG54" i="6" s="1"/>
  <c r="BF54" i="6" s="1"/>
  <c r="P54" i="6" s="1"/>
  <c r="H113" i="6"/>
  <c r="AR113" i="6"/>
  <c r="AQ113" i="6" s="1"/>
  <c r="AP113" i="6" s="1"/>
  <c r="J113" i="6" s="1"/>
  <c r="N291" i="6"/>
  <c r="BH291" i="6"/>
  <c r="BG291" i="6" s="1"/>
  <c r="BF291" i="6" s="1"/>
  <c r="P291" i="6" s="1"/>
  <c r="Q329" i="6"/>
  <c r="BP329" i="6"/>
  <c r="BO329" i="6" s="1"/>
  <c r="BN329" i="6" s="1"/>
  <c r="S329" i="6" s="1"/>
  <c r="H230" i="6"/>
  <c r="AR230" i="6"/>
  <c r="AQ230" i="6" s="1"/>
  <c r="AP230" i="6" s="1"/>
  <c r="J230" i="6" s="1"/>
  <c r="N467" i="6"/>
  <c r="BH467" i="6"/>
  <c r="BG467" i="6" s="1"/>
  <c r="BF467" i="6" s="1"/>
  <c r="P467" i="6" s="1"/>
  <c r="Q149" i="6"/>
  <c r="BP149" i="6"/>
  <c r="BO149" i="6" s="1"/>
  <c r="BN149" i="6" s="1"/>
  <c r="S149" i="6" s="1"/>
  <c r="Q334" i="6"/>
  <c r="BP334" i="6"/>
  <c r="BO334" i="6" s="1"/>
  <c r="BN334" i="6" s="1"/>
  <c r="S334" i="6" s="1"/>
  <c r="N9" i="6"/>
  <c r="BH9" i="6"/>
  <c r="BG9" i="6" s="1"/>
  <c r="BF9" i="6" s="1"/>
  <c r="P9" i="6" s="1"/>
  <c r="N324" i="6"/>
  <c r="BH324" i="6"/>
  <c r="BG324" i="6" s="1"/>
  <c r="BF324" i="6" s="1"/>
  <c r="P324" i="6" s="1"/>
  <c r="H355" i="6"/>
  <c r="AR355" i="6"/>
  <c r="AQ355" i="6" s="1"/>
  <c r="AP355" i="6" s="1"/>
  <c r="J355" i="6" s="1"/>
  <c r="H318" i="6"/>
  <c r="AR318" i="6"/>
  <c r="AQ318" i="6" s="1"/>
  <c r="AP318" i="6" s="1"/>
  <c r="J318" i="6" s="1"/>
  <c r="Q117" i="6"/>
  <c r="BP117" i="6"/>
  <c r="BO117" i="6" s="1"/>
  <c r="BN117" i="6" s="1"/>
  <c r="S117" i="6" s="1"/>
  <c r="N399" i="6"/>
  <c r="BH399" i="6"/>
  <c r="BG399" i="6" s="1"/>
  <c r="BF399" i="6" s="1"/>
  <c r="P399" i="6" s="1"/>
  <c r="H163" i="6"/>
  <c r="AR163" i="6"/>
  <c r="AQ163" i="6" s="1"/>
  <c r="AP163" i="6" s="1"/>
  <c r="J163" i="6" s="1"/>
  <c r="Q287" i="6"/>
  <c r="BP287" i="6"/>
  <c r="BO287" i="6" s="1"/>
  <c r="BN287" i="6" s="1"/>
  <c r="S287" i="6" s="1"/>
  <c r="H371" i="6"/>
  <c r="AR371" i="6"/>
  <c r="AQ371" i="6" s="1"/>
  <c r="AP371" i="6" s="1"/>
  <c r="J371" i="6" s="1"/>
  <c r="Q40" i="6"/>
  <c r="BP40" i="6"/>
  <c r="BO40" i="6" s="1"/>
  <c r="BN40" i="6" s="1"/>
  <c r="S40" i="6" s="1"/>
  <c r="N62" i="6"/>
  <c r="BH62" i="6"/>
  <c r="BG62" i="6" s="1"/>
  <c r="BF62" i="6" s="1"/>
  <c r="P62" i="6" s="1"/>
  <c r="H114" i="6"/>
  <c r="AR114" i="6"/>
  <c r="AQ114" i="6" s="1"/>
  <c r="AP114" i="6" s="1"/>
  <c r="J114" i="6" s="1"/>
  <c r="H417" i="6"/>
  <c r="AR417" i="6"/>
  <c r="AQ417" i="6" s="1"/>
  <c r="AP417" i="6" s="1"/>
  <c r="J417" i="6" s="1"/>
  <c r="H380" i="6"/>
  <c r="AR380" i="6"/>
  <c r="AQ380" i="6" s="1"/>
  <c r="AP380" i="6" s="1"/>
  <c r="J380" i="6" s="1"/>
  <c r="H464" i="6"/>
  <c r="AR464" i="6"/>
  <c r="AQ464" i="6" s="1"/>
  <c r="AP464" i="6" s="1"/>
  <c r="J464" i="6" s="1"/>
  <c r="H290" i="6"/>
  <c r="AR290" i="6"/>
  <c r="AQ290" i="6" s="1"/>
  <c r="AP290" i="6" s="1"/>
  <c r="J290" i="6" s="1"/>
  <c r="H138" i="6"/>
  <c r="AR138" i="6"/>
  <c r="AQ138" i="6" s="1"/>
  <c r="AP138" i="6" s="1"/>
  <c r="J138" i="6" s="1"/>
  <c r="N200" i="6"/>
  <c r="BH200" i="6"/>
  <c r="BG200" i="6" s="1"/>
  <c r="BF200" i="6" s="1"/>
  <c r="P200" i="6" s="1"/>
  <c r="H315" i="6"/>
  <c r="AR315" i="6"/>
  <c r="AQ315" i="6" s="1"/>
  <c r="AP315" i="6" s="1"/>
  <c r="J315" i="6" s="1"/>
  <c r="Q13" i="6"/>
  <c r="BP13" i="6"/>
  <c r="BO13" i="6" s="1"/>
  <c r="BN13" i="6" s="1"/>
  <c r="S13" i="6" s="1"/>
  <c r="Q356" i="6"/>
  <c r="BP356" i="6"/>
  <c r="BO356" i="6" s="1"/>
  <c r="BN356" i="6" s="1"/>
  <c r="S356" i="6" s="1"/>
  <c r="Q382" i="6"/>
  <c r="BP382" i="6"/>
  <c r="BO382" i="6" s="1"/>
  <c r="BN382" i="6" s="1"/>
  <c r="S382" i="6" s="1"/>
  <c r="N80" i="6"/>
  <c r="BH80" i="6"/>
  <c r="BG80" i="6" s="1"/>
  <c r="BF80" i="6" s="1"/>
  <c r="P80" i="6" s="1"/>
  <c r="H341" i="6"/>
  <c r="AR341" i="6"/>
  <c r="AQ341" i="6" s="1"/>
  <c r="AP341" i="6" s="1"/>
  <c r="J341" i="6" s="1"/>
  <c r="N283" i="6"/>
  <c r="BH283" i="6"/>
  <c r="BG283" i="6" s="1"/>
  <c r="BF283" i="6" s="1"/>
  <c r="P283" i="6" s="1"/>
  <c r="Q35" i="6"/>
  <c r="BP35" i="6"/>
  <c r="BO35" i="6" s="1"/>
  <c r="BN35" i="6" s="1"/>
  <c r="S35" i="6" s="1"/>
  <c r="H102" i="6"/>
  <c r="AR102" i="6"/>
  <c r="AQ102" i="6" s="1"/>
  <c r="AP102" i="6" s="1"/>
  <c r="J102" i="6" s="1"/>
  <c r="N143" i="6"/>
  <c r="BH143" i="6"/>
  <c r="BG143" i="6" s="1"/>
  <c r="BF143" i="6" s="1"/>
  <c r="P143" i="6" s="1"/>
  <c r="H171" i="6"/>
  <c r="AR171" i="6"/>
  <c r="AQ171" i="6" s="1"/>
  <c r="AP171" i="6" s="1"/>
  <c r="J171" i="6" s="1"/>
  <c r="N61" i="6"/>
  <c r="BH61" i="6"/>
  <c r="BG61" i="6" s="1"/>
  <c r="BF61" i="6" s="1"/>
  <c r="P61" i="6" s="1"/>
  <c r="H390" i="6"/>
  <c r="AR390" i="6"/>
  <c r="AQ390" i="6" s="1"/>
  <c r="AP390" i="6" s="1"/>
  <c r="J390" i="6" s="1"/>
  <c r="N209" i="6"/>
  <c r="BH209" i="6"/>
  <c r="BG209" i="6" s="1"/>
  <c r="BF209" i="6" s="1"/>
  <c r="P209" i="6" s="1"/>
  <c r="N459" i="6"/>
  <c r="BH459" i="6"/>
  <c r="BG459" i="6" s="1"/>
  <c r="BF459" i="6" s="1"/>
  <c r="P459" i="6" s="1"/>
  <c r="H361" i="6"/>
  <c r="AR361" i="6"/>
  <c r="AQ361" i="6" s="1"/>
  <c r="AP361" i="6" s="1"/>
  <c r="J361" i="6" s="1"/>
  <c r="H457" i="6"/>
  <c r="AR457" i="6"/>
  <c r="AQ457" i="6" s="1"/>
  <c r="AP457" i="6" s="1"/>
  <c r="J457" i="6" s="1"/>
  <c r="N338" i="6"/>
  <c r="BH338" i="6"/>
  <c r="BG338" i="6" s="1"/>
  <c r="BF338" i="6" s="1"/>
  <c r="P338" i="6" s="1"/>
  <c r="N460" i="6"/>
  <c r="BH460" i="6"/>
  <c r="BG460" i="6" s="1"/>
  <c r="BF460" i="6" s="1"/>
  <c r="P460" i="6" s="1"/>
  <c r="N414" i="6"/>
  <c r="BH414" i="6"/>
  <c r="BG414" i="6" s="1"/>
  <c r="BF414" i="6" s="1"/>
  <c r="P414" i="6" s="1"/>
  <c r="Q53" i="6"/>
  <c r="BP53" i="6"/>
  <c r="BO53" i="6" s="1"/>
  <c r="BN53" i="6" s="1"/>
  <c r="S53" i="6" s="1"/>
  <c r="H70" i="6"/>
  <c r="AR70" i="6"/>
  <c r="AQ70" i="6" s="1"/>
  <c r="AP70" i="6" s="1"/>
  <c r="J70" i="6" s="1"/>
  <c r="Q88" i="6"/>
  <c r="BP88" i="6"/>
  <c r="BO88" i="6" s="1"/>
  <c r="BN88" i="6" s="1"/>
  <c r="S88" i="6" s="1"/>
  <c r="Q150" i="6"/>
  <c r="BP150" i="6"/>
  <c r="BO150" i="6" s="1"/>
  <c r="BN150" i="6" s="1"/>
  <c r="S150" i="6" s="1"/>
  <c r="Q20" i="6"/>
  <c r="BP20" i="6"/>
  <c r="BO20" i="6" s="1"/>
  <c r="BN20" i="6" s="1"/>
  <c r="S20" i="6" s="1"/>
  <c r="Q325" i="6"/>
  <c r="BP325" i="6"/>
  <c r="BO325" i="6" s="1"/>
  <c r="BN325" i="6" s="1"/>
  <c r="S325" i="6" s="1"/>
  <c r="Q389" i="6"/>
  <c r="BP389" i="6"/>
  <c r="BO389" i="6" s="1"/>
  <c r="BN389" i="6" s="1"/>
  <c r="S389" i="6" s="1"/>
  <c r="Q148" i="6"/>
  <c r="BP148" i="6"/>
  <c r="BO148" i="6" s="1"/>
  <c r="BN148" i="6" s="1"/>
  <c r="S148" i="6" s="1"/>
  <c r="Q448" i="6"/>
  <c r="BP448" i="6"/>
  <c r="BO448" i="6" s="1"/>
  <c r="BN448" i="6" s="1"/>
  <c r="S448" i="6" s="1"/>
  <c r="Q251" i="6"/>
  <c r="BP251" i="6"/>
  <c r="BO251" i="6" s="1"/>
  <c r="BN251" i="6" s="1"/>
  <c r="S251" i="6" s="1"/>
  <c r="N46" i="6"/>
  <c r="BH46" i="6"/>
  <c r="BG46" i="6" s="1"/>
  <c r="BF46" i="6" s="1"/>
  <c r="P46" i="6" s="1"/>
  <c r="N73" i="6"/>
  <c r="BH73" i="6"/>
  <c r="BG73" i="6" s="1"/>
  <c r="BF73" i="6" s="1"/>
  <c r="P73" i="6" s="1"/>
  <c r="H97" i="6"/>
  <c r="AR97" i="6"/>
  <c r="AQ97" i="6" s="1"/>
  <c r="AP97" i="6" s="1"/>
  <c r="J97" i="6" s="1"/>
  <c r="N456" i="6"/>
  <c r="BH456" i="6"/>
  <c r="BG456" i="6" s="1"/>
  <c r="BF456" i="6" s="1"/>
  <c r="P456" i="6" s="1"/>
  <c r="H154" i="6"/>
  <c r="AR154" i="6"/>
  <c r="AQ154" i="6" s="1"/>
  <c r="AP154" i="6" s="1"/>
  <c r="J154" i="6" s="1"/>
  <c r="H48" i="6"/>
  <c r="AR48" i="6"/>
  <c r="AQ48" i="6" s="1"/>
  <c r="AP48" i="6" s="1"/>
  <c r="J48" i="6" s="1"/>
  <c r="Q244" i="6"/>
  <c r="BP244" i="6"/>
  <c r="BO244" i="6" s="1"/>
  <c r="BN244" i="6" s="1"/>
  <c r="S244" i="6" s="1"/>
  <c r="N323" i="6"/>
  <c r="BH323" i="6"/>
  <c r="BG323" i="6" s="1"/>
  <c r="BF323" i="6" s="1"/>
  <c r="P323" i="6" s="1"/>
  <c r="Q248" i="6"/>
  <c r="BP248" i="6"/>
  <c r="BO248" i="6" s="1"/>
  <c r="BN248" i="6" s="1"/>
  <c r="S248" i="6" s="1"/>
  <c r="H288" i="6"/>
  <c r="AR288" i="6"/>
  <c r="AQ288" i="6" s="1"/>
  <c r="AP288" i="6" s="1"/>
  <c r="J288" i="6" s="1"/>
  <c r="N442" i="6"/>
  <c r="BH442" i="6"/>
  <c r="BG442" i="6" s="1"/>
  <c r="BF442" i="6" s="1"/>
  <c r="P442" i="6" s="1"/>
  <c r="N92" i="6"/>
  <c r="BH92" i="6"/>
  <c r="BG92" i="6" s="1"/>
  <c r="BF92" i="6" s="1"/>
  <c r="P92" i="6" s="1"/>
  <c r="N253" i="6"/>
  <c r="BH253" i="6"/>
  <c r="BG253" i="6" s="1"/>
  <c r="BF253" i="6" s="1"/>
  <c r="P253" i="6" s="1"/>
  <c r="Q441" i="6"/>
  <c r="BP441" i="6"/>
  <c r="BO441" i="6" s="1"/>
  <c r="BN441" i="6" s="1"/>
  <c r="S441" i="6" s="1"/>
  <c r="H375" i="6"/>
  <c r="AR375" i="6"/>
  <c r="AQ375" i="6" s="1"/>
  <c r="AP375" i="6" s="1"/>
  <c r="J375" i="6" s="1"/>
  <c r="N152" i="6"/>
  <c r="BH152" i="6"/>
  <c r="BG152" i="6" s="1"/>
  <c r="BF152" i="6" s="1"/>
  <c r="P152" i="6" s="1"/>
  <c r="H250" i="6"/>
  <c r="AR250" i="6"/>
  <c r="AQ250" i="6" s="1"/>
  <c r="AP250" i="6" s="1"/>
  <c r="J250" i="6" s="1"/>
  <c r="H140" i="6"/>
  <c r="AR140" i="6"/>
  <c r="AQ140" i="6" s="1"/>
  <c r="AP140" i="6" s="1"/>
  <c r="J140" i="6" s="1"/>
  <c r="N225" i="6"/>
  <c r="BH225" i="6"/>
  <c r="BG225" i="6" s="1"/>
  <c r="BF225" i="6" s="1"/>
  <c r="P225" i="6" s="1"/>
  <c r="N63" i="6"/>
  <c r="BH63" i="6"/>
  <c r="BG63" i="6" s="1"/>
  <c r="BF63" i="6" s="1"/>
  <c r="P63" i="6" s="1"/>
  <c r="N176" i="6"/>
  <c r="BH176" i="6"/>
  <c r="BG176" i="6" s="1"/>
  <c r="BF176" i="6" s="1"/>
  <c r="P176" i="6" s="1"/>
  <c r="Q400" i="6"/>
  <c r="BP400" i="6"/>
  <c r="BO400" i="6" s="1"/>
  <c r="BN400" i="6" s="1"/>
  <c r="S400" i="6" s="1"/>
  <c r="Q161" i="6"/>
  <c r="BP161" i="6"/>
  <c r="BO161" i="6" s="1"/>
  <c r="BN161" i="6" s="1"/>
  <c r="S161" i="6" s="1"/>
  <c r="N420" i="6"/>
  <c r="BH420" i="6"/>
  <c r="BG420" i="6" s="1"/>
  <c r="BF420" i="6" s="1"/>
  <c r="P420" i="6" s="1"/>
  <c r="Q107" i="6"/>
  <c r="BP107" i="6"/>
  <c r="BO107" i="6" s="1"/>
  <c r="BN107" i="6" s="1"/>
  <c r="S107" i="6" s="1"/>
  <c r="Q162" i="6"/>
  <c r="BP162" i="6"/>
  <c r="BO162" i="6" s="1"/>
  <c r="BN162" i="6" s="1"/>
  <c r="S162" i="6" s="1"/>
  <c r="N281" i="6"/>
  <c r="BH281" i="6"/>
  <c r="BG281" i="6" s="1"/>
  <c r="BF281" i="6" s="1"/>
  <c r="P281" i="6" s="1"/>
  <c r="H347" i="6"/>
  <c r="AR347" i="6"/>
  <c r="AQ347" i="6" s="1"/>
  <c r="AP347" i="6" s="1"/>
  <c r="J347" i="6" s="1"/>
  <c r="Q186" i="6"/>
  <c r="BP186" i="6"/>
  <c r="BO186" i="6" s="1"/>
  <c r="BN186" i="6" s="1"/>
  <c r="S186" i="6" s="1"/>
  <c r="H353" i="6"/>
  <c r="AR353" i="6"/>
  <c r="AQ353" i="6" s="1"/>
  <c r="AP353" i="6" s="1"/>
  <c r="J353" i="6" s="1"/>
  <c r="N366" i="6"/>
  <c r="BH366" i="6"/>
  <c r="BG366" i="6" s="1"/>
  <c r="BF366" i="6" s="1"/>
  <c r="P366" i="6" s="1"/>
  <c r="H195" i="6"/>
  <c r="AR195" i="6"/>
  <c r="AQ195" i="6" s="1"/>
  <c r="AP195" i="6" s="1"/>
  <c r="J195" i="6" s="1"/>
  <c r="N272" i="6"/>
  <c r="BH272" i="6"/>
  <c r="BG272" i="6" s="1"/>
  <c r="BF272" i="6" s="1"/>
  <c r="P272" i="6" s="1"/>
  <c r="Q436" i="6"/>
  <c r="BP436" i="6"/>
  <c r="BO436" i="6" s="1"/>
  <c r="BN436" i="6" s="1"/>
  <c r="S436" i="6" s="1"/>
  <c r="H206" i="6"/>
  <c r="AR206" i="6"/>
  <c r="AQ206" i="6" s="1"/>
  <c r="AP206" i="6" s="1"/>
  <c r="J206" i="6" s="1"/>
  <c r="H438" i="6"/>
  <c r="AR438" i="6"/>
  <c r="AQ438" i="6" s="1"/>
  <c r="AP438" i="6" s="1"/>
  <c r="J438" i="6" s="1"/>
  <c r="H126" i="6"/>
  <c r="AR126" i="6"/>
  <c r="AQ126" i="6" s="1"/>
  <c r="AP126" i="6" s="1"/>
  <c r="J126" i="6" s="1"/>
  <c r="Q360" i="6"/>
  <c r="BP360" i="6"/>
  <c r="BO360" i="6" s="1"/>
  <c r="BN360" i="6" s="1"/>
  <c r="S360" i="6" s="1"/>
  <c r="Q155" i="6"/>
  <c r="BP155" i="6"/>
  <c r="BO155" i="6" s="1"/>
  <c r="BN155" i="6" s="1"/>
  <c r="S155" i="6" s="1"/>
  <c r="H235" i="6"/>
  <c r="AR235" i="6"/>
  <c r="AQ235" i="6" s="1"/>
  <c r="AP235" i="6" s="1"/>
  <c r="J235" i="6" s="1"/>
  <c r="H133" i="6"/>
  <c r="AR133" i="6"/>
  <c r="AQ133" i="6" s="1"/>
  <c r="AP133" i="6" s="1"/>
  <c r="J133" i="6" s="1"/>
  <c r="Q393" i="6"/>
  <c r="BP393" i="6"/>
  <c r="BO393" i="6" s="1"/>
  <c r="BN393" i="6" s="1"/>
  <c r="S393" i="6" s="1"/>
  <c r="H391" i="6"/>
  <c r="AR391" i="6"/>
  <c r="AQ391" i="6" s="1"/>
  <c r="AP391" i="6" s="1"/>
  <c r="J391" i="6" s="1"/>
  <c r="N386" i="6"/>
  <c r="BH386" i="6"/>
  <c r="BG386" i="6" s="1"/>
  <c r="BF386" i="6" s="1"/>
  <c r="P386" i="6" s="1"/>
  <c r="H409" i="6"/>
  <c r="AR409" i="6"/>
  <c r="AQ409" i="6" s="1"/>
  <c r="AP409" i="6" s="1"/>
  <c r="J409" i="6" s="1"/>
  <c r="N402" i="6"/>
  <c r="BH402" i="6"/>
  <c r="BG402" i="6" s="1"/>
  <c r="BF402" i="6" s="1"/>
  <c r="P402" i="6" s="1"/>
  <c r="H221" i="6"/>
  <c r="AR221" i="6"/>
  <c r="AQ221" i="6" s="1"/>
  <c r="AP221" i="6" s="1"/>
  <c r="J221" i="6" s="1"/>
  <c r="N249" i="6"/>
  <c r="BH249" i="6"/>
  <c r="BG249" i="6" s="1"/>
  <c r="BF249" i="6" s="1"/>
  <c r="P249" i="6" s="1"/>
  <c r="Q377" i="6"/>
  <c r="BP377" i="6"/>
  <c r="BO377" i="6" s="1"/>
  <c r="BN377" i="6" s="1"/>
  <c r="S377" i="6" s="1"/>
  <c r="N357" i="6"/>
  <c r="BH357" i="6"/>
  <c r="BG357" i="6" s="1"/>
  <c r="BF357" i="6" s="1"/>
  <c r="P357" i="6" s="1"/>
  <c r="Q36" i="6"/>
  <c r="BP36" i="6"/>
  <c r="BO36" i="6" s="1"/>
  <c r="BN36" i="6" s="1"/>
  <c r="S36" i="6" s="1"/>
  <c r="H10" i="6"/>
  <c r="AR10" i="6"/>
  <c r="AQ10" i="6" s="1"/>
  <c r="AP10" i="6" s="1"/>
  <c r="J10" i="6" s="1"/>
  <c r="N351" i="6"/>
  <c r="BH351" i="6"/>
  <c r="BG351" i="6" s="1"/>
  <c r="BF351" i="6" s="1"/>
  <c r="P351" i="6" s="1"/>
  <c r="Q52" i="6"/>
  <c r="BP52" i="6"/>
  <c r="BO52" i="6" s="1"/>
  <c r="BN52" i="6" s="1"/>
  <c r="S52" i="6" s="1"/>
  <c r="Q121" i="6"/>
  <c r="BP121" i="6"/>
  <c r="BO121" i="6" s="1"/>
  <c r="BN121" i="6" s="1"/>
  <c r="S121" i="6" s="1"/>
  <c r="N14" i="6"/>
  <c r="BH14" i="6"/>
  <c r="BG14" i="6" s="1"/>
  <c r="BF14" i="6" s="1"/>
  <c r="P14" i="6" s="1"/>
  <c r="Q358" i="6"/>
  <c r="BP358" i="6"/>
  <c r="BO358" i="6" s="1"/>
  <c r="BN358" i="6" s="1"/>
  <c r="S358" i="6" s="1"/>
  <c r="N239" i="6"/>
  <c r="BH239" i="6"/>
  <c r="BG239" i="6" s="1"/>
  <c r="BF239" i="6" s="1"/>
  <c r="P239" i="6" s="1"/>
  <c r="Q77" i="6"/>
  <c r="BP77" i="6"/>
  <c r="BO77" i="6" s="1"/>
  <c r="BN77" i="6" s="1"/>
  <c r="S77" i="6" s="1"/>
  <c r="N116" i="6"/>
  <c r="BH116" i="6"/>
  <c r="BG116" i="6" s="1"/>
  <c r="BF116" i="6" s="1"/>
  <c r="P116" i="6" s="1"/>
  <c r="Q183" i="6"/>
  <c r="BP183" i="6"/>
  <c r="BO183" i="6" s="1"/>
  <c r="BN183" i="6" s="1"/>
  <c r="S183" i="6" s="1"/>
  <c r="Q395" i="6"/>
  <c r="BP395" i="6"/>
  <c r="BO395" i="6" s="1"/>
  <c r="BN395" i="6" s="1"/>
  <c r="S395" i="6" s="1"/>
  <c r="N101" i="6"/>
  <c r="BH101" i="6"/>
  <c r="BG101" i="6" s="1"/>
  <c r="BF101" i="6" s="1"/>
  <c r="P101" i="6" s="1"/>
  <c r="N223" i="6"/>
  <c r="BH223" i="6"/>
  <c r="BG223" i="6" s="1"/>
  <c r="BF223" i="6" s="1"/>
  <c r="P223" i="6" s="1"/>
  <c r="H103" i="6"/>
  <c r="AR103" i="6"/>
  <c r="AQ103" i="6" s="1"/>
  <c r="AP103" i="6" s="1"/>
  <c r="J103" i="6" s="1"/>
  <c r="H66" i="6"/>
  <c r="AR66" i="6"/>
  <c r="AQ66" i="6" s="1"/>
  <c r="AP66" i="6" s="1"/>
  <c r="J66" i="6" s="1"/>
  <c r="Q181" i="6"/>
  <c r="BP181" i="6"/>
  <c r="BO181" i="6" s="1"/>
  <c r="BN181" i="6" s="1"/>
  <c r="S181" i="6" s="1"/>
  <c r="N210" i="6"/>
  <c r="BH210" i="6"/>
  <c r="BG210" i="6" s="1"/>
  <c r="BF210" i="6" s="1"/>
  <c r="P210" i="6" s="1"/>
  <c r="N435" i="6"/>
  <c r="BH435" i="6"/>
  <c r="BG435" i="6" s="1"/>
  <c r="BF435" i="6" s="1"/>
  <c r="P435" i="6" s="1"/>
  <c r="N306" i="6"/>
  <c r="BH306" i="6"/>
  <c r="BG306" i="6" s="1"/>
  <c r="BF306" i="6" s="1"/>
  <c r="P306" i="6" s="1"/>
  <c r="H178" i="6"/>
  <c r="AR178" i="6"/>
  <c r="AQ178" i="6" s="1"/>
  <c r="AP178" i="6" s="1"/>
  <c r="J178" i="6" s="1"/>
  <c r="Q58" i="6"/>
  <c r="BP58" i="6"/>
  <c r="BO58" i="6" s="1"/>
  <c r="BN58" i="6" s="1"/>
  <c r="S58" i="6" s="1"/>
  <c r="N198" i="6"/>
  <c r="BH198" i="6"/>
  <c r="BG198" i="6" s="1"/>
  <c r="BF198" i="6" s="1"/>
  <c r="P198" i="6" s="1"/>
  <c r="H45" i="6"/>
  <c r="AR45" i="6"/>
  <c r="AQ45" i="6" s="1"/>
  <c r="AP45" i="6" s="1"/>
  <c r="J45" i="6" s="1"/>
  <c r="N237" i="6"/>
  <c r="BH237" i="6"/>
  <c r="BG237" i="6" s="1"/>
  <c r="BF237" i="6" s="1"/>
  <c r="P237" i="6" s="1"/>
  <c r="H434" i="6"/>
  <c r="AR434" i="6"/>
  <c r="AQ434" i="6" s="1"/>
  <c r="AP434" i="6" s="1"/>
  <c r="J434" i="6" s="1"/>
  <c r="Q385" i="6"/>
  <c r="BP385" i="6"/>
  <c r="BO385" i="6" s="1"/>
  <c r="BN385" i="6" s="1"/>
  <c r="S385" i="6" s="1"/>
  <c r="H213" i="6"/>
  <c r="AR213" i="6"/>
  <c r="AQ213" i="6" s="1"/>
  <c r="AP213" i="6" s="1"/>
  <c r="J213" i="6" s="1"/>
  <c r="N309" i="6"/>
  <c r="BH309" i="6"/>
  <c r="BG309" i="6" s="1"/>
  <c r="BF309" i="6" s="1"/>
  <c r="P309" i="6" s="1"/>
  <c r="H54" i="6"/>
  <c r="AR54" i="6"/>
  <c r="AQ54" i="6" s="1"/>
  <c r="AP54" i="6" s="1"/>
  <c r="J54" i="6" s="1"/>
  <c r="Q291" i="6"/>
  <c r="BP291" i="6"/>
  <c r="BO291" i="6" s="1"/>
  <c r="BN291" i="6" s="1"/>
  <c r="S291" i="6" s="1"/>
  <c r="H329" i="6"/>
  <c r="AR329" i="6"/>
  <c r="AQ329" i="6" s="1"/>
  <c r="AP329" i="6" s="1"/>
  <c r="J329" i="6" s="1"/>
  <c r="N230" i="6"/>
  <c r="BH230" i="6"/>
  <c r="BG230" i="6" s="1"/>
  <c r="BF230" i="6" s="1"/>
  <c r="P230" i="6" s="1"/>
  <c r="Q467" i="6"/>
  <c r="BP467" i="6"/>
  <c r="BO467" i="6" s="1"/>
  <c r="BN467" i="6" s="1"/>
  <c r="S467" i="6" s="1"/>
  <c r="H93" i="6"/>
  <c r="AR93" i="6"/>
  <c r="AQ93" i="6" s="1"/>
  <c r="AP93" i="6" s="1"/>
  <c r="J93" i="6" s="1"/>
  <c r="H31" i="6"/>
  <c r="AR31" i="6"/>
  <c r="AQ31" i="6" s="1"/>
  <c r="AP31" i="6" s="1"/>
  <c r="J31" i="6" s="1"/>
  <c r="N254" i="6"/>
  <c r="BH254" i="6"/>
  <c r="BG254" i="6" s="1"/>
  <c r="BF254" i="6" s="1"/>
  <c r="P254" i="6" s="1"/>
  <c r="N301" i="6"/>
  <c r="BH301" i="6"/>
  <c r="BG301" i="6" s="1"/>
  <c r="BF301" i="6" s="1"/>
  <c r="P301" i="6" s="1"/>
  <c r="N392" i="6"/>
  <c r="BH392" i="6"/>
  <c r="BG392" i="6" s="1"/>
  <c r="BF392" i="6" s="1"/>
  <c r="P392" i="6" s="1"/>
  <c r="Q9" i="6"/>
  <c r="BP9" i="6"/>
  <c r="BO9" i="6" s="1"/>
  <c r="BN9" i="6" s="1"/>
  <c r="S9" i="6" s="1"/>
  <c r="H158" i="6"/>
  <c r="AR158" i="6"/>
  <c r="AQ158" i="6" s="1"/>
  <c r="AP158" i="6" s="1"/>
  <c r="J158" i="6" s="1"/>
  <c r="Q324" i="6"/>
  <c r="BP324" i="6"/>
  <c r="BO324" i="6" s="1"/>
  <c r="BN324" i="6" s="1"/>
  <c r="S324" i="6" s="1"/>
  <c r="N439" i="6"/>
  <c r="BH439" i="6"/>
  <c r="BG439" i="6" s="1"/>
  <c r="BF439" i="6" s="1"/>
  <c r="P439" i="6" s="1"/>
  <c r="Q318" i="6"/>
  <c r="BP318" i="6"/>
  <c r="BO318" i="6" s="1"/>
  <c r="BN318" i="6" s="1"/>
  <c r="S318" i="6" s="1"/>
  <c r="N265" i="6"/>
  <c r="BH265" i="6"/>
  <c r="BG265" i="6" s="1"/>
  <c r="BF265" i="6" s="1"/>
  <c r="P265" i="6" s="1"/>
  <c r="N115" i="6"/>
  <c r="BH115" i="6"/>
  <c r="BG115" i="6" s="1"/>
  <c r="BF115" i="6" s="1"/>
  <c r="P115" i="6" s="1"/>
  <c r="Q399" i="6"/>
  <c r="BP399" i="6"/>
  <c r="BO399" i="6" s="1"/>
  <c r="BN399" i="6" s="1"/>
  <c r="S399" i="6" s="1"/>
  <c r="H340" i="6"/>
  <c r="AR340" i="6"/>
  <c r="AQ340" i="6" s="1"/>
  <c r="AP340" i="6" s="1"/>
  <c r="J340" i="6" s="1"/>
  <c r="H108" i="6"/>
  <c r="AR108" i="6"/>
  <c r="AQ108" i="6" s="1"/>
  <c r="AP108" i="6" s="1"/>
  <c r="J108" i="6" s="1"/>
  <c r="N293" i="6"/>
  <c r="BH293" i="6"/>
  <c r="BG293" i="6" s="1"/>
  <c r="BF293" i="6" s="1"/>
  <c r="P293" i="6" s="1"/>
  <c r="H62" i="6"/>
  <c r="AR62" i="6"/>
  <c r="AQ62" i="6" s="1"/>
  <c r="AP62" i="6" s="1"/>
  <c r="J62" i="6" s="1"/>
  <c r="N320" i="6"/>
  <c r="BH320" i="6"/>
  <c r="BG320" i="6" s="1"/>
  <c r="BF320" i="6" s="1"/>
  <c r="P320" i="6" s="1"/>
  <c r="N461" i="6"/>
  <c r="BH461" i="6"/>
  <c r="BG461" i="6" s="1"/>
  <c r="BF461" i="6" s="1"/>
  <c r="P461" i="6" s="1"/>
  <c r="N24" i="6"/>
  <c r="BH24" i="6"/>
  <c r="BG24" i="6" s="1"/>
  <c r="BF24" i="6" s="1"/>
  <c r="P24" i="6" s="1"/>
  <c r="N16" i="6"/>
  <c r="BH16" i="6"/>
  <c r="BG16" i="6" s="1"/>
  <c r="BF16" i="6" s="1"/>
  <c r="P16" i="6" s="1"/>
  <c r="H419" i="6"/>
  <c r="AR419" i="6"/>
  <c r="AQ419" i="6" s="1"/>
  <c r="AP419" i="6" s="1"/>
  <c r="J419" i="6" s="1"/>
  <c r="Q380" i="6"/>
  <c r="BP380" i="6"/>
  <c r="BO380" i="6" s="1"/>
  <c r="BN380" i="6" s="1"/>
  <c r="S380" i="6" s="1"/>
  <c r="Q174" i="6"/>
  <c r="BP174" i="6"/>
  <c r="BO174" i="6" s="1"/>
  <c r="BN174" i="6" s="1"/>
  <c r="S174" i="6" s="1"/>
  <c r="Q315" i="6"/>
  <c r="BP315" i="6"/>
  <c r="BO315" i="6" s="1"/>
  <c r="BN315" i="6" s="1"/>
  <c r="S315" i="6" s="1"/>
  <c r="N111" i="6"/>
  <c r="BH111" i="6"/>
  <c r="BG111" i="6" s="1"/>
  <c r="BF111" i="6" s="1"/>
  <c r="P111" i="6" s="1"/>
  <c r="H175" i="6"/>
  <c r="AR175" i="6"/>
  <c r="AQ175" i="6" s="1"/>
  <c r="AP175" i="6" s="1"/>
  <c r="J175" i="6" s="1"/>
  <c r="N131" i="6"/>
  <c r="BH131" i="6"/>
  <c r="BG131" i="6" s="1"/>
  <c r="BF131" i="6" s="1"/>
  <c r="P131" i="6" s="1"/>
  <c r="N118" i="6"/>
  <c r="BH118" i="6"/>
  <c r="BG118" i="6" s="1"/>
  <c r="BF118" i="6" s="1"/>
  <c r="P118" i="6" s="1"/>
  <c r="H282" i="6"/>
  <c r="AR282" i="6"/>
  <c r="AQ282" i="6" s="1"/>
  <c r="AP282" i="6" s="1"/>
  <c r="J282" i="6" s="1"/>
  <c r="H382" i="6"/>
  <c r="AR382" i="6"/>
  <c r="AQ382" i="6" s="1"/>
  <c r="AP382" i="6" s="1"/>
  <c r="J382" i="6" s="1"/>
  <c r="N137" i="6"/>
  <c r="BH137" i="6"/>
  <c r="BG137" i="6" s="1"/>
  <c r="BF137" i="6" s="1"/>
  <c r="P137" i="6" s="1"/>
  <c r="H85" i="6"/>
  <c r="AR85" i="6"/>
  <c r="AQ85" i="6" s="1"/>
  <c r="AP85" i="6" s="1"/>
  <c r="J85" i="6" s="1"/>
  <c r="N104" i="6"/>
  <c r="BH104" i="6"/>
  <c r="BG104" i="6" s="1"/>
  <c r="BF104" i="6" s="1"/>
  <c r="P104" i="6" s="1"/>
  <c r="Q283" i="6"/>
  <c r="BP283" i="6"/>
  <c r="BO283" i="6" s="1"/>
  <c r="BN283" i="6" s="1"/>
  <c r="S283" i="6" s="1"/>
  <c r="N102" i="6"/>
  <c r="BH102" i="6"/>
  <c r="BG102" i="6" s="1"/>
  <c r="BF102" i="6" s="1"/>
  <c r="P102" i="6" s="1"/>
  <c r="N328" i="6"/>
  <c r="BH328" i="6"/>
  <c r="BG328" i="6" s="1"/>
  <c r="BF328" i="6" s="1"/>
  <c r="P328" i="6" s="1"/>
  <c r="Q445" i="6"/>
  <c r="BP445" i="6"/>
  <c r="BO445" i="6" s="1"/>
  <c r="BN445" i="6" s="1"/>
  <c r="S445" i="6" s="1"/>
  <c r="N258" i="6"/>
  <c r="BH258" i="6"/>
  <c r="BG258" i="6" s="1"/>
  <c r="BF258" i="6" s="1"/>
  <c r="P258" i="6" s="1"/>
  <c r="H209" i="6"/>
  <c r="AR209" i="6"/>
  <c r="AQ209" i="6" s="1"/>
  <c r="AP209" i="6" s="1"/>
  <c r="J209" i="6" s="1"/>
  <c r="Q47" i="6"/>
  <c r="BP47" i="6"/>
  <c r="BO47" i="6" s="1"/>
  <c r="BN47" i="6" s="1"/>
  <c r="S47" i="6" s="1"/>
  <c r="Q459" i="6"/>
  <c r="BP459" i="6"/>
  <c r="BO459" i="6" s="1"/>
  <c r="BN459" i="6" s="1"/>
  <c r="S459" i="6" s="1"/>
  <c r="N211" i="6"/>
  <c r="BH211" i="6"/>
  <c r="BG211" i="6" s="1"/>
  <c r="BF211" i="6" s="1"/>
  <c r="P211" i="6" s="1"/>
  <c r="Q21" i="6"/>
  <c r="BP21" i="6"/>
  <c r="BO21" i="6" s="1"/>
  <c r="BN21" i="6" s="1"/>
  <c r="S21" i="6" s="1"/>
  <c r="H220" i="6"/>
  <c r="AR220" i="6"/>
  <c r="AQ220" i="6" s="1"/>
  <c r="AP220" i="6" s="1"/>
  <c r="J220" i="6" s="1"/>
  <c r="N408" i="6"/>
  <c r="BH408" i="6"/>
  <c r="BG408" i="6" s="1"/>
  <c r="BF408" i="6" s="1"/>
  <c r="P408" i="6" s="1"/>
  <c r="N202" i="6"/>
  <c r="BH202" i="6"/>
  <c r="BG202" i="6" s="1"/>
  <c r="BF202" i="6" s="1"/>
  <c r="P202" i="6" s="1"/>
  <c r="N106" i="6"/>
  <c r="BH106" i="6"/>
  <c r="BG106" i="6" s="1"/>
  <c r="BF106" i="6" s="1"/>
  <c r="P106" i="6" s="1"/>
  <c r="N166" i="6"/>
  <c r="BH166" i="6"/>
  <c r="BG166" i="6" s="1"/>
  <c r="BF166" i="6" s="1"/>
  <c r="P166" i="6" s="1"/>
  <c r="Q414" i="6"/>
  <c r="BP414" i="6"/>
  <c r="BO414" i="6" s="1"/>
  <c r="BN414" i="6" s="1"/>
  <c r="S414" i="6" s="1"/>
  <c r="Q95" i="6"/>
  <c r="BP95" i="6"/>
  <c r="BO95" i="6" s="1"/>
  <c r="BN95" i="6" s="1"/>
  <c r="S95" i="6" s="1"/>
  <c r="H192" i="6"/>
  <c r="AR192" i="6"/>
  <c r="AQ192" i="6" s="1"/>
  <c r="AP192" i="6" s="1"/>
  <c r="J192" i="6" s="1"/>
  <c r="H444" i="6"/>
  <c r="AR444" i="6"/>
  <c r="AQ444" i="6" s="1"/>
  <c r="AP444" i="6" s="1"/>
  <c r="J444" i="6" s="1"/>
  <c r="H280" i="6"/>
  <c r="AR280" i="6"/>
  <c r="AQ280" i="6" s="1"/>
  <c r="AP280" i="6" s="1"/>
  <c r="J280" i="6" s="1"/>
  <c r="H325" i="6"/>
  <c r="AR325" i="6"/>
  <c r="AQ325" i="6" s="1"/>
  <c r="AP325" i="6" s="1"/>
  <c r="J325" i="6" s="1"/>
  <c r="H465" i="6"/>
  <c r="AR465" i="6"/>
  <c r="AQ465" i="6" s="1"/>
  <c r="AP465" i="6" s="1"/>
  <c r="J465" i="6" s="1"/>
  <c r="H251" i="6"/>
  <c r="AR251" i="6"/>
  <c r="AQ251" i="6" s="1"/>
  <c r="AP251" i="6" s="1"/>
  <c r="J251" i="6" s="1"/>
  <c r="H46" i="6"/>
  <c r="AR46" i="6"/>
  <c r="AQ46" i="6" s="1"/>
  <c r="AP46" i="6" s="1"/>
  <c r="J46" i="6" s="1"/>
  <c r="N196" i="6"/>
  <c r="BH196" i="6"/>
  <c r="BG196" i="6" s="1"/>
  <c r="BF196" i="6" s="1"/>
  <c r="P196" i="6" s="1"/>
  <c r="H257" i="6"/>
  <c r="AR257" i="6"/>
  <c r="AQ257" i="6" s="1"/>
  <c r="AP257" i="6" s="1"/>
  <c r="J257" i="6" s="1"/>
  <c r="H456" i="6"/>
  <c r="AR456" i="6"/>
  <c r="AQ456" i="6" s="1"/>
  <c r="AP456" i="6" s="1"/>
  <c r="J456" i="6" s="1"/>
  <c r="N145" i="6"/>
  <c r="BH145" i="6"/>
  <c r="BG145" i="6" s="1"/>
  <c r="BF145" i="6" s="1"/>
  <c r="P145" i="6" s="1"/>
  <c r="Q217" i="6"/>
  <c r="BP217" i="6"/>
  <c r="BO217" i="6" s="1"/>
  <c r="BN217" i="6" s="1"/>
  <c r="S217" i="6" s="1"/>
  <c r="N100" i="6"/>
  <c r="BH100" i="6"/>
  <c r="BG100" i="6" s="1"/>
  <c r="BF100" i="6" s="1"/>
  <c r="P100" i="6" s="1"/>
  <c r="Q323" i="6"/>
  <c r="BP323" i="6"/>
  <c r="BO323" i="6" s="1"/>
  <c r="BN323" i="6" s="1"/>
  <c r="S323" i="6" s="1"/>
  <c r="Q189" i="6"/>
  <c r="BP189" i="6"/>
  <c r="BO189" i="6" s="1"/>
  <c r="BN189" i="6" s="1"/>
  <c r="S189" i="6" s="1"/>
  <c r="N151" i="6"/>
  <c r="BH151" i="6"/>
  <c r="BG151" i="6" s="1"/>
  <c r="BF151" i="6" s="1"/>
  <c r="P151" i="6" s="1"/>
  <c r="H248" i="6"/>
  <c r="AR248" i="6"/>
  <c r="AQ248" i="6" s="1"/>
  <c r="AP248" i="6" s="1"/>
  <c r="J248" i="6" s="1"/>
  <c r="H168" i="6"/>
  <c r="AR168" i="6"/>
  <c r="AQ168" i="6" s="1"/>
  <c r="AP168" i="6" s="1"/>
  <c r="J168" i="6" s="1"/>
  <c r="Q253" i="6"/>
  <c r="BP253" i="6"/>
  <c r="BO253" i="6" s="1"/>
  <c r="BN253" i="6" s="1"/>
  <c r="S253" i="6" s="1"/>
  <c r="Q127" i="6"/>
  <c r="BP127" i="6"/>
  <c r="BO127" i="6" s="1"/>
  <c r="BN127" i="6" s="1"/>
  <c r="S127" i="6" s="1"/>
  <c r="Q152" i="6"/>
  <c r="BP152" i="6"/>
  <c r="BO152" i="6" s="1"/>
  <c r="BN152" i="6" s="1"/>
  <c r="S152" i="6" s="1"/>
  <c r="H423" i="6"/>
  <c r="AR423" i="6"/>
  <c r="AQ423" i="6" s="1"/>
  <c r="AP423" i="6" s="1"/>
  <c r="J423" i="6" s="1"/>
  <c r="Q176" i="6"/>
  <c r="BP176" i="6"/>
  <c r="BO176" i="6" s="1"/>
  <c r="BN176" i="6" s="1"/>
  <c r="S176" i="6" s="1"/>
  <c r="H335" i="6"/>
  <c r="AR335" i="6"/>
  <c r="AQ335" i="6" s="1"/>
  <c r="AP335" i="6" s="1"/>
  <c r="J335" i="6" s="1"/>
  <c r="N226" i="6"/>
  <c r="BH226" i="6"/>
  <c r="BG226" i="6" s="1"/>
  <c r="BF226" i="6" s="1"/>
  <c r="P226" i="6" s="1"/>
  <c r="H400" i="6"/>
  <c r="AR400" i="6"/>
  <c r="AQ400" i="6" s="1"/>
  <c r="AP400" i="6" s="1"/>
  <c r="J400" i="6" s="1"/>
  <c r="H388" i="6"/>
  <c r="AR388" i="6"/>
  <c r="AQ388" i="6" s="1"/>
  <c r="AP388" i="6" s="1"/>
  <c r="J388" i="6" s="1"/>
  <c r="H107" i="6"/>
  <c r="AR107" i="6"/>
  <c r="AQ107" i="6" s="1"/>
  <c r="AP107" i="6" s="1"/>
  <c r="J107" i="6" s="1"/>
  <c r="Q281" i="6"/>
  <c r="BP281" i="6"/>
  <c r="BO281" i="6" s="1"/>
  <c r="BN281" i="6" s="1"/>
  <c r="S281" i="6" s="1"/>
  <c r="H51" i="6"/>
  <c r="AR51" i="6"/>
  <c r="AQ51" i="6" s="1"/>
  <c r="AP51" i="6" s="1"/>
  <c r="J51" i="6" s="1"/>
  <c r="H264" i="6"/>
  <c r="AR264" i="6"/>
  <c r="AQ264" i="6" s="1"/>
  <c r="AP264" i="6" s="1"/>
  <c r="J264" i="6" s="1"/>
  <c r="N381" i="6"/>
  <c r="BH381" i="6"/>
  <c r="BG381" i="6" s="1"/>
  <c r="BF381" i="6" s="1"/>
  <c r="P381" i="6" s="1"/>
  <c r="N468" i="6"/>
  <c r="BH468" i="6"/>
  <c r="BG468" i="6" s="1"/>
  <c r="BF468" i="6" s="1"/>
  <c r="P468" i="6" s="1"/>
  <c r="Q206" i="6"/>
  <c r="BP206" i="6"/>
  <c r="BO206" i="6" s="1"/>
  <c r="BN206" i="6" s="1"/>
  <c r="S206" i="6" s="1"/>
  <c r="N326" i="6"/>
  <c r="BH326" i="6"/>
  <c r="BG326" i="6" s="1"/>
  <c r="BF326" i="6" s="1"/>
  <c r="P326" i="6" s="1"/>
  <c r="N443" i="6"/>
  <c r="BH443" i="6"/>
  <c r="BG443" i="6" s="1"/>
  <c r="BF443" i="6" s="1"/>
  <c r="P443" i="6" s="1"/>
  <c r="H182" i="6"/>
  <c r="AR182" i="6"/>
  <c r="AQ182" i="6" s="1"/>
  <c r="AP182" i="6" s="1"/>
  <c r="J182" i="6" s="1"/>
  <c r="H331" i="6"/>
  <c r="AR331" i="6"/>
  <c r="AQ331" i="6" s="1"/>
  <c r="AP331" i="6" s="1"/>
  <c r="J331" i="6" s="1"/>
  <c r="N349" i="6"/>
  <c r="BH349" i="6"/>
  <c r="BG349" i="6" s="1"/>
  <c r="BF349" i="6" s="1"/>
  <c r="P349" i="6" s="1"/>
  <c r="Q221" i="6"/>
  <c r="BP221" i="6"/>
  <c r="BO221" i="6" s="1"/>
  <c r="BN221" i="6" s="1"/>
  <c r="S221" i="6" s="1"/>
  <c r="Q249" i="6"/>
  <c r="BP249" i="6"/>
  <c r="BO249" i="6" s="1"/>
  <c r="BN249" i="6" s="1"/>
  <c r="S249" i="6" s="1"/>
  <c r="Q343" i="6"/>
  <c r="BP343" i="6"/>
  <c r="BO343" i="6" s="1"/>
  <c r="BN343" i="6" s="1"/>
  <c r="S343" i="6" s="1"/>
  <c r="H214" i="6"/>
  <c r="AR214" i="6"/>
  <c r="AQ214" i="6" s="1"/>
  <c r="AP214" i="6" s="1"/>
  <c r="J214" i="6" s="1"/>
  <c r="Q357" i="6"/>
  <c r="BP357" i="6"/>
  <c r="BO357" i="6" s="1"/>
  <c r="BN357" i="6" s="1"/>
  <c r="S357" i="6" s="1"/>
  <c r="H36" i="6"/>
  <c r="AR36" i="6"/>
  <c r="AQ36" i="6" s="1"/>
  <c r="AP36" i="6" s="1"/>
  <c r="J36" i="6" s="1"/>
  <c r="H430" i="6"/>
  <c r="AR430" i="6"/>
  <c r="AQ430" i="6" s="1"/>
  <c r="AP430" i="6" s="1"/>
  <c r="J430" i="6" s="1"/>
  <c r="Q351" i="6"/>
  <c r="BP351" i="6"/>
  <c r="BO351" i="6" s="1"/>
  <c r="BN351" i="6" s="1"/>
  <c r="S351" i="6" s="1"/>
  <c r="Q49" i="6"/>
  <c r="BP49" i="6"/>
  <c r="BO49" i="6" s="1"/>
  <c r="BN49" i="6" s="1"/>
  <c r="S49" i="6" s="1"/>
  <c r="Q204" i="6"/>
  <c r="BP204" i="6"/>
  <c r="BO204" i="6" s="1"/>
  <c r="BN204" i="6" s="1"/>
  <c r="S204" i="6" s="1"/>
  <c r="N203" i="6"/>
  <c r="BH203" i="6"/>
  <c r="BG203" i="6" s="1"/>
  <c r="BF203" i="6" s="1"/>
  <c r="P203" i="6" s="1"/>
  <c r="N121" i="6"/>
  <c r="BH121" i="6"/>
  <c r="BG121" i="6" s="1"/>
  <c r="BF121" i="6" s="1"/>
  <c r="P121" i="6" s="1"/>
  <c r="Q314" i="6"/>
  <c r="BP314" i="6"/>
  <c r="BO314" i="6" s="1"/>
  <c r="BN314" i="6" s="1"/>
  <c r="S314" i="6" s="1"/>
  <c r="H358" i="6"/>
  <c r="AR358" i="6"/>
  <c r="AQ358" i="6" s="1"/>
  <c r="AP358" i="6" s="1"/>
  <c r="J358" i="6" s="1"/>
  <c r="Q239" i="6"/>
  <c r="BP239" i="6"/>
  <c r="BO239" i="6" s="1"/>
  <c r="BN239" i="6" s="1"/>
  <c r="S239" i="6" s="1"/>
  <c r="N222" i="6"/>
  <c r="BH222" i="6"/>
  <c r="BG222" i="6" s="1"/>
  <c r="BF222" i="6" s="1"/>
  <c r="P222" i="6" s="1"/>
  <c r="Q71" i="6"/>
  <c r="BP71" i="6"/>
  <c r="BO71" i="6" s="1"/>
  <c r="BN71" i="6" s="1"/>
  <c r="S71" i="6" s="1"/>
  <c r="H116" i="6"/>
  <c r="AR116" i="6"/>
  <c r="AQ116" i="6" s="1"/>
  <c r="AP116" i="6" s="1"/>
  <c r="J116" i="6" s="1"/>
  <c r="N183" i="6"/>
  <c r="BH183" i="6"/>
  <c r="BG183" i="6" s="1"/>
  <c r="BF183" i="6" s="1"/>
  <c r="P183" i="6" s="1"/>
  <c r="H395" i="6"/>
  <c r="AR395" i="6"/>
  <c r="AQ395" i="6" s="1"/>
  <c r="AP395" i="6" s="1"/>
  <c r="J395" i="6" s="1"/>
  <c r="Q30" i="6"/>
  <c r="BP30" i="6"/>
  <c r="BO30" i="6" s="1"/>
  <c r="BN30" i="6" s="1"/>
  <c r="S30" i="6" s="1"/>
  <c r="Q101" i="6"/>
  <c r="BP101" i="6"/>
  <c r="BO101" i="6" s="1"/>
  <c r="BN101" i="6" s="1"/>
  <c r="S101" i="6" s="1"/>
  <c r="H292" i="6"/>
  <c r="AR292" i="6"/>
  <c r="AQ292" i="6" s="1"/>
  <c r="AP292" i="6" s="1"/>
  <c r="J292" i="6" s="1"/>
  <c r="H412" i="6"/>
  <c r="AR412" i="6"/>
  <c r="AQ412" i="6" s="1"/>
  <c r="AP412" i="6" s="1"/>
  <c r="J412" i="6" s="1"/>
  <c r="N302" i="6"/>
  <c r="BH302" i="6"/>
  <c r="BG302" i="6" s="1"/>
  <c r="BF302" i="6" s="1"/>
  <c r="P302" i="6" s="1"/>
  <c r="Q435" i="6"/>
  <c r="BP435" i="6"/>
  <c r="BO435" i="6" s="1"/>
  <c r="BN435" i="6" s="1"/>
  <c r="S435" i="6" s="1"/>
  <c r="N91" i="6"/>
  <c r="BH91" i="6"/>
  <c r="BG91" i="6" s="1"/>
  <c r="BF91" i="6" s="1"/>
  <c r="P91" i="6" s="1"/>
  <c r="H159" i="6"/>
  <c r="AR159" i="6"/>
  <c r="AQ159" i="6" s="1"/>
  <c r="AP159" i="6" s="1"/>
  <c r="J159" i="6" s="1"/>
  <c r="N178" i="6"/>
  <c r="BH178" i="6"/>
  <c r="BG178" i="6" s="1"/>
  <c r="BF178" i="6" s="1"/>
  <c r="P178" i="6" s="1"/>
  <c r="H285" i="6"/>
  <c r="AR285" i="6"/>
  <c r="AQ285" i="6" s="1"/>
  <c r="AP285" i="6" s="1"/>
  <c r="J285" i="6" s="1"/>
  <c r="Q429" i="6"/>
  <c r="BP429" i="6"/>
  <c r="BO429" i="6" s="1"/>
  <c r="BN429" i="6" s="1"/>
  <c r="S429" i="6" s="1"/>
  <c r="Q310" i="6"/>
  <c r="BP310" i="6"/>
  <c r="BO310" i="6" s="1"/>
  <c r="BN310" i="6" s="1"/>
  <c r="S310" i="6" s="1"/>
  <c r="N348" i="6"/>
  <c r="BH348" i="6"/>
  <c r="BG348" i="6" s="1"/>
  <c r="BF348" i="6" s="1"/>
  <c r="P348" i="6" s="1"/>
  <c r="N58" i="6"/>
  <c r="BH58" i="6"/>
  <c r="BG58" i="6" s="1"/>
  <c r="BF58" i="6" s="1"/>
  <c r="P58" i="6" s="1"/>
  <c r="Q284" i="6"/>
  <c r="BP284" i="6"/>
  <c r="BO284" i="6" s="1"/>
  <c r="BN284" i="6" s="1"/>
  <c r="S284" i="6" s="1"/>
  <c r="N45" i="6"/>
  <c r="BH45" i="6"/>
  <c r="BG45" i="6" s="1"/>
  <c r="BF45" i="6" s="1"/>
  <c r="P45" i="6" s="1"/>
  <c r="Q237" i="6"/>
  <c r="BP237" i="6"/>
  <c r="BO237" i="6" s="1"/>
  <c r="BN237" i="6" s="1"/>
  <c r="S237" i="6" s="1"/>
  <c r="N134" i="6"/>
  <c r="BH134" i="6"/>
  <c r="BG134" i="6" s="1"/>
  <c r="BF134" i="6" s="1"/>
  <c r="P134" i="6" s="1"/>
  <c r="Q309" i="6"/>
  <c r="BP309" i="6"/>
  <c r="BO309" i="6" s="1"/>
  <c r="BN309" i="6" s="1"/>
  <c r="S309" i="6" s="1"/>
  <c r="N113" i="6"/>
  <c r="BH113" i="6"/>
  <c r="BG113" i="6" s="1"/>
  <c r="BF113" i="6" s="1"/>
  <c r="P113" i="6" s="1"/>
  <c r="Q398" i="6"/>
  <c r="BP398" i="6"/>
  <c r="BO398" i="6" s="1"/>
  <c r="BN398" i="6" s="1"/>
  <c r="S398" i="6" s="1"/>
  <c r="Q230" i="6"/>
  <c r="BP230" i="6"/>
  <c r="BO230" i="6" s="1"/>
  <c r="BN230" i="6" s="1"/>
  <c r="S230" i="6" s="1"/>
  <c r="H467" i="6"/>
  <c r="AR467" i="6"/>
  <c r="AQ467" i="6" s="1"/>
  <c r="AP467" i="6" s="1"/>
  <c r="J467" i="6" s="1"/>
  <c r="N238" i="6"/>
  <c r="BH238" i="6"/>
  <c r="BG238" i="6" s="1"/>
  <c r="BF238" i="6" s="1"/>
  <c r="P238" i="6" s="1"/>
  <c r="Q31" i="6"/>
  <c r="BP31" i="6"/>
  <c r="BO31" i="6" s="1"/>
  <c r="BN31" i="6" s="1"/>
  <c r="S31" i="6" s="1"/>
  <c r="H149" i="6"/>
  <c r="AR149" i="6"/>
  <c r="AQ149" i="6" s="1"/>
  <c r="AP149" i="6" s="1"/>
  <c r="J149" i="6" s="1"/>
  <c r="N327" i="6"/>
  <c r="BH327" i="6"/>
  <c r="BG327" i="6" s="1"/>
  <c r="BF327" i="6" s="1"/>
  <c r="P327" i="6" s="1"/>
  <c r="Q22" i="6"/>
  <c r="BP22" i="6"/>
  <c r="BO22" i="6" s="1"/>
  <c r="BN22" i="6" s="1"/>
  <c r="S22" i="6" s="1"/>
  <c r="H324" i="6"/>
  <c r="AR324" i="6"/>
  <c r="AQ324" i="6" s="1"/>
  <c r="AP324" i="6" s="1"/>
  <c r="J324" i="6" s="1"/>
  <c r="Q439" i="6"/>
  <c r="BP439" i="6"/>
  <c r="BO439" i="6" s="1"/>
  <c r="BN439" i="6" s="1"/>
  <c r="S439" i="6" s="1"/>
  <c r="N446" i="6"/>
  <c r="BH446" i="6"/>
  <c r="BG446" i="6" s="1"/>
  <c r="BF446" i="6" s="1"/>
  <c r="P446" i="6" s="1"/>
  <c r="H167" i="6"/>
  <c r="AR167" i="6"/>
  <c r="AQ167" i="6" s="1"/>
  <c r="AP167" i="6" s="1"/>
  <c r="J167" i="6" s="1"/>
  <c r="Q265" i="6"/>
  <c r="BP265" i="6"/>
  <c r="BO265" i="6" s="1"/>
  <c r="BN265" i="6" s="1"/>
  <c r="S265" i="6" s="1"/>
  <c r="Q115" i="6"/>
  <c r="BP115" i="6"/>
  <c r="BO115" i="6" s="1"/>
  <c r="BN115" i="6" s="1"/>
  <c r="S115" i="6" s="1"/>
  <c r="Q42" i="6"/>
  <c r="BP42" i="6"/>
  <c r="BO42" i="6" s="1"/>
  <c r="BN42" i="6" s="1"/>
  <c r="S42" i="6" s="1"/>
  <c r="N163" i="6"/>
  <c r="BH163" i="6"/>
  <c r="BG163" i="6" s="1"/>
  <c r="BF163" i="6" s="1"/>
  <c r="P163" i="6" s="1"/>
  <c r="H40" i="6"/>
  <c r="AR40" i="6"/>
  <c r="AQ40" i="6" s="1"/>
  <c r="AP40" i="6" s="1"/>
  <c r="J40" i="6" s="1"/>
  <c r="H293" i="6"/>
  <c r="AR293" i="6"/>
  <c r="AQ293" i="6" s="1"/>
  <c r="AP293" i="6" s="1"/>
  <c r="J293" i="6" s="1"/>
  <c r="Q320" i="6"/>
  <c r="BP320" i="6"/>
  <c r="BO320" i="6" s="1"/>
  <c r="BN320" i="6" s="1"/>
  <c r="S320" i="6" s="1"/>
  <c r="N114" i="6"/>
  <c r="BH114" i="6"/>
  <c r="BG114" i="6" s="1"/>
  <c r="BF114" i="6" s="1"/>
  <c r="P114" i="6" s="1"/>
  <c r="H18" i="6"/>
  <c r="AR18" i="6"/>
  <c r="AQ18" i="6" s="1"/>
  <c r="AP18" i="6" s="1"/>
  <c r="J18" i="6" s="1"/>
  <c r="H16" i="6"/>
  <c r="AR16" i="6"/>
  <c r="AQ16" i="6" s="1"/>
  <c r="AP16" i="6" s="1"/>
  <c r="J16" i="6" s="1"/>
  <c r="Q25" i="6"/>
  <c r="BP25" i="6"/>
  <c r="BO25" i="6" s="1"/>
  <c r="BN25" i="6" s="1"/>
  <c r="S25" i="6" s="1"/>
  <c r="N231" i="6"/>
  <c r="BH231" i="6"/>
  <c r="BG231" i="6" s="1"/>
  <c r="BF231" i="6" s="1"/>
  <c r="P231" i="6" s="1"/>
  <c r="Q290" i="6"/>
  <c r="BP290" i="6"/>
  <c r="BO290" i="6" s="1"/>
  <c r="BN290" i="6" s="1"/>
  <c r="S290" i="6" s="1"/>
  <c r="Q200" i="6"/>
  <c r="BP200" i="6"/>
  <c r="BO200" i="6" s="1"/>
  <c r="BN200" i="6" s="1"/>
  <c r="S200" i="6" s="1"/>
  <c r="H13" i="6"/>
  <c r="AR13" i="6"/>
  <c r="AQ13" i="6" s="1"/>
  <c r="AP13" i="6" s="1"/>
  <c r="J13" i="6" s="1"/>
  <c r="H111" i="6"/>
  <c r="AR111" i="6"/>
  <c r="AQ111" i="6" s="1"/>
  <c r="AP111" i="6" s="1"/>
  <c r="J111" i="6" s="1"/>
  <c r="H356" i="6"/>
  <c r="AR356" i="6"/>
  <c r="AQ356" i="6" s="1"/>
  <c r="AP356" i="6" s="1"/>
  <c r="J356" i="6" s="1"/>
  <c r="H118" i="6"/>
  <c r="AR118" i="6"/>
  <c r="AQ118" i="6" s="1"/>
  <c r="AP118" i="6" s="1"/>
  <c r="J118" i="6" s="1"/>
  <c r="Q137" i="6"/>
  <c r="BP137" i="6"/>
  <c r="BO137" i="6" s="1"/>
  <c r="BN137" i="6" s="1"/>
  <c r="S137" i="6" s="1"/>
  <c r="H224" i="6"/>
  <c r="AR224" i="6"/>
  <c r="AQ224" i="6" s="1"/>
  <c r="AP224" i="6" s="1"/>
  <c r="J224" i="6" s="1"/>
  <c r="Q85" i="6"/>
  <c r="BP85" i="6"/>
  <c r="BO85" i="6" s="1"/>
  <c r="BN85" i="6" s="1"/>
  <c r="S85" i="6" s="1"/>
  <c r="Q104" i="6"/>
  <c r="BP104" i="6"/>
  <c r="BO104" i="6" s="1"/>
  <c r="BN104" i="6" s="1"/>
  <c r="S104" i="6" s="1"/>
  <c r="N146" i="6"/>
  <c r="BH146" i="6"/>
  <c r="BG146" i="6" s="1"/>
  <c r="BF146" i="6" s="1"/>
  <c r="P146" i="6" s="1"/>
  <c r="Q102" i="6"/>
  <c r="BP102" i="6"/>
  <c r="BO102" i="6" s="1"/>
  <c r="BN102" i="6" s="1"/>
  <c r="S102" i="6" s="1"/>
  <c r="N171" i="6"/>
  <c r="BH171" i="6"/>
  <c r="BG171" i="6" s="1"/>
  <c r="BF171" i="6" s="1"/>
  <c r="P171" i="6" s="1"/>
  <c r="H445" i="6"/>
  <c r="AR445" i="6"/>
  <c r="AQ445" i="6" s="1"/>
  <c r="AP445" i="6" s="1"/>
  <c r="J445" i="6" s="1"/>
  <c r="Q61" i="6"/>
  <c r="BP61" i="6"/>
  <c r="BO61" i="6" s="1"/>
  <c r="BN61" i="6" s="1"/>
  <c r="S61" i="6" s="1"/>
  <c r="Q258" i="6"/>
  <c r="BP258" i="6"/>
  <c r="BO258" i="6" s="1"/>
  <c r="BN258" i="6" s="1"/>
  <c r="S258" i="6" s="1"/>
  <c r="H87" i="6"/>
  <c r="AR87" i="6"/>
  <c r="AQ87" i="6" s="1"/>
  <c r="AP87" i="6" s="1"/>
  <c r="J87" i="6" s="1"/>
  <c r="N266" i="6"/>
  <c r="BH266" i="6"/>
  <c r="BG266" i="6" s="1"/>
  <c r="BF266" i="6" s="1"/>
  <c r="P266" i="6" s="1"/>
  <c r="H78" i="6"/>
  <c r="AR78" i="6"/>
  <c r="AQ78" i="6" s="1"/>
  <c r="AP78" i="6" s="1"/>
  <c r="J78" i="6" s="1"/>
  <c r="N317" i="6"/>
  <c r="BH317" i="6"/>
  <c r="BG317" i="6" s="1"/>
  <c r="BF317" i="6" s="1"/>
  <c r="P317" i="6" s="1"/>
  <c r="H459" i="6"/>
  <c r="AR459" i="6"/>
  <c r="AQ459" i="6" s="1"/>
  <c r="AP459" i="6" s="1"/>
  <c r="J459" i="6" s="1"/>
  <c r="N96" i="6"/>
  <c r="BH96" i="6"/>
  <c r="BG96" i="6" s="1"/>
  <c r="BF96" i="6" s="1"/>
  <c r="P96" i="6" s="1"/>
  <c r="Q211" i="6"/>
  <c r="BP211" i="6"/>
  <c r="BO211" i="6" s="1"/>
  <c r="BN211" i="6" s="1"/>
  <c r="S211" i="6" s="1"/>
  <c r="Q173" i="6"/>
  <c r="BP173" i="6"/>
  <c r="BO173" i="6" s="1"/>
  <c r="BN173" i="6" s="1"/>
  <c r="S173" i="6" s="1"/>
  <c r="N457" i="6"/>
  <c r="BH457" i="6"/>
  <c r="BG457" i="6" s="1"/>
  <c r="BF457" i="6" s="1"/>
  <c r="P457" i="6" s="1"/>
  <c r="H94" i="6"/>
  <c r="AR94" i="6"/>
  <c r="AQ94" i="6" s="1"/>
  <c r="AP94" i="6" s="1"/>
  <c r="J94" i="6" s="1"/>
  <c r="Q106" i="6"/>
  <c r="BP106" i="6"/>
  <c r="BO106" i="6" s="1"/>
  <c r="BN106" i="6" s="1"/>
  <c r="S106" i="6" s="1"/>
  <c r="H81" i="6"/>
  <c r="AR81" i="6"/>
  <c r="AQ81" i="6" s="1"/>
  <c r="AP81" i="6" s="1"/>
  <c r="J81" i="6" s="1"/>
  <c r="Q218" i="6"/>
  <c r="BP218" i="6"/>
  <c r="BO218" i="6" s="1"/>
  <c r="BN218" i="6" s="1"/>
  <c r="S218" i="6" s="1"/>
  <c r="Q192" i="6"/>
  <c r="BP192" i="6"/>
  <c r="BO192" i="6" s="1"/>
  <c r="BN192" i="6" s="1"/>
  <c r="S192" i="6" s="1"/>
  <c r="Q444" i="6"/>
  <c r="BP444" i="6"/>
  <c r="BO444" i="6" s="1"/>
  <c r="BN444" i="6" s="1"/>
  <c r="S444" i="6" s="1"/>
  <c r="N267" i="6"/>
  <c r="BH267" i="6"/>
  <c r="BG267" i="6" s="1"/>
  <c r="BF267" i="6" s="1"/>
  <c r="P267" i="6" s="1"/>
  <c r="Q280" i="6"/>
  <c r="BP280" i="6"/>
  <c r="BO280" i="6" s="1"/>
  <c r="BN280" i="6" s="1"/>
  <c r="S280" i="6" s="1"/>
  <c r="N150" i="6"/>
  <c r="BH150" i="6"/>
  <c r="BG150" i="6" s="1"/>
  <c r="BF150" i="6" s="1"/>
  <c r="P150" i="6" s="1"/>
  <c r="H20" i="6"/>
  <c r="AR20" i="6"/>
  <c r="AQ20" i="6" s="1"/>
  <c r="AP20" i="6" s="1"/>
  <c r="J20" i="6" s="1"/>
  <c r="Q247" i="6"/>
  <c r="BP247" i="6"/>
  <c r="BO247" i="6" s="1"/>
  <c r="BN247" i="6" s="1"/>
  <c r="S247" i="6" s="1"/>
  <c r="H148" i="6"/>
  <c r="AR148" i="6"/>
  <c r="AQ148" i="6" s="1"/>
  <c r="AP148" i="6" s="1"/>
  <c r="J148" i="6" s="1"/>
  <c r="N448" i="6"/>
  <c r="BH448" i="6"/>
  <c r="BG448" i="6" s="1"/>
  <c r="BF448" i="6" s="1"/>
  <c r="P448" i="6" s="1"/>
  <c r="H187" i="6"/>
  <c r="AR187" i="6"/>
  <c r="AQ187" i="6" s="1"/>
  <c r="AP187" i="6" s="1"/>
  <c r="J187" i="6" s="1"/>
  <c r="Q376" i="6"/>
  <c r="BP376" i="6"/>
  <c r="BO376" i="6" s="1"/>
  <c r="BN376" i="6" s="1"/>
  <c r="S376" i="6" s="1"/>
  <c r="Q196" i="6"/>
  <c r="BP196" i="6"/>
  <c r="BO196" i="6" s="1"/>
  <c r="BN196" i="6" s="1"/>
  <c r="S196" i="6" s="1"/>
  <c r="Q145" i="6"/>
  <c r="BP145" i="6"/>
  <c r="BO145" i="6" s="1"/>
  <c r="BN145" i="6" s="1"/>
  <c r="S145" i="6" s="1"/>
  <c r="Q154" i="6"/>
  <c r="BP154" i="6"/>
  <c r="BO154" i="6" s="1"/>
  <c r="BN154" i="6" s="1"/>
  <c r="S154" i="6" s="1"/>
  <c r="H100" i="6"/>
  <c r="AR100" i="6"/>
  <c r="AQ100" i="6" s="1"/>
  <c r="AP100" i="6" s="1"/>
  <c r="J100" i="6" s="1"/>
  <c r="N48" i="6"/>
  <c r="BH48" i="6"/>
  <c r="BG48" i="6" s="1"/>
  <c r="BF48" i="6" s="1"/>
  <c r="P48" i="6" s="1"/>
  <c r="H244" i="6"/>
  <c r="AR244" i="6"/>
  <c r="AQ244" i="6" s="1"/>
  <c r="AP244" i="6" s="1"/>
  <c r="J244" i="6" s="1"/>
  <c r="H189" i="6"/>
  <c r="AR189" i="6"/>
  <c r="AQ189" i="6" s="1"/>
  <c r="AP189" i="6" s="1"/>
  <c r="J189" i="6" s="1"/>
  <c r="H59" i="6"/>
  <c r="AR59" i="6"/>
  <c r="AQ59" i="6" s="1"/>
  <c r="AP59" i="6" s="1"/>
  <c r="J59" i="6" s="1"/>
  <c r="Q151" i="6"/>
  <c r="BP151" i="6"/>
  <c r="BO151" i="6" s="1"/>
  <c r="BN151" i="6" s="1"/>
  <c r="S151" i="6" s="1"/>
  <c r="H372" i="6"/>
  <c r="AR372" i="6"/>
  <c r="AQ372" i="6" s="1"/>
  <c r="AP372" i="6" s="1"/>
  <c r="J372" i="6" s="1"/>
  <c r="H84" i="6"/>
  <c r="AR84" i="6"/>
  <c r="AQ84" i="6" s="1"/>
  <c r="AP84" i="6" s="1"/>
  <c r="J84" i="6" s="1"/>
  <c r="Q92" i="6"/>
  <c r="BP92" i="6"/>
  <c r="BO92" i="6" s="1"/>
  <c r="BN92" i="6" s="1"/>
  <c r="S92" i="6" s="1"/>
  <c r="N127" i="6"/>
  <c r="BH127" i="6"/>
  <c r="BG127" i="6" s="1"/>
  <c r="BF127" i="6" s="1"/>
  <c r="P127" i="6" s="1"/>
  <c r="N359" i="6"/>
  <c r="BH359" i="6"/>
  <c r="BG359" i="6" s="1"/>
  <c r="BF359" i="6" s="1"/>
  <c r="P359" i="6" s="1"/>
  <c r="N140" i="6"/>
  <c r="BH140" i="6"/>
  <c r="BG140" i="6" s="1"/>
  <c r="BF140" i="6" s="1"/>
  <c r="P140" i="6" s="1"/>
  <c r="N246" i="6"/>
  <c r="BH246" i="6"/>
  <c r="BG246" i="6" s="1"/>
  <c r="BF246" i="6" s="1"/>
  <c r="P246" i="6" s="1"/>
  <c r="N423" i="6"/>
  <c r="BH423" i="6"/>
  <c r="BG423" i="6" s="1"/>
  <c r="BF423" i="6" s="1"/>
  <c r="P423" i="6" s="1"/>
  <c r="H63" i="6"/>
  <c r="AR63" i="6"/>
  <c r="AQ63" i="6" s="1"/>
  <c r="AP63" i="6" s="1"/>
  <c r="J63" i="6" s="1"/>
  <c r="N271" i="6"/>
  <c r="BH271" i="6"/>
  <c r="BG271" i="6" s="1"/>
  <c r="BF271" i="6" s="1"/>
  <c r="P271" i="6" s="1"/>
  <c r="Q335" i="6"/>
  <c r="BP335" i="6"/>
  <c r="BO335" i="6" s="1"/>
  <c r="BN335" i="6" s="1"/>
  <c r="S335" i="6" s="1"/>
  <c r="H226" i="6"/>
  <c r="AR226" i="6"/>
  <c r="AQ226" i="6" s="1"/>
  <c r="AP226" i="6" s="1"/>
  <c r="J226" i="6" s="1"/>
  <c r="H161" i="6"/>
  <c r="AR161" i="6"/>
  <c r="AQ161" i="6" s="1"/>
  <c r="AP161" i="6" s="1"/>
  <c r="J161" i="6" s="1"/>
  <c r="H286" i="6"/>
  <c r="AR286" i="6"/>
  <c r="AQ286" i="6" s="1"/>
  <c r="AP286" i="6" s="1"/>
  <c r="J286" i="6" s="1"/>
  <c r="Q56" i="6"/>
  <c r="BP56" i="6"/>
  <c r="BO56" i="6" s="1"/>
  <c r="BN56" i="6" s="1"/>
  <c r="S56" i="6" s="1"/>
  <c r="H162" i="6"/>
  <c r="AR162" i="6"/>
  <c r="AQ162" i="6" s="1"/>
  <c r="AP162" i="6" s="1"/>
  <c r="J162" i="6" s="1"/>
  <c r="H252" i="6"/>
  <c r="AR252" i="6"/>
  <c r="AQ252" i="6" s="1"/>
  <c r="AP252" i="6" s="1"/>
  <c r="J252" i="6" s="1"/>
  <c r="N300" i="6"/>
  <c r="BH300" i="6"/>
  <c r="BG300" i="6" s="1"/>
  <c r="BF300" i="6" s="1"/>
  <c r="P300" i="6" s="1"/>
  <c r="N51" i="6"/>
  <c r="BH51" i="6"/>
  <c r="BG51" i="6" s="1"/>
  <c r="BF51" i="6" s="1"/>
  <c r="P51" i="6" s="1"/>
  <c r="Q276" i="6"/>
  <c r="BP276" i="6"/>
  <c r="BO276" i="6" s="1"/>
  <c r="BN276" i="6" s="1"/>
  <c r="S276" i="6" s="1"/>
  <c r="N353" i="6"/>
  <c r="BH353" i="6"/>
  <c r="BG353" i="6" s="1"/>
  <c r="BF353" i="6" s="1"/>
  <c r="P353" i="6" s="1"/>
  <c r="Q264" i="6"/>
  <c r="BP264" i="6"/>
  <c r="BO264" i="6" s="1"/>
  <c r="BN264" i="6" s="1"/>
  <c r="S264" i="6" s="1"/>
  <c r="Q381" i="6"/>
  <c r="BP381" i="6"/>
  <c r="BO381" i="6" s="1"/>
  <c r="BN381" i="6" s="1"/>
  <c r="S381" i="6" s="1"/>
  <c r="Q366" i="6"/>
  <c r="BP366" i="6"/>
  <c r="BO366" i="6" s="1"/>
  <c r="BN366" i="6" s="1"/>
  <c r="S366" i="6" s="1"/>
  <c r="N346" i="6"/>
  <c r="BH346" i="6"/>
  <c r="BG346" i="6" s="1"/>
  <c r="BF346" i="6" s="1"/>
  <c r="P346" i="6" s="1"/>
  <c r="H396" i="6"/>
  <c r="AR396" i="6"/>
  <c r="AQ396" i="6" s="1"/>
  <c r="AP396" i="6" s="1"/>
  <c r="J396" i="6" s="1"/>
  <c r="N438" i="6"/>
  <c r="BH438" i="6"/>
  <c r="BG438" i="6" s="1"/>
  <c r="BF438" i="6" s="1"/>
  <c r="P438" i="6" s="1"/>
  <c r="H67" i="6"/>
  <c r="AR67" i="6"/>
  <c r="AQ67" i="6" s="1"/>
  <c r="AP67" i="6" s="1"/>
  <c r="J67" i="6" s="1"/>
  <c r="Q44" i="6"/>
  <c r="BP44" i="6"/>
  <c r="BO44" i="6" s="1"/>
  <c r="BN44" i="6" s="1"/>
  <c r="S44" i="6" s="1"/>
  <c r="Q443" i="6"/>
  <c r="BP443" i="6"/>
  <c r="BO443" i="6" s="1"/>
  <c r="BN443" i="6" s="1"/>
  <c r="S443" i="6" s="1"/>
  <c r="N269" i="6"/>
  <c r="BH269" i="6"/>
  <c r="BG269" i="6" s="1"/>
  <c r="BF269" i="6" s="1"/>
  <c r="P269" i="6" s="1"/>
  <c r="N182" i="6"/>
  <c r="BH182" i="6"/>
  <c r="BG182" i="6" s="1"/>
  <c r="BF182" i="6" s="1"/>
  <c r="P182" i="6" s="1"/>
  <c r="Q386" i="6"/>
  <c r="BP386" i="6"/>
  <c r="BO386" i="6" s="1"/>
  <c r="BN386" i="6" s="1"/>
  <c r="S386" i="6" s="1"/>
  <c r="N130" i="6"/>
  <c r="BH130" i="6"/>
  <c r="BG130" i="6" s="1"/>
  <c r="BF130" i="6" s="1"/>
  <c r="P130" i="6" s="1"/>
  <c r="N331" i="6"/>
  <c r="BH331" i="6"/>
  <c r="BG331" i="6" s="1"/>
  <c r="BF331" i="6" s="1"/>
  <c r="P331" i="6" s="1"/>
  <c r="H384" i="6"/>
  <c r="AR384" i="6"/>
  <c r="AQ384" i="6" s="1"/>
  <c r="AP384" i="6" s="1"/>
  <c r="J384" i="6" s="1"/>
  <c r="Q349" i="6"/>
  <c r="BP349" i="6"/>
  <c r="BO349" i="6" s="1"/>
  <c r="BN349" i="6" s="1"/>
  <c r="S349" i="6" s="1"/>
  <c r="H343" i="6"/>
  <c r="AR343" i="6"/>
  <c r="AQ343" i="6" s="1"/>
  <c r="AP343" i="6" s="1"/>
  <c r="J343" i="6" s="1"/>
  <c r="N129" i="6"/>
  <c r="BH129" i="6"/>
  <c r="BG129" i="6" s="1"/>
  <c r="BF129" i="6" s="1"/>
  <c r="P129" i="6" s="1"/>
  <c r="H422" i="6"/>
  <c r="AR422" i="6"/>
  <c r="AQ422" i="6" s="1"/>
  <c r="AP422" i="6" s="1"/>
  <c r="J422" i="6" s="1"/>
  <c r="Q214" i="6"/>
  <c r="BP214" i="6"/>
  <c r="BO214" i="6" s="1"/>
  <c r="BN214" i="6" s="1"/>
  <c r="S214" i="6" s="1"/>
  <c r="H373" i="6"/>
  <c r="AR373" i="6"/>
  <c r="AQ373" i="6" s="1"/>
  <c r="AP373" i="6" s="1"/>
  <c r="J373" i="6" s="1"/>
  <c r="N430" i="6"/>
  <c r="BH430" i="6"/>
  <c r="BG430" i="6" s="1"/>
  <c r="BF430" i="6" s="1"/>
  <c r="P430" i="6" s="1"/>
  <c r="N10" i="6"/>
  <c r="BH10" i="6"/>
  <c r="BG10" i="6" s="1"/>
  <c r="BF10" i="6" s="1"/>
  <c r="P10" i="6" s="1"/>
  <c r="H351" i="6"/>
  <c r="AR351" i="6"/>
  <c r="AQ351" i="6" s="1"/>
  <c r="AP351" i="6" s="1"/>
  <c r="J351" i="6" s="1"/>
  <c r="H449" i="6"/>
  <c r="AR449" i="6"/>
  <c r="AQ449" i="6" s="1"/>
  <c r="AP449" i="6" s="1"/>
  <c r="J449" i="6" s="1"/>
  <c r="H204" i="6"/>
  <c r="AR204" i="6"/>
  <c r="AQ204" i="6" s="1"/>
  <c r="AP204" i="6" s="1"/>
  <c r="J204" i="6" s="1"/>
  <c r="Q191" i="6"/>
  <c r="BP191" i="6"/>
  <c r="BO191" i="6" s="1"/>
  <c r="BN191" i="6" s="1"/>
  <c r="S191" i="6" s="1"/>
  <c r="Q203" i="6"/>
  <c r="BP203" i="6"/>
  <c r="BO203" i="6" s="1"/>
  <c r="BN203" i="6" s="1"/>
  <c r="S203" i="6" s="1"/>
  <c r="H52" i="6"/>
  <c r="AR52" i="6"/>
  <c r="AQ52" i="6" s="1"/>
  <c r="AP52" i="6" s="1"/>
  <c r="J52" i="6" s="1"/>
  <c r="Q229" i="6"/>
  <c r="BP229" i="6"/>
  <c r="BO229" i="6" s="1"/>
  <c r="BN229" i="6" s="1"/>
  <c r="S229" i="6" s="1"/>
  <c r="N123" i="6"/>
  <c r="BH123" i="6"/>
  <c r="BG123" i="6" s="1"/>
  <c r="BF123" i="6" s="1"/>
  <c r="P123" i="6" s="1"/>
  <c r="H239" i="6"/>
  <c r="AR239" i="6"/>
  <c r="AQ239" i="6" s="1"/>
  <c r="AP239" i="6" s="1"/>
  <c r="J239" i="6" s="1"/>
  <c r="H199" i="6"/>
  <c r="AR199" i="6"/>
  <c r="AQ199" i="6" s="1"/>
  <c r="AP199" i="6" s="1"/>
  <c r="J199" i="6" s="1"/>
  <c r="H222" i="6"/>
  <c r="AR222" i="6"/>
  <c r="AQ222" i="6" s="1"/>
  <c r="AP222" i="6" s="1"/>
  <c r="J222" i="6" s="1"/>
  <c r="H352" i="6"/>
  <c r="AR352" i="6"/>
  <c r="AQ352" i="6" s="1"/>
  <c r="AP352" i="6" s="1"/>
  <c r="J352" i="6" s="1"/>
  <c r="Q116" i="6"/>
  <c r="BP116" i="6"/>
  <c r="BO116" i="6" s="1"/>
  <c r="BN116" i="6" s="1"/>
  <c r="S116" i="6" s="1"/>
  <c r="Q223" i="6"/>
  <c r="BP223" i="6"/>
  <c r="BO223" i="6" s="1"/>
  <c r="BN223" i="6" s="1"/>
  <c r="S223" i="6" s="1"/>
  <c r="H169" i="6"/>
  <c r="AR169" i="6"/>
  <c r="AQ169" i="6" s="1"/>
  <c r="AP169" i="6" s="1"/>
  <c r="J169" i="6" s="1"/>
  <c r="H181" i="6"/>
  <c r="AR181" i="6"/>
  <c r="AQ181" i="6" s="1"/>
  <c r="AP181" i="6" s="1"/>
  <c r="J181" i="6" s="1"/>
  <c r="H435" i="6"/>
  <c r="AR435" i="6"/>
  <c r="AQ435" i="6" s="1"/>
  <c r="AP435" i="6" s="1"/>
  <c r="J435" i="6" s="1"/>
  <c r="H369" i="6"/>
  <c r="AR369" i="6"/>
  <c r="AQ369" i="6" s="1"/>
  <c r="AP369" i="6" s="1"/>
  <c r="J369" i="6" s="1"/>
  <c r="Q91" i="6"/>
  <c r="BP91" i="6"/>
  <c r="BO91" i="6" s="1"/>
  <c r="BN91" i="6" s="1"/>
  <c r="S91" i="6" s="1"/>
  <c r="N285" i="6"/>
  <c r="BH285" i="6"/>
  <c r="BG285" i="6" s="1"/>
  <c r="BF285" i="6" s="1"/>
  <c r="P285" i="6" s="1"/>
  <c r="N429" i="6"/>
  <c r="BH429" i="6"/>
  <c r="BG429" i="6" s="1"/>
  <c r="BF429" i="6" s="1"/>
  <c r="P429" i="6" s="1"/>
  <c r="N43" i="6"/>
  <c r="BH43" i="6"/>
  <c r="BG43" i="6" s="1"/>
  <c r="BF43" i="6" s="1"/>
  <c r="P43" i="6" s="1"/>
  <c r="H58" i="6"/>
  <c r="AR58" i="6"/>
  <c r="AQ58" i="6" s="1"/>
  <c r="AP58" i="6" s="1"/>
  <c r="J58" i="6" s="1"/>
  <c r="N368" i="6"/>
  <c r="BH368" i="6"/>
  <c r="BG368" i="6" s="1"/>
  <c r="BF368" i="6" s="1"/>
  <c r="P368" i="6" s="1"/>
  <c r="N321" i="6"/>
  <c r="BH321" i="6"/>
  <c r="BG321" i="6" s="1"/>
  <c r="BF321" i="6" s="1"/>
  <c r="P321" i="6" s="1"/>
  <c r="N434" i="6"/>
  <c r="BH434" i="6"/>
  <c r="BG434" i="6" s="1"/>
  <c r="BF434" i="6" s="1"/>
  <c r="P434" i="6" s="1"/>
  <c r="Q134" i="6"/>
  <c r="BP134" i="6"/>
  <c r="BO134" i="6" s="1"/>
  <c r="BN134" i="6" s="1"/>
  <c r="S134" i="6" s="1"/>
  <c r="Q113" i="6"/>
  <c r="BP113" i="6"/>
  <c r="BO113" i="6" s="1"/>
  <c r="BN113" i="6" s="1"/>
  <c r="S113" i="6" s="1"/>
  <c r="N424" i="6"/>
  <c r="BH424" i="6"/>
  <c r="BG424" i="6" s="1"/>
  <c r="BF424" i="6" s="1"/>
  <c r="P424" i="6" s="1"/>
  <c r="H398" i="6"/>
  <c r="AR398" i="6"/>
  <c r="AQ398" i="6" s="1"/>
  <c r="AP398" i="6" s="1"/>
  <c r="J398" i="6" s="1"/>
  <c r="N275" i="6"/>
  <c r="BH275" i="6"/>
  <c r="BG275" i="6" s="1"/>
  <c r="BF275" i="6" s="1"/>
  <c r="P275" i="6" s="1"/>
  <c r="Q254" i="6"/>
  <c r="BP254" i="6"/>
  <c r="BO254" i="6" s="1"/>
  <c r="BN254" i="6" s="1"/>
  <c r="S254" i="6" s="1"/>
  <c r="H261" i="6"/>
  <c r="AR261" i="6"/>
  <c r="AQ261" i="6" s="1"/>
  <c r="AP261" i="6" s="1"/>
  <c r="J261" i="6" s="1"/>
  <c r="Q327" i="6"/>
  <c r="BP327" i="6"/>
  <c r="BO327" i="6" s="1"/>
  <c r="BN327" i="6" s="1"/>
  <c r="S327" i="6" s="1"/>
  <c r="N22" i="6"/>
  <c r="BH22" i="6"/>
  <c r="BG22" i="6" s="1"/>
  <c r="BF22" i="6" s="1"/>
  <c r="P22" i="6" s="1"/>
  <c r="Q158" i="6"/>
  <c r="BP158" i="6"/>
  <c r="BO158" i="6" s="1"/>
  <c r="BN158" i="6" s="1"/>
  <c r="S158" i="6" s="1"/>
  <c r="N270" i="6"/>
  <c r="BH270" i="6"/>
  <c r="BG270" i="6" s="1"/>
  <c r="BF270" i="6" s="1"/>
  <c r="P270" i="6" s="1"/>
  <c r="N117" i="6"/>
  <c r="BH117" i="6"/>
  <c r="BG117" i="6" s="1"/>
  <c r="BF117" i="6" s="1"/>
  <c r="P117" i="6" s="1"/>
  <c r="H115" i="6"/>
  <c r="AR115" i="6"/>
  <c r="AQ115" i="6" s="1"/>
  <c r="AP115" i="6" s="1"/>
  <c r="J115" i="6" s="1"/>
  <c r="Q163" i="6"/>
  <c r="BP163" i="6"/>
  <c r="BO163" i="6" s="1"/>
  <c r="BN163" i="6" s="1"/>
  <c r="S163" i="6" s="1"/>
  <c r="N340" i="6"/>
  <c r="BH340" i="6"/>
  <c r="BG340" i="6" s="1"/>
  <c r="BF340" i="6" s="1"/>
  <c r="P340" i="6" s="1"/>
  <c r="H330" i="6"/>
  <c r="AR330" i="6"/>
  <c r="AQ330" i="6" s="1"/>
  <c r="AP330" i="6" s="1"/>
  <c r="J330" i="6" s="1"/>
  <c r="H219" i="6"/>
  <c r="AR219" i="6"/>
  <c r="AQ219" i="6" s="1"/>
  <c r="AP219" i="6" s="1"/>
  <c r="J219" i="6" s="1"/>
  <c r="H450" i="6"/>
  <c r="AR450" i="6"/>
  <c r="AQ450" i="6" s="1"/>
  <c r="AP450" i="6" s="1"/>
  <c r="J450" i="6" s="1"/>
  <c r="H320" i="6"/>
  <c r="AR320" i="6"/>
  <c r="AQ320" i="6" s="1"/>
  <c r="AP320" i="6" s="1"/>
  <c r="J320" i="6" s="1"/>
  <c r="N419" i="6"/>
  <c r="BH419" i="6"/>
  <c r="BG419" i="6" s="1"/>
  <c r="BF419" i="6" s="1"/>
  <c r="P419" i="6" s="1"/>
  <c r="Q109" i="6"/>
  <c r="BP109" i="6"/>
  <c r="BO109" i="6" s="1"/>
  <c r="BN109" i="6" s="1"/>
  <c r="S109" i="6" s="1"/>
  <c r="Q231" i="6"/>
  <c r="BP231" i="6"/>
  <c r="BO231" i="6" s="1"/>
  <c r="BN231" i="6" s="1"/>
  <c r="S231" i="6" s="1"/>
  <c r="N290" i="6"/>
  <c r="BH290" i="6"/>
  <c r="BG290" i="6" s="1"/>
  <c r="BF290" i="6" s="1"/>
  <c r="P290" i="6" s="1"/>
  <c r="H174" i="6"/>
  <c r="AR174" i="6"/>
  <c r="AQ174" i="6" s="1"/>
  <c r="AP174" i="6" s="1"/>
  <c r="J174" i="6" s="1"/>
  <c r="N90" i="6"/>
  <c r="BH90" i="6"/>
  <c r="BG90" i="6" s="1"/>
  <c r="BF90" i="6" s="1"/>
  <c r="P90" i="6" s="1"/>
  <c r="H200" i="6"/>
  <c r="AR200" i="6"/>
  <c r="AQ200" i="6" s="1"/>
  <c r="AP200" i="6" s="1"/>
  <c r="J200" i="6" s="1"/>
  <c r="N426" i="6"/>
  <c r="BH426" i="6"/>
  <c r="BG426" i="6" s="1"/>
  <c r="BF426" i="6" s="1"/>
  <c r="P426" i="6" s="1"/>
  <c r="H337" i="6"/>
  <c r="AR337" i="6"/>
  <c r="AQ337" i="6" s="1"/>
  <c r="AP337" i="6" s="1"/>
  <c r="J337" i="6" s="1"/>
  <c r="Q60" i="6"/>
  <c r="BP60" i="6"/>
  <c r="BO60" i="6" s="1"/>
  <c r="BN60" i="6" s="1"/>
  <c r="S60" i="6" s="1"/>
  <c r="Q118" i="6"/>
  <c r="BP118" i="6"/>
  <c r="BO118" i="6" s="1"/>
  <c r="BN118" i="6" s="1"/>
  <c r="S118" i="6" s="1"/>
  <c r="Q455" i="6"/>
  <c r="BP455" i="6"/>
  <c r="BO455" i="6" s="1"/>
  <c r="BN455" i="6" s="1"/>
  <c r="S455" i="6" s="1"/>
  <c r="H137" i="6"/>
  <c r="AR137" i="6"/>
  <c r="AQ137" i="6" s="1"/>
  <c r="AP137" i="6" s="1"/>
  <c r="J137" i="6" s="1"/>
  <c r="Q224" i="6"/>
  <c r="BP224" i="6"/>
  <c r="BO224" i="6" s="1"/>
  <c r="BN224" i="6" s="1"/>
  <c r="S224" i="6" s="1"/>
  <c r="N341" i="6"/>
  <c r="BH341" i="6"/>
  <c r="BG341" i="6" s="1"/>
  <c r="BF341" i="6" s="1"/>
  <c r="P341" i="6" s="1"/>
  <c r="N350" i="6"/>
  <c r="BH350" i="6"/>
  <c r="BG350" i="6" s="1"/>
  <c r="BF350" i="6" s="1"/>
  <c r="P350" i="6" s="1"/>
  <c r="H283" i="6"/>
  <c r="AR283" i="6"/>
  <c r="AQ283" i="6" s="1"/>
  <c r="AP283" i="6" s="1"/>
  <c r="J283" i="6" s="1"/>
  <c r="Q146" i="6"/>
  <c r="BP146" i="6"/>
  <c r="BO146" i="6" s="1"/>
  <c r="BN146" i="6" s="1"/>
  <c r="S146" i="6" s="1"/>
  <c r="Q328" i="6"/>
  <c r="BP328" i="6"/>
  <c r="BO328" i="6" s="1"/>
  <c r="BN328" i="6" s="1"/>
  <c r="S328" i="6" s="1"/>
  <c r="Q171" i="6"/>
  <c r="BP171" i="6"/>
  <c r="BO171" i="6" s="1"/>
  <c r="BN171" i="6" s="1"/>
  <c r="S171" i="6" s="1"/>
  <c r="H170" i="6"/>
  <c r="AR170" i="6"/>
  <c r="AQ170" i="6" s="1"/>
  <c r="AP170" i="6" s="1"/>
  <c r="J170" i="6" s="1"/>
  <c r="H258" i="6"/>
  <c r="AR258" i="6"/>
  <c r="AQ258" i="6" s="1"/>
  <c r="AP258" i="6" s="1"/>
  <c r="J258" i="6" s="1"/>
  <c r="N87" i="6"/>
  <c r="BH87" i="6"/>
  <c r="BG87" i="6" s="1"/>
  <c r="BF87" i="6" s="1"/>
  <c r="P87" i="6" s="1"/>
  <c r="Q266" i="6"/>
  <c r="BP266" i="6"/>
  <c r="BO266" i="6" s="1"/>
  <c r="BN266" i="6" s="1"/>
  <c r="S266" i="6" s="1"/>
  <c r="H132" i="6"/>
  <c r="AR132" i="6"/>
  <c r="AQ132" i="6" s="1"/>
  <c r="AP132" i="6" s="1"/>
  <c r="J132" i="6" s="1"/>
  <c r="N78" i="6"/>
  <c r="BH78" i="6"/>
  <c r="BG78" i="6" s="1"/>
  <c r="BF78" i="6" s="1"/>
  <c r="P78" i="6" s="1"/>
  <c r="Q317" i="6"/>
  <c r="BP317" i="6"/>
  <c r="BO317" i="6" s="1"/>
  <c r="BN317" i="6" s="1"/>
  <c r="S317" i="6" s="1"/>
  <c r="Q96" i="6"/>
  <c r="BP96" i="6"/>
  <c r="BO96" i="6" s="1"/>
  <c r="BN96" i="6" s="1"/>
  <c r="S96" i="6" s="1"/>
  <c r="N361" i="6"/>
  <c r="BH361" i="6"/>
  <c r="BG361" i="6" s="1"/>
  <c r="BF361" i="6" s="1"/>
  <c r="P361" i="6" s="1"/>
  <c r="Q220" i="6"/>
  <c r="BP220" i="6"/>
  <c r="BO220" i="6" s="1"/>
  <c r="BN220" i="6" s="1"/>
  <c r="S220" i="6" s="1"/>
  <c r="Q408" i="6"/>
  <c r="BP408" i="6"/>
  <c r="BO408" i="6" s="1"/>
  <c r="BN408" i="6" s="1"/>
  <c r="S408" i="6" s="1"/>
  <c r="Q139" i="6"/>
  <c r="BP139" i="6"/>
  <c r="BO139" i="6" s="1"/>
  <c r="BN139" i="6" s="1"/>
  <c r="S139" i="6" s="1"/>
  <c r="N94" i="6"/>
  <c r="BH94" i="6"/>
  <c r="BG94" i="6" s="1"/>
  <c r="BF94" i="6" s="1"/>
  <c r="P94" i="6" s="1"/>
  <c r="H273" i="6"/>
  <c r="AR273" i="6"/>
  <c r="AQ273" i="6" s="1"/>
  <c r="AP273" i="6" s="1"/>
  <c r="J273" i="6" s="1"/>
  <c r="Q338" i="6"/>
  <c r="BP338" i="6"/>
  <c r="BO338" i="6" s="1"/>
  <c r="BN338" i="6" s="1"/>
  <c r="S338" i="6" s="1"/>
  <c r="N81" i="6"/>
  <c r="BH81" i="6"/>
  <c r="BG81" i="6" s="1"/>
  <c r="BF81" i="6" s="1"/>
  <c r="P81" i="6" s="1"/>
  <c r="H414" i="6"/>
  <c r="AR414" i="6"/>
  <c r="AQ414" i="6" s="1"/>
  <c r="AP414" i="6" s="1"/>
  <c r="J414" i="6" s="1"/>
  <c r="H95" i="6"/>
  <c r="AR95" i="6"/>
  <c r="AQ95" i="6" s="1"/>
  <c r="AP95" i="6" s="1"/>
  <c r="J95" i="6" s="1"/>
  <c r="N444" i="6"/>
  <c r="BH444" i="6"/>
  <c r="BG444" i="6" s="1"/>
  <c r="BF444" i="6" s="1"/>
  <c r="P444" i="6" s="1"/>
  <c r="Q267" i="6"/>
  <c r="BP267" i="6"/>
  <c r="BO267" i="6" s="1"/>
  <c r="BN267" i="6" s="1"/>
  <c r="S267" i="6" s="1"/>
  <c r="N88" i="6"/>
  <c r="BH88" i="6"/>
  <c r="BG88" i="6" s="1"/>
  <c r="BF88" i="6" s="1"/>
  <c r="P88" i="6" s="1"/>
  <c r="N247" i="6"/>
  <c r="BH247" i="6"/>
  <c r="BG247" i="6" s="1"/>
  <c r="BF247" i="6" s="1"/>
  <c r="P247" i="6" s="1"/>
  <c r="Q465" i="6"/>
  <c r="BP465" i="6"/>
  <c r="BO465" i="6" s="1"/>
  <c r="BN465" i="6" s="1"/>
  <c r="S465" i="6" s="1"/>
  <c r="H365" i="6"/>
  <c r="AR365" i="6"/>
  <c r="AQ365" i="6" s="1"/>
  <c r="AP365" i="6" s="1"/>
  <c r="J365" i="6" s="1"/>
  <c r="H448" i="6"/>
  <c r="AR448" i="6"/>
  <c r="AQ448" i="6" s="1"/>
  <c r="AP448" i="6" s="1"/>
  <c r="J448" i="6" s="1"/>
  <c r="H376" i="6"/>
  <c r="AR376" i="6"/>
  <c r="AQ376" i="6" s="1"/>
  <c r="AP376" i="6" s="1"/>
  <c r="J376" i="6" s="1"/>
  <c r="H196" i="6"/>
  <c r="AR196" i="6"/>
  <c r="AQ196" i="6" s="1"/>
  <c r="AP196" i="6" s="1"/>
  <c r="J196" i="6" s="1"/>
  <c r="N415" i="6"/>
  <c r="BH415" i="6"/>
  <c r="BG415" i="6" s="1"/>
  <c r="BF415" i="6" s="1"/>
  <c r="P415" i="6" s="1"/>
  <c r="Q73" i="6"/>
  <c r="BP73" i="6"/>
  <c r="BO73" i="6" s="1"/>
  <c r="BN73" i="6" s="1"/>
  <c r="S73" i="6" s="1"/>
  <c r="H145" i="6"/>
  <c r="AR145" i="6"/>
  <c r="AQ145" i="6" s="1"/>
  <c r="AP145" i="6" s="1"/>
  <c r="J145" i="6" s="1"/>
  <c r="N339" i="6"/>
  <c r="BH339" i="6"/>
  <c r="BG339" i="6" s="1"/>
  <c r="BF339" i="6" s="1"/>
  <c r="P339" i="6" s="1"/>
  <c r="N154" i="6"/>
  <c r="BH154" i="6"/>
  <c r="BG154" i="6" s="1"/>
  <c r="BF154" i="6" s="1"/>
  <c r="P154" i="6" s="1"/>
  <c r="Q160" i="6"/>
  <c r="BP160" i="6"/>
  <c r="BO160" i="6" s="1"/>
  <c r="BN160" i="6" s="1"/>
  <c r="S160" i="6" s="1"/>
  <c r="N421" i="6"/>
  <c r="BH421" i="6"/>
  <c r="BG421" i="6" s="1"/>
  <c r="BF421" i="6" s="1"/>
  <c r="P421" i="6" s="1"/>
  <c r="N59" i="6"/>
  <c r="BH59" i="6"/>
  <c r="BG59" i="6" s="1"/>
  <c r="BF59" i="6" s="1"/>
  <c r="P59" i="6" s="1"/>
  <c r="Q442" i="6"/>
  <c r="BP442" i="6"/>
  <c r="BO442" i="6" s="1"/>
  <c r="BN442" i="6" s="1"/>
  <c r="S442" i="6" s="1"/>
  <c r="H92" i="6"/>
  <c r="AR92" i="6"/>
  <c r="AQ92" i="6" s="1"/>
  <c r="AP92" i="6" s="1"/>
  <c r="J92" i="6" s="1"/>
  <c r="N312" i="6"/>
  <c r="BH312" i="6"/>
  <c r="BG312" i="6" s="1"/>
  <c r="BF312" i="6" s="1"/>
  <c r="P312" i="6" s="1"/>
  <c r="N441" i="6"/>
  <c r="BH441" i="6"/>
  <c r="BG441" i="6" s="1"/>
  <c r="BF441" i="6" s="1"/>
  <c r="P441" i="6" s="1"/>
  <c r="H127" i="6"/>
  <c r="AR127" i="6"/>
  <c r="AQ127" i="6" s="1"/>
  <c r="AP127" i="6" s="1"/>
  <c r="J127" i="6" s="1"/>
  <c r="H11" i="6"/>
  <c r="AR11" i="6"/>
  <c r="AQ11" i="6" s="1"/>
  <c r="AP11" i="6" s="1"/>
  <c r="J11" i="6" s="1"/>
  <c r="H152" i="6"/>
  <c r="AR152" i="6"/>
  <c r="AQ152" i="6" s="1"/>
  <c r="AP152" i="6" s="1"/>
  <c r="J152" i="6" s="1"/>
  <c r="Q359" i="6"/>
  <c r="BP359" i="6"/>
  <c r="BO359" i="6" s="1"/>
  <c r="BN359" i="6" s="1"/>
  <c r="S359" i="6" s="1"/>
  <c r="Q140" i="6"/>
  <c r="BP140" i="6"/>
  <c r="BO140" i="6" s="1"/>
  <c r="BN140" i="6" s="1"/>
  <c r="S140" i="6" s="1"/>
  <c r="Q246" i="6"/>
  <c r="BP246" i="6"/>
  <c r="BO246" i="6" s="1"/>
  <c r="BN246" i="6" s="1"/>
  <c r="S246" i="6" s="1"/>
  <c r="Q63" i="6"/>
  <c r="BP63" i="6"/>
  <c r="BO63" i="6" s="1"/>
  <c r="BN63" i="6" s="1"/>
  <c r="S63" i="6" s="1"/>
  <c r="Q271" i="6"/>
  <c r="BP271" i="6"/>
  <c r="BO271" i="6" s="1"/>
  <c r="BN271" i="6" s="1"/>
  <c r="S271" i="6" s="1"/>
  <c r="Q105" i="6"/>
  <c r="BP105" i="6"/>
  <c r="BO105" i="6" s="1"/>
  <c r="BN105" i="6" s="1"/>
  <c r="S105" i="6" s="1"/>
  <c r="N161" i="6"/>
  <c r="BH161" i="6"/>
  <c r="BG161" i="6" s="1"/>
  <c r="BF161" i="6" s="1"/>
  <c r="P161" i="6" s="1"/>
  <c r="N388" i="6"/>
  <c r="BH388" i="6"/>
  <c r="BG388" i="6" s="1"/>
  <c r="BF388" i="6" s="1"/>
  <c r="P388" i="6" s="1"/>
  <c r="H56" i="6"/>
  <c r="AR56" i="6"/>
  <c r="AQ56" i="6" s="1"/>
  <c r="AP56" i="6" s="1"/>
  <c r="J56" i="6" s="1"/>
  <c r="H110" i="6"/>
  <c r="AR110" i="6"/>
  <c r="AQ110" i="6" s="1"/>
  <c r="AP110" i="6" s="1"/>
  <c r="J110" i="6" s="1"/>
  <c r="Q252" i="6"/>
  <c r="BP252" i="6"/>
  <c r="BO252" i="6" s="1"/>
  <c r="BN252" i="6" s="1"/>
  <c r="S252" i="6" s="1"/>
  <c r="H281" i="6"/>
  <c r="AR281" i="6"/>
  <c r="AQ281" i="6" s="1"/>
  <c r="AP281" i="6" s="1"/>
  <c r="J281" i="6" s="1"/>
  <c r="Q300" i="6"/>
  <c r="BP300" i="6"/>
  <c r="BO300" i="6" s="1"/>
  <c r="BN300" i="6" s="1"/>
  <c r="S300" i="6" s="1"/>
  <c r="N427" i="6"/>
  <c r="BH427" i="6"/>
  <c r="BG427" i="6" s="1"/>
  <c r="BF427" i="6" s="1"/>
  <c r="P427" i="6" s="1"/>
  <c r="Q51" i="6"/>
  <c r="BP51" i="6"/>
  <c r="BO51" i="6" s="1"/>
  <c r="BN51" i="6" s="1"/>
  <c r="S51" i="6" s="1"/>
  <c r="Q353" i="6"/>
  <c r="BP353" i="6"/>
  <c r="BO353" i="6" s="1"/>
  <c r="BN353" i="6" s="1"/>
  <c r="S353" i="6" s="1"/>
  <c r="H366" i="6"/>
  <c r="AR366" i="6"/>
  <c r="AQ366" i="6" s="1"/>
  <c r="AP366" i="6" s="1"/>
  <c r="J366" i="6" s="1"/>
  <c r="Q64" i="6"/>
  <c r="BP64" i="6"/>
  <c r="BO64" i="6" s="1"/>
  <c r="BN64" i="6" s="1"/>
  <c r="S64" i="6" s="1"/>
  <c r="N195" i="6"/>
  <c r="BH195" i="6"/>
  <c r="BG195" i="6" s="1"/>
  <c r="BF195" i="6" s="1"/>
  <c r="P195" i="6" s="1"/>
  <c r="Q346" i="6"/>
  <c r="BP346" i="6"/>
  <c r="BO346" i="6" s="1"/>
  <c r="BN346" i="6" s="1"/>
  <c r="S346" i="6" s="1"/>
  <c r="Q396" i="6"/>
  <c r="BP396" i="6"/>
  <c r="BO396" i="6" s="1"/>
  <c r="BN396" i="6" s="1"/>
  <c r="S396" i="6" s="1"/>
  <c r="Q438" i="6"/>
  <c r="BP438" i="6"/>
  <c r="BO438" i="6" s="1"/>
  <c r="BN438" i="6" s="1"/>
  <c r="S438" i="6" s="1"/>
  <c r="N67" i="6"/>
  <c r="BH67" i="6"/>
  <c r="BG67" i="6" s="1"/>
  <c r="BF67" i="6" s="1"/>
  <c r="P67" i="6" s="1"/>
  <c r="N360" i="6"/>
  <c r="BH360" i="6"/>
  <c r="BG360" i="6" s="1"/>
  <c r="BF360" i="6" s="1"/>
  <c r="P360" i="6" s="1"/>
  <c r="H44" i="6"/>
  <c r="AR44" i="6"/>
  <c r="AQ44" i="6" s="1"/>
  <c r="AP44" i="6" s="1"/>
  <c r="J44" i="6" s="1"/>
  <c r="H298" i="6"/>
  <c r="AR298" i="6"/>
  <c r="AQ298" i="6" s="1"/>
  <c r="AP298" i="6" s="1"/>
  <c r="J298" i="6" s="1"/>
  <c r="H443" i="6"/>
  <c r="AR443" i="6"/>
  <c r="AQ443" i="6" s="1"/>
  <c r="AP443" i="6" s="1"/>
  <c r="J443" i="6" s="1"/>
  <c r="N212" i="6"/>
  <c r="BH212" i="6"/>
  <c r="BG212" i="6" s="1"/>
  <c r="BF212" i="6" s="1"/>
  <c r="P212" i="6" s="1"/>
  <c r="Q269" i="6"/>
  <c r="BP269" i="6"/>
  <c r="BO269" i="6" s="1"/>
  <c r="BN269" i="6" s="1"/>
  <c r="S269" i="6" s="1"/>
  <c r="Q182" i="6"/>
  <c r="BP182" i="6"/>
  <c r="BO182" i="6" s="1"/>
  <c r="BN182" i="6" s="1"/>
  <c r="S182" i="6" s="1"/>
  <c r="H386" i="6"/>
  <c r="AR386" i="6"/>
  <c r="AQ386" i="6" s="1"/>
  <c r="AP386" i="6" s="1"/>
  <c r="J386" i="6" s="1"/>
  <c r="Q130" i="6"/>
  <c r="BP130" i="6"/>
  <c r="BO130" i="6" s="1"/>
  <c r="BN130" i="6" s="1"/>
  <c r="S130" i="6" s="1"/>
  <c r="Q331" i="6"/>
  <c r="BP331" i="6"/>
  <c r="BO331" i="6" s="1"/>
  <c r="BN331" i="6" s="1"/>
  <c r="S331" i="6" s="1"/>
  <c r="Q384" i="6"/>
  <c r="BP384" i="6"/>
  <c r="BO384" i="6" s="1"/>
  <c r="BN384" i="6" s="1"/>
  <c r="S384" i="6" s="1"/>
  <c r="H299" i="6"/>
  <c r="AR299" i="6"/>
  <c r="AQ299" i="6" s="1"/>
  <c r="AP299" i="6" s="1"/>
  <c r="J299" i="6" s="1"/>
  <c r="Q129" i="6"/>
  <c r="BP129" i="6"/>
  <c r="BO129" i="6" s="1"/>
  <c r="BN129" i="6" s="1"/>
  <c r="S129" i="6" s="1"/>
  <c r="N36" i="6"/>
  <c r="BH36" i="6"/>
  <c r="BG36" i="6" s="1"/>
  <c r="BF36" i="6" s="1"/>
  <c r="P36" i="6" s="1"/>
  <c r="H425" i="6"/>
  <c r="AR425" i="6"/>
  <c r="AQ425" i="6" s="1"/>
  <c r="AP425" i="6" s="1"/>
  <c r="J425" i="6" s="1"/>
  <c r="Q449" i="6"/>
  <c r="BP449" i="6"/>
  <c r="BO449" i="6" s="1"/>
  <c r="BN449" i="6" s="1"/>
  <c r="S449" i="6" s="1"/>
  <c r="H462" i="6"/>
  <c r="AR462" i="6"/>
  <c r="AQ462" i="6" s="1"/>
  <c r="AP462" i="6" s="1"/>
  <c r="J462" i="6" s="1"/>
  <c r="H229" i="6"/>
  <c r="AR229" i="6"/>
  <c r="AQ229" i="6" s="1"/>
  <c r="AP229" i="6" s="1"/>
  <c r="J229" i="6" s="1"/>
  <c r="N314" i="6"/>
  <c r="BH314" i="6"/>
  <c r="BG314" i="6" s="1"/>
  <c r="BF314" i="6" s="1"/>
  <c r="P314" i="6" s="1"/>
  <c r="Q123" i="6"/>
  <c r="BP123" i="6"/>
  <c r="BO123" i="6" s="1"/>
  <c r="BN123" i="6" s="1"/>
  <c r="S123" i="6" s="1"/>
  <c r="N185" i="6"/>
  <c r="BH185" i="6"/>
  <c r="BG185" i="6" s="1"/>
  <c r="BF185" i="6" s="1"/>
  <c r="P185" i="6" s="1"/>
  <c r="Q222" i="6"/>
  <c r="BP222" i="6"/>
  <c r="BO222" i="6" s="1"/>
  <c r="BN222" i="6" s="1"/>
  <c r="S222" i="6" s="1"/>
  <c r="Q352" i="6"/>
  <c r="BP352" i="6"/>
  <c r="BO352" i="6" s="1"/>
  <c r="BN352" i="6" s="1"/>
  <c r="S352" i="6" s="1"/>
  <c r="N332" i="6"/>
  <c r="BH332" i="6"/>
  <c r="BG332" i="6" s="1"/>
  <c r="BF332" i="6" s="1"/>
  <c r="P332" i="6" s="1"/>
  <c r="N30" i="6"/>
  <c r="BH30" i="6"/>
  <c r="BG30" i="6" s="1"/>
  <c r="BF30" i="6" s="1"/>
  <c r="P30" i="6" s="1"/>
  <c r="H223" i="6"/>
  <c r="AR223" i="6"/>
  <c r="AQ223" i="6" s="1"/>
  <c r="AP223" i="6" s="1"/>
  <c r="J223" i="6" s="1"/>
  <c r="N103" i="6"/>
  <c r="BH103" i="6"/>
  <c r="BG103" i="6" s="1"/>
  <c r="BF103" i="6" s="1"/>
  <c r="P103" i="6" s="1"/>
  <c r="N169" i="6"/>
  <c r="BH169" i="6"/>
  <c r="BG169" i="6" s="1"/>
  <c r="BF169" i="6" s="1"/>
  <c r="P169" i="6" s="1"/>
  <c r="H245" i="6"/>
  <c r="AR245" i="6"/>
  <c r="AQ245" i="6" s="1"/>
  <c r="AP245" i="6" s="1"/>
  <c r="J245" i="6" s="1"/>
  <c r="N412" i="6"/>
  <c r="BH412" i="6"/>
  <c r="BG412" i="6" s="1"/>
  <c r="BF412" i="6" s="1"/>
  <c r="P412" i="6" s="1"/>
  <c r="N370" i="6"/>
  <c r="BH370" i="6"/>
  <c r="BG370" i="6" s="1"/>
  <c r="BF370" i="6" s="1"/>
  <c r="P370" i="6" s="1"/>
  <c r="N159" i="6"/>
  <c r="BH159" i="6"/>
  <c r="BG159" i="6" s="1"/>
  <c r="BF159" i="6" s="1"/>
  <c r="P159" i="6" s="1"/>
  <c r="N404" i="6"/>
  <c r="BH404" i="6"/>
  <c r="BG404" i="6" s="1"/>
  <c r="BF404" i="6" s="1"/>
  <c r="P404" i="6" s="1"/>
  <c r="Q178" i="6"/>
  <c r="BP178" i="6"/>
  <c r="BO178" i="6" s="1"/>
  <c r="BN178" i="6" s="1"/>
  <c r="S178" i="6" s="1"/>
  <c r="Q285" i="6"/>
  <c r="BP285" i="6"/>
  <c r="BO285" i="6" s="1"/>
  <c r="BN285" i="6" s="1"/>
  <c r="S285" i="6" s="1"/>
  <c r="N188" i="6"/>
  <c r="BH188" i="6"/>
  <c r="BG188" i="6" s="1"/>
  <c r="BF188" i="6" s="1"/>
  <c r="P188" i="6" s="1"/>
  <c r="H310" i="6"/>
  <c r="AR310" i="6"/>
  <c r="AQ310" i="6" s="1"/>
  <c r="AP310" i="6" s="1"/>
  <c r="J310" i="6" s="1"/>
  <c r="N284" i="6"/>
  <c r="BH284" i="6"/>
  <c r="BG284" i="6" s="1"/>
  <c r="BF284" i="6" s="1"/>
  <c r="P284" i="6" s="1"/>
  <c r="Q432" i="6"/>
  <c r="BP432" i="6"/>
  <c r="BO432" i="6" s="1"/>
  <c r="BN432" i="6" s="1"/>
  <c r="S432" i="6" s="1"/>
  <c r="Q321" i="6"/>
  <c r="BP321" i="6"/>
  <c r="BO321" i="6" s="1"/>
  <c r="BN321" i="6" s="1"/>
  <c r="S321" i="6" s="1"/>
  <c r="Q434" i="6"/>
  <c r="BP434" i="6"/>
  <c r="BO434" i="6" s="1"/>
  <c r="BN434" i="6" s="1"/>
  <c r="S434" i="6" s="1"/>
  <c r="H134" i="6"/>
  <c r="AR134" i="6"/>
  <c r="AQ134" i="6" s="1"/>
  <c r="AP134" i="6" s="1"/>
  <c r="J134" i="6" s="1"/>
  <c r="N41" i="6"/>
  <c r="BH41" i="6"/>
  <c r="BG41" i="6" s="1"/>
  <c r="BF41" i="6" s="1"/>
  <c r="P41" i="6" s="1"/>
  <c r="H309" i="6"/>
  <c r="AR309" i="6"/>
  <c r="AQ309" i="6" s="1"/>
  <c r="AP309" i="6" s="1"/>
  <c r="J309" i="6" s="1"/>
  <c r="Q98" i="6"/>
  <c r="BP98" i="6"/>
  <c r="BO98" i="6" s="1"/>
  <c r="BN98" i="6" s="1"/>
  <c r="S98" i="6" s="1"/>
  <c r="Q424" i="6"/>
  <c r="BP424" i="6"/>
  <c r="BO424" i="6" s="1"/>
  <c r="BN424" i="6" s="1"/>
  <c r="S424" i="6" s="1"/>
  <c r="N440" i="6"/>
  <c r="BH440" i="6"/>
  <c r="BG440" i="6" s="1"/>
  <c r="BF440" i="6" s="1"/>
  <c r="P440" i="6" s="1"/>
  <c r="Q275" i="6"/>
  <c r="BP275" i="6"/>
  <c r="BO275" i="6" s="1"/>
  <c r="BN275" i="6" s="1"/>
  <c r="S275" i="6" s="1"/>
  <c r="Q238" i="6"/>
  <c r="BP238" i="6"/>
  <c r="BO238" i="6" s="1"/>
  <c r="BN238" i="6" s="1"/>
  <c r="S238" i="6" s="1"/>
  <c r="H254" i="6"/>
  <c r="AR254" i="6"/>
  <c r="AQ254" i="6" s="1"/>
  <c r="AP254" i="6" s="1"/>
  <c r="J254" i="6" s="1"/>
  <c r="Q28" i="6"/>
  <c r="BP28" i="6"/>
  <c r="BO28" i="6" s="1"/>
  <c r="BN28" i="6" s="1"/>
  <c r="S28" i="6" s="1"/>
  <c r="N149" i="6"/>
  <c r="BH149" i="6"/>
  <c r="BG149" i="6" s="1"/>
  <c r="BF149" i="6" s="1"/>
  <c r="P149" i="6" s="1"/>
  <c r="N334" i="6"/>
  <c r="BH334" i="6"/>
  <c r="BG334" i="6" s="1"/>
  <c r="BF334" i="6" s="1"/>
  <c r="P334" i="6" s="1"/>
  <c r="H22" i="6"/>
  <c r="AR22" i="6"/>
  <c r="AQ22" i="6" s="1"/>
  <c r="AP22" i="6" s="1"/>
  <c r="J22" i="6" s="1"/>
  <c r="Q34" i="6"/>
  <c r="BP34" i="6"/>
  <c r="BO34" i="6" s="1"/>
  <c r="BN34" i="6" s="1"/>
  <c r="S34" i="6" s="1"/>
  <c r="N158" i="6"/>
  <c r="BH158" i="6"/>
  <c r="BG158" i="6" s="1"/>
  <c r="BF158" i="6" s="1"/>
  <c r="P158" i="6" s="1"/>
  <c r="Q270" i="6"/>
  <c r="BP270" i="6"/>
  <c r="BO270" i="6" s="1"/>
  <c r="BN270" i="6" s="1"/>
  <c r="S270" i="6" s="1"/>
  <c r="H439" i="6"/>
  <c r="AR439" i="6"/>
  <c r="AQ439" i="6" s="1"/>
  <c r="AP439" i="6" s="1"/>
  <c r="J439" i="6" s="1"/>
  <c r="Q453" i="6"/>
  <c r="BP453" i="6"/>
  <c r="BO453" i="6" s="1"/>
  <c r="BN453" i="6" s="1"/>
  <c r="S453" i="6" s="1"/>
  <c r="N318" i="6"/>
  <c r="BH318" i="6"/>
  <c r="BG318" i="6" s="1"/>
  <c r="BF318" i="6" s="1"/>
  <c r="P318" i="6" s="1"/>
  <c r="H446" i="6"/>
  <c r="AR446" i="6"/>
  <c r="AQ446" i="6" s="1"/>
  <c r="AP446" i="6" s="1"/>
  <c r="J446" i="6" s="1"/>
  <c r="H55" i="6"/>
  <c r="AR55" i="6"/>
  <c r="AQ55" i="6" s="1"/>
  <c r="AP55" i="6" s="1"/>
  <c r="J55" i="6" s="1"/>
  <c r="N167" i="6"/>
  <c r="BH167" i="6"/>
  <c r="BG167" i="6" s="1"/>
  <c r="BF167" i="6" s="1"/>
  <c r="P167" i="6" s="1"/>
  <c r="H407" i="6"/>
  <c r="AR407" i="6"/>
  <c r="AQ407" i="6" s="1"/>
  <c r="AP407" i="6" s="1"/>
  <c r="J407" i="6" s="1"/>
  <c r="N42" i="6"/>
  <c r="BH42" i="6"/>
  <c r="BG42" i="6" s="1"/>
  <c r="BF42" i="6" s="1"/>
  <c r="P42" i="6" s="1"/>
  <c r="N287" i="6"/>
  <c r="BH287" i="6"/>
  <c r="BG287" i="6" s="1"/>
  <c r="BF287" i="6" s="1"/>
  <c r="P287" i="6" s="1"/>
  <c r="Q340" i="6"/>
  <c r="BP340" i="6"/>
  <c r="BO340" i="6" s="1"/>
  <c r="BN340" i="6" s="1"/>
  <c r="S340" i="6" s="1"/>
  <c r="Q330" i="6"/>
  <c r="BP330" i="6"/>
  <c r="BO330" i="6" s="1"/>
  <c r="BN330" i="6" s="1"/>
  <c r="S330" i="6" s="1"/>
  <c r="N40" i="6"/>
  <c r="BH40" i="6"/>
  <c r="BG40" i="6" s="1"/>
  <c r="BF40" i="6" s="1"/>
  <c r="P40" i="6" s="1"/>
  <c r="N219" i="6"/>
  <c r="BH219" i="6"/>
  <c r="BG219" i="6" s="1"/>
  <c r="BF219" i="6" s="1"/>
  <c r="P219" i="6" s="1"/>
  <c r="N379" i="6"/>
  <c r="BH379" i="6"/>
  <c r="BG379" i="6" s="1"/>
  <c r="BF379" i="6" s="1"/>
  <c r="P379" i="6" s="1"/>
  <c r="N450" i="6"/>
  <c r="BH450" i="6"/>
  <c r="BG450" i="6" s="1"/>
  <c r="BF450" i="6" s="1"/>
  <c r="P450" i="6" s="1"/>
  <c r="H207" i="6"/>
  <c r="AR207" i="6"/>
  <c r="AQ207" i="6" s="1"/>
  <c r="AP207" i="6" s="1"/>
  <c r="J207" i="6" s="1"/>
  <c r="Q72" i="6"/>
  <c r="BP72" i="6"/>
  <c r="BO72" i="6" s="1"/>
  <c r="BN72" i="6" s="1"/>
  <c r="S72" i="6" s="1"/>
  <c r="Q114" i="6"/>
  <c r="BP114" i="6"/>
  <c r="BO114" i="6" s="1"/>
  <c r="BN114" i="6" s="1"/>
  <c r="S114" i="6" s="1"/>
  <c r="Q18" i="6"/>
  <c r="BP18" i="6"/>
  <c r="BO18" i="6" s="1"/>
  <c r="BN18" i="6" s="1"/>
  <c r="S18" i="6" s="1"/>
  <c r="Q419" i="6"/>
  <c r="BP419" i="6"/>
  <c r="BO419" i="6" s="1"/>
  <c r="BN419" i="6" s="1"/>
  <c r="S419" i="6" s="1"/>
  <c r="N380" i="6"/>
  <c r="BH380" i="6"/>
  <c r="BG380" i="6" s="1"/>
  <c r="BF380" i="6" s="1"/>
  <c r="P380" i="6" s="1"/>
  <c r="H411" i="6"/>
  <c r="AR411" i="6"/>
  <c r="AQ411" i="6" s="1"/>
  <c r="AP411" i="6" s="1"/>
  <c r="J411" i="6" s="1"/>
  <c r="H90" i="6"/>
  <c r="AR90" i="6"/>
  <c r="AQ90" i="6" s="1"/>
  <c r="AP90" i="6" s="1"/>
  <c r="J90" i="6" s="1"/>
  <c r="Q111" i="6"/>
  <c r="BP111" i="6"/>
  <c r="BO111" i="6" s="1"/>
  <c r="BN111" i="6" s="1"/>
  <c r="S111" i="6" s="1"/>
  <c r="N356" i="6"/>
  <c r="BH356" i="6"/>
  <c r="BG356" i="6" s="1"/>
  <c r="BF356" i="6" s="1"/>
  <c r="P356" i="6" s="1"/>
  <c r="H60" i="6"/>
  <c r="AR60" i="6"/>
  <c r="AQ60" i="6" s="1"/>
  <c r="AP60" i="6" s="1"/>
  <c r="J60" i="6" s="1"/>
  <c r="N242" i="6"/>
  <c r="BH242" i="6"/>
  <c r="BG242" i="6" s="1"/>
  <c r="BF242" i="6" s="1"/>
  <c r="P242" i="6" s="1"/>
  <c r="N282" i="6"/>
  <c r="BH282" i="6"/>
  <c r="BG282" i="6" s="1"/>
  <c r="BF282" i="6" s="1"/>
  <c r="P282" i="6" s="1"/>
  <c r="Q452" i="6"/>
  <c r="BP452" i="6"/>
  <c r="BO452" i="6" s="1"/>
  <c r="BN452" i="6" s="1"/>
  <c r="S452" i="6" s="1"/>
  <c r="H146" i="6"/>
  <c r="AR146" i="6"/>
  <c r="AQ146" i="6" s="1"/>
  <c r="AP146" i="6" s="1"/>
  <c r="J146" i="6" s="1"/>
  <c r="Q143" i="6"/>
  <c r="BP143" i="6"/>
  <c r="BO143" i="6" s="1"/>
  <c r="BN143" i="6" s="1"/>
  <c r="S143" i="6" s="1"/>
  <c r="H328" i="6"/>
  <c r="AR328" i="6"/>
  <c r="AQ328" i="6" s="1"/>
  <c r="AP328" i="6" s="1"/>
  <c r="J328" i="6" s="1"/>
  <c r="N153" i="6"/>
  <c r="BH153" i="6"/>
  <c r="BG153" i="6" s="1"/>
  <c r="BF153" i="6" s="1"/>
  <c r="P153" i="6" s="1"/>
  <c r="Q387" i="6"/>
  <c r="BP387" i="6"/>
  <c r="BO387" i="6" s="1"/>
  <c r="BN387" i="6" s="1"/>
  <c r="S387" i="6" s="1"/>
  <c r="H266" i="6"/>
  <c r="AR266" i="6"/>
  <c r="AQ266" i="6" s="1"/>
  <c r="AP266" i="6" s="1"/>
  <c r="J266" i="6" s="1"/>
  <c r="Q78" i="6"/>
  <c r="BP78" i="6"/>
  <c r="BO78" i="6" s="1"/>
  <c r="BN78" i="6" s="1"/>
  <c r="S78" i="6" s="1"/>
  <c r="H317" i="6"/>
  <c r="AR317" i="6"/>
  <c r="AQ317" i="6" s="1"/>
  <c r="AP317" i="6" s="1"/>
  <c r="J317" i="6" s="1"/>
  <c r="H23" i="6"/>
  <c r="AR23" i="6"/>
  <c r="AQ23" i="6" s="1"/>
  <c r="AP23" i="6" s="1"/>
  <c r="J23" i="6" s="1"/>
  <c r="H96" i="6"/>
  <c r="AR96" i="6"/>
  <c r="AQ96" i="6" s="1"/>
  <c r="AP96" i="6" s="1"/>
  <c r="J96" i="6" s="1"/>
  <c r="Q361" i="6"/>
  <c r="BP361" i="6"/>
  <c r="BO361" i="6" s="1"/>
  <c r="BN361" i="6" s="1"/>
  <c r="S361" i="6" s="1"/>
  <c r="H173" i="6"/>
  <c r="AR173" i="6"/>
  <c r="AQ173" i="6" s="1"/>
  <c r="AP173" i="6" s="1"/>
  <c r="J173" i="6" s="1"/>
  <c r="N296" i="6"/>
  <c r="BH296" i="6"/>
  <c r="BG296" i="6" s="1"/>
  <c r="BF296" i="6" s="1"/>
  <c r="P296" i="6" s="1"/>
  <c r="H408" i="6"/>
  <c r="AR408" i="6"/>
  <c r="AQ408" i="6" s="1"/>
  <c r="AP408" i="6" s="1"/>
  <c r="J408" i="6" s="1"/>
  <c r="H139" i="6"/>
  <c r="AR139" i="6"/>
  <c r="AQ139" i="6" s="1"/>
  <c r="AP139" i="6" s="1"/>
  <c r="J139" i="6" s="1"/>
  <c r="Q94" i="6"/>
  <c r="BP94" i="6"/>
  <c r="BO94" i="6" s="1"/>
  <c r="BN94" i="6" s="1"/>
  <c r="S94" i="6" s="1"/>
  <c r="H106" i="6"/>
  <c r="AR106" i="6"/>
  <c r="AQ106" i="6" s="1"/>
  <c r="AP106" i="6" s="1"/>
  <c r="J106" i="6" s="1"/>
  <c r="Q74" i="6"/>
  <c r="BP74" i="6"/>
  <c r="BO74" i="6" s="1"/>
  <c r="BN74" i="6" s="1"/>
  <c r="S74" i="6" s="1"/>
  <c r="Q81" i="6"/>
  <c r="BP81" i="6"/>
  <c r="BO81" i="6" s="1"/>
  <c r="BN81" i="6" s="1"/>
  <c r="S81" i="6" s="1"/>
  <c r="N218" i="6"/>
  <c r="BH218" i="6"/>
  <c r="BG218" i="6" s="1"/>
  <c r="BF218" i="6" s="1"/>
  <c r="P218" i="6" s="1"/>
  <c r="N53" i="6"/>
  <c r="BH53" i="6"/>
  <c r="BG53" i="6" s="1"/>
  <c r="BF53" i="6" s="1"/>
  <c r="P53" i="6" s="1"/>
  <c r="H268" i="6"/>
  <c r="AR268" i="6"/>
  <c r="AQ268" i="6" s="1"/>
  <c r="AP268" i="6" s="1"/>
  <c r="J268" i="6" s="1"/>
  <c r="H267" i="6"/>
  <c r="AR267" i="6"/>
  <c r="AQ267" i="6" s="1"/>
  <c r="AP267" i="6" s="1"/>
  <c r="J267" i="6" s="1"/>
  <c r="H240" i="6"/>
  <c r="AR240" i="6"/>
  <c r="AQ240" i="6" s="1"/>
  <c r="AP240" i="6" s="1"/>
  <c r="J240" i="6" s="1"/>
  <c r="N20" i="6"/>
  <c r="BH20" i="6"/>
  <c r="BG20" i="6" s="1"/>
  <c r="BF20" i="6" s="1"/>
  <c r="P20" i="6" s="1"/>
  <c r="H247" i="6"/>
  <c r="AR247" i="6"/>
  <c r="AQ247" i="6" s="1"/>
  <c r="AP247" i="6" s="1"/>
  <c r="J247" i="6" s="1"/>
  <c r="N274" i="6"/>
  <c r="BH274" i="6"/>
  <c r="BG274" i="6" s="1"/>
  <c r="BF274" i="6" s="1"/>
  <c r="P274" i="6" s="1"/>
  <c r="Q83" i="6"/>
  <c r="BP83" i="6"/>
  <c r="BO83" i="6" s="1"/>
  <c r="BN83" i="6" s="1"/>
  <c r="S83" i="6" s="1"/>
  <c r="Q415" i="6"/>
  <c r="BP415" i="6"/>
  <c r="BO415" i="6" s="1"/>
  <c r="BN415" i="6" s="1"/>
  <c r="S415" i="6" s="1"/>
  <c r="N257" i="6"/>
  <c r="BH257" i="6"/>
  <c r="BG257" i="6" s="1"/>
  <c r="BF257" i="6" s="1"/>
  <c r="P257" i="6" s="1"/>
  <c r="H15" i="6"/>
  <c r="AR15" i="6"/>
  <c r="AQ15" i="6" s="1"/>
  <c r="AP15" i="6" s="1"/>
  <c r="J15" i="6" s="1"/>
  <c r="Q339" i="6"/>
  <c r="BP339" i="6"/>
  <c r="BO339" i="6" s="1"/>
  <c r="BN339" i="6" s="1"/>
  <c r="S339" i="6" s="1"/>
  <c r="N216" i="6"/>
  <c r="BH216" i="6"/>
  <c r="BG216" i="6" s="1"/>
  <c r="BF216" i="6" s="1"/>
  <c r="P216" i="6" s="1"/>
  <c r="Q100" i="6"/>
  <c r="BP100" i="6"/>
  <c r="BO100" i="6" s="1"/>
  <c r="BN100" i="6" s="1"/>
  <c r="S100" i="6" s="1"/>
  <c r="N244" i="6"/>
  <c r="BH244" i="6"/>
  <c r="BG244" i="6" s="1"/>
  <c r="BF244" i="6" s="1"/>
  <c r="P244" i="6" s="1"/>
  <c r="H421" i="6"/>
  <c r="AR421" i="6"/>
  <c r="AQ421" i="6" s="1"/>
  <c r="AP421" i="6" s="1"/>
  <c r="J421" i="6" s="1"/>
  <c r="Q59" i="6"/>
  <c r="BP59" i="6"/>
  <c r="BO59" i="6" s="1"/>
  <c r="BN59" i="6" s="1"/>
  <c r="S59" i="6" s="1"/>
  <c r="H184" i="6"/>
  <c r="AR184" i="6"/>
  <c r="AQ184" i="6" s="1"/>
  <c r="AP184" i="6" s="1"/>
  <c r="J184" i="6" s="1"/>
  <c r="N248" i="6"/>
  <c r="BH248" i="6"/>
  <c r="BG248" i="6" s="1"/>
  <c r="BF248" i="6" s="1"/>
  <c r="P248" i="6" s="1"/>
  <c r="Q372" i="6"/>
  <c r="BP372" i="6"/>
  <c r="BO372" i="6" s="1"/>
  <c r="BN372" i="6" s="1"/>
  <c r="S372" i="6" s="1"/>
  <c r="N17" i="6"/>
  <c r="BH17" i="6"/>
  <c r="BG17" i="6" s="1"/>
  <c r="BF17" i="6" s="1"/>
  <c r="P17" i="6" s="1"/>
  <c r="N84" i="6"/>
  <c r="BH84" i="6"/>
  <c r="BG84" i="6" s="1"/>
  <c r="BF84" i="6" s="1"/>
  <c r="P84" i="6" s="1"/>
  <c r="Q312" i="6"/>
  <c r="BP312" i="6"/>
  <c r="BO312" i="6" s="1"/>
  <c r="BN312" i="6" s="1"/>
  <c r="S312" i="6" s="1"/>
  <c r="Q50" i="6"/>
  <c r="BP50" i="6"/>
  <c r="BO50" i="6" s="1"/>
  <c r="BN50" i="6" s="1"/>
  <c r="S50" i="6" s="1"/>
  <c r="H359" i="6"/>
  <c r="AR359" i="6"/>
  <c r="AQ359" i="6" s="1"/>
  <c r="AP359" i="6" s="1"/>
  <c r="J359" i="6" s="1"/>
  <c r="H246" i="6"/>
  <c r="AR246" i="6"/>
  <c r="AQ246" i="6" s="1"/>
  <c r="AP246" i="6" s="1"/>
  <c r="J246" i="6" s="1"/>
  <c r="H428" i="6"/>
  <c r="AR428" i="6"/>
  <c r="AQ428" i="6" s="1"/>
  <c r="AP428" i="6" s="1"/>
  <c r="J428" i="6" s="1"/>
  <c r="H271" i="6"/>
  <c r="AR271" i="6"/>
  <c r="AQ271" i="6" s="1"/>
  <c r="AP271" i="6" s="1"/>
  <c r="J271" i="6" s="1"/>
  <c r="H416" i="6"/>
  <c r="AR416" i="6"/>
  <c r="AQ416" i="6" s="1"/>
  <c r="AP416" i="6" s="1"/>
  <c r="J416" i="6" s="1"/>
  <c r="Q286" i="6"/>
  <c r="BP286" i="6"/>
  <c r="BO286" i="6" s="1"/>
  <c r="BN286" i="6" s="1"/>
  <c r="S286" i="6" s="1"/>
  <c r="Q420" i="6"/>
  <c r="BP420" i="6"/>
  <c r="BO420" i="6" s="1"/>
  <c r="BN420" i="6" s="1"/>
  <c r="S420" i="6" s="1"/>
  <c r="N110" i="6"/>
  <c r="BH110" i="6"/>
  <c r="BG110" i="6" s="1"/>
  <c r="BF110" i="6" s="1"/>
  <c r="P110" i="6" s="1"/>
  <c r="N162" i="6"/>
  <c r="BH162" i="6"/>
  <c r="BG162" i="6" s="1"/>
  <c r="BF162" i="6" s="1"/>
  <c r="P162" i="6" s="1"/>
  <c r="N354" i="6"/>
  <c r="BH354" i="6"/>
  <c r="BG354" i="6" s="1"/>
  <c r="BF354" i="6" s="1"/>
  <c r="P354" i="6" s="1"/>
  <c r="H300" i="6"/>
  <c r="AR300" i="6"/>
  <c r="AQ300" i="6" s="1"/>
  <c r="AP300" i="6" s="1"/>
  <c r="J300" i="6" s="1"/>
  <c r="H276" i="6"/>
  <c r="AR276" i="6"/>
  <c r="AQ276" i="6" s="1"/>
  <c r="AP276" i="6" s="1"/>
  <c r="J276" i="6" s="1"/>
  <c r="H454" i="6"/>
  <c r="AR454" i="6"/>
  <c r="AQ454" i="6" s="1"/>
  <c r="AP454" i="6" s="1"/>
  <c r="J454" i="6" s="1"/>
  <c r="H64" i="6"/>
  <c r="AR64" i="6"/>
  <c r="AQ64" i="6" s="1"/>
  <c r="AP64" i="6" s="1"/>
  <c r="J64" i="6" s="1"/>
  <c r="H346" i="6"/>
  <c r="AR346" i="6"/>
  <c r="AQ346" i="6" s="1"/>
  <c r="AP346" i="6" s="1"/>
  <c r="J346" i="6" s="1"/>
  <c r="Q68" i="6"/>
  <c r="BP68" i="6"/>
  <c r="BO68" i="6" s="1"/>
  <c r="BN68" i="6" s="1"/>
  <c r="S68" i="6" s="1"/>
  <c r="N206" i="6"/>
  <c r="BH206" i="6"/>
  <c r="BG206" i="6" s="1"/>
  <c r="BF206" i="6" s="1"/>
  <c r="P206" i="6" s="1"/>
  <c r="Q212" i="6"/>
  <c r="BP212" i="6"/>
  <c r="BO212" i="6" s="1"/>
  <c r="BN212" i="6" s="1"/>
  <c r="S212" i="6" s="1"/>
  <c r="H393" i="6"/>
  <c r="AR393" i="6"/>
  <c r="AQ393" i="6" s="1"/>
  <c r="AP393" i="6" s="1"/>
  <c r="J393" i="6" s="1"/>
  <c r="H236" i="6"/>
  <c r="AR236" i="6"/>
  <c r="AQ236" i="6" s="1"/>
  <c r="AP236" i="6" s="1"/>
  <c r="J236" i="6" s="1"/>
  <c r="H130" i="6"/>
  <c r="AR130" i="6"/>
  <c r="AQ130" i="6" s="1"/>
  <c r="AP130" i="6" s="1"/>
  <c r="J130" i="6" s="1"/>
  <c r="Q402" i="6"/>
  <c r="BP402" i="6"/>
  <c r="BO402" i="6" s="1"/>
  <c r="BN402" i="6" s="1"/>
  <c r="S402" i="6" s="1"/>
  <c r="H69" i="6"/>
  <c r="AR69" i="6"/>
  <c r="AQ69" i="6" s="1"/>
  <c r="AP69" i="6" s="1"/>
  <c r="J69" i="6" s="1"/>
  <c r="N221" i="6"/>
  <c r="BH221" i="6"/>
  <c r="BG221" i="6" s="1"/>
  <c r="BF221" i="6" s="1"/>
  <c r="P221" i="6" s="1"/>
  <c r="N299" i="6"/>
  <c r="BH299" i="6"/>
  <c r="BG299" i="6" s="1"/>
  <c r="BF299" i="6" s="1"/>
  <c r="P299" i="6" s="1"/>
  <c r="H129" i="6"/>
  <c r="AR129" i="6"/>
  <c r="AQ129" i="6" s="1"/>
  <c r="AP129" i="6" s="1"/>
  <c r="J129" i="6" s="1"/>
  <c r="N463" i="6"/>
  <c r="BH463" i="6"/>
  <c r="BG463" i="6" s="1"/>
  <c r="BF463" i="6" s="1"/>
  <c r="P463" i="6" s="1"/>
  <c r="N214" i="6"/>
  <c r="BH214" i="6"/>
  <c r="BG214" i="6" s="1"/>
  <c r="BF214" i="6" s="1"/>
  <c r="P214" i="6" s="1"/>
  <c r="N308" i="6"/>
  <c r="BH308" i="6"/>
  <c r="BG308" i="6" s="1"/>
  <c r="BF308" i="6" s="1"/>
  <c r="P308" i="6" s="1"/>
  <c r="Q425" i="6"/>
  <c r="BP425" i="6"/>
  <c r="BO425" i="6" s="1"/>
  <c r="BN425" i="6" s="1"/>
  <c r="S425" i="6" s="1"/>
  <c r="H99" i="6"/>
  <c r="AR99" i="6"/>
  <c r="AQ99" i="6" s="1"/>
  <c r="AP99" i="6" s="1"/>
  <c r="J99" i="6" s="1"/>
  <c r="H191" i="6"/>
  <c r="AR191" i="6"/>
  <c r="AQ191" i="6" s="1"/>
  <c r="AP191" i="6" s="1"/>
  <c r="J191" i="6" s="1"/>
  <c r="N52" i="6"/>
  <c r="BH52" i="6"/>
  <c r="BG52" i="6" s="1"/>
  <c r="BF52" i="6" s="1"/>
  <c r="P52" i="6" s="1"/>
  <c r="H123" i="6"/>
  <c r="AR123" i="6"/>
  <c r="AQ123" i="6" s="1"/>
  <c r="AP123" i="6" s="1"/>
  <c r="J123" i="6" s="1"/>
  <c r="Q185" i="6"/>
  <c r="BP185" i="6"/>
  <c r="BO185" i="6" s="1"/>
  <c r="BN185" i="6" s="1"/>
  <c r="S185" i="6" s="1"/>
  <c r="H289" i="6"/>
  <c r="AR289" i="6"/>
  <c r="AQ289" i="6" s="1"/>
  <c r="AP289" i="6" s="1"/>
  <c r="J289" i="6" s="1"/>
  <c r="N228" i="6"/>
  <c r="BH228" i="6"/>
  <c r="BG228" i="6" s="1"/>
  <c r="BF228" i="6" s="1"/>
  <c r="P228" i="6" s="1"/>
  <c r="Q332" i="6"/>
  <c r="BP332" i="6"/>
  <c r="BO332" i="6" s="1"/>
  <c r="BN332" i="6" s="1"/>
  <c r="S332" i="6" s="1"/>
  <c r="Q194" i="6"/>
  <c r="BP194" i="6"/>
  <c r="BO194" i="6" s="1"/>
  <c r="BN194" i="6" s="1"/>
  <c r="S194" i="6" s="1"/>
  <c r="H30" i="6"/>
  <c r="AR30" i="6"/>
  <c r="AQ30" i="6" s="1"/>
  <c r="AP30" i="6" s="1"/>
  <c r="J30" i="6" s="1"/>
  <c r="Q193" i="6"/>
  <c r="BP193" i="6"/>
  <c r="BO193" i="6" s="1"/>
  <c r="BN193" i="6" s="1"/>
  <c r="S193" i="6" s="1"/>
  <c r="G146" i="1"/>
  <c r="F146" i="1"/>
  <c r="G145" i="1"/>
  <c r="F145" i="1"/>
  <c r="G102" i="1"/>
  <c r="F102" i="1"/>
  <c r="E102" i="1"/>
  <c r="D102" i="1"/>
  <c r="G79" i="1"/>
  <c r="C79" i="1"/>
  <c r="C102" i="1"/>
  <c r="F79" i="1"/>
  <c r="E79" i="1"/>
  <c r="V72" i="1"/>
  <c r="D79" i="1"/>
  <c r="K332" i="6"/>
  <c r="AZ332" i="6"/>
  <c r="AY332" i="6" s="1"/>
  <c r="AX332" i="6" s="1"/>
  <c r="M332" i="6" s="1"/>
  <c r="AK440" i="6"/>
  <c r="AJ440" i="6" s="1"/>
  <c r="AI440" i="6" s="1"/>
  <c r="G440" i="6" s="1"/>
  <c r="E440" i="6"/>
  <c r="K126" i="6"/>
  <c r="AZ126" i="6"/>
  <c r="AY126" i="6" s="1"/>
  <c r="AX126" i="6" s="1"/>
  <c r="M126" i="6" s="1"/>
  <c r="K143" i="6"/>
  <c r="AZ143" i="6"/>
  <c r="AY143" i="6" s="1"/>
  <c r="AX143" i="6" s="1"/>
  <c r="M143" i="6" s="1"/>
  <c r="AZ331" i="6"/>
  <c r="AY331" i="6" s="1"/>
  <c r="AX331" i="6" s="1"/>
  <c r="M331" i="6" s="1"/>
  <c r="K331" i="6"/>
  <c r="AK360" i="6"/>
  <c r="AJ360" i="6" s="1"/>
  <c r="AI360" i="6" s="1"/>
  <c r="G360" i="6" s="1"/>
  <c r="E360" i="6"/>
  <c r="AK41" i="6"/>
  <c r="AJ41" i="6" s="1"/>
  <c r="AI41" i="6" s="1"/>
  <c r="G41" i="6" s="1"/>
  <c r="E41" i="6"/>
  <c r="AZ123" i="6"/>
  <c r="AY123" i="6" s="1"/>
  <c r="AX123" i="6" s="1"/>
  <c r="M123" i="6" s="1"/>
  <c r="K123" i="6"/>
  <c r="AK221" i="6"/>
  <c r="AJ221" i="6" s="1"/>
  <c r="AI221" i="6" s="1"/>
  <c r="G221" i="6" s="1"/>
  <c r="E221" i="6"/>
  <c r="AK357" i="6"/>
  <c r="AJ357" i="6" s="1"/>
  <c r="AI357" i="6" s="1"/>
  <c r="G357" i="6" s="1"/>
  <c r="E357" i="6"/>
  <c r="AZ67" i="6"/>
  <c r="AY67" i="6" s="1"/>
  <c r="AX67" i="6" s="1"/>
  <c r="M67" i="6" s="1"/>
  <c r="K67" i="6"/>
  <c r="K222" i="6"/>
  <c r="AZ222" i="6"/>
  <c r="AY222" i="6" s="1"/>
  <c r="AX222" i="6" s="1"/>
  <c r="M222" i="6" s="1"/>
  <c r="AZ155" i="6"/>
  <c r="AY155" i="6" s="1"/>
  <c r="AX155" i="6" s="1"/>
  <c r="M155" i="6" s="1"/>
  <c r="K155" i="6"/>
  <c r="AK386" i="6"/>
  <c r="AJ386" i="6" s="1"/>
  <c r="AI386" i="6" s="1"/>
  <c r="G386" i="6" s="1"/>
  <c r="E386" i="6"/>
  <c r="AK223" i="6"/>
  <c r="AJ223" i="6" s="1"/>
  <c r="AI223" i="6" s="1"/>
  <c r="G223" i="6" s="1"/>
  <c r="E223" i="6"/>
  <c r="K343" i="6"/>
  <c r="AZ343" i="6"/>
  <c r="AY343" i="6" s="1"/>
  <c r="AX343" i="6" s="1"/>
  <c r="M343" i="6" s="1"/>
  <c r="AZ35" i="6"/>
  <c r="AY35" i="6" s="1"/>
  <c r="AX35" i="6" s="1"/>
  <c r="M35" i="6" s="1"/>
  <c r="K35" i="6"/>
  <c r="K102" i="6"/>
  <c r="AZ102" i="6"/>
  <c r="AY102" i="6" s="1"/>
  <c r="AX102" i="6" s="1"/>
  <c r="M102" i="6" s="1"/>
  <c r="K373" i="6"/>
  <c r="AZ373" i="6"/>
  <c r="AY373" i="6" s="1"/>
  <c r="AX373" i="6" s="1"/>
  <c r="M373" i="6" s="1"/>
  <c r="AK199" i="6"/>
  <c r="AJ199" i="6" s="1"/>
  <c r="AI199" i="6" s="1"/>
  <c r="G199" i="6" s="1"/>
  <c r="E199" i="6"/>
  <c r="K352" i="6"/>
  <c r="AZ352" i="6"/>
  <c r="AY352" i="6" s="1"/>
  <c r="AX352" i="6" s="1"/>
  <c r="M352" i="6" s="1"/>
  <c r="AZ334" i="6"/>
  <c r="AY334" i="6" s="1"/>
  <c r="AX334" i="6" s="1"/>
  <c r="M334" i="6" s="1"/>
  <c r="K334" i="6"/>
  <c r="AK193" i="6"/>
  <c r="AJ193" i="6" s="1"/>
  <c r="AI193" i="6" s="1"/>
  <c r="G193" i="6" s="1"/>
  <c r="E193" i="6"/>
  <c r="AZ299" i="6"/>
  <c r="AY299" i="6" s="1"/>
  <c r="AX299" i="6" s="1"/>
  <c r="M299" i="6" s="1"/>
  <c r="K299" i="6"/>
  <c r="E101" i="6"/>
  <c r="AK101" i="6"/>
  <c r="AJ101" i="6" s="1"/>
  <c r="AI101" i="6" s="1"/>
  <c r="G101" i="6" s="1"/>
  <c r="K49" i="6"/>
  <c r="AZ49" i="6"/>
  <c r="AY49" i="6" s="1"/>
  <c r="AX49" i="6" s="1"/>
  <c r="M49" i="6" s="1"/>
  <c r="AZ54" i="6"/>
  <c r="AY54" i="6" s="1"/>
  <c r="AX54" i="6" s="1"/>
  <c r="M54" i="6" s="1"/>
  <c r="K54" i="6"/>
  <c r="K289" i="6"/>
  <c r="AZ289" i="6"/>
  <c r="AY289" i="6" s="1"/>
  <c r="AX289" i="6" s="1"/>
  <c r="M289" i="6" s="1"/>
  <c r="K449" i="6"/>
  <c r="AZ449" i="6"/>
  <c r="AY449" i="6" s="1"/>
  <c r="AX449" i="6" s="1"/>
  <c r="M449" i="6" s="1"/>
  <c r="K350" i="6"/>
  <c r="AZ350" i="6"/>
  <c r="AY350" i="6" s="1"/>
  <c r="AX350" i="6" s="1"/>
  <c r="M350" i="6" s="1"/>
  <c r="AZ391" i="6"/>
  <c r="AY391" i="6" s="1"/>
  <c r="AX391" i="6" s="1"/>
  <c r="M391" i="6" s="1"/>
  <c r="K391" i="6"/>
  <c r="K409" i="6"/>
  <c r="AZ409" i="6"/>
  <c r="AY409" i="6" s="1"/>
  <c r="AX409" i="6" s="1"/>
  <c r="M409" i="6" s="1"/>
  <c r="AK93" i="6"/>
  <c r="AJ93" i="6" s="1"/>
  <c r="AI93" i="6" s="1"/>
  <c r="G93" i="6" s="1"/>
  <c r="E93" i="6"/>
  <c r="K358" i="6"/>
  <c r="AZ358" i="6"/>
  <c r="AY358" i="6" s="1"/>
  <c r="AX358" i="6" s="1"/>
  <c r="M358" i="6" s="1"/>
  <c r="K183" i="6"/>
  <c r="AZ183" i="6"/>
  <c r="AY183" i="6" s="1"/>
  <c r="AX183" i="6" s="1"/>
  <c r="M183" i="6" s="1"/>
  <c r="AZ351" i="6"/>
  <c r="AY351" i="6" s="1"/>
  <c r="AX351" i="6" s="1"/>
  <c r="M351" i="6" s="1"/>
  <c r="K351" i="6"/>
  <c r="E185" i="6"/>
  <c r="AK185" i="6"/>
  <c r="AJ185" i="6" s="1"/>
  <c r="AI185" i="6" s="1"/>
  <c r="G185" i="6" s="1"/>
  <c r="AK67" i="6"/>
  <c r="AJ67" i="6" s="1"/>
  <c r="AI67" i="6" s="1"/>
  <c r="G67" i="6" s="1"/>
  <c r="E67" i="6"/>
  <c r="AK222" i="6"/>
  <c r="AJ222" i="6" s="1"/>
  <c r="AI222" i="6" s="1"/>
  <c r="G222" i="6" s="1"/>
  <c r="E222" i="6"/>
  <c r="AZ386" i="6"/>
  <c r="AY386" i="6" s="1"/>
  <c r="AX386" i="6" s="1"/>
  <c r="M386" i="6" s="1"/>
  <c r="K386" i="6"/>
  <c r="AZ223" i="6"/>
  <c r="AY223" i="6" s="1"/>
  <c r="AX223" i="6" s="1"/>
  <c r="M223" i="6" s="1"/>
  <c r="K223" i="6"/>
  <c r="AK35" i="6"/>
  <c r="AJ35" i="6" s="1"/>
  <c r="AI35" i="6" s="1"/>
  <c r="G35" i="6" s="1"/>
  <c r="E35" i="6"/>
  <c r="AZ113" i="6"/>
  <c r="AY113" i="6" s="1"/>
  <c r="AX113" i="6" s="1"/>
  <c r="M113" i="6" s="1"/>
  <c r="K113" i="6"/>
  <c r="AK373" i="6"/>
  <c r="AJ373" i="6" s="1"/>
  <c r="AI373" i="6" s="1"/>
  <c r="G373" i="6" s="1"/>
  <c r="E373" i="6"/>
  <c r="AK329" i="6"/>
  <c r="AJ329" i="6" s="1"/>
  <c r="AI329" i="6" s="1"/>
  <c r="G329" i="6" s="1"/>
  <c r="E329" i="6"/>
  <c r="AK352" i="6"/>
  <c r="AJ352" i="6" s="1"/>
  <c r="AI352" i="6" s="1"/>
  <c r="G352" i="6" s="1"/>
  <c r="E352" i="6"/>
  <c r="AZ101" i="6"/>
  <c r="AY101" i="6" s="1"/>
  <c r="AX101" i="6" s="1"/>
  <c r="M101" i="6" s="1"/>
  <c r="K101" i="6"/>
  <c r="AK49" i="6"/>
  <c r="AJ49" i="6" s="1"/>
  <c r="AI49" i="6" s="1"/>
  <c r="G49" i="6" s="1"/>
  <c r="E49" i="6"/>
  <c r="AK54" i="6"/>
  <c r="AJ54" i="6" s="1"/>
  <c r="AI54" i="6" s="1"/>
  <c r="G54" i="6" s="1"/>
  <c r="E54" i="6"/>
  <c r="AK289" i="6"/>
  <c r="AJ289" i="6" s="1"/>
  <c r="AI289" i="6" s="1"/>
  <c r="G289" i="6" s="1"/>
  <c r="E289" i="6"/>
  <c r="E350" i="6"/>
  <c r="AK350" i="6"/>
  <c r="AJ350" i="6" s="1"/>
  <c r="AI350" i="6" s="1"/>
  <c r="G350" i="6" s="1"/>
  <c r="E391" i="6"/>
  <c r="AK391" i="6"/>
  <c r="AJ391" i="6" s="1"/>
  <c r="AI391" i="6" s="1"/>
  <c r="G391" i="6" s="1"/>
  <c r="AK409" i="6"/>
  <c r="AJ409" i="6" s="1"/>
  <c r="AI409" i="6" s="1"/>
  <c r="G409" i="6" s="1"/>
  <c r="E409" i="6"/>
  <c r="AK377" i="6"/>
  <c r="AJ377" i="6" s="1"/>
  <c r="AI377" i="6" s="1"/>
  <c r="G377" i="6" s="1"/>
  <c r="E377" i="6"/>
  <c r="AK358" i="6"/>
  <c r="AJ358" i="6" s="1"/>
  <c r="AI358" i="6" s="1"/>
  <c r="G358" i="6" s="1"/>
  <c r="E358" i="6"/>
  <c r="AZ261" i="6"/>
  <c r="AY261" i="6" s="1"/>
  <c r="AX261" i="6" s="1"/>
  <c r="M261" i="6" s="1"/>
  <c r="K261" i="6"/>
  <c r="AZ269" i="6"/>
  <c r="AY269" i="6" s="1"/>
  <c r="AX269" i="6" s="1"/>
  <c r="M269" i="6" s="1"/>
  <c r="K269" i="6"/>
  <c r="AK183" i="6"/>
  <c r="AJ183" i="6" s="1"/>
  <c r="AI183" i="6" s="1"/>
  <c r="G183" i="6" s="1"/>
  <c r="E183" i="6"/>
  <c r="AK99" i="6"/>
  <c r="AJ99" i="6" s="1"/>
  <c r="AI99" i="6" s="1"/>
  <c r="G99" i="6" s="1"/>
  <c r="E99" i="6"/>
  <c r="AK126" i="6"/>
  <c r="AJ126" i="6" s="1"/>
  <c r="AI126" i="6" s="1"/>
  <c r="G126" i="6" s="1"/>
  <c r="E126" i="6"/>
  <c r="K204" i="6"/>
  <c r="AZ204" i="6"/>
  <c r="AY204" i="6" s="1"/>
  <c r="AX204" i="6" s="1"/>
  <c r="M204" i="6" s="1"/>
  <c r="AZ10" i="6"/>
  <c r="AY10" i="6" s="1"/>
  <c r="AX10" i="6" s="1"/>
  <c r="M10" i="6" s="1"/>
  <c r="K10" i="6"/>
  <c r="AZ185" i="6"/>
  <c r="AY185" i="6" s="1"/>
  <c r="AX185" i="6" s="1"/>
  <c r="M185" i="6" s="1"/>
  <c r="K185" i="6"/>
  <c r="K425" i="6"/>
  <c r="AZ425" i="6"/>
  <c r="AY425" i="6" s="1"/>
  <c r="AX425" i="6" s="1"/>
  <c r="M425" i="6" s="1"/>
  <c r="K69" i="6"/>
  <c r="AZ69" i="6"/>
  <c r="AY69" i="6" s="1"/>
  <c r="AX69" i="6" s="1"/>
  <c r="M69" i="6" s="1"/>
  <c r="K229" i="6"/>
  <c r="AZ229" i="6"/>
  <c r="AY229" i="6" s="1"/>
  <c r="AX229" i="6" s="1"/>
  <c r="M229" i="6" s="1"/>
  <c r="K392" i="6"/>
  <c r="AZ392" i="6"/>
  <c r="AY392" i="6" s="1"/>
  <c r="AX392" i="6" s="1"/>
  <c r="M392" i="6" s="1"/>
  <c r="E182" i="6"/>
  <c r="AK182" i="6"/>
  <c r="AJ182" i="6" s="1"/>
  <c r="AI182" i="6" s="1"/>
  <c r="G182" i="6" s="1"/>
  <c r="AZ462" i="6"/>
  <c r="AY462" i="6" s="1"/>
  <c r="AX462" i="6" s="1"/>
  <c r="M462" i="6" s="1"/>
  <c r="K462" i="6"/>
  <c r="AK308" i="6"/>
  <c r="AJ308" i="6" s="1"/>
  <c r="AI308" i="6" s="1"/>
  <c r="G308" i="6" s="1"/>
  <c r="E308" i="6"/>
  <c r="E113" i="6"/>
  <c r="AK113" i="6"/>
  <c r="AJ113" i="6" s="1"/>
  <c r="AI113" i="6" s="1"/>
  <c r="G113" i="6" s="1"/>
  <c r="AZ424" i="6"/>
  <c r="AY424" i="6" s="1"/>
  <c r="AX424" i="6" s="1"/>
  <c r="M424" i="6" s="1"/>
  <c r="K424" i="6"/>
  <c r="K329" i="6"/>
  <c r="AZ329" i="6"/>
  <c r="AY329" i="6" s="1"/>
  <c r="AX329" i="6" s="1"/>
  <c r="M329" i="6" s="1"/>
  <c r="AZ85" i="6"/>
  <c r="AY85" i="6" s="1"/>
  <c r="AX85" i="6" s="1"/>
  <c r="M85" i="6" s="1"/>
  <c r="K85" i="6"/>
  <c r="AZ77" i="6"/>
  <c r="AY77" i="6" s="1"/>
  <c r="AX77" i="6" s="1"/>
  <c r="M77" i="6" s="1"/>
  <c r="K77" i="6"/>
  <c r="K314" i="6"/>
  <c r="AZ314" i="6"/>
  <c r="AY314" i="6" s="1"/>
  <c r="AX314" i="6" s="1"/>
  <c r="M314" i="6" s="1"/>
  <c r="AZ44" i="6"/>
  <c r="AY44" i="6" s="1"/>
  <c r="AX44" i="6" s="1"/>
  <c r="M44" i="6" s="1"/>
  <c r="K44" i="6"/>
  <c r="E443" i="6"/>
  <c r="AK443" i="6"/>
  <c r="AJ443" i="6" s="1"/>
  <c r="AI443" i="6" s="1"/>
  <c r="G443" i="6" s="1"/>
  <c r="AZ377" i="6"/>
  <c r="AY377" i="6" s="1"/>
  <c r="AX377" i="6" s="1"/>
  <c r="M377" i="6" s="1"/>
  <c r="K377" i="6"/>
  <c r="E14" i="6"/>
  <c r="AK14" i="6"/>
  <c r="AJ14" i="6" s="1"/>
  <c r="AI14" i="6" s="1"/>
  <c r="G14" i="6" s="1"/>
  <c r="AK213" i="6"/>
  <c r="AJ213" i="6" s="1"/>
  <c r="AI213" i="6" s="1"/>
  <c r="G213" i="6" s="1"/>
  <c r="E213" i="6"/>
  <c r="AK349" i="6"/>
  <c r="AJ349" i="6" s="1"/>
  <c r="AI349" i="6" s="1"/>
  <c r="G349" i="6" s="1"/>
  <c r="E349" i="6"/>
  <c r="AZ463" i="6"/>
  <c r="AY463" i="6" s="1"/>
  <c r="AX463" i="6" s="1"/>
  <c r="M463" i="6" s="1"/>
  <c r="K463" i="6"/>
  <c r="AZ191" i="6"/>
  <c r="AY191" i="6" s="1"/>
  <c r="AX191" i="6" s="1"/>
  <c r="M191" i="6" s="1"/>
  <c r="K191" i="6"/>
  <c r="AK261" i="6"/>
  <c r="AJ261" i="6" s="1"/>
  <c r="AI261" i="6" s="1"/>
  <c r="G261" i="6" s="1"/>
  <c r="E261" i="6"/>
  <c r="AK269" i="6"/>
  <c r="AJ269" i="6" s="1"/>
  <c r="AI269" i="6" s="1"/>
  <c r="G269" i="6" s="1"/>
  <c r="E269" i="6"/>
  <c r="E204" i="6"/>
  <c r="AK204" i="6"/>
  <c r="AJ204" i="6" s="1"/>
  <c r="AI204" i="6" s="1"/>
  <c r="G204" i="6" s="1"/>
  <c r="AZ236" i="6"/>
  <c r="AY236" i="6" s="1"/>
  <c r="AX236" i="6" s="1"/>
  <c r="M236" i="6" s="1"/>
  <c r="K236" i="6"/>
  <c r="K398" i="6"/>
  <c r="AZ398" i="6"/>
  <c r="AY398" i="6" s="1"/>
  <c r="AX398" i="6" s="1"/>
  <c r="M398" i="6" s="1"/>
  <c r="K384" i="6"/>
  <c r="AZ384" i="6"/>
  <c r="AY384" i="6" s="1"/>
  <c r="AX384" i="6" s="1"/>
  <c r="M384" i="6" s="1"/>
  <c r="AK425" i="6"/>
  <c r="AJ425" i="6" s="1"/>
  <c r="AI425" i="6" s="1"/>
  <c r="G425" i="6" s="1"/>
  <c r="E425" i="6"/>
  <c r="AK69" i="6"/>
  <c r="AJ69" i="6" s="1"/>
  <c r="AI69" i="6" s="1"/>
  <c r="G69" i="6" s="1"/>
  <c r="E69" i="6"/>
  <c r="AK229" i="6"/>
  <c r="AJ229" i="6" s="1"/>
  <c r="AI229" i="6" s="1"/>
  <c r="G229" i="6" s="1"/>
  <c r="E229" i="6"/>
  <c r="AK392" i="6"/>
  <c r="AJ392" i="6" s="1"/>
  <c r="AI392" i="6" s="1"/>
  <c r="G392" i="6" s="1"/>
  <c r="E392" i="6"/>
  <c r="AZ182" i="6"/>
  <c r="AY182" i="6" s="1"/>
  <c r="AX182" i="6" s="1"/>
  <c r="M182" i="6" s="1"/>
  <c r="K182" i="6"/>
  <c r="AK291" i="6"/>
  <c r="AJ291" i="6" s="1"/>
  <c r="AI291" i="6" s="1"/>
  <c r="G291" i="6" s="1"/>
  <c r="E291" i="6"/>
  <c r="AK462" i="6"/>
  <c r="AJ462" i="6" s="1"/>
  <c r="AI462" i="6" s="1"/>
  <c r="G462" i="6" s="1"/>
  <c r="E462" i="6"/>
  <c r="K308" i="6"/>
  <c r="AZ308" i="6"/>
  <c r="AY308" i="6" s="1"/>
  <c r="AX308" i="6" s="1"/>
  <c r="M308" i="6" s="1"/>
  <c r="E239" i="6"/>
  <c r="AK239" i="6"/>
  <c r="AJ239" i="6" s="1"/>
  <c r="AI239" i="6" s="1"/>
  <c r="G239" i="6" s="1"/>
  <c r="E424" i="6"/>
  <c r="AK424" i="6"/>
  <c r="AJ424" i="6" s="1"/>
  <c r="AI424" i="6" s="1"/>
  <c r="G424" i="6" s="1"/>
  <c r="AK85" i="6"/>
  <c r="AJ85" i="6" s="1"/>
  <c r="AI85" i="6" s="1"/>
  <c r="G85" i="6" s="1"/>
  <c r="E85" i="6"/>
  <c r="AZ254" i="6"/>
  <c r="AY254" i="6" s="1"/>
  <c r="AX254" i="6" s="1"/>
  <c r="M254" i="6" s="1"/>
  <c r="K254" i="6"/>
  <c r="AK77" i="6"/>
  <c r="AJ77" i="6" s="1"/>
  <c r="AI77" i="6" s="1"/>
  <c r="G77" i="6" s="1"/>
  <c r="E77" i="6"/>
  <c r="AZ212" i="6"/>
  <c r="AY212" i="6" s="1"/>
  <c r="AX212" i="6" s="1"/>
  <c r="M212" i="6" s="1"/>
  <c r="K212" i="6"/>
  <c r="E314" i="6"/>
  <c r="AK314" i="6"/>
  <c r="AJ314" i="6" s="1"/>
  <c r="AI314" i="6" s="1"/>
  <c r="G314" i="6" s="1"/>
  <c r="AK44" i="6"/>
  <c r="AJ44" i="6" s="1"/>
  <c r="AI44" i="6" s="1"/>
  <c r="G44" i="6" s="1"/>
  <c r="E44" i="6"/>
  <c r="AZ443" i="6"/>
  <c r="AY443" i="6" s="1"/>
  <c r="AX443" i="6" s="1"/>
  <c r="M443" i="6" s="1"/>
  <c r="K443" i="6"/>
  <c r="K14" i="6"/>
  <c r="AZ14" i="6"/>
  <c r="AY14" i="6" s="1"/>
  <c r="AX14" i="6" s="1"/>
  <c r="M14" i="6" s="1"/>
  <c r="K213" i="6"/>
  <c r="AZ213" i="6"/>
  <c r="AY213" i="6" s="1"/>
  <c r="AX213" i="6" s="1"/>
  <c r="M213" i="6" s="1"/>
  <c r="K349" i="6"/>
  <c r="AZ349" i="6"/>
  <c r="AY349" i="6" s="1"/>
  <c r="AX349" i="6" s="1"/>
  <c r="M349" i="6" s="1"/>
  <c r="E463" i="6"/>
  <c r="AK463" i="6"/>
  <c r="AJ463" i="6" s="1"/>
  <c r="AI463" i="6" s="1"/>
  <c r="G463" i="6" s="1"/>
  <c r="AK191" i="6"/>
  <c r="AJ191" i="6" s="1"/>
  <c r="AI191" i="6" s="1"/>
  <c r="G191" i="6" s="1"/>
  <c r="E191" i="6"/>
  <c r="E10" i="6"/>
  <c r="AK10" i="6"/>
  <c r="AJ10" i="6" s="1"/>
  <c r="AI10" i="6" s="1"/>
  <c r="G10" i="6" s="1"/>
  <c r="AZ221" i="6"/>
  <c r="AY221" i="6" s="1"/>
  <c r="AX221" i="6" s="1"/>
  <c r="M221" i="6" s="1"/>
  <c r="K221" i="6"/>
  <c r="K230" i="6"/>
  <c r="AZ230" i="6"/>
  <c r="AY230" i="6" s="1"/>
  <c r="AX230" i="6" s="1"/>
  <c r="M230" i="6" s="1"/>
  <c r="K99" i="6"/>
  <c r="AZ99" i="6"/>
  <c r="AY99" i="6" s="1"/>
  <c r="AX99" i="6" s="1"/>
  <c r="M99" i="6" s="1"/>
  <c r="K238" i="6"/>
  <c r="AZ238" i="6"/>
  <c r="AY238" i="6" s="1"/>
  <c r="AX238" i="6" s="1"/>
  <c r="M238" i="6" s="1"/>
  <c r="K146" i="6"/>
  <c r="AZ146" i="6"/>
  <c r="AY146" i="6" s="1"/>
  <c r="AX146" i="6" s="1"/>
  <c r="M146" i="6" s="1"/>
  <c r="AK332" i="6"/>
  <c r="AJ332" i="6" s="1"/>
  <c r="AI332" i="6" s="1"/>
  <c r="G332" i="6" s="1"/>
  <c r="E332" i="6"/>
  <c r="E236" i="6"/>
  <c r="AK236" i="6"/>
  <c r="AJ236" i="6" s="1"/>
  <c r="AI236" i="6" s="1"/>
  <c r="G236" i="6" s="1"/>
  <c r="AK398" i="6"/>
  <c r="AJ398" i="6" s="1"/>
  <c r="AI398" i="6" s="1"/>
  <c r="G398" i="6" s="1"/>
  <c r="E398" i="6"/>
  <c r="E112" i="6"/>
  <c r="AK112" i="6"/>
  <c r="AJ112" i="6" s="1"/>
  <c r="AI112" i="6" s="1"/>
  <c r="G112" i="6" s="1"/>
  <c r="AK384" i="6"/>
  <c r="AJ384" i="6" s="1"/>
  <c r="AI384" i="6" s="1"/>
  <c r="G384" i="6" s="1"/>
  <c r="E384" i="6"/>
  <c r="E98" i="6"/>
  <c r="AK98" i="6"/>
  <c r="AJ98" i="6" s="1"/>
  <c r="AI98" i="6" s="1"/>
  <c r="G98" i="6" s="1"/>
  <c r="AZ440" i="6"/>
  <c r="AY440" i="6" s="1"/>
  <c r="AX440" i="6" s="1"/>
  <c r="M440" i="6" s="1"/>
  <c r="K440" i="6"/>
  <c r="K467" i="6"/>
  <c r="AZ467" i="6"/>
  <c r="AY467" i="6" s="1"/>
  <c r="AX467" i="6" s="1"/>
  <c r="M467" i="6" s="1"/>
  <c r="E31" i="6"/>
  <c r="AK31" i="6"/>
  <c r="AJ31" i="6" s="1"/>
  <c r="AI31" i="6" s="1"/>
  <c r="G31" i="6" s="1"/>
  <c r="AZ291" i="6"/>
  <c r="AY291" i="6" s="1"/>
  <c r="AX291" i="6" s="1"/>
  <c r="M291" i="6" s="1"/>
  <c r="K291" i="6"/>
  <c r="E393" i="6"/>
  <c r="AK393" i="6"/>
  <c r="AJ393" i="6" s="1"/>
  <c r="AI393" i="6" s="1"/>
  <c r="G393" i="6" s="1"/>
  <c r="AZ239" i="6"/>
  <c r="AY239" i="6" s="1"/>
  <c r="AX239" i="6" s="1"/>
  <c r="M239" i="6" s="1"/>
  <c r="K239" i="6"/>
  <c r="AZ52" i="6"/>
  <c r="AY52" i="6" s="1"/>
  <c r="AX52" i="6" s="1"/>
  <c r="M52" i="6" s="1"/>
  <c r="K52" i="6"/>
  <c r="AK402" i="6"/>
  <c r="AJ402" i="6" s="1"/>
  <c r="AI402" i="6" s="1"/>
  <c r="G402" i="6" s="1"/>
  <c r="E402" i="6"/>
  <c r="AZ309" i="6"/>
  <c r="AY309" i="6" s="1"/>
  <c r="AX309" i="6" s="1"/>
  <c r="M309" i="6" s="1"/>
  <c r="K309" i="6"/>
  <c r="K129" i="6"/>
  <c r="AZ129" i="6"/>
  <c r="AY129" i="6" s="1"/>
  <c r="AX129" i="6" s="1"/>
  <c r="M129" i="6" s="1"/>
  <c r="AK254" i="6"/>
  <c r="AJ254" i="6" s="1"/>
  <c r="AI254" i="6" s="1"/>
  <c r="G254" i="6" s="1"/>
  <c r="E254" i="6"/>
  <c r="AZ28" i="6"/>
  <c r="AY28" i="6" s="1"/>
  <c r="AX28" i="6" s="1"/>
  <c r="M28" i="6" s="1"/>
  <c r="K28" i="6"/>
  <c r="AZ30" i="6"/>
  <c r="AY30" i="6" s="1"/>
  <c r="AX30" i="6" s="1"/>
  <c r="M30" i="6" s="1"/>
  <c r="K30" i="6"/>
  <c r="E212" i="6"/>
  <c r="AK212" i="6"/>
  <c r="AJ212" i="6" s="1"/>
  <c r="AI212" i="6" s="1"/>
  <c r="G212" i="6" s="1"/>
  <c r="AZ22" i="6"/>
  <c r="AY22" i="6" s="1"/>
  <c r="AX22" i="6" s="1"/>
  <c r="M22" i="6" s="1"/>
  <c r="K22" i="6"/>
  <c r="AZ149" i="6"/>
  <c r="AY149" i="6" s="1"/>
  <c r="AX149" i="6" s="1"/>
  <c r="M149" i="6" s="1"/>
  <c r="K149" i="6"/>
  <c r="AZ235" i="6"/>
  <c r="AY235" i="6" s="1"/>
  <c r="AX235" i="6" s="1"/>
  <c r="M235" i="6" s="1"/>
  <c r="K235" i="6"/>
  <c r="K385" i="6"/>
  <c r="AZ385" i="6"/>
  <c r="AY385" i="6" s="1"/>
  <c r="AX385" i="6" s="1"/>
  <c r="M385" i="6" s="1"/>
  <c r="AK71" i="6"/>
  <c r="AJ71" i="6" s="1"/>
  <c r="AI71" i="6" s="1"/>
  <c r="G71" i="6" s="1"/>
  <c r="E71" i="6"/>
  <c r="AK467" i="6"/>
  <c r="AJ467" i="6" s="1"/>
  <c r="AI467" i="6" s="1"/>
  <c r="G467" i="6" s="1"/>
  <c r="E467" i="6"/>
  <c r="AZ31" i="6"/>
  <c r="AY31" i="6" s="1"/>
  <c r="AX31" i="6" s="1"/>
  <c r="M31" i="6" s="1"/>
  <c r="K31" i="6"/>
  <c r="K393" i="6"/>
  <c r="AZ393" i="6"/>
  <c r="AY393" i="6" s="1"/>
  <c r="AX393" i="6" s="1"/>
  <c r="M393" i="6" s="1"/>
  <c r="AK283" i="6"/>
  <c r="AJ283" i="6" s="1"/>
  <c r="AI283" i="6" s="1"/>
  <c r="G283" i="6" s="1"/>
  <c r="E283" i="6"/>
  <c r="AK52" i="6"/>
  <c r="AJ52" i="6" s="1"/>
  <c r="AI52" i="6" s="1"/>
  <c r="G52" i="6" s="1"/>
  <c r="E52" i="6"/>
  <c r="AZ402" i="6"/>
  <c r="AY402" i="6" s="1"/>
  <c r="AX402" i="6" s="1"/>
  <c r="M402" i="6" s="1"/>
  <c r="K402" i="6"/>
  <c r="E309" i="6"/>
  <c r="AK309" i="6"/>
  <c r="AJ309" i="6" s="1"/>
  <c r="AI309" i="6" s="1"/>
  <c r="G309" i="6" s="1"/>
  <c r="AK129" i="6"/>
  <c r="AJ129" i="6" s="1"/>
  <c r="AI129" i="6" s="1"/>
  <c r="G129" i="6" s="1"/>
  <c r="E129" i="6"/>
  <c r="AK328" i="6"/>
  <c r="AJ328" i="6" s="1"/>
  <c r="AI328" i="6" s="1"/>
  <c r="G328" i="6" s="1"/>
  <c r="E328" i="6"/>
  <c r="E28" i="6"/>
  <c r="AK28" i="6"/>
  <c r="AJ28" i="6" s="1"/>
  <c r="AI28" i="6" s="1"/>
  <c r="G28" i="6" s="1"/>
  <c r="AK30" i="6"/>
  <c r="AJ30" i="6" s="1"/>
  <c r="AI30" i="6" s="1"/>
  <c r="G30" i="6" s="1"/>
  <c r="E30" i="6"/>
  <c r="AK22" i="6"/>
  <c r="AJ22" i="6" s="1"/>
  <c r="AI22" i="6" s="1"/>
  <c r="G22" i="6" s="1"/>
  <c r="E22" i="6"/>
  <c r="AK149" i="6"/>
  <c r="AJ149" i="6" s="1"/>
  <c r="AI149" i="6" s="1"/>
  <c r="G149" i="6" s="1"/>
  <c r="E149" i="6"/>
  <c r="AK395" i="6"/>
  <c r="AJ395" i="6" s="1"/>
  <c r="AI395" i="6" s="1"/>
  <c r="G395" i="6" s="1"/>
  <c r="E395" i="6"/>
  <c r="AK235" i="6"/>
  <c r="AJ235" i="6" s="1"/>
  <c r="AI235" i="6" s="1"/>
  <c r="G235" i="6" s="1"/>
  <c r="E235" i="6"/>
  <c r="K214" i="6"/>
  <c r="AZ214" i="6"/>
  <c r="AY214" i="6" s="1"/>
  <c r="AX214" i="6" s="1"/>
  <c r="M214" i="6" s="1"/>
  <c r="AK238" i="6"/>
  <c r="AJ238" i="6" s="1"/>
  <c r="AI238" i="6" s="1"/>
  <c r="G238" i="6" s="1"/>
  <c r="E238" i="6"/>
  <c r="AZ112" i="6"/>
  <c r="AY112" i="6" s="1"/>
  <c r="AX112" i="6" s="1"/>
  <c r="M112" i="6" s="1"/>
  <c r="K112" i="6"/>
  <c r="K98" i="6"/>
  <c r="AZ98" i="6"/>
  <c r="AY98" i="6" s="1"/>
  <c r="AX98" i="6" s="1"/>
  <c r="M98" i="6" s="1"/>
  <c r="K130" i="6"/>
  <c r="AZ130" i="6"/>
  <c r="AY130" i="6" s="1"/>
  <c r="AX130" i="6" s="1"/>
  <c r="M130" i="6" s="1"/>
  <c r="AZ298" i="6"/>
  <c r="AY298" i="6" s="1"/>
  <c r="AX298" i="6" s="1"/>
  <c r="M298" i="6" s="1"/>
  <c r="K298" i="6"/>
  <c r="AK422" i="6"/>
  <c r="AJ422" i="6" s="1"/>
  <c r="AI422" i="6" s="1"/>
  <c r="G422" i="6" s="1"/>
  <c r="E422" i="6"/>
  <c r="K134" i="6"/>
  <c r="AZ134" i="6"/>
  <c r="AY134" i="6" s="1"/>
  <c r="AX134" i="6" s="1"/>
  <c r="M134" i="6" s="1"/>
  <c r="K194" i="6"/>
  <c r="AZ194" i="6"/>
  <c r="AY194" i="6" s="1"/>
  <c r="AX194" i="6" s="1"/>
  <c r="M194" i="6" s="1"/>
  <c r="AZ327" i="6"/>
  <c r="AY327" i="6" s="1"/>
  <c r="AX327" i="6" s="1"/>
  <c r="M327" i="6" s="1"/>
  <c r="K327" i="6"/>
  <c r="AK385" i="6"/>
  <c r="AJ385" i="6" s="1"/>
  <c r="AI385" i="6" s="1"/>
  <c r="G385" i="6" s="1"/>
  <c r="E385" i="6"/>
  <c r="AZ71" i="6"/>
  <c r="AY71" i="6" s="1"/>
  <c r="AX71" i="6" s="1"/>
  <c r="M71" i="6" s="1"/>
  <c r="K71" i="6"/>
  <c r="K430" i="6"/>
  <c r="AZ430" i="6"/>
  <c r="AY430" i="6" s="1"/>
  <c r="AX430" i="6" s="1"/>
  <c r="M430" i="6" s="1"/>
  <c r="K203" i="6"/>
  <c r="AZ203" i="6"/>
  <c r="AY203" i="6" s="1"/>
  <c r="AX203" i="6" s="1"/>
  <c r="M203" i="6" s="1"/>
  <c r="K283" i="6"/>
  <c r="AZ283" i="6"/>
  <c r="AY283" i="6" s="1"/>
  <c r="AX283" i="6" s="1"/>
  <c r="M283" i="6" s="1"/>
  <c r="AK104" i="6"/>
  <c r="AJ104" i="6" s="1"/>
  <c r="AI104" i="6" s="1"/>
  <c r="G104" i="6" s="1"/>
  <c r="E104" i="6"/>
  <c r="AK301" i="6"/>
  <c r="AJ301" i="6" s="1"/>
  <c r="AI301" i="6" s="1"/>
  <c r="G301" i="6" s="1"/>
  <c r="E301" i="6"/>
  <c r="E275" i="6"/>
  <c r="AK275" i="6"/>
  <c r="AJ275" i="6" s="1"/>
  <c r="AI275" i="6" s="1"/>
  <c r="G275" i="6" s="1"/>
  <c r="AZ328" i="6"/>
  <c r="AY328" i="6" s="1"/>
  <c r="AX328" i="6" s="1"/>
  <c r="M328" i="6" s="1"/>
  <c r="K328" i="6"/>
  <c r="K121" i="6"/>
  <c r="AZ121" i="6"/>
  <c r="AY121" i="6" s="1"/>
  <c r="AX121" i="6" s="1"/>
  <c r="M121" i="6" s="1"/>
  <c r="AZ249" i="6"/>
  <c r="AY249" i="6" s="1"/>
  <c r="AX249" i="6" s="1"/>
  <c r="M249" i="6" s="1"/>
  <c r="K249" i="6"/>
  <c r="AZ228" i="6"/>
  <c r="AY228" i="6" s="1"/>
  <c r="AX228" i="6" s="1"/>
  <c r="M228" i="6" s="1"/>
  <c r="K228" i="6"/>
  <c r="AZ133" i="6"/>
  <c r="AY133" i="6" s="1"/>
  <c r="AX133" i="6" s="1"/>
  <c r="M133" i="6" s="1"/>
  <c r="K133" i="6"/>
  <c r="AZ395" i="6"/>
  <c r="AY395" i="6" s="1"/>
  <c r="AX395" i="6" s="1"/>
  <c r="M395" i="6" s="1"/>
  <c r="K395" i="6"/>
  <c r="AZ36" i="6"/>
  <c r="AY36" i="6" s="1"/>
  <c r="AX36" i="6" s="1"/>
  <c r="M36" i="6" s="1"/>
  <c r="K36" i="6"/>
  <c r="AK116" i="6"/>
  <c r="AJ116" i="6" s="1"/>
  <c r="AI116" i="6" s="1"/>
  <c r="G116" i="6" s="1"/>
  <c r="E116" i="6"/>
  <c r="AK214" i="6"/>
  <c r="AJ214" i="6" s="1"/>
  <c r="AI214" i="6" s="1"/>
  <c r="G214" i="6" s="1"/>
  <c r="E214" i="6"/>
  <c r="AK230" i="6"/>
  <c r="AJ230" i="6" s="1"/>
  <c r="AI230" i="6" s="1"/>
  <c r="G230" i="6" s="1"/>
  <c r="E230" i="6"/>
  <c r="E146" i="6"/>
  <c r="AK146" i="6"/>
  <c r="AJ146" i="6" s="1"/>
  <c r="AI146" i="6" s="1"/>
  <c r="G146" i="6" s="1"/>
  <c r="AK327" i="6"/>
  <c r="AJ327" i="6" s="1"/>
  <c r="AI327" i="6" s="1"/>
  <c r="G327" i="6" s="1"/>
  <c r="E327" i="6"/>
  <c r="AK143" i="6"/>
  <c r="AJ143" i="6" s="1"/>
  <c r="AI143" i="6" s="1"/>
  <c r="G143" i="6" s="1"/>
  <c r="E143" i="6"/>
  <c r="AK130" i="6"/>
  <c r="AJ130" i="6" s="1"/>
  <c r="AI130" i="6" s="1"/>
  <c r="G130" i="6" s="1"/>
  <c r="E130" i="6"/>
  <c r="E298" i="6"/>
  <c r="AK298" i="6"/>
  <c r="AJ298" i="6" s="1"/>
  <c r="AI298" i="6" s="1"/>
  <c r="G298" i="6" s="1"/>
  <c r="E331" i="6"/>
  <c r="AK331" i="6"/>
  <c r="AJ331" i="6" s="1"/>
  <c r="AI331" i="6" s="1"/>
  <c r="G331" i="6" s="1"/>
  <c r="AZ422" i="6"/>
  <c r="AY422" i="6" s="1"/>
  <c r="AX422" i="6" s="1"/>
  <c r="M422" i="6" s="1"/>
  <c r="K422" i="6"/>
  <c r="AK134" i="6"/>
  <c r="AJ134" i="6" s="1"/>
  <c r="AI134" i="6" s="1"/>
  <c r="G134" i="6" s="1"/>
  <c r="E134" i="6"/>
  <c r="AZ360" i="6"/>
  <c r="AY360" i="6" s="1"/>
  <c r="AX360" i="6" s="1"/>
  <c r="M360" i="6" s="1"/>
  <c r="K360" i="6"/>
  <c r="K41" i="6"/>
  <c r="AZ41" i="6"/>
  <c r="AY41" i="6" s="1"/>
  <c r="AX41" i="6" s="1"/>
  <c r="M41" i="6" s="1"/>
  <c r="AK123" i="6"/>
  <c r="AJ123" i="6" s="1"/>
  <c r="AI123" i="6" s="1"/>
  <c r="G123" i="6" s="1"/>
  <c r="E123" i="6"/>
  <c r="AK194" i="6"/>
  <c r="AJ194" i="6" s="1"/>
  <c r="AI194" i="6" s="1"/>
  <c r="G194" i="6" s="1"/>
  <c r="E194" i="6"/>
  <c r="K357" i="6"/>
  <c r="AZ357" i="6"/>
  <c r="AY357" i="6" s="1"/>
  <c r="AX357" i="6" s="1"/>
  <c r="M357" i="6" s="1"/>
  <c r="E430" i="6"/>
  <c r="AK430" i="6"/>
  <c r="AJ430" i="6" s="1"/>
  <c r="AI430" i="6" s="1"/>
  <c r="G430" i="6" s="1"/>
  <c r="AK155" i="6"/>
  <c r="AJ155" i="6" s="1"/>
  <c r="AI155" i="6" s="1"/>
  <c r="G155" i="6" s="1"/>
  <c r="E155" i="6"/>
  <c r="E203" i="6"/>
  <c r="AK203" i="6"/>
  <c r="AJ203" i="6" s="1"/>
  <c r="AI203" i="6" s="1"/>
  <c r="G203" i="6" s="1"/>
  <c r="E343" i="6"/>
  <c r="AK343" i="6"/>
  <c r="AJ343" i="6" s="1"/>
  <c r="AI343" i="6" s="1"/>
  <c r="G343" i="6" s="1"/>
  <c r="AK102" i="6"/>
  <c r="AJ102" i="6" s="1"/>
  <c r="AI102" i="6" s="1"/>
  <c r="G102" i="6" s="1"/>
  <c r="E102" i="6"/>
  <c r="AZ199" i="6"/>
  <c r="AY199" i="6" s="1"/>
  <c r="AX199" i="6" s="1"/>
  <c r="M199" i="6" s="1"/>
  <c r="K199" i="6"/>
  <c r="AZ104" i="6"/>
  <c r="AY104" i="6" s="1"/>
  <c r="AX104" i="6" s="1"/>
  <c r="M104" i="6" s="1"/>
  <c r="K104" i="6"/>
  <c r="AZ301" i="6"/>
  <c r="AY301" i="6" s="1"/>
  <c r="AX301" i="6" s="1"/>
  <c r="M301" i="6" s="1"/>
  <c r="K301" i="6"/>
  <c r="AZ275" i="6"/>
  <c r="AY275" i="6" s="1"/>
  <c r="AX275" i="6" s="1"/>
  <c r="M275" i="6" s="1"/>
  <c r="K275" i="6"/>
  <c r="AK334" i="6"/>
  <c r="AJ334" i="6" s="1"/>
  <c r="AI334" i="6" s="1"/>
  <c r="G334" i="6" s="1"/>
  <c r="E334" i="6"/>
  <c r="K193" i="6"/>
  <c r="AZ193" i="6"/>
  <c r="AY193" i="6" s="1"/>
  <c r="AX193" i="6" s="1"/>
  <c r="M193" i="6" s="1"/>
  <c r="AK299" i="6"/>
  <c r="AJ299" i="6" s="1"/>
  <c r="AI299" i="6" s="1"/>
  <c r="G299" i="6" s="1"/>
  <c r="E299" i="6"/>
  <c r="AK121" i="6"/>
  <c r="AJ121" i="6" s="1"/>
  <c r="AI121" i="6" s="1"/>
  <c r="G121" i="6" s="1"/>
  <c r="E121" i="6"/>
  <c r="E249" i="6"/>
  <c r="AK249" i="6"/>
  <c r="AJ249" i="6" s="1"/>
  <c r="AI249" i="6" s="1"/>
  <c r="G249" i="6" s="1"/>
  <c r="E449" i="6"/>
  <c r="AK449" i="6"/>
  <c r="AJ449" i="6" s="1"/>
  <c r="AI449" i="6" s="1"/>
  <c r="G449" i="6" s="1"/>
  <c r="E228" i="6"/>
  <c r="AK228" i="6"/>
  <c r="AJ228" i="6" s="1"/>
  <c r="AI228" i="6" s="1"/>
  <c r="G228" i="6" s="1"/>
  <c r="E133" i="6"/>
  <c r="AK133" i="6"/>
  <c r="AJ133" i="6" s="1"/>
  <c r="AI133" i="6" s="1"/>
  <c r="G133" i="6" s="1"/>
  <c r="AZ93" i="6"/>
  <c r="AY93" i="6" s="1"/>
  <c r="AX93" i="6" s="1"/>
  <c r="M93" i="6" s="1"/>
  <c r="K93" i="6"/>
  <c r="AK36" i="6"/>
  <c r="AJ36" i="6" s="1"/>
  <c r="AI36" i="6" s="1"/>
  <c r="G36" i="6" s="1"/>
  <c r="E36" i="6"/>
  <c r="AZ116" i="6"/>
  <c r="AY116" i="6" s="1"/>
  <c r="AX116" i="6" s="1"/>
  <c r="M116" i="6" s="1"/>
  <c r="K116" i="6"/>
  <c r="E351" i="6"/>
  <c r="AK351" i="6"/>
  <c r="AJ351" i="6" s="1"/>
  <c r="AI351" i="6" s="1"/>
  <c r="G351" i="6" s="1"/>
  <c r="S9" i="1" l="1"/>
  <c r="B72" i="1"/>
  <c r="S10" i="1"/>
  <c r="B95" i="1"/>
  <c r="A9" i="10"/>
  <c r="A10" i="10" s="1"/>
  <c r="B139" i="1"/>
  <c r="AW8" i="6"/>
  <c r="AV56" i="6" s="1"/>
  <c r="AU56" i="6" s="1"/>
  <c r="AT56" i="6" s="1"/>
  <c r="L56" i="6" s="1"/>
  <c r="BM8" i="6"/>
  <c r="Q8" i="6"/>
  <c r="S11" i="1"/>
  <c r="B117" i="1"/>
  <c r="BE8" i="6"/>
  <c r="N8" i="6"/>
  <c r="AO8" i="6"/>
  <c r="H8" i="6"/>
  <c r="S12" i="1"/>
  <c r="K8" i="6"/>
  <c r="E8" i="6"/>
  <c r="AL8" i="6"/>
  <c r="AH8" i="6"/>
  <c r="AV107" i="6" l="1"/>
  <c r="AU107" i="6" s="1"/>
  <c r="AT107" i="6" s="1"/>
  <c r="L107" i="6" s="1"/>
  <c r="AV406" i="6"/>
  <c r="AU406" i="6" s="1"/>
  <c r="AT406" i="6" s="1"/>
  <c r="L406" i="6" s="1"/>
  <c r="AV173" i="6"/>
  <c r="AU173" i="6" s="1"/>
  <c r="AT173" i="6" s="1"/>
  <c r="L173" i="6" s="1"/>
  <c r="AV80" i="6"/>
  <c r="AU80" i="6" s="1"/>
  <c r="AT80" i="6" s="1"/>
  <c r="L80" i="6" s="1"/>
  <c r="AV422" i="6"/>
  <c r="AU422" i="6" s="1"/>
  <c r="AT422" i="6" s="1"/>
  <c r="L422" i="6" s="1"/>
  <c r="AV28" i="6"/>
  <c r="AU28" i="6" s="1"/>
  <c r="AT28" i="6" s="1"/>
  <c r="L28" i="6" s="1"/>
  <c r="AV358" i="6"/>
  <c r="AU358" i="6" s="1"/>
  <c r="AT358" i="6" s="1"/>
  <c r="L358" i="6" s="1"/>
  <c r="AV349" i="6"/>
  <c r="AU349" i="6" s="1"/>
  <c r="AT349" i="6" s="1"/>
  <c r="L349" i="6" s="1"/>
  <c r="AV351" i="6"/>
  <c r="AU351" i="6" s="1"/>
  <c r="AT351" i="6" s="1"/>
  <c r="L351" i="6" s="1"/>
  <c r="AV295" i="6"/>
  <c r="AU295" i="6" s="1"/>
  <c r="AT295" i="6" s="1"/>
  <c r="L295" i="6" s="1"/>
  <c r="AV68" i="6"/>
  <c r="AU68" i="6" s="1"/>
  <c r="AT68" i="6" s="1"/>
  <c r="L68" i="6" s="1"/>
  <c r="AV199" i="6"/>
  <c r="AU199" i="6" s="1"/>
  <c r="AT199" i="6" s="1"/>
  <c r="L199" i="6" s="1"/>
  <c r="AV292" i="6"/>
  <c r="AU292" i="6" s="1"/>
  <c r="AT292" i="6" s="1"/>
  <c r="L292" i="6" s="1"/>
  <c r="AV431" i="6"/>
  <c r="AU431" i="6" s="1"/>
  <c r="AT431" i="6" s="1"/>
  <c r="L431" i="6" s="1"/>
  <c r="AV104" i="6"/>
  <c r="AU104" i="6" s="1"/>
  <c r="AT104" i="6" s="1"/>
  <c r="L104" i="6" s="1"/>
  <c r="AV208" i="6"/>
  <c r="AU208" i="6" s="1"/>
  <c r="AT208" i="6" s="1"/>
  <c r="L208" i="6" s="1"/>
  <c r="AV384" i="6"/>
  <c r="AU384" i="6" s="1"/>
  <c r="AT384" i="6" s="1"/>
  <c r="L384" i="6" s="1"/>
  <c r="AV342" i="6"/>
  <c r="AU342" i="6" s="1"/>
  <c r="AT342" i="6" s="1"/>
  <c r="L342" i="6" s="1"/>
  <c r="AV386" i="6"/>
  <c r="AU386" i="6" s="1"/>
  <c r="AT386" i="6" s="1"/>
  <c r="L386" i="6" s="1"/>
  <c r="AV172" i="6"/>
  <c r="AU172" i="6" s="1"/>
  <c r="AT172" i="6" s="1"/>
  <c r="L172" i="6" s="1"/>
  <c r="AV114" i="6"/>
  <c r="AU114" i="6" s="1"/>
  <c r="AT114" i="6" s="1"/>
  <c r="L114" i="6" s="1"/>
  <c r="AV299" i="6"/>
  <c r="AU299" i="6" s="1"/>
  <c r="AT299" i="6" s="1"/>
  <c r="L299" i="6" s="1"/>
  <c r="AV154" i="6"/>
  <c r="AU154" i="6" s="1"/>
  <c r="AT154" i="6" s="1"/>
  <c r="L154" i="6" s="1"/>
  <c r="AV359" i="6"/>
  <c r="AU359" i="6" s="1"/>
  <c r="AT359" i="6" s="1"/>
  <c r="L359" i="6" s="1"/>
  <c r="AV67" i="6"/>
  <c r="AU67" i="6" s="1"/>
  <c r="AT67" i="6" s="1"/>
  <c r="L67" i="6" s="1"/>
  <c r="AV289" i="6"/>
  <c r="AU289" i="6" s="1"/>
  <c r="AT289" i="6" s="1"/>
  <c r="L289" i="6" s="1"/>
  <c r="AV290" i="6"/>
  <c r="AU290" i="6" s="1"/>
  <c r="AT290" i="6" s="1"/>
  <c r="L290" i="6" s="1"/>
  <c r="AV304" i="6"/>
  <c r="AU304" i="6" s="1"/>
  <c r="AT304" i="6" s="1"/>
  <c r="L304" i="6" s="1"/>
  <c r="AV395" i="6"/>
  <c r="AU395" i="6" s="1"/>
  <c r="AT395" i="6" s="1"/>
  <c r="L395" i="6" s="1"/>
  <c r="AV308" i="6"/>
  <c r="AU308" i="6" s="1"/>
  <c r="AT308" i="6" s="1"/>
  <c r="L308" i="6" s="1"/>
  <c r="AV127" i="6"/>
  <c r="AU127" i="6" s="1"/>
  <c r="AT127" i="6" s="1"/>
  <c r="L127" i="6" s="1"/>
  <c r="AV237" i="6"/>
  <c r="AU237" i="6" s="1"/>
  <c r="AT237" i="6" s="1"/>
  <c r="L237" i="6" s="1"/>
  <c r="AV116" i="6"/>
  <c r="AU116" i="6" s="1"/>
  <c r="AT116" i="6" s="1"/>
  <c r="L116" i="6" s="1"/>
  <c r="AV229" i="6"/>
  <c r="AU229" i="6" s="1"/>
  <c r="AT229" i="6" s="1"/>
  <c r="L229" i="6" s="1"/>
  <c r="AV350" i="6"/>
  <c r="AU350" i="6" s="1"/>
  <c r="AT350" i="6" s="1"/>
  <c r="L350" i="6" s="1"/>
  <c r="AV205" i="6"/>
  <c r="AU205" i="6" s="1"/>
  <c r="AT205" i="6" s="1"/>
  <c r="L205" i="6" s="1"/>
  <c r="AV61" i="6"/>
  <c r="AU61" i="6" s="1"/>
  <c r="AT61" i="6" s="1"/>
  <c r="L61" i="6" s="1"/>
  <c r="AV270" i="6"/>
  <c r="AU270" i="6" s="1"/>
  <c r="AT270" i="6" s="1"/>
  <c r="L270" i="6" s="1"/>
  <c r="AV134" i="6"/>
  <c r="AU134" i="6" s="1"/>
  <c r="AT134" i="6" s="1"/>
  <c r="L134" i="6" s="1"/>
  <c r="AV212" i="6"/>
  <c r="AU212" i="6" s="1"/>
  <c r="AT212" i="6" s="1"/>
  <c r="L212" i="6" s="1"/>
  <c r="AV152" i="6"/>
  <c r="AU152" i="6" s="1"/>
  <c r="AT152" i="6" s="1"/>
  <c r="L152" i="6" s="1"/>
  <c r="AV119" i="6"/>
  <c r="AU119" i="6" s="1"/>
  <c r="AT119" i="6" s="1"/>
  <c r="L119" i="6" s="1"/>
  <c r="AV434" i="6"/>
  <c r="AU434" i="6" s="1"/>
  <c r="AT434" i="6" s="1"/>
  <c r="L434" i="6" s="1"/>
  <c r="AV209" i="6"/>
  <c r="AU209" i="6" s="1"/>
  <c r="AT209" i="6" s="1"/>
  <c r="L209" i="6" s="1"/>
  <c r="AV261" i="6"/>
  <c r="AU261" i="6" s="1"/>
  <c r="AT261" i="6" s="1"/>
  <c r="L261" i="6" s="1"/>
  <c r="AV236" i="6"/>
  <c r="AU236" i="6" s="1"/>
  <c r="AT236" i="6" s="1"/>
  <c r="L236" i="6" s="1"/>
  <c r="AV312" i="6"/>
  <c r="AU312" i="6" s="1"/>
  <c r="AT312" i="6" s="1"/>
  <c r="L312" i="6" s="1"/>
  <c r="AV439" i="6"/>
  <c r="AU439" i="6" s="1"/>
  <c r="AT439" i="6" s="1"/>
  <c r="L439" i="6" s="1"/>
  <c r="AV403" i="6"/>
  <c r="AU403" i="6" s="1"/>
  <c r="AT403" i="6" s="1"/>
  <c r="L403" i="6" s="1"/>
  <c r="AV326" i="6"/>
  <c r="AU326" i="6" s="1"/>
  <c r="AT326" i="6" s="1"/>
  <c r="L326" i="6" s="1"/>
  <c r="AV455" i="6"/>
  <c r="AU455" i="6" s="1"/>
  <c r="AT455" i="6" s="1"/>
  <c r="L455" i="6" s="1"/>
  <c r="AV41" i="6"/>
  <c r="AU41" i="6" s="1"/>
  <c r="AT41" i="6" s="1"/>
  <c r="L41" i="6" s="1"/>
  <c r="AV224" i="6"/>
  <c r="AU224" i="6" s="1"/>
  <c r="AT224" i="6" s="1"/>
  <c r="L224" i="6" s="1"/>
  <c r="AV274" i="6"/>
  <c r="AU274" i="6" s="1"/>
  <c r="AT274" i="6" s="1"/>
  <c r="L274" i="6" s="1"/>
  <c r="AV337" i="6"/>
  <c r="AU337" i="6" s="1"/>
  <c r="AT337" i="6" s="1"/>
  <c r="L337" i="6" s="1"/>
  <c r="AV39" i="6"/>
  <c r="AU39" i="6" s="1"/>
  <c r="AT39" i="6" s="1"/>
  <c r="L39" i="6" s="1"/>
  <c r="AV186" i="6"/>
  <c r="AU186" i="6" s="1"/>
  <c r="AT186" i="6" s="1"/>
  <c r="L186" i="6" s="1"/>
  <c r="AV112" i="6"/>
  <c r="AU112" i="6" s="1"/>
  <c r="AT112" i="6" s="1"/>
  <c r="L112" i="6" s="1"/>
  <c r="AV391" i="6"/>
  <c r="AU391" i="6" s="1"/>
  <c r="AT391" i="6" s="1"/>
  <c r="L391" i="6" s="1"/>
  <c r="AV203" i="6"/>
  <c r="AU203" i="6" s="1"/>
  <c r="AT203" i="6" s="1"/>
  <c r="L203" i="6" s="1"/>
  <c r="AV97" i="6"/>
  <c r="AU97" i="6" s="1"/>
  <c r="AT97" i="6" s="1"/>
  <c r="L97" i="6" s="1"/>
  <c r="AV448" i="6"/>
  <c r="AU448" i="6" s="1"/>
  <c r="AT448" i="6" s="1"/>
  <c r="L448" i="6" s="1"/>
  <c r="AV340" i="6"/>
  <c r="AU340" i="6" s="1"/>
  <c r="AT340" i="6" s="1"/>
  <c r="L340" i="6" s="1"/>
  <c r="AV48" i="6"/>
  <c r="AU48" i="6" s="1"/>
  <c r="AT48" i="6" s="1"/>
  <c r="L48" i="6" s="1"/>
  <c r="AV314" i="6"/>
  <c r="AU314" i="6" s="1"/>
  <c r="AT314" i="6" s="1"/>
  <c r="L314" i="6" s="1"/>
  <c r="AV327" i="6"/>
  <c r="AU327" i="6" s="1"/>
  <c r="AT327" i="6" s="1"/>
  <c r="L327" i="6" s="1"/>
  <c r="AV18" i="6"/>
  <c r="AU18" i="6" s="1"/>
  <c r="AT18" i="6" s="1"/>
  <c r="L18" i="6" s="1"/>
  <c r="AV11" i="6"/>
  <c r="AU11" i="6" s="1"/>
  <c r="AT11" i="6" s="1"/>
  <c r="L11" i="6" s="1"/>
  <c r="AV307" i="6"/>
  <c r="AU307" i="6" s="1"/>
  <c r="AT307" i="6" s="1"/>
  <c r="L307" i="6" s="1"/>
  <c r="AV170" i="6"/>
  <c r="AU170" i="6" s="1"/>
  <c r="AT170" i="6" s="1"/>
  <c r="L170" i="6" s="1"/>
  <c r="AV234" i="6"/>
  <c r="AU234" i="6" s="1"/>
  <c r="AT234" i="6" s="1"/>
  <c r="L234" i="6" s="1"/>
  <c r="AV450" i="6"/>
  <c r="AU450" i="6" s="1"/>
  <c r="AT450" i="6" s="1"/>
  <c r="L450" i="6" s="1"/>
  <c r="AV445" i="6"/>
  <c r="AU445" i="6" s="1"/>
  <c r="AT445" i="6" s="1"/>
  <c r="L445" i="6" s="1"/>
  <c r="AV428" i="6"/>
  <c r="AU428" i="6" s="1"/>
  <c r="AT428" i="6" s="1"/>
  <c r="L428" i="6" s="1"/>
  <c r="AV412" i="6"/>
  <c r="AU412" i="6" s="1"/>
  <c r="AT412" i="6" s="1"/>
  <c r="L412" i="6" s="1"/>
  <c r="AV189" i="6"/>
  <c r="AU189" i="6" s="1"/>
  <c r="AT189" i="6" s="1"/>
  <c r="L189" i="6" s="1"/>
  <c r="AV82" i="6"/>
  <c r="AU82" i="6" s="1"/>
  <c r="AT82" i="6" s="1"/>
  <c r="L82" i="6" s="1"/>
  <c r="AV379" i="6"/>
  <c r="AU379" i="6" s="1"/>
  <c r="AT379" i="6" s="1"/>
  <c r="L379" i="6" s="1"/>
  <c r="AV252" i="6"/>
  <c r="AU252" i="6" s="1"/>
  <c r="AT252" i="6" s="1"/>
  <c r="L252" i="6" s="1"/>
  <c r="AV345" i="6"/>
  <c r="AU345" i="6" s="1"/>
  <c r="AT345" i="6" s="1"/>
  <c r="L345" i="6" s="1"/>
  <c r="AV36" i="6"/>
  <c r="AU36" i="6" s="1"/>
  <c r="AT36" i="6" s="1"/>
  <c r="L36" i="6" s="1"/>
  <c r="AV374" i="6"/>
  <c r="AU374" i="6" s="1"/>
  <c r="AT374" i="6" s="1"/>
  <c r="L374" i="6" s="1"/>
  <c r="AV51" i="6"/>
  <c r="AU51" i="6" s="1"/>
  <c r="AT51" i="6" s="1"/>
  <c r="L51" i="6" s="1"/>
  <c r="AV385" i="6"/>
  <c r="AU385" i="6" s="1"/>
  <c r="AT385" i="6" s="1"/>
  <c r="L385" i="6" s="1"/>
  <c r="AV49" i="6"/>
  <c r="AU49" i="6" s="1"/>
  <c r="AT49" i="6" s="1"/>
  <c r="L49" i="6" s="1"/>
  <c r="AV263" i="6"/>
  <c r="AU263" i="6" s="1"/>
  <c r="AT263" i="6" s="1"/>
  <c r="L263" i="6" s="1"/>
  <c r="AV222" i="6"/>
  <c r="AU222" i="6" s="1"/>
  <c r="AT222" i="6" s="1"/>
  <c r="L222" i="6" s="1"/>
  <c r="AV259" i="6"/>
  <c r="AU259" i="6" s="1"/>
  <c r="AT259" i="6" s="1"/>
  <c r="L259" i="6" s="1"/>
  <c r="AV324" i="6"/>
  <c r="AU324" i="6" s="1"/>
  <c r="AT324" i="6" s="1"/>
  <c r="L324" i="6" s="1"/>
  <c r="AV60" i="6"/>
  <c r="AU60" i="6" s="1"/>
  <c r="AT60" i="6" s="1"/>
  <c r="L60" i="6" s="1"/>
  <c r="AV62" i="6"/>
  <c r="AU62" i="6" s="1"/>
  <c r="AT62" i="6" s="1"/>
  <c r="L62" i="6" s="1"/>
  <c r="AV130" i="6"/>
  <c r="AU130" i="6" s="1"/>
  <c r="AT130" i="6" s="1"/>
  <c r="L130" i="6" s="1"/>
  <c r="AV35" i="6"/>
  <c r="AU35" i="6" s="1"/>
  <c r="AT35" i="6" s="1"/>
  <c r="L35" i="6" s="1"/>
  <c r="AV255" i="6"/>
  <c r="AU255" i="6" s="1"/>
  <c r="AT255" i="6" s="1"/>
  <c r="L255" i="6" s="1"/>
  <c r="AV265" i="6"/>
  <c r="AU265" i="6" s="1"/>
  <c r="AT265" i="6" s="1"/>
  <c r="L265" i="6" s="1"/>
  <c r="AV22" i="6"/>
  <c r="AU22" i="6" s="1"/>
  <c r="AT22" i="6" s="1"/>
  <c r="L22" i="6" s="1"/>
  <c r="AV228" i="6"/>
  <c r="AU228" i="6" s="1"/>
  <c r="AT228" i="6" s="1"/>
  <c r="L228" i="6" s="1"/>
  <c r="AV332" i="6"/>
  <c r="AU332" i="6" s="1"/>
  <c r="AT332" i="6" s="1"/>
  <c r="L332" i="6" s="1"/>
  <c r="AV416" i="6"/>
  <c r="AU416" i="6" s="1"/>
  <c r="AT416" i="6" s="1"/>
  <c r="L416" i="6" s="1"/>
  <c r="AV303" i="6"/>
  <c r="AU303" i="6" s="1"/>
  <c r="AT303" i="6" s="1"/>
  <c r="L303" i="6" s="1"/>
  <c r="AV85" i="6"/>
  <c r="AU85" i="6" s="1"/>
  <c r="AT85" i="6" s="1"/>
  <c r="L85" i="6" s="1"/>
  <c r="AV204" i="6"/>
  <c r="AU204" i="6" s="1"/>
  <c r="AT204" i="6" s="1"/>
  <c r="L204" i="6" s="1"/>
  <c r="AV193" i="6"/>
  <c r="AU193" i="6" s="1"/>
  <c r="AT193" i="6" s="1"/>
  <c r="L193" i="6" s="1"/>
  <c r="AV309" i="6"/>
  <c r="AU309" i="6" s="1"/>
  <c r="AT309" i="6" s="1"/>
  <c r="L309" i="6" s="1"/>
  <c r="AV231" i="6"/>
  <c r="AU231" i="6" s="1"/>
  <c r="AT231" i="6" s="1"/>
  <c r="L231" i="6" s="1"/>
  <c r="AV242" i="6"/>
  <c r="AU242" i="6" s="1"/>
  <c r="AT242" i="6" s="1"/>
  <c r="L242" i="6" s="1"/>
  <c r="AV361" i="6"/>
  <c r="AU361" i="6" s="1"/>
  <c r="AT361" i="6" s="1"/>
  <c r="L361" i="6" s="1"/>
  <c r="AV17" i="6"/>
  <c r="AU17" i="6" s="1"/>
  <c r="AT17" i="6" s="1"/>
  <c r="L17" i="6" s="1"/>
  <c r="AV52" i="6"/>
  <c r="AU52" i="6" s="1"/>
  <c r="AT52" i="6" s="1"/>
  <c r="L52" i="6" s="1"/>
  <c r="AV43" i="6"/>
  <c r="AU43" i="6" s="1"/>
  <c r="AT43" i="6" s="1"/>
  <c r="L43" i="6" s="1"/>
  <c r="AV191" i="6"/>
  <c r="AU191" i="6" s="1"/>
  <c r="AT191" i="6" s="1"/>
  <c r="L191" i="6" s="1"/>
  <c r="AV343" i="6"/>
  <c r="AU343" i="6" s="1"/>
  <c r="AT343" i="6" s="1"/>
  <c r="L343" i="6" s="1"/>
  <c r="AV357" i="6"/>
  <c r="AU357" i="6" s="1"/>
  <c r="AT357" i="6" s="1"/>
  <c r="L357" i="6" s="1"/>
  <c r="AV460" i="6"/>
  <c r="AU460" i="6" s="1"/>
  <c r="AT460" i="6" s="1"/>
  <c r="L460" i="6" s="1"/>
  <c r="AV423" i="6"/>
  <c r="AU423" i="6" s="1"/>
  <c r="AT423" i="6" s="1"/>
  <c r="L423" i="6" s="1"/>
  <c r="AV367" i="6"/>
  <c r="AU367" i="6" s="1"/>
  <c r="AT367" i="6" s="1"/>
  <c r="L367" i="6" s="1"/>
  <c r="AV33" i="6"/>
  <c r="AU33" i="6" s="1"/>
  <c r="AT33" i="6" s="1"/>
  <c r="L33" i="6" s="1"/>
  <c r="AV427" i="6"/>
  <c r="AU427" i="6" s="1"/>
  <c r="AT427" i="6" s="1"/>
  <c r="L427" i="6" s="1"/>
  <c r="AV31" i="6"/>
  <c r="AU31" i="6" s="1"/>
  <c r="AT31" i="6" s="1"/>
  <c r="L31" i="6" s="1"/>
  <c r="AV449" i="6"/>
  <c r="AU449" i="6" s="1"/>
  <c r="AT449" i="6" s="1"/>
  <c r="L449" i="6" s="1"/>
  <c r="AV71" i="6"/>
  <c r="AU71" i="6" s="1"/>
  <c r="AT71" i="6" s="1"/>
  <c r="L71" i="6" s="1"/>
  <c r="AV156" i="6"/>
  <c r="AU156" i="6" s="1"/>
  <c r="AT156" i="6" s="1"/>
  <c r="L156" i="6" s="1"/>
  <c r="AV465" i="6"/>
  <c r="AU465" i="6" s="1"/>
  <c r="AT465" i="6" s="1"/>
  <c r="L465" i="6" s="1"/>
  <c r="AV129" i="6"/>
  <c r="AU129" i="6" s="1"/>
  <c r="AT129" i="6" s="1"/>
  <c r="L129" i="6" s="1"/>
  <c r="AV239" i="6"/>
  <c r="AU239" i="6" s="1"/>
  <c r="AT239" i="6" s="1"/>
  <c r="L239" i="6" s="1"/>
  <c r="AV393" i="6"/>
  <c r="AU393" i="6" s="1"/>
  <c r="AT393" i="6" s="1"/>
  <c r="L393" i="6" s="1"/>
  <c r="AV365" i="6"/>
  <c r="AU365" i="6" s="1"/>
  <c r="AT365" i="6" s="1"/>
  <c r="L365" i="6" s="1"/>
  <c r="AV315" i="6"/>
  <c r="AU315" i="6" s="1"/>
  <c r="AT315" i="6" s="1"/>
  <c r="L315" i="6" s="1"/>
  <c r="AV305" i="6"/>
  <c r="AU305" i="6" s="1"/>
  <c r="AT305" i="6" s="1"/>
  <c r="L305" i="6" s="1"/>
  <c r="AV241" i="6"/>
  <c r="AU241" i="6" s="1"/>
  <c r="AT241" i="6" s="1"/>
  <c r="L241" i="6" s="1"/>
  <c r="AV66" i="6"/>
  <c r="AU66" i="6" s="1"/>
  <c r="AT66" i="6" s="1"/>
  <c r="L66" i="6" s="1"/>
  <c r="AV192" i="6"/>
  <c r="AU192" i="6" s="1"/>
  <c r="AT192" i="6" s="1"/>
  <c r="L192" i="6" s="1"/>
  <c r="AV187" i="6"/>
  <c r="AU187" i="6" s="1"/>
  <c r="AT187" i="6" s="1"/>
  <c r="L187" i="6" s="1"/>
  <c r="AV344" i="6"/>
  <c r="AU344" i="6" s="1"/>
  <c r="AT344" i="6" s="1"/>
  <c r="L344" i="6" s="1"/>
  <c r="AV317" i="6"/>
  <c r="AU317" i="6" s="1"/>
  <c r="AT317" i="6" s="1"/>
  <c r="L317" i="6" s="1"/>
  <c r="AV433" i="6"/>
  <c r="AU433" i="6" s="1"/>
  <c r="AT433" i="6" s="1"/>
  <c r="L433" i="6" s="1"/>
  <c r="AV392" i="6"/>
  <c r="AU392" i="6" s="1"/>
  <c r="AT392" i="6" s="1"/>
  <c r="L392" i="6" s="1"/>
  <c r="AV113" i="6"/>
  <c r="AU113" i="6" s="1"/>
  <c r="AT113" i="6" s="1"/>
  <c r="L113" i="6" s="1"/>
  <c r="AV360" i="6"/>
  <c r="AU360" i="6" s="1"/>
  <c r="AT360" i="6" s="1"/>
  <c r="L360" i="6" s="1"/>
  <c r="AV235" i="6"/>
  <c r="AU235" i="6" s="1"/>
  <c r="AT235" i="6" s="1"/>
  <c r="L235" i="6" s="1"/>
  <c r="AV291" i="6"/>
  <c r="AU291" i="6" s="1"/>
  <c r="AT291" i="6" s="1"/>
  <c r="L291" i="6" s="1"/>
  <c r="AV440" i="6"/>
  <c r="AU440" i="6" s="1"/>
  <c r="AT440" i="6" s="1"/>
  <c r="L440" i="6" s="1"/>
  <c r="AV213" i="6"/>
  <c r="AU213" i="6" s="1"/>
  <c r="AT213" i="6" s="1"/>
  <c r="L213" i="6" s="1"/>
  <c r="AV55" i="6"/>
  <c r="AU55" i="6" s="1"/>
  <c r="AT55" i="6" s="1"/>
  <c r="L55" i="6" s="1"/>
  <c r="AV76" i="6"/>
  <c r="AU76" i="6" s="1"/>
  <c r="AT76" i="6" s="1"/>
  <c r="L76" i="6" s="1"/>
  <c r="AV268" i="6"/>
  <c r="AU268" i="6" s="1"/>
  <c r="AT268" i="6" s="1"/>
  <c r="L268" i="6" s="1"/>
  <c r="AV9" i="6"/>
  <c r="AU9" i="6" s="1"/>
  <c r="AT9" i="6" s="1"/>
  <c r="L9" i="6" s="1"/>
  <c r="AV92" i="6"/>
  <c r="AU92" i="6" s="1"/>
  <c r="AT92" i="6" s="1"/>
  <c r="L92" i="6" s="1"/>
  <c r="AV103" i="6"/>
  <c r="AU103" i="6" s="1"/>
  <c r="AT103" i="6" s="1"/>
  <c r="L103" i="6" s="1"/>
  <c r="AV135" i="6"/>
  <c r="AU135" i="6" s="1"/>
  <c r="AT135" i="6" s="1"/>
  <c r="L135" i="6" s="1"/>
  <c r="AV272" i="6"/>
  <c r="AU272" i="6" s="1"/>
  <c r="AT272" i="6" s="1"/>
  <c r="L272" i="6" s="1"/>
  <c r="AV408" i="6"/>
  <c r="AU408" i="6" s="1"/>
  <c r="AT408" i="6" s="1"/>
  <c r="L408" i="6" s="1"/>
  <c r="AV396" i="6"/>
  <c r="AU396" i="6" s="1"/>
  <c r="AT396" i="6" s="1"/>
  <c r="L396" i="6" s="1"/>
  <c r="AV53" i="6"/>
  <c r="AU53" i="6" s="1"/>
  <c r="AT53" i="6" s="1"/>
  <c r="L53" i="6" s="1"/>
  <c r="AV225" i="6"/>
  <c r="AU225" i="6" s="1"/>
  <c r="AT225" i="6" s="1"/>
  <c r="L225" i="6" s="1"/>
  <c r="AV198" i="6"/>
  <c r="AU198" i="6" s="1"/>
  <c r="AT198" i="6" s="1"/>
  <c r="L198" i="6" s="1"/>
  <c r="AV169" i="6"/>
  <c r="AU169" i="6" s="1"/>
  <c r="AT169" i="6" s="1"/>
  <c r="L169" i="6" s="1"/>
  <c r="AV425" i="6"/>
  <c r="AU425" i="6" s="1"/>
  <c r="AT425" i="6" s="1"/>
  <c r="L425" i="6" s="1"/>
  <c r="AV409" i="6"/>
  <c r="AU409" i="6" s="1"/>
  <c r="AT409" i="6" s="1"/>
  <c r="L409" i="6" s="1"/>
  <c r="AV398" i="6"/>
  <c r="AU398" i="6" s="1"/>
  <c r="AT398" i="6" s="1"/>
  <c r="L398" i="6" s="1"/>
  <c r="AV133" i="6"/>
  <c r="AU133" i="6" s="1"/>
  <c r="AT133" i="6" s="1"/>
  <c r="L133" i="6" s="1"/>
  <c r="AV230" i="6"/>
  <c r="AU230" i="6" s="1"/>
  <c r="AT230" i="6" s="1"/>
  <c r="L230" i="6" s="1"/>
  <c r="AV44" i="6"/>
  <c r="AU44" i="6" s="1"/>
  <c r="AT44" i="6" s="1"/>
  <c r="L44" i="6" s="1"/>
  <c r="AV238" i="6"/>
  <c r="AU238" i="6" s="1"/>
  <c r="AT238" i="6" s="1"/>
  <c r="L238" i="6" s="1"/>
  <c r="AV182" i="6"/>
  <c r="AU182" i="6" s="1"/>
  <c r="AT182" i="6" s="1"/>
  <c r="L182" i="6" s="1"/>
  <c r="AV277" i="6"/>
  <c r="AU277" i="6" s="1"/>
  <c r="AT277" i="6" s="1"/>
  <c r="L277" i="6" s="1"/>
  <c r="AV115" i="6"/>
  <c r="AU115" i="6" s="1"/>
  <c r="AT115" i="6" s="1"/>
  <c r="L115" i="6" s="1"/>
  <c r="AV311" i="6"/>
  <c r="AU311" i="6" s="1"/>
  <c r="AT311" i="6" s="1"/>
  <c r="L311" i="6" s="1"/>
  <c r="AV470" i="6"/>
  <c r="AU470" i="6" s="1"/>
  <c r="AT470" i="6" s="1"/>
  <c r="AV436" i="6"/>
  <c r="AU436" i="6" s="1"/>
  <c r="AT436" i="6" s="1"/>
  <c r="L436" i="6" s="1"/>
  <c r="AV59" i="6"/>
  <c r="AU59" i="6" s="1"/>
  <c r="AT59" i="6" s="1"/>
  <c r="L59" i="6" s="1"/>
  <c r="AV72" i="6"/>
  <c r="AU72" i="6" s="1"/>
  <c r="AT72" i="6" s="1"/>
  <c r="L72" i="6" s="1"/>
  <c r="AV279" i="6"/>
  <c r="AU279" i="6" s="1"/>
  <c r="AT279" i="6" s="1"/>
  <c r="L279" i="6" s="1"/>
  <c r="AV150" i="6"/>
  <c r="AU150" i="6" s="1"/>
  <c r="AT150" i="6" s="1"/>
  <c r="L150" i="6" s="1"/>
  <c r="AV218" i="6"/>
  <c r="AU218" i="6" s="1"/>
  <c r="AT218" i="6" s="1"/>
  <c r="L218" i="6" s="1"/>
  <c r="AV247" i="6"/>
  <c r="AU247" i="6" s="1"/>
  <c r="AT247" i="6" s="1"/>
  <c r="L247" i="6" s="1"/>
  <c r="AV411" i="6"/>
  <c r="AU411" i="6" s="1"/>
  <c r="AT411" i="6" s="1"/>
  <c r="L411" i="6" s="1"/>
  <c r="AV120" i="6"/>
  <c r="AU120" i="6" s="1"/>
  <c r="AT120" i="6" s="1"/>
  <c r="L120" i="6" s="1"/>
  <c r="AV397" i="6"/>
  <c r="AU397" i="6" s="1"/>
  <c r="AT397" i="6" s="1"/>
  <c r="L397" i="6" s="1"/>
  <c r="AV63" i="6"/>
  <c r="AU63" i="6" s="1"/>
  <c r="AT63" i="6" s="1"/>
  <c r="L63" i="6" s="1"/>
  <c r="AV54" i="6"/>
  <c r="AU54" i="6" s="1"/>
  <c r="AT54" i="6" s="1"/>
  <c r="L54" i="6" s="1"/>
  <c r="AV348" i="6"/>
  <c r="AU348" i="6" s="1"/>
  <c r="AT348" i="6" s="1"/>
  <c r="L348" i="6" s="1"/>
  <c r="AV271" i="6"/>
  <c r="AU271" i="6" s="1"/>
  <c r="AT271" i="6" s="1"/>
  <c r="L271" i="6" s="1"/>
  <c r="AV190" i="6"/>
  <c r="AU190" i="6" s="1"/>
  <c r="AT190" i="6" s="1"/>
  <c r="L190" i="6" s="1"/>
  <c r="AV334" i="6"/>
  <c r="AU334" i="6" s="1"/>
  <c r="AT334" i="6" s="1"/>
  <c r="L334" i="6" s="1"/>
  <c r="AV149" i="6"/>
  <c r="AU149" i="6" s="1"/>
  <c r="AT149" i="6" s="1"/>
  <c r="L149" i="6" s="1"/>
  <c r="AV249" i="6"/>
  <c r="AU249" i="6" s="1"/>
  <c r="AT249" i="6" s="1"/>
  <c r="L249" i="6" s="1"/>
  <c r="AV467" i="6"/>
  <c r="AU467" i="6" s="1"/>
  <c r="AT467" i="6" s="1"/>
  <c r="L467" i="6" s="1"/>
  <c r="AV123" i="6"/>
  <c r="AU123" i="6" s="1"/>
  <c r="AT123" i="6" s="1"/>
  <c r="L123" i="6" s="1"/>
  <c r="AV443" i="6"/>
  <c r="AU443" i="6" s="1"/>
  <c r="AT443" i="6" s="1"/>
  <c r="L443" i="6" s="1"/>
  <c r="AV352" i="6"/>
  <c r="AU352" i="6" s="1"/>
  <c r="AT352" i="6" s="1"/>
  <c r="L352" i="6" s="1"/>
  <c r="AV424" i="6"/>
  <c r="AU424" i="6" s="1"/>
  <c r="AT424" i="6" s="1"/>
  <c r="L424" i="6" s="1"/>
  <c r="AV77" i="6"/>
  <c r="AU77" i="6" s="1"/>
  <c r="AT77" i="6" s="1"/>
  <c r="L77" i="6" s="1"/>
  <c r="AV121" i="6"/>
  <c r="AU121" i="6" s="1"/>
  <c r="AT121" i="6" s="1"/>
  <c r="L121" i="6" s="1"/>
  <c r="AV223" i="6"/>
  <c r="AU223" i="6" s="1"/>
  <c r="AT223" i="6" s="1"/>
  <c r="L223" i="6" s="1"/>
  <c r="AV298" i="6"/>
  <c r="AU298" i="6" s="1"/>
  <c r="AT298" i="6" s="1"/>
  <c r="L298" i="6" s="1"/>
  <c r="AV462" i="6"/>
  <c r="AU462" i="6" s="1"/>
  <c r="AT462" i="6" s="1"/>
  <c r="L462" i="6" s="1"/>
  <c r="AV293" i="6"/>
  <c r="AU293" i="6" s="1"/>
  <c r="AT293" i="6" s="1"/>
  <c r="L293" i="6" s="1"/>
  <c r="AV201" i="6"/>
  <c r="AU201" i="6" s="1"/>
  <c r="AT201" i="6" s="1"/>
  <c r="L201" i="6" s="1"/>
  <c r="AV353" i="6"/>
  <c r="AU353" i="6" s="1"/>
  <c r="AT353" i="6" s="1"/>
  <c r="L353" i="6" s="1"/>
  <c r="AV466" i="6"/>
  <c r="AU466" i="6" s="1"/>
  <c r="AT466" i="6" s="1"/>
  <c r="L466" i="6" s="1"/>
  <c r="AV23" i="6"/>
  <c r="AU23" i="6" s="1"/>
  <c r="AT23" i="6" s="1"/>
  <c r="L23" i="6" s="1"/>
  <c r="AV34" i="6"/>
  <c r="AU34" i="6" s="1"/>
  <c r="AT34" i="6" s="1"/>
  <c r="L34" i="6" s="1"/>
  <c r="AV338" i="6"/>
  <c r="AU338" i="6" s="1"/>
  <c r="AT338" i="6" s="1"/>
  <c r="L338" i="6" s="1"/>
  <c r="AV160" i="6"/>
  <c r="AU160" i="6" s="1"/>
  <c r="AT160" i="6" s="1"/>
  <c r="L160" i="6" s="1"/>
  <c r="AV364" i="6"/>
  <c r="AU364" i="6" s="1"/>
  <c r="AT364" i="6" s="1"/>
  <c r="L364" i="6" s="1"/>
  <c r="AV159" i="6"/>
  <c r="AU159" i="6" s="1"/>
  <c r="AT159" i="6" s="1"/>
  <c r="L159" i="6" s="1"/>
  <c r="AV256" i="6"/>
  <c r="AU256" i="6" s="1"/>
  <c r="AT256" i="6" s="1"/>
  <c r="L256" i="6" s="1"/>
  <c r="AV453" i="6"/>
  <c r="AU453" i="6" s="1"/>
  <c r="AT453" i="6" s="1"/>
  <c r="L453" i="6" s="1"/>
  <c r="AV81" i="6"/>
  <c r="AU81" i="6" s="1"/>
  <c r="AT81" i="6" s="1"/>
  <c r="L81" i="6" s="1"/>
  <c r="AV206" i="6"/>
  <c r="AU206" i="6" s="1"/>
  <c r="AT206" i="6" s="1"/>
  <c r="L206" i="6" s="1"/>
  <c r="AV70" i="6"/>
  <c r="AU70" i="6" s="1"/>
  <c r="AT70" i="6" s="1"/>
  <c r="L70" i="6" s="1"/>
  <c r="AV158" i="6"/>
  <c r="AU158" i="6" s="1"/>
  <c r="AT158" i="6" s="1"/>
  <c r="L158" i="6" s="1"/>
  <c r="AV454" i="6"/>
  <c r="AU454" i="6" s="1"/>
  <c r="AT454" i="6" s="1"/>
  <c r="L454" i="6" s="1"/>
  <c r="AV29" i="6"/>
  <c r="AU29" i="6" s="1"/>
  <c r="AT29" i="6" s="1"/>
  <c r="L29" i="6" s="1"/>
  <c r="AV171" i="6"/>
  <c r="AU171" i="6" s="1"/>
  <c r="AT171" i="6" s="1"/>
  <c r="L171" i="6" s="1"/>
  <c r="AV399" i="6"/>
  <c r="AU399" i="6" s="1"/>
  <c r="AT399" i="6" s="1"/>
  <c r="L399" i="6" s="1"/>
  <c r="AV153" i="6"/>
  <c r="AU153" i="6" s="1"/>
  <c r="AT153" i="6" s="1"/>
  <c r="L153" i="6" s="1"/>
  <c r="AV285" i="6"/>
  <c r="AU285" i="6" s="1"/>
  <c r="AT285" i="6" s="1"/>
  <c r="L285" i="6" s="1"/>
  <c r="AV42" i="6"/>
  <c r="AU42" i="6" s="1"/>
  <c r="AT42" i="6" s="1"/>
  <c r="L42" i="6" s="1"/>
  <c r="AV167" i="6"/>
  <c r="AU167" i="6" s="1"/>
  <c r="AT167" i="6" s="1"/>
  <c r="L167" i="6" s="1"/>
  <c r="AV141" i="6"/>
  <c r="AU141" i="6" s="1"/>
  <c r="AT141" i="6" s="1"/>
  <c r="L141" i="6" s="1"/>
  <c r="AV388" i="6"/>
  <c r="AU388" i="6" s="1"/>
  <c r="AT388" i="6" s="1"/>
  <c r="L388" i="6" s="1"/>
  <c r="AV94" i="6"/>
  <c r="AU94" i="6" s="1"/>
  <c r="AT94" i="6" s="1"/>
  <c r="L94" i="6" s="1"/>
  <c r="AV226" i="6"/>
  <c r="AU226" i="6" s="1"/>
  <c r="AT226" i="6" s="1"/>
  <c r="L226" i="6" s="1"/>
  <c r="AV313" i="6"/>
  <c r="AU313" i="6" s="1"/>
  <c r="AT313" i="6" s="1"/>
  <c r="L313" i="6" s="1"/>
  <c r="AV325" i="6"/>
  <c r="AU325" i="6" s="1"/>
  <c r="AT325" i="6" s="1"/>
  <c r="L325" i="6" s="1"/>
  <c r="AV30" i="6"/>
  <c r="AU30" i="6" s="1"/>
  <c r="AT30" i="6" s="1"/>
  <c r="L30" i="6" s="1"/>
  <c r="AV373" i="6"/>
  <c r="AU373" i="6" s="1"/>
  <c r="AT373" i="6" s="1"/>
  <c r="L373" i="6" s="1"/>
  <c r="AV99" i="6"/>
  <c r="AU99" i="6" s="1"/>
  <c r="AT99" i="6" s="1"/>
  <c r="L99" i="6" s="1"/>
  <c r="AV328" i="6"/>
  <c r="AU328" i="6" s="1"/>
  <c r="AT328" i="6" s="1"/>
  <c r="L328" i="6" s="1"/>
  <c r="AV146" i="6"/>
  <c r="AU146" i="6" s="1"/>
  <c r="AT146" i="6" s="1"/>
  <c r="L146" i="6" s="1"/>
  <c r="AV331" i="6"/>
  <c r="AU331" i="6" s="1"/>
  <c r="AT331" i="6" s="1"/>
  <c r="L331" i="6" s="1"/>
  <c r="AV463" i="6"/>
  <c r="AU463" i="6" s="1"/>
  <c r="AT463" i="6" s="1"/>
  <c r="L463" i="6" s="1"/>
  <c r="AV102" i="6"/>
  <c r="AU102" i="6" s="1"/>
  <c r="AT102" i="6" s="1"/>
  <c r="L102" i="6" s="1"/>
  <c r="AV101" i="6"/>
  <c r="AU101" i="6" s="1"/>
  <c r="AT101" i="6" s="1"/>
  <c r="L101" i="6" s="1"/>
  <c r="AV69" i="6"/>
  <c r="AU69" i="6" s="1"/>
  <c r="AT69" i="6" s="1"/>
  <c r="L69" i="6" s="1"/>
  <c r="AV283" i="6"/>
  <c r="AU283" i="6" s="1"/>
  <c r="AT283" i="6" s="1"/>
  <c r="L283" i="6" s="1"/>
  <c r="AV143" i="6"/>
  <c r="AU143" i="6" s="1"/>
  <c r="AT143" i="6" s="1"/>
  <c r="L143" i="6" s="1"/>
  <c r="AV98" i="6"/>
  <c r="AU98" i="6" s="1"/>
  <c r="AT98" i="6" s="1"/>
  <c r="L98" i="6" s="1"/>
  <c r="AV269" i="6"/>
  <c r="AU269" i="6" s="1"/>
  <c r="AT269" i="6" s="1"/>
  <c r="L269" i="6" s="1"/>
  <c r="AV458" i="6"/>
  <c r="AU458" i="6" s="1"/>
  <c r="AT458" i="6" s="1"/>
  <c r="L458" i="6" s="1"/>
  <c r="AV87" i="6"/>
  <c r="AU87" i="6" s="1"/>
  <c r="AT87" i="6" s="1"/>
  <c r="L87" i="6" s="1"/>
  <c r="AV296" i="6"/>
  <c r="AU296" i="6" s="1"/>
  <c r="AT296" i="6" s="1"/>
  <c r="L296" i="6" s="1"/>
  <c r="AV165" i="6"/>
  <c r="AU165" i="6" s="1"/>
  <c r="AT165" i="6" s="1"/>
  <c r="L165" i="6" s="1"/>
  <c r="AV57" i="6"/>
  <c r="AU57" i="6" s="1"/>
  <c r="AT57" i="6" s="1"/>
  <c r="L57" i="6" s="1"/>
  <c r="AV202" i="6"/>
  <c r="AU202" i="6" s="1"/>
  <c r="AT202" i="6" s="1"/>
  <c r="L202" i="6" s="1"/>
  <c r="AV429" i="6"/>
  <c r="AU429" i="6" s="1"/>
  <c r="AT429" i="6" s="1"/>
  <c r="L429" i="6" s="1"/>
  <c r="AV84" i="6"/>
  <c r="AU84" i="6" s="1"/>
  <c r="AT84" i="6" s="1"/>
  <c r="L84" i="6" s="1"/>
  <c r="AV369" i="6"/>
  <c r="AU369" i="6" s="1"/>
  <c r="AT369" i="6" s="1"/>
  <c r="L369" i="6" s="1"/>
  <c r="AV163" i="6"/>
  <c r="AU163" i="6" s="1"/>
  <c r="AT163" i="6" s="1"/>
  <c r="L163" i="6" s="1"/>
  <c r="AV179" i="6"/>
  <c r="AU179" i="6" s="1"/>
  <c r="AT179" i="6" s="1"/>
  <c r="L179" i="6" s="1"/>
  <c r="AV322" i="6"/>
  <c r="AU322" i="6" s="1"/>
  <c r="AT322" i="6" s="1"/>
  <c r="L322" i="6" s="1"/>
  <c r="AV38" i="6"/>
  <c r="AU38" i="6" s="1"/>
  <c r="AT38" i="6" s="1"/>
  <c r="L38" i="6" s="1"/>
  <c r="AV174" i="6"/>
  <c r="AU174" i="6" s="1"/>
  <c r="AT174" i="6" s="1"/>
  <c r="L174" i="6" s="1"/>
  <c r="AV316" i="6"/>
  <c r="AU316" i="6" s="1"/>
  <c r="AT316" i="6" s="1"/>
  <c r="L316" i="6" s="1"/>
  <c r="AV175" i="6"/>
  <c r="AU175" i="6" s="1"/>
  <c r="AT175" i="6" s="1"/>
  <c r="L175" i="6" s="1"/>
  <c r="AV86" i="6"/>
  <c r="AU86" i="6" s="1"/>
  <c r="AT86" i="6" s="1"/>
  <c r="L86" i="6" s="1"/>
  <c r="AV37" i="6"/>
  <c r="AU37" i="6" s="1"/>
  <c r="AT37" i="6" s="1"/>
  <c r="L37" i="6" s="1"/>
  <c r="AV219" i="6"/>
  <c r="AU219" i="6" s="1"/>
  <c r="AT219" i="6" s="1"/>
  <c r="L219" i="6" s="1"/>
  <c r="AV341" i="6"/>
  <c r="AU341" i="6" s="1"/>
  <c r="AT341" i="6" s="1"/>
  <c r="L341" i="6" s="1"/>
  <c r="AV188" i="6"/>
  <c r="AU188" i="6" s="1"/>
  <c r="AT188" i="6" s="1"/>
  <c r="L188" i="6" s="1"/>
  <c r="AV137" i="6"/>
  <c r="AU137" i="6" s="1"/>
  <c r="AT137" i="6" s="1"/>
  <c r="L137" i="6" s="1"/>
  <c r="AV459" i="6"/>
  <c r="AU459" i="6" s="1"/>
  <c r="AT459" i="6" s="1"/>
  <c r="L459" i="6" s="1"/>
  <c r="AV276" i="6"/>
  <c r="AU276" i="6" s="1"/>
  <c r="AT276" i="6" s="1"/>
  <c r="L276" i="6" s="1"/>
  <c r="AV246" i="6"/>
  <c r="AU246" i="6" s="1"/>
  <c r="AT246" i="6" s="1"/>
  <c r="L246" i="6" s="1"/>
  <c r="AV383" i="6"/>
  <c r="AU383" i="6" s="1"/>
  <c r="AT383" i="6" s="1"/>
  <c r="L383" i="6" s="1"/>
  <c r="AV257" i="6"/>
  <c r="AU257" i="6" s="1"/>
  <c r="AT257" i="6" s="1"/>
  <c r="L257" i="6" s="1"/>
  <c r="AV426" i="6"/>
  <c r="AU426" i="6" s="1"/>
  <c r="AT426" i="6" s="1"/>
  <c r="L426" i="6" s="1"/>
  <c r="AV250" i="6"/>
  <c r="AU250" i="6" s="1"/>
  <c r="AT250" i="6" s="1"/>
  <c r="L250" i="6" s="1"/>
  <c r="AV284" i="6"/>
  <c r="AU284" i="6" s="1"/>
  <c r="AT284" i="6" s="1"/>
  <c r="L284" i="6" s="1"/>
  <c r="AV10" i="6"/>
  <c r="AU10" i="6" s="1"/>
  <c r="AT10" i="6" s="1"/>
  <c r="L10" i="6" s="1"/>
  <c r="AV194" i="6"/>
  <c r="AU194" i="6" s="1"/>
  <c r="AT194" i="6" s="1"/>
  <c r="L194" i="6" s="1"/>
  <c r="AV377" i="6"/>
  <c r="AU377" i="6" s="1"/>
  <c r="AT377" i="6" s="1"/>
  <c r="L377" i="6" s="1"/>
  <c r="AV132" i="6"/>
  <c r="AU132" i="6" s="1"/>
  <c r="AT132" i="6" s="1"/>
  <c r="L132" i="6" s="1"/>
  <c r="AV166" i="6"/>
  <c r="AU166" i="6" s="1"/>
  <c r="AT166" i="6" s="1"/>
  <c r="L166" i="6" s="1"/>
  <c r="AV108" i="6"/>
  <c r="AU108" i="6" s="1"/>
  <c r="AT108" i="6" s="1"/>
  <c r="L108" i="6" s="1"/>
  <c r="AV382" i="6"/>
  <c r="AU382" i="6" s="1"/>
  <c r="AT382" i="6" s="1"/>
  <c r="L382" i="6" s="1"/>
  <c r="AV96" i="6"/>
  <c r="AU96" i="6" s="1"/>
  <c r="AT96" i="6" s="1"/>
  <c r="L96" i="6" s="1"/>
  <c r="AV211" i="6"/>
  <c r="AU211" i="6" s="1"/>
  <c r="AT211" i="6" s="1"/>
  <c r="L211" i="6" s="1"/>
  <c r="AV122" i="6"/>
  <c r="AU122" i="6" s="1"/>
  <c r="AT122" i="6" s="1"/>
  <c r="L122" i="6" s="1"/>
  <c r="AV335" i="6"/>
  <c r="AU335" i="6" s="1"/>
  <c r="AT335" i="6" s="1"/>
  <c r="L335" i="6" s="1"/>
  <c r="AV78" i="6"/>
  <c r="AU78" i="6" s="1"/>
  <c r="AT78" i="6" s="1"/>
  <c r="L78" i="6" s="1"/>
  <c r="AV178" i="6"/>
  <c r="AU178" i="6" s="1"/>
  <c r="AT178" i="6" s="1"/>
  <c r="L178" i="6" s="1"/>
  <c r="AV461" i="6"/>
  <c r="AU461" i="6" s="1"/>
  <c r="AT461" i="6" s="1"/>
  <c r="L461" i="6" s="1"/>
  <c r="AV444" i="6"/>
  <c r="AU444" i="6" s="1"/>
  <c r="AT444" i="6" s="1"/>
  <c r="L444" i="6" s="1"/>
  <c r="AV196" i="6"/>
  <c r="AU196" i="6" s="1"/>
  <c r="AT196" i="6" s="1"/>
  <c r="L196" i="6" s="1"/>
  <c r="AV282" i="6"/>
  <c r="AU282" i="6" s="1"/>
  <c r="AT282" i="6" s="1"/>
  <c r="L282" i="6" s="1"/>
  <c r="AV266" i="6"/>
  <c r="AU266" i="6" s="1"/>
  <c r="AT266" i="6" s="1"/>
  <c r="L266" i="6" s="1"/>
  <c r="AV420" i="6"/>
  <c r="AU420" i="6" s="1"/>
  <c r="AT420" i="6" s="1"/>
  <c r="L420" i="6" s="1"/>
  <c r="AV138" i="6"/>
  <c r="AU138" i="6" s="1"/>
  <c r="AT138" i="6" s="1"/>
  <c r="L138" i="6" s="1"/>
  <c r="AV40" i="6"/>
  <c r="AU40" i="6" s="1"/>
  <c r="AT40" i="6" s="1"/>
  <c r="L40" i="6" s="1"/>
  <c r="AV58" i="6"/>
  <c r="AU58" i="6" s="1"/>
  <c r="AT58" i="6" s="1"/>
  <c r="L58" i="6" s="1"/>
  <c r="AV438" i="6"/>
  <c r="AU438" i="6" s="1"/>
  <c r="AT438" i="6" s="1"/>
  <c r="L438" i="6" s="1"/>
  <c r="AV375" i="6"/>
  <c r="AU375" i="6" s="1"/>
  <c r="AT375" i="6" s="1"/>
  <c r="L375" i="6" s="1"/>
  <c r="AV164" i="6"/>
  <c r="AU164" i="6" s="1"/>
  <c r="AT164" i="6" s="1"/>
  <c r="L164" i="6" s="1"/>
  <c r="AV110" i="6"/>
  <c r="AU110" i="6" s="1"/>
  <c r="AT110" i="6" s="1"/>
  <c r="L110" i="6" s="1"/>
  <c r="AV24" i="6"/>
  <c r="AU24" i="6" s="1"/>
  <c r="AT24" i="6" s="1"/>
  <c r="L24" i="6" s="1"/>
  <c r="AV258" i="6"/>
  <c r="AU258" i="6" s="1"/>
  <c r="AT258" i="6" s="1"/>
  <c r="L258" i="6" s="1"/>
  <c r="AV90" i="6"/>
  <c r="AU90" i="6" s="1"/>
  <c r="AT90" i="6" s="1"/>
  <c r="L90" i="6" s="1"/>
  <c r="AV32" i="6"/>
  <c r="AU32" i="6" s="1"/>
  <c r="AT32" i="6" s="1"/>
  <c r="L32" i="6" s="1"/>
  <c r="AV210" i="6"/>
  <c r="AU210" i="6" s="1"/>
  <c r="AT210" i="6" s="1"/>
  <c r="L210" i="6" s="1"/>
  <c r="AV197" i="6"/>
  <c r="AU197" i="6" s="1"/>
  <c r="AT197" i="6" s="1"/>
  <c r="L197" i="6" s="1"/>
  <c r="AV286" i="6"/>
  <c r="AU286" i="6" s="1"/>
  <c r="AT286" i="6" s="1"/>
  <c r="L286" i="6" s="1"/>
  <c r="AV221" i="6"/>
  <c r="AU221" i="6" s="1"/>
  <c r="AT221" i="6" s="1"/>
  <c r="L221" i="6" s="1"/>
  <c r="AV126" i="6"/>
  <c r="AU126" i="6" s="1"/>
  <c r="AT126" i="6" s="1"/>
  <c r="L126" i="6" s="1"/>
  <c r="AV14" i="6"/>
  <c r="AU14" i="6" s="1"/>
  <c r="AT14" i="6" s="1"/>
  <c r="L14" i="6" s="1"/>
  <c r="AV430" i="6"/>
  <c r="AU430" i="6" s="1"/>
  <c r="AT430" i="6" s="1"/>
  <c r="L430" i="6" s="1"/>
  <c r="AV254" i="6"/>
  <c r="AU254" i="6" s="1"/>
  <c r="AT254" i="6" s="1"/>
  <c r="L254" i="6" s="1"/>
  <c r="AV275" i="6"/>
  <c r="AU275" i="6" s="1"/>
  <c r="AT275" i="6" s="1"/>
  <c r="L275" i="6" s="1"/>
  <c r="AV329" i="6"/>
  <c r="AU329" i="6" s="1"/>
  <c r="AT329" i="6" s="1"/>
  <c r="L329" i="6" s="1"/>
  <c r="AV155" i="6"/>
  <c r="AU155" i="6" s="1"/>
  <c r="AT155" i="6" s="1"/>
  <c r="L155" i="6" s="1"/>
  <c r="AV301" i="6"/>
  <c r="AU301" i="6" s="1"/>
  <c r="AT301" i="6" s="1"/>
  <c r="L301" i="6" s="1"/>
  <c r="AV185" i="6"/>
  <c r="AU185" i="6" s="1"/>
  <c r="AT185" i="6" s="1"/>
  <c r="L185" i="6" s="1"/>
  <c r="AV402" i="6"/>
  <c r="AU402" i="6" s="1"/>
  <c r="AT402" i="6" s="1"/>
  <c r="L402" i="6" s="1"/>
  <c r="AV93" i="6"/>
  <c r="AU93" i="6" s="1"/>
  <c r="AT93" i="6" s="1"/>
  <c r="L93" i="6" s="1"/>
  <c r="AV214" i="6"/>
  <c r="AU214" i="6" s="1"/>
  <c r="AT214" i="6" s="1"/>
  <c r="L214" i="6" s="1"/>
  <c r="AV183" i="6"/>
  <c r="AU183" i="6" s="1"/>
  <c r="AT183" i="6" s="1"/>
  <c r="L183" i="6" s="1"/>
  <c r="AV13" i="6"/>
  <c r="AU13" i="6" s="1"/>
  <c r="AT13" i="6" s="1"/>
  <c r="L13" i="6" s="1"/>
  <c r="AV372" i="6"/>
  <c r="AU372" i="6" s="1"/>
  <c r="AT372" i="6" s="1"/>
  <c r="L372" i="6" s="1"/>
  <c r="AV233" i="6"/>
  <c r="AU233" i="6" s="1"/>
  <c r="AT233" i="6" s="1"/>
  <c r="L233" i="6" s="1"/>
  <c r="AV64" i="6"/>
  <c r="AU64" i="6" s="1"/>
  <c r="AT64" i="6" s="1"/>
  <c r="L64" i="6" s="1"/>
  <c r="AV200" i="6"/>
  <c r="AU200" i="6" s="1"/>
  <c r="AT200" i="6" s="1"/>
  <c r="L200" i="6" s="1"/>
  <c r="AV300" i="6"/>
  <c r="AU300" i="6" s="1"/>
  <c r="AT300" i="6" s="1"/>
  <c r="L300" i="6" s="1"/>
  <c r="AV387" i="6"/>
  <c r="AU387" i="6" s="1"/>
  <c r="AT387" i="6" s="1"/>
  <c r="L387" i="6" s="1"/>
  <c r="AV136" i="6"/>
  <c r="AU136" i="6" s="1"/>
  <c r="AT136" i="6" s="1"/>
  <c r="L136" i="6" s="1"/>
  <c r="AV333" i="6"/>
  <c r="AU333" i="6" s="1"/>
  <c r="AT333" i="6" s="1"/>
  <c r="L333" i="6" s="1"/>
  <c r="AV79" i="6"/>
  <c r="AU79" i="6" s="1"/>
  <c r="AT79" i="6" s="1"/>
  <c r="L79" i="6" s="1"/>
  <c r="AV207" i="6"/>
  <c r="AU207" i="6" s="1"/>
  <c r="AT207" i="6" s="1"/>
  <c r="L207" i="6" s="1"/>
  <c r="AV264" i="6"/>
  <c r="AU264" i="6" s="1"/>
  <c r="AT264" i="6" s="1"/>
  <c r="L264" i="6" s="1"/>
  <c r="AV26" i="6"/>
  <c r="AU26" i="6" s="1"/>
  <c r="AT26" i="6" s="1"/>
  <c r="L26" i="6" s="1"/>
  <c r="AV400" i="6"/>
  <c r="AU400" i="6" s="1"/>
  <c r="AT400" i="6" s="1"/>
  <c r="L400" i="6" s="1"/>
  <c r="AV404" i="6"/>
  <c r="AU404" i="6" s="1"/>
  <c r="AT404" i="6" s="1"/>
  <c r="L404" i="6" s="1"/>
  <c r="AV267" i="6"/>
  <c r="AU267" i="6" s="1"/>
  <c r="AT267" i="6" s="1"/>
  <c r="L267" i="6" s="1"/>
  <c r="AV109" i="6"/>
  <c r="AU109" i="6" s="1"/>
  <c r="AT109" i="6" s="1"/>
  <c r="L109" i="6" s="1"/>
  <c r="AV371" i="6"/>
  <c r="AU371" i="6" s="1"/>
  <c r="AT371" i="6" s="1"/>
  <c r="L371" i="6" s="1"/>
  <c r="AV389" i="6"/>
  <c r="AU389" i="6" s="1"/>
  <c r="AT389" i="6" s="1"/>
  <c r="L389" i="6" s="1"/>
  <c r="AV306" i="6"/>
  <c r="AU306" i="6" s="1"/>
  <c r="AT306" i="6" s="1"/>
  <c r="L306" i="6" s="1"/>
  <c r="AV330" i="6"/>
  <c r="AU330" i="6" s="1"/>
  <c r="AT330" i="6" s="1"/>
  <c r="L330" i="6" s="1"/>
  <c r="AV73" i="6"/>
  <c r="AU73" i="6" s="1"/>
  <c r="AT73" i="6" s="1"/>
  <c r="L73" i="6" s="1"/>
  <c r="AV413" i="6"/>
  <c r="AU413" i="6" s="1"/>
  <c r="AT413" i="6" s="1"/>
  <c r="L413" i="6" s="1"/>
  <c r="AV297" i="6"/>
  <c r="AU297" i="6" s="1"/>
  <c r="AT297" i="6" s="1"/>
  <c r="L297" i="6" s="1"/>
  <c r="AV124" i="6"/>
  <c r="AU124" i="6" s="1"/>
  <c r="AT124" i="6" s="1"/>
  <c r="L124" i="6" s="1"/>
  <c r="AV410" i="6"/>
  <c r="AU410" i="6" s="1"/>
  <c r="AT410" i="6" s="1"/>
  <c r="L410" i="6" s="1"/>
  <c r="AV16" i="6"/>
  <c r="AU16" i="6" s="1"/>
  <c r="AT16" i="6" s="1"/>
  <c r="L16" i="6" s="1"/>
  <c r="AV216" i="6"/>
  <c r="AU216" i="6" s="1"/>
  <c r="AT216" i="6" s="1"/>
  <c r="L216" i="6" s="1"/>
  <c r="AV215" i="6"/>
  <c r="AU215" i="6" s="1"/>
  <c r="AT215" i="6" s="1"/>
  <c r="L215" i="6" s="1"/>
  <c r="AV20" i="6"/>
  <c r="AU20" i="6" s="1"/>
  <c r="AT20" i="6" s="1"/>
  <c r="L20" i="6" s="1"/>
  <c r="AV168" i="6"/>
  <c r="AU168" i="6" s="1"/>
  <c r="AT168" i="6" s="1"/>
  <c r="L168" i="6" s="1"/>
  <c r="AV147" i="6"/>
  <c r="AU147" i="6" s="1"/>
  <c r="AT147" i="6" s="1"/>
  <c r="L147" i="6" s="1"/>
  <c r="AV435" i="6"/>
  <c r="AU435" i="6" s="1"/>
  <c r="AT435" i="6" s="1"/>
  <c r="L435" i="6" s="1"/>
  <c r="AV91" i="6"/>
  <c r="AU91" i="6" s="1"/>
  <c r="AT91" i="6" s="1"/>
  <c r="L91" i="6" s="1"/>
  <c r="AV346" i="6"/>
  <c r="AU346" i="6" s="1"/>
  <c r="AT346" i="6" s="1"/>
  <c r="L346" i="6" s="1"/>
  <c r="AV447" i="6"/>
  <c r="AU447" i="6" s="1"/>
  <c r="AT447" i="6" s="1"/>
  <c r="L447" i="6" s="1"/>
  <c r="AV177" i="6"/>
  <c r="AU177" i="6" s="1"/>
  <c r="AT177" i="6" s="1"/>
  <c r="L177" i="6" s="1"/>
  <c r="AV253" i="6"/>
  <c r="AU253" i="6" s="1"/>
  <c r="AT253" i="6" s="1"/>
  <c r="L253" i="6" s="1"/>
  <c r="AV180" i="6"/>
  <c r="AU180" i="6" s="1"/>
  <c r="AT180" i="6" s="1"/>
  <c r="L180" i="6" s="1"/>
  <c r="AV46" i="6"/>
  <c r="AU46" i="6" s="1"/>
  <c r="AT46" i="6" s="1"/>
  <c r="L46" i="6" s="1"/>
  <c r="AV243" i="6"/>
  <c r="AU243" i="6" s="1"/>
  <c r="AT243" i="6" s="1"/>
  <c r="L243" i="6" s="1"/>
  <c r="AV437" i="6"/>
  <c r="AU437" i="6" s="1"/>
  <c r="AT437" i="6" s="1"/>
  <c r="L437" i="6" s="1"/>
  <c r="AV347" i="6"/>
  <c r="AU347" i="6" s="1"/>
  <c r="AT347" i="6" s="1"/>
  <c r="L347" i="6" s="1"/>
  <c r="AV260" i="6"/>
  <c r="AU260" i="6" s="1"/>
  <c r="AT260" i="6" s="1"/>
  <c r="L260" i="6" s="1"/>
  <c r="AV27" i="6"/>
  <c r="AU27" i="6" s="1"/>
  <c r="AT27" i="6" s="1"/>
  <c r="L27" i="6" s="1"/>
  <c r="AV15" i="6"/>
  <c r="AU15" i="6" s="1"/>
  <c r="AT15" i="6" s="1"/>
  <c r="L15" i="6" s="1"/>
  <c r="AV45" i="6"/>
  <c r="AU45" i="6" s="1"/>
  <c r="AT45" i="6" s="1"/>
  <c r="L45" i="6" s="1"/>
  <c r="AV139" i="6"/>
  <c r="AU139" i="6" s="1"/>
  <c r="AT139" i="6" s="1"/>
  <c r="L139" i="6" s="1"/>
  <c r="AV469" i="6"/>
  <c r="AU469" i="6" s="1"/>
  <c r="AT469" i="6" s="1"/>
  <c r="AV151" i="6"/>
  <c r="AU151" i="6" s="1"/>
  <c r="AT151" i="6" s="1"/>
  <c r="L151" i="6" s="1"/>
  <c r="AV244" i="6"/>
  <c r="AU244" i="6" s="1"/>
  <c r="AT244" i="6" s="1"/>
  <c r="L244" i="6" s="1"/>
  <c r="AV321" i="6"/>
  <c r="AU321" i="6" s="1"/>
  <c r="AT321" i="6" s="1"/>
  <c r="L321" i="6" s="1"/>
  <c r="AV394" i="6"/>
  <c r="AU394" i="6" s="1"/>
  <c r="AT394" i="6" s="1"/>
  <c r="L394" i="6" s="1"/>
  <c r="AV452" i="6"/>
  <c r="AU452" i="6" s="1"/>
  <c r="AT452" i="6" s="1"/>
  <c r="L452" i="6" s="1"/>
  <c r="AV280" i="6"/>
  <c r="AU280" i="6" s="1"/>
  <c r="AT280" i="6" s="1"/>
  <c r="L280" i="6" s="1"/>
  <c r="AV25" i="6"/>
  <c r="AU25" i="6" s="1"/>
  <c r="AT25" i="6" s="1"/>
  <c r="L25" i="6" s="1"/>
  <c r="AV227" i="6"/>
  <c r="AU227" i="6" s="1"/>
  <c r="AT227" i="6" s="1"/>
  <c r="L227" i="6" s="1"/>
  <c r="AV468" i="6"/>
  <c r="AU468" i="6" s="1"/>
  <c r="AT468" i="6" s="1"/>
  <c r="L468" i="6" s="1"/>
  <c r="AV184" i="6"/>
  <c r="AU184" i="6" s="1"/>
  <c r="AT184" i="6" s="1"/>
  <c r="L184" i="6" s="1"/>
  <c r="AV65" i="6"/>
  <c r="AU65" i="6" s="1"/>
  <c r="AT65" i="6" s="1"/>
  <c r="L65" i="6" s="1"/>
  <c r="AV245" i="6"/>
  <c r="AU245" i="6" s="1"/>
  <c r="AT245" i="6" s="1"/>
  <c r="L245" i="6" s="1"/>
  <c r="AV181" i="6"/>
  <c r="AU181" i="6" s="1"/>
  <c r="AT181" i="6" s="1"/>
  <c r="L181" i="6" s="1"/>
  <c r="AV50" i="6"/>
  <c r="AU50" i="6" s="1"/>
  <c r="AT50" i="6" s="1"/>
  <c r="L50" i="6" s="1"/>
  <c r="AV240" i="6"/>
  <c r="AU240" i="6" s="1"/>
  <c r="AT240" i="6" s="1"/>
  <c r="L240" i="6" s="1"/>
  <c r="AV414" i="6"/>
  <c r="AU414" i="6" s="1"/>
  <c r="AT414" i="6" s="1"/>
  <c r="L414" i="6" s="1"/>
  <c r="AV318" i="6"/>
  <c r="AU318" i="6" s="1"/>
  <c r="AT318" i="6" s="1"/>
  <c r="L318" i="6" s="1"/>
  <c r="AV118" i="6"/>
  <c r="AU118" i="6" s="1"/>
  <c r="AT118" i="6" s="1"/>
  <c r="L118" i="6" s="1"/>
  <c r="AV251" i="6"/>
  <c r="AU251" i="6" s="1"/>
  <c r="AT251" i="6" s="1"/>
  <c r="L251" i="6" s="1"/>
  <c r="AV446" i="6"/>
  <c r="AU446" i="6" s="1"/>
  <c r="AT446" i="6" s="1"/>
  <c r="L446" i="6" s="1"/>
  <c r="AV323" i="6"/>
  <c r="AU323" i="6" s="1"/>
  <c r="AT323" i="6" s="1"/>
  <c r="L323" i="6" s="1"/>
  <c r="AV288" i="6"/>
  <c r="AU288" i="6" s="1"/>
  <c r="AT288" i="6" s="1"/>
  <c r="L288" i="6" s="1"/>
  <c r="AV140" i="6"/>
  <c r="AU140" i="6" s="1"/>
  <c r="AT140" i="6" s="1"/>
  <c r="L140" i="6" s="1"/>
  <c r="AV83" i="6"/>
  <c r="AU83" i="6" s="1"/>
  <c r="AT83" i="6" s="1"/>
  <c r="L83" i="6" s="1"/>
  <c r="AV354" i="6"/>
  <c r="AU354" i="6" s="1"/>
  <c r="AT354" i="6" s="1"/>
  <c r="L354" i="6" s="1"/>
  <c r="AV287" i="6"/>
  <c r="AU287" i="6" s="1"/>
  <c r="AT287" i="6" s="1"/>
  <c r="L287" i="6" s="1"/>
  <c r="AV320" i="6"/>
  <c r="AU320" i="6" s="1"/>
  <c r="AT320" i="6" s="1"/>
  <c r="L320" i="6" s="1"/>
  <c r="AV457" i="6"/>
  <c r="AU457" i="6" s="1"/>
  <c r="AT457" i="6" s="1"/>
  <c r="L457" i="6" s="1"/>
  <c r="AV310" i="6"/>
  <c r="AU310" i="6" s="1"/>
  <c r="AT310" i="6" s="1"/>
  <c r="L310" i="6" s="1"/>
  <c r="AV451" i="6"/>
  <c r="AU451" i="6" s="1"/>
  <c r="AT451" i="6" s="1"/>
  <c r="L451" i="6" s="1"/>
  <c r="AV75" i="6"/>
  <c r="AU75" i="6" s="1"/>
  <c r="AT75" i="6" s="1"/>
  <c r="L75" i="6" s="1"/>
  <c r="AV419" i="6"/>
  <c r="AU419" i="6" s="1"/>
  <c r="AT419" i="6" s="1"/>
  <c r="L419" i="6" s="1"/>
  <c r="AV362" i="6"/>
  <c r="AU362" i="6" s="1"/>
  <c r="AT362" i="6" s="1"/>
  <c r="L362" i="6" s="1"/>
  <c r="AV262" i="6"/>
  <c r="AU262" i="6" s="1"/>
  <c r="AT262" i="6" s="1"/>
  <c r="L262" i="6" s="1"/>
  <c r="AV106" i="6"/>
  <c r="AU106" i="6" s="1"/>
  <c r="AT106" i="6" s="1"/>
  <c r="L106" i="6" s="1"/>
  <c r="AV355" i="6"/>
  <c r="AU355" i="6" s="1"/>
  <c r="AT355" i="6" s="1"/>
  <c r="L355" i="6" s="1"/>
  <c r="AV278" i="6"/>
  <c r="AU278" i="6" s="1"/>
  <c r="AT278" i="6" s="1"/>
  <c r="L278" i="6" s="1"/>
  <c r="AV148" i="6"/>
  <c r="AU148" i="6" s="1"/>
  <c r="AT148" i="6" s="1"/>
  <c r="L148" i="6" s="1"/>
  <c r="AV294" i="6"/>
  <c r="AU294" i="6" s="1"/>
  <c r="AT294" i="6" s="1"/>
  <c r="L294" i="6" s="1"/>
  <c r="AV88" i="6"/>
  <c r="AU88" i="6" s="1"/>
  <c r="AT88" i="6" s="1"/>
  <c r="L88" i="6" s="1"/>
  <c r="AV401" i="6"/>
  <c r="AU401" i="6" s="1"/>
  <c r="AT401" i="6" s="1"/>
  <c r="L401" i="6" s="1"/>
  <c r="AV356" i="6"/>
  <c r="AU356" i="6" s="1"/>
  <c r="AT356" i="6" s="1"/>
  <c r="L356" i="6" s="1"/>
  <c r="AV195" i="6"/>
  <c r="AU195" i="6" s="1"/>
  <c r="AT195" i="6" s="1"/>
  <c r="L195" i="6" s="1"/>
  <c r="AV390" i="6"/>
  <c r="AU390" i="6" s="1"/>
  <c r="AT390" i="6" s="1"/>
  <c r="L390" i="6" s="1"/>
  <c r="AV370" i="6"/>
  <c r="AU370" i="6" s="1"/>
  <c r="AT370" i="6" s="1"/>
  <c r="L370" i="6" s="1"/>
  <c r="AV162" i="6"/>
  <c r="AU162" i="6" s="1"/>
  <c r="AT162" i="6" s="1"/>
  <c r="L162" i="6" s="1"/>
  <c r="AV368" i="6"/>
  <c r="AU368" i="6" s="1"/>
  <c r="AT368" i="6" s="1"/>
  <c r="L368" i="6" s="1"/>
  <c r="AV89" i="6"/>
  <c r="AU89" i="6" s="1"/>
  <c r="AT89" i="6" s="1"/>
  <c r="L89" i="6" s="1"/>
  <c r="AV376" i="6"/>
  <c r="AU376" i="6" s="1"/>
  <c r="AT376" i="6" s="1"/>
  <c r="L376" i="6" s="1"/>
  <c r="AV144" i="6"/>
  <c r="AU144" i="6" s="1"/>
  <c r="AT144" i="6" s="1"/>
  <c r="L144" i="6" s="1"/>
  <c r="AV248" i="6"/>
  <c r="AU248" i="6" s="1"/>
  <c r="AT248" i="6" s="1"/>
  <c r="L248" i="6" s="1"/>
  <c r="AV74" i="6"/>
  <c r="AU74" i="6" s="1"/>
  <c r="AT74" i="6" s="1"/>
  <c r="L74" i="6" s="1"/>
  <c r="AV366" i="6"/>
  <c r="AU366" i="6" s="1"/>
  <c r="AT366" i="6" s="1"/>
  <c r="L366" i="6" s="1"/>
  <c r="AV418" i="6"/>
  <c r="AU418" i="6" s="1"/>
  <c r="AT418" i="6" s="1"/>
  <c r="L418" i="6" s="1"/>
  <c r="AV281" i="6"/>
  <c r="AU281" i="6" s="1"/>
  <c r="AT281" i="6" s="1"/>
  <c r="L281" i="6" s="1"/>
  <c r="AV100" i="6"/>
  <c r="AU100" i="6" s="1"/>
  <c r="AT100" i="6" s="1"/>
  <c r="L100" i="6" s="1"/>
  <c r="AV217" i="6"/>
  <c r="AU217" i="6" s="1"/>
  <c r="AT217" i="6" s="1"/>
  <c r="L217" i="6" s="1"/>
  <c r="AV117" i="6"/>
  <c r="AU117" i="6" s="1"/>
  <c r="AT117" i="6" s="1"/>
  <c r="L117" i="6" s="1"/>
  <c r="AV157" i="6"/>
  <c r="AU157" i="6" s="1"/>
  <c r="AT157" i="6" s="1"/>
  <c r="L157" i="6" s="1"/>
  <c r="AV378" i="6"/>
  <c r="AU378" i="6" s="1"/>
  <c r="AT378" i="6" s="1"/>
  <c r="L378" i="6" s="1"/>
  <c r="AV319" i="6"/>
  <c r="AU319" i="6" s="1"/>
  <c r="AT319" i="6" s="1"/>
  <c r="L319" i="6" s="1"/>
  <c r="AV125" i="6"/>
  <c r="AU125" i="6" s="1"/>
  <c r="AT125" i="6" s="1"/>
  <c r="L125" i="6" s="1"/>
  <c r="AV380" i="6"/>
  <c r="AU380" i="6" s="1"/>
  <c r="AT380" i="6" s="1"/>
  <c r="L380" i="6" s="1"/>
  <c r="AV336" i="6"/>
  <c r="AU336" i="6" s="1"/>
  <c r="AT336" i="6" s="1"/>
  <c r="L336" i="6" s="1"/>
  <c r="AV381" i="6"/>
  <c r="AU381" i="6" s="1"/>
  <c r="AT381" i="6" s="1"/>
  <c r="L381" i="6" s="1"/>
  <c r="AV417" i="6"/>
  <c r="AU417" i="6" s="1"/>
  <c r="AT417" i="6" s="1"/>
  <c r="L417" i="6" s="1"/>
  <c r="AV131" i="6"/>
  <c r="AU131" i="6" s="1"/>
  <c r="AT131" i="6" s="1"/>
  <c r="L131" i="6" s="1"/>
  <c r="AV19" i="6"/>
  <c r="AU19" i="6" s="1"/>
  <c r="AT19" i="6" s="1"/>
  <c r="L19" i="6" s="1"/>
  <c r="AV21" i="6"/>
  <c r="AU21" i="6" s="1"/>
  <c r="AT21" i="6" s="1"/>
  <c r="L21" i="6" s="1"/>
  <c r="AV339" i="6"/>
  <c r="AU339" i="6" s="1"/>
  <c r="AT339" i="6" s="1"/>
  <c r="L339" i="6" s="1"/>
  <c r="AV47" i="6"/>
  <c r="AU47" i="6" s="1"/>
  <c r="AT47" i="6" s="1"/>
  <c r="L47" i="6" s="1"/>
  <c r="AV273" i="6"/>
  <c r="AU273" i="6" s="1"/>
  <c r="AT273" i="6" s="1"/>
  <c r="L273" i="6" s="1"/>
  <c r="AV142" i="6"/>
  <c r="AU142" i="6" s="1"/>
  <c r="AT142" i="6" s="1"/>
  <c r="L142" i="6" s="1"/>
  <c r="AV302" i="6"/>
  <c r="AU302" i="6" s="1"/>
  <c r="AT302" i="6" s="1"/>
  <c r="L302" i="6" s="1"/>
  <c r="AV232" i="6"/>
  <c r="AU232" i="6" s="1"/>
  <c r="AT232" i="6" s="1"/>
  <c r="L232" i="6" s="1"/>
  <c r="AV105" i="6"/>
  <c r="AU105" i="6" s="1"/>
  <c r="AT105" i="6" s="1"/>
  <c r="L105" i="6" s="1"/>
  <c r="AV111" i="6"/>
  <c r="AU111" i="6" s="1"/>
  <c r="AT111" i="6" s="1"/>
  <c r="L111" i="6" s="1"/>
  <c r="AV95" i="6"/>
  <c r="AU95" i="6" s="1"/>
  <c r="AT95" i="6" s="1"/>
  <c r="L95" i="6" s="1"/>
  <c r="AV432" i="6"/>
  <c r="AU432" i="6" s="1"/>
  <c r="AT432" i="6" s="1"/>
  <c r="L432" i="6" s="1"/>
  <c r="AV415" i="6"/>
  <c r="AU415" i="6" s="1"/>
  <c r="AT415" i="6" s="1"/>
  <c r="L415" i="6" s="1"/>
  <c r="AV128" i="6"/>
  <c r="AU128" i="6" s="1"/>
  <c r="AT128" i="6" s="1"/>
  <c r="L128" i="6" s="1"/>
  <c r="AV441" i="6"/>
  <c r="AU441" i="6" s="1"/>
  <c r="AT441" i="6" s="1"/>
  <c r="L441" i="6" s="1"/>
  <c r="AV464" i="6"/>
  <c r="AU464" i="6" s="1"/>
  <c r="AT464" i="6" s="1"/>
  <c r="L464" i="6" s="1"/>
  <c r="AV220" i="6"/>
  <c r="AU220" i="6" s="1"/>
  <c r="AT220" i="6" s="1"/>
  <c r="L220" i="6" s="1"/>
  <c r="AV405" i="6"/>
  <c r="AU405" i="6" s="1"/>
  <c r="AT405" i="6" s="1"/>
  <c r="L405" i="6" s="1"/>
  <c r="AV363" i="6"/>
  <c r="AU363" i="6" s="1"/>
  <c r="AT363" i="6" s="1"/>
  <c r="L363" i="6" s="1"/>
  <c r="AV421" i="6"/>
  <c r="AU421" i="6" s="1"/>
  <c r="AT421" i="6" s="1"/>
  <c r="L421" i="6" s="1"/>
  <c r="AV161" i="6"/>
  <c r="AU161" i="6" s="1"/>
  <c r="AT161" i="6" s="1"/>
  <c r="L161" i="6" s="1"/>
  <c r="AV456" i="6"/>
  <c r="AU456" i="6" s="1"/>
  <c r="AT456" i="6" s="1"/>
  <c r="L456" i="6" s="1"/>
  <c r="A11" i="10"/>
  <c r="BD446" i="6"/>
  <c r="BC446" i="6" s="1"/>
  <c r="BB446" i="6" s="1"/>
  <c r="O446" i="6" s="1"/>
  <c r="BD421" i="6"/>
  <c r="BC421" i="6" s="1"/>
  <c r="BB421" i="6" s="1"/>
  <c r="O421" i="6" s="1"/>
  <c r="BD409" i="6"/>
  <c r="BC409" i="6" s="1"/>
  <c r="BB409" i="6" s="1"/>
  <c r="O409" i="6" s="1"/>
  <c r="BD405" i="6"/>
  <c r="BC405" i="6" s="1"/>
  <c r="BB405" i="6" s="1"/>
  <c r="O405" i="6" s="1"/>
  <c r="BD368" i="6"/>
  <c r="BC368" i="6" s="1"/>
  <c r="BB368" i="6" s="1"/>
  <c r="O368" i="6" s="1"/>
  <c r="BD347" i="6"/>
  <c r="BC347" i="6" s="1"/>
  <c r="BB347" i="6" s="1"/>
  <c r="O347" i="6" s="1"/>
  <c r="BD316" i="6"/>
  <c r="BC316" i="6" s="1"/>
  <c r="BB316" i="6" s="1"/>
  <c r="O316" i="6" s="1"/>
  <c r="BD314" i="6"/>
  <c r="BC314" i="6" s="1"/>
  <c r="BB314" i="6" s="1"/>
  <c r="O314" i="6" s="1"/>
  <c r="BD289" i="6"/>
  <c r="BC289" i="6" s="1"/>
  <c r="BB289" i="6" s="1"/>
  <c r="O289" i="6" s="1"/>
  <c r="BD279" i="6"/>
  <c r="BC279" i="6" s="1"/>
  <c r="BB279" i="6" s="1"/>
  <c r="O279" i="6" s="1"/>
  <c r="BD263" i="6"/>
  <c r="BC263" i="6" s="1"/>
  <c r="BB263" i="6" s="1"/>
  <c r="O263" i="6" s="1"/>
  <c r="BD228" i="6"/>
  <c r="BC228" i="6" s="1"/>
  <c r="BB228" i="6" s="1"/>
  <c r="O228" i="6" s="1"/>
  <c r="BD209" i="6"/>
  <c r="BC209" i="6" s="1"/>
  <c r="BB209" i="6" s="1"/>
  <c r="O209" i="6" s="1"/>
  <c r="BD200" i="6"/>
  <c r="BC200" i="6" s="1"/>
  <c r="BB200" i="6" s="1"/>
  <c r="O200" i="6" s="1"/>
  <c r="BD155" i="6"/>
  <c r="BC155" i="6" s="1"/>
  <c r="BB155" i="6" s="1"/>
  <c r="O155" i="6" s="1"/>
  <c r="BD166" i="6"/>
  <c r="BC166" i="6" s="1"/>
  <c r="BB166" i="6" s="1"/>
  <c r="O166" i="6" s="1"/>
  <c r="BD124" i="6"/>
  <c r="BC124" i="6" s="1"/>
  <c r="BB124" i="6" s="1"/>
  <c r="O124" i="6" s="1"/>
  <c r="BD161" i="6"/>
  <c r="BC161" i="6" s="1"/>
  <c r="BB161" i="6" s="1"/>
  <c r="O161" i="6" s="1"/>
  <c r="BD157" i="6"/>
  <c r="BC157" i="6" s="1"/>
  <c r="BB157" i="6" s="1"/>
  <c r="O157" i="6" s="1"/>
  <c r="BD138" i="6"/>
  <c r="BC138" i="6" s="1"/>
  <c r="BB138" i="6" s="1"/>
  <c r="O138" i="6" s="1"/>
  <c r="BD122" i="6"/>
  <c r="BC122" i="6" s="1"/>
  <c r="BB122" i="6" s="1"/>
  <c r="O122" i="6" s="1"/>
  <c r="BD81" i="6"/>
  <c r="BC81" i="6" s="1"/>
  <c r="BB81" i="6" s="1"/>
  <c r="O81" i="6" s="1"/>
  <c r="BD43" i="6"/>
  <c r="BC43" i="6" s="1"/>
  <c r="BB43" i="6" s="1"/>
  <c r="O43" i="6" s="1"/>
  <c r="BD23" i="6"/>
  <c r="BC23" i="6" s="1"/>
  <c r="BB23" i="6" s="1"/>
  <c r="O23" i="6" s="1"/>
  <c r="BD12" i="6"/>
  <c r="BC12" i="6" s="1"/>
  <c r="BB12" i="6" s="1"/>
  <c r="O12" i="6" s="1"/>
  <c r="BD22" i="6"/>
  <c r="BC22" i="6" s="1"/>
  <c r="BB22" i="6" s="1"/>
  <c r="O22" i="6" s="1"/>
  <c r="BD105" i="6"/>
  <c r="BC105" i="6" s="1"/>
  <c r="BB105" i="6" s="1"/>
  <c r="O105" i="6" s="1"/>
  <c r="BD365" i="6"/>
  <c r="BC365" i="6" s="1"/>
  <c r="BB365" i="6" s="1"/>
  <c r="O365" i="6" s="1"/>
  <c r="BD250" i="6"/>
  <c r="BC250" i="6" s="1"/>
  <c r="BB250" i="6" s="1"/>
  <c r="O250" i="6" s="1"/>
  <c r="BD109" i="6"/>
  <c r="BC109" i="6" s="1"/>
  <c r="BB109" i="6" s="1"/>
  <c r="O109" i="6" s="1"/>
  <c r="BD197" i="6"/>
  <c r="BC197" i="6" s="1"/>
  <c r="BB197" i="6" s="1"/>
  <c r="O197" i="6" s="1"/>
  <c r="BD309" i="6"/>
  <c r="BC309" i="6" s="1"/>
  <c r="BB309" i="6" s="1"/>
  <c r="O309" i="6" s="1"/>
  <c r="BD440" i="6"/>
  <c r="BC440" i="6" s="1"/>
  <c r="BB440" i="6" s="1"/>
  <c r="O440" i="6" s="1"/>
  <c r="BD299" i="6"/>
  <c r="BC299" i="6" s="1"/>
  <c r="BB299" i="6" s="1"/>
  <c r="O299" i="6" s="1"/>
  <c r="BD459" i="6"/>
  <c r="BC459" i="6" s="1"/>
  <c r="BB459" i="6" s="1"/>
  <c r="O459" i="6" s="1"/>
  <c r="BD468" i="6"/>
  <c r="BC468" i="6" s="1"/>
  <c r="BB468" i="6" s="1"/>
  <c r="O468" i="6" s="1"/>
  <c r="BD62" i="6"/>
  <c r="BC62" i="6" s="1"/>
  <c r="BB62" i="6" s="1"/>
  <c r="O62" i="6" s="1"/>
  <c r="BD26" i="6"/>
  <c r="BC26" i="6" s="1"/>
  <c r="BB26" i="6" s="1"/>
  <c r="O26" i="6" s="1"/>
  <c r="BD258" i="6"/>
  <c r="BC258" i="6" s="1"/>
  <c r="BB258" i="6" s="1"/>
  <c r="O258" i="6" s="1"/>
  <c r="BD410" i="6"/>
  <c r="BC410" i="6" s="1"/>
  <c r="BB410" i="6" s="1"/>
  <c r="O410" i="6" s="1"/>
  <c r="BD454" i="6"/>
  <c r="BC454" i="6" s="1"/>
  <c r="BB454" i="6" s="1"/>
  <c r="O454" i="6" s="1"/>
  <c r="BD44" i="6"/>
  <c r="BC44" i="6" s="1"/>
  <c r="BB44" i="6" s="1"/>
  <c r="O44" i="6" s="1"/>
  <c r="BD288" i="6"/>
  <c r="BC288" i="6" s="1"/>
  <c r="BB288" i="6" s="1"/>
  <c r="O288" i="6" s="1"/>
  <c r="BD101" i="6"/>
  <c r="BC101" i="6" s="1"/>
  <c r="BB101" i="6" s="1"/>
  <c r="O101" i="6" s="1"/>
  <c r="BD245" i="6"/>
  <c r="BC245" i="6" s="1"/>
  <c r="BB245" i="6" s="1"/>
  <c r="O245" i="6" s="1"/>
  <c r="BD355" i="6"/>
  <c r="BC355" i="6" s="1"/>
  <c r="BB355" i="6" s="1"/>
  <c r="O355" i="6" s="1"/>
  <c r="BD184" i="6"/>
  <c r="BC184" i="6" s="1"/>
  <c r="BB184" i="6" s="1"/>
  <c r="O184" i="6" s="1"/>
  <c r="BD286" i="6"/>
  <c r="BC286" i="6" s="1"/>
  <c r="BB286" i="6" s="1"/>
  <c r="O286" i="6" s="1"/>
  <c r="BD103" i="6"/>
  <c r="BC103" i="6" s="1"/>
  <c r="BB103" i="6" s="1"/>
  <c r="O103" i="6" s="1"/>
  <c r="BD47" i="6"/>
  <c r="BC47" i="6" s="1"/>
  <c r="BB47" i="6" s="1"/>
  <c r="O47" i="6" s="1"/>
  <c r="BD76" i="6"/>
  <c r="BC76" i="6" s="1"/>
  <c r="BB76" i="6" s="1"/>
  <c r="O76" i="6" s="1"/>
  <c r="BD186" i="6"/>
  <c r="BC186" i="6" s="1"/>
  <c r="BB186" i="6" s="1"/>
  <c r="O186" i="6" s="1"/>
  <c r="BD267" i="6"/>
  <c r="BC267" i="6" s="1"/>
  <c r="BB267" i="6" s="1"/>
  <c r="O267" i="6" s="1"/>
  <c r="BD332" i="6"/>
  <c r="BC332" i="6" s="1"/>
  <c r="BB332" i="6" s="1"/>
  <c r="O332" i="6" s="1"/>
  <c r="BD389" i="6"/>
  <c r="BC389" i="6" s="1"/>
  <c r="BB389" i="6" s="1"/>
  <c r="O389" i="6" s="1"/>
  <c r="BD222" i="6"/>
  <c r="BC222" i="6" s="1"/>
  <c r="BB222" i="6" s="1"/>
  <c r="O222" i="6" s="1"/>
  <c r="BD24" i="6"/>
  <c r="BC24" i="6" s="1"/>
  <c r="BB24" i="6" s="1"/>
  <c r="O24" i="6" s="1"/>
  <c r="BD444" i="6"/>
  <c r="BC444" i="6" s="1"/>
  <c r="BB444" i="6" s="1"/>
  <c r="O444" i="6" s="1"/>
  <c r="BD442" i="6"/>
  <c r="BC442" i="6" s="1"/>
  <c r="BB442" i="6" s="1"/>
  <c r="O442" i="6" s="1"/>
  <c r="BD431" i="6"/>
  <c r="BC431" i="6" s="1"/>
  <c r="BB431" i="6" s="1"/>
  <c r="O431" i="6" s="1"/>
  <c r="BD415" i="6"/>
  <c r="BC415" i="6" s="1"/>
  <c r="BB415" i="6" s="1"/>
  <c r="O415" i="6" s="1"/>
  <c r="BD374" i="6"/>
  <c r="BC374" i="6" s="1"/>
  <c r="BB374" i="6" s="1"/>
  <c r="O374" i="6" s="1"/>
  <c r="BD356" i="6"/>
  <c r="BC356" i="6" s="1"/>
  <c r="BB356" i="6" s="1"/>
  <c r="O356" i="6" s="1"/>
  <c r="BD371" i="6"/>
  <c r="BC371" i="6" s="1"/>
  <c r="BB371" i="6" s="1"/>
  <c r="O371" i="6" s="1"/>
  <c r="BD322" i="6"/>
  <c r="BC322" i="6" s="1"/>
  <c r="BB322" i="6" s="1"/>
  <c r="O322" i="6" s="1"/>
  <c r="BD305" i="6"/>
  <c r="BC305" i="6" s="1"/>
  <c r="BB305" i="6" s="1"/>
  <c r="O305" i="6" s="1"/>
  <c r="BD281" i="6"/>
  <c r="BC281" i="6" s="1"/>
  <c r="BB281" i="6" s="1"/>
  <c r="O281" i="6" s="1"/>
  <c r="BD293" i="6"/>
  <c r="BC293" i="6" s="1"/>
  <c r="BB293" i="6" s="1"/>
  <c r="O293" i="6" s="1"/>
  <c r="BD255" i="6"/>
  <c r="BC255" i="6" s="1"/>
  <c r="BB255" i="6" s="1"/>
  <c r="O255" i="6" s="1"/>
  <c r="BD220" i="6"/>
  <c r="BC220" i="6" s="1"/>
  <c r="BB220" i="6" s="1"/>
  <c r="O220" i="6" s="1"/>
  <c r="BD233" i="6"/>
  <c r="BC233" i="6" s="1"/>
  <c r="BB233" i="6" s="1"/>
  <c r="O233" i="6" s="1"/>
  <c r="BD196" i="6"/>
  <c r="BC196" i="6" s="1"/>
  <c r="BB196" i="6" s="1"/>
  <c r="O196" i="6" s="1"/>
  <c r="BD188" i="6"/>
  <c r="BC188" i="6" s="1"/>
  <c r="BB188" i="6" s="1"/>
  <c r="O188" i="6" s="1"/>
  <c r="BD158" i="6"/>
  <c r="BC158" i="6" s="1"/>
  <c r="BB158" i="6" s="1"/>
  <c r="O158" i="6" s="1"/>
  <c r="BD116" i="6"/>
  <c r="BC116" i="6" s="1"/>
  <c r="BB116" i="6" s="1"/>
  <c r="O116" i="6" s="1"/>
  <c r="BD177" i="6"/>
  <c r="BC177" i="6" s="1"/>
  <c r="BB177" i="6" s="1"/>
  <c r="O177" i="6" s="1"/>
  <c r="BD147" i="6"/>
  <c r="BC147" i="6" s="1"/>
  <c r="BB147" i="6" s="1"/>
  <c r="O147" i="6" s="1"/>
  <c r="BD114" i="6"/>
  <c r="BC114" i="6" s="1"/>
  <c r="BB114" i="6" s="1"/>
  <c r="O114" i="6" s="1"/>
  <c r="BD118" i="6"/>
  <c r="BC118" i="6" s="1"/>
  <c r="BB118" i="6" s="1"/>
  <c r="O118" i="6" s="1"/>
  <c r="BD73" i="6"/>
  <c r="BC73" i="6" s="1"/>
  <c r="BB73" i="6" s="1"/>
  <c r="O73" i="6" s="1"/>
  <c r="BD69" i="6"/>
  <c r="BC69" i="6" s="1"/>
  <c r="BB69" i="6" s="1"/>
  <c r="O69" i="6" s="1"/>
  <c r="BD65" i="6"/>
  <c r="BC65" i="6" s="1"/>
  <c r="BB65" i="6" s="1"/>
  <c r="O65" i="6" s="1"/>
  <c r="BD19" i="6"/>
  <c r="BC19" i="6" s="1"/>
  <c r="BB19" i="6" s="1"/>
  <c r="O19" i="6" s="1"/>
  <c r="BD14" i="6"/>
  <c r="BC14" i="6" s="1"/>
  <c r="BB14" i="6" s="1"/>
  <c r="O14" i="6" s="1"/>
  <c r="BD121" i="6"/>
  <c r="BC121" i="6" s="1"/>
  <c r="BB121" i="6" s="1"/>
  <c r="O121" i="6" s="1"/>
  <c r="BD372" i="6"/>
  <c r="BC372" i="6" s="1"/>
  <c r="BB372" i="6" s="1"/>
  <c r="O372" i="6" s="1"/>
  <c r="BD460" i="6"/>
  <c r="BC460" i="6" s="1"/>
  <c r="BB460" i="6" s="1"/>
  <c r="O460" i="6" s="1"/>
  <c r="BD72" i="6"/>
  <c r="BC72" i="6" s="1"/>
  <c r="BB72" i="6" s="1"/>
  <c r="O72" i="6" s="1"/>
  <c r="BD243" i="6"/>
  <c r="BC243" i="6" s="1"/>
  <c r="BB243" i="6" s="1"/>
  <c r="O243" i="6" s="1"/>
  <c r="BD337" i="6"/>
  <c r="BC337" i="6" s="1"/>
  <c r="BB337" i="6" s="1"/>
  <c r="O337" i="6" s="1"/>
  <c r="BD445" i="6"/>
  <c r="BC445" i="6" s="1"/>
  <c r="BB445" i="6" s="1"/>
  <c r="O445" i="6" s="1"/>
  <c r="BD312" i="6"/>
  <c r="BC312" i="6" s="1"/>
  <c r="BB312" i="6" s="1"/>
  <c r="O312" i="6" s="1"/>
  <c r="BD430" i="6"/>
  <c r="BC430" i="6" s="1"/>
  <c r="BB430" i="6" s="1"/>
  <c r="O430" i="6" s="1"/>
  <c r="BD86" i="6"/>
  <c r="BC86" i="6" s="1"/>
  <c r="BB86" i="6" s="1"/>
  <c r="O86" i="6" s="1"/>
  <c r="BD240" i="6"/>
  <c r="BC240" i="6" s="1"/>
  <c r="BB240" i="6" s="1"/>
  <c r="O240" i="6" s="1"/>
  <c r="BD38" i="6"/>
  <c r="BC38" i="6" s="1"/>
  <c r="BB38" i="6" s="1"/>
  <c r="O38" i="6" s="1"/>
  <c r="BD260" i="6"/>
  <c r="BC260" i="6" s="1"/>
  <c r="BB260" i="6" s="1"/>
  <c r="O260" i="6" s="1"/>
  <c r="BD432" i="6"/>
  <c r="BC432" i="6" s="1"/>
  <c r="BB432" i="6" s="1"/>
  <c r="O432" i="6" s="1"/>
  <c r="BD367" i="6"/>
  <c r="BC367" i="6" s="1"/>
  <c r="BB367" i="6" s="1"/>
  <c r="O367" i="6" s="1"/>
  <c r="BD78" i="6"/>
  <c r="BC78" i="6" s="1"/>
  <c r="BB78" i="6" s="1"/>
  <c r="O78" i="6" s="1"/>
  <c r="BD396" i="6"/>
  <c r="BC396" i="6" s="1"/>
  <c r="BB396" i="6" s="1"/>
  <c r="O396" i="6" s="1"/>
  <c r="BD129" i="6"/>
  <c r="BC129" i="6" s="1"/>
  <c r="BB129" i="6" s="1"/>
  <c r="O129" i="6" s="1"/>
  <c r="BD294" i="6"/>
  <c r="BC294" i="6" s="1"/>
  <c r="BB294" i="6" s="1"/>
  <c r="O294" i="6" s="1"/>
  <c r="BD423" i="6"/>
  <c r="BC423" i="6" s="1"/>
  <c r="BB423" i="6" s="1"/>
  <c r="O423" i="6" s="1"/>
  <c r="BD198" i="6"/>
  <c r="BC198" i="6" s="1"/>
  <c r="BB198" i="6" s="1"/>
  <c r="O198" i="6" s="1"/>
  <c r="BD329" i="6"/>
  <c r="BC329" i="6" s="1"/>
  <c r="BB329" i="6" s="1"/>
  <c r="O329" i="6" s="1"/>
  <c r="BD185" i="6"/>
  <c r="BC185" i="6" s="1"/>
  <c r="BB185" i="6" s="1"/>
  <c r="O185" i="6" s="1"/>
  <c r="BD18" i="6"/>
  <c r="BC18" i="6" s="1"/>
  <c r="BB18" i="6" s="1"/>
  <c r="O18" i="6" s="1"/>
  <c r="BD88" i="6"/>
  <c r="BC88" i="6" s="1"/>
  <c r="BB88" i="6" s="1"/>
  <c r="O88" i="6" s="1"/>
  <c r="BD202" i="6"/>
  <c r="BC202" i="6" s="1"/>
  <c r="BB202" i="6" s="1"/>
  <c r="O202" i="6" s="1"/>
  <c r="BD275" i="6"/>
  <c r="BC275" i="6" s="1"/>
  <c r="BB275" i="6" s="1"/>
  <c r="O275" i="6" s="1"/>
  <c r="BD323" i="6"/>
  <c r="BC323" i="6" s="1"/>
  <c r="BB323" i="6" s="1"/>
  <c r="O323" i="6" s="1"/>
  <c r="BD422" i="6"/>
  <c r="BC422" i="6" s="1"/>
  <c r="BB422" i="6" s="1"/>
  <c r="O422" i="6" s="1"/>
  <c r="BD232" i="6"/>
  <c r="BC232" i="6" s="1"/>
  <c r="BB232" i="6" s="1"/>
  <c r="O232" i="6" s="1"/>
  <c r="BD56" i="6"/>
  <c r="BC56" i="6" s="1"/>
  <c r="BB56" i="6" s="1"/>
  <c r="O56" i="6" s="1"/>
  <c r="BD441" i="6"/>
  <c r="BC441" i="6" s="1"/>
  <c r="BB441" i="6" s="1"/>
  <c r="O441" i="6" s="1"/>
  <c r="BD425" i="6"/>
  <c r="BC425" i="6" s="1"/>
  <c r="BB425" i="6" s="1"/>
  <c r="O425" i="6" s="1"/>
  <c r="BD406" i="6"/>
  <c r="BC406" i="6" s="1"/>
  <c r="BB406" i="6" s="1"/>
  <c r="O406" i="6" s="1"/>
  <c r="BD369" i="6"/>
  <c r="BC369" i="6" s="1"/>
  <c r="BB369" i="6" s="1"/>
  <c r="O369" i="6" s="1"/>
  <c r="BD377" i="6"/>
  <c r="BC377" i="6" s="1"/>
  <c r="BB377" i="6" s="1"/>
  <c r="O377" i="6" s="1"/>
  <c r="BD353" i="6"/>
  <c r="BC353" i="6" s="1"/>
  <c r="BB353" i="6" s="1"/>
  <c r="O353" i="6" s="1"/>
  <c r="BD336" i="6"/>
  <c r="BC336" i="6" s="1"/>
  <c r="BB336" i="6" s="1"/>
  <c r="O336" i="6" s="1"/>
  <c r="BD304" i="6"/>
  <c r="BC304" i="6" s="1"/>
  <c r="BB304" i="6" s="1"/>
  <c r="O304" i="6" s="1"/>
  <c r="BD326" i="6"/>
  <c r="BC326" i="6" s="1"/>
  <c r="BB326" i="6" s="1"/>
  <c r="O326" i="6" s="1"/>
  <c r="BD273" i="6"/>
  <c r="BC273" i="6" s="1"/>
  <c r="BB273" i="6" s="1"/>
  <c r="O273" i="6" s="1"/>
  <c r="BD247" i="6"/>
  <c r="BC247" i="6" s="1"/>
  <c r="BB247" i="6" s="1"/>
  <c r="O247" i="6" s="1"/>
  <c r="BD212" i="6"/>
  <c r="BC212" i="6" s="1"/>
  <c r="BB212" i="6" s="1"/>
  <c r="O212" i="6" s="1"/>
  <c r="BD225" i="6"/>
  <c r="BC225" i="6" s="1"/>
  <c r="BB225" i="6" s="1"/>
  <c r="O225" i="6" s="1"/>
  <c r="BD203" i="6"/>
  <c r="BC203" i="6" s="1"/>
  <c r="BB203" i="6" s="1"/>
  <c r="O203" i="6" s="1"/>
  <c r="BD178" i="6"/>
  <c r="BC178" i="6" s="1"/>
  <c r="BB178" i="6" s="1"/>
  <c r="O178" i="6" s="1"/>
  <c r="BD183" i="6"/>
  <c r="BC183" i="6" s="1"/>
  <c r="BB183" i="6" s="1"/>
  <c r="O183" i="6" s="1"/>
  <c r="BD165" i="6"/>
  <c r="BC165" i="6" s="1"/>
  <c r="BB165" i="6" s="1"/>
  <c r="O165" i="6" s="1"/>
  <c r="BD154" i="6"/>
  <c r="BC154" i="6" s="1"/>
  <c r="BB154" i="6" s="1"/>
  <c r="O154" i="6" s="1"/>
  <c r="BD141" i="6"/>
  <c r="BC141" i="6" s="1"/>
  <c r="BB141" i="6" s="1"/>
  <c r="O141" i="6" s="1"/>
  <c r="BD111" i="6"/>
  <c r="BC111" i="6" s="1"/>
  <c r="BB111" i="6" s="1"/>
  <c r="O111" i="6" s="1"/>
  <c r="BD108" i="6"/>
  <c r="BC108" i="6" s="1"/>
  <c r="BB108" i="6" s="1"/>
  <c r="O108" i="6" s="1"/>
  <c r="BD115" i="6"/>
  <c r="BC115" i="6" s="1"/>
  <c r="BB115" i="6" s="1"/>
  <c r="O115" i="6" s="1"/>
  <c r="BD67" i="6"/>
  <c r="BC67" i="6" s="1"/>
  <c r="BB67" i="6" s="1"/>
  <c r="O67" i="6" s="1"/>
  <c r="BD54" i="6"/>
  <c r="BC54" i="6" s="1"/>
  <c r="BB54" i="6" s="1"/>
  <c r="O54" i="6" s="1"/>
  <c r="BD10" i="6"/>
  <c r="BC10" i="6" s="1"/>
  <c r="BB10" i="6" s="1"/>
  <c r="O10" i="6" s="1"/>
  <c r="BD20" i="6"/>
  <c r="BC20" i="6" s="1"/>
  <c r="BB20" i="6" s="1"/>
  <c r="O20" i="6" s="1"/>
  <c r="BD180" i="6"/>
  <c r="BC180" i="6" s="1"/>
  <c r="BB180" i="6" s="1"/>
  <c r="O180" i="6" s="1"/>
  <c r="BD403" i="6"/>
  <c r="BC403" i="6" s="1"/>
  <c r="BB403" i="6" s="1"/>
  <c r="O403" i="6" s="1"/>
  <c r="BD264" i="6"/>
  <c r="BC264" i="6" s="1"/>
  <c r="BB264" i="6" s="1"/>
  <c r="O264" i="6" s="1"/>
  <c r="BD97" i="6"/>
  <c r="BC97" i="6" s="1"/>
  <c r="BB97" i="6" s="1"/>
  <c r="O97" i="6" s="1"/>
  <c r="BD205" i="6"/>
  <c r="BC205" i="6" s="1"/>
  <c r="BB205" i="6" s="1"/>
  <c r="O205" i="6" s="1"/>
  <c r="BD339" i="6"/>
  <c r="BC339" i="6" s="1"/>
  <c r="BB339" i="6" s="1"/>
  <c r="O339" i="6" s="1"/>
  <c r="BD451" i="6"/>
  <c r="BC451" i="6" s="1"/>
  <c r="BB451" i="6" s="1"/>
  <c r="O451" i="6" s="1"/>
  <c r="BD333" i="6"/>
  <c r="BC333" i="6" s="1"/>
  <c r="BB333" i="6" s="1"/>
  <c r="O333" i="6" s="1"/>
  <c r="BD436" i="6"/>
  <c r="BC436" i="6" s="1"/>
  <c r="BB436" i="6" s="1"/>
  <c r="O436" i="6" s="1"/>
  <c r="BD71" i="6"/>
  <c r="BC71" i="6" s="1"/>
  <c r="BB71" i="6" s="1"/>
  <c r="O71" i="6" s="1"/>
  <c r="BD272" i="6"/>
  <c r="BC272" i="6" s="1"/>
  <c r="BB272" i="6" s="1"/>
  <c r="O272" i="6" s="1"/>
  <c r="BD82" i="6"/>
  <c r="BC82" i="6" s="1"/>
  <c r="BB82" i="6" s="1"/>
  <c r="O82" i="6" s="1"/>
  <c r="BD249" i="6"/>
  <c r="BC249" i="6" s="1"/>
  <c r="BB249" i="6" s="1"/>
  <c r="O249" i="6" s="1"/>
  <c r="BD453" i="6"/>
  <c r="BC453" i="6" s="1"/>
  <c r="BB453" i="6" s="1"/>
  <c r="O453" i="6" s="1"/>
  <c r="BD412" i="6"/>
  <c r="BC412" i="6" s="1"/>
  <c r="BB412" i="6" s="1"/>
  <c r="O412" i="6" s="1"/>
  <c r="BD94" i="6"/>
  <c r="BC94" i="6" s="1"/>
  <c r="BB94" i="6" s="1"/>
  <c r="O94" i="6" s="1"/>
  <c r="BD13" i="6"/>
  <c r="BC13" i="6" s="1"/>
  <c r="BB13" i="6" s="1"/>
  <c r="O13" i="6" s="1"/>
  <c r="BD117" i="6"/>
  <c r="BC117" i="6" s="1"/>
  <c r="BB117" i="6" s="1"/>
  <c r="O117" i="6" s="1"/>
  <c r="BD283" i="6"/>
  <c r="BC283" i="6" s="1"/>
  <c r="BB283" i="6" s="1"/>
  <c r="O283" i="6" s="1"/>
  <c r="BD21" i="6"/>
  <c r="BC21" i="6" s="1"/>
  <c r="BB21" i="6" s="1"/>
  <c r="O21" i="6" s="1"/>
  <c r="BD211" i="6"/>
  <c r="BC211" i="6" s="1"/>
  <c r="BB211" i="6" s="1"/>
  <c r="O211" i="6" s="1"/>
  <c r="BD315" i="6"/>
  <c r="BC315" i="6" s="1"/>
  <c r="BB315" i="6" s="1"/>
  <c r="O315" i="6" s="1"/>
  <c r="BD210" i="6"/>
  <c r="BC210" i="6" s="1"/>
  <c r="BB210" i="6" s="1"/>
  <c r="O210" i="6" s="1"/>
  <c r="BD28" i="6"/>
  <c r="BC28" i="6" s="1"/>
  <c r="BB28" i="6" s="1"/>
  <c r="O28" i="6" s="1"/>
  <c r="BD133" i="6"/>
  <c r="BC133" i="6" s="1"/>
  <c r="BB133" i="6" s="1"/>
  <c r="O133" i="6" s="1"/>
  <c r="BD216" i="6"/>
  <c r="BC216" i="6" s="1"/>
  <c r="BB216" i="6" s="1"/>
  <c r="O216" i="6" s="1"/>
  <c r="BD248" i="6"/>
  <c r="BC248" i="6" s="1"/>
  <c r="BB248" i="6" s="1"/>
  <c r="O248" i="6" s="1"/>
  <c r="BD344" i="6"/>
  <c r="BC344" i="6" s="1"/>
  <c r="BB344" i="6" s="1"/>
  <c r="O344" i="6" s="1"/>
  <c r="BD447" i="6"/>
  <c r="BC447" i="6" s="1"/>
  <c r="BB447" i="6" s="1"/>
  <c r="O447" i="6" s="1"/>
  <c r="BD237" i="6"/>
  <c r="BC237" i="6" s="1"/>
  <c r="BB237" i="6" s="1"/>
  <c r="O237" i="6" s="1"/>
  <c r="BD83" i="6"/>
  <c r="BC83" i="6" s="1"/>
  <c r="BB83" i="6" s="1"/>
  <c r="O83" i="6" s="1"/>
  <c r="BD466" i="6"/>
  <c r="BC466" i="6" s="1"/>
  <c r="BB466" i="6" s="1"/>
  <c r="O466" i="6" s="1"/>
  <c r="BD438" i="6"/>
  <c r="BC438" i="6" s="1"/>
  <c r="BB438" i="6" s="1"/>
  <c r="O438" i="6" s="1"/>
  <c r="BD429" i="6"/>
  <c r="BC429" i="6" s="1"/>
  <c r="BB429" i="6" s="1"/>
  <c r="O429" i="6" s="1"/>
  <c r="BD398" i="6"/>
  <c r="BC398" i="6" s="1"/>
  <c r="BB398" i="6" s="1"/>
  <c r="O398" i="6" s="1"/>
  <c r="BD363" i="6"/>
  <c r="BC363" i="6" s="1"/>
  <c r="BB363" i="6" s="1"/>
  <c r="O363" i="6" s="1"/>
  <c r="BD361" i="6"/>
  <c r="BC361" i="6" s="1"/>
  <c r="BB361" i="6" s="1"/>
  <c r="O361" i="6" s="1"/>
  <c r="BD340" i="6"/>
  <c r="BC340" i="6" s="1"/>
  <c r="BB340" i="6" s="1"/>
  <c r="O340" i="6" s="1"/>
  <c r="BD318" i="6"/>
  <c r="BC318" i="6" s="1"/>
  <c r="BB318" i="6" s="1"/>
  <c r="O318" i="6" s="1"/>
  <c r="BD298" i="6"/>
  <c r="BC298" i="6" s="1"/>
  <c r="BB298" i="6" s="1"/>
  <c r="O298" i="6" s="1"/>
  <c r="BD303" i="6"/>
  <c r="BC303" i="6" s="1"/>
  <c r="BB303" i="6" s="1"/>
  <c r="O303" i="6" s="1"/>
  <c r="BD265" i="6"/>
  <c r="BC265" i="6" s="1"/>
  <c r="BB265" i="6" s="1"/>
  <c r="O265" i="6" s="1"/>
  <c r="BD244" i="6"/>
  <c r="BC244" i="6" s="1"/>
  <c r="BB244" i="6" s="1"/>
  <c r="O244" i="6" s="1"/>
  <c r="BD254" i="6"/>
  <c r="BC254" i="6" s="1"/>
  <c r="BB254" i="6" s="1"/>
  <c r="O254" i="6" s="1"/>
  <c r="BD223" i="6"/>
  <c r="BC223" i="6" s="1"/>
  <c r="BB223" i="6" s="1"/>
  <c r="O223" i="6" s="1"/>
  <c r="BD199" i="6"/>
  <c r="BC199" i="6" s="1"/>
  <c r="BB199" i="6" s="1"/>
  <c r="O199" i="6" s="1"/>
  <c r="BD170" i="6"/>
  <c r="BC170" i="6" s="1"/>
  <c r="BB170" i="6" s="1"/>
  <c r="O170" i="6" s="1"/>
  <c r="BD173" i="6"/>
  <c r="BC173" i="6" s="1"/>
  <c r="BB173" i="6" s="1"/>
  <c r="O173" i="6" s="1"/>
  <c r="BD150" i="6"/>
  <c r="BC150" i="6" s="1"/>
  <c r="BB150" i="6" s="1"/>
  <c r="O150" i="6" s="1"/>
  <c r="BD143" i="6"/>
  <c r="BC143" i="6" s="1"/>
  <c r="BB143" i="6" s="1"/>
  <c r="O143" i="6" s="1"/>
  <c r="BD135" i="6"/>
  <c r="BC135" i="6" s="1"/>
  <c r="BB135" i="6" s="1"/>
  <c r="O135" i="6" s="1"/>
  <c r="BD104" i="6"/>
  <c r="BC104" i="6" s="1"/>
  <c r="BB104" i="6" s="1"/>
  <c r="O104" i="6" s="1"/>
  <c r="BD99" i="6"/>
  <c r="BC99" i="6" s="1"/>
  <c r="BB99" i="6" s="1"/>
  <c r="O99" i="6" s="1"/>
  <c r="BD106" i="6"/>
  <c r="BC106" i="6" s="1"/>
  <c r="BB106" i="6" s="1"/>
  <c r="O106" i="6" s="1"/>
  <c r="BD49" i="6"/>
  <c r="BC49" i="6" s="1"/>
  <c r="BB49" i="6" s="1"/>
  <c r="O49" i="6" s="1"/>
  <c r="BD46" i="6"/>
  <c r="BC46" i="6" s="1"/>
  <c r="BB46" i="6" s="1"/>
  <c r="O46" i="6" s="1"/>
  <c r="BD29" i="6"/>
  <c r="BC29" i="6" s="1"/>
  <c r="BB29" i="6" s="1"/>
  <c r="O29" i="6" s="1"/>
  <c r="BD11" i="6"/>
  <c r="BC11" i="6" s="1"/>
  <c r="BB11" i="6" s="1"/>
  <c r="O11" i="6" s="1"/>
  <c r="BD190" i="6"/>
  <c r="BC190" i="6" s="1"/>
  <c r="BB190" i="6" s="1"/>
  <c r="O190" i="6" s="1"/>
  <c r="BD70" i="6"/>
  <c r="BC70" i="6" s="1"/>
  <c r="BB70" i="6" s="1"/>
  <c r="O70" i="6" s="1"/>
  <c r="BD352" i="6"/>
  <c r="BC352" i="6" s="1"/>
  <c r="BB352" i="6" s="1"/>
  <c r="O352" i="6" s="1"/>
  <c r="BD125" i="6"/>
  <c r="BC125" i="6" s="1"/>
  <c r="BB125" i="6" s="1"/>
  <c r="O125" i="6" s="1"/>
  <c r="BD218" i="6"/>
  <c r="BC218" i="6" s="1"/>
  <c r="BB218" i="6" s="1"/>
  <c r="O218" i="6" s="1"/>
  <c r="BD364" i="6"/>
  <c r="BC364" i="6" s="1"/>
  <c r="BB364" i="6" s="1"/>
  <c r="O364" i="6" s="1"/>
  <c r="BD452" i="6"/>
  <c r="BC452" i="6" s="1"/>
  <c r="BB452" i="6" s="1"/>
  <c r="O452" i="6" s="1"/>
  <c r="BD375" i="6"/>
  <c r="BC375" i="6" s="1"/>
  <c r="BB375" i="6" s="1"/>
  <c r="O375" i="6" s="1"/>
  <c r="BD457" i="6"/>
  <c r="BC457" i="6" s="1"/>
  <c r="BB457" i="6" s="1"/>
  <c r="O457" i="6" s="1"/>
  <c r="BD149" i="6"/>
  <c r="BC149" i="6" s="1"/>
  <c r="BB149" i="6" s="1"/>
  <c r="O149" i="6" s="1"/>
  <c r="BD411" i="6"/>
  <c r="BC411" i="6" s="1"/>
  <c r="BB411" i="6" s="1"/>
  <c r="O411" i="6" s="1"/>
  <c r="BD91" i="6"/>
  <c r="BC91" i="6" s="1"/>
  <c r="BB91" i="6" s="1"/>
  <c r="O91" i="6" s="1"/>
  <c r="BD251" i="6"/>
  <c r="BC251" i="6" s="1"/>
  <c r="BB251" i="6" s="1"/>
  <c r="O251" i="6" s="1"/>
  <c r="BD467" i="6"/>
  <c r="BC467" i="6" s="1"/>
  <c r="BB467" i="6" s="1"/>
  <c r="O467" i="6" s="1"/>
  <c r="BD433" i="6"/>
  <c r="BC433" i="6" s="1"/>
  <c r="BB433" i="6" s="1"/>
  <c r="O433" i="6" s="1"/>
  <c r="BD95" i="6"/>
  <c r="BC95" i="6" s="1"/>
  <c r="BB95" i="6" s="1"/>
  <c r="O95" i="6" s="1"/>
  <c r="BD57" i="6"/>
  <c r="BC57" i="6" s="1"/>
  <c r="BB57" i="6" s="1"/>
  <c r="O57" i="6" s="1"/>
  <c r="BD156" i="6"/>
  <c r="BC156" i="6" s="1"/>
  <c r="BB156" i="6" s="1"/>
  <c r="O156" i="6" s="1"/>
  <c r="BD310" i="6"/>
  <c r="BC310" i="6" s="1"/>
  <c r="BB310" i="6" s="1"/>
  <c r="O310" i="6" s="1"/>
  <c r="BD48" i="6"/>
  <c r="BC48" i="6" s="1"/>
  <c r="BB48" i="6" s="1"/>
  <c r="O48" i="6" s="1"/>
  <c r="BD292" i="6"/>
  <c r="BC292" i="6" s="1"/>
  <c r="BB292" i="6" s="1"/>
  <c r="O292" i="6" s="1"/>
  <c r="BD335" i="6"/>
  <c r="BC335" i="6" s="1"/>
  <c r="BB335" i="6" s="1"/>
  <c r="O335" i="6" s="1"/>
  <c r="BD331" i="6"/>
  <c r="BC331" i="6" s="1"/>
  <c r="BB331" i="6" s="1"/>
  <c r="O331" i="6" s="1"/>
  <c r="BD35" i="6"/>
  <c r="BC35" i="6" s="1"/>
  <c r="BB35" i="6" s="1"/>
  <c r="O35" i="6" s="1"/>
  <c r="BD126" i="6"/>
  <c r="BC126" i="6" s="1"/>
  <c r="BB126" i="6" s="1"/>
  <c r="O126" i="6" s="1"/>
  <c r="BD230" i="6"/>
  <c r="BC230" i="6" s="1"/>
  <c r="BB230" i="6" s="1"/>
  <c r="O230" i="6" s="1"/>
  <c r="BD278" i="6"/>
  <c r="BC278" i="6" s="1"/>
  <c r="BB278" i="6" s="1"/>
  <c r="O278" i="6" s="1"/>
  <c r="BD358" i="6"/>
  <c r="BC358" i="6" s="1"/>
  <c r="BB358" i="6" s="1"/>
  <c r="O358" i="6" s="1"/>
  <c r="BD462" i="6"/>
  <c r="BC462" i="6" s="1"/>
  <c r="BB462" i="6" s="1"/>
  <c r="O462" i="6" s="1"/>
  <c r="BD219" i="6"/>
  <c r="BC219" i="6" s="1"/>
  <c r="BB219" i="6" s="1"/>
  <c r="O219" i="6" s="1"/>
  <c r="BD84" i="6"/>
  <c r="BC84" i="6" s="1"/>
  <c r="BB84" i="6" s="1"/>
  <c r="O84" i="6" s="1"/>
  <c r="BD464" i="6"/>
  <c r="BC464" i="6" s="1"/>
  <c r="BB464" i="6" s="1"/>
  <c r="O464" i="6" s="1"/>
  <c r="BD435" i="6"/>
  <c r="BC435" i="6" s="1"/>
  <c r="BB435" i="6" s="1"/>
  <c r="O435" i="6" s="1"/>
  <c r="BD428" i="6"/>
  <c r="BC428" i="6" s="1"/>
  <c r="BB428" i="6" s="1"/>
  <c r="O428" i="6" s="1"/>
  <c r="BD417" i="6"/>
  <c r="BC417" i="6" s="1"/>
  <c r="BB417" i="6" s="1"/>
  <c r="O417" i="6" s="1"/>
  <c r="BD359" i="6"/>
  <c r="BC359" i="6" s="1"/>
  <c r="BB359" i="6" s="1"/>
  <c r="O359" i="6" s="1"/>
  <c r="BD351" i="6"/>
  <c r="BC351" i="6" s="1"/>
  <c r="BB351" i="6" s="1"/>
  <c r="O351" i="6" s="1"/>
  <c r="BD327" i="6"/>
  <c r="BC327" i="6" s="1"/>
  <c r="BB327" i="6" s="1"/>
  <c r="O327" i="6" s="1"/>
  <c r="BD311" i="6"/>
  <c r="BC311" i="6" s="1"/>
  <c r="BB311" i="6" s="1"/>
  <c r="O311" i="6" s="1"/>
  <c r="BD290" i="6"/>
  <c r="BC290" i="6" s="1"/>
  <c r="BB290" i="6" s="1"/>
  <c r="O290" i="6" s="1"/>
  <c r="BD287" i="6"/>
  <c r="BC287" i="6" s="1"/>
  <c r="BB287" i="6" s="1"/>
  <c r="O287" i="6" s="1"/>
  <c r="BD257" i="6"/>
  <c r="BC257" i="6" s="1"/>
  <c r="BB257" i="6" s="1"/>
  <c r="O257" i="6" s="1"/>
  <c r="BD246" i="6"/>
  <c r="BC246" i="6" s="1"/>
  <c r="BB246" i="6" s="1"/>
  <c r="O246" i="6" s="1"/>
  <c r="BD235" i="6"/>
  <c r="BC235" i="6" s="1"/>
  <c r="BB235" i="6" s="1"/>
  <c r="O235" i="6" s="1"/>
  <c r="BD215" i="6"/>
  <c r="BC215" i="6" s="1"/>
  <c r="BB215" i="6" s="1"/>
  <c r="O215" i="6" s="1"/>
  <c r="BD191" i="6"/>
  <c r="BC191" i="6" s="1"/>
  <c r="BB191" i="6" s="1"/>
  <c r="O191" i="6" s="1"/>
  <c r="BD162" i="6"/>
  <c r="BC162" i="6" s="1"/>
  <c r="BB162" i="6" s="1"/>
  <c r="O162" i="6" s="1"/>
  <c r="BD182" i="6"/>
  <c r="BC182" i="6" s="1"/>
  <c r="BB182" i="6" s="1"/>
  <c r="O182" i="6" s="1"/>
  <c r="BD145" i="6"/>
  <c r="BC145" i="6" s="1"/>
  <c r="BB145" i="6" s="1"/>
  <c r="O145" i="6" s="1"/>
  <c r="BD136" i="6"/>
  <c r="BC136" i="6" s="1"/>
  <c r="BB136" i="6" s="1"/>
  <c r="O136" i="6" s="1"/>
  <c r="BD127" i="6"/>
  <c r="BC127" i="6" s="1"/>
  <c r="BB127" i="6" s="1"/>
  <c r="O127" i="6" s="1"/>
  <c r="BD93" i="6"/>
  <c r="BC93" i="6" s="1"/>
  <c r="BB93" i="6" s="1"/>
  <c r="O93" i="6" s="1"/>
  <c r="BD107" i="6"/>
  <c r="BC107" i="6" s="1"/>
  <c r="BB107" i="6" s="1"/>
  <c r="O107" i="6" s="1"/>
  <c r="BD100" i="6"/>
  <c r="BC100" i="6" s="1"/>
  <c r="BB100" i="6" s="1"/>
  <c r="O100" i="6" s="1"/>
  <c r="BD41" i="6"/>
  <c r="BC41" i="6" s="1"/>
  <c r="BB41" i="6" s="1"/>
  <c r="O41" i="6" s="1"/>
  <c r="BD30" i="6"/>
  <c r="BC30" i="6" s="1"/>
  <c r="BB30" i="6" s="1"/>
  <c r="O30" i="6" s="1"/>
  <c r="BD25" i="6"/>
  <c r="BC25" i="6" s="1"/>
  <c r="BB25" i="6" s="1"/>
  <c r="O25" i="6" s="1"/>
  <c r="BD17" i="6"/>
  <c r="BC17" i="6" s="1"/>
  <c r="BB17" i="6" s="1"/>
  <c r="O17" i="6" s="1"/>
  <c r="BD252" i="6"/>
  <c r="BC252" i="6" s="1"/>
  <c r="BB252" i="6" s="1"/>
  <c r="O252" i="6" s="1"/>
  <c r="BD113" i="6"/>
  <c r="BC113" i="6" s="1"/>
  <c r="BB113" i="6" s="1"/>
  <c r="O113" i="6" s="1"/>
  <c r="BD9" i="6"/>
  <c r="BC9" i="6" s="1"/>
  <c r="BB9" i="6" s="1"/>
  <c r="O9" i="6" s="1"/>
  <c r="BD142" i="6"/>
  <c r="BC142" i="6" s="1"/>
  <c r="BB142" i="6" s="1"/>
  <c r="O142" i="6" s="1"/>
  <c r="BD269" i="6"/>
  <c r="BC269" i="6" s="1"/>
  <c r="BB269" i="6" s="1"/>
  <c r="O269" i="6" s="1"/>
  <c r="BD376" i="6"/>
  <c r="BC376" i="6" s="1"/>
  <c r="BB376" i="6" s="1"/>
  <c r="O376" i="6" s="1"/>
  <c r="BD450" i="6"/>
  <c r="BC450" i="6" s="1"/>
  <c r="BB450" i="6" s="1"/>
  <c r="O450" i="6" s="1"/>
  <c r="BD390" i="6"/>
  <c r="BC390" i="6" s="1"/>
  <c r="BB390" i="6" s="1"/>
  <c r="O390" i="6" s="1"/>
  <c r="BD399" i="6"/>
  <c r="BC399" i="6" s="1"/>
  <c r="BB399" i="6" s="1"/>
  <c r="O399" i="6" s="1"/>
  <c r="BD189" i="6"/>
  <c r="BC189" i="6" s="1"/>
  <c r="BB189" i="6" s="1"/>
  <c r="O189" i="6" s="1"/>
  <c r="BD426" i="6"/>
  <c r="BC426" i="6" s="1"/>
  <c r="BB426" i="6" s="1"/>
  <c r="O426" i="6" s="1"/>
  <c r="BD110" i="6"/>
  <c r="BC110" i="6" s="1"/>
  <c r="BB110" i="6" s="1"/>
  <c r="O110" i="6" s="1"/>
  <c r="BD354" i="6"/>
  <c r="BC354" i="6" s="1"/>
  <c r="BB354" i="6" s="1"/>
  <c r="O354" i="6" s="1"/>
  <c r="BD470" i="6"/>
  <c r="BC470" i="6" s="1"/>
  <c r="BB470" i="6" s="1"/>
  <c r="BD418" i="6"/>
  <c r="BC418" i="6" s="1"/>
  <c r="BB418" i="6" s="1"/>
  <c r="O418" i="6" s="1"/>
  <c r="BD160" i="6"/>
  <c r="BC160" i="6" s="1"/>
  <c r="BB160" i="6" s="1"/>
  <c r="O160" i="6" s="1"/>
  <c r="BD42" i="6"/>
  <c r="BC42" i="6" s="1"/>
  <c r="BB42" i="6" s="1"/>
  <c r="O42" i="6" s="1"/>
  <c r="BD174" i="6"/>
  <c r="BC174" i="6" s="1"/>
  <c r="BB174" i="6" s="1"/>
  <c r="O174" i="6" s="1"/>
  <c r="BD330" i="6"/>
  <c r="BC330" i="6" s="1"/>
  <c r="BB330" i="6" s="1"/>
  <c r="O330" i="6" s="1"/>
  <c r="BD53" i="6"/>
  <c r="BC53" i="6" s="1"/>
  <c r="BB53" i="6" s="1"/>
  <c r="O53" i="6" s="1"/>
  <c r="BD259" i="6"/>
  <c r="BC259" i="6" s="1"/>
  <c r="BB259" i="6" s="1"/>
  <c r="O259" i="6" s="1"/>
  <c r="BD341" i="6"/>
  <c r="BC341" i="6" s="1"/>
  <c r="BB341" i="6" s="1"/>
  <c r="O341" i="6" s="1"/>
  <c r="BD342" i="6"/>
  <c r="BC342" i="6" s="1"/>
  <c r="BB342" i="6" s="1"/>
  <c r="O342" i="6" s="1"/>
  <c r="BD55" i="6"/>
  <c r="BC55" i="6" s="1"/>
  <c r="BB55" i="6" s="1"/>
  <c r="O55" i="6" s="1"/>
  <c r="BD144" i="6"/>
  <c r="BC144" i="6" s="1"/>
  <c r="BB144" i="6" s="1"/>
  <c r="O144" i="6" s="1"/>
  <c r="BD214" i="6"/>
  <c r="BC214" i="6" s="1"/>
  <c r="BB214" i="6" s="1"/>
  <c r="O214" i="6" s="1"/>
  <c r="BD302" i="6"/>
  <c r="BC302" i="6" s="1"/>
  <c r="BB302" i="6" s="1"/>
  <c r="O302" i="6" s="1"/>
  <c r="BD350" i="6"/>
  <c r="BC350" i="6" s="1"/>
  <c r="BB350" i="6" s="1"/>
  <c r="O350" i="6" s="1"/>
  <c r="BD465" i="6"/>
  <c r="BC465" i="6" s="1"/>
  <c r="BB465" i="6" s="1"/>
  <c r="O465" i="6" s="1"/>
  <c r="BD346" i="6"/>
  <c r="BC346" i="6" s="1"/>
  <c r="BB346" i="6" s="1"/>
  <c r="O346" i="6" s="1"/>
  <c r="BD176" i="6"/>
  <c r="BC176" i="6" s="1"/>
  <c r="BB176" i="6" s="1"/>
  <c r="O176" i="6" s="1"/>
  <c r="BD461" i="6"/>
  <c r="BC461" i="6" s="1"/>
  <c r="BB461" i="6" s="1"/>
  <c r="O461" i="6" s="1"/>
  <c r="BD434" i="6"/>
  <c r="BC434" i="6" s="1"/>
  <c r="BB434" i="6" s="1"/>
  <c r="O434" i="6" s="1"/>
  <c r="BD413" i="6"/>
  <c r="BC413" i="6" s="1"/>
  <c r="BB413" i="6" s="1"/>
  <c r="O413" i="6" s="1"/>
  <c r="BD393" i="6"/>
  <c r="BC393" i="6" s="1"/>
  <c r="BB393" i="6" s="1"/>
  <c r="O393" i="6" s="1"/>
  <c r="BD366" i="6"/>
  <c r="BC366" i="6" s="1"/>
  <c r="BB366" i="6" s="1"/>
  <c r="O366" i="6" s="1"/>
  <c r="BD348" i="6"/>
  <c r="BC348" i="6" s="1"/>
  <c r="BB348" i="6" s="1"/>
  <c r="O348" i="6" s="1"/>
  <c r="BD319" i="6"/>
  <c r="BC319" i="6" s="1"/>
  <c r="BB319" i="6" s="1"/>
  <c r="O319" i="6" s="1"/>
  <c r="BD307" i="6"/>
  <c r="BC307" i="6" s="1"/>
  <c r="BB307" i="6" s="1"/>
  <c r="O307" i="6" s="1"/>
  <c r="BD282" i="6"/>
  <c r="BC282" i="6" s="1"/>
  <c r="BB282" i="6" s="1"/>
  <c r="O282" i="6" s="1"/>
  <c r="BD308" i="6"/>
  <c r="BC308" i="6" s="1"/>
  <c r="BB308" i="6" s="1"/>
  <c r="O308" i="6" s="1"/>
  <c r="BD295" i="6"/>
  <c r="BC295" i="6" s="1"/>
  <c r="BB295" i="6" s="1"/>
  <c r="O295" i="6" s="1"/>
  <c r="BD239" i="6"/>
  <c r="BC239" i="6" s="1"/>
  <c r="BB239" i="6" s="1"/>
  <c r="O239" i="6" s="1"/>
  <c r="BD227" i="6"/>
  <c r="BC227" i="6" s="1"/>
  <c r="BB227" i="6" s="1"/>
  <c r="O227" i="6" s="1"/>
  <c r="BD217" i="6"/>
  <c r="BC217" i="6" s="1"/>
  <c r="BB217" i="6" s="1"/>
  <c r="O217" i="6" s="1"/>
  <c r="BD179" i="6"/>
  <c r="BC179" i="6" s="1"/>
  <c r="BB179" i="6" s="1"/>
  <c r="O179" i="6" s="1"/>
  <c r="BD175" i="6"/>
  <c r="BC175" i="6" s="1"/>
  <c r="BB175" i="6" s="1"/>
  <c r="O175" i="6" s="1"/>
  <c r="BD146" i="6"/>
  <c r="BC146" i="6" s="1"/>
  <c r="BB146" i="6" s="1"/>
  <c r="O146" i="6" s="1"/>
  <c r="BD139" i="6"/>
  <c r="BC139" i="6" s="1"/>
  <c r="BB139" i="6" s="1"/>
  <c r="O139" i="6" s="1"/>
  <c r="BD128" i="6"/>
  <c r="BC128" i="6" s="1"/>
  <c r="BB128" i="6" s="1"/>
  <c r="O128" i="6" s="1"/>
  <c r="BD119" i="6"/>
  <c r="BC119" i="6" s="1"/>
  <c r="BB119" i="6" s="1"/>
  <c r="O119" i="6" s="1"/>
  <c r="BD85" i="6"/>
  <c r="BC85" i="6" s="1"/>
  <c r="BB85" i="6" s="1"/>
  <c r="O85" i="6" s="1"/>
  <c r="BD102" i="6"/>
  <c r="BC102" i="6" s="1"/>
  <c r="BB102" i="6" s="1"/>
  <c r="O102" i="6" s="1"/>
  <c r="BD64" i="6"/>
  <c r="BC64" i="6" s="1"/>
  <c r="BB64" i="6" s="1"/>
  <c r="O64" i="6" s="1"/>
  <c r="BD75" i="6"/>
  <c r="BC75" i="6" s="1"/>
  <c r="BB75" i="6" s="1"/>
  <c r="O75" i="6" s="1"/>
  <c r="BD45" i="6"/>
  <c r="BC45" i="6" s="1"/>
  <c r="BB45" i="6" s="1"/>
  <c r="O45" i="6" s="1"/>
  <c r="BD36" i="6"/>
  <c r="BC36" i="6" s="1"/>
  <c r="BB36" i="6" s="1"/>
  <c r="O36" i="6" s="1"/>
  <c r="BD39" i="6"/>
  <c r="BC39" i="6" s="1"/>
  <c r="BB39" i="6" s="1"/>
  <c r="O39" i="6" s="1"/>
  <c r="BD256" i="6"/>
  <c r="BC256" i="6" s="1"/>
  <c r="BB256" i="6" s="1"/>
  <c r="O256" i="6" s="1"/>
  <c r="BD152" i="6"/>
  <c r="BC152" i="6" s="1"/>
  <c r="BB152" i="6" s="1"/>
  <c r="O152" i="6" s="1"/>
  <c r="BD50" i="6"/>
  <c r="BC50" i="6" s="1"/>
  <c r="BB50" i="6" s="1"/>
  <c r="O50" i="6" s="1"/>
  <c r="BD168" i="6"/>
  <c r="BC168" i="6" s="1"/>
  <c r="BB168" i="6" s="1"/>
  <c r="O168" i="6" s="1"/>
  <c r="BD306" i="6"/>
  <c r="BC306" i="6" s="1"/>
  <c r="BB306" i="6" s="1"/>
  <c r="O306" i="6" s="1"/>
  <c r="BD397" i="6"/>
  <c r="BC397" i="6" s="1"/>
  <c r="BB397" i="6" s="1"/>
  <c r="O397" i="6" s="1"/>
  <c r="BD224" i="6"/>
  <c r="BC224" i="6" s="1"/>
  <c r="BB224" i="6" s="1"/>
  <c r="O224" i="6" s="1"/>
  <c r="BD391" i="6"/>
  <c r="BC391" i="6" s="1"/>
  <c r="BB391" i="6" s="1"/>
  <c r="O391" i="6" s="1"/>
  <c r="BD404" i="6"/>
  <c r="BC404" i="6" s="1"/>
  <c r="BB404" i="6" s="1"/>
  <c r="O404" i="6" s="1"/>
  <c r="BD229" i="6"/>
  <c r="BC229" i="6" s="1"/>
  <c r="BB229" i="6" s="1"/>
  <c r="O229" i="6" s="1"/>
  <c r="BD449" i="6"/>
  <c r="BC449" i="6" s="1"/>
  <c r="BB449" i="6" s="1"/>
  <c r="O449" i="6" s="1"/>
  <c r="BD134" i="6"/>
  <c r="BC134" i="6" s="1"/>
  <c r="BB134" i="6" s="1"/>
  <c r="O134" i="6" s="1"/>
  <c r="BD386" i="6"/>
  <c r="BC386" i="6" s="1"/>
  <c r="BB386" i="6" s="1"/>
  <c r="O386" i="6" s="1"/>
  <c r="BD392" i="6"/>
  <c r="BC392" i="6" s="1"/>
  <c r="BB392" i="6" s="1"/>
  <c r="O392" i="6" s="1"/>
  <c r="BD439" i="6"/>
  <c r="BC439" i="6" s="1"/>
  <c r="BB439" i="6" s="1"/>
  <c r="O439" i="6" s="1"/>
  <c r="BD164" i="6"/>
  <c r="BC164" i="6" s="1"/>
  <c r="BB164" i="6" s="1"/>
  <c r="O164" i="6" s="1"/>
  <c r="BD74" i="6"/>
  <c r="BC74" i="6" s="1"/>
  <c r="BB74" i="6" s="1"/>
  <c r="O74" i="6" s="1"/>
  <c r="BD172" i="6"/>
  <c r="BC172" i="6" s="1"/>
  <c r="BB172" i="6" s="1"/>
  <c r="O172" i="6" s="1"/>
  <c r="BD382" i="6"/>
  <c r="BC382" i="6" s="1"/>
  <c r="BB382" i="6" s="1"/>
  <c r="O382" i="6" s="1"/>
  <c r="BD87" i="6"/>
  <c r="BC87" i="6" s="1"/>
  <c r="BB87" i="6" s="1"/>
  <c r="O87" i="6" s="1"/>
  <c r="BD253" i="6"/>
  <c r="BC253" i="6" s="1"/>
  <c r="BB253" i="6" s="1"/>
  <c r="O253" i="6" s="1"/>
  <c r="BD362" i="6"/>
  <c r="BC362" i="6" s="1"/>
  <c r="BB362" i="6" s="1"/>
  <c r="O362" i="6" s="1"/>
  <c r="BD380" i="6"/>
  <c r="BC380" i="6" s="1"/>
  <c r="BB380" i="6" s="1"/>
  <c r="O380" i="6" s="1"/>
  <c r="BD27" i="6"/>
  <c r="BC27" i="6" s="1"/>
  <c r="BB27" i="6" s="1"/>
  <c r="O27" i="6" s="1"/>
  <c r="BD187" i="6"/>
  <c r="BC187" i="6" s="1"/>
  <c r="BB187" i="6" s="1"/>
  <c r="O187" i="6" s="1"/>
  <c r="BD226" i="6"/>
  <c r="BC226" i="6" s="1"/>
  <c r="BB226" i="6" s="1"/>
  <c r="O226" i="6" s="1"/>
  <c r="BD276" i="6"/>
  <c r="BC276" i="6" s="1"/>
  <c r="BB276" i="6" s="1"/>
  <c r="O276" i="6" s="1"/>
  <c r="BD378" i="6"/>
  <c r="BC378" i="6" s="1"/>
  <c r="BB378" i="6" s="1"/>
  <c r="O378" i="6" s="1"/>
  <c r="BD469" i="6"/>
  <c r="BC469" i="6" s="1"/>
  <c r="BB469" i="6" s="1"/>
  <c r="BD370" i="6"/>
  <c r="BC370" i="6" s="1"/>
  <c r="BB370" i="6" s="1"/>
  <c r="O370" i="6" s="1"/>
  <c r="BD242" i="6"/>
  <c r="BC242" i="6" s="1"/>
  <c r="BB242" i="6" s="1"/>
  <c r="O242" i="6" s="1"/>
  <c r="BD456" i="6"/>
  <c r="BC456" i="6" s="1"/>
  <c r="BB456" i="6" s="1"/>
  <c r="O456" i="6" s="1"/>
  <c r="BD427" i="6"/>
  <c r="BC427" i="6" s="1"/>
  <c r="BB427" i="6" s="1"/>
  <c r="O427" i="6" s="1"/>
  <c r="BD424" i="6"/>
  <c r="BC424" i="6" s="1"/>
  <c r="BB424" i="6" s="1"/>
  <c r="O424" i="6" s="1"/>
  <c r="BD384" i="6"/>
  <c r="BC384" i="6" s="1"/>
  <c r="BB384" i="6" s="1"/>
  <c r="O384" i="6" s="1"/>
  <c r="BD388" i="6"/>
  <c r="BC388" i="6" s="1"/>
  <c r="BB388" i="6" s="1"/>
  <c r="O388" i="6" s="1"/>
  <c r="BD334" i="6"/>
  <c r="BC334" i="6" s="1"/>
  <c r="BB334" i="6" s="1"/>
  <c r="O334" i="6" s="1"/>
  <c r="BD345" i="6"/>
  <c r="BC345" i="6" s="1"/>
  <c r="BB345" i="6" s="1"/>
  <c r="O345" i="6" s="1"/>
  <c r="BD301" i="6"/>
  <c r="BC301" i="6" s="1"/>
  <c r="BB301" i="6" s="1"/>
  <c r="O301" i="6" s="1"/>
  <c r="BD313" i="6"/>
  <c r="BC313" i="6" s="1"/>
  <c r="BB313" i="6" s="1"/>
  <c r="O313" i="6" s="1"/>
  <c r="BD280" i="6"/>
  <c r="BC280" i="6" s="1"/>
  <c r="BB280" i="6" s="1"/>
  <c r="O280" i="6" s="1"/>
  <c r="BD277" i="6"/>
  <c r="BC277" i="6" s="1"/>
  <c r="BB277" i="6" s="1"/>
  <c r="O277" i="6" s="1"/>
  <c r="BD285" i="6"/>
  <c r="BC285" i="6" s="1"/>
  <c r="BB285" i="6" s="1"/>
  <c r="O285" i="6" s="1"/>
  <c r="BD270" i="6"/>
  <c r="BC270" i="6" s="1"/>
  <c r="BB270" i="6" s="1"/>
  <c r="O270" i="6" s="1"/>
  <c r="BD207" i="6"/>
  <c r="BC207" i="6" s="1"/>
  <c r="BB207" i="6" s="1"/>
  <c r="O207" i="6" s="1"/>
  <c r="BD171" i="6"/>
  <c r="BC171" i="6" s="1"/>
  <c r="BB171" i="6" s="1"/>
  <c r="O171" i="6" s="1"/>
  <c r="BD167" i="6"/>
  <c r="BC167" i="6" s="1"/>
  <c r="BB167" i="6" s="1"/>
  <c r="O167" i="6" s="1"/>
  <c r="BD140" i="6"/>
  <c r="BC140" i="6" s="1"/>
  <c r="BB140" i="6" s="1"/>
  <c r="O140" i="6" s="1"/>
  <c r="BD131" i="6"/>
  <c r="BC131" i="6" s="1"/>
  <c r="BB131" i="6" s="1"/>
  <c r="O131" i="6" s="1"/>
  <c r="BD120" i="6"/>
  <c r="BC120" i="6" s="1"/>
  <c r="BB120" i="6" s="1"/>
  <c r="O120" i="6" s="1"/>
  <c r="BD151" i="6"/>
  <c r="BC151" i="6" s="1"/>
  <c r="BB151" i="6" s="1"/>
  <c r="O151" i="6" s="1"/>
  <c r="BD77" i="6"/>
  <c r="BC77" i="6" s="1"/>
  <c r="BB77" i="6" s="1"/>
  <c r="O77" i="6" s="1"/>
  <c r="BD98" i="6"/>
  <c r="BC98" i="6" s="1"/>
  <c r="BB98" i="6" s="1"/>
  <c r="O98" i="6" s="1"/>
  <c r="BD59" i="6"/>
  <c r="BC59" i="6" s="1"/>
  <c r="BB59" i="6" s="1"/>
  <c r="O59" i="6" s="1"/>
  <c r="BD61" i="6"/>
  <c r="BC61" i="6" s="1"/>
  <c r="BB61" i="6" s="1"/>
  <c r="O61" i="6" s="1"/>
  <c r="BD37" i="6"/>
  <c r="BC37" i="6" s="1"/>
  <c r="BB37" i="6" s="1"/>
  <c r="O37" i="6" s="1"/>
  <c r="BD16" i="6"/>
  <c r="BC16" i="6" s="1"/>
  <c r="BB16" i="6" s="1"/>
  <c r="O16" i="6" s="1"/>
  <c r="BD90" i="6"/>
  <c r="BC90" i="6" s="1"/>
  <c r="BB90" i="6" s="1"/>
  <c r="O90" i="6" s="1"/>
  <c r="BD291" i="6"/>
  <c r="BC291" i="6" s="1"/>
  <c r="BB291" i="6" s="1"/>
  <c r="O291" i="6" s="1"/>
  <c r="BD238" i="6"/>
  <c r="BC238" i="6" s="1"/>
  <c r="BB238" i="6" s="1"/>
  <c r="O238" i="6" s="1"/>
  <c r="BD92" i="6"/>
  <c r="BC92" i="6" s="1"/>
  <c r="BB92" i="6" s="1"/>
  <c r="O92" i="6" s="1"/>
  <c r="BD193" i="6"/>
  <c r="BC193" i="6" s="1"/>
  <c r="BB193" i="6" s="1"/>
  <c r="O193" i="6" s="1"/>
  <c r="BD284" i="6"/>
  <c r="BC284" i="6" s="1"/>
  <c r="BB284" i="6" s="1"/>
  <c r="O284" i="6" s="1"/>
  <c r="BD400" i="6"/>
  <c r="BC400" i="6" s="1"/>
  <c r="BB400" i="6" s="1"/>
  <c r="O400" i="6" s="1"/>
  <c r="BD208" i="6"/>
  <c r="BC208" i="6" s="1"/>
  <c r="BB208" i="6" s="1"/>
  <c r="O208" i="6" s="1"/>
  <c r="BD407" i="6"/>
  <c r="BC407" i="6" s="1"/>
  <c r="BB407" i="6" s="1"/>
  <c r="O407" i="6" s="1"/>
  <c r="BD383" i="6"/>
  <c r="BC383" i="6" s="1"/>
  <c r="BB383" i="6" s="1"/>
  <c r="O383" i="6" s="1"/>
  <c r="BD206" i="6"/>
  <c r="BC206" i="6" s="1"/>
  <c r="BB206" i="6" s="1"/>
  <c r="O206" i="6" s="1"/>
  <c r="BD32" i="6"/>
  <c r="BC32" i="6" s="1"/>
  <c r="BB32" i="6" s="1"/>
  <c r="O32" i="6" s="1"/>
  <c r="BD153" i="6"/>
  <c r="BC153" i="6" s="1"/>
  <c r="BB153" i="6" s="1"/>
  <c r="O153" i="6" s="1"/>
  <c r="BD394" i="6"/>
  <c r="BC394" i="6" s="1"/>
  <c r="BB394" i="6" s="1"/>
  <c r="O394" i="6" s="1"/>
  <c r="BD414" i="6"/>
  <c r="BC414" i="6" s="1"/>
  <c r="BB414" i="6" s="1"/>
  <c r="O414" i="6" s="1"/>
  <c r="BD448" i="6"/>
  <c r="BC448" i="6" s="1"/>
  <c r="BB448" i="6" s="1"/>
  <c r="O448" i="6" s="1"/>
  <c r="BD221" i="6"/>
  <c r="BC221" i="6" s="1"/>
  <c r="BB221" i="6" s="1"/>
  <c r="O221" i="6" s="1"/>
  <c r="BD66" i="6"/>
  <c r="BC66" i="6" s="1"/>
  <c r="BB66" i="6" s="1"/>
  <c r="O66" i="6" s="1"/>
  <c r="BD201" i="6"/>
  <c r="BC201" i="6" s="1"/>
  <c r="BB201" i="6" s="1"/>
  <c r="O201" i="6" s="1"/>
  <c r="BD443" i="6"/>
  <c r="BC443" i="6" s="1"/>
  <c r="BB443" i="6" s="1"/>
  <c r="O443" i="6" s="1"/>
  <c r="BD96" i="6"/>
  <c r="BC96" i="6" s="1"/>
  <c r="BB96" i="6" s="1"/>
  <c r="O96" i="6" s="1"/>
  <c r="BD300" i="6"/>
  <c r="BC300" i="6" s="1"/>
  <c r="BB300" i="6" s="1"/>
  <c r="O300" i="6" s="1"/>
  <c r="BD463" i="6"/>
  <c r="BC463" i="6" s="1"/>
  <c r="BB463" i="6" s="1"/>
  <c r="O463" i="6" s="1"/>
  <c r="BD360" i="6"/>
  <c r="BC360" i="6" s="1"/>
  <c r="BB360" i="6" s="1"/>
  <c r="O360" i="6" s="1"/>
  <c r="BD40" i="6"/>
  <c r="BC40" i="6" s="1"/>
  <c r="BB40" i="6" s="1"/>
  <c r="O40" i="6" s="1"/>
  <c r="BD181" i="6"/>
  <c r="BC181" i="6" s="1"/>
  <c r="BB181" i="6" s="1"/>
  <c r="O181" i="6" s="1"/>
  <c r="BD234" i="6"/>
  <c r="BC234" i="6" s="1"/>
  <c r="BB234" i="6" s="1"/>
  <c r="O234" i="6" s="1"/>
  <c r="BD320" i="6"/>
  <c r="BC320" i="6" s="1"/>
  <c r="BB320" i="6" s="1"/>
  <c r="O320" i="6" s="1"/>
  <c r="BD373" i="6"/>
  <c r="BC373" i="6" s="1"/>
  <c r="BB373" i="6" s="1"/>
  <c r="O373" i="6" s="1"/>
  <c r="BD137" i="6"/>
  <c r="BC137" i="6" s="1"/>
  <c r="BB137" i="6" s="1"/>
  <c r="O137" i="6" s="1"/>
  <c r="BD385" i="6"/>
  <c r="BC385" i="6" s="1"/>
  <c r="BB385" i="6" s="1"/>
  <c r="O385" i="6" s="1"/>
  <c r="BD357" i="6"/>
  <c r="BC357" i="6" s="1"/>
  <c r="BB357" i="6" s="1"/>
  <c r="O357" i="6" s="1"/>
  <c r="BD458" i="6"/>
  <c r="BC458" i="6" s="1"/>
  <c r="BB458" i="6" s="1"/>
  <c r="O458" i="6" s="1"/>
  <c r="BD419" i="6"/>
  <c r="BC419" i="6" s="1"/>
  <c r="BB419" i="6" s="1"/>
  <c r="O419" i="6" s="1"/>
  <c r="BD402" i="6"/>
  <c r="BC402" i="6" s="1"/>
  <c r="BB402" i="6" s="1"/>
  <c r="O402" i="6" s="1"/>
  <c r="BD401" i="6"/>
  <c r="BC401" i="6" s="1"/>
  <c r="BB401" i="6" s="1"/>
  <c r="O401" i="6" s="1"/>
  <c r="BD379" i="6"/>
  <c r="BC379" i="6" s="1"/>
  <c r="BB379" i="6" s="1"/>
  <c r="O379" i="6" s="1"/>
  <c r="BD343" i="6"/>
  <c r="BC343" i="6" s="1"/>
  <c r="BB343" i="6" s="1"/>
  <c r="O343" i="6" s="1"/>
  <c r="BD324" i="6"/>
  <c r="BC324" i="6" s="1"/>
  <c r="BB324" i="6" s="1"/>
  <c r="O324" i="6" s="1"/>
  <c r="BD328" i="6"/>
  <c r="BC328" i="6" s="1"/>
  <c r="BB328" i="6" s="1"/>
  <c r="O328" i="6" s="1"/>
  <c r="BD297" i="6"/>
  <c r="BC297" i="6" s="1"/>
  <c r="BB297" i="6" s="1"/>
  <c r="O297" i="6" s="1"/>
  <c r="BD274" i="6"/>
  <c r="BC274" i="6" s="1"/>
  <c r="BB274" i="6" s="1"/>
  <c r="O274" i="6" s="1"/>
  <c r="BD271" i="6"/>
  <c r="BC271" i="6" s="1"/>
  <c r="BB271" i="6" s="1"/>
  <c r="O271" i="6" s="1"/>
  <c r="BD236" i="6"/>
  <c r="BC236" i="6" s="1"/>
  <c r="BB236" i="6" s="1"/>
  <c r="O236" i="6" s="1"/>
  <c r="BD262" i="6"/>
  <c r="BC262" i="6" s="1"/>
  <c r="BB262" i="6" s="1"/>
  <c r="O262" i="6" s="1"/>
  <c r="BD204" i="6"/>
  <c r="BC204" i="6" s="1"/>
  <c r="BB204" i="6" s="1"/>
  <c r="O204" i="6" s="1"/>
  <c r="BD163" i="6"/>
  <c r="BC163" i="6" s="1"/>
  <c r="BB163" i="6" s="1"/>
  <c r="O163" i="6" s="1"/>
  <c r="BD159" i="6"/>
  <c r="BC159" i="6" s="1"/>
  <c r="BB159" i="6" s="1"/>
  <c r="O159" i="6" s="1"/>
  <c r="BD132" i="6"/>
  <c r="BC132" i="6" s="1"/>
  <c r="BB132" i="6" s="1"/>
  <c r="O132" i="6" s="1"/>
  <c r="BD123" i="6"/>
  <c r="BC123" i="6" s="1"/>
  <c r="BB123" i="6" s="1"/>
  <c r="O123" i="6" s="1"/>
  <c r="BD112" i="6"/>
  <c r="BC112" i="6" s="1"/>
  <c r="BB112" i="6" s="1"/>
  <c r="O112" i="6" s="1"/>
  <c r="BD169" i="6"/>
  <c r="BC169" i="6" s="1"/>
  <c r="BB169" i="6" s="1"/>
  <c r="O169" i="6" s="1"/>
  <c r="BD130" i="6"/>
  <c r="BC130" i="6" s="1"/>
  <c r="BB130" i="6" s="1"/>
  <c r="O130" i="6" s="1"/>
  <c r="BD89" i="6"/>
  <c r="BC89" i="6" s="1"/>
  <c r="BB89" i="6" s="1"/>
  <c r="O89" i="6" s="1"/>
  <c r="BD51" i="6"/>
  <c r="BC51" i="6" s="1"/>
  <c r="BB51" i="6" s="1"/>
  <c r="O51" i="6" s="1"/>
  <c r="BD31" i="6"/>
  <c r="BC31" i="6" s="1"/>
  <c r="BB31" i="6" s="1"/>
  <c r="O31" i="6" s="1"/>
  <c r="BD60" i="6"/>
  <c r="BC60" i="6" s="1"/>
  <c r="BB60" i="6" s="1"/>
  <c r="O60" i="6" s="1"/>
  <c r="BD15" i="6"/>
  <c r="BC15" i="6" s="1"/>
  <c r="BB15" i="6" s="1"/>
  <c r="O15" i="6" s="1"/>
  <c r="BD80" i="6"/>
  <c r="BC80" i="6" s="1"/>
  <c r="BB80" i="6" s="1"/>
  <c r="O80" i="6" s="1"/>
  <c r="BD338" i="6"/>
  <c r="BC338" i="6" s="1"/>
  <c r="BB338" i="6" s="1"/>
  <c r="O338" i="6" s="1"/>
  <c r="BD213" i="6"/>
  <c r="BC213" i="6" s="1"/>
  <c r="BB213" i="6" s="1"/>
  <c r="O213" i="6" s="1"/>
  <c r="BD58" i="6"/>
  <c r="BC58" i="6" s="1"/>
  <c r="BB58" i="6" s="1"/>
  <c r="O58" i="6" s="1"/>
  <c r="BD195" i="6"/>
  <c r="BC195" i="6" s="1"/>
  <c r="BB195" i="6" s="1"/>
  <c r="O195" i="6" s="1"/>
  <c r="BD296" i="6"/>
  <c r="BC296" i="6" s="1"/>
  <c r="BB296" i="6" s="1"/>
  <c r="O296" i="6" s="1"/>
  <c r="BD408" i="6"/>
  <c r="BC408" i="6" s="1"/>
  <c r="BB408" i="6" s="1"/>
  <c r="O408" i="6" s="1"/>
  <c r="BD321" i="6"/>
  <c r="BC321" i="6" s="1"/>
  <c r="BB321" i="6" s="1"/>
  <c r="O321" i="6" s="1"/>
  <c r="BD455" i="6"/>
  <c r="BC455" i="6" s="1"/>
  <c r="BB455" i="6" s="1"/>
  <c r="O455" i="6" s="1"/>
  <c r="BD420" i="6"/>
  <c r="BC420" i="6" s="1"/>
  <c r="BB420" i="6" s="1"/>
  <c r="O420" i="6" s="1"/>
  <c r="BD325" i="6"/>
  <c r="BC325" i="6" s="1"/>
  <c r="BB325" i="6" s="1"/>
  <c r="O325" i="6" s="1"/>
  <c r="BD63" i="6"/>
  <c r="BC63" i="6" s="1"/>
  <c r="BB63" i="6" s="1"/>
  <c r="O63" i="6" s="1"/>
  <c r="BD231" i="6"/>
  <c r="BC231" i="6" s="1"/>
  <c r="BB231" i="6" s="1"/>
  <c r="O231" i="6" s="1"/>
  <c r="BD381" i="6"/>
  <c r="BC381" i="6" s="1"/>
  <c r="BB381" i="6" s="1"/>
  <c r="O381" i="6" s="1"/>
  <c r="BD437" i="6"/>
  <c r="BC437" i="6" s="1"/>
  <c r="BB437" i="6" s="1"/>
  <c r="O437" i="6" s="1"/>
  <c r="BD68" i="6"/>
  <c r="BC68" i="6" s="1"/>
  <c r="BB68" i="6" s="1"/>
  <c r="O68" i="6" s="1"/>
  <c r="BD261" i="6"/>
  <c r="BC261" i="6" s="1"/>
  <c r="BB261" i="6" s="1"/>
  <c r="O261" i="6" s="1"/>
  <c r="BD79" i="6"/>
  <c r="BC79" i="6" s="1"/>
  <c r="BB79" i="6" s="1"/>
  <c r="O79" i="6" s="1"/>
  <c r="BD266" i="6"/>
  <c r="BC266" i="6" s="1"/>
  <c r="BB266" i="6" s="1"/>
  <c r="O266" i="6" s="1"/>
  <c r="BD349" i="6"/>
  <c r="BC349" i="6" s="1"/>
  <c r="BB349" i="6" s="1"/>
  <c r="O349" i="6" s="1"/>
  <c r="BD148" i="6"/>
  <c r="BC148" i="6" s="1"/>
  <c r="BB148" i="6" s="1"/>
  <c r="O148" i="6" s="1"/>
  <c r="BD241" i="6"/>
  <c r="BC241" i="6" s="1"/>
  <c r="BB241" i="6" s="1"/>
  <c r="O241" i="6" s="1"/>
  <c r="BD52" i="6"/>
  <c r="BC52" i="6" s="1"/>
  <c r="BB52" i="6" s="1"/>
  <c r="O52" i="6" s="1"/>
  <c r="BD33" i="6"/>
  <c r="BC33" i="6" s="1"/>
  <c r="BB33" i="6" s="1"/>
  <c r="O33" i="6" s="1"/>
  <c r="BD34" i="6"/>
  <c r="BC34" i="6" s="1"/>
  <c r="BB34" i="6" s="1"/>
  <c r="O34" i="6" s="1"/>
  <c r="BD192" i="6"/>
  <c r="BC192" i="6" s="1"/>
  <c r="BB192" i="6" s="1"/>
  <c r="O192" i="6" s="1"/>
  <c r="BD268" i="6"/>
  <c r="BC268" i="6" s="1"/>
  <c r="BB268" i="6" s="1"/>
  <c r="O268" i="6" s="1"/>
  <c r="BD317" i="6"/>
  <c r="BC317" i="6" s="1"/>
  <c r="BB317" i="6" s="1"/>
  <c r="O317" i="6" s="1"/>
  <c r="BD387" i="6"/>
  <c r="BC387" i="6" s="1"/>
  <c r="BB387" i="6" s="1"/>
  <c r="O387" i="6" s="1"/>
  <c r="BD194" i="6"/>
  <c r="BC194" i="6" s="1"/>
  <c r="BB194" i="6" s="1"/>
  <c r="O194" i="6" s="1"/>
  <c r="BD395" i="6"/>
  <c r="BC395" i="6" s="1"/>
  <c r="BB395" i="6" s="1"/>
  <c r="O395" i="6" s="1"/>
  <c r="BD416" i="6"/>
  <c r="BC416" i="6" s="1"/>
  <c r="BB416" i="6" s="1"/>
  <c r="O416" i="6" s="1"/>
  <c r="AV442" i="6"/>
  <c r="AU442" i="6" s="1"/>
  <c r="AT442" i="6" s="1"/>
  <c r="L442" i="6" s="1"/>
  <c r="AV145" i="6"/>
  <c r="AU145" i="6" s="1"/>
  <c r="AT145" i="6" s="1"/>
  <c r="L145" i="6" s="1"/>
  <c r="AV12" i="6"/>
  <c r="AU12" i="6" s="1"/>
  <c r="AT12" i="6" s="1"/>
  <c r="L12" i="6" s="1"/>
  <c r="AV407" i="6"/>
  <c r="AU407" i="6" s="1"/>
  <c r="AT407" i="6" s="1"/>
  <c r="L407" i="6" s="1"/>
  <c r="AV176" i="6"/>
  <c r="AU176" i="6" s="1"/>
  <c r="AT176" i="6" s="1"/>
  <c r="L176" i="6" s="1"/>
  <c r="BL460" i="6"/>
  <c r="BK460" i="6" s="1"/>
  <c r="BJ460" i="6" s="1"/>
  <c r="R460" i="6" s="1"/>
  <c r="BL427" i="6"/>
  <c r="BK427" i="6" s="1"/>
  <c r="BJ427" i="6" s="1"/>
  <c r="R427" i="6" s="1"/>
  <c r="BL399" i="6"/>
  <c r="BK399" i="6" s="1"/>
  <c r="BJ399" i="6" s="1"/>
  <c r="R399" i="6" s="1"/>
  <c r="BL405" i="6"/>
  <c r="BK405" i="6" s="1"/>
  <c r="BJ405" i="6" s="1"/>
  <c r="R405" i="6" s="1"/>
  <c r="BL379" i="6"/>
  <c r="BK379" i="6" s="1"/>
  <c r="BJ379" i="6" s="1"/>
  <c r="R379" i="6" s="1"/>
  <c r="BL366" i="6"/>
  <c r="BK366" i="6" s="1"/>
  <c r="BJ366" i="6" s="1"/>
  <c r="R366" i="6" s="1"/>
  <c r="BL340" i="6"/>
  <c r="BK340" i="6" s="1"/>
  <c r="BJ340" i="6" s="1"/>
  <c r="R340" i="6" s="1"/>
  <c r="BL313" i="6"/>
  <c r="BK313" i="6" s="1"/>
  <c r="BJ313" i="6" s="1"/>
  <c r="R313" i="6" s="1"/>
  <c r="BL298" i="6"/>
  <c r="BK298" i="6" s="1"/>
  <c r="BJ298" i="6" s="1"/>
  <c r="R298" i="6" s="1"/>
  <c r="BL458" i="6"/>
  <c r="BK458" i="6" s="1"/>
  <c r="BJ458" i="6" s="1"/>
  <c r="R458" i="6" s="1"/>
  <c r="BL419" i="6"/>
  <c r="BK419" i="6" s="1"/>
  <c r="BJ419" i="6" s="1"/>
  <c r="R419" i="6" s="1"/>
  <c r="BL417" i="6"/>
  <c r="BK417" i="6" s="1"/>
  <c r="BJ417" i="6" s="1"/>
  <c r="R417" i="6" s="1"/>
  <c r="BL384" i="6"/>
  <c r="BK384" i="6" s="1"/>
  <c r="BJ384" i="6" s="1"/>
  <c r="R384" i="6" s="1"/>
  <c r="BL359" i="6"/>
  <c r="BK359" i="6" s="1"/>
  <c r="BJ359" i="6" s="1"/>
  <c r="R359" i="6" s="1"/>
  <c r="BL362" i="6"/>
  <c r="BK362" i="6" s="1"/>
  <c r="BJ362" i="6" s="1"/>
  <c r="R362" i="6" s="1"/>
  <c r="BL327" i="6"/>
  <c r="BK327" i="6" s="1"/>
  <c r="BJ327" i="6" s="1"/>
  <c r="R327" i="6" s="1"/>
  <c r="BL301" i="6"/>
  <c r="BK301" i="6" s="1"/>
  <c r="BJ301" i="6" s="1"/>
  <c r="R301" i="6" s="1"/>
  <c r="BL290" i="6"/>
  <c r="BK290" i="6" s="1"/>
  <c r="BJ290" i="6" s="1"/>
  <c r="R290" i="6" s="1"/>
  <c r="BL277" i="6"/>
  <c r="BK277" i="6" s="1"/>
  <c r="BJ277" i="6" s="1"/>
  <c r="R277" i="6" s="1"/>
  <c r="BL287" i="6"/>
  <c r="BK287" i="6" s="1"/>
  <c r="BJ287" i="6" s="1"/>
  <c r="R287" i="6" s="1"/>
  <c r="BL308" i="6"/>
  <c r="BK308" i="6" s="1"/>
  <c r="BJ308" i="6" s="1"/>
  <c r="R308" i="6" s="1"/>
  <c r="BL262" i="6"/>
  <c r="BK262" i="6" s="1"/>
  <c r="BJ262" i="6" s="1"/>
  <c r="R262" i="6" s="1"/>
  <c r="BL225" i="6"/>
  <c r="BK225" i="6" s="1"/>
  <c r="BJ225" i="6" s="1"/>
  <c r="R225" i="6" s="1"/>
  <c r="BL454" i="6"/>
  <c r="BK454" i="6" s="1"/>
  <c r="BJ454" i="6" s="1"/>
  <c r="R454" i="6" s="1"/>
  <c r="BL441" i="6"/>
  <c r="BK441" i="6" s="1"/>
  <c r="BJ441" i="6" s="1"/>
  <c r="R441" i="6" s="1"/>
  <c r="BL413" i="6"/>
  <c r="BK413" i="6" s="1"/>
  <c r="BJ413" i="6" s="1"/>
  <c r="R413" i="6" s="1"/>
  <c r="BL397" i="6"/>
  <c r="BK397" i="6" s="1"/>
  <c r="BJ397" i="6" s="1"/>
  <c r="R397" i="6" s="1"/>
  <c r="BL351" i="6"/>
  <c r="BK351" i="6" s="1"/>
  <c r="BJ351" i="6" s="1"/>
  <c r="R351" i="6" s="1"/>
  <c r="BL345" i="6"/>
  <c r="BK345" i="6" s="1"/>
  <c r="BJ345" i="6" s="1"/>
  <c r="R345" i="6" s="1"/>
  <c r="BL319" i="6"/>
  <c r="BK319" i="6" s="1"/>
  <c r="BJ319" i="6" s="1"/>
  <c r="R319" i="6" s="1"/>
  <c r="BL333" i="6"/>
  <c r="BK333" i="6" s="1"/>
  <c r="BJ333" i="6" s="1"/>
  <c r="R333" i="6" s="1"/>
  <c r="BL282" i="6"/>
  <c r="BK282" i="6" s="1"/>
  <c r="BJ282" i="6" s="1"/>
  <c r="R282" i="6" s="1"/>
  <c r="BL293" i="6"/>
  <c r="BK293" i="6" s="1"/>
  <c r="BJ293" i="6" s="1"/>
  <c r="R293" i="6" s="1"/>
  <c r="BL280" i="6"/>
  <c r="BK280" i="6" s="1"/>
  <c r="BJ280" i="6" s="1"/>
  <c r="R280" i="6" s="1"/>
  <c r="BL223" i="6"/>
  <c r="BK223" i="6" s="1"/>
  <c r="BJ223" i="6" s="1"/>
  <c r="R223" i="6" s="1"/>
  <c r="BL244" i="6"/>
  <c r="BK244" i="6" s="1"/>
  <c r="BJ244" i="6" s="1"/>
  <c r="R244" i="6" s="1"/>
  <c r="BL204" i="6"/>
  <c r="BK204" i="6" s="1"/>
  <c r="BJ204" i="6" s="1"/>
  <c r="R204" i="6" s="1"/>
  <c r="BL466" i="6"/>
  <c r="BK466" i="6" s="1"/>
  <c r="BJ466" i="6" s="1"/>
  <c r="R466" i="6" s="1"/>
  <c r="BL446" i="6"/>
  <c r="BK446" i="6" s="1"/>
  <c r="BJ446" i="6" s="1"/>
  <c r="R446" i="6" s="1"/>
  <c r="BL429" i="6"/>
  <c r="BK429" i="6" s="1"/>
  <c r="BJ429" i="6" s="1"/>
  <c r="R429" i="6" s="1"/>
  <c r="BL406" i="6"/>
  <c r="BK406" i="6" s="1"/>
  <c r="BJ406" i="6" s="1"/>
  <c r="R406" i="6" s="1"/>
  <c r="BL389" i="6"/>
  <c r="BK389" i="6" s="1"/>
  <c r="BJ389" i="6" s="1"/>
  <c r="R389" i="6" s="1"/>
  <c r="BL377" i="6"/>
  <c r="BK377" i="6" s="1"/>
  <c r="BJ377" i="6" s="1"/>
  <c r="R377" i="6" s="1"/>
  <c r="BL344" i="6"/>
  <c r="BK344" i="6" s="1"/>
  <c r="BJ344" i="6" s="1"/>
  <c r="R344" i="6" s="1"/>
  <c r="BL336" i="6"/>
  <c r="BK336" i="6" s="1"/>
  <c r="BJ336" i="6" s="1"/>
  <c r="R336" i="6" s="1"/>
  <c r="BL321" i="6"/>
  <c r="BK321" i="6" s="1"/>
  <c r="BJ321" i="6" s="1"/>
  <c r="R321" i="6" s="1"/>
  <c r="BL310" i="6"/>
  <c r="BK310" i="6" s="1"/>
  <c r="BJ310" i="6" s="1"/>
  <c r="R310" i="6" s="1"/>
  <c r="BL295" i="6"/>
  <c r="BK295" i="6" s="1"/>
  <c r="BJ295" i="6" s="1"/>
  <c r="R295" i="6" s="1"/>
  <c r="BL303" i="6"/>
  <c r="BK303" i="6" s="1"/>
  <c r="BJ303" i="6" s="1"/>
  <c r="R303" i="6" s="1"/>
  <c r="BL254" i="6"/>
  <c r="BK254" i="6" s="1"/>
  <c r="BJ254" i="6" s="1"/>
  <c r="R254" i="6" s="1"/>
  <c r="BL239" i="6"/>
  <c r="BK239" i="6" s="1"/>
  <c r="BJ239" i="6" s="1"/>
  <c r="R239" i="6" s="1"/>
  <c r="BL217" i="6"/>
  <c r="BK217" i="6" s="1"/>
  <c r="BJ217" i="6" s="1"/>
  <c r="R217" i="6" s="1"/>
  <c r="BL450" i="6"/>
  <c r="BK450" i="6" s="1"/>
  <c r="BJ450" i="6" s="1"/>
  <c r="R450" i="6" s="1"/>
  <c r="BL440" i="6"/>
  <c r="BK440" i="6" s="1"/>
  <c r="BJ440" i="6" s="1"/>
  <c r="R440" i="6" s="1"/>
  <c r="BL421" i="6"/>
  <c r="BK421" i="6" s="1"/>
  <c r="BJ421" i="6" s="1"/>
  <c r="R421" i="6" s="1"/>
  <c r="BL425" i="6"/>
  <c r="BK425" i="6" s="1"/>
  <c r="BJ425" i="6" s="1"/>
  <c r="R425" i="6" s="1"/>
  <c r="BL374" i="6"/>
  <c r="BK374" i="6" s="1"/>
  <c r="BJ374" i="6" s="1"/>
  <c r="R374" i="6" s="1"/>
  <c r="BL371" i="6"/>
  <c r="BK371" i="6" s="1"/>
  <c r="BJ371" i="6" s="1"/>
  <c r="R371" i="6" s="1"/>
  <c r="BL353" i="6"/>
  <c r="BK353" i="6" s="1"/>
  <c r="BJ353" i="6" s="1"/>
  <c r="R353" i="6" s="1"/>
  <c r="BL324" i="6"/>
  <c r="BK324" i="6" s="1"/>
  <c r="BJ324" i="6" s="1"/>
  <c r="R324" i="6" s="1"/>
  <c r="BL318" i="6"/>
  <c r="BK318" i="6" s="1"/>
  <c r="BJ318" i="6" s="1"/>
  <c r="R318" i="6" s="1"/>
  <c r="BL297" i="6"/>
  <c r="BK297" i="6" s="1"/>
  <c r="BJ297" i="6" s="1"/>
  <c r="R297" i="6" s="1"/>
  <c r="BL285" i="6"/>
  <c r="BK285" i="6" s="1"/>
  <c r="BJ285" i="6" s="1"/>
  <c r="R285" i="6" s="1"/>
  <c r="BL271" i="6"/>
  <c r="BK271" i="6" s="1"/>
  <c r="BJ271" i="6" s="1"/>
  <c r="R271" i="6" s="1"/>
  <c r="BL228" i="6"/>
  <c r="BK228" i="6" s="1"/>
  <c r="BJ228" i="6" s="1"/>
  <c r="R228" i="6" s="1"/>
  <c r="BL227" i="6"/>
  <c r="BK227" i="6" s="1"/>
  <c r="BJ227" i="6" s="1"/>
  <c r="R227" i="6" s="1"/>
  <c r="BL209" i="6"/>
  <c r="BK209" i="6" s="1"/>
  <c r="BJ209" i="6" s="1"/>
  <c r="R209" i="6" s="1"/>
  <c r="BL464" i="6"/>
  <c r="BK464" i="6" s="1"/>
  <c r="BJ464" i="6" s="1"/>
  <c r="R464" i="6" s="1"/>
  <c r="BL436" i="6"/>
  <c r="BK436" i="6" s="1"/>
  <c r="BJ436" i="6" s="1"/>
  <c r="R436" i="6" s="1"/>
  <c r="BL402" i="6"/>
  <c r="BK402" i="6" s="1"/>
  <c r="BJ402" i="6" s="1"/>
  <c r="R402" i="6" s="1"/>
  <c r="BL401" i="6"/>
  <c r="BK401" i="6" s="1"/>
  <c r="BJ401" i="6" s="1"/>
  <c r="R401" i="6" s="1"/>
  <c r="BL388" i="6"/>
  <c r="BK388" i="6" s="1"/>
  <c r="BJ388" i="6" s="1"/>
  <c r="R388" i="6" s="1"/>
  <c r="BL369" i="6"/>
  <c r="BK369" i="6" s="1"/>
  <c r="BJ369" i="6" s="1"/>
  <c r="R369" i="6" s="1"/>
  <c r="BL348" i="6"/>
  <c r="BK348" i="6" s="1"/>
  <c r="BJ348" i="6" s="1"/>
  <c r="R348" i="6" s="1"/>
  <c r="BL316" i="6"/>
  <c r="BK316" i="6" s="1"/>
  <c r="BJ316" i="6" s="1"/>
  <c r="R316" i="6" s="1"/>
  <c r="BL311" i="6"/>
  <c r="BK311" i="6" s="1"/>
  <c r="BJ311" i="6" s="1"/>
  <c r="R311" i="6" s="1"/>
  <c r="BL456" i="6"/>
  <c r="BK456" i="6" s="1"/>
  <c r="BJ456" i="6" s="1"/>
  <c r="R456" i="6" s="1"/>
  <c r="BL431" i="6"/>
  <c r="BK431" i="6" s="1"/>
  <c r="BJ431" i="6" s="1"/>
  <c r="R431" i="6" s="1"/>
  <c r="BL409" i="6"/>
  <c r="BK409" i="6" s="1"/>
  <c r="BJ409" i="6" s="1"/>
  <c r="R409" i="6" s="1"/>
  <c r="BL394" i="6"/>
  <c r="BK394" i="6" s="1"/>
  <c r="BJ394" i="6" s="1"/>
  <c r="R394" i="6" s="1"/>
  <c r="BL396" i="6"/>
  <c r="BK396" i="6" s="1"/>
  <c r="BJ396" i="6" s="1"/>
  <c r="R396" i="6" s="1"/>
  <c r="BL356" i="6"/>
  <c r="BK356" i="6" s="1"/>
  <c r="BJ356" i="6" s="1"/>
  <c r="R356" i="6" s="1"/>
  <c r="BL361" i="6"/>
  <c r="BK361" i="6" s="1"/>
  <c r="BJ361" i="6" s="1"/>
  <c r="R361" i="6" s="1"/>
  <c r="BL438" i="6"/>
  <c r="BK438" i="6" s="1"/>
  <c r="BJ438" i="6" s="1"/>
  <c r="R438" i="6" s="1"/>
  <c r="BL305" i="6"/>
  <c r="BK305" i="6" s="1"/>
  <c r="BJ305" i="6" s="1"/>
  <c r="R305" i="6" s="1"/>
  <c r="BL249" i="6"/>
  <c r="BK249" i="6" s="1"/>
  <c r="BJ249" i="6" s="1"/>
  <c r="R249" i="6" s="1"/>
  <c r="BL270" i="6"/>
  <c r="BK270" i="6" s="1"/>
  <c r="BJ270" i="6" s="1"/>
  <c r="R270" i="6" s="1"/>
  <c r="BL193" i="6"/>
  <c r="BK193" i="6" s="1"/>
  <c r="BJ193" i="6" s="1"/>
  <c r="R193" i="6" s="1"/>
  <c r="BL171" i="6"/>
  <c r="BK171" i="6" s="1"/>
  <c r="BJ171" i="6" s="1"/>
  <c r="R171" i="6" s="1"/>
  <c r="BL167" i="6"/>
  <c r="BK167" i="6" s="1"/>
  <c r="BJ167" i="6" s="1"/>
  <c r="R167" i="6" s="1"/>
  <c r="BL161" i="6"/>
  <c r="BK161" i="6" s="1"/>
  <c r="BJ161" i="6" s="1"/>
  <c r="R161" i="6" s="1"/>
  <c r="BL131" i="6"/>
  <c r="BK131" i="6" s="1"/>
  <c r="BJ131" i="6" s="1"/>
  <c r="R131" i="6" s="1"/>
  <c r="BL120" i="6"/>
  <c r="BK120" i="6" s="1"/>
  <c r="BJ120" i="6" s="1"/>
  <c r="R120" i="6" s="1"/>
  <c r="BL154" i="6"/>
  <c r="BK154" i="6" s="1"/>
  <c r="BJ154" i="6" s="1"/>
  <c r="R154" i="6" s="1"/>
  <c r="BL104" i="6"/>
  <c r="BK104" i="6" s="1"/>
  <c r="BJ104" i="6" s="1"/>
  <c r="R104" i="6" s="1"/>
  <c r="BL103" i="6"/>
  <c r="BK103" i="6" s="1"/>
  <c r="BJ103" i="6" s="1"/>
  <c r="R103" i="6" s="1"/>
  <c r="BL43" i="6"/>
  <c r="BK43" i="6" s="1"/>
  <c r="BJ43" i="6" s="1"/>
  <c r="R43" i="6" s="1"/>
  <c r="BL31" i="6"/>
  <c r="BK31" i="6" s="1"/>
  <c r="BJ31" i="6" s="1"/>
  <c r="R31" i="6" s="1"/>
  <c r="BL37" i="6"/>
  <c r="BK37" i="6" s="1"/>
  <c r="BJ37" i="6" s="1"/>
  <c r="R37" i="6" s="1"/>
  <c r="BL25" i="6"/>
  <c r="BK25" i="6" s="1"/>
  <c r="BJ25" i="6" s="1"/>
  <c r="R25" i="6" s="1"/>
  <c r="BL91" i="6"/>
  <c r="BK91" i="6" s="1"/>
  <c r="BJ91" i="6" s="1"/>
  <c r="R91" i="6" s="1"/>
  <c r="BL252" i="6"/>
  <c r="BK252" i="6" s="1"/>
  <c r="BJ252" i="6" s="1"/>
  <c r="R252" i="6" s="1"/>
  <c r="BL152" i="6"/>
  <c r="BK152" i="6" s="1"/>
  <c r="BJ152" i="6" s="1"/>
  <c r="R152" i="6" s="1"/>
  <c r="BL48" i="6"/>
  <c r="BK48" i="6" s="1"/>
  <c r="BJ48" i="6" s="1"/>
  <c r="R48" i="6" s="1"/>
  <c r="BL105" i="6"/>
  <c r="BK105" i="6" s="1"/>
  <c r="BJ105" i="6" s="1"/>
  <c r="R105" i="6" s="1"/>
  <c r="BL264" i="6"/>
  <c r="BK264" i="6" s="1"/>
  <c r="BJ264" i="6" s="1"/>
  <c r="R264" i="6" s="1"/>
  <c r="BL426" i="6"/>
  <c r="BK426" i="6" s="1"/>
  <c r="BJ426" i="6" s="1"/>
  <c r="R426" i="6" s="1"/>
  <c r="BL267" i="6"/>
  <c r="BK267" i="6" s="1"/>
  <c r="BJ267" i="6" s="1"/>
  <c r="R267" i="6" s="1"/>
  <c r="BL439" i="6"/>
  <c r="BK439" i="6" s="1"/>
  <c r="BJ439" i="6" s="1"/>
  <c r="R439" i="6" s="1"/>
  <c r="BL87" i="6"/>
  <c r="BK87" i="6" s="1"/>
  <c r="BJ87" i="6" s="1"/>
  <c r="R87" i="6" s="1"/>
  <c r="BL365" i="6"/>
  <c r="BK365" i="6" s="1"/>
  <c r="BJ365" i="6" s="1"/>
  <c r="R365" i="6" s="1"/>
  <c r="BL126" i="6"/>
  <c r="BK126" i="6" s="1"/>
  <c r="BJ126" i="6" s="1"/>
  <c r="R126" i="6" s="1"/>
  <c r="BL251" i="6"/>
  <c r="BK251" i="6" s="1"/>
  <c r="BJ251" i="6" s="1"/>
  <c r="R251" i="6" s="1"/>
  <c r="BL457" i="6"/>
  <c r="BK457" i="6" s="1"/>
  <c r="BJ457" i="6" s="1"/>
  <c r="R457" i="6" s="1"/>
  <c r="BL213" i="6"/>
  <c r="BK213" i="6" s="1"/>
  <c r="BJ213" i="6" s="1"/>
  <c r="R213" i="6" s="1"/>
  <c r="BL38" i="6"/>
  <c r="BK38" i="6" s="1"/>
  <c r="BJ38" i="6" s="1"/>
  <c r="R38" i="6" s="1"/>
  <c r="BL307" i="6"/>
  <c r="BK307" i="6" s="1"/>
  <c r="BJ307" i="6" s="1"/>
  <c r="R307" i="6" s="1"/>
  <c r="BL354" i="6"/>
  <c r="BK354" i="6" s="1"/>
  <c r="BJ354" i="6" s="1"/>
  <c r="R354" i="6" s="1"/>
  <c r="BL335" i="6"/>
  <c r="BK335" i="6" s="1"/>
  <c r="BJ335" i="6" s="1"/>
  <c r="R335" i="6" s="1"/>
  <c r="BL80" i="6"/>
  <c r="BK80" i="6" s="1"/>
  <c r="BJ80" i="6" s="1"/>
  <c r="R80" i="6" s="1"/>
  <c r="BL181" i="6"/>
  <c r="BK181" i="6" s="1"/>
  <c r="BJ181" i="6" s="1"/>
  <c r="R181" i="6" s="1"/>
  <c r="BL317" i="6"/>
  <c r="BK317" i="6" s="1"/>
  <c r="BJ317" i="6" s="1"/>
  <c r="R317" i="6" s="1"/>
  <c r="BL34" i="6"/>
  <c r="BK34" i="6" s="1"/>
  <c r="BJ34" i="6" s="1"/>
  <c r="R34" i="6" s="1"/>
  <c r="BL302" i="6"/>
  <c r="BK302" i="6" s="1"/>
  <c r="BJ302" i="6" s="1"/>
  <c r="R302" i="6" s="1"/>
  <c r="BL86" i="6"/>
  <c r="BK86" i="6" s="1"/>
  <c r="BJ86" i="6" s="1"/>
  <c r="R86" i="6" s="1"/>
  <c r="BL205" i="6"/>
  <c r="BK205" i="6" s="1"/>
  <c r="BJ205" i="6" s="1"/>
  <c r="R205" i="6" s="1"/>
  <c r="BL288" i="6"/>
  <c r="BK288" i="6" s="1"/>
  <c r="BJ288" i="6" s="1"/>
  <c r="R288" i="6" s="1"/>
  <c r="BL463" i="6"/>
  <c r="BK463" i="6" s="1"/>
  <c r="BJ463" i="6" s="1"/>
  <c r="R463" i="6" s="1"/>
  <c r="BL226" i="6"/>
  <c r="BK226" i="6" s="1"/>
  <c r="BJ226" i="6" s="1"/>
  <c r="R226" i="6" s="1"/>
  <c r="BL442" i="6"/>
  <c r="BK442" i="6" s="1"/>
  <c r="BJ442" i="6" s="1"/>
  <c r="R442" i="6" s="1"/>
  <c r="BL433" i="6"/>
  <c r="BK433" i="6" s="1"/>
  <c r="BJ433" i="6" s="1"/>
  <c r="R433" i="6" s="1"/>
  <c r="BL398" i="6"/>
  <c r="BK398" i="6" s="1"/>
  <c r="BJ398" i="6" s="1"/>
  <c r="R398" i="6" s="1"/>
  <c r="BL304" i="6"/>
  <c r="BK304" i="6" s="1"/>
  <c r="BJ304" i="6" s="1"/>
  <c r="R304" i="6" s="1"/>
  <c r="BL273" i="6"/>
  <c r="BK273" i="6" s="1"/>
  <c r="BJ273" i="6" s="1"/>
  <c r="R273" i="6" s="1"/>
  <c r="BL235" i="6"/>
  <c r="BK235" i="6" s="1"/>
  <c r="BJ235" i="6" s="1"/>
  <c r="R235" i="6" s="1"/>
  <c r="BL185" i="6"/>
  <c r="BK185" i="6" s="1"/>
  <c r="BJ185" i="6" s="1"/>
  <c r="R185" i="6" s="1"/>
  <c r="BL163" i="6"/>
  <c r="BK163" i="6" s="1"/>
  <c r="BJ163" i="6" s="1"/>
  <c r="R163" i="6" s="1"/>
  <c r="BL159" i="6"/>
  <c r="BK159" i="6" s="1"/>
  <c r="BJ159" i="6" s="1"/>
  <c r="R159" i="6" s="1"/>
  <c r="BL140" i="6"/>
  <c r="BK140" i="6" s="1"/>
  <c r="BJ140" i="6" s="1"/>
  <c r="R140" i="6" s="1"/>
  <c r="BL123" i="6"/>
  <c r="BK123" i="6" s="1"/>
  <c r="BJ123" i="6" s="1"/>
  <c r="R123" i="6" s="1"/>
  <c r="BL112" i="6"/>
  <c r="BK112" i="6" s="1"/>
  <c r="BJ112" i="6" s="1"/>
  <c r="R112" i="6" s="1"/>
  <c r="BL151" i="6"/>
  <c r="BK151" i="6" s="1"/>
  <c r="BJ151" i="6" s="1"/>
  <c r="R151" i="6" s="1"/>
  <c r="BL108" i="6"/>
  <c r="BK108" i="6" s="1"/>
  <c r="BJ108" i="6" s="1"/>
  <c r="R108" i="6" s="1"/>
  <c r="BL98" i="6"/>
  <c r="BK98" i="6" s="1"/>
  <c r="BJ98" i="6" s="1"/>
  <c r="R98" i="6" s="1"/>
  <c r="BL75" i="6"/>
  <c r="BK75" i="6" s="1"/>
  <c r="BJ75" i="6" s="1"/>
  <c r="R75" i="6" s="1"/>
  <c r="BL23" i="6"/>
  <c r="BK23" i="6" s="1"/>
  <c r="BJ23" i="6" s="1"/>
  <c r="R23" i="6" s="1"/>
  <c r="BL20" i="6"/>
  <c r="BK20" i="6" s="1"/>
  <c r="BJ20" i="6" s="1"/>
  <c r="R20" i="6" s="1"/>
  <c r="BL15" i="6"/>
  <c r="BK15" i="6" s="1"/>
  <c r="BJ15" i="6" s="1"/>
  <c r="R15" i="6" s="1"/>
  <c r="BL62" i="6"/>
  <c r="BK62" i="6" s="1"/>
  <c r="BJ62" i="6" s="1"/>
  <c r="R62" i="6" s="1"/>
  <c r="BL291" i="6"/>
  <c r="BK291" i="6" s="1"/>
  <c r="BJ291" i="6" s="1"/>
  <c r="R291" i="6" s="1"/>
  <c r="BL180" i="6"/>
  <c r="BK180" i="6" s="1"/>
  <c r="BJ180" i="6" s="1"/>
  <c r="R180" i="6" s="1"/>
  <c r="BL26" i="6"/>
  <c r="BK26" i="6" s="1"/>
  <c r="BJ26" i="6" s="1"/>
  <c r="R26" i="6" s="1"/>
  <c r="BL150" i="6"/>
  <c r="BK150" i="6" s="1"/>
  <c r="BJ150" i="6" s="1"/>
  <c r="R150" i="6" s="1"/>
  <c r="BL272" i="6"/>
  <c r="BK272" i="6" s="1"/>
  <c r="BJ272" i="6" s="1"/>
  <c r="R272" i="6" s="1"/>
  <c r="BL452" i="6"/>
  <c r="BK452" i="6" s="1"/>
  <c r="BJ452" i="6" s="1"/>
  <c r="R452" i="6" s="1"/>
  <c r="BL278" i="6"/>
  <c r="BK278" i="6" s="1"/>
  <c r="BJ278" i="6" s="1"/>
  <c r="R278" i="6" s="1"/>
  <c r="BL447" i="6"/>
  <c r="BK447" i="6" s="1"/>
  <c r="BJ447" i="6" s="1"/>
  <c r="R447" i="6" s="1"/>
  <c r="BL102" i="6"/>
  <c r="BK102" i="6" s="1"/>
  <c r="BJ102" i="6" s="1"/>
  <c r="R102" i="6" s="1"/>
  <c r="BL449" i="6"/>
  <c r="BK449" i="6" s="1"/>
  <c r="BJ449" i="6" s="1"/>
  <c r="R449" i="6" s="1"/>
  <c r="BL129" i="6"/>
  <c r="BK129" i="6" s="1"/>
  <c r="BJ129" i="6" s="1"/>
  <c r="R129" i="6" s="1"/>
  <c r="BL284" i="6"/>
  <c r="BK284" i="6" s="1"/>
  <c r="BJ284" i="6" s="1"/>
  <c r="R284" i="6" s="1"/>
  <c r="BL381" i="6"/>
  <c r="BK381" i="6" s="1"/>
  <c r="BJ381" i="6" s="1"/>
  <c r="R381" i="6" s="1"/>
  <c r="BL368" i="6"/>
  <c r="BK368" i="6" s="1"/>
  <c r="BJ368" i="6" s="1"/>
  <c r="R368" i="6" s="1"/>
  <c r="BL101" i="6"/>
  <c r="BK101" i="6" s="1"/>
  <c r="BJ101" i="6" s="1"/>
  <c r="R101" i="6" s="1"/>
  <c r="BL323" i="6"/>
  <c r="BK323" i="6" s="1"/>
  <c r="BJ323" i="6" s="1"/>
  <c r="R323" i="6" s="1"/>
  <c r="BL390" i="6"/>
  <c r="BK390" i="6" s="1"/>
  <c r="BJ390" i="6" s="1"/>
  <c r="R390" i="6" s="1"/>
  <c r="BL375" i="6"/>
  <c r="BK375" i="6" s="1"/>
  <c r="BJ375" i="6" s="1"/>
  <c r="R375" i="6" s="1"/>
  <c r="BL79" i="6"/>
  <c r="BK79" i="6" s="1"/>
  <c r="BJ79" i="6" s="1"/>
  <c r="R79" i="6" s="1"/>
  <c r="BL202" i="6"/>
  <c r="BK202" i="6" s="1"/>
  <c r="BJ202" i="6" s="1"/>
  <c r="R202" i="6" s="1"/>
  <c r="BL352" i="6"/>
  <c r="BK352" i="6" s="1"/>
  <c r="BJ352" i="6" s="1"/>
  <c r="R352" i="6" s="1"/>
  <c r="BL84" i="6"/>
  <c r="BK84" i="6" s="1"/>
  <c r="BJ84" i="6" s="1"/>
  <c r="R84" i="6" s="1"/>
  <c r="BL21" i="6"/>
  <c r="BK21" i="6" s="1"/>
  <c r="BJ21" i="6" s="1"/>
  <c r="R21" i="6" s="1"/>
  <c r="BL94" i="6"/>
  <c r="BK94" i="6" s="1"/>
  <c r="BJ94" i="6" s="1"/>
  <c r="R94" i="6" s="1"/>
  <c r="BL211" i="6"/>
  <c r="BK211" i="6" s="1"/>
  <c r="BJ211" i="6" s="1"/>
  <c r="R211" i="6" s="1"/>
  <c r="BL309" i="6"/>
  <c r="BK309" i="6" s="1"/>
  <c r="BJ309" i="6" s="1"/>
  <c r="R309" i="6" s="1"/>
  <c r="BL107" i="6"/>
  <c r="BK107" i="6" s="1"/>
  <c r="BJ107" i="6" s="1"/>
  <c r="R107" i="6" s="1"/>
  <c r="BL234" i="6"/>
  <c r="BK234" i="6" s="1"/>
  <c r="BJ234" i="6" s="1"/>
  <c r="R234" i="6" s="1"/>
  <c r="BL451" i="6"/>
  <c r="BK451" i="6" s="1"/>
  <c r="BJ451" i="6" s="1"/>
  <c r="R451" i="6" s="1"/>
  <c r="BL380" i="6"/>
  <c r="BK380" i="6" s="1"/>
  <c r="BJ380" i="6" s="1"/>
  <c r="R380" i="6" s="1"/>
  <c r="BL289" i="6"/>
  <c r="BK289" i="6" s="1"/>
  <c r="BJ289" i="6" s="1"/>
  <c r="R289" i="6" s="1"/>
  <c r="BL263" i="6"/>
  <c r="BK263" i="6" s="1"/>
  <c r="BJ263" i="6" s="1"/>
  <c r="R263" i="6" s="1"/>
  <c r="BL210" i="6"/>
  <c r="BK210" i="6" s="1"/>
  <c r="BJ210" i="6" s="1"/>
  <c r="R210" i="6" s="1"/>
  <c r="BL207" i="6"/>
  <c r="BK207" i="6" s="1"/>
  <c r="BJ207" i="6" s="1"/>
  <c r="R207" i="6" s="1"/>
  <c r="BL155" i="6"/>
  <c r="BK155" i="6" s="1"/>
  <c r="BJ155" i="6" s="1"/>
  <c r="R155" i="6" s="1"/>
  <c r="BL188" i="6"/>
  <c r="BK188" i="6" s="1"/>
  <c r="BJ188" i="6" s="1"/>
  <c r="R188" i="6" s="1"/>
  <c r="BL132" i="6"/>
  <c r="BK132" i="6" s="1"/>
  <c r="BJ132" i="6" s="1"/>
  <c r="R132" i="6" s="1"/>
  <c r="BL177" i="6"/>
  <c r="BK177" i="6" s="1"/>
  <c r="BJ177" i="6" s="1"/>
  <c r="R177" i="6" s="1"/>
  <c r="BL143" i="6"/>
  <c r="BK143" i="6" s="1"/>
  <c r="BJ143" i="6" s="1"/>
  <c r="R143" i="6" s="1"/>
  <c r="BL115" i="6"/>
  <c r="BK115" i="6" s="1"/>
  <c r="BJ115" i="6" s="1"/>
  <c r="R115" i="6" s="1"/>
  <c r="BL111" i="6"/>
  <c r="BK111" i="6" s="1"/>
  <c r="BJ111" i="6" s="1"/>
  <c r="R111" i="6" s="1"/>
  <c r="BL96" i="6"/>
  <c r="BK96" i="6" s="1"/>
  <c r="BJ96" i="6" s="1"/>
  <c r="R96" i="6" s="1"/>
  <c r="BL49" i="6"/>
  <c r="BK49" i="6" s="1"/>
  <c r="BJ49" i="6" s="1"/>
  <c r="R49" i="6" s="1"/>
  <c r="BL61" i="6"/>
  <c r="BK61" i="6" s="1"/>
  <c r="BJ61" i="6" s="1"/>
  <c r="R61" i="6" s="1"/>
  <c r="BL12" i="6"/>
  <c r="BK12" i="6" s="1"/>
  <c r="BJ12" i="6" s="1"/>
  <c r="R12" i="6" s="1"/>
  <c r="BL10" i="6"/>
  <c r="BK10" i="6" s="1"/>
  <c r="BJ10" i="6" s="1"/>
  <c r="R10" i="6" s="1"/>
  <c r="BL76" i="6"/>
  <c r="BK76" i="6" s="1"/>
  <c r="BJ76" i="6" s="1"/>
  <c r="R76" i="6" s="1"/>
  <c r="BL248" i="6"/>
  <c r="BK248" i="6" s="1"/>
  <c r="BJ248" i="6" s="1"/>
  <c r="R248" i="6" s="1"/>
  <c r="BL214" i="6"/>
  <c r="BK214" i="6" s="1"/>
  <c r="BJ214" i="6" s="1"/>
  <c r="R214" i="6" s="1"/>
  <c r="BL27" i="6"/>
  <c r="BK27" i="6" s="1"/>
  <c r="BJ27" i="6" s="1"/>
  <c r="R27" i="6" s="1"/>
  <c r="BL184" i="6"/>
  <c r="BK184" i="6" s="1"/>
  <c r="BJ184" i="6" s="1"/>
  <c r="R184" i="6" s="1"/>
  <c r="BL312" i="6"/>
  <c r="BK312" i="6" s="1"/>
  <c r="BJ312" i="6" s="1"/>
  <c r="R312" i="6" s="1"/>
  <c r="BL467" i="6"/>
  <c r="BK467" i="6" s="1"/>
  <c r="BJ467" i="6" s="1"/>
  <c r="R467" i="6" s="1"/>
  <c r="BL306" i="6"/>
  <c r="BK306" i="6" s="1"/>
  <c r="BJ306" i="6" s="1"/>
  <c r="R306" i="6" s="1"/>
  <c r="BL412" i="6"/>
  <c r="BK412" i="6" s="1"/>
  <c r="BJ412" i="6" s="1"/>
  <c r="R412" i="6" s="1"/>
  <c r="BL97" i="6"/>
  <c r="BK97" i="6" s="1"/>
  <c r="BJ97" i="6" s="1"/>
  <c r="R97" i="6" s="1"/>
  <c r="BL232" i="6"/>
  <c r="BK232" i="6" s="1"/>
  <c r="BJ232" i="6" s="1"/>
  <c r="R232" i="6" s="1"/>
  <c r="BL125" i="6"/>
  <c r="BK125" i="6" s="1"/>
  <c r="BJ125" i="6" s="1"/>
  <c r="R125" i="6" s="1"/>
  <c r="BL367" i="6"/>
  <c r="BK367" i="6" s="1"/>
  <c r="BJ367" i="6" s="1"/>
  <c r="R367" i="6" s="1"/>
  <c r="BL411" i="6"/>
  <c r="BK411" i="6" s="1"/>
  <c r="BJ411" i="6" s="1"/>
  <c r="R411" i="6" s="1"/>
  <c r="BL364" i="6"/>
  <c r="BK364" i="6" s="1"/>
  <c r="BJ364" i="6" s="1"/>
  <c r="R364" i="6" s="1"/>
  <c r="BL109" i="6"/>
  <c r="BK109" i="6" s="1"/>
  <c r="BJ109" i="6" s="1"/>
  <c r="R109" i="6" s="1"/>
  <c r="BL275" i="6"/>
  <c r="BK275" i="6" s="1"/>
  <c r="BJ275" i="6" s="1"/>
  <c r="R275" i="6" s="1"/>
  <c r="BL448" i="6"/>
  <c r="BK448" i="6" s="1"/>
  <c r="BJ448" i="6" s="1"/>
  <c r="R448" i="6" s="1"/>
  <c r="BL13" i="6"/>
  <c r="BK13" i="6" s="1"/>
  <c r="BJ13" i="6" s="1"/>
  <c r="R13" i="6" s="1"/>
  <c r="BL117" i="6"/>
  <c r="BK117" i="6" s="1"/>
  <c r="BJ117" i="6" s="1"/>
  <c r="R117" i="6" s="1"/>
  <c r="BL224" i="6"/>
  <c r="BK224" i="6" s="1"/>
  <c r="BJ224" i="6" s="1"/>
  <c r="R224" i="6" s="1"/>
  <c r="BL395" i="6"/>
  <c r="BK395" i="6" s="1"/>
  <c r="BJ395" i="6" s="1"/>
  <c r="R395" i="6" s="1"/>
  <c r="BL286" i="6"/>
  <c r="BK286" i="6" s="1"/>
  <c r="BJ286" i="6" s="1"/>
  <c r="R286" i="6" s="1"/>
  <c r="BL347" i="6"/>
  <c r="BK347" i="6" s="1"/>
  <c r="BJ347" i="6" s="1"/>
  <c r="R347" i="6" s="1"/>
  <c r="BL95" i="6"/>
  <c r="BK95" i="6" s="1"/>
  <c r="BJ95" i="6" s="1"/>
  <c r="R95" i="6" s="1"/>
  <c r="BL230" i="6"/>
  <c r="BK230" i="6" s="1"/>
  <c r="BJ230" i="6" s="1"/>
  <c r="R230" i="6" s="1"/>
  <c r="BL331" i="6"/>
  <c r="BK331" i="6" s="1"/>
  <c r="BJ331" i="6" s="1"/>
  <c r="R331" i="6" s="1"/>
  <c r="BL121" i="6"/>
  <c r="BK121" i="6" s="1"/>
  <c r="BJ121" i="6" s="1"/>
  <c r="R121" i="6" s="1"/>
  <c r="BL241" i="6"/>
  <c r="BK241" i="6" s="1"/>
  <c r="BJ241" i="6" s="1"/>
  <c r="R241" i="6" s="1"/>
  <c r="BL47" i="6"/>
  <c r="BK47" i="6" s="1"/>
  <c r="BJ47" i="6" s="1"/>
  <c r="R47" i="6" s="1"/>
  <c r="BL363" i="6"/>
  <c r="BK363" i="6" s="1"/>
  <c r="BJ363" i="6" s="1"/>
  <c r="R363" i="6" s="1"/>
  <c r="BL281" i="6"/>
  <c r="BK281" i="6" s="1"/>
  <c r="BJ281" i="6" s="1"/>
  <c r="R281" i="6" s="1"/>
  <c r="BL255" i="6"/>
  <c r="BK255" i="6" s="1"/>
  <c r="BJ255" i="6" s="1"/>
  <c r="R255" i="6" s="1"/>
  <c r="BL246" i="6"/>
  <c r="BK246" i="6" s="1"/>
  <c r="BJ246" i="6" s="1"/>
  <c r="R246" i="6" s="1"/>
  <c r="BL192" i="6"/>
  <c r="BK192" i="6" s="1"/>
  <c r="BJ192" i="6" s="1"/>
  <c r="R192" i="6" s="1"/>
  <c r="BL183" i="6"/>
  <c r="BK183" i="6" s="1"/>
  <c r="BJ183" i="6" s="1"/>
  <c r="R183" i="6" s="1"/>
  <c r="BL182" i="6"/>
  <c r="BK182" i="6" s="1"/>
  <c r="BJ182" i="6" s="1"/>
  <c r="R182" i="6" s="1"/>
  <c r="BL124" i="6"/>
  <c r="BK124" i="6" s="1"/>
  <c r="BJ124" i="6" s="1"/>
  <c r="R124" i="6" s="1"/>
  <c r="BL157" i="6"/>
  <c r="BK157" i="6" s="1"/>
  <c r="BJ157" i="6" s="1"/>
  <c r="R157" i="6" s="1"/>
  <c r="BL135" i="6"/>
  <c r="BK135" i="6" s="1"/>
  <c r="BJ135" i="6" s="1"/>
  <c r="R135" i="6" s="1"/>
  <c r="BL110" i="6"/>
  <c r="BK110" i="6" s="1"/>
  <c r="BJ110" i="6" s="1"/>
  <c r="R110" i="6" s="1"/>
  <c r="BL114" i="6"/>
  <c r="BK114" i="6" s="1"/>
  <c r="BJ114" i="6" s="1"/>
  <c r="R114" i="6" s="1"/>
  <c r="BL138" i="6"/>
  <c r="BK138" i="6" s="1"/>
  <c r="BJ138" i="6" s="1"/>
  <c r="R138" i="6" s="1"/>
  <c r="BL41" i="6"/>
  <c r="BK41" i="6" s="1"/>
  <c r="BJ41" i="6" s="1"/>
  <c r="R41" i="6" s="1"/>
  <c r="BL54" i="6"/>
  <c r="BK54" i="6" s="1"/>
  <c r="BJ54" i="6" s="1"/>
  <c r="R54" i="6" s="1"/>
  <c r="BL19" i="6"/>
  <c r="BK19" i="6" s="1"/>
  <c r="BJ19" i="6" s="1"/>
  <c r="R19" i="6" s="1"/>
  <c r="BL29" i="6"/>
  <c r="BK29" i="6" s="1"/>
  <c r="BJ29" i="6" s="1"/>
  <c r="R29" i="6" s="1"/>
  <c r="BL58" i="6"/>
  <c r="BK58" i="6" s="1"/>
  <c r="BJ58" i="6" s="1"/>
  <c r="R58" i="6" s="1"/>
  <c r="BL376" i="6"/>
  <c r="BK376" i="6" s="1"/>
  <c r="BJ376" i="6" s="1"/>
  <c r="R376" i="6" s="1"/>
  <c r="BL338" i="6"/>
  <c r="BK338" i="6" s="1"/>
  <c r="BJ338" i="6" s="1"/>
  <c r="R338" i="6" s="1"/>
  <c r="BL60" i="6"/>
  <c r="BK60" i="6" s="1"/>
  <c r="BJ60" i="6" s="1"/>
  <c r="R60" i="6" s="1"/>
  <c r="BL195" i="6"/>
  <c r="BK195" i="6" s="1"/>
  <c r="BJ195" i="6" s="1"/>
  <c r="R195" i="6" s="1"/>
  <c r="BL346" i="6"/>
  <c r="BK346" i="6" s="1"/>
  <c r="BJ346" i="6" s="1"/>
  <c r="R346" i="6" s="1"/>
  <c r="BL468" i="6"/>
  <c r="BK468" i="6" s="1"/>
  <c r="BJ468" i="6" s="1"/>
  <c r="R468" i="6" s="1"/>
  <c r="BL296" i="6"/>
  <c r="BK296" i="6" s="1"/>
  <c r="BJ296" i="6" s="1"/>
  <c r="R296" i="6" s="1"/>
  <c r="BL391" i="6"/>
  <c r="BK391" i="6" s="1"/>
  <c r="BJ391" i="6" s="1"/>
  <c r="R391" i="6" s="1"/>
  <c r="BL168" i="6"/>
  <c r="BK168" i="6" s="1"/>
  <c r="BJ168" i="6" s="1"/>
  <c r="R168" i="6" s="1"/>
  <c r="BL357" i="6"/>
  <c r="BK357" i="6" s="1"/>
  <c r="BJ357" i="6" s="1"/>
  <c r="R357" i="6" s="1"/>
  <c r="BL176" i="6"/>
  <c r="BK176" i="6" s="1"/>
  <c r="BJ176" i="6" s="1"/>
  <c r="R176" i="6" s="1"/>
  <c r="BL403" i="6"/>
  <c r="BK403" i="6" s="1"/>
  <c r="BJ403" i="6" s="1"/>
  <c r="R403" i="6" s="1"/>
  <c r="BL392" i="6"/>
  <c r="BK392" i="6" s="1"/>
  <c r="BJ392" i="6" s="1"/>
  <c r="R392" i="6" s="1"/>
  <c r="BL393" i="6"/>
  <c r="BK393" i="6" s="1"/>
  <c r="BJ393" i="6" s="1"/>
  <c r="R393" i="6" s="1"/>
  <c r="BL237" i="6"/>
  <c r="BK237" i="6" s="1"/>
  <c r="BJ237" i="6" s="1"/>
  <c r="R237" i="6" s="1"/>
  <c r="BL337" i="6"/>
  <c r="BK337" i="6" s="1"/>
  <c r="BJ337" i="6" s="1"/>
  <c r="R337" i="6" s="1"/>
  <c r="BL343" i="6"/>
  <c r="BK343" i="6" s="1"/>
  <c r="BJ343" i="6" s="1"/>
  <c r="R343" i="6" s="1"/>
  <c r="BL24" i="6"/>
  <c r="BK24" i="6" s="1"/>
  <c r="BJ24" i="6" s="1"/>
  <c r="R24" i="6" s="1"/>
  <c r="BL141" i="6"/>
  <c r="BK141" i="6" s="1"/>
  <c r="BJ141" i="6" s="1"/>
  <c r="R141" i="6" s="1"/>
  <c r="BL238" i="6"/>
  <c r="BK238" i="6" s="1"/>
  <c r="BJ238" i="6" s="1"/>
  <c r="R238" i="6" s="1"/>
  <c r="BL385" i="6"/>
  <c r="BK385" i="6" s="1"/>
  <c r="BJ385" i="6" s="1"/>
  <c r="R385" i="6" s="1"/>
  <c r="BL330" i="6"/>
  <c r="BK330" i="6" s="1"/>
  <c r="BJ330" i="6" s="1"/>
  <c r="R330" i="6" s="1"/>
  <c r="BL408" i="6"/>
  <c r="BK408" i="6" s="1"/>
  <c r="BJ408" i="6" s="1"/>
  <c r="R408" i="6" s="1"/>
  <c r="BL113" i="6"/>
  <c r="BK113" i="6" s="1"/>
  <c r="BJ113" i="6" s="1"/>
  <c r="R113" i="6" s="1"/>
  <c r="BL219" i="6"/>
  <c r="BK219" i="6" s="1"/>
  <c r="BJ219" i="6" s="1"/>
  <c r="R219" i="6" s="1"/>
  <c r="BL373" i="6"/>
  <c r="BK373" i="6" s="1"/>
  <c r="BJ373" i="6" s="1"/>
  <c r="R373" i="6" s="1"/>
  <c r="BL148" i="6"/>
  <c r="BK148" i="6" s="1"/>
  <c r="BJ148" i="6" s="1"/>
  <c r="R148" i="6" s="1"/>
  <c r="BL294" i="6"/>
  <c r="BK294" i="6" s="1"/>
  <c r="BJ294" i="6" s="1"/>
  <c r="R294" i="6" s="1"/>
  <c r="BL71" i="6"/>
  <c r="BK71" i="6" s="1"/>
  <c r="BJ71" i="6" s="1"/>
  <c r="R71" i="6" s="1"/>
  <c r="BL334" i="6"/>
  <c r="BK334" i="6" s="1"/>
  <c r="BJ334" i="6" s="1"/>
  <c r="R334" i="6" s="1"/>
  <c r="BL314" i="6"/>
  <c r="BK314" i="6" s="1"/>
  <c r="BJ314" i="6" s="1"/>
  <c r="R314" i="6" s="1"/>
  <c r="BL247" i="6"/>
  <c r="BK247" i="6" s="1"/>
  <c r="BJ247" i="6" s="1"/>
  <c r="R247" i="6" s="1"/>
  <c r="BL233" i="6"/>
  <c r="BK233" i="6" s="1"/>
  <c r="BJ233" i="6" s="1"/>
  <c r="R233" i="6" s="1"/>
  <c r="BL215" i="6"/>
  <c r="BK215" i="6" s="1"/>
  <c r="BJ215" i="6" s="1"/>
  <c r="R215" i="6" s="1"/>
  <c r="BL178" i="6"/>
  <c r="BK178" i="6" s="1"/>
  <c r="BJ178" i="6" s="1"/>
  <c r="R178" i="6" s="1"/>
  <c r="BL174" i="6"/>
  <c r="BK174" i="6" s="1"/>
  <c r="BJ174" i="6" s="1"/>
  <c r="R174" i="6" s="1"/>
  <c r="BL116" i="6"/>
  <c r="BK116" i="6" s="1"/>
  <c r="BJ116" i="6" s="1"/>
  <c r="R116" i="6" s="1"/>
  <c r="BL169" i="6"/>
  <c r="BK169" i="6" s="1"/>
  <c r="BJ169" i="6" s="1"/>
  <c r="R169" i="6" s="1"/>
  <c r="BL127" i="6"/>
  <c r="BK127" i="6" s="1"/>
  <c r="BJ127" i="6" s="1"/>
  <c r="R127" i="6" s="1"/>
  <c r="BL100" i="6"/>
  <c r="BK100" i="6" s="1"/>
  <c r="BJ100" i="6" s="1"/>
  <c r="R100" i="6" s="1"/>
  <c r="BL99" i="6"/>
  <c r="BK99" i="6" s="1"/>
  <c r="BJ99" i="6" s="1"/>
  <c r="R99" i="6" s="1"/>
  <c r="BL118" i="6"/>
  <c r="BK118" i="6" s="1"/>
  <c r="BJ118" i="6" s="1"/>
  <c r="R118" i="6" s="1"/>
  <c r="BL69" i="6"/>
  <c r="BK69" i="6" s="1"/>
  <c r="BJ69" i="6" s="1"/>
  <c r="R69" i="6" s="1"/>
  <c r="BL46" i="6"/>
  <c r="BK46" i="6" s="1"/>
  <c r="BJ46" i="6" s="1"/>
  <c r="R46" i="6" s="1"/>
  <c r="BL11" i="6"/>
  <c r="BK11" i="6" s="1"/>
  <c r="BJ11" i="6" s="1"/>
  <c r="R11" i="6" s="1"/>
  <c r="BL22" i="6"/>
  <c r="BK22" i="6" s="1"/>
  <c r="BJ22" i="6" s="1"/>
  <c r="R22" i="6" s="1"/>
  <c r="BL82" i="6"/>
  <c r="BK82" i="6" s="1"/>
  <c r="BJ82" i="6" s="1"/>
  <c r="R82" i="6" s="1"/>
  <c r="BL355" i="6"/>
  <c r="BK355" i="6" s="1"/>
  <c r="BJ355" i="6" s="1"/>
  <c r="R355" i="6" s="1"/>
  <c r="BL190" i="6"/>
  <c r="BK190" i="6" s="1"/>
  <c r="BJ190" i="6" s="1"/>
  <c r="R190" i="6" s="1"/>
  <c r="BL106" i="6"/>
  <c r="BK106" i="6" s="1"/>
  <c r="BJ106" i="6" s="1"/>
  <c r="R106" i="6" s="1"/>
  <c r="BL216" i="6"/>
  <c r="BK216" i="6" s="1"/>
  <c r="BJ216" i="6" s="1"/>
  <c r="R216" i="6" s="1"/>
  <c r="BL360" i="6"/>
  <c r="BK360" i="6" s="1"/>
  <c r="BJ360" i="6" s="1"/>
  <c r="R360" i="6" s="1"/>
  <c r="BL222" i="6"/>
  <c r="BK222" i="6" s="1"/>
  <c r="BJ222" i="6" s="1"/>
  <c r="R222" i="6" s="1"/>
  <c r="BL372" i="6"/>
  <c r="BK372" i="6" s="1"/>
  <c r="BJ372" i="6" s="1"/>
  <c r="R372" i="6" s="1"/>
  <c r="BL432" i="6"/>
  <c r="BK432" i="6" s="1"/>
  <c r="BJ432" i="6" s="1"/>
  <c r="R432" i="6" s="1"/>
  <c r="BL198" i="6"/>
  <c r="BK198" i="6" s="1"/>
  <c r="BJ198" i="6" s="1"/>
  <c r="R198" i="6" s="1"/>
  <c r="BL444" i="6"/>
  <c r="BK444" i="6" s="1"/>
  <c r="BJ444" i="6" s="1"/>
  <c r="R444" i="6" s="1"/>
  <c r="BL146" i="6"/>
  <c r="BK146" i="6" s="1"/>
  <c r="BJ146" i="6" s="1"/>
  <c r="R146" i="6" s="1"/>
  <c r="BL422" i="6"/>
  <c r="BK422" i="6" s="1"/>
  <c r="BJ422" i="6" s="1"/>
  <c r="R422" i="6" s="1"/>
  <c r="BL53" i="6"/>
  <c r="BK53" i="6" s="1"/>
  <c r="BJ53" i="6" s="1"/>
  <c r="R53" i="6" s="1"/>
  <c r="BL434" i="6"/>
  <c r="BK434" i="6" s="1"/>
  <c r="BJ434" i="6" s="1"/>
  <c r="R434" i="6" s="1"/>
  <c r="BL231" i="6"/>
  <c r="BK231" i="6" s="1"/>
  <c r="BJ231" i="6" s="1"/>
  <c r="R231" i="6" s="1"/>
  <c r="BL332" i="6"/>
  <c r="BK332" i="6" s="1"/>
  <c r="BJ332" i="6" s="1"/>
  <c r="R332" i="6" s="1"/>
  <c r="BL342" i="6"/>
  <c r="BK342" i="6" s="1"/>
  <c r="BJ342" i="6" s="1"/>
  <c r="R342" i="6" s="1"/>
  <c r="BL40" i="6"/>
  <c r="BK40" i="6" s="1"/>
  <c r="BJ40" i="6" s="1"/>
  <c r="R40" i="6" s="1"/>
  <c r="BL144" i="6"/>
  <c r="BK144" i="6" s="1"/>
  <c r="BJ144" i="6" s="1"/>
  <c r="R144" i="6" s="1"/>
  <c r="BL259" i="6"/>
  <c r="BK259" i="6" s="1"/>
  <c r="BJ259" i="6" s="1"/>
  <c r="R259" i="6" s="1"/>
  <c r="BL416" i="6"/>
  <c r="BK416" i="6" s="1"/>
  <c r="BJ416" i="6" s="1"/>
  <c r="R416" i="6" s="1"/>
  <c r="BL418" i="6"/>
  <c r="BK418" i="6" s="1"/>
  <c r="BJ418" i="6" s="1"/>
  <c r="R418" i="6" s="1"/>
  <c r="BL59" i="6"/>
  <c r="BK59" i="6" s="1"/>
  <c r="BJ59" i="6" s="1"/>
  <c r="R59" i="6" s="1"/>
  <c r="BL134" i="6"/>
  <c r="BK134" i="6" s="1"/>
  <c r="BJ134" i="6" s="1"/>
  <c r="R134" i="6" s="1"/>
  <c r="BL253" i="6"/>
  <c r="BK253" i="6" s="1"/>
  <c r="BJ253" i="6" s="1"/>
  <c r="R253" i="6" s="1"/>
  <c r="BL387" i="6"/>
  <c r="BK387" i="6" s="1"/>
  <c r="BJ387" i="6" s="1"/>
  <c r="R387" i="6" s="1"/>
  <c r="BL145" i="6"/>
  <c r="BK145" i="6" s="1"/>
  <c r="BJ145" i="6" s="1"/>
  <c r="R145" i="6" s="1"/>
  <c r="BL320" i="6"/>
  <c r="BK320" i="6" s="1"/>
  <c r="BJ320" i="6" s="1"/>
  <c r="R320" i="6" s="1"/>
  <c r="BL243" i="6"/>
  <c r="BK243" i="6" s="1"/>
  <c r="BJ243" i="6" s="1"/>
  <c r="R243" i="6" s="1"/>
  <c r="BL328" i="6"/>
  <c r="BK328" i="6" s="1"/>
  <c r="BJ328" i="6" s="1"/>
  <c r="R328" i="6" s="1"/>
  <c r="BL274" i="6"/>
  <c r="BK274" i="6" s="1"/>
  <c r="BJ274" i="6" s="1"/>
  <c r="R274" i="6" s="1"/>
  <c r="BL236" i="6"/>
  <c r="BK236" i="6" s="1"/>
  <c r="BJ236" i="6" s="1"/>
  <c r="R236" i="6" s="1"/>
  <c r="BL203" i="6"/>
  <c r="BK203" i="6" s="1"/>
  <c r="BJ203" i="6" s="1"/>
  <c r="R203" i="6" s="1"/>
  <c r="BL199" i="6"/>
  <c r="BK199" i="6" s="1"/>
  <c r="BJ199" i="6" s="1"/>
  <c r="R199" i="6" s="1"/>
  <c r="BL170" i="6"/>
  <c r="BK170" i="6" s="1"/>
  <c r="BJ170" i="6" s="1"/>
  <c r="R170" i="6" s="1"/>
  <c r="BL166" i="6"/>
  <c r="BK166" i="6" s="1"/>
  <c r="BJ166" i="6" s="1"/>
  <c r="R166" i="6" s="1"/>
  <c r="BL153" i="6"/>
  <c r="BK153" i="6" s="1"/>
  <c r="BJ153" i="6" s="1"/>
  <c r="R153" i="6" s="1"/>
  <c r="BL149" i="6"/>
  <c r="BK149" i="6" s="1"/>
  <c r="BJ149" i="6" s="1"/>
  <c r="R149" i="6" s="1"/>
  <c r="BL119" i="6"/>
  <c r="BK119" i="6" s="1"/>
  <c r="BJ119" i="6" s="1"/>
  <c r="R119" i="6" s="1"/>
  <c r="BL93" i="6"/>
  <c r="BK93" i="6" s="1"/>
  <c r="BJ93" i="6" s="1"/>
  <c r="R93" i="6" s="1"/>
  <c r="BL89" i="6"/>
  <c r="BK89" i="6" s="1"/>
  <c r="BJ89" i="6" s="1"/>
  <c r="R89" i="6" s="1"/>
  <c r="BL130" i="6"/>
  <c r="BK130" i="6" s="1"/>
  <c r="BJ130" i="6" s="1"/>
  <c r="R130" i="6" s="1"/>
  <c r="BL67" i="6"/>
  <c r="BK67" i="6" s="1"/>
  <c r="BJ67" i="6" s="1"/>
  <c r="R67" i="6" s="1"/>
  <c r="BL30" i="6"/>
  <c r="BK30" i="6" s="1"/>
  <c r="BJ30" i="6" s="1"/>
  <c r="R30" i="6" s="1"/>
  <c r="BL36" i="6"/>
  <c r="BK36" i="6" s="1"/>
  <c r="BJ36" i="6" s="1"/>
  <c r="R36" i="6" s="1"/>
  <c r="BL9" i="6"/>
  <c r="BK9" i="6" s="1"/>
  <c r="BJ9" i="6" s="1"/>
  <c r="R9" i="6" s="1"/>
  <c r="BL88" i="6"/>
  <c r="BK88" i="6" s="1"/>
  <c r="BJ88" i="6" s="1"/>
  <c r="R88" i="6" s="1"/>
  <c r="BL383" i="6"/>
  <c r="BK383" i="6" s="1"/>
  <c r="BJ383" i="6" s="1"/>
  <c r="R383" i="6" s="1"/>
  <c r="BL349" i="6"/>
  <c r="BK349" i="6" s="1"/>
  <c r="BJ349" i="6" s="1"/>
  <c r="R349" i="6" s="1"/>
  <c r="BL72" i="6"/>
  <c r="BK72" i="6" s="1"/>
  <c r="BJ72" i="6" s="1"/>
  <c r="R72" i="6" s="1"/>
  <c r="BL258" i="6"/>
  <c r="BK258" i="6" s="1"/>
  <c r="BJ258" i="6" s="1"/>
  <c r="R258" i="6" s="1"/>
  <c r="BL378" i="6"/>
  <c r="BK378" i="6" s="1"/>
  <c r="BJ378" i="6" s="1"/>
  <c r="R378" i="6" s="1"/>
  <c r="BL218" i="6"/>
  <c r="BK218" i="6" s="1"/>
  <c r="BJ218" i="6" s="1"/>
  <c r="R218" i="6" s="1"/>
  <c r="BL339" i="6"/>
  <c r="BK339" i="6" s="1"/>
  <c r="BJ339" i="6" s="1"/>
  <c r="R339" i="6" s="1"/>
  <c r="BL420" i="6"/>
  <c r="BK420" i="6" s="1"/>
  <c r="BJ420" i="6" s="1"/>
  <c r="R420" i="6" s="1"/>
  <c r="BL242" i="6"/>
  <c r="BK242" i="6" s="1"/>
  <c r="BJ242" i="6" s="1"/>
  <c r="R242" i="6" s="1"/>
  <c r="BL28" i="6"/>
  <c r="BK28" i="6" s="1"/>
  <c r="BJ28" i="6" s="1"/>
  <c r="R28" i="6" s="1"/>
  <c r="BL164" i="6"/>
  <c r="BK164" i="6" s="1"/>
  <c r="BJ164" i="6" s="1"/>
  <c r="R164" i="6" s="1"/>
  <c r="BL428" i="6"/>
  <c r="BK428" i="6" s="1"/>
  <c r="BJ428" i="6" s="1"/>
  <c r="R428" i="6" s="1"/>
  <c r="BL83" i="6"/>
  <c r="BK83" i="6" s="1"/>
  <c r="BJ83" i="6" s="1"/>
  <c r="R83" i="6" s="1"/>
  <c r="BL18" i="6"/>
  <c r="BK18" i="6" s="1"/>
  <c r="BJ18" i="6" s="1"/>
  <c r="R18" i="6" s="1"/>
  <c r="BL240" i="6"/>
  <c r="BK240" i="6" s="1"/>
  <c r="BJ240" i="6" s="1"/>
  <c r="R240" i="6" s="1"/>
  <c r="BL350" i="6"/>
  <c r="BK350" i="6" s="1"/>
  <c r="BJ350" i="6" s="1"/>
  <c r="R350" i="6" s="1"/>
  <c r="BL370" i="6"/>
  <c r="BK370" i="6" s="1"/>
  <c r="BJ370" i="6" s="1"/>
  <c r="R370" i="6" s="1"/>
  <c r="BL33" i="6"/>
  <c r="BK33" i="6" s="1"/>
  <c r="BJ33" i="6" s="1"/>
  <c r="R33" i="6" s="1"/>
  <c r="BL160" i="6"/>
  <c r="BK160" i="6" s="1"/>
  <c r="BJ160" i="6" s="1"/>
  <c r="R160" i="6" s="1"/>
  <c r="BL269" i="6"/>
  <c r="BK269" i="6" s="1"/>
  <c r="BJ269" i="6" s="1"/>
  <c r="R269" i="6" s="1"/>
  <c r="BL414" i="6"/>
  <c r="BK414" i="6" s="1"/>
  <c r="BJ414" i="6" s="1"/>
  <c r="R414" i="6" s="1"/>
  <c r="BL459" i="6"/>
  <c r="BK459" i="6" s="1"/>
  <c r="BJ459" i="6" s="1"/>
  <c r="R459" i="6" s="1"/>
  <c r="BL44" i="6"/>
  <c r="BK44" i="6" s="1"/>
  <c r="BJ44" i="6" s="1"/>
  <c r="R44" i="6" s="1"/>
  <c r="BL189" i="6"/>
  <c r="BK189" i="6" s="1"/>
  <c r="BJ189" i="6" s="1"/>
  <c r="R189" i="6" s="1"/>
  <c r="BL268" i="6"/>
  <c r="BK268" i="6" s="1"/>
  <c r="BJ268" i="6" s="1"/>
  <c r="R268" i="6" s="1"/>
  <c r="BL407" i="6"/>
  <c r="BK407" i="6" s="1"/>
  <c r="BJ407" i="6" s="1"/>
  <c r="R407" i="6" s="1"/>
  <c r="BL186" i="6"/>
  <c r="BK186" i="6" s="1"/>
  <c r="BJ186" i="6" s="1"/>
  <c r="R186" i="6" s="1"/>
  <c r="BL329" i="6"/>
  <c r="BK329" i="6" s="1"/>
  <c r="BJ329" i="6" s="1"/>
  <c r="R329" i="6" s="1"/>
  <c r="BL256" i="6"/>
  <c r="BK256" i="6" s="1"/>
  <c r="BJ256" i="6" s="1"/>
  <c r="R256" i="6" s="1"/>
  <c r="BL461" i="6"/>
  <c r="BK461" i="6" s="1"/>
  <c r="BJ461" i="6" s="1"/>
  <c r="R461" i="6" s="1"/>
  <c r="BL322" i="6"/>
  <c r="BK322" i="6" s="1"/>
  <c r="BJ322" i="6" s="1"/>
  <c r="R322" i="6" s="1"/>
  <c r="BL265" i="6"/>
  <c r="BK265" i="6" s="1"/>
  <c r="BJ265" i="6" s="1"/>
  <c r="R265" i="6" s="1"/>
  <c r="BL220" i="6"/>
  <c r="BK220" i="6" s="1"/>
  <c r="BJ220" i="6" s="1"/>
  <c r="R220" i="6" s="1"/>
  <c r="BL196" i="6"/>
  <c r="BK196" i="6" s="1"/>
  <c r="BJ196" i="6" s="1"/>
  <c r="R196" i="6" s="1"/>
  <c r="BL191" i="6"/>
  <c r="BK191" i="6" s="1"/>
  <c r="BJ191" i="6" s="1"/>
  <c r="R191" i="6" s="1"/>
  <c r="BL162" i="6"/>
  <c r="BK162" i="6" s="1"/>
  <c r="BJ162" i="6" s="1"/>
  <c r="R162" i="6" s="1"/>
  <c r="BL158" i="6"/>
  <c r="BK158" i="6" s="1"/>
  <c r="BJ158" i="6" s="1"/>
  <c r="R158" i="6" s="1"/>
  <c r="BL142" i="6"/>
  <c r="BK142" i="6" s="1"/>
  <c r="BJ142" i="6" s="1"/>
  <c r="R142" i="6" s="1"/>
  <c r="BL136" i="6"/>
  <c r="BK136" i="6" s="1"/>
  <c r="BJ136" i="6" s="1"/>
  <c r="R136" i="6" s="1"/>
  <c r="BL165" i="6"/>
  <c r="BK165" i="6" s="1"/>
  <c r="BJ165" i="6" s="1"/>
  <c r="R165" i="6" s="1"/>
  <c r="BL85" i="6"/>
  <c r="BK85" i="6" s="1"/>
  <c r="BJ85" i="6" s="1"/>
  <c r="R85" i="6" s="1"/>
  <c r="BL81" i="6"/>
  <c r="BK81" i="6" s="1"/>
  <c r="BJ81" i="6" s="1"/>
  <c r="R81" i="6" s="1"/>
  <c r="BL122" i="6"/>
  <c r="BK122" i="6" s="1"/>
  <c r="BJ122" i="6" s="1"/>
  <c r="R122" i="6" s="1"/>
  <c r="BL57" i="6"/>
  <c r="BK57" i="6" s="1"/>
  <c r="BJ57" i="6" s="1"/>
  <c r="R57" i="6" s="1"/>
  <c r="BL65" i="6"/>
  <c r="BK65" i="6" s="1"/>
  <c r="BJ65" i="6" s="1"/>
  <c r="R65" i="6" s="1"/>
  <c r="BL16" i="6"/>
  <c r="BK16" i="6" s="1"/>
  <c r="BJ16" i="6" s="1"/>
  <c r="R16" i="6" s="1"/>
  <c r="BL39" i="6"/>
  <c r="BK39" i="6" s="1"/>
  <c r="BJ39" i="6" s="1"/>
  <c r="R39" i="6" s="1"/>
  <c r="BL133" i="6"/>
  <c r="BK133" i="6" s="1"/>
  <c r="BJ133" i="6" s="1"/>
  <c r="R133" i="6" s="1"/>
  <c r="BL469" i="6"/>
  <c r="BK469" i="6" s="1"/>
  <c r="BJ469" i="6" s="1"/>
  <c r="BL462" i="6"/>
  <c r="BK462" i="6" s="1"/>
  <c r="BJ462" i="6" s="1"/>
  <c r="R462" i="6" s="1"/>
  <c r="BL92" i="6"/>
  <c r="BK92" i="6" s="1"/>
  <c r="BJ92" i="6" s="1"/>
  <c r="R92" i="6" s="1"/>
  <c r="BL260" i="6"/>
  <c r="BK260" i="6" s="1"/>
  <c r="BJ260" i="6" s="1"/>
  <c r="R260" i="6" s="1"/>
  <c r="BL386" i="6"/>
  <c r="BK386" i="6" s="1"/>
  <c r="BJ386" i="6" s="1"/>
  <c r="R386" i="6" s="1"/>
  <c r="BL266" i="6"/>
  <c r="BK266" i="6" s="1"/>
  <c r="BJ266" i="6" s="1"/>
  <c r="R266" i="6" s="1"/>
  <c r="BL400" i="6"/>
  <c r="BK400" i="6" s="1"/>
  <c r="BJ400" i="6" s="1"/>
  <c r="R400" i="6" s="1"/>
  <c r="BL66" i="6"/>
  <c r="BK66" i="6" s="1"/>
  <c r="BJ66" i="6" s="1"/>
  <c r="R66" i="6" s="1"/>
  <c r="BL300" i="6"/>
  <c r="BK300" i="6" s="1"/>
  <c r="BJ300" i="6" s="1"/>
  <c r="R300" i="6" s="1"/>
  <c r="BL42" i="6"/>
  <c r="BK42" i="6" s="1"/>
  <c r="BJ42" i="6" s="1"/>
  <c r="R42" i="6" s="1"/>
  <c r="BL194" i="6"/>
  <c r="BK194" i="6" s="1"/>
  <c r="BJ194" i="6" s="1"/>
  <c r="R194" i="6" s="1"/>
  <c r="BL437" i="6"/>
  <c r="BK437" i="6" s="1"/>
  <c r="BJ437" i="6" s="1"/>
  <c r="R437" i="6" s="1"/>
  <c r="BL137" i="6"/>
  <c r="BK137" i="6" s="1"/>
  <c r="BJ137" i="6" s="1"/>
  <c r="R137" i="6" s="1"/>
  <c r="BL35" i="6"/>
  <c r="BK35" i="6" s="1"/>
  <c r="BJ35" i="6" s="1"/>
  <c r="R35" i="6" s="1"/>
  <c r="BL250" i="6"/>
  <c r="BK250" i="6" s="1"/>
  <c r="BJ250" i="6" s="1"/>
  <c r="R250" i="6" s="1"/>
  <c r="BL341" i="6"/>
  <c r="BK341" i="6" s="1"/>
  <c r="BJ341" i="6" s="1"/>
  <c r="R341" i="6" s="1"/>
  <c r="BL410" i="6"/>
  <c r="BK410" i="6" s="1"/>
  <c r="BJ410" i="6" s="1"/>
  <c r="R410" i="6" s="1"/>
  <c r="BL32" i="6"/>
  <c r="BK32" i="6" s="1"/>
  <c r="BJ32" i="6" s="1"/>
  <c r="R32" i="6" s="1"/>
  <c r="BL156" i="6"/>
  <c r="BK156" i="6" s="1"/>
  <c r="BJ156" i="6" s="1"/>
  <c r="R156" i="6" s="1"/>
  <c r="BL292" i="6"/>
  <c r="BK292" i="6" s="1"/>
  <c r="BJ292" i="6" s="1"/>
  <c r="R292" i="6" s="1"/>
  <c r="BL445" i="6"/>
  <c r="BK445" i="6" s="1"/>
  <c r="BJ445" i="6" s="1"/>
  <c r="R445" i="6" s="1"/>
  <c r="BL470" i="6"/>
  <c r="BK470" i="6" s="1"/>
  <c r="BJ470" i="6" s="1"/>
  <c r="BL52" i="6"/>
  <c r="BK52" i="6" s="1"/>
  <c r="BJ52" i="6" s="1"/>
  <c r="R52" i="6" s="1"/>
  <c r="BL201" i="6"/>
  <c r="BK201" i="6" s="1"/>
  <c r="BJ201" i="6" s="1"/>
  <c r="R201" i="6" s="1"/>
  <c r="BL261" i="6"/>
  <c r="BK261" i="6" s="1"/>
  <c r="BJ261" i="6" s="1"/>
  <c r="R261" i="6" s="1"/>
  <c r="BL382" i="6"/>
  <c r="BK382" i="6" s="1"/>
  <c r="BJ382" i="6" s="1"/>
  <c r="R382" i="6" s="1"/>
  <c r="BL187" i="6"/>
  <c r="BK187" i="6" s="1"/>
  <c r="BJ187" i="6" s="1"/>
  <c r="R187" i="6" s="1"/>
  <c r="BL404" i="6"/>
  <c r="BK404" i="6" s="1"/>
  <c r="BJ404" i="6" s="1"/>
  <c r="R404" i="6" s="1"/>
  <c r="BL283" i="6"/>
  <c r="BK283" i="6" s="1"/>
  <c r="BJ283" i="6" s="1"/>
  <c r="R283" i="6" s="1"/>
  <c r="BL443" i="6"/>
  <c r="BK443" i="6" s="1"/>
  <c r="BJ443" i="6" s="1"/>
  <c r="R443" i="6" s="1"/>
  <c r="BL326" i="6"/>
  <c r="BK326" i="6" s="1"/>
  <c r="BJ326" i="6" s="1"/>
  <c r="R326" i="6" s="1"/>
  <c r="BL257" i="6"/>
  <c r="BK257" i="6" s="1"/>
  <c r="BJ257" i="6" s="1"/>
  <c r="R257" i="6" s="1"/>
  <c r="BL212" i="6"/>
  <c r="BK212" i="6" s="1"/>
  <c r="BJ212" i="6" s="1"/>
  <c r="R212" i="6" s="1"/>
  <c r="BL200" i="6"/>
  <c r="BK200" i="6" s="1"/>
  <c r="BJ200" i="6" s="1"/>
  <c r="R200" i="6" s="1"/>
  <c r="BL179" i="6"/>
  <c r="BK179" i="6" s="1"/>
  <c r="BJ179" i="6" s="1"/>
  <c r="R179" i="6" s="1"/>
  <c r="BL175" i="6"/>
  <c r="BK175" i="6" s="1"/>
  <c r="BJ175" i="6" s="1"/>
  <c r="R175" i="6" s="1"/>
  <c r="BL173" i="6"/>
  <c r="BK173" i="6" s="1"/>
  <c r="BJ173" i="6" s="1"/>
  <c r="R173" i="6" s="1"/>
  <c r="BL139" i="6"/>
  <c r="BK139" i="6" s="1"/>
  <c r="BJ139" i="6" s="1"/>
  <c r="R139" i="6" s="1"/>
  <c r="BL128" i="6"/>
  <c r="BK128" i="6" s="1"/>
  <c r="BJ128" i="6" s="1"/>
  <c r="R128" i="6" s="1"/>
  <c r="BL147" i="6"/>
  <c r="BK147" i="6" s="1"/>
  <c r="BJ147" i="6" s="1"/>
  <c r="R147" i="6" s="1"/>
  <c r="BL77" i="6"/>
  <c r="BK77" i="6" s="1"/>
  <c r="BJ77" i="6" s="1"/>
  <c r="R77" i="6" s="1"/>
  <c r="BL73" i="6"/>
  <c r="BK73" i="6" s="1"/>
  <c r="BJ73" i="6" s="1"/>
  <c r="R73" i="6" s="1"/>
  <c r="BL51" i="6"/>
  <c r="BK51" i="6" s="1"/>
  <c r="BJ51" i="6" s="1"/>
  <c r="R51" i="6" s="1"/>
  <c r="BL55" i="6"/>
  <c r="BK55" i="6" s="1"/>
  <c r="BJ55" i="6" s="1"/>
  <c r="R55" i="6" s="1"/>
  <c r="BL45" i="6"/>
  <c r="BK45" i="6" s="1"/>
  <c r="BJ45" i="6" s="1"/>
  <c r="R45" i="6" s="1"/>
  <c r="BL14" i="6"/>
  <c r="BK14" i="6" s="1"/>
  <c r="BJ14" i="6" s="1"/>
  <c r="R14" i="6" s="1"/>
  <c r="BL50" i="6"/>
  <c r="BK50" i="6" s="1"/>
  <c r="BJ50" i="6" s="1"/>
  <c r="R50" i="6" s="1"/>
  <c r="BL206" i="6"/>
  <c r="BK206" i="6" s="1"/>
  <c r="BJ206" i="6" s="1"/>
  <c r="R206" i="6" s="1"/>
  <c r="BL90" i="6"/>
  <c r="BK90" i="6" s="1"/>
  <c r="BJ90" i="6" s="1"/>
  <c r="R90" i="6" s="1"/>
  <c r="BL17" i="6"/>
  <c r="BK17" i="6" s="1"/>
  <c r="BJ17" i="6" s="1"/>
  <c r="R17" i="6" s="1"/>
  <c r="BL70" i="6"/>
  <c r="BK70" i="6" s="1"/>
  <c r="BJ70" i="6" s="1"/>
  <c r="R70" i="6" s="1"/>
  <c r="BL279" i="6"/>
  <c r="BK279" i="6" s="1"/>
  <c r="BJ279" i="6" s="1"/>
  <c r="R279" i="6" s="1"/>
  <c r="BL424" i="6"/>
  <c r="BK424" i="6" s="1"/>
  <c r="BJ424" i="6" s="1"/>
  <c r="R424" i="6" s="1"/>
  <c r="BL245" i="6"/>
  <c r="BK245" i="6" s="1"/>
  <c r="BJ245" i="6" s="1"/>
  <c r="R245" i="6" s="1"/>
  <c r="BL430" i="6"/>
  <c r="BK430" i="6" s="1"/>
  <c r="BJ430" i="6" s="1"/>
  <c r="R430" i="6" s="1"/>
  <c r="BL68" i="6"/>
  <c r="BK68" i="6" s="1"/>
  <c r="BJ68" i="6" s="1"/>
  <c r="R68" i="6" s="1"/>
  <c r="BL315" i="6"/>
  <c r="BK315" i="6" s="1"/>
  <c r="BJ315" i="6" s="1"/>
  <c r="R315" i="6" s="1"/>
  <c r="BL63" i="6"/>
  <c r="BK63" i="6" s="1"/>
  <c r="BJ63" i="6" s="1"/>
  <c r="R63" i="6" s="1"/>
  <c r="BL197" i="6"/>
  <c r="BK197" i="6" s="1"/>
  <c r="BJ197" i="6" s="1"/>
  <c r="R197" i="6" s="1"/>
  <c r="BL453" i="6"/>
  <c r="BK453" i="6" s="1"/>
  <c r="BJ453" i="6" s="1"/>
  <c r="R453" i="6" s="1"/>
  <c r="BL229" i="6"/>
  <c r="BK229" i="6" s="1"/>
  <c r="BJ229" i="6" s="1"/>
  <c r="R229" i="6" s="1"/>
  <c r="BL64" i="6"/>
  <c r="BK64" i="6" s="1"/>
  <c r="BJ64" i="6" s="1"/>
  <c r="R64" i="6" s="1"/>
  <c r="BL299" i="6"/>
  <c r="BK299" i="6" s="1"/>
  <c r="BJ299" i="6" s="1"/>
  <c r="R299" i="6" s="1"/>
  <c r="BL358" i="6"/>
  <c r="BK358" i="6" s="1"/>
  <c r="BJ358" i="6" s="1"/>
  <c r="R358" i="6" s="1"/>
  <c r="BL465" i="6"/>
  <c r="BK465" i="6" s="1"/>
  <c r="BJ465" i="6" s="1"/>
  <c r="R465" i="6" s="1"/>
  <c r="BL56" i="6"/>
  <c r="BK56" i="6" s="1"/>
  <c r="BJ56" i="6" s="1"/>
  <c r="R56" i="6" s="1"/>
  <c r="BL172" i="6"/>
  <c r="BK172" i="6" s="1"/>
  <c r="BJ172" i="6" s="1"/>
  <c r="R172" i="6" s="1"/>
  <c r="BL276" i="6"/>
  <c r="BK276" i="6" s="1"/>
  <c r="BJ276" i="6" s="1"/>
  <c r="R276" i="6" s="1"/>
  <c r="BL455" i="6"/>
  <c r="BK455" i="6" s="1"/>
  <c r="BJ455" i="6" s="1"/>
  <c r="R455" i="6" s="1"/>
  <c r="BL74" i="6"/>
  <c r="BK74" i="6" s="1"/>
  <c r="BJ74" i="6" s="1"/>
  <c r="R74" i="6" s="1"/>
  <c r="BL78" i="6"/>
  <c r="BK78" i="6" s="1"/>
  <c r="BJ78" i="6" s="1"/>
  <c r="R78" i="6" s="1"/>
  <c r="BL221" i="6"/>
  <c r="BK221" i="6" s="1"/>
  <c r="BJ221" i="6" s="1"/>
  <c r="R221" i="6" s="1"/>
  <c r="BL325" i="6"/>
  <c r="BK325" i="6" s="1"/>
  <c r="BJ325" i="6" s="1"/>
  <c r="R325" i="6" s="1"/>
  <c r="BL423" i="6"/>
  <c r="BK423" i="6" s="1"/>
  <c r="BJ423" i="6" s="1"/>
  <c r="R423" i="6" s="1"/>
  <c r="BL208" i="6"/>
  <c r="BK208" i="6" s="1"/>
  <c r="BJ208" i="6" s="1"/>
  <c r="R208" i="6" s="1"/>
  <c r="BL415" i="6"/>
  <c r="BK415" i="6" s="1"/>
  <c r="BJ415" i="6" s="1"/>
  <c r="R415" i="6" s="1"/>
  <c r="BL435" i="6"/>
  <c r="BK435" i="6" s="1"/>
  <c r="BJ435" i="6" s="1"/>
  <c r="R435" i="6" s="1"/>
  <c r="AN460" i="6"/>
  <c r="AM460" i="6" s="1"/>
  <c r="I460" i="6" s="1"/>
  <c r="AN427" i="6"/>
  <c r="AM427" i="6" s="1"/>
  <c r="I427" i="6" s="1"/>
  <c r="AN402" i="6"/>
  <c r="AM402" i="6" s="1"/>
  <c r="I402" i="6" s="1"/>
  <c r="AN384" i="6"/>
  <c r="AM384" i="6" s="1"/>
  <c r="I384" i="6" s="1"/>
  <c r="AN359" i="6"/>
  <c r="AM359" i="6" s="1"/>
  <c r="I359" i="6" s="1"/>
  <c r="AN351" i="6"/>
  <c r="AM351" i="6" s="1"/>
  <c r="I351" i="6" s="1"/>
  <c r="AN328" i="6"/>
  <c r="AM328" i="6" s="1"/>
  <c r="I328" i="6" s="1"/>
  <c r="AN301" i="6"/>
  <c r="AM301" i="6" s="1"/>
  <c r="I301" i="6" s="1"/>
  <c r="AN310" i="6"/>
  <c r="AM310" i="6" s="1"/>
  <c r="I310" i="6" s="1"/>
  <c r="AN303" i="6"/>
  <c r="AM303" i="6" s="1"/>
  <c r="I303" i="6" s="1"/>
  <c r="AN247" i="6"/>
  <c r="AM247" i="6" s="1"/>
  <c r="I247" i="6" s="1"/>
  <c r="AN212" i="6"/>
  <c r="AM212" i="6" s="1"/>
  <c r="I212" i="6" s="1"/>
  <c r="AN246" i="6"/>
  <c r="AM246" i="6" s="1"/>
  <c r="I246" i="6" s="1"/>
  <c r="AN202" i="6"/>
  <c r="AM202" i="6" s="1"/>
  <c r="I202" i="6" s="1"/>
  <c r="AN178" i="6"/>
  <c r="AM178" i="6" s="1"/>
  <c r="I178" i="6" s="1"/>
  <c r="AN183" i="6"/>
  <c r="AM183" i="6" s="1"/>
  <c r="I183" i="6" s="1"/>
  <c r="AN139" i="6"/>
  <c r="AM139" i="6" s="1"/>
  <c r="I139" i="6" s="1"/>
  <c r="AN136" i="6"/>
  <c r="AM136" i="6" s="1"/>
  <c r="I136" i="6" s="1"/>
  <c r="AN119" i="6"/>
  <c r="AM119" i="6" s="1"/>
  <c r="I119" i="6" s="1"/>
  <c r="AN77" i="6"/>
  <c r="AM77" i="6" s="1"/>
  <c r="I77" i="6" s="1"/>
  <c r="AN97" i="6"/>
  <c r="AM97" i="6" s="1"/>
  <c r="I97" i="6" s="1"/>
  <c r="AN51" i="6"/>
  <c r="AM51" i="6" s="1"/>
  <c r="I51" i="6" s="1"/>
  <c r="AN31" i="6"/>
  <c r="AM31" i="6" s="1"/>
  <c r="I31" i="6" s="1"/>
  <c r="AN45" i="6"/>
  <c r="AM45" i="6" s="1"/>
  <c r="I45" i="6" s="1"/>
  <c r="AN25" i="6"/>
  <c r="AM25" i="6" s="1"/>
  <c r="I25" i="6" s="1"/>
  <c r="AN117" i="6"/>
  <c r="AM117" i="6" s="1"/>
  <c r="I117" i="6" s="1"/>
  <c r="AN300" i="6"/>
  <c r="AM300" i="6" s="1"/>
  <c r="I300" i="6" s="1"/>
  <c r="AN426" i="6"/>
  <c r="AM426" i="6" s="1"/>
  <c r="I426" i="6" s="1"/>
  <c r="AN92" i="6"/>
  <c r="AM92" i="6" s="1"/>
  <c r="I92" i="6" s="1"/>
  <c r="AN23" i="6"/>
  <c r="AM23" i="6" s="1"/>
  <c r="I23" i="6" s="1"/>
  <c r="AN193" i="6"/>
  <c r="AM193" i="6" s="1"/>
  <c r="I193" i="6" s="1"/>
  <c r="AN309" i="6"/>
  <c r="AM309" i="6" s="1"/>
  <c r="I309" i="6" s="1"/>
  <c r="AN432" i="6"/>
  <c r="AM432" i="6" s="1"/>
  <c r="I432" i="6" s="1"/>
  <c r="AN347" i="6"/>
  <c r="AM347" i="6" s="1"/>
  <c r="I347" i="6" s="1"/>
  <c r="AN403" i="6"/>
  <c r="AM403" i="6" s="1"/>
  <c r="I403" i="6" s="1"/>
  <c r="AN455" i="6"/>
  <c r="AM455" i="6" s="1"/>
  <c r="I455" i="6" s="1"/>
  <c r="AN56" i="6"/>
  <c r="AM56" i="6" s="1"/>
  <c r="I56" i="6" s="1"/>
  <c r="AN349" i="6"/>
  <c r="AM349" i="6" s="1"/>
  <c r="I349" i="6" s="1"/>
  <c r="AN465" i="6"/>
  <c r="AM465" i="6" s="1"/>
  <c r="I465" i="6" s="1"/>
  <c r="AN221" i="6"/>
  <c r="AM221" i="6" s="1"/>
  <c r="I221" i="6" s="1"/>
  <c r="AN40" i="6"/>
  <c r="AM40" i="6" s="1"/>
  <c r="I40" i="6" s="1"/>
  <c r="AN87" i="6"/>
  <c r="AM87" i="6" s="1"/>
  <c r="I87" i="6" s="1"/>
  <c r="AN198" i="6"/>
  <c r="AM198" i="6" s="1"/>
  <c r="I198" i="6" s="1"/>
  <c r="AN278" i="6"/>
  <c r="AM278" i="6" s="1"/>
  <c r="I278" i="6" s="1"/>
  <c r="AN248" i="6"/>
  <c r="AM248" i="6" s="1"/>
  <c r="I248" i="6" s="1"/>
  <c r="AN52" i="6"/>
  <c r="AM52" i="6" s="1"/>
  <c r="I52" i="6" s="1"/>
  <c r="AN166" i="6"/>
  <c r="AM166" i="6" s="1"/>
  <c r="I166" i="6" s="1"/>
  <c r="AN252" i="6"/>
  <c r="AM252" i="6" s="1"/>
  <c r="I252" i="6" s="1"/>
  <c r="AN331" i="6"/>
  <c r="AM331" i="6" s="1"/>
  <c r="I331" i="6" s="1"/>
  <c r="AN219" i="6"/>
  <c r="AM219" i="6" s="1"/>
  <c r="I219" i="6" s="1"/>
  <c r="AN462" i="6"/>
  <c r="AM462" i="6" s="1"/>
  <c r="I462" i="6" s="1"/>
  <c r="AN91" i="6"/>
  <c r="AM91" i="6" s="1"/>
  <c r="I91" i="6" s="1"/>
  <c r="AN251" i="6"/>
  <c r="AM251" i="6" s="1"/>
  <c r="I251" i="6" s="1"/>
  <c r="AN394" i="6"/>
  <c r="AM394" i="6" s="1"/>
  <c r="I394" i="6" s="1"/>
  <c r="AN456" i="6"/>
  <c r="AM456" i="6" s="1"/>
  <c r="I456" i="6" s="1"/>
  <c r="AN264" i="6"/>
  <c r="AM264" i="6" s="1"/>
  <c r="I264" i="6" s="1"/>
  <c r="AN355" i="6"/>
  <c r="AM355" i="6" s="1"/>
  <c r="I355" i="6" s="1"/>
  <c r="AN312" i="6"/>
  <c r="AM312" i="6" s="1"/>
  <c r="I312" i="6" s="1"/>
  <c r="AN454" i="6"/>
  <c r="AM454" i="6" s="1"/>
  <c r="I454" i="6" s="1"/>
  <c r="AN419" i="6"/>
  <c r="AM419" i="6" s="1"/>
  <c r="I419" i="6" s="1"/>
  <c r="AN409" i="6"/>
  <c r="AM409" i="6" s="1"/>
  <c r="I409" i="6" s="1"/>
  <c r="AN397" i="6"/>
  <c r="AM397" i="6" s="1"/>
  <c r="I397" i="6" s="1"/>
  <c r="AN377" i="6"/>
  <c r="AM377" i="6" s="1"/>
  <c r="I377" i="6" s="1"/>
  <c r="AN342" i="6"/>
  <c r="AM342" i="6" s="1"/>
  <c r="I342" i="6" s="1"/>
  <c r="AN327" i="6"/>
  <c r="AM327" i="6" s="1"/>
  <c r="I327" i="6" s="1"/>
  <c r="AN311" i="6"/>
  <c r="AM311" i="6" s="1"/>
  <c r="I311" i="6" s="1"/>
  <c r="AN297" i="6"/>
  <c r="AM297" i="6" s="1"/>
  <c r="I297" i="6" s="1"/>
  <c r="AN285" i="6"/>
  <c r="AM285" i="6" s="1"/>
  <c r="I285" i="6" s="1"/>
  <c r="AN318" i="6"/>
  <c r="AM318" i="6" s="1"/>
  <c r="I318" i="6" s="1"/>
  <c r="AN244" i="6"/>
  <c r="AM244" i="6" s="1"/>
  <c r="I244" i="6" s="1"/>
  <c r="AN207" i="6"/>
  <c r="AM207" i="6" s="1"/>
  <c r="I207" i="6" s="1"/>
  <c r="AN199" i="6"/>
  <c r="AM199" i="6" s="1"/>
  <c r="I199" i="6" s="1"/>
  <c r="AN170" i="6"/>
  <c r="AM170" i="6" s="1"/>
  <c r="I170" i="6" s="1"/>
  <c r="AN161" i="6"/>
  <c r="AM161" i="6" s="1"/>
  <c r="I161" i="6" s="1"/>
  <c r="AN131" i="6"/>
  <c r="AM131" i="6" s="1"/>
  <c r="I131" i="6" s="1"/>
  <c r="AN128" i="6"/>
  <c r="AM128" i="6" s="1"/>
  <c r="I128" i="6" s="1"/>
  <c r="AN165" i="6"/>
  <c r="AM165" i="6" s="1"/>
  <c r="I165" i="6" s="1"/>
  <c r="AN111" i="6"/>
  <c r="AM111" i="6" s="1"/>
  <c r="I111" i="6" s="1"/>
  <c r="AN89" i="6"/>
  <c r="AM89" i="6" s="1"/>
  <c r="I89" i="6" s="1"/>
  <c r="AN43" i="6"/>
  <c r="AM43" i="6" s="1"/>
  <c r="I43" i="6" s="1"/>
  <c r="AN69" i="6"/>
  <c r="AM69" i="6" s="1"/>
  <c r="I69" i="6" s="1"/>
  <c r="AN37" i="6"/>
  <c r="AM37" i="6" s="1"/>
  <c r="I37" i="6" s="1"/>
  <c r="AN15" i="6"/>
  <c r="AM15" i="6" s="1"/>
  <c r="I15" i="6" s="1"/>
  <c r="AN174" i="6"/>
  <c r="AM174" i="6" s="1"/>
  <c r="I174" i="6" s="1"/>
  <c r="AN341" i="6"/>
  <c r="AM341" i="6" s="1"/>
  <c r="I341" i="6" s="1"/>
  <c r="AN443" i="6"/>
  <c r="AM443" i="6" s="1"/>
  <c r="I443" i="6" s="1"/>
  <c r="AN105" i="6"/>
  <c r="AM105" i="6" s="1"/>
  <c r="I105" i="6" s="1"/>
  <c r="AN34" i="6"/>
  <c r="AM34" i="6" s="1"/>
  <c r="I34" i="6" s="1"/>
  <c r="AN181" i="6"/>
  <c r="AM181" i="6" s="1"/>
  <c r="I181" i="6" s="1"/>
  <c r="AN354" i="6"/>
  <c r="AM354" i="6" s="1"/>
  <c r="I354" i="6" s="1"/>
  <c r="AN459" i="6"/>
  <c r="AM459" i="6" s="1"/>
  <c r="I459" i="6" s="1"/>
  <c r="AN365" i="6"/>
  <c r="AM365" i="6" s="1"/>
  <c r="I365" i="6" s="1"/>
  <c r="AN413" i="6"/>
  <c r="AM413" i="6" s="1"/>
  <c r="I413" i="6" s="1"/>
  <c r="AN266" i="6"/>
  <c r="AM266" i="6" s="1"/>
  <c r="I266" i="6" s="1"/>
  <c r="AN62" i="6"/>
  <c r="AM62" i="6" s="1"/>
  <c r="I62" i="6" s="1"/>
  <c r="AN358" i="6"/>
  <c r="AM358" i="6" s="1"/>
  <c r="I358" i="6" s="1"/>
  <c r="AN382" i="6"/>
  <c r="AM382" i="6" s="1"/>
  <c r="I382" i="6" s="1"/>
  <c r="AN203" i="6"/>
  <c r="AM203" i="6" s="1"/>
  <c r="I203" i="6" s="1"/>
  <c r="AN33" i="6"/>
  <c r="AM33" i="6" s="1"/>
  <c r="I33" i="6" s="1"/>
  <c r="AN96" i="6"/>
  <c r="AM96" i="6" s="1"/>
  <c r="I96" i="6" s="1"/>
  <c r="AN201" i="6"/>
  <c r="AM201" i="6" s="1"/>
  <c r="I201" i="6" s="1"/>
  <c r="AN333" i="6"/>
  <c r="AM333" i="6" s="1"/>
  <c r="I333" i="6" s="1"/>
  <c r="AN320" i="6"/>
  <c r="AM320" i="6" s="1"/>
  <c r="I320" i="6" s="1"/>
  <c r="AN66" i="6"/>
  <c r="AM66" i="6" s="1"/>
  <c r="I66" i="6" s="1"/>
  <c r="AN154" i="6"/>
  <c r="AM154" i="6" s="1"/>
  <c r="I154" i="6" s="1"/>
  <c r="AN213" i="6"/>
  <c r="AM213" i="6" s="1"/>
  <c r="I213" i="6" s="1"/>
  <c r="AN407" i="6"/>
  <c r="AM407" i="6" s="1"/>
  <c r="I407" i="6" s="1"/>
  <c r="AN267" i="6"/>
  <c r="AM267" i="6" s="1"/>
  <c r="I267" i="6" s="1"/>
  <c r="AN469" i="6"/>
  <c r="AM469" i="6" s="1"/>
  <c r="AN80" i="6"/>
  <c r="AM80" i="6" s="1"/>
  <c r="I80" i="6" s="1"/>
  <c r="AN256" i="6"/>
  <c r="AM256" i="6" s="1"/>
  <c r="I256" i="6" s="1"/>
  <c r="AN414" i="6"/>
  <c r="AM414" i="6" s="1"/>
  <c r="I414" i="6" s="1"/>
  <c r="AN137" i="6"/>
  <c r="AM137" i="6" s="1"/>
  <c r="I137" i="6" s="1"/>
  <c r="AN283" i="6"/>
  <c r="AM283" i="6" s="1"/>
  <c r="I283" i="6" s="1"/>
  <c r="AN452" i="6"/>
  <c r="AM452" i="6" s="1"/>
  <c r="I452" i="6" s="1"/>
  <c r="AN468" i="6"/>
  <c r="AM468" i="6" s="1"/>
  <c r="I468" i="6" s="1"/>
  <c r="AN448" i="6"/>
  <c r="AM448" i="6" s="1"/>
  <c r="I448" i="6" s="1"/>
  <c r="AN431" i="6"/>
  <c r="AM431" i="6" s="1"/>
  <c r="I431" i="6" s="1"/>
  <c r="AN417" i="6"/>
  <c r="AM417" i="6" s="1"/>
  <c r="I417" i="6" s="1"/>
  <c r="AN405" i="6"/>
  <c r="AM405" i="6" s="1"/>
  <c r="I405" i="6" s="1"/>
  <c r="AN369" i="6"/>
  <c r="AM369" i="6" s="1"/>
  <c r="I369" i="6" s="1"/>
  <c r="AN334" i="6"/>
  <c r="AM334" i="6" s="1"/>
  <c r="I334" i="6" s="1"/>
  <c r="AN319" i="6"/>
  <c r="AM319" i="6" s="1"/>
  <c r="I319" i="6" s="1"/>
  <c r="AN326" i="6"/>
  <c r="AM326" i="6" s="1"/>
  <c r="I326" i="6" s="1"/>
  <c r="AN289" i="6"/>
  <c r="AM289" i="6" s="1"/>
  <c r="I289" i="6" s="1"/>
  <c r="AN265" i="6"/>
  <c r="AM265" i="6" s="1"/>
  <c r="I265" i="6" s="1"/>
  <c r="AN254" i="6"/>
  <c r="AM254" i="6" s="1"/>
  <c r="I254" i="6" s="1"/>
  <c r="AN239" i="6"/>
  <c r="AM239" i="6" s="1"/>
  <c r="I239" i="6" s="1"/>
  <c r="AN204" i="6"/>
  <c r="AM204" i="6" s="1"/>
  <c r="I204" i="6" s="1"/>
  <c r="AN191" i="6"/>
  <c r="AM191" i="6" s="1"/>
  <c r="I191" i="6" s="1"/>
  <c r="AN162" i="6"/>
  <c r="AM162" i="6" s="1"/>
  <c r="I162" i="6" s="1"/>
  <c r="AN153" i="6"/>
  <c r="AM153" i="6" s="1"/>
  <c r="I153" i="6" s="1"/>
  <c r="AN123" i="6"/>
  <c r="AM123" i="6" s="1"/>
  <c r="I123" i="6" s="1"/>
  <c r="AN120" i="6"/>
  <c r="AM120" i="6" s="1"/>
  <c r="I120" i="6" s="1"/>
  <c r="AN177" i="6"/>
  <c r="AM177" i="6" s="1"/>
  <c r="I177" i="6" s="1"/>
  <c r="AN106" i="6"/>
  <c r="AM106" i="6" s="1"/>
  <c r="I106" i="6" s="1"/>
  <c r="AN81" i="6"/>
  <c r="AM81" i="6" s="1"/>
  <c r="I81" i="6" s="1"/>
  <c r="AN61" i="6"/>
  <c r="AM61" i="6" s="1"/>
  <c r="I61" i="6" s="1"/>
  <c r="AN68" i="6"/>
  <c r="AM68" i="6" s="1"/>
  <c r="I68" i="6" s="1"/>
  <c r="AN20" i="6"/>
  <c r="AM20" i="6" s="1"/>
  <c r="I20" i="6" s="1"/>
  <c r="AN10" i="6"/>
  <c r="AM10" i="6" s="1"/>
  <c r="I10" i="6" s="1"/>
  <c r="AN156" i="6"/>
  <c r="AM156" i="6" s="1"/>
  <c r="I156" i="6" s="1"/>
  <c r="AN375" i="6"/>
  <c r="AM375" i="6" s="1"/>
  <c r="I375" i="6" s="1"/>
  <c r="AN26" i="6"/>
  <c r="AM26" i="6" s="1"/>
  <c r="I26" i="6" s="1"/>
  <c r="AN125" i="6"/>
  <c r="AM125" i="6" s="1"/>
  <c r="I125" i="6" s="1"/>
  <c r="AN74" i="6"/>
  <c r="AM74" i="6" s="1"/>
  <c r="I74" i="6" s="1"/>
  <c r="AN224" i="6"/>
  <c r="AM224" i="6" s="1"/>
  <c r="I224" i="6" s="1"/>
  <c r="AN385" i="6"/>
  <c r="AM385" i="6" s="1"/>
  <c r="I385" i="6" s="1"/>
  <c r="AN216" i="6"/>
  <c r="AM216" i="6" s="1"/>
  <c r="I216" i="6" s="1"/>
  <c r="AN404" i="6"/>
  <c r="AM404" i="6" s="1"/>
  <c r="I404" i="6" s="1"/>
  <c r="AN109" i="6"/>
  <c r="AM109" i="6" s="1"/>
  <c r="I109" i="6" s="1"/>
  <c r="AN296" i="6"/>
  <c r="AM296" i="6" s="1"/>
  <c r="I296" i="6" s="1"/>
  <c r="AN79" i="6"/>
  <c r="AM79" i="6" s="1"/>
  <c r="I79" i="6" s="1"/>
  <c r="AN376" i="6"/>
  <c r="AM376" i="6" s="1"/>
  <c r="I376" i="6" s="1"/>
  <c r="AN42" i="6"/>
  <c r="AM42" i="6" s="1"/>
  <c r="I42" i="6" s="1"/>
  <c r="AN234" i="6"/>
  <c r="AM234" i="6" s="1"/>
  <c r="I234" i="6" s="1"/>
  <c r="AN57" i="6"/>
  <c r="AM57" i="6" s="1"/>
  <c r="I57" i="6" s="1"/>
  <c r="AN141" i="6"/>
  <c r="AM141" i="6" s="1"/>
  <c r="I141" i="6" s="1"/>
  <c r="AN208" i="6"/>
  <c r="AM208" i="6" s="1"/>
  <c r="I208" i="6" s="1"/>
  <c r="AN352" i="6"/>
  <c r="AM352" i="6" s="1"/>
  <c r="I352" i="6" s="1"/>
  <c r="AN346" i="6"/>
  <c r="AM346" i="6" s="1"/>
  <c r="I346" i="6" s="1"/>
  <c r="AN83" i="6"/>
  <c r="AM83" i="6" s="1"/>
  <c r="I83" i="6" s="1"/>
  <c r="AN164" i="6"/>
  <c r="AM164" i="6" s="1"/>
  <c r="I164" i="6" s="1"/>
  <c r="AN210" i="6"/>
  <c r="AM210" i="6" s="1"/>
  <c r="I210" i="6" s="1"/>
  <c r="AN434" i="6"/>
  <c r="AM434" i="6" s="1"/>
  <c r="I434" i="6" s="1"/>
  <c r="AN315" i="6"/>
  <c r="AM315" i="6" s="1"/>
  <c r="I315" i="6" s="1"/>
  <c r="AN395" i="6"/>
  <c r="AM395" i="6" s="1"/>
  <c r="I395" i="6" s="1"/>
  <c r="AN110" i="6"/>
  <c r="AM110" i="6" s="1"/>
  <c r="I110" i="6" s="1"/>
  <c r="AN249" i="6"/>
  <c r="AM249" i="6" s="1"/>
  <c r="I249" i="6" s="1"/>
  <c r="AN433" i="6"/>
  <c r="AM433" i="6" s="1"/>
  <c r="I433" i="6" s="1"/>
  <c r="AN149" i="6"/>
  <c r="AM149" i="6" s="1"/>
  <c r="I149" i="6" s="1"/>
  <c r="AN325" i="6"/>
  <c r="AM325" i="6" s="1"/>
  <c r="I325" i="6" s="1"/>
  <c r="AN449" i="6"/>
  <c r="AM449" i="6" s="1"/>
  <c r="I449" i="6" s="1"/>
  <c r="AN446" i="6"/>
  <c r="AM446" i="6" s="1"/>
  <c r="I446" i="6" s="1"/>
  <c r="AN430" i="6"/>
  <c r="AM430" i="6" s="1"/>
  <c r="I430" i="6" s="1"/>
  <c r="AN416" i="6"/>
  <c r="AM416" i="6" s="1"/>
  <c r="I416" i="6" s="1"/>
  <c r="AN396" i="6"/>
  <c r="AM396" i="6" s="1"/>
  <c r="I396" i="6" s="1"/>
  <c r="AN368" i="6"/>
  <c r="AM368" i="6" s="1"/>
  <c r="I368" i="6" s="1"/>
  <c r="AN348" i="6"/>
  <c r="AM348" i="6" s="1"/>
  <c r="I348" i="6" s="1"/>
  <c r="AN336" i="6"/>
  <c r="AM336" i="6" s="1"/>
  <c r="I336" i="6" s="1"/>
  <c r="AN314" i="6"/>
  <c r="AM314" i="6" s="1"/>
  <c r="I314" i="6" s="1"/>
  <c r="AN308" i="6"/>
  <c r="AM308" i="6" s="1"/>
  <c r="I308" i="6" s="1"/>
  <c r="AN287" i="6"/>
  <c r="AM287" i="6" s="1"/>
  <c r="I287" i="6" s="1"/>
  <c r="AN270" i="6"/>
  <c r="AM270" i="6" s="1"/>
  <c r="I270" i="6" s="1"/>
  <c r="AN235" i="6"/>
  <c r="AM235" i="6" s="1"/>
  <c r="I235" i="6" s="1"/>
  <c r="AN233" i="6"/>
  <c r="AM233" i="6" s="1"/>
  <c r="I233" i="6" s="1"/>
  <c r="AN188" i="6"/>
  <c r="AM188" i="6" s="1"/>
  <c r="I188" i="6" s="1"/>
  <c r="AN182" i="6"/>
  <c r="AM182" i="6" s="1"/>
  <c r="I182" i="6" s="1"/>
  <c r="AN140" i="6"/>
  <c r="AM140" i="6" s="1"/>
  <c r="I140" i="6" s="1"/>
  <c r="AN157" i="6"/>
  <c r="AM157" i="6" s="1"/>
  <c r="I157" i="6" s="1"/>
  <c r="AN112" i="6"/>
  <c r="AM112" i="6" s="1"/>
  <c r="I112" i="6" s="1"/>
  <c r="AN114" i="6"/>
  <c r="AM114" i="6" s="1"/>
  <c r="I114" i="6" s="1"/>
  <c r="AN98" i="6"/>
  <c r="AM98" i="6" s="1"/>
  <c r="I98" i="6" s="1"/>
  <c r="AN73" i="6"/>
  <c r="AM73" i="6" s="1"/>
  <c r="I73" i="6" s="1"/>
  <c r="AN65" i="6"/>
  <c r="AM65" i="6" s="1"/>
  <c r="I65" i="6" s="1"/>
  <c r="AN63" i="6"/>
  <c r="AM63" i="6" s="1"/>
  <c r="I63" i="6" s="1"/>
  <c r="AN12" i="6"/>
  <c r="AM12" i="6" s="1"/>
  <c r="I12" i="6" s="1"/>
  <c r="AN22" i="6"/>
  <c r="AM22" i="6" s="1"/>
  <c r="I22" i="6" s="1"/>
  <c r="AN189" i="6"/>
  <c r="AM189" i="6" s="1"/>
  <c r="I189" i="6" s="1"/>
  <c r="AN383" i="6"/>
  <c r="AM383" i="6" s="1"/>
  <c r="I383" i="6" s="1"/>
  <c r="AN103" i="6"/>
  <c r="AM103" i="6" s="1"/>
  <c r="I103" i="6" s="1"/>
  <c r="AN218" i="6"/>
  <c r="AM218" i="6" s="1"/>
  <c r="I218" i="6" s="1"/>
  <c r="AN38" i="6"/>
  <c r="AM38" i="6" s="1"/>
  <c r="I38" i="6" s="1"/>
  <c r="AN259" i="6"/>
  <c r="AM259" i="6" s="1"/>
  <c r="I259" i="6" s="1"/>
  <c r="AN390" i="6"/>
  <c r="AM390" i="6" s="1"/>
  <c r="I390" i="6" s="1"/>
  <c r="AN261" i="6"/>
  <c r="AM261" i="6" s="1"/>
  <c r="I261" i="6" s="1"/>
  <c r="AN387" i="6"/>
  <c r="AM387" i="6" s="1"/>
  <c r="I387" i="6" s="1"/>
  <c r="AN195" i="6"/>
  <c r="AM195" i="6" s="1"/>
  <c r="I195" i="6" s="1"/>
  <c r="AN330" i="6"/>
  <c r="AM330" i="6" s="1"/>
  <c r="I330" i="6" s="1"/>
  <c r="AN126" i="6"/>
  <c r="AM126" i="6" s="1"/>
  <c r="I126" i="6" s="1"/>
  <c r="AN412" i="6"/>
  <c r="AM412" i="6" s="1"/>
  <c r="I412" i="6" s="1"/>
  <c r="AN71" i="6"/>
  <c r="AM71" i="6" s="1"/>
  <c r="I71" i="6" s="1"/>
  <c r="AN243" i="6"/>
  <c r="AM243" i="6" s="1"/>
  <c r="I243" i="6" s="1"/>
  <c r="AN32" i="6"/>
  <c r="AM32" i="6" s="1"/>
  <c r="I32" i="6" s="1"/>
  <c r="AN134" i="6"/>
  <c r="AM134" i="6" s="1"/>
  <c r="I134" i="6" s="1"/>
  <c r="AN291" i="6"/>
  <c r="AM291" i="6" s="1"/>
  <c r="I291" i="6" s="1"/>
  <c r="AN350" i="6"/>
  <c r="AM350" i="6" s="1"/>
  <c r="I350" i="6" s="1"/>
  <c r="AN386" i="6"/>
  <c r="AM386" i="6" s="1"/>
  <c r="I386" i="6" s="1"/>
  <c r="AN78" i="6"/>
  <c r="AM78" i="6" s="1"/>
  <c r="I78" i="6" s="1"/>
  <c r="AN194" i="6"/>
  <c r="AM194" i="6" s="1"/>
  <c r="I194" i="6" s="1"/>
  <c r="AN258" i="6"/>
  <c r="AM258" i="6" s="1"/>
  <c r="I258" i="6" s="1"/>
  <c r="AN453" i="6"/>
  <c r="AM453" i="6" s="1"/>
  <c r="I453" i="6" s="1"/>
  <c r="AN344" i="6"/>
  <c r="AM344" i="6" s="1"/>
  <c r="I344" i="6" s="1"/>
  <c r="AN28" i="6"/>
  <c r="AM28" i="6" s="1"/>
  <c r="I28" i="6" s="1"/>
  <c r="AN148" i="6"/>
  <c r="AM148" i="6" s="1"/>
  <c r="I148" i="6" s="1"/>
  <c r="AN275" i="6"/>
  <c r="AM275" i="6" s="1"/>
  <c r="I275" i="6" s="1"/>
  <c r="AN442" i="6"/>
  <c r="AM442" i="6" s="1"/>
  <c r="I442" i="6" s="1"/>
  <c r="AN168" i="6"/>
  <c r="AM168" i="6" s="1"/>
  <c r="I168" i="6" s="1"/>
  <c r="AN304" i="6"/>
  <c r="AM304" i="6" s="1"/>
  <c r="I304" i="6" s="1"/>
  <c r="AN450" i="6"/>
  <c r="AM450" i="6" s="1"/>
  <c r="I450" i="6" s="1"/>
  <c r="AN466" i="6"/>
  <c r="AM466" i="6" s="1"/>
  <c r="I466" i="6" s="1"/>
  <c r="AN438" i="6"/>
  <c r="AM438" i="6" s="1"/>
  <c r="I438" i="6" s="1"/>
  <c r="AN428" i="6"/>
  <c r="AM428" i="6" s="1"/>
  <c r="I428" i="6" s="1"/>
  <c r="AN411" i="6"/>
  <c r="AM411" i="6" s="1"/>
  <c r="I411" i="6" s="1"/>
  <c r="AN388" i="6"/>
  <c r="AM388" i="6" s="1"/>
  <c r="I388" i="6" s="1"/>
  <c r="AN356" i="6"/>
  <c r="AM356" i="6" s="1"/>
  <c r="I356" i="6" s="1"/>
  <c r="AN353" i="6"/>
  <c r="AM353" i="6" s="1"/>
  <c r="I353" i="6" s="1"/>
  <c r="AN324" i="6"/>
  <c r="AM324" i="6" s="1"/>
  <c r="I324" i="6" s="1"/>
  <c r="AN298" i="6"/>
  <c r="AM298" i="6" s="1"/>
  <c r="I298" i="6" s="1"/>
  <c r="AN280" i="6"/>
  <c r="AM280" i="6" s="1"/>
  <c r="I280" i="6" s="1"/>
  <c r="AN277" i="6"/>
  <c r="AM277" i="6" s="1"/>
  <c r="I277" i="6" s="1"/>
  <c r="AN262" i="6"/>
  <c r="AM262" i="6" s="1"/>
  <c r="I262" i="6" s="1"/>
  <c r="AN227" i="6"/>
  <c r="AM227" i="6" s="1"/>
  <c r="I227" i="6" s="1"/>
  <c r="AN225" i="6"/>
  <c r="AM225" i="6" s="1"/>
  <c r="I225" i="6" s="1"/>
  <c r="AN179" i="6"/>
  <c r="AM179" i="6" s="1"/>
  <c r="I179" i="6" s="1"/>
  <c r="AN175" i="6"/>
  <c r="AM175" i="6" s="1"/>
  <c r="I175" i="6" s="1"/>
  <c r="AN132" i="6"/>
  <c r="AM132" i="6" s="1"/>
  <c r="I132" i="6" s="1"/>
  <c r="AN147" i="6"/>
  <c r="AM147" i="6" s="1"/>
  <c r="I147" i="6" s="1"/>
  <c r="AN150" i="6"/>
  <c r="AM150" i="6" s="1"/>
  <c r="I150" i="6" s="1"/>
  <c r="AN107" i="6"/>
  <c r="AM107" i="6" s="1"/>
  <c r="I107" i="6" s="1"/>
  <c r="AN138" i="6"/>
  <c r="AM138" i="6" s="1"/>
  <c r="I138" i="6" s="1"/>
  <c r="AN104" i="6"/>
  <c r="AM104" i="6" s="1"/>
  <c r="I104" i="6" s="1"/>
  <c r="AN49" i="6"/>
  <c r="AM49" i="6" s="1"/>
  <c r="I49" i="6" s="1"/>
  <c r="AN54" i="6"/>
  <c r="AM54" i="6" s="1"/>
  <c r="I54" i="6" s="1"/>
  <c r="AN29" i="6"/>
  <c r="AM29" i="6" s="1"/>
  <c r="I29" i="6" s="1"/>
  <c r="AN36" i="6"/>
  <c r="AM36" i="6" s="1"/>
  <c r="I36" i="6" s="1"/>
  <c r="AN214" i="6"/>
  <c r="AM214" i="6" s="1"/>
  <c r="I214" i="6" s="1"/>
  <c r="AN408" i="6"/>
  <c r="AM408" i="6" s="1"/>
  <c r="I408" i="6" s="1"/>
  <c r="AN253" i="6"/>
  <c r="AM253" i="6" s="1"/>
  <c r="I253" i="6" s="1"/>
  <c r="AN240" i="6"/>
  <c r="AM240" i="6" s="1"/>
  <c r="I240" i="6" s="1"/>
  <c r="AN90" i="6"/>
  <c r="AM90" i="6" s="1"/>
  <c r="I90" i="6" s="1"/>
  <c r="AN279" i="6"/>
  <c r="AM279" i="6" s="1"/>
  <c r="I279" i="6" s="1"/>
  <c r="AN391" i="6"/>
  <c r="AM391" i="6" s="1"/>
  <c r="I391" i="6" s="1"/>
  <c r="AN281" i="6"/>
  <c r="AM281" i="6" s="1"/>
  <c r="I281" i="6" s="1"/>
  <c r="AN401" i="6"/>
  <c r="AM401" i="6" s="1"/>
  <c r="I401" i="6" s="1"/>
  <c r="AN229" i="6"/>
  <c r="AM229" i="6" s="1"/>
  <c r="I229" i="6" s="1"/>
  <c r="AN339" i="6"/>
  <c r="AM339" i="6" s="1"/>
  <c r="I339" i="6" s="1"/>
  <c r="AN172" i="6"/>
  <c r="AM172" i="6" s="1"/>
  <c r="I172" i="6" s="1"/>
  <c r="AN410" i="6"/>
  <c r="AM410" i="6" s="1"/>
  <c r="I410" i="6" s="1"/>
  <c r="AN76" i="6"/>
  <c r="AM76" i="6" s="1"/>
  <c r="I76" i="6" s="1"/>
  <c r="AN378" i="6"/>
  <c r="AM378" i="6" s="1"/>
  <c r="I378" i="6" s="1"/>
  <c r="AN48" i="6"/>
  <c r="AM48" i="6" s="1"/>
  <c r="I48" i="6" s="1"/>
  <c r="AN144" i="6"/>
  <c r="AM144" i="6" s="1"/>
  <c r="I144" i="6" s="1"/>
  <c r="AN268" i="6"/>
  <c r="AM268" i="6" s="1"/>
  <c r="I268" i="6" s="1"/>
  <c r="AN367" i="6"/>
  <c r="AM367" i="6" s="1"/>
  <c r="I367" i="6" s="1"/>
  <c r="AN39" i="6"/>
  <c r="AM39" i="6" s="1"/>
  <c r="I39" i="6" s="1"/>
  <c r="AN86" i="6"/>
  <c r="AM86" i="6" s="1"/>
  <c r="I86" i="6" s="1"/>
  <c r="AN190" i="6"/>
  <c r="AM190" i="6" s="1"/>
  <c r="I190" i="6" s="1"/>
  <c r="AN273" i="6"/>
  <c r="AM273" i="6" s="1"/>
  <c r="I273" i="6" s="1"/>
  <c r="AN55" i="6"/>
  <c r="AM55" i="6" s="1"/>
  <c r="I55" i="6" s="1"/>
  <c r="AN381" i="6"/>
  <c r="AM381" i="6" s="1"/>
  <c r="I381" i="6" s="1"/>
  <c r="AN302" i="6"/>
  <c r="AM302" i="6" s="1"/>
  <c r="I302" i="6" s="1"/>
  <c r="AN160" i="6"/>
  <c r="AM160" i="6" s="1"/>
  <c r="I160" i="6" s="1"/>
  <c r="AN317" i="6"/>
  <c r="AM317" i="6" s="1"/>
  <c r="I317" i="6" s="1"/>
  <c r="AN439" i="6"/>
  <c r="AM439" i="6" s="1"/>
  <c r="I439" i="6" s="1"/>
  <c r="AN237" i="6"/>
  <c r="AM237" i="6" s="1"/>
  <c r="I237" i="6" s="1"/>
  <c r="AN335" i="6"/>
  <c r="AM335" i="6" s="1"/>
  <c r="I335" i="6" s="1"/>
  <c r="AN72" i="6"/>
  <c r="AM72" i="6" s="1"/>
  <c r="I72" i="6" s="1"/>
  <c r="AN461" i="6"/>
  <c r="AM461" i="6" s="1"/>
  <c r="I461" i="6" s="1"/>
  <c r="AN441" i="6"/>
  <c r="AM441" i="6" s="1"/>
  <c r="I441" i="6" s="1"/>
  <c r="AN425" i="6"/>
  <c r="AM425" i="6" s="1"/>
  <c r="I425" i="6" s="1"/>
  <c r="AN406" i="6"/>
  <c r="AM406" i="6" s="1"/>
  <c r="I406" i="6" s="1"/>
  <c r="AN374" i="6"/>
  <c r="AM374" i="6" s="1"/>
  <c r="I374" i="6" s="1"/>
  <c r="AN366" i="6"/>
  <c r="AM366" i="6" s="1"/>
  <c r="I366" i="6" s="1"/>
  <c r="AN345" i="6"/>
  <c r="AM345" i="6" s="1"/>
  <c r="I345" i="6" s="1"/>
  <c r="AN316" i="6"/>
  <c r="AM316" i="6" s="1"/>
  <c r="I316" i="6" s="1"/>
  <c r="AN290" i="6"/>
  <c r="AM290" i="6" s="1"/>
  <c r="I290" i="6" s="1"/>
  <c r="AN307" i="6"/>
  <c r="AM307" i="6" s="1"/>
  <c r="I307" i="6" s="1"/>
  <c r="AN271" i="6"/>
  <c r="AM271" i="6" s="1"/>
  <c r="I271" i="6" s="1"/>
  <c r="AN236" i="6"/>
  <c r="AM236" i="6" s="1"/>
  <c r="I236" i="6" s="1"/>
  <c r="AN274" i="6"/>
  <c r="AM274" i="6" s="1"/>
  <c r="I274" i="6" s="1"/>
  <c r="AN209" i="6"/>
  <c r="AM209" i="6" s="1"/>
  <c r="I209" i="6" s="1"/>
  <c r="AN171" i="6"/>
  <c r="AM171" i="6" s="1"/>
  <c r="I171" i="6" s="1"/>
  <c r="AN167" i="6"/>
  <c r="AM167" i="6" s="1"/>
  <c r="I167" i="6" s="1"/>
  <c r="AN124" i="6"/>
  <c r="AM124" i="6" s="1"/>
  <c r="I124" i="6" s="1"/>
  <c r="AN151" i="6"/>
  <c r="AM151" i="6" s="1"/>
  <c r="I151" i="6" s="1"/>
  <c r="AN145" i="6"/>
  <c r="AM145" i="6" s="1"/>
  <c r="I145" i="6" s="1"/>
  <c r="AN102" i="6"/>
  <c r="AM102" i="6" s="1"/>
  <c r="I102" i="6" s="1"/>
  <c r="AN130" i="6"/>
  <c r="AM130" i="6" s="1"/>
  <c r="I130" i="6" s="1"/>
  <c r="AN118" i="6"/>
  <c r="AM118" i="6" s="1"/>
  <c r="I118" i="6" s="1"/>
  <c r="AN41" i="6"/>
  <c r="AM41" i="6" s="1"/>
  <c r="I41" i="6" s="1"/>
  <c r="AN46" i="6"/>
  <c r="AM46" i="6" s="1"/>
  <c r="I46" i="6" s="1"/>
  <c r="AN19" i="6"/>
  <c r="AM19" i="6" s="1"/>
  <c r="I19" i="6" s="1"/>
  <c r="AN11" i="6"/>
  <c r="AM11" i="6" s="1"/>
  <c r="I11" i="6" s="1"/>
  <c r="AN222" i="6"/>
  <c r="AM222" i="6" s="1"/>
  <c r="I222" i="6" s="1"/>
  <c r="AN400" i="6"/>
  <c r="AM400" i="6" s="1"/>
  <c r="I400" i="6" s="1"/>
  <c r="AN467" i="6"/>
  <c r="AM467" i="6" s="1"/>
  <c r="I467" i="6" s="1"/>
  <c r="AN372" i="6"/>
  <c r="AM372" i="6" s="1"/>
  <c r="I372" i="6" s="1"/>
  <c r="AN99" i="6"/>
  <c r="AM99" i="6" s="1"/>
  <c r="I99" i="6" s="1"/>
  <c r="AN242" i="6"/>
  <c r="AM242" i="6" s="1"/>
  <c r="I242" i="6" s="1"/>
  <c r="AN393" i="6"/>
  <c r="AM393" i="6" s="1"/>
  <c r="I393" i="6" s="1"/>
  <c r="AN299" i="6"/>
  <c r="AM299" i="6" s="1"/>
  <c r="I299" i="6" s="1"/>
  <c r="AN470" i="6"/>
  <c r="AM470" i="6" s="1"/>
  <c r="AN260" i="6"/>
  <c r="AM260" i="6" s="1"/>
  <c r="I260" i="6" s="1"/>
  <c r="AN13" i="6"/>
  <c r="AM13" i="6" s="1"/>
  <c r="I13" i="6" s="1"/>
  <c r="AN200" i="6"/>
  <c r="AM200" i="6" s="1"/>
  <c r="I200" i="6" s="1"/>
  <c r="AN436" i="6"/>
  <c r="AM436" i="6" s="1"/>
  <c r="I436" i="6" s="1"/>
  <c r="AN88" i="6"/>
  <c r="AM88" i="6" s="1"/>
  <c r="I88" i="6" s="1"/>
  <c r="AN435" i="6"/>
  <c r="AM435" i="6" s="1"/>
  <c r="I435" i="6" s="1"/>
  <c r="AN53" i="6"/>
  <c r="AM53" i="6" s="1"/>
  <c r="I53" i="6" s="1"/>
  <c r="AN142" i="6"/>
  <c r="AM142" i="6" s="1"/>
  <c r="I142" i="6" s="1"/>
  <c r="AN250" i="6"/>
  <c r="AM250" i="6" s="1"/>
  <c r="I250" i="6" s="1"/>
  <c r="AN424" i="6"/>
  <c r="AM424" i="6" s="1"/>
  <c r="I424" i="6" s="1"/>
  <c r="AN292" i="6"/>
  <c r="AM292" i="6" s="1"/>
  <c r="I292" i="6" s="1"/>
  <c r="AN94" i="6"/>
  <c r="AM94" i="6" s="1"/>
  <c r="I94" i="6" s="1"/>
  <c r="AN186" i="6"/>
  <c r="AM186" i="6" s="1"/>
  <c r="I186" i="6" s="1"/>
  <c r="AN321" i="6"/>
  <c r="AM321" i="6" s="1"/>
  <c r="I321" i="6" s="1"/>
  <c r="AN176" i="6"/>
  <c r="AM176" i="6" s="1"/>
  <c r="I176" i="6" s="1"/>
  <c r="AN380" i="6"/>
  <c r="AM380" i="6" s="1"/>
  <c r="I380" i="6" s="1"/>
  <c r="AN152" i="6"/>
  <c r="AM152" i="6" s="1"/>
  <c r="I152" i="6" s="1"/>
  <c r="AN180" i="6"/>
  <c r="AM180" i="6" s="1"/>
  <c r="I180" i="6" s="1"/>
  <c r="AN332" i="6"/>
  <c r="AM332" i="6" s="1"/>
  <c r="I332" i="6" s="1"/>
  <c r="AN447" i="6"/>
  <c r="AM447" i="6" s="1"/>
  <c r="I447" i="6" s="1"/>
  <c r="AN231" i="6"/>
  <c r="AM231" i="6" s="1"/>
  <c r="I231" i="6" s="1"/>
  <c r="AN329" i="6"/>
  <c r="AM329" i="6" s="1"/>
  <c r="I329" i="6" s="1"/>
  <c r="AN101" i="6"/>
  <c r="AM101" i="6" s="1"/>
  <c r="I101" i="6" s="1"/>
  <c r="AN463" i="6"/>
  <c r="AM463" i="6" s="1"/>
  <c r="I463" i="6" s="1"/>
  <c r="AN437" i="6"/>
  <c r="AM437" i="6" s="1"/>
  <c r="I437" i="6" s="1"/>
  <c r="AN415" i="6"/>
  <c r="AM415" i="6" s="1"/>
  <c r="I415" i="6" s="1"/>
  <c r="AN398" i="6"/>
  <c r="AM398" i="6" s="1"/>
  <c r="I398" i="6" s="1"/>
  <c r="AN379" i="6"/>
  <c r="AM379" i="6" s="1"/>
  <c r="I379" i="6" s="1"/>
  <c r="AN371" i="6"/>
  <c r="AM371" i="6" s="1"/>
  <c r="I371" i="6" s="1"/>
  <c r="AN340" i="6"/>
  <c r="AM340" i="6" s="1"/>
  <c r="I340" i="6" s="1"/>
  <c r="AN322" i="6"/>
  <c r="AM322" i="6" s="1"/>
  <c r="I322" i="6" s="1"/>
  <c r="AN282" i="6"/>
  <c r="AM282" i="6" s="1"/>
  <c r="I282" i="6" s="1"/>
  <c r="AN293" i="6"/>
  <c r="AM293" i="6" s="1"/>
  <c r="I293" i="6" s="1"/>
  <c r="AN263" i="6"/>
  <c r="AM263" i="6" s="1"/>
  <c r="I263" i="6" s="1"/>
  <c r="AN228" i="6"/>
  <c r="AM228" i="6" s="1"/>
  <c r="I228" i="6" s="1"/>
  <c r="AN223" i="6"/>
  <c r="AM223" i="6" s="1"/>
  <c r="I223" i="6" s="1"/>
  <c r="AN215" i="6"/>
  <c r="AM215" i="6" s="1"/>
  <c r="I215" i="6" s="1"/>
  <c r="AN163" i="6"/>
  <c r="AM163" i="6" s="1"/>
  <c r="I163" i="6" s="1"/>
  <c r="AN159" i="6"/>
  <c r="AM159" i="6" s="1"/>
  <c r="I159" i="6" s="1"/>
  <c r="AN116" i="6"/>
  <c r="AM116" i="6" s="1"/>
  <c r="I116" i="6" s="1"/>
  <c r="AN169" i="6"/>
  <c r="AM169" i="6" s="1"/>
  <c r="I169" i="6" s="1"/>
  <c r="AN135" i="6"/>
  <c r="AM135" i="6" s="1"/>
  <c r="I135" i="6" s="1"/>
  <c r="AN93" i="6"/>
  <c r="AM93" i="6" s="1"/>
  <c r="I93" i="6" s="1"/>
  <c r="AN122" i="6"/>
  <c r="AM122" i="6" s="1"/>
  <c r="I122" i="6" s="1"/>
  <c r="AN115" i="6"/>
  <c r="AM115" i="6" s="1"/>
  <c r="I115" i="6" s="1"/>
  <c r="AN64" i="6"/>
  <c r="AM64" i="6" s="1"/>
  <c r="I64" i="6" s="1"/>
  <c r="AN30" i="6"/>
  <c r="AM30" i="6" s="1"/>
  <c r="I30" i="6" s="1"/>
  <c r="AN16" i="6"/>
  <c r="AM16" i="6" s="1"/>
  <c r="I16" i="6" s="1"/>
  <c r="AN82" i="6"/>
  <c r="AM82" i="6" s="1"/>
  <c r="I82" i="6" s="1"/>
  <c r="AN284" i="6"/>
  <c r="AM284" i="6" s="1"/>
  <c r="I284" i="6" s="1"/>
  <c r="AN420" i="6"/>
  <c r="AM420" i="6" s="1"/>
  <c r="I420" i="6" s="1"/>
  <c r="AN9" i="6"/>
  <c r="AM9" i="6" s="1"/>
  <c r="I9" i="6" s="1"/>
  <c r="AN17" i="6"/>
  <c r="AM17" i="6" s="1"/>
  <c r="I17" i="6" s="1"/>
  <c r="AN121" i="6"/>
  <c r="AM121" i="6" s="1"/>
  <c r="I121" i="6" s="1"/>
  <c r="AN245" i="6"/>
  <c r="AM245" i="6" s="1"/>
  <c r="I245" i="6" s="1"/>
  <c r="AN399" i="6"/>
  <c r="AM399" i="6" s="1"/>
  <c r="I399" i="6" s="1"/>
  <c r="AN337" i="6"/>
  <c r="AM337" i="6" s="1"/>
  <c r="I337" i="6" s="1"/>
  <c r="AN364" i="6"/>
  <c r="AM364" i="6" s="1"/>
  <c r="I364" i="6" s="1"/>
  <c r="AN323" i="6"/>
  <c r="AM323" i="6" s="1"/>
  <c r="I323" i="6" s="1"/>
  <c r="AN24" i="6"/>
  <c r="AM24" i="6" s="1"/>
  <c r="I24" i="6" s="1"/>
  <c r="AN230" i="6"/>
  <c r="AM230" i="6" s="1"/>
  <c r="I230" i="6" s="1"/>
  <c r="AN445" i="6"/>
  <c r="AM445" i="6" s="1"/>
  <c r="I445" i="6" s="1"/>
  <c r="AN113" i="6"/>
  <c r="AM113" i="6" s="1"/>
  <c r="I113" i="6" s="1"/>
  <c r="AN18" i="6"/>
  <c r="AM18" i="6" s="1"/>
  <c r="I18" i="6" s="1"/>
  <c r="AN58" i="6"/>
  <c r="AM58" i="6" s="1"/>
  <c r="I58" i="6" s="1"/>
  <c r="AN158" i="6"/>
  <c r="AM158" i="6" s="1"/>
  <c r="I158" i="6" s="1"/>
  <c r="AN241" i="6"/>
  <c r="AM241" i="6" s="1"/>
  <c r="I241" i="6" s="1"/>
  <c r="AN457" i="6"/>
  <c r="AM457" i="6" s="1"/>
  <c r="I457" i="6" s="1"/>
  <c r="AN60" i="6"/>
  <c r="AM60" i="6" s="1"/>
  <c r="I60" i="6" s="1"/>
  <c r="AN95" i="6"/>
  <c r="AM95" i="6" s="1"/>
  <c r="I95" i="6" s="1"/>
  <c r="AN206" i="6"/>
  <c r="AM206" i="6" s="1"/>
  <c r="I206" i="6" s="1"/>
  <c r="AN276" i="6"/>
  <c r="AM276" i="6" s="1"/>
  <c r="I276" i="6" s="1"/>
  <c r="AN238" i="6"/>
  <c r="AM238" i="6" s="1"/>
  <c r="I238" i="6" s="1"/>
  <c r="AN389" i="6"/>
  <c r="AM389" i="6" s="1"/>
  <c r="I389" i="6" s="1"/>
  <c r="AN35" i="6"/>
  <c r="AM35" i="6" s="1"/>
  <c r="I35" i="6" s="1"/>
  <c r="AN185" i="6"/>
  <c r="AM185" i="6" s="1"/>
  <c r="I185" i="6" s="1"/>
  <c r="AN357" i="6"/>
  <c r="AM357" i="6" s="1"/>
  <c r="I357" i="6" s="1"/>
  <c r="AN458" i="6"/>
  <c r="AM458" i="6" s="1"/>
  <c r="I458" i="6" s="1"/>
  <c r="AN269" i="6"/>
  <c r="AM269" i="6" s="1"/>
  <c r="I269" i="6" s="1"/>
  <c r="AN338" i="6"/>
  <c r="AM338" i="6" s="1"/>
  <c r="I338" i="6" s="1"/>
  <c r="AN192" i="6"/>
  <c r="AM192" i="6" s="1"/>
  <c r="I192" i="6" s="1"/>
  <c r="AN464" i="6"/>
  <c r="AM464" i="6" s="1"/>
  <c r="I464" i="6" s="1"/>
  <c r="AN429" i="6"/>
  <c r="AM429" i="6" s="1"/>
  <c r="I429" i="6" s="1"/>
  <c r="AN421" i="6"/>
  <c r="AM421" i="6" s="1"/>
  <c r="I421" i="6" s="1"/>
  <c r="AN392" i="6"/>
  <c r="AM392" i="6" s="1"/>
  <c r="I392" i="6" s="1"/>
  <c r="AN361" i="6"/>
  <c r="AM361" i="6" s="1"/>
  <c r="I361" i="6" s="1"/>
  <c r="AN363" i="6"/>
  <c r="AM363" i="6" s="1"/>
  <c r="I363" i="6" s="1"/>
  <c r="AN362" i="6"/>
  <c r="AM362" i="6" s="1"/>
  <c r="I362" i="6" s="1"/>
  <c r="AN305" i="6"/>
  <c r="AM305" i="6" s="1"/>
  <c r="I305" i="6" s="1"/>
  <c r="AN313" i="6"/>
  <c r="AM313" i="6" s="1"/>
  <c r="I313" i="6" s="1"/>
  <c r="AN295" i="6"/>
  <c r="AM295" i="6" s="1"/>
  <c r="I295" i="6" s="1"/>
  <c r="AN255" i="6"/>
  <c r="AM255" i="6" s="1"/>
  <c r="I255" i="6" s="1"/>
  <c r="AN220" i="6"/>
  <c r="AM220" i="6" s="1"/>
  <c r="I220" i="6" s="1"/>
  <c r="AN217" i="6"/>
  <c r="AM217" i="6" s="1"/>
  <c r="I217" i="6" s="1"/>
  <c r="AN196" i="6"/>
  <c r="AM196" i="6" s="1"/>
  <c r="I196" i="6" s="1"/>
  <c r="AN155" i="6"/>
  <c r="AM155" i="6" s="1"/>
  <c r="I155" i="6" s="1"/>
  <c r="AN173" i="6"/>
  <c r="AM173" i="6" s="1"/>
  <c r="I173" i="6" s="1"/>
  <c r="AN143" i="6"/>
  <c r="AM143" i="6" s="1"/>
  <c r="I143" i="6" s="1"/>
  <c r="AN146" i="6"/>
  <c r="AM146" i="6" s="1"/>
  <c r="I146" i="6" s="1"/>
  <c r="AN127" i="6"/>
  <c r="AM127" i="6" s="1"/>
  <c r="I127" i="6" s="1"/>
  <c r="AN85" i="6"/>
  <c r="AM85" i="6" s="1"/>
  <c r="I85" i="6" s="1"/>
  <c r="AN100" i="6"/>
  <c r="AM100" i="6" s="1"/>
  <c r="I100" i="6" s="1"/>
  <c r="AN108" i="6"/>
  <c r="AM108" i="6" s="1"/>
  <c r="I108" i="6" s="1"/>
  <c r="AN59" i="6"/>
  <c r="AM59" i="6" s="1"/>
  <c r="I59" i="6" s="1"/>
  <c r="AN75" i="6"/>
  <c r="AM75" i="6" s="1"/>
  <c r="I75" i="6" s="1"/>
  <c r="AN14" i="6"/>
  <c r="AM14" i="6" s="1"/>
  <c r="I14" i="6" s="1"/>
  <c r="AN70" i="6"/>
  <c r="AM70" i="6" s="1"/>
  <c r="I70" i="6" s="1"/>
  <c r="AN272" i="6"/>
  <c r="AM272" i="6" s="1"/>
  <c r="I272" i="6" s="1"/>
  <c r="AN423" i="6"/>
  <c r="AM423" i="6" s="1"/>
  <c r="I423" i="6" s="1"/>
  <c r="AN47" i="6"/>
  <c r="AM47" i="6" s="1"/>
  <c r="I47" i="6" s="1"/>
  <c r="AN50" i="6"/>
  <c r="AM50" i="6" s="1"/>
  <c r="I50" i="6" s="1"/>
  <c r="AN187" i="6"/>
  <c r="AM187" i="6" s="1"/>
  <c r="I187" i="6" s="1"/>
  <c r="AN306" i="6"/>
  <c r="AM306" i="6" s="1"/>
  <c r="I306" i="6" s="1"/>
  <c r="AN440" i="6"/>
  <c r="AM440" i="6" s="1"/>
  <c r="I440" i="6" s="1"/>
  <c r="AN343" i="6"/>
  <c r="AM343" i="6" s="1"/>
  <c r="I343" i="6" s="1"/>
  <c r="AN422" i="6"/>
  <c r="AM422" i="6" s="1"/>
  <c r="I422" i="6" s="1"/>
  <c r="AN373" i="6"/>
  <c r="AM373" i="6" s="1"/>
  <c r="I373" i="6" s="1"/>
  <c r="AN27" i="6"/>
  <c r="AM27" i="6" s="1"/>
  <c r="I27" i="6" s="1"/>
  <c r="AN286" i="6"/>
  <c r="AM286" i="6" s="1"/>
  <c r="I286" i="6" s="1"/>
  <c r="AN444" i="6"/>
  <c r="AM444" i="6" s="1"/>
  <c r="I444" i="6" s="1"/>
  <c r="AN133" i="6"/>
  <c r="AM133" i="6" s="1"/>
  <c r="I133" i="6" s="1"/>
  <c r="AN21" i="6"/>
  <c r="AM21" i="6" s="1"/>
  <c r="I21" i="6" s="1"/>
  <c r="AN84" i="6"/>
  <c r="AM84" i="6" s="1"/>
  <c r="I84" i="6" s="1"/>
  <c r="AN184" i="6"/>
  <c r="AM184" i="6" s="1"/>
  <c r="I184" i="6" s="1"/>
  <c r="AN294" i="6"/>
  <c r="AM294" i="6" s="1"/>
  <c r="I294" i="6" s="1"/>
  <c r="AN226" i="6"/>
  <c r="AM226" i="6" s="1"/>
  <c r="I226" i="6" s="1"/>
  <c r="AN44" i="6"/>
  <c r="AM44" i="6" s="1"/>
  <c r="I44" i="6" s="1"/>
  <c r="AN129" i="6"/>
  <c r="AM129" i="6" s="1"/>
  <c r="I129" i="6" s="1"/>
  <c r="AN232" i="6"/>
  <c r="AM232" i="6" s="1"/>
  <c r="I232" i="6" s="1"/>
  <c r="AN288" i="6"/>
  <c r="AM288" i="6" s="1"/>
  <c r="I288" i="6" s="1"/>
  <c r="AN211" i="6"/>
  <c r="AM211" i="6" s="1"/>
  <c r="I211" i="6" s="1"/>
  <c r="AN418" i="6"/>
  <c r="AM418" i="6" s="1"/>
  <c r="I418" i="6" s="1"/>
  <c r="AN67" i="6"/>
  <c r="AM67" i="6" s="1"/>
  <c r="I67" i="6" s="1"/>
  <c r="AN205" i="6"/>
  <c r="AM205" i="6" s="1"/>
  <c r="I205" i="6" s="1"/>
  <c r="AN370" i="6"/>
  <c r="AM370" i="6" s="1"/>
  <c r="I370" i="6" s="1"/>
  <c r="AN451" i="6"/>
  <c r="AM451" i="6" s="1"/>
  <c r="I451" i="6" s="1"/>
  <c r="AN257" i="6"/>
  <c r="AM257" i="6" s="1"/>
  <c r="I257" i="6" s="1"/>
  <c r="AN360" i="6"/>
  <c r="AM360" i="6" s="1"/>
  <c r="I360" i="6" s="1"/>
  <c r="AN197" i="6"/>
  <c r="AM197" i="6" s="1"/>
  <c r="I197" i="6" s="1"/>
  <c r="AG135" i="6"/>
  <c r="AF135" i="6" s="1"/>
  <c r="F135" i="6" s="1"/>
  <c r="AG45" i="6"/>
  <c r="AF45" i="6" s="1"/>
  <c r="F45" i="6" s="1"/>
  <c r="AG217" i="6"/>
  <c r="AF217" i="6" s="1"/>
  <c r="F217" i="6" s="1"/>
  <c r="AG65" i="6"/>
  <c r="AF65" i="6" s="1"/>
  <c r="F65" i="6" s="1"/>
  <c r="AG195" i="6"/>
  <c r="AF195" i="6" s="1"/>
  <c r="F195" i="6" s="1"/>
  <c r="AG412" i="6"/>
  <c r="AF412" i="6" s="1"/>
  <c r="F412" i="6" s="1"/>
  <c r="AG375" i="6"/>
  <c r="AF375" i="6" s="1"/>
  <c r="F375" i="6" s="1"/>
  <c r="AG271" i="6"/>
  <c r="AF271" i="6" s="1"/>
  <c r="F271" i="6" s="1"/>
  <c r="AG303" i="6"/>
  <c r="AF303" i="6" s="1"/>
  <c r="F303" i="6" s="1"/>
  <c r="AG80" i="6"/>
  <c r="AF80" i="6" s="1"/>
  <c r="F80" i="6" s="1"/>
  <c r="AG280" i="6"/>
  <c r="AF280" i="6" s="1"/>
  <c r="F280" i="6" s="1"/>
  <c r="AG173" i="6"/>
  <c r="AF173" i="6" s="1"/>
  <c r="F173" i="6" s="1"/>
  <c r="AG20" i="6"/>
  <c r="AF20" i="6" s="1"/>
  <c r="F20" i="6" s="1"/>
  <c r="AG288" i="6"/>
  <c r="AF288" i="6" s="1"/>
  <c r="F288" i="6" s="1"/>
  <c r="AG297" i="6"/>
  <c r="AF297" i="6" s="1"/>
  <c r="F297" i="6" s="1"/>
  <c r="AG48" i="6"/>
  <c r="AF48" i="6" s="1"/>
  <c r="F48" i="6" s="1"/>
  <c r="AG294" i="6"/>
  <c r="AF294" i="6" s="1"/>
  <c r="F294" i="6" s="1"/>
  <c r="AG91" i="6"/>
  <c r="AF91" i="6" s="1"/>
  <c r="F91" i="6" s="1"/>
  <c r="AG76" i="6"/>
  <c r="AF76" i="6" s="1"/>
  <c r="F76" i="6" s="1"/>
  <c r="AG354" i="6"/>
  <c r="AF354" i="6" s="1"/>
  <c r="F354" i="6" s="1"/>
  <c r="AG227" i="6"/>
  <c r="AF227" i="6" s="1"/>
  <c r="F227" i="6" s="1"/>
  <c r="AG147" i="6"/>
  <c r="AF147" i="6" s="1"/>
  <c r="F147" i="6" s="1"/>
  <c r="AG252" i="6"/>
  <c r="AF252" i="6" s="1"/>
  <c r="F252" i="6" s="1"/>
  <c r="AG389" i="6"/>
  <c r="AF389" i="6" s="1"/>
  <c r="F389" i="6" s="1"/>
  <c r="AG233" i="6"/>
  <c r="AF233" i="6" s="1"/>
  <c r="F233" i="6" s="1"/>
  <c r="AG470" i="6"/>
  <c r="AF470" i="6" s="1"/>
  <c r="AG83" i="6"/>
  <c r="AF83" i="6" s="1"/>
  <c r="F83" i="6" s="1"/>
  <c r="AG219" i="6"/>
  <c r="AF219" i="6" s="1"/>
  <c r="F219" i="6" s="1"/>
  <c r="AG245" i="6"/>
  <c r="AF245" i="6" s="1"/>
  <c r="F245" i="6" s="1"/>
  <c r="AG187" i="6"/>
  <c r="AF187" i="6" s="1"/>
  <c r="F187" i="6" s="1"/>
  <c r="AG122" i="6"/>
  <c r="AF122" i="6" s="1"/>
  <c r="F122" i="6" s="1"/>
  <c r="AG321" i="6"/>
  <c r="AF321" i="6" s="1"/>
  <c r="F321" i="6" s="1"/>
  <c r="AG157" i="6"/>
  <c r="AF157" i="6" s="1"/>
  <c r="F157" i="6" s="1"/>
  <c r="AG207" i="6"/>
  <c r="AF207" i="6" s="1"/>
  <c r="F207" i="6" s="1"/>
  <c r="AG423" i="6"/>
  <c r="AF423" i="6" s="1"/>
  <c r="F423" i="6" s="1"/>
  <c r="AG131" i="6"/>
  <c r="AF131" i="6" s="1"/>
  <c r="F131" i="6" s="1"/>
  <c r="AG460" i="6"/>
  <c r="AF460" i="6" s="1"/>
  <c r="F460" i="6" s="1"/>
  <c r="AG132" i="6"/>
  <c r="AF132" i="6" s="1"/>
  <c r="F132" i="6" s="1"/>
  <c r="AG366" i="6"/>
  <c r="AF366" i="6" s="1"/>
  <c r="F366" i="6" s="1"/>
  <c r="AG170" i="6"/>
  <c r="AF170" i="6" s="1"/>
  <c r="F170" i="6" s="1"/>
  <c r="AG75" i="6"/>
  <c r="AF75" i="6" s="1"/>
  <c r="F75" i="6" s="1"/>
  <c r="AG401" i="6"/>
  <c r="AF401" i="6" s="1"/>
  <c r="F401" i="6" s="1"/>
  <c r="AG166" i="6"/>
  <c r="AF166" i="6" s="1"/>
  <c r="F166" i="6" s="1"/>
  <c r="AG311" i="6"/>
  <c r="AF311" i="6" s="1"/>
  <c r="F311" i="6" s="1"/>
  <c r="AG336" i="6"/>
  <c r="AF336" i="6" s="1"/>
  <c r="F336" i="6" s="1"/>
  <c r="AG87" i="6"/>
  <c r="AF87" i="6" s="1"/>
  <c r="F87" i="6" s="1"/>
  <c r="AG316" i="6"/>
  <c r="AF316" i="6" s="1"/>
  <c r="F316" i="6" s="1"/>
  <c r="AG410" i="6"/>
  <c r="AF410" i="6" s="1"/>
  <c r="F410" i="6" s="1"/>
  <c r="AG295" i="6"/>
  <c r="AF295" i="6" s="1"/>
  <c r="F295" i="6" s="1"/>
  <c r="AG180" i="6"/>
  <c r="AF180" i="6" s="1"/>
  <c r="F180" i="6" s="1"/>
  <c r="AG457" i="6"/>
  <c r="AF457" i="6" s="1"/>
  <c r="F457" i="6" s="1"/>
  <c r="AG306" i="6"/>
  <c r="AF306" i="6" s="1"/>
  <c r="F306" i="6" s="1"/>
  <c r="AG84" i="6"/>
  <c r="AF84" i="6" s="1"/>
  <c r="F84" i="6" s="1"/>
  <c r="AG276" i="6"/>
  <c r="AF276" i="6" s="1"/>
  <c r="F276" i="6" s="1"/>
  <c r="AG24" i="6"/>
  <c r="AF24" i="6" s="1"/>
  <c r="F24" i="6" s="1"/>
  <c r="AG251" i="6"/>
  <c r="AF251" i="6" s="1"/>
  <c r="F251" i="6" s="1"/>
  <c r="AG107" i="6"/>
  <c r="AF107" i="6" s="1"/>
  <c r="F107" i="6" s="1"/>
  <c r="AG253" i="6"/>
  <c r="AF253" i="6" s="1"/>
  <c r="F253" i="6" s="1"/>
  <c r="AG413" i="6"/>
  <c r="AF413" i="6" s="1"/>
  <c r="F413" i="6" s="1"/>
  <c r="AG324" i="6"/>
  <c r="AF324" i="6" s="1"/>
  <c r="F324" i="6" s="1"/>
  <c r="AG205" i="6"/>
  <c r="AF205" i="6" s="1"/>
  <c r="F205" i="6" s="1"/>
  <c r="AG208" i="6"/>
  <c r="AF208" i="6" s="1"/>
  <c r="F208" i="6" s="1"/>
  <c r="AG315" i="6"/>
  <c r="AF315" i="6" s="1"/>
  <c r="F315" i="6" s="1"/>
  <c r="AG58" i="6"/>
  <c r="AF58" i="6" s="1"/>
  <c r="F58" i="6" s="1"/>
  <c r="AG451" i="6"/>
  <c r="AF451" i="6" s="1"/>
  <c r="F451" i="6" s="1"/>
  <c r="AG305" i="6"/>
  <c r="AF305" i="6" s="1"/>
  <c r="F305" i="6" s="1"/>
  <c r="AG461" i="6"/>
  <c r="AF461" i="6" s="1"/>
  <c r="F461" i="6" s="1"/>
  <c r="AG109" i="6"/>
  <c r="AF109" i="6" s="1"/>
  <c r="F109" i="6" s="1"/>
  <c r="AG447" i="6"/>
  <c r="AF447" i="6" s="1"/>
  <c r="F447" i="6" s="1"/>
  <c r="AG318" i="6"/>
  <c r="AF318" i="6" s="1"/>
  <c r="F318" i="6" s="1"/>
  <c r="AG137" i="6"/>
  <c r="AF137" i="6" s="1"/>
  <c r="F137" i="6" s="1"/>
  <c r="AG86" i="6"/>
  <c r="AF86" i="6" s="1"/>
  <c r="F86" i="6" s="1"/>
  <c r="AG454" i="6"/>
  <c r="AF454" i="6" s="1"/>
  <c r="F454" i="6" s="1"/>
  <c r="AG168" i="6"/>
  <c r="AF168" i="6" s="1"/>
  <c r="F168" i="6" s="1"/>
  <c r="AG103" i="6"/>
  <c r="AF103" i="6" s="1"/>
  <c r="F103" i="6" s="1"/>
  <c r="AG296" i="6"/>
  <c r="AF296" i="6" s="1"/>
  <c r="F296" i="6" s="1"/>
  <c r="AG171" i="6"/>
  <c r="AF171" i="6" s="1"/>
  <c r="F171" i="6" s="1"/>
  <c r="AG378" i="6"/>
  <c r="AF378" i="6" s="1"/>
  <c r="F378" i="6" s="1"/>
  <c r="AG344" i="6"/>
  <c r="AF344" i="6" s="1"/>
  <c r="F344" i="6" s="1"/>
  <c r="AG322" i="6"/>
  <c r="AF322" i="6" s="1"/>
  <c r="F322" i="6" s="1"/>
  <c r="AG82" i="6"/>
  <c r="AF82" i="6" s="1"/>
  <c r="F82" i="6" s="1"/>
  <c r="AG160" i="6"/>
  <c r="AF160" i="6" s="1"/>
  <c r="F160" i="6" s="1"/>
  <c r="AG405" i="6"/>
  <c r="AF405" i="6" s="1"/>
  <c r="F405" i="6" s="1"/>
  <c r="AG159" i="6"/>
  <c r="AF159" i="6" s="1"/>
  <c r="F159" i="6" s="1"/>
  <c r="AG55" i="6"/>
  <c r="AF55" i="6" s="1"/>
  <c r="F55" i="6" s="1"/>
  <c r="AG464" i="6"/>
  <c r="AF464" i="6" s="1"/>
  <c r="F464" i="6" s="1"/>
  <c r="AG151" i="6"/>
  <c r="AF151" i="6" s="1"/>
  <c r="F151" i="6" s="1"/>
  <c r="AG428" i="6"/>
  <c r="AF428" i="6" s="1"/>
  <c r="F428" i="6" s="1"/>
  <c r="AG177" i="6"/>
  <c r="AF177" i="6" s="1"/>
  <c r="F177" i="6" s="1"/>
  <c r="AG259" i="6"/>
  <c r="AF259" i="6" s="1"/>
  <c r="F259" i="6" s="1"/>
  <c r="AG246" i="6"/>
  <c r="AF246" i="6" s="1"/>
  <c r="F246" i="6" s="1"/>
  <c r="AG287" i="6"/>
  <c r="AF287" i="6" s="1"/>
  <c r="F287" i="6" s="1"/>
  <c r="AG220" i="6"/>
  <c r="AF220" i="6" s="1"/>
  <c r="F220" i="6" s="1"/>
  <c r="AG258" i="6"/>
  <c r="AF258" i="6" s="1"/>
  <c r="F258" i="6" s="1"/>
  <c r="AG355" i="6"/>
  <c r="AF355" i="6" s="1"/>
  <c r="F355" i="6" s="1"/>
  <c r="AG186" i="6"/>
  <c r="AF186" i="6" s="1"/>
  <c r="F186" i="6" s="1"/>
  <c r="AG74" i="6"/>
  <c r="AF74" i="6" s="1"/>
  <c r="F74" i="6" s="1"/>
  <c r="AG95" i="6"/>
  <c r="AF95" i="6" s="1"/>
  <c r="F95" i="6" s="1"/>
  <c r="AG243" i="6"/>
  <c r="AF243" i="6" s="1"/>
  <c r="F243" i="6" s="1"/>
  <c r="AG363" i="6"/>
  <c r="AF363" i="6" s="1"/>
  <c r="F363" i="6" s="1"/>
  <c r="AG215" i="6"/>
  <c r="AF215" i="6" s="1"/>
  <c r="F215" i="6" s="1"/>
  <c r="AG403" i="6"/>
  <c r="AF403" i="6" s="1"/>
  <c r="F403" i="6" s="1"/>
  <c r="AG120" i="6"/>
  <c r="AF120" i="6" s="1"/>
  <c r="F120" i="6" s="1"/>
  <c r="AG399" i="6"/>
  <c r="AF399" i="6" s="1"/>
  <c r="F399" i="6" s="1"/>
  <c r="AG192" i="6"/>
  <c r="AF192" i="6" s="1"/>
  <c r="F192" i="6" s="1"/>
  <c r="AG455" i="6"/>
  <c r="AF455" i="6" s="1"/>
  <c r="F455" i="6" s="1"/>
  <c r="AG304" i="6"/>
  <c r="AF304" i="6" s="1"/>
  <c r="F304" i="6" s="1"/>
  <c r="AG466" i="6"/>
  <c r="AF466" i="6" s="1"/>
  <c r="F466" i="6" s="1"/>
  <c r="AG348" i="6"/>
  <c r="AF348" i="6" s="1"/>
  <c r="F348" i="6" s="1"/>
  <c r="AG406" i="6"/>
  <c r="AF406" i="6" s="1"/>
  <c r="F406" i="6" s="1"/>
  <c r="AG450" i="6"/>
  <c r="AF450" i="6" s="1"/>
  <c r="F450" i="6" s="1"/>
  <c r="AG374" i="6"/>
  <c r="AF374" i="6" s="1"/>
  <c r="F374" i="6" s="1"/>
  <c r="AG400" i="6"/>
  <c r="AF400" i="6" s="1"/>
  <c r="F400" i="6" s="1"/>
  <c r="AG174" i="6"/>
  <c r="AF174" i="6" s="1"/>
  <c r="F174" i="6" s="1"/>
  <c r="AG64" i="6"/>
  <c r="AF64" i="6" s="1"/>
  <c r="F64" i="6" s="1"/>
  <c r="AG206" i="6"/>
  <c r="AF206" i="6" s="1"/>
  <c r="F206" i="6" s="1"/>
  <c r="AG111" i="6"/>
  <c r="AF111" i="6" s="1"/>
  <c r="F111" i="6" s="1"/>
  <c r="AG181" i="6"/>
  <c r="AF181" i="6" s="1"/>
  <c r="F181" i="6" s="1"/>
  <c r="AG469" i="6"/>
  <c r="AF469" i="6" s="1"/>
  <c r="AG172" i="6"/>
  <c r="AF172" i="6" s="1"/>
  <c r="F172" i="6" s="1"/>
  <c r="AG426" i="6"/>
  <c r="AF426" i="6" s="1"/>
  <c r="F426" i="6" s="1"/>
  <c r="AG320" i="6"/>
  <c r="AF320" i="6" s="1"/>
  <c r="F320" i="6" s="1"/>
  <c r="AG226" i="6"/>
  <c r="AF226" i="6" s="1"/>
  <c r="F226" i="6" s="1"/>
  <c r="AG25" i="6"/>
  <c r="AF25" i="6" s="1"/>
  <c r="F25" i="6" s="1"/>
  <c r="AG144" i="6"/>
  <c r="AF144" i="6" s="1"/>
  <c r="F144" i="6" s="1"/>
  <c r="AG81" i="6"/>
  <c r="AF81" i="6" s="1"/>
  <c r="F81" i="6" s="1"/>
  <c r="AG94" i="6"/>
  <c r="AF94" i="6" s="1"/>
  <c r="F94" i="6" s="1"/>
  <c r="AG427" i="6"/>
  <c r="AF427" i="6" s="1"/>
  <c r="F427" i="6" s="1"/>
  <c r="AG417" i="6"/>
  <c r="AF417" i="6" s="1"/>
  <c r="F417" i="6" s="1"/>
  <c r="AG200" i="6"/>
  <c r="AF200" i="6" s="1"/>
  <c r="F200" i="6" s="1"/>
  <c r="AG164" i="6"/>
  <c r="AF164" i="6" s="1"/>
  <c r="F164" i="6" s="1"/>
  <c r="AG89" i="6"/>
  <c r="AF89" i="6" s="1"/>
  <c r="F89" i="6" s="1"/>
  <c r="AG237" i="6"/>
  <c r="AF237" i="6" s="1"/>
  <c r="F237" i="6" s="1"/>
  <c r="AG293" i="6"/>
  <c r="AF293" i="6" s="1"/>
  <c r="F293" i="6" s="1"/>
  <c r="AG53" i="6"/>
  <c r="AF53" i="6" s="1"/>
  <c r="F53" i="6" s="1"/>
  <c r="AG407" i="6"/>
  <c r="AF407" i="6" s="1"/>
  <c r="F407" i="6" s="1"/>
  <c r="AG420" i="6"/>
  <c r="AF420" i="6" s="1"/>
  <c r="F420" i="6" s="1"/>
  <c r="AG367" i="6"/>
  <c r="AF367" i="6" s="1"/>
  <c r="F367" i="6" s="1"/>
  <c r="AG161" i="6"/>
  <c r="AF161" i="6" s="1"/>
  <c r="F161" i="6" s="1"/>
  <c r="AG78" i="6"/>
  <c r="AF78" i="6" s="1"/>
  <c r="F78" i="6" s="1"/>
  <c r="AG97" i="6"/>
  <c r="AF97" i="6" s="1"/>
  <c r="F97" i="6" s="1"/>
  <c r="AG379" i="6"/>
  <c r="AF379" i="6" s="1"/>
  <c r="F379" i="6" s="1"/>
  <c r="AG63" i="6"/>
  <c r="AF63" i="6" s="1"/>
  <c r="F63" i="6" s="1"/>
  <c r="AG333" i="6"/>
  <c r="AF333" i="6" s="1"/>
  <c r="F333" i="6" s="1"/>
  <c r="AG43" i="6"/>
  <c r="AF43" i="6" s="1"/>
  <c r="F43" i="6" s="1"/>
  <c r="AG416" i="6"/>
  <c r="AF416" i="6" s="1"/>
  <c r="F416" i="6" s="1"/>
  <c r="AG108" i="6"/>
  <c r="AF108" i="6" s="1"/>
  <c r="F108" i="6" s="1"/>
  <c r="AG282" i="6"/>
  <c r="AF282" i="6" s="1"/>
  <c r="F282" i="6" s="1"/>
  <c r="AG421" i="6"/>
  <c r="AF421" i="6" s="1"/>
  <c r="F421" i="6" s="1"/>
  <c r="AG110" i="6"/>
  <c r="AF110" i="6" s="1"/>
  <c r="F110" i="6" s="1"/>
  <c r="AG263" i="6"/>
  <c r="AF263" i="6" s="1"/>
  <c r="F263" i="6" s="1"/>
  <c r="AG118" i="6"/>
  <c r="AF118" i="6" s="1"/>
  <c r="F118" i="6" s="1"/>
  <c r="AG169" i="6"/>
  <c r="AF169" i="6" s="1"/>
  <c r="F169" i="6" s="1"/>
  <c r="AG353" i="6"/>
  <c r="AF353" i="6" s="1"/>
  <c r="F353" i="6" s="1"/>
  <c r="AG196" i="6"/>
  <c r="AF196" i="6" s="1"/>
  <c r="F196" i="6" s="1"/>
  <c r="AG437" i="6"/>
  <c r="AF437" i="6" s="1"/>
  <c r="F437" i="6" s="1"/>
  <c r="AG66" i="6"/>
  <c r="AF66" i="6" s="1"/>
  <c r="F66" i="6" s="1"/>
  <c r="AG231" i="6"/>
  <c r="AF231" i="6" s="1"/>
  <c r="F231" i="6" s="1"/>
  <c r="AG13" i="6"/>
  <c r="AF13" i="6" s="1"/>
  <c r="F13" i="6" s="1"/>
  <c r="AG179" i="6"/>
  <c r="AF179" i="6" s="1"/>
  <c r="F179" i="6" s="1"/>
  <c r="AG29" i="6"/>
  <c r="AF29" i="6" s="1"/>
  <c r="F29" i="6" s="1"/>
  <c r="AG444" i="6"/>
  <c r="AF444" i="6" s="1"/>
  <c r="F444" i="6" s="1"/>
  <c r="AG142" i="6"/>
  <c r="AF142" i="6" s="1"/>
  <c r="F142" i="6" s="1"/>
  <c r="AG250" i="6"/>
  <c r="AF250" i="6" s="1"/>
  <c r="F250" i="6" s="1"/>
  <c r="AG302" i="6"/>
  <c r="AF302" i="6" s="1"/>
  <c r="F302" i="6" s="1"/>
  <c r="AG404" i="6"/>
  <c r="AF404" i="6" s="1"/>
  <c r="F404" i="6" s="1"/>
  <c r="AG317" i="6"/>
  <c r="AF317" i="6" s="1"/>
  <c r="F317" i="6" s="1"/>
  <c r="AG124" i="6"/>
  <c r="AF124" i="6" s="1"/>
  <c r="F124" i="6" s="1"/>
  <c r="AG442" i="6"/>
  <c r="AF442" i="6" s="1"/>
  <c r="F442" i="6" s="1"/>
  <c r="AG278" i="6"/>
  <c r="AF278" i="6" s="1"/>
  <c r="F278" i="6" s="1"/>
  <c r="AG313" i="6"/>
  <c r="AF313" i="6" s="1"/>
  <c r="F313" i="6" s="1"/>
  <c r="AG247" i="6"/>
  <c r="AF247" i="6" s="1"/>
  <c r="F247" i="6" s="1"/>
  <c r="AG419" i="6"/>
  <c r="AF419" i="6" s="1"/>
  <c r="F419" i="6" s="1"/>
  <c r="AG362" i="6"/>
  <c r="AF362" i="6" s="1"/>
  <c r="F362" i="6" s="1"/>
  <c r="AG300" i="6"/>
  <c r="AF300" i="6" s="1"/>
  <c r="F300" i="6" s="1"/>
  <c r="AG141" i="6"/>
  <c r="AF141" i="6" s="1"/>
  <c r="F141" i="6" s="1"/>
  <c r="AG114" i="6"/>
  <c r="AF114" i="6" s="1"/>
  <c r="F114" i="6" s="1"/>
  <c r="AG267" i="6"/>
  <c r="AF267" i="6" s="1"/>
  <c r="F267" i="6" s="1"/>
  <c r="AG51" i="6"/>
  <c r="AF51" i="6" s="1"/>
  <c r="F51" i="6" s="1"/>
  <c r="AG15" i="6"/>
  <c r="AF15" i="6" s="1"/>
  <c r="F15" i="6" s="1"/>
  <c r="AG150" i="6"/>
  <c r="AF150" i="6" s="1"/>
  <c r="F150" i="6" s="1"/>
  <c r="AG119" i="6"/>
  <c r="AF119" i="6" s="1"/>
  <c r="F119" i="6" s="1"/>
  <c r="AG272" i="6"/>
  <c r="AF272" i="6" s="1"/>
  <c r="F272" i="6" s="1"/>
  <c r="AG339" i="6"/>
  <c r="AF339" i="6" s="1"/>
  <c r="F339" i="6" s="1"/>
  <c r="AG368" i="6"/>
  <c r="AF368" i="6" s="1"/>
  <c r="F368" i="6" s="1"/>
  <c r="AG176" i="6"/>
  <c r="AF176" i="6" s="1"/>
  <c r="F176" i="6" s="1"/>
  <c r="AG96" i="6"/>
  <c r="AF96" i="6" s="1"/>
  <c r="F96" i="6" s="1"/>
  <c r="AG156" i="6"/>
  <c r="AF156" i="6" s="1"/>
  <c r="F156" i="6" s="1"/>
  <c r="AG154" i="6"/>
  <c r="AF154" i="6" s="1"/>
  <c r="F154" i="6" s="1"/>
  <c r="AG266" i="6"/>
  <c r="AF266" i="6" s="1"/>
  <c r="F266" i="6" s="1"/>
  <c r="AG244" i="6"/>
  <c r="AF244" i="6" s="1"/>
  <c r="F244" i="6" s="1"/>
  <c r="AG369" i="6"/>
  <c r="AF369" i="6" s="1"/>
  <c r="F369" i="6" s="1"/>
  <c r="AG72" i="6"/>
  <c r="AF72" i="6" s="1"/>
  <c r="F72" i="6" s="1"/>
  <c r="AG433" i="6"/>
  <c r="AF433" i="6" s="1"/>
  <c r="F433" i="6" s="1"/>
  <c r="AG415" i="6"/>
  <c r="AF415" i="6" s="1"/>
  <c r="F415" i="6" s="1"/>
  <c r="AG387" i="6"/>
  <c r="AF387" i="6" s="1"/>
  <c r="F387" i="6" s="1"/>
  <c r="AG12" i="6"/>
  <c r="AF12" i="6" s="1"/>
  <c r="F12" i="6" s="1"/>
  <c r="AG345" i="6"/>
  <c r="AF345" i="6" s="1"/>
  <c r="F345" i="6" s="1"/>
  <c r="AG241" i="6"/>
  <c r="AF241" i="6" s="1"/>
  <c r="F241" i="6" s="1"/>
  <c r="AG61" i="6"/>
  <c r="AF61" i="6" s="1"/>
  <c r="F61" i="6" s="1"/>
  <c r="AG340" i="6"/>
  <c r="AF340" i="6" s="1"/>
  <c r="F340" i="6" s="1"/>
  <c r="AG371" i="6"/>
  <c r="AF371" i="6" s="1"/>
  <c r="F371" i="6" s="1"/>
  <c r="AG189" i="6"/>
  <c r="AF189" i="6" s="1"/>
  <c r="F189" i="6" s="1"/>
  <c r="AG257" i="6"/>
  <c r="AF257" i="6" s="1"/>
  <c r="F257" i="6" s="1"/>
  <c r="AG429" i="6"/>
  <c r="AF429" i="6" s="1"/>
  <c r="F429" i="6" s="1"/>
  <c r="AG198" i="6"/>
  <c r="AF198" i="6" s="1"/>
  <c r="F198" i="6" s="1"/>
  <c r="AG468" i="6"/>
  <c r="AF468" i="6" s="1"/>
  <c r="F468" i="6" s="1"/>
  <c r="AG152" i="6"/>
  <c r="AF152" i="6" s="1"/>
  <c r="F152" i="6" s="1"/>
  <c r="AG79" i="6"/>
  <c r="AF79" i="6" s="1"/>
  <c r="F79" i="6" s="1"/>
  <c r="AG264" i="6"/>
  <c r="AF264" i="6" s="1"/>
  <c r="F264" i="6" s="1"/>
  <c r="AG18" i="6"/>
  <c r="AF18" i="6" s="1"/>
  <c r="F18" i="6" s="1"/>
  <c r="AG376" i="6"/>
  <c r="AF376" i="6" s="1"/>
  <c r="F376" i="6" s="1"/>
  <c r="AG265" i="6"/>
  <c r="AF265" i="6" s="1"/>
  <c r="F265" i="6" s="1"/>
  <c r="AG145" i="6"/>
  <c r="AF145" i="6" s="1"/>
  <c r="F145" i="6" s="1"/>
  <c r="AG435" i="6"/>
  <c r="AF435" i="6" s="1"/>
  <c r="F435" i="6" s="1"/>
  <c r="AG458" i="6"/>
  <c r="AF458" i="6" s="1"/>
  <c r="F458" i="6" s="1"/>
  <c r="AG394" i="6"/>
  <c r="AF394" i="6" s="1"/>
  <c r="F394" i="6" s="1"/>
  <c r="AG256" i="6"/>
  <c r="AF256" i="6" s="1"/>
  <c r="F256" i="6" s="1"/>
  <c r="AG197" i="6"/>
  <c r="AF197" i="6" s="1"/>
  <c r="F197" i="6" s="1"/>
  <c r="AG346" i="6"/>
  <c r="AF346" i="6" s="1"/>
  <c r="F346" i="6" s="1"/>
  <c r="AG436" i="6"/>
  <c r="AF436" i="6" s="1"/>
  <c r="F436" i="6" s="1"/>
  <c r="AG330" i="6"/>
  <c r="AF330" i="6" s="1"/>
  <c r="F330" i="6" s="1"/>
  <c r="AG188" i="6"/>
  <c r="AF188" i="6" s="1"/>
  <c r="F188" i="6" s="1"/>
  <c r="AG23" i="6"/>
  <c r="AF23" i="6" s="1"/>
  <c r="F23" i="6" s="1"/>
  <c r="AG337" i="6"/>
  <c r="AF337" i="6" s="1"/>
  <c r="F337" i="6" s="1"/>
  <c r="AG202" i="6"/>
  <c r="AF202" i="6" s="1"/>
  <c r="F202" i="6" s="1"/>
  <c r="AG140" i="6"/>
  <c r="AF140" i="6" s="1"/>
  <c r="F140" i="6" s="1"/>
  <c r="AG274" i="6"/>
  <c r="AF274" i="6" s="1"/>
  <c r="F274" i="6" s="1"/>
  <c r="AG364" i="6"/>
  <c r="AF364" i="6" s="1"/>
  <c r="F364" i="6" s="1"/>
  <c r="AG284" i="6"/>
  <c r="AF284" i="6" s="1"/>
  <c r="F284" i="6" s="1"/>
  <c r="AG211" i="6"/>
  <c r="AF211" i="6" s="1"/>
  <c r="F211" i="6" s="1"/>
  <c r="AG162" i="6"/>
  <c r="AF162" i="6" s="1"/>
  <c r="F162" i="6" s="1"/>
  <c r="AG62" i="6"/>
  <c r="AF62" i="6" s="1"/>
  <c r="F62" i="6" s="1"/>
  <c r="AG136" i="6"/>
  <c r="AF136" i="6" s="1"/>
  <c r="F136" i="6" s="1"/>
  <c r="AG347" i="6"/>
  <c r="AF347" i="6" s="1"/>
  <c r="F347" i="6" s="1"/>
  <c r="AG383" i="6"/>
  <c r="AF383" i="6" s="1"/>
  <c r="F383" i="6" s="1"/>
  <c r="AG11" i="6"/>
  <c r="AF11" i="6" s="1"/>
  <c r="F11" i="6" s="1"/>
  <c r="AG281" i="6"/>
  <c r="AF281" i="6" s="1"/>
  <c r="F281" i="6" s="1"/>
  <c r="AG115" i="6"/>
  <c r="AF115" i="6" s="1"/>
  <c r="F115" i="6" s="1"/>
  <c r="AG396" i="6"/>
  <c r="AF396" i="6" s="1"/>
  <c r="F396" i="6" s="1"/>
  <c r="AG210" i="6"/>
  <c r="AF210" i="6" s="1"/>
  <c r="F210" i="6" s="1"/>
  <c r="AG34" i="6"/>
  <c r="AF34" i="6" s="1"/>
  <c r="F34" i="6" s="1"/>
  <c r="AG248" i="6"/>
  <c r="AF248" i="6" s="1"/>
  <c r="F248" i="6" s="1"/>
  <c r="AG165" i="6"/>
  <c r="AF165" i="6" s="1"/>
  <c r="F165" i="6" s="1"/>
  <c r="AG446" i="6"/>
  <c r="AF446" i="6" s="1"/>
  <c r="F446" i="6" s="1"/>
  <c r="AG16" i="6"/>
  <c r="AF16" i="6" s="1"/>
  <c r="F16" i="6" s="1"/>
  <c r="AG270" i="6"/>
  <c r="AF270" i="6" s="1"/>
  <c r="F270" i="6" s="1"/>
  <c r="AG323" i="6"/>
  <c r="AF323" i="6" s="1"/>
  <c r="F323" i="6" s="1"/>
  <c r="AG411" i="6"/>
  <c r="AF411" i="6" s="1"/>
  <c r="F411" i="6" s="1"/>
  <c r="AG21" i="6"/>
  <c r="AF21" i="6" s="1"/>
  <c r="F21" i="6" s="1"/>
  <c r="AG397" i="6"/>
  <c r="AF397" i="6" s="1"/>
  <c r="F397" i="6" s="1"/>
  <c r="AG335" i="6"/>
  <c r="AF335" i="6" s="1"/>
  <c r="F335" i="6" s="1"/>
  <c r="AG39" i="6"/>
  <c r="AF39" i="6" s="1"/>
  <c r="F39" i="6" s="1"/>
  <c r="AG234" i="6"/>
  <c r="AF234" i="6" s="1"/>
  <c r="F234" i="6" s="1"/>
  <c r="AG285" i="6"/>
  <c r="AF285" i="6" s="1"/>
  <c r="F285" i="6" s="1"/>
  <c r="AG453" i="6"/>
  <c r="AF453" i="6" s="1"/>
  <c r="F453" i="6" s="1"/>
  <c r="AG19" i="6"/>
  <c r="AF19" i="6" s="1"/>
  <c r="F19" i="6" s="1"/>
  <c r="AG312" i="6"/>
  <c r="AF312" i="6" s="1"/>
  <c r="F312" i="6" s="1"/>
  <c r="AG88" i="6"/>
  <c r="AF88" i="6" s="1"/>
  <c r="F88" i="6" s="1"/>
  <c r="AG338" i="6"/>
  <c r="AF338" i="6" s="1"/>
  <c r="F338" i="6" s="1"/>
  <c r="AG163" i="6"/>
  <c r="AF163" i="6" s="1"/>
  <c r="F163" i="6" s="1"/>
  <c r="AG138" i="6"/>
  <c r="AF138" i="6" s="1"/>
  <c r="F138" i="6" s="1"/>
  <c r="AG105" i="6"/>
  <c r="AF105" i="6" s="1"/>
  <c r="F105" i="6" s="1"/>
  <c r="AG100" i="6"/>
  <c r="AF100" i="6" s="1"/>
  <c r="F100" i="6" s="1"/>
  <c r="AG32" i="6"/>
  <c r="AF32" i="6" s="1"/>
  <c r="F32" i="6" s="1"/>
  <c r="AG92" i="6"/>
  <c r="AF92" i="6" s="1"/>
  <c r="F92" i="6" s="1"/>
  <c r="AG452" i="6"/>
  <c r="AF452" i="6" s="1"/>
  <c r="F452" i="6" s="1"/>
  <c r="AG175" i="6"/>
  <c r="AF175" i="6" s="1"/>
  <c r="F175" i="6" s="1"/>
  <c r="AG70" i="6"/>
  <c r="AF70" i="6" s="1"/>
  <c r="F70" i="6" s="1"/>
  <c r="AG342" i="6"/>
  <c r="AF342" i="6" s="1"/>
  <c r="F342" i="6" s="1"/>
  <c r="AG153" i="6"/>
  <c r="AF153" i="6" s="1"/>
  <c r="F153" i="6" s="1"/>
  <c r="AG439" i="6"/>
  <c r="AF439" i="6" s="1"/>
  <c r="F439" i="6" s="1"/>
  <c r="AG56" i="6"/>
  <c r="AF56" i="6" s="1"/>
  <c r="F56" i="6" s="1"/>
  <c r="AG125" i="6"/>
  <c r="AF125" i="6" s="1"/>
  <c r="F125" i="6" s="1"/>
  <c r="AG441" i="6"/>
  <c r="AF441" i="6" s="1"/>
  <c r="F441" i="6" s="1"/>
  <c r="AG382" i="6"/>
  <c r="AF382" i="6" s="1"/>
  <c r="F382" i="6" s="1"/>
  <c r="AG431" i="6"/>
  <c r="AF431" i="6" s="1"/>
  <c r="F431" i="6" s="1"/>
  <c r="AG326" i="6"/>
  <c r="AF326" i="6" s="1"/>
  <c r="F326" i="6" s="1"/>
  <c r="AG279" i="6"/>
  <c r="AF279" i="6" s="1"/>
  <c r="F279" i="6" s="1"/>
  <c r="AG167" i="6"/>
  <c r="AF167" i="6" s="1"/>
  <c r="F167" i="6" s="1"/>
  <c r="AG90" i="6"/>
  <c r="AF90" i="6" s="1"/>
  <c r="F90" i="6" s="1"/>
  <c r="AG325" i="6"/>
  <c r="AF325" i="6" s="1"/>
  <c r="F325" i="6" s="1"/>
  <c r="AG224" i="6"/>
  <c r="AF224" i="6" s="1"/>
  <c r="F224" i="6" s="1"/>
  <c r="AG216" i="6"/>
  <c r="AF216" i="6" s="1"/>
  <c r="F216" i="6" s="1"/>
  <c r="AG127" i="6"/>
  <c r="AF127" i="6" s="1"/>
  <c r="F127" i="6" s="1"/>
  <c r="AG356" i="6"/>
  <c r="AF356" i="6" s="1"/>
  <c r="F356" i="6" s="1"/>
  <c r="AG432" i="6"/>
  <c r="AF432" i="6" s="1"/>
  <c r="F432" i="6" s="1"/>
  <c r="AG50" i="6"/>
  <c r="AF50" i="6" s="1"/>
  <c r="F50" i="6" s="1"/>
  <c r="AG38" i="6"/>
  <c r="AF38" i="6" s="1"/>
  <c r="F38" i="6" s="1"/>
  <c r="AG9" i="6"/>
  <c r="AF9" i="6" s="1"/>
  <c r="F9" i="6" s="1"/>
  <c r="AG240" i="6"/>
  <c r="AF240" i="6" s="1"/>
  <c r="F240" i="6" s="1"/>
  <c r="AG292" i="6"/>
  <c r="AF292" i="6" s="1"/>
  <c r="F292" i="6" s="1"/>
  <c r="AG456" i="6"/>
  <c r="AF456" i="6" s="1"/>
  <c r="F456" i="6" s="1"/>
  <c r="AG408" i="6"/>
  <c r="AF408" i="6" s="1"/>
  <c r="F408" i="6" s="1"/>
  <c r="AG178" i="6"/>
  <c r="AF178" i="6" s="1"/>
  <c r="F178" i="6" s="1"/>
  <c r="AG268" i="6"/>
  <c r="AF268" i="6" s="1"/>
  <c r="F268" i="6" s="1"/>
  <c r="AG361" i="6"/>
  <c r="AF361" i="6" s="1"/>
  <c r="F361" i="6" s="1"/>
  <c r="AG242" i="6"/>
  <c r="AF242" i="6" s="1"/>
  <c r="F242" i="6" s="1"/>
  <c r="AG438" i="6"/>
  <c r="AF438" i="6" s="1"/>
  <c r="F438" i="6" s="1"/>
  <c r="AG68" i="6"/>
  <c r="AF68" i="6" s="1"/>
  <c r="F68" i="6" s="1"/>
  <c r="AG106" i="6"/>
  <c r="AF106" i="6" s="1"/>
  <c r="F106" i="6" s="1"/>
  <c r="AG319" i="6"/>
  <c r="AF319" i="6" s="1"/>
  <c r="F319" i="6" s="1"/>
  <c r="AG27" i="6"/>
  <c r="AF27" i="6" s="1"/>
  <c r="F27" i="6" s="1"/>
  <c r="AG381" i="6"/>
  <c r="AF381" i="6" s="1"/>
  <c r="F381" i="6" s="1"/>
  <c r="AG448" i="6"/>
  <c r="AF448" i="6" s="1"/>
  <c r="F448" i="6" s="1"/>
  <c r="AG390" i="6"/>
  <c r="AF390" i="6" s="1"/>
  <c r="F390" i="6" s="1"/>
  <c r="AG310" i="6"/>
  <c r="AF310" i="6" s="1"/>
  <c r="F310" i="6" s="1"/>
  <c r="AG158" i="6"/>
  <c r="AF158" i="6" s="1"/>
  <c r="F158" i="6" s="1"/>
  <c r="AG47" i="6"/>
  <c r="AF47" i="6" s="1"/>
  <c r="F47" i="6" s="1"/>
  <c r="AG341" i="6"/>
  <c r="AF341" i="6" s="1"/>
  <c r="F341" i="6" s="1"/>
  <c r="AG148" i="6"/>
  <c r="AF148" i="6" s="1"/>
  <c r="F148" i="6" s="1"/>
  <c r="AG26" i="6"/>
  <c r="AF26" i="6" s="1"/>
  <c r="F26" i="6" s="1"/>
  <c r="AG128" i="6"/>
  <c r="AF128" i="6" s="1"/>
  <c r="F128" i="6" s="1"/>
  <c r="AG388" i="6"/>
  <c r="AF388" i="6" s="1"/>
  <c r="F388" i="6" s="1"/>
  <c r="AG232" i="6"/>
  <c r="AF232" i="6" s="1"/>
  <c r="F232" i="6" s="1"/>
  <c r="AG60" i="6"/>
  <c r="AF60" i="6" s="1"/>
  <c r="F60" i="6" s="1"/>
  <c r="AG286" i="6"/>
  <c r="AF286" i="6" s="1"/>
  <c r="F286" i="6" s="1"/>
  <c r="AG184" i="6"/>
  <c r="AF184" i="6" s="1"/>
  <c r="F184" i="6" s="1"/>
  <c r="AG209" i="6"/>
  <c r="AF209" i="6" s="1"/>
  <c r="F209" i="6" s="1"/>
  <c r="AG414" i="6"/>
  <c r="AF414" i="6" s="1"/>
  <c r="F414" i="6" s="1"/>
  <c r="AG57" i="6"/>
  <c r="AF57" i="6" s="1"/>
  <c r="F57" i="6" s="1"/>
  <c r="AG465" i="6"/>
  <c r="AF465" i="6" s="1"/>
  <c r="F465" i="6" s="1"/>
  <c r="AG434" i="6"/>
  <c r="AF434" i="6" s="1"/>
  <c r="F434" i="6" s="1"/>
  <c r="AG262" i="6"/>
  <c r="AF262" i="6" s="1"/>
  <c r="F262" i="6" s="1"/>
  <c r="AG46" i="6"/>
  <c r="AF46" i="6" s="1"/>
  <c r="F46" i="6" s="1"/>
  <c r="AG139" i="6"/>
  <c r="AF139" i="6" s="1"/>
  <c r="F139" i="6" s="1"/>
  <c r="AG459" i="6"/>
  <c r="AF459" i="6" s="1"/>
  <c r="F459" i="6" s="1"/>
  <c r="AG218" i="6"/>
  <c r="AF218" i="6" s="1"/>
  <c r="F218" i="6" s="1"/>
  <c r="AG365" i="6"/>
  <c r="AF365" i="6" s="1"/>
  <c r="F365" i="6" s="1"/>
  <c r="AG290" i="6"/>
  <c r="AF290" i="6" s="1"/>
  <c r="F290" i="6" s="1"/>
  <c r="AG260" i="6"/>
  <c r="AF260" i="6" s="1"/>
  <c r="F260" i="6" s="1"/>
  <c r="AG190" i="6"/>
  <c r="AF190" i="6" s="1"/>
  <c r="F190" i="6" s="1"/>
  <c r="AG225" i="6"/>
  <c r="AF225" i="6" s="1"/>
  <c r="F225" i="6" s="1"/>
  <c r="AG370" i="6"/>
  <c r="AF370" i="6" s="1"/>
  <c r="F370" i="6" s="1"/>
  <c r="AG359" i="6"/>
  <c r="AF359" i="6" s="1"/>
  <c r="F359" i="6" s="1"/>
  <c r="AG201" i="6"/>
  <c r="AF201" i="6" s="1"/>
  <c r="F201" i="6" s="1"/>
  <c r="AG307" i="6"/>
  <c r="AF307" i="6" s="1"/>
  <c r="F307" i="6" s="1"/>
  <c r="AG33" i="6"/>
  <c r="AF33" i="6" s="1"/>
  <c r="F33" i="6" s="1"/>
  <c r="AG255" i="6"/>
  <c r="AF255" i="6" s="1"/>
  <c r="F255" i="6" s="1"/>
  <c r="AG73" i="6"/>
  <c r="AF73" i="6" s="1"/>
  <c r="F73" i="6" s="1"/>
  <c r="AG42" i="6"/>
  <c r="AF42" i="6" s="1"/>
  <c r="F42" i="6" s="1"/>
  <c r="AG17" i="6"/>
  <c r="AF17" i="6" s="1"/>
  <c r="F17" i="6" s="1"/>
  <c r="AG380" i="6"/>
  <c r="AF380" i="6" s="1"/>
  <c r="F380" i="6" s="1"/>
  <c r="AG273" i="6"/>
  <c r="AF273" i="6" s="1"/>
  <c r="F273" i="6" s="1"/>
  <c r="AG40" i="6"/>
  <c r="AF40" i="6" s="1"/>
  <c r="F40" i="6" s="1"/>
  <c r="AG445" i="6"/>
  <c r="AF445" i="6" s="1"/>
  <c r="F445" i="6" s="1"/>
  <c r="AG59" i="6"/>
  <c r="AF59" i="6" s="1"/>
  <c r="F59" i="6" s="1"/>
  <c r="AG117" i="6"/>
  <c r="AF117" i="6" s="1"/>
  <c r="F117" i="6" s="1"/>
  <c r="AG277" i="6"/>
  <c r="AF277" i="6" s="1"/>
  <c r="F277" i="6" s="1"/>
  <c r="AG418" i="6"/>
  <c r="AF418" i="6" s="1"/>
  <c r="F418" i="6" s="1"/>
  <c r="AG37" i="6"/>
  <c r="AF37" i="6" s="1"/>
  <c r="F37" i="6" s="1"/>
  <c r="AG372" i="6"/>
  <c r="AF372" i="6" s="1"/>
  <c r="F372" i="6" s="1"/>
  <c r="AG221" i="6"/>
  <c r="AF221" i="6" s="1"/>
  <c r="F221" i="6" s="1"/>
  <c r="AG67" i="6"/>
  <c r="AF67" i="6" s="1"/>
  <c r="F67" i="6" s="1"/>
  <c r="AG350" i="6"/>
  <c r="AF350" i="6" s="1"/>
  <c r="F350" i="6" s="1"/>
  <c r="AG113" i="6"/>
  <c r="AF113" i="6" s="1"/>
  <c r="F113" i="6" s="1"/>
  <c r="AG229" i="6"/>
  <c r="AF229" i="6" s="1"/>
  <c r="F229" i="6" s="1"/>
  <c r="AG77" i="6"/>
  <c r="AF77" i="6" s="1"/>
  <c r="F77" i="6" s="1"/>
  <c r="AG112" i="6"/>
  <c r="AF112" i="6" s="1"/>
  <c r="F112" i="6" s="1"/>
  <c r="AG31" i="6"/>
  <c r="AF31" i="6" s="1"/>
  <c r="F31" i="6" s="1"/>
  <c r="AG52" i="6"/>
  <c r="AF52" i="6" s="1"/>
  <c r="F52" i="6" s="1"/>
  <c r="AG214" i="6"/>
  <c r="AF214" i="6" s="1"/>
  <c r="F214" i="6" s="1"/>
  <c r="AG343" i="6"/>
  <c r="AF343" i="6" s="1"/>
  <c r="F343" i="6" s="1"/>
  <c r="AG334" i="6"/>
  <c r="AF334" i="6" s="1"/>
  <c r="F334" i="6" s="1"/>
  <c r="AG449" i="6"/>
  <c r="AF449" i="6" s="1"/>
  <c r="F449" i="6" s="1"/>
  <c r="AG360" i="6"/>
  <c r="AF360" i="6" s="1"/>
  <c r="F360" i="6" s="1"/>
  <c r="AG352" i="6"/>
  <c r="AF352" i="6" s="1"/>
  <c r="F352" i="6" s="1"/>
  <c r="AG291" i="6"/>
  <c r="AF291" i="6" s="1"/>
  <c r="F291" i="6" s="1"/>
  <c r="AG44" i="6"/>
  <c r="AF44" i="6" s="1"/>
  <c r="F44" i="6" s="1"/>
  <c r="AG254" i="6"/>
  <c r="AF254" i="6" s="1"/>
  <c r="F254" i="6" s="1"/>
  <c r="AG212" i="6"/>
  <c r="AF212" i="6" s="1"/>
  <c r="F212" i="6" s="1"/>
  <c r="AG71" i="6"/>
  <c r="AF71" i="6" s="1"/>
  <c r="F71" i="6" s="1"/>
  <c r="AG129" i="6"/>
  <c r="AF129" i="6" s="1"/>
  <c r="F129" i="6" s="1"/>
  <c r="AG422" i="6"/>
  <c r="AF422" i="6" s="1"/>
  <c r="F422" i="6" s="1"/>
  <c r="AG230" i="6"/>
  <c r="AF230" i="6" s="1"/>
  <c r="F230" i="6" s="1"/>
  <c r="AG298" i="6"/>
  <c r="AF298" i="6" s="1"/>
  <c r="F298" i="6" s="1"/>
  <c r="AG351" i="6"/>
  <c r="AF351" i="6" s="1"/>
  <c r="F351" i="6" s="1"/>
  <c r="AG41" i="6"/>
  <c r="AF41" i="6" s="1"/>
  <c r="F41" i="6" s="1"/>
  <c r="AG223" i="6"/>
  <c r="AF223" i="6" s="1"/>
  <c r="F223" i="6" s="1"/>
  <c r="AG193" i="6"/>
  <c r="AF193" i="6" s="1"/>
  <c r="F193" i="6" s="1"/>
  <c r="AG101" i="6"/>
  <c r="AF101" i="6" s="1"/>
  <c r="F101" i="6" s="1"/>
  <c r="AG93" i="6"/>
  <c r="AF93" i="6" s="1"/>
  <c r="F93" i="6" s="1"/>
  <c r="AG373" i="6"/>
  <c r="AF373" i="6" s="1"/>
  <c r="F373" i="6" s="1"/>
  <c r="AG54" i="6"/>
  <c r="AF54" i="6" s="1"/>
  <c r="F54" i="6" s="1"/>
  <c r="AG391" i="6"/>
  <c r="AF391" i="6" s="1"/>
  <c r="F391" i="6" s="1"/>
  <c r="AG358" i="6"/>
  <c r="AF358" i="6" s="1"/>
  <c r="F358" i="6" s="1"/>
  <c r="AG126" i="6"/>
  <c r="AF126" i="6" s="1"/>
  <c r="F126" i="6" s="1"/>
  <c r="AG14" i="6"/>
  <c r="AF14" i="6" s="1"/>
  <c r="F14" i="6" s="1"/>
  <c r="AG261" i="6"/>
  <c r="AF261" i="6" s="1"/>
  <c r="F261" i="6" s="1"/>
  <c r="AG239" i="6"/>
  <c r="AF239" i="6" s="1"/>
  <c r="F239" i="6" s="1"/>
  <c r="AG85" i="6"/>
  <c r="AF85" i="6" s="1"/>
  <c r="F85" i="6" s="1"/>
  <c r="AG236" i="6"/>
  <c r="AF236" i="6" s="1"/>
  <c r="F236" i="6" s="1"/>
  <c r="AG384" i="6"/>
  <c r="AF384" i="6" s="1"/>
  <c r="F384" i="6" s="1"/>
  <c r="AG30" i="6"/>
  <c r="AF30" i="6" s="1"/>
  <c r="F30" i="6" s="1"/>
  <c r="AG238" i="6"/>
  <c r="AF238" i="6" s="1"/>
  <c r="F238" i="6" s="1"/>
  <c r="AG275" i="6"/>
  <c r="AF275" i="6" s="1"/>
  <c r="F275" i="6" s="1"/>
  <c r="AG143" i="6"/>
  <c r="AF143" i="6" s="1"/>
  <c r="F143" i="6" s="1"/>
  <c r="AG134" i="6"/>
  <c r="AF134" i="6" s="1"/>
  <c r="F134" i="6" s="1"/>
  <c r="AG123" i="6"/>
  <c r="AF123" i="6" s="1"/>
  <c r="F123" i="6" s="1"/>
  <c r="AG155" i="6"/>
  <c r="AF155" i="6" s="1"/>
  <c r="F155" i="6" s="1"/>
  <c r="AG102" i="6"/>
  <c r="AF102" i="6" s="1"/>
  <c r="F102" i="6" s="1"/>
  <c r="AG440" i="6"/>
  <c r="AF440" i="6" s="1"/>
  <c r="F440" i="6" s="1"/>
  <c r="AG357" i="6"/>
  <c r="AF357" i="6" s="1"/>
  <c r="F357" i="6" s="1"/>
  <c r="AG199" i="6"/>
  <c r="AF199" i="6" s="1"/>
  <c r="F199" i="6" s="1"/>
  <c r="AG183" i="6"/>
  <c r="AF183" i="6" s="1"/>
  <c r="F183" i="6" s="1"/>
  <c r="AG308" i="6"/>
  <c r="AF308" i="6" s="1"/>
  <c r="F308" i="6" s="1"/>
  <c r="AG425" i="6"/>
  <c r="AF425" i="6" s="1"/>
  <c r="F425" i="6" s="1"/>
  <c r="AG392" i="6"/>
  <c r="AF392" i="6" s="1"/>
  <c r="F392" i="6" s="1"/>
  <c r="AG191" i="6"/>
  <c r="AF191" i="6" s="1"/>
  <c r="F191" i="6" s="1"/>
  <c r="AG283" i="6"/>
  <c r="AF283" i="6" s="1"/>
  <c r="F283" i="6" s="1"/>
  <c r="AG395" i="6"/>
  <c r="AF395" i="6" s="1"/>
  <c r="F395" i="6" s="1"/>
  <c r="AG203" i="6"/>
  <c r="AF203" i="6" s="1"/>
  <c r="F203" i="6" s="1"/>
  <c r="AG121" i="6"/>
  <c r="AF121" i="6" s="1"/>
  <c r="F121" i="6" s="1"/>
  <c r="AG228" i="6"/>
  <c r="AF228" i="6" s="1"/>
  <c r="F228" i="6" s="1"/>
  <c r="AG185" i="6"/>
  <c r="AF185" i="6" s="1"/>
  <c r="F185" i="6" s="1"/>
  <c r="AG222" i="6"/>
  <c r="AF222" i="6" s="1"/>
  <c r="F222" i="6" s="1"/>
  <c r="AG329" i="6"/>
  <c r="AF329" i="6" s="1"/>
  <c r="F329" i="6" s="1"/>
  <c r="AG289" i="6"/>
  <c r="AF289" i="6" s="1"/>
  <c r="F289" i="6" s="1"/>
  <c r="AG409" i="6"/>
  <c r="AF409" i="6" s="1"/>
  <c r="F409" i="6" s="1"/>
  <c r="AG213" i="6"/>
  <c r="AF213" i="6" s="1"/>
  <c r="F213" i="6" s="1"/>
  <c r="AG314" i="6"/>
  <c r="AF314" i="6" s="1"/>
  <c r="F314" i="6" s="1"/>
  <c r="AG467" i="6"/>
  <c r="AF467" i="6" s="1"/>
  <c r="F467" i="6" s="1"/>
  <c r="AG309" i="6"/>
  <c r="AF309" i="6" s="1"/>
  <c r="F309" i="6" s="1"/>
  <c r="AG328" i="6"/>
  <c r="AF328" i="6" s="1"/>
  <c r="F328" i="6" s="1"/>
  <c r="AG104" i="6"/>
  <c r="AF104" i="6" s="1"/>
  <c r="F104" i="6" s="1"/>
  <c r="AG146" i="6"/>
  <c r="AF146" i="6" s="1"/>
  <c r="F146" i="6" s="1"/>
  <c r="AG331" i="6"/>
  <c r="AF331" i="6" s="1"/>
  <c r="F331" i="6" s="1"/>
  <c r="AG194" i="6"/>
  <c r="AF194" i="6" s="1"/>
  <c r="F194" i="6" s="1"/>
  <c r="AG35" i="6"/>
  <c r="AF35" i="6" s="1"/>
  <c r="F35" i="6" s="1"/>
  <c r="AG49" i="6"/>
  <c r="AF49" i="6" s="1"/>
  <c r="F49" i="6" s="1"/>
  <c r="AG443" i="6"/>
  <c r="AF443" i="6" s="1"/>
  <c r="F443" i="6" s="1"/>
  <c r="AG269" i="6"/>
  <c r="AF269" i="6" s="1"/>
  <c r="F269" i="6" s="1"/>
  <c r="AG462" i="6"/>
  <c r="AF462" i="6" s="1"/>
  <c r="F462" i="6" s="1"/>
  <c r="AG398" i="6"/>
  <c r="AF398" i="6" s="1"/>
  <c r="F398" i="6" s="1"/>
  <c r="AG22" i="6"/>
  <c r="AF22" i="6" s="1"/>
  <c r="F22" i="6" s="1"/>
  <c r="AG385" i="6"/>
  <c r="AF385" i="6" s="1"/>
  <c r="F385" i="6" s="1"/>
  <c r="AG116" i="6"/>
  <c r="AF116" i="6" s="1"/>
  <c r="F116" i="6" s="1"/>
  <c r="AG130" i="6"/>
  <c r="AF130" i="6" s="1"/>
  <c r="F130" i="6" s="1"/>
  <c r="AG249" i="6"/>
  <c r="AF249" i="6" s="1"/>
  <c r="F249" i="6" s="1"/>
  <c r="AG36" i="6"/>
  <c r="AF36" i="6" s="1"/>
  <c r="F36" i="6" s="1"/>
  <c r="AG182" i="6"/>
  <c r="AF182" i="6" s="1"/>
  <c r="F182" i="6" s="1"/>
  <c r="AG204" i="6"/>
  <c r="AF204" i="6" s="1"/>
  <c r="F204" i="6" s="1"/>
  <c r="AG69" i="6"/>
  <c r="AF69" i="6" s="1"/>
  <c r="F69" i="6" s="1"/>
  <c r="AG10" i="6"/>
  <c r="AF10" i="6" s="1"/>
  <c r="F10" i="6" s="1"/>
  <c r="AG98" i="6"/>
  <c r="AF98" i="6" s="1"/>
  <c r="F98" i="6" s="1"/>
  <c r="AG402" i="6"/>
  <c r="AF402" i="6" s="1"/>
  <c r="F402" i="6" s="1"/>
  <c r="AG235" i="6"/>
  <c r="AF235" i="6" s="1"/>
  <c r="F235" i="6" s="1"/>
  <c r="AG299" i="6"/>
  <c r="AF299" i="6" s="1"/>
  <c r="F299" i="6" s="1"/>
  <c r="AG133" i="6"/>
  <c r="AF133" i="6" s="1"/>
  <c r="F133" i="6" s="1"/>
  <c r="AG386" i="6"/>
  <c r="AF386" i="6" s="1"/>
  <c r="F386" i="6" s="1"/>
  <c r="AG377" i="6"/>
  <c r="AF377" i="6" s="1"/>
  <c r="F377" i="6" s="1"/>
  <c r="AG99" i="6"/>
  <c r="AF99" i="6" s="1"/>
  <c r="F99" i="6" s="1"/>
  <c r="AG349" i="6"/>
  <c r="AF349" i="6" s="1"/>
  <c r="F349" i="6" s="1"/>
  <c r="AG424" i="6"/>
  <c r="AF424" i="6" s="1"/>
  <c r="F424" i="6" s="1"/>
  <c r="AG463" i="6"/>
  <c r="AF463" i="6" s="1"/>
  <c r="F463" i="6" s="1"/>
  <c r="AG332" i="6"/>
  <c r="AF332" i="6" s="1"/>
  <c r="F332" i="6" s="1"/>
  <c r="AG393" i="6"/>
  <c r="AF393" i="6" s="1"/>
  <c r="F393" i="6" s="1"/>
  <c r="AG28" i="6"/>
  <c r="AF28" i="6" s="1"/>
  <c r="F28" i="6" s="1"/>
  <c r="AG149" i="6"/>
  <c r="AF149" i="6" s="1"/>
  <c r="F149" i="6" s="1"/>
  <c r="AG301" i="6"/>
  <c r="AF301" i="6" s="1"/>
  <c r="F301" i="6" s="1"/>
  <c r="AG327" i="6"/>
  <c r="AF327" i="6" s="1"/>
  <c r="F327" i="6" s="1"/>
  <c r="AG430" i="6"/>
  <c r="AF430" i="6" s="1"/>
  <c r="F430" i="6" s="1"/>
  <c r="L8" i="6" l="1"/>
  <c r="A12" i="10"/>
  <c r="A13" i="10" s="1"/>
  <c r="A14" i="10" s="1"/>
  <c r="A15" i="10" s="1"/>
  <c r="I8" i="6"/>
  <c r="O8" i="6"/>
  <c r="R8" i="6"/>
  <c r="F8" i="6"/>
  <c r="A16" i="10" l="1"/>
  <c r="A17" i="10" l="1"/>
  <c r="A18" i="10" l="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D16" i="10" l="1"/>
  <c r="D9" i="10"/>
  <c r="D12" i="10"/>
  <c r="D10" i="10"/>
  <c r="D2" i="10"/>
  <c r="D4" i="10"/>
  <c r="D3" i="10"/>
  <c r="D8" i="10"/>
  <c r="D7" i="10"/>
  <c r="D13" i="10"/>
  <c r="D6" i="10"/>
  <c r="D14" i="10"/>
  <c r="D5" i="10"/>
  <c r="D212" i="10"/>
  <c r="D36" i="10"/>
  <c r="D323" i="10"/>
  <c r="D303" i="10"/>
  <c r="D47" i="10"/>
  <c r="D210" i="10"/>
  <c r="D174" i="10"/>
  <c r="D312" i="10"/>
  <c r="D94" i="10"/>
  <c r="D28" i="10"/>
  <c r="D139" i="10"/>
  <c r="D221" i="10"/>
  <c r="D175" i="10"/>
  <c r="D61" i="10"/>
  <c r="D67" i="10"/>
  <c r="D262" i="10"/>
  <c r="D244" i="10"/>
  <c r="D33" i="10"/>
  <c r="D284" i="10"/>
  <c r="D18" i="10"/>
  <c r="D213" i="10"/>
  <c r="D177" i="10"/>
  <c r="D11" i="10"/>
  <c r="D89" i="10"/>
  <c r="D70" i="10"/>
  <c r="D26" i="10"/>
  <c r="D264" i="10"/>
  <c r="D20" i="10"/>
  <c r="D271" i="10"/>
  <c r="D275" i="10"/>
  <c r="D103" i="10"/>
  <c r="D24" i="10"/>
  <c r="D276" i="10"/>
  <c r="D219" i="10"/>
  <c r="D64" i="10"/>
  <c r="D305" i="10"/>
  <c r="D289" i="10"/>
  <c r="D131" i="10"/>
  <c r="D136" i="10"/>
  <c r="D99" i="10"/>
  <c r="D192" i="10"/>
  <c r="D181" i="10"/>
  <c r="D214" i="10"/>
  <c r="D150" i="10"/>
  <c r="D206" i="10"/>
  <c r="D22" i="10"/>
  <c r="D282" i="10"/>
  <c r="D138" i="10"/>
  <c r="D135" i="10"/>
  <c r="D32" i="10"/>
  <c r="D232" i="10"/>
  <c r="D195" i="10"/>
  <c r="D256" i="10"/>
  <c r="D121" i="10"/>
  <c r="D69" i="10"/>
  <c r="D320" i="10"/>
  <c r="D56" i="10"/>
  <c r="D100" i="10"/>
  <c r="D209" i="10"/>
  <c r="D72" i="10"/>
  <c r="D60" i="10"/>
  <c r="D190" i="10"/>
  <c r="D281" i="10"/>
  <c r="D92" i="10"/>
  <c r="D82" i="10"/>
  <c r="D55" i="10"/>
  <c r="D30" i="10"/>
  <c r="D316" i="10"/>
  <c r="D31" i="10"/>
  <c r="D162" i="10"/>
  <c r="D145" i="10"/>
  <c r="D274" i="10"/>
  <c r="D112" i="10"/>
  <c r="D86" i="10"/>
  <c r="D46" i="10"/>
  <c r="D148" i="10"/>
  <c r="D246" i="10"/>
  <c r="D185" i="10"/>
  <c r="D171" i="10"/>
  <c r="D25" i="10"/>
  <c r="D267" i="10"/>
  <c r="D176" i="10"/>
  <c r="D110" i="10"/>
  <c r="D318" i="10"/>
  <c r="D53" i="10"/>
  <c r="D183" i="10"/>
  <c r="D222" i="10"/>
  <c r="D84" i="10"/>
  <c r="D132" i="10"/>
  <c r="D157" i="10"/>
  <c r="D173" i="10"/>
  <c r="D134" i="10"/>
  <c r="D223" i="10"/>
  <c r="D38" i="10"/>
  <c r="D317" i="10"/>
  <c r="D217" i="10"/>
  <c r="D193" i="10"/>
  <c r="D52" i="10"/>
  <c r="D58" i="10"/>
  <c r="D207" i="10"/>
  <c r="D44" i="10"/>
  <c r="D321" i="10"/>
  <c r="D17" i="10"/>
  <c r="D29" i="10"/>
  <c r="D62" i="10"/>
  <c r="D270" i="10"/>
  <c r="D73" i="10"/>
  <c r="D253" i="10"/>
  <c r="D247" i="10"/>
  <c r="D42" i="10"/>
  <c r="D283" i="10"/>
  <c r="D144" i="10"/>
  <c r="D322" i="10"/>
  <c r="D248" i="10"/>
  <c r="D225" i="10"/>
  <c r="D286" i="10"/>
  <c r="D90" i="10"/>
  <c r="D156" i="10"/>
  <c r="D153" i="10"/>
  <c r="D243" i="10"/>
  <c r="D21" i="10"/>
  <c r="D143" i="10"/>
  <c r="D242" i="10"/>
  <c r="D126" i="10"/>
  <c r="D141" i="10"/>
  <c r="D329" i="10"/>
  <c r="D83" i="10"/>
  <c r="D40" i="10"/>
  <c r="D294" i="10"/>
  <c r="D133" i="10"/>
  <c r="D147" i="10"/>
  <c r="D293" i="10"/>
  <c r="D151" i="10"/>
  <c r="D299" i="10"/>
  <c r="D93" i="10"/>
  <c r="D306" i="10"/>
  <c r="D196" i="10"/>
  <c r="D257" i="10"/>
  <c r="D85" i="10"/>
  <c r="D45" i="10"/>
  <c r="D140" i="10"/>
  <c r="D201" i="10"/>
  <c r="D290" i="10"/>
  <c r="D258" i="10"/>
  <c r="D251" i="10"/>
  <c r="D310" i="10"/>
  <c r="D91" i="10"/>
  <c r="D167" i="10"/>
  <c r="D296" i="10"/>
  <c r="D49" i="10"/>
  <c r="D106" i="10"/>
  <c r="D307" i="10"/>
  <c r="D164" i="10"/>
  <c r="D19" i="10"/>
  <c r="D118" i="10"/>
  <c r="D43" i="10"/>
  <c r="D230" i="10"/>
  <c r="D227" i="10"/>
  <c r="D218" i="10"/>
  <c r="D161" i="10"/>
  <c r="D236" i="10"/>
  <c r="D260" i="10"/>
  <c r="D163" i="10"/>
  <c r="D298" i="10"/>
  <c r="D101" i="10"/>
  <c r="D280" i="10"/>
  <c r="D285" i="10"/>
  <c r="D202" i="10"/>
  <c r="D105" i="10"/>
  <c r="D114" i="10"/>
  <c r="D199" i="10"/>
  <c r="D23" i="10"/>
  <c r="D288" i="10"/>
  <c r="D184" i="10"/>
  <c r="D204" i="10"/>
  <c r="D292" i="10"/>
  <c r="D235" i="10"/>
  <c r="D245" i="10"/>
  <c r="D77" i="10"/>
  <c r="D215" i="10"/>
  <c r="D15" i="10"/>
  <c r="D130" i="10"/>
  <c r="D129" i="10"/>
  <c r="D78" i="10"/>
  <c r="D107" i="10"/>
  <c r="D314" i="10"/>
  <c r="D191" i="10"/>
  <c r="D109" i="10"/>
  <c r="D97" i="10"/>
  <c r="D128" i="10"/>
  <c r="D115" i="10"/>
  <c r="D291" i="10"/>
  <c r="D137" i="10"/>
  <c r="D182" i="10"/>
  <c r="D302" i="10"/>
  <c r="D178" i="10"/>
  <c r="D155" i="10"/>
  <c r="D108" i="10"/>
  <c r="D39" i="10"/>
  <c r="D287" i="10"/>
  <c r="D160" i="10"/>
  <c r="D208" i="10"/>
  <c r="D124" i="10"/>
  <c r="D119" i="10"/>
  <c r="D122" i="10"/>
  <c r="D231" i="10"/>
  <c r="D224" i="10"/>
  <c r="D259" i="10"/>
  <c r="D279" i="10"/>
  <c r="D104" i="10"/>
  <c r="D154" i="10"/>
  <c r="D142" i="10"/>
  <c r="D220" i="10"/>
  <c r="D203" i="10"/>
  <c r="D116" i="10"/>
  <c r="D211" i="10"/>
  <c r="D238" i="10"/>
  <c r="D189" i="10"/>
  <c r="D98" i="10"/>
  <c r="D96" i="10"/>
  <c r="D187" i="10"/>
  <c r="D300" i="10"/>
  <c r="D237" i="10"/>
  <c r="D197" i="10"/>
  <c r="D250" i="10"/>
  <c r="D57" i="10"/>
  <c r="D229" i="10"/>
  <c r="D179" i="10"/>
  <c r="D51" i="10"/>
  <c r="D266" i="10"/>
  <c r="D234" i="10"/>
  <c r="D233" i="10"/>
  <c r="D170" i="10"/>
  <c r="D273" i="10"/>
  <c r="D50" i="10"/>
  <c r="D252" i="10"/>
  <c r="D255" i="10"/>
  <c r="D309" i="10"/>
  <c r="D158" i="10"/>
  <c r="D113" i="10"/>
  <c r="D327" i="10"/>
  <c r="D304" i="10"/>
  <c r="D152" i="10"/>
  <c r="D68" i="10"/>
  <c r="D240" i="10"/>
  <c r="D41" i="10"/>
  <c r="D311" i="10"/>
  <c r="D37" i="10"/>
  <c r="D146" i="10"/>
  <c r="D59" i="10"/>
  <c r="D172" i="10"/>
  <c r="D198" i="10"/>
  <c r="D295" i="10"/>
  <c r="D278" i="10"/>
  <c r="D241" i="10"/>
  <c r="D169" i="10"/>
  <c r="D48" i="10"/>
  <c r="D166" i="10"/>
  <c r="D272" i="10"/>
  <c r="D95" i="10"/>
  <c r="D325" i="10"/>
  <c r="D65" i="10"/>
  <c r="D34" i="10"/>
  <c r="D186" i="10"/>
  <c r="D81" i="10"/>
  <c r="D239" i="10"/>
  <c r="D123" i="10"/>
  <c r="D326" i="10"/>
  <c r="D200" i="10"/>
  <c r="D216" i="10"/>
  <c r="D297" i="10"/>
  <c r="D268" i="10"/>
  <c r="D205" i="10"/>
  <c r="D66" i="10"/>
  <c r="D328" i="10"/>
  <c r="D277" i="10"/>
  <c r="D188" i="10"/>
  <c r="D159" i="10"/>
  <c r="D165" i="10"/>
  <c r="D263" i="10"/>
  <c r="D111" i="10"/>
  <c r="D102" i="10"/>
  <c r="D324" i="10"/>
  <c r="D35" i="10"/>
  <c r="D261" i="10"/>
  <c r="D120" i="10"/>
  <c r="D75" i="10"/>
  <c r="D87" i="10"/>
  <c r="D88" i="10"/>
  <c r="D63" i="10"/>
  <c r="D127" i="10"/>
  <c r="D194" i="10"/>
  <c r="D228" i="10"/>
  <c r="D301" i="10"/>
  <c r="D315" i="10"/>
  <c r="D54" i="10"/>
  <c r="D319" i="10"/>
  <c r="D125" i="10"/>
  <c r="D308" i="10"/>
  <c r="D180" i="10"/>
  <c r="D265" i="10"/>
  <c r="D168" i="10"/>
  <c r="D254" i="10"/>
  <c r="D149" i="10"/>
  <c r="D269" i="10"/>
  <c r="D226" i="10"/>
  <c r="D249" i="10"/>
  <c r="D76" i="10"/>
  <c r="D71" i="10"/>
  <c r="D27" i="10"/>
  <c r="D74" i="10"/>
  <c r="D313" i="10"/>
  <c r="D117" i="10"/>
  <c r="D80" i="10"/>
  <c r="D79" i="10"/>
  <c r="C1" i="10" l="1"/>
  <c r="C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Nick Parker</author>
  </authors>
  <commentList>
    <comment ref="E3" authorId="0" shapeId="0" xr:uid="{A982C217-31CC-4C52-908B-D64E683A4EA0}">
      <text>
        <r>
          <rPr>
            <b/>
            <sz val="9"/>
            <color indexed="81"/>
            <rFont val="Tahoma"/>
            <family val="2"/>
          </rPr>
          <t>To search for an area, either click in the blank box then click the arrow to select an area name from the list of all areas, or enter a search term in the box, press enter, then click the arrow to select from matching names. To reset, use the delete key to clear the search box.</t>
        </r>
        <r>
          <rPr>
            <sz val="9"/>
            <color indexed="81"/>
            <rFont val="Tahoma"/>
            <family val="2"/>
          </rPr>
          <t xml:space="preserve">
</t>
        </r>
      </text>
    </comment>
  </commentList>
</comments>
</file>

<file path=xl/sharedStrings.xml><?xml version="1.0" encoding="utf-8"?>
<sst xmlns="http://schemas.openxmlformats.org/spreadsheetml/2006/main" count="107542" uniqueCount="15607">
  <si>
    <t>Select Area:</t>
  </si>
  <si>
    <t>New Forest</t>
  </si>
  <si>
    <t>South East</t>
  </si>
  <si>
    <t>View PRPs in area</t>
  </si>
  <si>
    <t>!!Titles Columns!!</t>
  </si>
  <si>
    <t>Area, Region &amp; England</t>
  </si>
  <si>
    <t>England</t>
  </si>
  <si>
    <t>Chart 5</t>
  </si>
  <si>
    <t>Owned</t>
  </si>
  <si>
    <t>Managed</t>
  </si>
  <si>
    <t>Chart 6</t>
  </si>
  <si>
    <t>Low cost rental</t>
  </si>
  <si>
    <t>General needs</t>
  </si>
  <si>
    <t>(in pie chart) &gt;</t>
  </si>
  <si>
    <t>Chart 7</t>
  </si>
  <si>
    <t>General needs self-contained</t>
  </si>
  <si>
    <t>Chart 8</t>
  </si>
  <si>
    <t>General needs non-self-contained</t>
  </si>
  <si>
    <t>Supported housing</t>
  </si>
  <si>
    <t>Housing for older people</t>
  </si>
  <si>
    <t>Low cost home ownership (LCHO)*</t>
  </si>
  <si>
    <t>Low cost home ownership (LCHO)</t>
  </si>
  <si>
    <t>Decent Homes Standard (DHS)</t>
  </si>
  <si>
    <t>Total number of units owned which failed the DHS**</t>
  </si>
  <si>
    <t>Percentage of low cost rental units owned which failed the DHS</t>
  </si>
  <si>
    <t>PRP counts</t>
  </si>
  <si>
    <t>Sales type</t>
  </si>
  <si>
    <t>Small PRPs (&lt;1,000 units owned)</t>
  </si>
  <si>
    <t>Total sales to registered providers</t>
  </si>
  <si>
    <t>Large PRPs (1,000+ units owned)</t>
  </si>
  <si>
    <t>Total sales to tenants</t>
  </si>
  <si>
    <t>Total PRPs</t>
  </si>
  <si>
    <t>Total sales to other</t>
  </si>
  <si>
    <t>First tranche low cost home ownership sales</t>
  </si>
  <si>
    <t>Owned units</t>
  </si>
  <si>
    <t>100% staircased low cost home ownership sales</t>
  </si>
  <si>
    <t>Total Units</t>
  </si>
  <si>
    <t>% of stock owned</t>
  </si>
  <si>
    <t>Large PRPs only - unweighted.</t>
  </si>
  <si>
    <t xml:space="preserve">Total general needs self-contained vacant units
</t>
  </si>
  <si>
    <t xml:space="preserve">General needs - self-contained - owned </t>
  </si>
  <si>
    <t>Vacant and available for letting</t>
  </si>
  <si>
    <t>(in bar chart)</t>
  </si>
  <si>
    <t>Vacant and not available for letting</t>
  </si>
  <si>
    <t>Total number of vacant units</t>
  </si>
  <si>
    <t>% of units vacant</t>
  </si>
  <si>
    <t>Includes intermediate rent and Affordable Rent general needs units</t>
  </si>
  <si>
    <t>Net</t>
  </si>
  <si>
    <t>Service</t>
  </si>
  <si>
    <t>Gross</t>
  </si>
  <si>
    <t>Unit</t>
  </si>
  <si>
    <t>rent</t>
  </si>
  <si>
    <t>charge^</t>
  </si>
  <si>
    <t>rent^</t>
  </si>
  <si>
    <t>count</t>
  </si>
  <si>
    <t xml:space="preserve">Owned stock.  Large PRPs only - unweighted.  Stock outside England is excluded.  </t>
  </si>
  <si>
    <t xml:space="preserve">^ The average service charge relates only to the stock which has a service charge (i.e., zero service charges are not included). However, gross rent does include stock with no service charge.  The sum of the net rent and service charge presented in this table does not equal the gross rent.  </t>
  </si>
  <si>
    <t>Supported housing / housing for older people</t>
  </si>
  <si>
    <t>Affordable Rent general needs</t>
  </si>
  <si>
    <t xml:space="preserve">Owned stock.  All PRPs owning Affordable Rent units - unweighted.  Stock outside England is excluded.  </t>
  </si>
  <si>
    <t>Affordable Rent supported housing / housing for older people</t>
  </si>
  <si>
    <t>£ per week</t>
  </si>
  <si>
    <t>Unit Size</t>
  </si>
  <si>
    <t xml:space="preserve"> rent</t>
  </si>
  <si>
    <t>Non-self-contained</t>
  </si>
  <si>
    <t>Bedsit</t>
  </si>
  <si>
    <t>1 Bedroom</t>
  </si>
  <si>
    <t>2 Bedroom</t>
  </si>
  <si>
    <t>3 Bedroom</t>
  </si>
  <si>
    <t>4 Bedroom</t>
  </si>
  <si>
    <t>5 Bedroom</t>
  </si>
  <si>
    <t>6+ Bedroom</t>
  </si>
  <si>
    <t>All self-contained</t>
  </si>
  <si>
    <t>All stock sizes</t>
  </si>
  <si>
    <t xml:space="preserve"> </t>
  </si>
  <si>
    <t xml:space="preserve">Unit Size
</t>
  </si>
  <si>
    <t>4+ Bedroom</t>
  </si>
  <si>
    <t>Local Authority / Region</t>
  </si>
  <si>
    <t>LA_Code</t>
  </si>
  <si>
    <t>Region</t>
  </si>
  <si>
    <t>Units owned GN SC - LA</t>
  </si>
  <si>
    <t>Units managed GN SC - LA</t>
  </si>
  <si>
    <t>Units owned GN NSC - LA</t>
  </si>
  <si>
    <t>Units managed GN NSC - LA</t>
  </si>
  <si>
    <t>Units owned SH - LA</t>
  </si>
  <si>
    <t>Units managed SH - LA</t>
  </si>
  <si>
    <t>Units owned HOP - LA</t>
  </si>
  <si>
    <t>Units managed HOP - LA</t>
  </si>
  <si>
    <t>Units owned LCHO &lt;100% Equity - LA</t>
  </si>
  <si>
    <t>Units managed LCHO &lt;100% Equity - LA</t>
  </si>
  <si>
    <t>Total units owned - LA</t>
  </si>
  <si>
    <t>Total units managed - LA</t>
  </si>
  <si>
    <t>DHS - Total social rented stock owned (GN, SH and HOP) - LA</t>
  </si>
  <si>
    <t>DHS - Total number of units owned which failed the DHS - LA</t>
  </si>
  <si>
    <t>PRP count - Small - LA</t>
  </si>
  <si>
    <t>PRP count - Large - LA</t>
  </si>
  <si>
    <t>Owned units - Large - LA</t>
  </si>
  <si>
    <t>GN SC units owned (Large only) - LA</t>
  </si>
  <si>
    <t>Vacant and available for letting - LA</t>
  </si>
  <si>
    <t>Vacant and not available for letting - LA</t>
  </si>
  <si>
    <t>Total vacant units - LA</t>
  </si>
  <si>
    <t>Average weekly rent GN - Net Rent - LA</t>
  </si>
  <si>
    <t>Average weekly rent GN - Target Rent - LA</t>
  </si>
  <si>
    <t>Average weekly rent GN - Service Charge - LA</t>
  </si>
  <si>
    <t>Average weekly rent GN - Gross Rent - LA</t>
  </si>
  <si>
    <t>Average weekly rent GN - Unit Count - LA</t>
  </si>
  <si>
    <t>Average weekly rent SH - Net Rent - LA</t>
  </si>
  <si>
    <t>Average weekly rent SH - Target Rent - LA</t>
  </si>
  <si>
    <t>Average weekly rent SH - Service Charge - LA</t>
  </si>
  <si>
    <t>Average weekly rent SH - Gross Rent - LA</t>
  </si>
  <si>
    <t>Average weekly rent SH - Unit Count - LA</t>
  </si>
  <si>
    <t>Average weekly rent Affordable Rent GN - Gross Rent - LA</t>
  </si>
  <si>
    <t>Average weekly rent Affordable Rent GN - Unit Count - LA</t>
  </si>
  <si>
    <t>Average weekly rent Affordable Rent SH/HOP - Gross Rent - LA</t>
  </si>
  <si>
    <t>Average weekly rent Affordable Rent SH/HOP - Unit Count - LA</t>
  </si>
  <si>
    <t>Average weekly rent GN NSC - Net Rent - LA</t>
  </si>
  <si>
    <t>Average weekly rent GN NSC - Target Rent - LA</t>
  </si>
  <si>
    <t>Average weekly rent GN NSC - Service Charge - LA</t>
  </si>
  <si>
    <t>Average weekly rent GN NSC - Gross Rent - LA</t>
  </si>
  <si>
    <t>Average weekly rent GN NSC - Unit Count - LA</t>
  </si>
  <si>
    <t>Average weekly rent GN Bedsit - Net Rent - LA</t>
  </si>
  <si>
    <t>Average weekly rent GN Bedsit - Target Rent - LA</t>
  </si>
  <si>
    <t>Average weekly rent GN Bedsit - Service Charge - LA</t>
  </si>
  <si>
    <t>Average weekly rent GN Bedsit - Gross Rent - LA</t>
  </si>
  <si>
    <t>Average weekly rent GN Bedsit - Unit Count - LA</t>
  </si>
  <si>
    <t>Average weekly rent GN 1 Bedroom - Net Rent - LA</t>
  </si>
  <si>
    <t>Average weekly rent GN 1 Bedroom - Target Rent - LA</t>
  </si>
  <si>
    <t>Average weekly rent GN 1 Bedroom - Service Charge - LA</t>
  </si>
  <si>
    <t>Average weekly rent GN 1 Bedroom - Gross Rent - LA</t>
  </si>
  <si>
    <t>Average weekly rent GN 1 Bedroom - Unit Count - LA</t>
  </si>
  <si>
    <t>Average weekly rent GN 2 Bedroom - Net Rent - LA</t>
  </si>
  <si>
    <t>Average weekly rent GN 2 Bedroom - Target Rent - LA</t>
  </si>
  <si>
    <t>Average weekly rent GN 2 Bedroom - Service Charge - LA</t>
  </si>
  <si>
    <t>Average weekly rent GN 2 Bedroom - Gross Rent - LA</t>
  </si>
  <si>
    <t>Average weekly rent GN 2 Bedroom - Unit Count - LA</t>
  </si>
  <si>
    <t>Average weekly rent GN 3 Bedroom - Net Rent - LA</t>
  </si>
  <si>
    <t>Average weekly rent GN 3 Bedroom - Target Rent - LA</t>
  </si>
  <si>
    <t>Average weekly rent GN 3 Bedroom - Service Charge - LA</t>
  </si>
  <si>
    <t>Average weekly rent GN 3 Bedroom - Gross Rent - LA</t>
  </si>
  <si>
    <t>Average weekly rent GN 3 Bedroom - Unit Count - LA</t>
  </si>
  <si>
    <t>Average weekly rent GN 4 Bedroom - Net Rent - LA</t>
  </si>
  <si>
    <t>Average weekly rent GN 4 Bedroom - Target Rent - LA</t>
  </si>
  <si>
    <t>Average weekly rent GN 4 Bedroom - Service Charge - LA</t>
  </si>
  <si>
    <t>Average weekly rent GN 4 Bedroom - Gross Rent - LA</t>
  </si>
  <si>
    <t>Average weekly rent GN 4 Bedroom - Unit Count - LA</t>
  </si>
  <si>
    <t>Average weekly rent GN 5 Bedroom - Net Rent - LA</t>
  </si>
  <si>
    <t>Average weekly rent GN 5 Bedroom - Target Rent - LA</t>
  </si>
  <si>
    <t>Average weekly rent GN 5 Bedroom - Service Charge - LA</t>
  </si>
  <si>
    <t>Average weekly rent GN 5 Bedroom - Gross Rent - LA</t>
  </si>
  <si>
    <t>Average weekly rent GN 5 Bedroom - Unit Count - LA</t>
  </si>
  <si>
    <t>Average weekly rent GN 6+ Bedroom - Net Rent - LA</t>
  </si>
  <si>
    <t>Average weekly rent GN 6+ Bedroom - Target Rent - LA</t>
  </si>
  <si>
    <t>Average weekly rent GN 6+ Bedroom - Service Charge - LA</t>
  </si>
  <si>
    <t>Average weekly rent GN 6+ Bedroom - Gross Rent - LA</t>
  </si>
  <si>
    <t>Average weekly rent GN 6+ Bedroom - Unit Count - LA</t>
  </si>
  <si>
    <t>Average weekly rent GN All Self-Contained - Net Rent - LA</t>
  </si>
  <si>
    <t>Average weekly rent GN All Self-Contained - Target Rent - LA</t>
  </si>
  <si>
    <t>Average weekly rent GN All Self-Contained - Service Charge - LA</t>
  </si>
  <si>
    <t>Average weekly rent GN All Self-Contained - Gross Rent - LA</t>
  </si>
  <si>
    <t>Average weekly rent GN All Self-Contained - Unit Count - LA</t>
  </si>
  <si>
    <t>Average weekly rent GN All Stock Sizes - Net Rent - LA</t>
  </si>
  <si>
    <t>Average weekly rent GN All Stock Sizes - Target Rent - LA</t>
  </si>
  <si>
    <t>Average weekly rent GN All Stock Sizes - Service Charge - LA</t>
  </si>
  <si>
    <t>Average weekly rent GN All Stock Sizes - Gross Rent - LA</t>
  </si>
  <si>
    <t>Average weekly rent GN All Stock Sizes - Unit Count - LA</t>
  </si>
  <si>
    <t>Average weekly rent SH/HOP NSC - Net Rent - LA</t>
  </si>
  <si>
    <t>Average weekly rent SH/HOP NSC - Target Rent - LA</t>
  </si>
  <si>
    <t>Average weekly rent SH/HOP NSC - Service Charge - LA</t>
  </si>
  <si>
    <t>Average weekly rent SH/HOP NSC - Gross Rent - LA</t>
  </si>
  <si>
    <t>Average weekly rent SH/HOP NSC - Unit Count - LA</t>
  </si>
  <si>
    <t>Average weekly rent SH/HOP Bedsit - Net Rent - LA</t>
  </si>
  <si>
    <t>Average weekly rent SH/HOP Bedsit - Target Rent - LA</t>
  </si>
  <si>
    <t>Average weekly rent SH/HOP Bedsit - Service Charge - LA</t>
  </si>
  <si>
    <t>Average weekly rent SH/HOP Bedsit - Gross Rent - LA</t>
  </si>
  <si>
    <t>Average weekly rent SH/HOP Bedsit - Unit Count - LA</t>
  </si>
  <si>
    <t>Average weekly rent SH/HOP 1 Bedroom - Net Rent - LA</t>
  </si>
  <si>
    <t>Average weekly rent SH/HOP 1 Bedroom - Target Rent - LA</t>
  </si>
  <si>
    <t>Average weekly rent SH/HOP 1 Bedroom - Service Charge - LA</t>
  </si>
  <si>
    <t>Average weekly rent SH/HOP 1 Bedroom - Gross Rent - LA</t>
  </si>
  <si>
    <t>Average weekly rent SH/HOP 1 Bedroom - Unit Count - LA</t>
  </si>
  <si>
    <t>Average weekly rent SH/HOP 2 Bedroom - Net Rent - LA</t>
  </si>
  <si>
    <t>Average weekly rent SH/HOP 2 Bedroom - Target Rent - LA</t>
  </si>
  <si>
    <t>Average weekly rent SH/HOP 2 Bedroom - Service Charge - LA</t>
  </si>
  <si>
    <t>Average weekly rent SH/HOP 2 Bedroom - Gross Rent - LA</t>
  </si>
  <si>
    <t>Average weekly rent SH/HOP 2 Bedroom - Unit Count - LA</t>
  </si>
  <si>
    <t>Average weekly rent SH/HOP 3 Bedroom - Net Rent - LA</t>
  </si>
  <si>
    <t>Average weekly rent SH/HOP 3 Bedroom - Target Rent - LA</t>
  </si>
  <si>
    <t>Average weekly rent SH/HOP 3 Bedroom - Service Charge - LA</t>
  </si>
  <si>
    <t>Average weekly rent SH/HOP 3 Bedroom - Gross Rent - LA</t>
  </si>
  <si>
    <t>Average weekly rent SH/HOP 3 Bedroom - Unit Count - LA</t>
  </si>
  <si>
    <t>Average weekly rent SH/HOP 4+ Bedroom - Net Rent - LA</t>
  </si>
  <si>
    <t>Average weekly rent SH/HOP 4+ Bedroom - Target Rent - LA</t>
  </si>
  <si>
    <t>Average weekly rent SH/HOP 4+ Bedroom - Service Charge - LA</t>
  </si>
  <si>
    <t>Average weekly rent SH/HOP 4+ Bedroom - Gross Rent - LA</t>
  </si>
  <si>
    <t>Average weekly rent SH/HOP 4+ Bedroom - Unit Count - LA</t>
  </si>
  <si>
    <t>Average weekly rent SH/HOP All Self-Contained Bedroom - Net Rent - LA</t>
  </si>
  <si>
    <t>Average weekly rent SH/HOP All Self-Contained Bedroom - Target Rent - LA</t>
  </si>
  <si>
    <t>Average weekly rent SH/HOP All Self-Contained Bedroom - Service Charge - LA</t>
  </si>
  <si>
    <t>Average weekly rent SH/HOP All Self-Contained Bedroom - Gross Rent - LA</t>
  </si>
  <si>
    <t>Average weekly rent SH/HOP All Self-Contained Bedroom - Unit Count - LA</t>
  </si>
  <si>
    <t>Average weekly rent SH/HOP All Stock Sizes Bedroom - Net Rent - LA</t>
  </si>
  <si>
    <t>Average weekly rent SH/HOP All Stock Sizes Bedroom - Target Rent - LA</t>
  </si>
  <si>
    <t>Average weekly rent SH/HOP All Stock Sizes Bedroom - Service Charge - LA</t>
  </si>
  <si>
    <t>Average weekly rent SH/HOP All Stock Sizes Bedroom - Gross Rent - LA</t>
  </si>
  <si>
    <t>Average weekly rent SH/HOP All Stock Sizes Bedroom - Unit Count - LA</t>
  </si>
  <si>
    <t>Average weekly rent Affordable Rent GN NSC - Gross Rent - LA</t>
  </si>
  <si>
    <t>Average weekly rent Affordable Rent GN NSC - Unit Count - LA</t>
  </si>
  <si>
    <t>Average weekly rent Affordable Rent GN Bedsit - Gross Rent - LA</t>
  </si>
  <si>
    <t>Average weekly rent Affordable Rent GN Bedsit - Unit Count - LA</t>
  </si>
  <si>
    <t>Average weekly rent Affordable Rent GN 1 Bedroom - Gross Rent - LA</t>
  </si>
  <si>
    <t>Average weekly rent Affordable Rent GN 1 Bedroom - Unit Count - LA</t>
  </si>
  <si>
    <t>Average weekly rent Affordable Rent GN 2 Bedroom - Gross Rent - LA</t>
  </si>
  <si>
    <t>Average weekly rent Affordable Rent GN 2 Bedroom - Unit Count - LA</t>
  </si>
  <si>
    <t>Average weekly rent Affordable Rent GN 3 Bedroom - Gross Rent - LA</t>
  </si>
  <si>
    <t>Average weekly rent Affordable Rent GN 3 Bedroom - Unit Count - LA</t>
  </si>
  <si>
    <t>Average weekly rent Affordable Rent GN 4 Bedroom - Gross Rent - LA</t>
  </si>
  <si>
    <t>Average weekly rent Affordable Rent GN 4 Bedroom - Unit Count - LA</t>
  </si>
  <si>
    <t>Average weekly rent Affordable Rent GN 5 Bedroom - Gross Rent - LA</t>
  </si>
  <si>
    <t>Average weekly rent Affordable Rent GN 5 Bedroom - Unit Count - LA</t>
  </si>
  <si>
    <t>Average weekly rent Affordable Rent GN 6+ Bedroom - Gross Rent - LA</t>
  </si>
  <si>
    <t>Average weekly rent Affordable Rent GN 6+ Bedroom - Unit Count - LA</t>
  </si>
  <si>
    <t>Average weekly rent Affordable Rent GN All Self-Contained - Gross Rent - LA</t>
  </si>
  <si>
    <t>Average weekly rent Affordable Rent GN All Self-Contained - Unit Count - LA</t>
  </si>
  <si>
    <t>Average weekly rent Affordable Rent GN All Stock Sizes - Gross Rent - LA</t>
  </si>
  <si>
    <t>Average weekly rent Affordable Rent GN All Stock Sizes - Unit Count - LA</t>
  </si>
  <si>
    <t>Average weekly rent Affordable Rent SH/HOP NSC - Gross Rent - LA</t>
  </si>
  <si>
    <t>Average weekly rent Affordable Rent SH/HOP NSC - Unit Count - LA</t>
  </si>
  <si>
    <t>Average weekly rent Affordable Rent SH/HOP Bedsit - Gross Rent - LA</t>
  </si>
  <si>
    <t>Average weekly rent Affordable Rent SH/HOP Bedsit - Unit Count - LA</t>
  </si>
  <si>
    <t>Average weekly rent Affordable Rent SH/HOP 1 Bedroom - Gross Rent - LA</t>
  </si>
  <si>
    <t>Average weekly rent Affordable Rent SH/HOP 1 Bedroom - Unit Count - LA</t>
  </si>
  <si>
    <t>Average weekly rent Affordable Rent SH/HOP 2 Bedroom - Gross Rent - LA</t>
  </si>
  <si>
    <t>Average weekly rent Affordable Rent SH/HOP 2 Bedroom - Unit Count - LA</t>
  </si>
  <si>
    <t>Average weekly rent Affordable Rent SH/HOP 3 Bedroom - Gross Rent - LA</t>
  </si>
  <si>
    <t>Average weekly rent Affordable Rent SH/HOP 3 Bedroom - Unit Count - LA</t>
  </si>
  <si>
    <t>Average weekly rent Affordable Rent SH/HOP 4+ Bedroom - Gross Rent - LA</t>
  </si>
  <si>
    <t>Average weekly rent Affordable Rent SH/HOP 4+ Bedroom - Unit Count - LA</t>
  </si>
  <si>
    <t>Average weekly rent Affordable Rent SH/HOP All Self-Contained - Gross Rent - LA</t>
  </si>
  <si>
    <t>Average weekly rent Affordable Rent SH/HOP All Self-Contained - Unit Count - LA</t>
  </si>
  <si>
    <t>Average weekly rent Affordable Rent SH/HOP All Stock Sizes - Gross Rent - LA</t>
  </si>
  <si>
    <t>Average weekly rent Affordable Rent SH/HOP All Stock Sizes - Unit Count - LA</t>
  </si>
  <si>
    <t>Sales by large PRPs - sales to RPs - LA</t>
  </si>
  <si>
    <t>Sales by large PRPs - sales to tenants - LA</t>
  </si>
  <si>
    <t>Sales by large PRPs - sales to other - LA</t>
  </si>
  <si>
    <t>Sales by large PRPs - first tranche LCHO sales - LA</t>
  </si>
  <si>
    <t>Sales by large PRPs - 100% staircased LCHO sales - LA</t>
  </si>
  <si>
    <t>T1L2C1</t>
  </si>
  <si>
    <t>T1L2C2</t>
  </si>
  <si>
    <t>T1L3C1</t>
  </si>
  <si>
    <t>T1L3C2</t>
  </si>
  <si>
    <t>T1L4C1</t>
  </si>
  <si>
    <t>T1L4C2</t>
  </si>
  <si>
    <t>T1L5C1</t>
  </si>
  <si>
    <t>T1L5C2</t>
  </si>
  <si>
    <t>T1L6C1</t>
  </si>
  <si>
    <t>T1L6C2</t>
  </si>
  <si>
    <t>T1L7C1</t>
  </si>
  <si>
    <t>T1L7C2</t>
  </si>
  <si>
    <t>T2L1C1</t>
  </si>
  <si>
    <t>T2L2C1</t>
  </si>
  <si>
    <t>T3L1C1</t>
  </si>
  <si>
    <t>T3L2C1</t>
  </si>
  <si>
    <t>T3L3C1</t>
  </si>
  <si>
    <t>T3L4C1</t>
  </si>
  <si>
    <t>T4L1C1</t>
  </si>
  <si>
    <t>T4L2C1</t>
  </si>
  <si>
    <t>T4L3C1</t>
  </si>
  <si>
    <t>T4L4C1</t>
  </si>
  <si>
    <t>T5L1C1</t>
  </si>
  <si>
    <t>T5L1C2</t>
  </si>
  <si>
    <t>T5L1C3</t>
  </si>
  <si>
    <t>T5L1C4</t>
  </si>
  <si>
    <t xml:space="preserve"> T5L1C5 </t>
  </si>
  <si>
    <t>T6L1C1</t>
  </si>
  <si>
    <t>T6L1C2</t>
  </si>
  <si>
    <t>T6L1C3</t>
  </si>
  <si>
    <t>T6L1C4</t>
  </si>
  <si>
    <t xml:space="preserve"> T6L1C5 </t>
  </si>
  <si>
    <t>T7L1C1</t>
  </si>
  <si>
    <t>T7L1C2</t>
  </si>
  <si>
    <t>T8L1C1</t>
  </si>
  <si>
    <t>T8L1C2</t>
  </si>
  <si>
    <t>T9L1C1</t>
  </si>
  <si>
    <t>T9L1C2</t>
  </si>
  <si>
    <t>T9L1C3</t>
  </si>
  <si>
    <t>T9L1C4</t>
  </si>
  <si>
    <t>T9L1C5</t>
  </si>
  <si>
    <t>T9L2C1</t>
  </si>
  <si>
    <t>T9L2C2</t>
  </si>
  <si>
    <t>T9L2C3</t>
  </si>
  <si>
    <t>T9L2C4</t>
  </si>
  <si>
    <t>T9L2C5</t>
  </si>
  <si>
    <t>T9L3C1</t>
  </si>
  <si>
    <t>T9L3C2</t>
  </si>
  <si>
    <t>T9L3C3</t>
  </si>
  <si>
    <t>T9L3C4</t>
  </si>
  <si>
    <t>T9L3C5</t>
  </si>
  <si>
    <t>T9L4C1</t>
  </si>
  <si>
    <t>T9L4C2</t>
  </si>
  <si>
    <t>T9L4C3</t>
  </si>
  <si>
    <t>T9L4C4</t>
  </si>
  <si>
    <t>T9L4C5</t>
  </si>
  <si>
    <t>T9L5C1</t>
  </si>
  <si>
    <t>T9L5C2</t>
  </si>
  <si>
    <t>T9L5C3</t>
  </si>
  <si>
    <t>T9L5C4</t>
  </si>
  <si>
    <t>T9L5C5</t>
  </si>
  <si>
    <t>T9L6C1</t>
  </si>
  <si>
    <t>T9L6C2</t>
  </si>
  <si>
    <t>T9L6C3</t>
  </si>
  <si>
    <t>T9L6C4</t>
  </si>
  <si>
    <t>T9L6C5</t>
  </si>
  <si>
    <t>T9L7C1</t>
  </si>
  <si>
    <t>T9L7C2</t>
  </si>
  <si>
    <t>T9L7C3</t>
  </si>
  <si>
    <t>T9L7C4</t>
  </si>
  <si>
    <t>T9L7C5</t>
  </si>
  <si>
    <t>T9L8C1</t>
  </si>
  <si>
    <t>T9L8C2</t>
  </si>
  <si>
    <t>T9L8C3</t>
  </si>
  <si>
    <t>T9L8C4</t>
  </si>
  <si>
    <t>T9L8C5</t>
  </si>
  <si>
    <t>T9L9C1</t>
  </si>
  <si>
    <t>T9L9C2</t>
  </si>
  <si>
    <t>T9L9C3</t>
  </si>
  <si>
    <t>T9L9C4</t>
  </si>
  <si>
    <t>T9L9C5</t>
  </si>
  <si>
    <t>T9L10C1</t>
  </si>
  <si>
    <t>T9L10C2</t>
  </si>
  <si>
    <t>T9L10C3</t>
  </si>
  <si>
    <t>T9L10C4</t>
  </si>
  <si>
    <t>T9L10C5</t>
  </si>
  <si>
    <t>T10L1C1</t>
  </si>
  <si>
    <t>T10L1C2</t>
  </si>
  <si>
    <t>T10L1C3</t>
  </si>
  <si>
    <t>T10L1C4</t>
  </si>
  <si>
    <t>T10L1C5</t>
  </si>
  <si>
    <t>T10L2C1</t>
  </si>
  <si>
    <t>T10L2C2</t>
  </si>
  <si>
    <t>T10L2C3</t>
  </si>
  <si>
    <t>T10L2C4</t>
  </si>
  <si>
    <t>T10L2C5</t>
  </si>
  <si>
    <t>T10L3C1</t>
  </si>
  <si>
    <t>T10L3C2</t>
  </si>
  <si>
    <t>T10L3C3</t>
  </si>
  <si>
    <t>T10L3C4</t>
  </si>
  <si>
    <t>T10L3C5</t>
  </si>
  <si>
    <t>T10L4C1</t>
  </si>
  <si>
    <t>T10L4C2</t>
  </si>
  <si>
    <t>T10L4C3</t>
  </si>
  <si>
    <t>T10L4C4</t>
  </si>
  <si>
    <t>T10L4C5</t>
  </si>
  <si>
    <t>T10L5C1</t>
  </si>
  <si>
    <t>T10L5C2</t>
  </si>
  <si>
    <t>T10L5C3</t>
  </si>
  <si>
    <t>T10L5C4</t>
  </si>
  <si>
    <t>T10L5C5</t>
  </si>
  <si>
    <t>T10L6C1</t>
  </si>
  <si>
    <t>T10L6C2</t>
  </si>
  <si>
    <t>T10L6C3</t>
  </si>
  <si>
    <t>T10L6C4</t>
  </si>
  <si>
    <t>T10L6C5</t>
  </si>
  <si>
    <t>T10L7C1</t>
  </si>
  <si>
    <t>T10L7C2</t>
  </si>
  <si>
    <t>T10L7C3</t>
  </si>
  <si>
    <t>T10L7C4</t>
  </si>
  <si>
    <t>T10L7C5</t>
  </si>
  <si>
    <t>T10L8C1</t>
  </si>
  <si>
    <t>T10L8C2</t>
  </si>
  <si>
    <t>T10L8C3</t>
  </si>
  <si>
    <t>T10L8C4</t>
  </si>
  <si>
    <t>T10L8C5</t>
  </si>
  <si>
    <t>T11L1C1</t>
  </si>
  <si>
    <t>T11L1C2</t>
  </si>
  <si>
    <t>T11L2C1</t>
  </si>
  <si>
    <t>T11L2C2</t>
  </si>
  <si>
    <t>T11L3C1</t>
  </si>
  <si>
    <t>T11L3C2</t>
  </si>
  <si>
    <t>T11L4C1</t>
  </si>
  <si>
    <t>T11L4C2</t>
  </si>
  <si>
    <t>T11L5C1</t>
  </si>
  <si>
    <t>T11L5C2</t>
  </si>
  <si>
    <t>T11L6C1</t>
  </si>
  <si>
    <t>T11L6C2</t>
  </si>
  <si>
    <t>T11L7C1</t>
  </si>
  <si>
    <t>T11L7C2</t>
  </si>
  <si>
    <t>T11L8C1</t>
  </si>
  <si>
    <t>T11L8C2</t>
  </si>
  <si>
    <t>T11L9C1</t>
  </si>
  <si>
    <t>T11L9C2</t>
  </si>
  <si>
    <t>T11L10C1</t>
  </si>
  <si>
    <t>T11L10C2</t>
  </si>
  <si>
    <t>T12L1C1</t>
  </si>
  <si>
    <t>T12L1C2</t>
  </si>
  <si>
    <t>T12L2C1</t>
  </si>
  <si>
    <t>T12L2C2</t>
  </si>
  <si>
    <t>T12L3C1</t>
  </si>
  <si>
    <t>T12L3C2</t>
  </si>
  <si>
    <t>T12L4C1</t>
  </si>
  <si>
    <t>T12L4C2</t>
  </si>
  <si>
    <t>T12L5C1</t>
  </si>
  <si>
    <t>T12L5C2</t>
  </si>
  <si>
    <t>T12L6C1</t>
  </si>
  <si>
    <t>T12L6C2</t>
  </si>
  <si>
    <t>T12L7C1</t>
  </si>
  <si>
    <t>T12L7C2</t>
  </si>
  <si>
    <t>T12L8C1</t>
  </si>
  <si>
    <t>T12L8C2</t>
  </si>
  <si>
    <t>TSL1C1</t>
  </si>
  <si>
    <t>TSL2C1</t>
  </si>
  <si>
    <t>TSL3C1</t>
  </si>
  <si>
    <t>TSL4C1</t>
  </si>
  <si>
    <t>TSL5C1</t>
  </si>
  <si>
    <t>00_Eng</t>
  </si>
  <si>
    <t>East Midlands</t>
  </si>
  <si>
    <t>East of England</t>
  </si>
  <si>
    <t>London</t>
  </si>
  <si>
    <t>North East</t>
  </si>
  <si>
    <t>North West</t>
  </si>
  <si>
    <t>South West</t>
  </si>
  <si>
    <t>West Midlands</t>
  </si>
  <si>
    <t>Yorkshire and The Humber</t>
  </si>
  <si>
    <t>Adur</t>
  </si>
  <si>
    <t>E07000223</t>
  </si>
  <si>
    <t>Allerdale</t>
  </si>
  <si>
    <t>E07000026</t>
  </si>
  <si>
    <t>Amber Valley</t>
  </si>
  <si>
    <t>E07000032</t>
  </si>
  <si>
    <t>Arun</t>
  </si>
  <si>
    <t>E07000224</t>
  </si>
  <si>
    <t>Ashfield</t>
  </si>
  <si>
    <t>E07000170</t>
  </si>
  <si>
    <t>Ashford</t>
  </si>
  <si>
    <t>E07000105</t>
  </si>
  <si>
    <t>Babergh</t>
  </si>
  <si>
    <t>E07000200</t>
  </si>
  <si>
    <t>Barking and Dagenham</t>
  </si>
  <si>
    <t>E09000002</t>
  </si>
  <si>
    <t>Barnet</t>
  </si>
  <si>
    <t>E09000003</t>
  </si>
  <si>
    <t>Barnsley</t>
  </si>
  <si>
    <t>E08000016</t>
  </si>
  <si>
    <t>Barrow-in-Furness</t>
  </si>
  <si>
    <t>E07000027</t>
  </si>
  <si>
    <t>Basildon</t>
  </si>
  <si>
    <t>E07000066</t>
  </si>
  <si>
    <t>Basingstoke and Deane</t>
  </si>
  <si>
    <t>E07000084</t>
  </si>
  <si>
    <t>Bassetlaw</t>
  </si>
  <si>
    <t>E07000171</t>
  </si>
  <si>
    <t>Bath and North East Somerset</t>
  </si>
  <si>
    <t>E06000022</t>
  </si>
  <si>
    <t>Bedford</t>
  </si>
  <si>
    <t>E06000055</t>
  </si>
  <si>
    <t>Bexley</t>
  </si>
  <si>
    <t>E09000004</t>
  </si>
  <si>
    <t>Birmingham</t>
  </si>
  <si>
    <t>E08000025</t>
  </si>
  <si>
    <t>Blaby</t>
  </si>
  <si>
    <t>E07000129</t>
  </si>
  <si>
    <t>Blackburn with Darwen</t>
  </si>
  <si>
    <t>E06000008</t>
  </si>
  <si>
    <t>Blackpool</t>
  </si>
  <si>
    <t>E06000009</t>
  </si>
  <si>
    <t>Bolsover</t>
  </si>
  <si>
    <t>E07000033</t>
  </si>
  <si>
    <t>Bolton</t>
  </si>
  <si>
    <t>E08000001</t>
  </si>
  <si>
    <t>Boston</t>
  </si>
  <si>
    <t>E07000136</t>
  </si>
  <si>
    <t>E06000058</t>
  </si>
  <si>
    <t>Bracknell Forest</t>
  </si>
  <si>
    <t>E06000036</t>
  </si>
  <si>
    <t>Bradford</t>
  </si>
  <si>
    <t>E08000032</t>
  </si>
  <si>
    <t>Braintree</t>
  </si>
  <si>
    <t>E07000067</t>
  </si>
  <si>
    <t>Breckland</t>
  </si>
  <si>
    <t>E07000143</t>
  </si>
  <si>
    <t>Brent</t>
  </si>
  <si>
    <t>E09000005</t>
  </si>
  <si>
    <t>Brentwood</t>
  </si>
  <si>
    <t>E07000068</t>
  </si>
  <si>
    <t>Brighton and Hove</t>
  </si>
  <si>
    <t>E06000043</t>
  </si>
  <si>
    <t>Bristol, City of</t>
  </si>
  <si>
    <t>E06000023</t>
  </si>
  <si>
    <t>Broadland</t>
  </si>
  <si>
    <t>E07000144</t>
  </si>
  <si>
    <t>Bromley</t>
  </si>
  <si>
    <t>E09000006</t>
  </si>
  <si>
    <t>Bromsgrove</t>
  </si>
  <si>
    <t>E07000234</t>
  </si>
  <si>
    <t>Broxbourne</t>
  </si>
  <si>
    <t>E07000095</t>
  </si>
  <si>
    <t>Broxtowe</t>
  </si>
  <si>
    <t>E07000172</t>
  </si>
  <si>
    <t>Burnley</t>
  </si>
  <si>
    <t>E07000117</t>
  </si>
  <si>
    <t>Bury</t>
  </si>
  <si>
    <t>E08000002</t>
  </si>
  <si>
    <t>Calderdale</t>
  </si>
  <si>
    <t>E08000033</t>
  </si>
  <si>
    <t>Cambridge</t>
  </si>
  <si>
    <t>E07000008</t>
  </si>
  <si>
    <t>Camden</t>
  </si>
  <si>
    <t>E09000007</t>
  </si>
  <si>
    <t>Cannock Chase</t>
  </si>
  <si>
    <t>E07000192</t>
  </si>
  <si>
    <t>Canterbury</t>
  </si>
  <si>
    <t>E07000106</t>
  </si>
  <si>
    <t>Carlisle</t>
  </si>
  <si>
    <t>E07000028</t>
  </si>
  <si>
    <t>Castle Point</t>
  </si>
  <si>
    <t>E07000069</t>
  </si>
  <si>
    <t>Central Bedfordshire</t>
  </si>
  <si>
    <t>E06000056</t>
  </si>
  <si>
    <t>Charnwood</t>
  </si>
  <si>
    <t>E07000130</t>
  </si>
  <si>
    <t>Chelmsford</t>
  </si>
  <si>
    <t>E07000070</t>
  </si>
  <si>
    <t>Cheltenham</t>
  </si>
  <si>
    <t>E07000078</t>
  </si>
  <si>
    <t>Cherwell</t>
  </si>
  <si>
    <t>E07000177</t>
  </si>
  <si>
    <t>Cheshire East</t>
  </si>
  <si>
    <t>E06000049</t>
  </si>
  <si>
    <t>Cheshire West and Chester</t>
  </si>
  <si>
    <t>E06000050</t>
  </si>
  <si>
    <t>Chesterfield</t>
  </si>
  <si>
    <t>E07000034</t>
  </si>
  <si>
    <t>Chichester</t>
  </si>
  <si>
    <t>E07000225</t>
  </si>
  <si>
    <t>Chorley</t>
  </si>
  <si>
    <t>E07000118</t>
  </si>
  <si>
    <t>City of London</t>
  </si>
  <si>
    <t>E09000001</t>
  </si>
  <si>
    <t>Colchester</t>
  </si>
  <si>
    <t>E07000071</t>
  </si>
  <si>
    <t>Copeland</t>
  </si>
  <si>
    <t>E07000029</t>
  </si>
  <si>
    <t>Cornwall</t>
  </si>
  <si>
    <t>E06000052</t>
  </si>
  <si>
    <t>Cotswold</t>
  </si>
  <si>
    <t>E07000079</t>
  </si>
  <si>
    <t>County Durham</t>
  </si>
  <si>
    <t>E06000047</t>
  </si>
  <si>
    <t>Coventry</t>
  </si>
  <si>
    <t>E08000026</t>
  </si>
  <si>
    <t>Craven</t>
  </si>
  <si>
    <t>E07000163</t>
  </si>
  <si>
    <t>Crawley</t>
  </si>
  <si>
    <t>E07000226</t>
  </si>
  <si>
    <t>Croydon</t>
  </si>
  <si>
    <t>E09000008</t>
  </si>
  <si>
    <t>Dacorum</t>
  </si>
  <si>
    <t>E07000096</t>
  </si>
  <si>
    <t>Darlington</t>
  </si>
  <si>
    <t>E06000005</t>
  </si>
  <si>
    <t>Dartford</t>
  </si>
  <si>
    <t>E07000107</t>
  </si>
  <si>
    <t>Derby</t>
  </si>
  <si>
    <t>E06000015</t>
  </si>
  <si>
    <t>Derbyshire Dales</t>
  </si>
  <si>
    <t>E07000035</t>
  </si>
  <si>
    <t>Doncaster</t>
  </si>
  <si>
    <t>E08000017</t>
  </si>
  <si>
    <t>Dorset</t>
  </si>
  <si>
    <t>E06000059</t>
  </si>
  <si>
    <t>Dover</t>
  </si>
  <si>
    <t>E07000108</t>
  </si>
  <si>
    <t>Dudley</t>
  </si>
  <si>
    <t>E08000027</t>
  </si>
  <si>
    <t>Ealing</t>
  </si>
  <si>
    <t>E09000009</t>
  </si>
  <si>
    <t>East Cambridgeshire</t>
  </si>
  <si>
    <t>E07000009</t>
  </si>
  <si>
    <t>East Devon</t>
  </si>
  <si>
    <t>E07000040</t>
  </si>
  <si>
    <t>East Hampshire</t>
  </si>
  <si>
    <t>E07000085</t>
  </si>
  <si>
    <t>East Hertfordshire</t>
  </si>
  <si>
    <t>E07000242</t>
  </si>
  <si>
    <t>East Lindsey</t>
  </si>
  <si>
    <t>E07000137</t>
  </si>
  <si>
    <t>East Riding of Yorkshire</t>
  </si>
  <si>
    <t>E06000011</t>
  </si>
  <si>
    <t>East Staffordshire</t>
  </si>
  <si>
    <t>E07000193</t>
  </si>
  <si>
    <t>East Suffolk</t>
  </si>
  <si>
    <t>E07000244</t>
  </si>
  <si>
    <t>Eastbourne</t>
  </si>
  <si>
    <t>E07000061</t>
  </si>
  <si>
    <t>Eastleigh</t>
  </si>
  <si>
    <t>E07000086</t>
  </si>
  <si>
    <t>Eden</t>
  </si>
  <si>
    <t>E07000030</t>
  </si>
  <si>
    <t>Elmbridge</t>
  </si>
  <si>
    <t>E07000207</t>
  </si>
  <si>
    <t>Enfield</t>
  </si>
  <si>
    <t>E09000010</t>
  </si>
  <si>
    <t>Epping Forest</t>
  </si>
  <si>
    <t>E07000072</t>
  </si>
  <si>
    <t>Epsom and Ewell</t>
  </si>
  <si>
    <t>E07000208</t>
  </si>
  <si>
    <t>Erewash</t>
  </si>
  <si>
    <t>E07000036</t>
  </si>
  <si>
    <t>Exeter</t>
  </si>
  <si>
    <t>E07000041</t>
  </si>
  <si>
    <t>Fareham</t>
  </si>
  <si>
    <t>E07000087</t>
  </si>
  <si>
    <t>Fenland</t>
  </si>
  <si>
    <t>E07000010</t>
  </si>
  <si>
    <t>Folkestone and Hythe</t>
  </si>
  <si>
    <t>E07000112</t>
  </si>
  <si>
    <t>Forest of Dean</t>
  </si>
  <si>
    <t>E07000080</t>
  </si>
  <si>
    <t>Fylde</t>
  </si>
  <si>
    <t>E07000119</t>
  </si>
  <si>
    <t>Gateshead</t>
  </si>
  <si>
    <t>E08000037</t>
  </si>
  <si>
    <t>Gedling</t>
  </si>
  <si>
    <t>E07000173</t>
  </si>
  <si>
    <t>Gloucester</t>
  </si>
  <si>
    <t>E07000081</t>
  </si>
  <si>
    <t>Gosport</t>
  </si>
  <si>
    <t>E07000088</t>
  </si>
  <si>
    <t>Gravesham</t>
  </si>
  <si>
    <t>E07000109</t>
  </si>
  <si>
    <t>Great Yarmouth</t>
  </si>
  <si>
    <t>E07000145</t>
  </si>
  <si>
    <t>Greenwich</t>
  </si>
  <si>
    <t>E09000011</t>
  </si>
  <si>
    <t>Guildford</t>
  </si>
  <si>
    <t>E07000209</t>
  </si>
  <si>
    <t>Hackney</t>
  </si>
  <si>
    <t>E09000012</t>
  </si>
  <si>
    <t>Halton</t>
  </si>
  <si>
    <t>E06000006</t>
  </si>
  <si>
    <t>Hambleton</t>
  </si>
  <si>
    <t>E07000164</t>
  </si>
  <si>
    <t>Hammersmith and Fulham</t>
  </si>
  <si>
    <t>E09000013</t>
  </si>
  <si>
    <t>Harborough</t>
  </si>
  <si>
    <t>E07000131</t>
  </si>
  <si>
    <t>Haringey</t>
  </si>
  <si>
    <t>E09000014</t>
  </si>
  <si>
    <t>Harlow</t>
  </si>
  <si>
    <t>E07000073</t>
  </si>
  <si>
    <t>Harrogate</t>
  </si>
  <si>
    <t>E07000165</t>
  </si>
  <si>
    <t>Harrow</t>
  </si>
  <si>
    <t>E09000015</t>
  </si>
  <si>
    <t>Hart</t>
  </si>
  <si>
    <t>E07000089</t>
  </si>
  <si>
    <t>Hartlepool</t>
  </si>
  <si>
    <t>E06000001</t>
  </si>
  <si>
    <t>Hastings</t>
  </si>
  <si>
    <t>E07000062</t>
  </si>
  <si>
    <t>Havant</t>
  </si>
  <si>
    <t>E07000090</t>
  </si>
  <si>
    <t>Havering</t>
  </si>
  <si>
    <t>E09000016</t>
  </si>
  <si>
    <t>Herefordshire, County of</t>
  </si>
  <si>
    <t>E06000019</t>
  </si>
  <si>
    <t>Hertsmere</t>
  </si>
  <si>
    <t>E07000098</t>
  </si>
  <si>
    <t>High Peak</t>
  </si>
  <si>
    <t>E07000037</t>
  </si>
  <si>
    <t>Hillingdon</t>
  </si>
  <si>
    <t>E09000017</t>
  </si>
  <si>
    <t>Hinckley and Bosworth</t>
  </si>
  <si>
    <t>E07000132</t>
  </si>
  <si>
    <t>Horsham</t>
  </si>
  <si>
    <t>E07000227</t>
  </si>
  <si>
    <t>Hounslow</t>
  </si>
  <si>
    <t>E09000018</t>
  </si>
  <si>
    <t>Huntingdonshire</t>
  </si>
  <si>
    <t>E07000011</t>
  </si>
  <si>
    <t>Hyndburn</t>
  </si>
  <si>
    <t>E07000120</t>
  </si>
  <si>
    <t>Ipswich</t>
  </si>
  <si>
    <t>E07000202</t>
  </si>
  <si>
    <t>Isle of Wight</t>
  </si>
  <si>
    <t>E06000046</t>
  </si>
  <si>
    <t>Isles of Scilly</t>
  </si>
  <si>
    <t>E06000053</t>
  </si>
  <si>
    <t>Islington</t>
  </si>
  <si>
    <t>E09000019</t>
  </si>
  <si>
    <t>Kensington and Chelsea</t>
  </si>
  <si>
    <t>E09000020</t>
  </si>
  <si>
    <t>King's Lynn and West Norfolk</t>
  </si>
  <si>
    <t>E07000146</t>
  </si>
  <si>
    <t>Kingston upon Hull, City of</t>
  </si>
  <si>
    <t>E06000010</t>
  </si>
  <si>
    <t>Kingston upon Thames</t>
  </si>
  <si>
    <t>E09000021</t>
  </si>
  <si>
    <t>Kirklees</t>
  </si>
  <si>
    <t>E08000034</t>
  </si>
  <si>
    <t>Knowsley</t>
  </si>
  <si>
    <t>E08000011</t>
  </si>
  <si>
    <t>Lambeth</t>
  </si>
  <si>
    <t>E09000022</t>
  </si>
  <si>
    <t>Lancaster</t>
  </si>
  <si>
    <t>E07000121</t>
  </si>
  <si>
    <t>Leeds</t>
  </si>
  <si>
    <t>E08000035</t>
  </si>
  <si>
    <t>Leicester</t>
  </si>
  <si>
    <t>E06000016</t>
  </si>
  <si>
    <t>Lewes</t>
  </si>
  <si>
    <t>E07000063</t>
  </si>
  <si>
    <t>Lewisham</t>
  </si>
  <si>
    <t>E09000023</t>
  </si>
  <si>
    <t>Lichfield</t>
  </si>
  <si>
    <t>E07000194</t>
  </si>
  <si>
    <t>Lincoln</t>
  </si>
  <si>
    <t>E07000138</t>
  </si>
  <si>
    <t>Liverpool</t>
  </si>
  <si>
    <t>E08000012</t>
  </si>
  <si>
    <t>Luton</t>
  </si>
  <si>
    <t>E06000032</t>
  </si>
  <si>
    <t>Maidstone</t>
  </si>
  <si>
    <t>E07000110</t>
  </si>
  <si>
    <t>Maldon</t>
  </si>
  <si>
    <t>E07000074</t>
  </si>
  <si>
    <t>Malvern Hills</t>
  </si>
  <si>
    <t>E07000235</t>
  </si>
  <si>
    <t>Manchester</t>
  </si>
  <si>
    <t>E08000003</t>
  </si>
  <si>
    <t>Mansfield</t>
  </si>
  <si>
    <t>E07000174</t>
  </si>
  <si>
    <t>Medway</t>
  </si>
  <si>
    <t>E06000035</t>
  </si>
  <si>
    <t>Melton</t>
  </si>
  <si>
    <t>E07000133</t>
  </si>
  <si>
    <t>Mendip</t>
  </si>
  <si>
    <t>E07000187</t>
  </si>
  <si>
    <t>Merton</t>
  </si>
  <si>
    <t>E09000024</t>
  </si>
  <si>
    <t>Mid Devon</t>
  </si>
  <si>
    <t>E07000042</t>
  </si>
  <si>
    <t>Mid Suffolk</t>
  </si>
  <si>
    <t>E07000203</t>
  </si>
  <si>
    <t>Mid Sussex</t>
  </si>
  <si>
    <t>E07000228</t>
  </si>
  <si>
    <t>Middlesbrough</t>
  </si>
  <si>
    <t>E06000002</t>
  </si>
  <si>
    <t>Milton Keynes</t>
  </si>
  <si>
    <t>E06000042</t>
  </si>
  <si>
    <t>Mole Valley</t>
  </si>
  <si>
    <t>E07000210</t>
  </si>
  <si>
    <t>E07000091</t>
  </si>
  <si>
    <t>Newark and Sherwood</t>
  </si>
  <si>
    <t>E07000175</t>
  </si>
  <si>
    <t>Newcastle upon Tyne</t>
  </si>
  <si>
    <t>E08000021</t>
  </si>
  <si>
    <t>Newcastle-under-Lyme</t>
  </si>
  <si>
    <t>E07000195</t>
  </si>
  <si>
    <t>Newham</t>
  </si>
  <si>
    <t>E09000025</t>
  </si>
  <si>
    <t>North Devon</t>
  </si>
  <si>
    <t>E07000043</t>
  </si>
  <si>
    <t>North East Derbyshire</t>
  </si>
  <si>
    <t>E07000038</t>
  </si>
  <si>
    <t>North East Lincolnshire</t>
  </si>
  <si>
    <t>E06000012</t>
  </si>
  <si>
    <t>North Hertfordshire</t>
  </si>
  <si>
    <t>E07000099</t>
  </si>
  <si>
    <t>North Kesteven</t>
  </si>
  <si>
    <t>E07000139</t>
  </si>
  <si>
    <t>North Lincolnshire</t>
  </si>
  <si>
    <t>E06000013</t>
  </si>
  <si>
    <t>North Norfolk</t>
  </si>
  <si>
    <t>E07000147</t>
  </si>
  <si>
    <t>North Somerset</t>
  </si>
  <si>
    <t>E06000024</t>
  </si>
  <si>
    <t>North Tyneside</t>
  </si>
  <si>
    <t>E08000022</t>
  </si>
  <si>
    <t>North Warwickshire</t>
  </si>
  <si>
    <t>E07000218</t>
  </si>
  <si>
    <t>North West Leicestershire</t>
  </si>
  <si>
    <t>E07000134</t>
  </si>
  <si>
    <t>Northumberland</t>
  </si>
  <si>
    <t>E06000057</t>
  </si>
  <si>
    <t>Norwich</t>
  </si>
  <si>
    <t>E07000148</t>
  </si>
  <si>
    <t>Nottingham</t>
  </si>
  <si>
    <t>E06000018</t>
  </si>
  <si>
    <t>Nuneaton and Bedworth</t>
  </si>
  <si>
    <t>E07000219</t>
  </si>
  <si>
    <t>Oadby and Wigston</t>
  </si>
  <si>
    <t>E07000135</t>
  </si>
  <si>
    <t>Oldham</t>
  </si>
  <si>
    <t>E08000004</t>
  </si>
  <si>
    <t>Oxford</t>
  </si>
  <si>
    <t>E07000178</t>
  </si>
  <si>
    <t>Pendle</t>
  </si>
  <si>
    <t>E07000122</t>
  </si>
  <si>
    <t>Peterborough</t>
  </si>
  <si>
    <t>E06000031</t>
  </si>
  <si>
    <t>Plymouth</t>
  </si>
  <si>
    <t>E06000026</t>
  </si>
  <si>
    <t>Portsmouth</t>
  </si>
  <si>
    <t>E06000044</t>
  </si>
  <si>
    <t>Preston</t>
  </si>
  <si>
    <t>E07000123</t>
  </si>
  <si>
    <t>Reading</t>
  </si>
  <si>
    <t>E06000038</t>
  </si>
  <si>
    <t>Redbridge</t>
  </si>
  <si>
    <t>E09000026</t>
  </si>
  <si>
    <t>Redcar and Cleveland</t>
  </si>
  <si>
    <t>E06000003</t>
  </si>
  <si>
    <t>Redditch</t>
  </si>
  <si>
    <t>E07000236</t>
  </si>
  <si>
    <t>Reigate and Banstead</t>
  </si>
  <si>
    <t>E07000211</t>
  </si>
  <si>
    <t>Ribble Valley</t>
  </si>
  <si>
    <t>E07000124</t>
  </si>
  <si>
    <t>Richmond upon Thames</t>
  </si>
  <si>
    <t>E09000027</t>
  </si>
  <si>
    <t>Richmondshire</t>
  </si>
  <si>
    <t>E07000166</t>
  </si>
  <si>
    <t>Rochdale</t>
  </si>
  <si>
    <t>E08000005</t>
  </si>
  <si>
    <t>Rochford</t>
  </si>
  <si>
    <t>E07000075</t>
  </si>
  <si>
    <t>Rossendale</t>
  </si>
  <si>
    <t>E07000125</t>
  </si>
  <si>
    <t>Rother</t>
  </si>
  <si>
    <t>E07000064</t>
  </si>
  <si>
    <t>Rotherham</t>
  </si>
  <si>
    <t>E08000018</t>
  </si>
  <si>
    <t>Rugby</t>
  </si>
  <si>
    <t>E07000220</t>
  </si>
  <si>
    <t>Runnymede</t>
  </si>
  <si>
    <t>E07000212</t>
  </si>
  <si>
    <t>Rushcliffe</t>
  </si>
  <si>
    <t>E07000176</t>
  </si>
  <si>
    <t>Rushmoor</t>
  </si>
  <si>
    <t>E07000092</t>
  </si>
  <si>
    <t>Rutland</t>
  </si>
  <si>
    <t>E06000017</t>
  </si>
  <si>
    <t>Ryedale</t>
  </si>
  <si>
    <t>E07000167</t>
  </si>
  <si>
    <t>Salford</t>
  </si>
  <si>
    <t>E08000006</t>
  </si>
  <si>
    <t>Sandwell</t>
  </si>
  <si>
    <t>E08000028</t>
  </si>
  <si>
    <t>Scarborough</t>
  </si>
  <si>
    <t>E07000168</t>
  </si>
  <si>
    <t>Sedgemoor</t>
  </si>
  <si>
    <t>E07000188</t>
  </si>
  <si>
    <t>Sefton</t>
  </si>
  <si>
    <t>E08000014</t>
  </si>
  <si>
    <t>Selby</t>
  </si>
  <si>
    <t>E07000169</t>
  </si>
  <si>
    <t>Sevenoaks</t>
  </si>
  <si>
    <t>E07000111</t>
  </si>
  <si>
    <t>Sheffield</t>
  </si>
  <si>
    <t>E08000019</t>
  </si>
  <si>
    <t>Shropshire</t>
  </si>
  <si>
    <t>E06000051</t>
  </si>
  <si>
    <t>Slough</t>
  </si>
  <si>
    <t>E06000039</t>
  </si>
  <si>
    <t>Solihull</t>
  </si>
  <si>
    <t>E08000029</t>
  </si>
  <si>
    <t>Somerset West and Taunton</t>
  </si>
  <si>
    <t>E07000246</t>
  </si>
  <si>
    <t>South Cambridgeshire</t>
  </si>
  <si>
    <t>E07000012</t>
  </si>
  <si>
    <t>South Derbyshire</t>
  </si>
  <si>
    <t>E07000039</t>
  </si>
  <si>
    <t>South Gloucestershire</t>
  </si>
  <si>
    <t>E06000025</t>
  </si>
  <si>
    <t>South Hams</t>
  </si>
  <si>
    <t>E07000044</t>
  </si>
  <si>
    <t>South Holland</t>
  </si>
  <si>
    <t>E07000140</t>
  </si>
  <si>
    <t>South Kesteven</t>
  </si>
  <si>
    <t>E07000141</t>
  </si>
  <si>
    <t>South Lakeland</t>
  </si>
  <si>
    <t>E07000031</t>
  </si>
  <si>
    <t>South Norfolk</t>
  </si>
  <si>
    <t>E07000149</t>
  </si>
  <si>
    <t>South Oxfordshire</t>
  </si>
  <si>
    <t>E07000179</t>
  </si>
  <si>
    <t>South Ribble</t>
  </si>
  <si>
    <t>E07000126</t>
  </si>
  <si>
    <t>South Somerset</t>
  </si>
  <si>
    <t>E07000189</t>
  </si>
  <si>
    <t>South Staffordshire</t>
  </si>
  <si>
    <t>E07000196</t>
  </si>
  <si>
    <t>South Tyneside</t>
  </si>
  <si>
    <t>E08000023</t>
  </si>
  <si>
    <t>Southampton</t>
  </si>
  <si>
    <t>E06000045</t>
  </si>
  <si>
    <t>Southend-on-Sea</t>
  </si>
  <si>
    <t>E06000033</t>
  </si>
  <si>
    <t>Southwark</t>
  </si>
  <si>
    <t>E09000028</t>
  </si>
  <si>
    <t>Spelthorne</t>
  </si>
  <si>
    <t>E07000213</t>
  </si>
  <si>
    <t>St Albans</t>
  </si>
  <si>
    <t>E07000240</t>
  </si>
  <si>
    <t>St. Helens</t>
  </si>
  <si>
    <t>E08000013</t>
  </si>
  <si>
    <t>Stafford</t>
  </si>
  <si>
    <t>E07000197</t>
  </si>
  <si>
    <t>Staffordshire Moorlands</t>
  </si>
  <si>
    <t>E07000198</t>
  </si>
  <si>
    <t>Stevenage</t>
  </si>
  <si>
    <t>E07000243</t>
  </si>
  <si>
    <t>Stockport</t>
  </si>
  <si>
    <t>E08000007</t>
  </si>
  <si>
    <t>Stockton-on-Tees</t>
  </si>
  <si>
    <t>E06000004</t>
  </si>
  <si>
    <t>Stoke-on-Trent</t>
  </si>
  <si>
    <t>E06000021</t>
  </si>
  <si>
    <t>Stratford-on-Avon</t>
  </si>
  <si>
    <t>E07000221</t>
  </si>
  <si>
    <t>Stroud</t>
  </si>
  <si>
    <t>E07000082</t>
  </si>
  <si>
    <t>Sunderland</t>
  </si>
  <si>
    <t>E08000024</t>
  </si>
  <si>
    <t>Surrey Heath</t>
  </si>
  <si>
    <t>E07000214</t>
  </si>
  <si>
    <t>Sutton</t>
  </si>
  <si>
    <t>E09000029</t>
  </si>
  <si>
    <t>Swale</t>
  </si>
  <si>
    <t>E07000113</t>
  </si>
  <si>
    <t>Swindon</t>
  </si>
  <si>
    <t>E06000030</t>
  </si>
  <si>
    <t>Tameside</t>
  </si>
  <si>
    <t>E08000008</t>
  </si>
  <si>
    <t>Tamworth</t>
  </si>
  <si>
    <t>E07000199</t>
  </si>
  <si>
    <t>Tandridge</t>
  </si>
  <si>
    <t>E07000215</t>
  </si>
  <si>
    <t>Teignbridge</t>
  </si>
  <si>
    <t>E07000045</t>
  </si>
  <si>
    <t>Telford and Wrekin</t>
  </si>
  <si>
    <t>E06000020</t>
  </si>
  <si>
    <t>Tendring</t>
  </si>
  <si>
    <t>E07000076</t>
  </si>
  <si>
    <t>Test Valley</t>
  </si>
  <si>
    <t>E07000093</t>
  </si>
  <si>
    <t>Tewkesbury</t>
  </si>
  <si>
    <t>E07000083</t>
  </si>
  <si>
    <t>Thanet</t>
  </si>
  <si>
    <t>E07000114</t>
  </si>
  <si>
    <t>Three Rivers</t>
  </si>
  <si>
    <t>E07000102</t>
  </si>
  <si>
    <t>Thurrock</t>
  </si>
  <si>
    <t>E06000034</t>
  </si>
  <si>
    <t>Tonbridge and Malling</t>
  </si>
  <si>
    <t>E07000115</t>
  </si>
  <si>
    <t>Torbay</t>
  </si>
  <si>
    <t>E06000027</t>
  </si>
  <si>
    <t>Torridge</t>
  </si>
  <si>
    <t>E07000046</t>
  </si>
  <si>
    <t>Tower Hamlets</t>
  </si>
  <si>
    <t>E09000030</t>
  </si>
  <si>
    <t>Trafford</t>
  </si>
  <si>
    <t>E08000009</t>
  </si>
  <si>
    <t>Tunbridge Wells</t>
  </si>
  <si>
    <t>E07000116</t>
  </si>
  <si>
    <t>Uttlesford</t>
  </si>
  <si>
    <t>E07000077</t>
  </si>
  <si>
    <t>Vale of White Horse</t>
  </si>
  <si>
    <t>E07000180</t>
  </si>
  <si>
    <t>Wakefield</t>
  </si>
  <si>
    <t>E08000036</t>
  </si>
  <si>
    <t>Walsall</t>
  </si>
  <si>
    <t>E08000030</t>
  </si>
  <si>
    <t>Waltham Forest</t>
  </si>
  <si>
    <t>E09000031</t>
  </si>
  <si>
    <t>Wandsworth</t>
  </si>
  <si>
    <t>E09000032</t>
  </si>
  <si>
    <t>Warrington</t>
  </si>
  <si>
    <t>E06000007</t>
  </si>
  <si>
    <t>Warwick</t>
  </si>
  <si>
    <t>E07000222</t>
  </si>
  <si>
    <t>Watford</t>
  </si>
  <si>
    <t>E07000103</t>
  </si>
  <si>
    <t>Waverley</t>
  </si>
  <si>
    <t>E07000216</t>
  </si>
  <si>
    <t>Wealden</t>
  </si>
  <si>
    <t>E07000065</t>
  </si>
  <si>
    <t>Welwyn Hatfield</t>
  </si>
  <si>
    <t>E07000241</t>
  </si>
  <si>
    <t>West Berkshire</t>
  </si>
  <si>
    <t>E06000037</t>
  </si>
  <si>
    <t>West Devon</t>
  </si>
  <si>
    <t>E07000047</t>
  </si>
  <si>
    <t>West Lancashire</t>
  </si>
  <si>
    <t>E07000127</t>
  </si>
  <si>
    <t>West Lindsey</t>
  </si>
  <si>
    <t>E07000142</t>
  </si>
  <si>
    <t>West Oxfordshire</t>
  </si>
  <si>
    <t>E07000181</t>
  </si>
  <si>
    <t>West Suffolk</t>
  </si>
  <si>
    <t>E07000245</t>
  </si>
  <si>
    <t>Westminster</t>
  </si>
  <si>
    <t>E09000033</t>
  </si>
  <si>
    <t>Wigan</t>
  </si>
  <si>
    <t>E08000010</t>
  </si>
  <si>
    <t>Wiltshire</t>
  </si>
  <si>
    <t>E06000054</t>
  </si>
  <si>
    <t>Winchester</t>
  </si>
  <si>
    <t>E07000094</t>
  </si>
  <si>
    <t>Windsor and Maidenhead</t>
  </si>
  <si>
    <t>E06000040</t>
  </si>
  <si>
    <t>Wirral</t>
  </si>
  <si>
    <t>E08000015</t>
  </si>
  <si>
    <t>Woking</t>
  </si>
  <si>
    <t>E07000217</t>
  </si>
  <si>
    <t>Wokingham</t>
  </si>
  <si>
    <t>E06000041</t>
  </si>
  <si>
    <t>Wolverhampton</t>
  </si>
  <si>
    <t>E08000031</t>
  </si>
  <si>
    <t>Worcester</t>
  </si>
  <si>
    <t>E07000237</t>
  </si>
  <si>
    <t>Worthing</t>
  </si>
  <si>
    <t>E07000229</t>
  </si>
  <si>
    <t>Wychavon</t>
  </si>
  <si>
    <t>E07000238</t>
  </si>
  <si>
    <t>Wyre</t>
  </si>
  <si>
    <t>E07000128</t>
  </si>
  <si>
    <t>Wyre Forest</t>
  </si>
  <si>
    <t>E07000239</t>
  </si>
  <si>
    <t>York</t>
  </si>
  <si>
    <t>E06000014</t>
  </si>
  <si>
    <t>Rents and unit counts by unit size, for England - Large PRPs</t>
  </si>
  <si>
    <t>All Self-Contained</t>
  </si>
  <si>
    <t>All Stock Sizes</t>
  </si>
  <si>
    <t>Rents and unit counts by unit size, for England</t>
  </si>
  <si>
    <t>Average GROSS RENTS by unit size, for England</t>
  </si>
  <si>
    <t>Local Authority Names</t>
  </si>
  <si>
    <t>None</t>
  </si>
  <si>
    <t>Eng</t>
  </si>
  <si>
    <t>EM</t>
  </si>
  <si>
    <t>EE</t>
  </si>
  <si>
    <t>LON</t>
  </si>
  <si>
    <t>NE</t>
  </si>
  <si>
    <t>NW</t>
  </si>
  <si>
    <t>SE</t>
  </si>
  <si>
    <t>SW</t>
  </si>
  <si>
    <t>WM</t>
  </si>
  <si>
    <t>Yorkshire and the Humber</t>
  </si>
  <si>
    <t>YTH</t>
  </si>
  <si>
    <t>Return to Area Summary 
To change area return to Area Summary</t>
  </si>
  <si>
    <t>% Total Social Stock in area</t>
  </si>
  <si>
    <t>% of PRPs total Social Stock</t>
  </si>
  <si>
    <t>% General needs self-contained units in area</t>
  </si>
  <si>
    <t>% of PRPs total general needs self-contained stock</t>
  </si>
  <si>
    <t>% General needs bedspaces in area</t>
  </si>
  <si>
    <t>% of PRPs total general needs bedspaces stock</t>
  </si>
  <si>
    <t>% Supported housing units in area</t>
  </si>
  <si>
    <t>% of PRPs total supported housing stock</t>
  </si>
  <si>
    <t>% Housing for older people units in area</t>
  </si>
  <si>
    <t>% of PRPs total housing for older people stock</t>
  </si>
  <si>
    <t>RP LA count</t>
  </si>
  <si>
    <t>Total Social Stock</t>
  </si>
  <si>
    <t>BSPs data</t>
  </si>
  <si>
    <t>SH data</t>
  </si>
  <si>
    <t>HOP data</t>
  </si>
  <si>
    <t>LCHO &lt;100%</t>
  </si>
  <si>
    <t>Numbering</t>
  </si>
  <si>
    <t>if error check</t>
  </si>
  <si>
    <t>use this % SS Total</t>
  </si>
  <si>
    <t>% SS Total</t>
  </si>
  <si>
    <t>Total SS</t>
  </si>
  <si>
    <t>iserror check</t>
  </si>
  <si>
    <t>% of RPs total stock</t>
  </si>
  <si>
    <t>RPS Total SS</t>
  </si>
  <si>
    <t>use this % GN SC Total</t>
  </si>
  <si>
    <t>% GN SC Total</t>
  </si>
  <si>
    <t>GN SC</t>
  </si>
  <si>
    <t>use this % GN Total</t>
  </si>
  <si>
    <t>RPs total stock</t>
  </si>
  <si>
    <t>use this % GN BSPs Total</t>
  </si>
  <si>
    <t>% GN BSPs Total</t>
  </si>
  <si>
    <t>GNBSPs</t>
  </si>
  <si>
    <t>use this % SH Total</t>
  </si>
  <si>
    <t>% SH Total</t>
  </si>
  <si>
    <t>SH</t>
  </si>
  <si>
    <t>% HOP Total</t>
  </si>
  <si>
    <t>All units:</t>
  </si>
  <si>
    <t>Abbeyfield Wessex Society Limited</t>
  </si>
  <si>
    <t>Small</t>
  </si>
  <si>
    <t>New ForestAbbeyfield Wessex Society Limited</t>
  </si>
  <si>
    <t>Ability Housing Association</t>
  </si>
  <si>
    <t>New ForestAbility Housing Association</t>
  </si>
  <si>
    <t>Advance Housing and Support Limited</t>
  </si>
  <si>
    <t>Large</t>
  </si>
  <si>
    <t>New ForestAdvance Housing and Support Limited</t>
  </si>
  <si>
    <t>Anchor Hanover Group</t>
  </si>
  <si>
    <t>New ForestAnchor Hanover Group</t>
  </si>
  <si>
    <t>Aster Communities</t>
  </si>
  <si>
    <t>New ForestAster Communities</t>
  </si>
  <si>
    <t>Clarion Housing Association Limited</t>
  </si>
  <si>
    <t>New ForestClarion Housing Association Limited</t>
  </si>
  <si>
    <t>Empower Housing Association Limited</t>
  </si>
  <si>
    <t>New ForestEmpower Housing Association Limited</t>
  </si>
  <si>
    <t>Golden Lane Housing Ltd</t>
  </si>
  <si>
    <t>Heylo Housing Registered Provider Limited</t>
  </si>
  <si>
    <t>New ForestHeylo Housing Registered Provider Limited</t>
  </si>
  <si>
    <t>Home Group Limited</t>
  </si>
  <si>
    <t>New ForestHome Group Limited</t>
  </si>
  <si>
    <t>Housing 21</t>
  </si>
  <si>
    <t>New ForestHousing 21</t>
  </si>
  <si>
    <t>LiveWest Homes Limited</t>
  </si>
  <si>
    <t>Metropolitan Housing Trust Limited</t>
  </si>
  <si>
    <t>New ForestMetropolitan Housing Trust Limited</t>
  </si>
  <si>
    <t>Moat Homes Limited</t>
  </si>
  <si>
    <t>New ForestMoat Homes Limited</t>
  </si>
  <si>
    <t>MuirCroft Housing Association Limited</t>
  </si>
  <si>
    <t>New ForestMuirCroft Housing Association Limited</t>
  </si>
  <si>
    <t>New Forest Villages Housing Association Limited</t>
  </si>
  <si>
    <t>New ForestNew Forest Villages Housing Association Limited</t>
  </si>
  <si>
    <t>Notting Hill Home Ownership Limited</t>
  </si>
  <si>
    <t>New ForestNotting Hill Home Ownership Limited</t>
  </si>
  <si>
    <t>Places for People Homes Limited</t>
  </si>
  <si>
    <t>New ForestPlaces for People Homes Limited</t>
  </si>
  <si>
    <t>Reside Housing Association Limited</t>
  </si>
  <si>
    <t>New ForestReside Housing Association Limited</t>
  </si>
  <si>
    <t>Sanctuary Housing Association</t>
  </si>
  <si>
    <t>New ForestSanctuary Housing Association</t>
  </si>
  <si>
    <t>Sandbourne Housing Association</t>
  </si>
  <si>
    <t>New ForestSandbourne Housing Association</t>
  </si>
  <si>
    <t>Southern Housing Group Limited</t>
  </si>
  <si>
    <t>New ForestSouthern Housing Group Limited</t>
  </si>
  <si>
    <t>Sovereign Housing Association Limited</t>
  </si>
  <si>
    <t>New ForestSovereign Housing Association Limited</t>
  </si>
  <si>
    <t>Stonewater Limited</t>
  </si>
  <si>
    <t>New ForestStonewater Limited</t>
  </si>
  <si>
    <t>Synergy Housing Limited</t>
  </si>
  <si>
    <t>New ForestSynergy Housing Limited</t>
  </si>
  <si>
    <t>The Swaythling Housing Society Limited</t>
  </si>
  <si>
    <t>New ForestThe Swaythling Housing Society Limited</t>
  </si>
  <si>
    <t>Vivid Housing Limited</t>
  </si>
  <si>
    <t>New ForestVivid Housing Limited</t>
  </si>
  <si>
    <t>region</t>
  </si>
  <si>
    <t>Accent Housing Limited</t>
  </si>
  <si>
    <t>Accord Housing Association Limited</t>
  </si>
  <si>
    <t>Acis Group Limited</t>
  </si>
  <si>
    <t>Action Housing and Support Limited</t>
  </si>
  <si>
    <t>Adullam Homes Housing Association Limited</t>
  </si>
  <si>
    <t>Alliance Housing Association (South Yorkshire) Limited</t>
  </si>
  <si>
    <t>Arches Housing Limited</t>
  </si>
  <si>
    <t>Arcon Housing Association Limited</t>
  </si>
  <si>
    <t>Arpeggio Properties Limited</t>
  </si>
  <si>
    <t>Ashbourne Almshouse Charity</t>
  </si>
  <si>
    <t>Aston Almshouse Charity</t>
  </si>
  <si>
    <t>Bethel Housing Association Limited</t>
  </si>
  <si>
    <t>Blyth Cottages</t>
  </si>
  <si>
    <t>bpha Limited</t>
  </si>
  <si>
    <t>Bromford Home Ownership Limited</t>
  </si>
  <si>
    <t>Bromford Housing Association Limited</t>
  </si>
  <si>
    <t>Brunts Charity</t>
  </si>
  <si>
    <t>Care Housing Association Limited</t>
  </si>
  <si>
    <t>Catalyst Housing Limited</t>
  </si>
  <si>
    <t>Cheshire Peaks &amp; Plains Housing Trust Limited</t>
  </si>
  <si>
    <t>Chesterfield Churches Housing Association Limited</t>
  </si>
  <si>
    <t>Chrysalis Supported Association Limited</t>
  </si>
  <si>
    <t>Contour Homes Limited</t>
  </si>
  <si>
    <t>Cossington Housing Co-operative Limited</t>
  </si>
  <si>
    <t>Creative Support Limited</t>
  </si>
  <si>
    <t>Cross Keys Homes Limited</t>
  </si>
  <si>
    <t>Derby Homes Limited</t>
  </si>
  <si>
    <t>Derwent Community Housing Association Limited</t>
  </si>
  <si>
    <t>Derwent Housing Association Limited</t>
  </si>
  <si>
    <t>Dimensions (UK) Limited</t>
  </si>
  <si>
    <t>EMH Housing and Regeneration Limited</t>
  </si>
  <si>
    <t xml:space="preserve">Encircle Housing </t>
  </si>
  <si>
    <t>English Rural Housing Association Limited</t>
  </si>
  <si>
    <t>Farmer and Lemmoin-Cannon Charity</t>
  </si>
  <si>
    <t>First Priority Housing Association Limited</t>
  </si>
  <si>
    <t>Framework Housing Association</t>
  </si>
  <si>
    <t>Funding Affordable Homes Housing Association Limited</t>
  </si>
  <si>
    <t>Futures Homescape Limited</t>
  </si>
  <si>
    <t>Futures Homeway Limited</t>
  </si>
  <si>
    <t>Grand Union Housing Group Limited</t>
  </si>
  <si>
    <t>Great Places Housing Association</t>
  </si>
  <si>
    <t>Greatwell Homes Limited</t>
  </si>
  <si>
    <t>Habinteg Housing Association Limited</t>
  </si>
  <si>
    <t>Halo Housing Association Limited</t>
  </si>
  <si>
    <t>Hastoe Housing Association Limited</t>
  </si>
  <si>
    <t>Hilldale Housing Association Limited</t>
  </si>
  <si>
    <t>Hyde Housing Association Limited</t>
  </si>
  <si>
    <t>Inclusion Housing Community Interest Company</t>
  </si>
  <si>
    <t>Jigsaw Homes Midlands</t>
  </si>
  <si>
    <t>John Higgs Almshouses</t>
  </si>
  <si>
    <t>'Johnnie' Johnson Housing Trust Limited</t>
  </si>
  <si>
    <t>Lace Housing Limited</t>
  </si>
  <si>
    <t>Langley House Trust</t>
  </si>
  <si>
    <t>Leeds Federated Housing Association Limited</t>
  </si>
  <si>
    <t>Lets for Life</t>
  </si>
  <si>
    <t>Lincolnshire Employment Accommodation Project Limited</t>
  </si>
  <si>
    <t>Lincolnshire Housing Partnership Limited</t>
  </si>
  <si>
    <t>Lincolnshire Rural Housing Association Limited</t>
  </si>
  <si>
    <t>Lincolnshire Y.M.C.A. Ltd</t>
  </si>
  <si>
    <t>London &amp; Quadrant Housing Trust</t>
  </si>
  <si>
    <t>Longhurst Group Limited</t>
  </si>
  <si>
    <t>Mansfield Road (Nottingham) Baptist Housing Association Limited</t>
  </si>
  <si>
    <t>Masonic Housing Association</t>
  </si>
  <si>
    <t>Maynard Co-operative Housing Association Limited</t>
  </si>
  <si>
    <t>Midland Heart Limited</t>
  </si>
  <si>
    <t>Muir Group Housing Association Limited</t>
  </si>
  <si>
    <t>My Space Housing Solutions</t>
  </si>
  <si>
    <t>NACRO</t>
  </si>
  <si>
    <t>Newark Housing Association Limited</t>
  </si>
  <si>
    <t>Northamptonshire Rural Housing Association Limited</t>
  </si>
  <si>
    <t>Norton Housing and Support Ltd</t>
  </si>
  <si>
    <t>Nottingham City Homes Registered Provider Limited</t>
  </si>
  <si>
    <t>Nottingham Community Housing Association Limited</t>
  </si>
  <si>
    <t>Ongo Homes Limited</t>
  </si>
  <si>
    <t>Optivo</t>
  </si>
  <si>
    <t>Orbit Group Limited</t>
  </si>
  <si>
    <t>P3 Housing Limited</t>
  </si>
  <si>
    <t>Paragon Asra Housing Limited</t>
  </si>
  <si>
    <t>Parasol Homes Limited</t>
  </si>
  <si>
    <t>Parson Latham's Hospital In Barnwell</t>
  </si>
  <si>
    <t>Partners Foundation Limited</t>
  </si>
  <si>
    <t>Peak District Rural Housing Association Limited</t>
  </si>
  <si>
    <t>Places for People Living+ Limited</t>
  </si>
  <si>
    <t>Platform Housing Limited</t>
  </si>
  <si>
    <t>Plexus UK (First Project) Limited</t>
  </si>
  <si>
    <t>Progress Housing Association Limited</t>
  </si>
  <si>
    <t>Refuge</t>
  </si>
  <si>
    <t>Retail Trust</t>
  </si>
  <si>
    <t>Ross Walk Housing Co-operative Limited</t>
  </si>
  <si>
    <t>Rykneld Homes Limited</t>
  </si>
  <si>
    <t>Sage Housing Limited</t>
  </si>
  <si>
    <t>Salvation Army Housing Association</t>
  </si>
  <si>
    <t>Sanctuary Affordable Housing Limited</t>
  </si>
  <si>
    <t>Severn Almshouses Trust</t>
  </si>
  <si>
    <t>Sir Robert Coke's Almshouses</t>
  </si>
  <si>
    <t>South Yorkshire Housing Association Limited</t>
  </si>
  <si>
    <t>St Leonards Hospital</t>
  </si>
  <si>
    <t>Stonewater (2) Limited</t>
  </si>
  <si>
    <t>Stonewater (5) Limited</t>
  </si>
  <si>
    <t>Sustain (UK) Ltd</t>
  </si>
  <si>
    <t>Swift Homes Limited</t>
  </si>
  <si>
    <t>The Abbeyfield Loughborough Society Limited</t>
  </si>
  <si>
    <t>The Abbeyfield Society</t>
  </si>
  <si>
    <t>The Charity of St Leonard's Hospital</t>
  </si>
  <si>
    <t>The Exaireo Trust Ltd</t>
  </si>
  <si>
    <t>The Extracare Charitable Trust</t>
  </si>
  <si>
    <t>The Guinness Partnership Limited</t>
  </si>
  <si>
    <t>The Hospital of St John &amp; of St Anne in Okeham</t>
  </si>
  <si>
    <t>The Louisa Lilley Almshouses</t>
  </si>
  <si>
    <t>The Richmond Fellowship</t>
  </si>
  <si>
    <t>The Riverside Group Limited</t>
  </si>
  <si>
    <t>The St Michael's Housing Trust</t>
  </si>
  <si>
    <t>The Teetotal Homes</t>
  </si>
  <si>
    <t>The William Holmes Almshouses</t>
  </si>
  <si>
    <t>Together Housing Association Limited</t>
  </si>
  <si>
    <t>Trent &amp; Dove Housing Limited</t>
  </si>
  <si>
    <t>Trident Housing Association Limited</t>
  </si>
  <si>
    <t>Trinity Housing Association Limited</t>
  </si>
  <si>
    <t>Tuntum Housing Association Limited</t>
  </si>
  <si>
    <t>Westmoreland Supported Housing Limited</t>
  </si>
  <si>
    <t>William Henry Hirst Memorial Homes</t>
  </si>
  <si>
    <t>Windrush Alliance UK Community Interest Company</t>
  </si>
  <si>
    <t>YMCA Derbyshire</t>
  </si>
  <si>
    <t>Your Housing Limited</t>
  </si>
  <si>
    <t>Abbeyfield Braintree, Bocking and Felsted Society Limited</t>
  </si>
  <si>
    <t>Alice Coralie Glyn Homes</t>
  </si>
  <si>
    <t>Argyle Street Housing Co-operative Limited</t>
  </si>
  <si>
    <t>Arhag Housing Association Limited</t>
  </si>
  <si>
    <t>Asett Homes Ltd</t>
  </si>
  <si>
    <t>Aylott Janes Almshouses</t>
  </si>
  <si>
    <t>B3 Living Limited</t>
  </si>
  <si>
    <t>Balkerne Gardens Trust Limited</t>
  </si>
  <si>
    <t>Bedford Citizens Housing Association Limited</t>
  </si>
  <si>
    <t>Billericay Community Housing Association Limited</t>
  </si>
  <si>
    <t>Birnbeck Housing Association Limited</t>
  </si>
  <si>
    <t>Blackburn YMCA</t>
  </si>
  <si>
    <t>Bocking United Charities</t>
  </si>
  <si>
    <t>Braughing Housing Association Limited</t>
  </si>
  <si>
    <t>Brentwood Housing Trust Limited</t>
  </si>
  <si>
    <t>Broadland Housing Association Limited</t>
  </si>
  <si>
    <t>Chelmer Housing Partnership Limited</t>
  </si>
  <si>
    <t>Cherry Hinton Almshouse Charity</t>
  </si>
  <si>
    <t>Chisel Limited</t>
  </si>
  <si>
    <t>Chorus Homes Limited</t>
  </si>
  <si>
    <t>Co-op Homes (South) Limited</t>
  </si>
  <si>
    <t>Co-operative Development Society Limited</t>
  </si>
  <si>
    <t>Corton House Limited</t>
  </si>
  <si>
    <t>Cotman Housing Association Limited</t>
  </si>
  <si>
    <t>CWL Housing</t>
  </si>
  <si>
    <t>E W King Memorial Homes</t>
  </si>
  <si>
    <t>Eastlight Community Homes Limited</t>
  </si>
  <si>
    <t>Estuary Housing Association Limited</t>
  </si>
  <si>
    <t>First Garden Cities Homes Limited</t>
  </si>
  <si>
    <t>Flagship Housing Group Limited</t>
  </si>
  <si>
    <t>Freebridge Community Housing Limited</t>
  </si>
  <si>
    <t>Gateway Housing Association Limited</t>
  </si>
  <si>
    <t>Gemini Housing Co-operative Limited</t>
  </si>
  <si>
    <t>Great Hospital</t>
  </si>
  <si>
    <t>Harlow Poors Charities</t>
  </si>
  <si>
    <t>Hightown Housing Association Limited</t>
  </si>
  <si>
    <t>Homeless Action Resource Project</t>
  </si>
  <si>
    <t>Homes for Wells Limited</t>
  </si>
  <si>
    <t>Housing Solutions</t>
  </si>
  <si>
    <t>Hundred Houses Society Limited</t>
  </si>
  <si>
    <t>Innisfree Housing Association Limited</t>
  </si>
  <si>
    <t>Jewish Community Housing Association Limited</t>
  </si>
  <si>
    <t>Keystage Properties Limited</t>
  </si>
  <si>
    <t>Legal &amp; General Affordable Homes Limited</t>
  </si>
  <si>
    <t>Local Space</t>
  </si>
  <si>
    <t>Maldon Housing Association Limited</t>
  </si>
  <si>
    <t>Mersea Island Trust</t>
  </si>
  <si>
    <t>Moat Housing Group Limited</t>
  </si>
  <si>
    <t>Network Homes Limited</t>
  </si>
  <si>
    <t>Newlon Housing Trust</t>
  </si>
  <si>
    <t>Norwich Consolidated Charities</t>
  </si>
  <si>
    <t>Norwich Housing Society Limited</t>
  </si>
  <si>
    <t>Notting Hill Genesis</t>
  </si>
  <si>
    <t>Oak Housing Limited</t>
  </si>
  <si>
    <t>Omega Housing Limited</t>
  </si>
  <si>
    <t>One Housing Group Limited</t>
  </si>
  <si>
    <t>One YMCA</t>
  </si>
  <si>
    <t>Origin Housing 2 Limited</t>
  </si>
  <si>
    <t>Origin Housing Limited</t>
  </si>
  <si>
    <t>Orwell Housing Association Limited</t>
  </si>
  <si>
    <t>Paradigm Homes Charitable Housing Association Limited</t>
  </si>
  <si>
    <t>Paradise Housing Co-operative Limited</t>
  </si>
  <si>
    <t>Park Properties Housing Association Ltd</t>
  </si>
  <si>
    <t>Peabody Developments Limited</t>
  </si>
  <si>
    <t>Peabody South East Limited</t>
  </si>
  <si>
    <t>Peabody Trust</t>
  </si>
  <si>
    <t>Peal Community Housing Limited</t>
  </si>
  <si>
    <t>Pine Ridge Housing Association Limited</t>
  </si>
  <si>
    <t>Ramsey Welfare Charities</t>
  </si>
  <si>
    <t>Rex Housing Limited</t>
  </si>
  <si>
    <t>Rickmansworth Churches Housing Association Limited</t>
  </si>
  <si>
    <t>Robert Hibbert's Almshouse Charity</t>
  </si>
  <si>
    <t>Saffron Housing Trust Limited</t>
  </si>
  <si>
    <t>Sapphire Independent Housing Limited</t>
  </si>
  <si>
    <t>Settle Group</t>
  </si>
  <si>
    <t>Shepherds Bush Housing Association Limited</t>
  </si>
  <si>
    <t>Southend-on-Sea Young Men's Christian Association</t>
  </si>
  <si>
    <t>St Johns Homes</t>
  </si>
  <si>
    <t>St Mungo Community Housing Association</t>
  </si>
  <si>
    <t>Swan Housing Association Limited</t>
  </si>
  <si>
    <t>Tamil Community Housing Association Limited</t>
  </si>
  <si>
    <t>The Abbeyfield (Berkhamsted &amp; Hemel Hempstead) Society Limited</t>
  </si>
  <si>
    <t>The Abbeyfield Basildon Society Limited</t>
  </si>
  <si>
    <t>The Abbeyfield Canvey Island Society Limited</t>
  </si>
  <si>
    <t>The Abbeyfield Kings Langley Society Limited</t>
  </si>
  <si>
    <t>The Abbeyfield Orwell Extra Care Society Limited</t>
  </si>
  <si>
    <t>The Abbeyfield Southend Society Limited</t>
  </si>
  <si>
    <t>The Abbeyfield West Herts Society Limited</t>
  </si>
  <si>
    <t>The Baker's Benevolent Society</t>
  </si>
  <si>
    <t>The Cambridge Housing Society Limited</t>
  </si>
  <si>
    <t>The Cambridgeshire Cottage Housing Society Limited</t>
  </si>
  <si>
    <t>The Field Lane Foundation</t>
  </si>
  <si>
    <t>The Fishermen's Hospital</t>
  </si>
  <si>
    <t>The Havebury Housing Partnership</t>
  </si>
  <si>
    <t>The Henry Gilder Drake Charity</t>
  </si>
  <si>
    <t>The Industrial Dwellings Society (1885) Limited</t>
  </si>
  <si>
    <t>The John Henry Keene Memorial Homes</t>
  </si>
  <si>
    <t>The Papworth Trust</t>
  </si>
  <si>
    <t>The Saint Mary Magdalen's Hospital</t>
  </si>
  <si>
    <t>The Shen Place Almshouses</t>
  </si>
  <si>
    <t>The Stuart Court Memorial Charity</t>
  </si>
  <si>
    <t>Thirteen Housing Group Limited</t>
  </si>
  <si>
    <t>Thrive Homes Limited</t>
  </si>
  <si>
    <t>Toddington United Almshouse Charity</t>
  </si>
  <si>
    <t>Turning Point</t>
  </si>
  <si>
    <t>V &amp; F Homes Limited</t>
  </si>
  <si>
    <t>Waters Almshouses</t>
  </si>
  <si>
    <t>Watford Community Housing Trust</t>
  </si>
  <si>
    <t>Webster Almshouse Trust</t>
  </si>
  <si>
    <t>West Herts Homes Limited</t>
  </si>
  <si>
    <t>West Norfolk Housing Company Ltd</t>
  </si>
  <si>
    <t>William Paul Housing Trust</t>
  </si>
  <si>
    <t>Winnocks and Kendalls Almshouse Charity</t>
  </si>
  <si>
    <t>Wisbech Charities</t>
  </si>
  <si>
    <t>Wisden Housing Co-operative Limited</t>
  </si>
  <si>
    <t>Witham Housing Association Limited</t>
  </si>
  <si>
    <t>YMCA Norfolk</t>
  </si>
  <si>
    <t>YMCA Trinity Group</t>
  </si>
  <si>
    <t>A2Dominion Homes Limited</t>
  </si>
  <si>
    <t>A2Dominion South Limited</t>
  </si>
  <si>
    <t>Abbeyfield Southern Oaks</t>
  </si>
  <si>
    <t>Abeona Housing Co-operative Limited</t>
  </si>
  <si>
    <t>Access Homes Housing Association Limited</t>
  </si>
  <si>
    <t>Addiscombe Catholic Housing Association Limited</t>
  </si>
  <si>
    <t>Agudas Israel Housing Association Limited</t>
  </si>
  <si>
    <t>Almshouse Charity of Sir William Powell</t>
  </si>
  <si>
    <t>Apna Ghar Housing Association Limited</t>
  </si>
  <si>
    <t>Arundel Buildings Housing Co-operative Limited</t>
  </si>
  <si>
    <t>Ash-Shahada Housing Association Limited</t>
  </si>
  <si>
    <t>Aston-Mansfield Charitable Trust</t>
  </si>
  <si>
    <t>Bahay Kubo Housing Association Limited</t>
  </si>
  <si>
    <t>Barnsbury Housing Association Limited</t>
  </si>
  <si>
    <t>Battersea Tenants Co-operative Limited</t>
  </si>
  <si>
    <t>Bedfont Stoney Wall Housing Co-operative Limited</t>
  </si>
  <si>
    <t>Belgrave Street Housing Co-operative Limited</t>
  </si>
  <si>
    <t>Bexley United Charities</t>
  </si>
  <si>
    <t>Blue Square Residential Ltd</t>
  </si>
  <si>
    <t>Bow Housing Society Limited</t>
  </si>
  <si>
    <t>Brandrams Housing Co-operative Limited</t>
  </si>
  <si>
    <t>Brighton Buildings Housing Co-operative Limited</t>
  </si>
  <si>
    <t>Brixton Housing Co-operative Limited</t>
  </si>
  <si>
    <t>Caritas Anchor House</t>
  </si>
  <si>
    <t>Cedarmore Housing Association Limited</t>
  </si>
  <si>
    <t>Central and Cecil Housing Trust</t>
  </si>
  <si>
    <t>Centrepoint Soho</t>
  </si>
  <si>
    <t>Changing Lives Housing Trust</t>
  </si>
  <si>
    <t>Charlton Triangle Homes Limited</t>
  </si>
  <si>
    <t>Chippenham Housing Co-operative Limited</t>
  </si>
  <si>
    <t>Chislehurst and Sidcup Housing Association</t>
  </si>
  <si>
    <t>Chiswick Parochial Charities</t>
  </si>
  <si>
    <t>Christian Action (Enfield) Housing Association Limited</t>
  </si>
  <si>
    <t>Clissold Housing Co-operative Limited</t>
  </si>
  <si>
    <t>Craymill Housing Co-operative Limited</t>
  </si>
  <si>
    <t>Cromwood Housing Ltd</t>
  </si>
  <si>
    <t>Cross Lances Housing Co-operative Limited</t>
  </si>
  <si>
    <t>Croydon Churches Housing Association Limited</t>
  </si>
  <si>
    <t>Cyron Housing Co-operative Limited</t>
  </si>
  <si>
    <t>David Henry Waring Home</t>
  </si>
  <si>
    <t>Dawley Housing Co-operative Limited</t>
  </si>
  <si>
    <t>Dennetts Housing Co-operative Limited</t>
  </si>
  <si>
    <t>Dolphin Living Limited</t>
  </si>
  <si>
    <t>Dovepark Properties Limited</t>
  </si>
  <si>
    <t>East End Homes Limited</t>
  </si>
  <si>
    <t>Ebony Sistren Housing Association Limited</t>
  </si>
  <si>
    <t>Edward Henry House Co-operative Limited</t>
  </si>
  <si>
    <t>Ekarro Housing Co-operative Limited</t>
  </si>
  <si>
    <t>Ekaya Housing Association Limited</t>
  </si>
  <si>
    <t>Eldon Housing Association Limited</t>
  </si>
  <si>
    <t>Eleanor Palmer Trust</t>
  </si>
  <si>
    <t>Everbrook Housing Co-operative Limited</t>
  </si>
  <si>
    <t>Evolve Housing + Support</t>
  </si>
  <si>
    <t>Fairhazel Co-operative Limited</t>
  </si>
  <si>
    <t>First Wave Housing Limited</t>
  </si>
  <si>
    <t>Forest Housing Association Limited</t>
  </si>
  <si>
    <t>George Green's Almshouses</t>
  </si>
  <si>
    <t>Glebe Housing Association Limited</t>
  </si>
  <si>
    <t>Golding Homes Limited</t>
  </si>
  <si>
    <t>Grainger Trust Limited</t>
  </si>
  <si>
    <t>Grand Union Housing Co-operative Limited</t>
  </si>
  <si>
    <t>Great Wall Society Limited</t>
  </si>
  <si>
    <t>Green Dragon Lane Housing Co-operative Limited</t>
  </si>
  <si>
    <t>Greenwich Housing Society Limited</t>
  </si>
  <si>
    <t>Hackney Housing Co-operative Limited</t>
  </si>
  <si>
    <t>Hackney Parish Almshouses Charity</t>
  </si>
  <si>
    <t>Hammersmith United Charities</t>
  </si>
  <si>
    <t>Harefield Parochial Charities</t>
  </si>
  <si>
    <t>Harrison Housing</t>
  </si>
  <si>
    <t>Harrow Churches Housing Association</t>
  </si>
  <si>
    <t>Hazel Housing Co-operative Limited</t>
  </si>
  <si>
    <t>Heathview Tenants' Co-operative Limited</t>
  </si>
  <si>
    <t>Helen Peele Memorial Almshouses</t>
  </si>
  <si>
    <t>Hendon Christian Housing Association Limited</t>
  </si>
  <si>
    <t>Hexagon Housing Association Limited</t>
  </si>
  <si>
    <t>HFL Homes Limited</t>
  </si>
  <si>
    <t>Hibbert Almshouse Charity</t>
  </si>
  <si>
    <t>Hill Homes</t>
  </si>
  <si>
    <t>Hillside Housing Trust Limited</t>
  </si>
  <si>
    <t>Home from Home Housing Association Limited</t>
  </si>
  <si>
    <t>Homesdale (Woodford Baptist Homes) Limited</t>
  </si>
  <si>
    <t>Hopton's Charity</t>
  </si>
  <si>
    <t>Hornsey Housing Trust Limited</t>
  </si>
  <si>
    <t>Hour Glass Housing Co-operative Limited</t>
  </si>
  <si>
    <t>Housing For Women</t>
  </si>
  <si>
    <t>Housing Pathways Trust</t>
  </si>
  <si>
    <t>Hyde Southbank Homes Limited</t>
  </si>
  <si>
    <t>Hyelm</t>
  </si>
  <si>
    <t>Imani Housing Co-operative Limited</t>
  </si>
  <si>
    <t>Inquilab Housing Association Limited</t>
  </si>
  <si>
    <t>Isleworth and Hounslow Charity Limited</t>
  </si>
  <si>
    <t>Islington and Shoreditch Housing Association Limited</t>
  </si>
  <si>
    <t>Islington Community Housing Co-operative Limited</t>
  </si>
  <si>
    <t>Joel Emanuel Trust</t>
  </si>
  <si>
    <t>Kaleidoscope (Kingston) Housing Association Limited</t>
  </si>
  <si>
    <t>Karin Housing Association Limited</t>
  </si>
  <si>
    <t>Keniston Housing Association Limited</t>
  </si>
  <si>
    <t>Kingston upon Thames Churches Housing Association Limited</t>
  </si>
  <si>
    <t>Kinsman Housing Limited</t>
  </si>
  <si>
    <t>Kirkdale Housing Co-operative Limited</t>
  </si>
  <si>
    <t>Ladybur Housing Co-operative Limited</t>
  </si>
  <si>
    <t>Lambeth &amp; Southwark Housing Association Limited</t>
  </si>
  <si>
    <t>Lambeth Self Help Housing Association Limited</t>
  </si>
  <si>
    <t>Larcombe Housing Association Limited</t>
  </si>
  <si>
    <t>Lawrence Campe's Almshouse Trust</t>
  </si>
  <si>
    <t>Lewisham Family Co-operative Association Limited</t>
  </si>
  <si>
    <t>Leytonstone Housing Co-operative Limited</t>
  </si>
  <si>
    <t>London Cyrenians Housing Limited</t>
  </si>
  <si>
    <t>Longlife Housing Co-operative Limited</t>
  </si>
  <si>
    <t>Look Ahead Care and Support Limited</t>
  </si>
  <si>
    <t>Major Housing Association Limited</t>
  </si>
  <si>
    <t>May Day Permanent Housing Co-operative Limited</t>
  </si>
  <si>
    <t>Methodist Homes Housing Association Limited</t>
  </si>
  <si>
    <t>Millat Asian Housing Association Limited</t>
  </si>
  <si>
    <t>Miller Walk Housing Co-operative Limited</t>
  </si>
  <si>
    <t>Monmouth Road Housing Co-operative Limited</t>
  </si>
  <si>
    <t>Mount Green Housing Association Limited</t>
  </si>
  <si>
    <t>Mulberry Housing Co-operative Limited</t>
  </si>
  <si>
    <t>New Foundations Housing Association Limited</t>
  </si>
  <si>
    <t>New Swift Housing Co-operative Limited</t>
  </si>
  <si>
    <t>New Venture Housing Co-operative Limited</t>
  </si>
  <si>
    <t>New World Housing Association Limited</t>
  </si>
  <si>
    <t>North Camden Housing Co-operative Limited</t>
  </si>
  <si>
    <t>North London Muslim Housing Association Limited</t>
  </si>
  <si>
    <t>Notting Dale Housing Co-operative Limited</t>
  </si>
  <si>
    <t>Octavia Housing</t>
  </si>
  <si>
    <t>Odu-Dua Housing Association Limited</t>
  </si>
  <si>
    <t>Old Isleworth Housing Co-operative Limited</t>
  </si>
  <si>
    <t>Orchard Housing Society Limited</t>
  </si>
  <si>
    <t>Otto Schiff Housing Association</t>
  </si>
  <si>
    <t>Palm Housing Co-operative Limited</t>
  </si>
  <si>
    <t>Pan African Refugee Housing Co-operative Limited</t>
  </si>
  <si>
    <t>Park Hill Housing Co-operative Limited</t>
  </si>
  <si>
    <t>Pearman Street Co-operative Limited</t>
  </si>
  <si>
    <t>Penge Churches Housing Association Limited</t>
  </si>
  <si>
    <t>Penn and Widow Smith Almshouses</t>
  </si>
  <si>
    <t>Perryviews Housing Co-operative Limited</t>
  </si>
  <si>
    <t>Peter Bedford Housing Association Limited</t>
  </si>
  <si>
    <t>Phoenix Community Housing Association (Bellingham and Downham) Limited</t>
  </si>
  <si>
    <t>Phoenix Community Housing Co-operative Limited</t>
  </si>
  <si>
    <t>Phoenix House</t>
  </si>
  <si>
    <t>Pinner House Society Limited</t>
  </si>
  <si>
    <t>Polish Retired Persons Housing Association Limited</t>
  </si>
  <si>
    <t>Poplar Housing And Regeneration Community Association Limited</t>
  </si>
  <si>
    <t>Portman House</t>
  </si>
  <si>
    <t>Portobello Housing Co-operative Limited</t>
  </si>
  <si>
    <t>Providence Row Housing Association</t>
  </si>
  <si>
    <t>Quadrant-Brownswood Tenant Co-operative Limited</t>
  </si>
  <si>
    <t>Quo Vadis Trust</t>
  </si>
  <si>
    <t>Radcliffe Housing Society Limited</t>
  </si>
  <si>
    <t>Rapport Housing and Care</t>
  </si>
  <si>
    <t>Raven Housing Trust Limited</t>
  </si>
  <si>
    <t>Redwood Housing Co-operative Limited</t>
  </si>
  <si>
    <t>Richmond Avenue Housing Co-operative Limited</t>
  </si>
  <si>
    <t>Richmond Housing Partnership Limited</t>
  </si>
  <si>
    <t>Rosemary Simmons Memorial Housing Association Limited</t>
  </si>
  <si>
    <t>Rotherhithe Waterside Limited</t>
  </si>
  <si>
    <t>Seymour Street Homes Limited</t>
  </si>
  <si>
    <t>Shian Housing Association Limited</t>
  </si>
  <si>
    <t>Soho Housing Association Limited</t>
  </si>
  <si>
    <t>South Camden Housing Co-operative Limited</t>
  </si>
  <si>
    <t>South Mildmay Tenants Co-operative Limited</t>
  </si>
  <si>
    <t>Southern Home Ownership Limited</t>
  </si>
  <si>
    <t>Southward Housing Co-operative Limited</t>
  </si>
  <si>
    <t>Spitalfields Housing Association Limited</t>
  </si>
  <si>
    <t>St Christopher's Fellowship</t>
  </si>
  <si>
    <t>St George's Church Housing Co-operative Limited</t>
  </si>
  <si>
    <t>St Joseph's Almshouses</t>
  </si>
  <si>
    <t>St Martin of Tours Housing Association Limited</t>
  </si>
  <si>
    <t>Stroud Green Housing Co-operative Limited</t>
  </si>
  <si>
    <t>Sutton Housing Society Limited</t>
  </si>
  <si>
    <t>Swan Lane Housing Co-operative Limited</t>
  </si>
  <si>
    <t>Sydenham Housing Co-operative Limited</t>
  </si>
  <si>
    <t>TBG Open Door Limited</t>
  </si>
  <si>
    <t>Teachers' Housing Association Limited</t>
  </si>
  <si>
    <t>Thames Valley Housing Association Limited</t>
  </si>
  <si>
    <t>The Abbeyfield Deptford Society Limited</t>
  </si>
  <si>
    <t>The Abbeyfield Dulwich Society Limited</t>
  </si>
  <si>
    <t>The Abbeyfield London Polish Society Limited</t>
  </si>
  <si>
    <t>The Abbeyfield Sanderstead Society Limited</t>
  </si>
  <si>
    <t>The Abbeyfield Uxbridge Society Limited</t>
  </si>
  <si>
    <t>The Barnes Fund</t>
  </si>
  <si>
    <t>The Cinque Cottages</t>
  </si>
  <si>
    <t>The Drapers' Almshouse Charity</t>
  </si>
  <si>
    <t>The Finchley Charities</t>
  </si>
  <si>
    <t>The Hampton Parochial Charities</t>
  </si>
  <si>
    <t>The Merchant Taylors' Boone's Charity</t>
  </si>
  <si>
    <t>The New Cut Housing Co-operative Limited</t>
  </si>
  <si>
    <t>The Pathways Jubilee Charity</t>
  </si>
  <si>
    <t>The Skinners'  Almshouse Charity</t>
  </si>
  <si>
    <t>The Sons of Divine Providence</t>
  </si>
  <si>
    <t>The West Hackney Almshouse Charity</t>
  </si>
  <si>
    <t>Thrale Almshouse and Relief in Need Charity</t>
  </si>
  <si>
    <t>Tooting Bec Housing Co-operative Limited</t>
  </si>
  <si>
    <t>Tower Hamlets Community Housing</t>
  </si>
  <si>
    <t>Townshend Close Housing Co-operative Limited</t>
  </si>
  <si>
    <t>Transform Housing &amp; Support</t>
  </si>
  <si>
    <t>Trinity Homes</t>
  </si>
  <si>
    <t>Veterans Aid</t>
  </si>
  <si>
    <t>Vine Housing Co-operative Limited</t>
  </si>
  <si>
    <t>Walterton and Elgin Community Homes Limited</t>
  </si>
  <si>
    <t>Waltham Forest Housing Association Limited</t>
  </si>
  <si>
    <t>Wandle Housing Association Limited</t>
  </si>
  <si>
    <t>Water Tower Housing Co-operative Limited</t>
  </si>
  <si>
    <t>Watermans Housing Co-operative Limited</t>
  </si>
  <si>
    <t>WATMOS Community Homes</t>
  </si>
  <si>
    <t>Waverley (Eighth) Co-operative Housing Association Limited</t>
  </si>
  <si>
    <t>Weavers' Almshouse Charities</t>
  </si>
  <si>
    <t>Wellington Housing Co-operative Limited</t>
  </si>
  <si>
    <t>West Ham Non-Ecclesiastical Charity</t>
  </si>
  <si>
    <t>West Hampstead Housing Co-operative Limited</t>
  </si>
  <si>
    <t>West London YMCA</t>
  </si>
  <si>
    <t>Westlon Housing Association Limited</t>
  </si>
  <si>
    <t>Westminster Community Homes Limited</t>
  </si>
  <si>
    <t>Westway Housing Association Limited</t>
  </si>
  <si>
    <t>Whitworth Housing Co-operative Limited</t>
  </si>
  <si>
    <t>Willesden Green Housing Co-operative Limited</t>
  </si>
  <si>
    <t>Windsor Walk Housing Association Limited</t>
  </si>
  <si>
    <t>Winsor Housing Co-operative Limited</t>
  </si>
  <si>
    <t>Wollaston and Pauncefort Almshouse Charity</t>
  </si>
  <si>
    <t>Women's Pioneer Housing Limited</t>
  </si>
  <si>
    <t>Woodside Housing Co-operative Limited</t>
  </si>
  <si>
    <t>YMCA St Paul's Group</t>
  </si>
  <si>
    <t>YMCA Thames Gateway</t>
  </si>
  <si>
    <t>3CHA Ltd</t>
  </si>
  <si>
    <t>700 Club</t>
  </si>
  <si>
    <t>Adler Housing</t>
  </si>
  <si>
    <t>Aged Merchant Seamen's Homes</t>
  </si>
  <si>
    <t>Albion Housing Co-operative Limited</t>
  </si>
  <si>
    <t>Ath-Gray Housing Co-operative Limited</t>
  </si>
  <si>
    <t>Believe Housing Limited</t>
  </si>
  <si>
    <t>Ben-Motor &amp; Allied Trades Benevolent Fund</t>
  </si>
  <si>
    <t>Bernicia Group</t>
  </si>
  <si>
    <t>Beyond Housing Limited</t>
  </si>
  <si>
    <t>Bomarsund Housing Co-operative Limited</t>
  </si>
  <si>
    <t>Brandon Aged Persons Homes</t>
  </si>
  <si>
    <t>Broadacres Housing Association Limited</t>
  </si>
  <si>
    <t>Byker Community Trust Limited</t>
  </si>
  <si>
    <t>Castles &amp; Coasts Housing Association Limited</t>
  </si>
  <si>
    <t>Depaul Housing Services</t>
  </si>
  <si>
    <t>Durham Action on Single Housing Limited</t>
  </si>
  <si>
    <t>Durham Aged Mineworkers' Homes Association</t>
  </si>
  <si>
    <t>Falcon Housing Association C.I.C</t>
  </si>
  <si>
    <t>Falconar Street Housing Co-operative Limited</t>
  </si>
  <si>
    <t>Gentoo Group Limited</t>
  </si>
  <si>
    <t>Hellens Residential Limited</t>
  </si>
  <si>
    <t>Hirst Housing Co-operative Limited</t>
  </si>
  <si>
    <t>Hospital of St Mary The Virgin (Rye Hill &amp; Benwell)</t>
  </si>
  <si>
    <t>Humankind Charity</t>
  </si>
  <si>
    <t>IKE Supported Housing Limited</t>
  </si>
  <si>
    <t>Jacob Wright's Cottages</t>
  </si>
  <si>
    <t>Jane Cameron's Old Peoples Charity</t>
  </si>
  <si>
    <t>Jane Gibson Almshouses</t>
  </si>
  <si>
    <t>Joseph Rowntree Housing Trust</t>
  </si>
  <si>
    <t>Karbon Homes Limited</t>
  </si>
  <si>
    <t>Keelman Homes Limited</t>
  </si>
  <si>
    <t>Leazes Homes Limited</t>
  </si>
  <si>
    <t>Livin Housing Limited</t>
  </si>
  <si>
    <t>New Moves Housing Co-operative Limited</t>
  </si>
  <si>
    <t>New Walk Property Management CIC</t>
  </si>
  <si>
    <t>North Star Housing Group</t>
  </si>
  <si>
    <t>Oxfield Housing Co-operative Association Limited</t>
  </si>
  <si>
    <t>Peel Street Housing Co-operative Limited</t>
  </si>
  <si>
    <t>Railway Housing Association and Benefit Fund</t>
  </si>
  <si>
    <t>Red House Farm Housing Co-operative Limited</t>
  </si>
  <si>
    <t>Sherburn House Charity</t>
  </si>
  <si>
    <t>Sir E D Walker Homes</t>
  </si>
  <si>
    <t>Sir William Turner's Hospital</t>
  </si>
  <si>
    <t>South Tyneside Housing Ventures Trust Limited</t>
  </si>
  <si>
    <t>Square Building Trust Limited</t>
  </si>
  <si>
    <t>Sunderland Riverside Housing Co-operative Limited</t>
  </si>
  <si>
    <t>TCUK Homes Limited</t>
  </si>
  <si>
    <t>The Abbeyfield Berwick Society Limited</t>
  </si>
  <si>
    <t>The Glendale Gateway Trust</t>
  </si>
  <si>
    <t>The Hunter Memorial Homes Trust</t>
  </si>
  <si>
    <t>Thornholme Housing Co-operative Limited</t>
  </si>
  <si>
    <t>Tyne Housing Association Limited</t>
  </si>
  <si>
    <t>Tyne Mariners' Benevolent Institution</t>
  </si>
  <si>
    <t>Wearmouth Housing Co-operative Limited</t>
  </si>
  <si>
    <t>West End Housing Co-operative Limited</t>
  </si>
  <si>
    <t>William Russell Bequest</t>
  </si>
  <si>
    <t>YMCA North Tyneside</t>
  </si>
  <si>
    <t>AKSA Housing Association Limited</t>
  </si>
  <si>
    <t>Alpha (R.S.L.) Limited</t>
  </si>
  <si>
    <t>Alt Housing Co-operative Limited</t>
  </si>
  <si>
    <t>Arawak Walton Housing Association Limited</t>
  </si>
  <si>
    <t>Ashton Pioneer Homes Limited</t>
  </si>
  <si>
    <t>Aspire Housing Limited</t>
  </si>
  <si>
    <t>Assured Living Housing Association Limited</t>
  </si>
  <si>
    <t>Auxesia Homes Limited</t>
  </si>
  <si>
    <t>Beech Housing Association Limited</t>
  </si>
  <si>
    <t>Birkenhead Forum Housing Association Limited</t>
  </si>
  <si>
    <t>Blue Pits Housing Action</t>
  </si>
  <si>
    <t>Bolton at Home Limited</t>
  </si>
  <si>
    <t>Brownlow Hill Housing Co-operative Limited</t>
  </si>
  <si>
    <t>Calico Homes Limited</t>
  </si>
  <si>
    <t>Canning Housing Co-operative Limited</t>
  </si>
  <si>
    <t>Castle Housing Limited</t>
  </si>
  <si>
    <t>Cathedral Mansions Housing Co-operative Limited</t>
  </si>
  <si>
    <t>Charity of Marjorie Hurst</t>
  </si>
  <si>
    <t>Cherryfield Housing Co-operative Limited</t>
  </si>
  <si>
    <t>Chorley Community Housing Limited</t>
  </si>
  <si>
    <t>City Of Liverpool YMCA (Incorporated)</t>
  </si>
  <si>
    <t>Cobalt Housing Limited</t>
  </si>
  <si>
    <t>Colonel Slater Homes</t>
  </si>
  <si>
    <t>Commonplace Housing Co-operative Limited</t>
  </si>
  <si>
    <t>Community Gateway Association Limited</t>
  </si>
  <si>
    <t>Concept Housing Association CIC</t>
  </si>
  <si>
    <t>Co-op Schemes For The Elderly Ltd</t>
  </si>
  <si>
    <t>Corn and Yates Streets Housing Co-operative Ltd</t>
  </si>
  <si>
    <t>Croft Housing Association Limited</t>
  </si>
  <si>
    <t>Crosby Housing Association Limited</t>
  </si>
  <si>
    <t>Dingle Residents Co-operative Limited</t>
  </si>
  <si>
    <t>Eden Housing Association Limited</t>
  </si>
  <si>
    <t>Excel Housing Solutions</t>
  </si>
  <si>
    <t>Fairfield Moravian Housing Association Limited</t>
  </si>
  <si>
    <t>Family Housing Association (Birkenhead and Wirral) Limited</t>
  </si>
  <si>
    <t>Fence Trust</t>
  </si>
  <si>
    <t>First Choice Homes Oldham Limited</t>
  </si>
  <si>
    <t>ForHousing Limited</t>
  </si>
  <si>
    <t>Frontis Homes Limited</t>
  </si>
  <si>
    <t>Grafton Crescent Housing Co-operative Limited</t>
  </si>
  <si>
    <t>Halton Housing</t>
  </si>
  <si>
    <t>Hamlet Village Housing Co-operative Limited</t>
  </si>
  <si>
    <t>Harbour Light Assisted Living CIC</t>
  </si>
  <si>
    <t>Hesketh Street Housing Co-operative Limited</t>
  </si>
  <si>
    <t>Holt Road Area Housing Co-operative Limited</t>
  </si>
  <si>
    <t>Holyland Housing Co-Operative Limited</t>
  </si>
  <si>
    <t>Homes for Change Limited</t>
  </si>
  <si>
    <t>Honeycomb Group Limited</t>
  </si>
  <si>
    <t>Humphrey Booth Housing Charity</t>
  </si>
  <si>
    <t>Irwell Valley Housing Association Limited</t>
  </si>
  <si>
    <t>J &amp; M Residential Lettings Limited</t>
  </si>
  <si>
    <t>Jigsaw Homes Group Limited</t>
  </si>
  <si>
    <t>Joseph and Eleanor Gunson Almshouse Trust</t>
  </si>
  <si>
    <t>Kendal Almshouse Charity</t>
  </si>
  <si>
    <t>Kentish Homes Limited</t>
  </si>
  <si>
    <t>Knowsley Residents Housing Co-operative Limited</t>
  </si>
  <si>
    <t>Langrove Community Housing Co-operative Limited</t>
  </si>
  <si>
    <t>Lark Lane Housing Co-operative Limited</t>
  </si>
  <si>
    <t>Leasowe Community Homes Limited</t>
  </si>
  <si>
    <t>Leeds and Yorkshire Housing Association Limited</t>
  </si>
  <si>
    <t>Lightbown Cottage Home Trust</t>
  </si>
  <si>
    <t>Liverpool Gingerbread Housing Co-operative Limited</t>
  </si>
  <si>
    <t>Liverpool Jewish Housing Association Limited</t>
  </si>
  <si>
    <t>Livv Housing Group</t>
  </si>
  <si>
    <t>Lodge Lane East Co-operative Housing Limited</t>
  </si>
  <si>
    <t>Lune Valley Rural Housing Association Limited</t>
  </si>
  <si>
    <t>Lyvennet Community Trust</t>
  </si>
  <si>
    <t>Magenta Living</t>
  </si>
  <si>
    <t>Manchester Jewish Housing Association</t>
  </si>
  <si>
    <t>Manchester Unity Housing Association Limited</t>
  </si>
  <si>
    <t>Mary Hannah Almshouses</t>
  </si>
  <si>
    <t>Mitre Housing Association Limited</t>
  </si>
  <si>
    <t>Mosscare St. Vincent's Housing Group Limited</t>
  </si>
  <si>
    <t>New Longsight Housing Co-operative Limited</t>
  </si>
  <si>
    <t>Newleaf Housing Co-operative Limited</t>
  </si>
  <si>
    <t>One Manchester Limited</t>
  </si>
  <si>
    <t>One Vision Housing Limited</t>
  </si>
  <si>
    <t>Onward Homes Limited</t>
  </si>
  <si>
    <t>People First Housing Association Limited</t>
  </si>
  <si>
    <t>Peter Birtwistle Trust</t>
  </si>
  <si>
    <t>Pine Court Housing Association Limited</t>
  </si>
  <si>
    <t>Plus Dane Housing Limited</t>
  </si>
  <si>
    <t>Prince Albert Gardens Housing Co-operative Limited</t>
  </si>
  <si>
    <t>Project 34</t>
  </si>
  <si>
    <t>Redwing Living Limited</t>
  </si>
  <si>
    <t>Regenda Limited</t>
  </si>
  <si>
    <t>Rochdale Boroughwide Housing Limited</t>
  </si>
  <si>
    <t>Rusland Road Housing Co-operative Limited</t>
  </si>
  <si>
    <t>Salix Homes Limited</t>
  </si>
  <si>
    <t>Sensible Housing Co-operative Limited</t>
  </si>
  <si>
    <t>Shorefields Co-operative Limited</t>
  </si>
  <si>
    <t>Six Town Housing Limited</t>
  </si>
  <si>
    <t>South Cheshire Housing Society Limited</t>
  </si>
  <si>
    <t>South Lakes Housing</t>
  </si>
  <si>
    <t>South Liverpool Homes Limited</t>
  </si>
  <si>
    <t>Southdene Housing Co-operative Limited</t>
  </si>
  <si>
    <t>Southern Crescent Co-operative Limited</t>
  </si>
  <si>
    <t>Southway Housing Trust (Manchester) Limited</t>
  </si>
  <si>
    <t>Spotland and Falinge Housing Association Limited</t>
  </si>
  <si>
    <t>Springwood Housing Co-operative Limited</t>
  </si>
  <si>
    <t>Steve Biko Housing Association Limited</t>
  </si>
  <si>
    <t>Stockport Homes Limited</t>
  </si>
  <si>
    <t>The Abbeyfield Barrow-in- Furness Society Limited</t>
  </si>
  <si>
    <t>The Abbeyfield Bury Society Limited</t>
  </si>
  <si>
    <t>The Abbeyfield Ellesmere Port Society Limited</t>
  </si>
  <si>
    <t>The Abbeyfield Ribble Valley Society Limited</t>
  </si>
  <si>
    <t>The Abbeyfield Whitehaven Society Limited</t>
  </si>
  <si>
    <t>The Edward Mayes Trust</t>
  </si>
  <si>
    <t>The Jane Maddock Homes</t>
  </si>
  <si>
    <t>The Poynton-with-Worth Almshouse Charity</t>
  </si>
  <si>
    <t>Thirlmere Housing Co-operative Limited</t>
  </si>
  <si>
    <t>THT and L&amp;Q Community Limited</t>
  </si>
  <si>
    <t>Torus62 Limited</t>
  </si>
  <si>
    <t>Trafford Housing Trust Limited</t>
  </si>
  <si>
    <t>Waddington Hospital</t>
  </si>
  <si>
    <t>Warrington Housing Association Limited</t>
  </si>
  <si>
    <t>Weaver Vale Housing Trust Limited</t>
  </si>
  <si>
    <t>Weller Streets Housing Co-operative Limited</t>
  </si>
  <si>
    <t>Westfield Housing Association Limited</t>
  </si>
  <si>
    <t>Westvale Housing Co-operative Limited</t>
  </si>
  <si>
    <t>Wirral Methodist Housing Association Limited</t>
  </si>
  <si>
    <t>YMCA St Helens</t>
  </si>
  <si>
    <t>Yorkshire Housing Limited</t>
  </si>
  <si>
    <t>Zah Housing Co-operative Limited</t>
  </si>
  <si>
    <t>A2Dominion Housing Options Limited</t>
  </si>
  <si>
    <t>Abbeyfield South Downs Limited</t>
  </si>
  <si>
    <t>Abbeyfield Wey Valley Society Limited</t>
  </si>
  <si>
    <t>AccommodationYes Limited</t>
  </si>
  <si>
    <t>Agamemnon Housing Association Limited</t>
  </si>
  <si>
    <t>Allnutt Mill Housing Co-operative Limited</t>
  </si>
  <si>
    <t>Almshouse Charity of Elizabeth Smith</t>
  </si>
  <si>
    <t>Almshouses of Miss Anne Hopkins-Smith</t>
  </si>
  <si>
    <t>Anchor Property Holdings Limited</t>
  </si>
  <si>
    <t>Angiers Almshouse Charity</t>
  </si>
  <si>
    <t>Ashford Pavilion Housing Co-operative Limited</t>
  </si>
  <si>
    <t>Aster 3 Limited</t>
  </si>
  <si>
    <t>Barnwood Housing Co-operative Limited</t>
  </si>
  <si>
    <t>Becket Trust Housing Association Limited</t>
  </si>
  <si>
    <t>Benenden Almshouse Charities</t>
  </si>
  <si>
    <t>Blenheim Housing Co-operative Limited</t>
  </si>
  <si>
    <t>Boorman's Almshouses</t>
  </si>
  <si>
    <t>Bournemouth Churches Housing Association Limited</t>
  </si>
  <si>
    <t>Brighton and Hove Almshouse Charity</t>
  </si>
  <si>
    <t>Brighton and Hove Jewish Housing Association Limited</t>
  </si>
  <si>
    <t>Brighton Lions Housing Society Limited</t>
  </si>
  <si>
    <t>Brighton YMCA</t>
  </si>
  <si>
    <t>Buckinghamshire Housing Association Limited</t>
  </si>
  <si>
    <t>Charity of Julia Spicer for Almshouses</t>
  </si>
  <si>
    <t>Chichester Greyfriars Housing Association Limited</t>
  </si>
  <si>
    <t>Church Almshouses Charity</t>
  </si>
  <si>
    <t>Collins Memorial Trust</t>
  </si>
  <si>
    <t>Cottsway 2</t>
  </si>
  <si>
    <t>Cottsway Housing Association Limited</t>
  </si>
  <si>
    <t>Countess of Derby's Almshouse</t>
  </si>
  <si>
    <t>Darent Housing Co-operative Limited</t>
  </si>
  <si>
    <t>Dartford Almshouse Charity</t>
  </si>
  <si>
    <t>Delce Manor Housing Co-operative Limited</t>
  </si>
  <si>
    <t>Dorking Charity</t>
  </si>
  <si>
    <t>Dormer's Hospital Charity</t>
  </si>
  <si>
    <t>Drayton Parochial Charities</t>
  </si>
  <si>
    <t>Dunk's Almshouse Charity</t>
  </si>
  <si>
    <t>Elles Housing Co-operative Limited</t>
  </si>
  <si>
    <t>Elm Trees Retirement Living Limited</t>
  </si>
  <si>
    <t>Enham Trust</t>
  </si>
  <si>
    <t>Epsom and Ewell Housing Association Limited</t>
  </si>
  <si>
    <t>Fairplace Homes Ltd</t>
  </si>
  <si>
    <t>Fitzgerald Charity</t>
  </si>
  <si>
    <t>Five Villages Home Association Limited</t>
  </si>
  <si>
    <t>Franklands Village Housing Association Limited</t>
  </si>
  <si>
    <t>Franklyn Housing Co-operative Limited</t>
  </si>
  <si>
    <t>Golden Hill Housing Co-operative Limited</t>
  </si>
  <si>
    <t>Gravesend Churches Housing Association Limited</t>
  </si>
  <si>
    <t>Greenoak Housing Association Limited</t>
  </si>
  <si>
    <t>GreenSquare Group Limited</t>
  </si>
  <si>
    <t>Guild Care</t>
  </si>
  <si>
    <t>Guildford Sunset Homes</t>
  </si>
  <si>
    <t>Hamwic Housing Co-operative Limited</t>
  </si>
  <si>
    <t>Hassocks Housing Society Limited</t>
  </si>
  <si>
    <t>Hatton Housing Trust Limited</t>
  </si>
  <si>
    <t>Havant Housing Association Limited</t>
  </si>
  <si>
    <t>Henley and District Housing Trust Limited</t>
  </si>
  <si>
    <t>Henley YMCA</t>
  </si>
  <si>
    <t>Hewitt Homes</t>
  </si>
  <si>
    <t>Heyford Regeneration Limited</t>
  </si>
  <si>
    <t>Holtspur Housing Association Limited</t>
  </si>
  <si>
    <t>Holy Trinity (Guildford) Housing Association Ltd</t>
  </si>
  <si>
    <t>Island Cottages Limited</t>
  </si>
  <si>
    <t>James Bradford Almshouses Trust</t>
  </si>
  <si>
    <t>John Bowley and Sherwood Almshouses</t>
  </si>
  <si>
    <t>King George V Memorial Houses</t>
  </si>
  <si>
    <t>Kingsclere Almshouses Charity</t>
  </si>
  <si>
    <t>Littlehampton &amp; Rustington Housing Society Limited</t>
  </si>
  <si>
    <t>Loddon Homes Limited</t>
  </si>
  <si>
    <t>Louisa Cottages Charity</t>
  </si>
  <si>
    <t>Lynsted Housing Co-operative Limited</t>
  </si>
  <si>
    <t>Malins Affordable Homes Limited</t>
  </si>
  <si>
    <t>Martlet Homes Limited</t>
  </si>
  <si>
    <t>Milldale Housing Co-operative Limited</t>
  </si>
  <si>
    <t>Milton Keynes YMCA Limited</t>
  </si>
  <si>
    <t>Minster Housing Co-operative Limited</t>
  </si>
  <si>
    <t>Moat Farm Housing Co-operative Limited</t>
  </si>
  <si>
    <t>Northchapel, Petworth and Tillington Almshouses</t>
  </si>
  <si>
    <t>Oakapple Housing Co-operative Limited</t>
  </si>
  <si>
    <t>Oast Wood Housing Co-operative Limited</t>
  </si>
  <si>
    <t>Ockley Housing Association Limited</t>
  </si>
  <si>
    <t>Old Farm Park Housing Co-operative Limited</t>
  </si>
  <si>
    <t>Orts Road Housing Co-operative Limited</t>
  </si>
  <si>
    <t>Peace Cottages Charity</t>
  </si>
  <si>
    <t>Peacehaven and Telscombe Housing Association Ltd</t>
  </si>
  <si>
    <t>Pearson's &amp; St Elizabeth's Cottage Homes</t>
  </si>
  <si>
    <t>Pine Tree Housing Co-operative Limited</t>
  </si>
  <si>
    <t>Porthove Housing Association Limited</t>
  </si>
  <si>
    <t>Portsmouth Churches Housing Association Limited</t>
  </si>
  <si>
    <t>Portsmouth Rotary Housing Association Limited</t>
  </si>
  <si>
    <t>Puttenham &amp; Wanborough Housing Society Limited</t>
  </si>
  <si>
    <t>Reading YMCA</t>
  </si>
  <si>
    <t>Red Kite Community Housing Limited</t>
  </si>
  <si>
    <t>Resthaven Almshouses</t>
  </si>
  <si>
    <t>Rockdale Housing Association Limited</t>
  </si>
  <si>
    <t>Rogate and Terwick Housing Association Limited</t>
  </si>
  <si>
    <t>Rosebery Housing Association Limited</t>
  </si>
  <si>
    <t>Rosewood Housing Limited</t>
  </si>
  <si>
    <t>Rowland Hill and Vaughan Almshouse Charity</t>
  </si>
  <si>
    <t>Royal Air Forces Association Housing Limited</t>
  </si>
  <si>
    <t>Sackville College</t>
  </si>
  <si>
    <t>Saxon Weald</t>
  </si>
  <si>
    <t>Senacre Housing Co-operative Limited</t>
  </si>
  <si>
    <t>Sherborne Close Housing Society Limited</t>
  </si>
  <si>
    <t>Shorncliffe Housing Co-operative Limited</t>
  </si>
  <si>
    <t>Silva Homes Limited</t>
  </si>
  <si>
    <t>Sir Robert Geffery's Almshouse Trust</t>
  </si>
  <si>
    <t>Soha Housing Limited</t>
  </si>
  <si>
    <t>Southdown Housing Association Limited</t>
  </si>
  <si>
    <t>Southlands Almshouse Charity</t>
  </si>
  <si>
    <t>Southsea Self Help Housing Limited</t>
  </si>
  <si>
    <t>St Luke's Housing Society Limited</t>
  </si>
  <si>
    <t>Stewart's and Budgen's Almshouses</t>
  </si>
  <si>
    <t>Sussex Housing &amp; Care</t>
  </si>
  <si>
    <t>Sussex Overseas Housing Society Limited</t>
  </si>
  <si>
    <t>Thame and District Housing Association Limited</t>
  </si>
  <si>
    <t>Thames Ditton Homes Limited</t>
  </si>
  <si>
    <t>The Abbeyfield Alresford and District Society Ltd</t>
  </si>
  <si>
    <t>The Abbeyfield Chalfonts Society Limited</t>
  </si>
  <si>
    <t>The Abbeyfield Crowborough Society Limited</t>
  </si>
  <si>
    <t>The Abbeyfield Fareham Society Limited</t>
  </si>
  <si>
    <t>The Abbeyfield Gerrards Cross Society Limited</t>
  </si>
  <si>
    <t>The Abbeyfield Great Missenden &amp; District Society</t>
  </si>
  <si>
    <t>The Abbeyfield North Downs Society Limited</t>
  </si>
  <si>
    <t>The Abbeyfield Pirbright and District Society Ltd</t>
  </si>
  <si>
    <t>The Abbeyfield Shanklin Society Limited</t>
  </si>
  <si>
    <t>The Andover Charities</t>
  </si>
  <si>
    <t>The Charity of Mrs Mabel Luke</t>
  </si>
  <si>
    <t>The Fellowship Houses Trust</t>
  </si>
  <si>
    <t>The Grange Centre for People with Disabilities</t>
  </si>
  <si>
    <t>The Honywood and Douglas Charity</t>
  </si>
  <si>
    <t>The Hospital of the Holy Trinity Aylesford</t>
  </si>
  <si>
    <t>The Molyneux Almshouses</t>
  </si>
  <si>
    <t>The Society of St James</t>
  </si>
  <si>
    <t>Thorner's Homes</t>
  </si>
  <si>
    <t>Thorngate Churcher Trust</t>
  </si>
  <si>
    <t>Tonbridge United Charity</t>
  </si>
  <si>
    <t>Town and Country Housing</t>
  </si>
  <si>
    <t>TPHA Limited</t>
  </si>
  <si>
    <t>Two Saints Limited</t>
  </si>
  <si>
    <t>Vectis Housing Association Limited</t>
  </si>
  <si>
    <t>Walton-on-Thames Charity</t>
  </si>
  <si>
    <t>Wargrave-on-Thames Housing Association Limited</t>
  </si>
  <si>
    <t>Warwick Housing Co-operative Limited</t>
  </si>
  <si>
    <t>West Kent Housing Association</t>
  </si>
  <si>
    <t>Westlea Housing Association Limited</t>
  </si>
  <si>
    <t>Westree Road Housing Co-operative Limited</t>
  </si>
  <si>
    <t>Weybank Housing Co-operative Limited</t>
  </si>
  <si>
    <t>Wickham Community Land Trust</t>
  </si>
  <si>
    <t>Winchester Working Men's Housing Society Limited</t>
  </si>
  <si>
    <t>Woodley Sandford and Charvil Charitable Trust</t>
  </si>
  <si>
    <t>Worthing Homes Limited</t>
  </si>
  <si>
    <t>Yarlington Housing Group</t>
  </si>
  <si>
    <t>YMCA Downslink Group</t>
  </si>
  <si>
    <t>YMCA East Surrey</t>
  </si>
  <si>
    <t>YMCA Fairthorne Housing</t>
  </si>
  <si>
    <t>Abbeyfield Bristol and Keynsham Society</t>
  </si>
  <si>
    <t>Ashley Community &amp; Housing Ltd</t>
  </si>
  <si>
    <t>Beer Community Land Trust Limited</t>
  </si>
  <si>
    <t>Boscombe Rotary and Inner Wheel Housing Association Limited</t>
  </si>
  <si>
    <t>Bournemouth Young Men's Christian Association</t>
  </si>
  <si>
    <t>Bristol and Anchor Almshouse Charity</t>
  </si>
  <si>
    <t>Bristol CLT Limited</t>
  </si>
  <si>
    <t>Bristowe (Fair Rent) Housing Association Limited</t>
  </si>
  <si>
    <t>Brunelcare</t>
  </si>
  <si>
    <t>Charity of Alice Dale</t>
  </si>
  <si>
    <t>Cheltenham Borough Homes Limited</t>
  </si>
  <si>
    <t>Cheltenham Young Men's Christian Association</t>
  </si>
  <si>
    <t>Chubb, Whetstone and Napper's Almshouses</t>
  </si>
  <si>
    <t>Cirencester Housing Limited</t>
  </si>
  <si>
    <t>Citizen Housing Group Limited</t>
  </si>
  <si>
    <t>City of Exeter YMCA</t>
  </si>
  <si>
    <t>City of Wells Almshouses</t>
  </si>
  <si>
    <t>Coastline Housing Limited</t>
  </si>
  <si>
    <t>Cooke's Almshouse Charity</t>
  </si>
  <si>
    <t>Cornerstone Housing Limited</t>
  </si>
  <si>
    <t>Cornwall CLT Limited</t>
  </si>
  <si>
    <t>Cornwall Housing Limited</t>
  </si>
  <si>
    <t>Cornwall Rural Housing Association Limited</t>
  </si>
  <si>
    <t>Curo Group (Albion) Limited</t>
  </si>
  <si>
    <t>Curo Places Limited</t>
  </si>
  <si>
    <t>Danby Almshouse Charity</t>
  </si>
  <si>
    <t>Earle's Retreat</t>
  </si>
  <si>
    <t>East Boro Housing Trust Limited</t>
  </si>
  <si>
    <t>Elim Housing Association Limited</t>
  </si>
  <si>
    <t>Emily Brydges Willyams Memorial Houses</t>
  </si>
  <si>
    <t>Exeter Homes Trust</t>
  </si>
  <si>
    <t>Falcon Rural Housing Limited</t>
  </si>
  <si>
    <t>Ford Street and Maynard Almshouse Charity</t>
  </si>
  <si>
    <t>Fountain Housing Association Limited</t>
  </si>
  <si>
    <t>French Weir Affordable Homes LLP</t>
  </si>
  <si>
    <t>German Lutheran Housing Association Limited</t>
  </si>
  <si>
    <t>Gloucester City Homes Limited</t>
  </si>
  <si>
    <t>Gloucestershire Rural Housing Association Limited</t>
  </si>
  <si>
    <t>Guinness Care and Support Limited</t>
  </si>
  <si>
    <t>Guinness Housing Association Limited</t>
  </si>
  <si>
    <t>HARC Housing Association Limited</t>
  </si>
  <si>
    <t>Julian House</t>
  </si>
  <si>
    <t>King's Barton Housing Association Limited</t>
  </si>
  <si>
    <t>Locking Deanery Housing Society Limited</t>
  </si>
  <si>
    <t>Magna Housing Limited</t>
  </si>
  <si>
    <t>Marlborough &amp; District Housing Association Limited</t>
  </si>
  <si>
    <t>Marshfield Consolidated Charities</t>
  </si>
  <si>
    <t>Merlin Housing Society Limited</t>
  </si>
  <si>
    <t>Municipal &amp; Owen Carter Almshouse Charities</t>
  </si>
  <si>
    <t>Municipal Charities</t>
  </si>
  <si>
    <t>North Devon Homes</t>
  </si>
  <si>
    <t>NSAH (Alliance Homes) Limited</t>
  </si>
  <si>
    <t>Ocean Housing Limited</t>
  </si>
  <si>
    <t>Old Cleeve Memorial Cottages</t>
  </si>
  <si>
    <t>Orchard Homes</t>
  </si>
  <si>
    <t>Pivotal Housing Association</t>
  </si>
  <si>
    <t>Plymouth Charity Trust</t>
  </si>
  <si>
    <t>Plymouth Community Homes Limited</t>
  </si>
  <si>
    <t>Poole Old Peoples Welfare and Housing Society Limited</t>
  </si>
  <si>
    <t>Red Devon Housing Limited</t>
  </si>
  <si>
    <t>Roborough Community Property Association Limited</t>
  </si>
  <si>
    <t>Rooftop Housing Association Limited</t>
  </si>
  <si>
    <t>Salisbury City Almshouse and Welfare Charities</t>
  </si>
  <si>
    <t>Selwood Housing Society Limited</t>
  </si>
  <si>
    <t>SHAL Housing Limited</t>
  </si>
  <si>
    <t>Shepton Mallet United Charities</t>
  </si>
  <si>
    <t>Sidcot Friends Housing Society Limited</t>
  </si>
  <si>
    <t>Solon South West Housing Association Limited</t>
  </si>
  <si>
    <t>Somewhere Co-operative Housing Association Limited</t>
  </si>
  <si>
    <t>South Devon Rural Housing Association Limited</t>
  </si>
  <si>
    <t>South Western Housing Society Limited</t>
  </si>
  <si>
    <t>Sovereign Living Limited</t>
  </si>
  <si>
    <t>Stephen Hutchen's Charity Trust</t>
  </si>
  <si>
    <t>Sturts Community Trust</t>
  </si>
  <si>
    <t>Tamar Housing Society Limited</t>
  </si>
  <si>
    <t>Taunton Heritage Trust</t>
  </si>
  <si>
    <t>Teign Housing</t>
  </si>
  <si>
    <t>The Abbeyfield (Colyton) Society Limited</t>
  </si>
  <si>
    <t>The Abbeyfield (Wells) Society Limited</t>
  </si>
  <si>
    <t>The Abbeyfield (Weymouth) Society Limited</t>
  </si>
  <si>
    <t>The Abbeyfield Bradford-on-Avon Society Limited</t>
  </si>
  <si>
    <t>The Abbeyfield Buckland Monachorum Society Limited</t>
  </si>
  <si>
    <t>The Abbeyfield Gloucestershire Society Limited</t>
  </si>
  <si>
    <t>The Abbeyfield Holsworthy Society Limited</t>
  </si>
  <si>
    <t>The Abbeyfield Saltash Society Limited</t>
  </si>
  <si>
    <t>The Abbeyfield Sidmouth Society Limited</t>
  </si>
  <si>
    <t>The Abbeyfield South Molton Society Limited</t>
  </si>
  <si>
    <t>The Abbeyfield South West Society Limited</t>
  </si>
  <si>
    <t>The Abbeyfield Tavistock Society Limited</t>
  </si>
  <si>
    <t>The Abbeyfield Tiverton Society Limited</t>
  </si>
  <si>
    <t>The Bampfylde Almshouse Charity</t>
  </si>
  <si>
    <t>The Blue House</t>
  </si>
  <si>
    <t>The Duchess of Somerset's Hospital</t>
  </si>
  <si>
    <t>The Flood Charity</t>
  </si>
  <si>
    <t>The Gloucester Charities Trust</t>
  </si>
  <si>
    <t>The Margaret Jane Ashley Almshouse Charity</t>
  </si>
  <si>
    <t>The Reverend Rowland Hill Almshouse Charity</t>
  </si>
  <si>
    <t>The Society of Merchant Venturers' Almshouse Charity</t>
  </si>
  <si>
    <t>Tiverton Almshouse Trust</t>
  </si>
  <si>
    <t>Tregonwell Almshouse Trust</t>
  </si>
  <si>
    <t>Two Rivers Housing</t>
  </si>
  <si>
    <t>UCCLT Housing Ltd</t>
  </si>
  <si>
    <t>West of England Friends Housing Society Limited</t>
  </si>
  <si>
    <t>Westward Housing Group Limited</t>
  </si>
  <si>
    <t>White Horse Housing Association Limited</t>
  </si>
  <si>
    <t>Wyedean Housing Association Limited</t>
  </si>
  <si>
    <t>YMCA Brunel Group</t>
  </si>
  <si>
    <t>20-20 Housing Co-operative Limited</t>
  </si>
  <si>
    <t>Alpha Housing Co-operative Limited</t>
  </si>
  <si>
    <t>Ascent Housing LLP</t>
  </si>
  <si>
    <t>Balsall Heath Housing Co-operative Limited</t>
  </si>
  <si>
    <t>Birmingham Civic Housing Association Limited</t>
  </si>
  <si>
    <t>Birmingham Jewish Housing Association Limited</t>
  </si>
  <si>
    <t>Black Country Housing Group Limited</t>
  </si>
  <si>
    <t>Bordesley Green Housing Co-operative Limited</t>
  </si>
  <si>
    <t>Bournville Village Trust</t>
  </si>
  <si>
    <t>Bournville Works Housing Society Limited</t>
  </si>
  <si>
    <t>Brighter Futures Housing Association Limited</t>
  </si>
  <si>
    <t>Broadening Choices for Older People</t>
  </si>
  <si>
    <t>Bromsgrove District Housing Trust Limited</t>
  </si>
  <si>
    <t>Bromsgrove United Charities</t>
  </si>
  <si>
    <t>Butlin and Elborow Housing Trust</t>
  </si>
  <si>
    <t>Charity of Mrs Catherine Walker</t>
  </si>
  <si>
    <t>Choices Housing Association Limited</t>
  </si>
  <si>
    <t>Claverdon Benefice Housing Association Limited</t>
  </si>
  <si>
    <t xml:space="preserve">Clifton Parish Houses </t>
  </si>
  <si>
    <t>Condlyffe Charity</t>
  </si>
  <si>
    <t>Cornfield Housing Society Limited</t>
  </si>
  <si>
    <t>Coventry &amp; Warwickshire YMCA</t>
  </si>
  <si>
    <t>Coventry Church (Municipal) Charities</t>
  </si>
  <si>
    <t>Elizabeth Dowell's Trust</t>
  </si>
  <si>
    <t>Empowering People Inspiring Communities Limited</t>
  </si>
  <si>
    <t>Expectations (UK)</t>
  </si>
  <si>
    <t>Glover's Trust Endowed Fund</t>
  </si>
  <si>
    <t>Harpers Marsh and Crumps Almshouse Charity</t>
  </si>
  <si>
    <t>Hawes Street Housing Limited</t>
  </si>
  <si>
    <t>Heart of England Young Men's Christian Association</t>
  </si>
  <si>
    <t>Heartsease House Community Interest Company</t>
  </si>
  <si>
    <t>Hibiscus Housing Association Limited</t>
  </si>
  <si>
    <t>Holmwood Tenants Co-operative Limited</t>
  </si>
  <si>
    <t>Lench's Trust</t>
  </si>
  <si>
    <t>Lyng Community Association</t>
  </si>
  <si>
    <t>Margaret Colquhoun Chavasse Almshouses</t>
  </si>
  <si>
    <t>Nehemiah United Churches Housing Association Limited</t>
  </si>
  <si>
    <t>New Outlook Housing Association Limited</t>
  </si>
  <si>
    <t>Paddock Housing Co-operative Limited</t>
  </si>
  <si>
    <t>Platform Housing Group Limited</t>
  </si>
  <si>
    <t>Rayner House and Yew Trees Limited</t>
  </si>
  <si>
    <t>Reliance Social Housing C.I.C</t>
  </si>
  <si>
    <t>Sambourne Trust</t>
  </si>
  <si>
    <t>Sandwell Homeless and Resettlement Project Limited</t>
  </si>
  <si>
    <t>Severnside Housing</t>
  </si>
  <si>
    <t>Shahjalal Housing Co-operative Limited</t>
  </si>
  <si>
    <t>Shrewsbury Drapers Company Charity</t>
  </si>
  <si>
    <t>Shropshire Association for Supported Housing Limited</t>
  </si>
  <si>
    <t>Shropshire Rural Housing Association Limited</t>
  </si>
  <si>
    <t>Sir Josiah Mason's Almshouse Charity</t>
  </si>
  <si>
    <t>Siward James and Arkwright Trust Charity</t>
  </si>
  <si>
    <t>Small Heath Park Housing Co-operative Limited</t>
  </si>
  <si>
    <t>Solihull Care Housing Association Limited</t>
  </si>
  <si>
    <t>South Road Housing Co-operative Limited</t>
  </si>
  <si>
    <t>St Anne's Hostel</t>
  </si>
  <si>
    <t>St Basil's</t>
  </si>
  <si>
    <t>St Peter's Saltley Housing Association Limited</t>
  </si>
  <si>
    <t>Starley Housing Co-operative Limited</t>
  </si>
  <si>
    <t>Stoke-on-Trent Housing Society Limited</t>
  </si>
  <si>
    <t>Tamworth Cornerstone Housing Association Limited</t>
  </si>
  <si>
    <t>The Abbeyfield Worcester and Hereford Society Limited</t>
  </si>
  <si>
    <t>The Ash Homes</t>
  </si>
  <si>
    <t>The Berrow Cottage Homes</t>
  </si>
  <si>
    <t>The Birch, Samson and Littleton United Charities</t>
  </si>
  <si>
    <t>The Community Housing Group Limited</t>
  </si>
  <si>
    <t>The Harborne Parish Lands Charity</t>
  </si>
  <si>
    <t>The James Charities</t>
  </si>
  <si>
    <t>The Municipal Charities of Stratford-upon-Avon</t>
  </si>
  <si>
    <t>The Pioneer Housing and Community Group Limited</t>
  </si>
  <si>
    <t>The Wrekin Housing Group Limited</t>
  </si>
  <si>
    <t>Triangle Housing Co-operative Limited</t>
  </si>
  <si>
    <t>Trinity Hospital at Clun</t>
  </si>
  <si>
    <t>Victoria Tenants Co-operative Limited</t>
  </si>
  <si>
    <t>Walsall Housing Group Limited</t>
  </si>
  <si>
    <t>Warwickshire Rural Housing Association Limited</t>
  </si>
  <si>
    <t>Whitehead Almshouses</t>
  </si>
  <si>
    <t>Worcester Municipal Charities CIO</t>
  </si>
  <si>
    <t>Worcestershire YMCA Limited</t>
  </si>
  <si>
    <t>Yardley Great Trust</t>
  </si>
  <si>
    <t>YMCA Black Country Group</t>
  </si>
  <si>
    <t>Abbeyfield The Dales Limited</t>
  </si>
  <si>
    <t>Almshouse Charity of Hannah Rawson</t>
  </si>
  <si>
    <t>Bradford Cyrenians Limited</t>
  </si>
  <si>
    <t>Bridge-It Housing UK Team Ltd</t>
  </si>
  <si>
    <t>Calder Valley Community Land Trust Limited</t>
  </si>
  <si>
    <t>Charity Of Elizabeth Wadsworth</t>
  </si>
  <si>
    <t>Chartford Housing Limited</t>
  </si>
  <si>
    <t>Colton's Hospital</t>
  </si>
  <si>
    <t>Connect Housing Association Limited</t>
  </si>
  <si>
    <t>Cooke Almshouse Charity</t>
  </si>
  <si>
    <t>Doncaster Young Men's Christian Association</t>
  </si>
  <si>
    <t>Emily Bentley Homes</t>
  </si>
  <si>
    <t>Foundation</t>
  </si>
  <si>
    <t>Frank Crossley's Almshouses</t>
  </si>
  <si>
    <t>George Newton Housing Trust</t>
  </si>
  <si>
    <t>Goodwin Development Trust</t>
  </si>
  <si>
    <t>Grantham's Almshouses</t>
  </si>
  <si>
    <t>Grimsby,Cleethorpes and Humber Region Y.M.C.A.</t>
  </si>
  <si>
    <t>Harrogate Flower Fund Homes Limited</t>
  </si>
  <si>
    <t>Harrogate Housing Association Limited</t>
  </si>
  <si>
    <t>Harrogate Neighbours Housing Association Limited</t>
  </si>
  <si>
    <t>Highstone Housing Association Limited</t>
  </si>
  <si>
    <t>Hull and East Yorkshire Mind</t>
  </si>
  <si>
    <t>Hull Churches Housing Association Limited</t>
  </si>
  <si>
    <t>Hull House Improvement Society Limited</t>
  </si>
  <si>
    <t>Hull Resettlement Project Limited</t>
  </si>
  <si>
    <t>Hull United Charities</t>
  </si>
  <si>
    <t>Incommunities Limited</t>
  </si>
  <si>
    <t>John Pease Cottages</t>
  </si>
  <si>
    <t>Joseph Crossley's Almshouses</t>
  </si>
  <si>
    <t>Kirklees Housing Association Limited</t>
  </si>
  <si>
    <t>Lady Lumley's Almshouses</t>
  </si>
  <si>
    <t>Leeds Jewish Housing Association Limited</t>
  </si>
  <si>
    <t>Manningham Housing Association Limited</t>
  </si>
  <si>
    <t>Marsden Memorial Homes</t>
  </si>
  <si>
    <t>Padley Housing Association Limited</t>
  </si>
  <si>
    <t>Pickering and Ferens Homes</t>
  </si>
  <si>
    <t>Pinnacle Spaces Limited</t>
  </si>
  <si>
    <t>Ripon YMCA</t>
  </si>
  <si>
    <t>Roger's Almshouses</t>
  </si>
  <si>
    <t>St Andrew Housing Co-operative Limited</t>
  </si>
  <si>
    <t>Tangram Housing Co-operative Limited</t>
  </si>
  <si>
    <t>Target Housing Limited</t>
  </si>
  <si>
    <t>The Abbeyfield (Ripon and District) Society Ltd</t>
  </si>
  <si>
    <t>The Abbeyfield Thirsk &amp; Sowerby Society Limited</t>
  </si>
  <si>
    <t>The Abbeyfield York Society Limited</t>
  </si>
  <si>
    <t>The Charlesworth Charity</t>
  </si>
  <si>
    <t>The Harcourt Almshouse Charities</t>
  </si>
  <si>
    <t>The Hospital of Reverend William James</t>
  </si>
  <si>
    <t>The Hospital of St Thomas the Apostle in Doncaster</t>
  </si>
  <si>
    <t>The Robert Salter Charity</t>
  </si>
  <si>
    <t>The Walker Barstow Homes</t>
  </si>
  <si>
    <t>Unity Housing Association Limited</t>
  </si>
  <si>
    <t>Wakefield And District Housing Limited</t>
  </si>
  <si>
    <t>Wakefield Charities' Homes</t>
  </si>
  <si>
    <t>Whitby Merchant Seamen's Hospital Houses</t>
  </si>
  <si>
    <t>Winner Trading Limited</t>
  </si>
  <si>
    <t>York Housing Association Limited</t>
  </si>
  <si>
    <t>Yorkshire Ladies Council (Hostels) Limited</t>
  </si>
  <si>
    <t>RP_Code</t>
  </si>
  <si>
    <t>RP_Name</t>
  </si>
  <si>
    <t>No. LAs RP operates in</t>
  </si>
  <si>
    <t>Lookup for filters</t>
  </si>
  <si>
    <t>4568</t>
  </si>
  <si>
    <t>4569</t>
  </si>
  <si>
    <t>4570</t>
  </si>
  <si>
    <t>4572</t>
  </si>
  <si>
    <t>4576</t>
  </si>
  <si>
    <t>4582</t>
  </si>
  <si>
    <t>4584</t>
  </si>
  <si>
    <t>4607</t>
  </si>
  <si>
    <t>4608</t>
  </si>
  <si>
    <t>4609</t>
  </si>
  <si>
    <t>4612</t>
  </si>
  <si>
    <t>4619</t>
  </si>
  <si>
    <t>4630</t>
  </si>
  <si>
    <t>4633</t>
  </si>
  <si>
    <t>4634</t>
  </si>
  <si>
    <t>4635</t>
  </si>
  <si>
    <t>4636</t>
  </si>
  <si>
    <t>4637</t>
  </si>
  <si>
    <t>4638</t>
  </si>
  <si>
    <t>4639</t>
  </si>
  <si>
    <t>4640</t>
  </si>
  <si>
    <t>4641</t>
  </si>
  <si>
    <t>4644</t>
  </si>
  <si>
    <t>4645</t>
  </si>
  <si>
    <t>4647</t>
  </si>
  <si>
    <t>4648</t>
  </si>
  <si>
    <t>4651</t>
  </si>
  <si>
    <t>4653</t>
  </si>
  <si>
    <t>4658</t>
  </si>
  <si>
    <t>4659</t>
  </si>
  <si>
    <t>4660</t>
  </si>
  <si>
    <t>4661</t>
  </si>
  <si>
    <t>4662</t>
  </si>
  <si>
    <t>4663</t>
  </si>
  <si>
    <t>4666</t>
  </si>
  <si>
    <t>4668</t>
  </si>
  <si>
    <t>4670</t>
  </si>
  <si>
    <t>4671</t>
  </si>
  <si>
    <t>4672</t>
  </si>
  <si>
    <t>4675</t>
  </si>
  <si>
    <t>4676</t>
  </si>
  <si>
    <t>4677</t>
  </si>
  <si>
    <t>4679</t>
  </si>
  <si>
    <t>4680</t>
  </si>
  <si>
    <t>4682</t>
  </si>
  <si>
    <t>4683</t>
  </si>
  <si>
    <t>4684</t>
  </si>
  <si>
    <t>4686</t>
  </si>
  <si>
    <t>4687</t>
  </si>
  <si>
    <t>4688</t>
  </si>
  <si>
    <t>4689</t>
  </si>
  <si>
    <t>4690</t>
  </si>
  <si>
    <t>4691</t>
  </si>
  <si>
    <t>4692</t>
  </si>
  <si>
    <t>4693</t>
  </si>
  <si>
    <t>4695</t>
  </si>
  <si>
    <t>4696</t>
  </si>
  <si>
    <t>4700</t>
  </si>
  <si>
    <t>4702</t>
  </si>
  <si>
    <t>4703</t>
  </si>
  <si>
    <t>4706</t>
  </si>
  <si>
    <t>4707</t>
  </si>
  <si>
    <t>4709</t>
  </si>
  <si>
    <t>4712</t>
  </si>
  <si>
    <t>4713</t>
  </si>
  <si>
    <t>4714</t>
  </si>
  <si>
    <t>4715</t>
  </si>
  <si>
    <t>4716</t>
  </si>
  <si>
    <t>4717</t>
  </si>
  <si>
    <t>4718</t>
  </si>
  <si>
    <t>4719</t>
  </si>
  <si>
    <t>4720</t>
  </si>
  <si>
    <t>4722</t>
  </si>
  <si>
    <t>4724</t>
  </si>
  <si>
    <t>4725</t>
  </si>
  <si>
    <t>4726</t>
  </si>
  <si>
    <t>4727</t>
  </si>
  <si>
    <t>4728</t>
  </si>
  <si>
    <t>4729</t>
  </si>
  <si>
    <t>4730</t>
  </si>
  <si>
    <t>4731</t>
  </si>
  <si>
    <t>4733</t>
  </si>
  <si>
    <t>4735</t>
  </si>
  <si>
    <t>4736</t>
  </si>
  <si>
    <t>4737</t>
  </si>
  <si>
    <t>4738</t>
  </si>
  <si>
    <t>4739</t>
  </si>
  <si>
    <t>4741</t>
  </si>
  <si>
    <t>4742</t>
  </si>
  <si>
    <t>4743</t>
  </si>
  <si>
    <t>4744</t>
  </si>
  <si>
    <t>4745</t>
  </si>
  <si>
    <t>4747</t>
  </si>
  <si>
    <t>4749</t>
  </si>
  <si>
    <t>4751</t>
  </si>
  <si>
    <t>4756</t>
  </si>
  <si>
    <t>4757</t>
  </si>
  <si>
    <t>4758</t>
  </si>
  <si>
    <t>4760</t>
  </si>
  <si>
    <t>4762</t>
  </si>
  <si>
    <t>4763</t>
  </si>
  <si>
    <t>4764</t>
  </si>
  <si>
    <t>4765</t>
  </si>
  <si>
    <t>4766</t>
  </si>
  <si>
    <t>4767</t>
  </si>
  <si>
    <t>4768</t>
  </si>
  <si>
    <t>4769</t>
  </si>
  <si>
    <t>4770</t>
  </si>
  <si>
    <t>4771</t>
  </si>
  <si>
    <t>4772</t>
  </si>
  <si>
    <t>4773</t>
  </si>
  <si>
    <t>4774</t>
  </si>
  <si>
    <t>4775</t>
  </si>
  <si>
    <t>4776</t>
  </si>
  <si>
    <t>4777</t>
  </si>
  <si>
    <t>4778</t>
  </si>
  <si>
    <t>4779</t>
  </si>
  <si>
    <t>4780</t>
  </si>
  <si>
    <t>4781</t>
  </si>
  <si>
    <t>4783</t>
  </si>
  <si>
    <t>4784</t>
  </si>
  <si>
    <t>4785</t>
  </si>
  <si>
    <t>4786</t>
  </si>
  <si>
    <t>4787</t>
  </si>
  <si>
    <t>4788</t>
  </si>
  <si>
    <t>4789</t>
  </si>
  <si>
    <t>4790</t>
  </si>
  <si>
    <t>4791</t>
  </si>
  <si>
    <t>4792</t>
  </si>
  <si>
    <t>4793</t>
  </si>
  <si>
    <t>4794</t>
  </si>
  <si>
    <t>4795</t>
  </si>
  <si>
    <t>4796</t>
  </si>
  <si>
    <t>4797</t>
  </si>
  <si>
    <t>4799</t>
  </si>
  <si>
    <t>4800</t>
  </si>
  <si>
    <t>4801</t>
  </si>
  <si>
    <t>4803</t>
  </si>
  <si>
    <t>4804</t>
  </si>
  <si>
    <t>4807</t>
  </si>
  <si>
    <t>4808</t>
  </si>
  <si>
    <t>4809</t>
  </si>
  <si>
    <t>4810</t>
  </si>
  <si>
    <t>4811</t>
  </si>
  <si>
    <t>4812</t>
  </si>
  <si>
    <t>4813</t>
  </si>
  <si>
    <t>4814</t>
  </si>
  <si>
    <t>4815</t>
  </si>
  <si>
    <t>4817</t>
  </si>
  <si>
    <t>4819</t>
  </si>
  <si>
    <t>4821</t>
  </si>
  <si>
    <t>4822</t>
  </si>
  <si>
    <t>4823</t>
  </si>
  <si>
    <t>4824</t>
  </si>
  <si>
    <t>4825</t>
  </si>
  <si>
    <t>4826</t>
  </si>
  <si>
    <t>4827</t>
  </si>
  <si>
    <t>4828</t>
  </si>
  <si>
    <t>4829</t>
  </si>
  <si>
    <t>4830</t>
  </si>
  <si>
    <t>4833</t>
  </si>
  <si>
    <t>4837</t>
  </si>
  <si>
    <t>4838</t>
  </si>
  <si>
    <t>4839</t>
  </si>
  <si>
    <t>4840</t>
  </si>
  <si>
    <t>4841</t>
  </si>
  <si>
    <t>4843</t>
  </si>
  <si>
    <t>4844</t>
  </si>
  <si>
    <t>4846</t>
  </si>
  <si>
    <t>4847</t>
  </si>
  <si>
    <t>4848</t>
  </si>
  <si>
    <t>4849</t>
  </si>
  <si>
    <t>4850</t>
  </si>
  <si>
    <t>4851</t>
  </si>
  <si>
    <t>4852</t>
  </si>
  <si>
    <t>4853</t>
  </si>
  <si>
    <t>4854</t>
  </si>
  <si>
    <t>4855</t>
  </si>
  <si>
    <t>4856</t>
  </si>
  <si>
    <t>4857</t>
  </si>
  <si>
    <t>4858</t>
  </si>
  <si>
    <t>4859</t>
  </si>
  <si>
    <t>4860</t>
  </si>
  <si>
    <t>4861</t>
  </si>
  <si>
    <t>4862</t>
  </si>
  <si>
    <t>4863</t>
  </si>
  <si>
    <t>4864</t>
  </si>
  <si>
    <t>4865</t>
  </si>
  <si>
    <t>4866</t>
  </si>
  <si>
    <t>4867</t>
  </si>
  <si>
    <t>4868</t>
  </si>
  <si>
    <t>4869</t>
  </si>
  <si>
    <t>4870</t>
  </si>
  <si>
    <t>4871</t>
  </si>
  <si>
    <t>4872</t>
  </si>
  <si>
    <t>4873</t>
  </si>
  <si>
    <t>4875</t>
  </si>
  <si>
    <t>4876</t>
  </si>
  <si>
    <t>4877</t>
  </si>
  <si>
    <t>4878</t>
  </si>
  <si>
    <t>4880</t>
  </si>
  <si>
    <t>4881</t>
  </si>
  <si>
    <t>5050</t>
  </si>
  <si>
    <t>5051</t>
  </si>
  <si>
    <t>5052</t>
  </si>
  <si>
    <t>5054</t>
  </si>
  <si>
    <t>5055</t>
  </si>
  <si>
    <t>5056</t>
  </si>
  <si>
    <t>5057</t>
  </si>
  <si>
    <t>5058</t>
  </si>
  <si>
    <t>5059</t>
  </si>
  <si>
    <t>5060</t>
  </si>
  <si>
    <t>5061</t>
  </si>
  <si>
    <t>5062</t>
  </si>
  <si>
    <t>5064</t>
  </si>
  <si>
    <t>5065</t>
  </si>
  <si>
    <t>5066</t>
  </si>
  <si>
    <t>5071</t>
  </si>
  <si>
    <t>5073</t>
  </si>
  <si>
    <t>5075</t>
  </si>
  <si>
    <t>5079</t>
  </si>
  <si>
    <t>5084</t>
  </si>
  <si>
    <t>5086</t>
  </si>
  <si>
    <t>5087</t>
  </si>
  <si>
    <t>5088</t>
  </si>
  <si>
    <t>5089</t>
  </si>
  <si>
    <t>5090</t>
  </si>
  <si>
    <t>A0056</t>
  </si>
  <si>
    <t>A0069</t>
  </si>
  <si>
    <t>A0072</t>
  </si>
  <si>
    <t>A0132</t>
  </si>
  <si>
    <t>A0157</t>
  </si>
  <si>
    <t>A0163</t>
  </si>
  <si>
    <t>A0185</t>
  </si>
  <si>
    <t>A0192</t>
  </si>
  <si>
    <t>A0208</t>
  </si>
  <si>
    <t>A0211</t>
  </si>
  <si>
    <t>A0215</t>
  </si>
  <si>
    <t>A0230</t>
  </si>
  <si>
    <t>A0261</t>
  </si>
  <si>
    <t>A0318</t>
  </si>
  <si>
    <t>A0333</t>
  </si>
  <si>
    <t>A0376</t>
  </si>
  <si>
    <t>A0379</t>
  </si>
  <si>
    <t>A0458</t>
  </si>
  <si>
    <t>A0473</t>
  </si>
  <si>
    <t>A0482</t>
  </si>
  <si>
    <t>A0485</t>
  </si>
  <si>
    <t>A0486</t>
  </si>
  <si>
    <t>A0513</t>
  </si>
  <si>
    <t>A0534</t>
  </si>
  <si>
    <t>A0544</t>
  </si>
  <si>
    <t>A0564</t>
  </si>
  <si>
    <t>A0565</t>
  </si>
  <si>
    <t>A0567</t>
  </si>
  <si>
    <t>A0581</t>
  </si>
  <si>
    <t>A0592</t>
  </si>
  <si>
    <t>A0600</t>
  </si>
  <si>
    <t>A0605</t>
  </si>
  <si>
    <t>A0611</t>
  </si>
  <si>
    <t>A0627</t>
  </si>
  <si>
    <t>A0629</t>
  </si>
  <si>
    <t>A0648</t>
  </si>
  <si>
    <t>A0656</t>
  </si>
  <si>
    <t>A0736</t>
  </si>
  <si>
    <t>A0746</t>
  </si>
  <si>
    <t>A0752</t>
  </si>
  <si>
    <t>A0798</t>
  </si>
  <si>
    <t>A0809</t>
  </si>
  <si>
    <t>A0821</t>
  </si>
  <si>
    <t>A0846</t>
  </si>
  <si>
    <t>A1048</t>
  </si>
  <si>
    <t>A1055</t>
  </si>
  <si>
    <t>A1056</t>
  </si>
  <si>
    <t>A1063</t>
  </si>
  <si>
    <t>A1067</t>
  </si>
  <si>
    <t>A1068</t>
  </si>
  <si>
    <t>A1070</t>
  </si>
  <si>
    <t>A1071</t>
  </si>
  <si>
    <t>A1072</t>
  </si>
  <si>
    <t>A1157</t>
  </si>
  <si>
    <t>A1160</t>
  </si>
  <si>
    <t>A1168</t>
  </si>
  <si>
    <t>A1254</t>
  </si>
  <si>
    <t>A1273</t>
  </si>
  <si>
    <t>A1274</t>
  </si>
  <si>
    <t>A1276</t>
  </si>
  <si>
    <t>A1286</t>
  </si>
  <si>
    <t>A1325</t>
  </si>
  <si>
    <t>A1328</t>
  </si>
  <si>
    <t>A1329</t>
  </si>
  <si>
    <t>A1348</t>
  </si>
  <si>
    <t>A1442</t>
  </si>
  <si>
    <t>A1464</t>
  </si>
  <si>
    <t>A1482</t>
  </si>
  <si>
    <t>A1614</t>
  </si>
  <si>
    <t>A1632</t>
  </si>
  <si>
    <t>A1789</t>
  </si>
  <si>
    <t>A1843</t>
  </si>
  <si>
    <t>A1855</t>
  </si>
  <si>
    <t>A1892</t>
  </si>
  <si>
    <t>A1920</t>
  </si>
  <si>
    <t>A1921</t>
  </si>
  <si>
    <t>A2064</t>
  </si>
  <si>
    <t>A2070</t>
  </si>
  <si>
    <t>A2071</t>
  </si>
  <si>
    <t>A2072</t>
  </si>
  <si>
    <t>A2074</t>
  </si>
  <si>
    <t>A2079</t>
  </si>
  <si>
    <t>A2093</t>
  </si>
  <si>
    <t>A2130</t>
  </si>
  <si>
    <t>A2144</t>
  </si>
  <si>
    <t>A2150</t>
  </si>
  <si>
    <t>A2233</t>
  </si>
  <si>
    <t>A2246</t>
  </si>
  <si>
    <t>A2247</t>
  </si>
  <si>
    <t>A2250</t>
  </si>
  <si>
    <t>A2255</t>
  </si>
  <si>
    <t>A2293</t>
  </si>
  <si>
    <t>A2334</t>
  </si>
  <si>
    <t>A2363</t>
  </si>
  <si>
    <t>A2366</t>
  </si>
  <si>
    <t>A2367</t>
  </si>
  <si>
    <t>A2395</t>
  </si>
  <si>
    <t>A2405</t>
  </si>
  <si>
    <t>A2448</t>
  </si>
  <si>
    <t>A2455</t>
  </si>
  <si>
    <t>A2481</t>
  </si>
  <si>
    <t>A2482</t>
  </si>
  <si>
    <t>A2485</t>
  </si>
  <si>
    <t>A2566</t>
  </si>
  <si>
    <t>A2567</t>
  </si>
  <si>
    <t>A2570</t>
  </si>
  <si>
    <t>A2604</t>
  </si>
  <si>
    <t>A2635</t>
  </si>
  <si>
    <t>A2643</t>
  </si>
  <si>
    <t>A2670</t>
  </si>
  <si>
    <t>A2704</t>
  </si>
  <si>
    <t>A2710</t>
  </si>
  <si>
    <t>A2721</t>
  </si>
  <si>
    <t>A2722</t>
  </si>
  <si>
    <t>A2759</t>
  </si>
  <si>
    <t>A2785</t>
  </si>
  <si>
    <t>A2786</t>
  </si>
  <si>
    <t>A2803</t>
  </si>
  <si>
    <t>A2819</t>
  </si>
  <si>
    <t>A2820</t>
  </si>
  <si>
    <t>A2821</t>
  </si>
  <si>
    <t>A2835</t>
  </si>
  <si>
    <t>A2837</t>
  </si>
  <si>
    <t>A2840</t>
  </si>
  <si>
    <t>A2868</t>
  </si>
  <si>
    <t>A2917</t>
  </si>
  <si>
    <t>A2920</t>
  </si>
  <si>
    <t>A2945</t>
  </si>
  <si>
    <t>A2948</t>
  </si>
  <si>
    <t>A2986</t>
  </si>
  <si>
    <t>A2987</t>
  </si>
  <si>
    <t>A2989</t>
  </si>
  <si>
    <t>A2991</t>
  </si>
  <si>
    <t>A2992</t>
  </si>
  <si>
    <t>A2993</t>
  </si>
  <si>
    <t>A3010</t>
  </si>
  <si>
    <t>A3035</t>
  </si>
  <si>
    <t>A3036</t>
  </si>
  <si>
    <t>A3038</t>
  </si>
  <si>
    <t>A3050</t>
  </si>
  <si>
    <t>A3183</t>
  </si>
  <si>
    <t>A3257</t>
  </si>
  <si>
    <t>A3266</t>
  </si>
  <si>
    <t>A3267</t>
  </si>
  <si>
    <t>A3311</t>
  </si>
  <si>
    <t>A3325</t>
  </si>
  <si>
    <t>A3358</t>
  </si>
  <si>
    <t>A3386</t>
  </si>
  <si>
    <t>A3387</t>
  </si>
  <si>
    <t>A3388</t>
  </si>
  <si>
    <t>A3418</t>
  </si>
  <si>
    <t>A3448</t>
  </si>
  <si>
    <t>A3456</t>
  </si>
  <si>
    <t>A3457</t>
  </si>
  <si>
    <t>A3467</t>
  </si>
  <si>
    <t>A3486</t>
  </si>
  <si>
    <t>A3494</t>
  </si>
  <si>
    <t>A3527</t>
  </si>
  <si>
    <t>A3536</t>
  </si>
  <si>
    <t>A3538</t>
  </si>
  <si>
    <t>A3552</t>
  </si>
  <si>
    <t>A3564</t>
  </si>
  <si>
    <t>A3567</t>
  </si>
  <si>
    <t>A3581</t>
  </si>
  <si>
    <t>A3583</t>
  </si>
  <si>
    <t>A3590</t>
  </si>
  <si>
    <t>A3603</t>
  </si>
  <si>
    <t>A3612</t>
  </si>
  <si>
    <t>A3647</t>
  </si>
  <si>
    <t>A3648</t>
  </si>
  <si>
    <t>A3666</t>
  </si>
  <si>
    <t>A3667</t>
  </si>
  <si>
    <t>A3681</t>
  </si>
  <si>
    <t>A3697</t>
  </si>
  <si>
    <t>A3706</t>
  </si>
  <si>
    <t>A3714</t>
  </si>
  <si>
    <t>A3721</t>
  </si>
  <si>
    <t>A3722</t>
  </si>
  <si>
    <t>A3748</t>
  </si>
  <si>
    <t>A3759</t>
  </si>
  <si>
    <t>A3761</t>
  </si>
  <si>
    <t>A3768</t>
  </si>
  <si>
    <t>A3783</t>
  </si>
  <si>
    <t>A3822</t>
  </si>
  <si>
    <t>A3838</t>
  </si>
  <si>
    <t>A3909</t>
  </si>
  <si>
    <t>A3910</t>
  </si>
  <si>
    <t>A3911</t>
  </si>
  <si>
    <t>A3937</t>
  </si>
  <si>
    <t>A3946</t>
  </si>
  <si>
    <t>A3969</t>
  </si>
  <si>
    <t>A3970</t>
  </si>
  <si>
    <t>A3989</t>
  </si>
  <si>
    <t>A3990</t>
  </si>
  <si>
    <t>A3996</t>
  </si>
  <si>
    <t>A3997</t>
  </si>
  <si>
    <t>A4001</t>
  </si>
  <si>
    <t>A4020</t>
  </si>
  <si>
    <t>A4022</t>
  </si>
  <si>
    <t>A4024</t>
  </si>
  <si>
    <t>A4028</t>
  </si>
  <si>
    <t>A4029</t>
  </si>
  <si>
    <t>A4037</t>
  </si>
  <si>
    <t>A4038</t>
  </si>
  <si>
    <t>A4039</t>
  </si>
  <si>
    <t>A4055</t>
  </si>
  <si>
    <t>A4057</t>
  </si>
  <si>
    <t>A4063</t>
  </si>
  <si>
    <t>A4071</t>
  </si>
  <si>
    <t>A4080</t>
  </si>
  <si>
    <t>A4089</t>
  </si>
  <si>
    <t>A4136</t>
  </si>
  <si>
    <t>A4153</t>
  </si>
  <si>
    <t>A4157</t>
  </si>
  <si>
    <t>A4183</t>
  </si>
  <si>
    <t>A4196</t>
  </si>
  <si>
    <t>A4256</t>
  </si>
  <si>
    <t>A4257</t>
  </si>
  <si>
    <t>A4271</t>
  </si>
  <si>
    <t>A4273</t>
  </si>
  <si>
    <t>A4298</t>
  </si>
  <si>
    <t>A4330</t>
  </si>
  <si>
    <t>A4354</t>
  </si>
  <si>
    <t>A4407</t>
  </si>
  <si>
    <t>A4410</t>
  </si>
  <si>
    <t>A4417</t>
  </si>
  <si>
    <t>A4430</t>
  </si>
  <si>
    <t>C0447</t>
  </si>
  <si>
    <t>C0508</t>
  </si>
  <si>
    <t>C0580</t>
  </si>
  <si>
    <t>C1686</t>
  </si>
  <si>
    <t>C1810</t>
  </si>
  <si>
    <t>C1853</t>
  </si>
  <si>
    <t>C1981</t>
  </si>
  <si>
    <t>C2046</t>
  </si>
  <si>
    <t>C2157</t>
  </si>
  <si>
    <t>C2198</t>
  </si>
  <si>
    <t>C2206</t>
  </si>
  <si>
    <t>C2303</t>
  </si>
  <si>
    <t>C2304</t>
  </si>
  <si>
    <t>C2313</t>
  </si>
  <si>
    <t>C2390</t>
  </si>
  <si>
    <t>C2412</t>
  </si>
  <si>
    <t>C2416</t>
  </si>
  <si>
    <t>C2417</t>
  </si>
  <si>
    <t>C2418</t>
  </si>
  <si>
    <t>C2421</t>
  </si>
  <si>
    <t>C2422</t>
  </si>
  <si>
    <t>C2436</t>
  </si>
  <si>
    <t>C2437</t>
  </si>
  <si>
    <t>C2438</t>
  </si>
  <si>
    <t>C2457</t>
  </si>
  <si>
    <t>C2462</t>
  </si>
  <si>
    <t>C2531</t>
  </si>
  <si>
    <t>C2532</t>
  </si>
  <si>
    <t>C2533</t>
  </si>
  <si>
    <t>C2548</t>
  </si>
  <si>
    <t>C2576</t>
  </si>
  <si>
    <t>C2577</t>
  </si>
  <si>
    <t>C2579</t>
  </si>
  <si>
    <t>C2581</t>
  </si>
  <si>
    <t>C2585</t>
  </si>
  <si>
    <t>C2593</t>
  </si>
  <si>
    <t>C2612</t>
  </si>
  <si>
    <t>C2613</t>
  </si>
  <si>
    <t>C2682</t>
  </si>
  <si>
    <t>C2683</t>
  </si>
  <si>
    <t>C2692</t>
  </si>
  <si>
    <t>C2695</t>
  </si>
  <si>
    <t>C2731</t>
  </si>
  <si>
    <t>C2744</t>
  </si>
  <si>
    <t>C2745</t>
  </si>
  <si>
    <t>C2747</t>
  </si>
  <si>
    <t>C2749</t>
  </si>
  <si>
    <t>C2772</t>
  </si>
  <si>
    <t>C2787</t>
  </si>
  <si>
    <t>C2788</t>
  </si>
  <si>
    <t>C2824</t>
  </si>
  <si>
    <t>C2849</t>
  </si>
  <si>
    <t>C2873</t>
  </si>
  <si>
    <t>C2903</t>
  </si>
  <si>
    <t>C2938</t>
  </si>
  <si>
    <t>C2968</t>
  </si>
  <si>
    <t>C2976</t>
  </si>
  <si>
    <t>C2977</t>
  </si>
  <si>
    <t>C3001</t>
  </si>
  <si>
    <t>C3022</t>
  </si>
  <si>
    <t>C3023</t>
  </si>
  <si>
    <t>C3024</t>
  </si>
  <si>
    <t>C3026</t>
  </si>
  <si>
    <t>C3027</t>
  </si>
  <si>
    <t>C3041</t>
  </si>
  <si>
    <t>C3043</t>
  </si>
  <si>
    <t>C3044</t>
  </si>
  <si>
    <t>C3069</t>
  </si>
  <si>
    <t>C3098</t>
  </si>
  <si>
    <t>C3125</t>
  </si>
  <si>
    <t>C3126</t>
  </si>
  <si>
    <t>C3128</t>
  </si>
  <si>
    <t>C3129</t>
  </si>
  <si>
    <t>C3157</t>
  </si>
  <si>
    <t>C3172</t>
  </si>
  <si>
    <t>C3174</t>
  </si>
  <si>
    <t>C3178</t>
  </si>
  <si>
    <t>C3185</t>
  </si>
  <si>
    <t>C3186</t>
  </si>
  <si>
    <t>C3190</t>
  </si>
  <si>
    <t>C3207</t>
  </si>
  <si>
    <t>C3226</t>
  </si>
  <si>
    <t>C3227</t>
  </si>
  <si>
    <t>C3272</t>
  </si>
  <si>
    <t>C3275</t>
  </si>
  <si>
    <t>C3277</t>
  </si>
  <si>
    <t>C3285</t>
  </si>
  <si>
    <t>C3298</t>
  </si>
  <si>
    <t>C3299</t>
  </si>
  <si>
    <t>C3300</t>
  </si>
  <si>
    <t>C3302</t>
  </si>
  <si>
    <t>C3335</t>
  </si>
  <si>
    <t>C3337</t>
  </si>
  <si>
    <t>C3338</t>
  </si>
  <si>
    <t>C3339</t>
  </si>
  <si>
    <t>C3347</t>
  </si>
  <si>
    <t>C3348</t>
  </si>
  <si>
    <t>C3376</t>
  </si>
  <si>
    <t>C3379</t>
  </si>
  <si>
    <t>C3394</t>
  </si>
  <si>
    <t>C3396</t>
  </si>
  <si>
    <t>C3409</t>
  </si>
  <si>
    <t>C3411</t>
  </si>
  <si>
    <t>C3446</t>
  </si>
  <si>
    <t>C3454</t>
  </si>
  <si>
    <t>C3455</t>
  </si>
  <si>
    <t>C3472</t>
  </si>
  <si>
    <t>C3489</t>
  </si>
  <si>
    <t>C3497</t>
  </si>
  <si>
    <t>C3499</t>
  </si>
  <si>
    <t>C3509</t>
  </si>
  <si>
    <t>C3516</t>
  </si>
  <si>
    <t>C3517</t>
  </si>
  <si>
    <t>C3518</t>
  </si>
  <si>
    <t>C3531</t>
  </si>
  <si>
    <t>C3555</t>
  </si>
  <si>
    <t>C3556</t>
  </si>
  <si>
    <t>C3557</t>
  </si>
  <si>
    <t>C3572</t>
  </si>
  <si>
    <t>C3573</t>
  </si>
  <si>
    <t>C3574</t>
  </si>
  <si>
    <t>C3607</t>
  </si>
  <si>
    <t>C3608</t>
  </si>
  <si>
    <t>C3609</t>
  </si>
  <si>
    <t>C3627</t>
  </si>
  <si>
    <t>C3628</t>
  </si>
  <si>
    <t>C3635</t>
  </si>
  <si>
    <t>C3636</t>
  </si>
  <si>
    <t>C3637</t>
  </si>
  <si>
    <t>C3638</t>
  </si>
  <si>
    <t>C3641</t>
  </si>
  <si>
    <t>C3650</t>
  </si>
  <si>
    <t>C3674</t>
  </si>
  <si>
    <t>C3675</t>
  </si>
  <si>
    <t>C3686</t>
  </si>
  <si>
    <t>C3691</t>
  </si>
  <si>
    <t>C3693</t>
  </si>
  <si>
    <t>C3695</t>
  </si>
  <si>
    <t>C3701</t>
  </si>
  <si>
    <t>C3718</t>
  </si>
  <si>
    <t>C3719</t>
  </si>
  <si>
    <t>C3723</t>
  </si>
  <si>
    <t>C3724</t>
  </si>
  <si>
    <t>C3725</t>
  </si>
  <si>
    <t>C3726</t>
  </si>
  <si>
    <t>C3738</t>
  </si>
  <si>
    <t>C3739</t>
  </si>
  <si>
    <t>C3745</t>
  </si>
  <si>
    <t>C3755</t>
  </si>
  <si>
    <t>C3756</t>
  </si>
  <si>
    <t>C3769</t>
  </si>
  <si>
    <t>C3771</t>
  </si>
  <si>
    <t>C3772</t>
  </si>
  <si>
    <t>C3777</t>
  </si>
  <si>
    <t>C3789</t>
  </si>
  <si>
    <t>C3843</t>
  </si>
  <si>
    <t>C3856</t>
  </si>
  <si>
    <t>C3890</t>
  </si>
  <si>
    <t>C3891</t>
  </si>
  <si>
    <t>C3906</t>
  </si>
  <si>
    <t>C3963</t>
  </si>
  <si>
    <t>C3964</t>
  </si>
  <si>
    <t>C3991</t>
  </si>
  <si>
    <t>C3992</t>
  </si>
  <si>
    <t>C3993</t>
  </si>
  <si>
    <t>C4015</t>
  </si>
  <si>
    <t>C4042</t>
  </si>
  <si>
    <t>C4044</t>
  </si>
  <si>
    <t>C4054</t>
  </si>
  <si>
    <t>C4100</t>
  </si>
  <si>
    <t>C4101</t>
  </si>
  <si>
    <t>C4102</t>
  </si>
  <si>
    <t>C4103</t>
  </si>
  <si>
    <t>C4108</t>
  </si>
  <si>
    <t>C4110</t>
  </si>
  <si>
    <t>C4112</t>
  </si>
  <si>
    <t>C4113</t>
  </si>
  <si>
    <t>C4133</t>
  </si>
  <si>
    <t>C4135</t>
  </si>
  <si>
    <t>C4180</t>
  </si>
  <si>
    <t>H0008</t>
  </si>
  <si>
    <t>H0068</t>
  </si>
  <si>
    <t>H0129</t>
  </si>
  <si>
    <t>H0134</t>
  </si>
  <si>
    <t>H0213</t>
  </si>
  <si>
    <t>H0229</t>
  </si>
  <si>
    <t>H0299</t>
  </si>
  <si>
    <t>H0301</t>
  </si>
  <si>
    <t>H0312</t>
  </si>
  <si>
    <t>H0315</t>
  </si>
  <si>
    <t>H0335</t>
  </si>
  <si>
    <t>H0340</t>
  </si>
  <si>
    <t>H0347</t>
  </si>
  <si>
    <t>H0374</t>
  </si>
  <si>
    <t>H0375</t>
  </si>
  <si>
    <t>H0480</t>
  </si>
  <si>
    <t>H0481</t>
  </si>
  <si>
    <t>H0548</t>
  </si>
  <si>
    <t>H0552</t>
  </si>
  <si>
    <t>H0553</t>
  </si>
  <si>
    <t>H0559</t>
  </si>
  <si>
    <t>H0595</t>
  </si>
  <si>
    <t>H0619</t>
  </si>
  <si>
    <t>H0670</t>
  </si>
  <si>
    <t>H0705</t>
  </si>
  <si>
    <t>H0833</t>
  </si>
  <si>
    <t>H0895</t>
  </si>
  <si>
    <t>H0924</t>
  </si>
  <si>
    <t>H1046</t>
  </si>
  <si>
    <t>H1167</t>
  </si>
  <si>
    <t>H1185</t>
  </si>
  <si>
    <t>H1313</t>
  </si>
  <si>
    <t>H1335</t>
  </si>
  <si>
    <t>H1362</t>
  </si>
  <si>
    <t>H1395</t>
  </si>
  <si>
    <t>H1416</t>
  </si>
  <si>
    <t>H1470</t>
  </si>
  <si>
    <t>H1528</t>
  </si>
  <si>
    <t>H1598</t>
  </si>
  <si>
    <t>H1653</t>
  </si>
  <si>
    <t>H1696</t>
  </si>
  <si>
    <t>H1720</t>
  </si>
  <si>
    <t>H1869</t>
  </si>
  <si>
    <t>H1972</t>
  </si>
  <si>
    <t>H2025</t>
  </si>
  <si>
    <t>H2055</t>
  </si>
  <si>
    <t>H2085</t>
  </si>
  <si>
    <t>H2109</t>
  </si>
  <si>
    <t>H2136</t>
  </si>
  <si>
    <t>H2168</t>
  </si>
  <si>
    <t>H2228</t>
  </si>
  <si>
    <t>H2257</t>
  </si>
  <si>
    <t>H2295</t>
  </si>
  <si>
    <t>H2321</t>
  </si>
  <si>
    <t>H2362</t>
  </si>
  <si>
    <t>H2374</t>
  </si>
  <si>
    <t>H2381</t>
  </si>
  <si>
    <t>H2452</t>
  </si>
  <si>
    <t>H2473</t>
  </si>
  <si>
    <t>H2475</t>
  </si>
  <si>
    <t>H2509</t>
  </si>
  <si>
    <t>H2676</t>
  </si>
  <si>
    <t>H2698</t>
  </si>
  <si>
    <t>H2739</t>
  </si>
  <si>
    <t>H2755</t>
  </si>
  <si>
    <t>H2776</t>
  </si>
  <si>
    <t>H2791</t>
  </si>
  <si>
    <t>H2851</t>
  </si>
  <si>
    <t>H2905</t>
  </si>
  <si>
    <t>H2907</t>
  </si>
  <si>
    <t>H2934</t>
  </si>
  <si>
    <t>H2960</t>
  </si>
  <si>
    <t>H2961</t>
  </si>
  <si>
    <t>H3021</t>
  </si>
  <si>
    <t>H3158</t>
  </si>
  <si>
    <t>H3162</t>
  </si>
  <si>
    <t>H3182</t>
  </si>
  <si>
    <t>H3230</t>
  </si>
  <si>
    <t>H3283</t>
  </si>
  <si>
    <t>H3286</t>
  </si>
  <si>
    <t>H3294</t>
  </si>
  <si>
    <t>H3370</t>
  </si>
  <si>
    <t>H3383</t>
  </si>
  <si>
    <t>H3470</t>
  </si>
  <si>
    <t>H3505</t>
  </si>
  <si>
    <t>H3569</t>
  </si>
  <si>
    <t>H3600</t>
  </si>
  <si>
    <t>H3639</t>
  </si>
  <si>
    <t>H3727</t>
  </si>
  <si>
    <t>H3731</t>
  </si>
  <si>
    <t>H3762</t>
  </si>
  <si>
    <t>H3763</t>
  </si>
  <si>
    <t>H3795</t>
  </si>
  <si>
    <t>H3835</t>
  </si>
  <si>
    <t>H3853</t>
  </si>
  <si>
    <t>H3858</t>
  </si>
  <si>
    <t>H3862</t>
  </si>
  <si>
    <t>H3868</t>
  </si>
  <si>
    <t>H3905</t>
  </si>
  <si>
    <t>H3938</t>
  </si>
  <si>
    <t>H3994</t>
  </si>
  <si>
    <t>H4058</t>
  </si>
  <si>
    <t>H4085</t>
  </si>
  <si>
    <t>H4099</t>
  </si>
  <si>
    <t>H4115</t>
  </si>
  <si>
    <t>H4128</t>
  </si>
  <si>
    <t>H4156</t>
  </si>
  <si>
    <t>H4179</t>
  </si>
  <si>
    <t>H4245</t>
  </si>
  <si>
    <t>H4246</t>
  </si>
  <si>
    <t>H4270</t>
  </si>
  <si>
    <t>H4276</t>
  </si>
  <si>
    <t>H4310</t>
  </si>
  <si>
    <t>H4315</t>
  </si>
  <si>
    <t>H4400</t>
  </si>
  <si>
    <t>H4418</t>
  </si>
  <si>
    <t>H4426</t>
  </si>
  <si>
    <t>H4433</t>
  </si>
  <si>
    <t>L0006</t>
  </si>
  <si>
    <t>L0011</t>
  </si>
  <si>
    <t>L0018</t>
  </si>
  <si>
    <t>L0021</t>
  </si>
  <si>
    <t>L0026</t>
  </si>
  <si>
    <t>L0028</t>
  </si>
  <si>
    <t>L0038</t>
  </si>
  <si>
    <t>L0042</t>
  </si>
  <si>
    <t>L0047</t>
  </si>
  <si>
    <t>L0053</t>
  </si>
  <si>
    <t>L0055</t>
  </si>
  <si>
    <t>L0061</t>
  </si>
  <si>
    <t>L0063</t>
  </si>
  <si>
    <t>L0067</t>
  </si>
  <si>
    <t>L0078</t>
  </si>
  <si>
    <t>L0087</t>
  </si>
  <si>
    <t>L0104</t>
  </si>
  <si>
    <t>L0119</t>
  </si>
  <si>
    <t>L0124</t>
  </si>
  <si>
    <t>L0125</t>
  </si>
  <si>
    <t>L0147</t>
  </si>
  <si>
    <t>L0156</t>
  </si>
  <si>
    <t>L0159</t>
  </si>
  <si>
    <t>L0173</t>
  </si>
  <si>
    <t>L0244</t>
  </si>
  <si>
    <t>L0247</t>
  </si>
  <si>
    <t>L0249</t>
  </si>
  <si>
    <t>L0259</t>
  </si>
  <si>
    <t>L0266</t>
  </si>
  <si>
    <t>L0277</t>
  </si>
  <si>
    <t>L0284</t>
  </si>
  <si>
    <t>L0302</t>
  </si>
  <si>
    <t>L0308</t>
  </si>
  <si>
    <t>L0386</t>
  </si>
  <si>
    <t>L0388</t>
  </si>
  <si>
    <t>L0406</t>
  </si>
  <si>
    <t>L0438</t>
  </si>
  <si>
    <t>L0440</t>
  </si>
  <si>
    <t>L0449</t>
  </si>
  <si>
    <t>L0457</t>
  </si>
  <si>
    <t>L0461</t>
  </si>
  <si>
    <t>L0514</t>
  </si>
  <si>
    <t>L0517</t>
  </si>
  <si>
    <t>L0518</t>
  </si>
  <si>
    <t>L0519</t>
  </si>
  <si>
    <t>L0659</t>
  </si>
  <si>
    <t>L0664</t>
  </si>
  <si>
    <t>L0673</t>
  </si>
  <si>
    <t>L0686</t>
  </si>
  <si>
    <t>L0689</t>
  </si>
  <si>
    <t>L0690</t>
  </si>
  <si>
    <t>L0695</t>
  </si>
  <si>
    <t>L0699</t>
  </si>
  <si>
    <t>L0702</t>
  </si>
  <si>
    <t>L0715</t>
  </si>
  <si>
    <t>L0717</t>
  </si>
  <si>
    <t>L0718</t>
  </si>
  <si>
    <t>L0719</t>
  </si>
  <si>
    <t>L0721</t>
  </si>
  <si>
    <t>L0726</t>
  </si>
  <si>
    <t>L0848</t>
  </si>
  <si>
    <t>L0849</t>
  </si>
  <si>
    <t>L0871</t>
  </si>
  <si>
    <t>L0877</t>
  </si>
  <si>
    <t>L0889</t>
  </si>
  <si>
    <t>L0891</t>
  </si>
  <si>
    <t>L0892</t>
  </si>
  <si>
    <t>L0908</t>
  </si>
  <si>
    <t>L0913</t>
  </si>
  <si>
    <t>L0916</t>
  </si>
  <si>
    <t>L0923</t>
  </si>
  <si>
    <t>L0927</t>
  </si>
  <si>
    <t>L0938</t>
  </si>
  <si>
    <t>L0961</t>
  </si>
  <si>
    <t>L0970</t>
  </si>
  <si>
    <t>L0976</t>
  </si>
  <si>
    <t>L0979</t>
  </si>
  <si>
    <t>L0992</t>
  </si>
  <si>
    <t>L1000</t>
  </si>
  <si>
    <t>L1001</t>
  </si>
  <si>
    <t>L1002</t>
  </si>
  <si>
    <t>L1005</t>
  </si>
  <si>
    <t>L1007</t>
  </si>
  <si>
    <t>L1015</t>
  </si>
  <si>
    <t>L1019</t>
  </si>
  <si>
    <t>L1031</t>
  </si>
  <si>
    <t>L1033</t>
  </si>
  <si>
    <t>L1216</t>
  </si>
  <si>
    <t>L1218</t>
  </si>
  <si>
    <t>L1230</t>
  </si>
  <si>
    <t>L1231</t>
  </si>
  <si>
    <t>L1236</t>
  </si>
  <si>
    <t>L1243</t>
  </si>
  <si>
    <t>L1253</t>
  </si>
  <si>
    <t>L1255</t>
  </si>
  <si>
    <t>L1257</t>
  </si>
  <si>
    <t>L1259</t>
  </si>
  <si>
    <t>L1299</t>
  </si>
  <si>
    <t>L1306</t>
  </si>
  <si>
    <t>L1322</t>
  </si>
  <si>
    <t>L1389</t>
  </si>
  <si>
    <t>L1393</t>
  </si>
  <si>
    <t>L1397</t>
  </si>
  <si>
    <t>L1405</t>
  </si>
  <si>
    <t>L1444</t>
  </si>
  <si>
    <t>L1505</t>
  </si>
  <si>
    <t>L1508</t>
  </si>
  <si>
    <t>L1511</t>
  </si>
  <si>
    <t>L1512</t>
  </si>
  <si>
    <t>L1515</t>
  </si>
  <si>
    <t>L1518</t>
  </si>
  <si>
    <t>L1530</t>
  </si>
  <si>
    <t>L1533</t>
  </si>
  <si>
    <t>L1537</t>
  </si>
  <si>
    <t>L1538</t>
  </si>
  <si>
    <t>L1548</t>
  </si>
  <si>
    <t>L1551</t>
  </si>
  <si>
    <t>L1556</t>
  </si>
  <si>
    <t>L1656</t>
  </si>
  <si>
    <t>L1668</t>
  </si>
  <si>
    <t>L1680</t>
  </si>
  <si>
    <t>L1693</t>
  </si>
  <si>
    <t>L1700</t>
  </si>
  <si>
    <t>L1714</t>
  </si>
  <si>
    <t>L1716</t>
  </si>
  <si>
    <t>L1719</t>
  </si>
  <si>
    <t>L1815</t>
  </si>
  <si>
    <t>L1821</t>
  </si>
  <si>
    <t>L1824</t>
  </si>
  <si>
    <t>L1829</t>
  </si>
  <si>
    <t>L1856</t>
  </si>
  <si>
    <t>L1867</t>
  </si>
  <si>
    <t>L1953</t>
  </si>
  <si>
    <t>L1958</t>
  </si>
  <si>
    <t>L1965</t>
  </si>
  <si>
    <t>L1990</t>
  </si>
  <si>
    <t>L1994</t>
  </si>
  <si>
    <t>L1998</t>
  </si>
  <si>
    <t>L2000</t>
  </si>
  <si>
    <t>L2007</t>
  </si>
  <si>
    <t>L2023</t>
  </si>
  <si>
    <t>L2034</t>
  </si>
  <si>
    <t>L2036</t>
  </si>
  <si>
    <t>L2159</t>
  </si>
  <si>
    <t>L2173</t>
  </si>
  <si>
    <t>L2179</t>
  </si>
  <si>
    <t>L2188</t>
  </si>
  <si>
    <t>L2194</t>
  </si>
  <si>
    <t>L2195</t>
  </si>
  <si>
    <t>L2205</t>
  </si>
  <si>
    <t>L2209</t>
  </si>
  <si>
    <t>L2285</t>
  </si>
  <si>
    <t>L2424</t>
  </si>
  <si>
    <t>L2434</t>
  </si>
  <si>
    <t>L2441</t>
  </si>
  <si>
    <t>L2498</t>
  </si>
  <si>
    <t>L2518</t>
  </si>
  <si>
    <t>L2732</t>
  </si>
  <si>
    <t>L2793</t>
  </si>
  <si>
    <t>L2889</t>
  </si>
  <si>
    <t>L3076</t>
  </si>
  <si>
    <t>L3261</t>
  </si>
  <si>
    <t>L3262</t>
  </si>
  <si>
    <t>L3305</t>
  </si>
  <si>
    <t>L3519</t>
  </si>
  <si>
    <t>L3535</t>
  </si>
  <si>
    <t>L3559</t>
  </si>
  <si>
    <t>L3598</t>
  </si>
  <si>
    <t>L3613</t>
  </si>
  <si>
    <t>L3626</t>
  </si>
  <si>
    <t>L3629</t>
  </si>
  <si>
    <t>L3642</t>
  </si>
  <si>
    <t>L3692</t>
  </si>
  <si>
    <t>L3698</t>
  </si>
  <si>
    <t>L3704</t>
  </si>
  <si>
    <t>L3711</t>
  </si>
  <si>
    <t>L3713</t>
  </si>
  <si>
    <t>L3736</t>
  </si>
  <si>
    <t>L3757</t>
  </si>
  <si>
    <t>L3758</t>
  </si>
  <si>
    <t>L3790</t>
  </si>
  <si>
    <t>L3808</t>
  </si>
  <si>
    <t>L3833</t>
  </si>
  <si>
    <t>L3880</t>
  </si>
  <si>
    <t>L3881</t>
  </si>
  <si>
    <t>L3885</t>
  </si>
  <si>
    <t>L3899</t>
  </si>
  <si>
    <t>L3933</t>
  </si>
  <si>
    <t>L3939</t>
  </si>
  <si>
    <t>L3974</t>
  </si>
  <si>
    <t>L3981</t>
  </si>
  <si>
    <t>L4003</t>
  </si>
  <si>
    <t>L4004</t>
  </si>
  <si>
    <t>L4047</t>
  </si>
  <si>
    <t>L4060</t>
  </si>
  <si>
    <t>L4073</t>
  </si>
  <si>
    <t>L4088</t>
  </si>
  <si>
    <t>L4118</t>
  </si>
  <si>
    <t>L4123</t>
  </si>
  <si>
    <t>L4130</t>
  </si>
  <si>
    <t>L4140</t>
  </si>
  <si>
    <t>L4145</t>
  </si>
  <si>
    <t>L4160</t>
  </si>
  <si>
    <t>L4167</t>
  </si>
  <si>
    <t>L4170</t>
  </si>
  <si>
    <t>L4178</t>
  </si>
  <si>
    <t>L4191</t>
  </si>
  <si>
    <t>L4195</t>
  </si>
  <si>
    <t>L4199</t>
  </si>
  <si>
    <t>L4204</t>
  </si>
  <si>
    <t>L4207</t>
  </si>
  <si>
    <t>L4212</t>
  </si>
  <si>
    <t>L4218</t>
  </si>
  <si>
    <t>L4219</t>
  </si>
  <si>
    <t>L4223</t>
  </si>
  <si>
    <t>L4229</t>
  </si>
  <si>
    <t>L4230</t>
  </si>
  <si>
    <t>L4238</t>
  </si>
  <si>
    <t>L4251</t>
  </si>
  <si>
    <t>L4254</t>
  </si>
  <si>
    <t>L4260</t>
  </si>
  <si>
    <t>L4277</t>
  </si>
  <si>
    <t>L4279</t>
  </si>
  <si>
    <t>L4299</t>
  </si>
  <si>
    <t>L4303</t>
  </si>
  <si>
    <t>L4311</t>
  </si>
  <si>
    <t>L4312</t>
  </si>
  <si>
    <t>L4313</t>
  </si>
  <si>
    <t>L4331</t>
  </si>
  <si>
    <t>L4334</t>
  </si>
  <si>
    <t>L4341</t>
  </si>
  <si>
    <t>L4346</t>
  </si>
  <si>
    <t>L4361</t>
  </si>
  <si>
    <t>L4362</t>
  </si>
  <si>
    <t>L4370</t>
  </si>
  <si>
    <t>L4372</t>
  </si>
  <si>
    <t>L4376</t>
  </si>
  <si>
    <t>L4383</t>
  </si>
  <si>
    <t>L4385</t>
  </si>
  <si>
    <t>L4389</t>
  </si>
  <si>
    <t>L4420</t>
  </si>
  <si>
    <t>L4434</t>
  </si>
  <si>
    <t>L4435</t>
  </si>
  <si>
    <t>L4440</t>
  </si>
  <si>
    <t>L4441</t>
  </si>
  <si>
    <t>L4443</t>
  </si>
  <si>
    <t>L4447</t>
  </si>
  <si>
    <t>L4450</t>
  </si>
  <si>
    <t>L4455</t>
  </si>
  <si>
    <t>L4456</t>
  </si>
  <si>
    <t>L4457</t>
  </si>
  <si>
    <t>L4459</t>
  </si>
  <si>
    <t>L4463</t>
  </si>
  <si>
    <t>L4466</t>
  </si>
  <si>
    <t>L4472</t>
  </si>
  <si>
    <t>L4473</t>
  </si>
  <si>
    <t>L4476</t>
  </si>
  <si>
    <t>L4485</t>
  </si>
  <si>
    <t>L4486</t>
  </si>
  <si>
    <t>L4487</t>
  </si>
  <si>
    <t>L4495</t>
  </si>
  <si>
    <t>L4497</t>
  </si>
  <si>
    <t>L4498</t>
  </si>
  <si>
    <t>L4499</t>
  </si>
  <si>
    <t>L4505</t>
  </si>
  <si>
    <t>L4507</t>
  </si>
  <si>
    <t>L4509</t>
  </si>
  <si>
    <t>L4513</t>
  </si>
  <si>
    <t>L4517</t>
  </si>
  <si>
    <t>L4520</t>
  </si>
  <si>
    <t>L4521</t>
  </si>
  <si>
    <t>L4522</t>
  </si>
  <si>
    <t>L4528</t>
  </si>
  <si>
    <t>L4532</t>
  </si>
  <si>
    <t>L4534</t>
  </si>
  <si>
    <t>L4535</t>
  </si>
  <si>
    <t>L4538</t>
  </si>
  <si>
    <t>L4543</t>
  </si>
  <si>
    <t>L4546</t>
  </si>
  <si>
    <t>L4547</t>
  </si>
  <si>
    <t>L4549</t>
  </si>
  <si>
    <t>L4550</t>
  </si>
  <si>
    <t>L4551</t>
  </si>
  <si>
    <t>L4552</t>
  </si>
  <si>
    <t>L4556</t>
  </si>
  <si>
    <t>L4628</t>
  </si>
  <si>
    <t>LH0013</t>
  </si>
  <si>
    <t>LH0032</t>
  </si>
  <si>
    <t>LH0050</t>
  </si>
  <si>
    <t>LH0079</t>
  </si>
  <si>
    <t>LH0084</t>
  </si>
  <si>
    <t>LH0117</t>
  </si>
  <si>
    <t>LH0131</t>
  </si>
  <si>
    <t>LH0155</t>
  </si>
  <si>
    <t>LH0170</t>
  </si>
  <si>
    <t>LH0171</t>
  </si>
  <si>
    <t>LH0250</t>
  </si>
  <si>
    <t>LH0269</t>
  </si>
  <si>
    <t>LH0279</t>
  </si>
  <si>
    <t>LH0280</t>
  </si>
  <si>
    <t>LH0391</t>
  </si>
  <si>
    <t>LH0418</t>
  </si>
  <si>
    <t>LH0424</t>
  </si>
  <si>
    <t>LH0426</t>
  </si>
  <si>
    <t>LH0459</t>
  </si>
  <si>
    <t>LH0495</t>
  </si>
  <si>
    <t>LH0526</t>
  </si>
  <si>
    <t>LH0674</t>
  </si>
  <si>
    <t>LH0676</t>
  </si>
  <si>
    <t>LH0704</t>
  </si>
  <si>
    <t>LH0869</t>
  </si>
  <si>
    <t>LH0870</t>
  </si>
  <si>
    <t>LH0884</t>
  </si>
  <si>
    <t>LH0888</t>
  </si>
  <si>
    <t>LH0902</t>
  </si>
  <si>
    <t>LH0910</t>
  </si>
  <si>
    <t>LH0920</t>
  </si>
  <si>
    <t>LH0959</t>
  </si>
  <si>
    <t>LH0971</t>
  </si>
  <si>
    <t>LH0977</t>
  </si>
  <si>
    <t>LH0989</t>
  </si>
  <si>
    <t>LH1020</t>
  </si>
  <si>
    <t>LH1026</t>
  </si>
  <si>
    <t>LH1315</t>
  </si>
  <si>
    <t>LH1321</t>
  </si>
  <si>
    <t>LH1388</t>
  </si>
  <si>
    <t>LH1396</t>
  </si>
  <si>
    <t>LH1647</t>
  </si>
  <si>
    <t>LH1648</t>
  </si>
  <si>
    <t>LH1649</t>
  </si>
  <si>
    <t>LH1662</t>
  </si>
  <si>
    <t>LH1704</t>
  </si>
  <si>
    <t>LH1722</t>
  </si>
  <si>
    <t>LH1832</t>
  </si>
  <si>
    <t>LH1833</t>
  </si>
  <si>
    <t>LH1836</t>
  </si>
  <si>
    <t>LH1960</t>
  </si>
  <si>
    <t>LH2021</t>
  </si>
  <si>
    <t>LH2162</t>
  </si>
  <si>
    <t>LH2174</t>
  </si>
  <si>
    <t>LH2186</t>
  </si>
  <si>
    <t>LH2343</t>
  </si>
  <si>
    <t>LH2429</t>
  </si>
  <si>
    <t>LH2916</t>
  </si>
  <si>
    <t>LH3047</t>
  </si>
  <si>
    <t>LH3197</t>
  </si>
  <si>
    <t>LH3594</t>
  </si>
  <si>
    <t>LH3651</t>
  </si>
  <si>
    <t>LH3673</t>
  </si>
  <si>
    <t>LH3685</t>
  </si>
  <si>
    <t>LH3687</t>
  </si>
  <si>
    <t>LH3728</t>
  </si>
  <si>
    <t>LH3737</t>
  </si>
  <si>
    <t>LH3766</t>
  </si>
  <si>
    <t>LH3796</t>
  </si>
  <si>
    <t>LH3811</t>
  </si>
  <si>
    <t>LH3827</t>
  </si>
  <si>
    <t>LH3829</t>
  </si>
  <si>
    <t>LH3859</t>
  </si>
  <si>
    <t>LH3882</t>
  </si>
  <si>
    <t>LH3883</t>
  </si>
  <si>
    <t>LH3887</t>
  </si>
  <si>
    <t>LH3889</t>
  </si>
  <si>
    <t>LH3902</t>
  </si>
  <si>
    <t>LH3904</t>
  </si>
  <si>
    <t>LH3917</t>
  </si>
  <si>
    <t>LH3926</t>
  </si>
  <si>
    <t>LH3940</t>
  </si>
  <si>
    <t>LH3942</t>
  </si>
  <si>
    <t>LH3980</t>
  </si>
  <si>
    <t>LH4014</t>
  </si>
  <si>
    <t>LH4026</t>
  </si>
  <si>
    <t>LH4032</t>
  </si>
  <si>
    <t>LH4035</t>
  </si>
  <si>
    <t>LH4050</t>
  </si>
  <si>
    <t>LH4078</t>
  </si>
  <si>
    <t>LH4083</t>
  </si>
  <si>
    <t>LH4095</t>
  </si>
  <si>
    <t>LH4097</t>
  </si>
  <si>
    <t>LH4106</t>
  </si>
  <si>
    <t>LH4121</t>
  </si>
  <si>
    <t>LH4138</t>
  </si>
  <si>
    <t>LH4149</t>
  </si>
  <si>
    <t>LH4152</t>
  </si>
  <si>
    <t>LH4165</t>
  </si>
  <si>
    <t>LH4184</t>
  </si>
  <si>
    <t>LH4200</t>
  </si>
  <si>
    <t>LH4208</t>
  </si>
  <si>
    <t>LH4209</t>
  </si>
  <si>
    <t>LH4220</t>
  </si>
  <si>
    <t>LH4248</t>
  </si>
  <si>
    <t>LH4249</t>
  </si>
  <si>
    <t>LH4253</t>
  </si>
  <si>
    <t>LH4261</t>
  </si>
  <si>
    <t>LH4264</t>
  </si>
  <si>
    <t>LH4266</t>
  </si>
  <si>
    <t>LH4297</t>
  </si>
  <si>
    <t>LH4325</t>
  </si>
  <si>
    <t>LH4336</t>
  </si>
  <si>
    <t>LH4337</t>
  </si>
  <si>
    <t>LH4338</t>
  </si>
  <si>
    <t>LH4339</t>
  </si>
  <si>
    <t>LH4343</t>
  </si>
  <si>
    <t>LH4345</t>
  </si>
  <si>
    <t>LH4353</t>
  </si>
  <si>
    <t>LH4377</t>
  </si>
  <si>
    <t>LH4401</t>
  </si>
  <si>
    <t>LH4402</t>
  </si>
  <si>
    <t>LH4403</t>
  </si>
  <si>
    <t>LH4412</t>
  </si>
  <si>
    <t>LH4415</t>
  </si>
  <si>
    <t>LH4428</t>
  </si>
  <si>
    <t>LH4454</t>
  </si>
  <si>
    <t>SL3119</t>
  </si>
  <si>
    <t>SL3270</t>
  </si>
  <si>
    <t>SL3442</t>
  </si>
  <si>
    <t>SL3463</t>
  </si>
  <si>
    <t>SL3605</t>
  </si>
  <si>
    <t>SL4293</t>
  </si>
  <si>
    <t>N/A</t>
  </si>
  <si>
    <t>CLCRR025_LA_GN_SC_Own</t>
  </si>
  <si>
    <t>CLCRR026_LA_GN_BSp_Own</t>
  </si>
  <si>
    <t>CLCRR027_LA_Sup_Own</t>
  </si>
  <si>
    <t>CLCRR029_LA_HOP_Own</t>
  </si>
  <si>
    <t>CLCHO012_LA_LCHO_Less_100_Eqty_Own</t>
  </si>
  <si>
    <t>RP_Type</t>
  </si>
  <si>
    <t>SDR_Size</t>
  </si>
  <si>
    <t>Survey_Status</t>
  </si>
  <si>
    <t>LA_Nm</t>
  </si>
  <si>
    <t>Concat</t>
  </si>
  <si>
    <t>CLCRR031_LA_DHS_Fails</t>
  </si>
  <si>
    <t>Long Form</t>
  </si>
  <si>
    <t>Signed Off</t>
  </si>
  <si>
    <t>AdurClarion Housing Association Limited</t>
  </si>
  <si>
    <t>AdurHabinteg Housing Association Limited</t>
  </si>
  <si>
    <t>AdurHome Group Limited</t>
  </si>
  <si>
    <t>AdurHousing 21</t>
  </si>
  <si>
    <t>AdurHyde Housing Association Limited</t>
  </si>
  <si>
    <t>AdurMetropolitan Housing Trust Limited</t>
  </si>
  <si>
    <t>AdurMoat Homes Limited</t>
  </si>
  <si>
    <t>AdurOptivo</t>
  </si>
  <si>
    <t>AdurOrbit Group Limited</t>
  </si>
  <si>
    <t>AdurSanctuary Housing Association</t>
  </si>
  <si>
    <t>Short Form</t>
  </si>
  <si>
    <t>AdurSouthdown Housing Association Limited</t>
  </si>
  <si>
    <t>AdurSouthern Housing Group Limited</t>
  </si>
  <si>
    <t>AdurStonewater Limited</t>
  </si>
  <si>
    <t>AdurThe Fellowship Houses Trust</t>
  </si>
  <si>
    <t>AdurThe Guinness Partnership Limited</t>
  </si>
  <si>
    <t>AdurWestmoreland Supported Housing Limited</t>
  </si>
  <si>
    <t>AdurWorthing Homes Limited</t>
  </si>
  <si>
    <t>AllerdaleAnchor Hanover Group</t>
  </si>
  <si>
    <t>AllerdaleCastles &amp; Coasts Housing Association Limited</t>
  </si>
  <si>
    <t>AllerdaleEden Housing Association Limited</t>
  </si>
  <si>
    <t>AllerdaleEmpower Housing Association Limited</t>
  </si>
  <si>
    <t>AllerdaleHeylo Housing Registered Provider Limited</t>
  </si>
  <si>
    <t>AllerdaleHome Group Limited</t>
  </si>
  <si>
    <t>AllerdaleHousing 21</t>
  </si>
  <si>
    <t>AllerdaleInclusion Housing Community Interest Company</t>
  </si>
  <si>
    <t>AllerdaleMitre Housing Association Limited</t>
  </si>
  <si>
    <t>AllerdaleNew Foundations Housing Association Limited</t>
  </si>
  <si>
    <t>AllerdalePartners Foundation Limited</t>
  </si>
  <si>
    <t>AllerdaleThe Abbeyfield Society</t>
  </si>
  <si>
    <t>AllerdaleThe Riverside Group Limited</t>
  </si>
  <si>
    <t>AllerdaleWestfield Housing Association Limited</t>
  </si>
  <si>
    <t>Amber ValleyAdullam Homes Housing Association Limited</t>
  </si>
  <si>
    <t>Amber ValleyAdvance Housing and Support Limited</t>
  </si>
  <si>
    <t>Amber ValleyAnchor Hanover Group</t>
  </si>
  <si>
    <t>Amber ValleyDerwent Community Housing Association Limited</t>
  </si>
  <si>
    <t>Amber ValleyDerwent Housing Association Limited</t>
  </si>
  <si>
    <t>Amber ValleyEMH Housing and Regeneration Limited</t>
  </si>
  <si>
    <t>Amber ValleyFramework Housing Association</t>
  </si>
  <si>
    <t>Amber ValleyFutures Homescape Limited</t>
  </si>
  <si>
    <t>Amber ValleyHeylo Housing Registered Provider Limited</t>
  </si>
  <si>
    <t>Amber ValleyHome Group Limited</t>
  </si>
  <si>
    <t>Amber ValleyLonghurst Group Limited</t>
  </si>
  <si>
    <t>Amber ValleyMetropolitan Housing Trust Limited</t>
  </si>
  <si>
    <t>Amber ValleyNottingham Community Housing Association Limited</t>
  </si>
  <si>
    <t>Amber ValleyPartners Foundation Limited</t>
  </si>
  <si>
    <t>Amber ValleyPlaces for People Homes Limited</t>
  </si>
  <si>
    <t>Amber ValleyPlatform Housing Limited</t>
  </si>
  <si>
    <t>Amber ValleyProgress Housing Association Limited</t>
  </si>
  <si>
    <t>Amber ValleyReside Housing Association Limited</t>
  </si>
  <si>
    <t>Amber ValleySevern Almshouses Trust</t>
  </si>
  <si>
    <t>Amber ValleyStonewater Limited</t>
  </si>
  <si>
    <t>Amber ValleyThe Guinness Partnership Limited</t>
  </si>
  <si>
    <t>Amber ValleyThe Riverside Group Limited</t>
  </si>
  <si>
    <t>Amber ValleyThe William Holmes Almshouses</t>
  </si>
  <si>
    <t>Amber ValleyYMCA Derbyshire</t>
  </si>
  <si>
    <t>ArunAbility Housing Association</t>
  </si>
  <si>
    <t>ArunAnchor Hanover Group</t>
  </si>
  <si>
    <t>ArunCatalyst Housing Limited</t>
  </si>
  <si>
    <t>ArunClarion Housing Association Limited</t>
  </si>
  <si>
    <t>ArunHastoe Housing Association Limited</t>
  </si>
  <si>
    <t>ArunHeylo Housing Registered Provider Limited</t>
  </si>
  <si>
    <t>ArunHome Group Limited</t>
  </si>
  <si>
    <t>ArunHyde Housing Association Limited</t>
  </si>
  <si>
    <t>ArunLittlehampton &amp; Rustington Housing Society Limited</t>
  </si>
  <si>
    <t>ArunMartlet Homes Limited</t>
  </si>
  <si>
    <t>ArunMoat Homes Limited</t>
  </si>
  <si>
    <t>ArunNotting Hill Home Ownership Limited</t>
  </si>
  <si>
    <t>ArunOptivo</t>
  </si>
  <si>
    <t>ArunParagon Asra Housing Limited</t>
  </si>
  <si>
    <t>ArunPlaces for People Homes Limited</t>
  </si>
  <si>
    <t>ArunReside Housing Association Limited</t>
  </si>
  <si>
    <t>ArunSanctuary Housing Association</t>
  </si>
  <si>
    <t>ArunSaxon Weald</t>
  </si>
  <si>
    <t>ArunSouthdown Housing Association Limited</t>
  </si>
  <si>
    <t>ArunSouthern Housing Group Limited</t>
  </si>
  <si>
    <t>ArunStonewater Limited</t>
  </si>
  <si>
    <t>ArunThe Guinness Partnership Limited</t>
  </si>
  <si>
    <t>ArunWandle Housing Association Limited</t>
  </si>
  <si>
    <t>ArunWorthing Homes Limited</t>
  </si>
  <si>
    <t>AshfieldAcis Group Limited</t>
  </si>
  <si>
    <t>AshfieldAnchor Hanover Group</t>
  </si>
  <si>
    <t>AshfieldDerwent Housing Association Limited</t>
  </si>
  <si>
    <t>AshfieldEMH Housing and Regeneration Limited</t>
  </si>
  <si>
    <t>AshfieldFramework Housing Association</t>
  </si>
  <si>
    <t>AshfieldFunding Affordable Homes Housing Association Limited</t>
  </si>
  <si>
    <t>AshfieldFutures Homescape Limited</t>
  </si>
  <si>
    <t>AshfieldHeylo Housing Registered Provider Limited</t>
  </si>
  <si>
    <t>AshfieldHousing 21</t>
  </si>
  <si>
    <t>AshfieldMetropolitan Housing Trust Limited</t>
  </si>
  <si>
    <t>AshfieldNottingham Community Housing Association Limited</t>
  </si>
  <si>
    <t>AshfieldPlaces for People Homes Limited</t>
  </si>
  <si>
    <t>AshfieldPlaces for People Living+ Limited</t>
  </si>
  <si>
    <t>AshfieldPlatform Housing Limited</t>
  </si>
  <si>
    <t>AshfieldProgress Housing Association Limited</t>
  </si>
  <si>
    <t>AshfieldSanctuary Housing Association</t>
  </si>
  <si>
    <t>AshfieldStonewater Limited</t>
  </si>
  <si>
    <t>AshfieldThe Guinness Partnership Limited</t>
  </si>
  <si>
    <t>AshfieldThe Riverside Group Limited</t>
  </si>
  <si>
    <t>AshfieldTuntum Housing Association Limited</t>
  </si>
  <si>
    <t>AshfordAccent Housing Limited</t>
  </si>
  <si>
    <t>AshfordAdvance Housing and Support Limited</t>
  </si>
  <si>
    <t>AshfordAshford Pavilion Housing Co-operative Limited</t>
  </si>
  <si>
    <t>AshfordClarion Housing Association Limited</t>
  </si>
  <si>
    <t>AshfordEnglish Rural Housing Association Limited</t>
  </si>
  <si>
    <t>AshfordGolding Homes Limited</t>
  </si>
  <si>
    <t>AshfordHeylo Housing Registered Provider Limited</t>
  </si>
  <si>
    <t>AshfordHome Group Limited</t>
  </si>
  <si>
    <t>AshfordHousing 21</t>
  </si>
  <si>
    <t>AshfordHyde Housing Association Limited</t>
  </si>
  <si>
    <t>AshfordMoat Homes Limited</t>
  </si>
  <si>
    <t>AshfordOptivo</t>
  </si>
  <si>
    <t>AshfordOrbit Group Limited</t>
  </si>
  <si>
    <t>AshfordPlaces for People Homes Limited</t>
  </si>
  <si>
    <t>AshfordPlaces for People Living+ Limited</t>
  </si>
  <si>
    <t>AshfordReside Housing Association Limited</t>
  </si>
  <si>
    <t>AshfordSalvation Army Housing Association</t>
  </si>
  <si>
    <t>AshfordSanctuary Housing Association</t>
  </si>
  <si>
    <t>AshfordSouthern Housing Group Limited</t>
  </si>
  <si>
    <t>AshfordThe Guinness Partnership Limited</t>
  </si>
  <si>
    <t>AshfordThe Riverside Group Limited</t>
  </si>
  <si>
    <t>AshfordTown and Country Housing</t>
  </si>
  <si>
    <t>AshfordWest Kent Housing Association</t>
  </si>
  <si>
    <t>BaberghAnchor Hanover Group</t>
  </si>
  <si>
    <t>BaberghClarion Housing Association Limited</t>
  </si>
  <si>
    <t>BaberghEastlight Community Homes Limited</t>
  </si>
  <si>
    <t>BaberghEmpower Housing Association Limited</t>
  </si>
  <si>
    <t>BaberghEstuary Housing Association Limited</t>
  </si>
  <si>
    <t>BaberghFlagship Housing Group Limited</t>
  </si>
  <si>
    <t>BaberghHastoe Housing Association Limited</t>
  </si>
  <si>
    <t>BaberghHeylo Housing Registered Provider Limited</t>
  </si>
  <si>
    <t>BaberghHousing 21</t>
  </si>
  <si>
    <t>BaberghMetropolitan Housing Trust Limited</t>
  </si>
  <si>
    <t>BaberghOrbit Group Limited</t>
  </si>
  <si>
    <t>BaberghOrwell Housing Association Limited</t>
  </si>
  <si>
    <t>BaberghProgress Housing Association Limited</t>
  </si>
  <si>
    <t>BaberghReside Housing Association Limited</t>
  </si>
  <si>
    <t>BaberghSanctuary Affordable Housing Limited</t>
  </si>
  <si>
    <t>BaberghSanctuary Housing Association</t>
  </si>
  <si>
    <t>BaberghThe Havebury Housing Partnership</t>
  </si>
  <si>
    <t>BaberghThirteen Housing Group Limited</t>
  </si>
  <si>
    <t>Barking and DagenhamAnchor Hanover Group</t>
  </si>
  <si>
    <t>Barking and DagenhamClarion Housing Association Limited</t>
  </si>
  <si>
    <t>Barking and DagenhamEstuary Housing Association Limited</t>
  </si>
  <si>
    <t>Barking and DagenhamHeylo Housing Registered Provider Limited</t>
  </si>
  <si>
    <t>Barking and DagenhamHome Group Limited</t>
  </si>
  <si>
    <t>Barking and DagenhamLocal Space</t>
  </si>
  <si>
    <t>Barking and DagenhamLondon &amp; Quadrant Housing Trust</t>
  </si>
  <si>
    <t>Barking and DagenhamLook Ahead Care and Support Limited</t>
  </si>
  <si>
    <t>Barking and DagenhamMetropolitan Housing Trust Limited</t>
  </si>
  <si>
    <t>Barking and DagenhamMoat Homes Limited</t>
  </si>
  <si>
    <t>Barking and DagenhamNetwork Homes Limited</t>
  </si>
  <si>
    <t>Barking and DagenhamNewlon Housing Trust</t>
  </si>
  <si>
    <t>Barking and DagenhamNotting Hill Genesis</t>
  </si>
  <si>
    <t>Barking and DagenhamNotting Hill Home Ownership Limited</t>
  </si>
  <si>
    <t>Barking and DagenhamParagon Asra Housing Limited</t>
  </si>
  <si>
    <t>Barking and DagenhamPeabody Trust</t>
  </si>
  <si>
    <t>Barking and DagenhamPlaces for People Living+ Limited</t>
  </si>
  <si>
    <t>Barking and DagenhamSanctuary Housing Association</t>
  </si>
  <si>
    <t>Barking and DagenhamSouthern Home Ownership Limited</t>
  </si>
  <si>
    <t>Barking and DagenhamSouthern Housing Group Limited</t>
  </si>
  <si>
    <t>Barking and DagenhamSwan Housing Association Limited</t>
  </si>
  <si>
    <t>Barking and DagenhamThe Riverside Group Limited</t>
  </si>
  <si>
    <t>Barking and DagenhamYMCA Thames Gateway</t>
  </si>
  <si>
    <t>BarnetA2Dominion Homes Limited</t>
  </si>
  <si>
    <t>BarnetAgudas Israel Housing Association Limited</t>
  </si>
  <si>
    <t>BarnetAnchor Hanover Group</t>
  </si>
  <si>
    <t>BarnetArhag Housing Association Limited</t>
  </si>
  <si>
    <t>BarnetBirnbeck Housing Association Limited</t>
  </si>
  <si>
    <t>BarnetBlue Square Residential Ltd</t>
  </si>
  <si>
    <t>BarnetCatalyst Housing Limited</t>
  </si>
  <si>
    <t>BarnetChristian Action (Enfield) Housing Association Limited</t>
  </si>
  <si>
    <t>BarnetClarion Housing Association Limited</t>
  </si>
  <si>
    <t>BarnetDimensions (UK) Limited</t>
  </si>
  <si>
    <t>BarnetEleanor Palmer Trust</t>
  </si>
  <si>
    <t>BarnetEmpower Housing Association Limited</t>
  </si>
  <si>
    <t>BarnetFirst Wave Housing Limited</t>
  </si>
  <si>
    <t>BarnetHabinteg Housing Association Limited</t>
  </si>
  <si>
    <t>BarnetHendon Christian Housing Association Limited</t>
  </si>
  <si>
    <t>BarnetHill Homes</t>
  </si>
  <si>
    <t>BarnetHome Group Limited</t>
  </si>
  <si>
    <t>BarnetJewish Community Housing Association Limited</t>
  </si>
  <si>
    <t>BarnetLawrence Campe's Almshouse Trust</t>
  </si>
  <si>
    <t>BarnetLondon &amp; Quadrant Housing Trust</t>
  </si>
  <si>
    <t>BarnetMetropolitan Housing Trust Limited</t>
  </si>
  <si>
    <t>BarnetNetwork Homes Limited</t>
  </si>
  <si>
    <t>BarnetNotting Hill Genesis</t>
  </si>
  <si>
    <t>BarnetNotting Hill Home Ownership Limited</t>
  </si>
  <si>
    <t>BarnetOctavia Housing</t>
  </si>
  <si>
    <t>BarnetOdu-Dua Housing Association Limited</t>
  </si>
  <si>
    <t>BarnetOne Housing Group Limited</t>
  </si>
  <si>
    <t>BarnetOptivo</t>
  </si>
  <si>
    <t>BarnetOrchard Housing Society Limited</t>
  </si>
  <si>
    <t>BarnetOrigin Housing Limited</t>
  </si>
  <si>
    <t>BarnetOtto Schiff Housing Association</t>
  </si>
  <si>
    <t>BarnetParadigm Homes Charitable Housing Association Limited</t>
  </si>
  <si>
    <t>BarnetParagon Asra Housing Limited</t>
  </si>
  <si>
    <t>BarnetParasol Homes Limited</t>
  </si>
  <si>
    <t>BarnetPeabody Trust</t>
  </si>
  <si>
    <t>BarnetPlaces for People Homes Limited</t>
  </si>
  <si>
    <t>BarnetReside Housing Association Limited</t>
  </si>
  <si>
    <t>BarnetRetail Trust</t>
  </si>
  <si>
    <t>BarnetSanctuary Affordable Housing Limited</t>
  </si>
  <si>
    <t>BarnetSanctuary Housing Association</t>
  </si>
  <si>
    <t>BarnetShepherds Bush Housing Association Limited</t>
  </si>
  <si>
    <t>BarnetSouthern Housing Group Limited</t>
  </si>
  <si>
    <t>BarnetTBG Open Door Limited</t>
  </si>
  <si>
    <t>BarnetThe Abbeyfield Society</t>
  </si>
  <si>
    <t>BarnetThe Finchley Charities</t>
  </si>
  <si>
    <t>BarnetThe Guinness Partnership Limited</t>
  </si>
  <si>
    <t>BarnetThe Industrial Dwellings Society (1885) Limited</t>
  </si>
  <si>
    <t>BarnetWest Herts Homes Limited</t>
  </si>
  <si>
    <t>BarnetWestlon Housing Association Limited</t>
  </si>
  <si>
    <t>BarnetWestmoreland Supported Housing Limited</t>
  </si>
  <si>
    <t>BarnetWestway Housing Association Limited</t>
  </si>
  <si>
    <t>BarnsleyAcis Group Limited</t>
  </si>
  <si>
    <t>BarnsleyAction Housing and Support Limited</t>
  </si>
  <si>
    <t>BarnsleyAnchor Hanover Group</t>
  </si>
  <si>
    <t>BarnsleyHabinteg Housing Association Limited</t>
  </si>
  <si>
    <t>BarnsleyHeylo Housing Registered Provider Limited</t>
  </si>
  <si>
    <t>BarnsleyHighstone Housing Association Limited</t>
  </si>
  <si>
    <t>BarnsleyHome Group Limited</t>
  </si>
  <si>
    <t>BarnsleyHumankind Charity</t>
  </si>
  <si>
    <t>BarnsleyInclusion Housing Community Interest Company</t>
  </si>
  <si>
    <t>BarnsleyJ &amp; M Residential Lettings Limited</t>
  </si>
  <si>
    <t>BarnsleyLeeds and Yorkshire Housing Association Limited</t>
  </si>
  <si>
    <t>BarnsleyMy Space Housing Solutions</t>
  </si>
  <si>
    <t>BarnsleyParasol Homes Limited</t>
  </si>
  <si>
    <t>BarnsleyPlaces for People Homes Limited</t>
  </si>
  <si>
    <t>BarnsleyReside Housing Association Limited</t>
  </si>
  <si>
    <t>BarnsleySanctuary Affordable Housing Limited</t>
  </si>
  <si>
    <t>BarnsleySanctuary Housing Association</t>
  </si>
  <si>
    <t>BarnsleySouth Yorkshire Housing Association Limited</t>
  </si>
  <si>
    <t>BarnsleyThe Guinness Partnership Limited</t>
  </si>
  <si>
    <t>BarnsleyThe Riverside Group Limited</t>
  </si>
  <si>
    <t>BarnsleyTogether Housing Association Limited</t>
  </si>
  <si>
    <t>BarnsleyWakefield And District Housing Limited</t>
  </si>
  <si>
    <t>BarnsleyYorkshire Housing Limited</t>
  </si>
  <si>
    <t>Barrow-in-FurnessAccent Housing Limited</t>
  </si>
  <si>
    <t>Barrow-in-FurnessAnchor Hanover Group</t>
  </si>
  <si>
    <t>Barrow-in-FurnessCreative Support Limited</t>
  </si>
  <si>
    <t xml:space="preserve">Barrow-in-FurnessEncircle Housing </t>
  </si>
  <si>
    <t>Barrow-in-FurnessHome Group Limited</t>
  </si>
  <si>
    <t>Barrow-in-FurnessInclusion Housing Community Interest Company</t>
  </si>
  <si>
    <t>Barrow-in-FurnessMy Space Housing Solutions</t>
  </si>
  <si>
    <t>Barrow-in-FurnessPlaces for People Homes Limited</t>
  </si>
  <si>
    <t>Barrow-in-FurnessProgress Housing Association Limited</t>
  </si>
  <si>
    <t>Barrow-in-FurnessSanctuary Housing Association</t>
  </si>
  <si>
    <t>Barrow-in-FurnessThe Abbeyfield Barrow-in- Furness Society Limited</t>
  </si>
  <si>
    <t>Barrow-in-FurnessThe Riverside Group Limited</t>
  </si>
  <si>
    <t>BasildonAdvance Housing and Support Limited</t>
  </si>
  <si>
    <t>BasildonAnchor Hanover Group</t>
  </si>
  <si>
    <t>BasildonBillericay Community Housing Association Limited</t>
  </si>
  <si>
    <t>BasildonChelmer Housing Partnership Limited</t>
  </si>
  <si>
    <t>BasildonChrysalis Supported Association Limited</t>
  </si>
  <si>
    <t>BasildonClarion Housing Association Limited</t>
  </si>
  <si>
    <t>BasildonEstuary Housing Association Limited</t>
  </si>
  <si>
    <t>BasildonFlagship Housing Group Limited</t>
  </si>
  <si>
    <t>BasildonHome Group Limited</t>
  </si>
  <si>
    <t>BasildonHousing 21</t>
  </si>
  <si>
    <t>BasildonLocal Space</t>
  </si>
  <si>
    <t>BasildonLondon &amp; Quadrant Housing Trust</t>
  </si>
  <si>
    <t>BasildonMetropolitan Housing Trust Limited</t>
  </si>
  <si>
    <t>BasildonMoat Homes Limited</t>
  </si>
  <si>
    <t>BasildonNACRO</t>
  </si>
  <si>
    <t>BasildonNotting Hill Genesis</t>
  </si>
  <si>
    <t>BasildonPlaces for People Homes Limited</t>
  </si>
  <si>
    <t>BasildonSalvation Army Housing Association</t>
  </si>
  <si>
    <t>BasildonSanctuary Housing Association</t>
  </si>
  <si>
    <t>BasildonSwan Housing Association Limited</t>
  </si>
  <si>
    <t>BasildonThe Abbeyfield Basildon Society Limited</t>
  </si>
  <si>
    <t>BasildonThe Guinness Partnership Limited</t>
  </si>
  <si>
    <t>BasildonThe Papworth Trust</t>
  </si>
  <si>
    <t>Basingstoke and DeaneA2Dominion South Limited</t>
  </si>
  <si>
    <t>Basingstoke and DeaneAbility Housing Association</t>
  </si>
  <si>
    <t>Basingstoke and DeaneAdvance Housing and Support Limited</t>
  </si>
  <si>
    <t>Basingstoke and DeaneAnchor Hanover Group</t>
  </si>
  <si>
    <t>Basingstoke and DeaneAster Communities</t>
  </si>
  <si>
    <t>Basingstoke and DeaneClarion Housing Association Limited</t>
  </si>
  <si>
    <t>Basingstoke and DeaneEnglish Rural Housing Association Limited</t>
  </si>
  <si>
    <t>Basingstoke and DeaneFirst Priority Housing Association Limited</t>
  </si>
  <si>
    <t>Basingstoke and DeaneGrainger Trust Limited</t>
  </si>
  <si>
    <t>Basingstoke and DeaneHastoe Housing Association Limited</t>
  </si>
  <si>
    <t>Basingstoke and DeaneHeylo Housing Registered Provider Limited</t>
  </si>
  <si>
    <t>Basingstoke and DeaneHome Group Limited</t>
  </si>
  <si>
    <t>Basingstoke and DeaneHousing 21</t>
  </si>
  <si>
    <t>Basingstoke and DeaneHousing Solutions</t>
  </si>
  <si>
    <t>Basingstoke and DeaneKingsclere Almshouses Charity</t>
  </si>
  <si>
    <t>Basingstoke and DeaneLondon &amp; Quadrant Housing Trust</t>
  </si>
  <si>
    <t>Basingstoke and DeaneMetropolitan Housing Trust Limited</t>
  </si>
  <si>
    <t>Basingstoke and DeaneMoat Homes Limited</t>
  </si>
  <si>
    <t>Basingstoke and DeaneOptivo</t>
  </si>
  <si>
    <t>Basingstoke and DeanePlaces for People Homes Limited</t>
  </si>
  <si>
    <t>Basingstoke and DeanePlexus UK (First Project) Limited</t>
  </si>
  <si>
    <t>Basingstoke and DeaneSage Housing Limited</t>
  </si>
  <si>
    <t>Basingstoke and DeaneSanctuary Housing Association</t>
  </si>
  <si>
    <t>Basingstoke and DeaneSaxon Weald</t>
  </si>
  <si>
    <t>Basingstoke and DeaneSir Robert Geffery's Almshouse Trust</t>
  </si>
  <si>
    <t>Basingstoke and DeaneSouthern Housing Group Limited</t>
  </si>
  <si>
    <t>Basingstoke and DeaneSovereign Housing Association Limited</t>
  </si>
  <si>
    <t>Basingstoke and DeaneStonewater (2) Limited</t>
  </si>
  <si>
    <t>Basingstoke and DeaneStonewater Limited</t>
  </si>
  <si>
    <t>Basingstoke and DeaneThe Abbeyfield Society</t>
  </si>
  <si>
    <t>Basingstoke and DeaneThe Guinness Partnership Limited</t>
  </si>
  <si>
    <t>Basingstoke and DeaneThe Swaythling Housing Society Limited</t>
  </si>
  <si>
    <t>Basingstoke and DeaneVivid Housing Limited</t>
  </si>
  <si>
    <t>Basingstoke and DeaneYMCA Fairthorne Housing</t>
  </si>
  <si>
    <t>BassetlawAcis Group Limited</t>
  </si>
  <si>
    <t>BassetlawAdvance Housing and Support Limited</t>
  </si>
  <si>
    <t>BassetlawAnchor Hanover Group</t>
  </si>
  <si>
    <t>BassetlawDerwent Housing Association Limited</t>
  </si>
  <si>
    <t>BassetlawEMH Housing and Regeneration Limited</t>
  </si>
  <si>
    <t>BassetlawFramework Housing Association</t>
  </si>
  <si>
    <t>BassetlawHeylo Housing Registered Provider Limited</t>
  </si>
  <si>
    <t>Bassetlaw'Johnnie' Johnson Housing Trust Limited</t>
  </si>
  <si>
    <t>BassetlawLonghurst Group Limited</t>
  </si>
  <si>
    <t>BassetlawMetropolitan Housing Trust Limited</t>
  </si>
  <si>
    <t>BassetlawNACRO</t>
  </si>
  <si>
    <t>BassetlawNottingham Community Housing Association Limited</t>
  </si>
  <si>
    <t>BassetlawOngo Homes Limited</t>
  </si>
  <si>
    <t>BassetlawPlaces for People Homes Limited</t>
  </si>
  <si>
    <t>BassetlawPlatform Housing Limited</t>
  </si>
  <si>
    <t>BassetlawProgress Housing Association Limited</t>
  </si>
  <si>
    <t>BassetlawSouth Yorkshire Housing Association Limited</t>
  </si>
  <si>
    <t>BassetlawStonewater (2) Limited</t>
  </si>
  <si>
    <t>BassetlawThe Guinness Partnership Limited</t>
  </si>
  <si>
    <t>BassetlawTogether Housing Association Limited</t>
  </si>
  <si>
    <t>Bath and North East SomersetAbbeyfield Bristol and Keynsham Society</t>
  </si>
  <si>
    <t>Bath and North East SomersetAdvance Housing and Support Limited</t>
  </si>
  <si>
    <t>Bath and North East SomersetAnchor Hanover Group</t>
  </si>
  <si>
    <t>Bath and North East SomersetAster Communities</t>
  </si>
  <si>
    <t>Bath and North East SomersetCatalyst Housing Limited</t>
  </si>
  <si>
    <t>Bath and North East SomersetCuro Places Limited</t>
  </si>
  <si>
    <t>Bath and North East SomersetDimensions (UK) Limited</t>
  </si>
  <si>
    <t>Bath and North East SomersetElim Housing Association Limited</t>
  </si>
  <si>
    <t>Bath and North East SomersetEnglish Rural Housing Association Limited</t>
  </si>
  <si>
    <t>Bath and North East SomersetGerman Lutheran Housing Association Limited</t>
  </si>
  <si>
    <t>Bath and North East SomersetGuinness Housing Association Limited</t>
  </si>
  <si>
    <t>Bath and North East SomersetHeylo Housing Registered Provider Limited</t>
  </si>
  <si>
    <t>Bath and North East SomersetHome Group Limited</t>
  </si>
  <si>
    <t>Bath and North East SomersetJulian House</t>
  </si>
  <si>
    <t>Bath and North East SomersetLiveWest Homes Limited</t>
  </si>
  <si>
    <t>Bath and North East SomersetMerlin Housing Society Limited</t>
  </si>
  <si>
    <t>Bath and North East SomersetMethodist Homes Housing Association Limited</t>
  </si>
  <si>
    <t>Bath and North East SomersetNSAH (Alliance Homes) Limited</t>
  </si>
  <si>
    <t>Bath and North East SomersetPlaces for People Homes Limited</t>
  </si>
  <si>
    <t>Bath and North East SomersetPlaces for People Living+ Limited</t>
  </si>
  <si>
    <t>Bath and North East SomersetReside Housing Association Limited</t>
  </si>
  <si>
    <t>Bath and North East SomersetSanctuary Housing Association</t>
  </si>
  <si>
    <t>Bath and North East SomersetSelwood Housing Society Limited</t>
  </si>
  <si>
    <t>Bath and North East SomersetShepherds Bush Housing Association Limited</t>
  </si>
  <si>
    <t>Bath and North East SomersetSovereign Housing Association Limited</t>
  </si>
  <si>
    <t>Bath and North East SomersetThe Guinness Partnership Limited</t>
  </si>
  <si>
    <t>Bath and North East SomersetThe Riverside Group Limited</t>
  </si>
  <si>
    <t>Bath and North East SomersetWhite Horse Housing Association Limited</t>
  </si>
  <si>
    <t>BedfordAccent Housing Limited</t>
  </si>
  <si>
    <t>BedfordAnchor Hanover Group</t>
  </si>
  <si>
    <t>BedfordBedford Citizens Housing Association Limited</t>
  </si>
  <si>
    <t>Bedfordbpha Limited</t>
  </si>
  <si>
    <t>BedfordCatalyst Housing Limited</t>
  </si>
  <si>
    <t>BedfordClarion Housing Association Limited</t>
  </si>
  <si>
    <t>BedfordCross Keys Homes Limited</t>
  </si>
  <si>
    <t>BedfordDimensions (UK) Limited</t>
  </si>
  <si>
    <t>BedfordGrand Union Housing Group Limited</t>
  </si>
  <si>
    <t>BedfordHastoe Housing Association Limited</t>
  </si>
  <si>
    <t>BedfordHeylo Housing Registered Provider Limited</t>
  </si>
  <si>
    <t>BedfordHousing 21</t>
  </si>
  <si>
    <t>BedfordInclusion Housing Community Interest Company</t>
  </si>
  <si>
    <t>BedfordLangley House Trust</t>
  </si>
  <si>
    <t>BedfordLondon &amp; Quadrant Housing Trust</t>
  </si>
  <si>
    <t>BedfordMetropolitan Housing Trust Limited</t>
  </si>
  <si>
    <t>BedfordMoat Homes Limited</t>
  </si>
  <si>
    <t>BedfordOne Housing Group Limited</t>
  </si>
  <si>
    <t>BedfordOrbit Group Limited</t>
  </si>
  <si>
    <t>BedfordParadigm Homes Charitable Housing Association Limited</t>
  </si>
  <si>
    <t>BedfordPlaces for People Homes Limited</t>
  </si>
  <si>
    <t>BedfordPlaces for People Living+ Limited</t>
  </si>
  <si>
    <t>BedfordSage Housing Limited</t>
  </si>
  <si>
    <t>BedfordSanctuary Housing Association</t>
  </si>
  <si>
    <t>BedfordSettle Group</t>
  </si>
  <si>
    <t>BedfordSt Johns Homes</t>
  </si>
  <si>
    <t>BedfordStonewater (2) Limited</t>
  </si>
  <si>
    <t>BedfordStonewater (5) Limited</t>
  </si>
  <si>
    <t>BedfordStonewater Limited</t>
  </si>
  <si>
    <t>BedfordThe Extracare Charitable Trust</t>
  </si>
  <si>
    <t>BedfordThe Guinness Partnership Limited</t>
  </si>
  <si>
    <t>BedfordThe Papworth Trust</t>
  </si>
  <si>
    <t>BexleyA2Dominion Homes Limited</t>
  </si>
  <si>
    <t>BexleyAdvance Housing and Support Limited</t>
  </si>
  <si>
    <t>BexleyAnchor Hanover Group</t>
  </si>
  <si>
    <t>BexleyBexley United Charities</t>
  </si>
  <si>
    <t>BexleyChanging Lives Housing Trust</t>
  </si>
  <si>
    <t>BexleyChislehurst and Sidcup Housing Association</t>
  </si>
  <si>
    <t>BexleyChrysalis Supported Association Limited</t>
  </si>
  <si>
    <t>BexleyClarion Housing Association Limited</t>
  </si>
  <si>
    <t>BexleyCo-operative Development Society Limited</t>
  </si>
  <si>
    <t>BexleyCraymill Housing Co-operative Limited</t>
  </si>
  <si>
    <t>BexleyCromwood Housing Ltd</t>
  </si>
  <si>
    <t>BexleyGolding Homes Limited</t>
  </si>
  <si>
    <t>BexleyHabinteg Housing Association Limited</t>
  </si>
  <si>
    <t>BexleyHazel Housing Co-operative Limited</t>
  </si>
  <si>
    <t>BexleyHexagon Housing Association Limited</t>
  </si>
  <si>
    <t>BexleyHeylo Housing Registered Provider Limited</t>
  </si>
  <si>
    <t>BexleyHousing 21</t>
  </si>
  <si>
    <t>BexleyHyde Housing Association Limited</t>
  </si>
  <si>
    <t>BexleyKeniston Housing Association Limited</t>
  </si>
  <si>
    <t>BexleyLondon &amp; Quadrant Housing Trust</t>
  </si>
  <si>
    <t>BexleyMoat Homes Limited</t>
  </si>
  <si>
    <t>BexleyNotting Hill Genesis</t>
  </si>
  <si>
    <t>BexleyOne Housing Group Limited</t>
  </si>
  <si>
    <t>BexleyOptivo</t>
  </si>
  <si>
    <t>BexleyOrbit Group Limited</t>
  </si>
  <si>
    <t>BexleyParagon Asra Housing Limited</t>
  </si>
  <si>
    <t>BexleyPeabody Trust</t>
  </si>
  <si>
    <t>BexleyPerryviews Housing Co-operative Limited</t>
  </si>
  <si>
    <t>BexleyPlaces for People Homes Limited</t>
  </si>
  <si>
    <t>BexleyReside Housing Association Limited</t>
  </si>
  <si>
    <t>BexleySanctuary Housing Association</t>
  </si>
  <si>
    <t>BexleySouthern Housing Group Limited</t>
  </si>
  <si>
    <t>BexleyTeachers' Housing Association Limited</t>
  </si>
  <si>
    <t>BexleyThe Riverside Group Limited</t>
  </si>
  <si>
    <t>BexleyTownshend Close Housing Co-operative Limited</t>
  </si>
  <si>
    <t>BexleyTrinity Housing Association Limited</t>
  </si>
  <si>
    <t>BexleyWandle Housing Association Limited</t>
  </si>
  <si>
    <t>BexleyWhitworth Housing Co-operative Limited</t>
  </si>
  <si>
    <t>Birmingham20-20 Housing Co-operative Limited</t>
  </si>
  <si>
    <t>Birmingham3CHA Ltd</t>
  </si>
  <si>
    <t>BirminghamAdullam Homes Housing Association Limited</t>
  </si>
  <si>
    <t>BirminghamAdvance Housing and Support Limited</t>
  </si>
  <si>
    <t>BirminghamAlpha Housing Co-operative Limited</t>
  </si>
  <si>
    <t>BirminghamAnchor Hanover Group</t>
  </si>
  <si>
    <t>BirminghamAshley Community &amp; Housing Ltd</t>
  </si>
  <si>
    <t>BirminghamBalsall Heath Housing Co-operative Limited</t>
  </si>
  <si>
    <t>BirminghamBirmingham Civic Housing Association Limited</t>
  </si>
  <si>
    <t>BirminghamBirmingham Jewish Housing Association Limited</t>
  </si>
  <si>
    <t>BirminghamBirnbeck Housing Association Limited</t>
  </si>
  <si>
    <t>BirminghamBlack Country Housing Group Limited</t>
  </si>
  <si>
    <t>BirminghamBordesley Green Housing Co-operative Limited</t>
  </si>
  <si>
    <t>BirminghamBournville Village Trust</t>
  </si>
  <si>
    <t>BirminghamBournville Works Housing Society Limited</t>
  </si>
  <si>
    <t>BirminghamBroadening Choices for Older People</t>
  </si>
  <si>
    <t>BirminghamBromford Housing Association Limited</t>
  </si>
  <si>
    <t>BirminghamBromsgrove District Housing Trust Limited</t>
  </si>
  <si>
    <t>BirminghamCitizen Housing Group Limited</t>
  </si>
  <si>
    <t>BirminghamClarion Housing Association Limited</t>
  </si>
  <si>
    <t>BirminghamCornfield Housing Society Limited</t>
  </si>
  <si>
    <t>BirminghamCreative Support Limited</t>
  </si>
  <si>
    <t>BirminghamDimensions (UK) Limited</t>
  </si>
  <si>
    <t>BirminghamElim Housing Association Limited</t>
  </si>
  <si>
    <t>BirminghamElizabeth Dowell's Trust</t>
  </si>
  <si>
    <t xml:space="preserve">BirminghamEncircle Housing </t>
  </si>
  <si>
    <t>BirminghamExpectations (UK)</t>
  </si>
  <si>
    <t>BirminghamFirst Priority Housing Association Limited</t>
  </si>
  <si>
    <t>BirminghamGlover's Trust Endowed Fund</t>
  </si>
  <si>
    <t>BirminghamHabinteg Housing Association Limited</t>
  </si>
  <si>
    <t>BirminghamHeart of England Young Men's Christian Association</t>
  </si>
  <si>
    <t>BirminghamHeartsease House Community Interest Company</t>
  </si>
  <si>
    <t>BirminghamHeylo Housing Registered Provider Limited</t>
  </si>
  <si>
    <t>BirminghamHolmwood Tenants Co-operative Limited</t>
  </si>
  <si>
    <t>BirminghamHome Group Limited</t>
  </si>
  <si>
    <t>BirminghamHousing 21</t>
  </si>
  <si>
    <t>BirminghamInclusion Housing Community Interest Company</t>
  </si>
  <si>
    <t>BirminghamLench's Trust</t>
  </si>
  <si>
    <t>BirminghamLonghurst Group Limited</t>
  </si>
  <si>
    <t>BirminghamMidland Heart Limited</t>
  </si>
  <si>
    <t>BirminghamMosscare St. Vincent's Housing Group Limited</t>
  </si>
  <si>
    <t>BirminghamNehemiah United Churches Housing Association Limited</t>
  </si>
  <si>
    <t>BirminghamNew Outlook Housing Association Limited</t>
  </si>
  <si>
    <t>BirminghamOptivo</t>
  </si>
  <si>
    <t>BirminghamPlaces for People Homes Limited</t>
  </si>
  <si>
    <t>BirminghamPlatform Housing Limited</t>
  </si>
  <si>
    <t>BirminghamProgress Housing Association Limited</t>
  </si>
  <si>
    <t>BirminghamReliance Social Housing C.I.C</t>
  </si>
  <si>
    <t>BirminghamSalvation Army Housing Association</t>
  </si>
  <si>
    <t>BirminghamSanctuary Affordable Housing Limited</t>
  </si>
  <si>
    <t>BirminghamSanctuary Housing Association</t>
  </si>
  <si>
    <t>BirminghamShahjalal Housing Co-operative Limited</t>
  </si>
  <si>
    <t>BirminghamSir Josiah Mason's Almshouse Charity</t>
  </si>
  <si>
    <t>BirminghamSmall Heath Park Housing Co-operative Limited</t>
  </si>
  <si>
    <t>BirminghamSouth Road Housing Co-operative Limited</t>
  </si>
  <si>
    <t>BirminghamSt Anne's Hostel</t>
  </si>
  <si>
    <t>BirminghamSt Basil's</t>
  </si>
  <si>
    <t>BirminghamSt Peter's Saltley Housing Association Limited</t>
  </si>
  <si>
    <t>BirminghamSustain (UK) Ltd</t>
  </si>
  <si>
    <t>BirminghamTeachers' Housing Association Limited</t>
  </si>
  <si>
    <t>BirminghamThe Extracare Charitable Trust</t>
  </si>
  <si>
    <t>BirminghamThe Harborne Parish Lands Charity</t>
  </si>
  <si>
    <t>BirminghamThe James Charities</t>
  </si>
  <si>
    <t>BirminghamThe Pioneer Housing and Community Group Limited</t>
  </si>
  <si>
    <t>BirminghamThe Riverside Group Limited</t>
  </si>
  <si>
    <t>BirminghamTriangle Housing Co-operative Limited</t>
  </si>
  <si>
    <t>BirminghamTrident Housing Association Limited</t>
  </si>
  <si>
    <t>BirminghamTrinity Housing Association Limited</t>
  </si>
  <si>
    <t>BirminghamVictoria Tenants Co-operative Limited</t>
  </si>
  <si>
    <t>BirminghamWalsall Housing Group Limited</t>
  </si>
  <si>
    <t>BirminghamWestmoreland Supported Housing Limited</t>
  </si>
  <si>
    <t>BirminghamYardley Great Trust</t>
  </si>
  <si>
    <t>BlabyAdvance Housing and Support Limited</t>
  </si>
  <si>
    <t>BlabyAnchor Hanover Group</t>
  </si>
  <si>
    <t>BlabyCreative Support Limited</t>
  </si>
  <si>
    <t>BlabyDerwent Housing Association Limited</t>
  </si>
  <si>
    <t>BlabyEMH Housing and Regeneration Limited</t>
  </si>
  <si>
    <t>BlabyEnglish Rural Housing Association Limited</t>
  </si>
  <si>
    <t>BlabyFutures Homescape Limited</t>
  </si>
  <si>
    <t>BlabyHeylo Housing Registered Provider Limited</t>
  </si>
  <si>
    <t>BlabyLonghurst Group Limited</t>
  </si>
  <si>
    <t>BlabyMidland Heart Limited</t>
  </si>
  <si>
    <t>BlabyNottingham Community Housing Association Limited</t>
  </si>
  <si>
    <t>BlabyParagon Asra Housing Limited</t>
  </si>
  <si>
    <t>BlabyPlaces for People Homes Limited</t>
  </si>
  <si>
    <t>BlabyPlatform Housing Limited</t>
  </si>
  <si>
    <t>BlabyProgress Housing Association Limited</t>
  </si>
  <si>
    <t>BlabySanctuary Housing Association</t>
  </si>
  <si>
    <t>BlabyStonewater Limited</t>
  </si>
  <si>
    <t>BlabyThe Riverside Group Limited</t>
  </si>
  <si>
    <t>Blackburn with DarwenAdullam Homes Housing Association Limited</t>
  </si>
  <si>
    <t>Blackburn with DarwenAnchor Hanover Group</t>
  </si>
  <si>
    <t>Blackburn with DarwenArpeggio Properties Limited</t>
  </si>
  <si>
    <t>Blackburn with DarwenAssured Living Housing Association Limited</t>
  </si>
  <si>
    <t>Blackburn with DarwenBlackburn YMCA</t>
  </si>
  <si>
    <t>Blackburn with DarwenCare Housing Association Limited</t>
  </si>
  <si>
    <t>Blackburn with DarwenEmpower Housing Association Limited</t>
  </si>
  <si>
    <t>Blackburn with DarwenGreat Places Housing Association</t>
  </si>
  <si>
    <t>Blackburn with DarwenHalo Housing Association Limited</t>
  </si>
  <si>
    <t>Blackburn with DarwenHome Group Limited</t>
  </si>
  <si>
    <t>Blackburn with DarwenHousing 21</t>
  </si>
  <si>
    <t>Blackburn with DarwenInclusion Housing Community Interest Company</t>
  </si>
  <si>
    <t>Blackburn with DarwenLightbown Cottage Home Trust</t>
  </si>
  <si>
    <t>Blackburn with DarwenMosscare St. Vincent's Housing Group Limited</t>
  </si>
  <si>
    <t>Blackburn with DarwenMy Space Housing Solutions</t>
  </si>
  <si>
    <t>Blackburn with DarwenOnward Homes Limited</t>
  </si>
  <si>
    <t>Blackburn with DarwenPartners Foundation Limited</t>
  </si>
  <si>
    <t>Blackburn with DarwenPlaces for People Homes Limited</t>
  </si>
  <si>
    <t>Blackburn with DarwenPlaces for People Living+ Limited</t>
  </si>
  <si>
    <t>Blackburn with DarwenProgress Housing Association Limited</t>
  </si>
  <si>
    <t>Blackburn with DarwenRegenda Limited</t>
  </si>
  <si>
    <t>Blackburn with DarwenSalvation Army Housing Association</t>
  </si>
  <si>
    <t>Blackburn with DarwenSanctuary Housing Association</t>
  </si>
  <si>
    <t>Blackburn with DarwenThe Guinness Partnership Limited</t>
  </si>
  <si>
    <t>Blackburn with DarwenTogether Housing Association Limited</t>
  </si>
  <si>
    <t>Blackburn with DarwenTrinity Housing Association Limited</t>
  </si>
  <si>
    <t>BlackpoolAnchor Hanover Group</t>
  </si>
  <si>
    <t>BlackpoolArpeggio Properties Limited</t>
  </si>
  <si>
    <t>BlackpoolAssured Living Housing Association Limited</t>
  </si>
  <si>
    <t>BlackpoolCommunity Gateway Association Limited</t>
  </si>
  <si>
    <t>BlackpoolCreative Support Limited</t>
  </si>
  <si>
    <t>BlackpoolEmpower Housing Association Limited</t>
  </si>
  <si>
    <t>BlackpoolFunding Affordable Homes Housing Association Limited</t>
  </si>
  <si>
    <t>BlackpoolGreat Places Housing Association</t>
  </si>
  <si>
    <t>BlackpoolHalo Housing Association Limited</t>
  </si>
  <si>
    <t>BlackpoolHeylo Housing Registered Provider Limited</t>
  </si>
  <si>
    <t>BlackpoolHome Group Limited</t>
  </si>
  <si>
    <t>BlackpoolHousing 21</t>
  </si>
  <si>
    <t>BlackpoolInclusion Housing Community Interest Company</t>
  </si>
  <si>
    <t>BlackpoolManchester Unity Housing Association Limited</t>
  </si>
  <si>
    <t>BlackpoolMuir Group Housing Association Limited</t>
  </si>
  <si>
    <t>BlackpoolMy Space Housing Solutions</t>
  </si>
  <si>
    <t>BlackpoolPlaces for People Homes Limited</t>
  </si>
  <si>
    <t>BlackpoolPlaces for People Living+ Limited</t>
  </si>
  <si>
    <t>BlackpoolProgress Housing Association Limited</t>
  </si>
  <si>
    <t>BlackpoolRegenda Limited</t>
  </si>
  <si>
    <t>BlackpoolSalvation Army Housing Association</t>
  </si>
  <si>
    <t>BlackpoolThe Abbeyfield Society</t>
  </si>
  <si>
    <t>BlackpoolThe Guinness Partnership Limited</t>
  </si>
  <si>
    <t>BlackpoolYour Housing Limited</t>
  </si>
  <si>
    <t>BolsoverAcis Group Limited</t>
  </si>
  <si>
    <t>BolsoverAction Housing and Support Limited</t>
  </si>
  <si>
    <t>BolsoverCare Housing Association Limited</t>
  </si>
  <si>
    <t>BolsoverDerwent Housing Association Limited</t>
  </si>
  <si>
    <t>BolsoverEMH Housing and Regeneration Limited</t>
  </si>
  <si>
    <t>BolsoverFutures Homescape Limited</t>
  </si>
  <si>
    <t>BolsoverHeylo Housing Registered Provider Limited</t>
  </si>
  <si>
    <t>BolsoverHome Group Limited</t>
  </si>
  <si>
    <t>BolsoverHousing 21</t>
  </si>
  <si>
    <t>BolsoverInclusion Housing Community Interest Company</t>
  </si>
  <si>
    <t>BolsoverMy Space Housing Solutions</t>
  </si>
  <si>
    <t>BolsoverParagon Asra Housing Limited</t>
  </si>
  <si>
    <t>BolsoverPlaces for People Living+ Limited</t>
  </si>
  <si>
    <t>BolsoverProgress Housing Association Limited</t>
  </si>
  <si>
    <t>BolsoverSouth Yorkshire Housing Association Limited</t>
  </si>
  <si>
    <t>BolsoverThe Guinness Partnership Limited</t>
  </si>
  <si>
    <t>BolsoverThe Riverside Group Limited</t>
  </si>
  <si>
    <t>BolsoverTrident Housing Association Limited</t>
  </si>
  <si>
    <t>BoltonAnchor Hanover Group</t>
  </si>
  <si>
    <t>BoltonArcon Housing Association Limited</t>
  </si>
  <si>
    <t>BoltonArpeggio Properties Limited</t>
  </si>
  <si>
    <t>BoltonBolton at Home Limited</t>
  </si>
  <si>
    <t>BoltonCare Housing Association Limited</t>
  </si>
  <si>
    <t>BoltonClarion Housing Association Limited</t>
  </si>
  <si>
    <t>BoltonGreat Places Housing Association</t>
  </si>
  <si>
    <t>BoltonHalo Housing Association Limited</t>
  </si>
  <si>
    <t>BoltonHilldale Housing Association Limited</t>
  </si>
  <si>
    <t>BoltonInclusion Housing Community Interest Company</t>
  </si>
  <si>
    <t>BoltonIrwell Valley Housing Association Limited</t>
  </si>
  <si>
    <t>BoltonMosscare St. Vincent's Housing Group Limited</t>
  </si>
  <si>
    <t>BoltonMy Space Housing Solutions</t>
  </si>
  <si>
    <t>BoltonOnward Homes Limited</t>
  </si>
  <si>
    <t>BoltonPlaces for People Homes Limited</t>
  </si>
  <si>
    <t>BoltonPlaces for People Living+ Limited</t>
  </si>
  <si>
    <t>BoltonPlexus UK (First Project) Limited</t>
  </si>
  <si>
    <t>BoltonProgress Housing Association Limited</t>
  </si>
  <si>
    <t>BoltonSalvation Army Housing Association</t>
  </si>
  <si>
    <t>BoltonSanctuary Housing Association</t>
  </si>
  <si>
    <t>BoltonSensible Housing Co-operative Limited</t>
  </si>
  <si>
    <t>BoltonThe Guinness Partnership Limited</t>
  </si>
  <si>
    <t>BoltonThe Riverside Group Limited</t>
  </si>
  <si>
    <t>BoltonYour Housing Limited</t>
  </si>
  <si>
    <t>BostonAccent Housing Limited</t>
  </si>
  <si>
    <t>BostonAdvance Housing and Support Limited</t>
  </si>
  <si>
    <t>BostonClarion Housing Association Limited</t>
  </si>
  <si>
    <t>BostonEmpower Housing Association Limited</t>
  </si>
  <si>
    <t>BostonFramework Housing Association</t>
  </si>
  <si>
    <t>BostonHousing 21</t>
  </si>
  <si>
    <t>BostonLincolnshire Housing Partnership Limited</t>
  </si>
  <si>
    <t>BostonLincolnshire Rural Housing Association Limited</t>
  </si>
  <si>
    <t>BostonLonghurst Group Limited</t>
  </si>
  <si>
    <t>BostonNACRO</t>
  </si>
  <si>
    <t>BostonPlatform Housing Limited</t>
  </si>
  <si>
    <t>BostonProgress Housing Association Limited</t>
  </si>
  <si>
    <t>BostonSt Leonards Hospital</t>
  </si>
  <si>
    <t>Bracknell ForestA2Dominion South Limited</t>
  </si>
  <si>
    <t>Bracknell ForestAbility Housing Association</t>
  </si>
  <si>
    <t>Bracknell ForestAccent Housing Limited</t>
  </si>
  <si>
    <t>Bracknell ForestAdvance Housing and Support Limited</t>
  </si>
  <si>
    <t>Bracknell ForestAnchor Hanover Group</t>
  </si>
  <si>
    <t>Bracknell ForestCatalyst Housing Limited</t>
  </si>
  <si>
    <t>Bracknell ForestClarion Housing Association Limited</t>
  </si>
  <si>
    <t>Bracknell ForestFirst Priority Housing Association Limited</t>
  </si>
  <si>
    <t>Bracknell ForestHeylo Housing Registered Provider Limited</t>
  </si>
  <si>
    <t>Bracknell ForestHome Group Limited</t>
  </si>
  <si>
    <t>Bracknell ForestHousing 21</t>
  </si>
  <si>
    <t>Bracknell ForestHousing Solutions</t>
  </si>
  <si>
    <t>Bracknell ForestLondon &amp; Quadrant Housing Trust</t>
  </si>
  <si>
    <t>Bracknell ForestLook Ahead Care and Support Limited</t>
  </si>
  <si>
    <t>Bracknell ForestMetropolitan Housing Trust Limited</t>
  </si>
  <si>
    <t>Bracknell ForestMoat Homes Limited</t>
  </si>
  <si>
    <t>Bracknell ForestNotting Hill Home Ownership Limited</t>
  </si>
  <si>
    <t>Bracknell ForestOne Housing Group Limited</t>
  </si>
  <si>
    <t>Bracknell ForestPlaces for People Homes Limited</t>
  </si>
  <si>
    <t>Bracknell ForestPlaces for People Living+ Limited</t>
  </si>
  <si>
    <t>Bracknell ForestSage Housing Limited</t>
  </si>
  <si>
    <t>Bracknell ForestShepherds Bush Housing Association Limited</t>
  </si>
  <si>
    <t>Bracknell ForestSilva Homes Limited</t>
  </si>
  <si>
    <t>Bracknell ForestSouthern Housing Group Limited</t>
  </si>
  <si>
    <t>Bracknell ForestSovereign Housing Association Limited</t>
  </si>
  <si>
    <t>Bracknell ForestStonewater Limited</t>
  </si>
  <si>
    <t>Bracknell ForestThe Swaythling Housing Society Limited</t>
  </si>
  <si>
    <t>Bracknell ForestVivid Housing Limited</t>
  </si>
  <si>
    <t>BradfordAbbeyfield The Dales Limited</t>
  </si>
  <si>
    <t>BradfordAccent Housing Limited</t>
  </si>
  <si>
    <t>BradfordAnchor Hanover Group</t>
  </si>
  <si>
    <t>BradfordArpeggio Properties Limited</t>
  </si>
  <si>
    <t>BradfordBradford Cyrenians Limited</t>
  </si>
  <si>
    <t>BradfordCare Housing Association Limited</t>
  </si>
  <si>
    <t>BradfordCentrepoint Soho</t>
  </si>
  <si>
    <t>BradfordChartford Housing Limited</t>
  </si>
  <si>
    <t>BradfordClarion Housing Association Limited</t>
  </si>
  <si>
    <t>BradfordCreative Support Limited</t>
  </si>
  <si>
    <t xml:space="preserve">BradfordEncircle Housing </t>
  </si>
  <si>
    <t>BradfordGeorge Newton Housing Trust</t>
  </si>
  <si>
    <t>BradfordGreat Places Housing Association</t>
  </si>
  <si>
    <t>BradfordHabinteg Housing Association Limited</t>
  </si>
  <si>
    <t>BradfordHalo Housing Association Limited</t>
  </si>
  <si>
    <t>BradfordHeylo Housing Registered Provider Limited</t>
  </si>
  <si>
    <t>BradfordHome Group Limited</t>
  </si>
  <si>
    <t>BradfordHousing 21</t>
  </si>
  <si>
    <t>BradfordHumankind Charity</t>
  </si>
  <si>
    <t>BradfordInclusion Housing Community Interest Company</t>
  </si>
  <si>
    <t>BradfordIncommunities Limited</t>
  </si>
  <si>
    <t>Bradford'Johnnie' Johnson Housing Trust Limited</t>
  </si>
  <si>
    <t>BradfordLangley House Trust</t>
  </si>
  <si>
    <t>BradfordManningham Housing Association Limited</t>
  </si>
  <si>
    <t>BradfordMethodist Homes Housing Association Limited</t>
  </si>
  <si>
    <t>BradfordMuir Group Housing Association Limited</t>
  </si>
  <si>
    <t>BradfordMy Space Housing Solutions</t>
  </si>
  <si>
    <t>BradfordNotting Hill Home Ownership Limited</t>
  </si>
  <si>
    <t>BradfordPlaces for People Homes Limited</t>
  </si>
  <si>
    <t>BradfordPlaces for People Living+ Limited</t>
  </si>
  <si>
    <t>BradfordPlexus UK (First Project) Limited</t>
  </si>
  <si>
    <t>BradfordProgress Housing Association Limited</t>
  </si>
  <si>
    <t>BradfordSanctuary Housing Association</t>
  </si>
  <si>
    <t>BradfordStonewater (2) Limited</t>
  </si>
  <si>
    <t>BradfordThe Guinness Partnership Limited</t>
  </si>
  <si>
    <t>BradfordThe Riverside Group Limited</t>
  </si>
  <si>
    <t>BradfordTogether Housing Association Limited</t>
  </si>
  <si>
    <t>BradfordWakefield And District Housing Limited</t>
  </si>
  <si>
    <t>BradfordWestmoreland Supported Housing Limited</t>
  </si>
  <si>
    <t>BradfordYorkshire Housing Limited</t>
  </si>
  <si>
    <t>BradfordYour Housing Limited</t>
  </si>
  <si>
    <t>BraintreeAbbeyfield Braintree, Bocking and Felsted Society Limited</t>
  </si>
  <si>
    <t>BraintreeAnchor Hanover Group</t>
  </si>
  <si>
    <t>BraintreeBocking United Charities</t>
  </si>
  <si>
    <t>BraintreeChelmer Housing Partnership Limited</t>
  </si>
  <si>
    <t>BraintreeClarion Housing Association Limited</t>
  </si>
  <si>
    <t>BraintreeE W King Memorial Homes</t>
  </si>
  <si>
    <t>BraintreeEastlight Community Homes Limited</t>
  </si>
  <si>
    <t>BraintreeEnglish Rural Housing Association Limited</t>
  </si>
  <si>
    <t>BraintreeEstuary Housing Association Limited</t>
  </si>
  <si>
    <t>BraintreeFlagship Housing Group Limited</t>
  </si>
  <si>
    <t>BraintreeHabinteg Housing Association Limited</t>
  </si>
  <si>
    <t>BraintreeHastoe Housing Association Limited</t>
  </si>
  <si>
    <t>BraintreeHeylo Housing Registered Provider Limited</t>
  </si>
  <si>
    <t>BraintreeHome Group Limited</t>
  </si>
  <si>
    <t>BraintreeHousing 21</t>
  </si>
  <si>
    <t>BraintreeLocal Space</t>
  </si>
  <si>
    <t>BraintreeLondon &amp; Quadrant Housing Trust</t>
  </si>
  <si>
    <t>BraintreeMetropolitan Housing Trust Limited</t>
  </si>
  <si>
    <t>BraintreeNACRO</t>
  </si>
  <si>
    <t>BraintreePlaces for People Homes Limited</t>
  </si>
  <si>
    <t>BraintreeReside Housing Association Limited</t>
  </si>
  <si>
    <t>BraintreeSaffron Housing Trust Limited</t>
  </si>
  <si>
    <t>BraintreeSage Housing Limited</t>
  </si>
  <si>
    <t>BraintreeSalvation Army Housing Association</t>
  </si>
  <si>
    <t>BraintreeSanctuary Affordable Housing Limited</t>
  </si>
  <si>
    <t>BraintreeSanctuary Housing Association</t>
  </si>
  <si>
    <t>BraintreeSwan Housing Association Limited</t>
  </si>
  <si>
    <t>BraintreeThe Guinness Partnership Limited</t>
  </si>
  <si>
    <t>BraintreeThe Havebury Housing Partnership</t>
  </si>
  <si>
    <t>BraintreeWebster Almshouse Trust</t>
  </si>
  <si>
    <t>BraintreeWitham Housing Association Limited</t>
  </si>
  <si>
    <t>BrecklandAnchor Hanover Group</t>
  </si>
  <si>
    <t>BrecklandBroadland Housing Association Limited</t>
  </si>
  <si>
    <t>BrecklandClarion Housing Association Limited</t>
  </si>
  <si>
    <t>BrecklandCotman Housing Association Limited</t>
  </si>
  <si>
    <t>BrecklandEmpower Housing Association Limited</t>
  </si>
  <si>
    <t>BrecklandFlagship Housing Group Limited</t>
  </si>
  <si>
    <t>BrecklandHabinteg Housing Association Limited</t>
  </si>
  <si>
    <t>BrecklandHastoe Housing Association Limited</t>
  </si>
  <si>
    <t>BrecklandHeylo Housing Registered Provider Limited</t>
  </si>
  <si>
    <t>BrecklandHousing 21</t>
  </si>
  <si>
    <t>BrecklandMetropolitan Housing Trust Limited</t>
  </si>
  <si>
    <t>BrecklandMuir Group Housing Association Limited</t>
  </si>
  <si>
    <t>BrecklandOrbit Group Limited</t>
  </si>
  <si>
    <t>BrecklandOrwell Housing Association Limited</t>
  </si>
  <si>
    <t>BrecklandProgress Housing Association Limited</t>
  </si>
  <si>
    <t>BrecklandSaffron Housing Trust Limited</t>
  </si>
  <si>
    <t>BrecklandSage Housing Limited</t>
  </si>
  <si>
    <t>BrecklandSanctuary Affordable Housing Limited</t>
  </si>
  <si>
    <t>BrecklandSanctuary Housing Association</t>
  </si>
  <si>
    <t>BrecklandThe Havebury Housing Partnership</t>
  </si>
  <si>
    <t>BrecklandThe Papworth Trust</t>
  </si>
  <si>
    <t>BrentA2Dominion Homes Limited</t>
  </si>
  <si>
    <t>BrentApna Ghar Housing Association Limited</t>
  </si>
  <si>
    <t>BrentArhag Housing Association Limited</t>
  </si>
  <si>
    <t>BrentBlue Square Residential Ltd</t>
  </si>
  <si>
    <t>BrentCatalyst Housing Limited</t>
  </si>
  <si>
    <t>BrentCentrepoint Soho</t>
  </si>
  <si>
    <t>BrentClarion Housing Association Limited</t>
  </si>
  <si>
    <t>BrentCyron Housing Co-operative Limited</t>
  </si>
  <si>
    <t>BrentDimensions (UK) Limited</t>
  </si>
  <si>
    <t>BrentFirst Wave Housing Limited</t>
  </si>
  <si>
    <t>BrentHabinteg Housing Association Limited</t>
  </si>
  <si>
    <t>BrentHastoe Housing Association Limited</t>
  </si>
  <si>
    <t>BrentHillside Housing Trust Limited</t>
  </si>
  <si>
    <t>BrentHome Group Limited</t>
  </si>
  <si>
    <t>BrentHyde Housing Association Limited</t>
  </si>
  <si>
    <t>BrentInnisfree Housing Association Limited</t>
  </si>
  <si>
    <t>BrentInquilab Housing Association Limited</t>
  </si>
  <si>
    <t>BrentJewish Community Housing Association Limited</t>
  </si>
  <si>
    <t>BrentLangley House Trust</t>
  </si>
  <si>
    <t>BrentLondon &amp; Quadrant Housing Trust</t>
  </si>
  <si>
    <t>BrentMethodist Homes Housing Association Limited</t>
  </si>
  <si>
    <t>BrentMetropolitan Housing Trust Limited</t>
  </si>
  <si>
    <t>BrentNetwork Homes Limited</t>
  </si>
  <si>
    <t>BrentNotting Hill Genesis</t>
  </si>
  <si>
    <t>BrentNotting Hill Home Ownership Limited</t>
  </si>
  <si>
    <t>BrentOctavia Housing</t>
  </si>
  <si>
    <t>BrentOdu-Dua Housing Association Limited</t>
  </si>
  <si>
    <t>BrentOne Housing Group Limited</t>
  </si>
  <si>
    <t>BrentOrigin Housing 2 Limited</t>
  </si>
  <si>
    <t>BrentOrigin Housing Limited</t>
  </si>
  <si>
    <t>BrentParadigm Homes Charitable Housing Association Limited</t>
  </si>
  <si>
    <t>BrentParagon Asra Housing Limited</t>
  </si>
  <si>
    <t>BrentParasol Homes Limited</t>
  </si>
  <si>
    <t>BrentPeabody Trust</t>
  </si>
  <si>
    <t>BrentPortobello Housing Co-operative Limited</t>
  </si>
  <si>
    <t>BrentReside Housing Association Limited</t>
  </si>
  <si>
    <t>BrentSalvation Army Housing Association</t>
  </si>
  <si>
    <t>BrentSanctuary Housing Association</t>
  </si>
  <si>
    <t>BrentSapphire Independent Housing Limited</t>
  </si>
  <si>
    <t>BrentShepherds Bush Housing Association Limited</t>
  </si>
  <si>
    <t>BrentSouthern Housing Group Limited</t>
  </si>
  <si>
    <t>BrentSt Mungo Community Housing Association</t>
  </si>
  <si>
    <t>BrentTamil Community Housing Association Limited</t>
  </si>
  <si>
    <t>BrentTeachers' Housing Association Limited</t>
  </si>
  <si>
    <t>BrentThe Riverside Group Limited</t>
  </si>
  <si>
    <t>BrentWest Hampstead Housing Co-operative Limited</t>
  </si>
  <si>
    <t>BrentWestway Housing Association Limited</t>
  </si>
  <si>
    <t>BrentWillesden Green Housing Co-operative Limited</t>
  </si>
  <si>
    <t>BrentYour Housing Limited</t>
  </si>
  <si>
    <t>BrentwoodAnchor Hanover Group</t>
  </si>
  <si>
    <t>BrentwoodB3 Living Limited</t>
  </si>
  <si>
    <t>BrentwoodBrentwood Housing Trust Limited</t>
  </si>
  <si>
    <t>BrentwoodChelmer Housing Partnership Limited</t>
  </si>
  <si>
    <t>BrentwoodClarion Housing Association Limited</t>
  </si>
  <si>
    <t>BrentwoodEstuary Housing Association Limited</t>
  </si>
  <si>
    <t>BrentwoodGateway Housing Association Limited</t>
  </si>
  <si>
    <t>BrentwoodHeylo Housing Registered Provider Limited</t>
  </si>
  <si>
    <t>BrentwoodHome Group Limited</t>
  </si>
  <si>
    <t>BrentwoodLondon &amp; Quadrant Housing Trust</t>
  </si>
  <si>
    <t>BrentwoodMoat Homes Limited</t>
  </si>
  <si>
    <t>BrentwoodNotting Hill Genesis</t>
  </si>
  <si>
    <t>BrentwoodSaffron Housing Trust Limited</t>
  </si>
  <si>
    <t>BrentwoodSage Housing Limited</t>
  </si>
  <si>
    <t>BrentwoodSalvation Army Housing Association</t>
  </si>
  <si>
    <t>BrentwoodSanctuary Housing Association</t>
  </si>
  <si>
    <t>BrentwoodSwan Housing Association Limited</t>
  </si>
  <si>
    <t>BrentwoodThe Shen Place Almshouses</t>
  </si>
  <si>
    <t>Brighton and HoveAbbeyfield South Downs Limited</t>
  </si>
  <si>
    <t>Brighton and HoveAnchor Hanover Group</t>
  </si>
  <si>
    <t>Brighton and HoveBrighton and Hove Almshouse Charity</t>
  </si>
  <si>
    <t>Brighton and HoveBrighton and Hove Jewish Housing Association Limited</t>
  </si>
  <si>
    <t>Brighton and HoveBrighton Lions Housing Society Limited</t>
  </si>
  <si>
    <t>Brighton and HoveBrighton YMCA</t>
  </si>
  <si>
    <t>Brighton and HoveChisel Limited</t>
  </si>
  <si>
    <t>Brighton and HoveClarion Housing Association Limited</t>
  </si>
  <si>
    <t>Brighton and HoveDimensions (UK) Limited</t>
  </si>
  <si>
    <t>Brighton and HoveHeylo Housing Registered Provider Limited</t>
  </si>
  <si>
    <t>Brighton and HoveHome Group Limited</t>
  </si>
  <si>
    <t>Brighton and HoveHyde Housing Association Limited</t>
  </si>
  <si>
    <t>Brighton and HoveMoat Homes Limited</t>
  </si>
  <si>
    <t>Brighton and HoveNotting Hill Home Ownership Limited</t>
  </si>
  <si>
    <t>Brighton and HoveOptivo</t>
  </si>
  <si>
    <t>Brighton and HoveOrbit Group Limited</t>
  </si>
  <si>
    <t>Brighton and HoveOrigin Housing Limited</t>
  </si>
  <si>
    <t>Brighton and HovePlaces for People Homes Limited</t>
  </si>
  <si>
    <t>Brighton and HovePorthove Housing Association Limited</t>
  </si>
  <si>
    <t>Brighton and HoveReside Housing Association Limited</t>
  </si>
  <si>
    <t>Brighton and HoveSage Housing Limited</t>
  </si>
  <si>
    <t>Brighton and HoveSanctuary Housing Association</t>
  </si>
  <si>
    <t>Brighton and HoveSaxon Weald</t>
  </si>
  <si>
    <t>Brighton and HoveShepherds Bush Housing Association Limited</t>
  </si>
  <si>
    <t>Brighton and HoveSouthdown Housing Association Limited</t>
  </si>
  <si>
    <t>Brighton and HoveSouthern Housing Group Limited</t>
  </si>
  <si>
    <t>Brighton and HoveSovereign Housing Association Limited</t>
  </si>
  <si>
    <t>Brighton and HoveSt Mungo Community Housing Association</t>
  </si>
  <si>
    <t>Brighton and HoveStonewater (2) Limited</t>
  </si>
  <si>
    <t>Brighton and HoveStonewater Limited</t>
  </si>
  <si>
    <t>Brighton and HoveSussex Housing &amp; Care</t>
  </si>
  <si>
    <t>Brighton and HoveSussex Overseas Housing Society Limited</t>
  </si>
  <si>
    <t>Brighton and HoveTeachers' Housing Association Limited</t>
  </si>
  <si>
    <t>Brighton and HoveThe Fellowship Houses Trust</t>
  </si>
  <si>
    <t>Brighton and HoveThe Guinness Partnership Limited</t>
  </si>
  <si>
    <t>Brighton and HoveThe Riverside Group Limited</t>
  </si>
  <si>
    <t>Brighton and HoveWestmoreland Supported Housing Limited</t>
  </si>
  <si>
    <t>Brighton and HoveWorthing Homes Limited</t>
  </si>
  <si>
    <t>Brighton and HoveYMCA Downslink Group</t>
  </si>
  <si>
    <t>BroadlandAdvance Housing and Support Limited</t>
  </si>
  <si>
    <t>BroadlandBroadland Housing Association Limited</t>
  </si>
  <si>
    <t>BroadlandClarion Housing Association Limited</t>
  </si>
  <si>
    <t>BroadlandCotman Housing Association Limited</t>
  </si>
  <si>
    <t>BroadlandFlagship Housing Group Limited</t>
  </si>
  <si>
    <t>BroadlandOrbit Group Limited</t>
  </si>
  <si>
    <t>BroadlandPlaces for People Homes Limited</t>
  </si>
  <si>
    <t>BroadlandProgress Housing Association Limited</t>
  </si>
  <si>
    <t>BroadlandReside Housing Association Limited</t>
  </si>
  <si>
    <t>BroadlandSaffron Housing Trust Limited</t>
  </si>
  <si>
    <t>BroadlandSage Housing Limited</t>
  </si>
  <si>
    <t>BroadlandSanctuary Affordable Housing Limited</t>
  </si>
  <si>
    <t>BroadlandShepherds Bush Housing Association Limited</t>
  </si>
  <si>
    <t>BroadlandThe Papworth Trust</t>
  </si>
  <si>
    <t>BromleyA2Dominion Homes Limited</t>
  </si>
  <si>
    <t>BromleyAccent Housing Limited</t>
  </si>
  <si>
    <t>BromleyAdvance Housing and Support Limited</t>
  </si>
  <si>
    <t>BromleyAnchor Hanover Group</t>
  </si>
  <si>
    <t>BromleyBirnbeck Housing Association Limited</t>
  </si>
  <si>
    <t>BromleyCedarmore Housing Association Limited</t>
  </si>
  <si>
    <t>BromleyChisel Limited</t>
  </si>
  <si>
    <t>BromleyChislehurst and Sidcup Housing Association</t>
  </si>
  <si>
    <t>BromleyClarion Housing Association Limited</t>
  </si>
  <si>
    <t>BromleyCroydon Churches Housing Association Limited</t>
  </si>
  <si>
    <t>BromleyEkaya Housing Association Limited</t>
  </si>
  <si>
    <t>BromleyGlebe Housing Association Limited</t>
  </si>
  <si>
    <t>BromleyHabinteg Housing Association Limited</t>
  </si>
  <si>
    <t>BromleyHexagon Housing Association Limited</t>
  </si>
  <si>
    <t>BromleyHeylo Housing Registered Provider Limited</t>
  </si>
  <si>
    <t>BromleyHome Group Limited</t>
  </si>
  <si>
    <t>BromleyHyde Housing Association Limited</t>
  </si>
  <si>
    <t>BromleyKeniston Housing Association Limited</t>
  </si>
  <si>
    <t>BromleyLondon &amp; Quadrant Housing Trust</t>
  </si>
  <si>
    <t>BromleyLook Ahead Care and Support Limited</t>
  </si>
  <si>
    <t>BromleyMetropolitan Housing Trust Limited</t>
  </si>
  <si>
    <t>BromleyMoat Homes Limited</t>
  </si>
  <si>
    <t>BromleyNotting Hill Genesis</t>
  </si>
  <si>
    <t>BromleyNotting Hill Home Ownership Limited</t>
  </si>
  <si>
    <t>BromleyOne Housing Group Limited</t>
  </si>
  <si>
    <t>BromleyOptivo</t>
  </si>
  <si>
    <t>BromleyOrbit Group Limited</t>
  </si>
  <si>
    <t>BromleyPeabody Trust</t>
  </si>
  <si>
    <t>BromleyPenge Churches Housing Association Limited</t>
  </si>
  <si>
    <t>BromleyPhoenix Community Housing Association (Bellingham and Downham) Limited</t>
  </si>
  <si>
    <t>BromleyPhoenix House</t>
  </si>
  <si>
    <t>BromleyRadcliffe Housing Society Limited</t>
  </si>
  <si>
    <t>BromleyRapport Housing and Care</t>
  </si>
  <si>
    <t>BromleyReside Housing Association Limited</t>
  </si>
  <si>
    <t>BromleySanctuary Housing Association</t>
  </si>
  <si>
    <t>BromleySouthern Housing Group Limited</t>
  </si>
  <si>
    <t>BromleyThe Abbeyfield London Polish Society Limited</t>
  </si>
  <si>
    <t>BromleyThe Guinness Partnership Limited</t>
  </si>
  <si>
    <t>BromleyThe Riverside Group Limited</t>
  </si>
  <si>
    <t>BromleyWandle Housing Association Limited</t>
  </si>
  <si>
    <t>BromleyWestminster Community Homes Limited</t>
  </si>
  <si>
    <t>BromsgroveBromford Housing Association Limited</t>
  </si>
  <si>
    <t>BromsgroveBromsgrove District Housing Trust Limited</t>
  </si>
  <si>
    <t>BromsgroveBromsgrove United Charities</t>
  </si>
  <si>
    <t>BromsgroveCitizen Housing Group Limited</t>
  </si>
  <si>
    <t>BromsgroveClarion Housing Association Limited</t>
  </si>
  <si>
    <t>BromsgroveHousing 21</t>
  </si>
  <si>
    <t>BromsgroveLonghurst Group Limited</t>
  </si>
  <si>
    <t>BromsgroveMidland Heart Limited</t>
  </si>
  <si>
    <t>BromsgroveOptivo</t>
  </si>
  <si>
    <t>BromsgrovePlatform Housing Limited</t>
  </si>
  <si>
    <t>BromsgroveRooftop Housing Association Limited</t>
  </si>
  <si>
    <t>BromsgroveStonewater Limited</t>
  </si>
  <si>
    <t>BromsgroveWalsall Housing Group Limited</t>
  </si>
  <si>
    <t>BroxbourneAnchor Hanover Group</t>
  </si>
  <si>
    <t>BroxbourneB3 Living Limited</t>
  </si>
  <si>
    <t>Broxbournebpha Limited</t>
  </si>
  <si>
    <t>BroxbourneCatalyst Housing Limited</t>
  </si>
  <si>
    <t>BroxbourneClarion Housing Association Limited</t>
  </si>
  <si>
    <t>BroxbourneHastoe Housing Association Limited</t>
  </si>
  <si>
    <t>BroxbourneHightown Housing Association Limited</t>
  </si>
  <si>
    <t>BroxbourneHome Group Limited</t>
  </si>
  <si>
    <t>BroxbourneHousing Solutions</t>
  </si>
  <si>
    <t>BroxbourneMetropolitan Housing Trust Limited</t>
  </si>
  <si>
    <t>BroxbourneNotting Hill Genesis</t>
  </si>
  <si>
    <t>BroxbourneNotting Hill Home Ownership Limited</t>
  </si>
  <si>
    <t>BroxbourneParadigm Homes Charitable Housing Association Limited</t>
  </si>
  <si>
    <t>BroxbourneSanctuary Housing Association</t>
  </si>
  <si>
    <t>BroxbourneSouthern Housing Group Limited</t>
  </si>
  <si>
    <t>BroxbourneThrive Homes Limited</t>
  </si>
  <si>
    <t>BroxtoweAccent Housing Limited</t>
  </si>
  <si>
    <t>BroxtoweAdvance Housing and Support Limited</t>
  </si>
  <si>
    <t>BroxtoweAnchor Hanover Group</t>
  </si>
  <si>
    <t>BroxtoweDerwent Housing Association Limited</t>
  </si>
  <si>
    <t>BroxtoweEMH Housing and Regeneration Limited</t>
  </si>
  <si>
    <t>BroxtoweFramework Housing Association</t>
  </si>
  <si>
    <t>BroxtoweFutures Homescape Limited</t>
  </si>
  <si>
    <t>BroxtoweHeylo Housing Registered Provider Limited</t>
  </si>
  <si>
    <t>BroxtoweLonghurst Group Limited</t>
  </si>
  <si>
    <t>BroxtoweMetropolitan Housing Trust Limited</t>
  </si>
  <si>
    <t>BroxtoweMidland Heart Limited</t>
  </si>
  <si>
    <t>BroxtoweNottingham Community Housing Association Limited</t>
  </si>
  <si>
    <t>BroxtoweParagon Asra Housing Limited</t>
  </si>
  <si>
    <t>BroxtowePlaces for People Homes Limited</t>
  </si>
  <si>
    <t>BroxtowePlatform Housing Limited</t>
  </si>
  <si>
    <t>BroxtoweProgress Housing Association Limited</t>
  </si>
  <si>
    <t>BroxtoweTuntum Housing Association Limited</t>
  </si>
  <si>
    <t>BurnleyAccent Housing Limited</t>
  </si>
  <si>
    <t>BurnleyAnchor Hanover Group</t>
  </si>
  <si>
    <t>BurnleyCalico Homes Limited</t>
  </si>
  <si>
    <t>BurnleyCare Housing Association Limited</t>
  </si>
  <si>
    <t>BurnleyColonel Slater Homes</t>
  </si>
  <si>
    <t>BurnleyCreative Support Limited</t>
  </si>
  <si>
    <t>BurnleyEmpower Housing Association Limited</t>
  </si>
  <si>
    <t>BurnleyGreat Places Housing Association</t>
  </si>
  <si>
    <t>BurnleyHousing 21</t>
  </si>
  <si>
    <t>BurnleyInclusion Housing Community Interest Company</t>
  </si>
  <si>
    <t>BurnleyMuir Group Housing Association Limited</t>
  </si>
  <si>
    <t>BurnleyMy Space Housing Solutions</t>
  </si>
  <si>
    <t>BurnleyOnward Homes Limited</t>
  </si>
  <si>
    <t>BurnleyPlaces for People Homes Limited</t>
  </si>
  <si>
    <t>BurnleyProgress Housing Association Limited</t>
  </si>
  <si>
    <t>BurnleyRegenda Limited</t>
  </si>
  <si>
    <t>BurnleyTogether Housing Association Limited</t>
  </si>
  <si>
    <t>BurnleyYour Housing Limited</t>
  </si>
  <si>
    <t>BuryAdullam Homes Housing Association Limited</t>
  </si>
  <si>
    <t>BuryAlpha (R.S.L.) Limited</t>
  </si>
  <si>
    <t>BuryAnchor Hanover Group</t>
  </si>
  <si>
    <t>BuryArcon Housing Association Limited</t>
  </si>
  <si>
    <t>BuryCreative Support Limited</t>
  </si>
  <si>
    <t>BuryEmpower Housing Association Limited</t>
  </si>
  <si>
    <t xml:space="preserve">BuryEncircle Housing </t>
  </si>
  <si>
    <t>BuryGreat Places Housing Association</t>
  </si>
  <si>
    <t>BuryHalo Housing Association Limited</t>
  </si>
  <si>
    <t>BuryHousing 21</t>
  </si>
  <si>
    <t>BuryInclusion Housing Community Interest Company</t>
  </si>
  <si>
    <t>BuryIrwell Valley Housing Association Limited</t>
  </si>
  <si>
    <t>Bury'Johnnie' Johnson Housing Trust Limited</t>
  </si>
  <si>
    <t>BuryMosscare St. Vincent's Housing Group Limited</t>
  </si>
  <si>
    <t>BuryMuir Group Housing Association Limited</t>
  </si>
  <si>
    <t>BuryMy Space Housing Solutions</t>
  </si>
  <si>
    <t>BuryOnward Homes Limited</t>
  </si>
  <si>
    <t>BuryPartners Foundation Limited</t>
  </si>
  <si>
    <t>BuryPlaces for People Homes Limited</t>
  </si>
  <si>
    <t>BuryPlaces for People Living+ Limited</t>
  </si>
  <si>
    <t>BuryProgress Housing Association Limited</t>
  </si>
  <si>
    <t>BuryRegenda Limited</t>
  </si>
  <si>
    <t>BurySanctuary Housing Association</t>
  </si>
  <si>
    <t>BurySix Town Housing Limited</t>
  </si>
  <si>
    <t>BuryThe Abbeyfield Bury Society Limited</t>
  </si>
  <si>
    <t>BuryThe Guinness Partnership Limited</t>
  </si>
  <si>
    <t>BuryThe Riverside Group Limited</t>
  </si>
  <si>
    <t>BuryYMCA Trinity Group</t>
  </si>
  <si>
    <t>BuryYour Housing Limited</t>
  </si>
  <si>
    <t>CalderdaleAccent Housing Limited</t>
  </si>
  <si>
    <t>CalderdaleAnchor Hanover Group</t>
  </si>
  <si>
    <t>CalderdaleArpeggio Properties Limited</t>
  </si>
  <si>
    <t>CalderdaleCalder Valley Community Land Trust Limited</t>
  </si>
  <si>
    <t>CalderdaleCharity Of Elizabeth Wadsworth</t>
  </si>
  <si>
    <t>CalderdaleChartford Housing Limited</t>
  </si>
  <si>
    <t>CalderdaleConnect Housing Association Limited</t>
  </si>
  <si>
    <t>CalderdaleCreative Support Limited</t>
  </si>
  <si>
    <t>CalderdaleFrank Crossley's Almshouses</t>
  </si>
  <si>
    <t>CalderdaleHeylo Housing Registered Provider Limited</t>
  </si>
  <si>
    <t>CalderdaleHighstone Housing Association Limited</t>
  </si>
  <si>
    <t>CalderdaleHilldale Housing Association Limited</t>
  </si>
  <si>
    <t>CalderdaleHome Group Limited</t>
  </si>
  <si>
    <t>CalderdaleHousing 21</t>
  </si>
  <si>
    <t>CalderdaleIKE Supported Housing Limited</t>
  </si>
  <si>
    <t>CalderdaleInclusion Housing Community Interest Company</t>
  </si>
  <si>
    <t>CalderdaleJoseph Crossley's Almshouses</t>
  </si>
  <si>
    <t>CalderdaleMosscare St. Vincent's Housing Group Limited</t>
  </si>
  <si>
    <t>CalderdaleMy Space Housing Solutions</t>
  </si>
  <si>
    <t>CalderdalePlaces for People Homes Limited</t>
  </si>
  <si>
    <t>CalderdalePlaces for People Living+ Limited</t>
  </si>
  <si>
    <t>CalderdaleSanctuary Housing Association</t>
  </si>
  <si>
    <t>CalderdaleStonewater (2) Limited</t>
  </si>
  <si>
    <t>CalderdaleThe Guinness Partnership Limited</t>
  </si>
  <si>
    <t>CalderdaleThe Riverside Group Limited</t>
  </si>
  <si>
    <t>CalderdaleTogether Housing Association Limited</t>
  </si>
  <si>
    <t>CalderdaleYorkshire Housing Limited</t>
  </si>
  <si>
    <t>CalderdaleYour Housing Limited</t>
  </si>
  <si>
    <t>CambridgeAnchor Hanover Group</t>
  </si>
  <si>
    <t>CambridgeArgyle Street Housing Co-operative Limited</t>
  </si>
  <si>
    <t>Cambridgebpha Limited</t>
  </si>
  <si>
    <t>CambridgeCatalyst Housing Limited</t>
  </si>
  <si>
    <t>CambridgeCherry Hinton Almshouse Charity</t>
  </si>
  <si>
    <t>CambridgeChorus Homes Limited</t>
  </si>
  <si>
    <t>CambridgeClarion Housing Association Limited</t>
  </si>
  <si>
    <t>CambridgeFlagship Housing Group Limited</t>
  </si>
  <si>
    <t>CambridgeFutures Homescape Limited</t>
  </si>
  <si>
    <t>CambridgeHastoe Housing Association Limited</t>
  </si>
  <si>
    <t>CambridgeHeylo Housing Registered Provider Limited</t>
  </si>
  <si>
    <t>CambridgeHousing 21</t>
  </si>
  <si>
    <t>CambridgeHundred Houses Society Limited</t>
  </si>
  <si>
    <t>CambridgeLondon &amp; Quadrant Housing Trust</t>
  </si>
  <si>
    <t>CambridgeMetropolitan Housing Trust Limited</t>
  </si>
  <si>
    <t>CambridgeOrbit Group Limited</t>
  </si>
  <si>
    <t>CambridgeOrigin Housing Limited</t>
  </si>
  <si>
    <t>CambridgeOrwell Housing Association Limited</t>
  </si>
  <si>
    <t>CambridgeParadise Housing Co-operative Limited</t>
  </si>
  <si>
    <t>CambridgeSage Housing Limited</t>
  </si>
  <si>
    <t>CambridgeSanctuary Housing Association</t>
  </si>
  <si>
    <t>CambridgeStonewater Limited</t>
  </si>
  <si>
    <t>CambridgeThe Abbeyfield Society</t>
  </si>
  <si>
    <t>CambridgeThe Cambridge Housing Society Limited</t>
  </si>
  <si>
    <t>CambridgeThe Papworth Trust</t>
  </si>
  <si>
    <t>CambridgeThe Riverside Group Limited</t>
  </si>
  <si>
    <t>CambridgeWaters Almshouses</t>
  </si>
  <si>
    <t>CambridgeYMCA Trinity Group</t>
  </si>
  <si>
    <t>CamdenA2Dominion Homes Limited</t>
  </si>
  <si>
    <t>CamdenAbeona Housing Co-operative Limited</t>
  </si>
  <si>
    <t>CamdenArhag Housing Association Limited</t>
  </si>
  <si>
    <t>CamdenCatalyst Housing Limited</t>
  </si>
  <si>
    <t>CamdenCentral and Cecil Housing Trust</t>
  </si>
  <si>
    <t>CamdenCentrepoint Soho</t>
  </si>
  <si>
    <t>CamdenClarion Housing Association Limited</t>
  </si>
  <si>
    <t>CamdenCo-operative Development Society Limited</t>
  </si>
  <si>
    <t>CamdenFairhazel Co-operative Limited</t>
  </si>
  <si>
    <t>CamdenHabinteg Housing Association Limited</t>
  </si>
  <si>
    <t>CamdenHarrison Housing</t>
  </si>
  <si>
    <t>CamdenHeathview Tenants' Co-operative Limited</t>
  </si>
  <si>
    <t>CamdenHousing For Women</t>
  </si>
  <si>
    <t>CamdenInnisfree Housing Association Limited</t>
  </si>
  <si>
    <t>CamdenIslington and Shoreditch Housing Association Limited</t>
  </si>
  <si>
    <t>CamdenLondon &amp; Quadrant Housing Trust</t>
  </si>
  <si>
    <t>CamdenNetwork Homes Limited</t>
  </si>
  <si>
    <t>CamdenNewlon Housing Trust</t>
  </si>
  <si>
    <t>CamdenNorth Camden Housing Co-operative Limited</t>
  </si>
  <si>
    <t>CamdenNotting Hill Genesis</t>
  </si>
  <si>
    <t>CamdenNotting Hill Home Ownership Limited</t>
  </si>
  <si>
    <t>CamdenOctavia Housing</t>
  </si>
  <si>
    <t>CamdenOdu-Dua Housing Association Limited</t>
  </si>
  <si>
    <t>CamdenOne Housing Group Limited</t>
  </si>
  <si>
    <t>CamdenOptivo</t>
  </si>
  <si>
    <t>CamdenOrigin Housing 2 Limited</t>
  </si>
  <si>
    <t>CamdenOrigin Housing Limited</t>
  </si>
  <si>
    <t>CamdenPan African Refugee Housing Co-operative Limited</t>
  </si>
  <si>
    <t>CamdenParagon Asra Housing Limited</t>
  </si>
  <si>
    <t>CamdenPeabody Trust</t>
  </si>
  <si>
    <t>CamdenPlaces for People Homes Limited</t>
  </si>
  <si>
    <t>CamdenPlaces for People Living+ Limited</t>
  </si>
  <si>
    <t>CamdenSalvation Army Housing Association</t>
  </si>
  <si>
    <t>CamdenSanctuary Housing Association</t>
  </si>
  <si>
    <t>CamdenSapphire Independent Housing Limited</t>
  </si>
  <si>
    <t>CamdenSoho Housing Association Limited</t>
  </si>
  <si>
    <t>CamdenSouth Camden Housing Co-operative Limited</t>
  </si>
  <si>
    <t>CamdenSouthern Housing Group Limited</t>
  </si>
  <si>
    <t>CamdenSt Christopher's Fellowship</t>
  </si>
  <si>
    <t>CamdenSt Mungo Community Housing Association</t>
  </si>
  <si>
    <t>CamdenThe Guinness Partnership Limited</t>
  </si>
  <si>
    <t>CamdenThe Industrial Dwellings Society (1885) Limited</t>
  </si>
  <si>
    <t>CamdenThe Riverside Group Limited</t>
  </si>
  <si>
    <t>CamdenWest Hampstead Housing Co-operative Limited</t>
  </si>
  <si>
    <t>CamdenWomen's Pioneer Housing Limited</t>
  </si>
  <si>
    <t>Cannock ChaseAdullam Homes Housing Association Limited</t>
  </si>
  <si>
    <t>Cannock ChaseAnchor Hanover Group</t>
  </si>
  <si>
    <t>Cannock ChaseAspire Housing Limited</t>
  </si>
  <si>
    <t>Cannock ChaseBromford Housing Association Limited</t>
  </si>
  <si>
    <t>Cannock ChaseCitizen Housing Group Limited</t>
  </si>
  <si>
    <t>Cannock ChaseClarion Housing Association Limited</t>
  </si>
  <si>
    <t>Cannock ChaseFunding Affordable Homes Housing Association Limited</t>
  </si>
  <si>
    <t>Cannock ChaseHeylo Housing Registered Provider Limited</t>
  </si>
  <si>
    <t>Cannock ChaseHousing 21</t>
  </si>
  <si>
    <t>Cannock ChaseInclusion Housing Community Interest Company</t>
  </si>
  <si>
    <t>Cannock ChaseMasonic Housing Association</t>
  </si>
  <si>
    <t>Cannock ChaseMidland Heart Limited</t>
  </si>
  <si>
    <t>Cannock ChasePlatform Housing Limited</t>
  </si>
  <si>
    <t>Cannock ChaseSanctuary Housing Association</t>
  </si>
  <si>
    <t>Cannock ChaseThe Birch, Samson and Littleton United Charities</t>
  </si>
  <si>
    <t>Cannock ChaseThe Wrekin Housing Group Limited</t>
  </si>
  <si>
    <t>Cannock ChaseTrident Housing Association Limited</t>
  </si>
  <si>
    <t>Cannock ChaseWalsall Housing Group Limited</t>
  </si>
  <si>
    <t>CanterburyAdvance Housing and Support Limited</t>
  </si>
  <si>
    <t>CanterburyAnchor Hanover Group</t>
  </si>
  <si>
    <t>CanterburyClarion Housing Association Limited</t>
  </si>
  <si>
    <t>CanterburyCo-operative Development Society Limited</t>
  </si>
  <si>
    <t>CanterburyFranklyn Housing Co-operative Limited</t>
  </si>
  <si>
    <t>CanterburyGolden Hill Housing Co-operative Limited</t>
  </si>
  <si>
    <t>CanterburyGolding Homes Limited</t>
  </si>
  <si>
    <t>CanterburyHilldale Housing Association Limited</t>
  </si>
  <si>
    <t>CanterburyHome Group Limited</t>
  </si>
  <si>
    <t>CanterburyHousing 21</t>
  </si>
  <si>
    <t>CanterburyHyde Housing Association Limited</t>
  </si>
  <si>
    <t>CanterburyInclusion Housing Community Interest Company</t>
  </si>
  <si>
    <t>CanterburyMoat Homes Limited</t>
  </si>
  <si>
    <t>CanterburyOptivo</t>
  </si>
  <si>
    <t>CanterburyOrbit Group Limited</t>
  </si>
  <si>
    <t>CanterburyPine Tree Housing Co-operative Limited</t>
  </si>
  <si>
    <t>CanterburyPlaces for People Homes Limited</t>
  </si>
  <si>
    <t>CanterburySanctuary Housing Association</t>
  </si>
  <si>
    <t>CanterburySouthern Housing Group Limited</t>
  </si>
  <si>
    <t>CanterburyThe Abbeyfield Society</t>
  </si>
  <si>
    <t>CanterburyThe Riverside Group Limited</t>
  </si>
  <si>
    <t>CanterburyTown and Country Housing</t>
  </si>
  <si>
    <t>CanterburyWarwick Housing Co-operative Limited</t>
  </si>
  <si>
    <t>CanterburyWest Kent Housing Association</t>
  </si>
  <si>
    <t>CanterburyWestmoreland Supported Housing Limited</t>
  </si>
  <si>
    <t>CarlisleAnchor Hanover Group</t>
  </si>
  <si>
    <t>CarlisleCastles &amp; Coasts Housing Association Limited</t>
  </si>
  <si>
    <t>CarlisleCreative Support Limited</t>
  </si>
  <si>
    <t>CarlisleDimensions (UK) Limited</t>
  </si>
  <si>
    <t>CarlisleEden Housing Association Limited</t>
  </si>
  <si>
    <t>CarlisleHeylo Housing Registered Provider Limited</t>
  </si>
  <si>
    <t>CarlisleHome Group Limited</t>
  </si>
  <si>
    <t>CarlisleInclusion Housing Community Interest Company</t>
  </si>
  <si>
    <t>CarlisleMary Hannah Almshouses</t>
  </si>
  <si>
    <t>CarlisleMitre Housing Association Limited</t>
  </si>
  <si>
    <t>CarlisleMy Space Housing Solutions</t>
  </si>
  <si>
    <t>CarlisleNew Foundations Housing Association Limited</t>
  </si>
  <si>
    <t>CarlislePartners Foundation Limited</t>
  </si>
  <si>
    <t>CarlisleProgress Housing Association Limited</t>
  </si>
  <si>
    <t>CarlisleRailway Housing Association and Benefit Fund</t>
  </si>
  <si>
    <t>CarlisleThe Riverside Group Limited</t>
  </si>
  <si>
    <t>Castle PointAdvance Housing and Support Limited</t>
  </si>
  <si>
    <t>Castle PointAnchor Hanover Group</t>
  </si>
  <si>
    <t>Castle PointChelmer Housing Partnership Limited</t>
  </si>
  <si>
    <t>Castle PointEstuary Housing Association Limited</t>
  </si>
  <si>
    <t>Castle PointHome Group Limited</t>
  </si>
  <si>
    <t>Castle PointLocal Space</t>
  </si>
  <si>
    <t>Castle PointLondon &amp; Quadrant Housing Trust</t>
  </si>
  <si>
    <t>Castle PointMoat Homes Limited</t>
  </si>
  <si>
    <t>Castle PointNACRO</t>
  </si>
  <si>
    <t>Castle PointNotting Hill Genesis</t>
  </si>
  <si>
    <t>Castle PointNotting Hill Home Ownership Limited</t>
  </si>
  <si>
    <t>Castle PointOne Housing Group Limited</t>
  </si>
  <si>
    <t>Castle PointOrigin Housing Limited</t>
  </si>
  <si>
    <t>Castle PointPlaces for People Homes Limited</t>
  </si>
  <si>
    <t>Castle PointSaffron Housing Trust Limited</t>
  </si>
  <si>
    <t>Castle PointSouthern Housing Group Limited</t>
  </si>
  <si>
    <t>Castle PointSwan Housing Association Limited</t>
  </si>
  <si>
    <t>Castle PointThe Abbeyfield Canvey Island Society Limited</t>
  </si>
  <si>
    <t>Castle PointThe Abbeyfield Society</t>
  </si>
  <si>
    <t>Castle PointThe Industrial Dwellings Society (1885) Limited</t>
  </si>
  <si>
    <t>Castle PointThe Papworth Trust</t>
  </si>
  <si>
    <t>Central BedfordshireAdvance Housing and Support Limited</t>
  </si>
  <si>
    <t>Central BedfordshireAnchor Hanover Group</t>
  </si>
  <si>
    <t>Central Bedfordshirebpha Limited</t>
  </si>
  <si>
    <t>Central BedfordshireCatalyst Housing Limited</t>
  </si>
  <si>
    <t>Central BedfordshireClarion Housing Association Limited</t>
  </si>
  <si>
    <t>Central BedfordshireCross Keys Homes Limited</t>
  </si>
  <si>
    <t>Central BedfordshireDimensions (UK) Limited</t>
  </si>
  <si>
    <t>Central BedfordshireFirst Garden Cities Homes Limited</t>
  </si>
  <si>
    <t>Central BedfordshireGrand Union Housing Group Limited</t>
  </si>
  <si>
    <t>Central BedfordshireHabinteg Housing Association Limited</t>
  </si>
  <si>
    <t>Central BedfordshireHeylo Housing Registered Provider Limited</t>
  </si>
  <si>
    <t>Central BedfordshireHightown Housing Association Limited</t>
  </si>
  <si>
    <t>Central BedfordshireHome Group Limited</t>
  </si>
  <si>
    <t>Central BedfordshireHousing 21</t>
  </si>
  <si>
    <t>Central BedfordshireInclusion Housing Community Interest Company</t>
  </si>
  <si>
    <t>Central BedfordshireNotting Hill Home Ownership Limited</t>
  </si>
  <si>
    <t>Central BedfordshireParadigm Homes Charitable Housing Association Limited</t>
  </si>
  <si>
    <t>Central BedfordshirePlaces for People Homes Limited</t>
  </si>
  <si>
    <t>Central BedfordshirePlaces for People Living+ Limited</t>
  </si>
  <si>
    <t>Central BedfordshireReside Housing Association Limited</t>
  </si>
  <si>
    <t>Central BedfordshireSage Housing Limited</t>
  </si>
  <si>
    <t>Central BedfordshireSettle Group</t>
  </si>
  <si>
    <t>Central BedfordshireStonewater (2) Limited</t>
  </si>
  <si>
    <t>Central BedfordshireStonewater (5) Limited</t>
  </si>
  <si>
    <t>Central BedfordshireStonewater Limited</t>
  </si>
  <si>
    <t>Central BedfordshireThe Guinness Partnership Limited</t>
  </si>
  <si>
    <t>Central BedfordshireThe Riverside Group Limited</t>
  </si>
  <si>
    <t>Central BedfordshireThrive Homes Limited</t>
  </si>
  <si>
    <t>Central BedfordshireToddington United Almshouse Charity</t>
  </si>
  <si>
    <t>CharnwoodAdullam Homes Housing Association Limited</t>
  </si>
  <si>
    <t>CharnwoodAdvance Housing and Support Limited</t>
  </si>
  <si>
    <t>CharnwoodAnchor Hanover Group</t>
  </si>
  <si>
    <t>CharnwoodDerwent Housing Association Limited</t>
  </si>
  <si>
    <t>CharnwoodEMH Housing and Regeneration Limited</t>
  </si>
  <si>
    <t>CharnwoodEmpower Housing Association Limited</t>
  </si>
  <si>
    <t>CharnwoodHalo Housing Association Limited</t>
  </si>
  <si>
    <t>CharnwoodHeylo Housing Registered Provider Limited</t>
  </si>
  <si>
    <t>CharnwoodHousing 21</t>
  </si>
  <si>
    <t>CharnwoodInclusion Housing Community Interest Company</t>
  </si>
  <si>
    <t>CharnwoodLonghurst Group Limited</t>
  </si>
  <si>
    <t>CharnwoodMetropolitan Housing Trust Limited</t>
  </si>
  <si>
    <t>CharnwoodMidland Heart Limited</t>
  </si>
  <si>
    <t>CharnwoodNottingham Community Housing Association Limited</t>
  </si>
  <si>
    <t>CharnwoodParagon Asra Housing Limited</t>
  </si>
  <si>
    <t>CharnwoodPlaces for People Homes Limited</t>
  </si>
  <si>
    <t>CharnwoodPlatform Housing Limited</t>
  </si>
  <si>
    <t>CharnwoodProgress Housing Association Limited</t>
  </si>
  <si>
    <t>CharnwoodStonewater (2) Limited</t>
  </si>
  <si>
    <t>CharnwoodStonewater (5) Limited</t>
  </si>
  <si>
    <t>CharnwoodStonewater Limited</t>
  </si>
  <si>
    <t>CharnwoodThe Abbeyfield Society</t>
  </si>
  <si>
    <t>CharnwoodThe Exaireo Trust Ltd</t>
  </si>
  <si>
    <t>CharnwoodThe Riverside Group Limited</t>
  </si>
  <si>
    <t>CharnwoodTrinity Housing Association Limited</t>
  </si>
  <si>
    <t>CharnwoodTuntum Housing Association Limited</t>
  </si>
  <si>
    <t>ChelmsfordChelmer Housing Partnership Limited</t>
  </si>
  <si>
    <t>ChelmsfordClarion Housing Association Limited</t>
  </si>
  <si>
    <t>ChelmsfordEastlight Community Homes Limited</t>
  </si>
  <si>
    <t>ChelmsfordEnglish Rural Housing Association Limited</t>
  </si>
  <si>
    <t>ChelmsfordEstuary Housing Association Limited</t>
  </si>
  <si>
    <t>ChelmsfordHabinteg Housing Association Limited</t>
  </si>
  <si>
    <t>ChelmsfordHastoe Housing Association Limited</t>
  </si>
  <si>
    <t>ChelmsfordHeylo Housing Registered Provider Limited</t>
  </si>
  <si>
    <t>ChelmsfordHome Group Limited</t>
  </si>
  <si>
    <t>ChelmsfordLondon &amp; Quadrant Housing Trust</t>
  </si>
  <si>
    <t>ChelmsfordMasonic Housing Association</t>
  </si>
  <si>
    <t>ChelmsfordMetropolitan Housing Trust Limited</t>
  </si>
  <si>
    <t>ChelmsfordMoat Homes Limited</t>
  </si>
  <si>
    <t>ChelmsfordNACRO</t>
  </si>
  <si>
    <t>ChelmsfordNotting Hill Genesis</t>
  </si>
  <si>
    <t>ChelmsfordNotting Hill Home Ownership Limited</t>
  </si>
  <si>
    <t>ChelmsfordOrigin Housing Limited</t>
  </si>
  <si>
    <t>ChelmsfordPlaces for People Homes Limited</t>
  </si>
  <si>
    <t>ChelmsfordSaffron Housing Trust Limited</t>
  </si>
  <si>
    <t>ChelmsfordSanctuary Housing Association</t>
  </si>
  <si>
    <t>ChelmsfordSwan Housing Association Limited</t>
  </si>
  <si>
    <t>ChelmsfordThe Guinness Partnership Limited</t>
  </si>
  <si>
    <t>ChelmsfordThe John Henry Keene Memorial Homes</t>
  </si>
  <si>
    <t>CheltenhamAdvance Housing and Support Limited</t>
  </si>
  <si>
    <t>CheltenhamAnchor Hanover Group</t>
  </si>
  <si>
    <t>CheltenhamBromford Housing Association Limited</t>
  </si>
  <si>
    <t>CheltenhamCheltenham Borough Homes Limited</t>
  </si>
  <si>
    <t>CheltenhamCheltenham Young Men's Christian Association</t>
  </si>
  <si>
    <t>CheltenhamCottsway Housing Association Limited</t>
  </si>
  <si>
    <t>CheltenhamElim Housing Association Limited</t>
  </si>
  <si>
    <t>CheltenhamFirst Priority Housing Association Limited</t>
  </si>
  <si>
    <t>CheltenhamGloucester City Homes Limited</t>
  </si>
  <si>
    <t>CheltenhamHeylo Housing Registered Provider Limited</t>
  </si>
  <si>
    <t>CheltenhamHilldale Housing Association Limited</t>
  </si>
  <si>
    <t>CheltenhamHome Group Limited</t>
  </si>
  <si>
    <t>CheltenhamHousing 21</t>
  </si>
  <si>
    <t>CheltenhamLiveWest Homes Limited</t>
  </si>
  <si>
    <t>CheltenhamMerlin Housing Society Limited</t>
  </si>
  <si>
    <t>CheltenhamPlatform Housing Limited</t>
  </si>
  <si>
    <t>CheltenhamRooftop Housing Association Limited</t>
  </si>
  <si>
    <t>CheltenhamSalvation Army Housing Association</t>
  </si>
  <si>
    <t>CheltenhamSanctuary Affordable Housing Limited</t>
  </si>
  <si>
    <t>CheltenhamSanctuary Housing Association</t>
  </si>
  <si>
    <t>CheltenhamSovereign Housing Association Limited</t>
  </si>
  <si>
    <t>CheltenhamThe Guinness Partnership Limited</t>
  </si>
  <si>
    <t>CheltenhamThe Riverside Group Limited</t>
  </si>
  <si>
    <t>CheltenhamWestmoreland Supported Housing Limited</t>
  </si>
  <si>
    <t>CherwellA2Dominion Homes Limited</t>
  </si>
  <si>
    <t>CherwellA2Dominion South Limited</t>
  </si>
  <si>
    <t>CherwellAbility Housing Association</t>
  </si>
  <si>
    <t>CherwellAdvance Housing and Support Limited</t>
  </si>
  <si>
    <t>CherwellAnchor Hanover Group</t>
  </si>
  <si>
    <t>Cherwellbpha Limited</t>
  </si>
  <si>
    <t>CherwellBromford Home Ownership Limited</t>
  </si>
  <si>
    <t>CherwellBromford Housing Association Limited</t>
  </si>
  <si>
    <t>CherwellCatalyst Housing Limited</t>
  </si>
  <si>
    <t>CherwellClarion Housing Association Limited</t>
  </si>
  <si>
    <t>CherwellCo-op Homes (South) Limited</t>
  </si>
  <si>
    <t>CherwellEnglish Rural Housing Association Limited</t>
  </si>
  <si>
    <t>CherwellGrand Union Housing Group Limited</t>
  </si>
  <si>
    <t>CherwellHeyford Regeneration Limited</t>
  </si>
  <si>
    <t>CherwellHeylo Housing Registered Provider Limited</t>
  </si>
  <si>
    <t>CherwellHome Group Limited</t>
  </si>
  <si>
    <t>CherwellHousing 21</t>
  </si>
  <si>
    <t>CherwellLondon &amp; Quadrant Housing Trust</t>
  </si>
  <si>
    <t>CherwellMethodist Homes Housing Association Limited</t>
  </si>
  <si>
    <t>CherwellMetropolitan Housing Trust Limited</t>
  </si>
  <si>
    <t>CherwellMoat Homes Limited</t>
  </si>
  <si>
    <t>CherwellParadigm Homes Charitable Housing Association Limited</t>
  </si>
  <si>
    <t>CherwellPlaces for People Homes Limited</t>
  </si>
  <si>
    <t>CherwellPlatform Housing Limited</t>
  </si>
  <si>
    <t>CherwellSage Housing Limited</t>
  </si>
  <si>
    <t>CherwellSanctuary Affordable Housing Limited</t>
  </si>
  <si>
    <t>CherwellSanctuary Housing Association</t>
  </si>
  <si>
    <t>CherwellShepherds Bush Housing Association Limited</t>
  </si>
  <si>
    <t>CherwellSoha Housing Limited</t>
  </si>
  <si>
    <t>CherwellSovereign Housing Association Limited</t>
  </si>
  <si>
    <t>CherwellStonewater (2) Limited</t>
  </si>
  <si>
    <t>CherwellStonewater (5) Limited</t>
  </si>
  <si>
    <t>CherwellStonewater Limited</t>
  </si>
  <si>
    <t>CherwellThe Abbeyfield Society</t>
  </si>
  <si>
    <t>CherwellThrive Homes Limited</t>
  </si>
  <si>
    <t>Cheshire EastAccent Housing Limited</t>
  </si>
  <si>
    <t>Cheshire EastAdullam Homes Housing Association Limited</t>
  </si>
  <si>
    <t>Cheshire EastAlpha (R.S.L.) Limited</t>
  </si>
  <si>
    <t>Cheshire EastAnchor Hanover Group</t>
  </si>
  <si>
    <t>Cheshire EastArcon Housing Association Limited</t>
  </si>
  <si>
    <t>Cheshire EastArpeggio Properties Limited</t>
  </si>
  <si>
    <t>Cheshire EastAspire Housing Limited</t>
  </si>
  <si>
    <t>Cheshire EastAuxesia Homes Limited</t>
  </si>
  <si>
    <t>Cheshire EastCharity of Marjorie Hurst</t>
  </si>
  <si>
    <t>Cheshire EastCheshire Peaks &amp; Plains Housing Trust Limited</t>
  </si>
  <si>
    <t xml:space="preserve">Cheshire EastEncircle Housing </t>
  </si>
  <si>
    <t>Cheshire EastFence Trust</t>
  </si>
  <si>
    <t>Cheshire EastGreat Places Housing Association</t>
  </si>
  <si>
    <t>Cheshire EastHeylo Housing Registered Provider Limited</t>
  </si>
  <si>
    <t>Cheshire EastHilldale Housing Association Limited</t>
  </si>
  <si>
    <t>Cheshire EastHoneycomb Group Limited</t>
  </si>
  <si>
    <t>Cheshire EastInclusion Housing Community Interest Company</t>
  </si>
  <si>
    <t>Cheshire East'Johnnie' Johnson Housing Trust Limited</t>
  </si>
  <si>
    <t>Cheshire EastLets for Life</t>
  </si>
  <si>
    <t>Cheshire EastMagenta Living</t>
  </si>
  <si>
    <t>Cheshire EastMosscare St. Vincent's Housing Group Limited</t>
  </si>
  <si>
    <t>Cheshire EastMuir Group Housing Association Limited</t>
  </si>
  <si>
    <t>Cheshire EastMy Space Housing Solutions</t>
  </si>
  <si>
    <t>Cheshire EastOne Vision Housing Limited</t>
  </si>
  <si>
    <t>Cheshire EastOnward Homes Limited</t>
  </si>
  <si>
    <t>Cheshire EastPartners Foundation Limited</t>
  </si>
  <si>
    <t>Cheshire EastPlaces for People Homes Limited</t>
  </si>
  <si>
    <t>Cheshire EastPlaces for People Living+ Limited</t>
  </si>
  <si>
    <t>Cheshire EastPlexus UK (First Project) Limited</t>
  </si>
  <si>
    <t>Cheshire EastPlus Dane Housing Limited</t>
  </si>
  <si>
    <t>Cheshire EastRegenda Limited</t>
  </si>
  <si>
    <t>Cheshire EastReside Housing Association Limited</t>
  </si>
  <si>
    <t>Cheshire EastSage Housing Limited</t>
  </si>
  <si>
    <t>Cheshire EastSanctuary Housing Association</t>
  </si>
  <si>
    <t>Cheshire EastSouthway Housing Trust (Manchester) Limited</t>
  </si>
  <si>
    <t>Cheshire EastThe Guinness Partnership Limited</t>
  </si>
  <si>
    <t>Cheshire EastThe Jane Maddock Homes</t>
  </si>
  <si>
    <t>Cheshire EastThe Poynton-with-Worth Almshouse Charity</t>
  </si>
  <si>
    <t>Cheshire EastThe Riverside Group Limited</t>
  </si>
  <si>
    <t>Cheshire EastTHT and L&amp;Q Community Limited</t>
  </si>
  <si>
    <t>Cheshire EastTorus62 Limited</t>
  </si>
  <si>
    <t>Cheshire EastWeaver Vale Housing Trust Limited</t>
  </si>
  <si>
    <t>Cheshire EastWestmoreland Supported Housing Limited</t>
  </si>
  <si>
    <t>Cheshire EastYour Housing Limited</t>
  </si>
  <si>
    <t>Cheshire West and ChesterAlpha (R.S.L.) Limited</t>
  </si>
  <si>
    <t>Cheshire West and ChesterAnchor Hanover Group</t>
  </si>
  <si>
    <t>Cheshire West and ChesterAspire Housing Limited</t>
  </si>
  <si>
    <t>Cheshire West and ChesterBirkenhead Forum Housing Association Limited</t>
  </si>
  <si>
    <t>Cheshire West and ChesterCheshire Peaks &amp; Plains Housing Trust Limited</t>
  </si>
  <si>
    <t>Cheshire West and ChesterClarion Housing Association Limited</t>
  </si>
  <si>
    <t>Cheshire West and ChesterEmpower Housing Association Limited</t>
  </si>
  <si>
    <t xml:space="preserve">Cheshire West and ChesterEncircle Housing </t>
  </si>
  <si>
    <t>Cheshire West and ChesterEnglish Rural Housing Association Limited</t>
  </si>
  <si>
    <t>Cheshire West and ChesterFirst Priority Housing Association Limited</t>
  </si>
  <si>
    <t>Cheshire West and ChesterForHousing Limited</t>
  </si>
  <si>
    <t>Cheshire West and ChesterFrontis Homes Limited</t>
  </si>
  <si>
    <t>Cheshire West and ChesterGreat Places Housing Association</t>
  </si>
  <si>
    <t>Cheshire West and ChesterHalo Housing Association Limited</t>
  </si>
  <si>
    <t>Cheshire West and ChesterHalton Housing</t>
  </si>
  <si>
    <t>Cheshire West and ChesterHeylo Housing Registered Provider Limited</t>
  </si>
  <si>
    <t>Cheshire West and ChesterHilldale Housing Association Limited</t>
  </si>
  <si>
    <t>Cheshire West and ChesterHome Group Limited</t>
  </si>
  <si>
    <t>Cheshire West and ChesterHousing 21</t>
  </si>
  <si>
    <t>Cheshire West and ChesterLets for Life</t>
  </si>
  <si>
    <t>Cheshire West and ChesterMagenta Living</t>
  </si>
  <si>
    <t>Cheshire West and ChesterMuir Group Housing Association Limited</t>
  </si>
  <si>
    <t>Cheshire West and ChesterMy Space Housing Solutions</t>
  </si>
  <si>
    <t>Cheshire West and ChesterOne Vision Housing Limited</t>
  </si>
  <si>
    <t>Cheshire West and ChesterOnward Homes Limited</t>
  </si>
  <si>
    <t>Cheshire West and ChesterPlaces for People Homes Limited</t>
  </si>
  <si>
    <t>Cheshire West and ChesterPlexus UK (First Project) Limited</t>
  </si>
  <si>
    <t>Cheshire West and ChesterPlus Dane Housing Limited</t>
  </si>
  <si>
    <t>Cheshire West and ChesterProgress Housing Association Limited</t>
  </si>
  <si>
    <t>Cheshire West and ChesterRegenda Limited</t>
  </si>
  <si>
    <t>Cheshire West and ChesterReside Housing Association Limited</t>
  </si>
  <si>
    <t>Cheshire West and ChesterSage Housing Limited</t>
  </si>
  <si>
    <t>Cheshire West and ChesterSanctuary Affordable Housing Limited</t>
  </si>
  <si>
    <t>Cheshire West and ChesterSanctuary Housing Association</t>
  </si>
  <si>
    <t>Cheshire West and ChesterSouth Cheshire Housing Society Limited</t>
  </si>
  <si>
    <t>Cheshire West and ChesterThe Abbeyfield Ellesmere Port Society Limited</t>
  </si>
  <si>
    <t>Cheshire West and ChesterThe Guinness Partnership Limited</t>
  </si>
  <si>
    <t>Cheshire West and ChesterThe Richmond Fellowship</t>
  </si>
  <si>
    <t>Cheshire West and ChesterThe Riverside Group Limited</t>
  </si>
  <si>
    <t>Cheshire West and ChesterTorus62 Limited</t>
  </si>
  <si>
    <t>Cheshire West and ChesterWeaver Vale Housing Trust Limited</t>
  </si>
  <si>
    <t>Cheshire West and ChesterWirral Methodist Housing Association Limited</t>
  </si>
  <si>
    <t>Cheshire West and ChesterYour Housing Limited</t>
  </si>
  <si>
    <t>ChesterfieldAcis Group Limited</t>
  </si>
  <si>
    <t>ChesterfieldAction Housing and Support Limited</t>
  </si>
  <si>
    <t>ChesterfieldAdullam Homes Housing Association Limited</t>
  </si>
  <si>
    <t>ChesterfieldAdvance Housing and Support Limited</t>
  </si>
  <si>
    <t>ChesterfieldAlliance Housing Association (South Yorkshire) Limited</t>
  </si>
  <si>
    <t>ChesterfieldAnchor Hanover Group</t>
  </si>
  <si>
    <t>ChesterfieldChesterfield Churches Housing Association Limited</t>
  </si>
  <si>
    <t>ChesterfieldDerwent Housing Association Limited</t>
  </si>
  <si>
    <t>ChesterfieldEMH Housing and Regeneration Limited</t>
  </si>
  <si>
    <t>ChesterfieldFirst Priority Housing Association Limited</t>
  </si>
  <si>
    <t>ChesterfieldGreat Places Housing Association</t>
  </si>
  <si>
    <t>ChesterfieldHabinteg Housing Association Limited</t>
  </si>
  <si>
    <t>ChesterfieldHeylo Housing Registered Provider Limited</t>
  </si>
  <si>
    <t>ChesterfieldHome Group Limited</t>
  </si>
  <si>
    <t>ChesterfieldHousing 21</t>
  </si>
  <si>
    <t>ChesterfieldInclusion Housing Community Interest Company</t>
  </si>
  <si>
    <t>Chesterfield'Johnnie' Johnson Housing Trust Limited</t>
  </si>
  <si>
    <t>ChesterfieldMetropolitan Housing Trust Limited</t>
  </si>
  <si>
    <t>ChesterfieldNottingham Community Housing Association Limited</t>
  </si>
  <si>
    <t>ChesterfieldPlaces for People Homes Limited</t>
  </si>
  <si>
    <t>ChesterfieldPlaces for People Living+ Limited</t>
  </si>
  <si>
    <t>ChesterfieldProgress Housing Association Limited</t>
  </si>
  <si>
    <t>ChesterfieldReside Housing Association Limited</t>
  </si>
  <si>
    <t>ChesterfieldSalvation Army Housing Association</t>
  </si>
  <si>
    <t>ChesterfieldSanctuary Housing Association</t>
  </si>
  <si>
    <t>ChesterfieldSouth Yorkshire Housing Association Limited</t>
  </si>
  <si>
    <t>ChesterfieldThe Guinness Partnership Limited</t>
  </si>
  <si>
    <t>ChesterfieldTogether Housing Association Limited</t>
  </si>
  <si>
    <t>ChichesterA2Dominion Homes Limited</t>
  </si>
  <si>
    <t>ChichesterA2Dominion South Limited</t>
  </si>
  <si>
    <t>ChichesterAnchor Hanover Group</t>
  </si>
  <si>
    <t>ChichesterChichester Greyfriars Housing Association Limited</t>
  </si>
  <si>
    <t>ChichesterClarion Housing Association Limited</t>
  </si>
  <si>
    <t>ChichesterCountess of Derby's Almshouse</t>
  </si>
  <si>
    <t>ChichesterGreenoak Housing Association Limited</t>
  </si>
  <si>
    <t>ChichesterHastoe Housing Association Limited</t>
  </si>
  <si>
    <t>ChichesterHome Group Limited</t>
  </si>
  <si>
    <t>ChichesterHyde Housing Association Limited</t>
  </si>
  <si>
    <t>ChichesterMartlet Homes Limited</t>
  </si>
  <si>
    <t>ChichesterMetropolitan Housing Trust Limited</t>
  </si>
  <si>
    <t>ChichesterMoat Homes Limited</t>
  </si>
  <si>
    <t>ChichesterNorthchapel, Petworth and Tillington Almshouses</t>
  </si>
  <si>
    <t>ChichesterNotting Hill Home Ownership Limited</t>
  </si>
  <si>
    <t>ChichesterPlaces for People Homes Limited</t>
  </si>
  <si>
    <t>ChichesterPlaces for People Living+ Limited</t>
  </si>
  <si>
    <t>ChichesterRogate and Terwick Housing Association Limited</t>
  </si>
  <si>
    <t>ChichesterSage Housing Limited</t>
  </si>
  <si>
    <t>ChichesterSouthdown Housing Association Limited</t>
  </si>
  <si>
    <t>ChichesterSouthern Housing Group Limited</t>
  </si>
  <si>
    <t>ChichesterStonewater Limited</t>
  </si>
  <si>
    <t>ChichesterThe Guinness Partnership Limited</t>
  </si>
  <si>
    <t>ChichesterThe Swaythling Housing Society Limited</t>
  </si>
  <si>
    <t>ChichesterTwo Saints Limited</t>
  </si>
  <si>
    <t>ChichesterWorthing Homes Limited</t>
  </si>
  <si>
    <t>ChorleyAccent Housing Limited</t>
  </si>
  <si>
    <t>ChorleyAnchor Hanover Group</t>
  </si>
  <si>
    <t>ChorleyArpeggio Properties Limited</t>
  </si>
  <si>
    <t>ChorleyAssured Living Housing Association Limited</t>
  </si>
  <si>
    <t>ChorleyCare Housing Association Limited</t>
  </si>
  <si>
    <t>ChorleyCommunity Gateway Association Limited</t>
  </si>
  <si>
    <t>ChorleyCreative Support Limited</t>
  </si>
  <si>
    <t>ChorleyEmpower Housing Association Limited</t>
  </si>
  <si>
    <t>ChorleyGreat Places Housing Association</t>
  </si>
  <si>
    <t>ChorleyHalo Housing Association Limited</t>
  </si>
  <si>
    <t>ChorleyHarbour Light Assisted Living CIC</t>
  </si>
  <si>
    <t>ChorleyHome Group Limited</t>
  </si>
  <si>
    <t>ChorleyMy Space Housing Solutions</t>
  </si>
  <si>
    <t>ChorleyNew Foundations Housing Association Limited</t>
  </si>
  <si>
    <t>ChorleyPlaces for People Homes Limited</t>
  </si>
  <si>
    <t>ChorleyPlaces for People Living+ Limited</t>
  </si>
  <si>
    <t>ChorleyPlexus UK (First Project) Limited</t>
  </si>
  <si>
    <t>ChorleyProgress Housing Association Limited</t>
  </si>
  <si>
    <t>ChorleyRegenda Limited</t>
  </si>
  <si>
    <t>ChorleyThe Guinness Partnership Limited</t>
  </si>
  <si>
    <t>ChorleyTogether Housing Association Limited</t>
  </si>
  <si>
    <t>ChorleyYour Housing Limited</t>
  </si>
  <si>
    <t>City of LondonAnchor Hanover Group</t>
  </si>
  <si>
    <t>City of LondonSt Mungo Community Housing Association</t>
  </si>
  <si>
    <t>City of LondonThe Guinness Partnership Limited</t>
  </si>
  <si>
    <t>ColchesterAdvance Housing and Support Limited</t>
  </si>
  <si>
    <t>ColchesterAnchor Hanover Group</t>
  </si>
  <si>
    <t>ColchesterBalkerne Gardens Trust Limited</t>
  </si>
  <si>
    <t>ColchesterBlackburn YMCA</t>
  </si>
  <si>
    <t>ColchesterChelmer Housing Partnership Limited</t>
  </si>
  <si>
    <t>ColchesterChisel Limited</t>
  </si>
  <si>
    <t>ColchesterClarion Housing Association Limited</t>
  </si>
  <si>
    <t>ColchesterCo-operative Development Society Limited</t>
  </si>
  <si>
    <t>ColchesterDimensions (UK) Limited</t>
  </si>
  <si>
    <t>ColchesterEastlight Community Homes Limited</t>
  </si>
  <si>
    <t>ColchesterEmpower Housing Association Limited</t>
  </si>
  <si>
    <t>ColchesterEnglish Rural Housing Association Limited</t>
  </si>
  <si>
    <t>ColchesterEstuary Housing Association Limited</t>
  </si>
  <si>
    <t>ColchesterFirst Priority Housing Association Limited</t>
  </si>
  <si>
    <t>ColchesterFlagship Housing Group Limited</t>
  </si>
  <si>
    <t>ColchesterHabinteg Housing Association Limited</t>
  </si>
  <si>
    <t>ColchesterHastoe Housing Association Limited</t>
  </si>
  <si>
    <t>ColchesterHeylo Housing Registered Provider Limited</t>
  </si>
  <si>
    <t>ColchesterHome Group Limited</t>
  </si>
  <si>
    <t>ColchesterInclusion Housing Community Interest Company</t>
  </si>
  <si>
    <t>ColchesterLocal Space</t>
  </si>
  <si>
    <t>ColchesterLondon &amp; Quadrant Housing Trust</t>
  </si>
  <si>
    <t>ColchesterMersea Island Trust</t>
  </si>
  <si>
    <t>ColchesterNACRO</t>
  </si>
  <si>
    <t>ColchesterNotting Hill Genesis</t>
  </si>
  <si>
    <t>ColchesterOrwell Housing Association Limited</t>
  </si>
  <si>
    <t>ColchesterPlaces for People Homes Limited</t>
  </si>
  <si>
    <t>ColchesterPlaces for People Living+ Limited</t>
  </si>
  <si>
    <t>ColchesterProgress Housing Association Limited</t>
  </si>
  <si>
    <t>ColchesterSaffron Housing Trust Limited</t>
  </si>
  <si>
    <t>ColchesterSalvation Army Housing Association</t>
  </si>
  <si>
    <t>ColchesterSanctuary Housing Association</t>
  </si>
  <si>
    <t>ColchesterSwan Housing Association Limited</t>
  </si>
  <si>
    <t>ColchesterThe Guinness Partnership Limited</t>
  </si>
  <si>
    <t>ColchesterThe Saint Mary Magdalen's Hospital</t>
  </si>
  <si>
    <t>ColchesterTrinity Housing Association Limited</t>
  </si>
  <si>
    <t>ColchesterWinnocks and Kendalls Almshouse Charity</t>
  </si>
  <si>
    <t>CopelandAnchor Hanover Group</t>
  </si>
  <si>
    <t>CopelandCastles &amp; Coasts Housing Association Limited</t>
  </si>
  <si>
    <t>CopelandEmpower Housing Association Limited</t>
  </si>
  <si>
    <t>CopelandHome Group Limited</t>
  </si>
  <si>
    <t>CopelandHousing 21</t>
  </si>
  <si>
    <t>CopelandJoseph and Eleanor Gunson Almshouse Trust</t>
  </si>
  <si>
    <t>CopelandMitre Housing Association Limited</t>
  </si>
  <si>
    <t>CopelandNew Foundations Housing Association Limited</t>
  </si>
  <si>
    <t>CopelandPartners Foundation Limited</t>
  </si>
  <si>
    <t>CopelandProgress Housing Association Limited</t>
  </si>
  <si>
    <t>CopelandSanctuary Housing Association</t>
  </si>
  <si>
    <t>CopelandThe Abbeyfield Society</t>
  </si>
  <si>
    <t>CopelandThe Abbeyfield Whitehaven Society Limited</t>
  </si>
  <si>
    <t>CopelandThe Riverside Group Limited</t>
  </si>
  <si>
    <t>CornwallAdvance Housing and Support Limited</t>
  </si>
  <si>
    <t>CornwallAnchor Hanover Group</t>
  </si>
  <si>
    <t>CornwallAster Communities</t>
  </si>
  <si>
    <t>CornwallBlackburn YMCA</t>
  </si>
  <si>
    <t>CornwallCharity of Alice Dale</t>
  </si>
  <si>
    <t>CornwallClarion Housing Association Limited</t>
  </si>
  <si>
    <t>CornwallCoastline Housing Limited</t>
  </si>
  <si>
    <t>CornwallCornwall CLT Limited</t>
  </si>
  <si>
    <t>CornwallCornwall Housing Limited</t>
  </si>
  <si>
    <t>CornwallCornwall Rural Housing Association Limited</t>
  </si>
  <si>
    <t>CornwallEarle's Retreat</t>
  </si>
  <si>
    <t>CornwallEmily Brydges Willyams Memorial Houses</t>
  </si>
  <si>
    <t xml:space="preserve">CornwallEncircle Housing </t>
  </si>
  <si>
    <t>CornwallHabinteg Housing Association Limited</t>
  </si>
  <si>
    <t>CornwallHastoe Housing Association Limited</t>
  </si>
  <si>
    <t>CornwallHeylo Housing Registered Provider Limited</t>
  </si>
  <si>
    <t>CornwallHome Group Limited</t>
  </si>
  <si>
    <t>CornwallHousing 21</t>
  </si>
  <si>
    <t>CornwallLegal &amp; General Affordable Homes Limited</t>
  </si>
  <si>
    <t>CornwallLiveWest Homes Limited</t>
  </si>
  <si>
    <t>CornwallMoat Homes Limited</t>
  </si>
  <si>
    <t>CornwallNotting Hill Home Ownership Limited</t>
  </si>
  <si>
    <t>CornwallOcean Housing Limited</t>
  </si>
  <si>
    <t>CornwallOptivo</t>
  </si>
  <si>
    <t>CornwallPivotal Housing Association</t>
  </si>
  <si>
    <t>CornwallPlaces for People Homes Limited</t>
  </si>
  <si>
    <t>CornwallPlymouth Community Homes Limited</t>
  </si>
  <si>
    <t>CornwallReside Housing Association Limited</t>
  </si>
  <si>
    <t>CornwallSalvation Army Housing Association</t>
  </si>
  <si>
    <t>CornwallSanctuary Affordable Housing Limited</t>
  </si>
  <si>
    <t>CornwallSanctuary Housing Association</t>
  </si>
  <si>
    <t>CornwallSovereign Housing Association Limited</t>
  </si>
  <si>
    <t>CornwallStephen Hutchen's Charity Trust</t>
  </si>
  <si>
    <t>CornwallSynergy Housing Limited</t>
  </si>
  <si>
    <t>CornwallTamar Housing Society Limited</t>
  </si>
  <si>
    <t>CornwallThe Abbeyfield Saltash Society Limited</t>
  </si>
  <si>
    <t>CornwallThe Abbeyfield Society</t>
  </si>
  <si>
    <t>CornwallThe Abbeyfield South West Society Limited</t>
  </si>
  <si>
    <t>CornwallThe Guinness Partnership Limited</t>
  </si>
  <si>
    <t>CornwallWestmoreland Supported Housing Limited</t>
  </si>
  <si>
    <t>CornwallWestward Housing Group Limited</t>
  </si>
  <si>
    <t>CotswoldAdvance Housing and Support Limited</t>
  </si>
  <si>
    <t>CotswoldAnchor Hanover Group</t>
  </si>
  <si>
    <t>CotswoldBromford Housing Association Limited</t>
  </si>
  <si>
    <t>CotswoldCirencester Housing Limited</t>
  </si>
  <si>
    <t>CotswoldCottsway Housing Association Limited</t>
  </si>
  <si>
    <t>CotswoldCuro Places Limited</t>
  </si>
  <si>
    <t>CotswoldGloucestershire Rural Housing Association Limited</t>
  </si>
  <si>
    <t>CotswoldHeylo Housing Registered Provider Limited</t>
  </si>
  <si>
    <t>CotswoldHousing 21</t>
  </si>
  <si>
    <t>CotswoldMerlin Housing Society Limited</t>
  </si>
  <si>
    <t>CotswoldMidland Heart Limited</t>
  </si>
  <si>
    <t>CotswoldPlatform Housing Limited</t>
  </si>
  <si>
    <t>CotswoldRooftop Housing Association Limited</t>
  </si>
  <si>
    <t>CotswoldSalvation Army Housing Association</t>
  </si>
  <si>
    <t>CotswoldSanctuary Housing Association</t>
  </si>
  <si>
    <t>CotswoldSoha Housing Limited</t>
  </si>
  <si>
    <t>CotswoldSovereign Housing Association Limited</t>
  </si>
  <si>
    <t>CotswoldStonewater (2) Limited</t>
  </si>
  <si>
    <t>CotswoldStonewater Limited</t>
  </si>
  <si>
    <t>CotswoldThe Abbeyfield Gloucestershire Society Limited</t>
  </si>
  <si>
    <t>CotswoldThe Abbeyfield Society</t>
  </si>
  <si>
    <t>CotswoldThe Guinness Partnership Limited</t>
  </si>
  <si>
    <t>CotswoldTwo Rivers Housing</t>
  </si>
  <si>
    <t>County DurhamAccent Housing Limited</t>
  </si>
  <si>
    <t>County DurhamAnchor Hanover Group</t>
  </si>
  <si>
    <t>County DurhamBelieve Housing Limited</t>
  </si>
  <si>
    <t>County DurhamBernicia Group</t>
  </si>
  <si>
    <t>County DurhamBrandon Aged Persons Homes</t>
  </si>
  <si>
    <t>County DurhamCastles &amp; Coasts Housing Association Limited</t>
  </si>
  <si>
    <t>County DurhamDurham Action on Single Housing Limited</t>
  </si>
  <si>
    <t>County DurhamDurham Aged Mineworkers' Homes Association</t>
  </si>
  <si>
    <t>County DurhamFalcon Housing Association C.I.C</t>
  </si>
  <si>
    <t>County DurhamHellens Residential Limited</t>
  </si>
  <si>
    <t>County DurhamHeylo Housing Registered Provider Limited</t>
  </si>
  <si>
    <t>County DurhamHome Group Limited</t>
  </si>
  <si>
    <t>County DurhamHousing 21</t>
  </si>
  <si>
    <t>County DurhamHumankind Charity</t>
  </si>
  <si>
    <t>County DurhamIKE Supported Housing Limited</t>
  </si>
  <si>
    <t>County DurhamInclusion Housing Community Interest Company</t>
  </si>
  <si>
    <t>County DurhamJacob Wright's Cottages</t>
  </si>
  <si>
    <t>County DurhamJane Cameron's Old Peoples Charity</t>
  </si>
  <si>
    <t>County Durham'Johnnie' Johnson Housing Trust Limited</t>
  </si>
  <si>
    <t>County DurhamKarbon Homes Limited</t>
  </si>
  <si>
    <t>County DurhamLivin Housing Limited</t>
  </si>
  <si>
    <t>County DurhamMy Space Housing Solutions</t>
  </si>
  <si>
    <t>County DurhamNorth Star Housing Group</t>
  </si>
  <si>
    <t>County DurhamPlaces for People Homes Limited</t>
  </si>
  <si>
    <t>County DurhamPlaces for People Living+ Limited</t>
  </si>
  <si>
    <t>County DurhamProgress Housing Association Limited</t>
  </si>
  <si>
    <t>County DurhamRailway Housing Association and Benefit Fund</t>
  </si>
  <si>
    <t>County DurhamReside Housing Association Limited</t>
  </si>
  <si>
    <t>County DurhamSherburn House Charity</t>
  </si>
  <si>
    <t>County DurhamTCUK Homes Limited</t>
  </si>
  <si>
    <t>County DurhamThe Riverside Group Limited</t>
  </si>
  <si>
    <t>County DurhamThirteen Housing Group Limited</t>
  </si>
  <si>
    <t>County DurhamWestmoreland Supported Housing Limited</t>
  </si>
  <si>
    <t>County DurhamWilliam Russell Bequest</t>
  </si>
  <si>
    <t>CoventryAdvance Housing and Support Limited</t>
  </si>
  <si>
    <t>CoventryAnchor Hanover Group</t>
  </si>
  <si>
    <t>CoventryCitizen Housing Group Limited</t>
  </si>
  <si>
    <t>CoventryClarion Housing Association Limited</t>
  </si>
  <si>
    <t>CoventryCoventry Church (Municipal) Charities</t>
  </si>
  <si>
    <t>CoventryDimensions (UK) Limited</t>
  </si>
  <si>
    <t>CoventryFairplace Homes Ltd</t>
  </si>
  <si>
    <t>CoventryHabinteg Housing Association Limited</t>
  </si>
  <si>
    <t>CoventryHeylo Housing Registered Provider Limited</t>
  </si>
  <si>
    <t>CoventryHome Group Limited</t>
  </si>
  <si>
    <t>CoventryHousing 21</t>
  </si>
  <si>
    <t>CoventryIKE Supported Housing Limited</t>
  </si>
  <si>
    <t>CoventryInclusion Housing Community Interest Company</t>
  </si>
  <si>
    <t>CoventryLangley House Trust</t>
  </si>
  <si>
    <t>CoventryMidland Heart Limited</t>
  </si>
  <si>
    <t>CoventryNehemiah United Churches Housing Association Limited</t>
  </si>
  <si>
    <t>CoventryOptivo</t>
  </si>
  <si>
    <t>CoventryOrbit Group Limited</t>
  </si>
  <si>
    <t>CoventryParagon Asra Housing Limited</t>
  </si>
  <si>
    <t>CoventryPlaces for People Homes Limited</t>
  </si>
  <si>
    <t>CoventrySanctuary Housing Association</t>
  </si>
  <si>
    <t>CoventryStarley Housing Co-operative Limited</t>
  </si>
  <si>
    <t>CoventryStonewater (2) Limited</t>
  </si>
  <si>
    <t>CoventryThe Extracare Charitable Trust</t>
  </si>
  <si>
    <t>CoventryTrinity Housing Association Limited</t>
  </si>
  <si>
    <t>CoventryTurning Point</t>
  </si>
  <si>
    <t>CravenAccent Housing Limited</t>
  </si>
  <si>
    <t>CravenAnchor Hanover Group</t>
  </si>
  <si>
    <t>CravenChartford Housing Limited</t>
  </si>
  <si>
    <t>CravenHome Group Limited</t>
  </si>
  <si>
    <t>CravenHousing 21</t>
  </si>
  <si>
    <t>CravenIncommunities Limited</t>
  </si>
  <si>
    <t>CravenLune Valley Rural Housing Association Limited</t>
  </si>
  <si>
    <t>CravenManningham Housing Association Limited</t>
  </si>
  <si>
    <t>CravenMuir Group Housing Association Limited</t>
  </si>
  <si>
    <t>CravenPlaces for People Homes Limited</t>
  </si>
  <si>
    <t>CravenProgress Housing Association Limited</t>
  </si>
  <si>
    <t>CravenSanctuary Housing Association</t>
  </si>
  <si>
    <t>CravenStonewater (2) Limited</t>
  </si>
  <si>
    <t>CravenTogether Housing Association Limited</t>
  </si>
  <si>
    <t>CravenWakefield And District Housing Limited</t>
  </si>
  <si>
    <t>CravenYorkshire Housing Limited</t>
  </si>
  <si>
    <t>CrawleyA2Dominion South Limited</t>
  </si>
  <si>
    <t>CrawleyAdvance Housing and Support Limited</t>
  </si>
  <si>
    <t>CrawleyAnchor Hanover Group</t>
  </si>
  <si>
    <t>Crawleybpha Limited</t>
  </si>
  <si>
    <t>CrawleyClarion Housing Association Limited</t>
  </si>
  <si>
    <t>CrawleyHeylo Housing Registered Provider Limited</t>
  </si>
  <si>
    <t>CrawleyHilldale Housing Association Limited</t>
  </si>
  <si>
    <t>CrawleyHousing 21</t>
  </si>
  <si>
    <t>CrawleyHyde Housing Association Limited</t>
  </si>
  <si>
    <t>CrawleyInclusion Housing Community Interest Company</t>
  </si>
  <si>
    <t>CrawleyKeniston Housing Association Limited</t>
  </si>
  <si>
    <t>CrawleyLondon &amp; Quadrant Housing Trust</t>
  </si>
  <si>
    <t>CrawleyMartlet Homes Limited</t>
  </si>
  <si>
    <t>CrawleyMetropolitan Housing Trust Limited</t>
  </si>
  <si>
    <t>CrawleyMoat Homes Limited</t>
  </si>
  <si>
    <t>CrawleyMount Green Housing Association Limited</t>
  </si>
  <si>
    <t>CrawleyNotting Hill Home Ownership Limited</t>
  </si>
  <si>
    <t>CrawleyOptivo</t>
  </si>
  <si>
    <t>CrawleyPlaces for People Homes Limited</t>
  </si>
  <si>
    <t>CrawleyRaven Housing Trust Limited</t>
  </si>
  <si>
    <t>CrawleyRosebery Housing Association Limited</t>
  </si>
  <si>
    <t>CrawleySanctuary Housing Association</t>
  </si>
  <si>
    <t>CrawleySouthdown Housing Association Limited</t>
  </si>
  <si>
    <t>CrawleySouthern Housing Group Limited</t>
  </si>
  <si>
    <t>CrawleyStonewater Limited</t>
  </si>
  <si>
    <t>CrawleyThe Field Lane Foundation</t>
  </si>
  <si>
    <t>CrawleyThe Guinness Partnership Limited</t>
  </si>
  <si>
    <t>CrawleyThe Swaythling Housing Society Limited</t>
  </si>
  <si>
    <t>CrawleyTown and Country Housing</t>
  </si>
  <si>
    <t>CrawleyTransform Housing &amp; Support</t>
  </si>
  <si>
    <t>CrawleyYMCA Downslink Group</t>
  </si>
  <si>
    <t>CroydonA2Dominion Homes Limited</t>
  </si>
  <si>
    <t>CroydonA2Dominion South Limited</t>
  </si>
  <si>
    <t>CroydonAbbeyfield Southern Oaks</t>
  </si>
  <si>
    <t>CroydonAbility Housing Association</t>
  </si>
  <si>
    <t>CroydonAddiscombe Catholic Housing Association Limited</t>
  </si>
  <si>
    <t>CroydonAdvance Housing and Support Limited</t>
  </si>
  <si>
    <t>CroydonAnchor Hanover Group</t>
  </si>
  <si>
    <t>CroydonCatalyst Housing Limited</t>
  </si>
  <si>
    <t>CroydonCentrepoint Soho</t>
  </si>
  <si>
    <t>CroydonChanging Lives Housing Trust</t>
  </si>
  <si>
    <t>CroydonChisel Limited</t>
  </si>
  <si>
    <t>CroydonClarion Housing Association Limited</t>
  </si>
  <si>
    <t>CroydonCromwood Housing Ltd</t>
  </si>
  <si>
    <t>CroydonCroydon Churches Housing Association Limited</t>
  </si>
  <si>
    <t>CroydonEkaya Housing Association Limited</t>
  </si>
  <si>
    <t>CroydonEldon Housing Association Limited</t>
  </si>
  <si>
    <t xml:space="preserve">CroydonEncircle Housing </t>
  </si>
  <si>
    <t>CroydonEvolve Housing + Support</t>
  </si>
  <si>
    <t>CroydonHabinteg Housing Association Limited</t>
  </si>
  <si>
    <t>CroydonHastoe Housing Association Limited</t>
  </si>
  <si>
    <t>CroydonHexagon Housing Association Limited</t>
  </si>
  <si>
    <t>CroydonHeylo Housing Registered Provider Limited</t>
  </si>
  <si>
    <t>CroydonHome Group Limited</t>
  </si>
  <si>
    <t>CroydonHousing 21</t>
  </si>
  <si>
    <t>CroydonHyde Housing Association Limited</t>
  </si>
  <si>
    <t>CroydonKeniston Housing Association Limited</t>
  </si>
  <si>
    <t>CroydonLangley House Trust</t>
  </si>
  <si>
    <t>CroydonLondon &amp; Quadrant Housing Trust</t>
  </si>
  <si>
    <t>CroydonLook Ahead Care and Support Limited</t>
  </si>
  <si>
    <t>CroydonMetropolitan Housing Trust Limited</t>
  </si>
  <si>
    <t>CroydonMoat Homes Limited</t>
  </si>
  <si>
    <t>CroydonNetwork Homes Limited</t>
  </si>
  <si>
    <t>CroydonNotting Hill Genesis</t>
  </si>
  <si>
    <t>CroydonNotting Hill Home Ownership Limited</t>
  </si>
  <si>
    <t>CroydonOptivo</t>
  </si>
  <si>
    <t>CroydonOrbit Group Limited</t>
  </si>
  <si>
    <t>CroydonParagon Asra Housing Limited</t>
  </si>
  <si>
    <t>CroydonPeabody Trust</t>
  </si>
  <si>
    <t>CroydonPlaces for People Homes Limited</t>
  </si>
  <si>
    <t>CroydonQuo Vadis Trust</t>
  </si>
  <si>
    <t>CroydonRadcliffe Housing Society Limited</t>
  </si>
  <si>
    <t>CroydonReside Housing Association Limited</t>
  </si>
  <si>
    <t>CroydonSage Housing Limited</t>
  </si>
  <si>
    <t>CroydonSanctuary Housing Association</t>
  </si>
  <si>
    <t>CroydonSouthern Housing Group Limited</t>
  </si>
  <si>
    <t>CroydonTeachers' Housing Association Limited</t>
  </si>
  <si>
    <t>CroydonThe Abbeyfield Sanderstead Society Limited</t>
  </si>
  <si>
    <t>CroydonThe Guinness Partnership Limited</t>
  </si>
  <si>
    <t>CroydonThe Riverside Group Limited</t>
  </si>
  <si>
    <t>CroydonWandle Housing Association Limited</t>
  </si>
  <si>
    <t>CroydonWindrush Alliance UK Community Interest Company</t>
  </si>
  <si>
    <t>DacorumAnchor Hanover Group</t>
  </si>
  <si>
    <t>DacorumCatalyst Housing Limited</t>
  </si>
  <si>
    <t>DacorumClarion Housing Association Limited</t>
  </si>
  <si>
    <t>DacorumCo-operative Development Society Limited</t>
  </si>
  <si>
    <t>DacorumEnglish Rural Housing Association Limited</t>
  </si>
  <si>
    <t>DacorumFirst Priority Housing Association Limited</t>
  </si>
  <si>
    <t>DacorumGrand Union Housing Group Limited</t>
  </si>
  <si>
    <t>DacorumHastoe Housing Association Limited</t>
  </si>
  <si>
    <t>DacorumHightown Housing Association Limited</t>
  </si>
  <si>
    <t>DacorumJewish Community Housing Association Limited</t>
  </si>
  <si>
    <t>DacorumLondon &amp; Quadrant Housing Trust</t>
  </si>
  <si>
    <t>DacorumMetropolitan Housing Trust Limited</t>
  </si>
  <si>
    <t>DacorumNotting Hill Genesis</t>
  </si>
  <si>
    <t>DacorumNotting Hill Home Ownership Limited</t>
  </si>
  <si>
    <t>DacorumParadigm Homes Charitable Housing Association Limited</t>
  </si>
  <si>
    <t>DacorumReside Housing Association Limited</t>
  </si>
  <si>
    <t>DacorumSage Housing Limited</t>
  </si>
  <si>
    <t>DacorumSanctuary Housing Association</t>
  </si>
  <si>
    <t>DacorumThe Abbeyfield (Berkhamsted &amp; Hemel Hempstead) Society Limited</t>
  </si>
  <si>
    <t>DacorumThe Abbeyfield Kings Langley Society Limited</t>
  </si>
  <si>
    <t>DacorumThrive Homes Limited</t>
  </si>
  <si>
    <t>DacorumWatford Community Housing Trust</t>
  </si>
  <si>
    <t>DacorumWestmoreland Supported Housing Limited</t>
  </si>
  <si>
    <t>Darlington700 Club</t>
  </si>
  <si>
    <t>DarlingtonAccent Housing Limited</t>
  </si>
  <si>
    <t>DarlingtonAnchor Hanover Group</t>
  </si>
  <si>
    <t>DarlingtonArpeggio Properties Limited</t>
  </si>
  <si>
    <t>DarlingtonBernicia Group</t>
  </si>
  <si>
    <t>DarlingtonBeyond Housing Limited</t>
  </si>
  <si>
    <t>DarlingtonBlackburn YMCA</t>
  </si>
  <si>
    <t>DarlingtonBroadacres Housing Association Limited</t>
  </si>
  <si>
    <t>DarlingtonCastles &amp; Coasts Housing Association Limited</t>
  </si>
  <si>
    <t>DarlingtonCreative Support Limited</t>
  </si>
  <si>
    <t>DarlingtonEmpower Housing Association Limited</t>
  </si>
  <si>
    <t>DarlingtonHellens Residential Limited</t>
  </si>
  <si>
    <t>DarlingtonHeylo Housing Registered Provider Limited</t>
  </si>
  <si>
    <t>DarlingtonHome Group Limited</t>
  </si>
  <si>
    <t>DarlingtonHousing 21</t>
  </si>
  <si>
    <t>DarlingtonHumankind Charity</t>
  </si>
  <si>
    <t>DarlingtonJane Cameron's Old Peoples Charity</t>
  </si>
  <si>
    <t>DarlingtonKarbon Homes Limited</t>
  </si>
  <si>
    <t>DarlingtonLivin Housing Limited</t>
  </si>
  <si>
    <t>DarlingtonMy Space Housing Solutions</t>
  </si>
  <si>
    <t>DarlingtonNorth Star Housing Group</t>
  </si>
  <si>
    <t>DarlingtonPlaces for People Homes Limited</t>
  </si>
  <si>
    <t>DarlingtonPlaces for People Living+ Limited</t>
  </si>
  <si>
    <t>DarlingtonProgress Housing Association Limited</t>
  </si>
  <si>
    <t>DarlingtonRailway Housing Association and Benefit Fund</t>
  </si>
  <si>
    <t>DarlingtonReside Housing Association Limited</t>
  </si>
  <si>
    <t>DarlingtonSalvation Army Housing Association</t>
  </si>
  <si>
    <t>DarlingtonSanctuary Housing Association</t>
  </si>
  <si>
    <t>DarlingtonSir E D Walker Homes</t>
  </si>
  <si>
    <t>DarlingtonThirteen Housing Group Limited</t>
  </si>
  <si>
    <t>DartfordAdvance Housing and Support Limited</t>
  </si>
  <si>
    <t>DartfordClarion Housing Association Limited</t>
  </si>
  <si>
    <t>DartfordCo-operative Development Society Limited</t>
  </si>
  <si>
    <t>DartfordDarent Housing Co-operative Limited</t>
  </si>
  <si>
    <t>DartfordDartford Almshouse Charity</t>
  </si>
  <si>
    <t>DartfordGolding Homes Limited</t>
  </si>
  <si>
    <t>DartfordGravesend Churches Housing Association Limited</t>
  </si>
  <si>
    <t>DartfordHome Group Limited</t>
  </si>
  <si>
    <t>DartfordHyde Housing Association Limited</t>
  </si>
  <si>
    <t>DartfordLondon &amp; Quadrant Housing Trust</t>
  </si>
  <si>
    <t>DartfordMoat Homes Limited</t>
  </si>
  <si>
    <t>DartfordOptivo</t>
  </si>
  <si>
    <t>DartfordOrbit Group Limited</t>
  </si>
  <si>
    <t>DartfordPlaces for People Homes Limited</t>
  </si>
  <si>
    <t>DartfordReside Housing Association Limited</t>
  </si>
  <si>
    <t>DartfordSalvation Army Housing Association</t>
  </si>
  <si>
    <t>DartfordThe Riverside Group Limited</t>
  </si>
  <si>
    <t>DartfordTown and Country Housing</t>
  </si>
  <si>
    <t>DartfordWest Kent Housing Association</t>
  </si>
  <si>
    <t>DartfordYMCA Thames Gateway</t>
  </si>
  <si>
    <t>DerbyAction Housing and Support Limited</t>
  </si>
  <si>
    <t>DerbyAnchor Hanover Group</t>
  </si>
  <si>
    <t>DerbyCreative Support Limited</t>
  </si>
  <si>
    <t>DerbyDerby Homes Limited</t>
  </si>
  <si>
    <t>DerbyDerwent Community Housing Association Limited</t>
  </si>
  <si>
    <t>DerbyDerwent Housing Association Limited</t>
  </si>
  <si>
    <t>DerbyDimensions (UK) Limited</t>
  </si>
  <si>
    <t>DerbyEMH Housing and Regeneration Limited</t>
  </si>
  <si>
    <t>DerbyFirst Priority Housing Association Limited</t>
  </si>
  <si>
    <t>DerbyFutures Homescape Limited</t>
  </si>
  <si>
    <t>DerbyHeylo Housing Registered Provider Limited</t>
  </si>
  <si>
    <t>DerbyHome Group Limited</t>
  </si>
  <si>
    <t>DerbyHousing 21</t>
  </si>
  <si>
    <t>DerbyInclusion Housing Community Interest Company</t>
  </si>
  <si>
    <t>DerbyLonghurst Group Limited</t>
  </si>
  <si>
    <t>DerbyMetropolitan Housing Trust Limited</t>
  </si>
  <si>
    <t>DerbyMy Space Housing Solutions</t>
  </si>
  <si>
    <t>DerbyNACRO</t>
  </si>
  <si>
    <t>DerbyNottingham Community Housing Association Limited</t>
  </si>
  <si>
    <t>DerbyP3 Housing Limited</t>
  </si>
  <si>
    <t>DerbyPlaces for People Homes Limited</t>
  </si>
  <si>
    <t>DerbyRetail Trust</t>
  </si>
  <si>
    <t>DerbySage Housing Limited</t>
  </si>
  <si>
    <t>DerbySalvation Army Housing Association</t>
  </si>
  <si>
    <t>DerbySanctuary Housing Association</t>
  </si>
  <si>
    <t>DerbyStonewater Limited</t>
  </si>
  <si>
    <t>DerbyThe Guinness Partnership Limited</t>
  </si>
  <si>
    <t>DerbyThe Riverside Group Limited</t>
  </si>
  <si>
    <t>DerbyTuntum Housing Association Limited</t>
  </si>
  <si>
    <t>DerbyWindrush Alliance UK Community Interest Company</t>
  </si>
  <si>
    <t>DerbyYMCA Derbyshire</t>
  </si>
  <si>
    <t>Derbyshire DalesAshbourne Almshouse Charity</t>
  </si>
  <si>
    <t>Derbyshire DalesDerwent Housing Association Limited</t>
  </si>
  <si>
    <t>Derbyshire DalesEMH Housing and Regeneration Limited</t>
  </si>
  <si>
    <t>Derbyshire DalesFutures Homescape Limited</t>
  </si>
  <si>
    <t>Derbyshire DalesHeylo Housing Registered Provider Limited</t>
  </si>
  <si>
    <t>Derbyshire DalesHousing 21</t>
  </si>
  <si>
    <t>Derbyshire DalesJohn Higgs Almshouses</t>
  </si>
  <si>
    <t>Derbyshire DalesMetropolitan Housing Trust Limited</t>
  </si>
  <si>
    <t>Derbyshire DalesNottingham Community Housing Association Limited</t>
  </si>
  <si>
    <t>Derbyshire DalesPeak District Rural Housing Association Limited</t>
  </si>
  <si>
    <t>Derbyshire DalesPlatform Housing Limited</t>
  </si>
  <si>
    <t>Derbyshire DalesSir Robert Coke's Almshouses</t>
  </si>
  <si>
    <t>Derbyshire DalesSouth Yorkshire Housing Association Limited</t>
  </si>
  <si>
    <t>Derbyshire DalesThe Guinness Partnership Limited</t>
  </si>
  <si>
    <t>Derbyshire DalesThe Riverside Group Limited</t>
  </si>
  <si>
    <t>DoncasterAcis Group Limited</t>
  </si>
  <si>
    <t>DoncasterAction Housing and Support Limited</t>
  </si>
  <si>
    <t>DoncasterAdvance Housing and Support Limited</t>
  </si>
  <si>
    <t>DoncasterAlliance Housing Association (South Yorkshire) Limited</t>
  </si>
  <si>
    <t>DoncasterAnchor Hanover Group</t>
  </si>
  <si>
    <t>DoncasterCooke Almshouse Charity</t>
  </si>
  <si>
    <t>DoncasterDoncaster Young Men's Christian Association</t>
  </si>
  <si>
    <t>DoncasterHeylo Housing Registered Provider Limited</t>
  </si>
  <si>
    <t>DoncasterHighstone Housing Association Limited</t>
  </si>
  <si>
    <t>DoncasterHome Group Limited</t>
  </si>
  <si>
    <t>DoncasterHousing 21</t>
  </si>
  <si>
    <t>DoncasterIKE Supported Housing Limited</t>
  </si>
  <si>
    <t>DoncasterInclusion Housing Community Interest Company</t>
  </si>
  <si>
    <t>DoncasterJ &amp; M Residential Lettings Limited</t>
  </si>
  <si>
    <t>Doncaster'Johnnie' Johnson Housing Trust Limited</t>
  </si>
  <si>
    <t>DoncasterMy Space Housing Solutions</t>
  </si>
  <si>
    <t>DoncasterOngo Homes Limited</t>
  </si>
  <si>
    <t>DoncasterPartners Foundation Limited</t>
  </si>
  <si>
    <t>DoncasterPlaces for People Homes Limited</t>
  </si>
  <si>
    <t>DoncasterProgress Housing Association Limited</t>
  </si>
  <si>
    <t>DoncasterRailway Housing Association and Benefit Fund</t>
  </si>
  <si>
    <t>DoncasterSalvation Army Housing Association</t>
  </si>
  <si>
    <t>DoncasterSanctuary Affordable Housing Limited</t>
  </si>
  <si>
    <t>DoncasterSanctuary Housing Association</t>
  </si>
  <si>
    <t>DoncasterSouth Yorkshire Housing Association Limited</t>
  </si>
  <si>
    <t>DoncasterStonewater (2) Limited</t>
  </si>
  <si>
    <t>DoncasterTarget Housing Limited</t>
  </si>
  <si>
    <t>DoncasterThe Guinness Partnership Limited</t>
  </si>
  <si>
    <t>DoncasterThe Hospital of St Thomas the Apostle in Doncaster</t>
  </si>
  <si>
    <t>DoncasterThe Riverside Group Limited</t>
  </si>
  <si>
    <t>DoncasterTogether Housing Association Limited</t>
  </si>
  <si>
    <t>DoncasterYorkshire Housing Limited</t>
  </si>
  <si>
    <t>DorsetAbbeyfield Wessex Society Limited</t>
  </si>
  <si>
    <t>DorsetAdvance Housing and Support Limited</t>
  </si>
  <si>
    <t>DorsetAnchor Hanover Group</t>
  </si>
  <si>
    <t>DorsetAster 3 Limited</t>
  </si>
  <si>
    <t>DorsetAster Communities</t>
  </si>
  <si>
    <t>DorsetBournemouth Churches Housing Association Limited</t>
  </si>
  <si>
    <t>DorsetChrysalis Supported Association Limited</t>
  </si>
  <si>
    <t>DorsetChubb, Whetstone and Napper's Almshouses</t>
  </si>
  <si>
    <t>DorsetEast Boro Housing Trust Limited</t>
  </si>
  <si>
    <t>DorsetEmpower Housing Association Limited</t>
  </si>
  <si>
    <t>DorsetFirst Priority Housing Association Limited</t>
  </si>
  <si>
    <t>DorsetFrontis Homes Limited</t>
  </si>
  <si>
    <t>DorsetHastoe Housing Association Limited</t>
  </si>
  <si>
    <t>DorsetHeylo Housing Registered Provider Limited</t>
  </si>
  <si>
    <t>DorsetHilldale Housing Association Limited</t>
  </si>
  <si>
    <t>DorsetHousing 21</t>
  </si>
  <si>
    <t>DorsetLiveWest Homes Limited</t>
  </si>
  <si>
    <t>DorsetMagna Housing Limited</t>
  </si>
  <si>
    <t>DorsetMoat Homes Limited</t>
  </si>
  <si>
    <t>DorsetParasol Homes Limited</t>
  </si>
  <si>
    <t>DorsetPlaces for People Homes Limited</t>
  </si>
  <si>
    <t>DorsetReside Housing Association Limited</t>
  </si>
  <si>
    <t>DorsetSanctuary Housing Association</t>
  </si>
  <si>
    <t>DorsetSandbourne Housing Association</t>
  </si>
  <si>
    <t>DorsetSouth Western Housing Society Limited</t>
  </si>
  <si>
    <t>DorsetSovereign Housing Association Limited</t>
  </si>
  <si>
    <t>DorsetStonewater (5) Limited</t>
  </si>
  <si>
    <t>DorsetStonewater Limited</t>
  </si>
  <si>
    <t>DorsetSturts Community Trust</t>
  </si>
  <si>
    <t>DorsetSynergy Housing Limited</t>
  </si>
  <si>
    <t>DorsetTamar Housing Society Limited</t>
  </si>
  <si>
    <t>DorsetTeachers' Housing Association Limited</t>
  </si>
  <si>
    <t>DorsetThe Abbeyfield (Weymouth) Society Limited</t>
  </si>
  <si>
    <t>DorsetThe Abbeyfield Society</t>
  </si>
  <si>
    <t>DorsetThe Guinness Partnership Limited</t>
  </si>
  <si>
    <t>DorsetThe Margaret Jane Ashley Almshouse Charity</t>
  </si>
  <si>
    <t>DorsetThe Swaythling Housing Society Limited</t>
  </si>
  <si>
    <t>DorsetTregonwell Almshouse Trust</t>
  </si>
  <si>
    <t>DorsetWestmoreland Supported Housing Limited</t>
  </si>
  <si>
    <t>DoverAdvance Housing and Support Limited</t>
  </si>
  <si>
    <t>DoverAnchor Hanover Group</t>
  </si>
  <si>
    <t>DoverClarion Housing Association Limited</t>
  </si>
  <si>
    <t>DoverEnglish Rural Housing Association Limited</t>
  </si>
  <si>
    <t>DoverHilldale Housing Association Limited</t>
  </si>
  <si>
    <t>DoverHome Group Limited</t>
  </si>
  <si>
    <t>DoverHousing 21</t>
  </si>
  <si>
    <t>DoverLook Ahead Care and Support Limited</t>
  </si>
  <si>
    <t>DoverMilldale Housing Co-operative Limited</t>
  </si>
  <si>
    <t>DoverMoat Homes Limited</t>
  </si>
  <si>
    <t>DoverOrbit Group Limited</t>
  </si>
  <si>
    <t>DoverPlaces for People Homes Limited</t>
  </si>
  <si>
    <t>DoverPlaces for People Living+ Limited</t>
  </si>
  <si>
    <t>DoverReside Housing Association Limited</t>
  </si>
  <si>
    <t>DoverResthaven Almshouses</t>
  </si>
  <si>
    <t>DoverSanctuary Affordable Housing Limited</t>
  </si>
  <si>
    <t>DoverSanctuary Housing Association</t>
  </si>
  <si>
    <t>DoverSouthern Housing Group Limited</t>
  </si>
  <si>
    <t>DoverThe Abbeyfield Society</t>
  </si>
  <si>
    <t>DoverThe Riverside Group Limited</t>
  </si>
  <si>
    <t>DoverTown and Country Housing</t>
  </si>
  <si>
    <t>DoverWest Kent Housing Association</t>
  </si>
  <si>
    <t>DudleyAdvance Housing and Support Limited</t>
  </si>
  <si>
    <t>DudleyAnchor Hanover Group</t>
  </si>
  <si>
    <t>DudleyBlack Country Housing Group Limited</t>
  </si>
  <si>
    <t>Dudleybpha Limited</t>
  </si>
  <si>
    <t>DudleyBromford Housing Association Limited</t>
  </si>
  <si>
    <t>DudleyCitizen Housing Group Limited</t>
  </si>
  <si>
    <t>DudleyClarion Housing Association Limited</t>
  </si>
  <si>
    <t>DudleyHeylo Housing Registered Provider Limited</t>
  </si>
  <si>
    <t>DudleyHome Group Limited</t>
  </si>
  <si>
    <t>DudleyHousing 21</t>
  </si>
  <si>
    <t>DudleyInclusion Housing Community Interest Company</t>
  </si>
  <si>
    <t>DudleyMidland Heart Limited</t>
  </si>
  <si>
    <t>DudleyNehemiah United Churches Housing Association Limited</t>
  </si>
  <si>
    <t>DudleyPlatform Housing Limited</t>
  </si>
  <si>
    <t>DudleyRooftop Housing Association Limited</t>
  </si>
  <si>
    <t>DudleySanctuary Housing Association</t>
  </si>
  <si>
    <t>DudleyStonewater (2) Limited</t>
  </si>
  <si>
    <t>DudleyWalsall Housing Group Limited</t>
  </si>
  <si>
    <t>DudleyWestmoreland Supported Housing Limited</t>
  </si>
  <si>
    <t>EalingA2Dominion Homes Limited</t>
  </si>
  <si>
    <t>EalingA2Dominion South Limited</t>
  </si>
  <si>
    <t>EalingAnchor Hanover Group</t>
  </si>
  <si>
    <t>EalingApna Ghar Housing Association Limited</t>
  </si>
  <si>
    <t>EalingBirnbeck Housing Association Limited</t>
  </si>
  <si>
    <t>EalingBlue Square Residential Ltd</t>
  </si>
  <si>
    <t>EalingCatalyst Housing Limited</t>
  </si>
  <si>
    <t>EalingCentral and Cecil Housing Trust</t>
  </si>
  <si>
    <t>EalingCentrepoint Soho</t>
  </si>
  <si>
    <t>EalingChrysalis Supported Association Limited</t>
  </si>
  <si>
    <t>EalingClarion Housing Association Limited</t>
  </si>
  <si>
    <t>EalingCo-op Homes (South) Limited</t>
  </si>
  <si>
    <t>EalingFirst Wave Housing Limited</t>
  </si>
  <si>
    <t>EalingHabinteg Housing Association Limited</t>
  </si>
  <si>
    <t>EalingHendon Christian Housing Association Limited</t>
  </si>
  <si>
    <t>EalingHilldale Housing Association Limited</t>
  </si>
  <si>
    <t>EalingHome Group Limited</t>
  </si>
  <si>
    <t>EalingHousing For Women</t>
  </si>
  <si>
    <t>EalingHousing Pathways Trust</t>
  </si>
  <si>
    <t>EalingInclusion Housing Community Interest Company</t>
  </si>
  <si>
    <t>EalingInnisfree Housing Association Limited</t>
  </si>
  <si>
    <t>EalingInquilab Housing Association Limited</t>
  </si>
  <si>
    <t>EalingKinsman Housing Limited</t>
  </si>
  <si>
    <t>EalingLondon &amp; Quadrant Housing Trust</t>
  </si>
  <si>
    <t>EalingLondon Cyrenians Housing Limited</t>
  </si>
  <si>
    <t>EalingLook Ahead Care and Support Limited</t>
  </si>
  <si>
    <t>EalingMetropolitan Housing Trust Limited</t>
  </si>
  <si>
    <t>EalingMoat Homes Limited</t>
  </si>
  <si>
    <t>EalingNetwork Homes Limited</t>
  </si>
  <si>
    <t>EalingNew Foundations Housing Association Limited</t>
  </si>
  <si>
    <t>EalingNotting Hill Genesis</t>
  </si>
  <si>
    <t>EalingNotting Hill Home Ownership Limited</t>
  </si>
  <si>
    <t>EalingOctavia Housing</t>
  </si>
  <si>
    <t>EalingOmega Housing Limited</t>
  </si>
  <si>
    <t>EalingOne Housing Group Limited</t>
  </si>
  <si>
    <t>EalingOptivo</t>
  </si>
  <si>
    <t>EalingOrigin Housing Limited</t>
  </si>
  <si>
    <t>EalingParagon Asra Housing Limited</t>
  </si>
  <si>
    <t>EalingPeabody Trust</t>
  </si>
  <si>
    <t>EalingPlaces for People Homes Limited</t>
  </si>
  <si>
    <t>EalingPolish Retired Persons Housing Association Limited</t>
  </si>
  <si>
    <t>EalingSanctuary Housing Association</t>
  </si>
  <si>
    <t>EalingShepherds Bush Housing Association Limited</t>
  </si>
  <si>
    <t>EalingSouthern Housing Group Limited</t>
  </si>
  <si>
    <t>EalingSt Christopher's Fellowship</t>
  </si>
  <si>
    <t>EalingSt Mungo Community Housing Association</t>
  </si>
  <si>
    <t>EalingStonewater Limited</t>
  </si>
  <si>
    <t>EalingThe Abbeyfield London Polish Society Limited</t>
  </si>
  <si>
    <t>EalingThe Guinness Partnership Limited</t>
  </si>
  <si>
    <t>EalingWandle Housing Association Limited</t>
  </si>
  <si>
    <t>EalingWater Tower Housing Co-operative Limited</t>
  </si>
  <si>
    <t>EalingWest London YMCA</t>
  </si>
  <si>
    <t>EalingWestlon Housing Association Limited</t>
  </si>
  <si>
    <t>EalingWestway Housing Association Limited</t>
  </si>
  <si>
    <t>EalingWomen's Pioneer Housing Limited</t>
  </si>
  <si>
    <t>East Cambridgeshirebpha Limited</t>
  </si>
  <si>
    <t>East CambridgeshireClarion Housing Association Limited</t>
  </si>
  <si>
    <t>East CambridgeshireEmpower Housing Association Limited</t>
  </si>
  <si>
    <t>East CambridgeshireFlagship Housing Group Limited</t>
  </si>
  <si>
    <t>East CambridgeshireFutures Homescape Limited</t>
  </si>
  <si>
    <t>East CambridgeshireHastoe Housing Association Limited</t>
  </si>
  <si>
    <t>East CambridgeshireHeylo Housing Registered Provider Limited</t>
  </si>
  <si>
    <t>East CambridgeshireHundred Houses Society Limited</t>
  </si>
  <si>
    <t>East CambridgeshireLonghurst Group Limited</t>
  </si>
  <si>
    <t>East CambridgeshireMetropolitan Housing Trust Limited</t>
  </si>
  <si>
    <t>East CambridgeshireMuir Group Housing Association Limited</t>
  </si>
  <si>
    <t>East CambridgeshireOrbit Group Limited</t>
  </si>
  <si>
    <t>East CambridgeshireProgress Housing Association Limited</t>
  </si>
  <si>
    <t>East CambridgeshireSaffron Housing Trust Limited</t>
  </si>
  <si>
    <t>East CambridgeshireSanctuary Affordable Housing Limited</t>
  </si>
  <si>
    <t>East CambridgeshireSanctuary Housing Association</t>
  </si>
  <si>
    <t>East CambridgeshireSovereign Housing Association Limited</t>
  </si>
  <si>
    <t>East CambridgeshireStonewater (2) Limited</t>
  </si>
  <si>
    <t>East CambridgeshireThe Cambridge Housing Society Limited</t>
  </si>
  <si>
    <t>East CambridgeshireThe Cambridgeshire Cottage Housing Society Limited</t>
  </si>
  <si>
    <t>East CambridgeshireThe Havebury Housing Partnership</t>
  </si>
  <si>
    <t>East CambridgeshireThe Papworth Trust</t>
  </si>
  <si>
    <t>East DevonAdvance Housing and Support Limited</t>
  </si>
  <si>
    <t>East DevonAster Communities</t>
  </si>
  <si>
    <t>East DevonBeer Community Land Trust Limited</t>
  </si>
  <si>
    <t>East DevonCitizen Housing Group Limited</t>
  </si>
  <si>
    <t>East DevonCornerstone Housing Limited</t>
  </si>
  <si>
    <t>East DevonEnglish Rural Housing Association Limited</t>
  </si>
  <si>
    <t>East DevonGuinness Care and Support Limited</t>
  </si>
  <si>
    <t>East DevonHastoe Housing Association Limited</t>
  </si>
  <si>
    <t>East DevonHeylo Housing Registered Provider Limited</t>
  </si>
  <si>
    <t>East DevonHousing 21</t>
  </si>
  <si>
    <t>East DevonInclusion Housing Community Interest Company</t>
  </si>
  <si>
    <t>East DevonLiveWest Homes Limited</t>
  </si>
  <si>
    <t>East DevonProgress Housing Association Limited</t>
  </si>
  <si>
    <t>East DevonSalvation Army Housing Association</t>
  </si>
  <si>
    <t>East DevonSanctuary Affordable Housing Limited</t>
  </si>
  <si>
    <t>East DevonSanctuary Housing Association</t>
  </si>
  <si>
    <t>East DevonSovereign Housing Association Limited</t>
  </si>
  <si>
    <t>East DevonStonewater Limited</t>
  </si>
  <si>
    <t>East DevonSynergy Housing Limited</t>
  </si>
  <si>
    <t>East DevonTamar Housing Society Limited</t>
  </si>
  <si>
    <t>East DevonThe Abbeyfield (Colyton) Society Limited</t>
  </si>
  <si>
    <t>East DevonThe Abbeyfield Sidmouth Society Limited</t>
  </si>
  <si>
    <t>East DevonThe Bampfylde Almshouse Charity</t>
  </si>
  <si>
    <t>East DevonThe Guinness Partnership Limited</t>
  </si>
  <si>
    <t>East DevonTrinity Housing Association Limited</t>
  </si>
  <si>
    <t>East DevonWestward Housing Group Limited</t>
  </si>
  <si>
    <t>East HampshireA2Dominion South Limited</t>
  </si>
  <si>
    <t>East HampshireAbility Housing Association</t>
  </si>
  <si>
    <t>East HampshireAdvance Housing and Support Limited</t>
  </si>
  <si>
    <t>East HampshireAnchor Hanover Group</t>
  </si>
  <si>
    <t>East HampshireAster Communities</t>
  </si>
  <si>
    <t>East HampshireClarion Housing Association Limited</t>
  </si>
  <si>
    <t>East HampshireHeylo Housing Registered Provider Limited</t>
  </si>
  <si>
    <t>East HampshireHome Group Limited</t>
  </si>
  <si>
    <t>East HampshireLondon &amp; Quadrant Housing Trust</t>
  </si>
  <si>
    <t>East HampshireMetropolitan Housing Trust Limited</t>
  </si>
  <si>
    <t>East HampshireMoat Homes Limited</t>
  </si>
  <si>
    <t>East HampshirePlaces for People Homes Limited</t>
  </si>
  <si>
    <t>East HampshireReside Housing Association Limited</t>
  </si>
  <si>
    <t>East HampshireSage Housing Limited</t>
  </si>
  <si>
    <t>East HampshireSanctuary Housing Association</t>
  </si>
  <si>
    <t>East HampshireSilva Homes Limited</t>
  </si>
  <si>
    <t>East HampshireSouthern Housing Group Limited</t>
  </si>
  <si>
    <t>East HampshireSovereign Housing Association Limited</t>
  </si>
  <si>
    <t>East HampshireSynergy Housing Limited</t>
  </si>
  <si>
    <t>East HampshireThe Guinness Partnership Limited</t>
  </si>
  <si>
    <t>East HampshireThe Swaythling Housing Society Limited</t>
  </si>
  <si>
    <t>East HampshireVivid Housing Limited</t>
  </si>
  <si>
    <t>East HertfordshireB3 Living Limited</t>
  </si>
  <si>
    <t>East HertfordshireBraughing Housing Association Limited</t>
  </si>
  <si>
    <t>East HertfordshireCatalyst Housing Limited</t>
  </si>
  <si>
    <t>East HertfordshireClarion Housing Association Limited</t>
  </si>
  <si>
    <t>East HertfordshireEnglish Rural Housing Association Limited</t>
  </si>
  <si>
    <t>East HertfordshireFirst Garden Cities Homes Limited</t>
  </si>
  <si>
    <t>East HertfordshireFirst Priority Housing Association Limited</t>
  </si>
  <si>
    <t>East HertfordshireHastoe Housing Association Limited</t>
  </si>
  <si>
    <t>East HertfordshireHightown Housing Association Limited</t>
  </si>
  <si>
    <t>East HertfordshireHome Group Limited</t>
  </si>
  <si>
    <t>East HertfordshireHousing 21</t>
  </si>
  <si>
    <t>East HertfordshireLegal &amp; General Affordable Homes Limited</t>
  </si>
  <si>
    <t>East HertfordshireLondon &amp; Quadrant Housing Trust</t>
  </si>
  <si>
    <t>East HertfordshireMetropolitan Housing Trust Limited</t>
  </si>
  <si>
    <t>East HertfordshireNetwork Homes Limited</t>
  </si>
  <si>
    <t>East HertfordshireNotting Hill Genesis</t>
  </si>
  <si>
    <t>East HertfordshireNotting Hill Home Ownership Limited</t>
  </si>
  <si>
    <t>East HertfordshireOne YMCA</t>
  </si>
  <si>
    <t>East HertfordshireOrbit Group Limited</t>
  </si>
  <si>
    <t>East HertfordshireOrigin Housing Limited</t>
  </si>
  <si>
    <t>East HertfordshireParadigm Homes Charitable Housing Association Limited</t>
  </si>
  <si>
    <t>East HertfordshirePlaces for People Homes Limited</t>
  </si>
  <si>
    <t>East HertfordshireSage Housing Limited</t>
  </si>
  <si>
    <t>East HertfordshireSanctuary Housing Association</t>
  </si>
  <si>
    <t>East HertfordshireThe Papworth Trust</t>
  </si>
  <si>
    <t>East HertfordshireThrive Homes Limited</t>
  </si>
  <si>
    <t>East LindseyAcis Group Limited</t>
  </si>
  <si>
    <t>East LindseyAdvance Housing and Support Limited</t>
  </si>
  <si>
    <t>East LindseyAnchor Hanover Group</t>
  </si>
  <si>
    <t>East LindseyCatalyst Housing Limited</t>
  </si>
  <si>
    <t>East LindseyDimensions (UK) Limited</t>
  </si>
  <si>
    <t>East LindseyEMH Housing and Regeneration Limited</t>
  </si>
  <si>
    <t>East LindseyHousing 21</t>
  </si>
  <si>
    <t>East LindseyLace Housing Limited</t>
  </si>
  <si>
    <t>East LindseyLeeds Federated Housing Association Limited</t>
  </si>
  <si>
    <t>East LindseyLincolnshire Housing Partnership Limited</t>
  </si>
  <si>
    <t>East LindseyLincolnshire Rural Housing Association Limited</t>
  </si>
  <si>
    <t>East LindseyLonghurst Group Limited</t>
  </si>
  <si>
    <t>East LindseyMy Space Housing Solutions</t>
  </si>
  <si>
    <t>East LindseyNottingham Community Housing Association Limited</t>
  </si>
  <si>
    <t>East LindseyPlatform Housing Limited</t>
  </si>
  <si>
    <t>East LindseyProgress Housing Association Limited</t>
  </si>
  <si>
    <t>East LindseySalvation Army Housing Association</t>
  </si>
  <si>
    <t>East LindseySanctuary Housing Association</t>
  </si>
  <si>
    <t>East LindseySwift Homes Limited</t>
  </si>
  <si>
    <t>East Riding of YorkshireAccent Housing Limited</t>
  </si>
  <si>
    <t>East Riding of YorkshireAnchor Hanover Group</t>
  </si>
  <si>
    <t>East Riding of YorkshireArpeggio Properties Limited</t>
  </si>
  <si>
    <t>East Riding of YorkshireBeyond Housing Limited</t>
  </si>
  <si>
    <t>East Riding of YorkshireBroadacres Housing Association Limited</t>
  </si>
  <si>
    <t>East Riding of YorkshireCatalyst Housing Limited</t>
  </si>
  <si>
    <t>East Riding of YorkshireDimensions (UK) Limited</t>
  </si>
  <si>
    <t>East Riding of YorkshireHellens Residential Limited</t>
  </si>
  <si>
    <t>East Riding of YorkshireHeylo Housing Registered Provider Limited</t>
  </si>
  <si>
    <t>East Riding of YorkshireHilldale Housing Association Limited</t>
  </si>
  <si>
    <t>East Riding of YorkshireHome Group Limited</t>
  </si>
  <si>
    <t>East Riding of YorkshireHousing 21</t>
  </si>
  <si>
    <t>East Riding of YorkshireHull Churches Housing Association Limited</t>
  </si>
  <si>
    <t>East Riding of YorkshireJoseph Rowntree Housing Trust</t>
  </si>
  <si>
    <t>East Riding of YorkshireKarbon Homes Limited</t>
  </si>
  <si>
    <t>East Riding of YorkshireMy Space Housing Solutions</t>
  </si>
  <si>
    <t>East Riding of YorkshirePickering and Ferens Homes</t>
  </si>
  <si>
    <t>East Riding of YorkshirePlaces for People Homes Limited</t>
  </si>
  <si>
    <t>East Riding of YorkshirePlaces for People Living+ Limited</t>
  </si>
  <si>
    <t>East Riding of YorkshireRailway Housing Association and Benefit Fund</t>
  </si>
  <si>
    <t>East Riding of YorkshireReside Housing Association Limited</t>
  </si>
  <si>
    <t>East Riding of YorkshireSanctuary Affordable Housing Limited</t>
  </si>
  <si>
    <t>East Riding of YorkshireSanctuary Housing Association</t>
  </si>
  <si>
    <t>East Riding of YorkshireSt Andrew Housing Co-operative Limited</t>
  </si>
  <si>
    <t>East Riding of YorkshireThe Abbeyfield Society</t>
  </si>
  <si>
    <t>East Riding of YorkshireThe Riverside Group Limited</t>
  </si>
  <si>
    <t>East Riding of YorkshireTogether Housing Association Limited</t>
  </si>
  <si>
    <t>East Riding of YorkshireWakefield And District Housing Limited</t>
  </si>
  <si>
    <t>East Riding of YorkshireWestmoreland Supported Housing Limited</t>
  </si>
  <si>
    <t>East Riding of YorkshireYork Housing Association Limited</t>
  </si>
  <si>
    <t>East Riding of YorkshireYorkshire Housing Limited</t>
  </si>
  <si>
    <t>East StaffordshireAdvance Housing and Support Limited</t>
  </si>
  <si>
    <t>East StaffordshireAnchor Hanover Group</t>
  </si>
  <si>
    <t>East StaffordshireAspire Housing Limited</t>
  </si>
  <si>
    <t>East StaffordshireChrysalis Supported Association Limited</t>
  </si>
  <si>
    <t>East StaffordshireDerwent Housing Association Limited</t>
  </si>
  <si>
    <t>East StaffordshireEMH Housing and Regeneration Limited</t>
  </si>
  <si>
    <t>East StaffordshireHeylo Housing Registered Provider Limited</t>
  </si>
  <si>
    <t>East StaffordshireHousing 21</t>
  </si>
  <si>
    <t>East StaffordshireMetropolitan Housing Trust Limited</t>
  </si>
  <si>
    <t>East StaffordshireMidland Heart Limited</t>
  </si>
  <si>
    <t>East StaffordshirePlatform Housing Limited</t>
  </si>
  <si>
    <t>East StaffordshireSage Housing Limited</t>
  </si>
  <si>
    <t>East StaffordshireSanctuary Housing Association</t>
  </si>
  <si>
    <t>East StaffordshireThe Riverside Group Limited</t>
  </si>
  <si>
    <t>East StaffordshireTrent &amp; Dove Housing Limited</t>
  </si>
  <si>
    <t>East SuffolkAnchor Hanover Group</t>
  </si>
  <si>
    <t>East SuffolkAsett Homes Ltd</t>
  </si>
  <si>
    <t>East SuffolkBroadland Housing Association Limited</t>
  </si>
  <si>
    <t>East SuffolkCatalyst Housing Limited</t>
  </si>
  <si>
    <t>East SuffolkClarion Housing Association Limited</t>
  </si>
  <si>
    <t>East SuffolkCotman Housing Association Limited</t>
  </si>
  <si>
    <t>East SuffolkEnglish Rural Housing Association Limited</t>
  </si>
  <si>
    <t>East SuffolkFlagship Housing Group Limited</t>
  </si>
  <si>
    <t>East SuffolkHastoe Housing Association Limited</t>
  </si>
  <si>
    <t>East SuffolkHome Group Limited</t>
  </si>
  <si>
    <t>East SuffolkHousing 21</t>
  </si>
  <si>
    <t>East SuffolkOrbit Group Limited</t>
  </si>
  <si>
    <t>East SuffolkOrwell Housing Association Limited</t>
  </si>
  <si>
    <t>East SuffolkPeal Community Housing Limited</t>
  </si>
  <si>
    <t>East SuffolkPlaces for People Homes Limited</t>
  </si>
  <si>
    <t>East SuffolkProgress Housing Association Limited</t>
  </si>
  <si>
    <t>East SuffolkRex Housing Limited</t>
  </si>
  <si>
    <t>East SuffolkSaffron Housing Trust Limited</t>
  </si>
  <si>
    <t>East SuffolkSanctuary Affordable Housing Limited</t>
  </si>
  <si>
    <t>East SuffolkSanctuary Housing Association</t>
  </si>
  <si>
    <t>East SuffolkThe Abbeyfield Society</t>
  </si>
  <si>
    <t>East SuffolkThe Havebury Housing Partnership</t>
  </si>
  <si>
    <t>East SuffolkThe Papworth Trust</t>
  </si>
  <si>
    <t>EastbourneA2Dominion Homes Limited</t>
  </si>
  <si>
    <t>EastbourneAbbeyfield South Downs Limited</t>
  </si>
  <si>
    <t>EastbourneAnchor Hanover Group</t>
  </si>
  <si>
    <t>EastbourneArpeggio Properties Limited</t>
  </si>
  <si>
    <t>EastbourneClarion Housing Association Limited</t>
  </si>
  <si>
    <t>EastbourneFirst Priority Housing Association Limited</t>
  </si>
  <si>
    <t>EastbourneHastoe Housing Association Limited</t>
  </si>
  <si>
    <t>EastbourneHeylo Housing Registered Provider Limited</t>
  </si>
  <si>
    <t>EastbourneHome Group Limited</t>
  </si>
  <si>
    <t>EastbourneHousing 21</t>
  </si>
  <si>
    <t>EastbourneMoat Homes Limited</t>
  </si>
  <si>
    <t>EastbourneOptivo</t>
  </si>
  <si>
    <t>EastbourneOrbit Group Limited</t>
  </si>
  <si>
    <t>EastbournePlaces for People Homes Limited</t>
  </si>
  <si>
    <t>EastbourneSalvation Army Housing Association</t>
  </si>
  <si>
    <t>EastbourneSanctuary Housing Association</t>
  </si>
  <si>
    <t>EastbourneSaxon Weald</t>
  </si>
  <si>
    <t>EastbourneSouthdown Housing Association Limited</t>
  </si>
  <si>
    <t>EastbourneSouthern Housing Group Limited</t>
  </si>
  <si>
    <t>EastbourneStonewater (2) Limited</t>
  </si>
  <si>
    <t>EastbourneStonewater (5) Limited</t>
  </si>
  <si>
    <t>EastbourneStonewater Limited</t>
  </si>
  <si>
    <t>EastbourneSussex Housing &amp; Care</t>
  </si>
  <si>
    <t>EastbourneTown and Country Housing</t>
  </si>
  <si>
    <t>EastbourneYMCA Downslink Group</t>
  </si>
  <si>
    <t>EastleighA2Dominion South Limited</t>
  </si>
  <si>
    <t>EastleighAdvance Housing and Support Limited</t>
  </si>
  <si>
    <t>EastleighAnchor Hanover Group</t>
  </si>
  <si>
    <t>EastleighAster Communities</t>
  </si>
  <si>
    <t>EastleighClarion Housing Association Limited</t>
  </si>
  <si>
    <t>EastleighCollins Memorial Trust</t>
  </si>
  <si>
    <t xml:space="preserve">EastleighEncircle Housing </t>
  </si>
  <si>
    <t>EastleighHeylo Housing Registered Provider Limited</t>
  </si>
  <si>
    <t>EastleighHome Group Limited</t>
  </si>
  <si>
    <t>EastleighHousing 21</t>
  </si>
  <si>
    <t>EastleighHyde Housing Association Limited</t>
  </si>
  <si>
    <t>EastleighMetropolitan Housing Trust Limited</t>
  </si>
  <si>
    <t>EastleighNotting Hill Home Ownership Limited</t>
  </si>
  <si>
    <t>EastleighParasol Homes Limited</t>
  </si>
  <si>
    <t>EastleighPlaces for People Homes Limited</t>
  </si>
  <si>
    <t>EastleighReside Housing Association Limited</t>
  </si>
  <si>
    <t>EastleighSaxon Weald</t>
  </si>
  <si>
    <t>EastleighSouthern Housing Group Limited</t>
  </si>
  <si>
    <t>EastleighSovereign Housing Association Limited</t>
  </si>
  <si>
    <t>EastleighStonewater Limited</t>
  </si>
  <si>
    <t>EastleighSynergy Housing Limited</t>
  </si>
  <si>
    <t>EastleighThe Swaythling Housing Society Limited</t>
  </si>
  <si>
    <t>EastleighTwo Saints Limited</t>
  </si>
  <si>
    <t>EastleighVivid Housing Limited</t>
  </si>
  <si>
    <t>EdenAnchor Hanover Group</t>
  </si>
  <si>
    <t>EdenCastles &amp; Coasts Housing Association Limited</t>
  </si>
  <si>
    <t>EdenEden Housing Association Limited</t>
  </si>
  <si>
    <t>EdenHeylo Housing Registered Provider Limited</t>
  </si>
  <si>
    <t>EdenHome Group Limited</t>
  </si>
  <si>
    <t>EdenHousing 21</t>
  </si>
  <si>
    <t>EdenLyvennet Community Trust</t>
  </si>
  <si>
    <t>EdenMitre Housing Association Limited</t>
  </si>
  <si>
    <t>EdenMy Space Housing Solutions</t>
  </si>
  <si>
    <t>EdenNew Foundations Housing Association Limited</t>
  </si>
  <si>
    <t>EdenPlaces for People Homes Limited</t>
  </si>
  <si>
    <t>EdenThe Riverside Group Limited</t>
  </si>
  <si>
    <t>ElmbridgeA2Dominion South Limited</t>
  </si>
  <si>
    <t>ElmbridgeAdvance Housing and Support Limited</t>
  </si>
  <si>
    <t>ElmbridgeCatalyst Housing Limited</t>
  </si>
  <si>
    <t>ElmbridgeHastoe Housing Association Limited</t>
  </si>
  <si>
    <t>ElmbridgeHeylo Housing Registered Provider Limited</t>
  </si>
  <si>
    <t>ElmbridgeInquilab Housing Association Limited</t>
  </si>
  <si>
    <t>ElmbridgeKingston upon Thames Churches Housing Association Limited</t>
  </si>
  <si>
    <t>ElmbridgeLondon &amp; Quadrant Housing Trust</t>
  </si>
  <si>
    <t>ElmbridgeMetropolitan Housing Trust Limited</t>
  </si>
  <si>
    <t>ElmbridgeMount Green Housing Association Limited</t>
  </si>
  <si>
    <t>ElmbridgeOptivo</t>
  </si>
  <si>
    <t>ElmbridgeParagon Asra Housing Limited</t>
  </si>
  <si>
    <t>ElmbridgeReside Housing Association Limited</t>
  </si>
  <si>
    <t>ElmbridgeRosemary Simmons Memorial Housing Association Limited</t>
  </si>
  <si>
    <t>ElmbridgeSanctuary Affordable Housing Limited</t>
  </si>
  <si>
    <t>ElmbridgeSouthern Housing Group Limited</t>
  </si>
  <si>
    <t>ElmbridgeThames Ditton Homes Limited</t>
  </si>
  <si>
    <t>ElmbridgeThe Sons of Divine Providence</t>
  </si>
  <si>
    <t>ElmbridgeTransform Housing &amp; Support</t>
  </si>
  <si>
    <t>ElmbridgeWalton-on-Thames Charity</t>
  </si>
  <si>
    <t>ElmbridgeWestmoreland Supported Housing Limited</t>
  </si>
  <si>
    <t>EnfieldA2Dominion Homes Limited</t>
  </si>
  <si>
    <t>EnfieldAnchor Hanover Group</t>
  </si>
  <si>
    <t>EnfieldArhag Housing Association Limited</t>
  </si>
  <si>
    <t>EnfieldBlue Square Residential Ltd</t>
  </si>
  <si>
    <t>EnfieldCatalyst Housing Limited</t>
  </si>
  <si>
    <t>EnfieldChristian Action (Enfield) Housing Association Limited</t>
  </si>
  <si>
    <t>EnfieldClarion Housing Association Limited</t>
  </si>
  <si>
    <t>EnfieldDovepark Properties Limited</t>
  </si>
  <si>
    <t>EnfieldHabinteg Housing Association Limited</t>
  </si>
  <si>
    <t>EnfieldHilldale Housing Association Limited</t>
  </si>
  <si>
    <t>EnfieldHome Group Limited</t>
  </si>
  <si>
    <t>EnfieldHousing 21</t>
  </si>
  <si>
    <t>EnfieldInclusion Housing Community Interest Company</t>
  </si>
  <si>
    <t>EnfieldInnisfree Housing Association Limited</t>
  </si>
  <si>
    <t>EnfieldLocal Space</t>
  </si>
  <si>
    <t>EnfieldLondon &amp; Quadrant Housing Trust</t>
  </si>
  <si>
    <t>EnfieldMetropolitan Housing Trust Limited</t>
  </si>
  <si>
    <t>EnfieldMoat Homes Limited</t>
  </si>
  <si>
    <t>EnfieldNetwork Homes Limited</t>
  </si>
  <si>
    <t>EnfieldNewlon Housing Trust</t>
  </si>
  <si>
    <t>EnfieldNorth London Muslim Housing Association Limited</t>
  </si>
  <si>
    <t>EnfieldNotting Hill Genesis</t>
  </si>
  <si>
    <t>EnfieldNotting Hill Home Ownership Limited</t>
  </si>
  <si>
    <t>EnfieldOne Housing Group Limited</t>
  </si>
  <si>
    <t>EnfieldOptivo</t>
  </si>
  <si>
    <t>EnfieldOrbit Group Limited</t>
  </si>
  <si>
    <t>EnfieldOrigin Housing 2 Limited</t>
  </si>
  <si>
    <t>EnfieldOrigin Housing Limited</t>
  </si>
  <si>
    <t>EnfieldParadigm Homes Charitable Housing Association Limited</t>
  </si>
  <si>
    <t>EnfieldParasol Homes Limited</t>
  </si>
  <si>
    <t>EnfieldPeabody Trust</t>
  </si>
  <si>
    <t>EnfieldPlaces for People Homes Limited</t>
  </si>
  <si>
    <t>EnfieldSanctuary Housing Association</t>
  </si>
  <si>
    <t>EnfieldShepherds Bush Housing Association Limited</t>
  </si>
  <si>
    <t>EnfieldSouthern Housing Group Limited</t>
  </si>
  <si>
    <t>EnfieldSt Mungo Community Housing Association</t>
  </si>
  <si>
    <t>EnfieldStroud Green Housing Co-operative Limited</t>
  </si>
  <si>
    <t>EnfieldTamil Community Housing Association Limited</t>
  </si>
  <si>
    <t>EnfieldThe Pathways Jubilee Charity</t>
  </si>
  <si>
    <t>EnfieldThe Riverside Group Limited</t>
  </si>
  <si>
    <t>EnfieldThe Skinners'  Almshouse Charity</t>
  </si>
  <si>
    <t>EnfieldWestway Housing Association Limited</t>
  </si>
  <si>
    <t>Epping ForestAbility Housing Association</t>
  </si>
  <si>
    <t>Epping ForestAnchor Hanover Group</t>
  </si>
  <si>
    <t>Epping ForestB3 Living Limited</t>
  </si>
  <si>
    <t>Epping ForestCatalyst Housing Limited</t>
  </si>
  <si>
    <t>Epping ForestClarion Housing Association Limited</t>
  </si>
  <si>
    <t>Epping ForestEstuary Housing Association Limited</t>
  </si>
  <si>
    <t>Epping ForestHastoe Housing Association Limited</t>
  </si>
  <si>
    <t>Epping ForestHome Group Limited</t>
  </si>
  <si>
    <t>Epping ForestLondon &amp; Quadrant Housing Trust</t>
  </si>
  <si>
    <t>Epping ForestMetropolitan Housing Trust Limited</t>
  </si>
  <si>
    <t>Epping ForestMoat Homes Limited</t>
  </si>
  <si>
    <t>Epping ForestNACRO</t>
  </si>
  <si>
    <t>Epping ForestNotting Hill Genesis</t>
  </si>
  <si>
    <t>Epping ForestOne Housing Group Limited</t>
  </si>
  <si>
    <t>Epping ForestOrbit Group Limited</t>
  </si>
  <si>
    <t>Epping ForestPlaces for People Homes Limited</t>
  </si>
  <si>
    <t>Epping ForestSaffron Housing Trust Limited</t>
  </si>
  <si>
    <t>Epping ForestSanctuary Housing Association</t>
  </si>
  <si>
    <t>Epping ForestSwan Housing Association Limited</t>
  </si>
  <si>
    <t>Epping ForestThe Baker's Benevolent Society</t>
  </si>
  <si>
    <t>Epping ForestThe Papworth Trust</t>
  </si>
  <si>
    <t>Epping ForestThe Riverside Group Limited</t>
  </si>
  <si>
    <t>Epsom and EwellA2Dominion South Limited</t>
  </si>
  <si>
    <t>Epsom and EwellAbbeyfield Southern Oaks</t>
  </si>
  <si>
    <t>Epsom and EwellAdvance Housing and Support Limited</t>
  </si>
  <si>
    <t>Epsom and EwellClarion Housing Association Limited</t>
  </si>
  <si>
    <t>Epsom and EwellEpsom and Ewell Housing Association Limited</t>
  </si>
  <si>
    <t>Epsom and EwellHilldale Housing Association Limited</t>
  </si>
  <si>
    <t>Epsom and EwellHome Group Limited</t>
  </si>
  <si>
    <t>Epsom and EwellInclusion Housing Community Interest Company</t>
  </si>
  <si>
    <t>Epsom and EwellLondon &amp; Quadrant Housing Trust</t>
  </si>
  <si>
    <t>Epsom and EwellMetropolitan Housing Trust Limited</t>
  </si>
  <si>
    <t>Epsom and EwellMount Green Housing Association Limited</t>
  </si>
  <si>
    <t>Epsom and EwellNotting Hill Home Ownership Limited</t>
  </si>
  <si>
    <t>Epsom and EwellOrbit Group Limited</t>
  </si>
  <si>
    <t>Epsom and EwellParagon Asra Housing Limited</t>
  </si>
  <si>
    <t>Epsom and EwellRaven Housing Trust Limited</t>
  </si>
  <si>
    <t>Epsom and EwellRosebery Housing Association Limited</t>
  </si>
  <si>
    <t>Epsom and EwellSanctuary Affordable Housing Limited</t>
  </si>
  <si>
    <t>Epsom and EwellShepherds Bush Housing Association Limited</t>
  </si>
  <si>
    <t>Epsom and EwellThe Grange Centre for People with Disabilities</t>
  </si>
  <si>
    <t>Epsom and EwellThe Riverside Group Limited</t>
  </si>
  <si>
    <t>Epsom and EwellTransform Housing &amp; Support</t>
  </si>
  <si>
    <t>Epsom and EwellWandle Housing Association Limited</t>
  </si>
  <si>
    <t>Epsom and EwellWestmoreland Supported Housing Limited</t>
  </si>
  <si>
    <t>ErewashDerwent Housing Association Limited</t>
  </si>
  <si>
    <t>ErewashEMH Housing and Regeneration Limited</t>
  </si>
  <si>
    <t>ErewashFramework Housing Association</t>
  </si>
  <si>
    <t>ErewashFutures Homescape Limited</t>
  </si>
  <si>
    <t>ErewashFutures Homeway Limited</t>
  </si>
  <si>
    <t>ErewashLonghurst Group Limited</t>
  </si>
  <si>
    <t>ErewashMetropolitan Housing Trust Limited</t>
  </si>
  <si>
    <t>ErewashMidland Heart Limited</t>
  </si>
  <si>
    <t>ErewashNottingham Community Housing Association Limited</t>
  </si>
  <si>
    <t>ErewashP3 Housing Limited</t>
  </si>
  <si>
    <t>ErewashPlaces for People Homes Limited</t>
  </si>
  <si>
    <t>ErewashPlatform Housing Limited</t>
  </si>
  <si>
    <t>ErewashSalvation Army Housing Association</t>
  </si>
  <si>
    <t>ErewashThe Guinness Partnership Limited</t>
  </si>
  <si>
    <t>ErewashThe Riverside Group Limited</t>
  </si>
  <si>
    <t>ErewashTrident Housing Association Limited</t>
  </si>
  <si>
    <t>ErewashTuntum Housing Association Limited</t>
  </si>
  <si>
    <t>ExeterAdvance Housing and Support Limited</t>
  </si>
  <si>
    <t>ExeterAster Communities</t>
  </si>
  <si>
    <t>ExeterBournemouth Churches Housing Association Limited</t>
  </si>
  <si>
    <t>ExeterCity of Exeter YMCA</t>
  </si>
  <si>
    <t>ExeterClarion Housing Association Limited</t>
  </si>
  <si>
    <t>ExeterCornerstone Housing Limited</t>
  </si>
  <si>
    <t>ExeterExeter Homes Trust</t>
  </si>
  <si>
    <t>ExeterFirst Priority Housing Association Limited</t>
  </si>
  <si>
    <t>ExeterFunding Affordable Homes Housing Association Limited</t>
  </si>
  <si>
    <t>ExeterGuinness Care and Support Limited</t>
  </si>
  <si>
    <t>ExeterHome Group Limited</t>
  </si>
  <si>
    <t>ExeterInclusion Housing Community Interest Company</t>
  </si>
  <si>
    <t>ExeterLiveWest Homes Limited</t>
  </si>
  <si>
    <t>ExeterLondon &amp; Quadrant Housing Trust</t>
  </si>
  <si>
    <t>ExeterMagna Housing Limited</t>
  </si>
  <si>
    <t>ExeterMoat Homes Limited</t>
  </si>
  <si>
    <t>ExeterPlaces for People Homes Limited</t>
  </si>
  <si>
    <t>ExeterProgress Housing Association Limited</t>
  </si>
  <si>
    <t>ExeterSalvation Army Housing Association</t>
  </si>
  <si>
    <t>ExeterSanctuary Housing Association</t>
  </si>
  <si>
    <t>ExeterSovereign Housing Association Limited</t>
  </si>
  <si>
    <t>ExeterStonewater Limited</t>
  </si>
  <si>
    <t>ExeterSynergy Housing Limited</t>
  </si>
  <si>
    <t>ExeterTeign Housing</t>
  </si>
  <si>
    <t>ExeterThe Guinness Partnership Limited</t>
  </si>
  <si>
    <t>ExeterWestward Housing Group Limited</t>
  </si>
  <si>
    <t>FarehamA2Dominion South Limited</t>
  </si>
  <si>
    <t>FarehamAdvance Housing and Support Limited</t>
  </si>
  <si>
    <t>FarehamAnchor Hanover Group</t>
  </si>
  <si>
    <t>FarehamAster Communities</t>
  </si>
  <si>
    <t>FarehamBournemouth Churches Housing Association Limited</t>
  </si>
  <si>
    <t>FarehamClarion Housing Association Limited</t>
  </si>
  <si>
    <t>FarehamDimensions (UK) Limited</t>
  </si>
  <si>
    <t>FarehamHeylo Housing Registered Provider Limited</t>
  </si>
  <si>
    <t>FarehamHilldale Housing Association Limited</t>
  </si>
  <si>
    <t>FarehamHome Group Limited</t>
  </si>
  <si>
    <t>FarehamHyde Housing Association Limited</t>
  </si>
  <si>
    <t>FarehamMartlet Homes Limited</t>
  </si>
  <si>
    <t>FarehamMetropolitan Housing Trust Limited</t>
  </si>
  <si>
    <t>FarehamMoat Homes Limited</t>
  </si>
  <si>
    <t>FarehamOrigin Housing Limited</t>
  </si>
  <si>
    <t>FarehamPlaces for People Homes Limited</t>
  </si>
  <si>
    <t>FarehamPortsmouth Rotary Housing Association Limited</t>
  </si>
  <si>
    <t>FarehamProgress Housing Association Limited</t>
  </si>
  <si>
    <t>FarehamSage Housing Limited</t>
  </si>
  <si>
    <t>FarehamSanctuary Housing Association</t>
  </si>
  <si>
    <t>FarehamStonewater Limited</t>
  </si>
  <si>
    <t>FarehamThe Abbeyfield Fareham Society Limited</t>
  </si>
  <si>
    <t>FarehamThe Abbeyfield Society</t>
  </si>
  <si>
    <t>FarehamThe Guinness Partnership Limited</t>
  </si>
  <si>
    <t>FarehamThe Swaythling Housing Society Limited</t>
  </si>
  <si>
    <t>FarehamTwo Saints Limited</t>
  </si>
  <si>
    <t>FarehamVivid Housing Limited</t>
  </si>
  <si>
    <t>FenlandAccent Housing Limited</t>
  </si>
  <si>
    <t>FenlandAnchor Hanover Group</t>
  </si>
  <si>
    <t>Fenlandbpha Limited</t>
  </si>
  <si>
    <t>FenlandCatalyst Housing Limited</t>
  </si>
  <si>
    <t>FenlandChorus Homes Limited</t>
  </si>
  <si>
    <t>FenlandChrysalis Supported Association Limited</t>
  </si>
  <si>
    <t>FenlandClarion Housing Association Limited</t>
  </si>
  <si>
    <t>FenlandCotman Housing Association Limited</t>
  </si>
  <si>
    <t>FenlandCross Keys Homes Limited</t>
  </si>
  <si>
    <t>FenlandFirst Priority Housing Association Limited</t>
  </si>
  <si>
    <t>FenlandFlagship Housing Group Limited</t>
  </si>
  <si>
    <t>FenlandFunding Affordable Homes Housing Association Limited</t>
  </si>
  <si>
    <t>FenlandFutures Homescape Limited</t>
  </si>
  <si>
    <t>FenlandHome Group Limited</t>
  </si>
  <si>
    <t>FenlandHousing 21</t>
  </si>
  <si>
    <t>FenlandHundred Houses Society Limited</t>
  </si>
  <si>
    <t>FenlandInclusion Housing Community Interest Company</t>
  </si>
  <si>
    <t>FenlandLonghurst Group Limited</t>
  </si>
  <si>
    <t>FenlandMetropolitan Housing Trust Limited</t>
  </si>
  <si>
    <t>FenlandMuir Group Housing Association Limited</t>
  </si>
  <si>
    <t>FenlandMy Space Housing Solutions</t>
  </si>
  <si>
    <t>FenlandPlaces for People Homes Limited</t>
  </si>
  <si>
    <t>FenlandPlaces for People Living+ Limited</t>
  </si>
  <si>
    <t>FenlandReside Housing Association Limited</t>
  </si>
  <si>
    <t>FenlandSaffron Housing Trust Limited</t>
  </si>
  <si>
    <t>FenlandSanctuary Affordable Housing Limited</t>
  </si>
  <si>
    <t>FenlandSanctuary Housing Association</t>
  </si>
  <si>
    <t>FenlandThe Cambridge Housing Society Limited</t>
  </si>
  <si>
    <t>FenlandThe Papworth Trust</t>
  </si>
  <si>
    <t>FenlandWisbech Charities</t>
  </si>
  <si>
    <t>Folkestone and HytheAnchor Hanover Group</t>
  </si>
  <si>
    <t>Folkestone and HytheBlenheim Housing Co-operative Limited</t>
  </si>
  <si>
    <t>Folkestone and HytheClarion Housing Association Limited</t>
  </si>
  <si>
    <t>Folkestone and HytheCo-operative Development Society Limited</t>
  </si>
  <si>
    <t>Folkestone and HytheEnglish Rural Housing Association Limited</t>
  </si>
  <si>
    <t>Folkestone and HytheHeylo Housing Registered Provider Limited</t>
  </si>
  <si>
    <t>Folkestone and HytheHousing 21</t>
  </si>
  <si>
    <t>Folkestone and HytheHyde Housing Association Limited</t>
  </si>
  <si>
    <t>Folkestone and HytheInclusion Housing Community Interest Company</t>
  </si>
  <si>
    <t>Folkestone and HytheJohn Bowley and Sherwood Almshouses</t>
  </si>
  <si>
    <t>Folkestone and HytheLondon &amp; Quadrant Housing Trust</t>
  </si>
  <si>
    <t>Folkestone and HytheLook Ahead Care and Support Limited</t>
  </si>
  <si>
    <t>Folkestone and HytheMethodist Homes Housing Association Limited</t>
  </si>
  <si>
    <t>Folkestone and HytheMoat Farm Housing Co-operative Limited</t>
  </si>
  <si>
    <t>Folkestone and HytheMoat Homes Limited</t>
  </si>
  <si>
    <t>Folkestone and HytheOrbit Group Limited</t>
  </si>
  <si>
    <t>Folkestone and HythePlaces for People Homes Limited</t>
  </si>
  <si>
    <t>Folkestone and HytheReside Housing Association Limited</t>
  </si>
  <si>
    <t>Folkestone and HytheSage Housing Limited</t>
  </si>
  <si>
    <t>Folkestone and HytheSalvation Army Housing Association</t>
  </si>
  <si>
    <t>Folkestone and HytheSanctuary Affordable Housing Limited</t>
  </si>
  <si>
    <t>Folkestone and HytheSanctuary Housing Association</t>
  </si>
  <si>
    <t>Folkestone and HytheShepherds Bush Housing Association Limited</t>
  </si>
  <si>
    <t>Folkestone and HytheShorncliffe Housing Co-operative Limited</t>
  </si>
  <si>
    <t>Folkestone and HytheSouthern Housing Group Limited</t>
  </si>
  <si>
    <t>Folkestone and HytheSouthlands Almshouse Charity</t>
  </si>
  <si>
    <t>Folkestone and HytheThe Riverside Group Limited</t>
  </si>
  <si>
    <t>Folkestone and HytheTown and Country Housing</t>
  </si>
  <si>
    <t>Folkestone and HytheTrinity Housing Association Limited</t>
  </si>
  <si>
    <t>Forest of DeanAdvance Housing and Support Limited</t>
  </si>
  <si>
    <t>Forest of DeanAnchor Hanover Group</t>
  </si>
  <si>
    <t>Forest of DeanBromford Housing Association Limited</t>
  </si>
  <si>
    <t>Forest of DeanCitizen Housing Group Limited</t>
  </si>
  <si>
    <t>Forest of DeanGloucestershire Rural Housing Association Limited</t>
  </si>
  <si>
    <t>Forest of DeanHeylo Housing Registered Provider Limited</t>
  </si>
  <si>
    <t>Forest of DeanHousing 21</t>
  </si>
  <si>
    <t>Forest of DeanLiveWest Homes Limited</t>
  </si>
  <si>
    <t>Forest of DeanMerlin Housing Society Limited</t>
  </si>
  <si>
    <t>Forest of DeanRooftop Housing Association Limited</t>
  </si>
  <si>
    <t>Forest of DeanSanctuary Housing Association</t>
  </si>
  <si>
    <t>Forest of DeanSovereign Housing Association Limited</t>
  </si>
  <si>
    <t>Forest of DeanStonewater (2) Limited</t>
  </si>
  <si>
    <t>Forest of DeanStonewater Limited</t>
  </si>
  <si>
    <t>Forest of DeanThe Guinness Partnership Limited</t>
  </si>
  <si>
    <t>Forest of DeanTwo Rivers Housing</t>
  </si>
  <si>
    <t>Forest of DeanWestmoreland Supported Housing Limited</t>
  </si>
  <si>
    <t>Forest of DeanWyedean Housing Association Limited</t>
  </si>
  <si>
    <t>FyldeAccent Housing Limited</t>
  </si>
  <si>
    <t>FyldeArpeggio Properties Limited</t>
  </si>
  <si>
    <t>FyldeAuxesia Homes Limited</t>
  </si>
  <si>
    <t>FyldeCare Housing Association Limited</t>
  </si>
  <si>
    <t>FyldeCommunity Gateway Association Limited</t>
  </si>
  <si>
    <t>FyldeEmpower Housing Association Limited</t>
  </si>
  <si>
    <t>FyldeForHousing Limited</t>
  </si>
  <si>
    <t>FyldeGreat Places Housing Association</t>
  </si>
  <si>
    <t>FyldeHeylo Housing Registered Provider Limited</t>
  </si>
  <si>
    <t>FyldeManchester Jewish Housing Association</t>
  </si>
  <si>
    <t>FyldeMuir Group Housing Association Limited</t>
  </si>
  <si>
    <t>FyldeParasol Homes Limited</t>
  </si>
  <si>
    <t>FyldePlaces for People Homes Limited</t>
  </si>
  <si>
    <t>FyldePlaces for People Living+ Limited</t>
  </si>
  <si>
    <t>FyldeProgress Housing Association Limited</t>
  </si>
  <si>
    <t>FyldeRegenda Limited</t>
  </si>
  <si>
    <t>FyldeSage Housing Limited</t>
  </si>
  <si>
    <t>FyldeThe Guinness Partnership Limited</t>
  </si>
  <si>
    <t>FyldeYour Housing Limited</t>
  </si>
  <si>
    <t>GatesheadAccent Housing Limited</t>
  </si>
  <si>
    <t>GatesheadAdler Housing</t>
  </si>
  <si>
    <t>GatesheadAnchor Hanover Group</t>
  </si>
  <si>
    <t>GatesheadBernicia Group</t>
  </si>
  <si>
    <t>GatesheadBeyond Housing Limited</t>
  </si>
  <si>
    <t>GatesheadCastles &amp; Coasts Housing Association Limited</t>
  </si>
  <si>
    <t>GatesheadDurham Aged Mineworkers' Homes Association</t>
  </si>
  <si>
    <t>GatesheadHome Group Limited</t>
  </si>
  <si>
    <t>GatesheadHousing 21</t>
  </si>
  <si>
    <t>GatesheadInclusion Housing Community Interest Company</t>
  </si>
  <si>
    <t>Gateshead'Johnnie' Johnson Housing Trust Limited</t>
  </si>
  <si>
    <t>GatesheadKarbon Homes Limited</t>
  </si>
  <si>
    <t>GatesheadKeelman Homes Limited</t>
  </si>
  <si>
    <t>GatesheadMy Space Housing Solutions</t>
  </si>
  <si>
    <t>GatesheadPlaces for People Homes Limited</t>
  </si>
  <si>
    <t>GatesheadPlaces for People Living+ Limited</t>
  </si>
  <si>
    <t>GatesheadRailway Housing Association and Benefit Fund</t>
  </si>
  <si>
    <t>GatesheadTCUK Homes Limited</t>
  </si>
  <si>
    <t>GatesheadThe Richmond Fellowship</t>
  </si>
  <si>
    <t>GatesheadThe Riverside Group Limited</t>
  </si>
  <si>
    <t>GatesheadThirteen Housing Group Limited</t>
  </si>
  <si>
    <t>GatesheadTyne Housing Association Limited</t>
  </si>
  <si>
    <t>GedlingAccent Housing Limited</t>
  </si>
  <si>
    <t>GedlingAcis Group Limited</t>
  </si>
  <si>
    <t>GedlingAdvance Housing and Support Limited</t>
  </si>
  <si>
    <t>GedlingAnchor Hanover Group</t>
  </si>
  <si>
    <t>GedlingEMH Housing and Regeneration Limited</t>
  </si>
  <si>
    <t>GedlingEmpower Housing Association Limited</t>
  </si>
  <si>
    <t>GedlingFramework Housing Association</t>
  </si>
  <si>
    <t>GedlingHome Group Limited</t>
  </si>
  <si>
    <t>GedlingHousing 21</t>
  </si>
  <si>
    <t>GedlingInclusion Housing Community Interest Company</t>
  </si>
  <si>
    <t>GedlingJigsaw Homes Midlands</t>
  </si>
  <si>
    <t>GedlingLonghurst Group Limited</t>
  </si>
  <si>
    <t>GedlingMetropolitan Housing Trust Limited</t>
  </si>
  <si>
    <t>GedlingNottingham Community Housing Association Limited</t>
  </si>
  <si>
    <t>GedlingParagon Asra Housing Limited</t>
  </si>
  <si>
    <t>GedlingPlaces for People Homes Limited</t>
  </si>
  <si>
    <t>GedlingPlatform Housing Limited</t>
  </si>
  <si>
    <t>GedlingProgress Housing Association Limited</t>
  </si>
  <si>
    <t>GedlingThe Guinness Partnership Limited</t>
  </si>
  <si>
    <t>GedlingTuntum Housing Association Limited</t>
  </si>
  <si>
    <t>GloucesterAdvance Housing and Support Limited</t>
  </si>
  <si>
    <t>GloucesterAnchor Hanover Group</t>
  </si>
  <si>
    <t>GloucesterBromford Housing Association Limited</t>
  </si>
  <si>
    <t>GloucesterCheltenham Young Men's Christian Association</t>
  </si>
  <si>
    <t>GloucesterCottsway Housing Association Limited</t>
  </si>
  <si>
    <t>GloucesterElim Housing Association Limited</t>
  </si>
  <si>
    <t>GloucesterEmpower Housing Association Limited</t>
  </si>
  <si>
    <t>GloucesterFirst Priority Housing Association Limited</t>
  </si>
  <si>
    <t>GloucesterGloucester City Homes Limited</t>
  </si>
  <si>
    <t>GloucesterGuinness Housing Association Limited</t>
  </si>
  <si>
    <t>GloucesterHeylo Housing Registered Provider Limited</t>
  </si>
  <si>
    <t>GloucesterHome Group Limited</t>
  </si>
  <si>
    <t>GloucesterHousing 21</t>
  </si>
  <si>
    <t>GloucesterInclusion Housing Community Interest Company</t>
  </si>
  <si>
    <t>GloucesterLiveWest Homes Limited</t>
  </si>
  <si>
    <t>GloucesterMerlin Housing Society Limited</t>
  </si>
  <si>
    <t>GloucesterMoat Homes Limited</t>
  </si>
  <si>
    <t>GloucesterPivotal Housing Association</t>
  </si>
  <si>
    <t>GloucesterPlaces for People Homes Limited</t>
  </si>
  <si>
    <t>GloucesterPlaces for People Living+ Limited</t>
  </si>
  <si>
    <t>GloucesterPlatform Housing Limited</t>
  </si>
  <si>
    <t>GloucesterRooftop Housing Association Limited</t>
  </si>
  <si>
    <t>GloucesterSovereign Housing Association Limited</t>
  </si>
  <si>
    <t>GloucesterStonewater (2) Limited</t>
  </si>
  <si>
    <t>GloucesterThe Abbeyfield Society</t>
  </si>
  <si>
    <t>GloucesterThe Gloucester Charities Trust</t>
  </si>
  <si>
    <t>GloucesterThe Guinness Partnership Limited</t>
  </si>
  <si>
    <t>GloucesterThe Riverside Group Limited</t>
  </si>
  <si>
    <t>GloucesterTrinity Housing Association Limited</t>
  </si>
  <si>
    <t>GloucesterTwo Rivers Housing</t>
  </si>
  <si>
    <t>GloucesterWestmoreland Supported Housing Limited</t>
  </si>
  <si>
    <t>GosportAdvance Housing and Support Limited</t>
  </si>
  <si>
    <t>GosportAgamemnon Housing Association Limited</t>
  </si>
  <si>
    <t>GosportAnchor Hanover Group</t>
  </si>
  <si>
    <t>GosportClarion Housing Association Limited</t>
  </si>
  <si>
    <t>GosportHome Group Limited</t>
  </si>
  <si>
    <t>GosportMartlet Homes Limited</t>
  </si>
  <si>
    <t>GosportMoat Homes Limited</t>
  </si>
  <si>
    <t>GosportPlaces for People Homes Limited</t>
  </si>
  <si>
    <t>GosportProgress Housing Association Limited</t>
  </si>
  <si>
    <t>GosportReside Housing Association Limited</t>
  </si>
  <si>
    <t>GosportSanctuary Housing Association</t>
  </si>
  <si>
    <t>GosportSouthern Housing Group Limited</t>
  </si>
  <si>
    <t>GosportStonewater Limited</t>
  </si>
  <si>
    <t>GosportThe Abbeyfield Society</t>
  </si>
  <si>
    <t>GosportThe Guinness Partnership Limited</t>
  </si>
  <si>
    <t>GosportThe Society of St James</t>
  </si>
  <si>
    <t>GosportThe Swaythling Housing Society Limited</t>
  </si>
  <si>
    <t>GosportThorngate Churcher Trust</t>
  </si>
  <si>
    <t>GosportTwo Saints Limited</t>
  </si>
  <si>
    <t>GosportVivid Housing Limited</t>
  </si>
  <si>
    <t>GraveshamAdvance Housing and Support Limited</t>
  </si>
  <si>
    <t>GraveshamClarion Housing Association Limited</t>
  </si>
  <si>
    <t>GraveshamGravesend Churches Housing Association Limited</t>
  </si>
  <si>
    <t>GraveshamHeylo Housing Registered Provider Limited</t>
  </si>
  <si>
    <t>GraveshamHyde Housing Association Limited</t>
  </si>
  <si>
    <t>GraveshamLondon &amp; Quadrant Housing Trust</t>
  </si>
  <si>
    <t>GraveshamMoat Homes Limited</t>
  </si>
  <si>
    <t>GraveshamOptivo</t>
  </si>
  <si>
    <t>GraveshamOrbit Group Limited</t>
  </si>
  <si>
    <t>GraveshamPlaces for People Homes Limited</t>
  </si>
  <si>
    <t>GraveshamPlaces for People Living+ Limited</t>
  </si>
  <si>
    <t>GraveshamRapport Housing and Care</t>
  </si>
  <si>
    <t>GraveshamSanctuary Affordable Housing Limited</t>
  </si>
  <si>
    <t>GraveshamTown and Country Housing</t>
  </si>
  <si>
    <t>GraveshamWest Kent Housing Association</t>
  </si>
  <si>
    <t>Great YarmouthAnchor Hanover Group</t>
  </si>
  <si>
    <t>Great YarmouthBroadland Housing Association Limited</t>
  </si>
  <si>
    <t>Great YarmouthClarion Housing Association Limited</t>
  </si>
  <si>
    <t>Great YarmouthCotman Housing Association Limited</t>
  </si>
  <si>
    <t>Great YarmouthEMH Housing and Regeneration Limited</t>
  </si>
  <si>
    <t>Great YarmouthFlagship Housing Group Limited</t>
  </si>
  <si>
    <t>Great YarmouthHeylo Housing Registered Provider Limited</t>
  </si>
  <si>
    <t>Great YarmouthHousing 21</t>
  </si>
  <si>
    <t>Great YarmouthOrbit Group Limited</t>
  </si>
  <si>
    <t>Great YarmouthOrwell Housing Association Limited</t>
  </si>
  <si>
    <t>Great YarmouthPlaces for People Homes Limited</t>
  </si>
  <si>
    <t>Great YarmouthProgress Housing Association Limited</t>
  </si>
  <si>
    <t>Great YarmouthSaffron Housing Trust Limited</t>
  </si>
  <si>
    <t>Great YarmouthSage Housing Limited</t>
  </si>
  <si>
    <t>Great YarmouthSanctuary Affordable Housing Limited</t>
  </si>
  <si>
    <t>Great YarmouthThe Abbeyfield Society</t>
  </si>
  <si>
    <t>Great YarmouthThe Fishermen's Hospital</t>
  </si>
  <si>
    <t>Great YarmouthYMCA Norfolk</t>
  </si>
  <si>
    <t>GreenwichA2Dominion Homes Limited</t>
  </si>
  <si>
    <t>GreenwichAnchor Hanover Group</t>
  </si>
  <si>
    <t>GreenwichCentrepoint Soho</t>
  </si>
  <si>
    <t>GreenwichChanging Lives Housing Trust</t>
  </si>
  <si>
    <t>GreenwichCharlton Triangle Homes Limited</t>
  </si>
  <si>
    <t>GreenwichChisel Limited</t>
  </si>
  <si>
    <t>GreenwichEkaya Housing Association Limited</t>
  </si>
  <si>
    <t>GreenwichGreenwich Housing Society Limited</t>
  </si>
  <si>
    <t>GreenwichHabinteg Housing Association Limited</t>
  </si>
  <si>
    <t>GreenwichHexagon Housing Association Limited</t>
  </si>
  <si>
    <t>GreenwichHome Group Limited</t>
  </si>
  <si>
    <t>GreenwichHousing For Women</t>
  </si>
  <si>
    <t>GreenwichHyde Housing Association Limited</t>
  </si>
  <si>
    <t>GreenwichLangley House Trust</t>
  </si>
  <si>
    <t>GreenwichLocal Space</t>
  </si>
  <si>
    <t>GreenwichLondon &amp; Quadrant Housing Trust</t>
  </si>
  <si>
    <t>GreenwichMoat Homes Limited</t>
  </si>
  <si>
    <t>GreenwichNew World Housing Association Limited</t>
  </si>
  <si>
    <t>GreenwichNotting Hill Genesis</t>
  </si>
  <si>
    <t>GreenwichNotting Hill Home Ownership Limited</t>
  </si>
  <si>
    <t>GreenwichOne Housing Group Limited</t>
  </si>
  <si>
    <t>GreenwichOptivo</t>
  </si>
  <si>
    <t>GreenwichOrbit Group Limited</t>
  </si>
  <si>
    <t>GreenwichParagon Asra Housing Limited</t>
  </si>
  <si>
    <t>GreenwichParasol Homes Limited</t>
  </si>
  <si>
    <t>GreenwichPeabody Trust</t>
  </si>
  <si>
    <t>GreenwichPenn and Widow Smith Almshouses</t>
  </si>
  <si>
    <t>GreenwichReside Housing Association Limited</t>
  </si>
  <si>
    <t>GreenwichRosemary Simmons Memorial Housing Association Limited</t>
  </si>
  <si>
    <t>GreenwichSanctuary Housing Association</t>
  </si>
  <si>
    <t>GreenwichShepherds Bush Housing Association Limited</t>
  </si>
  <si>
    <t>GreenwichSouthern Housing Group Limited</t>
  </si>
  <si>
    <t>GreenwichTamil Community Housing Association Limited</t>
  </si>
  <si>
    <t>GreenwichThe Drapers' Almshouse Charity</t>
  </si>
  <si>
    <t>GreenwichThe Pathways Jubilee Charity</t>
  </si>
  <si>
    <t>GreenwichThe Riverside Group Limited</t>
  </si>
  <si>
    <t>GreenwichWestmoreland Supported Housing Limited</t>
  </si>
  <si>
    <t>GuildfordA2Dominion South Limited</t>
  </si>
  <si>
    <t>GuildfordAbbeyfield Wey Valley Society Limited</t>
  </si>
  <si>
    <t>GuildfordAdvance Housing and Support Limited</t>
  </si>
  <si>
    <t>GuildfordBarnwood Housing Co-operative Limited</t>
  </si>
  <si>
    <t>GuildfordClarion Housing Association Limited</t>
  </si>
  <si>
    <t>GuildfordEnglish Rural Housing Association Limited</t>
  </si>
  <si>
    <t>GuildfordGreenoak Housing Association Limited</t>
  </si>
  <si>
    <t>GuildfordGuildford Sunset Homes</t>
  </si>
  <si>
    <t>GuildfordHoly Trinity (Guildford) Housing Association Ltd</t>
  </si>
  <si>
    <t>GuildfordHome Group Limited</t>
  </si>
  <si>
    <t>GuildfordLondon &amp; Quadrant Housing Trust</t>
  </si>
  <si>
    <t>GuildfordMetropolitan Housing Trust Limited</t>
  </si>
  <si>
    <t>GuildfordMount Green Housing Association Limited</t>
  </si>
  <si>
    <t>GuildfordParagon Asra Housing Limited</t>
  </si>
  <si>
    <t>GuildfordPlaces for People Living+ Limited</t>
  </si>
  <si>
    <t>GuildfordPuttenham &amp; Wanborough Housing Society Limited</t>
  </si>
  <si>
    <t>GuildfordRosebery Housing Association Limited</t>
  </si>
  <si>
    <t>GuildfordRosemary Simmons Memorial Housing Association Limited</t>
  </si>
  <si>
    <t>GuildfordSalvation Army Housing Association</t>
  </si>
  <si>
    <t>GuildfordShepherds Bush Housing Association Limited</t>
  </si>
  <si>
    <t>GuildfordSovereign Housing Association Limited</t>
  </si>
  <si>
    <t>GuildfordStonewater Limited</t>
  </si>
  <si>
    <t>GuildfordThe Abbeyfield Pirbright and District Society Ltd</t>
  </si>
  <si>
    <t>GuildfordThe Riverside Group Limited</t>
  </si>
  <si>
    <t>GuildfordThe Swaythling Housing Society Limited</t>
  </si>
  <si>
    <t>GuildfordTransform Housing &amp; Support</t>
  </si>
  <si>
    <t>GuildfordVivid Housing Limited</t>
  </si>
  <si>
    <t>GuildfordWestmoreland Supported Housing Limited</t>
  </si>
  <si>
    <t>GuildfordYMCA Downslink Group</t>
  </si>
  <si>
    <t>HackneyA2Dominion Homes Limited</t>
  </si>
  <si>
    <t>HackneyAccess Homes Housing Association Limited</t>
  </si>
  <si>
    <t>HackneyAdvance Housing and Support Limited</t>
  </si>
  <si>
    <t>HackneyAgudas Israel Housing Association Limited</t>
  </si>
  <si>
    <t>HackneyAnchor Hanover Group</t>
  </si>
  <si>
    <t>HackneyApna Ghar Housing Association Limited</t>
  </si>
  <si>
    <t>HackneyCatalyst Housing Limited</t>
  </si>
  <si>
    <t>HackneyCentral and Cecil Housing Trust</t>
  </si>
  <si>
    <t>HackneyCentrepoint Soho</t>
  </si>
  <si>
    <t>HackneyClarion Housing Association Limited</t>
  </si>
  <si>
    <t>HackneyClissold Housing Co-operative Limited</t>
  </si>
  <si>
    <t>HackneyEverbrook Housing Co-operative Limited</t>
  </si>
  <si>
    <t>HackneyGateway Housing Association Limited</t>
  </si>
  <si>
    <t>HackneyHabinteg Housing Association Limited</t>
  </si>
  <si>
    <t>HackneyHackney Housing Co-operative Limited</t>
  </si>
  <si>
    <t>HackneyHackney Parish Almshouses Charity</t>
  </si>
  <si>
    <t>HackneyHyelm</t>
  </si>
  <si>
    <t>HackneyIslington and Shoreditch Housing Association Limited</t>
  </si>
  <si>
    <t>HackneyKarin Housing Association Limited</t>
  </si>
  <si>
    <t>HackneyKinsman Housing Limited</t>
  </si>
  <si>
    <t>HackneyLocal Space</t>
  </si>
  <si>
    <t>HackneyLondon &amp; Quadrant Housing Trust</t>
  </si>
  <si>
    <t>HackneyMetropolitan Housing Trust Limited</t>
  </si>
  <si>
    <t>HackneyNACRO</t>
  </si>
  <si>
    <t>HackneyNetwork Homes Limited</t>
  </si>
  <si>
    <t>HackneyNewlon Housing Trust</t>
  </si>
  <si>
    <t>HackneyNorth London Muslim Housing Association Limited</t>
  </si>
  <si>
    <t>HackneyNotting Hill Genesis</t>
  </si>
  <si>
    <t>HackneyNotting Hill Home Ownership Limited</t>
  </si>
  <si>
    <t>HackneyOne Housing Group Limited</t>
  </si>
  <si>
    <t>HackneyOptivo</t>
  </si>
  <si>
    <t>HackneyOrigin Housing Limited</t>
  </si>
  <si>
    <t>HackneyParadigm Homes Charitable Housing Association Limited</t>
  </si>
  <si>
    <t>HackneyPeabody Trust</t>
  </si>
  <si>
    <t>HackneyPeter Bedford Housing Association Limited</t>
  </si>
  <si>
    <t>HackneyPhoenix Community Housing Co-operative Limited</t>
  </si>
  <si>
    <t>HackneyPlaces for People Homes Limited</t>
  </si>
  <si>
    <t>HackneyPlaces for People Living+ Limited</t>
  </si>
  <si>
    <t>HackneyProvidence Row Housing Association</t>
  </si>
  <si>
    <t>HackneyQuadrant-Brownswood Tenant Co-operative Limited</t>
  </si>
  <si>
    <t>HackneySanctuary Affordable Housing Limited</t>
  </si>
  <si>
    <t>HackneySanctuary Housing Association</t>
  </si>
  <si>
    <t>HackneyShepherds Bush Housing Association Limited</t>
  </si>
  <si>
    <t>HackneyShian Housing Association Limited</t>
  </si>
  <si>
    <t>HackneySouthern Home Ownership Limited</t>
  </si>
  <si>
    <t>HackneySouthern Housing Group Limited</t>
  </si>
  <si>
    <t>HackneySt Mungo Community Housing Association</t>
  </si>
  <si>
    <t>HackneyTamil Community Housing Association Limited</t>
  </si>
  <si>
    <t>HackneyThe Guinness Partnership Limited</t>
  </si>
  <si>
    <t>HackneyThe Industrial Dwellings Society (1885) Limited</t>
  </si>
  <si>
    <t>HackneyThe Pathways Jubilee Charity</t>
  </si>
  <si>
    <t>HackneyThe West Hackney Almshouse Charity</t>
  </si>
  <si>
    <t>HaltonAnchor Hanover Group</t>
  </si>
  <si>
    <t>HaltonBlackburn YMCA</t>
  </si>
  <si>
    <t>HaltonCare Housing Association Limited</t>
  </si>
  <si>
    <t>HaltonClarion Housing Association Limited</t>
  </si>
  <si>
    <t>HaltonCreative Support Limited</t>
  </si>
  <si>
    <t>HaltonHalton Housing</t>
  </si>
  <si>
    <t>HaltonHeylo Housing Registered Provider Limited</t>
  </si>
  <si>
    <t>HaltonHousing 21</t>
  </si>
  <si>
    <t>HaltonInclusion Housing Community Interest Company</t>
  </si>
  <si>
    <t>HaltonLivv Housing Group</t>
  </si>
  <si>
    <t>HaltonMy Space Housing Solutions</t>
  </si>
  <si>
    <t>HaltonOnward Homes Limited</t>
  </si>
  <si>
    <t>HaltonPlaces for People Homes Limited</t>
  </si>
  <si>
    <t>HaltonPlus Dane Housing Limited</t>
  </si>
  <si>
    <t>HaltonProgress Housing Association Limited</t>
  </si>
  <si>
    <t>HaltonReside Housing Association Limited</t>
  </si>
  <si>
    <t>HaltonSanctuary Housing Association</t>
  </si>
  <si>
    <t>HaltonThe Riverside Group Limited</t>
  </si>
  <si>
    <t>HaltonYour Housing Limited</t>
  </si>
  <si>
    <t>HambletonAccent Housing Limited</t>
  </si>
  <si>
    <t>HambletonBeyond Housing Limited</t>
  </si>
  <si>
    <t>HambletonBroadacres Housing Association Limited</t>
  </si>
  <si>
    <t>HambletonCastles &amp; Coasts Housing Association Limited</t>
  </si>
  <si>
    <t>HambletonDimensions (UK) Limited</t>
  </si>
  <si>
    <t>HambletonHeylo Housing Registered Provider Limited</t>
  </si>
  <si>
    <t>HambletonHome Group Limited</t>
  </si>
  <si>
    <t>HambletonHousing 21</t>
  </si>
  <si>
    <t>HambletonJohn Pease Cottages</t>
  </si>
  <si>
    <t>HambletonJoseph Rowntree Housing Trust</t>
  </si>
  <si>
    <t>HambletonKarbon Homes Limited</t>
  </si>
  <si>
    <t>HambletonMuir Group Housing Association Limited</t>
  </si>
  <si>
    <t>HambletonNew Foundations Housing Association Limited</t>
  </si>
  <si>
    <t>HambletonNorth Star Housing Group</t>
  </si>
  <si>
    <t>HambletonPlaces for People Homes Limited</t>
  </si>
  <si>
    <t>HambletonProgress Housing Association Limited</t>
  </si>
  <si>
    <t>HambletonRailway Housing Association and Benefit Fund</t>
  </si>
  <si>
    <t>HambletonSanctuary Housing Association</t>
  </si>
  <si>
    <t>HambletonThe Abbeyfield Thirsk &amp; Sowerby Society Limited</t>
  </si>
  <si>
    <t>HambletonThe Riverside Group Limited</t>
  </si>
  <si>
    <t>HambletonThirteen Housing Group Limited</t>
  </si>
  <si>
    <t>HambletonTogether Housing Association Limited</t>
  </si>
  <si>
    <t>HambletonWakefield And District Housing Limited</t>
  </si>
  <si>
    <t>HambletonYorkshire Housing Limited</t>
  </si>
  <si>
    <t>Hammersmith and FulhamA2Dominion Homes Limited</t>
  </si>
  <si>
    <t>Hammersmith and FulhamAnchor Hanover Group</t>
  </si>
  <si>
    <t>Hammersmith and FulhamArhag Housing Association Limited</t>
  </si>
  <si>
    <t>Hammersmith and FulhamCatalyst Housing Limited</t>
  </si>
  <si>
    <t>Hammersmith and FulhamCentral and Cecil Housing Trust</t>
  </si>
  <si>
    <t>Hammersmith and FulhamCentrepoint Soho</t>
  </si>
  <si>
    <t>Hammersmith and FulhamClarion Housing Association Limited</t>
  </si>
  <si>
    <t>Hammersmith and FulhamCo-op Homes (South) Limited</t>
  </si>
  <si>
    <t>Hammersmith and FulhamEbony Sistren Housing Association Limited</t>
  </si>
  <si>
    <t>Hammersmith and FulhamHabinteg Housing Association Limited</t>
  </si>
  <si>
    <t>Hammersmith and FulhamHammersmith United Charities</t>
  </si>
  <si>
    <t>Hammersmith and FulhamHarrison Housing</t>
  </si>
  <si>
    <t>Hammersmith and FulhamHome Group Limited</t>
  </si>
  <si>
    <t>Hammersmith and FulhamInnisfree Housing Association Limited</t>
  </si>
  <si>
    <t>Hammersmith and FulhamLondon &amp; Quadrant Housing Trust</t>
  </si>
  <si>
    <t>Hammersmith and FulhamLook Ahead Care and Support Limited</t>
  </si>
  <si>
    <t>Hammersmith and FulhamMetropolitan Housing Trust Limited</t>
  </si>
  <si>
    <t>Hammersmith and FulhamNetwork Homes Limited</t>
  </si>
  <si>
    <t>Hammersmith and FulhamNotting Hill Genesis</t>
  </si>
  <si>
    <t>Hammersmith and FulhamNotting Hill Home Ownership Limited</t>
  </si>
  <si>
    <t>Hammersmith and FulhamOctavia Housing</t>
  </si>
  <si>
    <t>Hammersmith and FulhamOne Housing Group Limited</t>
  </si>
  <si>
    <t>Hammersmith and FulhamOptivo</t>
  </si>
  <si>
    <t>Hammersmith and FulhamParagon Asra Housing Limited</t>
  </si>
  <si>
    <t>Hammersmith and FulhamPeabody Trust</t>
  </si>
  <si>
    <t>Hammersmith and FulhamPlaces for People Homes Limited</t>
  </si>
  <si>
    <t>Hammersmith and FulhamSalvation Army Housing Association</t>
  </si>
  <si>
    <t>Hammersmith and FulhamShepherds Bush Housing Association Limited</t>
  </si>
  <si>
    <t>Hammersmith and FulhamSouthern Housing Group Limited</t>
  </si>
  <si>
    <t>Hammersmith and FulhamSt Christopher's Fellowship</t>
  </si>
  <si>
    <t>Hammersmith and FulhamSt Mungo Community Housing Association</t>
  </si>
  <si>
    <t>Hammersmith and FulhamThames Valley Housing Association Limited</t>
  </si>
  <si>
    <t>Hammersmith and FulhamThe Guinness Partnership Limited</t>
  </si>
  <si>
    <t>Hammersmith and FulhamWestway Housing Association Limited</t>
  </si>
  <si>
    <t>Hammersmith and FulhamWomen's Pioneer Housing Limited</t>
  </si>
  <si>
    <t>Hammersmith and FulhamYMCA St Paul's Group</t>
  </si>
  <si>
    <t>HarboroughAdvance Housing and Support Limited</t>
  </si>
  <si>
    <t>Harboroughbpha Limited</t>
  </si>
  <si>
    <t>HarboroughDerwent Housing Association Limited</t>
  </si>
  <si>
    <t>HarboroughDimensions (UK) Limited</t>
  </si>
  <si>
    <t>HarboroughEMH Housing and Regeneration Limited</t>
  </si>
  <si>
    <t>HarboroughFramework Housing Association</t>
  </si>
  <si>
    <t>HarboroughHeylo Housing Registered Provider Limited</t>
  </si>
  <si>
    <t>HarboroughLiveWest Homes Limited</t>
  </si>
  <si>
    <t>HarboroughLonghurst Group Limited</t>
  </si>
  <si>
    <t>HarboroughMidland Heart Limited</t>
  </si>
  <si>
    <t>HarboroughNottingham Community Housing Association Limited</t>
  </si>
  <si>
    <t>HarboroughParagon Asra Housing Limited</t>
  </si>
  <si>
    <t>HarboroughPlatform Housing Limited</t>
  </si>
  <si>
    <t>HarboroughSage Housing Limited</t>
  </si>
  <si>
    <t>HarboroughStonewater (2) Limited</t>
  </si>
  <si>
    <t>HarboroughThe Guinness Partnership Limited</t>
  </si>
  <si>
    <t>HarboroughThe Riverside Group Limited</t>
  </si>
  <si>
    <t>HarboroughTrinity Housing Association Limited</t>
  </si>
  <si>
    <t>HaringeyAgudas Israel Housing Association Limited</t>
  </si>
  <si>
    <t>HaringeyAnchor Hanover Group</t>
  </si>
  <si>
    <t>HaringeyApna Ghar Housing Association Limited</t>
  </si>
  <si>
    <t>HaringeyArhag Housing Association Limited</t>
  </si>
  <si>
    <t>HaringeyBlue Square Residential Ltd</t>
  </si>
  <si>
    <t>HaringeyCatalyst Housing Limited</t>
  </si>
  <si>
    <t>HaringeyCentral and Cecil Housing Trust</t>
  </si>
  <si>
    <t>HaringeyChristian Action (Enfield) Housing Association Limited</t>
  </si>
  <si>
    <t>HaringeyClarion Housing Association Limited</t>
  </si>
  <si>
    <t>HaringeyCo-op Homes (South) Limited</t>
  </si>
  <si>
    <t>HaringeyFirst Priority Housing Association Limited</t>
  </si>
  <si>
    <t>HaringeyHabinteg Housing Association Limited</t>
  </si>
  <si>
    <t>HaringeyHeylo Housing Registered Provider Limited</t>
  </si>
  <si>
    <t>HaringeyHill Homes</t>
  </si>
  <si>
    <t>HaringeyHome Group Limited</t>
  </si>
  <si>
    <t>HaringeyHornsey Housing Trust Limited</t>
  </si>
  <si>
    <t>HaringeyInnisfree Housing Association Limited</t>
  </si>
  <si>
    <t>HaringeyIslington and Shoreditch Housing Association Limited</t>
  </si>
  <si>
    <t>HaringeyLadybur Housing Co-operative Limited</t>
  </si>
  <si>
    <t>HaringeyLocal Space</t>
  </si>
  <si>
    <t>HaringeyLondon &amp; Quadrant Housing Trust</t>
  </si>
  <si>
    <t>HaringeyMethodist Homes Housing Association Limited</t>
  </si>
  <si>
    <t>HaringeyMetropolitan Housing Trust Limited</t>
  </si>
  <si>
    <t>HaringeyMoat Homes Limited</t>
  </si>
  <si>
    <t>HaringeyNetwork Homes Limited</t>
  </si>
  <si>
    <t>HaringeyNew Swift Housing Co-operative Limited</t>
  </si>
  <si>
    <t>HaringeyNewlon Housing Trust</t>
  </si>
  <si>
    <t>HaringeyNotting Hill Genesis</t>
  </si>
  <si>
    <t>HaringeyNotting Hill Home Ownership Limited</t>
  </si>
  <si>
    <t>HaringeyOne Housing Group Limited</t>
  </si>
  <si>
    <t>HaringeyOptivo</t>
  </si>
  <si>
    <t>HaringeyOrigin Housing Limited</t>
  </si>
  <si>
    <t>HaringeyParagon Asra Housing Limited</t>
  </si>
  <si>
    <t>HaringeyParasol Homes Limited</t>
  </si>
  <si>
    <t>HaringeyPeabody Trust</t>
  </si>
  <si>
    <t>HaringeyPlaces for People Homes Limited</t>
  </si>
  <si>
    <t>HaringeyPlaces for People Living+ Limited</t>
  </si>
  <si>
    <t>HaringeyQuadrant-Brownswood Tenant Co-operative Limited</t>
  </si>
  <si>
    <t>HaringeyReside Housing Association Limited</t>
  </si>
  <si>
    <t>HaringeySanctuary Affordable Housing Limited</t>
  </si>
  <si>
    <t>HaringeySanctuary Housing Association</t>
  </si>
  <si>
    <t>HaringeyShian Housing Association Limited</t>
  </si>
  <si>
    <t>HaringeySouthern Housing Group Limited</t>
  </si>
  <si>
    <t>HaringeySt Mungo Community Housing Association</t>
  </si>
  <si>
    <t>HaringeyStroud Green Housing Co-operative Limited</t>
  </si>
  <si>
    <t>HaringeyTamil Community Housing Association Limited</t>
  </si>
  <si>
    <t>HaringeyTeachers' Housing Association Limited</t>
  </si>
  <si>
    <t>HaringeyThe Abbeyfield Society</t>
  </si>
  <si>
    <t>HaringeyThe Drapers' Almshouse Charity</t>
  </si>
  <si>
    <t>HaringeyThe Industrial Dwellings Society (1885) Limited</t>
  </si>
  <si>
    <t>HaringeyThe Pathways Jubilee Charity</t>
  </si>
  <si>
    <t>HaringeyThe Riverside Group Limited</t>
  </si>
  <si>
    <t>HaringeyWollaston and Pauncefort Almshouse Charity</t>
  </si>
  <si>
    <t>HaringeyWoodside Housing Co-operative Limited</t>
  </si>
  <si>
    <t>HarlowAnchor Hanover Group</t>
  </si>
  <si>
    <t>HarlowB3 Living Limited</t>
  </si>
  <si>
    <t>HarlowChelmer Housing Partnership Limited</t>
  </si>
  <si>
    <t>HarlowChorus Homes Limited</t>
  </si>
  <si>
    <t>HarlowClarion Housing Association Limited</t>
  </si>
  <si>
    <t>HarlowEstuary Housing Association Limited</t>
  </si>
  <si>
    <t>HarlowHarlow Poors Charities</t>
  </si>
  <si>
    <t>HarlowHome Group Limited</t>
  </si>
  <si>
    <t>HarlowLondon &amp; Quadrant Housing Trust</t>
  </si>
  <si>
    <t>HarlowMetropolitan Housing Trust Limited</t>
  </si>
  <si>
    <t>HarlowMoat Homes Limited</t>
  </si>
  <si>
    <t>HarlowMoat Housing Group Limited</t>
  </si>
  <si>
    <t>HarlowNACRO</t>
  </si>
  <si>
    <t>HarlowNotting Hill Genesis</t>
  </si>
  <si>
    <t>HarlowOne Housing Group Limited</t>
  </si>
  <si>
    <t>HarlowSage Housing Limited</t>
  </si>
  <si>
    <t>HarlowSanctuary Housing Association</t>
  </si>
  <si>
    <t>HarlowSwan Housing Association Limited</t>
  </si>
  <si>
    <t>HarlowThe Riverside Group Limited</t>
  </si>
  <si>
    <t>HarrogateAccent Housing Limited</t>
  </si>
  <si>
    <t>HarrogateAnchor Hanover Group</t>
  </si>
  <si>
    <t>HarrogateBroadacres Housing Association Limited</t>
  </si>
  <si>
    <t xml:space="preserve">HarrogateEncircle Housing </t>
  </si>
  <si>
    <t>HarrogateHarrogate Flower Fund Homes Limited</t>
  </si>
  <si>
    <t>HarrogateHarrogate Housing Association Limited</t>
  </si>
  <si>
    <t>HarrogateHarrogate Neighbours Housing Association Limited</t>
  </si>
  <si>
    <t>HarrogateHeylo Housing Registered Provider Limited</t>
  </si>
  <si>
    <t>HarrogateHome Group Limited</t>
  </si>
  <si>
    <t>HarrogateJoseph Rowntree Housing Trust</t>
  </si>
  <si>
    <t>HarrogateKarbon Homes Limited</t>
  </si>
  <si>
    <t>HarrogateLeeds Federated Housing Association Limited</t>
  </si>
  <si>
    <t>HarrogatePlaces for People Homes Limited</t>
  </si>
  <si>
    <t>HarrogateProgress Housing Association Limited</t>
  </si>
  <si>
    <t>HarrogateRailway Housing Association and Benefit Fund</t>
  </si>
  <si>
    <t>HarrogateRipon YMCA</t>
  </si>
  <si>
    <t>HarrogateRoger's Almshouses</t>
  </si>
  <si>
    <t>HarrogateSanctuary Housing Association</t>
  </si>
  <si>
    <t>HarrogateThe Abbeyfield (Ripon and District) Society Ltd</t>
  </si>
  <si>
    <t>HarrogateThe Guinness Partnership Limited</t>
  </si>
  <si>
    <t>HarrogateThe Harcourt Almshouse Charities</t>
  </si>
  <si>
    <t>HarrogateThe Riverside Group Limited</t>
  </si>
  <si>
    <t>HarrogateTogether Housing Association Limited</t>
  </si>
  <si>
    <t>HarrogateWakefield And District Housing Limited</t>
  </si>
  <si>
    <t>HarrogateWestmoreland Supported Housing Limited</t>
  </si>
  <si>
    <t>HarrogateYorkshire Housing Limited</t>
  </si>
  <si>
    <t>HarrogateYour Housing Limited</t>
  </si>
  <si>
    <t>HarrowA2Dominion Homes Limited</t>
  </si>
  <si>
    <t>HarrowAnchor Hanover Group</t>
  </si>
  <si>
    <t>HarrowApna Ghar Housing Association Limited</t>
  </si>
  <si>
    <t>HarrowCatalyst Housing Limited</t>
  </si>
  <si>
    <t>HarrowChrysalis Supported Association Limited</t>
  </si>
  <si>
    <t>HarrowClarion Housing Association Limited</t>
  </si>
  <si>
    <t>HarrowHarrow Churches Housing Association</t>
  </si>
  <si>
    <t>HarrowHeylo Housing Registered Provider Limited</t>
  </si>
  <si>
    <t>HarrowHome Group Limited</t>
  </si>
  <si>
    <t>HarrowHyde Housing Association Limited</t>
  </si>
  <si>
    <t>HarrowInnisfree Housing Association Limited</t>
  </si>
  <si>
    <t>HarrowInquilab Housing Association Limited</t>
  </si>
  <si>
    <t>HarrowJewish Community Housing Association Limited</t>
  </si>
  <si>
    <t>HarrowLondon &amp; Quadrant Housing Trust</t>
  </si>
  <si>
    <t>HarrowMetropolitan Housing Trust Limited</t>
  </si>
  <si>
    <t>HarrowMoat Homes Limited</t>
  </si>
  <si>
    <t>HarrowNetwork Homes Limited</t>
  </si>
  <si>
    <t>HarrowNotting Hill Genesis</t>
  </si>
  <si>
    <t>HarrowNotting Hill Home Ownership Limited</t>
  </si>
  <si>
    <t>HarrowOctavia Housing</t>
  </si>
  <si>
    <t>HarrowOne Housing Group Limited</t>
  </si>
  <si>
    <t>HarrowOrigin Housing Limited</t>
  </si>
  <si>
    <t>HarrowParadigm Homes Charitable Housing Association Limited</t>
  </si>
  <si>
    <t>HarrowParagon Asra Housing Limited</t>
  </si>
  <si>
    <t>HarrowPeabody Trust</t>
  </si>
  <si>
    <t>HarrowPinner House Society Limited</t>
  </si>
  <si>
    <t>HarrowSalvation Army Housing Association</t>
  </si>
  <si>
    <t>HarrowSanctuary Housing Association</t>
  </si>
  <si>
    <t>HarrowShepherds Bush Housing Association Limited</t>
  </si>
  <si>
    <t>HarrowSouthern Housing Group Limited</t>
  </si>
  <si>
    <t>HarrowThe Guinness Partnership Limited</t>
  </si>
  <si>
    <t>HarrowWest London YMCA</t>
  </si>
  <si>
    <t>HarrowWomen's Pioneer Housing Limited</t>
  </si>
  <si>
    <t>HartA2Dominion Homes Limited</t>
  </si>
  <si>
    <t>HartAccent Housing Limited</t>
  </si>
  <si>
    <t>HartAdvance Housing and Support Limited</t>
  </si>
  <si>
    <t>HartAnchor Hanover Group</t>
  </si>
  <si>
    <t>HartAster Communities</t>
  </si>
  <si>
    <t>HartCatalyst Housing Limited</t>
  </si>
  <si>
    <t>HartClarion Housing Association Limited</t>
  </si>
  <si>
    <t>HartEnglish Rural Housing Association Limited</t>
  </si>
  <si>
    <t>HartHeylo Housing Registered Provider Limited</t>
  </si>
  <si>
    <t>HartHome Group Limited</t>
  </si>
  <si>
    <t>HartLondon &amp; Quadrant Housing Trust</t>
  </si>
  <si>
    <t>HartMetropolitan Housing Trust Limited</t>
  </si>
  <si>
    <t>HartMoat Homes Limited</t>
  </si>
  <si>
    <t>HartSilva Homes Limited</t>
  </si>
  <si>
    <t>HartSir Robert Geffery's Almshouse Trust</t>
  </si>
  <si>
    <t>HartSouthern Housing Group Limited</t>
  </si>
  <si>
    <t>HartSovereign Housing Association Limited</t>
  </si>
  <si>
    <t>HartStonewater (2) Limited</t>
  </si>
  <si>
    <t>HartSynergy Housing Limited</t>
  </si>
  <si>
    <t>HartThe Swaythling Housing Society Limited</t>
  </si>
  <si>
    <t>HartVivid Housing Limited</t>
  </si>
  <si>
    <t>HartlepoolAccent Housing Limited</t>
  </si>
  <si>
    <t>HartlepoolAnchor Hanover Group</t>
  </si>
  <si>
    <t>HartlepoolBernicia Group</t>
  </si>
  <si>
    <t>HartlepoolDimensions (UK) Limited</t>
  </si>
  <si>
    <t>HartlepoolHeylo Housing Registered Provider Limited</t>
  </si>
  <si>
    <t>HartlepoolHome Group Limited</t>
  </si>
  <si>
    <t>HartlepoolHousing 21</t>
  </si>
  <si>
    <t>HartlepoolHumankind Charity</t>
  </si>
  <si>
    <t>HartlepoolJoseph Rowntree Housing Trust</t>
  </si>
  <si>
    <t>HartlepoolKarbon Homes Limited</t>
  </si>
  <si>
    <t>HartlepoolNACRO</t>
  </si>
  <si>
    <t>HartlepoolNorth Star Housing Group</t>
  </si>
  <si>
    <t>HartlepoolRailway Housing Association and Benefit Fund</t>
  </si>
  <si>
    <t>HartlepoolSanctuary Housing Association</t>
  </si>
  <si>
    <t>HartlepoolThirteen Housing Group Limited</t>
  </si>
  <si>
    <t>HastingsAbility Housing Association</t>
  </si>
  <si>
    <t>HastingsAnchor Hanover Group</t>
  </si>
  <si>
    <t>HastingsClarion Housing Association Limited</t>
  </si>
  <si>
    <t>HastingsHome Group Limited</t>
  </si>
  <si>
    <t>HastingsHousing 21</t>
  </si>
  <si>
    <t>HastingsLocal Space</t>
  </si>
  <si>
    <t>HastingsOptivo</t>
  </si>
  <si>
    <t>HastingsOrbit Group Limited</t>
  </si>
  <si>
    <t>HastingsPlaces for People Homes Limited</t>
  </si>
  <si>
    <t>HastingsRadcliffe Housing Society Limited</t>
  </si>
  <si>
    <t>HastingsSalvation Army Housing Association</t>
  </si>
  <si>
    <t>HastingsSanctuary Housing Association</t>
  </si>
  <si>
    <t>HastingsSouthdown Housing Association Limited</t>
  </si>
  <si>
    <t>HastingsSouthern Housing Group Limited</t>
  </si>
  <si>
    <t>HastingsStonewater (2) Limited</t>
  </si>
  <si>
    <t>HastingsStonewater Limited</t>
  </si>
  <si>
    <t>HastingsYMCA Downslink Group</t>
  </si>
  <si>
    <t>HavantAbility Housing Association</t>
  </si>
  <si>
    <t>HavantAdvance Housing and Support Limited</t>
  </si>
  <si>
    <t>HavantAgamemnon Housing Association Limited</t>
  </si>
  <si>
    <t>HavantAster Communities</t>
  </si>
  <si>
    <t>HavantClarion Housing Association Limited</t>
  </si>
  <si>
    <t>HavantGrainger Trust Limited</t>
  </si>
  <si>
    <t>HavantHavant Housing Association Limited</t>
  </si>
  <si>
    <t>HavantHeylo Housing Registered Provider Limited</t>
  </si>
  <si>
    <t>HavantHome Group Limited</t>
  </si>
  <si>
    <t>HavantHousing 21</t>
  </si>
  <si>
    <t>HavantHyde Housing Association Limited</t>
  </si>
  <si>
    <t>HavantInclusion Housing Community Interest Company</t>
  </si>
  <si>
    <t>HavantMoat Homes Limited</t>
  </si>
  <si>
    <t>HavantPlaces for People Homes Limited</t>
  </si>
  <si>
    <t>HavantProgress Housing Association Limited</t>
  </si>
  <si>
    <t>HavantReside Housing Association Limited</t>
  </si>
  <si>
    <t>HavantSanctuary Housing Association</t>
  </si>
  <si>
    <t>HavantSaxon Weald</t>
  </si>
  <si>
    <t>HavantSouthern Housing Group Limited</t>
  </si>
  <si>
    <t>HavantStonewater Limited</t>
  </si>
  <si>
    <t>HavantSynergy Housing Limited</t>
  </si>
  <si>
    <t>HavantThe Abbeyfield Society</t>
  </si>
  <si>
    <t>HavantThe Guinness Partnership Limited</t>
  </si>
  <si>
    <t>HavantThe Swaythling Housing Society Limited</t>
  </si>
  <si>
    <t>HavantTwo Saints Limited</t>
  </si>
  <si>
    <t>HavantVivid Housing Limited</t>
  </si>
  <si>
    <t>HaveringA2Dominion Homes Limited</t>
  </si>
  <si>
    <t>HaveringAnchor Hanover Group</t>
  </si>
  <si>
    <t>HaveringBrentwood Housing Trust Limited</t>
  </si>
  <si>
    <t>HaveringCentrepoint Soho</t>
  </si>
  <si>
    <t>HaveringClarion Housing Association Limited</t>
  </si>
  <si>
    <t>HaveringEstuary Housing Association Limited</t>
  </si>
  <si>
    <t>HaveringGateway Housing Association Limited</t>
  </si>
  <si>
    <t>HaveringHabinteg Housing Association Limited</t>
  </si>
  <si>
    <t>HaveringHastoe Housing Association Limited</t>
  </si>
  <si>
    <t>HaveringHeylo Housing Registered Provider Limited</t>
  </si>
  <si>
    <t>HaveringHome Group Limited</t>
  </si>
  <si>
    <t>HaveringHousing 21</t>
  </si>
  <si>
    <t>HaveringLocal Space</t>
  </si>
  <si>
    <t>HaveringLondon &amp; Quadrant Housing Trust</t>
  </si>
  <si>
    <t>HaveringLook Ahead Care and Support Limited</t>
  </si>
  <si>
    <t>HaveringMetropolitan Housing Trust Limited</t>
  </si>
  <si>
    <t>HaveringMoat Homes Limited</t>
  </si>
  <si>
    <t>HaveringNewlon Housing Trust</t>
  </si>
  <si>
    <t>HaveringNotting Hill Genesis</t>
  </si>
  <si>
    <t>HaveringNotting Hill Home Ownership Limited</t>
  </si>
  <si>
    <t>HaveringOne Housing Group Limited</t>
  </si>
  <si>
    <t>HaveringOrbit Group Limited</t>
  </si>
  <si>
    <t>HaveringOrigin Housing Limited</t>
  </si>
  <si>
    <t>HaveringPeabody Trust</t>
  </si>
  <si>
    <t>HaveringShepherds Bush Housing Association Limited</t>
  </si>
  <si>
    <t>HaveringSouthern Housing Group Limited</t>
  </si>
  <si>
    <t>HaveringSwan Housing Association Limited</t>
  </si>
  <si>
    <t>HaveringThe Guinness Partnership Limited</t>
  </si>
  <si>
    <t>HaveringThe Riverside Group Limited</t>
  </si>
  <si>
    <t>HaveringTrinity Housing Association Limited</t>
  </si>
  <si>
    <t>HaveringWestmoreland Supported Housing Limited</t>
  </si>
  <si>
    <t>HaveringYMCA Thames Gateway</t>
  </si>
  <si>
    <t>HertsmereArhag Housing Association Limited</t>
  </si>
  <si>
    <t>HertsmereB3 Living Limited</t>
  </si>
  <si>
    <t>HertsmereCatalyst Housing Limited</t>
  </si>
  <si>
    <t>HertsmereClarion Housing Association Limited</t>
  </si>
  <si>
    <t>HertsmereFirst Garden Cities Homes Limited</t>
  </si>
  <si>
    <t>HertsmereGrand Union Housing Group Limited</t>
  </si>
  <si>
    <t>HertsmereHabinteg Housing Association Limited</t>
  </si>
  <si>
    <t>HertsmereHeylo Housing Registered Provider Limited</t>
  </si>
  <si>
    <t>HertsmereHightown Housing Association Limited</t>
  </si>
  <si>
    <t>HertsmereHome Group Limited</t>
  </si>
  <si>
    <t>HertsmereHousing 21</t>
  </si>
  <si>
    <t>HertsmereInnisfree Housing Association Limited</t>
  </si>
  <si>
    <t>HertsmereLondon &amp; Quadrant Housing Trust</t>
  </si>
  <si>
    <t>HertsmereMetropolitan Housing Trust Limited</t>
  </si>
  <si>
    <t>HertsmereNetwork Homes Limited</t>
  </si>
  <si>
    <t>HertsmereNotting Hill Genesis</t>
  </si>
  <si>
    <t>HertsmereNotting Hill Home Ownership Limited</t>
  </si>
  <si>
    <t>HertsmereOrigin Housing Limited</t>
  </si>
  <si>
    <t>HertsmereParadigm Homes Charitable Housing Association Limited</t>
  </si>
  <si>
    <t>HertsmerePine Ridge Housing Association Limited</t>
  </si>
  <si>
    <t>HertsmerePlaces for People Homes Limited</t>
  </si>
  <si>
    <t>HertsmereReside Housing Association Limited</t>
  </si>
  <si>
    <t>HertsmereSanctuary Housing Association</t>
  </si>
  <si>
    <t>HertsmereSapphire Independent Housing Limited</t>
  </si>
  <si>
    <t>HertsmereSouthern Housing Group Limited</t>
  </si>
  <si>
    <t>HertsmereTamil Community Housing Association Limited</t>
  </si>
  <si>
    <t>HertsmereThe Abbeyfield Society</t>
  </si>
  <si>
    <t>HertsmereThe Guinness Partnership Limited</t>
  </si>
  <si>
    <t>HertsmereThe Industrial Dwellings Society (1885) Limited</t>
  </si>
  <si>
    <t>HertsmereThrive Homes Limited</t>
  </si>
  <si>
    <t>HertsmereWatford Community Housing Trust</t>
  </si>
  <si>
    <t>HertsmereWest Herts Homes Limited</t>
  </si>
  <si>
    <t>High PeakAdullam Homes Housing Association Limited</t>
  </si>
  <si>
    <t>High PeakAnchor Hanover Group</t>
  </si>
  <si>
    <t>High PeakArcon Housing Association Limited</t>
  </si>
  <si>
    <t>High PeakCheshire Peaks &amp; Plains Housing Trust Limited</t>
  </si>
  <si>
    <t>High PeakDerwent Housing Association Limited</t>
  </si>
  <si>
    <t>High PeakEMH Housing and Regeneration Limited</t>
  </si>
  <si>
    <t>High PeakGreat Places Housing Association</t>
  </si>
  <si>
    <t>High PeakHeylo Housing Registered Provider Limited</t>
  </si>
  <si>
    <t>High PeakInclusion Housing Community Interest Company</t>
  </si>
  <si>
    <t>High Peak'Johnnie' Johnson Housing Trust Limited</t>
  </si>
  <si>
    <t>High PeakNottingham Community Housing Association Limited</t>
  </si>
  <si>
    <t>High PeakPartners Foundation Limited</t>
  </si>
  <si>
    <t>High PeakPeak District Rural Housing Association Limited</t>
  </si>
  <si>
    <t>High PeakSage Housing Limited</t>
  </si>
  <si>
    <t>High PeakSouth Yorkshire Housing Association Limited</t>
  </si>
  <si>
    <t>High PeakStonewater Limited</t>
  </si>
  <si>
    <t>High PeakThe Guinness Partnership Limited</t>
  </si>
  <si>
    <t>High PeakYour Housing Limited</t>
  </si>
  <si>
    <t>HillingdonA2Dominion Homes Limited</t>
  </si>
  <si>
    <t>HillingdonA2Dominion South Limited</t>
  </si>
  <si>
    <t>HillingdonAbility Housing Association</t>
  </si>
  <si>
    <t>HillingdonAnchor Hanover Group</t>
  </si>
  <si>
    <t>HillingdonCatalyst Housing Limited</t>
  </si>
  <si>
    <t>HillingdonCentral and Cecil Housing Trust</t>
  </si>
  <si>
    <t>HillingdonCo-op Homes (South) Limited</t>
  </si>
  <si>
    <t>HillingdonDawley Housing Co-operative Limited</t>
  </si>
  <si>
    <t>HillingdonHabinteg Housing Association Limited</t>
  </si>
  <si>
    <t>HillingdonHarefield Parochial Charities</t>
  </si>
  <si>
    <t>HillingdonHarrow Churches Housing Association</t>
  </si>
  <si>
    <t>HillingdonHastoe Housing Association Limited</t>
  </si>
  <si>
    <t>HillingdonHeylo Housing Registered Provider Limited</t>
  </si>
  <si>
    <t>HillingdonHome Group Limited</t>
  </si>
  <si>
    <t>HillingdonInclusion Housing Community Interest Company</t>
  </si>
  <si>
    <t>HillingdonInnisfree Housing Association Limited</t>
  </si>
  <si>
    <t>HillingdonInquilab Housing Association Limited</t>
  </si>
  <si>
    <t>HillingdonLondon &amp; Quadrant Housing Trust</t>
  </si>
  <si>
    <t>HillingdonLook Ahead Care and Support Limited</t>
  </si>
  <si>
    <t>HillingdonMetropolitan Housing Trust Limited</t>
  </si>
  <si>
    <t>HillingdonNetwork Homes Limited</t>
  </si>
  <si>
    <t>HillingdonNotting Hill Genesis</t>
  </si>
  <si>
    <t>HillingdonNotting Hill Home Ownership Limited</t>
  </si>
  <si>
    <t>HillingdonOptivo</t>
  </si>
  <si>
    <t>HillingdonParadigm Homes Charitable Housing Association Limited</t>
  </si>
  <si>
    <t>HillingdonParagon Asra Housing Limited</t>
  </si>
  <si>
    <t>HillingdonPeabody Trust</t>
  </si>
  <si>
    <t>HillingdonPlaces for People Homes Limited</t>
  </si>
  <si>
    <t>HillingdonRichmond Housing Partnership Limited</t>
  </si>
  <si>
    <t>HillingdonSage Housing Limited</t>
  </si>
  <si>
    <t>HillingdonSanctuary Housing Association</t>
  </si>
  <si>
    <t>HillingdonShepherds Bush Housing Association Limited</t>
  </si>
  <si>
    <t>HillingdonThe Abbeyfield Uxbridge Society Limited</t>
  </si>
  <si>
    <t>HillingdonThe Guinness Partnership Limited</t>
  </si>
  <si>
    <t>HillingdonThe Riverside Group Limited</t>
  </si>
  <si>
    <t>HillingdonWest London YMCA</t>
  </si>
  <si>
    <t>HillingdonWomen's Pioneer Housing Limited</t>
  </si>
  <si>
    <t>Hinckley and BosworthAdullam Homes Housing Association Limited</t>
  </si>
  <si>
    <t>Hinckley and BosworthAdvance Housing and Support Limited</t>
  </si>
  <si>
    <t>Hinckley and BosworthAnchor Hanover Group</t>
  </si>
  <si>
    <t>Hinckley and BosworthDerwent Housing Association Limited</t>
  </si>
  <si>
    <t>Hinckley and BosworthEMH Housing and Regeneration Limited</t>
  </si>
  <si>
    <t>Hinckley and BosworthFutures Homescape Limited</t>
  </si>
  <si>
    <t>Hinckley and BosworthHilldale Housing Association Limited</t>
  </si>
  <si>
    <t>Hinckley and BosworthInclusion Housing Community Interest Company</t>
  </si>
  <si>
    <t>Hinckley and BosworthMidland Heart Limited</t>
  </si>
  <si>
    <t>Hinckley and BosworthMy Space Housing Solutions</t>
  </si>
  <si>
    <t>Hinckley and BosworthNottingham Community Housing Association Limited</t>
  </si>
  <si>
    <t>Hinckley and BosworthOrbit Group Limited</t>
  </si>
  <si>
    <t>Hinckley and BosworthParagon Asra Housing Limited</t>
  </si>
  <si>
    <t>Hinckley and BosworthPlatform Housing Limited</t>
  </si>
  <si>
    <t>Hinckley and BosworthProgress Housing Association Limited</t>
  </si>
  <si>
    <t>Hinckley and BosworthStonewater Limited</t>
  </si>
  <si>
    <t>Hinckley and BosworthThe Riverside Group Limited</t>
  </si>
  <si>
    <t>Hinckley and BosworthTrinity Housing Association Limited</t>
  </si>
  <si>
    <t>Hinckley and BosworthTuntum Housing Association Limited</t>
  </si>
  <si>
    <t>HorshamA2Dominion South Limited</t>
  </si>
  <si>
    <t>HorshamAnchor Hanover Group</t>
  </si>
  <si>
    <t>HorshamClarion Housing Association Limited</t>
  </si>
  <si>
    <t>HorshamEnglish Rural Housing Association Limited</t>
  </si>
  <si>
    <t>HorshamGreenoak Housing Association Limited</t>
  </si>
  <si>
    <t>HorshamHastoe Housing Association Limited</t>
  </si>
  <si>
    <t>HorshamHeylo Housing Registered Provider Limited</t>
  </si>
  <si>
    <t>HorshamHome Group Limited</t>
  </si>
  <si>
    <t>HorshamHousing 21</t>
  </si>
  <si>
    <t>HorshamHyde Housing Association Limited</t>
  </si>
  <si>
    <t>HorshamLondon &amp; Quadrant Housing Trust</t>
  </si>
  <si>
    <t>HorshamMetropolitan Housing Trust Limited</t>
  </si>
  <si>
    <t>HorshamMoat Homes Limited</t>
  </si>
  <si>
    <t>HorshamMount Green Housing Association Limited</t>
  </si>
  <si>
    <t>HorshamOrbit Group Limited</t>
  </si>
  <si>
    <t>HorshamPlaces for People Homes Limited</t>
  </si>
  <si>
    <t>HorshamRaven Housing Trust Limited</t>
  </si>
  <si>
    <t>HorshamRoyal Air Forces Association Housing Limited</t>
  </si>
  <si>
    <t>HorshamSage Housing Limited</t>
  </si>
  <si>
    <t>HorshamSanctuary Housing Association</t>
  </si>
  <si>
    <t>HorshamSaxon Weald</t>
  </si>
  <si>
    <t>HorshamSouthdown Housing Association Limited</t>
  </si>
  <si>
    <t>HorshamSouthern Housing Group Limited</t>
  </si>
  <si>
    <t>HorshamStonewater (2) Limited</t>
  </si>
  <si>
    <t>HorshamStonewater (5) Limited</t>
  </si>
  <si>
    <t>HorshamStonewater Limited</t>
  </si>
  <si>
    <t>HorshamThe Guinness Partnership Limited</t>
  </si>
  <si>
    <t>HorshamThe Richmond Fellowship</t>
  </si>
  <si>
    <t>HorshamYMCA Downslink Group</t>
  </si>
  <si>
    <t>HounslowA2Dominion Homes Limited</t>
  </si>
  <si>
    <t>HounslowA2Dominion South Limited</t>
  </si>
  <si>
    <t>HounslowBedfont Stoney Wall Housing Co-operative Limited</t>
  </si>
  <si>
    <t>HounslowBlue Square Residential Ltd</t>
  </si>
  <si>
    <t>HounslowCatalyst Housing Limited</t>
  </si>
  <si>
    <t>HounslowCentral and Cecil Housing Trust</t>
  </si>
  <si>
    <t>HounslowChiswick Parochial Charities</t>
  </si>
  <si>
    <t>HounslowChrysalis Supported Association Limited</t>
  </si>
  <si>
    <t>HounslowClarion Housing Association Limited</t>
  </si>
  <si>
    <t>HounslowCo-op Homes (South) Limited</t>
  </si>
  <si>
    <t>HounslowCross Lances Housing Co-operative Limited</t>
  </si>
  <si>
    <t>HounslowDavid Henry Waring Home</t>
  </si>
  <si>
    <t>HounslowDimensions (UK) Limited</t>
  </si>
  <si>
    <t>HounslowGreen Dragon Lane Housing Co-operative Limited</t>
  </si>
  <si>
    <t>HounslowHabinteg Housing Association Limited</t>
  </si>
  <si>
    <t>HounslowHarrow Churches Housing Association</t>
  </si>
  <si>
    <t>HounslowHeylo Housing Registered Provider Limited</t>
  </si>
  <si>
    <t>HounslowHome Group Limited</t>
  </si>
  <si>
    <t>HounslowHousing 21</t>
  </si>
  <si>
    <t>HounslowHousing For Women</t>
  </si>
  <si>
    <t>HounslowHousing Pathways Trust</t>
  </si>
  <si>
    <t>HounslowInclusion Housing Community Interest Company</t>
  </si>
  <si>
    <t>HounslowInquilab Housing Association Limited</t>
  </si>
  <si>
    <t>HounslowIsleworth and Hounslow Charity Limited</t>
  </si>
  <si>
    <t>HounslowLondon &amp; Quadrant Housing Trust</t>
  </si>
  <si>
    <t>HounslowLondon Cyrenians Housing Limited</t>
  </si>
  <si>
    <t>HounslowLonghurst Group Limited</t>
  </si>
  <si>
    <t>HounslowMetropolitan Housing Trust Limited</t>
  </si>
  <si>
    <t>HounslowNetwork Homes Limited</t>
  </si>
  <si>
    <t>HounslowNotting Hill Genesis</t>
  </si>
  <si>
    <t>HounslowNotting Hill Home Ownership Limited</t>
  </si>
  <si>
    <t>HounslowOctavia Housing</t>
  </si>
  <si>
    <t>HounslowOld Isleworth Housing Co-operative Limited</t>
  </si>
  <si>
    <t>HounslowOne Housing Group Limited</t>
  </si>
  <si>
    <t>HounslowOrigin Housing Limited</t>
  </si>
  <si>
    <t>HounslowParagon Asra Housing Limited</t>
  </si>
  <si>
    <t>HounslowPlaces for People Homes Limited</t>
  </si>
  <si>
    <t>HounslowRefuge</t>
  </si>
  <si>
    <t>HounslowRichmond Housing Partnership Limited</t>
  </si>
  <si>
    <t>HounslowSanctuary Housing Association</t>
  </si>
  <si>
    <t>HounslowShepherds Bush Housing Association Limited</t>
  </si>
  <si>
    <t>HounslowSouthern Housing Group Limited</t>
  </si>
  <si>
    <t>HounslowSt Mungo Community Housing Association</t>
  </si>
  <si>
    <t>HounslowThe Skinners'  Almshouse Charity</t>
  </si>
  <si>
    <t>HounslowWellington Housing Co-operative Limited</t>
  </si>
  <si>
    <t>HounslowWestway Housing Association Limited</t>
  </si>
  <si>
    <t>HuntingdonshireAccent Housing Limited</t>
  </si>
  <si>
    <t>HuntingdonshireAnchor Hanover Group</t>
  </si>
  <si>
    <t>Huntingdonshirebpha Limited</t>
  </si>
  <si>
    <t>HuntingdonshireCatalyst Housing Limited</t>
  </si>
  <si>
    <t>HuntingdonshireChorus Homes Limited</t>
  </si>
  <si>
    <t>HuntingdonshireClarion Housing Association Limited</t>
  </si>
  <si>
    <t>HuntingdonshireCotman Housing Association Limited</t>
  </si>
  <si>
    <t>HuntingdonshireCross Keys Homes Limited</t>
  </si>
  <si>
    <t>HuntingdonshireDimensions (UK) Limited</t>
  </si>
  <si>
    <t>HuntingdonshireHastoe Housing Association Limited</t>
  </si>
  <si>
    <t>HuntingdonshireHeylo Housing Registered Provider Limited</t>
  </si>
  <si>
    <t>HuntingdonshireHome Group Limited</t>
  </si>
  <si>
    <t>HuntingdonshireHousing 21</t>
  </si>
  <si>
    <t>HuntingdonshireHundred Houses Society Limited</t>
  </si>
  <si>
    <t>HuntingdonshireHyde Housing Association Limited</t>
  </si>
  <si>
    <t>HuntingdonshireLonghurst Group Limited</t>
  </si>
  <si>
    <t>HuntingdonshireMetropolitan Housing Trust Limited</t>
  </si>
  <si>
    <t>HuntingdonshireMuir Group Housing Association Limited</t>
  </si>
  <si>
    <t>HuntingdonshireOrbit Group Limited</t>
  </si>
  <si>
    <t>HuntingdonshirePlaces for People Homes Limited</t>
  </si>
  <si>
    <t>HuntingdonshirePlaces for People Living+ Limited</t>
  </si>
  <si>
    <t>HuntingdonshireProgress Housing Association Limited</t>
  </si>
  <si>
    <t>HuntingdonshireRamsey Welfare Charities</t>
  </si>
  <si>
    <t>HuntingdonshireReside Housing Association Limited</t>
  </si>
  <si>
    <t>HuntingdonshireSage Housing Limited</t>
  </si>
  <si>
    <t>HuntingdonshireSalvation Army Housing Association</t>
  </si>
  <si>
    <t>HuntingdonshireStonewater Limited</t>
  </si>
  <si>
    <t>HuntingdonshireThe Cambridge Housing Society Limited</t>
  </si>
  <si>
    <t>HuntingdonshireThe Guinness Partnership Limited</t>
  </si>
  <si>
    <t>HuntingdonshireThe Havebury Housing Partnership</t>
  </si>
  <si>
    <t>HuntingdonshireThe Papworth Trust</t>
  </si>
  <si>
    <t>HyndburnAccent Housing Limited</t>
  </si>
  <si>
    <t>HyndburnAnchor Hanover Group</t>
  </si>
  <si>
    <t>HyndburnCalico Homes Limited</t>
  </si>
  <si>
    <t>HyndburnCare Housing Association Limited</t>
  </si>
  <si>
    <t>HyndburnCreative Support Limited</t>
  </si>
  <si>
    <t>HyndburnEmpower Housing Association Limited</t>
  </si>
  <si>
    <t>HyndburnGreat Places Housing Association</t>
  </si>
  <si>
    <t>HyndburnHalo Housing Association Limited</t>
  </si>
  <si>
    <t>HyndburnHeylo Housing Registered Provider Limited</t>
  </si>
  <si>
    <t>HyndburnHilldale Housing Association Limited</t>
  </si>
  <si>
    <t>HyndburnHousing 21</t>
  </si>
  <si>
    <t>HyndburnInclusion Housing Community Interest Company</t>
  </si>
  <si>
    <t>HyndburnMosscare St. Vincent's Housing Group Limited</t>
  </si>
  <si>
    <t>HyndburnMy Space Housing Solutions</t>
  </si>
  <si>
    <t>HyndburnNew Foundations Housing Association Limited</t>
  </si>
  <si>
    <t>HyndburnOnward Homes Limited</t>
  </si>
  <si>
    <t>HyndburnPartners Foundation Limited</t>
  </si>
  <si>
    <t>HyndburnPlaces for People Homes Limited</t>
  </si>
  <si>
    <t>HyndburnPlaces for People Living+ Limited</t>
  </si>
  <si>
    <t>HyndburnProgress Housing Association Limited</t>
  </si>
  <si>
    <t>HyndburnTogether Housing Association Limited</t>
  </si>
  <si>
    <t>HyndburnTrinity Housing Association Limited</t>
  </si>
  <si>
    <t>HyndburnYour Housing Limited</t>
  </si>
  <si>
    <t>IpswichAnchor Hanover Group</t>
  </si>
  <si>
    <t>IpswichBroadland Housing Association Limited</t>
  </si>
  <si>
    <t>IpswichClarion Housing Association Limited</t>
  </si>
  <si>
    <t>IpswichEmpower Housing Association Limited</t>
  </si>
  <si>
    <t>IpswichFlagship Housing Group Limited</t>
  </si>
  <si>
    <t>IpswichHabinteg Housing Association Limited</t>
  </si>
  <si>
    <t>IpswichHeylo Housing Registered Provider Limited</t>
  </si>
  <si>
    <t>IpswichHome Group Limited</t>
  </si>
  <si>
    <t>IpswichHousing 21</t>
  </si>
  <si>
    <t>IpswichNotting Hill Genesis</t>
  </si>
  <si>
    <t>IpswichOak Housing Limited</t>
  </si>
  <si>
    <t>IpswichOrbit Group Limited</t>
  </si>
  <si>
    <t>IpswichOrwell Housing Association Limited</t>
  </si>
  <si>
    <t>IpswichPlaces for People Living+ Limited</t>
  </si>
  <si>
    <t>IpswichProgress Housing Association Limited</t>
  </si>
  <si>
    <t>IpswichSaffron Housing Trust Limited</t>
  </si>
  <si>
    <t>IpswichSalvation Army Housing Association</t>
  </si>
  <si>
    <t>IpswichSanctuary Affordable Housing Limited</t>
  </si>
  <si>
    <t>IpswichSanctuary Housing Association</t>
  </si>
  <si>
    <t>IpswichThe Abbeyfield Orwell Extra Care Society Limited</t>
  </si>
  <si>
    <t>IpswichThe Abbeyfield Society</t>
  </si>
  <si>
    <t>IpswichThe Guinness Partnership Limited</t>
  </si>
  <si>
    <t>IpswichThe Papworth Trust</t>
  </si>
  <si>
    <t>IpswichThe Richmond Fellowship</t>
  </si>
  <si>
    <t>IpswichThe Riverside Group Limited</t>
  </si>
  <si>
    <t>IpswichWilliam Paul Housing Trust</t>
  </si>
  <si>
    <t>IpswichYMCA Trinity Group</t>
  </si>
  <si>
    <t>Isle of WightAdvance Housing and Support Limited</t>
  </si>
  <si>
    <t>Isle of WightAnchor Hanover Group</t>
  </si>
  <si>
    <t>Isle of WightHeylo Housing Registered Provider Limited</t>
  </si>
  <si>
    <t>Isle of WightHome Group Limited</t>
  </si>
  <si>
    <t>Isle of WightHousing 21</t>
  </si>
  <si>
    <t>Isle of WightIsland Cottages Limited</t>
  </si>
  <si>
    <t>Isle of WightMoat Homes Limited</t>
  </si>
  <si>
    <t>Isle of WightPlaces for People Homes Limited</t>
  </si>
  <si>
    <t>Isle of WightReside Housing Association Limited</t>
  </si>
  <si>
    <t>Isle of WightSouthern Housing Group Limited</t>
  </si>
  <si>
    <t>Isle of WightSovereign Housing Association Limited</t>
  </si>
  <si>
    <t>Isle of WightThe Abbeyfield Shanklin Society Limited</t>
  </si>
  <si>
    <t>Isle of WightThe Abbeyfield Society</t>
  </si>
  <si>
    <t>Isle of WightThe Swaythling Housing Society Limited</t>
  </si>
  <si>
    <t>Isle of WightTwo Saints Limited</t>
  </si>
  <si>
    <t>Isle of WightVectis Housing Association Limited</t>
  </si>
  <si>
    <t>Isle of WightYMCA Fairthorne Housing</t>
  </si>
  <si>
    <t>Isles of ScillyAnchor Hanover Group</t>
  </si>
  <si>
    <t>Isles of ScillyCornwall Rural Housing Association Limited</t>
  </si>
  <si>
    <t>Isles of ScillyLiveWest Homes Limited</t>
  </si>
  <si>
    <t>IslingtonAnchor Hanover Group</t>
  </si>
  <si>
    <t>IslingtonApna Ghar Housing Association Limited</t>
  </si>
  <si>
    <t>IslingtonArhag Housing Association Limited</t>
  </si>
  <si>
    <t>IslingtonBarnsbury Housing Association Limited</t>
  </si>
  <si>
    <t>IslingtonCentral and Cecil Housing Trust</t>
  </si>
  <si>
    <t>IslingtonClarion Housing Association Limited</t>
  </si>
  <si>
    <t>IslingtonGreat Wall Society Limited</t>
  </si>
  <si>
    <t>IslingtonHabinteg Housing Association Limited</t>
  </si>
  <si>
    <t>IslingtonHome Group Limited</t>
  </si>
  <si>
    <t>IslingtonHyde Housing Association Limited</t>
  </si>
  <si>
    <t>IslingtonInnisfree Housing Association Limited</t>
  </si>
  <si>
    <t>IslingtonIslington and Shoreditch Housing Association Limited</t>
  </si>
  <si>
    <t>IslingtonIslington Community Housing Co-operative Limited</t>
  </si>
  <si>
    <t>IslingtonKeniston Housing Association Limited</t>
  </si>
  <si>
    <t>IslingtonLondon &amp; Quadrant Housing Trust</t>
  </si>
  <si>
    <t>IslingtonMetropolitan Housing Trust Limited</t>
  </si>
  <si>
    <t>IslingtonNetwork Homes Limited</t>
  </si>
  <si>
    <t>IslingtonNew Swift Housing Co-operative Limited</t>
  </si>
  <si>
    <t>IslingtonNewlon Housing Trust</t>
  </si>
  <si>
    <t>IslingtonNotting Hill Genesis</t>
  </si>
  <si>
    <t>IslingtonNotting Hill Home Ownership Limited</t>
  </si>
  <si>
    <t>IslingtonOne Housing Group Limited</t>
  </si>
  <si>
    <t>IslingtonOrigin Housing Limited</t>
  </si>
  <si>
    <t>IslingtonParagon Asra Housing Limited</t>
  </si>
  <si>
    <t>IslingtonPeabody Trust</t>
  </si>
  <si>
    <t>IslingtonPeter Bedford Housing Association Limited</t>
  </si>
  <si>
    <t>IslingtonPhoenix House</t>
  </si>
  <si>
    <t>IslingtonPlaces for People Homes Limited</t>
  </si>
  <si>
    <t>IslingtonPlaces for People Living+ Limited</t>
  </si>
  <si>
    <t>IslingtonQuadrant-Brownswood Tenant Co-operative Limited</t>
  </si>
  <si>
    <t>IslingtonRichmond Avenue Housing Co-operative Limited</t>
  </si>
  <si>
    <t>IslingtonSanctuary Housing Association</t>
  </si>
  <si>
    <t>IslingtonSapphire Independent Housing Limited</t>
  </si>
  <si>
    <t>IslingtonShian Housing Association Limited</t>
  </si>
  <si>
    <t>IslingtonSouth Mildmay Tenants Co-operative Limited</t>
  </si>
  <si>
    <t>IslingtonSouthern Home Ownership Limited</t>
  </si>
  <si>
    <t>IslingtonSouthern Housing Group Limited</t>
  </si>
  <si>
    <t>IslingtonSt Martin of Tours Housing Association Limited</t>
  </si>
  <si>
    <t>IslingtonSt Mungo Community Housing Association</t>
  </si>
  <si>
    <t>IslingtonThe Guinness Partnership Limited</t>
  </si>
  <si>
    <t>IslingtonThe Richmond Fellowship</t>
  </si>
  <si>
    <t>IslingtonThe Riverside Group Limited</t>
  </si>
  <si>
    <t>IslingtonWaverley (Eighth) Co-operative Housing Association Limited</t>
  </si>
  <si>
    <t>Kensington and ChelseaA2Dominion Homes Limited</t>
  </si>
  <si>
    <t>Kensington and ChelseaAnchor Hanover Group</t>
  </si>
  <si>
    <t>Kensington and ChelseaArhag Housing Association Limited</t>
  </si>
  <si>
    <t>Kensington and ChelseaCatalyst Housing Limited</t>
  </si>
  <si>
    <t>Kensington and ChelseaCentral and Cecil Housing Trust</t>
  </si>
  <si>
    <t>Kensington and ChelseaClarion Housing Association Limited</t>
  </si>
  <si>
    <t>Kensington and ChelseaEvolve Housing + Support</t>
  </si>
  <si>
    <t>Kensington and ChelseaHabinteg Housing Association Limited</t>
  </si>
  <si>
    <t>Kensington and ChelseaHarrison Housing</t>
  </si>
  <si>
    <t>Kensington and ChelseaHousing For Women</t>
  </si>
  <si>
    <t>Kensington and ChelseaInquilab Housing Association Limited</t>
  </si>
  <si>
    <t>Kensington and ChelseaLondon &amp; Quadrant Housing Trust</t>
  </si>
  <si>
    <t>Kensington and ChelseaLook Ahead Care and Support Limited</t>
  </si>
  <si>
    <t>Kensington and ChelseaMetropolitan Housing Trust Limited</t>
  </si>
  <si>
    <t>Kensington and ChelseaNetwork Homes Limited</t>
  </si>
  <si>
    <t>Kensington and ChelseaNotting Dale Housing Co-operative Limited</t>
  </si>
  <si>
    <t>Kensington and ChelseaNotting Hill Genesis</t>
  </si>
  <si>
    <t>Kensington and ChelseaNotting Hill Home Ownership Limited</t>
  </si>
  <si>
    <t>Kensington and ChelseaOctavia Housing</t>
  </si>
  <si>
    <t>Kensington and ChelseaOptivo</t>
  </si>
  <si>
    <t>Kensington and ChelseaPeabody Trust</t>
  </si>
  <si>
    <t>Kensington and ChelseaPlaces for People Homes Limited</t>
  </si>
  <si>
    <t>Kensington and ChelseaPortobello Housing Co-operative Limited</t>
  </si>
  <si>
    <t>Kensington and ChelseaSalvation Army Housing Association</t>
  </si>
  <si>
    <t>Kensington and ChelseaSanctuary Housing Association</t>
  </si>
  <si>
    <t>Kensington and ChelseaShepherds Bush Housing Association Limited</t>
  </si>
  <si>
    <t>Kensington and ChelseaSouthern Housing Group Limited</t>
  </si>
  <si>
    <t>Kensington and ChelseaSt Christopher's Fellowship</t>
  </si>
  <si>
    <t>Kensington and ChelseaSt Joseph's Almshouses</t>
  </si>
  <si>
    <t>Kensington and ChelseaSt Mungo Community Housing Association</t>
  </si>
  <si>
    <t>Kensington and ChelseaThe Field Lane Foundation</t>
  </si>
  <si>
    <t>Kensington and ChelseaThe Guinness Partnership Limited</t>
  </si>
  <si>
    <t>Kensington and ChelseaThe Richmond Fellowship</t>
  </si>
  <si>
    <t>Kensington and ChelseaThe Riverside Group Limited</t>
  </si>
  <si>
    <t>Kensington and ChelseaTurning Point</t>
  </si>
  <si>
    <t>Kensington and ChelseaWestway Housing Association Limited</t>
  </si>
  <si>
    <t>Kensington and ChelseaWomen's Pioneer Housing Limited</t>
  </si>
  <si>
    <t>King's Lynn and West NorfolkAnchor Hanover Group</t>
  </si>
  <si>
    <t>King's Lynn and West NorfolkBroadland Housing Association Limited</t>
  </si>
  <si>
    <t>King's Lynn and West NorfolkClarion Housing Association Limited</t>
  </si>
  <si>
    <t>King's Lynn and West NorfolkCotman Housing Association Limited</t>
  </si>
  <si>
    <t>King's Lynn and West NorfolkFirst Priority Housing Association Limited</t>
  </si>
  <si>
    <t>King's Lynn and West NorfolkFlagship Housing Group Limited</t>
  </si>
  <si>
    <t>King's Lynn and West NorfolkFreebridge Community Housing Limited</t>
  </si>
  <si>
    <t>King's Lynn and West NorfolkHastoe Housing Association Limited</t>
  </si>
  <si>
    <t>King's Lynn and West NorfolkHousing 21</t>
  </si>
  <si>
    <t>King's Lynn and West NorfolkLincolnshire Rural Housing Association Limited</t>
  </si>
  <si>
    <t>King's Lynn and West NorfolkLonghurst Group Limited</t>
  </si>
  <si>
    <t>King's Lynn and West NorfolkMetropolitan Housing Trust Limited</t>
  </si>
  <si>
    <t>King's Lynn and West NorfolkMuir Group Housing Association Limited</t>
  </si>
  <si>
    <t>King's Lynn and West NorfolkPlaces for People Homes Limited</t>
  </si>
  <si>
    <t>King's Lynn and West NorfolkProgress Housing Association Limited</t>
  </si>
  <si>
    <t>King's Lynn and West NorfolkReside Housing Association Limited</t>
  </si>
  <si>
    <t>King's Lynn and West NorfolkSaffron Housing Trust Limited</t>
  </si>
  <si>
    <t>King's Lynn and West NorfolkSanctuary Affordable Housing Limited</t>
  </si>
  <si>
    <t>King's Lynn and West NorfolkSanctuary Housing Association</t>
  </si>
  <si>
    <t>King's Lynn and West NorfolkStonewater (2) Limited</t>
  </si>
  <si>
    <t>King's Lynn and West NorfolkThe Papworth Trust</t>
  </si>
  <si>
    <t>King's Lynn and West NorfolkWest Norfolk Housing Company Ltd</t>
  </si>
  <si>
    <t>King's Lynn and West NorfolkYMCA Norfolk</t>
  </si>
  <si>
    <t>Kingston upon ThamesA2Dominion South Limited</t>
  </si>
  <si>
    <t>Kingston upon ThamesAbility Housing Association</t>
  </si>
  <si>
    <t>Kingston upon ThamesAdvance Housing and Support Limited</t>
  </si>
  <si>
    <t>Kingston upon ThamesAnchor Hanover Group</t>
  </si>
  <si>
    <t>Kingston upon ThamesCentral and Cecil Housing Trust</t>
  </si>
  <si>
    <t>Kingston upon ThamesClarion Housing Association Limited</t>
  </si>
  <si>
    <t>Kingston upon ThamesHabinteg Housing Association Limited</t>
  </si>
  <si>
    <t>Kingston upon ThamesHome Group Limited</t>
  </si>
  <si>
    <t>Kingston upon ThamesHousing 21</t>
  </si>
  <si>
    <t>Kingston upon ThamesInquilab Housing Association Limited</t>
  </si>
  <si>
    <t>Kingston upon ThamesKaleidoscope (Kingston) Housing Association Limited</t>
  </si>
  <si>
    <t>Kingston upon ThamesKingston upon Thames Churches Housing Association Limited</t>
  </si>
  <si>
    <t>Kingston upon ThamesLondon &amp; Quadrant Housing Trust</t>
  </si>
  <si>
    <t>Kingston upon ThamesMetropolitan Housing Trust Limited</t>
  </si>
  <si>
    <t>Kingston upon ThamesMillat Asian Housing Association Limited</t>
  </si>
  <si>
    <t>Kingston upon ThamesMount Green Housing Association Limited</t>
  </si>
  <si>
    <t>Kingston upon ThamesNetwork Homes Limited</t>
  </si>
  <si>
    <t>Kingston upon ThamesNotting Hill Home Ownership Limited</t>
  </si>
  <si>
    <t>Kingston upon ThamesOne Housing Group Limited</t>
  </si>
  <si>
    <t>Kingston upon ThamesOptivo</t>
  </si>
  <si>
    <t>Kingston upon ThamesOrigin Housing Limited</t>
  </si>
  <si>
    <t>Kingston upon ThamesParagon Asra Housing Limited</t>
  </si>
  <si>
    <t>Kingston upon ThamesPlaces for People Homes Limited</t>
  </si>
  <si>
    <t>Kingston upon ThamesReside Housing Association Limited</t>
  </si>
  <si>
    <t>Kingston upon ThamesRichmond Housing Partnership Limited</t>
  </si>
  <si>
    <t>Kingston upon ThamesShepherds Bush Housing Association Limited</t>
  </si>
  <si>
    <t>Kingston upon ThamesTeachers' Housing Association Limited</t>
  </si>
  <si>
    <t>Kingston upon ThamesThe Sons of Divine Providence</t>
  </si>
  <si>
    <t>Kingston upon ThamesWandle Housing Association Limited</t>
  </si>
  <si>
    <t>Kingston upon ThamesWestmoreland Supported Housing Limited</t>
  </si>
  <si>
    <t>Kingston upon ThamesYMCA St Paul's Group</t>
  </si>
  <si>
    <t>KirkleesAccent Housing Limited</t>
  </si>
  <si>
    <t>KirkleesAlpha (R.S.L.) Limited</t>
  </si>
  <si>
    <t>KirkleesAnchor Hanover Group</t>
  </si>
  <si>
    <t>KirkleesArpeggio Properties Limited</t>
  </si>
  <si>
    <t>KirkleesCare Housing Association Limited</t>
  </si>
  <si>
    <t>KirkleesChartford Housing Limited</t>
  </si>
  <si>
    <t>KirkleesConnect Housing Association Limited</t>
  </si>
  <si>
    <t>KirkleesFrontis Homes Limited</t>
  </si>
  <si>
    <t>KirkleesHalo Housing Association Limited</t>
  </si>
  <si>
    <t>KirkleesHeylo Housing Registered Provider Limited</t>
  </si>
  <si>
    <t>KirkleesHighstone Housing Association Limited</t>
  </si>
  <si>
    <t>KirkleesHilldale Housing Association Limited</t>
  </si>
  <si>
    <t>KirkleesHome Group Limited</t>
  </si>
  <si>
    <t>KirkleesHousing 21</t>
  </si>
  <si>
    <t>KirkleesInclusion Housing Community Interest Company</t>
  </si>
  <si>
    <t>KirkleesIncommunities Limited</t>
  </si>
  <si>
    <t>Kirklees'Johnnie' Johnson Housing Trust Limited</t>
  </si>
  <si>
    <t>KirkleesKirklees Housing Association Limited</t>
  </si>
  <si>
    <t>KirkleesLeeds and Yorkshire Housing Association Limited</t>
  </si>
  <si>
    <t>KirkleesMethodist Homes Housing Association Limited</t>
  </si>
  <si>
    <t>KirkleesMy Space Housing Solutions</t>
  </si>
  <si>
    <t>KirkleesPinnacle Spaces Limited</t>
  </si>
  <si>
    <t>KirkleesPlaces for People Homes Limited</t>
  </si>
  <si>
    <t>KirkleesSage Housing Limited</t>
  </si>
  <si>
    <t>KirkleesStonewater (2) Limited</t>
  </si>
  <si>
    <t>KirkleesThe Riverside Group Limited</t>
  </si>
  <si>
    <t>KirkleesTogether Housing Association Limited</t>
  </si>
  <si>
    <t>KirkleesTrinity Housing Association Limited</t>
  </si>
  <si>
    <t>KirkleesUnity Housing Association Limited</t>
  </si>
  <si>
    <t>KirkleesWakefield And District Housing Limited</t>
  </si>
  <si>
    <t>KirkleesYorkshire Housing Limited</t>
  </si>
  <si>
    <t>KirkleesYour Housing Limited</t>
  </si>
  <si>
    <t>KnowsleyAnchor Hanover Group</t>
  </si>
  <si>
    <t>KnowsleyCherryfield Housing Co-operative Limited</t>
  </si>
  <si>
    <t>KnowsleyCobalt Housing Limited</t>
  </si>
  <si>
    <t>KnowsleyEmpower Housing Association Limited</t>
  </si>
  <si>
    <t xml:space="preserve">KnowsleyEncircle Housing </t>
  </si>
  <si>
    <t>KnowsleyForHousing Limited</t>
  </si>
  <si>
    <t>KnowsleyHalo Housing Association Limited</t>
  </si>
  <si>
    <t>KnowsleyHarbour Light Assisted Living CIC</t>
  </si>
  <si>
    <t>KnowsleyHeylo Housing Registered Provider Limited</t>
  </si>
  <si>
    <t>KnowsleyHousing 21</t>
  </si>
  <si>
    <t>KnowsleyKnowsley Residents Housing Co-operative Limited</t>
  </si>
  <si>
    <t>KnowsleyLets for Life</t>
  </si>
  <si>
    <t>KnowsleyLivv Housing Group</t>
  </si>
  <si>
    <t>KnowsleyMuir Group Housing Association Limited</t>
  </si>
  <si>
    <t>KnowsleyOne Vision Housing Limited</t>
  </si>
  <si>
    <t>KnowsleyOnward Homes Limited</t>
  </si>
  <si>
    <t>KnowsleyPlaces for People Homes Limited</t>
  </si>
  <si>
    <t>KnowsleyPlus Dane Housing Limited</t>
  </si>
  <si>
    <t>KnowsleyProgress Housing Association Limited</t>
  </si>
  <si>
    <t>KnowsleyReside Housing Association Limited</t>
  </si>
  <si>
    <t>KnowsleyRusland Road Housing Co-operative Limited</t>
  </si>
  <si>
    <t>KnowsleySanctuary Housing Association</t>
  </si>
  <si>
    <t>KnowsleySouthdene Housing Co-operative Limited</t>
  </si>
  <si>
    <t>KnowsleySpringwood Housing Co-operative Limited</t>
  </si>
  <si>
    <t>KnowsleyThe Riverside Group Limited</t>
  </si>
  <si>
    <t>KnowsleyTorus62 Limited</t>
  </si>
  <si>
    <t>KnowsleyTrinity Housing Association Limited</t>
  </si>
  <si>
    <t>KnowsleyWestvale Housing Co-operative Limited</t>
  </si>
  <si>
    <t>KnowsleyYour Housing Limited</t>
  </si>
  <si>
    <t>LambethA2Dominion Homes Limited</t>
  </si>
  <si>
    <t>LambethAdvance Housing and Support Limited</t>
  </si>
  <si>
    <t>LambethAnchor Hanover Group</t>
  </si>
  <si>
    <t>LambethArhag Housing Association Limited</t>
  </si>
  <si>
    <t>LambethAsh-Shahada Housing Association Limited</t>
  </si>
  <si>
    <t>LambethBrixton Housing Co-operative Limited</t>
  </si>
  <si>
    <t>LambethClarion Housing Association Limited</t>
  </si>
  <si>
    <t>LambethDolphin Living Limited</t>
  </si>
  <si>
    <t>LambethEdward Henry House Co-operative Limited</t>
  </si>
  <si>
    <t>LambethEkarro Housing Co-operative Limited</t>
  </si>
  <si>
    <t>LambethEkaya Housing Association Limited</t>
  </si>
  <si>
    <t>LambethEvolve Housing + Support</t>
  </si>
  <si>
    <t>LambethGateway Housing Association Limited</t>
  </si>
  <si>
    <t>LambethHarrison Housing</t>
  </si>
  <si>
    <t>LambethHexagon Housing Association Limited</t>
  </si>
  <si>
    <t>LambethHFL Homes Limited</t>
  </si>
  <si>
    <t>LambethHibbert Almshouse Charity</t>
  </si>
  <si>
    <t>LambethHilldale Housing Association Limited</t>
  </si>
  <si>
    <t>LambethHome Group Limited</t>
  </si>
  <si>
    <t>LambethHour Glass Housing Co-operative Limited</t>
  </si>
  <si>
    <t>LambethHyde Housing Association Limited</t>
  </si>
  <si>
    <t>LambethHyde Southbank Homes Limited</t>
  </si>
  <si>
    <t>LambethInclusion Housing Community Interest Company</t>
  </si>
  <si>
    <t>LambethInnisfree Housing Association Limited</t>
  </si>
  <si>
    <t>LambethJewish Community Housing Association Limited</t>
  </si>
  <si>
    <t>LambethKeniston Housing Association Limited</t>
  </si>
  <si>
    <t>LambethLambeth &amp; Southwark Housing Association Limited</t>
  </si>
  <si>
    <t>LambethLambeth Self Help Housing Association Limited</t>
  </si>
  <si>
    <t>LambethLondon &amp; Quadrant Housing Trust</t>
  </si>
  <si>
    <t>LambethLondon Cyrenians Housing Limited</t>
  </si>
  <si>
    <t>LambethMetropolitan Housing Trust Limited</t>
  </si>
  <si>
    <t>LambethMiller Walk Housing Co-operative Limited</t>
  </si>
  <si>
    <t>LambethMulberry Housing Co-operative Limited</t>
  </si>
  <si>
    <t>LambethNetwork Homes Limited</t>
  </si>
  <si>
    <t>LambethNew World Housing Association Limited</t>
  </si>
  <si>
    <t>LambethNotting Hill Genesis</t>
  </si>
  <si>
    <t>LambethNotting Hill Home Ownership Limited</t>
  </si>
  <si>
    <t>LambethOne Housing Group Limited</t>
  </si>
  <si>
    <t>LambethOptivo</t>
  </si>
  <si>
    <t>LambethOrigin Housing Limited</t>
  </si>
  <si>
    <t>LambethPalm Housing Co-operative Limited</t>
  </si>
  <si>
    <t>LambethParagon Asra Housing Limited</t>
  </si>
  <si>
    <t>LambethPark Hill Housing Co-operative Limited</t>
  </si>
  <si>
    <t>LambethPeabody Trust</t>
  </si>
  <si>
    <t>LambethPearman Street Co-operative Limited</t>
  </si>
  <si>
    <t>LambethPhoenix House</t>
  </si>
  <si>
    <t>LambethPlaces for People Homes Limited</t>
  </si>
  <si>
    <t>LambethRadcliffe Housing Society Limited</t>
  </si>
  <si>
    <t>LambethSalvation Army Housing Association</t>
  </si>
  <si>
    <t>LambethSanctuary Housing Association</t>
  </si>
  <si>
    <t>LambethShepherds Bush Housing Association Limited</t>
  </si>
  <si>
    <t>LambethSouthern Housing Group Limited</t>
  </si>
  <si>
    <t>LambethSt Martin of Tours Housing Association Limited</t>
  </si>
  <si>
    <t>LambethSt Mungo Community Housing Association</t>
  </si>
  <si>
    <t>LambethThe Guinness Partnership Limited</t>
  </si>
  <si>
    <t>LambethThe Riverside Group Limited</t>
  </si>
  <si>
    <t>LambethThrale Almshouse and Relief in Need Charity</t>
  </si>
  <si>
    <t>LambethTrinity Homes</t>
  </si>
  <si>
    <t>LambethVine Housing Co-operative Limited</t>
  </si>
  <si>
    <t>LambethWandle Housing Association Limited</t>
  </si>
  <si>
    <t>LambethWATMOS Community Homes</t>
  </si>
  <si>
    <t>LambethWestmoreland Supported Housing Limited</t>
  </si>
  <si>
    <t>LambethWindrush Alliance UK Community Interest Company</t>
  </si>
  <si>
    <t>LancasterAnchor Hanover Group</t>
  </si>
  <si>
    <t>LancasterArpeggio Properties Limited</t>
  </si>
  <si>
    <t>LancasterAssured Living Housing Association Limited</t>
  </si>
  <si>
    <t>LancasterCare Housing Association Limited</t>
  </si>
  <si>
    <t>LancasterCastle Housing Limited</t>
  </si>
  <si>
    <t>LancasterCastles &amp; Coasts Housing Association Limited</t>
  </si>
  <si>
    <t>LancasterCreative Support Limited</t>
  </si>
  <si>
    <t>LancasterDimensions (UK) Limited</t>
  </si>
  <si>
    <t>LancasterEmpower Housing Association Limited</t>
  </si>
  <si>
    <t>LancasterGreat Places Housing Association</t>
  </si>
  <si>
    <t>LancasterHalo Housing Association Limited</t>
  </si>
  <si>
    <t>LancasterHeylo Housing Registered Provider Limited</t>
  </si>
  <si>
    <t>LancasterHilldale Housing Association Limited</t>
  </si>
  <si>
    <t>LancasterHousing 21</t>
  </si>
  <si>
    <t>LancasterInclusion Housing Community Interest Company</t>
  </si>
  <si>
    <t>Lancaster'Johnnie' Johnson Housing Trust Limited</t>
  </si>
  <si>
    <t>LancasterLune Valley Rural Housing Association Limited</t>
  </si>
  <si>
    <t>LancasterMy Space Housing Solutions</t>
  </si>
  <si>
    <t>LancasterPlaces for People Homes Limited</t>
  </si>
  <si>
    <t>LancasterPlaces for People Living+ Limited</t>
  </si>
  <si>
    <t>LancasterProgress Housing Association Limited</t>
  </si>
  <si>
    <t>LancasterSalvation Army Housing Association</t>
  </si>
  <si>
    <t>LancasterSanctuary Housing Association</t>
  </si>
  <si>
    <t>LancasterSouth Lakes Housing</t>
  </si>
  <si>
    <t>LancasterThe Abbeyfield Society</t>
  </si>
  <si>
    <t>LancasterThe Guinness Partnership Limited</t>
  </si>
  <si>
    <t>LancasterThe Riverside Group Limited</t>
  </si>
  <si>
    <t>LancasterYour Housing Limited</t>
  </si>
  <si>
    <t>LeedsAbbeyfield The Dales Limited</t>
  </si>
  <si>
    <t>LeedsAccent Housing Limited</t>
  </si>
  <si>
    <t>LeedsAlpha (R.S.L.) Limited</t>
  </si>
  <si>
    <t>LeedsAnchor Hanover Group</t>
  </si>
  <si>
    <t>LeedsArpeggio Properties Limited</t>
  </si>
  <si>
    <t>LeedsBroadacres Housing Association Limited</t>
  </si>
  <si>
    <t>LeedsChrysalis Supported Association Limited</t>
  </si>
  <si>
    <t>LeedsClarion Housing Association Limited</t>
  </si>
  <si>
    <t>LeedsConnect Housing Association Limited</t>
  </si>
  <si>
    <t>LeedsCreative Support Limited</t>
  </si>
  <si>
    <t>LeedsDimensions (UK) Limited</t>
  </si>
  <si>
    <t>LeedsFoundation</t>
  </si>
  <si>
    <t>LeedsFrontis Homes Limited</t>
  </si>
  <si>
    <t>LeedsHabinteg Housing Association Limited</t>
  </si>
  <si>
    <t>LeedsHalo Housing Association Limited</t>
  </si>
  <si>
    <t>LeedsHeylo Housing Registered Provider Limited</t>
  </si>
  <si>
    <t>LeedsHome Group Limited</t>
  </si>
  <si>
    <t>LeedsHousing 21</t>
  </si>
  <si>
    <t>LeedsIKE Supported Housing Limited</t>
  </si>
  <si>
    <t>LeedsInclusion Housing Community Interest Company</t>
  </si>
  <si>
    <t>LeedsJoseph Rowntree Housing Trust</t>
  </si>
  <si>
    <t>LeedsLeeds and Yorkshire Housing Association Limited</t>
  </si>
  <si>
    <t>LeedsLeeds Federated Housing Association Limited</t>
  </si>
  <si>
    <t>LeedsLeeds Jewish Housing Association Limited</t>
  </si>
  <si>
    <t>LeedsMarsden Memorial Homes</t>
  </si>
  <si>
    <t>LeedsMethodist Homes Housing Association Limited</t>
  </si>
  <si>
    <t>LeedsPartners Foundation Limited</t>
  </si>
  <si>
    <t>LeedsPlaces for People Homes Limited</t>
  </si>
  <si>
    <t>LeedsPlaces for People Living+ Limited</t>
  </si>
  <si>
    <t>LeedsPlexus UK (First Project) Limited</t>
  </si>
  <si>
    <t>LeedsProgress Housing Association Limited</t>
  </si>
  <si>
    <t>LeedsRailway Housing Association and Benefit Fund</t>
  </si>
  <si>
    <t>LeedsReside Housing Association Limited</t>
  </si>
  <si>
    <t>LeedsSalvation Army Housing Association</t>
  </si>
  <si>
    <t>LeedsSanctuary Affordable Housing Limited</t>
  </si>
  <si>
    <t>LeedsSanctuary Housing Association</t>
  </si>
  <si>
    <t>LeedsStonewater (2) Limited</t>
  </si>
  <si>
    <t>LeedsStonewater Limited</t>
  </si>
  <si>
    <t>LeedsTangram Housing Co-operative Limited</t>
  </si>
  <si>
    <t>LeedsThe Guinness Partnership Limited</t>
  </si>
  <si>
    <t>LeedsThe Riverside Group Limited</t>
  </si>
  <si>
    <t>LeedsThe Robert Salter Charity</t>
  </si>
  <si>
    <t>LeedsTogether Housing Association Limited</t>
  </si>
  <si>
    <t>LeedsUnity Housing Association Limited</t>
  </si>
  <si>
    <t>LeedsWakefield And District Housing Limited</t>
  </si>
  <si>
    <t>LeedsWestmoreland Supported Housing Limited</t>
  </si>
  <si>
    <t>LeedsYork Housing Association Limited</t>
  </si>
  <si>
    <t>LeedsYorkshire Housing Limited</t>
  </si>
  <si>
    <t>LeedsYorkshire Ladies Council (Hostels) Limited</t>
  </si>
  <si>
    <t>LeedsYour Housing Limited</t>
  </si>
  <si>
    <t>LeicesterAdullam Homes Housing Association Limited</t>
  </si>
  <si>
    <t>LeicesterAdvance Housing and Support Limited</t>
  </si>
  <si>
    <t>LeicesterAnchor Hanover Group</t>
  </si>
  <si>
    <t>LeicesterArpeggio Properties Limited</t>
  </si>
  <si>
    <t>LeicesterBethel Housing Association Limited</t>
  </si>
  <si>
    <t>LeicesterClarion Housing Association Limited</t>
  </si>
  <si>
    <t>LeicesterCossington Housing Co-operative Limited</t>
  </si>
  <si>
    <t>LeicesterCreative Support Limited</t>
  </si>
  <si>
    <t>LeicesterDerwent Housing Association Limited</t>
  </si>
  <si>
    <t>LeicesterDimensions (UK) Limited</t>
  </si>
  <si>
    <t>LeicesterEMH Housing and Regeneration Limited</t>
  </si>
  <si>
    <t>LeicesterFirst Priority Housing Association Limited</t>
  </si>
  <si>
    <t>LeicesterFramework Housing Association</t>
  </si>
  <si>
    <t>LeicesterHalo Housing Association Limited</t>
  </si>
  <si>
    <t>LeicesterHilldale Housing Association Limited</t>
  </si>
  <si>
    <t>LeicesterHome Group Limited</t>
  </si>
  <si>
    <t>LeicesterInclusion Housing Community Interest Company</t>
  </si>
  <si>
    <t>LeicesterLets for Life</t>
  </si>
  <si>
    <t>LeicesterLonghurst Group Limited</t>
  </si>
  <si>
    <t>LeicesterMaynard Co-operative Housing Association Limited</t>
  </si>
  <si>
    <t>LeicesterMetropolitan Housing Trust Limited</t>
  </si>
  <si>
    <t>LeicesterMidland Heart Limited</t>
  </si>
  <si>
    <t>LeicesterNorton Housing and Support Ltd</t>
  </si>
  <si>
    <t>LeicesterNottingham Community Housing Association Limited</t>
  </si>
  <si>
    <t>LeicesterParagon Asra Housing Limited</t>
  </si>
  <si>
    <t>LeicesterPlaces for People Homes Limited</t>
  </si>
  <si>
    <t>LeicesterPlaces for People Living+ Limited</t>
  </si>
  <si>
    <t>LeicesterPlatform Housing Limited</t>
  </si>
  <si>
    <t>LeicesterProgress Housing Association Limited</t>
  </si>
  <si>
    <t>LeicesterRoss Walk Housing Co-operative Limited</t>
  </si>
  <si>
    <t>LeicesterSanctuary Housing Association</t>
  </si>
  <si>
    <t>LeicesterStonewater (5) Limited</t>
  </si>
  <si>
    <t>LeicesterStonewater Limited</t>
  </si>
  <si>
    <t>LeicesterSustain (UK) Ltd</t>
  </si>
  <si>
    <t>LeicesterThe Riverside Group Limited</t>
  </si>
  <si>
    <t>LeicesterThe St Michael's Housing Trust</t>
  </si>
  <si>
    <t>LeicesterTrinity Housing Association Limited</t>
  </si>
  <si>
    <t>LeicesterTuntum Housing Association Limited</t>
  </si>
  <si>
    <t>LewesA2Dominion Homes Limited</t>
  </si>
  <si>
    <t>LewesClarion Housing Association Limited</t>
  </si>
  <si>
    <t>LewesFitzgerald Charity</t>
  </si>
  <si>
    <t>LewesHabinteg Housing Association Limited</t>
  </si>
  <si>
    <t>LewesHastoe Housing Association Limited</t>
  </si>
  <si>
    <t>LewesHome Group Limited</t>
  </si>
  <si>
    <t>LewesHousing 21</t>
  </si>
  <si>
    <t>LewesHyde Housing Association Limited</t>
  </si>
  <si>
    <t>LewesInclusion Housing Community Interest Company</t>
  </si>
  <si>
    <t>LewesLondon &amp; Quadrant Housing Trust</t>
  </si>
  <si>
    <t>LewesMartlet Homes Limited</t>
  </si>
  <si>
    <t>LewesMoat Homes Limited</t>
  </si>
  <si>
    <t>LewesOptivo</t>
  </si>
  <si>
    <t>LewesOrbit Group Limited</t>
  </si>
  <si>
    <t>LewesPeacehaven and Telscombe Housing Association Ltd</t>
  </si>
  <si>
    <t>LewesPlaces for People Homes Limited</t>
  </si>
  <si>
    <t>LewesRaven Housing Trust Limited</t>
  </si>
  <si>
    <t>LewesSage Housing Limited</t>
  </si>
  <si>
    <t>LewesSalvation Army Housing Association</t>
  </si>
  <si>
    <t>LewesSanctuary Housing Association</t>
  </si>
  <si>
    <t>LewesSaxon Weald</t>
  </si>
  <si>
    <t>LewesSouthdown Housing Association Limited</t>
  </si>
  <si>
    <t>LewesSouthern Housing Group Limited</t>
  </si>
  <si>
    <t>LewesSussex Housing &amp; Care</t>
  </si>
  <si>
    <t>LewesThe Abbeyfield Crowborough Society Limited</t>
  </si>
  <si>
    <t>LewesThe Guinness Partnership Limited</t>
  </si>
  <si>
    <t>LewishamA2Dominion Homes Limited</t>
  </si>
  <si>
    <t>LewishamAnchor Hanover Group</t>
  </si>
  <si>
    <t>LewishamArhag Housing Association Limited</t>
  </si>
  <si>
    <t>LewishamCentral and Cecil Housing Trust</t>
  </si>
  <si>
    <t>LewishamCentrepoint Soho</t>
  </si>
  <si>
    <t>LewishamChisel Limited</t>
  </si>
  <si>
    <t>LewishamChislehurst and Sidcup Housing Association</t>
  </si>
  <si>
    <t>LewishamClarion Housing Association Limited</t>
  </si>
  <si>
    <t>LewishamDennetts Housing Co-operative Limited</t>
  </si>
  <si>
    <t>LewishamEkaya Housing Association Limited</t>
  </si>
  <si>
    <t>LewishamHabinteg Housing Association Limited</t>
  </si>
  <si>
    <t>LewishamHexagon Housing Association Limited</t>
  </si>
  <si>
    <t>LewishamHeylo Housing Registered Provider Limited</t>
  </si>
  <si>
    <t>LewishamHousing 21</t>
  </si>
  <si>
    <t>LewishamHousing For Women</t>
  </si>
  <si>
    <t>LewishamHyde Housing Association Limited</t>
  </si>
  <si>
    <t>LewishamInnisfree Housing Association Limited</t>
  </si>
  <si>
    <t>LewishamKinsman Housing Limited</t>
  </si>
  <si>
    <t>LewishamKirkdale Housing Co-operative Limited</t>
  </si>
  <si>
    <t>LewishamLambeth &amp; Southwark Housing Association Limited</t>
  </si>
  <si>
    <t>LewishamLewisham Family Co-operative Association Limited</t>
  </si>
  <si>
    <t>LewishamLocal Space</t>
  </si>
  <si>
    <t>LewishamLondon &amp; Quadrant Housing Trust</t>
  </si>
  <si>
    <t>LewishamMay Day Permanent Housing Co-operative Limited</t>
  </si>
  <si>
    <t>LewishamMetropolitan Housing Trust Limited</t>
  </si>
  <si>
    <t>LewishamMoat Homes Limited</t>
  </si>
  <si>
    <t>LewishamNew Venture Housing Co-operative Limited</t>
  </si>
  <si>
    <t>LewishamNew World Housing Association Limited</t>
  </si>
  <si>
    <t>LewishamNotting Hill Genesis</t>
  </si>
  <si>
    <t>LewishamNotting Hill Home Ownership Limited</t>
  </si>
  <si>
    <t>LewishamOne Housing Group Limited</t>
  </si>
  <si>
    <t>LewishamOptivo</t>
  </si>
  <si>
    <t>LewishamParagon Asra Housing Limited</t>
  </si>
  <si>
    <t>LewishamPeabody Trust</t>
  </si>
  <si>
    <t>LewishamPhoenix Community Housing Association (Bellingham and Downham) Limited</t>
  </si>
  <si>
    <t>LewishamPhoenix House</t>
  </si>
  <si>
    <t>LewishamPlaces for People Homes Limited</t>
  </si>
  <si>
    <t>LewishamQuo Vadis Trust</t>
  </si>
  <si>
    <t>LewishamReside Housing Association Limited</t>
  </si>
  <si>
    <t>LewishamSanctuary Housing Association</t>
  </si>
  <si>
    <t>LewishamSouthern Housing Group Limited</t>
  </si>
  <si>
    <t>LewishamSt Christopher's Fellowship</t>
  </si>
  <si>
    <t>LewishamSt Mungo Community Housing Association</t>
  </si>
  <si>
    <t>LewishamSydenham Housing Co-operative Limited</t>
  </si>
  <si>
    <t>LewishamTamil Community Housing Association Limited</t>
  </si>
  <si>
    <t>LewishamThe Abbeyfield Deptford Society Limited</t>
  </si>
  <si>
    <t>LewishamThe Merchant Taylors' Boone's Charity</t>
  </si>
  <si>
    <t>LewishamThe Riverside Group Limited</t>
  </si>
  <si>
    <t>LewishamWandle Housing Association Limited</t>
  </si>
  <si>
    <t>LichfieldAdvance Housing and Support Limited</t>
  </si>
  <si>
    <t>LichfieldBromford Home Ownership Limited</t>
  </si>
  <si>
    <t>LichfieldBromford Housing Association Limited</t>
  </si>
  <si>
    <t>LichfieldCitizen Housing Group Limited</t>
  </si>
  <si>
    <t>LichfieldClarion Housing Association Limited</t>
  </si>
  <si>
    <t>LichfieldHousing 21</t>
  </si>
  <si>
    <t>LichfieldInclusion Housing Community Interest Company</t>
  </si>
  <si>
    <t>LichfieldMetropolitan Housing Trust Limited</t>
  </si>
  <si>
    <t>LichfieldMidland Heart Limited</t>
  </si>
  <si>
    <t>LichfieldOrbit Group Limited</t>
  </si>
  <si>
    <t>LichfieldPlatform Housing Limited</t>
  </si>
  <si>
    <t>LichfieldSanctuary Housing Association</t>
  </si>
  <si>
    <t>LichfieldStonewater (2) Limited</t>
  </si>
  <si>
    <t>LichfieldThe Birch, Samson and Littleton United Charities</t>
  </si>
  <si>
    <t>LichfieldThe Riverside Group Limited</t>
  </si>
  <si>
    <t>LichfieldThe Wrekin Housing Group Limited</t>
  </si>
  <si>
    <t>LichfieldTrent &amp; Dove Housing Limited</t>
  </si>
  <si>
    <t>LichfieldTrident Housing Association Limited</t>
  </si>
  <si>
    <t>LichfieldWalsall Housing Group Limited</t>
  </si>
  <si>
    <t>LichfieldYour Housing Limited</t>
  </si>
  <si>
    <t>LincolnAcis Group Limited</t>
  </si>
  <si>
    <t>LincolnAdvance Housing and Support Limited</t>
  </si>
  <si>
    <t>LincolnAnchor Hanover Group</t>
  </si>
  <si>
    <t>LincolnClarion Housing Association Limited</t>
  </si>
  <si>
    <t>LincolnDerwent Housing Association Limited</t>
  </si>
  <si>
    <t>LincolnEMH Housing and Regeneration Limited</t>
  </si>
  <si>
    <t>LincolnFramework Housing Association</t>
  </si>
  <si>
    <t>LincolnInclusion Housing Community Interest Company</t>
  </si>
  <si>
    <t>LincolnLace Housing Limited</t>
  </si>
  <si>
    <t>LincolnLincolnshire Employment Accommodation Project Limited</t>
  </si>
  <si>
    <t>LincolnLincolnshire Y.M.C.A. Ltd</t>
  </si>
  <si>
    <t>LincolnLonghurst Group Limited</t>
  </si>
  <si>
    <t>LincolnNACRO</t>
  </si>
  <si>
    <t>LincolnNottingham Community Housing Association Limited</t>
  </si>
  <si>
    <t>LincolnParasol Homes Limited</t>
  </si>
  <si>
    <t>LincolnPlaces for People Homes Limited</t>
  </si>
  <si>
    <t>LincolnPlatform Housing Limited</t>
  </si>
  <si>
    <t>LincolnProgress Housing Association Limited</t>
  </si>
  <si>
    <t>LincolnReside Housing Association Limited</t>
  </si>
  <si>
    <t>LincolnSanctuary Housing Association</t>
  </si>
  <si>
    <t>LincolnThe Abbeyfield Society</t>
  </si>
  <si>
    <t>LincolnWestmoreland Supported Housing Limited</t>
  </si>
  <si>
    <t>LiverpoolAdullam Homes Housing Association Limited</t>
  </si>
  <si>
    <t>LiverpoolAlt Housing Co-operative Limited</t>
  </si>
  <si>
    <t>LiverpoolAnchor Hanover Group</t>
  </si>
  <si>
    <t>LiverpoolBrownlow Hill Housing Co-operative Limited</t>
  </si>
  <si>
    <t>LiverpoolCanning Housing Co-operative Limited</t>
  </si>
  <si>
    <t>LiverpoolCare Housing Association Limited</t>
  </si>
  <si>
    <t>LiverpoolCathedral Mansions Housing Co-operative Limited</t>
  </si>
  <si>
    <t>LiverpoolCity Of Liverpool YMCA (Incorporated)</t>
  </si>
  <si>
    <t>LiverpoolCobalt Housing Limited</t>
  </si>
  <si>
    <t>LiverpoolCo-op Schemes For The Elderly Ltd</t>
  </si>
  <si>
    <t>LiverpoolCorn and Yates Streets Housing Co-operative Ltd</t>
  </si>
  <si>
    <t>LiverpoolCreative Support Limited</t>
  </si>
  <si>
    <t>LiverpoolCroft Housing Association Limited</t>
  </si>
  <si>
    <t>LiverpoolCrosby Housing Association Limited</t>
  </si>
  <si>
    <t>LiverpoolDingle Residents Co-operative Limited</t>
  </si>
  <si>
    <t>LiverpoolEmpower Housing Association Limited</t>
  </si>
  <si>
    <t>LiverpoolExcel Housing Solutions</t>
  </si>
  <si>
    <t>LiverpoolFirst Priority Housing Association Limited</t>
  </si>
  <si>
    <t>LiverpoolGrafton Crescent Housing Co-operative Limited</t>
  </si>
  <si>
    <t>LiverpoolHalo Housing Association Limited</t>
  </si>
  <si>
    <t>LiverpoolHamlet Village Housing Co-operative Limited</t>
  </si>
  <si>
    <t>LiverpoolHarbour Light Assisted Living CIC</t>
  </si>
  <si>
    <t>LiverpoolHesketh Street Housing Co-operative Limited</t>
  </si>
  <si>
    <t>LiverpoolHeylo Housing Registered Provider Limited</t>
  </si>
  <si>
    <t>LiverpoolHilldale Housing Association Limited</t>
  </si>
  <si>
    <t>LiverpoolHolt Road Area Housing Co-operative Limited</t>
  </si>
  <si>
    <t>LiverpoolHolyland Housing Co-Operative Limited</t>
  </si>
  <si>
    <t>LiverpoolHousing 21</t>
  </si>
  <si>
    <t>LiverpoolInclusion Housing Community Interest Company</t>
  </si>
  <si>
    <t>Liverpool'Johnnie' Johnson Housing Trust Limited</t>
  </si>
  <si>
    <t>LiverpoolKentish Homes Limited</t>
  </si>
  <si>
    <t>LiverpoolLangrove Community Housing Co-operative Limited</t>
  </si>
  <si>
    <t>LiverpoolLark Lane Housing Co-operative Limited</t>
  </si>
  <si>
    <t>LiverpoolLiverpool Gingerbread Housing Co-operative Limited</t>
  </si>
  <si>
    <t>LiverpoolLiverpool Jewish Housing Association Limited</t>
  </si>
  <si>
    <t>LiverpoolLodge Lane East Co-operative Housing Limited</t>
  </si>
  <si>
    <t>LiverpoolMuir Group Housing Association Limited</t>
  </si>
  <si>
    <t>LiverpoolMy Space Housing Solutions</t>
  </si>
  <si>
    <t>LiverpoolNew Foundations Housing Association Limited</t>
  </si>
  <si>
    <t>LiverpoolNewleaf Housing Co-operative Limited</t>
  </si>
  <si>
    <t>LiverpoolOne Vision Housing Limited</t>
  </si>
  <si>
    <t>LiverpoolOnward Homes Limited</t>
  </si>
  <si>
    <t>LiverpoolPartners Foundation Limited</t>
  </si>
  <si>
    <t>LiverpoolPine Court Housing Association Limited</t>
  </si>
  <si>
    <t>LiverpoolPlaces for People Homes Limited</t>
  </si>
  <si>
    <t>LiverpoolPlus Dane Housing Limited</t>
  </si>
  <si>
    <t>LiverpoolPrince Albert Gardens Housing Co-operative Limited</t>
  </si>
  <si>
    <t>LiverpoolProgress Housing Association Limited</t>
  </si>
  <si>
    <t>LiverpoolRedwing Living Limited</t>
  </si>
  <si>
    <t>LiverpoolRegenda Limited</t>
  </si>
  <si>
    <t>LiverpoolReside Housing Association Limited</t>
  </si>
  <si>
    <t>LiverpoolRetail Trust</t>
  </si>
  <si>
    <t>LiverpoolSalvation Army Housing Association</t>
  </si>
  <si>
    <t>LiverpoolSanctuary Affordable Housing Limited</t>
  </si>
  <si>
    <t>LiverpoolSanctuary Housing Association</t>
  </si>
  <si>
    <t>LiverpoolShorefields Co-operative Limited</t>
  </si>
  <si>
    <t>LiverpoolSouth Liverpool Homes Limited</t>
  </si>
  <si>
    <t>LiverpoolSouthern Crescent Co-operative Limited</t>
  </si>
  <si>
    <t>LiverpoolSteve Biko Housing Association Limited</t>
  </si>
  <si>
    <t>LiverpoolThe Richmond Fellowship</t>
  </si>
  <si>
    <t>LiverpoolThe Riverside Group Limited</t>
  </si>
  <si>
    <t>LiverpoolThirlmere Housing Co-operative Limited</t>
  </si>
  <si>
    <t>LiverpoolTorus62 Limited</t>
  </si>
  <si>
    <t>LiverpoolTrinity Housing Association Limited</t>
  </si>
  <si>
    <t>LiverpoolWeller Streets Housing Co-operative Limited</t>
  </si>
  <si>
    <t>LiverpoolYour Housing Limited</t>
  </si>
  <si>
    <t>LutonAdvance Housing and Support Limited</t>
  </si>
  <si>
    <t>LutonAnchor Hanover Group</t>
  </si>
  <si>
    <t>LutonAylott Janes Almshouses</t>
  </si>
  <si>
    <t>Lutonbpha Limited</t>
  </si>
  <si>
    <t>LutonCatalyst Housing Limited</t>
  </si>
  <si>
    <t>LutonClarion Housing Association Limited</t>
  </si>
  <si>
    <t>LutonCotman Housing Association Limited</t>
  </si>
  <si>
    <t>LutonGrand Union Housing Group Limited</t>
  </si>
  <si>
    <t>LutonHastoe Housing Association Limited</t>
  </si>
  <si>
    <t>LutonHeylo Housing Registered Provider Limited</t>
  </si>
  <si>
    <t>LutonHightown Housing Association Limited</t>
  </si>
  <si>
    <t>LutonHome Group Limited</t>
  </si>
  <si>
    <t>LutonKeystage Properties Limited</t>
  </si>
  <si>
    <t>LutonLangley House Trust</t>
  </si>
  <si>
    <t>LutonMetropolitan Housing Trust Limited</t>
  </si>
  <si>
    <t>LutonNotting Hill Genesis</t>
  </si>
  <si>
    <t>LutonOmega Housing Limited</t>
  </si>
  <si>
    <t>LutonOptivo</t>
  </si>
  <si>
    <t>LutonParadigm Homes Charitable Housing Association Limited</t>
  </si>
  <si>
    <t>LutonPlaces for People Homes Limited</t>
  </si>
  <si>
    <t>LutonPlaces for People Living+ Limited</t>
  </si>
  <si>
    <t>LutonRobert Hibbert's Almshouse Charity</t>
  </si>
  <si>
    <t>LutonSanctuary Housing Association</t>
  </si>
  <si>
    <t>LutonSettle Group</t>
  </si>
  <si>
    <t>LutonShepherds Bush Housing Association Limited</t>
  </si>
  <si>
    <t>LutonStonewater (2) Limited</t>
  </si>
  <si>
    <t>LutonThe Papworth Trust</t>
  </si>
  <si>
    <t>MaidstoneAccommodationYes Limited</t>
  </si>
  <si>
    <t>MaidstoneAdvance Housing and Support Limited</t>
  </si>
  <si>
    <t>MaidstoneAllnutt Mill Housing Co-operative Limited</t>
  </si>
  <si>
    <t>MaidstoneAnchor Hanover Group</t>
  </si>
  <si>
    <t>MaidstoneClarion Housing Association Limited</t>
  </si>
  <si>
    <t>MaidstoneEnglish Rural Housing Association Limited</t>
  </si>
  <si>
    <t>MaidstoneFunding Affordable Homes Housing Association Limited</t>
  </si>
  <si>
    <t>MaidstoneGolding Homes Limited</t>
  </si>
  <si>
    <t>MaidstoneGravesend Churches Housing Association Limited</t>
  </si>
  <si>
    <t>MaidstoneHeylo Housing Registered Provider Limited</t>
  </si>
  <si>
    <t>MaidstoneHilldale Housing Association Limited</t>
  </si>
  <si>
    <t>MaidstoneHome Group Limited</t>
  </si>
  <si>
    <t>MaidstoneHousing 21</t>
  </si>
  <si>
    <t>MaidstoneHyde Housing Association Limited</t>
  </si>
  <si>
    <t>MaidstoneInclusion Housing Community Interest Company</t>
  </si>
  <si>
    <t>MaidstoneLondon &amp; Quadrant Housing Trust</t>
  </si>
  <si>
    <t>MaidstoneMoat Homes Limited</t>
  </si>
  <si>
    <t>MaidstoneOakapple Housing Co-operative Limited</t>
  </si>
  <si>
    <t>MaidstoneOast Wood Housing Co-operative Limited</t>
  </si>
  <si>
    <t>MaidstoneOrbit Group Limited</t>
  </si>
  <si>
    <t>MaidstonePeace Cottages Charity</t>
  </si>
  <si>
    <t>MaidstonePlaces for People Homes Limited</t>
  </si>
  <si>
    <t>MaidstonePlaces for People Living+ Limited</t>
  </si>
  <si>
    <t>MaidstoneReside Housing Association Limited</t>
  </si>
  <si>
    <t>MaidstoneSage Housing Limited</t>
  </si>
  <si>
    <t>MaidstoneSanctuary Housing Association</t>
  </si>
  <si>
    <t>MaidstoneSenacre Housing Co-operative Limited</t>
  </si>
  <si>
    <t>MaidstoneThe Honywood and Douglas Charity</t>
  </si>
  <si>
    <t>MaidstoneThe Riverside Group Limited</t>
  </si>
  <si>
    <t>MaidstoneTown and Country Housing</t>
  </si>
  <si>
    <t>MaidstoneTrinity Housing Association Limited</t>
  </si>
  <si>
    <t>MaidstoneWest Kent Housing Association</t>
  </si>
  <si>
    <t>MaidstoneWestree Road Housing Co-operative Limited</t>
  </si>
  <si>
    <t>MaldonChelmer Housing Partnership Limited</t>
  </si>
  <si>
    <t>MaldonClarion Housing Association Limited</t>
  </si>
  <si>
    <t>MaldonEnglish Rural Housing Association Limited</t>
  </si>
  <si>
    <t>MaldonEstuary Housing Association Limited</t>
  </si>
  <si>
    <t>MaldonHastoe Housing Association Limited</t>
  </si>
  <si>
    <t>MaldonHeylo Housing Registered Provider Limited</t>
  </si>
  <si>
    <t>MaldonLondon &amp; Quadrant Housing Trust</t>
  </si>
  <si>
    <t>MaldonMaldon Housing Association Limited</t>
  </si>
  <si>
    <t>MaldonMetropolitan Housing Trust Limited</t>
  </si>
  <si>
    <t>MaldonMoat Homes Limited</t>
  </si>
  <si>
    <t>MaldonNACRO</t>
  </si>
  <si>
    <t>MaldonNotting Hill Home Ownership Limited</t>
  </si>
  <si>
    <t>MaldonPlaces for People Homes Limited</t>
  </si>
  <si>
    <t>MaldonSaffron Housing Trust Limited</t>
  </si>
  <si>
    <t>MaldonSalvation Army Housing Association</t>
  </si>
  <si>
    <t>MaldonSanctuary Housing Association</t>
  </si>
  <si>
    <t>MaldonSwan Housing Association Limited</t>
  </si>
  <si>
    <t>MaldonThe Henry Gilder Drake Charity</t>
  </si>
  <si>
    <t>Malvern HillsAdvance Housing and Support Limited</t>
  </si>
  <si>
    <t>Malvern HillsAnchor Hanover Group</t>
  </si>
  <si>
    <t>Malvern HillsBromford Housing Association Limited</t>
  </si>
  <si>
    <t>Malvern HillsCitizen Housing Group Limited</t>
  </si>
  <si>
    <t>Malvern HillsHeylo Housing Registered Provider Limited</t>
  </si>
  <si>
    <t>Malvern HillsHousing 21</t>
  </si>
  <si>
    <t>Malvern HillsPlatform Housing Group Limited</t>
  </si>
  <si>
    <t>Malvern HillsPlatform Housing Limited</t>
  </si>
  <si>
    <t>Malvern HillsRooftop Housing Association Limited</t>
  </si>
  <si>
    <t>Malvern HillsSanctuary Housing Association</t>
  </si>
  <si>
    <t>Malvern HillsStonewater (2) Limited</t>
  </si>
  <si>
    <t>Malvern HillsThe Community Housing Group Limited</t>
  </si>
  <si>
    <t>Malvern HillsWalsall Housing Group Limited</t>
  </si>
  <si>
    <t>ManchesterAgudas Israel Housing Association Limited</t>
  </si>
  <si>
    <t>ManchesterAnchor Hanover Group</t>
  </si>
  <si>
    <t>ManchesterArawak Walton Housing Association Limited</t>
  </si>
  <si>
    <t>ManchesterArcon Housing Association Limited</t>
  </si>
  <si>
    <t>ManchesterArpeggio Properties Limited</t>
  </si>
  <si>
    <t>ManchesterCalico Homes Limited</t>
  </si>
  <si>
    <t>ManchesterCare Housing Association Limited</t>
  </si>
  <si>
    <t>ManchesterCentrepoint Soho</t>
  </si>
  <si>
    <t>ManchesterClarion Housing Association Limited</t>
  </si>
  <si>
    <t>ManchesterCommonplace Housing Co-operative Limited</t>
  </si>
  <si>
    <t>ManchesterCreative Support Limited</t>
  </si>
  <si>
    <t>ManchesterDepaul Housing Services</t>
  </si>
  <si>
    <t>ManchesterGreat Places Housing Association</t>
  </si>
  <si>
    <t>ManchesterHabinteg Housing Association Limited</t>
  </si>
  <si>
    <t>ManchesterHalo Housing Association Limited</t>
  </si>
  <si>
    <t>ManchesterHeylo Housing Registered Provider Limited</t>
  </si>
  <si>
    <t>ManchesterHilldale Housing Association Limited</t>
  </si>
  <si>
    <t>ManchesterHome Group Limited</t>
  </si>
  <si>
    <t>ManchesterHomes for Change Limited</t>
  </si>
  <si>
    <t>ManchesterHousing 21</t>
  </si>
  <si>
    <t>ManchesterIrwell Valley Housing Association Limited</t>
  </si>
  <si>
    <t>Manchester'Johnnie' Johnson Housing Trust Limited</t>
  </si>
  <si>
    <t>ManchesterManchester Jewish Housing Association</t>
  </si>
  <si>
    <t>ManchesterMosscare St. Vincent's Housing Group Limited</t>
  </si>
  <si>
    <t>ManchesterNACRO</t>
  </si>
  <si>
    <t>ManchesterNew Longsight Housing Co-operative Limited</t>
  </si>
  <si>
    <t>ManchesterOne Manchester Limited</t>
  </si>
  <si>
    <t>ManchesterPartners Foundation Limited</t>
  </si>
  <si>
    <t>ManchesterPeople First Housing Association Limited</t>
  </si>
  <si>
    <t>ManchesterPlaces for People Homes Limited</t>
  </si>
  <si>
    <t>ManchesterPlaces for People Living+ Limited</t>
  </si>
  <si>
    <t>ManchesterProgress Housing Association Limited</t>
  </si>
  <si>
    <t>ManchesterRegenda Limited</t>
  </si>
  <si>
    <t>ManchesterSalvation Army Housing Association</t>
  </si>
  <si>
    <t>ManchesterSanctuary Housing Association</t>
  </si>
  <si>
    <t>ManchesterSouthway Housing Trust (Manchester) Limited</t>
  </si>
  <si>
    <t>ManchesterThe Edward Mayes Trust</t>
  </si>
  <si>
    <t>ManchesterThe Exaireo Trust Ltd</t>
  </si>
  <si>
    <t>ManchesterThe Guinness Partnership Limited</t>
  </si>
  <si>
    <t>ManchesterThe Richmond Fellowship</t>
  </si>
  <si>
    <t>ManchesterThe Riverside Group Limited</t>
  </si>
  <si>
    <t>ManchesterTrinity Housing Association Limited</t>
  </si>
  <si>
    <t>ManchesterTurning Point</t>
  </si>
  <si>
    <t>ManchesterYour Housing Limited</t>
  </si>
  <si>
    <t>ManchesterZah Housing Co-operative Limited</t>
  </si>
  <si>
    <t>MansfieldAcis Group Limited</t>
  </si>
  <si>
    <t>MansfieldAdvance Housing and Support Limited</t>
  </si>
  <si>
    <t>MansfieldBrunts Charity</t>
  </si>
  <si>
    <t>MansfieldDerwent Community Housing Association Limited</t>
  </si>
  <si>
    <t>MansfieldDerwent Housing Association Limited</t>
  </si>
  <si>
    <t>MansfieldEMH Housing and Regeneration Limited</t>
  </si>
  <si>
    <t>MansfieldFramework Housing Association</t>
  </si>
  <si>
    <t>MansfieldHousing 21</t>
  </si>
  <si>
    <t>MansfieldInclusion Housing Community Interest Company</t>
  </si>
  <si>
    <t>MansfieldLonghurst Group Limited</t>
  </si>
  <si>
    <t>MansfieldMetropolitan Housing Trust Limited</t>
  </si>
  <si>
    <t>MansfieldNottingham Community Housing Association Limited</t>
  </si>
  <si>
    <t>MansfieldParagon Asra Housing Limited</t>
  </si>
  <si>
    <t>MansfieldPlaces for People Homes Limited</t>
  </si>
  <si>
    <t>MansfieldProgress Housing Association Limited</t>
  </si>
  <si>
    <t>MansfieldReside Housing Association Limited</t>
  </si>
  <si>
    <t>MansfieldSanctuary Housing Association</t>
  </si>
  <si>
    <t>MansfieldSouth Yorkshire Housing Association Limited</t>
  </si>
  <si>
    <t>MansfieldThe Guinness Partnership Limited</t>
  </si>
  <si>
    <t>MansfieldTuntum Housing Association Limited</t>
  </si>
  <si>
    <t>MedwayAdvance Housing and Support Limited</t>
  </si>
  <si>
    <t>MedwayAnchor Hanover Group</t>
  </si>
  <si>
    <t>MedwayAnchor Property Holdings Limited</t>
  </si>
  <si>
    <t>MedwayClarion Housing Association Limited</t>
  </si>
  <si>
    <t>MedwayDelce Manor Housing Co-operative Limited</t>
  </si>
  <si>
    <t>MedwayGolding Homes Limited</t>
  </si>
  <si>
    <t>MedwayHabinteg Housing Association Limited</t>
  </si>
  <si>
    <t>MedwayHeylo Housing Registered Provider Limited</t>
  </si>
  <si>
    <t>MedwayHome Group Limited</t>
  </si>
  <si>
    <t>MedwayHousing 21</t>
  </si>
  <si>
    <t>MedwayHyde Housing Association Limited</t>
  </si>
  <si>
    <t>MedwayInclusion Housing Community Interest Company</t>
  </si>
  <si>
    <t>MedwayKing George V Memorial Houses</t>
  </si>
  <si>
    <t>MedwayLangley House Trust</t>
  </si>
  <si>
    <t>MedwayLondon &amp; Quadrant Housing Trust</t>
  </si>
  <si>
    <t>MedwayMoat Homes Limited</t>
  </si>
  <si>
    <t>MedwayNotting Hill Home Ownership Limited</t>
  </si>
  <si>
    <t>MedwayOptivo</t>
  </si>
  <si>
    <t>MedwayOrbit Group Limited</t>
  </si>
  <si>
    <t>MedwayPlaces for People Homes Limited</t>
  </si>
  <si>
    <t>MedwayReside Housing Association Limited</t>
  </si>
  <si>
    <t>MedwaySanctuary Housing Association</t>
  </si>
  <si>
    <t>MedwaySouthern Housing Group Limited</t>
  </si>
  <si>
    <t>MedwayThe Riverside Group Limited</t>
  </si>
  <si>
    <t>MedwayTown and Country Housing</t>
  </si>
  <si>
    <t>MedwayWest Kent Housing Association</t>
  </si>
  <si>
    <t>MeltonAdvance Housing and Support Limited</t>
  </si>
  <si>
    <t>MeltonBlyth Cottages</t>
  </si>
  <si>
    <t>MeltonDerwent Housing Association Limited</t>
  </si>
  <si>
    <t>MeltonEMH Housing and Regeneration Limited</t>
  </si>
  <si>
    <t>MeltonEnglish Rural Housing Association Limited</t>
  </si>
  <si>
    <t>MeltonHeylo Housing Registered Provider Limited</t>
  </si>
  <si>
    <t>MeltonHousing 21</t>
  </si>
  <si>
    <t>MeltonLonghurst Group Limited</t>
  </si>
  <si>
    <t>MeltonMuir Group Housing Association Limited</t>
  </si>
  <si>
    <t>MeltonNottingham Community Housing Association Limited</t>
  </si>
  <si>
    <t>MeltonParagon Asra Housing Limited</t>
  </si>
  <si>
    <t>MeltonPlatform Housing Limited</t>
  </si>
  <si>
    <t>MeltonProgress Housing Association Limited</t>
  </si>
  <si>
    <t>MeltonStonewater (2) Limited</t>
  </si>
  <si>
    <t>MeltonThe Riverside Group Limited</t>
  </si>
  <si>
    <t>MendipAdvance Housing and Support Limited</t>
  </si>
  <si>
    <t>MendipAnchor Hanover Group</t>
  </si>
  <si>
    <t>MendipAster Communities</t>
  </si>
  <si>
    <t>MendipCity of Wells Almshouses</t>
  </si>
  <si>
    <t>MendipCuro Places Limited</t>
  </si>
  <si>
    <t>MendipGuinness Housing Association Limited</t>
  </si>
  <si>
    <t>MendipHastoe Housing Association Limited</t>
  </si>
  <si>
    <t>MendipHeylo Housing Registered Provider Limited</t>
  </si>
  <si>
    <t>MendipHome Group Limited</t>
  </si>
  <si>
    <t>MendipHousing 21</t>
  </si>
  <si>
    <t>MendipLiveWest Homes Limited</t>
  </si>
  <si>
    <t>MendipMoat Homes Limited</t>
  </si>
  <si>
    <t>MendipSanctuary Affordable Housing Limited</t>
  </si>
  <si>
    <t>MendipSanctuary Housing Association</t>
  </si>
  <si>
    <t>MendipSelwood Housing Society Limited</t>
  </si>
  <si>
    <t>MendipShepton Mallet United Charities</t>
  </si>
  <si>
    <t>MendipSouth Western Housing Society Limited</t>
  </si>
  <si>
    <t>MendipSovereign Housing Association Limited</t>
  </si>
  <si>
    <t>MendipStonewater Limited</t>
  </si>
  <si>
    <t>MendipSynergy Housing Limited</t>
  </si>
  <si>
    <t>MendipThe Abbeyfield (Wells) Society Limited</t>
  </si>
  <si>
    <t>MendipThe Blue House</t>
  </si>
  <si>
    <t>MendipThe Guinness Partnership Limited</t>
  </si>
  <si>
    <t>MendipWhite Horse Housing Association Limited</t>
  </si>
  <si>
    <t>MendipYMCA Brunel Group</t>
  </si>
  <si>
    <t>MertonA2Dominion Homes Limited</t>
  </si>
  <si>
    <t>MertonA2Dominion South Limited</t>
  </si>
  <si>
    <t>MertonAbility Housing Association</t>
  </si>
  <si>
    <t>MertonAdvance Housing and Support Limited</t>
  </si>
  <si>
    <t>MertonAnchor Hanover Group</t>
  </si>
  <si>
    <t>MertonCentral and Cecil Housing Trust</t>
  </si>
  <si>
    <t>MertonChanging Lives Housing Trust</t>
  </si>
  <si>
    <t>MertonClarion Housing Association Limited</t>
  </si>
  <si>
    <t>MertonEkaya Housing Association Limited</t>
  </si>
  <si>
    <t>MertonHeylo Housing Registered Provider Limited</t>
  </si>
  <si>
    <t>MertonHome Group Limited</t>
  </si>
  <si>
    <t>MertonHousing 21</t>
  </si>
  <si>
    <t>MertonHyde Housing Association Limited</t>
  </si>
  <si>
    <t>MertonKingston upon Thames Churches Housing Association Limited</t>
  </si>
  <si>
    <t>MertonLondon &amp; Quadrant Housing Trust</t>
  </si>
  <si>
    <t>MertonMetropolitan Housing Trust Limited</t>
  </si>
  <si>
    <t>MertonMillat Asian Housing Association Limited</t>
  </si>
  <si>
    <t>MertonMoat Homes Limited</t>
  </si>
  <si>
    <t>MertonNotting Hill Genesis</t>
  </si>
  <si>
    <t>MertonNotting Hill Home Ownership Limited</t>
  </si>
  <si>
    <t>MertonOptivo</t>
  </si>
  <si>
    <t>MertonOrbit Group Limited</t>
  </si>
  <si>
    <t>MertonOrigin Housing Limited</t>
  </si>
  <si>
    <t>MertonParagon Asra Housing Limited</t>
  </si>
  <si>
    <t>MertonPeabody Trust</t>
  </si>
  <si>
    <t>MertonPlaces for People Homes Limited</t>
  </si>
  <si>
    <t>MertonReside Housing Association Limited</t>
  </si>
  <si>
    <t>MertonSanctuary Housing Association</t>
  </si>
  <si>
    <t>MertonShepherds Bush Housing Association Limited</t>
  </si>
  <si>
    <t>MertonSt Christopher's Fellowship</t>
  </si>
  <si>
    <t>MertonThames Valley Housing Association Limited</t>
  </si>
  <si>
    <t>MertonThe Cinque Cottages</t>
  </si>
  <si>
    <t>MertonThe Riverside Group Limited</t>
  </si>
  <si>
    <t>MertonWandle Housing Association Limited</t>
  </si>
  <si>
    <t>MertonYMCA St Paul's Group</t>
  </si>
  <si>
    <t>Mid DevonAdvance Housing and Support Limited</t>
  </si>
  <si>
    <t>Mid DevonAster Communities</t>
  </si>
  <si>
    <t>Mid DevonClarion Housing Association Limited</t>
  </si>
  <si>
    <t>Mid DevonCornerstone Housing Limited</t>
  </si>
  <si>
    <t>Mid DevonFalcon Rural Housing Limited</t>
  </si>
  <si>
    <t>Mid DevonGuinness Care and Support Limited</t>
  </si>
  <si>
    <t>Mid DevonHastoe Housing Association Limited</t>
  </si>
  <si>
    <t>Mid DevonHeylo Housing Registered Provider Limited</t>
  </si>
  <si>
    <t>Mid DevonHousing 21</t>
  </si>
  <si>
    <t>Mid DevonLiveWest Homes Limited</t>
  </si>
  <si>
    <t>Mid DevonProgress Housing Association Limited</t>
  </si>
  <si>
    <t>Mid DevonSanctuary Housing Association</t>
  </si>
  <si>
    <t>Mid DevonSouth Western Housing Society Limited</t>
  </si>
  <si>
    <t>Mid DevonSovereign Housing Association Limited</t>
  </si>
  <si>
    <t>Mid DevonStonewater (5) Limited</t>
  </si>
  <si>
    <t>Mid DevonStonewater Limited</t>
  </si>
  <si>
    <t>Mid DevonThe Abbeyfield Tiverton Society Limited</t>
  </si>
  <si>
    <t>Mid DevonThe Guinness Partnership Limited</t>
  </si>
  <si>
    <t>Mid DevonTiverton Almshouse Trust</t>
  </si>
  <si>
    <t>Mid DevonUCCLT Housing Ltd</t>
  </si>
  <si>
    <t>Mid DevonWestmoreland Supported Housing Limited</t>
  </si>
  <si>
    <t>Mid DevonWestward Housing Group Limited</t>
  </si>
  <si>
    <t>Mid SuffolkAnchor Hanover Group</t>
  </si>
  <si>
    <t>Mid SuffolkClarion Housing Association Limited</t>
  </si>
  <si>
    <t>Mid SuffolkFlagship Housing Group Limited</t>
  </si>
  <si>
    <t>Mid SuffolkHastoe Housing Association Limited</t>
  </si>
  <si>
    <t>Mid SuffolkHeylo Housing Registered Provider Limited</t>
  </si>
  <si>
    <t>Mid SuffolkHousing 21</t>
  </si>
  <si>
    <t>Mid SuffolkOrbit Group Limited</t>
  </si>
  <si>
    <t>Mid SuffolkOrwell Housing Association Limited</t>
  </si>
  <si>
    <t>Mid SuffolkPlaces for People Homes Limited</t>
  </si>
  <si>
    <t>Mid SuffolkProgress Housing Association Limited</t>
  </si>
  <si>
    <t>Mid SuffolkSaffron Housing Trust Limited</t>
  </si>
  <si>
    <t>Mid SuffolkSanctuary Affordable Housing Limited</t>
  </si>
  <si>
    <t>Mid SuffolkSanctuary Housing Association</t>
  </si>
  <si>
    <t>Mid SuffolkThe Havebury Housing Partnership</t>
  </si>
  <si>
    <t>Mid SuffolkThe Papworth Trust</t>
  </si>
  <si>
    <t>Mid SuffolkThe Riverside Group Limited</t>
  </si>
  <si>
    <t>Mid SussexAccent Housing Limited</t>
  </si>
  <si>
    <t>Mid SussexAnchor Hanover Group</t>
  </si>
  <si>
    <t>Mid SussexClarion Housing Association Limited</t>
  </si>
  <si>
    <t>Mid SussexEldon Housing Association Limited</t>
  </si>
  <si>
    <t>Mid SussexEnglish Rural Housing Association Limited</t>
  </si>
  <si>
    <t>Mid SussexFranklands Village Housing Association Limited</t>
  </si>
  <si>
    <t>Mid SussexGreenoak Housing Association Limited</t>
  </si>
  <si>
    <t>Mid SussexHassocks Housing Society Limited</t>
  </si>
  <si>
    <t>Mid SussexHastoe Housing Association Limited</t>
  </si>
  <si>
    <t>Mid SussexHeylo Housing Registered Provider Limited</t>
  </si>
  <si>
    <t>Mid SussexHome Group Limited</t>
  </si>
  <si>
    <t>Mid SussexHousing 21</t>
  </si>
  <si>
    <t>Mid SussexHyde Housing Association Limited</t>
  </si>
  <si>
    <t>Mid SussexJames Bradford Almshouses Trust</t>
  </si>
  <si>
    <t>Mid SussexMetropolitan Housing Trust Limited</t>
  </si>
  <si>
    <t>Mid SussexMoat Homes Limited</t>
  </si>
  <si>
    <t>Mid SussexOrbit Group Limited</t>
  </si>
  <si>
    <t>Mid SussexRaven Housing Trust Limited</t>
  </si>
  <si>
    <t>Mid SussexSackville College</t>
  </si>
  <si>
    <t>Mid SussexSage Housing Limited</t>
  </si>
  <si>
    <t>Mid SussexSaxon Weald</t>
  </si>
  <si>
    <t>Mid SussexSouthdown Housing Association Limited</t>
  </si>
  <si>
    <t>Mid SussexSouthern Housing Group Limited</t>
  </si>
  <si>
    <t>Mid SussexStonewater Limited</t>
  </si>
  <si>
    <t>Mid SussexSussex Housing &amp; Care</t>
  </si>
  <si>
    <t>Mid SussexThe Guinness Partnership Limited</t>
  </si>
  <si>
    <t>MiddlesbroughAccent Housing Limited</t>
  </si>
  <si>
    <t>MiddlesbroughAnchor Hanover Group</t>
  </si>
  <si>
    <t>MiddlesbroughArpeggio Properties Limited</t>
  </si>
  <si>
    <t>MiddlesbroughBernicia Group</t>
  </si>
  <si>
    <t>MiddlesbroughBeyond Housing Limited</t>
  </si>
  <si>
    <t>MiddlesbroughCreative Support Limited</t>
  </si>
  <si>
    <t>MiddlesbroughDimensions (UK) Limited</t>
  </si>
  <si>
    <t>MiddlesbroughHabinteg Housing Association Limited</t>
  </si>
  <si>
    <t>MiddlesbroughHome Group Limited</t>
  </si>
  <si>
    <t>MiddlesbroughHousing 21</t>
  </si>
  <si>
    <t>MiddlesbroughKarbon Homes Limited</t>
  </si>
  <si>
    <t>MiddlesbroughMy Space Housing Solutions</t>
  </si>
  <si>
    <t>MiddlesbroughNorth Star Housing Group</t>
  </si>
  <si>
    <t>MiddlesbroughOxfield Housing Co-operative Association Limited</t>
  </si>
  <si>
    <t>MiddlesbroughParagon Asra Housing Limited</t>
  </si>
  <si>
    <t>MiddlesbroughPlaces for People Homes Limited</t>
  </si>
  <si>
    <t>MiddlesbroughProgress Housing Association Limited</t>
  </si>
  <si>
    <t>MiddlesbroughRailway Housing Association and Benefit Fund</t>
  </si>
  <si>
    <t>MiddlesbroughSalvation Army Housing Association</t>
  </si>
  <si>
    <t>MiddlesbroughSanctuary Housing Association</t>
  </si>
  <si>
    <t>MiddlesbroughThe Riverside Group Limited</t>
  </si>
  <si>
    <t>MiddlesbroughThirteen Housing Group Limited</t>
  </si>
  <si>
    <t>Milton KeynesA2Dominion Homes Limited</t>
  </si>
  <si>
    <t>Milton KeynesAccent Housing Limited</t>
  </si>
  <si>
    <t>Milton KeynesAdvance Housing and Support Limited</t>
  </si>
  <si>
    <t>Milton KeynesAlmshouses of Miss Anne Hopkins-Smith</t>
  </si>
  <si>
    <t>Milton KeynesAnchor Hanover Group</t>
  </si>
  <si>
    <t>Milton Keynesbpha Limited</t>
  </si>
  <si>
    <t>Milton KeynesCatalyst Housing Limited</t>
  </si>
  <si>
    <t>Milton KeynesChorus Homes Limited</t>
  </si>
  <si>
    <t>Milton KeynesClarion Housing Association Limited</t>
  </si>
  <si>
    <t>Milton KeynesCo-operative Development Society Limited</t>
  </si>
  <si>
    <t>Milton KeynesCross Keys Homes Limited</t>
  </si>
  <si>
    <t>Milton KeynesDerwent Housing Association Limited</t>
  </si>
  <si>
    <t>Milton KeynesDimensions (UK) Limited</t>
  </si>
  <si>
    <t>Milton KeynesGrand Union Housing Group Limited</t>
  </si>
  <si>
    <t>Milton KeynesHabinteg Housing Association Limited</t>
  </si>
  <si>
    <t>Milton KeynesHastoe Housing Association Limited</t>
  </si>
  <si>
    <t>Milton KeynesHeylo Housing Registered Provider Limited</t>
  </si>
  <si>
    <t>Milton KeynesHightown Housing Association Limited</t>
  </si>
  <si>
    <t>Milton KeynesHome Group Limited</t>
  </si>
  <si>
    <t>Milton KeynesHousing 21</t>
  </si>
  <si>
    <t>Milton KeynesHyde Housing Association Limited</t>
  </si>
  <si>
    <t>Milton KeynesMetropolitan Housing Trust Limited</t>
  </si>
  <si>
    <t>Milton KeynesMidland Heart Limited</t>
  </si>
  <si>
    <t>Milton KeynesMilton Keynes YMCA Limited</t>
  </si>
  <si>
    <t>Milton KeynesNetwork Homes Limited</t>
  </si>
  <si>
    <t>Milton KeynesNotting Hill Genesis</t>
  </si>
  <si>
    <t>Milton KeynesNotting Hill Home Ownership Limited</t>
  </si>
  <si>
    <t>Milton KeynesOld Farm Park Housing Co-operative Limited</t>
  </si>
  <si>
    <t>Milton KeynesOmega Housing Limited</t>
  </si>
  <si>
    <t>Milton KeynesOne Housing Group Limited</t>
  </si>
  <si>
    <t>Milton KeynesOptivo</t>
  </si>
  <si>
    <t>Milton KeynesOrbit Group Limited</t>
  </si>
  <si>
    <t>Milton KeynesParadigm Homes Charitable Housing Association Limited</t>
  </si>
  <si>
    <t>Milton KeynesPlaces for People Homes Limited</t>
  </si>
  <si>
    <t>Milton KeynesPlaces for People Living+ Limited</t>
  </si>
  <si>
    <t>Milton KeynesReside Housing Association Limited</t>
  </si>
  <si>
    <t>Milton KeynesSage Housing Limited</t>
  </si>
  <si>
    <t>Milton KeynesSanctuary Housing Association</t>
  </si>
  <si>
    <t>Milton KeynesSettle Group</t>
  </si>
  <si>
    <t>Milton KeynesStonewater (2) Limited</t>
  </si>
  <si>
    <t>Milton KeynesStonewater Limited</t>
  </si>
  <si>
    <t>Milton KeynesThe Extracare Charitable Trust</t>
  </si>
  <si>
    <t>Milton KeynesThe Guinness Partnership Limited</t>
  </si>
  <si>
    <t>Milton KeynesThe Richmond Fellowship</t>
  </si>
  <si>
    <t>Milton KeynesThrive Homes Limited</t>
  </si>
  <si>
    <t>Mole ValleyA2Dominion Homes Limited</t>
  </si>
  <si>
    <t>Mole ValleyA2Dominion South Limited</t>
  </si>
  <si>
    <t>Mole ValleyAbility Housing Association</t>
  </si>
  <si>
    <t>Mole ValleyAdvance Housing and Support Limited</t>
  </si>
  <si>
    <t>Mole ValleyAnchor Hanover Group</t>
  </si>
  <si>
    <t>Mole ValleyClarion Housing Association Limited</t>
  </si>
  <si>
    <t>Mole ValleyDorking Charity</t>
  </si>
  <si>
    <t>Mole ValleyEnglish Rural Housing Association Limited</t>
  </si>
  <si>
    <t>Mole ValleyFirst Priority Housing Association Limited</t>
  </si>
  <si>
    <t>Mole ValleyHeylo Housing Registered Provider Limited</t>
  </si>
  <si>
    <t>Mole ValleyHome Group Limited</t>
  </si>
  <si>
    <t>Mole ValleyLondon &amp; Quadrant Housing Trust</t>
  </si>
  <si>
    <t>Mole ValleyMetropolitan Housing Trust Limited</t>
  </si>
  <si>
    <t>Mole ValleyMount Green Housing Association Limited</t>
  </si>
  <si>
    <t>Mole ValleyNotting Hill Home Ownership Limited</t>
  </si>
  <si>
    <t>Mole ValleyOckley Housing Association Limited</t>
  </si>
  <si>
    <t>Mole ValleyParagon Asra Housing Limited</t>
  </si>
  <si>
    <t>Mole ValleyRaven Housing Trust Limited</t>
  </si>
  <si>
    <t>Mole ValleyReside Housing Association Limited</t>
  </si>
  <si>
    <t>Mole ValleyRosebery Housing Association Limited</t>
  </si>
  <si>
    <t>Mole ValleySouthern Housing Group Limited</t>
  </si>
  <si>
    <t>Mole ValleySovereign Housing Association Limited</t>
  </si>
  <si>
    <t>Mole ValleyThe Field Lane Foundation</t>
  </si>
  <si>
    <t>Mole ValleyThe Grange Centre for People with Disabilities</t>
  </si>
  <si>
    <t>Mole ValleyThe Riverside Group Limited</t>
  </si>
  <si>
    <t>Mole ValleyTown and Country Housing</t>
  </si>
  <si>
    <t>Mole ValleyTransform Housing &amp; Support</t>
  </si>
  <si>
    <t>Newark and SherwoodAccent Housing Limited</t>
  </si>
  <si>
    <t>Newark and SherwoodAcis Group Limited</t>
  </si>
  <si>
    <t>Newark and SherwoodAdvance Housing and Support Limited</t>
  </si>
  <si>
    <t>Newark and SherwoodAnchor Hanover Group</t>
  </si>
  <si>
    <t>Newark and SherwoodDerwent Housing Association Limited</t>
  </si>
  <si>
    <t>Newark and SherwoodEMH Housing and Regeneration Limited</t>
  </si>
  <si>
    <t>Newark and SherwoodEmpower Housing Association Limited</t>
  </si>
  <si>
    <t>Newark and SherwoodFramework Housing Association</t>
  </si>
  <si>
    <t>Newark and SherwoodHeylo Housing Registered Provider Limited</t>
  </si>
  <si>
    <t>Newark and SherwoodHome Group Limited</t>
  </si>
  <si>
    <t>Newark and Sherwood'Johnnie' Johnson Housing Trust Limited</t>
  </si>
  <si>
    <t>Newark and SherwoodLonghurst Group Limited</t>
  </si>
  <si>
    <t>Newark and SherwoodMetropolitan Housing Trust Limited</t>
  </si>
  <si>
    <t>Newark and SherwoodNewark Housing Association Limited</t>
  </si>
  <si>
    <t>Newark and SherwoodNottingham Community Housing Association Limited</t>
  </si>
  <si>
    <t>Newark and SherwoodParagon Asra Housing Limited</t>
  </si>
  <si>
    <t>Newark and SherwoodPlaces for People Homes Limited</t>
  </si>
  <si>
    <t>Newark and SherwoodPlaces for People Living+ Limited</t>
  </si>
  <si>
    <t>Newark and SherwoodPlatform Housing Limited</t>
  </si>
  <si>
    <t>Newark and SherwoodProgress Housing Association Limited</t>
  </si>
  <si>
    <t>Newark and SherwoodStonewater (5) Limited</t>
  </si>
  <si>
    <t>Newark and SherwoodThe Charity of St Leonard's Hospital</t>
  </si>
  <si>
    <t>Newark and SherwoodThe Guinness Partnership Limited</t>
  </si>
  <si>
    <t>Newark and SherwoodThe Riverside Group Limited</t>
  </si>
  <si>
    <t>Newark and SherwoodTrinity Housing Association Limited</t>
  </si>
  <si>
    <t>Newcastle upon TyneAlbion Housing Co-operative Limited</t>
  </si>
  <si>
    <t>Newcastle upon TyneAnchor Hanover Group</t>
  </si>
  <si>
    <t>Newcastle upon TyneArpeggio Properties Limited</t>
  </si>
  <si>
    <t>Newcastle upon TyneBernicia Group</t>
  </si>
  <si>
    <t>Newcastle upon TyneBeyond Housing Limited</t>
  </si>
  <si>
    <t>Newcastle upon TyneCastles &amp; Coasts Housing Association Limited</t>
  </si>
  <si>
    <t>Newcastle upon TyneDimensions (UK) Limited</t>
  </si>
  <si>
    <t>Newcastle upon TyneFalconar Street Housing Co-operative Limited</t>
  </si>
  <si>
    <t>Newcastle upon TyneHeylo Housing Registered Provider Limited</t>
  </si>
  <si>
    <t>Newcastle upon TyneHome Group Limited</t>
  </si>
  <si>
    <t>Newcastle upon TyneHospital of St Mary The Virgin (Rye Hill &amp; Benwell)</t>
  </si>
  <si>
    <t>Newcastle upon TyneHousing 21</t>
  </si>
  <si>
    <t>Newcastle upon TyneInclusion Housing Community Interest Company</t>
  </si>
  <si>
    <t>Newcastle upon Tyne'Johnnie' Johnson Housing Trust Limited</t>
  </si>
  <si>
    <t>Newcastle upon TyneKarbon Homes Limited</t>
  </si>
  <si>
    <t>Newcastle upon TyneLeazes Homes Limited</t>
  </si>
  <si>
    <t>Newcastle upon TyneMethodist Homes Housing Association Limited</t>
  </si>
  <si>
    <t>Newcastle upon TyneMy Space Housing Solutions</t>
  </si>
  <si>
    <t>Newcastle upon TyneNew Moves Housing Co-operative Limited</t>
  </si>
  <si>
    <t>Newcastle upon TynePhoenix House</t>
  </si>
  <si>
    <t>Newcastle upon TynePlaces for People Homes Limited</t>
  </si>
  <si>
    <t>Newcastle upon TynePlaces for People Living+ Limited</t>
  </si>
  <si>
    <t>Newcastle upon TyneProgress Housing Association Limited</t>
  </si>
  <si>
    <t>Newcastle upon TyneRailway Housing Association and Benefit Fund</t>
  </si>
  <si>
    <t>Newcastle upon TyneTCUK Homes Limited</t>
  </si>
  <si>
    <t>Newcastle upon TyneThe Riverside Group Limited</t>
  </si>
  <si>
    <t>Newcastle upon TyneThirteen Housing Group Limited</t>
  </si>
  <si>
    <t>Newcastle upon TyneTyne Housing Association Limited</t>
  </si>
  <si>
    <t>Newcastle upon TyneWest End Housing Co-operative Limited</t>
  </si>
  <si>
    <t>Newcastle-under-LymeAlpha (R.S.L.) Limited</t>
  </si>
  <si>
    <t>Newcastle-under-LymeAnchor Hanover Group</t>
  </si>
  <si>
    <t>Newcastle-under-LymeAspire Housing Limited</t>
  </si>
  <si>
    <t>Newcastle-under-LymeBrighter Futures Housing Association Limited</t>
  </si>
  <si>
    <t>Newcastle-under-LymeChoices Housing Association Limited</t>
  </si>
  <si>
    <t>Newcastle-under-LymeClarion Housing Association Limited</t>
  </si>
  <si>
    <t>Newcastle-under-LymeEmpowering People Inspiring Communities Limited</t>
  </si>
  <si>
    <t>Newcastle-under-LymeHoneycomb Group Limited</t>
  </si>
  <si>
    <t>Newcastle-under-LymeHousing 21</t>
  </si>
  <si>
    <t>Newcastle-under-LymeMidland Heart Limited</t>
  </si>
  <si>
    <t>Newcastle-under-LymePlus Dane Housing Limited</t>
  </si>
  <si>
    <t>Newcastle-under-LymeSanctuary Housing Association</t>
  </si>
  <si>
    <t>Newcastle-under-LymeThe Guinness Partnership Limited</t>
  </si>
  <si>
    <t>Newcastle-under-LymeThe Riverside Group Limited</t>
  </si>
  <si>
    <t>Newcastle-under-LymeThe Wrekin Housing Group Limited</t>
  </si>
  <si>
    <t>NewhamA2Dominion Homes Limited</t>
  </si>
  <si>
    <t>NewhamAnchor Hanover Group</t>
  </si>
  <si>
    <t>NewhamArhag Housing Association Limited</t>
  </si>
  <si>
    <t>NewhamAston-Mansfield Charitable Trust</t>
  </si>
  <si>
    <t>NewhamBahay Kubo Housing Association Limited</t>
  </si>
  <si>
    <t>NewhamCaritas Anchor House</t>
  </si>
  <si>
    <t>NewhamCatalyst Housing Limited</t>
  </si>
  <si>
    <t>NewhamCentrepoint Soho</t>
  </si>
  <si>
    <t>NewhamClarion Housing Association Limited</t>
  </si>
  <si>
    <t>NewhamGateway Housing Association Limited</t>
  </si>
  <si>
    <t>NewhamGrainger Trust Limited</t>
  </si>
  <si>
    <t>NewhamHabinteg Housing Association Limited</t>
  </si>
  <si>
    <t>NewhamHeylo Housing Registered Provider Limited</t>
  </si>
  <si>
    <t>NewhamHome from Home Housing Association Limited</t>
  </si>
  <si>
    <t>NewhamHome Group Limited</t>
  </si>
  <si>
    <t>NewhamKarin Housing Association Limited</t>
  </si>
  <si>
    <t>NewhamLocal Space</t>
  </si>
  <si>
    <t>NewhamLondon &amp; Quadrant Housing Trust</t>
  </si>
  <si>
    <t>NewhamLonglife Housing Co-operative Limited</t>
  </si>
  <si>
    <t>NewhamLook Ahead Care and Support Limited</t>
  </si>
  <si>
    <t>NewhamMajor Housing Association Limited</t>
  </si>
  <si>
    <t>NewhamMetropolitan Housing Trust Limited</t>
  </si>
  <si>
    <t>NewhamNetwork Homes Limited</t>
  </si>
  <si>
    <t>NewhamNorth London Muslim Housing Association Limited</t>
  </si>
  <si>
    <t>NewhamNotting Hill Genesis</t>
  </si>
  <si>
    <t>NewhamNotting Hill Home Ownership Limited</t>
  </si>
  <si>
    <t>NewhamOmega Housing Limited</t>
  </si>
  <si>
    <t>NewhamOne Housing Group Limited</t>
  </si>
  <si>
    <t>NewhamParagon Asra Housing Limited</t>
  </si>
  <si>
    <t>NewhamPeabody Trust</t>
  </si>
  <si>
    <t>NewhamPhoenix Community Housing Co-operative Limited</t>
  </si>
  <si>
    <t>NewhamPlaces for People Homes Limited</t>
  </si>
  <si>
    <t>NewhamPlaces for People Living+ Limited</t>
  </si>
  <si>
    <t>NewhamSage Housing Limited</t>
  </si>
  <si>
    <t>NewhamSanctuary Affordable Housing Limited</t>
  </si>
  <si>
    <t>NewhamSanctuary Housing Association</t>
  </si>
  <si>
    <t>NewhamSouthern Housing Group Limited</t>
  </si>
  <si>
    <t>NewhamSpitalfields Housing Association Limited</t>
  </si>
  <si>
    <t>NewhamSwan Housing Association Limited</t>
  </si>
  <si>
    <t>NewhamTamil Community Housing Association Limited</t>
  </si>
  <si>
    <t>NewhamThe Guinness Partnership Limited</t>
  </si>
  <si>
    <t>NewhamThe Pathways Jubilee Charity</t>
  </si>
  <si>
    <t>NewhamThe Riverside Group Limited</t>
  </si>
  <si>
    <t>NewhamWest Ham Non-Ecclesiastical Charity</t>
  </si>
  <si>
    <t>NewhamWinsor Housing Co-operative Limited</t>
  </si>
  <si>
    <t>North DevonAdvance Housing and Support Limited</t>
  </si>
  <si>
    <t>North DevonAnchor Hanover Group</t>
  </si>
  <si>
    <t>North DevonAster Communities</t>
  </si>
  <si>
    <t>North DevonFrontis Homes Limited</t>
  </si>
  <si>
    <t>North DevonFunding Affordable Homes Housing Association Limited</t>
  </si>
  <si>
    <t>North DevonHastoe Housing Association Limited</t>
  </si>
  <si>
    <t>North DevonHeylo Housing Registered Provider Limited</t>
  </si>
  <si>
    <t>North DevonHousing 21</t>
  </si>
  <si>
    <t>North DevonLiveWest Homes Limited</t>
  </si>
  <si>
    <t>North DevonMethodist Homes Housing Association Limited</t>
  </si>
  <si>
    <t>North DevonMoat Homes Limited</t>
  </si>
  <si>
    <t>North DevonNew Foundations Housing Association Limited</t>
  </si>
  <si>
    <t>North DevonNorth Devon Homes</t>
  </si>
  <si>
    <t>North DevonProgress Housing Association Limited</t>
  </si>
  <si>
    <t>North DevonSanctuary Affordable Housing Limited</t>
  </si>
  <si>
    <t>North DevonSanctuary Housing Association</t>
  </si>
  <si>
    <t>North DevonSynergy Housing Limited</t>
  </si>
  <si>
    <t>North DevonThe Abbeyfield South Molton Society Limited</t>
  </si>
  <si>
    <t>North DevonTrinity Housing Association Limited</t>
  </si>
  <si>
    <t>North DevonWestward Housing Group Limited</t>
  </si>
  <si>
    <t>North East DerbyshireAcis Group Limited</t>
  </si>
  <si>
    <t>North East DerbyshireAction Housing and Support Limited</t>
  </si>
  <si>
    <t>North East DerbyshireAdullam Homes Housing Association Limited</t>
  </si>
  <si>
    <t>North East DerbyshireArches Housing Limited</t>
  </si>
  <si>
    <t>North East DerbyshireDerwent Community Housing Association Limited</t>
  </si>
  <si>
    <t>North East DerbyshireDerwent Housing Association Limited</t>
  </si>
  <si>
    <t>North East DerbyshireEMH Housing and Regeneration Limited</t>
  </si>
  <si>
    <t>North East DerbyshireFutures Homescape Limited</t>
  </si>
  <si>
    <t>North East DerbyshireHeylo Housing Registered Provider Limited</t>
  </si>
  <si>
    <t>North East DerbyshireHousing 21</t>
  </si>
  <si>
    <t>North East DerbyshireInclusion Housing Community Interest Company</t>
  </si>
  <si>
    <t>North East DerbyshireMetropolitan Housing Trust Limited</t>
  </si>
  <si>
    <t>North East DerbyshirePeak District Rural Housing Association Limited</t>
  </si>
  <si>
    <t>North East DerbyshirePlaces for People Living+ Limited</t>
  </si>
  <si>
    <t>North East DerbyshirePlatform Housing Limited</t>
  </si>
  <si>
    <t>North East DerbyshireReside Housing Association Limited</t>
  </si>
  <si>
    <t>North East DerbyshireRykneld Homes Limited</t>
  </si>
  <si>
    <t>North East DerbyshireSage Housing Limited</t>
  </si>
  <si>
    <t>North East DerbyshireSanctuary Affordable Housing Limited</t>
  </si>
  <si>
    <t>North East DerbyshireSanctuary Housing Association</t>
  </si>
  <si>
    <t>North East DerbyshireSouth Yorkshire Housing Association Limited</t>
  </si>
  <si>
    <t>North East DerbyshireThe Guinness Partnership Limited</t>
  </si>
  <si>
    <t>North East DerbyshireTogether Housing Association Limited</t>
  </si>
  <si>
    <t>North East LincolnshireAcis Group Limited</t>
  </si>
  <si>
    <t>North East LincolnshireAnchor Hanover Group</t>
  </si>
  <si>
    <t>North East LincolnshireArpeggio Properties Limited</t>
  </si>
  <si>
    <t>North East LincolnshireChrysalis Supported Association Limited</t>
  </si>
  <si>
    <t>North East LincolnshireGrantham's Almshouses</t>
  </si>
  <si>
    <t>North East LincolnshireGrimsby,Cleethorpes and Humber Region Y.M.C.A.</t>
  </si>
  <si>
    <t>North East LincolnshireHousing 21</t>
  </si>
  <si>
    <t>North East LincolnshireInclusion Housing Community Interest Company</t>
  </si>
  <si>
    <t>North East LincolnshireLincolnshire Housing Partnership Limited</t>
  </si>
  <si>
    <t>North East LincolnshireLonghurst Group Limited</t>
  </si>
  <si>
    <t>North East LincolnshireMy Space Housing Solutions</t>
  </si>
  <si>
    <t>North East LincolnshirePlaces for People Homes Limited</t>
  </si>
  <si>
    <t>North East LincolnshireProgress Housing Association Limited</t>
  </si>
  <si>
    <t>North East LincolnshireSanctuary Housing Association</t>
  </si>
  <si>
    <t>North East LincolnshireThe Guinness Partnership Limited</t>
  </si>
  <si>
    <t>North East LincolnshireThe Riverside Group Limited</t>
  </si>
  <si>
    <t>North East LincolnshireTogether Housing Association Limited</t>
  </si>
  <si>
    <t>North HertfordshireAdvance Housing and Support Limited</t>
  </si>
  <si>
    <t>North HertfordshireAnchor Hanover Group</t>
  </si>
  <si>
    <t>North HertfordshireB3 Living Limited</t>
  </si>
  <si>
    <t>North HertfordshireCatalyst Housing Limited</t>
  </si>
  <si>
    <t>North HertfordshireClarion Housing Association Limited</t>
  </si>
  <si>
    <t>North HertfordshireFirst Garden Cities Homes Limited</t>
  </si>
  <si>
    <t>North HertfordshireHabinteg Housing Association Limited</t>
  </si>
  <si>
    <t>North HertfordshireHastoe Housing Association Limited</t>
  </si>
  <si>
    <t>North HertfordshireHeylo Housing Registered Provider Limited</t>
  </si>
  <si>
    <t>North HertfordshireHightown Housing Association Limited</t>
  </si>
  <si>
    <t>North HertfordshireHome Group Limited</t>
  </si>
  <si>
    <t>North HertfordshireHousing 21</t>
  </si>
  <si>
    <t>North HertfordshireInclusion Housing Community Interest Company</t>
  </si>
  <si>
    <t>North Hertfordshire'Johnnie' Johnson Housing Trust Limited</t>
  </si>
  <si>
    <t>North HertfordshireMetropolitan Housing Trust Limited</t>
  </si>
  <si>
    <t>North HertfordshireNotting Hill Genesis</t>
  </si>
  <si>
    <t>North HertfordshireNotting Hill Home Ownership Limited</t>
  </si>
  <si>
    <t>North HertfordshireOrigin Housing 2 Limited</t>
  </si>
  <si>
    <t>North HertfordshireOrigin Housing Limited</t>
  </si>
  <si>
    <t>North HertfordshireParadigm Homes Charitable Housing Association Limited</t>
  </si>
  <si>
    <t>North HertfordshirePlaces for People Homes Limited</t>
  </si>
  <si>
    <t>North HertfordshireReside Housing Association Limited</t>
  </si>
  <si>
    <t>North HertfordshireSanctuary Housing Association</t>
  </si>
  <si>
    <t>North HertfordshireSettle Group</t>
  </si>
  <si>
    <t>North HertfordshireSt Mungo Community Housing Association</t>
  </si>
  <si>
    <t>North HertfordshireStonewater (2) Limited</t>
  </si>
  <si>
    <t>North HertfordshireThe Guinness Partnership Limited</t>
  </si>
  <si>
    <t>North HertfordshireThe Papworth Trust</t>
  </si>
  <si>
    <t>North HertfordshireThrive Homes Limited</t>
  </si>
  <si>
    <t>North KestevenAcis Group Limited</t>
  </si>
  <si>
    <t>North KestevenAdvance Housing and Support Limited</t>
  </si>
  <si>
    <t>North KestevenDerwent Housing Association Limited</t>
  </si>
  <si>
    <t>North KestevenEMH Housing and Regeneration Limited</t>
  </si>
  <si>
    <t>North KestevenEmpower Housing Association Limited</t>
  </si>
  <si>
    <t>North KestevenFramework Housing Association</t>
  </si>
  <si>
    <t>North KestevenHeylo Housing Registered Provider Limited</t>
  </si>
  <si>
    <t>North KestevenHousing 21</t>
  </si>
  <si>
    <t>North KestevenInclusion Housing Community Interest Company</t>
  </si>
  <si>
    <t>North KestevenLace Housing Limited</t>
  </si>
  <si>
    <t>North KestevenLincolnshire Rural Housing Association Limited</t>
  </si>
  <si>
    <t>North KestevenLonghurst Group Limited</t>
  </si>
  <si>
    <t>North KestevenNottingham Community Housing Association Limited</t>
  </si>
  <si>
    <t>North KestevenOngo Homes Limited</t>
  </si>
  <si>
    <t>North KestevenParasol Homes Limited</t>
  </si>
  <si>
    <t>North KestevenPartners Foundation Limited</t>
  </si>
  <si>
    <t>North KestevenPlaces for People Homes Limited</t>
  </si>
  <si>
    <t>North KestevenPlatform Housing Limited</t>
  </si>
  <si>
    <t>North KestevenProgress Housing Association Limited</t>
  </si>
  <si>
    <t>North KestevenReside Housing Association Limited</t>
  </si>
  <si>
    <t>North KestevenSanctuary Housing Association</t>
  </si>
  <si>
    <t>North KestevenThe Teetotal Homes</t>
  </si>
  <si>
    <t>North LincolnshireAcis Group Limited</t>
  </si>
  <si>
    <t>North LincolnshireAnchor Hanover Group</t>
  </si>
  <si>
    <t>North LincolnshireCare Housing Association Limited</t>
  </si>
  <si>
    <t>North LincolnshireFramework Housing Association</t>
  </si>
  <si>
    <t>North LincolnshireHome Group Limited</t>
  </si>
  <si>
    <t>North LincolnshireHousing 21</t>
  </si>
  <si>
    <t>North LincolnshireInclusion Housing Community Interest Company</t>
  </si>
  <si>
    <t>North LincolnshireLincolnshire Rural Housing Association Limited</t>
  </si>
  <si>
    <t>North LincolnshireLonghurst Group Limited</t>
  </si>
  <si>
    <t>North LincolnshireOngo Homes Limited</t>
  </si>
  <si>
    <t>North LincolnshirePlaces for People Homes Limited</t>
  </si>
  <si>
    <t>North LincolnshirePlaces for People Living+ Limited</t>
  </si>
  <si>
    <t>North LincolnshireProgress Housing Association Limited</t>
  </si>
  <si>
    <t>North LincolnshireSanctuary Housing Association</t>
  </si>
  <si>
    <t>North LincolnshireThe Guinness Partnership Limited</t>
  </si>
  <si>
    <t>North LincolnshireThe Riverside Group Limited</t>
  </si>
  <si>
    <t>North NorfolkAnchor Hanover Group</t>
  </si>
  <si>
    <t>North NorfolkBroadland Housing Association Limited</t>
  </si>
  <si>
    <t>North NorfolkClarion Housing Association Limited</t>
  </si>
  <si>
    <t>North NorfolkCotman Housing Association Limited</t>
  </si>
  <si>
    <t>North NorfolkFlagship Housing Group Limited</t>
  </si>
  <si>
    <t>North NorfolkHabinteg Housing Association Limited</t>
  </si>
  <si>
    <t>North NorfolkHastoe Housing Association Limited</t>
  </si>
  <si>
    <t>North NorfolkHomes for Wells Limited</t>
  </si>
  <si>
    <t>North NorfolkHousing 21</t>
  </si>
  <si>
    <t>North NorfolkPlaces for People Homes Limited</t>
  </si>
  <si>
    <t>North NorfolkProgress Housing Association Limited</t>
  </si>
  <si>
    <t>North NorfolkSaffron Housing Trust Limited</t>
  </si>
  <si>
    <t>North NorfolkSanctuary Affordable Housing Limited</t>
  </si>
  <si>
    <t>North NorfolkWestmoreland Supported Housing Limited</t>
  </si>
  <si>
    <t>North SomersetAdvance Housing and Support Limited</t>
  </si>
  <si>
    <t>North SomersetAnchor Hanover Group</t>
  </si>
  <si>
    <t>North SomersetAster Communities</t>
  </si>
  <si>
    <t>North SomersetBristowe (Fair Rent) Housing Association Limited</t>
  </si>
  <si>
    <t>North SomersetBrunelcare</t>
  </si>
  <si>
    <t>North SomersetCuro Places Limited</t>
  </si>
  <si>
    <t>North SomersetElim Housing Association Limited</t>
  </si>
  <si>
    <t>North SomersetEnglish Rural Housing Association Limited</t>
  </si>
  <si>
    <t>North SomersetHabinteg Housing Association Limited</t>
  </si>
  <si>
    <t>North SomersetHeylo Housing Registered Provider Limited</t>
  </si>
  <si>
    <t>North SomersetHilldale Housing Association Limited</t>
  </si>
  <si>
    <t>North SomersetHome Group Limited</t>
  </si>
  <si>
    <t>North SomersetHousing 21</t>
  </si>
  <si>
    <t>North SomersetLiveWest Homes Limited</t>
  </si>
  <si>
    <t>North SomersetLocking Deanery Housing Society Limited</t>
  </si>
  <si>
    <t>North SomersetMerlin Housing Society Limited</t>
  </si>
  <si>
    <t>North SomersetMethodist Homes Housing Association Limited</t>
  </si>
  <si>
    <t>North SomersetMoat Homes Limited</t>
  </si>
  <si>
    <t>North SomersetNew Foundations Housing Association Limited</t>
  </si>
  <si>
    <t>North SomersetNSAH (Alliance Homes) Limited</t>
  </si>
  <si>
    <t>North SomersetPlaces for People Homes Limited</t>
  </si>
  <si>
    <t>North SomersetPlaces for People Living+ Limited</t>
  </si>
  <si>
    <t>North SomersetRooftop Housing Association Limited</t>
  </si>
  <si>
    <t>North SomersetSalvation Army Housing Association</t>
  </si>
  <si>
    <t>North SomersetSanctuary Housing Association</t>
  </si>
  <si>
    <t>North SomersetSidcot Friends Housing Society Limited</t>
  </si>
  <si>
    <t>North SomersetSouth Western Housing Society Limited</t>
  </si>
  <si>
    <t>North SomersetSovereign Housing Association Limited</t>
  </si>
  <si>
    <t>North SomersetStonewater Limited</t>
  </si>
  <si>
    <t>North SomersetThe Abbeyfield Society</t>
  </si>
  <si>
    <t>North SomersetThe Guinness Partnership Limited</t>
  </si>
  <si>
    <t>North SomersetThe Richmond Fellowship</t>
  </si>
  <si>
    <t>North SomersetWestmoreland Supported Housing Limited</t>
  </si>
  <si>
    <t>North TynesideAnchor Hanover Group</t>
  </si>
  <si>
    <t>North TynesideArpeggio Properties Limited</t>
  </si>
  <si>
    <t>North TynesideBernicia Group</t>
  </si>
  <si>
    <t>North TynesideCastles &amp; Coasts Housing Association Limited</t>
  </si>
  <si>
    <t>North TynesideCreative Support Limited</t>
  </si>
  <si>
    <t>North TynesideDepaul Housing Services</t>
  </si>
  <si>
    <t>North TynesideDimensions (UK) Limited</t>
  </si>
  <si>
    <t>North TynesideGentoo Group Limited</t>
  </si>
  <si>
    <t>North TynesideHabinteg Housing Association Limited</t>
  </si>
  <si>
    <t>North TynesideHellens Residential Limited</t>
  </si>
  <si>
    <t>North TynesideHeylo Housing Registered Provider Limited</t>
  </si>
  <si>
    <t>North TynesideHome Group Limited</t>
  </si>
  <si>
    <t>North TynesideHousing 21</t>
  </si>
  <si>
    <t>North TynesideInclusion Housing Community Interest Company</t>
  </si>
  <si>
    <t>North Tyneside'Johnnie' Johnson Housing Trust Limited</t>
  </si>
  <si>
    <t>North TynesideKarbon Homes Limited</t>
  </si>
  <si>
    <t>North TynesideMetropolitan Housing Trust Limited</t>
  </si>
  <si>
    <t>North TynesideMy Space Housing Solutions</t>
  </si>
  <si>
    <t>North TynesidePlaces for People Homes Limited</t>
  </si>
  <si>
    <t>North TynesidePlaces for People Living+ Limited</t>
  </si>
  <si>
    <t>North TynesideProgress Housing Association Limited</t>
  </si>
  <si>
    <t>North TynesideRailway Housing Association and Benefit Fund</t>
  </si>
  <si>
    <t>North TynesideRed House Farm Housing Co-operative Limited</t>
  </si>
  <si>
    <t>North TynesideReside Housing Association Limited</t>
  </si>
  <si>
    <t>North TynesideSquare Building Trust Limited</t>
  </si>
  <si>
    <t>North TynesideTCUK Homes Limited</t>
  </si>
  <si>
    <t>North TynesideThe Richmond Fellowship</t>
  </si>
  <si>
    <t>North TynesideThe Riverside Group Limited</t>
  </si>
  <si>
    <t>North TynesideThirteen Housing Group Limited</t>
  </si>
  <si>
    <t>North TynesideTurning Point</t>
  </si>
  <si>
    <t>North TynesideTyne Housing Association Limited</t>
  </si>
  <si>
    <t>North TynesideTyne Mariners' Benevolent Institution</t>
  </si>
  <si>
    <t>North TynesideYMCA North Tyneside</t>
  </si>
  <si>
    <t>North WarwickshireAdvance Housing and Support Limited</t>
  </si>
  <si>
    <t>North WarwickshireCitizen Housing Group Limited</t>
  </si>
  <si>
    <t>North WarwickshireDerwent Housing Association Limited</t>
  </si>
  <si>
    <t>North WarwickshireFairplace Homes Ltd</t>
  </si>
  <si>
    <t>North WarwickshireLegal &amp; General Affordable Homes Limited</t>
  </si>
  <si>
    <t>North WarwickshireMidland Heart Limited</t>
  </si>
  <si>
    <t>North WarwickshireOptivo</t>
  </si>
  <si>
    <t>North WarwickshireOrbit Group Limited</t>
  </si>
  <si>
    <t>North WarwickshireParagon Asra Housing Limited</t>
  </si>
  <si>
    <t>North WarwickshirePlatform Housing Limited</t>
  </si>
  <si>
    <t>North WarwickshireStonewater (2) Limited</t>
  </si>
  <si>
    <t>North WarwickshireTrent &amp; Dove Housing Limited</t>
  </si>
  <si>
    <t>North WarwickshireWarwickshire Rural Housing Association Limited</t>
  </si>
  <si>
    <t>North WarwickshireWestmoreland Supported Housing Limited</t>
  </si>
  <si>
    <t>North West LeicestershireAdullam Homes Housing Association Limited</t>
  </si>
  <si>
    <t>North West LeicestershireAdvance Housing and Support Limited</t>
  </si>
  <si>
    <t>North West LeicestershireDerwent Housing Association Limited</t>
  </si>
  <si>
    <t>North West LeicestershireEMH Housing and Regeneration Limited</t>
  </si>
  <si>
    <t>North West LeicestershireEnglish Rural Housing Association Limited</t>
  </si>
  <si>
    <t>North West LeicestershireFarmer and Lemmoin-Cannon Charity</t>
  </si>
  <si>
    <t>North West LeicestershireFunding Affordable Homes Housing Association Limited</t>
  </si>
  <si>
    <t>North West LeicestershireFutures Homescape Limited</t>
  </si>
  <si>
    <t>North West LeicestershireHeylo Housing Registered Provider Limited</t>
  </si>
  <si>
    <t>North West LeicestershireHousing 21</t>
  </si>
  <si>
    <t>North West LeicestershireLonghurst Group Limited</t>
  </si>
  <si>
    <t>North West LeicestershireMidland Heart Limited</t>
  </si>
  <si>
    <t>North West LeicestershireNottingham Community Housing Association Limited</t>
  </si>
  <si>
    <t>North West LeicestershireParagon Asra Housing Limited</t>
  </si>
  <si>
    <t>North West LeicestershirePlatform Housing Limited</t>
  </si>
  <si>
    <t>North West LeicestershireSanctuary Affordable Housing Limited</t>
  </si>
  <si>
    <t>North West LeicestershireSanctuary Housing Association</t>
  </si>
  <si>
    <t>North West LeicestershireThe Exaireo Trust Ltd</t>
  </si>
  <si>
    <t>North West LeicestershireThe Riverside Group Limited</t>
  </si>
  <si>
    <t>North West LeicestershireTrent &amp; Dove Housing Limited</t>
  </si>
  <si>
    <t>NorthumberlandAdvance Housing and Support Limited</t>
  </si>
  <si>
    <t>NorthumberlandAnchor Hanover Group</t>
  </si>
  <si>
    <t>NorthumberlandArpeggio Properties Limited</t>
  </si>
  <si>
    <t>NorthumberlandBen-Motor &amp; Allied Trades Benevolent Fund</t>
  </si>
  <si>
    <t>NorthumberlandBernicia Group</t>
  </si>
  <si>
    <t>NorthumberlandBomarsund Housing Co-operative Limited</t>
  </si>
  <si>
    <t>NorthumberlandCastles &amp; Coasts Housing Association Limited</t>
  </si>
  <si>
    <t>NorthumberlandDimensions (UK) Limited</t>
  </si>
  <si>
    <t xml:space="preserve">NorthumberlandEncircle Housing </t>
  </si>
  <si>
    <t>NorthumberlandGentoo Group Limited</t>
  </si>
  <si>
    <t>NorthumberlandHellens Residential Limited</t>
  </si>
  <si>
    <t>NorthumberlandHeylo Housing Registered Provider Limited</t>
  </si>
  <si>
    <t>NorthumberlandHirst Housing Co-operative Limited</t>
  </si>
  <si>
    <t>NorthumberlandHome Group Limited</t>
  </si>
  <si>
    <t>NorthumberlandHousing 21</t>
  </si>
  <si>
    <t>NorthumberlandInclusion Housing Community Interest Company</t>
  </si>
  <si>
    <t>Northumberland'Johnnie' Johnson Housing Trust Limited</t>
  </si>
  <si>
    <t>NorthumberlandKarbon Homes Limited</t>
  </si>
  <si>
    <t>NorthumberlandMy Space Housing Solutions</t>
  </si>
  <si>
    <t>NorthumberlandPlaces for People Homes Limited</t>
  </si>
  <si>
    <t>NorthumberlandPlaces for People Living+ Limited</t>
  </si>
  <si>
    <t>NorthumberlandRailway Housing Association and Benefit Fund</t>
  </si>
  <si>
    <t>NorthumberlandReside Housing Association Limited</t>
  </si>
  <si>
    <t>NorthumberlandTCUK Homes Limited</t>
  </si>
  <si>
    <t>NorthumberlandThe Abbeyfield Berwick Society Limited</t>
  </si>
  <si>
    <t>NorthumberlandThe Abbeyfield Society</t>
  </si>
  <si>
    <t>NorthumberlandThe Glendale Gateway Trust</t>
  </si>
  <si>
    <t>NorthumberlandThe Hunter Memorial Homes Trust</t>
  </si>
  <si>
    <t>NorthumberlandThe Riverside Group Limited</t>
  </si>
  <si>
    <t>NorthumberlandThirteen Housing Group Limited</t>
  </si>
  <si>
    <t>NorthumberlandTyne Housing Association Limited</t>
  </si>
  <si>
    <t>NorthumberlandWestmoreland Supported Housing Limited</t>
  </si>
  <si>
    <t>NorwichAnchor Hanover Group</t>
  </si>
  <si>
    <t>Norwichbpha Limited</t>
  </si>
  <si>
    <t>NorwichBroadland Housing Association Limited</t>
  </si>
  <si>
    <t>NorwichClarion Housing Association Limited</t>
  </si>
  <si>
    <t>NorwichCo-op Homes (South) Limited</t>
  </si>
  <si>
    <t>NorwichCorton House Limited</t>
  </si>
  <si>
    <t>NorwichCotman Housing Association Limited</t>
  </si>
  <si>
    <t>NorwichDimensions (UK) Limited</t>
  </si>
  <si>
    <t>NorwichFlagship Housing Group Limited</t>
  </si>
  <si>
    <t>NorwichGreat Hospital</t>
  </si>
  <si>
    <t>NorwichHabinteg Housing Association Limited</t>
  </si>
  <si>
    <t>NorwichHome Group Limited</t>
  </si>
  <si>
    <t>NorwichHousing 21</t>
  </si>
  <si>
    <t>NorwichLondon &amp; Quadrant Housing Trust</t>
  </si>
  <si>
    <t>NorwichMetropolitan Housing Trust Limited</t>
  </si>
  <si>
    <t>NorwichMoat Homes Limited</t>
  </si>
  <si>
    <t>NorwichNorwich Consolidated Charities</t>
  </si>
  <si>
    <t>NorwichNorwich Housing Society Limited</t>
  </si>
  <si>
    <t>NorwichOrbit Group Limited</t>
  </si>
  <si>
    <t>NorwichOrwell Housing Association Limited</t>
  </si>
  <si>
    <t>NorwichPlaces for People Homes Limited</t>
  </si>
  <si>
    <t>NorwichReside Housing Association Limited</t>
  </si>
  <si>
    <t>NorwichSaffron Housing Trust Limited</t>
  </si>
  <si>
    <t>NorwichSanctuary Affordable Housing Limited</t>
  </si>
  <si>
    <t>NorwichSouthern Housing Group Limited</t>
  </si>
  <si>
    <t>NorwichStonewater Limited</t>
  </si>
  <si>
    <t>NorwichThe Stuart Court Memorial Charity</t>
  </si>
  <si>
    <t>NorwichYMCA Norfolk</t>
  </si>
  <si>
    <t>NottinghamAccent Housing Limited</t>
  </si>
  <si>
    <t>NottinghamAdvance Housing and Support Limited</t>
  </si>
  <si>
    <t>NottinghamAnchor Hanover Group</t>
  </si>
  <si>
    <t>NottinghamCare Housing Association Limited</t>
  </si>
  <si>
    <t>NottinghamChrysalis Supported Association Limited</t>
  </si>
  <si>
    <t>NottinghamClarion Housing Association Limited</t>
  </si>
  <si>
    <t>NottinghamDerwent Community Housing Association Limited</t>
  </si>
  <si>
    <t>NottinghamDerwent Housing Association Limited</t>
  </si>
  <si>
    <t>NottinghamEMH Housing and Regeneration Limited</t>
  </si>
  <si>
    <t>NottinghamFramework Housing Association</t>
  </si>
  <si>
    <t>NottinghamHeylo Housing Registered Provider Limited</t>
  </si>
  <si>
    <t>NottinghamHilldale Housing Association Limited</t>
  </si>
  <si>
    <t>NottinghamHousing 21</t>
  </si>
  <si>
    <t>NottinghamInclusion Housing Community Interest Company</t>
  </si>
  <si>
    <t>Nottingham'Johnnie' Johnson Housing Trust Limited</t>
  </si>
  <si>
    <t>NottinghamLonghurst Group Limited</t>
  </si>
  <si>
    <t>NottinghamMansfield Road (Nottingham) Baptist Housing Association Limited</t>
  </si>
  <si>
    <t>NottinghamMetropolitan Housing Trust Limited</t>
  </si>
  <si>
    <t>NottinghamMidland Heart Limited</t>
  </si>
  <si>
    <t>NottinghamNACRO</t>
  </si>
  <si>
    <t>NottinghamNottingham City Homes Registered Provider Limited</t>
  </si>
  <si>
    <t>NottinghamNottingham Community Housing Association Limited</t>
  </si>
  <si>
    <t>NottinghamParagon Asra Housing Limited</t>
  </si>
  <si>
    <t>NottinghamPartners Foundation Limited</t>
  </si>
  <si>
    <t>NottinghamPlaces for People Homes Limited</t>
  </si>
  <si>
    <t>NottinghamPlaces for People Living+ Limited</t>
  </si>
  <si>
    <t>NottinghamProgress Housing Association Limited</t>
  </si>
  <si>
    <t>NottinghamSalvation Army Housing Association</t>
  </si>
  <si>
    <t>NottinghamSovereign Housing Association Limited</t>
  </si>
  <si>
    <t>NottinghamStonewater (5) Limited</t>
  </si>
  <si>
    <t>NottinghamStonewater Limited</t>
  </si>
  <si>
    <t>NottinghamThe Abbeyfield Society</t>
  </si>
  <si>
    <t>NottinghamThe Extracare Charitable Trust</t>
  </si>
  <si>
    <t>NottinghamThe Guinness Partnership Limited</t>
  </si>
  <si>
    <t>NottinghamThe Riverside Group Limited</t>
  </si>
  <si>
    <t>NottinghamTuntum Housing Association Limited</t>
  </si>
  <si>
    <t>NottinghamWilliam Henry Hirst Memorial Homes</t>
  </si>
  <si>
    <t>NottinghamWindrush Alliance UK Community Interest Company</t>
  </si>
  <si>
    <t>Nuneaton and BedworthAdvance Housing and Support Limited</t>
  </si>
  <si>
    <t>Nuneaton and BedworthAnchor Hanover Group</t>
  </si>
  <si>
    <t>Nuneaton and BedworthBromford Housing Association Limited</t>
  </si>
  <si>
    <t>Nuneaton and BedworthCitizen Housing Group Limited</t>
  </si>
  <si>
    <t>Nuneaton and BedworthClarion Housing Association Limited</t>
  </si>
  <si>
    <t>Nuneaton and BedworthDerwent Housing Association Limited</t>
  </si>
  <si>
    <t>Nuneaton and BedworthEMH Housing and Regeneration Limited</t>
  </si>
  <si>
    <t>Nuneaton and BedworthFairplace Homes Ltd</t>
  </si>
  <si>
    <t>Nuneaton and BedworthHeylo Housing Registered Provider Limited</t>
  </si>
  <si>
    <t>Nuneaton and BedworthHousing 21</t>
  </si>
  <si>
    <t>Nuneaton and BedworthIKE Supported Housing Limited</t>
  </si>
  <si>
    <t>Nuneaton and BedworthInclusion Housing Community Interest Company</t>
  </si>
  <si>
    <t>Nuneaton and BedworthLonghurst Group Limited</t>
  </si>
  <si>
    <t>Nuneaton and BedworthMethodist Homes Housing Association Limited</t>
  </si>
  <si>
    <t>Nuneaton and BedworthMidland Heart Limited</t>
  </si>
  <si>
    <t>Nuneaton and BedworthOrbit Group Limited</t>
  </si>
  <si>
    <t>Nuneaton and BedworthParagon Asra Housing Limited</t>
  </si>
  <si>
    <t>Nuneaton and BedworthPlaces for People Living+ Limited</t>
  </si>
  <si>
    <t>Nuneaton and BedworthPlatform Housing Limited</t>
  </si>
  <si>
    <t>Nuneaton and BedworthReside Housing Association Limited</t>
  </si>
  <si>
    <t>Nuneaton and BedworthSage Housing Limited</t>
  </si>
  <si>
    <t>Nuneaton and BedworthSanctuary Housing Association</t>
  </si>
  <si>
    <t>Nuneaton and BedworthStonewater (2) Limited</t>
  </si>
  <si>
    <t>Nuneaton and BedworthStonewater Limited</t>
  </si>
  <si>
    <t>Nuneaton and BedworthTrinity Housing Association Limited</t>
  </si>
  <si>
    <t>Nuneaton and BedworthTurning Point</t>
  </si>
  <si>
    <t>Nuneaton and BedworthWestmoreland Supported Housing Limited</t>
  </si>
  <si>
    <t>Oadby and WigstonAdullam Homes Housing Association Limited</t>
  </si>
  <si>
    <t>Oadby and WigstonAdvance Housing and Support Limited</t>
  </si>
  <si>
    <t>Oadby and WigstonAnchor Hanover Group</t>
  </si>
  <si>
    <t>Oadby and WigstonEMH Housing and Regeneration Limited</t>
  </si>
  <si>
    <t>Oadby and WigstonHousing 21</t>
  </si>
  <si>
    <t>Oadby and WigstonLonghurst Group Limited</t>
  </si>
  <si>
    <t>Oadby and WigstonMetropolitan Housing Trust Limited</t>
  </si>
  <si>
    <t>Oadby and WigstonMidland Heart Limited</t>
  </si>
  <si>
    <t>Oadby and WigstonMy Space Housing Solutions</t>
  </si>
  <si>
    <t>Oadby and WigstonNorton Housing and Support Ltd</t>
  </si>
  <si>
    <t>Oadby and WigstonNottingham Community Housing Association Limited</t>
  </si>
  <si>
    <t>Oadby and WigstonParagon Asra Housing Limited</t>
  </si>
  <si>
    <t>Oadby and WigstonPlatform Housing Limited</t>
  </si>
  <si>
    <t>Oadby and WigstonProgress Housing Association Limited</t>
  </si>
  <si>
    <t>Oadby and WigstonStonewater Limited</t>
  </si>
  <si>
    <t>Oadby and WigstonThe Riverside Group Limited</t>
  </si>
  <si>
    <t>Oadby and WigstonTrinity Housing Association Limited</t>
  </si>
  <si>
    <t>OldhamAnchor Hanover Group</t>
  </si>
  <si>
    <t>OldhamArcon Housing Association Limited</t>
  </si>
  <si>
    <t xml:space="preserve">OldhamEncircle Housing </t>
  </si>
  <si>
    <t>OldhamFirst Choice Homes Oldham Limited</t>
  </si>
  <si>
    <t>OldhamForHousing Limited</t>
  </si>
  <si>
    <t>OldhamGreat Places Housing Association</t>
  </si>
  <si>
    <t>OldhamHalo Housing Association Limited</t>
  </si>
  <si>
    <t>OldhamHousing 21</t>
  </si>
  <si>
    <t>OldhamNew Foundations Housing Association Limited</t>
  </si>
  <si>
    <t>OldhamPartners Foundation Limited</t>
  </si>
  <si>
    <t>OldhamPlaces for People Homes Limited</t>
  </si>
  <si>
    <t>OldhamPlaces for People Living+ Limited</t>
  </si>
  <si>
    <t>OldhamRedwing Living Limited</t>
  </si>
  <si>
    <t>OldhamRegenda Limited</t>
  </si>
  <si>
    <t>OldhamThe Guinness Partnership Limited</t>
  </si>
  <si>
    <t>OldhamThe Riverside Group Limited</t>
  </si>
  <si>
    <t>OldhamTurning Point</t>
  </si>
  <si>
    <t>OxfordA2Dominion Homes Limited</t>
  </si>
  <si>
    <t>OxfordA2Dominion South Limited</t>
  </si>
  <si>
    <t>OxfordAdvance Housing and Support Limited</t>
  </si>
  <si>
    <t>OxfordAnchor Hanover Group</t>
  </si>
  <si>
    <t>Oxfordbpha Limited</t>
  </si>
  <si>
    <t>OxfordBromford Housing Association Limited</t>
  </si>
  <si>
    <t>OxfordCatalyst Housing Limited</t>
  </si>
  <si>
    <t>OxfordFrontis Homes Limited</t>
  </si>
  <si>
    <t>OxfordHastoe Housing Association Limited</t>
  </si>
  <si>
    <t>OxfordHome Group Limited</t>
  </si>
  <si>
    <t>OxfordHousing 21</t>
  </si>
  <si>
    <t>OxfordInclusion Housing Community Interest Company</t>
  </si>
  <si>
    <t>OxfordMetropolitan Housing Trust Limited</t>
  </si>
  <si>
    <t>OxfordSoha Housing Limited</t>
  </si>
  <si>
    <t>OxfordSovereign Housing Association Limited</t>
  </si>
  <si>
    <t>OxfordSt Luke's Housing Society Limited</t>
  </si>
  <si>
    <t>OxfordSt Mungo Community Housing Association</t>
  </si>
  <si>
    <t>OxfordThe Riverside Group Limited</t>
  </si>
  <si>
    <t>PendleAccent Housing Limited</t>
  </si>
  <si>
    <t>PendleAnchor Hanover Group</t>
  </si>
  <si>
    <t>PendleArpeggio Properties Limited</t>
  </si>
  <si>
    <t>PendleCalico Homes Limited</t>
  </si>
  <si>
    <t>PendleCare Housing Association Limited</t>
  </si>
  <si>
    <t>PendleEmpower Housing Association Limited</t>
  </si>
  <si>
    <t>PendleGreat Places Housing Association</t>
  </si>
  <si>
    <t>PendleHousing 21</t>
  </si>
  <si>
    <t>PendleInclusion Housing Community Interest Company</t>
  </si>
  <si>
    <t>PendleIrwell Valley Housing Association Limited</t>
  </si>
  <si>
    <t>PendleMosscare St. Vincent's Housing Group Limited</t>
  </si>
  <si>
    <t>PendleMuir Group Housing Association Limited</t>
  </si>
  <si>
    <t>PendleMy Space Housing Solutions</t>
  </si>
  <si>
    <t>PendlePeter Birtwistle Trust</t>
  </si>
  <si>
    <t>PendlePlaces for People Homes Limited</t>
  </si>
  <si>
    <t>PendleProgress Housing Association Limited</t>
  </si>
  <si>
    <t>PendleTogether Housing Association Limited</t>
  </si>
  <si>
    <t>PendleYorkshire Housing Limited</t>
  </si>
  <si>
    <t>PendleYour Housing Limited</t>
  </si>
  <si>
    <t>PeterboroughAccent Housing Limited</t>
  </si>
  <si>
    <t>PeterboroughAnchor Hanover Group</t>
  </si>
  <si>
    <t>Peterboroughbpha Limited</t>
  </si>
  <si>
    <t>PeterboroughChorus Homes Limited</t>
  </si>
  <si>
    <t>PeterboroughChrysalis Supported Association Limited</t>
  </si>
  <si>
    <t>PeterboroughClarion Housing Association Limited</t>
  </si>
  <si>
    <t>PeterboroughCross Keys Homes Limited</t>
  </si>
  <si>
    <t>PeterboroughFirst Priority Housing Association Limited</t>
  </si>
  <si>
    <t>PeterboroughFunding Affordable Homes Housing Association Limited</t>
  </si>
  <si>
    <t>PeterboroughFutures Homescape Limited</t>
  </si>
  <si>
    <t>PeterboroughGrand Union Housing Group Limited</t>
  </si>
  <si>
    <t>PeterboroughHabinteg Housing Association Limited</t>
  </si>
  <si>
    <t>PeterboroughHeylo Housing Registered Provider Limited</t>
  </si>
  <si>
    <t>PeterboroughHome Group Limited</t>
  </si>
  <si>
    <t>PeterboroughHousing 21</t>
  </si>
  <si>
    <t>PeterboroughHundred Houses Society Limited</t>
  </si>
  <si>
    <t>PeterboroughHyde Housing Association Limited</t>
  </si>
  <si>
    <t>PeterboroughInclusion Housing Community Interest Company</t>
  </si>
  <si>
    <t>PeterboroughLonghurst Group Limited</t>
  </si>
  <si>
    <t>PeterboroughMuir Group Housing Association Limited</t>
  </si>
  <si>
    <t>PeterboroughPlaces for People Homes Limited</t>
  </si>
  <si>
    <t>PeterboroughPlaces for People Living+ Limited</t>
  </si>
  <si>
    <t>PeterboroughSaffron Housing Trust Limited</t>
  </si>
  <si>
    <t>PeterboroughThe Guinness Partnership Limited</t>
  </si>
  <si>
    <t>PeterboroughThe Papworth Trust</t>
  </si>
  <si>
    <t>PeterboroughWestmoreland Supported Housing Limited</t>
  </si>
  <si>
    <t>PeterboroughYMCA Trinity Group</t>
  </si>
  <si>
    <t>PlymouthAdvance Housing and Support Limited</t>
  </si>
  <si>
    <t>PlymouthAnchor Hanover Group</t>
  </si>
  <si>
    <t>PlymouthAster Communities</t>
  </si>
  <si>
    <t>PlymouthBournemouth Churches Housing Association Limited</t>
  </si>
  <si>
    <t>PlymouthCatalyst Housing Limited</t>
  </si>
  <si>
    <t>PlymouthClarion Housing Association Limited</t>
  </si>
  <si>
    <t xml:space="preserve">PlymouthEncircle Housing </t>
  </si>
  <si>
    <t>PlymouthHastoe Housing Association Limited</t>
  </si>
  <si>
    <t>PlymouthHeylo Housing Registered Provider Limited</t>
  </si>
  <si>
    <t>PlymouthHome Group Limited</t>
  </si>
  <si>
    <t>PlymouthHousing 21</t>
  </si>
  <si>
    <t>PlymouthLets for Life</t>
  </si>
  <si>
    <t>PlymouthLiveWest Homes Limited</t>
  </si>
  <si>
    <t>PlymouthMoat Homes Limited</t>
  </si>
  <si>
    <t>PlymouthMunicipal Charities</t>
  </si>
  <si>
    <t>PlymouthPlaces for People Homes Limited</t>
  </si>
  <si>
    <t>PlymouthPlymouth Charity Trust</t>
  </si>
  <si>
    <t>PlymouthPlymouth Community Homes Limited</t>
  </si>
  <si>
    <t>PlymouthSalvation Army Housing Association</t>
  </si>
  <si>
    <t>PlymouthSanctuary Affordable Housing Limited</t>
  </si>
  <si>
    <t>PlymouthSanctuary Housing Association</t>
  </si>
  <si>
    <t>PlymouthSovereign Housing Association Limited</t>
  </si>
  <si>
    <t>PlymouthTamar Housing Society Limited</t>
  </si>
  <si>
    <t>PlymouthThe Abbeyfield Society</t>
  </si>
  <si>
    <t>PlymouthThe Guinness Partnership Limited</t>
  </si>
  <si>
    <t>PlymouthWestward Housing Group Limited</t>
  </si>
  <si>
    <t>PortsmouthAdvance Housing and Support Limited</t>
  </si>
  <si>
    <t>PortsmouthAgamemnon Housing Association Limited</t>
  </si>
  <si>
    <t>PortsmouthAnchor Hanover Group</t>
  </si>
  <si>
    <t>PortsmouthBirnbeck Housing Association Limited</t>
  </si>
  <si>
    <t>PortsmouthBournemouth Churches Housing Association Limited</t>
  </si>
  <si>
    <t>PortsmouthClarion Housing Association Limited</t>
  </si>
  <si>
    <t>PortsmouthElm Trees Retirement Living Limited</t>
  </si>
  <si>
    <t>PortsmouthHabinteg Housing Association Limited</t>
  </si>
  <si>
    <t>PortsmouthHavant Housing Association Limited</t>
  </si>
  <si>
    <t>PortsmouthHome Group Limited</t>
  </si>
  <si>
    <t>PortsmouthHousing 21</t>
  </si>
  <si>
    <t>PortsmouthHyde Housing Association Limited</t>
  </si>
  <si>
    <t>PortsmouthMartlet Homes Limited</t>
  </si>
  <si>
    <t>PortsmouthMoat Homes Limited</t>
  </si>
  <si>
    <t>PortsmouthPlaces for People Homes Limited</t>
  </si>
  <si>
    <t>PortsmouthPortsmouth Churches Housing Association Limited</t>
  </si>
  <si>
    <t>PortsmouthPortsmouth Rotary Housing Association Limited</t>
  </si>
  <si>
    <t>PortsmouthSalvation Army Housing Association</t>
  </si>
  <si>
    <t>PortsmouthSanctuary Housing Association</t>
  </si>
  <si>
    <t>PortsmouthSouthern Housing Group Limited</t>
  </si>
  <si>
    <t>PortsmouthSouthsea Self Help Housing Limited</t>
  </si>
  <si>
    <t>PortsmouthSovereign Housing Association Limited</t>
  </si>
  <si>
    <t>PortsmouthStonewater Limited</t>
  </si>
  <si>
    <t>PortsmouthThe Guinness Partnership Limited</t>
  </si>
  <si>
    <t>PortsmouthThe Society of St James</t>
  </si>
  <si>
    <t>PortsmouthThe Swaythling Housing Society Limited</t>
  </si>
  <si>
    <t>PortsmouthTwo Saints Limited</t>
  </si>
  <si>
    <t>PortsmouthVivid Housing Limited</t>
  </si>
  <si>
    <t>PortsmouthWestmoreland Supported Housing Limited</t>
  </si>
  <si>
    <t>PrestonAnchor Hanover Group</t>
  </si>
  <si>
    <t>PrestonArpeggio Properties Limited</t>
  </si>
  <si>
    <t>PrestonAssured Living Housing Association Limited</t>
  </si>
  <si>
    <t>PrestonCare Housing Association Limited</t>
  </si>
  <si>
    <t>PrestonCommunity Gateway Association Limited</t>
  </si>
  <si>
    <t>PrestonCreative Support Limited</t>
  </si>
  <si>
    <t>PrestonEmpower Housing Association Limited</t>
  </si>
  <si>
    <t xml:space="preserve">PrestonEncircle Housing </t>
  </si>
  <si>
    <t>PrestonGreat Places Housing Association</t>
  </si>
  <si>
    <t>PrestonHalo Housing Association Limited</t>
  </si>
  <si>
    <t>PrestonHeylo Housing Registered Provider Limited</t>
  </si>
  <si>
    <t>PrestonHilldale Housing Association Limited</t>
  </si>
  <si>
    <t>PrestonHousing 21</t>
  </si>
  <si>
    <t>PrestonInclusion Housing Community Interest Company</t>
  </si>
  <si>
    <t>PrestonLivv Housing Group</t>
  </si>
  <si>
    <t>PrestonMy Space Housing Solutions</t>
  </si>
  <si>
    <t>PrestonNew Foundations Housing Association Limited</t>
  </si>
  <si>
    <t>PrestonOnward Homes Limited</t>
  </si>
  <si>
    <t>PrestonPhoenix House</t>
  </si>
  <si>
    <t>PrestonPlaces for People Homes Limited</t>
  </si>
  <si>
    <t>PrestonPlaces for People Living+ Limited</t>
  </si>
  <si>
    <t>PrestonProgress Housing Association Limited</t>
  </si>
  <si>
    <t>PrestonSage Housing Limited</t>
  </si>
  <si>
    <t>PrestonSalvation Army Housing Association</t>
  </si>
  <si>
    <t>PrestonTogether Housing Association Limited</t>
  </si>
  <si>
    <t>PrestonYour Housing Limited</t>
  </si>
  <si>
    <t>ReadingA2Dominion Homes Limited</t>
  </si>
  <si>
    <t>ReadingA2Dominion Housing Options Limited</t>
  </si>
  <si>
    <t>ReadingA2Dominion South Limited</t>
  </si>
  <si>
    <t>ReadingAbility Housing Association</t>
  </si>
  <si>
    <t>ReadingAdvance Housing and Support Limited</t>
  </si>
  <si>
    <t>ReadingAnchor Hanover Group</t>
  </si>
  <si>
    <t>ReadingCatalyst Housing Limited</t>
  </si>
  <si>
    <t>ReadingClarion Housing Association Limited</t>
  </si>
  <si>
    <t>ReadingCo-op Homes (South) Limited</t>
  </si>
  <si>
    <t>ReadingCreative Support Limited</t>
  </si>
  <si>
    <t>ReadingFairplace Homes Ltd</t>
  </si>
  <si>
    <t>ReadingHeylo Housing Registered Provider Limited</t>
  </si>
  <si>
    <t>ReadingHome Group Limited</t>
  </si>
  <si>
    <t>ReadingHousing Solutions</t>
  </si>
  <si>
    <t>ReadingLondon &amp; Quadrant Housing Trust</t>
  </si>
  <si>
    <t>ReadingMalins Affordable Homes Limited</t>
  </si>
  <si>
    <t>ReadingMetropolitan Housing Trust Limited</t>
  </si>
  <si>
    <t>ReadingMuir Group Housing Association Limited</t>
  </si>
  <si>
    <t>ReadingNetwork Homes Limited</t>
  </si>
  <si>
    <t>ReadingOne Housing Group Limited</t>
  </si>
  <si>
    <t>ReadingOrts Road Housing Co-operative Limited</t>
  </si>
  <si>
    <t>ReadingParagon Asra Housing Limited</t>
  </si>
  <si>
    <t>ReadingPlaces for People Homes Limited</t>
  </si>
  <si>
    <t>ReadingReading YMCA</t>
  </si>
  <si>
    <t>ReadingSalvation Army Housing Association</t>
  </si>
  <si>
    <t>ReadingSanctuary Housing Association</t>
  </si>
  <si>
    <t>ReadingSoha Housing Limited</t>
  </si>
  <si>
    <t>ReadingSouthern Housing Group Limited</t>
  </si>
  <si>
    <t>ReadingSovereign Housing Association Limited</t>
  </si>
  <si>
    <t>ReadingStonewater Limited</t>
  </si>
  <si>
    <t>ReadingThe Riverside Group Limited</t>
  </si>
  <si>
    <t>ReadingThe Swaythling Housing Society Limited</t>
  </si>
  <si>
    <t>ReadingTrinity Housing Association Limited</t>
  </si>
  <si>
    <t>RedbridgeAdvance Housing and Support Limited</t>
  </si>
  <si>
    <t>RedbridgeAnchor Hanover Group</t>
  </si>
  <si>
    <t>RedbridgeCentrepoint Soho</t>
  </si>
  <si>
    <t>RedbridgeClarion Housing Association Limited</t>
  </si>
  <si>
    <t>RedbridgeEstuary Housing Association Limited</t>
  </si>
  <si>
    <t>RedbridgeForest Housing Association Limited</t>
  </si>
  <si>
    <t>RedbridgeHabinteg Housing Association Limited</t>
  </si>
  <si>
    <t>RedbridgeHeylo Housing Registered Provider Limited</t>
  </si>
  <si>
    <t>RedbridgeHome Group Limited</t>
  </si>
  <si>
    <t>RedbridgeHomesdale (Woodford Baptist Homes) Limited</t>
  </si>
  <si>
    <t>RedbridgeHousing 21</t>
  </si>
  <si>
    <t>RedbridgeLocal Space</t>
  </si>
  <si>
    <t>RedbridgeLondon &amp; Quadrant Housing Trust</t>
  </si>
  <si>
    <t>RedbridgeLook Ahead Care and Support Limited</t>
  </si>
  <si>
    <t>RedbridgeMetropolitan Housing Trust Limited</t>
  </si>
  <si>
    <t>RedbridgeNetwork Homes Limited</t>
  </si>
  <si>
    <t>RedbridgeNewlon Housing Trust</t>
  </si>
  <si>
    <t>RedbridgeNotting Hill Genesis</t>
  </si>
  <si>
    <t>RedbridgeNotting Hill Home Ownership Limited</t>
  </si>
  <si>
    <t>RedbridgeOne Housing Group Limited</t>
  </si>
  <si>
    <t>RedbridgeOrbit Group Limited</t>
  </si>
  <si>
    <t>RedbridgeOrigin Housing Limited</t>
  </si>
  <si>
    <t>RedbridgeParagon Asra Housing Limited</t>
  </si>
  <si>
    <t>RedbridgePeabody Trust</t>
  </si>
  <si>
    <t>RedbridgePlaces for People Homes Limited</t>
  </si>
  <si>
    <t>RedbridgePlaces for People Living+ Limited</t>
  </si>
  <si>
    <t>RedbridgeSanctuary Housing Association</t>
  </si>
  <si>
    <t>RedbridgeShepherds Bush Housing Association Limited</t>
  </si>
  <si>
    <t>RedbridgeSouthern Housing Group Limited</t>
  </si>
  <si>
    <t>RedbridgeSwan Housing Association Limited</t>
  </si>
  <si>
    <t>RedbridgeThe Abbeyfield Society</t>
  </si>
  <si>
    <t>RedbridgeThe Industrial Dwellings Society (1885) Limited</t>
  </si>
  <si>
    <t>RedbridgeThe Riverside Group Limited</t>
  </si>
  <si>
    <t>RedbridgeWeavers' Almshouse Charities</t>
  </si>
  <si>
    <t>Redcar and ClevelandAccent Housing Limited</t>
  </si>
  <si>
    <t>Redcar and ClevelandAnchor Hanover Group</t>
  </si>
  <si>
    <t>Redcar and ClevelandBernicia Group</t>
  </si>
  <si>
    <t>Redcar and ClevelandBeyond Housing Limited</t>
  </si>
  <si>
    <t>Redcar and ClevelandBroadacres Housing Association Limited</t>
  </si>
  <si>
    <t>Redcar and ClevelandCreative Support Limited</t>
  </si>
  <si>
    <t xml:space="preserve">Redcar and ClevelandEncircle Housing </t>
  </si>
  <si>
    <t>Redcar and ClevelandGentoo Group Limited</t>
  </si>
  <si>
    <t>Redcar and ClevelandHeylo Housing Registered Provider Limited</t>
  </si>
  <si>
    <t>Redcar and ClevelandHome Group Limited</t>
  </si>
  <si>
    <t>Redcar and ClevelandKarbon Homes Limited</t>
  </si>
  <si>
    <t>Redcar and ClevelandNorth Star Housing Group</t>
  </si>
  <si>
    <t>Redcar and ClevelandPartners Foundation Limited</t>
  </si>
  <si>
    <t>Redcar and ClevelandPlaces for People Homes Limited</t>
  </si>
  <si>
    <t>Redcar and ClevelandProgress Housing Association Limited</t>
  </si>
  <si>
    <t>Redcar and ClevelandRailway Housing Association and Benefit Fund</t>
  </si>
  <si>
    <t>Redcar and ClevelandReside Housing Association Limited</t>
  </si>
  <si>
    <t>Redcar and ClevelandSir William Turner's Hospital</t>
  </si>
  <si>
    <t>Redcar and ClevelandThe Richmond Fellowship</t>
  </si>
  <si>
    <t>Redcar and ClevelandThe Riverside Group Limited</t>
  </si>
  <si>
    <t>Redcar and ClevelandThirteen Housing Group Limited</t>
  </si>
  <si>
    <t>RedditchAdvance Housing and Support Limited</t>
  </si>
  <si>
    <t>RedditchAnchor Hanover Group</t>
  </si>
  <si>
    <t>RedditchBromford Housing Association Limited</t>
  </si>
  <si>
    <t>RedditchBromsgrove District Housing Trust Limited</t>
  </si>
  <si>
    <t>RedditchCitizen Housing Group Limited</t>
  </si>
  <si>
    <t>RedditchDimensions (UK) Limited</t>
  </si>
  <si>
    <t>RedditchHalo Housing Association Limited</t>
  </si>
  <si>
    <t>RedditchHeylo Housing Registered Provider Limited</t>
  </si>
  <si>
    <t>RedditchHousing 21</t>
  </si>
  <si>
    <t>RedditchInclusion Housing Community Interest Company</t>
  </si>
  <si>
    <t>RedditchMidland Heart Limited</t>
  </si>
  <si>
    <t>RedditchPlatform Housing Limited</t>
  </si>
  <si>
    <t>RedditchRooftop Housing Association Limited</t>
  </si>
  <si>
    <t>RedditchSanctuary Affordable Housing Limited</t>
  </si>
  <si>
    <t>RedditchSanctuary Housing Association</t>
  </si>
  <si>
    <t>RedditchStonewater (2) Limited</t>
  </si>
  <si>
    <t>RedditchTrident Housing Association Limited</t>
  </si>
  <si>
    <t>RedditchWalsall Housing Group Limited</t>
  </si>
  <si>
    <t>RedditchWorcestershire YMCA Limited</t>
  </si>
  <si>
    <t>Reigate and BansteadA2Dominion South Limited</t>
  </si>
  <si>
    <t>Reigate and BansteadAccent Housing Limited</t>
  </si>
  <si>
    <t>Reigate and BansteadAdvance Housing and Support Limited</t>
  </si>
  <si>
    <t>Reigate and BansteadAnchor Hanover Group</t>
  </si>
  <si>
    <t>Reigate and BansteadHeylo Housing Registered Provider Limited</t>
  </si>
  <si>
    <t>Reigate and BansteadHilldale Housing Association Limited</t>
  </si>
  <si>
    <t>Reigate and BansteadHome Group Limited</t>
  </si>
  <si>
    <t>Reigate and BansteadHousing 21</t>
  </si>
  <si>
    <t>Reigate and BansteadHyde Housing Association Limited</t>
  </si>
  <si>
    <t>Reigate and BansteadLondon &amp; Quadrant Housing Trust</t>
  </si>
  <si>
    <t>Reigate and BansteadMetropolitan Housing Trust Limited</t>
  </si>
  <si>
    <t>Reigate and BansteadMoat Homes Limited</t>
  </si>
  <si>
    <t>Reigate and BansteadMount Green Housing Association Limited</t>
  </si>
  <si>
    <t>Reigate and BansteadNotting Hill Home Ownership Limited</t>
  </si>
  <si>
    <t>Reigate and BansteadOptivo</t>
  </si>
  <si>
    <t>Reigate and BansteadOrbit Group Limited</t>
  </si>
  <si>
    <t>Reigate and BansteadRaven Housing Trust Limited</t>
  </si>
  <si>
    <t>Reigate and BansteadReside Housing Association Limited</t>
  </si>
  <si>
    <t>Reigate and BansteadSouthern Housing Group Limited</t>
  </si>
  <si>
    <t>Reigate and BansteadStonewater Limited</t>
  </si>
  <si>
    <t>Reigate and BansteadThe Field Lane Foundation</t>
  </si>
  <si>
    <t>Reigate and BansteadThe Guinness Partnership Limited</t>
  </si>
  <si>
    <t>Reigate and BansteadTransform Housing &amp; Support</t>
  </si>
  <si>
    <t>Reigate and BansteadWestmoreland Supported Housing Limited</t>
  </si>
  <si>
    <t>Reigate and BansteadYMCA East Surrey</t>
  </si>
  <si>
    <t>Ribble ValleyAccent Housing Limited</t>
  </si>
  <si>
    <t>Ribble ValleyCalico Homes Limited</t>
  </si>
  <si>
    <t>Ribble ValleyCare Housing Association Limited</t>
  </si>
  <si>
    <t>Ribble ValleyGreat Places Housing Association</t>
  </si>
  <si>
    <t>Ribble ValleyHeylo Housing Registered Provider Limited</t>
  </si>
  <si>
    <t>Ribble ValleyHousing 21</t>
  </si>
  <si>
    <t>Ribble ValleyMosscare St. Vincent's Housing Group Limited</t>
  </si>
  <si>
    <t>Ribble ValleyMy Space Housing Solutions</t>
  </si>
  <si>
    <t>Ribble ValleyNew Foundations Housing Association Limited</t>
  </si>
  <si>
    <t>Ribble ValleyOnward Homes Limited</t>
  </si>
  <si>
    <t>Ribble ValleyPlaces for People Homes Limited</t>
  </si>
  <si>
    <t>Ribble ValleyPlaces for People Living+ Limited</t>
  </si>
  <si>
    <t>Ribble ValleyProgress Housing Association Limited</t>
  </si>
  <si>
    <t>Ribble ValleyRegenda Limited</t>
  </si>
  <si>
    <t>Ribble ValleySage Housing Limited</t>
  </si>
  <si>
    <t>Ribble ValleySanctuary Housing Association</t>
  </si>
  <si>
    <t>Ribble ValleyTogether Housing Association Limited</t>
  </si>
  <si>
    <t>Ribble ValleyWaddington Hospital</t>
  </si>
  <si>
    <t>Ribble ValleyYour Housing Limited</t>
  </si>
  <si>
    <t>Richmond upon ThamesA2Dominion Homes Limited</t>
  </si>
  <si>
    <t>Richmond upon ThamesA2Dominion South Limited</t>
  </si>
  <si>
    <t>Richmond upon ThamesAnchor Hanover Group</t>
  </si>
  <si>
    <t>Richmond upon ThamesCatalyst Housing Limited</t>
  </si>
  <si>
    <t>Richmond upon ThamesCentral and Cecil Housing Trust</t>
  </si>
  <si>
    <t>Richmond upon ThamesHastoe Housing Association Limited</t>
  </si>
  <si>
    <t>Richmond upon ThamesHome Group Limited</t>
  </si>
  <si>
    <t>Richmond upon ThamesHousing 21</t>
  </si>
  <si>
    <t>Richmond upon ThamesInquilab Housing Association Limited</t>
  </si>
  <si>
    <t>Richmond upon ThamesLondon &amp; Quadrant Housing Trust</t>
  </si>
  <si>
    <t>Richmond upon ThamesLondon Cyrenians Housing Limited</t>
  </si>
  <si>
    <t>Richmond upon ThamesLook Ahead Care and Support Limited</t>
  </si>
  <si>
    <t>Richmond upon ThamesMetropolitan Housing Trust Limited</t>
  </si>
  <si>
    <t>Richmond upon ThamesMount Green Housing Association Limited</t>
  </si>
  <si>
    <t>Richmond upon ThamesNetwork Homes Limited</t>
  </si>
  <si>
    <t>Richmond upon ThamesNotting Hill Genesis</t>
  </si>
  <si>
    <t>Richmond upon ThamesNotting Hill Home Ownership Limited</t>
  </si>
  <si>
    <t>Richmond upon ThamesParagon Asra Housing Limited</t>
  </si>
  <si>
    <t>Richmond upon ThamesPlaces for People Homes Limited</t>
  </si>
  <si>
    <t>Richmond upon ThamesReside Housing Association Limited</t>
  </si>
  <si>
    <t>Richmond upon ThamesRichmond Housing Partnership Limited</t>
  </si>
  <si>
    <t>Richmond upon ThamesShepherds Bush Housing Association Limited</t>
  </si>
  <si>
    <t>Richmond upon ThamesThe Abbeyfield Society</t>
  </si>
  <si>
    <t>Richmond upon ThamesThe Barnes Fund</t>
  </si>
  <si>
    <t>Richmond upon ThamesThe Guinness Partnership Limited</t>
  </si>
  <si>
    <t>Richmond upon ThamesThe Hampton Parochial Charities</t>
  </si>
  <si>
    <t>Richmond upon ThamesThe Sons of Divine Providence</t>
  </si>
  <si>
    <t>RichmondshireAccent Housing Limited</t>
  </si>
  <si>
    <t>RichmondshireAnchor Hanover Group</t>
  </si>
  <si>
    <t>RichmondshireBroadacres Housing Association Limited</t>
  </si>
  <si>
    <t>RichmondshireDimensions (UK) Limited</t>
  </si>
  <si>
    <t>RichmondshireHeylo Housing Registered Provider Limited</t>
  </si>
  <si>
    <t>RichmondshireHome Group Limited</t>
  </si>
  <si>
    <t>RichmondshireHousing 21</t>
  </si>
  <si>
    <t>RichmondshireNorth Star Housing Group</t>
  </si>
  <si>
    <t>RichmondshirePlaces for People Homes Limited</t>
  </si>
  <si>
    <t>RichmondshireSanctuary Housing Association</t>
  </si>
  <si>
    <t>RichmondshireThe Riverside Group Limited</t>
  </si>
  <si>
    <t>RichmondshireThirteen Housing Group Limited</t>
  </si>
  <si>
    <t>RichmondshireTogether Housing Association Limited</t>
  </si>
  <si>
    <t>RochdaleAccent Housing Limited</t>
  </si>
  <si>
    <t>RochdaleAnchor Hanover Group</t>
  </si>
  <si>
    <t>RochdaleArcon Housing Association Limited</t>
  </si>
  <si>
    <t>RochdaleBlue Pits Housing Action</t>
  </si>
  <si>
    <t>RochdaleCare Housing Association Limited</t>
  </si>
  <si>
    <t>RochdaleFalcon Housing Association C.I.C</t>
  </si>
  <si>
    <t>RochdaleFirst Choice Homes Oldham Limited</t>
  </si>
  <si>
    <t>RochdaleGreat Places Housing Association</t>
  </si>
  <si>
    <t>RochdaleHalo Housing Association Limited</t>
  </si>
  <si>
    <t>RochdaleHeylo Housing Registered Provider Limited</t>
  </si>
  <si>
    <t>RochdaleHousing 21</t>
  </si>
  <si>
    <t>RochdaleInclusion Housing Community Interest Company</t>
  </si>
  <si>
    <t>RochdaleJ &amp; M Residential Lettings Limited</t>
  </si>
  <si>
    <t>Rochdale'Johnnie' Johnson Housing Trust Limited</t>
  </si>
  <si>
    <t>RochdaleLangley House Trust</t>
  </si>
  <si>
    <t>RochdaleMosscare St. Vincent's Housing Group Limited</t>
  </si>
  <si>
    <t>RochdaleMy Space Housing Solutions</t>
  </si>
  <si>
    <t>RochdalePartners Foundation Limited</t>
  </si>
  <si>
    <t>RochdalePlaces for People Homes Limited</t>
  </si>
  <si>
    <t>RochdaleProgress Housing Association Limited</t>
  </si>
  <si>
    <t>RochdaleRegenda Limited</t>
  </si>
  <si>
    <t>RochdaleReside Housing Association Limited</t>
  </si>
  <si>
    <t>RochdaleRochdale Boroughwide Housing Limited</t>
  </si>
  <si>
    <t>RochdaleSpotland and Falinge Housing Association Limited</t>
  </si>
  <si>
    <t>RochdaleThe Guinness Partnership Limited</t>
  </si>
  <si>
    <t>RochdaleThe Riverside Group Limited</t>
  </si>
  <si>
    <t>RochdaleTrinity Housing Association Limited</t>
  </si>
  <si>
    <t>RochdaleYour Housing Limited</t>
  </si>
  <si>
    <t>RochfordAdvance Housing and Support Limited</t>
  </si>
  <si>
    <t>RochfordAnchor Hanover Group</t>
  </si>
  <si>
    <t>RochfordChelmer Housing Partnership Limited</t>
  </si>
  <si>
    <t>RochfordClarion Housing Association Limited</t>
  </si>
  <si>
    <t>RochfordEmpower Housing Association Limited</t>
  </si>
  <si>
    <t>RochfordEstuary Housing Association Limited</t>
  </si>
  <si>
    <t>RochfordHabinteg Housing Association Limited</t>
  </si>
  <si>
    <t>RochfordHousing 21</t>
  </si>
  <si>
    <t>RochfordLondon &amp; Quadrant Housing Trust</t>
  </si>
  <si>
    <t>RochfordMoat Homes Limited</t>
  </si>
  <si>
    <t>RochfordNACRO</t>
  </si>
  <si>
    <t>RochfordNotting Hill Genesis</t>
  </si>
  <si>
    <t>RochfordPlaces for People Homes Limited</t>
  </si>
  <si>
    <t>RochfordSanctuary Affordable Housing Limited</t>
  </si>
  <si>
    <t>RochfordSanctuary Housing Association</t>
  </si>
  <si>
    <t>RochfordSouthern Housing Group Limited</t>
  </si>
  <si>
    <t>RochfordSwan Housing Association Limited</t>
  </si>
  <si>
    <t>RossendaleAnchor Hanover Group</t>
  </si>
  <si>
    <t>RossendaleCalico Homes Limited</t>
  </si>
  <si>
    <t>RossendaleCare Housing Association Limited</t>
  </si>
  <si>
    <t>RossendaleConcept Housing Association CIC</t>
  </si>
  <si>
    <t>RossendaleEmpower Housing Association Limited</t>
  </si>
  <si>
    <t>RossendaleGreat Places Housing Association</t>
  </si>
  <si>
    <t>RossendaleHalo Housing Association Limited</t>
  </si>
  <si>
    <t>RossendaleHousing 21</t>
  </si>
  <si>
    <t>RossendaleIrwell Valley Housing Association Limited</t>
  </si>
  <si>
    <t>RossendaleLangley House Trust</t>
  </si>
  <si>
    <t>RossendaleMosscare St. Vincent's Housing Group Limited</t>
  </si>
  <si>
    <t>RossendaleMy Space Housing Solutions</t>
  </si>
  <si>
    <t>RossendaleNew Foundations Housing Association Limited</t>
  </si>
  <si>
    <t>RossendaleOnward Homes Limited</t>
  </si>
  <si>
    <t>RossendalePartners Foundation Limited</t>
  </si>
  <si>
    <t>RossendalePlaces for People Homes Limited</t>
  </si>
  <si>
    <t>RossendalePlaces for People Living+ Limited</t>
  </si>
  <si>
    <t>RossendaleProgress Housing Association Limited</t>
  </si>
  <si>
    <t>RossendaleRegenda Limited</t>
  </si>
  <si>
    <t>RossendaleThe Guinness Partnership Limited</t>
  </si>
  <si>
    <t>RossendaleTogether Housing Association Limited</t>
  </si>
  <si>
    <t>RossendaleYour Housing Limited</t>
  </si>
  <si>
    <t>RotherAbility Housing Association</t>
  </si>
  <si>
    <t>RotherClarion Housing Association Limited</t>
  </si>
  <si>
    <t>RotherEnglish Rural Housing Association Limited</t>
  </si>
  <si>
    <t>RotherFive Villages Home Association Limited</t>
  </si>
  <si>
    <t>RotherHastoe Housing Association Limited</t>
  </si>
  <si>
    <t>RotherHeylo Housing Registered Provider Limited</t>
  </si>
  <si>
    <t>RotherHome Group Limited</t>
  </si>
  <si>
    <t>RotherHousing 21</t>
  </si>
  <si>
    <t>RotherMoat Homes Limited</t>
  </si>
  <si>
    <t>RotherOptivo</t>
  </si>
  <si>
    <t>RotherOrbit Group Limited</t>
  </si>
  <si>
    <t>RotherSanctuary Housing Association</t>
  </si>
  <si>
    <t>RotherSaxon Weald</t>
  </si>
  <si>
    <t>RotherSouthern Housing Group Limited</t>
  </si>
  <si>
    <t>RotherStonewater Limited</t>
  </si>
  <si>
    <t>RotherSussex Housing &amp; Care</t>
  </si>
  <si>
    <t>RotherhamAcis Group Limited</t>
  </si>
  <si>
    <t>RotherhamAction Housing and Support Limited</t>
  </si>
  <si>
    <t>RotherhamAlliance Housing Association (South Yorkshire) Limited</t>
  </si>
  <si>
    <t>RotherhamAnchor Hanover Group</t>
  </si>
  <si>
    <t>RotherhamArches Housing Limited</t>
  </si>
  <si>
    <t>RotherhamGreat Places Housing Association</t>
  </si>
  <si>
    <t>RotherhamHabinteg Housing Association Limited</t>
  </si>
  <si>
    <t>RotherhamHousing 21</t>
  </si>
  <si>
    <t>Rotherham'Johnnie' Johnson Housing Trust Limited</t>
  </si>
  <si>
    <t>RotherhamMy Space Housing Solutions</t>
  </si>
  <si>
    <t>RotherhamPartners Foundation Limited</t>
  </si>
  <si>
    <t>RotherhamPlaces for People Homes Limited</t>
  </si>
  <si>
    <t>RotherhamPlaces for People Living+ Limited</t>
  </si>
  <si>
    <t>RotherhamProgress Housing Association Limited</t>
  </si>
  <si>
    <t>RotherhamSalvation Army Housing Association</t>
  </si>
  <si>
    <t>RotherhamSanctuary Housing Association</t>
  </si>
  <si>
    <t>RotherhamSouth Yorkshire Housing Association Limited</t>
  </si>
  <si>
    <t>RotherhamStonewater (2) Limited</t>
  </si>
  <si>
    <t>RotherhamTarget Housing Limited</t>
  </si>
  <si>
    <t>RotherhamThe Guinness Partnership Limited</t>
  </si>
  <si>
    <t>RotherhamTogether Housing Association Limited</t>
  </si>
  <si>
    <t>RotherhamWakefield And District Housing Limited</t>
  </si>
  <si>
    <t>RotherhamYorkshire Housing Limited</t>
  </si>
  <si>
    <t>RugbyAdvance Housing and Support Limited</t>
  </si>
  <si>
    <t>RugbyAnchor Hanover Group</t>
  </si>
  <si>
    <t>RugbyBen-Motor &amp; Allied Trades Benevolent Fund</t>
  </si>
  <si>
    <t>RugbyBromford Housing Association Limited</t>
  </si>
  <si>
    <t>RugbyButlin and Elborow Housing Trust</t>
  </si>
  <si>
    <t>RugbyCitizen Housing Group Limited</t>
  </si>
  <si>
    <t>RugbyClarion Housing Association Limited</t>
  </si>
  <si>
    <t xml:space="preserve">RugbyClifton Parish Houses </t>
  </si>
  <si>
    <t>RugbyCreative Support Limited</t>
  </si>
  <si>
    <t>RugbyDerwent Housing Association Limited</t>
  </si>
  <si>
    <t>RugbyHeylo Housing Registered Provider Limited</t>
  </si>
  <si>
    <t>RugbyHousing 21</t>
  </si>
  <si>
    <t>RugbyLonghurst Group Limited</t>
  </si>
  <si>
    <t>RugbyMidland Heart Limited</t>
  </si>
  <si>
    <t>RugbyOrbit Group Limited</t>
  </si>
  <si>
    <t>RugbyParagon Asra Housing Limited</t>
  </si>
  <si>
    <t>RugbyPlatform Housing Limited</t>
  </si>
  <si>
    <t>RugbySage Housing Limited</t>
  </si>
  <si>
    <t>RugbySanctuary Affordable Housing Limited</t>
  </si>
  <si>
    <t>RugbySanctuary Housing Association</t>
  </si>
  <si>
    <t>RugbyStonewater (2) Limited</t>
  </si>
  <si>
    <t>RugbyThe Guinness Partnership Limited</t>
  </si>
  <si>
    <t>RugbyThe Riverside Group Limited</t>
  </si>
  <si>
    <t>RugbyWarwickshire Rural Housing Association Limited</t>
  </si>
  <si>
    <t>RunnymedeA2Dominion Homes Limited</t>
  </si>
  <si>
    <t>RunnymedeA2Dominion South Limited</t>
  </si>
  <si>
    <t>RunnymedeAccent Housing Limited</t>
  </si>
  <si>
    <t>RunnymedeAdvance Housing and Support Limited</t>
  </si>
  <si>
    <t>RunnymedeAnchor Hanover Group</t>
  </si>
  <si>
    <t>RunnymedeCatalyst Housing Limited</t>
  </si>
  <si>
    <t>RunnymedeHousing 21</t>
  </si>
  <si>
    <t>RunnymedeLondon &amp; Quadrant Housing Trust</t>
  </si>
  <si>
    <t>RunnymedeMetropolitan Housing Trust Limited</t>
  </si>
  <si>
    <t>RunnymedeMount Green Housing Association Limited</t>
  </si>
  <si>
    <t>RunnymedeNotting Hill Home Ownership Limited</t>
  </si>
  <si>
    <t>RunnymedeOptivo</t>
  </si>
  <si>
    <t>RunnymedeParagon Asra Housing Limited</t>
  </si>
  <si>
    <t>RunnymedeRosebery Housing Association Limited</t>
  </si>
  <si>
    <t>RunnymedeRosemary Simmons Memorial Housing Association Limited</t>
  </si>
  <si>
    <t>RunnymedeSouthern Housing Group Limited</t>
  </si>
  <si>
    <t>RunnymedeStewart's and Budgen's Almshouses</t>
  </si>
  <si>
    <t>RunnymedeThe Riverside Group Limited</t>
  </si>
  <si>
    <t>RunnymedeTransform Housing &amp; Support</t>
  </si>
  <si>
    <t>RunnymedeVivid Housing Limited</t>
  </si>
  <si>
    <t>RushcliffeAccent Housing Limited</t>
  </si>
  <si>
    <t>RushcliffeAcis Group Limited</t>
  </si>
  <si>
    <t>RushcliffeAdvance Housing and Support Limited</t>
  </si>
  <si>
    <t>RushcliffeAnchor Hanover Group</t>
  </si>
  <si>
    <t>RushcliffeDerwent Housing Association Limited</t>
  </si>
  <si>
    <t>RushcliffeEMH Housing and Regeneration Limited</t>
  </si>
  <si>
    <t>RushcliffeEnglish Rural Housing Association Limited</t>
  </si>
  <si>
    <t>RushcliffeFramework Housing Association</t>
  </si>
  <si>
    <t>RushcliffeHeylo Housing Registered Provider Limited</t>
  </si>
  <si>
    <t>RushcliffeInclusion Housing Community Interest Company</t>
  </si>
  <si>
    <t>RushcliffeJigsaw Homes Midlands</t>
  </si>
  <si>
    <t>RushcliffeLonghurst Group Limited</t>
  </si>
  <si>
    <t>RushcliffeMetropolitan Housing Trust Limited</t>
  </si>
  <si>
    <t>RushcliffeNottingham Community Housing Association Limited</t>
  </si>
  <si>
    <t>RushcliffeParagon Asra Housing Limited</t>
  </si>
  <si>
    <t>RushcliffePlaces for People Homes Limited</t>
  </si>
  <si>
    <t>RushcliffePlatform Housing Limited</t>
  </si>
  <si>
    <t>RushcliffeProgress Housing Association Limited</t>
  </si>
  <si>
    <t>RushcliffeSage Housing Limited</t>
  </si>
  <si>
    <t>RushcliffeStonewater Limited</t>
  </si>
  <si>
    <t>RushcliffeThe Riverside Group Limited</t>
  </si>
  <si>
    <t>RushcliffeTuntum Housing Association Limited</t>
  </si>
  <si>
    <t>RushcliffeWestmoreland Supported Housing Limited</t>
  </si>
  <si>
    <t>RushmoorA2Dominion South Limited</t>
  </si>
  <si>
    <t>RushmoorAccent Housing Limited</t>
  </si>
  <si>
    <t>RushmoorAdvance Housing and Support Limited</t>
  </si>
  <si>
    <t>RushmoorAnchor Hanover Group</t>
  </si>
  <si>
    <t>RushmoorCatalyst Housing Limited</t>
  </si>
  <si>
    <t>RushmoorElles Housing Co-operative Limited</t>
  </si>
  <si>
    <t>RushmoorGrainger Trust Limited</t>
  </si>
  <si>
    <t>RushmoorHome Group Limited</t>
  </si>
  <si>
    <t>RushmoorHousing 21</t>
  </si>
  <si>
    <t>RushmoorLondon &amp; Quadrant Housing Trust</t>
  </si>
  <si>
    <t>RushmoorMetropolitan Housing Trust Limited</t>
  </si>
  <si>
    <t>RushmoorMoat Homes Limited</t>
  </si>
  <si>
    <t>RushmoorNotting Hill Home Ownership Limited</t>
  </si>
  <si>
    <t>RushmoorOmega Housing Limited</t>
  </si>
  <si>
    <t>RushmoorPlexus UK (First Project) Limited</t>
  </si>
  <si>
    <t>RushmoorReside Housing Association Limited</t>
  </si>
  <si>
    <t>RushmoorSanctuary Housing Association</t>
  </si>
  <si>
    <t>RushmoorSouthern Housing Group Limited</t>
  </si>
  <si>
    <t>RushmoorSovereign Housing Association Limited</t>
  </si>
  <si>
    <t>RushmoorStonewater Limited</t>
  </si>
  <si>
    <t>RushmoorSynergy Housing Limited</t>
  </si>
  <si>
    <t>RushmoorThe Riverside Group Limited</t>
  </si>
  <si>
    <t>RushmoorThe Society of St James</t>
  </si>
  <si>
    <t>RushmoorThe Swaythling Housing Society Limited</t>
  </si>
  <si>
    <t>RushmoorVivid Housing Limited</t>
  </si>
  <si>
    <t>RutlandAccent Housing Limited</t>
  </si>
  <si>
    <t>RutlandAdvance Housing and Support Limited</t>
  </si>
  <si>
    <t>RutlandCross Keys Homes Limited</t>
  </si>
  <si>
    <t>RutlandEMH Housing and Regeneration Limited</t>
  </si>
  <si>
    <t>RutlandLincolnshire Rural Housing Association Limited</t>
  </si>
  <si>
    <t>RutlandLonghurst Group Limited</t>
  </si>
  <si>
    <t>RutlandNottingham Community Housing Association Limited</t>
  </si>
  <si>
    <t>RutlandParagon Asra Housing Limited</t>
  </si>
  <si>
    <t>RutlandPlatform Housing Limited</t>
  </si>
  <si>
    <t>RutlandProgress Housing Association Limited</t>
  </si>
  <si>
    <t>RutlandStonewater Limited</t>
  </si>
  <si>
    <t>RutlandThe Hospital of St John &amp; of St Anne in Okeham</t>
  </si>
  <si>
    <t>RyedaleBlackburn YMCA</t>
  </si>
  <si>
    <t>RyedaleBroadacres Housing Association Limited</t>
  </si>
  <si>
    <t>RyedaleHeylo Housing Registered Provider Limited</t>
  </si>
  <si>
    <t>RyedaleHome Group Limited</t>
  </si>
  <si>
    <t>RyedaleHousing 21</t>
  </si>
  <si>
    <t>RyedaleInclusion Housing Community Interest Company</t>
  </si>
  <si>
    <t>RyedaleJoseph Rowntree Housing Trust</t>
  </si>
  <si>
    <t>RyedaleKarbon Homes Limited</t>
  </si>
  <si>
    <t>RyedaleLady Lumley's Almshouses</t>
  </si>
  <si>
    <t>RyedaleNorth Star Housing Group</t>
  </si>
  <si>
    <t>RyedaleRailway Housing Association and Benefit Fund</t>
  </si>
  <si>
    <t>RyedaleSanctuary Housing Association</t>
  </si>
  <si>
    <t>RyedaleThirteen Housing Group Limited</t>
  </si>
  <si>
    <t>RyedaleTogether Housing Association Limited</t>
  </si>
  <si>
    <t>RyedaleYork Housing Association Limited</t>
  </si>
  <si>
    <t>RyedaleYorkshire Housing Limited</t>
  </si>
  <si>
    <t>SalfordAdullam Homes Housing Association Limited</t>
  </si>
  <si>
    <t>SalfordAgudas Israel Housing Association Limited</t>
  </si>
  <si>
    <t>SalfordAnchor Hanover Group</t>
  </si>
  <si>
    <t>SalfordArcon Housing Association Limited</t>
  </si>
  <si>
    <t>SalfordClarion Housing Association Limited</t>
  </si>
  <si>
    <t>SalfordCreative Support Limited</t>
  </si>
  <si>
    <t>SalfordEmpower Housing Association Limited</t>
  </si>
  <si>
    <t>SalfordForHousing Limited</t>
  </si>
  <si>
    <t>SalfordGreat Places Housing Association</t>
  </si>
  <si>
    <t>SalfordHousing 21</t>
  </si>
  <si>
    <t>SalfordHumphrey Booth Housing Charity</t>
  </si>
  <si>
    <t>SalfordIrwell Valley Housing Association Limited</t>
  </si>
  <si>
    <t>SalfordManchester Jewish Housing Association</t>
  </si>
  <si>
    <t>SalfordMosscare St. Vincent's Housing Group Limited</t>
  </si>
  <si>
    <t>SalfordMy Space Housing Solutions</t>
  </si>
  <si>
    <t>SalfordPlaces for People Homes Limited</t>
  </si>
  <si>
    <t>SalfordPlaces for People Living+ Limited</t>
  </si>
  <si>
    <t>SalfordProgress Housing Association Limited</t>
  </si>
  <si>
    <t>SalfordProject 34</t>
  </si>
  <si>
    <t>SalfordRegenda Limited</t>
  </si>
  <si>
    <t>SalfordRetail Trust</t>
  </si>
  <si>
    <t>SalfordSalix Homes Limited</t>
  </si>
  <si>
    <t>SalfordSalvation Army Housing Association</t>
  </si>
  <si>
    <t>SalfordSanctuary Housing Association</t>
  </si>
  <si>
    <t>SalfordThe Abbeyfield Society</t>
  </si>
  <si>
    <t>SalfordThe Guinness Partnership Limited</t>
  </si>
  <si>
    <t>SalfordThe Riverside Group Limited</t>
  </si>
  <si>
    <t>SalfordTHT and L&amp;Q Community Limited</t>
  </si>
  <si>
    <t>SalfordTogether Housing Association Limited</t>
  </si>
  <si>
    <t>SalfordTrinity Housing Association Limited</t>
  </si>
  <si>
    <t>SalfordYour Housing Limited</t>
  </si>
  <si>
    <t>SandwellAdullam Homes Housing Association Limited</t>
  </si>
  <si>
    <t>SandwellAdvance Housing and Support Limited</t>
  </si>
  <si>
    <t>SandwellAnchor Hanover Group</t>
  </si>
  <si>
    <t>SandwellBlack Country Housing Group Limited</t>
  </si>
  <si>
    <t>SandwellBromford Housing Association Limited</t>
  </si>
  <si>
    <t>SandwellCitizen Housing Group Limited</t>
  </si>
  <si>
    <t>SandwellClarion Housing Association Limited</t>
  </si>
  <si>
    <t xml:space="preserve">SandwellEncircle Housing </t>
  </si>
  <si>
    <t>SandwellHabinteg Housing Association Limited</t>
  </si>
  <si>
    <t>SandwellHeylo Housing Registered Provider Limited</t>
  </si>
  <si>
    <t>SandwellHousing 21</t>
  </si>
  <si>
    <t>SandwellInclusion Housing Community Interest Company</t>
  </si>
  <si>
    <t>SandwellLyng Community Association</t>
  </si>
  <si>
    <t>SandwellMidland Heart Limited</t>
  </si>
  <si>
    <t>SandwellNehemiah United Churches Housing Association Limited</t>
  </si>
  <si>
    <t>SandwellOptivo</t>
  </si>
  <si>
    <t>SandwellPlaces for People Homes Limited</t>
  </si>
  <si>
    <t>SandwellPlatform Housing Limited</t>
  </si>
  <si>
    <t>SandwellSanctuary Housing Association</t>
  </si>
  <si>
    <t>SandwellSandwell Homeless and Resettlement Project Limited</t>
  </si>
  <si>
    <t>SandwellStonewater (2) Limited</t>
  </si>
  <si>
    <t>SandwellThe Harborne Parish Lands Charity</t>
  </si>
  <si>
    <t>SandwellThe Riverside Group Limited</t>
  </si>
  <si>
    <t>SandwellTrident Housing Association Limited</t>
  </si>
  <si>
    <t>SandwellTrinity Housing Association Limited</t>
  </si>
  <si>
    <t>SandwellWalsall Housing Group Limited</t>
  </si>
  <si>
    <t>SandwellYMCA Black Country Group</t>
  </si>
  <si>
    <t>ScarboroughAccent Housing Limited</t>
  </si>
  <si>
    <t>ScarboroughAnchor Hanover Group</t>
  </si>
  <si>
    <t>ScarboroughBeyond Housing Limited</t>
  </si>
  <si>
    <t>ScarboroughBroadacres Housing Association Limited</t>
  </si>
  <si>
    <t>ScarboroughChrysalis Supported Association Limited</t>
  </si>
  <si>
    <t>ScarboroughDimensions (UK) Limited</t>
  </si>
  <si>
    <t>ScarboroughEMH Housing and Regeneration Limited</t>
  </si>
  <si>
    <t>ScarboroughFoundation</t>
  </si>
  <si>
    <t>ScarboroughFrontis Homes Limited</t>
  </si>
  <si>
    <t>ScarboroughHeylo Housing Registered Provider Limited</t>
  </si>
  <si>
    <t>ScarboroughHilldale Housing Association Limited</t>
  </si>
  <si>
    <t>ScarboroughHome Group Limited</t>
  </si>
  <si>
    <t>ScarboroughHumankind Charity</t>
  </si>
  <si>
    <t>ScarboroughJoseph Rowntree Housing Trust</t>
  </si>
  <si>
    <t>ScarboroughLeeds and Yorkshire Housing Association Limited</t>
  </si>
  <si>
    <t>ScarboroughMy Space Housing Solutions</t>
  </si>
  <si>
    <t>ScarboroughPlaces for People Homes Limited</t>
  </si>
  <si>
    <t>ScarboroughRailway Housing Association and Benefit Fund</t>
  </si>
  <si>
    <t>ScarboroughSanctuary Affordable Housing Limited</t>
  </si>
  <si>
    <t>ScarboroughSanctuary Housing Association</t>
  </si>
  <si>
    <t>ScarboroughThe Abbeyfield Society</t>
  </si>
  <si>
    <t>ScarboroughThe Riverside Group Limited</t>
  </si>
  <si>
    <t>ScarboroughThirteen Housing Group Limited</t>
  </si>
  <si>
    <t>ScarboroughTogether Housing Association Limited</t>
  </si>
  <si>
    <t>ScarboroughWhitby Merchant Seamen's Hospital Houses</t>
  </si>
  <si>
    <t>ScarboroughYork Housing Association Limited</t>
  </si>
  <si>
    <t>ScarboroughYorkshire Housing Limited</t>
  </si>
  <si>
    <t>SedgemoorAdvance Housing and Support Limited</t>
  </si>
  <si>
    <t>SedgemoorAnchor Hanover Group</t>
  </si>
  <si>
    <t>SedgemoorAster Communities</t>
  </si>
  <si>
    <t>SedgemoorCooke's Almshouse Charity</t>
  </si>
  <si>
    <t>SedgemoorFalcon Rural Housing Limited</t>
  </si>
  <si>
    <t>SedgemoorHabinteg Housing Association Limited</t>
  </si>
  <si>
    <t>SedgemoorHastoe Housing Association Limited</t>
  </si>
  <si>
    <t>SedgemoorHousing 21</t>
  </si>
  <si>
    <t>SedgemoorLiveWest Homes Limited</t>
  </si>
  <si>
    <t>SedgemoorMagna Housing Limited</t>
  </si>
  <si>
    <t>SedgemoorMoat Homes Limited</t>
  </si>
  <si>
    <t>SedgemoorParasol Homes Limited</t>
  </si>
  <si>
    <t>SedgemoorReside Housing Association Limited</t>
  </si>
  <si>
    <t>SedgemoorSanctuary Housing Association</t>
  </si>
  <si>
    <t>SedgemoorSHAL Housing Limited</t>
  </si>
  <si>
    <t>SedgemoorSouth Western Housing Society Limited</t>
  </si>
  <si>
    <t>SedgemoorSovereign Housing Association Limited</t>
  </si>
  <si>
    <t>SedgemoorStonewater (2) Limited</t>
  </si>
  <si>
    <t>SedgemoorStonewater Limited</t>
  </si>
  <si>
    <t>SedgemoorSynergy Housing Limited</t>
  </si>
  <si>
    <t>SedgemoorTamar Housing Society Limited</t>
  </si>
  <si>
    <t>SedgemoorThe Guinness Partnership Limited</t>
  </si>
  <si>
    <t>SedgemoorWestmoreland Supported Housing Limited</t>
  </si>
  <si>
    <t>SeftonAnchor Hanover Group</t>
  </si>
  <si>
    <t>SeftonBirkenhead Forum Housing Association Limited</t>
  </si>
  <si>
    <t>SeftonBlue Square Residential Ltd</t>
  </si>
  <si>
    <t>SeftonCrosby Housing Association Limited</t>
  </si>
  <si>
    <t>SeftonExcel Housing Solutions</t>
  </si>
  <si>
    <t>SeftonFirst Priority Housing Association Limited</t>
  </si>
  <si>
    <t>SeftonHabinteg Housing Association Limited</t>
  </si>
  <si>
    <t>SeftonHalo Housing Association Limited</t>
  </si>
  <si>
    <t>SeftonHarbour Light Assisted Living CIC</t>
  </si>
  <si>
    <t>SeftonHilldale Housing Association Limited</t>
  </si>
  <si>
    <t>SeftonHousing 21</t>
  </si>
  <si>
    <t>SeftonHumankind Charity</t>
  </si>
  <si>
    <t>SeftonLiverpool Gingerbread Housing Co-operative Limited</t>
  </si>
  <si>
    <t>SeftonMy Space Housing Solutions</t>
  </si>
  <si>
    <t>SeftonOne Vision Housing Limited</t>
  </si>
  <si>
    <t>SeftonOnward Homes Limited</t>
  </si>
  <si>
    <t>SeftonPlaces for People Homes Limited</t>
  </si>
  <si>
    <t>SeftonPlus Dane Housing Limited</t>
  </si>
  <si>
    <t>SeftonProgress Housing Association Limited</t>
  </si>
  <si>
    <t>SeftonRedwing Living Limited</t>
  </si>
  <si>
    <t>SeftonRegenda Limited</t>
  </si>
  <si>
    <t>SeftonSanctuary Housing Association</t>
  </si>
  <si>
    <t>SeftonThe Abbeyfield Society</t>
  </si>
  <si>
    <t>SeftonThe Riverside Group Limited</t>
  </si>
  <si>
    <t>SeftonTorus62 Limited</t>
  </si>
  <si>
    <t>SeftonTrinity Housing Association Limited</t>
  </si>
  <si>
    <t>SeftonYour Housing Limited</t>
  </si>
  <si>
    <t>SelbyAccent Housing Limited</t>
  </si>
  <si>
    <t>SelbyAnchor Hanover Group</t>
  </si>
  <si>
    <t>SelbyBroadacres Housing Association Limited</t>
  </si>
  <si>
    <t>SelbyHeylo Housing Registered Provider Limited</t>
  </si>
  <si>
    <t>SelbyHome Group Limited</t>
  </si>
  <si>
    <t>SelbyJoseph Rowntree Housing Trust</t>
  </si>
  <si>
    <t>SelbyKarbon Homes Limited</t>
  </si>
  <si>
    <t>SelbyLeeds Federated Housing Association Limited</t>
  </si>
  <si>
    <t>SelbyPlaces for People Homes Limited</t>
  </si>
  <si>
    <t>SelbyProgress Housing Association Limited</t>
  </si>
  <si>
    <t>SelbyRailway Housing Association and Benefit Fund</t>
  </si>
  <si>
    <t>SelbySage Housing Limited</t>
  </si>
  <si>
    <t>SelbySouth Yorkshire Housing Association Limited</t>
  </si>
  <si>
    <t>SelbyStonewater (2) Limited</t>
  </si>
  <si>
    <t>SelbyThe Guinness Partnership Limited</t>
  </si>
  <si>
    <t>SelbyThe Hospital of Reverend William James</t>
  </si>
  <si>
    <t>SelbyTogether Housing Association Limited</t>
  </si>
  <si>
    <t>SelbyWakefield And District Housing Limited</t>
  </si>
  <si>
    <t>SelbyYork Housing Association Limited</t>
  </si>
  <si>
    <t>SelbyYorkshire Housing Limited</t>
  </si>
  <si>
    <t>SelbyYour Housing Limited</t>
  </si>
  <si>
    <t>SevenoaksAdvance Housing and Support Limited</t>
  </si>
  <si>
    <t>SevenoaksAnchor Hanover Group</t>
  </si>
  <si>
    <t>SevenoaksBecket Trust Housing Association Limited</t>
  </si>
  <si>
    <t>SevenoaksDimensions (UK) Limited</t>
  </si>
  <si>
    <t>SevenoaksEnglish Rural Housing Association Limited</t>
  </si>
  <si>
    <t>SevenoaksGolding Homes Limited</t>
  </si>
  <si>
    <t>SevenoaksGrand Union Housing Group Limited</t>
  </si>
  <si>
    <t>SevenoaksHeylo Housing Registered Provider Limited</t>
  </si>
  <si>
    <t>SevenoaksHyde Housing Association Limited</t>
  </si>
  <si>
    <t>SevenoaksLondon &amp; Quadrant Housing Trust</t>
  </si>
  <si>
    <t>SevenoaksMetropolitan Housing Trust Limited</t>
  </si>
  <si>
    <t>SevenoaksMoat Homes Limited</t>
  </si>
  <si>
    <t>SevenoaksOne Housing Group Limited</t>
  </si>
  <si>
    <t>SevenoaksOptivo</t>
  </si>
  <si>
    <t>SevenoaksOrbit Group Limited</t>
  </si>
  <si>
    <t>SevenoaksPlaces for People Homes Limited</t>
  </si>
  <si>
    <t>SevenoaksRadcliffe Housing Society Limited</t>
  </si>
  <si>
    <t>SevenoaksRockdale Housing Association Limited</t>
  </si>
  <si>
    <t>SevenoaksSouthern Housing Group Limited</t>
  </si>
  <si>
    <t>SevenoaksThe Richmond Fellowship</t>
  </si>
  <si>
    <t>SevenoaksTown and Country Housing</t>
  </si>
  <si>
    <t>SevenoaksWest Kent Housing Association</t>
  </si>
  <si>
    <t>SheffieldAcis Group Limited</t>
  </si>
  <si>
    <t>SheffieldAction Housing and Support Limited</t>
  </si>
  <si>
    <t>SheffieldAdvance Housing and Support Limited</t>
  </si>
  <si>
    <t>SheffieldAlliance Housing Association (South Yorkshire) Limited</t>
  </si>
  <si>
    <t>SheffieldAlmshouse Charity of Hannah Rawson</t>
  </si>
  <si>
    <t>SheffieldAlpha (R.S.L.) Limited</t>
  </si>
  <si>
    <t>SheffieldAnchor Hanover Group</t>
  </si>
  <si>
    <t>SheffieldArches Housing Limited</t>
  </si>
  <si>
    <t>Sheffieldbpha Limited</t>
  </si>
  <si>
    <t>SheffieldClarion Housing Association Limited</t>
  </si>
  <si>
    <t>SheffieldDerwent Housing Association Limited</t>
  </si>
  <si>
    <t>SheffieldDimensions (UK) Limited</t>
  </si>
  <si>
    <t>SheffieldEMH Housing and Regeneration Limited</t>
  </si>
  <si>
    <t>SheffieldGreat Places Housing Association</t>
  </si>
  <si>
    <t>SheffieldHalo Housing Association Limited</t>
  </si>
  <si>
    <t>SheffieldHome Group Limited</t>
  </si>
  <si>
    <t>SheffieldHousing 21</t>
  </si>
  <si>
    <t>SheffieldIKE Supported Housing Limited</t>
  </si>
  <si>
    <t>SheffieldInclusion Housing Community Interest Company</t>
  </si>
  <si>
    <t>SheffieldIncommunities Limited</t>
  </si>
  <si>
    <t>Sheffield'Johnnie' Johnson Housing Trust Limited</t>
  </si>
  <si>
    <t>SheffieldLets for Life</t>
  </si>
  <si>
    <t>SheffieldMetropolitan Housing Trust Limited</t>
  </si>
  <si>
    <t>SheffieldPadley Housing Association Limited</t>
  </si>
  <si>
    <t>SheffieldPartners Foundation Limited</t>
  </si>
  <si>
    <t>SheffieldPeak District Rural Housing Association Limited</t>
  </si>
  <si>
    <t>SheffieldPlaces for People Homes Limited</t>
  </si>
  <si>
    <t>SheffieldPlaces for People Living+ Limited</t>
  </si>
  <si>
    <t>SheffieldProgress Housing Association Limited</t>
  </si>
  <si>
    <t>SheffieldSalvation Army Housing Association</t>
  </si>
  <si>
    <t>SheffieldSanctuary Affordable Housing Limited</t>
  </si>
  <si>
    <t>SheffieldSanctuary Housing Association</t>
  </si>
  <si>
    <t>SheffieldSouth Yorkshire Housing Association Limited</t>
  </si>
  <si>
    <t>SheffieldSouthern Housing Group Limited</t>
  </si>
  <si>
    <t>SheffieldTarget Housing Limited</t>
  </si>
  <si>
    <t>SheffieldThe Guinness Partnership Limited</t>
  </si>
  <si>
    <t>SheffieldTogether Housing Association Limited</t>
  </si>
  <si>
    <t>SheffieldTrinity Housing Association Limited</t>
  </si>
  <si>
    <t>SheffieldYorkshire Housing Limited</t>
  </si>
  <si>
    <t>SheffieldYour Housing Limited</t>
  </si>
  <si>
    <t>ShropshireAlpha (R.S.L.) Limited</t>
  </si>
  <si>
    <t>ShropshireAnchor Hanover Group</t>
  </si>
  <si>
    <t>ShropshireBirnbeck Housing Association Limited</t>
  </si>
  <si>
    <t>ShropshireBromford Housing Association Limited</t>
  </si>
  <si>
    <t>ShropshireCitizen Housing Group Limited</t>
  </si>
  <si>
    <t>ShropshireClarion Housing Association Limited</t>
  </si>
  <si>
    <t>ShropshireHabinteg Housing Association Limited</t>
  </si>
  <si>
    <t>ShropshireHeylo Housing Registered Provider Limited</t>
  </si>
  <si>
    <t>ShropshireHome Group Limited</t>
  </si>
  <si>
    <t>ShropshireHousing 21</t>
  </si>
  <si>
    <t>ShropshireMetropolitan Housing Trust Limited</t>
  </si>
  <si>
    <t>ShropshireMidland Heart Limited</t>
  </si>
  <si>
    <t>ShropshireReside Housing Association Limited</t>
  </si>
  <si>
    <t>ShropshireRooftop Housing Association Limited</t>
  </si>
  <si>
    <t>ShropshireSanctuary Affordable Housing Limited</t>
  </si>
  <si>
    <t>ShropshireSanctuary Housing Association</t>
  </si>
  <si>
    <t>ShropshireShrewsbury Drapers Company Charity</t>
  </si>
  <si>
    <t>ShropshireShropshire Association for Supported Housing Limited</t>
  </si>
  <si>
    <t>ShropshireShropshire Rural Housing Association Limited</t>
  </si>
  <si>
    <t>ShropshireStonewater (2) Limited</t>
  </si>
  <si>
    <t>ShropshireThe Community Housing Group Limited</t>
  </si>
  <si>
    <t>ShropshireThe Wrekin Housing Group Limited</t>
  </si>
  <si>
    <t>ShropshireTrident Housing Association Limited</t>
  </si>
  <si>
    <t>ShropshireTrinity Hospital at Clun</t>
  </si>
  <si>
    <t>ShropshireWalsall Housing Group Limited</t>
  </si>
  <si>
    <t>SloughA2Dominion South Limited</t>
  </si>
  <si>
    <t>SloughAbility Housing Association</t>
  </si>
  <si>
    <t>SloughAdvance Housing and Support Limited</t>
  </si>
  <si>
    <t>SloughAnchor Hanover Group</t>
  </si>
  <si>
    <t>SloughBuckinghamshire Housing Association Limited</t>
  </si>
  <si>
    <t>SloughCatalyst Housing Limited</t>
  </si>
  <si>
    <t>SloughCo-op Homes (South) Limited</t>
  </si>
  <si>
    <t>SloughHabinteg Housing Association Limited</t>
  </si>
  <si>
    <t>SloughHastoe Housing Association Limited</t>
  </si>
  <si>
    <t>SloughHome Group Limited</t>
  </si>
  <si>
    <t>SloughHousing Solutions</t>
  </si>
  <si>
    <t>SloughInquilab Housing Association Limited</t>
  </si>
  <si>
    <t>SloughLondon &amp; Quadrant Housing Trust</t>
  </si>
  <si>
    <t>SloughLook Ahead Care and Support Limited</t>
  </si>
  <si>
    <t>SloughMetropolitan Housing Trust Limited</t>
  </si>
  <si>
    <t>SloughNetwork Homes Limited</t>
  </si>
  <si>
    <t>SloughNotting Hill Home Ownership Limited</t>
  </si>
  <si>
    <t>SloughParadigm Homes Charitable Housing Association Limited</t>
  </si>
  <si>
    <t>SloughParagon Asra Housing Limited</t>
  </si>
  <si>
    <t>SloughPlaces for People Homes Limited</t>
  </si>
  <si>
    <t>SloughReside Housing Association Limited</t>
  </si>
  <si>
    <t>SloughSanctuary Housing Association</t>
  </si>
  <si>
    <t>SloughSovereign Housing Association Limited</t>
  </si>
  <si>
    <t>SloughThe Swaythling Housing Society Limited</t>
  </si>
  <si>
    <t>SloughWestmoreland Supported Housing Limited</t>
  </si>
  <si>
    <t>SloughYMCA St Paul's Group</t>
  </si>
  <si>
    <t>SolihullAdvance Housing and Support Limited</t>
  </si>
  <si>
    <t>SolihullAnchor Hanover Group</t>
  </si>
  <si>
    <t>SolihullBromford Housing Association Limited</t>
  </si>
  <si>
    <t>SolihullCitizen Housing Group Limited</t>
  </si>
  <si>
    <t>SolihullClarion Housing Association Limited</t>
  </si>
  <si>
    <t>SolihullHome Group Limited</t>
  </si>
  <si>
    <t>SolihullHousing 21</t>
  </si>
  <si>
    <t>SolihullMidland Heart Limited</t>
  </si>
  <si>
    <t>SolihullOptivo</t>
  </si>
  <si>
    <t>SolihullOrbit Group Limited</t>
  </si>
  <si>
    <t>SolihullPlatform Housing Limited</t>
  </si>
  <si>
    <t>SolihullRayner House and Yew Trees Limited</t>
  </si>
  <si>
    <t>SolihullSanctuary Housing Association</t>
  </si>
  <si>
    <t>SolihullSir Josiah Mason's Almshouse Charity</t>
  </si>
  <si>
    <t>SolihullSolihull Care Housing Association Limited</t>
  </si>
  <si>
    <t>SolihullThe Abbeyfield Society</t>
  </si>
  <si>
    <t>SolihullThe Berrow Cottage Homes</t>
  </si>
  <si>
    <t>SolihullTrident Housing Association Limited</t>
  </si>
  <si>
    <t>SolihullWalsall Housing Group Limited</t>
  </si>
  <si>
    <t>SolihullWarwickshire Rural Housing Association Limited</t>
  </si>
  <si>
    <t>SolihullWestmoreland Supported Housing Limited</t>
  </si>
  <si>
    <t>Somerset West and TauntonAdvance Housing and Support Limited</t>
  </si>
  <si>
    <t>Somerset West and TauntonAnchor Hanover Group</t>
  </si>
  <si>
    <t>Somerset West and TauntonAster Communities</t>
  </si>
  <si>
    <t>Somerset West and Tauntonbpha Limited</t>
  </si>
  <si>
    <t>Somerset West and TauntonFalcon Rural Housing Limited</t>
  </si>
  <si>
    <t>Somerset West and TauntonFirst Priority Housing Association Limited</t>
  </si>
  <si>
    <t>Somerset West and TauntonFrench Weir Affordable Homes LLP</t>
  </si>
  <si>
    <t>Somerset West and TauntonHabinteg Housing Association Limited</t>
  </si>
  <si>
    <t>Somerset West and TauntonHastoe Housing Association Limited</t>
  </si>
  <si>
    <t>Somerset West and TauntonHeylo Housing Registered Provider Limited</t>
  </si>
  <si>
    <t>Somerset West and TauntonHome Group Limited</t>
  </si>
  <si>
    <t>Somerset West and TauntonHousing 21</t>
  </si>
  <si>
    <t>Somerset West and TauntonLiveWest Homes Limited</t>
  </si>
  <si>
    <t>Somerset West and TauntonMagna Housing Limited</t>
  </si>
  <si>
    <t>Somerset West and TauntonOld Cleeve Memorial Cottages</t>
  </si>
  <si>
    <t>Somerset West and TauntonParasol Homes Limited</t>
  </si>
  <si>
    <t>Somerset West and TauntonPlaces for People Homes Limited</t>
  </si>
  <si>
    <t>Somerset West and TauntonPlaces for People Living+ Limited</t>
  </si>
  <si>
    <t>Somerset West and TauntonPlatform Housing Limited</t>
  </si>
  <si>
    <t>Somerset West and TauntonReside Housing Association Limited</t>
  </si>
  <si>
    <t>Somerset West and TauntonSanctuary Housing Association</t>
  </si>
  <si>
    <t>Somerset West and TauntonSHAL Housing Limited</t>
  </si>
  <si>
    <t>Somerset West and TauntonSouth Western Housing Society Limited</t>
  </si>
  <si>
    <t>Somerset West and TauntonSovereign Housing Association Limited</t>
  </si>
  <si>
    <t>Somerset West and TauntonStonewater (2) Limited</t>
  </si>
  <si>
    <t>Somerset West and TauntonStonewater (5) Limited</t>
  </si>
  <si>
    <t>Somerset West and TauntonStonewater Limited</t>
  </si>
  <si>
    <t>Somerset West and TauntonSynergy Housing Limited</t>
  </si>
  <si>
    <t>Somerset West and TauntonTaunton Heritage Trust</t>
  </si>
  <si>
    <t>Somerset West and TauntonThe Abbeyfield Society</t>
  </si>
  <si>
    <t>South CambridgeshireAccent Housing Limited</t>
  </si>
  <si>
    <t>South CambridgeshireAnchor Hanover Group</t>
  </si>
  <si>
    <t>South Cambridgeshirebpha Limited</t>
  </si>
  <si>
    <t>South CambridgeshireCatalyst Housing Limited</t>
  </si>
  <si>
    <t>South CambridgeshireChorus Homes Limited</t>
  </si>
  <si>
    <t>South CambridgeshireClarion Housing Association Limited</t>
  </si>
  <si>
    <t>South CambridgeshireCross Keys Homes Limited</t>
  </si>
  <si>
    <t>South CambridgeshireFlagship Housing Group Limited</t>
  </si>
  <si>
    <t>South CambridgeshireFutures Homescape Limited</t>
  </si>
  <si>
    <t>South CambridgeshireGrand Union Housing Group Limited</t>
  </si>
  <si>
    <t>South CambridgeshireHastoe Housing Association Limited</t>
  </si>
  <si>
    <t>South CambridgeshireHeylo Housing Registered Provider Limited</t>
  </si>
  <si>
    <t>South CambridgeshireHundred Houses Society Limited</t>
  </si>
  <si>
    <t>South CambridgeshireLonghurst Group Limited</t>
  </si>
  <si>
    <t>South CambridgeshireMetropolitan Housing Trust Limited</t>
  </si>
  <si>
    <t>South CambridgeshireOrbit Group Limited</t>
  </si>
  <si>
    <t>South CambridgeshireParadigm Homes Charitable Housing Association Limited</t>
  </si>
  <si>
    <t>South CambridgeshirePlaces for People Homes Limited</t>
  </si>
  <si>
    <t>South CambridgeshireSage Housing Limited</t>
  </si>
  <si>
    <t>South CambridgeshireSanctuary Affordable Housing Limited</t>
  </si>
  <si>
    <t>South CambridgeshireSanctuary Housing Association</t>
  </si>
  <si>
    <t>South CambridgeshireStonewater (2) Limited</t>
  </si>
  <si>
    <t>South CambridgeshireStonewater Limited</t>
  </si>
  <si>
    <t>South CambridgeshireThe Cambridge Housing Society Limited</t>
  </si>
  <si>
    <t>South CambridgeshireThe Cambridgeshire Cottage Housing Society Limited</t>
  </si>
  <si>
    <t>South CambridgeshireThe Guinness Partnership Limited</t>
  </si>
  <si>
    <t>South CambridgeshireThe Havebury Housing Partnership</t>
  </si>
  <si>
    <t>South CambridgeshireThe Papworth Trust</t>
  </si>
  <si>
    <t>South CambridgeshireThe Riverside Group Limited</t>
  </si>
  <si>
    <t>South DerbyshireAston Almshouse Charity</t>
  </si>
  <si>
    <t>South DerbyshireDerwent Housing Association Limited</t>
  </si>
  <si>
    <t>South DerbyshireEMH Housing and Regeneration Limited</t>
  </si>
  <si>
    <t>South DerbyshireEmpower Housing Association Limited</t>
  </si>
  <si>
    <t>South DerbyshireFramework Housing Association</t>
  </si>
  <si>
    <t>South DerbyshireFutures Homeway Limited</t>
  </si>
  <si>
    <t>South DerbyshireHeylo Housing Registered Provider Limited</t>
  </si>
  <si>
    <t>South DerbyshireHome Group Limited</t>
  </si>
  <si>
    <t>South DerbyshireHousing 21</t>
  </si>
  <si>
    <t>South DerbyshireLonghurst Group Limited</t>
  </si>
  <si>
    <t>South DerbyshireMetropolitan Housing Trust Limited</t>
  </si>
  <si>
    <t>South DerbyshireMidland Heart Limited</t>
  </si>
  <si>
    <t>South DerbyshireMy Space Housing Solutions</t>
  </si>
  <si>
    <t>South DerbyshireNottingham Community Housing Association Limited</t>
  </si>
  <si>
    <t>South DerbyshireP3 Housing Limited</t>
  </si>
  <si>
    <t>South DerbyshirePeak District Rural Housing Association Limited</t>
  </si>
  <si>
    <t>South DerbyshirePlatform Housing Limited</t>
  </si>
  <si>
    <t>South DerbyshirePlexus UK (First Project) Limited</t>
  </si>
  <si>
    <t>South DerbyshireSage Housing Limited</t>
  </si>
  <si>
    <t>South DerbyshireSanctuary Housing Association</t>
  </si>
  <si>
    <t>South DerbyshireThe Guinness Partnership Limited</t>
  </si>
  <si>
    <t>South DerbyshireThe Riverside Group Limited</t>
  </si>
  <si>
    <t>South DerbyshireTrent &amp; Dove Housing Limited</t>
  </si>
  <si>
    <t>South DerbyshireTrident Housing Association Limited</t>
  </si>
  <si>
    <t>South GloucestershireAbbeyfield Bristol and Keynsham Society</t>
  </si>
  <si>
    <t>South GloucestershireAdvance Housing and Support Limited</t>
  </si>
  <si>
    <t>South GloucestershireAnchor Hanover Group</t>
  </si>
  <si>
    <t>South GloucestershireBristowe (Fair Rent) Housing Association Limited</t>
  </si>
  <si>
    <t>South GloucestershireBromford Housing Association Limited</t>
  </si>
  <si>
    <t>South GloucestershireChrysalis Supported Association Limited</t>
  </si>
  <si>
    <t>South GloucestershireClarion Housing Association Limited</t>
  </si>
  <si>
    <t>South GloucestershireCuro Places Limited</t>
  </si>
  <si>
    <t>South GloucestershireElim Housing Association Limited</t>
  </si>
  <si>
    <t>South GloucestershireEnglish Rural Housing Association Limited</t>
  </si>
  <si>
    <t>South GloucestershireGuinness Housing Association Limited</t>
  </si>
  <si>
    <t>South GloucestershireHabinteg Housing Association Limited</t>
  </si>
  <si>
    <t>South GloucestershireHARC Housing Association Limited</t>
  </si>
  <si>
    <t>South GloucestershireHeylo Housing Registered Provider Limited</t>
  </si>
  <si>
    <t>South GloucestershireHousing 21</t>
  </si>
  <si>
    <t>South GloucestershireInclusion Housing Community Interest Company</t>
  </si>
  <si>
    <t>South GloucestershireKing's Barton Housing Association Limited</t>
  </si>
  <si>
    <t>South GloucestershireLiveWest Homes Limited</t>
  </si>
  <si>
    <t>South GloucestershireMarshfield Consolidated Charities</t>
  </si>
  <si>
    <t>South GloucestershireMerlin Housing Society Limited</t>
  </si>
  <si>
    <t>South GloucestershireNSAH (Alliance Homes) Limited</t>
  </si>
  <si>
    <t>South GloucestershirePlaces for People Homes Limited</t>
  </si>
  <si>
    <t>South GloucestershirePlaces for People Living+ Limited</t>
  </si>
  <si>
    <t>South GloucestershireSanctuary Housing Association</t>
  </si>
  <si>
    <t>South GloucestershireSouth Western Housing Society Limited</t>
  </si>
  <si>
    <t>South GloucestershireSovereign Housing Association Limited</t>
  </si>
  <si>
    <t>South GloucestershireSovereign Living Limited</t>
  </si>
  <si>
    <t>South GloucestershireStonewater (2) Limited</t>
  </si>
  <si>
    <t>South GloucestershireStonewater (5) Limited</t>
  </si>
  <si>
    <t>South GloucestershireThe Extracare Charitable Trust</t>
  </si>
  <si>
    <t>South GloucestershireThe Guinness Partnership Limited</t>
  </si>
  <si>
    <t>South GloucestershireThe Riverside Group Limited</t>
  </si>
  <si>
    <t>South HamsAdvance Housing and Support Limited</t>
  </si>
  <si>
    <t>South HamsAnchor Hanover Group</t>
  </si>
  <si>
    <t>South HamsAster Communities</t>
  </si>
  <si>
    <t>South HamsBournemouth Churches Housing Association Limited</t>
  </si>
  <si>
    <t>South HamsCatalyst Housing Limited</t>
  </si>
  <si>
    <t>South HamsEmpower Housing Association Limited</t>
  </si>
  <si>
    <t>South HamsGuinness Care and Support Limited</t>
  </si>
  <si>
    <t>South HamsHastoe Housing Association Limited</t>
  </si>
  <si>
    <t>South HamsHeylo Housing Registered Provider Limited</t>
  </si>
  <si>
    <t>South HamsInclusion Housing Community Interest Company</t>
  </si>
  <si>
    <t>South HamsLiveWest Homes Limited</t>
  </si>
  <si>
    <t>South HamsProgress Housing Association Limited</t>
  </si>
  <si>
    <t>South HamsSanctuary Housing Association</t>
  </si>
  <si>
    <t>South HamsSouth Devon Rural Housing Association Limited</t>
  </si>
  <si>
    <t>South HamsSouth Western Housing Society Limited</t>
  </si>
  <si>
    <t>South HamsSovereign Housing Association Limited</t>
  </si>
  <si>
    <t>South HamsTamar Housing Society Limited</t>
  </si>
  <si>
    <t>South HamsTeign Housing</t>
  </si>
  <si>
    <t>South HamsThe Abbeyfield Society</t>
  </si>
  <si>
    <t>South HamsThe Abbeyfield South West Society Limited</t>
  </si>
  <si>
    <t>South HamsThe Guinness Partnership Limited</t>
  </si>
  <si>
    <t>South HamsWestward Housing Group Limited</t>
  </si>
  <si>
    <t>South HollandAccent Housing Limited</t>
  </si>
  <si>
    <t>South HollandAdvance Housing and Support Limited</t>
  </si>
  <si>
    <t>South HollandCatalyst Housing Limited</t>
  </si>
  <si>
    <t>South HollandClarion Housing Association Limited</t>
  </si>
  <si>
    <t>South HollandCross Keys Homes Limited</t>
  </si>
  <si>
    <t xml:space="preserve">South HollandEncircle Housing </t>
  </si>
  <si>
    <t>South HollandFramework Housing Association</t>
  </si>
  <si>
    <t>South HollandGrand Union Housing Group Limited</t>
  </si>
  <si>
    <t>South HollandHastoe Housing Association Limited</t>
  </si>
  <si>
    <t>South HollandHeylo Housing Registered Provider Limited</t>
  </si>
  <si>
    <t>South HollandLincolnshire Housing Partnership Limited</t>
  </si>
  <si>
    <t>South HollandLincolnshire Rural Housing Association Limited</t>
  </si>
  <si>
    <t>South HollandLiveWest Homes Limited</t>
  </si>
  <si>
    <t>South HollandLonghurst Group Limited</t>
  </si>
  <si>
    <t>South HollandMuir Group Housing Association Limited</t>
  </si>
  <si>
    <t>South HollandNottingham Community Housing Association Limited</t>
  </si>
  <si>
    <t>South HollandPartners Foundation Limited</t>
  </si>
  <si>
    <t>South HollandPlatform Housing Limited</t>
  </si>
  <si>
    <t>South HollandProgress Housing Association Limited</t>
  </si>
  <si>
    <t>South HollandReside Housing Association Limited</t>
  </si>
  <si>
    <t>South KestevenAccent Housing Limited</t>
  </si>
  <si>
    <t>South KestevenAdvance Housing and Support Limited</t>
  </si>
  <si>
    <t>South KestevenAnchor Hanover Group</t>
  </si>
  <si>
    <t>South KestevenBlyth Cottages</t>
  </si>
  <si>
    <t>South Kestevenbpha Limited</t>
  </si>
  <si>
    <t>South KestevenClarion Housing Association Limited</t>
  </si>
  <si>
    <t>South KestevenCross Keys Homes Limited</t>
  </si>
  <si>
    <t>South KestevenDerwent Housing Association Limited</t>
  </si>
  <si>
    <t>South KestevenEMH Housing and Regeneration Limited</t>
  </si>
  <si>
    <t>South KestevenHeylo Housing Registered Provider Limited</t>
  </si>
  <si>
    <t>South KestevenHousing 21</t>
  </si>
  <si>
    <t>South KestevenLace Housing Limited</t>
  </si>
  <si>
    <t>South KestevenLincolnshire Housing Partnership Limited</t>
  </si>
  <si>
    <t>South KestevenLincolnshire Rural Housing Association Limited</t>
  </si>
  <si>
    <t>South KestevenLiveWest Homes Limited</t>
  </si>
  <si>
    <t>South KestevenLonghurst Group Limited</t>
  </si>
  <si>
    <t>South KestevenMetropolitan Housing Trust Limited</t>
  </si>
  <si>
    <t>South KestevenMuir Group Housing Association Limited</t>
  </si>
  <si>
    <t>South KestevenMy Space Housing Solutions</t>
  </si>
  <si>
    <t>South KestevenNACRO</t>
  </si>
  <si>
    <t>South KestevenNottingham Community Housing Association Limited</t>
  </si>
  <si>
    <t>South KestevenPartners Foundation Limited</t>
  </si>
  <si>
    <t>South KestevenPlaces for People Homes Limited</t>
  </si>
  <si>
    <t>South KestevenPlatform Housing Limited</t>
  </si>
  <si>
    <t>South KestevenProgress Housing Association Limited</t>
  </si>
  <si>
    <t>South KestevenSage Housing Limited</t>
  </si>
  <si>
    <t>South KestevenSanctuary Housing Association</t>
  </si>
  <si>
    <t>South LakelandCastles &amp; Coasts Housing Association Limited</t>
  </si>
  <si>
    <t>South LakelandDimensions (UK) Limited</t>
  </si>
  <si>
    <t>South LakelandEden Housing Association Limited</t>
  </si>
  <si>
    <t>South LakelandEmpower Housing Association Limited</t>
  </si>
  <si>
    <t>South LakelandHeylo Housing Registered Provider Limited</t>
  </si>
  <si>
    <t>South LakelandHome Group Limited</t>
  </si>
  <si>
    <t>South Lakeland'Johnnie' Johnson Housing Trust Limited</t>
  </si>
  <si>
    <t>South LakelandKendal Almshouse Charity</t>
  </si>
  <si>
    <t>South LakelandMitre Housing Association Limited</t>
  </si>
  <si>
    <t>South LakelandMy Space Housing Solutions</t>
  </si>
  <si>
    <t>South LakelandNew Foundations Housing Association Limited</t>
  </si>
  <si>
    <t>South LakelandProgress Housing Association Limited</t>
  </si>
  <si>
    <t>South LakelandSanctuary Housing Association</t>
  </si>
  <si>
    <t>South LakelandSouth Lakes Housing</t>
  </si>
  <si>
    <t>South LakelandThe Abbeyfield Society</t>
  </si>
  <si>
    <t>South LakelandThe Riverside Group Limited</t>
  </si>
  <si>
    <t>South NorfolkAnchor Hanover Group</t>
  </si>
  <si>
    <t>South NorfolkBroadland Housing Association Limited</t>
  </si>
  <si>
    <t>South NorfolkClarion Housing Association Limited</t>
  </si>
  <si>
    <t>South NorfolkCotman Housing Association Limited</t>
  </si>
  <si>
    <t>South NorfolkFlagship Housing Group Limited</t>
  </si>
  <si>
    <t>South NorfolkHastoe Housing Association Limited</t>
  </si>
  <si>
    <t>South NorfolkHeylo Housing Registered Provider Limited</t>
  </si>
  <si>
    <t>South NorfolkHome Group Limited</t>
  </si>
  <si>
    <t>South NorfolkHousing 21</t>
  </si>
  <si>
    <t>South NorfolkInclusion Housing Community Interest Company</t>
  </si>
  <si>
    <t>South NorfolkMetropolitan Housing Trust Limited</t>
  </si>
  <si>
    <t>South NorfolkOrbit Group Limited</t>
  </si>
  <si>
    <t>South NorfolkOrwell Housing Association Limited</t>
  </si>
  <si>
    <t>South NorfolkPlaces for People Homes Limited</t>
  </si>
  <si>
    <t>South NorfolkProgress Housing Association Limited</t>
  </si>
  <si>
    <t>South NorfolkSaffron Housing Trust Limited</t>
  </si>
  <si>
    <t>South NorfolkSage Housing Limited</t>
  </si>
  <si>
    <t>South NorfolkSanctuary Affordable Housing Limited</t>
  </si>
  <si>
    <t>South NorfolkSanctuary Housing Association</t>
  </si>
  <si>
    <t>South NorfolkThe Havebury Housing Partnership</t>
  </si>
  <si>
    <t>South NorfolkV &amp; F Homes Limited</t>
  </si>
  <si>
    <t>South OxfordshireA2Dominion Homes Limited</t>
  </si>
  <si>
    <t>South OxfordshireA2Dominion Housing Options Limited</t>
  </si>
  <si>
    <t>South OxfordshireA2Dominion South Limited</t>
  </si>
  <si>
    <t>South OxfordshireAbility Housing Association</t>
  </si>
  <si>
    <t>South OxfordshireAdvance Housing and Support Limited</t>
  </si>
  <si>
    <t>South OxfordshireAnchor Hanover Group</t>
  </si>
  <si>
    <t>South OxfordshireAngiers Almshouse Charity</t>
  </si>
  <si>
    <t>South OxfordshireAster 3 Limited</t>
  </si>
  <si>
    <t>South OxfordshireAster Communities</t>
  </si>
  <si>
    <t>South Oxfordshirebpha Limited</t>
  </si>
  <si>
    <t>South OxfordshireBuckinghamshire Housing Association Limited</t>
  </si>
  <si>
    <t>South OxfordshireCatalyst Housing Limited</t>
  </si>
  <si>
    <t>South OxfordshireClarion Housing Association Limited</t>
  </si>
  <si>
    <t>South OxfordshireDimensions (UK) Limited</t>
  </si>
  <si>
    <t>South OxfordshireEmpower Housing Association Limited</t>
  </si>
  <si>
    <t>South OxfordshireEnglish Rural Housing Association Limited</t>
  </si>
  <si>
    <t>South OxfordshireHastoe Housing Association Limited</t>
  </si>
  <si>
    <t>South OxfordshireHenley YMCA</t>
  </si>
  <si>
    <t>South OxfordshireHeylo Housing Registered Provider Limited</t>
  </si>
  <si>
    <t>South OxfordshireHome Group Limited</t>
  </si>
  <si>
    <t>South OxfordshireLondon &amp; Quadrant Housing Trust</t>
  </si>
  <si>
    <t>South OxfordshireMetropolitan Housing Trust Limited</t>
  </si>
  <si>
    <t>South OxfordshireMoat Homes Limited</t>
  </si>
  <si>
    <t>South OxfordshireNotting Hill Home Ownership Limited</t>
  </si>
  <si>
    <t>South OxfordshireOne Housing Group Limited</t>
  </si>
  <si>
    <t>South OxfordshireRed Kite Community Housing Limited</t>
  </si>
  <si>
    <t>South OxfordshireSage Housing Limited</t>
  </si>
  <si>
    <t>South OxfordshireSilva Homes Limited</t>
  </si>
  <si>
    <t>South OxfordshireSoha Housing Limited</t>
  </si>
  <si>
    <t>South OxfordshireSovereign Housing Association Limited</t>
  </si>
  <si>
    <t>South OxfordshireStonewater Limited</t>
  </si>
  <si>
    <t>South OxfordshireThame and District Housing Association Limited</t>
  </si>
  <si>
    <t>South RibbleAccent Housing Limited</t>
  </si>
  <si>
    <t>South RibbleAssured Living Housing Association Limited</t>
  </si>
  <si>
    <t>South RibbleCare Housing Association Limited</t>
  </si>
  <si>
    <t>South RibbleCommunity Gateway Association Limited</t>
  </si>
  <si>
    <t>South RibbleEmpower Housing Association Limited</t>
  </si>
  <si>
    <t>South RibbleFunding Affordable Homes Housing Association Limited</t>
  </si>
  <si>
    <t>South RibbleGreat Places Housing Association</t>
  </si>
  <si>
    <t>South RibbleHabinteg Housing Association Limited</t>
  </si>
  <si>
    <t>South RibbleHalo Housing Association Limited</t>
  </si>
  <si>
    <t>South RibbleHeylo Housing Registered Provider Limited</t>
  </si>
  <si>
    <t>South RibbleHome Group Limited</t>
  </si>
  <si>
    <t>South RibbleMy Space Housing Solutions</t>
  </si>
  <si>
    <t>South RibbleNew Foundations Housing Association Limited</t>
  </si>
  <si>
    <t>South RibblePartners Foundation Limited</t>
  </si>
  <si>
    <t>South RibblePlaces for People Homes Limited</t>
  </si>
  <si>
    <t>South RibblePlaces for People Living+ Limited</t>
  </si>
  <si>
    <t>South RibbleProgress Housing Association Limited</t>
  </si>
  <si>
    <t>South RibbleRegenda Limited</t>
  </si>
  <si>
    <t>South RibbleYour Housing Limited</t>
  </si>
  <si>
    <t>South SomersetAdvance Housing and Support Limited</t>
  </si>
  <si>
    <t>South SomersetAnchor Hanover Group</t>
  </si>
  <si>
    <t>South SomersetAster Communities</t>
  </si>
  <si>
    <t>South SomersetBournemouth Churches Housing Association Limited</t>
  </si>
  <si>
    <t>South SomersetClarion Housing Association Limited</t>
  </si>
  <si>
    <t>South SomersetHastoe Housing Association Limited</t>
  </si>
  <si>
    <t>South SomersetHeylo Housing Registered Provider Limited</t>
  </si>
  <si>
    <t>South SomersetHome Group Limited</t>
  </si>
  <si>
    <t>South SomersetHousing 21</t>
  </si>
  <si>
    <t>South SomersetInclusion Housing Community Interest Company</t>
  </si>
  <si>
    <t>South SomersetLiveWest Homes Limited</t>
  </si>
  <si>
    <t>South SomersetMagna Housing Limited</t>
  </si>
  <si>
    <t>South SomersetMoat Homes Limited</t>
  </si>
  <si>
    <t>South SomersetParasol Homes Limited</t>
  </si>
  <si>
    <t>South SomersetPlaces for People Homes Limited</t>
  </si>
  <si>
    <t>South SomersetReside Housing Association Limited</t>
  </si>
  <si>
    <t>South SomersetSalvation Army Housing Association</t>
  </si>
  <si>
    <t>South SomersetSanctuary Housing Association</t>
  </si>
  <si>
    <t>South SomersetSouth Western Housing Society Limited</t>
  </si>
  <si>
    <t>South SomersetSovereign Housing Association Limited</t>
  </si>
  <si>
    <t>South SomersetStonewater (2) Limited</t>
  </si>
  <si>
    <t>South SomersetStonewater (5) Limited</t>
  </si>
  <si>
    <t>South SomersetStonewater Limited</t>
  </si>
  <si>
    <t>South SomersetSynergy Housing Limited</t>
  </si>
  <si>
    <t>South SomersetTamar Housing Society Limited</t>
  </si>
  <si>
    <t>South SomersetThe Guinness Partnership Limited</t>
  </si>
  <si>
    <t>South StaffordshireAnchor Hanover Group</t>
  </si>
  <si>
    <t>South StaffordshireBromford Housing Association Limited</t>
  </si>
  <si>
    <t>South StaffordshireInclusion Housing Community Interest Company</t>
  </si>
  <si>
    <t>South StaffordshireMidland Heart Limited</t>
  </si>
  <si>
    <t>South StaffordshireParasol Homes Limited</t>
  </si>
  <si>
    <t>South StaffordshireSanctuary Housing Association</t>
  </si>
  <si>
    <t>South StaffordshireStonewater (2) Limited</t>
  </si>
  <si>
    <t>South StaffordshireThe Wrekin Housing Group Limited</t>
  </si>
  <si>
    <t>South StaffordshireWalsall Housing Group Limited</t>
  </si>
  <si>
    <t>South StaffordshireWestmoreland Supported Housing Limited</t>
  </si>
  <si>
    <t>South Tyneside3CHA Ltd</t>
  </si>
  <si>
    <t>South TynesideAccent Housing Limited</t>
  </si>
  <si>
    <t>South TynesideAnchor Hanover Group</t>
  </si>
  <si>
    <t>South TynesideBernicia Group</t>
  </si>
  <si>
    <t>South TynesideDimensions (UK) Limited</t>
  </si>
  <si>
    <t>South TynesideDurham Aged Mineworkers' Homes Association</t>
  </si>
  <si>
    <t xml:space="preserve">South TynesideEncircle Housing </t>
  </si>
  <si>
    <t>South TynesideGentoo Group Limited</t>
  </si>
  <si>
    <t>South TynesideHeylo Housing Registered Provider Limited</t>
  </si>
  <si>
    <t>South TynesideHome Group Limited</t>
  </si>
  <si>
    <t>South TynesideHousing 21</t>
  </si>
  <si>
    <t>South TynesideJane Cameron's Old Peoples Charity</t>
  </si>
  <si>
    <t>South TynesideKarbon Homes Limited</t>
  </si>
  <si>
    <t>South TynesideNorth Star Housing Group</t>
  </si>
  <si>
    <t>South TynesidePlaces for People Homes Limited</t>
  </si>
  <si>
    <t>South TynesidePlaces for People Living+ Limited</t>
  </si>
  <si>
    <t>South TynesideRailway Housing Association and Benefit Fund</t>
  </si>
  <si>
    <t>South TynesideSanctuary Housing Association</t>
  </si>
  <si>
    <t>South TynesideSouth Tyneside Housing Ventures Trust Limited</t>
  </si>
  <si>
    <t>South TynesideTCUK Homes Limited</t>
  </si>
  <si>
    <t>South TynesideThe Riverside Group Limited</t>
  </si>
  <si>
    <t>South TynesideThirteen Housing Group Limited</t>
  </si>
  <si>
    <t>South TynesideTyne Housing Association Limited</t>
  </si>
  <si>
    <t>SouthamptonA2Dominion Homes Limited</t>
  </si>
  <si>
    <t>SouthamptonAbility Housing Association</t>
  </si>
  <si>
    <t>SouthamptonAdvance Housing and Support Limited</t>
  </si>
  <si>
    <t>SouthamptonAnchor Hanover Group</t>
  </si>
  <si>
    <t>SouthamptonAster Communities</t>
  </si>
  <si>
    <t>SouthamptonBirnbeck Housing Association Limited</t>
  </si>
  <si>
    <t>SouthamptonClarion Housing Association Limited</t>
  </si>
  <si>
    <t>SouthamptonHabinteg Housing Association Limited</t>
  </si>
  <si>
    <t>SouthamptonHamwic Housing Co-operative Limited</t>
  </si>
  <si>
    <t>SouthamptonHeylo Housing Registered Provider Limited</t>
  </si>
  <si>
    <t>SouthamptonHome Group Limited</t>
  </si>
  <si>
    <t>SouthamptonHousing 21</t>
  </si>
  <si>
    <t>SouthamptonHyde Housing Association Limited</t>
  </si>
  <si>
    <t>SouthamptonMartlet Homes Limited</t>
  </si>
  <si>
    <t>SouthamptonMoat Homes Limited</t>
  </si>
  <si>
    <t>SouthamptonPlaces for People Homes Limited</t>
  </si>
  <si>
    <t>SouthamptonPlaces for People Living+ Limited</t>
  </si>
  <si>
    <t>SouthamptonReside Housing Association Limited</t>
  </si>
  <si>
    <t>SouthamptonSanctuary Housing Association</t>
  </si>
  <si>
    <t>SouthamptonSaxon Weald</t>
  </si>
  <si>
    <t>SouthamptonSouthern Housing Group Limited</t>
  </si>
  <si>
    <t>SouthamptonSovereign Housing Association Limited</t>
  </si>
  <si>
    <t>SouthamptonStonewater (5) Limited</t>
  </si>
  <si>
    <t>SouthamptonStonewater Limited</t>
  </si>
  <si>
    <t>SouthamptonThe Abbeyfield Society</t>
  </si>
  <si>
    <t>SouthamptonThe Guinness Partnership Limited</t>
  </si>
  <si>
    <t>SouthamptonThe Society of St James</t>
  </si>
  <si>
    <t>SouthamptonThe Swaythling Housing Society Limited</t>
  </si>
  <si>
    <t>SouthamptonTwo Saints Limited</t>
  </si>
  <si>
    <t>SouthamptonVivid Housing Limited</t>
  </si>
  <si>
    <t>SouthamptonYMCA Fairthorne Housing</t>
  </si>
  <si>
    <t>Southend-on-SeaAnchor Hanover Group</t>
  </si>
  <si>
    <t>Southend-on-SeaChelmer Housing Partnership Limited</t>
  </si>
  <si>
    <t>Southend-on-SeaChrysalis Supported Association Limited</t>
  </si>
  <si>
    <t>Southend-on-SeaCWL Housing</t>
  </si>
  <si>
    <t>Southend-on-SeaEmpower Housing Association Limited</t>
  </si>
  <si>
    <t>Southend-on-SeaEstuary Housing Association Limited</t>
  </si>
  <si>
    <t>Southend-on-SeaHabinteg Housing Association Limited</t>
  </si>
  <si>
    <t>Southend-on-SeaHastoe Housing Association Limited</t>
  </si>
  <si>
    <t>Southend-on-SeaHeylo Housing Registered Provider Limited</t>
  </si>
  <si>
    <t>Southend-on-SeaHome Group Limited</t>
  </si>
  <si>
    <t>Southend-on-SeaHomeless Action Resource Project</t>
  </si>
  <si>
    <t>Southend-on-SeaLocal Space</t>
  </si>
  <si>
    <t>Southend-on-SeaLondon &amp; Quadrant Housing Trust</t>
  </si>
  <si>
    <t>Southend-on-SeaMetropolitan Housing Trust Limited</t>
  </si>
  <si>
    <t>Southend-on-SeaMoat Homes Limited</t>
  </si>
  <si>
    <t>Southend-on-SeaNotting Hill Genesis</t>
  </si>
  <si>
    <t>Southend-on-SeaPlaces for People Homes Limited</t>
  </si>
  <si>
    <t>Southend-on-SeaSalvation Army Housing Association</t>
  </si>
  <si>
    <t>Southend-on-SeaSanctuary Housing Association</t>
  </si>
  <si>
    <t>Southend-on-SeaShepherds Bush Housing Association Limited</t>
  </si>
  <si>
    <t>Southend-on-SeaSouthend-on-Sea Young Men's Christian Association</t>
  </si>
  <si>
    <t>Southend-on-SeaSouthern Housing Group Limited</t>
  </si>
  <si>
    <t>Southend-on-SeaSwan Housing Association Limited</t>
  </si>
  <si>
    <t>Southend-on-SeaThe Abbeyfield Southend Society Limited</t>
  </si>
  <si>
    <t>Southend-on-SeaThe Field Lane Foundation</t>
  </si>
  <si>
    <t>Southend-on-SeaThe Guinness Partnership Limited</t>
  </si>
  <si>
    <t>Southend-on-SeaThe Richmond Fellowship</t>
  </si>
  <si>
    <t>Southend-on-SeaThe Riverside Group Limited</t>
  </si>
  <si>
    <t>SouthwarkA2Dominion Homes Limited</t>
  </si>
  <si>
    <t>SouthwarkAnchor Hanover Group</t>
  </si>
  <si>
    <t>SouthwarkArhag Housing Association Limited</t>
  </si>
  <si>
    <t>SouthwarkArundel Buildings Housing Co-operative Limited</t>
  </si>
  <si>
    <t>SouthwarkAsh-Shahada Housing Association Limited</t>
  </si>
  <si>
    <t>SouthwarkBrandrams Housing Co-operative Limited</t>
  </si>
  <si>
    <t>SouthwarkBrighton Buildings Housing Co-operative Limited</t>
  </si>
  <si>
    <t>SouthwarkCentral and Cecil Housing Trust</t>
  </si>
  <si>
    <t>SouthwarkCentrepoint Soho</t>
  </si>
  <si>
    <t>SouthwarkClarion Housing Association Limited</t>
  </si>
  <si>
    <t>SouthwarkEkaya Housing Association Limited</t>
  </si>
  <si>
    <t>SouthwarkHabinteg Housing Association Limited</t>
  </si>
  <si>
    <t>SouthwarkHelen Peele Memorial Almshouses</t>
  </si>
  <si>
    <t>SouthwarkHexagon Housing Association Limited</t>
  </si>
  <si>
    <t>SouthwarkHeylo Housing Registered Provider Limited</t>
  </si>
  <si>
    <t>SouthwarkHopton's Charity</t>
  </si>
  <si>
    <t>SouthwarkHousing 21</t>
  </si>
  <si>
    <t>SouthwarkHousing For Women</t>
  </si>
  <si>
    <t>SouthwarkHyde Housing Association Limited</t>
  </si>
  <si>
    <t>SouthwarkKeniston Housing Association Limited</t>
  </si>
  <si>
    <t>SouthwarkLambeth &amp; Southwark Housing Association Limited</t>
  </si>
  <si>
    <t>SouthwarkLocal Space</t>
  </si>
  <si>
    <t>SouthwarkLondon &amp; Quadrant Housing Trust</t>
  </si>
  <si>
    <t>SouthwarkLondon Cyrenians Housing Limited</t>
  </si>
  <si>
    <t>SouthwarkLook Ahead Care and Support Limited</t>
  </si>
  <si>
    <t>SouthwarkMetropolitan Housing Trust Limited</t>
  </si>
  <si>
    <t>SouthwarkMoat Homes Limited</t>
  </si>
  <si>
    <t>SouthwarkNew Foundations Housing Association Limited</t>
  </si>
  <si>
    <t>SouthwarkNew World Housing Association Limited</t>
  </si>
  <si>
    <t>SouthwarkNotting Hill Genesis</t>
  </si>
  <si>
    <t>SouthwarkNotting Hill Home Ownership Limited</t>
  </si>
  <si>
    <t>SouthwarkOctavia Housing</t>
  </si>
  <si>
    <t>SouthwarkOne Housing Group Limited</t>
  </si>
  <si>
    <t>SouthwarkOptivo</t>
  </si>
  <si>
    <t>SouthwarkOrigin Housing Limited</t>
  </si>
  <si>
    <t>SouthwarkParagon Asra Housing Limited</t>
  </si>
  <si>
    <t>SouthwarkPeabody Trust</t>
  </si>
  <si>
    <t>SouthwarkProvidence Row Housing Association</t>
  </si>
  <si>
    <t>SouthwarkRadcliffe Housing Society Limited</t>
  </si>
  <si>
    <t>SouthwarkRedwood Housing Co-operative Limited</t>
  </si>
  <si>
    <t>SouthwarkRotherhithe Waterside Limited</t>
  </si>
  <si>
    <t>SouthwarkSalvation Army Housing Association</t>
  </si>
  <si>
    <t>SouthwarkSanctuary Housing Association</t>
  </si>
  <si>
    <t>SouthwarkSouthern Housing Group Limited</t>
  </si>
  <si>
    <t>SouthwarkSt George's Church Housing Co-operative Limited</t>
  </si>
  <si>
    <t>SouthwarkSt Mungo Community Housing Association</t>
  </si>
  <si>
    <t>SouthwarkSwan Lane Housing Co-operative Limited</t>
  </si>
  <si>
    <t>SouthwarkThe Abbeyfield Dulwich Society Limited</t>
  </si>
  <si>
    <t>SouthwarkThe Drapers' Almshouse Charity</t>
  </si>
  <si>
    <t>SouthwarkThe Guinness Partnership Limited</t>
  </si>
  <si>
    <t>SouthwarkThe Industrial Dwellings Society (1885) Limited</t>
  </si>
  <si>
    <t>SouthwarkThe Riverside Group Limited</t>
  </si>
  <si>
    <t>SouthwarkTurning Point</t>
  </si>
  <si>
    <t>SouthwarkWandle Housing Association Limited</t>
  </si>
  <si>
    <t>SouthwarkWestmoreland Supported Housing Limited</t>
  </si>
  <si>
    <t>SouthwarkWindsor Walk Housing Association Limited</t>
  </si>
  <si>
    <t>SpelthorneA2Dominion Housing Options Limited</t>
  </si>
  <si>
    <t>SpelthorneA2Dominion South Limited</t>
  </si>
  <si>
    <t>SpelthorneAbility Housing Association</t>
  </si>
  <si>
    <t>SpelthorneCatalyst Housing Limited</t>
  </si>
  <si>
    <t>SpelthorneHeylo Housing Registered Provider Limited</t>
  </si>
  <si>
    <t>SpelthorneLondon &amp; Quadrant Housing Trust</t>
  </si>
  <si>
    <t>SpelthorneMetropolitan Housing Trust Limited</t>
  </si>
  <si>
    <t>SpelthorneMount Green Housing Association Limited</t>
  </si>
  <si>
    <t>SpelthorneNotting Hill Genesis</t>
  </si>
  <si>
    <t>SpelthorneNotting Hill Home Ownership Limited</t>
  </si>
  <si>
    <t>SpelthorneParagon Asra Housing Limited</t>
  </si>
  <si>
    <t>SpelthorneRowland Hill and Vaughan Almshouse Charity</t>
  </si>
  <si>
    <t>SpelthorneShepherds Bush Housing Association Limited</t>
  </si>
  <si>
    <t>SpelthorneTransform Housing &amp; Support</t>
  </si>
  <si>
    <t>St AlbansAbility Housing Association</t>
  </si>
  <si>
    <t>St AlbansAnchor Hanover Group</t>
  </si>
  <si>
    <t>St AlbansB3 Living Limited</t>
  </si>
  <si>
    <t>St Albansbpha Limited</t>
  </si>
  <si>
    <t>St AlbansCatalyst Housing Limited</t>
  </si>
  <si>
    <t>St AlbansClarion Housing Association Limited</t>
  </si>
  <si>
    <t>St AlbansDimensions (UK) Limited</t>
  </si>
  <si>
    <t>St AlbansFirst Priority Housing Association Limited</t>
  </si>
  <si>
    <t>St AlbansGrand Union Housing Group Limited</t>
  </si>
  <si>
    <t>St AlbansHightown Housing Association Limited</t>
  </si>
  <si>
    <t>St AlbansHome Group Limited</t>
  </si>
  <si>
    <t>St AlbansHousing 21</t>
  </si>
  <si>
    <t>St AlbansMetropolitan Housing Trust Limited</t>
  </si>
  <si>
    <t>St AlbansNetwork Homes Limited</t>
  </si>
  <si>
    <t>St AlbansNotting Hill Genesis</t>
  </si>
  <si>
    <t>St AlbansNotting Hill Home Ownership Limited</t>
  </si>
  <si>
    <t>St AlbansParadigm Homes Charitable Housing Association Limited</t>
  </si>
  <si>
    <t>St AlbansParagon Asra Housing Limited</t>
  </si>
  <si>
    <t>St AlbansPlaces for People Homes Limited</t>
  </si>
  <si>
    <t>St AlbansReside Housing Association Limited</t>
  </si>
  <si>
    <t>St AlbansSage Housing Limited</t>
  </si>
  <si>
    <t>St AlbansSettle Group</t>
  </si>
  <si>
    <t>St AlbansThrive Homes Limited</t>
  </si>
  <si>
    <t>St AlbansWest Herts Homes Limited</t>
  </si>
  <si>
    <t>St. HelensAccent Housing Limited</t>
  </si>
  <si>
    <t>St. HelensAlpha (R.S.L.) Limited</t>
  </si>
  <si>
    <t>St. HelensClarion Housing Association Limited</t>
  </si>
  <si>
    <t>St. HelensEmpower Housing Association Limited</t>
  </si>
  <si>
    <t>St. HelensForHousing Limited</t>
  </si>
  <si>
    <t>St. HelensGreat Places Housing Association</t>
  </si>
  <si>
    <t>St. HelensHeylo Housing Registered Provider Limited</t>
  </si>
  <si>
    <t>St. HelensHousing 21</t>
  </si>
  <si>
    <t>St. HelensInclusion Housing Community Interest Company</t>
  </si>
  <si>
    <t>St. HelensLivv Housing Group</t>
  </si>
  <si>
    <t>St. HelensMosscare St. Vincent's Housing Group Limited</t>
  </si>
  <si>
    <t>St. HelensMy Space Housing Solutions</t>
  </si>
  <si>
    <t>St. HelensOne Vision Housing Limited</t>
  </si>
  <si>
    <t>St. HelensOnward Homes Limited</t>
  </si>
  <si>
    <t>St. HelensPartners Foundation Limited</t>
  </si>
  <si>
    <t>St. HelensPlaces for People Homes Limited</t>
  </si>
  <si>
    <t>St. HelensPlaces for People Living+ Limited</t>
  </si>
  <si>
    <t>St. HelensPlus Dane Housing Limited</t>
  </si>
  <si>
    <t>St. HelensProgress Housing Association Limited</t>
  </si>
  <si>
    <t>St. HelensRegenda Limited</t>
  </si>
  <si>
    <t>St. HelensReside Housing Association Limited</t>
  </si>
  <si>
    <t>St. HelensSalvation Army Housing Association</t>
  </si>
  <si>
    <t>St. HelensSanctuary Affordable Housing Limited</t>
  </si>
  <si>
    <t>St. HelensSanctuary Housing Association</t>
  </si>
  <si>
    <t>St. HelensThe Abbeyfield Society</t>
  </si>
  <si>
    <t>St. HelensThe Riverside Group Limited</t>
  </si>
  <si>
    <t>St. HelensTorus62 Limited</t>
  </si>
  <si>
    <t>St. HelensYMCA St Helens</t>
  </si>
  <si>
    <t>St. HelensYour Housing Limited</t>
  </si>
  <si>
    <t>StaffordAspire Housing Limited</t>
  </si>
  <si>
    <t>StaffordBromford Housing Association Limited</t>
  </si>
  <si>
    <t>StaffordHalo Housing Association Limited</t>
  </si>
  <si>
    <t>StaffordHeylo Housing Registered Provider Limited</t>
  </si>
  <si>
    <t>StaffordHoneycomb Group Limited</t>
  </si>
  <si>
    <t>StaffordHousing 21</t>
  </si>
  <si>
    <t>StaffordInclusion Housing Community Interest Company</t>
  </si>
  <si>
    <t>StaffordMetropolitan Housing Trust Limited</t>
  </si>
  <si>
    <t>StaffordMidland Heart Limited</t>
  </si>
  <si>
    <t>StaffordPlatform Housing Limited</t>
  </si>
  <si>
    <t>StaffordSage Housing Limited</t>
  </si>
  <si>
    <t>StaffordSanctuary Housing Association</t>
  </si>
  <si>
    <t>StaffordThe Riverside Group Limited</t>
  </si>
  <si>
    <t>StaffordThe Wrekin Housing Group Limited</t>
  </si>
  <si>
    <t>StaffordWalsall Housing Group Limited</t>
  </si>
  <si>
    <t>Staffordshire MoorlandsAnchor Hanover Group</t>
  </si>
  <si>
    <t>Staffordshire MoorlandsBrighter Futures Housing Association Limited</t>
  </si>
  <si>
    <t>Staffordshire MoorlandsCondlyffe Charity</t>
  </si>
  <si>
    <t>Staffordshire MoorlandsEMH Housing and Regeneration Limited</t>
  </si>
  <si>
    <t>Staffordshire MoorlandsEmpowering People Inspiring Communities Limited</t>
  </si>
  <si>
    <t>Staffordshire MoorlandsHalo Housing Association Limited</t>
  </si>
  <si>
    <t>Staffordshire MoorlandsHoneycomb Group Limited</t>
  </si>
  <si>
    <t>Staffordshire MoorlandsMidland Heart Limited</t>
  </si>
  <si>
    <t>Staffordshire MoorlandsPeak District Rural Housing Association Limited</t>
  </si>
  <si>
    <t>Staffordshire MoorlandsPlus Dane Housing Limited</t>
  </si>
  <si>
    <t>Staffordshire MoorlandsSanctuary Housing Association</t>
  </si>
  <si>
    <t>Staffordshire MoorlandsThe Ash Homes</t>
  </si>
  <si>
    <t>Staffordshire MoorlandsThe Riverside Group Limited</t>
  </si>
  <si>
    <t>Staffordshire MoorlandsThe Wrekin Housing Group Limited</t>
  </si>
  <si>
    <t>Staffordshire MoorlandsYour Housing Limited</t>
  </si>
  <si>
    <t>StevenageAdvance Housing and Support Limited</t>
  </si>
  <si>
    <t>StevenageAnchor Hanover Group</t>
  </si>
  <si>
    <t>StevenageB3 Living Limited</t>
  </si>
  <si>
    <t>Stevenagebpha Limited</t>
  </si>
  <si>
    <t>StevenageCatalyst Housing Limited</t>
  </si>
  <si>
    <t>StevenageClarion Housing Association Limited</t>
  </si>
  <si>
    <t>StevenageFirst Garden Cities Homes Limited</t>
  </si>
  <si>
    <t>StevenageFirst Priority Housing Association Limited</t>
  </si>
  <si>
    <t>StevenageGemini Housing Co-operative Limited</t>
  </si>
  <si>
    <t>StevenageHastoe Housing Association Limited</t>
  </si>
  <si>
    <t>StevenageHeylo Housing Registered Provider Limited</t>
  </si>
  <si>
    <t>StevenageHightown Housing Association Limited</t>
  </si>
  <si>
    <t>StevenageHilldale Housing Association Limited</t>
  </si>
  <si>
    <t>StevenageHome Group Limited</t>
  </si>
  <si>
    <t>StevenageHousing 21</t>
  </si>
  <si>
    <t>StevenageLondon &amp; Quadrant Housing Trust</t>
  </si>
  <si>
    <t>StevenageMetropolitan Housing Trust Limited</t>
  </si>
  <si>
    <t>StevenageNetwork Homes Limited</t>
  </si>
  <si>
    <t>StevenageNotting Hill Genesis</t>
  </si>
  <si>
    <t>StevenageNotting Hill Home Ownership Limited</t>
  </si>
  <si>
    <t>StevenageOrigin Housing Limited</t>
  </si>
  <si>
    <t>StevenageParadigm Homes Charitable Housing Association Limited</t>
  </si>
  <si>
    <t>StevenageReside Housing Association Limited</t>
  </si>
  <si>
    <t>StevenageSettle Group</t>
  </si>
  <si>
    <t>StevenageShepherds Bush Housing Association Limited</t>
  </si>
  <si>
    <t>StevenageThe Abbeyfield Society</t>
  </si>
  <si>
    <t>StevenageThe Guinness Partnership Limited</t>
  </si>
  <si>
    <t>StevenageTurning Point</t>
  </si>
  <si>
    <t>StevenageWisden Housing Co-operative Limited</t>
  </si>
  <si>
    <t>StockportAnchor Hanover Group</t>
  </si>
  <si>
    <t>StockportArawak Walton Housing Association Limited</t>
  </si>
  <si>
    <t>StockportArcon Housing Association Limited</t>
  </si>
  <si>
    <t>StockportCare Housing Association Limited</t>
  </si>
  <si>
    <t>StockportCreative Support Limited</t>
  </si>
  <si>
    <t>StockportEmpower Housing Association Limited</t>
  </si>
  <si>
    <t xml:space="preserve">StockportEncircle Housing </t>
  </si>
  <si>
    <t>StockportHalo Housing Association Limited</t>
  </si>
  <si>
    <t>StockportHousing 21</t>
  </si>
  <si>
    <t>StockportIrwell Valley Housing Association Limited</t>
  </si>
  <si>
    <t>Stockport'Johnnie' Johnson Housing Trust Limited</t>
  </si>
  <si>
    <t>StockportLets for Life</t>
  </si>
  <si>
    <t>StockportLivv Housing Group</t>
  </si>
  <si>
    <t>StockportMosscare St. Vincent's Housing Group Limited</t>
  </si>
  <si>
    <t>StockportMuir Group Housing Association Limited</t>
  </si>
  <si>
    <t>StockportPlaces for People Homes Limited</t>
  </si>
  <si>
    <t>StockportPlaces for People Living+ Limited</t>
  </si>
  <si>
    <t>StockportProgress Housing Association Limited</t>
  </si>
  <si>
    <t>StockportSage Housing Limited</t>
  </si>
  <si>
    <t>StockportStockport Homes Limited</t>
  </si>
  <si>
    <t>StockportThe Abbeyfield Society</t>
  </si>
  <si>
    <t>StockportThe Guinness Partnership Limited</t>
  </si>
  <si>
    <t>StockportThe Riverside Group Limited</t>
  </si>
  <si>
    <t>StockportTrafford Housing Trust Limited</t>
  </si>
  <si>
    <t>StockportYour Housing Limited</t>
  </si>
  <si>
    <t>Stockton-on-TeesAccent Housing Limited</t>
  </si>
  <si>
    <t>Stockton-on-TeesAnchor Hanover Group</t>
  </si>
  <si>
    <t>Stockton-on-TeesArpeggio Properties Limited</t>
  </si>
  <si>
    <t>Stockton-on-TeesBelieve Housing Limited</t>
  </si>
  <si>
    <t>Stockton-on-TeesBernicia Group</t>
  </si>
  <si>
    <t>Stockton-on-TeesBeyond Housing Limited</t>
  </si>
  <si>
    <t>Stockton-on-TeesCreative Support Limited</t>
  </si>
  <si>
    <t>Stockton-on-TeesDimensions (UK) Limited</t>
  </si>
  <si>
    <t>Stockton-on-TeesHabinteg Housing Association Limited</t>
  </si>
  <si>
    <t>Stockton-on-TeesHellens Residential Limited</t>
  </si>
  <si>
    <t>Stockton-on-TeesHeylo Housing Registered Provider Limited</t>
  </si>
  <si>
    <t>Stockton-on-TeesHome Group Limited</t>
  </si>
  <si>
    <t>Stockton-on-TeesHousing 21</t>
  </si>
  <si>
    <t>Stockton-on-TeesKarbon Homes Limited</t>
  </si>
  <si>
    <t>Stockton-on-TeesLivin Housing Limited</t>
  </si>
  <si>
    <t>Stockton-on-TeesMy Space Housing Solutions</t>
  </si>
  <si>
    <t>Stockton-on-TeesNew Walk Property Management CIC</t>
  </si>
  <si>
    <t>Stockton-on-TeesNorth Star Housing Group</t>
  </si>
  <si>
    <t>Stockton-on-TeesPlaces for People Homes Limited</t>
  </si>
  <si>
    <t>Stockton-on-TeesRailway Housing Association and Benefit Fund</t>
  </si>
  <si>
    <t>Stockton-on-TeesThe Guinness Partnership Limited</t>
  </si>
  <si>
    <t>Stockton-on-TeesThe Riverside Group Limited</t>
  </si>
  <si>
    <t>Stockton-on-TeesThirteen Housing Group Limited</t>
  </si>
  <si>
    <t>Stoke-on-TrentAnchor Hanover Group</t>
  </si>
  <si>
    <t>Stoke-on-TrentAspire Housing Limited</t>
  </si>
  <si>
    <t>Stoke-on-TrentBrighter Futures Housing Association Limited</t>
  </si>
  <si>
    <t>Stoke-on-TrentChoices Housing Association Limited</t>
  </si>
  <si>
    <t>Stoke-on-TrentClarion Housing Association Limited</t>
  </si>
  <si>
    <t>Stoke-on-TrentDerwent Housing Association Limited</t>
  </si>
  <si>
    <t>Stoke-on-TrentEmpowering People Inspiring Communities Limited</t>
  </si>
  <si>
    <t>Stoke-on-TrentGreat Places Housing Association</t>
  </si>
  <si>
    <t>Stoke-on-TrentHawes Street Housing Limited</t>
  </si>
  <si>
    <t>Stoke-on-TrentHeylo Housing Registered Provider Limited</t>
  </si>
  <si>
    <t>Stoke-on-TrentHoneycomb Group Limited</t>
  </si>
  <si>
    <t>Stoke-on-TrentHousing 21</t>
  </si>
  <si>
    <t>Stoke-on-TrentInclusion Housing Community Interest Company</t>
  </si>
  <si>
    <t>Stoke-on-TrentMidland Heart Limited</t>
  </si>
  <si>
    <t>Stoke-on-TrentNACRO</t>
  </si>
  <si>
    <t>Stoke-on-TrentSalvation Army Housing Association</t>
  </si>
  <si>
    <t>Stoke-on-TrentSanctuary Affordable Housing Limited</t>
  </si>
  <si>
    <t>Stoke-on-TrentSanctuary Housing Association</t>
  </si>
  <si>
    <t>Stoke-on-TrentStoke-on-Trent Housing Society Limited</t>
  </si>
  <si>
    <t>Stoke-on-TrentTeachers' Housing Association Limited</t>
  </si>
  <si>
    <t>Stoke-on-TrentThe Riverside Group Limited</t>
  </si>
  <si>
    <t>Stoke-on-TrentThe Wrekin Housing Group Limited</t>
  </si>
  <si>
    <t>Stoke-on-TrentWestmoreland Supported Housing Limited</t>
  </si>
  <si>
    <t>Stoke-on-TrentYour Housing Limited</t>
  </si>
  <si>
    <t>Stratford-on-AvonAdvance Housing and Support Limited</t>
  </si>
  <si>
    <t>Stratford-on-AvonBromford Home Ownership Limited</t>
  </si>
  <si>
    <t>Stratford-on-AvonBromford Housing Association Limited</t>
  </si>
  <si>
    <t>Stratford-on-AvonCreative Support Limited</t>
  </si>
  <si>
    <t>Stratford-on-AvonFairplace Homes Ltd</t>
  </si>
  <si>
    <t>Stratford-on-AvonFrontis Homes Limited</t>
  </si>
  <si>
    <t>Stratford-on-AvonHeylo Housing Registered Provider Limited</t>
  </si>
  <si>
    <t>Stratford-on-AvonHome Group Limited</t>
  </si>
  <si>
    <t>Stratford-on-AvonLegal &amp; General Affordable Homes Limited</t>
  </si>
  <si>
    <t>Stratford-on-AvonOrbit Group Limited</t>
  </si>
  <si>
    <t>Stratford-on-AvonPlatform Housing Limited</t>
  </si>
  <si>
    <t>Stratford-on-AvonSage Housing Limited</t>
  </si>
  <si>
    <t>Stratford-on-AvonSambourne Trust</t>
  </si>
  <si>
    <t>Stratford-on-AvonSanctuary Affordable Housing Limited</t>
  </si>
  <si>
    <t>Stratford-on-AvonSanctuary Housing Association</t>
  </si>
  <si>
    <t>Stratford-on-AvonStonewater (2) Limited</t>
  </si>
  <si>
    <t>Stratford-on-AvonThe Municipal Charities of Stratford-upon-Avon</t>
  </si>
  <si>
    <t>Stratford-on-AvonWarwickshire Rural Housing Association Limited</t>
  </si>
  <si>
    <t>Stratford-on-AvonWhitehead Almshouses</t>
  </si>
  <si>
    <t>StroudAdvance Housing and Support Limited</t>
  </si>
  <si>
    <t>StroudAnchor Hanover Group</t>
  </si>
  <si>
    <t>StroudAster Communities</t>
  </si>
  <si>
    <t>StroudBirnbeck Housing Association Limited</t>
  </si>
  <si>
    <t>StroudBromford Housing Association Limited</t>
  </si>
  <si>
    <t>StroudCottsway Housing Association Limited</t>
  </si>
  <si>
    <t>StroudDimensions (UK) Limited</t>
  </si>
  <si>
    <t>StroudElim Housing Association Limited</t>
  </si>
  <si>
    <t xml:space="preserve">StroudEncircle Housing </t>
  </si>
  <si>
    <t>StroudFirst Priority Housing Association Limited</t>
  </si>
  <si>
    <t>StroudFountain Housing Association Limited</t>
  </si>
  <si>
    <t>StroudGloucester City Homes Limited</t>
  </si>
  <si>
    <t>StroudGloucestershire Rural Housing Association Limited</t>
  </si>
  <si>
    <t>StroudHeylo Housing Registered Provider Limited</t>
  </si>
  <si>
    <t>StroudHilldale Housing Association Limited</t>
  </si>
  <si>
    <t>StroudHome Group Limited</t>
  </si>
  <si>
    <t>StroudHousing 21</t>
  </si>
  <si>
    <t>StroudLiveWest Homes Limited</t>
  </si>
  <si>
    <t>StroudMerlin Housing Society Limited</t>
  </si>
  <si>
    <t>StroudNotting Hill Home Ownership Limited</t>
  </si>
  <si>
    <t>StroudPlaces for People Homes Limited</t>
  </si>
  <si>
    <t>StroudPlaces for People Living+ Limited</t>
  </si>
  <si>
    <t>StroudPlatform Housing Limited</t>
  </si>
  <si>
    <t>StroudRooftop Housing Association Limited</t>
  </si>
  <si>
    <t>StroudSage Housing Limited</t>
  </si>
  <si>
    <t>StroudSalvation Army Housing Association</t>
  </si>
  <si>
    <t>StroudSanctuary Affordable Housing Limited</t>
  </si>
  <si>
    <t>StroudSanctuary Housing Association</t>
  </si>
  <si>
    <t>StroudSovereign Housing Association Limited</t>
  </si>
  <si>
    <t>StroudStonewater (2) Limited</t>
  </si>
  <si>
    <t>StroudStonewater Limited</t>
  </si>
  <si>
    <t>StroudThe Guinness Partnership Limited</t>
  </si>
  <si>
    <t>StroudThe Reverend Rowland Hill Almshouse Charity</t>
  </si>
  <si>
    <t>StroudThe Riverside Group Limited</t>
  </si>
  <si>
    <t>StroudTrinity Housing Association Limited</t>
  </si>
  <si>
    <t>StroudTwo Rivers Housing</t>
  </si>
  <si>
    <t>StroudWestmoreland Supported Housing Limited</t>
  </si>
  <si>
    <t>SunderlandAccent Housing Limited</t>
  </si>
  <si>
    <t>SunderlandAged Merchant Seamen's Homes</t>
  </si>
  <si>
    <t>SunderlandAnchor Hanover Group</t>
  </si>
  <si>
    <t>SunderlandAth-Gray Housing Co-operative Limited</t>
  </si>
  <si>
    <t>SunderlandBelieve Housing Limited</t>
  </si>
  <si>
    <t>SunderlandBernicia Group</t>
  </si>
  <si>
    <t>SunderlandCastles &amp; Coasts Housing Association Limited</t>
  </si>
  <si>
    <t>SunderlandCentrepoint Soho</t>
  </si>
  <si>
    <t>SunderlandDurham Aged Mineworkers' Homes Association</t>
  </si>
  <si>
    <t>SunderlandGentoo Group Limited</t>
  </si>
  <si>
    <t>SunderlandHellens Residential Limited</t>
  </si>
  <si>
    <t>SunderlandHeylo Housing Registered Provider Limited</t>
  </si>
  <si>
    <t>SunderlandHome Group Limited</t>
  </si>
  <si>
    <t>SunderlandHousing 21</t>
  </si>
  <si>
    <t>SunderlandInclusion Housing Community Interest Company</t>
  </si>
  <si>
    <t>SunderlandJane Gibson Almshouses</t>
  </si>
  <si>
    <t>SunderlandKarbon Homes Limited</t>
  </si>
  <si>
    <t>SunderlandNorth Star Housing Group</t>
  </si>
  <si>
    <t>SunderlandPeel Street Housing Co-operative Limited</t>
  </si>
  <si>
    <t>SunderlandPlaces for People Homes Limited</t>
  </si>
  <si>
    <t>SunderlandPlaces for People Living+ Limited</t>
  </si>
  <si>
    <t>SunderlandRailway Housing Association and Benefit Fund</t>
  </si>
  <si>
    <t>SunderlandReside Housing Association Limited</t>
  </si>
  <si>
    <t>SunderlandSalvation Army Housing Association</t>
  </si>
  <si>
    <t>SunderlandSanctuary Housing Association</t>
  </si>
  <si>
    <t>SunderlandSunderland Riverside Housing Co-operative Limited</t>
  </si>
  <si>
    <t>SunderlandTCUK Homes Limited</t>
  </si>
  <si>
    <t>SunderlandThe Abbeyfield Society</t>
  </si>
  <si>
    <t>SunderlandThe Riverside Group Limited</t>
  </si>
  <si>
    <t>SunderlandThirteen Housing Group Limited</t>
  </si>
  <si>
    <t>SunderlandThornholme Housing Co-operative Limited</t>
  </si>
  <si>
    <t>SunderlandWearmouth Housing Co-operative Limited</t>
  </si>
  <si>
    <t>Surrey HeathA2Dominion South Limited</t>
  </si>
  <si>
    <t>Surrey HeathAccent Housing Limited</t>
  </si>
  <si>
    <t>Surrey HeathAdvance Housing and Support Limited</t>
  </si>
  <si>
    <t>Surrey HeathAnchor Hanover Group</t>
  </si>
  <si>
    <t>Surrey HeathClarion Housing Association Limited</t>
  </si>
  <si>
    <t xml:space="preserve">Surrey HeathEncircle Housing </t>
  </si>
  <si>
    <t>Surrey HeathHome Group Limited</t>
  </si>
  <si>
    <t>Surrey HeathInclusion Housing Community Interest Company</t>
  </si>
  <si>
    <t>Surrey HeathLondon &amp; Quadrant Housing Trust</t>
  </si>
  <si>
    <t>Surrey HeathMetropolitan Housing Trust Limited</t>
  </si>
  <si>
    <t>Surrey HeathMount Green Housing Association Limited</t>
  </si>
  <si>
    <t>Surrey HeathMy Space Housing Solutions</t>
  </si>
  <si>
    <t>Surrey HeathReside Housing Association Limited</t>
  </si>
  <si>
    <t>Surrey HeathSovereign Housing Association Limited</t>
  </si>
  <si>
    <t>Surrey HeathThe Field Lane Foundation</t>
  </si>
  <si>
    <t>Surrey HeathThe Richmond Fellowship</t>
  </si>
  <si>
    <t>Surrey HeathTransform Housing &amp; Support</t>
  </si>
  <si>
    <t>Surrey HeathVivid Housing Limited</t>
  </si>
  <si>
    <t>Surrey HeathWestmoreland Supported Housing Limited</t>
  </si>
  <si>
    <t>SuttonA2Dominion Homes Limited</t>
  </si>
  <si>
    <t>SuttonAbbeyfield Southern Oaks</t>
  </si>
  <si>
    <t>SuttonAbility Housing Association</t>
  </si>
  <si>
    <t>SuttonAdvance Housing and Support Limited</t>
  </si>
  <si>
    <t>SuttonAnchor Hanover Group</t>
  </si>
  <si>
    <t>SuttonClarion Housing Association Limited</t>
  </si>
  <si>
    <t>SuttonCroydon Churches Housing Association Limited</t>
  </si>
  <si>
    <t>SuttonHeylo Housing Registered Provider Limited</t>
  </si>
  <si>
    <t>SuttonHome Group Limited</t>
  </si>
  <si>
    <t>SuttonHousing 21</t>
  </si>
  <si>
    <t>SuttonLarcombe Housing Association Limited</t>
  </si>
  <si>
    <t>SuttonLondon &amp; Quadrant Housing Trust</t>
  </si>
  <si>
    <t>SuttonMetropolitan Housing Trust Limited</t>
  </si>
  <si>
    <t>SuttonMillat Asian Housing Association Limited</t>
  </si>
  <si>
    <t>SuttonMoat Homes Limited</t>
  </si>
  <si>
    <t>SuttonNotting Hill Genesis</t>
  </si>
  <si>
    <t>SuttonNotting Hill Home Ownership Limited</t>
  </si>
  <si>
    <t>SuttonOmega Housing Limited</t>
  </si>
  <si>
    <t>SuttonOptivo</t>
  </si>
  <si>
    <t>SuttonOrbit Group Limited</t>
  </si>
  <si>
    <t>SuttonPeabody Trust</t>
  </si>
  <si>
    <t>SuttonPlaces for People Homes Limited</t>
  </si>
  <si>
    <t>SuttonProgress Housing Association Limited</t>
  </si>
  <si>
    <t>SuttonRaven Housing Trust Limited</t>
  </si>
  <si>
    <t>SuttonReside Housing Association Limited</t>
  </si>
  <si>
    <t>SuttonRosemary Simmons Memorial Housing Association Limited</t>
  </si>
  <si>
    <t>SuttonSage Housing Limited</t>
  </si>
  <si>
    <t>SuttonShepherds Bush Housing Association Limited</t>
  </si>
  <si>
    <t>SuttonSouthern Housing Group Limited</t>
  </si>
  <si>
    <t>SuttonSt Mungo Community Housing Association</t>
  </si>
  <si>
    <t>SuttonSutton Housing Society Limited</t>
  </si>
  <si>
    <t>SuttonThames Valley Housing Association Limited</t>
  </si>
  <si>
    <t>SuttonThe Riverside Group Limited</t>
  </si>
  <si>
    <t>SuttonTransform Housing &amp; Support</t>
  </si>
  <si>
    <t>SuttonWandle Housing Association Limited</t>
  </si>
  <si>
    <t>SuttonWestmoreland Supported Housing Limited</t>
  </si>
  <si>
    <t>SwaleAnchor Hanover Group</t>
  </si>
  <si>
    <t>SwaleCharity of Julia Spicer for Almshouses</t>
  </si>
  <si>
    <t>SwaleEnglish Rural Housing Association Limited</t>
  </si>
  <si>
    <t>SwaleGolding Homes Limited</t>
  </si>
  <si>
    <t>SwaleGrainger Trust Limited</t>
  </si>
  <si>
    <t>SwaleHabinteg Housing Association Limited</t>
  </si>
  <si>
    <t>SwaleHexagon Housing Association Limited</t>
  </si>
  <si>
    <t>SwaleHeylo Housing Registered Provider Limited</t>
  </si>
  <si>
    <t>SwaleHousing 21</t>
  </si>
  <si>
    <t>SwaleHyde Housing Association Limited</t>
  </si>
  <si>
    <t>SwaleLondon &amp; Quadrant Housing Trust</t>
  </si>
  <si>
    <t>SwaleLynsted Housing Co-operative Limited</t>
  </si>
  <si>
    <t>SwaleMinster Housing Co-operative Limited</t>
  </si>
  <si>
    <t>SwaleMoat Homes Limited</t>
  </si>
  <si>
    <t>SwaleOptivo</t>
  </si>
  <si>
    <t>SwaleOrbit Group Limited</t>
  </si>
  <si>
    <t>SwalePlaces for People Homes Limited</t>
  </si>
  <si>
    <t>SwalePlaces for People Living+ Limited</t>
  </si>
  <si>
    <t>SwaleReside Housing Association Limited</t>
  </si>
  <si>
    <t>SwaleSage Housing Limited</t>
  </si>
  <si>
    <t>SwaleSanctuary Affordable Housing Limited</t>
  </si>
  <si>
    <t>SwaleSanctuary Housing Association</t>
  </si>
  <si>
    <t>SwaleThe Riverside Group Limited</t>
  </si>
  <si>
    <t>SwaleWest Kent Housing Association</t>
  </si>
  <si>
    <t>SwindonA2Dominion Homes Limited</t>
  </si>
  <si>
    <t>SwindonAbility Housing Association</t>
  </si>
  <si>
    <t>SwindonAdvance Housing and Support Limited</t>
  </si>
  <si>
    <t>SwindonAnchor Hanover Group</t>
  </si>
  <si>
    <t>SwindonAster Communities</t>
  </si>
  <si>
    <t>SwindonBromford Housing Association Limited</t>
  </si>
  <si>
    <t>SwindonCottsway Housing Association Limited</t>
  </si>
  <si>
    <t>SwindonFrontis Homes Limited</t>
  </si>
  <si>
    <t>SwindonHabinteg Housing Association Limited</t>
  </si>
  <si>
    <t>SwindonHeylo Housing Registered Provider Limited</t>
  </si>
  <si>
    <t>SwindonHome Group Limited</t>
  </si>
  <si>
    <t>SwindonHousing 21</t>
  </si>
  <si>
    <t>SwindonLiveWest Homes Limited</t>
  </si>
  <si>
    <t>SwindonMethodist Homes Housing Association Limited</t>
  </si>
  <si>
    <t>SwindonMoat Homes Limited</t>
  </si>
  <si>
    <t>SwindonPlaces for People Homes Limited</t>
  </si>
  <si>
    <t>SwindonPlaces for People Living+ Limited</t>
  </si>
  <si>
    <t>SwindonSalvation Army Housing Association</t>
  </si>
  <si>
    <t>SwindonSanctuary Housing Association</t>
  </si>
  <si>
    <t>SwindonSoha Housing Limited</t>
  </si>
  <si>
    <t>SwindonSovereign Housing Association Limited</t>
  </si>
  <si>
    <t>SwindonStonewater (2) Limited</t>
  </si>
  <si>
    <t>SwindonStonewater (5) Limited</t>
  </si>
  <si>
    <t>SwindonStonewater Limited</t>
  </si>
  <si>
    <t>SwindonSynergy Housing Limited</t>
  </si>
  <si>
    <t>SwindonThe Guinness Partnership Limited</t>
  </si>
  <si>
    <t>SwindonThe Riverside Group Limited</t>
  </si>
  <si>
    <t>SwindonWhite Horse Housing Association Limited</t>
  </si>
  <si>
    <t>TamesideAccent Housing Limited</t>
  </si>
  <si>
    <t>TamesideAdullam Homes Housing Association Limited</t>
  </si>
  <si>
    <t>TamesideAdvance Housing and Support Limited</t>
  </si>
  <si>
    <t>TamesideAnchor Hanover Group</t>
  </si>
  <si>
    <t>TamesideArcon Housing Association Limited</t>
  </si>
  <si>
    <t>TamesideAshton Pioneer Homes Limited</t>
  </si>
  <si>
    <t>TamesideCreative Support Limited</t>
  </si>
  <si>
    <t>TamesideFairfield Moravian Housing Association Limited</t>
  </si>
  <si>
    <t>TamesideFirst Priority Housing Association Limited</t>
  </si>
  <si>
    <t>TamesideGreat Places Housing Association</t>
  </si>
  <si>
    <t>TamesideHalo Housing Association Limited</t>
  </si>
  <si>
    <t>TamesideHeylo Housing Registered Provider Limited</t>
  </si>
  <si>
    <t>TamesideHousing 21</t>
  </si>
  <si>
    <t>TamesideIrwell Valley Housing Association Limited</t>
  </si>
  <si>
    <t>TamesideJigsaw Homes Group Limited</t>
  </si>
  <si>
    <t>Tameside'Johnnie' Johnson Housing Trust Limited</t>
  </si>
  <si>
    <t>TamesideMosscare St. Vincent's Housing Group Limited</t>
  </si>
  <si>
    <t>TamesideOnward Homes Limited</t>
  </si>
  <si>
    <t>TamesidePlaces for People Homes Limited</t>
  </si>
  <si>
    <t>TamesideRegenda Limited</t>
  </si>
  <si>
    <t>TamesideSanctuary Housing Association</t>
  </si>
  <si>
    <t>TamesideSouthway Housing Trust (Manchester) Limited</t>
  </si>
  <si>
    <t>TamesideThe Guinness Partnership Limited</t>
  </si>
  <si>
    <t>TamesideYour Housing Limited</t>
  </si>
  <si>
    <t>TamworthAnchor Hanover Group</t>
  </si>
  <si>
    <t>TamworthBromford Housing Association Limited</t>
  </si>
  <si>
    <t>TamworthCitizen Housing Group Limited</t>
  </si>
  <si>
    <t>TamworthClarion Housing Association Limited</t>
  </si>
  <si>
    <t>TamworthDerwent Housing Association Limited</t>
  </si>
  <si>
    <t>TamworthEMH Housing and Regeneration Limited</t>
  </si>
  <si>
    <t>TamworthEmpower Housing Association Limited</t>
  </si>
  <si>
    <t>TamworthMetropolitan Housing Trust Limited</t>
  </si>
  <si>
    <t>TamworthMidland Heart Limited</t>
  </si>
  <si>
    <t>TamworthOrbit Group Limited</t>
  </si>
  <si>
    <t>TamworthPlatform Housing Limited</t>
  </si>
  <si>
    <t>TamworthSage Housing Limited</t>
  </si>
  <si>
    <t>TamworthTamworth Cornerstone Housing Association Limited</t>
  </si>
  <si>
    <t>TamworthThe Riverside Group Limited</t>
  </si>
  <si>
    <t>TamworthTrident Housing Association Limited</t>
  </si>
  <si>
    <t>TamworthWalsall Housing Group Limited</t>
  </si>
  <si>
    <t>TandridgeA2Dominion Homes Limited</t>
  </si>
  <si>
    <t>TandridgeA2Dominion South Limited</t>
  </si>
  <si>
    <t>TandridgeClarion Housing Association Limited</t>
  </si>
  <si>
    <t>TandridgeEnglish Rural Housing Association Limited</t>
  </si>
  <si>
    <t>TandridgeGreenoak Housing Association Limited</t>
  </si>
  <si>
    <t>TandridgeHabinteg Housing Association Limited</t>
  </si>
  <si>
    <t>TandridgeHalo Housing Association Limited</t>
  </si>
  <si>
    <t>TandridgeHyde Housing Association Limited</t>
  </si>
  <si>
    <t>TandridgeLondon &amp; Quadrant Housing Trust</t>
  </si>
  <si>
    <t>TandridgeMetropolitan Housing Trust Limited</t>
  </si>
  <si>
    <t>TandridgeMount Green Housing Association Limited</t>
  </si>
  <si>
    <t>TandridgeOne Housing Group Limited</t>
  </si>
  <si>
    <t>TandridgeOptivo</t>
  </si>
  <si>
    <t>TandridgeRadcliffe Housing Society Limited</t>
  </si>
  <si>
    <t>TandridgeRaven Housing Trust Limited</t>
  </si>
  <si>
    <t>TandridgeReside Housing Association Limited</t>
  </si>
  <si>
    <t>TandridgeRosebery Housing Association Limited</t>
  </si>
  <si>
    <t>TandridgeShepherds Bush Housing Association Limited</t>
  </si>
  <si>
    <t>TandridgeSouthern Housing Group Limited</t>
  </si>
  <si>
    <t>TandridgeThe Abbeyfield North Downs Society Limited</t>
  </si>
  <si>
    <t>TandridgeThe Field Lane Foundation</t>
  </si>
  <si>
    <t>TandridgeThe Guinness Partnership Limited</t>
  </si>
  <si>
    <t>TandridgeTransform Housing &amp; Support</t>
  </si>
  <si>
    <t>TeignbridgeAdvance Housing and Support Limited</t>
  </si>
  <si>
    <t>TeignbridgeAnchor Hanover Group</t>
  </si>
  <si>
    <t>TeignbridgeAster Communities</t>
  </si>
  <si>
    <t>TeignbridgeClarion Housing Association Limited</t>
  </si>
  <si>
    <t>TeignbridgeCornerstone Housing Limited</t>
  </si>
  <si>
    <t>TeignbridgeEmpower Housing Association Limited</t>
  </si>
  <si>
    <t>TeignbridgeGuinness Care and Support Limited</t>
  </si>
  <si>
    <t>TeignbridgeHastoe Housing Association Limited</t>
  </si>
  <si>
    <t>TeignbridgeHeylo Housing Registered Provider Limited</t>
  </si>
  <si>
    <t>TeignbridgeLets for Life</t>
  </si>
  <si>
    <t>TeignbridgeLiveWest Homes Limited</t>
  </si>
  <si>
    <t>TeignbridgeMetropolitan Housing Trust Limited</t>
  </si>
  <si>
    <t>TeignbridgeMoat Homes Limited</t>
  </si>
  <si>
    <t>TeignbridgeProgress Housing Association Limited</t>
  </si>
  <si>
    <t>TeignbridgeRed Devon Housing Limited</t>
  </si>
  <si>
    <t>TeignbridgeSanctuary Affordable Housing Limited</t>
  </si>
  <si>
    <t>TeignbridgeSanctuary Housing Association</t>
  </si>
  <si>
    <t>TeignbridgeSouth Devon Rural Housing Association Limited</t>
  </si>
  <si>
    <t>TeignbridgeSovereign Housing Association Limited</t>
  </si>
  <si>
    <t>TeignbridgeTeign Housing</t>
  </si>
  <si>
    <t>TeignbridgeThe Guinness Partnership Limited</t>
  </si>
  <si>
    <t>TeignbridgeWestward Housing Group Limited</t>
  </si>
  <si>
    <t>Telford and WrekinAlpha (R.S.L.) Limited</t>
  </si>
  <si>
    <t>Telford and WrekinAnchor Hanover Group</t>
  </si>
  <si>
    <t>Telford and WrekinBlackburn YMCA</t>
  </si>
  <si>
    <t>Telford and WrekinBournville Village Trust</t>
  </si>
  <si>
    <t>Telford and WrekinBromford Housing Association Limited</t>
  </si>
  <si>
    <t>Telford and WrekinDimensions (UK) Limited</t>
  </si>
  <si>
    <t>Telford and WrekinFairplace Homes Ltd</t>
  </si>
  <si>
    <t>Telford and WrekinHabinteg Housing Association Limited</t>
  </si>
  <si>
    <t>Telford and WrekinHalo Housing Association Limited</t>
  </si>
  <si>
    <t>Telford and WrekinHeylo Housing Registered Provider Limited</t>
  </si>
  <si>
    <t>Telford and WrekinHome Group Limited</t>
  </si>
  <si>
    <t>Telford and WrekinHousing 21</t>
  </si>
  <si>
    <t>Telford and WrekinInclusion Housing Community Interest Company</t>
  </si>
  <si>
    <t>Telford and WrekinMy Space Housing Solutions</t>
  </si>
  <si>
    <t>Telford and WrekinPlaces for People Homes Limited</t>
  </si>
  <si>
    <t>Telford and WrekinReside Housing Association Limited</t>
  </si>
  <si>
    <t>Telford and WrekinSanctuary Affordable Housing Limited</t>
  </si>
  <si>
    <t>Telford and WrekinSanctuary Housing Association</t>
  </si>
  <si>
    <t>Telford and WrekinThe Wrekin Housing Group Limited</t>
  </si>
  <si>
    <t>Telford and WrekinTrident Housing Association Limited</t>
  </si>
  <si>
    <t>Telford and WrekinWalsall Housing Group Limited</t>
  </si>
  <si>
    <t>TendringAdvance Housing and Support Limited</t>
  </si>
  <si>
    <t>TendringAnchor Hanover Group</t>
  </si>
  <si>
    <t>TendringChelmer Housing Partnership Limited</t>
  </si>
  <si>
    <t>TendringClarion Housing Association Limited</t>
  </si>
  <si>
    <t>TendringDimensions (UK) Limited</t>
  </si>
  <si>
    <t>TendringEmpower Housing Association Limited</t>
  </si>
  <si>
    <t>TendringEnglish Rural Housing Association Limited</t>
  </si>
  <si>
    <t>TendringEstuary Housing Association Limited</t>
  </si>
  <si>
    <t>TendringFlagship Housing Group Limited</t>
  </si>
  <si>
    <t>TendringHabinteg Housing Association Limited</t>
  </si>
  <si>
    <t>TendringHastoe Housing Association Limited</t>
  </si>
  <si>
    <t>TendringHeylo Housing Registered Provider Limited</t>
  </si>
  <si>
    <t>TendringHome Group Limited</t>
  </si>
  <si>
    <t>TendringHousing 21</t>
  </si>
  <si>
    <t>TendringInclusion Housing Community Interest Company</t>
  </si>
  <si>
    <t>TendringLets for Life</t>
  </si>
  <si>
    <t>TendringLondon &amp; Quadrant Housing Trust</t>
  </si>
  <si>
    <t>TendringMetropolitan Housing Trust Limited</t>
  </si>
  <si>
    <t>TendringNACRO</t>
  </si>
  <si>
    <t>TendringOrwell Housing Association Limited</t>
  </si>
  <si>
    <t>TendringPlaces for People Homes Limited</t>
  </si>
  <si>
    <t>TendringProgress Housing Association Limited</t>
  </si>
  <si>
    <t>TendringSaffron Housing Trust Limited</t>
  </si>
  <si>
    <t>TendringSage Housing Limited</t>
  </si>
  <si>
    <t>TendringSalvation Army Housing Association</t>
  </si>
  <si>
    <t>TendringSanctuary Affordable Housing Limited</t>
  </si>
  <si>
    <t>TendringSanctuary Housing Association</t>
  </si>
  <si>
    <t>TendringSwan Housing Association Limited</t>
  </si>
  <si>
    <t>TendringThe Guinness Partnership Limited</t>
  </si>
  <si>
    <t>TendringThe Riverside Group Limited</t>
  </si>
  <si>
    <t>Test ValleyAbbeyfield Wessex Society Limited</t>
  </si>
  <si>
    <t>Test ValleyAdvance Housing and Support Limited</t>
  </si>
  <si>
    <t>Test ValleyAnchor Hanover Group</t>
  </si>
  <si>
    <t>Test ValleyAster 3 Limited</t>
  </si>
  <si>
    <t>Test ValleyAster Communities</t>
  </si>
  <si>
    <t>Test ValleyClarion Housing Association Limited</t>
  </si>
  <si>
    <t>Test ValleyDimensions (UK) Limited</t>
  </si>
  <si>
    <t>Test ValleyEnglish Rural Housing Association Limited</t>
  </si>
  <si>
    <t>Test ValleyEnham Trust</t>
  </si>
  <si>
    <t>Test ValleyHome Group Limited</t>
  </si>
  <si>
    <t>Test ValleyHousing 21</t>
  </si>
  <si>
    <t>Test ValleyLiveWest Homes Limited</t>
  </si>
  <si>
    <t>Test ValleyLondon &amp; Quadrant Housing Trust</t>
  </si>
  <si>
    <t>Test ValleyMoat Homes Limited</t>
  </si>
  <si>
    <t>Test ValleyParasol Homes Limited</t>
  </si>
  <si>
    <t>Test ValleyPlaces for People Homes Limited</t>
  </si>
  <si>
    <t>Test ValleySage Housing Limited</t>
  </si>
  <si>
    <t>Test ValleySalvation Army Housing Association</t>
  </si>
  <si>
    <t>Test ValleySanctuary Housing Association</t>
  </si>
  <si>
    <t>Test ValleySovereign Housing Association Limited</t>
  </si>
  <si>
    <t>Test ValleyStonewater Limited</t>
  </si>
  <si>
    <t>Test ValleySynergy Housing Limited</t>
  </si>
  <si>
    <t>Test ValleyThe Andover Charities</t>
  </si>
  <si>
    <t>Test ValleyThe Swaythling Housing Society Limited</t>
  </si>
  <si>
    <t>Test ValleyTwo Saints Limited</t>
  </si>
  <si>
    <t>Test ValleyVivid Housing Limited</t>
  </si>
  <si>
    <t>TewkesburyAdvance Housing and Support Limited</t>
  </si>
  <si>
    <t>TewkesburyAnchor Hanover Group</t>
  </si>
  <si>
    <t>TewkesburyBromford Housing Association Limited</t>
  </si>
  <si>
    <t>TewkesburyCitizen Housing Group Limited</t>
  </si>
  <si>
    <t>TewkesburyCottsway Housing Association Limited</t>
  </si>
  <si>
    <t>TewkesburyEnglish Rural Housing Association Limited</t>
  </si>
  <si>
    <t>TewkesburyGloucester City Homes Limited</t>
  </si>
  <si>
    <t>TewkesburyGloucestershire Rural Housing Association Limited</t>
  </si>
  <si>
    <t>TewkesburyHeylo Housing Registered Provider Limited</t>
  </si>
  <si>
    <t>TewkesburyHousing 21</t>
  </si>
  <si>
    <t>TewkesburyLangley House Trust</t>
  </si>
  <si>
    <t>TewkesburyLiveWest Homes Limited</t>
  </si>
  <si>
    <t>TewkesburyMerlin Housing Society Limited</t>
  </si>
  <si>
    <t>TewkesburyMoat Homes Limited</t>
  </si>
  <si>
    <t>TewkesburyPlatform Housing Limited</t>
  </si>
  <si>
    <t>TewkesburyRooftop Housing Association Limited</t>
  </si>
  <si>
    <t>TewkesburySage Housing Limited</t>
  </si>
  <si>
    <t>TewkesburySanctuary Housing Association</t>
  </si>
  <si>
    <t>TewkesburySovereign Housing Association Limited</t>
  </si>
  <si>
    <t>TewkesburyStonewater (2) Limited</t>
  </si>
  <si>
    <t>TewkesburyThe Guinness Partnership Limited</t>
  </si>
  <si>
    <t>TewkesburyTwo Rivers Housing</t>
  </si>
  <si>
    <t>TewkesburyWestmoreland Supported Housing Limited</t>
  </si>
  <si>
    <t>ThanetAdvance Housing and Support Limited</t>
  </si>
  <si>
    <t>ThanetAnchor Hanover Group</t>
  </si>
  <si>
    <t>ThanetClarion Housing Association Limited</t>
  </si>
  <si>
    <t>ThanetFalcon Housing Association C.I.C</t>
  </si>
  <si>
    <t>ThanetHeylo Housing Registered Provider Limited</t>
  </si>
  <si>
    <t>ThanetHousing 21</t>
  </si>
  <si>
    <t>ThanetJewish Community Housing Association Limited</t>
  </si>
  <si>
    <t>ThanetMoat Homes Limited</t>
  </si>
  <si>
    <t>ThanetNew Foundations Housing Association Limited</t>
  </si>
  <si>
    <t>ThanetOptivo</t>
  </si>
  <si>
    <t>ThanetOrbit Group Limited</t>
  </si>
  <si>
    <t>ThanetPlaces for People Homes Limited</t>
  </si>
  <si>
    <t>ThanetReside Housing Association Limited</t>
  </si>
  <si>
    <t>ThanetSanctuary Housing Association</t>
  </si>
  <si>
    <t>ThanetSouthern Housing Group Limited</t>
  </si>
  <si>
    <t>ThanetThe Abbeyfield Society</t>
  </si>
  <si>
    <t>ThanetThe Riverside Group Limited</t>
  </si>
  <si>
    <t>ThanetTown and Country Housing</t>
  </si>
  <si>
    <t>ThanetWest Kent Housing Association</t>
  </si>
  <si>
    <t>ThanetWestmoreland Supported Housing Limited</t>
  </si>
  <si>
    <t>Three RiversAnchor Hanover Group</t>
  </si>
  <si>
    <t>Three RiversCatalyst Housing Limited</t>
  </si>
  <si>
    <t>Three RiversClarion Housing Association Limited</t>
  </si>
  <si>
    <t>Three RiversHabinteg Housing Association Limited</t>
  </si>
  <si>
    <t>Three RiversHightown Housing Association Limited</t>
  </si>
  <si>
    <t>Three RiversHome Group Limited</t>
  </si>
  <si>
    <t>Three RiversHousing 21</t>
  </si>
  <si>
    <t>Three RiversMetropolitan Housing Trust Limited</t>
  </si>
  <si>
    <t>Three RiversNetwork Homes Limited</t>
  </si>
  <si>
    <t>Three RiversNotting Hill Genesis</t>
  </si>
  <si>
    <t>Three RiversNotting Hill Home Ownership Limited</t>
  </si>
  <si>
    <t>Three RiversOrigin Housing Limited</t>
  </si>
  <si>
    <t>Three RiversParadigm Homes Charitable Housing Association Limited</t>
  </si>
  <si>
    <t>Three RiversPlaces for People Homes Limited</t>
  </si>
  <si>
    <t>Three RiversPlaces for People Living+ Limited</t>
  </si>
  <si>
    <t>Three RiversReside Housing Association Limited</t>
  </si>
  <si>
    <t>Three RiversRickmansworth Churches Housing Association Limited</t>
  </si>
  <si>
    <t>Three RiversSanctuary Housing Association</t>
  </si>
  <si>
    <t>Three RiversShepherds Bush Housing Association Limited</t>
  </si>
  <si>
    <t>Three RiversThe Abbeyfield West Herts Society Limited</t>
  </si>
  <si>
    <t>Three RiversThe Riverside Group Limited</t>
  </si>
  <si>
    <t>Three RiversThrive Homes Limited</t>
  </si>
  <si>
    <t>Three RiversWatford Community Housing Trust</t>
  </si>
  <si>
    <t>ThurrockAnchor Hanover Group</t>
  </si>
  <si>
    <t>ThurrockBirnbeck Housing Association Limited</t>
  </si>
  <si>
    <t>ThurrockChelmer Housing Partnership Limited</t>
  </si>
  <si>
    <t>ThurrockClarion Housing Association Limited</t>
  </si>
  <si>
    <t>ThurrockCWL Housing</t>
  </si>
  <si>
    <t>ThurrockEstuary Housing Association Limited</t>
  </si>
  <si>
    <t>ThurrockHeylo Housing Registered Provider Limited</t>
  </si>
  <si>
    <t>ThurrockLocal Space</t>
  </si>
  <si>
    <t>ThurrockLondon &amp; Quadrant Housing Trust</t>
  </si>
  <si>
    <t>ThurrockMoat Homes Limited</t>
  </si>
  <si>
    <t>ThurrockNotting Hill Genesis</t>
  </si>
  <si>
    <t>ThurrockPlaces for People Homes Limited</t>
  </si>
  <si>
    <t>ThurrockSanctuary Housing Association</t>
  </si>
  <si>
    <t>ThurrockSouthern Housing Group Limited</t>
  </si>
  <si>
    <t>ThurrockSwan Housing Association Limited</t>
  </si>
  <si>
    <t>ThurrockThe Riverside Group Limited</t>
  </si>
  <si>
    <t>Tonbridge and MallingA2Dominion Homes Limited</t>
  </si>
  <si>
    <t>Tonbridge and MallingAdvance Housing and Support Limited</t>
  </si>
  <si>
    <t>Tonbridge and MallingAlmshouse Charity of Elizabeth Smith</t>
  </si>
  <si>
    <t>Tonbridge and MallingAnchor Hanover Group</t>
  </si>
  <si>
    <t>Tonbridge and MallingBlackburn YMCA</t>
  </si>
  <si>
    <t>Tonbridge and MallingBoorman's Almshouses</t>
  </si>
  <si>
    <t>Tonbridge and MallingClarion Housing Association Limited</t>
  </si>
  <si>
    <t>Tonbridge and MallingFirst Priority Housing Association Limited</t>
  </si>
  <si>
    <t>Tonbridge and MallingGolding Homes Limited</t>
  </si>
  <si>
    <t>Tonbridge and MallingHousing 21</t>
  </si>
  <si>
    <t>Tonbridge and MallingHyde Housing Association Limited</t>
  </si>
  <si>
    <t>Tonbridge and MallingLiveWest Homes Limited</t>
  </si>
  <si>
    <t>Tonbridge and MallingLondon &amp; Quadrant Housing Trust</t>
  </si>
  <si>
    <t>Tonbridge and MallingMoat Homes Limited</t>
  </si>
  <si>
    <t>Tonbridge and MallingOrbit Group Limited</t>
  </si>
  <si>
    <t>Tonbridge and MallingParasol Homes Limited</t>
  </si>
  <si>
    <t>Tonbridge and MallingPlaces for People Homes Limited</t>
  </si>
  <si>
    <t>Tonbridge and MallingRapport Housing and Care</t>
  </si>
  <si>
    <t>Tonbridge and MallingReside Housing Association Limited</t>
  </si>
  <si>
    <t>Tonbridge and MallingSanctuary Affordable Housing Limited</t>
  </si>
  <si>
    <t>Tonbridge and MallingSanctuary Housing Association</t>
  </si>
  <si>
    <t>Tonbridge and MallingSouthern Housing Group Limited</t>
  </si>
  <si>
    <t>Tonbridge and MallingThe Hospital of the Holy Trinity Aylesford</t>
  </si>
  <si>
    <t>Tonbridge and MallingThe Riverside Group Limited</t>
  </si>
  <si>
    <t>Tonbridge and MallingTonbridge United Charity</t>
  </si>
  <si>
    <t>Tonbridge and MallingTown and Country Housing</t>
  </si>
  <si>
    <t>Tonbridge and MallingWest Kent Housing Association</t>
  </si>
  <si>
    <t>TorbayAdvance Housing and Support Limited</t>
  </si>
  <si>
    <t>TorbayAnchor Hanover Group</t>
  </si>
  <si>
    <t>TorbayAster Communities</t>
  </si>
  <si>
    <t>TorbayGuinness Care and Support Limited</t>
  </si>
  <si>
    <t>TorbayHeylo Housing Registered Provider Limited</t>
  </si>
  <si>
    <t>TorbayHome Group Limited</t>
  </si>
  <si>
    <t>TorbayLangley House Trust</t>
  </si>
  <si>
    <t>TorbayLets for Life</t>
  </si>
  <si>
    <t>TorbayLiveWest Homes Limited</t>
  </si>
  <si>
    <t>TorbayMagna Housing Limited</t>
  </si>
  <si>
    <t>TorbayMoat Homes Limited</t>
  </si>
  <si>
    <t>TorbayPlaces for People Living+ Limited</t>
  </si>
  <si>
    <t>TorbayPlexus UK (First Project) Limited</t>
  </si>
  <si>
    <t>TorbayProgress Housing Association Limited</t>
  </si>
  <si>
    <t>TorbayReside Housing Association Limited</t>
  </si>
  <si>
    <t>TorbaySalvation Army Housing Association</t>
  </si>
  <si>
    <t>TorbaySanctuary Affordable Housing Limited</t>
  </si>
  <si>
    <t>TorbaySanctuary Housing Association</t>
  </si>
  <si>
    <t>TorbaySovereign Housing Association Limited</t>
  </si>
  <si>
    <t>TorbayStonewater (5) Limited</t>
  </si>
  <si>
    <t>TorbayStonewater Limited</t>
  </si>
  <si>
    <t>TorbayTeachers' Housing Association Limited</t>
  </si>
  <si>
    <t>TorbayThe Abbeyfield South West Society Limited</t>
  </si>
  <si>
    <t>TorbayThe Guinness Partnership Limited</t>
  </si>
  <si>
    <t>TorbayWestward Housing Group Limited</t>
  </si>
  <si>
    <t>TorridgeAdvance Housing and Support Limited</t>
  </si>
  <si>
    <t>TorridgeAster Communities</t>
  </si>
  <si>
    <t>TorridgeHastoe Housing Association Limited</t>
  </si>
  <si>
    <t>TorridgeHeylo Housing Registered Provider Limited</t>
  </si>
  <si>
    <t>TorridgeLiveWest Homes Limited</t>
  </si>
  <si>
    <t>TorridgeMoat Homes Limited</t>
  </si>
  <si>
    <t>TorridgeNorth Devon Homes</t>
  </si>
  <si>
    <t>TorridgeRoborough Community Property Association Limited</t>
  </si>
  <si>
    <t>TorridgeSanctuary Affordable Housing Limited</t>
  </si>
  <si>
    <t>TorridgeSanctuary Housing Association</t>
  </si>
  <si>
    <t>TorridgeSouth Western Housing Society Limited</t>
  </si>
  <si>
    <t>TorridgeSovereign Housing Association Limited</t>
  </si>
  <si>
    <t>TorridgeThe Abbeyfield Holsworthy Society Limited</t>
  </si>
  <si>
    <t>TorridgeThe Abbeyfield South West Society Limited</t>
  </si>
  <si>
    <t>TorridgeWestward Housing Group Limited</t>
  </si>
  <si>
    <t>Tower HamletsA2Dominion Homes Limited</t>
  </si>
  <si>
    <t>Tower HamletsAccess Homes Housing Association Limited</t>
  </si>
  <si>
    <t>Tower HamletsArhag Housing Association Limited</t>
  </si>
  <si>
    <t>Tower HamletsBelgrave Street Housing Co-operative Limited</t>
  </si>
  <si>
    <t>Tower HamletsClarion Housing Association Limited</t>
  </si>
  <si>
    <t>Tower HamletsCo-operative Development Society Limited</t>
  </si>
  <si>
    <t>Tower HamletsEast End Homes Limited</t>
  </si>
  <si>
    <t>Tower HamletsGateway Housing Association Limited</t>
  </si>
  <si>
    <t>Tower HamletsGeorge Green's Almshouses</t>
  </si>
  <si>
    <t>Tower HamletsGrand Union Housing Co-operative Limited</t>
  </si>
  <si>
    <t>Tower HamletsHabinteg Housing Association Limited</t>
  </si>
  <si>
    <t>Tower HamletsHome Group Limited</t>
  </si>
  <si>
    <t>Tower HamletsIslington and Shoreditch Housing Association Limited</t>
  </si>
  <si>
    <t>Tower HamletsKarin Housing Association Limited</t>
  </si>
  <si>
    <t>Tower HamletsLocal Space</t>
  </si>
  <si>
    <t>Tower HamletsLondon &amp; Quadrant Housing Trust</t>
  </si>
  <si>
    <t>Tower HamletsLook Ahead Care and Support Limited</t>
  </si>
  <si>
    <t>Tower HamletsMetropolitan Housing Trust Limited</t>
  </si>
  <si>
    <t>Tower HamletsNetwork Homes Limited</t>
  </si>
  <si>
    <t>Tower HamletsNewlon Housing Trust</t>
  </si>
  <si>
    <t>Tower HamletsNorth London Muslim Housing Association Limited</t>
  </si>
  <si>
    <t>Tower HamletsNotting Hill Genesis</t>
  </si>
  <si>
    <t>Tower HamletsNotting Hill Home Ownership Limited</t>
  </si>
  <si>
    <t>Tower HamletsOne Housing Group Limited</t>
  </si>
  <si>
    <t>Tower HamletsOptivo</t>
  </si>
  <si>
    <t>Tower HamletsOrbit Group Limited</t>
  </si>
  <si>
    <t>Tower HamletsOrigin Housing Limited</t>
  </si>
  <si>
    <t>Tower HamletsParagon Asra Housing Limited</t>
  </si>
  <si>
    <t>Tower HamletsPeabody Trust</t>
  </si>
  <si>
    <t>Tower HamletsPlaces for People Homes Limited</t>
  </si>
  <si>
    <t>Tower HamletsPoplar Housing And Regeneration Community Association Limited</t>
  </si>
  <si>
    <t>Tower HamletsProvidence Row Housing Association</t>
  </si>
  <si>
    <t>Tower HamletsSalvation Army Housing Association</t>
  </si>
  <si>
    <t>Tower HamletsSanctuary Housing Association</t>
  </si>
  <si>
    <t>Tower HamletsSouthern Home Ownership Limited</t>
  </si>
  <si>
    <t>Tower HamletsSouthern Housing Group Limited</t>
  </si>
  <si>
    <t>Tower HamletsSpitalfields Housing Association Limited</t>
  </si>
  <si>
    <t>Tower HamletsSwan Housing Association Limited</t>
  </si>
  <si>
    <t>Tower HamletsThe Guinness Partnership Limited</t>
  </si>
  <si>
    <t>Tower HamletsThe Industrial Dwellings Society (1885) Limited</t>
  </si>
  <si>
    <t>Tower HamletsTower Hamlets Community Housing</t>
  </si>
  <si>
    <t>Tower HamletsVeterans Aid</t>
  </si>
  <si>
    <t>TraffordAnchor Hanover Group</t>
  </si>
  <si>
    <t>TraffordArawak Walton Housing Association Limited</t>
  </si>
  <si>
    <t>TraffordArcon Housing Association Limited</t>
  </si>
  <si>
    <t>TraffordCreative Support Limited</t>
  </si>
  <si>
    <t xml:space="preserve">TraffordEncircle Housing </t>
  </si>
  <si>
    <t>TraffordFrontis Homes Limited</t>
  </si>
  <si>
    <t>TraffordGreat Places Housing Association</t>
  </si>
  <si>
    <t>TraffordHousing 21</t>
  </si>
  <si>
    <t>TraffordInclusion Housing Community Interest Company</t>
  </si>
  <si>
    <t>TraffordIrwell Valley Housing Association Limited</t>
  </si>
  <si>
    <t>Trafford'Johnnie' Johnson Housing Trust Limited</t>
  </si>
  <si>
    <t>TraffordLets for Life</t>
  </si>
  <si>
    <t>TraffordMosscare St. Vincent's Housing Group Limited</t>
  </si>
  <si>
    <t>TraffordMy Space Housing Solutions</t>
  </si>
  <si>
    <t>TraffordNew Foundations Housing Association Limited</t>
  </si>
  <si>
    <t>TraffordOne Manchester Limited</t>
  </si>
  <si>
    <t>TraffordPartners Foundation Limited</t>
  </si>
  <si>
    <t>TraffordPlaces for People Homes Limited</t>
  </si>
  <si>
    <t>TraffordProgress Housing Association Limited</t>
  </si>
  <si>
    <t>TraffordRegenda Limited</t>
  </si>
  <si>
    <t>TraffordSalvation Army Housing Association</t>
  </si>
  <si>
    <t>TraffordThe Guinness Partnership Limited</t>
  </si>
  <si>
    <t>TraffordThe Riverside Group Limited</t>
  </si>
  <si>
    <t>TraffordTHT and L&amp;Q Community Limited</t>
  </si>
  <si>
    <t>TraffordTrafford Housing Trust Limited</t>
  </si>
  <si>
    <t>TraffordYour Housing Limited</t>
  </si>
  <si>
    <t>Tunbridge WellsA2Dominion Homes Limited</t>
  </si>
  <si>
    <t>Tunbridge WellsAbbeyfield South Downs Limited</t>
  </si>
  <si>
    <t>Tunbridge WellsAdvance Housing and Support Limited</t>
  </si>
  <si>
    <t>Tunbridge WellsAnchor Hanover Group</t>
  </si>
  <si>
    <t>Tunbridge WellsBenenden Almshouse Charities</t>
  </si>
  <si>
    <t>Tunbridge WellsClarion Housing Association Limited</t>
  </si>
  <si>
    <t>Tunbridge WellsCo-operative Development Society Limited</t>
  </si>
  <si>
    <t>Tunbridge WellsDunk's Almshouse Charity</t>
  </si>
  <si>
    <t>Tunbridge WellsEnglish Rural Housing Association Limited</t>
  </si>
  <si>
    <t>Tunbridge WellsGolding Homes Limited</t>
  </si>
  <si>
    <t>Tunbridge WellsHabinteg Housing Association Limited</t>
  </si>
  <si>
    <t>Tunbridge WellsHastoe Housing Association Limited</t>
  </si>
  <si>
    <t>Tunbridge WellsHatton Housing Trust Limited</t>
  </si>
  <si>
    <t>Tunbridge WellsHome Group Limited</t>
  </si>
  <si>
    <t>Tunbridge WellsHyde Housing Association Limited</t>
  </si>
  <si>
    <t>Tunbridge WellsMoat Homes Limited</t>
  </si>
  <si>
    <t>Tunbridge WellsOne Housing Group Limited</t>
  </si>
  <si>
    <t>Tunbridge WellsOrbit Group Limited</t>
  </si>
  <si>
    <t>Tunbridge WellsParasol Homes Limited</t>
  </si>
  <si>
    <t>Tunbridge WellsRadcliffe Housing Society Limited</t>
  </si>
  <si>
    <t>Tunbridge WellsRapport Housing and Care</t>
  </si>
  <si>
    <t>Tunbridge WellsSage Housing Limited</t>
  </si>
  <si>
    <t>Tunbridge WellsSalvation Army Housing Association</t>
  </si>
  <si>
    <t>Tunbridge WellsSanctuary Housing Association</t>
  </si>
  <si>
    <t>Tunbridge WellsSherborne Close Housing Society Limited</t>
  </si>
  <si>
    <t>Tunbridge WellsThe Molyneux Almshouses</t>
  </si>
  <si>
    <t>Tunbridge WellsThe Riverside Group Limited</t>
  </si>
  <si>
    <t>Tunbridge WellsTown and Country Housing</t>
  </si>
  <si>
    <t>Tunbridge WellsWest Kent Housing Association</t>
  </si>
  <si>
    <t>UttlesfordAnchor Hanover Group</t>
  </si>
  <si>
    <t>UttlesfordB3 Living Limited</t>
  </si>
  <si>
    <t>UttlesfordChelmer Housing Partnership Limited</t>
  </si>
  <si>
    <t>UttlesfordClarion Housing Association Limited</t>
  </si>
  <si>
    <t>UttlesfordDimensions (UK) Limited</t>
  </si>
  <si>
    <t>UttlesfordEastlight Community Homes Limited</t>
  </si>
  <si>
    <t>UttlesfordEnglish Rural Housing Association Limited</t>
  </si>
  <si>
    <t>UttlesfordEstuary Housing Association Limited</t>
  </si>
  <si>
    <t>UttlesfordHabinteg Housing Association Limited</t>
  </si>
  <si>
    <t>UttlesfordHastoe Housing Association Limited</t>
  </si>
  <si>
    <t>UttlesfordHome Group Limited</t>
  </si>
  <si>
    <t>UttlesfordHousing 21</t>
  </si>
  <si>
    <t>UttlesfordHundred Houses Society Limited</t>
  </si>
  <si>
    <t>UttlesfordLondon &amp; Quadrant Housing Trust</t>
  </si>
  <si>
    <t>UttlesfordMetropolitan Housing Trust Limited</t>
  </si>
  <si>
    <t>UttlesfordMoat Homes Limited</t>
  </si>
  <si>
    <t>UttlesfordPlaces for People Homes Limited</t>
  </si>
  <si>
    <t>UttlesfordReside Housing Association Limited</t>
  </si>
  <si>
    <t>UttlesfordSage Housing Limited</t>
  </si>
  <si>
    <t>UttlesfordSanctuary Affordable Housing Limited</t>
  </si>
  <si>
    <t>UttlesfordSwan Housing Association Limited</t>
  </si>
  <si>
    <t>UttlesfordThe Cambridge Housing Society Limited</t>
  </si>
  <si>
    <t>UttlesfordThe Cambridgeshire Cottage Housing Society Limited</t>
  </si>
  <si>
    <t>Vale of White HorseA2Dominion Homes Limited</t>
  </si>
  <si>
    <t>Vale of White HorseAdvance Housing and Support Limited</t>
  </si>
  <si>
    <t>Vale of White HorseAnchor Hanover Group</t>
  </si>
  <si>
    <t>Vale of White HorseAster Communities</t>
  </si>
  <si>
    <t>Vale of White Horsebpha Limited</t>
  </si>
  <si>
    <t>Vale of White HorseCatalyst Housing Limited</t>
  </si>
  <si>
    <t>Vale of White HorseChrysalis Supported Association Limited</t>
  </si>
  <si>
    <t>Vale of White HorseChurch Almshouses Charity</t>
  </si>
  <si>
    <t>Vale of White HorseClarion Housing Association Limited</t>
  </si>
  <si>
    <t>Vale of White HorseDimensions (UK) Limited</t>
  </si>
  <si>
    <t>Vale of White HorseEmpower Housing Association Limited</t>
  </si>
  <si>
    <t>Vale of White HorseGrand Union Housing Group Limited</t>
  </si>
  <si>
    <t>Vale of White HorseHeylo Housing Registered Provider Limited</t>
  </si>
  <si>
    <t>Vale of White HorseHome Group Limited</t>
  </si>
  <si>
    <t>Vale of White HorseLondon &amp; Quadrant Housing Trust</t>
  </si>
  <si>
    <t>Vale of White HorseMetropolitan Housing Trust Limited</t>
  </si>
  <si>
    <t>Vale of White HorseMoat Homes Limited</t>
  </si>
  <si>
    <t>Vale of White HorseSanctuary Housing Association</t>
  </si>
  <si>
    <t>Vale of White HorseSilva Homes Limited</t>
  </si>
  <si>
    <t>Vale of White HorseSoha Housing Limited</t>
  </si>
  <si>
    <t>Vale of White HorseSovereign Housing Association Limited</t>
  </si>
  <si>
    <t>Vale of White HorseStonewater (2) Limited</t>
  </si>
  <si>
    <t>Vale of White HorseStonewater Limited</t>
  </si>
  <si>
    <t>Vale of White HorseSynergy Housing Limited</t>
  </si>
  <si>
    <t>Vale of White HorseThe Guinness Partnership Limited</t>
  </si>
  <si>
    <t>WakefieldAccent Housing Limited</t>
  </si>
  <si>
    <t>WakefieldAnchor Hanover Group</t>
  </si>
  <si>
    <t>WakefieldArpeggio Properties Limited</t>
  </si>
  <si>
    <t>WakefieldBridge-It Housing UK Team Ltd</t>
  </si>
  <si>
    <t>WakefieldConnect Housing Association Limited</t>
  </si>
  <si>
    <t>WakefieldEmily Bentley Homes</t>
  </si>
  <si>
    <t xml:space="preserve">WakefieldEncircle Housing </t>
  </si>
  <si>
    <t>WakefieldHabinteg Housing Association Limited</t>
  </si>
  <si>
    <t>WakefieldHeylo Housing Registered Provider Limited</t>
  </si>
  <si>
    <t>WakefieldHighstone Housing Association Limited</t>
  </si>
  <si>
    <t>WakefieldHome Group Limited</t>
  </si>
  <si>
    <t>WakefieldHousing 21</t>
  </si>
  <si>
    <t>WakefieldIKE Supported Housing Limited</t>
  </si>
  <si>
    <t>WakefieldInclusion Housing Community Interest Company</t>
  </si>
  <si>
    <t>WakefieldKarbon Homes Limited</t>
  </si>
  <si>
    <t>WakefieldLangley House Trust</t>
  </si>
  <si>
    <t>WakefieldLeeds and Yorkshire Housing Association Limited</t>
  </si>
  <si>
    <t>WakefieldLeeds Federated Housing Association Limited</t>
  </si>
  <si>
    <t>WakefieldMy Space Housing Solutions</t>
  </si>
  <si>
    <t>WakefieldParasol Homes Limited</t>
  </si>
  <si>
    <t>WakefieldPlaces for People Homes Limited</t>
  </si>
  <si>
    <t>WakefieldPlexus UK (First Project) Limited</t>
  </si>
  <si>
    <t>WakefieldSage Housing Limited</t>
  </si>
  <si>
    <t>WakefieldSouth Yorkshire Housing Association Limited</t>
  </si>
  <si>
    <t>WakefieldStonewater (2) Limited</t>
  </si>
  <si>
    <t>WakefieldStonewater Limited</t>
  </si>
  <si>
    <t>WakefieldThe Charlesworth Charity</t>
  </si>
  <si>
    <t>WakefieldThe Guinness Partnership Limited</t>
  </si>
  <si>
    <t>WakefieldThe Riverside Group Limited</t>
  </si>
  <si>
    <t>WakefieldTogether Housing Association Limited</t>
  </si>
  <si>
    <t>WakefieldWakefield And District Housing Limited</t>
  </si>
  <si>
    <t>WakefieldWakefield Charities' Homes</t>
  </si>
  <si>
    <t>WakefieldYorkshire Housing Limited</t>
  </si>
  <si>
    <t>WakefieldYour Housing Limited</t>
  </si>
  <si>
    <t>WalsallAnchor Hanover Group</t>
  </si>
  <si>
    <t>WalsallBlack Country Housing Group Limited</t>
  </si>
  <si>
    <t>WalsallBromford Housing Association Limited</t>
  </si>
  <si>
    <t>WalsallCharity of Mrs Catherine Walker</t>
  </si>
  <si>
    <t>WalsallCitizen Housing Group Limited</t>
  </si>
  <si>
    <t>WalsallClarion Housing Association Limited</t>
  </si>
  <si>
    <t>WalsallHalo Housing Association Limited</t>
  </si>
  <si>
    <t>WalsallHarpers Marsh and Crumps Almshouse Charity</t>
  </si>
  <si>
    <t>WalsallHousing 21</t>
  </si>
  <si>
    <t>WalsallInclusion Housing Community Interest Company</t>
  </si>
  <si>
    <t>WalsallLonghurst Group Limited</t>
  </si>
  <si>
    <t>WalsallMargaret Colquhoun Chavasse Almshouses</t>
  </si>
  <si>
    <t>WalsallMidland Heart Limited</t>
  </si>
  <si>
    <t>WalsallNehemiah United Churches Housing Association Limited</t>
  </si>
  <si>
    <t>WalsallNew Foundations Housing Association Limited</t>
  </si>
  <si>
    <t>WalsallOptivo</t>
  </si>
  <si>
    <t>WalsallPaddock Housing Co-operative Limited</t>
  </si>
  <si>
    <t>WalsallPartners Foundation Limited</t>
  </si>
  <si>
    <t>WalsallPlatform Housing Limited</t>
  </si>
  <si>
    <t>WalsallSanctuary Affordable Housing Limited</t>
  </si>
  <si>
    <t>WalsallSanctuary Housing Association</t>
  </si>
  <si>
    <t>WalsallStonewater (2) Limited</t>
  </si>
  <si>
    <t>WalsallTrinity Housing Association Limited</t>
  </si>
  <si>
    <t>WalsallWalsall Housing Group Limited</t>
  </si>
  <si>
    <t>WalsallWATMOS Community Homes</t>
  </si>
  <si>
    <t>WalsallYMCA Black Country Group</t>
  </si>
  <si>
    <t>Waltham ForestA2Dominion Homes Limited</t>
  </si>
  <si>
    <t>Waltham ForestAnchor Hanover Group</t>
  </si>
  <si>
    <t>Waltham ForestCentrepoint Soho</t>
  </si>
  <si>
    <t>Waltham ForestChristian Action (Enfield) Housing Association Limited</t>
  </si>
  <si>
    <t>Waltham ForestClarion Housing Association Limited</t>
  </si>
  <si>
    <t>Waltham ForestHabinteg Housing Association Limited</t>
  </si>
  <si>
    <t>Waltham ForestHome from Home Housing Association Limited</t>
  </si>
  <si>
    <t>Waltham ForestHome Group Limited</t>
  </si>
  <si>
    <t>Waltham ForestIslington and Shoreditch Housing Association Limited</t>
  </si>
  <si>
    <t>Waltham ForestKarin Housing Association Limited</t>
  </si>
  <si>
    <t>Waltham ForestLeytonstone Housing Co-operative Limited</t>
  </si>
  <si>
    <t>Waltham ForestLocal Space</t>
  </si>
  <si>
    <t>Waltham ForestLondon &amp; Quadrant Housing Trust</t>
  </si>
  <si>
    <t>Waltham ForestLook Ahead Care and Support Limited</t>
  </si>
  <si>
    <t>Waltham ForestMetropolitan Housing Trust Limited</t>
  </si>
  <si>
    <t>Waltham ForestNetwork Homes Limited</t>
  </si>
  <si>
    <t>Waltham ForestNewlon Housing Trust</t>
  </si>
  <si>
    <t>Waltham ForestNorth London Muslim Housing Association Limited</t>
  </si>
  <si>
    <t>Waltham ForestNotting Hill Genesis</t>
  </si>
  <si>
    <t>Waltham ForestNotting Hill Home Ownership Limited</t>
  </si>
  <si>
    <t>Waltham ForestOne Housing Group Limited</t>
  </si>
  <si>
    <t>Waltham ForestOrbit Group Limited</t>
  </si>
  <si>
    <t>Waltham ForestOrigin Housing Limited</t>
  </si>
  <si>
    <t>Waltham ForestParagon Asra Housing Limited</t>
  </si>
  <si>
    <t>Waltham ForestPeabody Trust</t>
  </si>
  <si>
    <t>Waltham ForestPhoenix Community Housing Co-operative Limited</t>
  </si>
  <si>
    <t>Waltham ForestPlaces for People Homes Limited</t>
  </si>
  <si>
    <t>Waltham ForestPlaces for People Living+ Limited</t>
  </si>
  <si>
    <t>Waltham ForestReside Housing Association Limited</t>
  </si>
  <si>
    <t>Waltham ForestSalvation Army Housing Association</t>
  </si>
  <si>
    <t>Waltham ForestSanctuary Affordable Housing Limited</t>
  </si>
  <si>
    <t>Waltham ForestSanctuary Housing Association</t>
  </si>
  <si>
    <t>Waltham ForestShepherds Bush Housing Association Limited</t>
  </si>
  <si>
    <t>Waltham ForestSouthern Housing Group Limited</t>
  </si>
  <si>
    <t>Waltham ForestTamil Community Housing Association Limited</t>
  </si>
  <si>
    <t>Waltham ForestTeachers' Housing Association Limited</t>
  </si>
  <si>
    <t>Waltham ForestThe Pathways Jubilee Charity</t>
  </si>
  <si>
    <t>Waltham ForestThe Richmond Fellowship</t>
  </si>
  <si>
    <t>Waltham ForestThe Riverside Group Limited</t>
  </si>
  <si>
    <t>Waltham ForestWaltham Forest Housing Association Limited</t>
  </si>
  <si>
    <t>Waltham ForestWestmoreland Supported Housing Limited</t>
  </si>
  <si>
    <t>Waltham ForestYMCA St Paul's Group</t>
  </si>
  <si>
    <t>WandsworthA2Dominion Homes Limited</t>
  </si>
  <si>
    <t>WandsworthA2Dominion South Limited</t>
  </si>
  <si>
    <t>WandsworthAnchor Hanover Group</t>
  </si>
  <si>
    <t>WandsworthBattersea Tenants Co-operative Limited</t>
  </si>
  <si>
    <t>WandsworthBow Housing Society Limited</t>
  </si>
  <si>
    <t>WandsworthCatalyst Housing Limited</t>
  </si>
  <si>
    <t>WandsworthClarion Housing Association Limited</t>
  </si>
  <si>
    <t>WandsworthEkaya Housing Association Limited</t>
  </si>
  <si>
    <t>WandsworthHabinteg Housing Association Limited</t>
  </si>
  <si>
    <t>WandsworthHome Group Limited</t>
  </si>
  <si>
    <t>WandsworthHyde Housing Association Limited</t>
  </si>
  <si>
    <t>WandsworthImani Housing Co-operative Limited</t>
  </si>
  <si>
    <t>WandsworthInclusion Housing Community Interest Company</t>
  </si>
  <si>
    <t>WandsworthLondon &amp; Quadrant Housing Trust</t>
  </si>
  <si>
    <t>WandsworthMethodist Homes Housing Association Limited</t>
  </si>
  <si>
    <t>WandsworthMetropolitan Housing Trust Limited</t>
  </si>
  <si>
    <t>WandsworthNACRO</t>
  </si>
  <si>
    <t>WandsworthNetwork Homes Limited</t>
  </si>
  <si>
    <t>WandsworthNew World Housing Association Limited</t>
  </si>
  <si>
    <t>WandsworthNotting Hill Genesis</t>
  </si>
  <si>
    <t>WandsworthNotting Hill Home Ownership Limited</t>
  </si>
  <si>
    <t>WandsworthOak Housing Limited</t>
  </si>
  <si>
    <t>WandsworthOctavia Housing</t>
  </si>
  <si>
    <t>WandsworthOne Housing Group Limited</t>
  </si>
  <si>
    <t>WandsworthOptivo</t>
  </si>
  <si>
    <t>WandsworthOrigin Housing Limited</t>
  </si>
  <si>
    <t>WandsworthParagon Asra Housing Limited</t>
  </si>
  <si>
    <t>WandsworthPeabody Trust</t>
  </si>
  <si>
    <t>WandsworthSalvation Army Housing Association</t>
  </si>
  <si>
    <t>WandsworthSanctuary Housing Association</t>
  </si>
  <si>
    <t>WandsworthShepherds Bush Housing Association Limited</t>
  </si>
  <si>
    <t>WandsworthSouthward Housing Co-operative Limited</t>
  </si>
  <si>
    <t>WandsworthThames Valley Housing Association Limited</t>
  </si>
  <si>
    <t>WandsworthThe Abbeyfield London Polish Society Limited</t>
  </si>
  <si>
    <t>WandsworthThe Pathways Jubilee Charity</t>
  </si>
  <si>
    <t>WandsworthTooting Bec Housing Co-operative Limited</t>
  </si>
  <si>
    <t>WandsworthWandle Housing Association Limited</t>
  </si>
  <si>
    <t>WandsworthWestmoreland Supported Housing Limited</t>
  </si>
  <si>
    <t>WandsworthWomen's Pioneer Housing Limited</t>
  </si>
  <si>
    <t>WarringtonAccent Housing Limited</t>
  </si>
  <si>
    <t>WarringtonAnchor Hanover Group</t>
  </si>
  <si>
    <t>WarringtonCare Housing Association Limited</t>
  </si>
  <si>
    <t>WarringtonClarion Housing Association Limited</t>
  </si>
  <si>
    <t>WarringtonCreative Support Limited</t>
  </si>
  <si>
    <t>WarringtonFirst Priority Housing Association Limited</t>
  </si>
  <si>
    <t>WarringtonFrontis Homes Limited</t>
  </si>
  <si>
    <t>WarringtonGreat Places Housing Association</t>
  </si>
  <si>
    <t>WarringtonHousing 21</t>
  </si>
  <si>
    <t>WarringtonInclusion Housing Community Interest Company</t>
  </si>
  <si>
    <t>WarringtonMosscare St. Vincent's Housing Group Limited</t>
  </si>
  <si>
    <t>WarringtonMuir Group Housing Association Limited</t>
  </si>
  <si>
    <t>WarringtonMy Space Housing Solutions</t>
  </si>
  <si>
    <t>WarringtonNotting Hill Home Ownership Limited</t>
  </si>
  <si>
    <t>WarringtonOne Vision Housing Limited</t>
  </si>
  <si>
    <t>WarringtonOnward Homes Limited</t>
  </si>
  <si>
    <t>WarringtonPlaces for People Homes Limited</t>
  </si>
  <si>
    <t>WarringtonPlus Dane Housing Limited</t>
  </si>
  <si>
    <t>WarringtonSanctuary Housing Association</t>
  </si>
  <si>
    <t>WarringtonThe Riverside Group Limited</t>
  </si>
  <si>
    <t>WarringtonTorus62 Limited</t>
  </si>
  <si>
    <t>WarringtonWarrington Housing Association Limited</t>
  </si>
  <si>
    <t>WarringtonYour Housing Limited</t>
  </si>
  <si>
    <t>WarwickAdvance Housing and Support Limited</t>
  </si>
  <si>
    <t>WarwickBromford Housing Association Limited</t>
  </si>
  <si>
    <t>WarwickCitizen Housing Group Limited</t>
  </si>
  <si>
    <t>WarwickClarion Housing Association Limited</t>
  </si>
  <si>
    <t>WarwickClaverdon Benefice Housing Association Limited</t>
  </si>
  <si>
    <t>WarwickDimensions (UK) Limited</t>
  </si>
  <si>
    <t>WarwickFairplace Homes Ltd</t>
  </si>
  <si>
    <t>WarwickHeylo Housing Registered Provider Limited</t>
  </si>
  <si>
    <t>WarwickHousing 21</t>
  </si>
  <si>
    <t>WarwickIKE Supported Housing Limited</t>
  </si>
  <si>
    <t>WarwickInclusion Housing Community Interest Company</t>
  </si>
  <si>
    <t>WarwickLonghurst Group Limited</t>
  </si>
  <si>
    <t>WarwickMasonic Housing Association</t>
  </si>
  <si>
    <t>WarwickMidland Heart Limited</t>
  </si>
  <si>
    <t>WarwickOptivo</t>
  </si>
  <si>
    <t>WarwickOrbit Group Limited</t>
  </si>
  <si>
    <t>WarwickPlatform Housing Limited</t>
  </si>
  <si>
    <t>WarwickReside Housing Association Limited</t>
  </si>
  <si>
    <t>WarwickSalvation Army Housing Association</t>
  </si>
  <si>
    <t>WarwickSanctuary Affordable Housing Limited</t>
  </si>
  <si>
    <t>WarwickStonewater (2) Limited</t>
  </si>
  <si>
    <t>WarwickStonewater (5) Limited</t>
  </si>
  <si>
    <t>WarwickStonewater Limited</t>
  </si>
  <si>
    <t>WarwickThe Riverside Group Limited</t>
  </si>
  <si>
    <t>WarwickWalsall Housing Group Limited</t>
  </si>
  <si>
    <t>WarwickWarwickshire Rural Housing Association Limited</t>
  </si>
  <si>
    <t>WatfordAnchor Hanover Group</t>
  </si>
  <si>
    <t>WatfordCatalyst Housing Limited</t>
  </si>
  <si>
    <t>WatfordChrysalis Supported Association Limited</t>
  </si>
  <si>
    <t>WatfordClarion Housing Association Limited</t>
  </si>
  <si>
    <t>WatfordFirst Priority Housing Association Limited</t>
  </si>
  <si>
    <t>WatfordHightown Housing Association Limited</t>
  </si>
  <si>
    <t>WatfordHome Group Limited</t>
  </si>
  <si>
    <t>WatfordLondon &amp; Quadrant Housing Trust</t>
  </si>
  <si>
    <t>WatfordMetropolitan Housing Trust Limited</t>
  </si>
  <si>
    <t>WatfordNetwork Homes Limited</t>
  </si>
  <si>
    <t>WatfordNotting Hill Home Ownership Limited</t>
  </si>
  <si>
    <t>WatfordOne YMCA</t>
  </si>
  <si>
    <t>WatfordOrigin Housing 2 Limited</t>
  </si>
  <si>
    <t>WatfordOrigin Housing Limited</t>
  </si>
  <si>
    <t>WatfordParadigm Homes Charitable Housing Association Limited</t>
  </si>
  <si>
    <t>WatfordParagon Asra Housing Limited</t>
  </si>
  <si>
    <t>WatfordParasol Homes Limited</t>
  </si>
  <si>
    <t>WatfordPlaces for People Homes Limited</t>
  </si>
  <si>
    <t>WatfordPlaces for People Living+ Limited</t>
  </si>
  <si>
    <t>WatfordReside Housing Association Limited</t>
  </si>
  <si>
    <t>WatfordSalvation Army Housing Association</t>
  </si>
  <si>
    <t>WatfordSanctuary Housing Association</t>
  </si>
  <si>
    <t>WatfordSouthern Housing Group Limited</t>
  </si>
  <si>
    <t>WatfordThe Riverside Group Limited</t>
  </si>
  <si>
    <t>WatfordThrive Homes Limited</t>
  </si>
  <si>
    <t>WatfordWatford Community Housing Trust</t>
  </si>
  <si>
    <t>WatfordWest Herts Homes Limited</t>
  </si>
  <si>
    <t>WaverleyA2Dominion South Limited</t>
  </si>
  <si>
    <t>WaverleyAbbeyfield Wey Valley Society Limited</t>
  </si>
  <si>
    <t>WaverleyAbility Housing Association</t>
  </si>
  <si>
    <t>WaverleyAccent Housing Limited</t>
  </si>
  <si>
    <t>WaverleyAdvance Housing and Support Limited</t>
  </si>
  <si>
    <t>WaverleyAster 3 Limited</t>
  </si>
  <si>
    <t>WaverleyClarion Housing Association Limited</t>
  </si>
  <si>
    <t>WaverleyEnglish Rural Housing Association Limited</t>
  </si>
  <si>
    <t>WaverleyHewitt Homes</t>
  </si>
  <si>
    <t>WaverleyHeylo Housing Registered Provider Limited</t>
  </si>
  <si>
    <t>WaverleyHyde Housing Association Limited</t>
  </si>
  <si>
    <t>WaverleyLondon &amp; Quadrant Housing Trust</t>
  </si>
  <si>
    <t>WaverleyMetropolitan Housing Trust Limited</t>
  </si>
  <si>
    <t>WaverleyMount Green Housing Association Limited</t>
  </si>
  <si>
    <t>WaverleySage Housing Limited</t>
  </si>
  <si>
    <t>WaverleySouthern Housing Group Limited</t>
  </si>
  <si>
    <t>WaverleySovereign Housing Association Limited</t>
  </si>
  <si>
    <t>WaverleyStonewater (5) Limited</t>
  </si>
  <si>
    <t>WaverleyStonewater Limited</t>
  </si>
  <si>
    <t>WaverleySynergy Housing Limited</t>
  </si>
  <si>
    <t>WaverleyThe Riverside Group Limited</t>
  </si>
  <si>
    <t>WaverleyTransform Housing &amp; Support</t>
  </si>
  <si>
    <t>WaverleyVivid Housing Limited</t>
  </si>
  <si>
    <t>WaverleyWestmoreland Supported Housing Limited</t>
  </si>
  <si>
    <t>WaverleyWeybank Housing Co-operative Limited</t>
  </si>
  <si>
    <t>WealdenA2Dominion South Limited</t>
  </si>
  <si>
    <t>WealdenAnchor Hanover Group</t>
  </si>
  <si>
    <t>WealdenClarion Housing Association Limited</t>
  </si>
  <si>
    <t>WealdenGolding Homes Limited</t>
  </si>
  <si>
    <t>WealdenHabinteg Housing Association Limited</t>
  </si>
  <si>
    <t>WealdenHastoe Housing Association Limited</t>
  </si>
  <si>
    <t>WealdenHeylo Housing Registered Provider Limited</t>
  </si>
  <si>
    <t>WealdenHilldale Housing Association Limited</t>
  </si>
  <si>
    <t>WealdenHome Group Limited</t>
  </si>
  <si>
    <t>WealdenLegal &amp; General Affordable Homes Limited</t>
  </si>
  <si>
    <t>WealdenLondon &amp; Quadrant Housing Trust</t>
  </si>
  <si>
    <t>WealdenMoat Homes Limited</t>
  </si>
  <si>
    <t>WealdenOptivo</t>
  </si>
  <si>
    <t>WealdenOrbit Group Limited</t>
  </si>
  <si>
    <t>WealdenPlaces for People Homes Limited</t>
  </si>
  <si>
    <t>WealdenSanctuary Housing Association</t>
  </si>
  <si>
    <t>WealdenSaxon Weald</t>
  </si>
  <si>
    <t>WealdenSouthdown Housing Association Limited</t>
  </si>
  <si>
    <t>WealdenSouthern Housing Group Limited</t>
  </si>
  <si>
    <t>WealdenStonewater Limited</t>
  </si>
  <si>
    <t>WealdenSussex Housing &amp; Care</t>
  </si>
  <si>
    <t>WealdenTown and Country Housing</t>
  </si>
  <si>
    <t>Welwyn HatfieldAlice Coralie Glyn Homes</t>
  </si>
  <si>
    <t>Welwyn HatfieldAnchor Hanover Group</t>
  </si>
  <si>
    <t>Welwyn HatfieldB3 Living Limited</t>
  </si>
  <si>
    <t>Welwyn HatfieldCatalyst Housing Limited</t>
  </si>
  <si>
    <t>Welwyn HatfieldClarion Housing Association Limited</t>
  </si>
  <si>
    <t>Welwyn HatfieldCo-operative Development Society Limited</t>
  </si>
  <si>
    <t>Welwyn HatfieldFirst Garden Cities Homes Limited</t>
  </si>
  <si>
    <t>Welwyn HatfieldGrand Union Housing Group Limited</t>
  </si>
  <si>
    <t>Welwyn HatfieldHeylo Housing Registered Provider Limited</t>
  </si>
  <si>
    <t>Welwyn HatfieldHightown Housing Association Limited</t>
  </si>
  <si>
    <t>Welwyn HatfieldHome Group Limited</t>
  </si>
  <si>
    <t>Welwyn HatfieldInclusion Housing Community Interest Company</t>
  </si>
  <si>
    <t>Welwyn HatfieldMetropolitan Housing Trust Limited</t>
  </si>
  <si>
    <t>Welwyn HatfieldMoat Homes Limited</t>
  </si>
  <si>
    <t>Welwyn HatfieldNetwork Homes Limited</t>
  </si>
  <si>
    <t>Welwyn HatfieldNotting Hill Genesis</t>
  </si>
  <si>
    <t>Welwyn HatfieldOne YMCA</t>
  </si>
  <si>
    <t>Welwyn HatfieldOrigin Housing Limited</t>
  </si>
  <si>
    <t>Welwyn HatfieldParadigm Homes Charitable Housing Association Limited</t>
  </si>
  <si>
    <t>Welwyn HatfieldPlaces for People Homes Limited</t>
  </si>
  <si>
    <t>Welwyn HatfieldPlaces for People Living+ Limited</t>
  </si>
  <si>
    <t>Welwyn HatfieldSanctuary Housing Association</t>
  </si>
  <si>
    <t>Welwyn HatfieldSettle Group</t>
  </si>
  <si>
    <t>Welwyn HatfieldSouthern Housing Group Limited</t>
  </si>
  <si>
    <t>Welwyn HatfieldThe Guinness Partnership Limited</t>
  </si>
  <si>
    <t>Welwyn HatfieldThrive Homes Limited</t>
  </si>
  <si>
    <t>West BerkshireA2Dominion Homes Limited</t>
  </si>
  <si>
    <t>West BerkshireA2Dominion South Limited</t>
  </si>
  <si>
    <t>West BerkshireAbility Housing Association</t>
  </si>
  <si>
    <t>West BerkshireAdvance Housing and Support Limited</t>
  </si>
  <si>
    <t>West BerkshireAnchor Hanover Group</t>
  </si>
  <si>
    <t>West BerkshireAster 3 Limited</t>
  </si>
  <si>
    <t>West BerkshireAster Communities</t>
  </si>
  <si>
    <t>West BerkshireCatalyst Housing Limited</t>
  </si>
  <si>
    <t>West BerkshireClarion Housing Association Limited</t>
  </si>
  <si>
    <t>West BerkshireEnglish Rural Housing Association Limited</t>
  </si>
  <si>
    <t>West BerkshireHabinteg Housing Association Limited</t>
  </si>
  <si>
    <t>West BerkshireHome Group Limited</t>
  </si>
  <si>
    <t>West BerkshireHousing 21</t>
  </si>
  <si>
    <t>West BerkshireLondon &amp; Quadrant Housing Trust</t>
  </si>
  <si>
    <t>West BerkshireMetropolitan Housing Trust Limited</t>
  </si>
  <si>
    <t>West BerkshireNotting Hill Home Ownership Limited</t>
  </si>
  <si>
    <t>West BerkshireOne Housing Group Limited</t>
  </si>
  <si>
    <t>West BerkshireOrigin Housing Limited</t>
  </si>
  <si>
    <t>West BerkshirePlaces for People Homes Limited</t>
  </si>
  <si>
    <t>West BerkshireSage Housing Limited</t>
  </si>
  <si>
    <t>West BerkshireSanctuary Housing Association</t>
  </si>
  <si>
    <t>West BerkshireSilva Homes Limited</t>
  </si>
  <si>
    <t>West BerkshireSouthern Housing Group Limited</t>
  </si>
  <si>
    <t>West BerkshireSovereign Housing Association Limited</t>
  </si>
  <si>
    <t>West BerkshireStonewater (2) Limited</t>
  </si>
  <si>
    <t>West BerkshireSynergy Housing Limited</t>
  </si>
  <si>
    <t>West BerkshireThe Charity of Mrs Mabel Luke</t>
  </si>
  <si>
    <t>West BerkshireThe Riverside Group Limited</t>
  </si>
  <si>
    <t>West BerkshireThe Swaythling Housing Society Limited</t>
  </si>
  <si>
    <t>West BerkshireTwo Saints Limited</t>
  </si>
  <si>
    <t>West BerkshireVivid Housing Limited</t>
  </si>
  <si>
    <t>West BerkshireWestmoreland Supported Housing Limited</t>
  </si>
  <si>
    <t>West DevonAdvance Housing and Support Limited</t>
  </si>
  <si>
    <t>West DevonAnchor Hanover Group</t>
  </si>
  <si>
    <t>West DevonAster Communities</t>
  </si>
  <si>
    <t>West DevonFord Street and Maynard Almshouse Charity</t>
  </si>
  <si>
    <t>West DevonGuinness Care and Support Limited</t>
  </si>
  <si>
    <t>West DevonHastoe Housing Association Limited</t>
  </si>
  <si>
    <t>West DevonHeylo Housing Registered Provider Limited</t>
  </si>
  <si>
    <t>West DevonLiveWest Homes Limited</t>
  </si>
  <si>
    <t>West DevonPlymouth Community Homes Limited</t>
  </si>
  <si>
    <t>West DevonSanctuary Housing Association</t>
  </si>
  <si>
    <t>West DevonSouth Devon Rural Housing Association Limited</t>
  </si>
  <si>
    <t>West DevonSouth Western Housing Society Limited</t>
  </si>
  <si>
    <t>West DevonSovereign Housing Association Limited</t>
  </si>
  <si>
    <t>West DevonTamar Housing Society Limited</t>
  </si>
  <si>
    <t>West DevonThe Abbeyfield Buckland Monachorum Society Limited</t>
  </si>
  <si>
    <t>West DevonThe Abbeyfield Tavistock Society Limited</t>
  </si>
  <si>
    <t>West DevonThe Guinness Partnership Limited</t>
  </si>
  <si>
    <t>West DevonWestward Housing Group Limited</t>
  </si>
  <si>
    <t>West LancashireAnchor Hanover Group</t>
  </si>
  <si>
    <t>West LancashireAssured Living Housing Association Limited</t>
  </si>
  <si>
    <t>West LancashireBolton at Home Limited</t>
  </si>
  <si>
    <t>West LancashireCare Housing Association Limited</t>
  </si>
  <si>
    <t>West LancashireCommunity Gateway Association Limited</t>
  </si>
  <si>
    <t>West LancashireEmpower Housing Association Limited</t>
  </si>
  <si>
    <t>West LancashireGreat Places Housing Association</t>
  </si>
  <si>
    <t>West LancashireHalo Housing Association Limited</t>
  </si>
  <si>
    <t>West LancashireHeylo Housing Registered Provider Limited</t>
  </si>
  <si>
    <t>West LancashireHousing 21</t>
  </si>
  <si>
    <t>West LancashireIrwell Valley Housing Association Limited</t>
  </si>
  <si>
    <t>West LancashireMuir Group Housing Association Limited</t>
  </si>
  <si>
    <t>West LancashireMy Space Housing Solutions</t>
  </si>
  <si>
    <t>West LancashireOne Vision Housing Limited</t>
  </si>
  <si>
    <t>West LancashireOnward Homes Limited</t>
  </si>
  <si>
    <t>West LancashirePartners Foundation Limited</t>
  </si>
  <si>
    <t>West LancashirePlaces for People Homes Limited</t>
  </si>
  <si>
    <t>West LancashirePlus Dane Housing Limited</t>
  </si>
  <si>
    <t>West LancashireProgress Housing Association Limited</t>
  </si>
  <si>
    <t>West LancashireRegenda Limited</t>
  </si>
  <si>
    <t>West LancashireSalvation Army Housing Association</t>
  </si>
  <si>
    <t>West LancashireSanctuary Housing Association</t>
  </si>
  <si>
    <t>West LancashireThe Riverside Group Limited</t>
  </si>
  <si>
    <t>West LancashireThe Sons of Divine Providence</t>
  </si>
  <si>
    <t>West LancashireTorus62 Limited</t>
  </si>
  <si>
    <t>West LancashireYour Housing Limited</t>
  </si>
  <si>
    <t>West LindseyAcis Group Limited</t>
  </si>
  <si>
    <t>West LindseyAdvance Housing and Support Limited</t>
  </si>
  <si>
    <t>West LindseyAnchor Hanover Group</t>
  </si>
  <si>
    <t>West LindseyDerwent Housing Association Limited</t>
  </si>
  <si>
    <t>West LindseyFramework Housing Association</t>
  </si>
  <si>
    <t>West LindseyHeylo Housing Registered Provider Limited</t>
  </si>
  <si>
    <t>West LindseyLace Housing Limited</t>
  </si>
  <si>
    <t>West LindseyLincolnshire Housing Partnership Limited</t>
  </si>
  <si>
    <t>West LindseyLincolnshire Rural Housing Association Limited</t>
  </si>
  <si>
    <t>West LindseyLonghurst Group Limited</t>
  </si>
  <si>
    <t>West LindseyMy Space Housing Solutions</t>
  </si>
  <si>
    <t>West LindseyOngo Homes Limited</t>
  </si>
  <si>
    <t>West LindseyParasol Homes Limited</t>
  </si>
  <si>
    <t>West LindseyPlaces for People Homes Limited</t>
  </si>
  <si>
    <t>West LindseyPlatform Housing Limited</t>
  </si>
  <si>
    <t>West LindseyProgress Housing Association Limited</t>
  </si>
  <si>
    <t>West LindseySanctuary Housing Association</t>
  </si>
  <si>
    <t>West OxfordshireA2Dominion Homes Limited</t>
  </si>
  <si>
    <t>West OxfordshireAdvance Housing and Support Limited</t>
  </si>
  <si>
    <t>West OxfordshireAnchor Hanover Group</t>
  </si>
  <si>
    <t>West OxfordshireAster Communities</t>
  </si>
  <si>
    <t>West OxfordshireCatalyst Housing Limited</t>
  </si>
  <si>
    <t>West OxfordshireClarion Housing Association Limited</t>
  </si>
  <si>
    <t>West OxfordshireCottsway 2</t>
  </si>
  <si>
    <t>West OxfordshireCottsway Housing Association Limited</t>
  </si>
  <si>
    <t>West OxfordshireEnglish Rural Housing Association Limited</t>
  </si>
  <si>
    <t>West OxfordshireGrand Union Housing Group Limited</t>
  </si>
  <si>
    <t>West OxfordshireHeylo Housing Registered Provider Limited</t>
  </si>
  <si>
    <t>West OxfordshireHome Group Limited</t>
  </si>
  <si>
    <t>West OxfordshireLondon &amp; Quadrant Housing Trust</t>
  </si>
  <si>
    <t>West OxfordshireMoat Homes Limited</t>
  </si>
  <si>
    <t>West OxfordshirePlatform Housing Limited</t>
  </si>
  <si>
    <t>West OxfordshireSage Housing Limited</t>
  </si>
  <si>
    <t>West OxfordshireSanctuary Housing Association</t>
  </si>
  <si>
    <t>West OxfordshireSoha Housing Limited</t>
  </si>
  <si>
    <t>West OxfordshireSovereign Housing Association Limited</t>
  </si>
  <si>
    <t>West OxfordshireThe Abbeyfield Society</t>
  </si>
  <si>
    <t>West SuffolkAnchor Hanover Group</t>
  </si>
  <si>
    <t>West Suffolkbpha Limited</t>
  </si>
  <si>
    <t>West SuffolkBroadland Housing Association Limited</t>
  </si>
  <si>
    <t>West SuffolkCatalyst Housing Limited</t>
  </si>
  <si>
    <t>West SuffolkClarion Housing Association Limited</t>
  </si>
  <si>
    <t>West SuffolkCo-op Homes (South) Limited</t>
  </si>
  <si>
    <t>West SuffolkCotman Housing Association Limited</t>
  </si>
  <si>
    <t>West SuffolkEstuary Housing Association Limited</t>
  </si>
  <si>
    <t>West SuffolkFlagship Housing Group Limited</t>
  </si>
  <si>
    <t>West SuffolkHastoe Housing Association Limited</t>
  </si>
  <si>
    <t>West SuffolkHousing 21</t>
  </si>
  <si>
    <t>West SuffolkMetropolitan Housing Trust Limited</t>
  </si>
  <si>
    <t>West SuffolkOrbit Group Limited</t>
  </si>
  <si>
    <t>West SuffolkOrwell Housing Association Limited</t>
  </si>
  <si>
    <t>West SuffolkReside Housing Association Limited</t>
  </si>
  <si>
    <t>West SuffolkSaffron Housing Trust Limited</t>
  </si>
  <si>
    <t>West SuffolkSage Housing Limited</t>
  </si>
  <si>
    <t>West SuffolkSanctuary Affordable Housing Limited</t>
  </si>
  <si>
    <t>West SuffolkSanctuary Housing Association</t>
  </si>
  <si>
    <t>West SuffolkStonewater (2) Limited</t>
  </si>
  <si>
    <t>West SuffolkThe Cambridge Housing Society Limited</t>
  </si>
  <si>
    <t>West SuffolkThe Havebury Housing Partnership</t>
  </si>
  <si>
    <t>West SuffolkThe Papworth Trust</t>
  </si>
  <si>
    <t>West SuffolkThe Riverside Group Limited</t>
  </si>
  <si>
    <t>WestminsterA2Dominion Homes Limited</t>
  </si>
  <si>
    <t>WestminsterAnchor Hanover Group</t>
  </si>
  <si>
    <t>WestminsterArhag Housing Association Limited</t>
  </si>
  <si>
    <t>WestminsterCatalyst Housing Limited</t>
  </si>
  <si>
    <t>WestminsterCentral and Cecil Housing Trust</t>
  </si>
  <si>
    <t>WestminsterCentrepoint Soho</t>
  </si>
  <si>
    <t>WestminsterChippenham Housing Co-operative Limited</t>
  </si>
  <si>
    <t>WestminsterClarion Housing Association Limited</t>
  </si>
  <si>
    <t>WestminsterDimensions (UK) Limited</t>
  </si>
  <si>
    <t>WestminsterDolphin Living Limited</t>
  </si>
  <si>
    <t>WestminsterHarrison Housing</t>
  </si>
  <si>
    <t>WestminsterHousing For Women</t>
  </si>
  <si>
    <t>WestminsterJewish Community Housing Association Limited</t>
  </si>
  <si>
    <t>WestminsterKinsman Housing Limited</t>
  </si>
  <si>
    <t>WestminsterLondon &amp; Quadrant Housing Trust</t>
  </si>
  <si>
    <t>WestminsterLook Ahead Care and Support Limited</t>
  </si>
  <si>
    <t>WestminsterMetropolitan Housing Trust Limited</t>
  </si>
  <si>
    <t>WestminsterMonmouth Road Housing Co-operative Limited</t>
  </si>
  <si>
    <t>WestminsterNetwork Homes Limited</t>
  </si>
  <si>
    <t>WestminsterNotting Hill Genesis</t>
  </si>
  <si>
    <t>WestminsterNotting Hill Home Ownership Limited</t>
  </si>
  <si>
    <t>WestminsterOctavia Housing</t>
  </si>
  <si>
    <t>WestminsterOne Housing Group Limited</t>
  </si>
  <si>
    <t>WestminsterOptivo</t>
  </si>
  <si>
    <t>WestminsterOrigin Housing Limited</t>
  </si>
  <si>
    <t>WestminsterPeabody Trust</t>
  </si>
  <si>
    <t>WestminsterPlaces for People Homes Limited</t>
  </si>
  <si>
    <t>WestminsterPortman House</t>
  </si>
  <si>
    <t>WestminsterSalvation Army Housing Association</t>
  </si>
  <si>
    <t>WestminsterSanctuary Housing Association</t>
  </si>
  <si>
    <t>WestminsterSeymour Street Homes Limited</t>
  </si>
  <si>
    <t>WestminsterSoho Housing Association Limited</t>
  </si>
  <si>
    <t>WestminsterSouthern Housing Group Limited</t>
  </si>
  <si>
    <t>WestminsterSt Mungo Community Housing Association</t>
  </si>
  <si>
    <t>WestminsterThe Riverside Group Limited</t>
  </si>
  <si>
    <t>WestminsterWalterton and Elgin Community Homes Limited</t>
  </si>
  <si>
    <t>WestminsterWest Hampstead Housing Co-operative Limited</t>
  </si>
  <si>
    <t>WestminsterWestminster Community Homes Limited</t>
  </si>
  <si>
    <t>WestminsterWestway Housing Association Limited</t>
  </si>
  <si>
    <t>WestminsterWomen's Pioneer Housing Limited</t>
  </si>
  <si>
    <t>WiganAnchor Hanover Group</t>
  </si>
  <si>
    <t>WiganBolton at Home Limited</t>
  </si>
  <si>
    <t>WiganCare Housing Association Limited</t>
  </si>
  <si>
    <t>WiganEmpower Housing Association Limited</t>
  </si>
  <si>
    <t>WiganGreat Places Housing Association</t>
  </si>
  <si>
    <t>WiganHalo Housing Association Limited</t>
  </si>
  <si>
    <t>WiganHeylo Housing Registered Provider Limited</t>
  </si>
  <si>
    <t>WiganHilldale Housing Association Limited</t>
  </si>
  <si>
    <t>WiganHousing 21</t>
  </si>
  <si>
    <t>WiganInclusion Housing Community Interest Company</t>
  </si>
  <si>
    <t>WiganLets for Life</t>
  </si>
  <si>
    <t>WiganMy Space Housing Solutions</t>
  </si>
  <si>
    <t>WiganNew Foundations Housing Association Limited</t>
  </si>
  <si>
    <t>WiganPartners Foundation Limited</t>
  </si>
  <si>
    <t>WiganPlaces for People Homes Limited</t>
  </si>
  <si>
    <t>WiganPlexus UK (First Project) Limited</t>
  </si>
  <si>
    <t>WiganPlus Dane Housing Limited</t>
  </si>
  <si>
    <t>WiganProgress Housing Association Limited</t>
  </si>
  <si>
    <t>WiganSanctuary Housing Association</t>
  </si>
  <si>
    <t>WiganThe Guinness Partnership Limited</t>
  </si>
  <si>
    <t>WiganThe Riverside Group Limited</t>
  </si>
  <si>
    <t>WiganTogether Housing Association Limited</t>
  </si>
  <si>
    <t>WiganTorus62 Limited</t>
  </si>
  <si>
    <t>WiganYour Housing Limited</t>
  </si>
  <si>
    <t>WiltshireA2Dominion South Limited</t>
  </si>
  <si>
    <t>WiltshireAdvance Housing and Support Limited</t>
  </si>
  <si>
    <t>WiltshireAnchor Hanover Group</t>
  </si>
  <si>
    <t>WiltshireAster 3 Limited</t>
  </si>
  <si>
    <t>WiltshireAster Communities</t>
  </si>
  <si>
    <t>WiltshireBournemouth Churches Housing Association Limited</t>
  </si>
  <si>
    <t>Wiltshirebpha Limited</t>
  </si>
  <si>
    <t>WiltshireBromford Housing Association Limited</t>
  </si>
  <si>
    <t>WiltshireCatalyst Housing Limited</t>
  </si>
  <si>
    <t>WiltshireClarion Housing Association Limited</t>
  </si>
  <si>
    <t>WiltshireCottsway Housing Association Limited</t>
  </si>
  <si>
    <t>WiltshireCuro Places Limited</t>
  </si>
  <si>
    <t>WiltshireDanby Almshouse Charity</t>
  </si>
  <si>
    <t>WiltshireDimensions (UK) Limited</t>
  </si>
  <si>
    <t>WiltshireEmpower Housing Association Limited</t>
  </si>
  <si>
    <t>WiltshireEnglish Rural Housing Association Limited</t>
  </si>
  <si>
    <t>WiltshireFrontis Homes Limited</t>
  </si>
  <si>
    <t>WiltshireGuinness Housing Association Limited</t>
  </si>
  <si>
    <t>WiltshireHabinteg Housing Association Limited</t>
  </si>
  <si>
    <t>WiltshireHastoe Housing Association Limited</t>
  </si>
  <si>
    <t>WiltshireHeylo Housing Registered Provider Limited</t>
  </si>
  <si>
    <t>WiltshireHome Group Limited</t>
  </si>
  <si>
    <t>WiltshireHousing 21</t>
  </si>
  <si>
    <t>WiltshireJulian House</t>
  </si>
  <si>
    <t>WiltshireLiveWest Homes Limited</t>
  </si>
  <si>
    <t>WiltshireLondon &amp; Quadrant Housing Trust</t>
  </si>
  <si>
    <t>WiltshireMarlborough &amp; District Housing Association Limited</t>
  </si>
  <si>
    <t>WiltshireMerlin Housing Society Limited</t>
  </si>
  <si>
    <t>WiltshireMoat Homes Limited</t>
  </si>
  <si>
    <t>WiltshirePlaces for People Homes Limited</t>
  </si>
  <si>
    <t>WiltshirePlaces for People Living+ Limited</t>
  </si>
  <si>
    <t>WiltshireSage Housing Limited</t>
  </si>
  <si>
    <t>WiltshireSalisbury City Almshouse and Welfare Charities</t>
  </si>
  <si>
    <t>WiltshireSalvation Army Housing Association</t>
  </si>
  <si>
    <t>WiltshireSanctuary Housing Association</t>
  </si>
  <si>
    <t>WiltshireSelwood Housing Society Limited</t>
  </si>
  <si>
    <t>WiltshireSoha Housing Limited</t>
  </si>
  <si>
    <t>WiltshireSouth Western Housing Society Limited</t>
  </si>
  <si>
    <t>WiltshireSovereign Housing Association Limited</t>
  </si>
  <si>
    <t>WiltshireStonewater (2) Limited</t>
  </si>
  <si>
    <t>WiltshireStonewater (5) Limited</t>
  </si>
  <si>
    <t>WiltshireStonewater Limited</t>
  </si>
  <si>
    <t>WiltshireSynergy Housing Limited</t>
  </si>
  <si>
    <t>WiltshireThe Abbeyfield Bradford-on-Avon Society Limited</t>
  </si>
  <si>
    <t>WiltshireThe Abbeyfield Society</t>
  </si>
  <si>
    <t>WiltshireThe Duchess of Somerset's Hospital</t>
  </si>
  <si>
    <t>WiltshireThe Flood Charity</t>
  </si>
  <si>
    <t>WiltshireThe Guinness Partnership Limited</t>
  </si>
  <si>
    <t>WiltshireThe Swaythling Housing Society Limited</t>
  </si>
  <si>
    <t>WiltshireTurning Point</t>
  </si>
  <si>
    <t>WiltshireWestward Housing Group Limited</t>
  </si>
  <si>
    <t>WiltshireWhite Horse Housing Association Limited</t>
  </si>
  <si>
    <t>WinchesterA2Dominion Housing Options Limited</t>
  </si>
  <si>
    <t>WinchesterA2Dominion South Limited</t>
  </si>
  <si>
    <t>WinchesterAbility Housing Association</t>
  </si>
  <si>
    <t>WinchesterAdvance Housing and Support Limited</t>
  </si>
  <si>
    <t>WinchesterAnchor Hanover Group</t>
  </si>
  <si>
    <t>WinchesterBournemouth Churches Housing Association Limited</t>
  </si>
  <si>
    <t>WinchesterClarion Housing Association Limited</t>
  </si>
  <si>
    <t>WinchesterGrainger Trust Limited</t>
  </si>
  <si>
    <t>WinchesterHeylo Housing Registered Provider Limited</t>
  </si>
  <si>
    <t>WinchesterHome Group Limited</t>
  </si>
  <si>
    <t>WinchesterHousing 21</t>
  </si>
  <si>
    <t>WinchesterHyde Housing Association Limited</t>
  </si>
  <si>
    <t>WinchesterMartlet Homes Limited</t>
  </si>
  <si>
    <t>WinchesterMetropolitan Housing Trust Limited</t>
  </si>
  <si>
    <t>WinchesterSanctuary Housing Association</t>
  </si>
  <si>
    <t>WinchesterSovereign Housing Association Limited</t>
  </si>
  <si>
    <t>WinchesterStonewater (5) Limited</t>
  </si>
  <si>
    <t>WinchesterStonewater Limited</t>
  </si>
  <si>
    <t>WinchesterSynergy Housing Limited</t>
  </si>
  <si>
    <t>WinchesterThe Abbeyfield Alresford and District Society Ltd</t>
  </si>
  <si>
    <t>WinchesterThe Guinness Partnership Limited</t>
  </si>
  <si>
    <t>WinchesterThe Swaythling Housing Society Limited</t>
  </si>
  <si>
    <t>WinchesterTwo Saints Limited</t>
  </si>
  <si>
    <t>WinchesterVivid Housing Limited</t>
  </si>
  <si>
    <t>WinchesterWickham Community Land Trust</t>
  </si>
  <si>
    <t>WinchesterWinchester Working Men's Housing Society Limited</t>
  </si>
  <si>
    <t>Windsor and MaidenheadA2Dominion South Limited</t>
  </si>
  <si>
    <t>Windsor and MaidenheadAdvance Housing and Support Limited</t>
  </si>
  <si>
    <t>Windsor and MaidenheadAnchor Hanover Group</t>
  </si>
  <si>
    <t>Windsor and MaidenheadBirnbeck Housing Association Limited</t>
  </si>
  <si>
    <t>Windsor and MaidenheadCatalyst Housing Limited</t>
  </si>
  <si>
    <t>Windsor and MaidenheadHome Group Limited</t>
  </si>
  <si>
    <t>Windsor and MaidenheadHousing Solutions</t>
  </si>
  <si>
    <t>Windsor and MaidenheadLondon &amp; Quadrant Housing Trust</t>
  </si>
  <si>
    <t>Windsor and MaidenheadLook Ahead Care and Support Limited</t>
  </si>
  <si>
    <t>Windsor and MaidenheadMetropolitan Housing Trust Limited</t>
  </si>
  <si>
    <t>Windsor and MaidenheadMoat Homes Limited</t>
  </si>
  <si>
    <t>Windsor and MaidenheadNotting Hill Home Ownership Limited</t>
  </si>
  <si>
    <t>Windsor and MaidenheadOne Housing Group Limited</t>
  </si>
  <si>
    <t>Windsor and MaidenheadParadigm Homes Charitable Housing Association Limited</t>
  </si>
  <si>
    <t>Windsor and MaidenheadPlaces for People Homes Limited</t>
  </si>
  <si>
    <t>Windsor and MaidenheadSouthern Housing Group Limited</t>
  </si>
  <si>
    <t>Windsor and MaidenheadSovereign Housing Association Limited</t>
  </si>
  <si>
    <t>Windsor and MaidenheadThe Swaythling Housing Society Limited</t>
  </si>
  <si>
    <t>Windsor and MaidenheadTPHA Limited</t>
  </si>
  <si>
    <t>WirralAlpha (R.S.L.) Limited</t>
  </si>
  <si>
    <t>WirralAnchor Hanover Group</t>
  </si>
  <si>
    <t>WirralBirkenhead Forum Housing Association Limited</t>
  </si>
  <si>
    <t>WirralChrysalis Supported Association Limited</t>
  </si>
  <si>
    <t xml:space="preserve">WirralEncircle Housing </t>
  </si>
  <si>
    <t>WirralExcel Housing Solutions</t>
  </si>
  <si>
    <t>WirralFamily Housing Association (Birkenhead and Wirral) Limited</t>
  </si>
  <si>
    <t>WirralFirst Priority Housing Association Limited</t>
  </si>
  <si>
    <t>WirralHalo Housing Association Limited</t>
  </si>
  <si>
    <t>WirralHarbour Light Assisted Living CIC</t>
  </si>
  <si>
    <t>WirralHeylo Housing Registered Provider Limited</t>
  </si>
  <si>
    <t>WirralHilldale Housing Association Limited</t>
  </si>
  <si>
    <t>WirralHousing 21</t>
  </si>
  <si>
    <t>WirralInclusion Housing Community Interest Company</t>
  </si>
  <si>
    <t>WirralLeasowe Community Homes Limited</t>
  </si>
  <si>
    <t>WirralMagenta Living</t>
  </si>
  <si>
    <t>WirralMy Space Housing Solutions</t>
  </si>
  <si>
    <t>WirralOne Vision Housing Limited</t>
  </si>
  <si>
    <t>WirralOnward Homes Limited</t>
  </si>
  <si>
    <t>WirralPine Court Housing Association Limited</t>
  </si>
  <si>
    <t>WirralPlus Dane Housing Limited</t>
  </si>
  <si>
    <t>WirralRedwing Living Limited</t>
  </si>
  <si>
    <t>WirralRegenda Limited</t>
  </si>
  <si>
    <t>WirralReside Housing Association Limited</t>
  </si>
  <si>
    <t>WirralSanctuary Affordable Housing Limited</t>
  </si>
  <si>
    <t>WirralSanctuary Housing Association</t>
  </si>
  <si>
    <t>WirralThe Riverside Group Limited</t>
  </si>
  <si>
    <t>WirralTorus62 Limited</t>
  </si>
  <si>
    <t>WirralTrinity Housing Association Limited</t>
  </si>
  <si>
    <t>WirralWirral Methodist Housing Association Limited</t>
  </si>
  <si>
    <t>WokingA2Dominion South Limited</t>
  </si>
  <si>
    <t>WokingAbility Housing Association</t>
  </si>
  <si>
    <t>WokingAccent Housing Limited</t>
  </si>
  <si>
    <t>WokingAdvance Housing and Support Limited</t>
  </si>
  <si>
    <t>WokingAnchor Hanover Group</t>
  </si>
  <si>
    <t>WokingClarion Housing Association Limited</t>
  </si>
  <si>
    <t xml:space="preserve">WokingEncircle Housing </t>
  </si>
  <si>
    <t>WokingFirst Priority Housing Association Limited</t>
  </si>
  <si>
    <t>WokingGreenoak Housing Association Limited</t>
  </si>
  <si>
    <t>WokingHome Group Limited</t>
  </si>
  <si>
    <t>WokingHousing 21</t>
  </si>
  <si>
    <t>WokingHyde Housing Association Limited</t>
  </si>
  <si>
    <t>WokingLondon &amp; Quadrant Housing Trust</t>
  </si>
  <si>
    <t>WokingMetropolitan Housing Trust Limited</t>
  </si>
  <si>
    <t>WokingMoat Homes Limited</t>
  </si>
  <si>
    <t>WokingMount Green Housing Association Limited</t>
  </si>
  <si>
    <t>WokingParagon Asra Housing Limited</t>
  </si>
  <si>
    <t>WokingRaven Housing Trust Limited</t>
  </si>
  <si>
    <t>WokingSanctuary Housing Association</t>
  </si>
  <si>
    <t>WokingShepherds Bush Housing Association Limited</t>
  </si>
  <si>
    <t>WokingSouthern Housing Group Limited</t>
  </si>
  <si>
    <t>WokingStonewater Limited</t>
  </si>
  <si>
    <t>WokingThames Valley Housing Association Limited</t>
  </si>
  <si>
    <t>WokingThe Fellowship Houses Trust</t>
  </si>
  <si>
    <t>WokingThe Guinness Partnership Limited</t>
  </si>
  <si>
    <t>WokingThe Riverside Group Limited</t>
  </si>
  <si>
    <t>WokingTransform Housing &amp; Support</t>
  </si>
  <si>
    <t>WokingTrinity Housing Association Limited</t>
  </si>
  <si>
    <t>WokinghamA2Dominion Homes Limited</t>
  </si>
  <si>
    <t>WokinghamA2Dominion South Limited</t>
  </si>
  <si>
    <t>WokinghamAbility Housing Association</t>
  </si>
  <si>
    <t>WokinghamAdvance Housing and Support Limited</t>
  </si>
  <si>
    <t>WokinghamAnchor Hanover Group</t>
  </si>
  <si>
    <t>WokinghamCatalyst Housing Limited</t>
  </si>
  <si>
    <t>WokinghamCentral and Cecil Housing Trust</t>
  </si>
  <si>
    <t xml:space="preserve">WokinghamEncircle Housing </t>
  </si>
  <si>
    <t>WokinghamFairplace Homes Ltd</t>
  </si>
  <si>
    <t>WokinghamFrontis Homes Limited</t>
  </si>
  <si>
    <t>WokinghamHastoe Housing Association Limited</t>
  </si>
  <si>
    <t>WokinghamHeylo Housing Registered Provider Limited</t>
  </si>
  <si>
    <t>WokinghamHome Group Limited</t>
  </si>
  <si>
    <t>WokinghamHousing 21</t>
  </si>
  <si>
    <t>WokinghamHousing Solutions</t>
  </si>
  <si>
    <t>WokinghamLoddon Homes Limited</t>
  </si>
  <si>
    <t>WokinghamLondon &amp; Quadrant Housing Trust</t>
  </si>
  <si>
    <t>WokinghamMetropolitan Housing Trust Limited</t>
  </si>
  <si>
    <t>WokinghamMoat Homes Limited</t>
  </si>
  <si>
    <t>WokinghamMuir Group Housing Association Limited</t>
  </si>
  <si>
    <t>WokinghamOne Housing Group Limited</t>
  </si>
  <si>
    <t>WokinghamPlaces for People Homes Limited</t>
  </si>
  <si>
    <t>WokinghamSanctuary Housing Association</t>
  </si>
  <si>
    <t>WokinghamSilva Homes Limited</t>
  </si>
  <si>
    <t>WokinghamSouthern Housing Group Limited</t>
  </si>
  <si>
    <t>WokinghamSovereign Housing Association Limited</t>
  </si>
  <si>
    <t>WokinghamStonewater (2) Limited</t>
  </si>
  <si>
    <t>WokinghamThe Swaythling Housing Society Limited</t>
  </si>
  <si>
    <t>WokinghamVivid Housing Limited</t>
  </si>
  <si>
    <t>WokinghamWargrave-on-Thames Housing Association Limited</t>
  </si>
  <si>
    <t>WokinghamWoodley Sandford and Charvil Charitable Trust</t>
  </si>
  <si>
    <t>WolverhamptonAnchor Hanover Group</t>
  </si>
  <si>
    <t>WolverhamptonAshley Community &amp; Housing Ltd</t>
  </si>
  <si>
    <t>WolverhamptonBlack Country Housing Group Limited</t>
  </si>
  <si>
    <t>WolverhamptonBromford Housing Association Limited</t>
  </si>
  <si>
    <t>WolverhamptonChrysalis Supported Association Limited</t>
  </si>
  <si>
    <t>WolverhamptonCitizen Housing Group Limited</t>
  </si>
  <si>
    <t>WolverhamptonClarion Housing Association Limited</t>
  </si>
  <si>
    <t>WolverhamptonHalo Housing Association Limited</t>
  </si>
  <si>
    <t>WolverhamptonHeylo Housing Registered Provider Limited</t>
  </si>
  <si>
    <t>WolverhamptonHibiscus Housing Association Limited</t>
  </si>
  <si>
    <t>WolverhamptonHome Group Limited</t>
  </si>
  <si>
    <t>WolverhamptonHousing 21</t>
  </si>
  <si>
    <t>WolverhamptonInclusion Housing Community Interest Company</t>
  </si>
  <si>
    <t>WolverhamptonMethodist Homes Housing Association Limited</t>
  </si>
  <si>
    <t>WolverhamptonMidland Heart Limited</t>
  </si>
  <si>
    <t>WolverhamptonNehemiah United Churches Housing Association Limited</t>
  </si>
  <si>
    <t>WolverhamptonOrbit Group Limited</t>
  </si>
  <si>
    <t>WolverhamptonP3 Housing Limited</t>
  </si>
  <si>
    <t>WolverhamptonParasol Homes Limited</t>
  </si>
  <si>
    <t>WolverhamptonReside Housing Association Limited</t>
  </si>
  <si>
    <t>WolverhamptonSanctuary Housing Association</t>
  </si>
  <si>
    <t>WolverhamptonThe Abbeyfield Society</t>
  </si>
  <si>
    <t>WolverhamptonThe Wrekin Housing Group Limited</t>
  </si>
  <si>
    <t>WolverhamptonWalsall Housing Group Limited</t>
  </si>
  <si>
    <t>WorcesterAdvance Housing and Support Limited</t>
  </si>
  <si>
    <t>WorcesterAnchor Hanover Group</t>
  </si>
  <si>
    <t>WorcesterBlue Square Residential Ltd</t>
  </si>
  <si>
    <t>WorcesterBromford Housing Association Limited</t>
  </si>
  <si>
    <t>WorcesterCitizen Housing Group Limited</t>
  </si>
  <si>
    <t>WorcesterClarion Housing Association Limited</t>
  </si>
  <si>
    <t>WorcesterDimensions (UK) Limited</t>
  </si>
  <si>
    <t>WorcesterEMH Housing and Regeneration Limited</t>
  </si>
  <si>
    <t>WorcesterFrontis Homes Limited</t>
  </si>
  <si>
    <t>WorcesterHeylo Housing Registered Provider Limited</t>
  </si>
  <si>
    <t>WorcesterHome Group Limited</t>
  </si>
  <si>
    <t>WorcesterIKE Supported Housing Limited</t>
  </si>
  <si>
    <t>WorcesterInclusion Housing Community Interest Company</t>
  </si>
  <si>
    <t>WorcesterMidland Heart Limited</t>
  </si>
  <si>
    <t>WorcesterMuir Group Housing Association Limited</t>
  </si>
  <si>
    <t>WorcesterOrbit Group Limited</t>
  </si>
  <si>
    <t>WorcesterPlatform Housing Group Limited</t>
  </si>
  <si>
    <t>WorcesterPlatform Housing Limited</t>
  </si>
  <si>
    <t>WorcesterRooftop Housing Association Limited</t>
  </si>
  <si>
    <t>WorcesterSanctuary Affordable Housing Limited</t>
  </si>
  <si>
    <t>WorcesterSanctuary Housing Association</t>
  </si>
  <si>
    <t>WorcesterThe Exaireo Trust Ltd</t>
  </si>
  <si>
    <t>WorcesterTrinity Housing Association Limited</t>
  </si>
  <si>
    <t>WorcesterWalsall Housing Group Limited</t>
  </si>
  <si>
    <t>WorcesterWestmoreland Supported Housing Limited</t>
  </si>
  <si>
    <t>WorcesterWorcester Municipal Charities CIO</t>
  </si>
  <si>
    <t>WorcesterWorcestershire YMCA Limited</t>
  </si>
  <si>
    <t>WorthingAbility Housing Association</t>
  </si>
  <si>
    <t>WorthingAnchor Hanover Group</t>
  </si>
  <si>
    <t>WorthingClarion Housing Association Limited</t>
  </si>
  <si>
    <t>WorthingGuild Care</t>
  </si>
  <si>
    <t>WorthingHome Group Limited</t>
  </si>
  <si>
    <t>WorthingHousing 21</t>
  </si>
  <si>
    <t>WorthingHyde Housing Association Limited</t>
  </si>
  <si>
    <t>WorthingMoat Homes Limited</t>
  </si>
  <si>
    <t>WorthingOptivo</t>
  </si>
  <si>
    <t>WorthingPearson's &amp; St Elizabeth's Cottage Homes</t>
  </si>
  <si>
    <t>WorthingPlaces for People Homes Limited</t>
  </si>
  <si>
    <t>WorthingSanctuary Housing Association</t>
  </si>
  <si>
    <t>WorthingSaxon Weald</t>
  </si>
  <si>
    <t>WorthingSouthdown Housing Association Limited</t>
  </si>
  <si>
    <t>WorthingSouthern Housing Group Limited</t>
  </si>
  <si>
    <t>WorthingStonewater Limited</t>
  </si>
  <si>
    <t>WorthingThe Fellowship Houses Trust</t>
  </si>
  <si>
    <t>WorthingThe Guinness Partnership Limited</t>
  </si>
  <si>
    <t>WorthingTwo Saints Limited</t>
  </si>
  <si>
    <t>WorthingWorthing Homes Limited</t>
  </si>
  <si>
    <t>WorthingYMCA Downslink Group</t>
  </si>
  <si>
    <t>WychavonAdvance Housing and Support Limited</t>
  </si>
  <si>
    <t>WychavonBromford Home Ownership Limited</t>
  </si>
  <si>
    <t>WychavonBromford Housing Association Limited</t>
  </si>
  <si>
    <t>WychavonBromsgrove District Housing Trust Limited</t>
  </si>
  <si>
    <t>WychavonCitizen Housing Group Limited</t>
  </si>
  <si>
    <t>WychavonCottsway Housing Association Limited</t>
  </si>
  <si>
    <t>WychavonHeylo Housing Registered Provider Limited</t>
  </si>
  <si>
    <t>WychavonHousing 21</t>
  </si>
  <si>
    <t>WychavonMerlin Housing Society Limited</t>
  </si>
  <si>
    <t>WychavonMidland Heart Limited</t>
  </si>
  <si>
    <t>WychavonPlatform Housing Limited</t>
  </si>
  <si>
    <t>WychavonRooftop Housing Association Limited</t>
  </si>
  <si>
    <t>WychavonSanctuary Affordable Housing Limited</t>
  </si>
  <si>
    <t>WychavonSanctuary Housing Association</t>
  </si>
  <si>
    <t>WychavonThe Guinness Partnership Limited</t>
  </si>
  <si>
    <t>WychavonTrinity Housing Association Limited</t>
  </si>
  <si>
    <t>WychavonWalsall Housing Group Limited</t>
  </si>
  <si>
    <t>WychavonWestmoreland Supported Housing Limited</t>
  </si>
  <si>
    <t>WyreAccent Housing Limited</t>
  </si>
  <si>
    <t>WyreArpeggio Properties Limited</t>
  </si>
  <si>
    <t>WyreAuxesia Homes Limited</t>
  </si>
  <si>
    <t>WyreBlackburn YMCA</t>
  </si>
  <si>
    <t>WyreCare Housing Association Limited</t>
  </si>
  <si>
    <t>WyreCastles &amp; Coasts Housing Association Limited</t>
  </si>
  <si>
    <t>WyreCreative Support Limited</t>
  </si>
  <si>
    <t>WyreEmpower Housing Association Limited</t>
  </si>
  <si>
    <t>WyreGreat Places Housing Association</t>
  </si>
  <si>
    <t>WyreHalo Housing Association Limited</t>
  </si>
  <si>
    <t>WyreHeylo Housing Registered Provider Limited</t>
  </si>
  <si>
    <t>WyreInclusion Housing Community Interest Company</t>
  </si>
  <si>
    <t>WyreLangley House Trust</t>
  </si>
  <si>
    <t>WyreLune Valley Rural Housing Association Limited</t>
  </si>
  <si>
    <t>WyreMuir Group Housing Association Limited</t>
  </si>
  <si>
    <t>WyrePlaces for People Homes Limited</t>
  </si>
  <si>
    <t>WyreProgress Housing Association Limited</t>
  </si>
  <si>
    <t>WyreRegenda Limited</t>
  </si>
  <si>
    <t>WyreSage Housing Limited</t>
  </si>
  <si>
    <t>WyreThe Abbeyfield Society</t>
  </si>
  <si>
    <t>WyreThe Guinness Partnership Limited</t>
  </si>
  <si>
    <t>WyreYour Housing Limited</t>
  </si>
  <si>
    <t>Wyre ForestAdvance Housing and Support Limited</t>
  </si>
  <si>
    <t>Wyre ForestBromford Housing Association Limited</t>
  </si>
  <si>
    <t>Wyre ForestCitizen Housing Group Limited</t>
  </si>
  <si>
    <t>Wyre ForestEmpower Housing Association Limited</t>
  </si>
  <si>
    <t>Wyre ForestHome Group Limited</t>
  </si>
  <si>
    <t>Wyre ForestMidland Heart Limited</t>
  </si>
  <si>
    <t>Wyre ForestPlatform Housing Limited</t>
  </si>
  <si>
    <t>Wyre ForestRooftop Housing Association Limited</t>
  </si>
  <si>
    <t>Wyre ForestSanctuary Housing Association</t>
  </si>
  <si>
    <t>Wyre ForestStonewater (2) Limited</t>
  </si>
  <si>
    <t>Wyre ForestThe Community Housing Group Limited</t>
  </si>
  <si>
    <t>Wyre ForestWestmoreland Supported Housing Limited</t>
  </si>
  <si>
    <t>YorkAccent Housing Limited</t>
  </si>
  <si>
    <t>YorkAdvance Housing and Support Limited</t>
  </si>
  <si>
    <t>YorkAnchor Hanover Group</t>
  </si>
  <si>
    <t>YorkBroadacres Housing Association Limited</t>
  </si>
  <si>
    <t>YorkDimensions (UK) Limited</t>
  </si>
  <si>
    <t>YorkHabinteg Housing Association Limited</t>
  </si>
  <si>
    <t>YorkHome Group Limited</t>
  </si>
  <si>
    <t>YorkHousing 21</t>
  </si>
  <si>
    <t>YorkInclusion Housing Community Interest Company</t>
  </si>
  <si>
    <t>YorkJoseph Rowntree Housing Trust</t>
  </si>
  <si>
    <t>YorkKarbon Homes Limited</t>
  </si>
  <si>
    <t>YorkMethodist Homes Housing Association Limited</t>
  </si>
  <si>
    <t>YorkPlaces for People Homes Limited</t>
  </si>
  <si>
    <t>YorkProgress Housing Association Limited</t>
  </si>
  <si>
    <t>YorkRailway Housing Association and Benefit Fund</t>
  </si>
  <si>
    <t>YorkTCUK Homes Limited</t>
  </si>
  <si>
    <t>YorkThe Abbeyfield York Society Limited</t>
  </si>
  <si>
    <t>YorkThe Guinness Partnership Limited</t>
  </si>
  <si>
    <t>YorkThe Riverside Group Limited</t>
  </si>
  <si>
    <t>YorkThe Walker Barstow Homes</t>
  </si>
  <si>
    <t>YorkThirteen Housing Group Limited</t>
  </si>
  <si>
    <t>YorkTogether Housing Association Limited</t>
  </si>
  <si>
    <t>YorkYork Housing Association Limited</t>
  </si>
  <si>
    <t>YorkYorkshire Housing Limited</t>
  </si>
  <si>
    <t>Lookup search</t>
  </si>
  <si>
    <t>Dynamic Range</t>
  </si>
  <si>
    <t>Number of additional LAs PRP operates in (not shown for regional totals)</t>
  </si>
  <si>
    <t>Total Social Stock (unweighted)</t>
  </si>
  <si>
    <t>General needs self-contained units (unweighted)</t>
  </si>
  <si>
    <t>General needs bedspaces (unweighted)</t>
  </si>
  <si>
    <t>Supported housing units (unweighted)</t>
  </si>
  <si>
    <t>Housing for older people units (unweighted)</t>
  </si>
  <si>
    <t>Low cost home ownership 
(large PRPs only - unweighted)</t>
  </si>
  <si>
    <t>Number of social stock owning providers in area;                                                             (PRPs who do not own stock are excluded):</t>
  </si>
  <si>
    <t>J</t>
  </si>
  <si>
    <t>K</t>
  </si>
  <si>
    <t>L</t>
  </si>
  <si>
    <t xml:space="preserve">All needs met   </t>
  </si>
  <si>
    <t>Some needs met</t>
  </si>
  <si>
    <t>No needs met</t>
  </si>
  <si>
    <r>
      <t xml:space="preserve">This tool collates data collected through the Statistical Data Return (SDR), to provide a summary overview of Private Registered Provider (PRP) stock at geographic levels (England, regional and local authority).  It returns a range of values, including counts of social rented units owned by type, along with average rent values for the selected areas.  It is easily printable, allowing comparisons to be made.
</t>
    </r>
    <r>
      <rPr>
        <b/>
        <sz val="12"/>
        <rFont val="Arial"/>
        <family val="2"/>
      </rPr>
      <t xml:space="preserve">Select the relevant geographic areas from the drop down list in cell E3 of sheet "Area summary".
</t>
    </r>
    <r>
      <rPr>
        <b/>
        <sz val="12"/>
        <color rgb="FFFF0000"/>
        <rFont val="Arial"/>
        <family val="2"/>
      </rPr>
      <t>Or enter a search term in cell E3, press enter, click on cell E3 again, click arrow and select from matching names.</t>
    </r>
    <r>
      <rPr>
        <sz val="12"/>
        <rFont val="Arial"/>
        <family val="2"/>
      </rPr>
      <t xml:space="preserve">
All figures are unweighted, as reported by the providers. </t>
    </r>
  </si>
  <si>
    <t>Contents</t>
  </si>
  <si>
    <t>Section</t>
  </si>
  <si>
    <r>
      <t>Description</t>
    </r>
    <r>
      <rPr>
        <sz val="12"/>
        <rFont val="Arial"/>
        <family val="2"/>
      </rPr>
      <t xml:space="preserve"> </t>
    </r>
    <r>
      <rPr>
        <sz val="9"/>
        <rFont val="Arial"/>
        <family val="2"/>
      </rPr>
      <t>(click links below)</t>
    </r>
  </si>
  <si>
    <t>Glossary</t>
  </si>
  <si>
    <t>Area summary</t>
  </si>
  <si>
    <t>Total social units by provision type</t>
  </si>
  <si>
    <t>Decent Homes Standard</t>
  </si>
  <si>
    <t>Total general needs self-contained vacant units</t>
  </si>
  <si>
    <t>Affordable Rent general needs - average weekly gross rent (£ per week) and units</t>
  </si>
  <si>
    <t>Affordable Rent general needs - rents and unit counts by unit size</t>
  </si>
  <si>
    <t>Affordable Rent supported housing (including housing for older people) - rents and unit counts</t>
  </si>
  <si>
    <t>PRPs in area</t>
  </si>
  <si>
    <t>How to use the search function</t>
  </si>
  <si>
    <t xml:space="preserve">Source: </t>
  </si>
  <si>
    <t>For further information please contact the Referrals and Regulatory Enquiries Team</t>
  </si>
  <si>
    <t xml:space="preserve">Telephone: 0300 1245 225 </t>
  </si>
  <si>
    <t xml:space="preserve">Email: </t>
  </si>
  <si>
    <t>enquiries@rsh.gov.uk</t>
  </si>
  <si>
    <t>Geographic look-up tool</t>
  </si>
  <si>
    <t>Affordable Rent</t>
  </si>
  <si>
    <r>
      <t xml:space="preserve">Affordable Rent homes are those made available to households eligible for low cost rental housing at a rent level of no more than 80% (inclusive of service charges) of local market rents. Affordable Rent homes can be either newly built, acquired from other PRPs or converted from existing low cost rented homes, but only where they form part of an agreement with Homes England or the Greater London Authority. They can be either general needs or supported housing. See also </t>
    </r>
    <r>
      <rPr>
        <b/>
        <sz val="12"/>
        <color theme="1"/>
        <rFont val="Arial"/>
        <family val="2"/>
      </rPr>
      <t>London Affordable Rent</t>
    </r>
    <r>
      <rPr>
        <sz val="12"/>
        <color theme="1"/>
        <rFont val="Arial"/>
        <family val="2"/>
      </rPr>
      <t xml:space="preserve">.  </t>
    </r>
  </si>
  <si>
    <t>Decent homes standard</t>
  </si>
  <si>
    <r>
      <t xml:space="preserve">The guidance on the decent homes standard is set out in A Decent Home: Definition and Guidance for Implementation, published by the Department for Communities and Local Government in June 2006, and any guidance issued by the department or its successors, in relation to that document </t>
    </r>
    <r>
      <rPr>
        <u/>
        <sz val="12"/>
        <color rgb="FF59468D"/>
        <rFont val="Arial"/>
        <family val="2"/>
      </rPr>
      <t>https://www.gov.uk/government/publications/a-decent-home-definition-and-guidance</t>
    </r>
    <r>
      <rPr>
        <sz val="12"/>
        <color theme="1"/>
        <rFont val="Arial"/>
        <family val="2"/>
      </rPr>
      <t>.</t>
    </r>
  </si>
  <si>
    <t>General needs housing</t>
  </si>
  <si>
    <t>General needs housing covers the bulk of housing stock for rent. It includes both self-contained units and non-self-contained hostel/ shared housing units and bedspaces. General needs housing is stock that is not designated for specific client groups.</t>
  </si>
  <si>
    <t>Gross rent</t>
  </si>
  <si>
    <t xml:space="preserve">The total charged to tenants inclusive of all rent and property related service charges. </t>
  </si>
  <si>
    <t>Intermediate rent</t>
  </si>
  <si>
    <t>Large PRPs</t>
  </si>
  <si>
    <t xml:space="preserve">For the purposes of the SDR release this includes all PRPs that own 1,000 or more units of social housing and complete the ‘long SDR form’. </t>
  </si>
  <si>
    <t>Leasehold (social and non-social)</t>
  </si>
  <si>
    <t xml:space="preserve">Leasehold units are those that are occupied by a resident holding a leasehold interest in the property. In the SDR, PRPs report all leasehold units they own excluding any low cost home ownership units that are not fully stair-cased (which are reported under the LCHO part). </t>
  </si>
  <si>
    <t xml:space="preserve">Leasehold units owned by PRPs typically include Right to Buy or fully staircased shared ownership units where the PRP has sold a leasehold interest to a residential occupier but retains an interest (freehold or leasehold) of its own. This often applies to blocks of flats and other forms of construction where there are common areas and facilities. This includes scenarios where the PRP retains the responsibility for maintaining common areas and services, the financial costs of which can be transferred in line with the terms of a lease. </t>
  </si>
  <si>
    <t xml:space="preserve">Leasehold units are either social leasehold or non-social leasehold based on the Housing and Regeneration Act 2008 definition of social housing. </t>
  </si>
  <si>
    <t xml:space="preserve">The definition of a leasehold property is determined by whether a leasehold interest is owned by a residential occupier (not whether the landlord owns a leasehold interest). Commercial non-residential leasehold properties, or properties where it has granted a lease other than to a residential occupier (e.g. where a PRP lets a property to another social housing provider) are not included. </t>
  </si>
  <si>
    <t>London Affordable Rent</t>
  </si>
  <si>
    <t xml:space="preserve">LCHO accommodation is defined in the Housing and Regeneration Act 2008 as being that occupied or made available for occupation in accordance with shared ownership arrangements, shared equity arrangements, or shared ownership trusts; and it is made available to people whose needs are not adequately served by the commercial housing market. </t>
  </si>
  <si>
    <t xml:space="preserve">LCHO figures do not include ‘fully staircased’ properties, that is properties once occupied under relevant arrangements but where the occupier has for example acquired a 100% share of a shared ownership property or repaid an equity loan on a shared equity property in full. Fully staircased properties where the landlord has retained a freehold interest are included under ‘leasehold’ properties. </t>
  </si>
  <si>
    <t>The conditions under which LCHO properties are regarded as sold to occupiers (e.g. through being fully staircased) are more formally set out in Housing and Regeneration Act 2008.</t>
  </si>
  <si>
    <t>The term low cost rental is used in these statistics to denote any stock which meets the definition of low cost rental accommodation in the Housing and Regeneration Act 2008. It must be available for rent, with a rent below market value, and in accordance with the rules designed to ensure that it is made available to people whose needs are not adequately served by the commercial housing market.</t>
  </si>
  <si>
    <t>Managed stock</t>
  </si>
  <si>
    <t>Refers to stock managed by PRPs, whether the stock is owned by themselves, another PRP or an LA.</t>
  </si>
  <si>
    <t>Net rent</t>
  </si>
  <si>
    <t>The rent charged to tenants excluding all service charges.</t>
  </si>
  <si>
    <t>Non-self-contained unit (bedspace)</t>
  </si>
  <si>
    <t xml:space="preserve">A non-self-contained unit will consist of an area in a hostel/ dormitory or other similar entity or a room or rooms (within a block of flats, sheltered scheme, house in multiple occupation or similar entity) which is/ are private to the tenant but which require sharing of some or all living, cooking, bathroom or toilet amenities. When counting non-self-contained units, PRPs record the number of areas for which an individual tenancy can be issued, not the number of occupants. All non-self-contained units are recorded in the SDR as bedspaces. </t>
  </si>
  <si>
    <t>Non-social stock</t>
  </si>
  <si>
    <t xml:space="preserve">Stock to which the definition of social housing does not apply. </t>
  </si>
  <si>
    <t>Owned stock</t>
  </si>
  <si>
    <t xml:space="preserve">A PRP owns property when it: (a) holds the freehold title or a leasehold interest (of any length) in that property; and (b) is the body with a direct legal relationship with the occupants of the property (this body is often described as the landlord). No non-residential properties should be reported in the SDR. </t>
  </si>
  <si>
    <t xml:space="preserve">In earlier data collections (RSR), a minimum period of lease (21 years) was stated. Stock held on shorter leases will have been counted as stock managed but not owned in these earlier collections. </t>
  </si>
  <si>
    <t>Private registered providers (PRPs)</t>
  </si>
  <si>
    <t>Self-contained unit</t>
  </si>
  <si>
    <t>Service charges</t>
  </si>
  <si>
    <t xml:space="preserve">Service charges are payable by some tenants in addition to rent. Service charges usually reflect additional services which may not be provided to every tenant, or which may be connected with communal facilities rather than being particular to the occupation of a dwelling. Service charges are subject to separate legal requirements and are limited to covering the cost of providing the services. </t>
  </si>
  <si>
    <t>Small PRPs</t>
  </si>
  <si>
    <t xml:space="preserve">These are PRPs that own fewer than 1,000 social housing units/ bedspaces and that complete the ‘short SDR form’. </t>
  </si>
  <si>
    <t>Social housing</t>
  </si>
  <si>
    <t>Social housing is defined in the Housing and Regeneration Act 2008 sections 68-77. The term covers low cost rental, low cost home ownership and accommodation owned by PRPs as previously defined in the Housing Act 1996.</t>
  </si>
  <si>
    <r>
      <t xml:space="preserve">Social leasehold </t>
    </r>
    <r>
      <rPr>
        <sz val="12"/>
        <color rgb="FF59468D"/>
        <rFont val="Arial"/>
        <family val="2"/>
      </rPr>
      <t>(see leasehold definition above).</t>
    </r>
  </si>
  <si>
    <t>Social stock</t>
  </si>
  <si>
    <t xml:space="preserve">Social stock is used in these statistics to denote the total number of low cost rental and low cost home ownership units. Social stock figures do not include social leasehold units or any other stock type. Total social stock figures represent the number of self-contained units plus bedspaces.  </t>
  </si>
  <si>
    <t>Temporary social housing</t>
  </si>
  <si>
    <t>Version</t>
  </si>
  <si>
    <t>Publication Date</t>
  </si>
  <si>
    <t xml:space="preserve">Changes </t>
  </si>
  <si>
    <t>Original release</t>
  </si>
  <si>
    <t>Contact</t>
  </si>
  <si>
    <t>Telephone: Referrals and Regulatory Enquires Team on 0300 1245 225</t>
  </si>
  <si>
    <t>To select a name from the full list of all Areas:</t>
  </si>
  <si>
    <t>To use the Search function:</t>
  </si>
  <si>
    <t>a)  Enter a search term in the blank box and press "Enter"</t>
  </si>
  <si>
    <t>b) Then click on box again, then click drop down arrow to select a name from the (filtered) matching results</t>
  </si>
  <si>
    <t>Return to sheet "Area Summary"</t>
  </si>
  <si>
    <t>Total social stock</t>
  </si>
  <si>
    <t xml:space="preserve"> Net Rent</t>
  </si>
  <si>
    <t xml:space="preserve"> Gross Rent</t>
  </si>
  <si>
    <t xml:space="preserve">PRPs operating in area: </t>
  </si>
  <si>
    <t xml:space="preserve">Region: </t>
  </si>
  <si>
    <t>PRPs operating in region:</t>
  </si>
  <si>
    <t>Annie Sutton and Hoult Memorial Houses</t>
  </si>
  <si>
    <t>Belgrave Neighbourhood Co-operative Housing Association Limited</t>
  </si>
  <si>
    <t>Bespoke Supportive Tenancies Ltd</t>
  </si>
  <si>
    <t>Derventio Housing Trust CIC</t>
  </si>
  <si>
    <t>Granby House (Youlgrave and District) Society Limited</t>
  </si>
  <si>
    <t>Leicester Young Men’s Christian Association (Incorporated) (The)</t>
  </si>
  <si>
    <t>Orbit Housing Association Limited</t>
  </si>
  <si>
    <t>Sage Rented Limited</t>
  </si>
  <si>
    <t>The North Memorial Homes City of Leicester</t>
  </si>
  <si>
    <t>Auckland Home Solutions CIC</t>
  </si>
  <si>
    <t>Haven First</t>
  </si>
  <si>
    <t>Herring House Trust (Great Yarmouth)</t>
  </si>
  <si>
    <t>IMPAKT Housing &amp; Support Ltd</t>
  </si>
  <si>
    <t>Luton Community Housing Limited</t>
  </si>
  <si>
    <t>Solo Housing (East Anglia)</t>
  </si>
  <si>
    <t>The Lowestoft Church &amp; Town Almshouse Charity</t>
  </si>
  <si>
    <t>The Mary Hatch Almshouses with Diamond Jubilee Cottages</t>
  </si>
  <si>
    <t>The Mills Charity</t>
  </si>
  <si>
    <t>The Sybil Carthew Trust</t>
  </si>
  <si>
    <t>Amicus Group Limited</t>
  </si>
  <si>
    <t>Arneway Housing Co-operative Limited</t>
  </si>
  <si>
    <t>Bangla Housing Association Limited</t>
  </si>
  <si>
    <t>Bexley Community Housing Association</t>
  </si>
  <si>
    <t>Dholak Partnership Homes Limited</t>
  </si>
  <si>
    <t>District Homes C.I.C</t>
  </si>
  <si>
    <t>Hatch Row Housing Co-operative Limited</t>
  </si>
  <si>
    <t>Old Etonian Housing Association Limited</t>
  </si>
  <si>
    <t>Outreach Housing Limited</t>
  </si>
  <si>
    <t>Passage Housing Services</t>
  </si>
  <si>
    <t>Populo Homes</t>
  </si>
  <si>
    <t>Richmond Co-operative Housing Association Limited</t>
  </si>
  <si>
    <t>Seven Dials Housing Co-operative Limited</t>
  </si>
  <si>
    <t>St Andrews Community Housing Association Ltd</t>
  </si>
  <si>
    <t>The Abbeyfield Chelsea &amp; Fulham Society Limited</t>
  </si>
  <si>
    <t>The Lygon Almshouses</t>
  </si>
  <si>
    <t>Wilfrid East London Housing Co-operative Limited</t>
  </si>
  <si>
    <t>Summerhill Housing Co-operative (Newcastle) Limited</t>
  </si>
  <si>
    <t>The Fairoak Housing Association</t>
  </si>
  <si>
    <t>The Hartlepools War Memorial Homes &amp; the Crosby Homes</t>
  </si>
  <si>
    <t>Crewe YMCA Limited</t>
  </si>
  <si>
    <t>Jigsaw Homes North</t>
  </si>
  <si>
    <t>Jigsaw Homes Tameside</t>
  </si>
  <si>
    <t>Leta/Claudia Streets Housing Co-operative Limited</t>
  </si>
  <si>
    <t>Lumen Housing Limited</t>
  </si>
  <si>
    <t>Mill Street Co-operative Limited</t>
  </si>
  <si>
    <t>Prestwich &amp; North Western Housing Association Limited</t>
  </si>
  <si>
    <t>Princes Park Housing Co-operative Limited</t>
  </si>
  <si>
    <t>The Abbeyfield Burnley Society Limited</t>
  </si>
  <si>
    <t>The Abbeyfield Chester Society Limited</t>
  </si>
  <si>
    <t xml:space="preserve">Wythenshawe Community Housing Group Limited </t>
  </si>
  <si>
    <t>Abbeyfield Ferring Society Limited</t>
  </si>
  <si>
    <t>Church of England Soldiers’ Sailors’ and Airmen’s Housing Association Limited</t>
  </si>
  <si>
    <t>Margaret Hyde Charity</t>
  </si>
  <si>
    <t>Old Ben Homes Limited</t>
  </si>
  <si>
    <t>PHA Homes Ltd</t>
  </si>
  <si>
    <t>St Richard of Chichester Christian Care Association Ltd</t>
  </si>
  <si>
    <t>The Abbeyfield Oxford Society Limited</t>
  </si>
  <si>
    <t>The Henry Pinnock &amp; Victoria &amp; Albert Memorial Charity</t>
  </si>
  <si>
    <t>The Lord Mayor of Portsmouth's Coronation Homes</t>
  </si>
  <si>
    <t>Uckfield and District Housing Association Limited</t>
  </si>
  <si>
    <t>Abbeyfield Porlock Society Limited</t>
  </si>
  <si>
    <t>Bridgwater Young Men's Christian Association</t>
  </si>
  <si>
    <t>Brighter Places</t>
  </si>
  <si>
    <t>Charity of Jonathan &amp; Rebecca Edwards</t>
  </si>
  <si>
    <t>The Abbeyfield (Lyme Regis &amp; District) Society Limited</t>
  </si>
  <si>
    <t>The Abbeyfield Camborne Society Limited</t>
  </si>
  <si>
    <t>The Peninsula Trust Limited</t>
  </si>
  <si>
    <t>Torvista Homes Limited</t>
  </si>
  <si>
    <t>Churches Housing Association of Dudley and District Limited</t>
  </si>
  <si>
    <t>Connexus Homes Limited</t>
  </si>
  <si>
    <t>Nicholas Chamberlaine's Hospital &amp; Sermon Charity</t>
  </si>
  <si>
    <t>Sir Job Charlton's Hospital Charity</t>
  </si>
  <si>
    <t>The Buchanan Trust</t>
  </si>
  <si>
    <t>The Hopkins and Sneyd Almshouse Charity</t>
  </si>
  <si>
    <t>The Hosyer-Foxe Charity</t>
  </si>
  <si>
    <t>Woodlands Quaker Home</t>
  </si>
  <si>
    <t>YMCA North Staffordshire Ltd</t>
  </si>
  <si>
    <t>Charles Edward Sugden's Almshouses</t>
  </si>
  <si>
    <t>St Anne's Community Services</t>
  </si>
  <si>
    <t>E06000060</t>
  </si>
  <si>
    <t>Buckinghamshire</t>
  </si>
  <si>
    <t>Always start with a blank box (cell E3, sheet "Area summary").</t>
  </si>
  <si>
    <t>To reset, use the delete key to clear the box contents, then click back on the box.</t>
  </si>
  <si>
    <t>Click on the blank box, then click on the drop down arrow to select a name from the list of all areas (Regions and Local Authorities)</t>
  </si>
  <si>
    <t>Owned units - Small - LA</t>
  </si>
  <si>
    <r>
      <t xml:space="preserve">Click for Help on the </t>
    </r>
    <r>
      <rPr>
        <b/>
        <u/>
        <sz val="10"/>
        <color theme="10"/>
        <rFont val="Arial"/>
        <family val="2"/>
      </rPr>
      <t>Search Function</t>
    </r>
  </si>
  <si>
    <t>L4216</t>
  </si>
  <si>
    <t>Anerley Housing Co-operative Limited</t>
  </si>
  <si>
    <t>C3115</t>
  </si>
  <si>
    <t>A0364</t>
  </si>
  <si>
    <t>5081</t>
  </si>
  <si>
    <t>Eldonian Community Based Housing Association Limited</t>
  </si>
  <si>
    <t>5097</t>
  </si>
  <si>
    <t>Keswick Community Housing Trust Limited</t>
  </si>
  <si>
    <t>5106</t>
  </si>
  <si>
    <t>A0582</t>
  </si>
  <si>
    <t>5095</t>
  </si>
  <si>
    <t>4842</t>
  </si>
  <si>
    <t>5114</t>
  </si>
  <si>
    <t>C2693</t>
  </si>
  <si>
    <t>5083</t>
  </si>
  <si>
    <t>C2580</t>
  </si>
  <si>
    <t>A2408</t>
  </si>
  <si>
    <t>The Abbeyfield Bishop's Castle and District Society Limited</t>
  </si>
  <si>
    <t>H2715</t>
  </si>
  <si>
    <t>The Aberford Almshouses</t>
  </si>
  <si>
    <t>4874</t>
  </si>
  <si>
    <t>The Faversham Municipal Charities 2010</t>
  </si>
  <si>
    <t>A3105</t>
  </si>
  <si>
    <t>A0646</t>
  </si>
  <si>
    <t>5122</t>
  </si>
  <si>
    <t>The Mrs Henrietta Frances Le Personne Benevolent Trust</t>
  </si>
  <si>
    <t>The Ogilvie Charities (Deed No.1)</t>
  </si>
  <si>
    <t>5113</t>
  </si>
  <si>
    <t>The Pepperell Blackmore Vale Society Limited</t>
  </si>
  <si>
    <t>The Thornton Cottage Homes</t>
  </si>
  <si>
    <t>5126</t>
  </si>
  <si>
    <t>C4225</t>
  </si>
  <si>
    <t>YMCA London City and North</t>
  </si>
  <si>
    <t>Milton Keynes3CHA Ltd</t>
  </si>
  <si>
    <t>BuckinghamshireA2Dominion South Limited</t>
  </si>
  <si>
    <t>ArunAbbeyfield Ferring Society Limited</t>
  </si>
  <si>
    <t>Somerset West and TauntonAbbeyfield Porlock Society Limited</t>
  </si>
  <si>
    <t>CravenAbbeyfield The Dales Limited</t>
  </si>
  <si>
    <t>BuckinghamshireAbility Housing Association</t>
  </si>
  <si>
    <t>East CambridgeshireAccent Housing Limited</t>
  </si>
  <si>
    <t>MansfieldAction Housing and Support Limited</t>
  </si>
  <si>
    <t>BoltonAdullam Homes Housing Association Limited</t>
  </si>
  <si>
    <t>BuckinghamshireAdvance Housing and Support Limited</t>
  </si>
  <si>
    <t>TandridgeAdvance Housing and Support Limited</t>
  </si>
  <si>
    <t>Hammersmith and FulhamAlmshouse Charity of Sir William Powell</t>
  </si>
  <si>
    <t>BromleyAmicus Group Limited</t>
  </si>
  <si>
    <t>BuckinghamshireAnchor Hanover Group</t>
  </si>
  <si>
    <t>BromleyAnerley Housing Co-operative Limited</t>
  </si>
  <si>
    <t>DerbyAnnie Sutton and Hoult Memorial Houses</t>
  </si>
  <si>
    <t>BrentArneway Housing Co-operative Limited</t>
  </si>
  <si>
    <t>CoventryAshley Community &amp; Housing Ltd</t>
  </si>
  <si>
    <t>Staffordshire MoorlandsAspire Housing Limited</t>
  </si>
  <si>
    <t>LiverpoolAssured Living Housing Association Limited</t>
  </si>
  <si>
    <t>WyreAssured Living Housing Association Limited</t>
  </si>
  <si>
    <t>EastleighAster 3 Limited</t>
  </si>
  <si>
    <t>SwindonAster 3 Limited</t>
  </si>
  <si>
    <t>Surrey HeathAster Communities</t>
  </si>
  <si>
    <t>ColchesterAuckland Home Solutions CIC</t>
  </si>
  <si>
    <t>HyndburnAuckland Home Solutions CIC</t>
  </si>
  <si>
    <t>LancasterAuckland Home Solutions CIC</t>
  </si>
  <si>
    <t>SunderlandAuckland Home Solutions CIC</t>
  </si>
  <si>
    <t>Cheshire West and ChesterAuxesia Homes Limited</t>
  </si>
  <si>
    <t>HackneyBangla Housing Association Limited</t>
  </si>
  <si>
    <t>IslingtonBangla Housing Association Limited</t>
  </si>
  <si>
    <t>LeicesterBelgrave Neighbourhood Co-operative Housing Association Limited</t>
  </si>
  <si>
    <t>AshfieldBespoke Supportive Tenancies Ltd</t>
  </si>
  <si>
    <t>BarnsleyBespoke Supportive Tenancies Ltd</t>
  </si>
  <si>
    <t>BassetlawBespoke Supportive Tenancies Ltd</t>
  </si>
  <si>
    <t>BedfordBespoke Supportive Tenancies Ltd</t>
  </si>
  <si>
    <t>BirminghamBespoke Supportive Tenancies Ltd</t>
  </si>
  <si>
    <t>BlackpoolBespoke Supportive Tenancies Ltd</t>
  </si>
  <si>
    <t>BolsoverBespoke Supportive Tenancies Ltd</t>
  </si>
  <si>
    <t>BradfordBespoke Supportive Tenancies Ltd</t>
  </si>
  <si>
    <t>Brighton and HoveBespoke Supportive Tenancies Ltd</t>
  </si>
  <si>
    <t>BromleyBespoke Supportive Tenancies Ltd</t>
  </si>
  <si>
    <t>CalderdaleBespoke Supportive Tenancies Ltd</t>
  </si>
  <si>
    <t>Cannock ChaseBespoke Supportive Tenancies Ltd</t>
  </si>
  <si>
    <t>CheltenhamBespoke Supportive Tenancies Ltd</t>
  </si>
  <si>
    <t>Cheshire EastBespoke Supportive Tenancies Ltd</t>
  </si>
  <si>
    <t>Cheshire West and ChesterBespoke Supportive Tenancies Ltd</t>
  </si>
  <si>
    <t>ColchesterBespoke Supportive Tenancies Ltd</t>
  </si>
  <si>
    <t>County DurhamBespoke Supportive Tenancies Ltd</t>
  </si>
  <si>
    <t>CoventryBespoke Supportive Tenancies Ltd</t>
  </si>
  <si>
    <t>CroydonBespoke Supportive Tenancies Ltd</t>
  </si>
  <si>
    <t>DarlingtonBespoke Supportive Tenancies Ltd</t>
  </si>
  <si>
    <t>DerbyBespoke Supportive Tenancies Ltd</t>
  </si>
  <si>
    <t>DorsetBespoke Supportive Tenancies Ltd</t>
  </si>
  <si>
    <t>DoverBespoke Supportive Tenancies Ltd</t>
  </si>
  <si>
    <t>DudleyBespoke Supportive Tenancies Ltd</t>
  </si>
  <si>
    <t>EalingBespoke Supportive Tenancies Ltd</t>
  </si>
  <si>
    <t>East DevonBespoke Supportive Tenancies Ltd</t>
  </si>
  <si>
    <t>East HertfordshireBespoke Supportive Tenancies Ltd</t>
  </si>
  <si>
    <t>East Riding of YorkshireBespoke Supportive Tenancies Ltd</t>
  </si>
  <si>
    <t>EastbourneBespoke Supportive Tenancies Ltd</t>
  </si>
  <si>
    <t>EastleighBespoke Supportive Tenancies Ltd</t>
  </si>
  <si>
    <t>ElmbridgeBespoke Supportive Tenancies Ltd</t>
  </si>
  <si>
    <t>Epsom and EwellBespoke Supportive Tenancies Ltd</t>
  </si>
  <si>
    <t>FarehamBespoke Supportive Tenancies Ltd</t>
  </si>
  <si>
    <t>FenlandBespoke Supportive Tenancies Ltd</t>
  </si>
  <si>
    <t>GatesheadBespoke Supportive Tenancies Ltd</t>
  </si>
  <si>
    <t>GedlingBespoke Supportive Tenancies Ltd</t>
  </si>
  <si>
    <t>GloucesterBespoke Supportive Tenancies Ltd</t>
  </si>
  <si>
    <t>GreenwichBespoke Supportive Tenancies Ltd</t>
  </si>
  <si>
    <t>HarrogateBespoke Supportive Tenancies Ltd</t>
  </si>
  <si>
    <t>HarrowBespoke Supportive Tenancies Ltd</t>
  </si>
  <si>
    <t>HartlepoolBespoke Supportive Tenancies Ltd</t>
  </si>
  <si>
    <t>HaveringBespoke Supportive Tenancies Ltd</t>
  </si>
  <si>
    <t>HillingdonBespoke Supportive Tenancies Ltd</t>
  </si>
  <si>
    <t>Hinckley and BosworthBespoke Supportive Tenancies Ltd</t>
  </si>
  <si>
    <t>HuntingdonshireBespoke Supportive Tenancies Ltd</t>
  </si>
  <si>
    <t>KnowsleyBespoke Supportive Tenancies Ltd</t>
  </si>
  <si>
    <t>LeedsBespoke Supportive Tenancies Ltd</t>
  </si>
  <si>
    <t>LeicesterBespoke Supportive Tenancies Ltd</t>
  </si>
  <si>
    <t>LincolnBespoke Supportive Tenancies Ltd</t>
  </si>
  <si>
    <t>LiverpoolBespoke Supportive Tenancies Ltd</t>
  </si>
  <si>
    <t>MansfieldBespoke Supportive Tenancies Ltd</t>
  </si>
  <si>
    <t>Mid SussexBespoke Supportive Tenancies Ltd</t>
  </si>
  <si>
    <t>Milton KeynesBespoke Supportive Tenancies Ltd</t>
  </si>
  <si>
    <t>Mole ValleyBespoke Supportive Tenancies Ltd</t>
  </si>
  <si>
    <t>Newark and SherwoodBespoke Supportive Tenancies Ltd</t>
  </si>
  <si>
    <t>Newcastle-under-LymeBespoke Supportive Tenancies Ltd</t>
  </si>
  <si>
    <t>North KestevenBespoke Supportive Tenancies Ltd</t>
  </si>
  <si>
    <t>North LincolnshireBespoke Supportive Tenancies Ltd</t>
  </si>
  <si>
    <t>North TynesideBespoke Supportive Tenancies Ltd</t>
  </si>
  <si>
    <t>NorthumberlandBespoke Supportive Tenancies Ltd</t>
  </si>
  <si>
    <t>NottinghamBespoke Supportive Tenancies Ltd</t>
  </si>
  <si>
    <t>Nuneaton and BedworthBespoke Supportive Tenancies Ltd</t>
  </si>
  <si>
    <t>PeterboroughBespoke Supportive Tenancies Ltd</t>
  </si>
  <si>
    <t>PortsmouthBespoke Supportive Tenancies Ltd</t>
  </si>
  <si>
    <t>PrestonBespoke Supportive Tenancies Ltd</t>
  </si>
  <si>
    <t>ReadingBespoke Supportive Tenancies Ltd</t>
  </si>
  <si>
    <t>Redcar and ClevelandBespoke Supportive Tenancies Ltd</t>
  </si>
  <si>
    <t>Reigate and BansteadBespoke Supportive Tenancies Ltd</t>
  </si>
  <si>
    <t>RotherBespoke Supportive Tenancies Ltd</t>
  </si>
  <si>
    <t>RotherhamBespoke Supportive Tenancies Ltd</t>
  </si>
  <si>
    <t>SandwellBespoke Supportive Tenancies Ltd</t>
  </si>
  <si>
    <t>SheffieldBespoke Supportive Tenancies Ltd</t>
  </si>
  <si>
    <t>SloughBespoke Supportive Tenancies Ltd</t>
  </si>
  <si>
    <t>Somerset West and TauntonBespoke Supportive Tenancies Ltd</t>
  </si>
  <si>
    <t>South DerbyshireBespoke Supportive Tenancies Ltd</t>
  </si>
  <si>
    <t>South RibbleBespoke Supportive Tenancies Ltd</t>
  </si>
  <si>
    <t>South StaffordshireBespoke Supportive Tenancies Ltd</t>
  </si>
  <si>
    <t>SouthamptonBespoke Supportive Tenancies Ltd</t>
  </si>
  <si>
    <t>St. HelensBespoke Supportive Tenancies Ltd</t>
  </si>
  <si>
    <t>StaffordBespoke Supportive Tenancies Ltd</t>
  </si>
  <si>
    <t>Staffordshire MoorlandsBespoke Supportive Tenancies Ltd</t>
  </si>
  <si>
    <t>StevenageBespoke Supportive Tenancies Ltd</t>
  </si>
  <si>
    <t>Stratford-on-AvonBespoke Supportive Tenancies Ltd</t>
  </si>
  <si>
    <t>SunderlandBespoke Supportive Tenancies Ltd</t>
  </si>
  <si>
    <t>Surrey HeathBespoke Supportive Tenancies Ltd</t>
  </si>
  <si>
    <t>TeignbridgeBespoke Supportive Tenancies Ltd</t>
  </si>
  <si>
    <t>ThanetBespoke Supportive Tenancies Ltd</t>
  </si>
  <si>
    <t>ThurrockBespoke Supportive Tenancies Ltd</t>
  </si>
  <si>
    <t>TorbayBespoke Supportive Tenancies Ltd</t>
  </si>
  <si>
    <t>TorridgeBespoke Supportive Tenancies Ltd</t>
  </si>
  <si>
    <t>TraffordBespoke Supportive Tenancies Ltd</t>
  </si>
  <si>
    <t>WakefieldBespoke Supportive Tenancies Ltd</t>
  </si>
  <si>
    <t>WiganBespoke Supportive Tenancies Ltd</t>
  </si>
  <si>
    <t>WiltshireBespoke Supportive Tenancies Ltd</t>
  </si>
  <si>
    <t>WirralBespoke Supportive Tenancies Ltd</t>
  </si>
  <si>
    <t>WolverhamptonBespoke Supportive Tenancies Ltd</t>
  </si>
  <si>
    <t>WyreBespoke Supportive Tenancies Ltd</t>
  </si>
  <si>
    <t>YorkBespoke Supportive Tenancies Ltd</t>
  </si>
  <si>
    <t>BexleyBexley Community Housing Association</t>
  </si>
  <si>
    <t>BlackpoolBlue Square Residential Ltd</t>
  </si>
  <si>
    <t>Cheshire EastBlue Square Residential Ltd</t>
  </si>
  <si>
    <t>KirkleesBlue Square Residential Ltd</t>
  </si>
  <si>
    <t>LeedsBlue Square Residential Ltd</t>
  </si>
  <si>
    <t>LiverpoolBlue Square Residential Ltd</t>
  </si>
  <si>
    <t>Stoke-on-TrentBlue Square Residential Ltd</t>
  </si>
  <si>
    <t>StroudBlue Square Residential Ltd</t>
  </si>
  <si>
    <t>YorkBlue Square Residential Ltd</t>
  </si>
  <si>
    <t>ChorleyBolton at Home Limited</t>
  </si>
  <si>
    <t>PrestonBolton at Home Limited</t>
  </si>
  <si>
    <t>South RibbleBolton at Home Limited</t>
  </si>
  <si>
    <t>South TynesideBomarsund Housing Co-operative Limited</t>
  </si>
  <si>
    <t>Buckinghamshirebpha Limited</t>
  </si>
  <si>
    <t>Bath and North East SomersetBridgwater Young Men's Christian Association</t>
  </si>
  <si>
    <t>North SomersetBridgwater Young Men's Christian Association</t>
  </si>
  <si>
    <t>SedgemoorBridgwater Young Men's Christian Association</t>
  </si>
  <si>
    <t>Somerset West and TauntonBridgwater Young Men's Christian Association</t>
  </si>
  <si>
    <t>Bath and North East SomersetBrighter Places</t>
  </si>
  <si>
    <t>North SomersetBrighter Places</t>
  </si>
  <si>
    <t>South GloucestershireBrighter Places</t>
  </si>
  <si>
    <t>SwindonBrighter Places</t>
  </si>
  <si>
    <t>Malvern HillsBromford Home Ownership Limited</t>
  </si>
  <si>
    <t>BuckinghamshireBromford Housing Association Limited</t>
  </si>
  <si>
    <t>BuckinghamshireBuckinghamshire Housing Association Limited</t>
  </si>
  <si>
    <t>LancasterCalico Homes Limited</t>
  </si>
  <si>
    <t>PrestonCalico Homes Limited</t>
  </si>
  <si>
    <t>Stockton-on-TeesCare Housing Association Limited</t>
  </si>
  <si>
    <t>BuckinghamshireCatalyst Housing Limited</t>
  </si>
  <si>
    <t>DorsetCharity of Jonathan &amp; Rebecca Edwards</t>
  </si>
  <si>
    <t>BradfordCharles Edward Sugden's Almshouses</t>
  </si>
  <si>
    <t>South SomersetChrysalis Supported Association Limited</t>
  </si>
  <si>
    <t>FarehamChurch of England Soldiers’ Sailors’ and Airmen’s Housing Association Limited</t>
  </si>
  <si>
    <t>GosportChurch of England Soldiers’ Sailors’ and Airmen’s Housing Association Limited</t>
  </si>
  <si>
    <t>PortsmouthChurch of England Soldiers’ Sailors’ and Airmen’s Housing Association Limited</t>
  </si>
  <si>
    <t>DudleyChurches Housing Association of Dudley and District Limited</t>
  </si>
  <si>
    <t>BuckinghamshireClarion Housing Association Limited</t>
  </si>
  <si>
    <t>Cheshire EastClarion Housing Association Limited</t>
  </si>
  <si>
    <t>SwaleClarion Housing Association Limited</t>
  </si>
  <si>
    <t>BarnetConcept Housing Association CIC</t>
  </si>
  <si>
    <t>BrentConcept Housing Association CIC</t>
  </si>
  <si>
    <t>EalingConcept Housing Association CIC</t>
  </si>
  <si>
    <t>EnfieldConcept Housing Association CIC</t>
  </si>
  <si>
    <t>LewishamConcept Housing Association CIC</t>
  </si>
  <si>
    <t>Richmond upon ThamesConcept Housing Association CIC</t>
  </si>
  <si>
    <t>SouthwarkConcept Housing Association CIC</t>
  </si>
  <si>
    <t>WarwickCreative Support Limited</t>
  </si>
  <si>
    <t>Cheshire EastCrewe YMCA Limited</t>
  </si>
  <si>
    <t>Barking and DagenhamCromwood Housing Ltd</t>
  </si>
  <si>
    <t>EalingCromwood Housing Ltd</t>
  </si>
  <si>
    <t>EnfieldCromwood Housing Ltd</t>
  </si>
  <si>
    <t>GreenwichCromwood Housing Ltd</t>
  </si>
  <si>
    <t>HaveringCromwood Housing Ltd</t>
  </si>
  <si>
    <t>HillingdonCromwood Housing Ltd</t>
  </si>
  <si>
    <t>HounslowCromwood Housing Ltd</t>
  </si>
  <si>
    <t>RedbridgeCromwood Housing Ltd</t>
  </si>
  <si>
    <t>WandsworthCromwood Housing Ltd</t>
  </si>
  <si>
    <t>DerbyDerventio Housing Trust CIC</t>
  </si>
  <si>
    <t>ErewashDerventio Housing Trust CIC</t>
  </si>
  <si>
    <t>BarnetDistrict Homes C.I.C</t>
  </si>
  <si>
    <t>BexleyDistrict Homes C.I.C</t>
  </si>
  <si>
    <t>BrentDistrict Homes C.I.C</t>
  </si>
  <si>
    <t>CroydonDistrict Homes C.I.C</t>
  </si>
  <si>
    <t>GreenwichDistrict Homes C.I.C</t>
  </si>
  <si>
    <t>HaringeyDistrict Homes C.I.C</t>
  </si>
  <si>
    <t>LewishamDistrict Homes C.I.C</t>
  </si>
  <si>
    <t>MertonDistrict Homes C.I.C</t>
  </si>
  <si>
    <t>RochdaleDistrict Homes C.I.C</t>
  </si>
  <si>
    <t>BuckinghamshireDormer's Hospital Charity</t>
  </si>
  <si>
    <t>Bracknell ForestDovepark Properties Limited</t>
  </si>
  <si>
    <t>Vale of White HorseDrayton Parochial Charities</t>
  </si>
  <si>
    <t>East CambridgeshireEastlight Community Homes Limited</t>
  </si>
  <si>
    <t>East SuffolkEastlight Community Homes Limited</t>
  </si>
  <si>
    <t>MaldonEastlight Community Homes Limited</t>
  </si>
  <si>
    <t>TendringEastlight Community Homes Limited</t>
  </si>
  <si>
    <t>LiverpoolEldonian Community Based Housing Association Limited</t>
  </si>
  <si>
    <t>BasildonEmpower Housing Association Limited</t>
  </si>
  <si>
    <t>HuntingdonshireEmpower Housing Association Limited</t>
  </si>
  <si>
    <t>North NorfolkEmpower Housing Association Limited</t>
  </si>
  <si>
    <t xml:space="preserve">Barking and DagenhamEncircle Housing </t>
  </si>
  <si>
    <t xml:space="preserve">HaltonEncircle Housing </t>
  </si>
  <si>
    <t xml:space="preserve">HyndburnEncircle Housing </t>
  </si>
  <si>
    <t xml:space="preserve">LiverpoolEncircle Housing </t>
  </si>
  <si>
    <t xml:space="preserve">MiddlesbroughEncircle Housing </t>
  </si>
  <si>
    <t xml:space="preserve">Southend-on-SeaEncircle Housing </t>
  </si>
  <si>
    <t xml:space="preserve">TeignbridgeEncircle Housing </t>
  </si>
  <si>
    <t xml:space="preserve">WarringtonEncircle Housing </t>
  </si>
  <si>
    <t>BuckinghamshireEnglish Rural Housing Association Limited</t>
  </si>
  <si>
    <t>Bracknell ForestFairplace Homes Ltd</t>
  </si>
  <si>
    <t>BuckinghamshireFairplace Homes Ltd</t>
  </si>
  <si>
    <t>CarlisleFirst Priority Housing Association Limited</t>
  </si>
  <si>
    <t>TraffordForHousing Limited</t>
  </si>
  <si>
    <t>RushcliffeFutures Homescape Limited</t>
  </si>
  <si>
    <t>BroxtoweFutures Homeway Limited</t>
  </si>
  <si>
    <t>Derbyshire DalesGranby House (Youlgrave and District) Society Limited</t>
  </si>
  <si>
    <t>BuckinghamshireGrand Union Housing Group Limited</t>
  </si>
  <si>
    <t>Three RiversGrand Union Housing Group Limited</t>
  </si>
  <si>
    <t>BarnsleyGreat Places Housing Association</t>
  </si>
  <si>
    <t>CharnwoodGreat Places Housing Association</t>
  </si>
  <si>
    <t>CrawleyGreat Places Housing Association</t>
  </si>
  <si>
    <t>Derbyshire DalesGreat Places Housing Association</t>
  </si>
  <si>
    <t>East LindseyGreat Places Housing Association</t>
  </si>
  <si>
    <t>East Riding of YorkshireGreat Places Housing Association</t>
  </si>
  <si>
    <t>North East DerbyshireGreat Places Housing Association</t>
  </si>
  <si>
    <t>SeftonGreat Places Housing Association</t>
  </si>
  <si>
    <t>ShropshireGreat Places Housing Association</t>
  </si>
  <si>
    <t>Staffordshire MoorlandsGreat Places Housing Association</t>
  </si>
  <si>
    <t>StockportGreat Places Housing Association</t>
  </si>
  <si>
    <t>TamworthGreat Places Housing Association</t>
  </si>
  <si>
    <t>WakefieldGreat Places Housing Association</t>
  </si>
  <si>
    <t>WirralGreat Places Housing Association</t>
  </si>
  <si>
    <t>BirminghamHalo Housing Association Limited</t>
  </si>
  <si>
    <t>Cheshire EastHalo Housing Association Limited</t>
  </si>
  <si>
    <t>NorthumberlandHalo Housing Association Limited</t>
  </si>
  <si>
    <t>Cheshire EastHalton Housing</t>
  </si>
  <si>
    <t>BuckinghamshireHarrow Churches Housing Association</t>
  </si>
  <si>
    <t>BuckinghamshireHastoe Housing Association Limited</t>
  </si>
  <si>
    <t>LambethHatch Row Housing Co-operative Limited</t>
  </si>
  <si>
    <t>North HertfordshireHaven First</t>
  </si>
  <si>
    <t>StevenageHaven First</t>
  </si>
  <si>
    <t>South OxfordshireHenley and District Housing Trust Limited</t>
  </si>
  <si>
    <t>Great YarmouthHerring House Trust (Great Yarmouth)</t>
  </si>
  <si>
    <t>BostonHeylo Housing Registered Provider Limited</t>
  </si>
  <si>
    <t>HarlowHeylo Housing Registered Provider Limited</t>
  </si>
  <si>
    <t>LichfieldHeylo Housing Registered Provider Limited</t>
  </si>
  <si>
    <t>MiddlesbroughHeylo Housing Registered Provider Limited</t>
  </si>
  <si>
    <t>PendleHeylo Housing Registered Provider Limited</t>
  </si>
  <si>
    <t>PortsmouthHeylo Housing Registered Provider Limited</t>
  </si>
  <si>
    <t>RotherhamHeylo Housing Registered Provider Limited</t>
  </si>
  <si>
    <t>RushmoorHeylo Housing Registered Provider Limited</t>
  </si>
  <si>
    <t>RutlandHeylo Housing Registered Provider Limited</t>
  </si>
  <si>
    <t>Staffordshire MoorlandsHeylo Housing Registered Provider Limited</t>
  </si>
  <si>
    <t>Tunbridge WellsHeylo Housing Registered Provider Limited</t>
  </si>
  <si>
    <t>West SuffolkHeylo Housing Registered Provider Limited</t>
  </si>
  <si>
    <t>BuckinghamshireHightown Housing Association Limited</t>
  </si>
  <si>
    <t>BasildonHilldale Housing Association Limited</t>
  </si>
  <si>
    <t>BradfordHilldale Housing Association Limited</t>
  </si>
  <si>
    <t>EastleighHilldale Housing Association Limited</t>
  </si>
  <si>
    <t>GedlingHilldale Housing Association Limited</t>
  </si>
  <si>
    <t>SalfordHilldale Housing Association Limited</t>
  </si>
  <si>
    <t>South RibbleHilldale Housing Association Limited</t>
  </si>
  <si>
    <t>SouthamptonHilldale Housing Association Limited</t>
  </si>
  <si>
    <t>Stoke-on-TrentHilldale Housing Association Limited</t>
  </si>
  <si>
    <t>TraffordHilldale Housing Association Limited</t>
  </si>
  <si>
    <t>Vale of White HorseHilldale Housing Association Limited</t>
  </si>
  <si>
    <t>BuckinghamshireHoltspur Housing Association Limited</t>
  </si>
  <si>
    <t>BuckinghamshireHome Group Limited</t>
  </si>
  <si>
    <t>ArunHousing 21</t>
  </si>
  <si>
    <t>BuckinghamshireHousing 21</t>
  </si>
  <si>
    <t>BuckinghamshireHousing Solutions</t>
  </si>
  <si>
    <t>SloughHundred Houses Society Limited</t>
  </si>
  <si>
    <t>TandridgeHundred Houses Society Limited</t>
  </si>
  <si>
    <t>BedfordIMPAKT Housing &amp; Support Ltd</t>
  </si>
  <si>
    <t>BromsgroveInclusion Housing Community Interest Company</t>
  </si>
  <si>
    <t>Cheshire West and ChesterInclusion Housing Community Interest Company</t>
  </si>
  <si>
    <t>DorsetInclusion Housing Community Interest Company</t>
  </si>
  <si>
    <t>East Riding of YorkshireInclusion Housing Community Interest Company</t>
  </si>
  <si>
    <t>East StaffordshireInclusion Housing Community Interest Company</t>
  </si>
  <si>
    <t>North NorfolkInclusion Housing Community Interest Company</t>
  </si>
  <si>
    <t>North SomersetInclusion Housing Community Interest Company</t>
  </si>
  <si>
    <t>SouthamptonInclusion Housing Community Interest Company</t>
  </si>
  <si>
    <t>Staffordshire MoorlandsInclusion Housing Community Interest Company</t>
  </si>
  <si>
    <t>HarrogateIncommunities Limited</t>
  </si>
  <si>
    <t>HaringeyJewish Community Housing Association Limited</t>
  </si>
  <si>
    <t>Newark and SherwoodJigsaw Homes Midlands</t>
  </si>
  <si>
    <t>BuryJigsaw Homes North</t>
  </si>
  <si>
    <t>Cheshire EastJigsaw Homes North</t>
  </si>
  <si>
    <t>Cheshire West and ChesterJigsaw Homes North</t>
  </si>
  <si>
    <t>ChorleyJigsaw Homes North</t>
  </si>
  <si>
    <t>CravenJigsaw Homes North</t>
  </si>
  <si>
    <t>FyldeJigsaw Homes North</t>
  </si>
  <si>
    <t>LancasterJigsaw Homes North</t>
  </si>
  <si>
    <t>ManchesterJigsaw Homes North</t>
  </si>
  <si>
    <t>PrestonJigsaw Homes North</t>
  </si>
  <si>
    <t>Ribble ValleyJigsaw Homes North</t>
  </si>
  <si>
    <t>RochdaleJigsaw Homes North</t>
  </si>
  <si>
    <t>SalfordJigsaw Homes North</t>
  </si>
  <si>
    <t>SeftonJigsaw Homes North</t>
  </si>
  <si>
    <t>South RibbleJigsaw Homes North</t>
  </si>
  <si>
    <t>St. HelensJigsaw Homes North</t>
  </si>
  <si>
    <t>StockportJigsaw Homes North</t>
  </si>
  <si>
    <t>TraffordJigsaw Homes North</t>
  </si>
  <si>
    <t>WarringtonJigsaw Homes North</t>
  </si>
  <si>
    <t>West LancashireJigsaw Homes North</t>
  </si>
  <si>
    <t>WiganJigsaw Homes North</t>
  </si>
  <si>
    <t>WirralJigsaw Homes North</t>
  </si>
  <si>
    <t>WyreJigsaw Homes North</t>
  </si>
  <si>
    <t>OldhamJigsaw Homes Tameside</t>
  </si>
  <si>
    <t>StockportJigsaw Homes Tameside</t>
  </si>
  <si>
    <t>TamesideJigsaw Homes Tameside</t>
  </si>
  <si>
    <t>TraffordJigsaw Homes Tameside</t>
  </si>
  <si>
    <t>CamdenJoel Emanuel Trust</t>
  </si>
  <si>
    <t>LeedsKarbon Homes Limited</t>
  </si>
  <si>
    <t>AllerdaleKeswick Community Housing Trust Limited</t>
  </si>
  <si>
    <t>Central BedfordshireLangley House Trust</t>
  </si>
  <si>
    <t>BrentLegal &amp; General Affordable Homes Limited</t>
  </si>
  <si>
    <t>Cheshire EastLegal &amp; General Affordable Homes Limited</t>
  </si>
  <si>
    <t>DacorumLegal &amp; General Affordable Homes Limited</t>
  </si>
  <si>
    <t>DoncasterLegal &amp; General Affordable Homes Limited</t>
  </si>
  <si>
    <t>HarlowLegal &amp; General Affordable Homes Limited</t>
  </si>
  <si>
    <t>LancasterLegal &amp; General Affordable Homes Limited</t>
  </si>
  <si>
    <t>MaldonLegal &amp; General Affordable Homes Limited</t>
  </si>
  <si>
    <t>Malvern HillsLegal &amp; General Affordable Homes Limited</t>
  </si>
  <si>
    <t>North DevonLegal &amp; General Affordable Homes Limited</t>
  </si>
  <si>
    <t>Oadby and WigstonLegal &amp; General Affordable Homes Limited</t>
  </si>
  <si>
    <t>South KestevenLegal &amp; General Affordable Homes Limited</t>
  </si>
  <si>
    <t>Vale of White HorseLegal &amp; General Affordable Homes Limited</t>
  </si>
  <si>
    <t>West SuffolkLegal &amp; General Affordable Homes Limited</t>
  </si>
  <si>
    <t>WiganLegal &amp; General Affordable Homes Limited</t>
  </si>
  <si>
    <t>WolverhamptonLegal &amp; General Affordable Homes Limited</t>
  </si>
  <si>
    <t>LeicesterLeicester Young Men’s Christian Association (Incorporated) (The)</t>
  </si>
  <si>
    <t>WirralLeta/Claudia Streets Housing Co-operative Limited</t>
  </si>
  <si>
    <t>AdurLondon &amp; Quadrant Housing Trust</t>
  </si>
  <si>
    <t>ArunLondon &amp; Quadrant Housing Trust</t>
  </si>
  <si>
    <t>AshfieldLondon &amp; Quadrant Housing Trust</t>
  </si>
  <si>
    <t>AshfordLondon &amp; Quadrant Housing Trust</t>
  </si>
  <si>
    <t>Brighton and HoveLondon &amp; Quadrant Housing Trust</t>
  </si>
  <si>
    <t>BroxbourneLondon &amp; Quadrant Housing Trust</t>
  </si>
  <si>
    <t>BuckinghamshireLondon &amp; Quadrant Housing Trust</t>
  </si>
  <si>
    <t>CanterburyLondon &amp; Quadrant Housing Trust</t>
  </si>
  <si>
    <t>Central BedfordshireLondon &amp; Quadrant Housing Trust</t>
  </si>
  <si>
    <t>DerbyLondon &amp; Quadrant Housing Trust</t>
  </si>
  <si>
    <t>EastbourneLondon &amp; Quadrant Housing Trust</t>
  </si>
  <si>
    <t>EastleighLondon &amp; Quadrant Housing Trust</t>
  </si>
  <si>
    <t>FarehamLondon &amp; Quadrant Housing Trust</t>
  </si>
  <si>
    <t>Forest of DeanLondon &amp; Quadrant Housing Trust</t>
  </si>
  <si>
    <t>HastingsLondon &amp; Quadrant Housing Trust</t>
  </si>
  <si>
    <t>LutonLondon &amp; Quadrant Housing Trust</t>
  </si>
  <si>
    <t>Mid SussexLondon &amp; Quadrant Housing Trust</t>
  </si>
  <si>
    <t>Milton KeynesLondon &amp; Quadrant Housing Trust</t>
  </si>
  <si>
    <t>North SomersetLondon &amp; Quadrant Housing Trust</t>
  </si>
  <si>
    <t>North TynesideLondon &amp; Quadrant Housing Trust</t>
  </si>
  <si>
    <t>PeterboroughLondon &amp; Quadrant Housing Trust</t>
  </si>
  <si>
    <t>RotherLondon &amp; Quadrant Housing Trust</t>
  </si>
  <si>
    <t>South CambridgeshireLondon &amp; Quadrant Housing Trust</t>
  </si>
  <si>
    <t>South KestevenLondon &amp; Quadrant Housing Trust</t>
  </si>
  <si>
    <t>SouthamptonLondon &amp; Quadrant Housing Trust</t>
  </si>
  <si>
    <t>Stratford-on-AvonLondon &amp; Quadrant Housing Trust</t>
  </si>
  <si>
    <t>SwindonLondon &amp; Quadrant Housing Trust</t>
  </si>
  <si>
    <t>ThanetLondon &amp; Quadrant Housing Trust</t>
  </si>
  <si>
    <t>West SuffolkLondon &amp; Quadrant Housing Trust</t>
  </si>
  <si>
    <t>WorthingLondon &amp; Quadrant Housing Trust</t>
  </si>
  <si>
    <t>DacorumLouisa Cottages Charity</t>
  </si>
  <si>
    <t>BlackpoolLumen Housing Limited</t>
  </si>
  <si>
    <t>LutonLuton Community Housing Limited</t>
  </si>
  <si>
    <t>SevenoaksMargaret Hyde Charity</t>
  </si>
  <si>
    <t>BuckinghamshireMasonic Housing Association</t>
  </si>
  <si>
    <t>WirralMethodist Homes Housing Association Limited</t>
  </si>
  <si>
    <t>BuckinghamshireMetropolitan Housing Trust Limited</t>
  </si>
  <si>
    <t>LiverpoolMill Street Co-operative Limited</t>
  </si>
  <si>
    <t>BuckinghamshireMoat Homes Limited</t>
  </si>
  <si>
    <t>Somerset West and TauntonMoat Homes Limited</t>
  </si>
  <si>
    <t>DorsetMunicipal &amp; Owen Carter Almshouse Charities</t>
  </si>
  <si>
    <t>North East DerbyshireMy Space Housing Solutions</t>
  </si>
  <si>
    <t>Nuneaton and BedworthMy Space Housing Solutions</t>
  </si>
  <si>
    <t>SunderlandMy Space Housing Solutions</t>
  </si>
  <si>
    <t>BuckinghamshireNetwork Homes Limited</t>
  </si>
  <si>
    <t>Central BedfordshireNetwork Homes Limited</t>
  </si>
  <si>
    <t>DarlingtonNew Walk Property Management CIC</t>
  </si>
  <si>
    <t>MiddlesbroughNew Walk Property Management CIC</t>
  </si>
  <si>
    <t>North TynesideNew Walk Property Management CIC</t>
  </si>
  <si>
    <t>Nuneaton and BedworthNicholas Chamberlaine's Hospital &amp; Sermon Charity</t>
  </si>
  <si>
    <t>BuckinghamshireNotting Hill Home Ownership Limited</t>
  </si>
  <si>
    <t>DorsetNotting Hill Home Ownership Limited</t>
  </si>
  <si>
    <t>BrentOak Housing Limited</t>
  </si>
  <si>
    <t>BromleyOak Housing Limited</t>
  </si>
  <si>
    <t>CroydonOak Housing Limited</t>
  </si>
  <si>
    <t>DoverOak Housing Limited</t>
  </si>
  <si>
    <t>Folkestone and HytheOak Housing Limited</t>
  </si>
  <si>
    <t>GraveshamOak Housing Limited</t>
  </si>
  <si>
    <t>MaidstoneOak Housing Limited</t>
  </si>
  <si>
    <t>MedwayOak Housing Limited</t>
  </si>
  <si>
    <t>SouthwarkOak Housing Limited</t>
  </si>
  <si>
    <t>SwaleOak Housing Limited</t>
  </si>
  <si>
    <t>ThanetOak Housing Limited</t>
  </si>
  <si>
    <t>ThurrockOak Housing Limited</t>
  </si>
  <si>
    <t>Tonbridge and MallingOak Housing Limited</t>
  </si>
  <si>
    <t>Tower HamletsOak Housing Limited</t>
  </si>
  <si>
    <t>Tunbridge WellsOak Housing Limited</t>
  </si>
  <si>
    <t>WiltshireOak Housing Limited</t>
  </si>
  <si>
    <t>LewesOld Ben Homes Limited</t>
  </si>
  <si>
    <t>Telford and WrekinOld Ben Homes Limited</t>
  </si>
  <si>
    <t>HaringeyOld Etonian Housing Association Limited</t>
  </si>
  <si>
    <t>IslingtonOld Etonian Housing Association Limited</t>
  </si>
  <si>
    <t>Windsor and MaidenheadOld Etonian Housing Association Limited</t>
  </si>
  <si>
    <t>BuckinghamshireOne Housing Group Limited</t>
  </si>
  <si>
    <t>BuckinghamshireOne YMCA</t>
  </si>
  <si>
    <t>MaidstoneOptivo</t>
  </si>
  <si>
    <t>BuckinghamshireOrbit Group Limited</t>
  </si>
  <si>
    <t>Amber ValleyOrbit Housing Association Limited</t>
  </si>
  <si>
    <t>AshfordOrbit Housing Association Limited</t>
  </si>
  <si>
    <t>BaberghOrbit Housing Association Limited</t>
  </si>
  <si>
    <t>BarnetOrbit Housing Association Limited</t>
  </si>
  <si>
    <t>BedfordOrbit Housing Association Limited</t>
  </si>
  <si>
    <t>BexleyOrbit Housing Association Limited</t>
  </si>
  <si>
    <t>BlabyOrbit Housing Association Limited</t>
  </si>
  <si>
    <t>BrecklandOrbit Housing Association Limited</t>
  </si>
  <si>
    <t>Brighton and HoveOrbit Housing Association Limited</t>
  </si>
  <si>
    <t>BroadlandOrbit Housing Association Limited</t>
  </si>
  <si>
    <t>BromleyOrbit Housing Association Limited</t>
  </si>
  <si>
    <t>CanterburyOrbit Housing Association Limited</t>
  </si>
  <si>
    <t>Central BedfordshireOrbit Housing Association Limited</t>
  </si>
  <si>
    <t>CoventryOrbit Housing Association Limited</t>
  </si>
  <si>
    <t>CroydonOrbit Housing Association Limited</t>
  </si>
  <si>
    <t>DartfordOrbit Housing Association Limited</t>
  </si>
  <si>
    <t>DoverOrbit Housing Association Limited</t>
  </si>
  <si>
    <t>East CambridgeshireOrbit Housing Association Limited</t>
  </si>
  <si>
    <t>East HertfordshireOrbit Housing Association Limited</t>
  </si>
  <si>
    <t>East SuffolkOrbit Housing Association Limited</t>
  </si>
  <si>
    <t>EastbourneOrbit Housing Association Limited</t>
  </si>
  <si>
    <t>EnfieldOrbit Housing Association Limited</t>
  </si>
  <si>
    <t>Epping ForestOrbit Housing Association Limited</t>
  </si>
  <si>
    <t>Epsom and EwellOrbit Housing Association Limited</t>
  </si>
  <si>
    <t>Folkestone and HytheOrbit Housing Association Limited</t>
  </si>
  <si>
    <t>GraveshamOrbit Housing Association Limited</t>
  </si>
  <si>
    <t>Great YarmouthOrbit Housing Association Limited</t>
  </si>
  <si>
    <t>GreenwichOrbit Housing Association Limited</t>
  </si>
  <si>
    <t>Hammersmith and FulhamOrbit Housing Association Limited</t>
  </si>
  <si>
    <t>HarboroughOrbit Housing Association Limited</t>
  </si>
  <si>
    <t>HastingsOrbit Housing Association Limited</t>
  </si>
  <si>
    <t>Hinckley and BosworthOrbit Housing Association Limited</t>
  </si>
  <si>
    <t>HorshamOrbit Housing Association Limited</t>
  </si>
  <si>
    <t>IpswichOrbit Housing Association Limited</t>
  </si>
  <si>
    <t>King's Lynn and West NorfolkOrbit Housing Association Limited</t>
  </si>
  <si>
    <t>LewesOrbit Housing Association Limited</t>
  </si>
  <si>
    <t>LichfieldOrbit Housing Association Limited</t>
  </si>
  <si>
    <t>MaidstoneOrbit Housing Association Limited</t>
  </si>
  <si>
    <t>MedwayOrbit Housing Association Limited</t>
  </si>
  <si>
    <t>Mid SuffolkOrbit Housing Association Limited</t>
  </si>
  <si>
    <t>Milton KeynesOrbit Housing Association Limited</t>
  </si>
  <si>
    <t>North NorfolkOrbit Housing Association Limited</t>
  </si>
  <si>
    <t>North WarwickshireOrbit Housing Association Limited</t>
  </si>
  <si>
    <t>NorwichOrbit Housing Association Limited</t>
  </si>
  <si>
    <t>Nuneaton and BedworthOrbit Housing Association Limited</t>
  </si>
  <si>
    <t>OxfordOrbit Housing Association Limited</t>
  </si>
  <si>
    <t>RedditchOrbit Housing Association Limited</t>
  </si>
  <si>
    <t>Reigate and BansteadOrbit Housing Association Limited</t>
  </si>
  <si>
    <t>RotherOrbit Housing Association Limited</t>
  </si>
  <si>
    <t>RugbyOrbit Housing Association Limited</t>
  </si>
  <si>
    <t>SevenoaksOrbit Housing Association Limited</t>
  </si>
  <si>
    <t>SolihullOrbit Housing Association Limited</t>
  </si>
  <si>
    <t>South CambridgeshireOrbit Housing Association Limited</t>
  </si>
  <si>
    <t>South KestevenOrbit Housing Association Limited</t>
  </si>
  <si>
    <t>South NorfolkOrbit Housing Association Limited</t>
  </si>
  <si>
    <t>Stratford-on-AvonOrbit Housing Association Limited</t>
  </si>
  <si>
    <t>SuttonOrbit Housing Association Limited</t>
  </si>
  <si>
    <t>SwaleOrbit Housing Association Limited</t>
  </si>
  <si>
    <t>TamworthOrbit Housing Association Limited</t>
  </si>
  <si>
    <t>ThanetOrbit Housing Association Limited</t>
  </si>
  <si>
    <t>Tonbridge and MallingOrbit Housing Association Limited</t>
  </si>
  <si>
    <t>Tunbridge WellsOrbit Housing Association Limited</t>
  </si>
  <si>
    <t>Waltham ForestOrbit Housing Association Limited</t>
  </si>
  <si>
    <t>WarwickOrbit Housing Association Limited</t>
  </si>
  <si>
    <t>WealdenOrbit Housing Association Limited</t>
  </si>
  <si>
    <t>West SuffolkOrbit Housing Association Limited</t>
  </si>
  <si>
    <t>WorcesterOrbit Housing Association Limited</t>
  </si>
  <si>
    <t>HackneyOutreach Housing Limited</t>
  </si>
  <si>
    <t>Forest of DeanP3 Housing Limited</t>
  </si>
  <si>
    <t>West LindseyP3 Housing Limited</t>
  </si>
  <si>
    <t>BuckinghamshireParadigm Homes Charitable Housing Association Limited</t>
  </si>
  <si>
    <t>BuckinghamshireParagon Asra Housing Limited</t>
  </si>
  <si>
    <t>HackneyParagon Asra Housing Limited</t>
  </si>
  <si>
    <t>EalingParasol Homes Limited</t>
  </si>
  <si>
    <t>WyreParasol Homes Limited</t>
  </si>
  <si>
    <t>StockportPartners Foundation Limited</t>
  </si>
  <si>
    <t>WestminsterPassage Housing Services</t>
  </si>
  <si>
    <t>BrentPeabody Developments Limited</t>
  </si>
  <si>
    <t>BrentwoodPeabody Trust</t>
  </si>
  <si>
    <t>MaldonPeabody Trust</t>
  </si>
  <si>
    <t>East HampshirePHA Homes Ltd</t>
  </si>
  <si>
    <t>HavantPHA Homes Ltd</t>
  </si>
  <si>
    <t>BuckinghamshirePlaces for People Homes Limited</t>
  </si>
  <si>
    <t>East LindseyPlaces for People Homes Limited</t>
  </si>
  <si>
    <t>North West LeicestershirePlaces for People Homes Limited</t>
  </si>
  <si>
    <t>BuckinghamshirePlaces for People Living+ Limited</t>
  </si>
  <si>
    <t>CanterburyPlaces for People Living+ Limited</t>
  </si>
  <si>
    <t>East CambridgeshirePlaces for People Living+ Limited</t>
  </si>
  <si>
    <t>North East LincolnshirePlaces for People Living+ Limited</t>
  </si>
  <si>
    <t>WarringtonPlaces for People Living+ Limited</t>
  </si>
  <si>
    <t>Vale of White HorsePlatform Housing Limited</t>
  </si>
  <si>
    <t>WolverhamptonPlatform Housing Limited</t>
  </si>
  <si>
    <t>NewhamPopulo Homes</t>
  </si>
  <si>
    <t>BuryPrestwich &amp; North Western Housing Association Limited</t>
  </si>
  <si>
    <t>LiverpoolPrinces Park Housing Co-operative Limited</t>
  </si>
  <si>
    <t>BuckinghamshireProgress Housing Association Limited</t>
  </si>
  <si>
    <t>Cheshire EastProgress Housing Association Limited</t>
  </si>
  <si>
    <t>BuckinghamshireRed Kite Community Housing Limited</t>
  </si>
  <si>
    <t>RochdaleRedwing Living Limited</t>
  </si>
  <si>
    <t>KnowsleyRegenda Limited</t>
  </si>
  <si>
    <t>BuckinghamshireReside Housing Association Limited</t>
  </si>
  <si>
    <t>SalfordReside Housing Association Limited</t>
  </si>
  <si>
    <t>TendringReside Housing Association Limited</t>
  </si>
  <si>
    <t>Richmond upon ThamesRichmond Co-operative Housing Association Limited</t>
  </si>
  <si>
    <t>Reigate and BansteadRosebery Housing Association Limited</t>
  </si>
  <si>
    <t>BuckinghamshireRosewood Housing Limited</t>
  </si>
  <si>
    <t>DacorumRosewood Housing Limited</t>
  </si>
  <si>
    <t>South CambridgeshireSaffron Housing Trust Limited</t>
  </si>
  <si>
    <t>BuckinghamshireSage Housing Limited</t>
  </si>
  <si>
    <t>CharnwoodSage Housing Limited</t>
  </si>
  <si>
    <t>ChelmsfordSage Housing Limited</t>
  </si>
  <si>
    <t>East CambridgeshireSage Housing Limited</t>
  </si>
  <si>
    <t>GraveshamSage Housing Limited</t>
  </si>
  <si>
    <t>HavantSage Housing Limited</t>
  </si>
  <si>
    <t>HounslowSage Housing Limited</t>
  </si>
  <si>
    <t>HyndburnSage Housing Limited</t>
  </si>
  <si>
    <t>IpswichSage Housing Limited</t>
  </si>
  <si>
    <t>Kingston upon ThamesSage Housing Limited</t>
  </si>
  <si>
    <t>Mid SuffolkSage Housing Limited</t>
  </si>
  <si>
    <t>Newcastle-under-LymeSage Housing Limited</t>
  </si>
  <si>
    <t>North KestevenSage Housing Limited</t>
  </si>
  <si>
    <t>North WarwickshireSage Housing Limited</t>
  </si>
  <si>
    <t>OxfordSage Housing Limited</t>
  </si>
  <si>
    <t>PeterboroughSage Housing Limited</t>
  </si>
  <si>
    <t>ReadingSage Housing Limited</t>
  </si>
  <si>
    <t>SedgemoorSage Housing Limited</t>
  </si>
  <si>
    <t>ThurrockSage Housing Limited</t>
  </si>
  <si>
    <t>WarringtonSage Housing Limited</t>
  </si>
  <si>
    <t>WealdenSage Housing Limited</t>
  </si>
  <si>
    <t>West LancashireSage Housing Limited</t>
  </si>
  <si>
    <t>WokinghamSage Housing Limited</t>
  </si>
  <si>
    <t>Basingstoke and DeaneSage Rented Limited</t>
  </si>
  <si>
    <t>BedfordSage Rented Limited</t>
  </si>
  <si>
    <t>Bracknell ForestSage Rented Limited</t>
  </si>
  <si>
    <t>BraintreeSage Rented Limited</t>
  </si>
  <si>
    <t>BrecklandSage Rented Limited</t>
  </si>
  <si>
    <t>BrentwoodSage Rented Limited</t>
  </si>
  <si>
    <t>BroadlandSage Rented Limited</t>
  </si>
  <si>
    <t>BuckinghamshireSage Rented Limited</t>
  </si>
  <si>
    <t>CambridgeSage Rented Limited</t>
  </si>
  <si>
    <t>Central BedfordshireSage Rented Limited</t>
  </si>
  <si>
    <t>CherwellSage Rented Limited</t>
  </si>
  <si>
    <t>Cheshire EastSage Rented Limited</t>
  </si>
  <si>
    <t>Cheshire West and ChesterSage Rented Limited</t>
  </si>
  <si>
    <t>ChichesterSage Rented Limited</t>
  </si>
  <si>
    <t>CroydonSage Rented Limited</t>
  </si>
  <si>
    <t>DacorumSage Rented Limited</t>
  </si>
  <si>
    <t>DerbySage Rented Limited</t>
  </si>
  <si>
    <t>East HampshireSage Rented Limited</t>
  </si>
  <si>
    <t>East HertfordshireSage Rented Limited</t>
  </si>
  <si>
    <t>East SuffolkSage Rented Limited</t>
  </si>
  <si>
    <t>FarehamSage Rented Limited</t>
  </si>
  <si>
    <t>Folkestone and HytheSage Rented Limited</t>
  </si>
  <si>
    <t>FyldeSage Rented Limited</t>
  </si>
  <si>
    <t>Great YarmouthSage Rented Limited</t>
  </si>
  <si>
    <t>HarboroughSage Rented Limited</t>
  </si>
  <si>
    <t>HarlowSage Rented Limited</t>
  </si>
  <si>
    <t>High PeakSage Rented Limited</t>
  </si>
  <si>
    <t>HillingdonSage Rented Limited</t>
  </si>
  <si>
    <t>HounslowSage Rented Limited</t>
  </si>
  <si>
    <t>HuntingdonshireSage Rented Limited</t>
  </si>
  <si>
    <t>KirkleesSage Rented Limited</t>
  </si>
  <si>
    <t>LeicesterSage Rented Limited</t>
  </si>
  <si>
    <t>LewesSage Rented Limited</t>
  </si>
  <si>
    <t>LewishamSage Rented Limited</t>
  </si>
  <si>
    <t>MaidstoneSage Rented Limited</t>
  </si>
  <si>
    <t>Mid SussexSage Rented Limited</t>
  </si>
  <si>
    <t>NewhamSage Rented Limited</t>
  </si>
  <si>
    <t>North East DerbyshireSage Rented Limited</t>
  </si>
  <si>
    <t>OxfordSage Rented Limited</t>
  </si>
  <si>
    <t>PrestonSage Rented Limited</t>
  </si>
  <si>
    <t>Ribble ValleySage Rented Limited</t>
  </si>
  <si>
    <t>RugbySage Rented Limited</t>
  </si>
  <si>
    <t>RushcliffeSage Rented Limited</t>
  </si>
  <si>
    <t>SelbySage Rented Limited</t>
  </si>
  <si>
    <t>South CambridgeshireSage Rented Limited</t>
  </si>
  <si>
    <t>South DerbyshireSage Rented Limited</t>
  </si>
  <si>
    <t>South KestevenSage Rented Limited</t>
  </si>
  <si>
    <t>South NorfolkSage Rented Limited</t>
  </si>
  <si>
    <t>South OxfordshireSage Rented Limited</t>
  </si>
  <si>
    <t>StaffordSage Rented Limited</t>
  </si>
  <si>
    <t>StockportSage Rented Limited</t>
  </si>
  <si>
    <t>Stratford-on-AvonSage Rented Limited</t>
  </si>
  <si>
    <t>SuttonSage Rented Limited</t>
  </si>
  <si>
    <t>SwaleSage Rented Limited</t>
  </si>
  <si>
    <t>TamworthSage Rented Limited</t>
  </si>
  <si>
    <t>TendringSage Rented Limited</t>
  </si>
  <si>
    <t>Test ValleySage Rented Limited</t>
  </si>
  <si>
    <t>Tunbridge WellsSage Rented Limited</t>
  </si>
  <si>
    <t>UttlesfordSage Rented Limited</t>
  </si>
  <si>
    <t>WakefieldSage Rented Limited</t>
  </si>
  <si>
    <t>WaverleySage Rented Limited</t>
  </si>
  <si>
    <t>West OxfordshireSage Rented Limited</t>
  </si>
  <si>
    <t>West SuffolkSage Rented Limited</t>
  </si>
  <si>
    <t>WiltshireSage Rented Limited</t>
  </si>
  <si>
    <t>BuckinghamshireSalvation Army Housing Association</t>
  </si>
  <si>
    <t>Barrow-in-FurnessSanctuary Affordable Housing Limited</t>
  </si>
  <si>
    <t>BradfordSanctuary Affordable Housing Limited</t>
  </si>
  <si>
    <t>BuckinghamshireSanctuary Affordable Housing Limited</t>
  </si>
  <si>
    <t>CalderdaleSanctuary Affordable Housing Limited</t>
  </si>
  <si>
    <t>Cheshire EastSanctuary Affordable Housing Limited</t>
  </si>
  <si>
    <t>ChorleySanctuary Affordable Housing Limited</t>
  </si>
  <si>
    <t>County DurhamSanctuary Affordable Housing Limited</t>
  </si>
  <si>
    <t>GloucesterSanctuary Affordable Housing Limited</t>
  </si>
  <si>
    <t>HarrogateSanctuary Affordable Housing Limited</t>
  </si>
  <si>
    <t>HartlepoolSanctuary Affordable Housing Limited</t>
  </si>
  <si>
    <t>KirkleesSanctuary Affordable Housing Limited</t>
  </si>
  <si>
    <t>PendleSanctuary Affordable Housing Limited</t>
  </si>
  <si>
    <t>Reigate and BansteadSanctuary Affordable Housing Limited</t>
  </si>
  <si>
    <t>SandwellSanctuary Affordable Housing Limited</t>
  </si>
  <si>
    <t>South RibbleSanctuary Affordable Housing Limited</t>
  </si>
  <si>
    <t>Southend-on-SeaSanctuary Affordable Housing Limited</t>
  </si>
  <si>
    <t>BuckinghamshireSanctuary Housing Association</t>
  </si>
  <si>
    <t>East HertfordshireSettle Group</t>
  </si>
  <si>
    <t>HertsmereSettle Group</t>
  </si>
  <si>
    <t>CamdenSeven Dials Housing Co-operative Limited</t>
  </si>
  <si>
    <t>Telford and WrekinShropshire Rural Housing Association Limited</t>
  </si>
  <si>
    <t>ShropshireSir Job Charlton's Hospital Charity</t>
  </si>
  <si>
    <t>BuckinghamshireSoha Housing Limited</t>
  </si>
  <si>
    <t>BaberghSolo Housing (East Anglia)</t>
  </si>
  <si>
    <t>BrecklandSolo Housing (East Anglia)</t>
  </si>
  <si>
    <t>Great YarmouthSolo Housing (East Anglia)</t>
  </si>
  <si>
    <t>Mid SuffolkSolo Housing (East Anglia)</t>
  </si>
  <si>
    <t>South NorfolkSolo Housing (East Anglia)</t>
  </si>
  <si>
    <t>ExeterSouth Devon Rural Housing Association Limited</t>
  </si>
  <si>
    <t>TeignbridgeSouth Western Housing Society Limited</t>
  </si>
  <si>
    <t>BuckinghamshireSouthern Housing Group Limited</t>
  </si>
  <si>
    <t>North HertfordshireSouthern Housing Group Limited</t>
  </si>
  <si>
    <t>West SuffolkSouthern Housing Group Limited</t>
  </si>
  <si>
    <t>CamdenSt Andrews Community Housing Association Ltd</t>
  </si>
  <si>
    <t>HarrogateSt Anne's Community Services</t>
  </si>
  <si>
    <t>KirkleesSt Anne's Community Services</t>
  </si>
  <si>
    <t>LeedsSt Anne's Community Services</t>
  </si>
  <si>
    <t>SheffieldSt Anne's Community Services</t>
  </si>
  <si>
    <t>CoventrySt Basil's</t>
  </si>
  <si>
    <t>SandwellSt Basil's</t>
  </si>
  <si>
    <t>SolihullSt Basil's</t>
  </si>
  <si>
    <t>WarwickSt Basil's</t>
  </si>
  <si>
    <t>CroydonSt Mungo Community Housing Association</t>
  </si>
  <si>
    <t>ReadingSt Mungo Community Housing Association</t>
  </si>
  <si>
    <t>CoventrySt Peter's Saltley Housing Association Limited</t>
  </si>
  <si>
    <t>LichfieldSt Peter's Saltley Housing Association Limited</t>
  </si>
  <si>
    <t>SolihullSt Peter's Saltley Housing Association Limited</t>
  </si>
  <si>
    <t>ArunSt Richard of Chichester Christian Care Association Ltd</t>
  </si>
  <si>
    <t>ChichesterSt Richard of Chichester Christian Care Association Ltd</t>
  </si>
  <si>
    <t>BuckinghamshireStonewater (2) Limited</t>
  </si>
  <si>
    <t>East DevonStonewater (2) Limited</t>
  </si>
  <si>
    <t>East HampshireStonewater (2) Limited</t>
  </si>
  <si>
    <t>North West LeicestershireStonewater (2) Limited</t>
  </si>
  <si>
    <t>OxfordStonewater (2) Limited</t>
  </si>
  <si>
    <t>South OxfordshireStonewater (2) Limited</t>
  </si>
  <si>
    <t>BradfordStonewater Limited</t>
  </si>
  <si>
    <t>BuckinghamshireStonewater Limited</t>
  </si>
  <si>
    <t>CalderdaleStonewater Limited</t>
  </si>
  <si>
    <t>CoventryStonewater Limited</t>
  </si>
  <si>
    <t>CravenStonewater Limited</t>
  </si>
  <si>
    <t>DoncasterStonewater Limited</t>
  </si>
  <si>
    <t>DudleyStonewater Limited</t>
  </si>
  <si>
    <t>East LindseyStonewater Limited</t>
  </si>
  <si>
    <t>GloucesterStonewater Limited</t>
  </si>
  <si>
    <t>HarboroughStonewater Limited</t>
  </si>
  <si>
    <t>HarrogateStonewater Limited</t>
  </si>
  <si>
    <t>KirkleesStonewater Limited</t>
  </si>
  <si>
    <t>LutonStonewater Limited</t>
  </si>
  <si>
    <t>Malvern HillsStonewater Limited</t>
  </si>
  <si>
    <t>MeltonStonewater Limited</t>
  </si>
  <si>
    <t>North HertfordshireStonewater Limited</t>
  </si>
  <si>
    <t>North WarwickshireStonewater Limited</t>
  </si>
  <si>
    <t>OxfordStonewater Limited</t>
  </si>
  <si>
    <t>RotherhamStonewater Limited</t>
  </si>
  <si>
    <t>RyedaleStonewater Limited</t>
  </si>
  <si>
    <t>SandwellStonewater Limited</t>
  </si>
  <si>
    <t>SelbyStonewater Limited</t>
  </si>
  <si>
    <t>ShropshireStonewater Limited</t>
  </si>
  <si>
    <t>SolihullStonewater Limited</t>
  </si>
  <si>
    <t>South GloucestershireStonewater Limited</t>
  </si>
  <si>
    <t>Stratford-on-AvonStonewater Limited</t>
  </si>
  <si>
    <t>TeignbridgeStonewater Limited</t>
  </si>
  <si>
    <t>TewkesburyStonewater Limited</t>
  </si>
  <si>
    <t>WalsallStonewater Limited</t>
  </si>
  <si>
    <t>West BerkshireStonewater Limited</t>
  </si>
  <si>
    <t>West OxfordshireStonewater Limited</t>
  </si>
  <si>
    <t>West SuffolkStonewater Limited</t>
  </si>
  <si>
    <t>WokinghamStonewater Limited</t>
  </si>
  <si>
    <t>WychavonStonewater Limited</t>
  </si>
  <si>
    <t>Wyre ForestStonewater Limited</t>
  </si>
  <si>
    <t>Newcastle upon TyneSummerhill Housing Co-operative (Newcastle) Limited</t>
  </si>
  <si>
    <t>BuckinghamshireThame and District Housing Association Limited</t>
  </si>
  <si>
    <t>EalingThames Valley Housing Association Limited</t>
  </si>
  <si>
    <t>DorsetThe Abbeyfield (Lyme Regis &amp; District) Society Limited</t>
  </si>
  <si>
    <t>ShropshireThe Abbeyfield Bishop's Castle and District Society Limited</t>
  </si>
  <si>
    <t>BurnleyThe Abbeyfield Burnley Society Limited</t>
  </si>
  <si>
    <t>CornwallThe Abbeyfield Camborne Society Limited</t>
  </si>
  <si>
    <t>BuckinghamshireThe Abbeyfield Chalfonts Society Limited</t>
  </si>
  <si>
    <t>Hammersmith and FulhamThe Abbeyfield Chelsea &amp; Fulham Society Limited</t>
  </si>
  <si>
    <t>Cheshire West and ChesterThe Abbeyfield Chester Society Limited</t>
  </si>
  <si>
    <t>BuckinghamshireThe Abbeyfield Gerrards Cross Society Limited</t>
  </si>
  <si>
    <t>BuckinghamshireThe Abbeyfield Great Missenden &amp; District Society</t>
  </si>
  <si>
    <t>OxfordThe Abbeyfield Oxford Society Limited</t>
  </si>
  <si>
    <t>BuckinghamshireThe Abbeyfield Society</t>
  </si>
  <si>
    <t>LeedsThe Aberford Almshouses</t>
  </si>
  <si>
    <t>BuckinghamshireThe Extracare Charitable Trust</t>
  </si>
  <si>
    <t>SolihullThe Extracare Charitable Trust</t>
  </si>
  <si>
    <t>AllerdaleThe Fairoak Housing Association</t>
  </si>
  <si>
    <t>Barrow-in-FurnessThe Fairoak Housing Association</t>
  </si>
  <si>
    <t>County DurhamThe Fairoak Housing Association</t>
  </si>
  <si>
    <t>NorthumberlandThe Fairoak Housing Association</t>
  </si>
  <si>
    <t>South LakelandThe Fairoak Housing Association</t>
  </si>
  <si>
    <t>SwaleThe Faversham Municipal Charities 2010</t>
  </si>
  <si>
    <t>BuckinghamshireThe Guinness Partnership Limited</t>
  </si>
  <si>
    <t>HounslowThe Guinness Partnership Limited</t>
  </si>
  <si>
    <t>NorwichThe Guinness Partnership Limited</t>
  </si>
  <si>
    <t>HartlepoolThe Hartlepools War Memorial Homes &amp; the Crosby Homes</t>
  </si>
  <si>
    <t>GraveshamThe Henry Pinnock &amp; Victoria &amp; Albert Memorial Charity</t>
  </si>
  <si>
    <t>Cannock ChaseThe Hopkins and Sneyd Almshouse Charity</t>
  </si>
  <si>
    <t>ShropshireThe Hosyer-Foxe Charity</t>
  </si>
  <si>
    <t>PortsmouthThe Lord Mayor of Portsmouth's Coronation Homes</t>
  </si>
  <si>
    <t>East SuffolkThe Lowestoft Church &amp; Town Almshouse Charity</t>
  </si>
  <si>
    <t>Hammersmith and FulhamThe Lygon Almshouses</t>
  </si>
  <si>
    <t>East CambridgeshireThe Mary Hatch Almshouses with Diamond Jubilee Cottages</t>
  </si>
  <si>
    <t>IpswichThe Mills Charity</t>
  </si>
  <si>
    <t>TandridgeThe Mrs Henrietta Frances Le Personne Benevolent Trust</t>
  </si>
  <si>
    <t>Oadby and WigstonThe North Memorial Homes City of Leicester</t>
  </si>
  <si>
    <t>ColchesterThe Ogilvie Charities (Deed No.1)</t>
  </si>
  <si>
    <t>East SuffolkThe Ogilvie Charities (Deed No.1)</t>
  </si>
  <si>
    <t>CornwallThe Peninsula Trust Limited</t>
  </si>
  <si>
    <t>DorsetThe Pepperell Blackmore Vale Society Limited</t>
  </si>
  <si>
    <t>CarlisleThe Richmond Fellowship</t>
  </si>
  <si>
    <t>Cheshire EastThe Richmond Fellowship</t>
  </si>
  <si>
    <t>Hinckley and BosworthThe Richmond Fellowship</t>
  </si>
  <si>
    <t>BuckinghamshireThe Riverside Group Limited</t>
  </si>
  <si>
    <t>BuckinghamshireThe Swaythling Housing Society Limited</t>
  </si>
  <si>
    <t>Mid SussexThe Swaythling Housing Society Limited</t>
  </si>
  <si>
    <t>East SuffolkThe Sybil Carthew Trust</t>
  </si>
  <si>
    <t>CalderdaleThe Thornton Cottage Homes</t>
  </si>
  <si>
    <t>BuckinghamshireThrive Homes Limited</t>
  </si>
  <si>
    <t>BolsoverTogether Housing Association Limited</t>
  </si>
  <si>
    <t>South RibbleTogether Housing Association Limited</t>
  </si>
  <si>
    <t>TorbayTorvista Homes Limited</t>
  </si>
  <si>
    <t>Mid SussexTransform Housing &amp; Support</t>
  </si>
  <si>
    <t>DerbyTrent &amp; Dove Housing Limited</t>
  </si>
  <si>
    <t>BuckinghamshireTrinity Housing Association Limited</t>
  </si>
  <si>
    <t>East StaffordshireTuntum Housing Association Limited</t>
  </si>
  <si>
    <t>CanterburyTurning Point</t>
  </si>
  <si>
    <t>East HampshireTwo Saints Limited</t>
  </si>
  <si>
    <t>WealdenUckfield and District Housing Association Limited</t>
  </si>
  <si>
    <t>ChichesterVivid Housing Limited</t>
  </si>
  <si>
    <t>YorkWakefield And District Housing Limited</t>
  </si>
  <si>
    <t>Welwyn HatfieldWatford Community Housing Trust</t>
  </si>
  <si>
    <t>BuckinghamshireWestmoreland Supported Housing Limited</t>
  </si>
  <si>
    <t>HillingdonWestway Housing Association Limited</t>
  </si>
  <si>
    <t>South SomersetWhite Horse Housing Association Limited</t>
  </si>
  <si>
    <t>Tower HamletsWilfrid East London Housing Co-operative Limited</t>
  </si>
  <si>
    <t>LewishamWindrush Alliance UK Community Interest Company</t>
  </si>
  <si>
    <t>WolverhamptonWoodlands Quaker Home</t>
  </si>
  <si>
    <t>Mid SussexWorthing Homes Limited</t>
  </si>
  <si>
    <t xml:space="preserve">Cheshire EastWythenshawe Community Housing Group Limited </t>
  </si>
  <si>
    <t xml:space="preserve">ManchesterWythenshawe Community Housing Group Limited </t>
  </si>
  <si>
    <t xml:space="preserve">TraffordWythenshawe Community Housing Group Limited </t>
  </si>
  <si>
    <t>HackneyYMCA London City and North</t>
  </si>
  <si>
    <t>HaringeyYMCA London City and North</t>
  </si>
  <si>
    <t>IslingtonYMCA London City and North</t>
  </si>
  <si>
    <t>Stoke-on-TrentYMCA North Staffordshire Ltd</t>
  </si>
  <si>
    <t>HambletonYork Housing Association Limited</t>
  </si>
  <si>
    <t>East of England'Johnnie' Johnson Housing Trust Limited</t>
  </si>
  <si>
    <t>North East'Johnnie' Johnson Housing Trust Limited</t>
  </si>
  <si>
    <t>North West'Johnnie' Johnson Housing Trust Limited</t>
  </si>
  <si>
    <t>East Midlands'Johnnie' Johnson Housing Trust Limited</t>
  </si>
  <si>
    <t>West Midlands20-20 Housing Co-operative Limited</t>
  </si>
  <si>
    <t>West Midlands3CHA Ltd</t>
  </si>
  <si>
    <t>North East3CHA Ltd</t>
  </si>
  <si>
    <t>South East3CHA Ltd</t>
  </si>
  <si>
    <t>North East700 Club</t>
  </si>
  <si>
    <t>LondonA2Dominion Homes Limited</t>
  </si>
  <si>
    <t>South WestA2Dominion Homes Limited</t>
  </si>
  <si>
    <t>South EastA2Dominion Homes Limited</t>
  </si>
  <si>
    <t>South EastA2Dominion Housing Options Limited</t>
  </si>
  <si>
    <t>South EastA2Dominion South Limited</t>
  </si>
  <si>
    <t>South WestA2Dominion South Limited</t>
  </si>
  <si>
    <t>LondonA2Dominion South Limited</t>
  </si>
  <si>
    <t>East of EnglandAbbeyfield Braintree, Bocking and Felsted Society Limited</t>
  </si>
  <si>
    <t>South WestAbbeyfield Bristol and Keynsham Society</t>
  </si>
  <si>
    <t>South EastAbbeyfield Ferring Society Limited</t>
  </si>
  <si>
    <t>South WestAbbeyfield Porlock Society Limited</t>
  </si>
  <si>
    <t>South EastAbbeyfield South Downs Limited</t>
  </si>
  <si>
    <t>South EastAbbeyfield Southern Oaks</t>
  </si>
  <si>
    <t>LondonAbbeyfield Southern Oaks</t>
  </si>
  <si>
    <t>South WestAbbeyfield Wessex Society Limited</t>
  </si>
  <si>
    <t>South EastAbbeyfield Wessex Society Limited</t>
  </si>
  <si>
    <t>South EastAbbeyfield Wey Valley Society Limited</t>
  </si>
  <si>
    <t>LondonAbeona Housing Co-operative Limited</t>
  </si>
  <si>
    <t>South EastAbility Housing Association</t>
  </si>
  <si>
    <t>East of EnglandAbility Housing Association</t>
  </si>
  <si>
    <t>LondonAbility Housing Association</t>
  </si>
  <si>
    <t>South WestAbility Housing Association</t>
  </si>
  <si>
    <t>South EastAccent Housing Limited</t>
  </si>
  <si>
    <t>North WestAccent Housing Limited</t>
  </si>
  <si>
    <t>LondonAccent Housing Limited</t>
  </si>
  <si>
    <t>East of EnglandAccent Housing Limited</t>
  </si>
  <si>
    <t>East MidlandsAccent Housing Limited</t>
  </si>
  <si>
    <t>North EastAccent Housing Limited</t>
  </si>
  <si>
    <t>LondonAccess Homes Housing Association Limited</t>
  </si>
  <si>
    <t>South EastAccommodationYes Limited</t>
  </si>
  <si>
    <t>East MidlandsAcis Group Limited</t>
  </si>
  <si>
    <t>East MidlandsAction Housing and Support Limited</t>
  </si>
  <si>
    <t>LondonAddiscombe Catholic Housing Association Limited</t>
  </si>
  <si>
    <t>North EastAdler Housing</t>
  </si>
  <si>
    <t>West MidlandsAdullam Homes Housing Association Limited</t>
  </si>
  <si>
    <t>North WestAdullam Homes Housing Association Limited</t>
  </si>
  <si>
    <t>East MidlandsAdullam Homes Housing Association Limited</t>
  </si>
  <si>
    <t>South EastAdvance Housing and Support Limited</t>
  </si>
  <si>
    <t>South WestAdvance Housing and Support Limited</t>
  </si>
  <si>
    <t>West MidlandsAdvance Housing and Support Limited</t>
  </si>
  <si>
    <t>North EastAdvance Housing and Support Limited</t>
  </si>
  <si>
    <t>North WestAdvance Housing and Support Limited</t>
  </si>
  <si>
    <t>LondonAdvance Housing and Support Limited</t>
  </si>
  <si>
    <t>East of EnglandAdvance Housing and Support Limited</t>
  </si>
  <si>
    <t>East MidlandsAdvance Housing and Support Limited</t>
  </si>
  <si>
    <t>South EastAgamemnon Housing Association Limited</t>
  </si>
  <si>
    <t>North EastAged Merchant Seamen's Homes</t>
  </si>
  <si>
    <t>LondonAgudas Israel Housing Association Limited</t>
  </si>
  <si>
    <t>North WestAgudas Israel Housing Association Limited</t>
  </si>
  <si>
    <t>North EastAlbion Housing Co-operative Limited</t>
  </si>
  <si>
    <t>East of EnglandAlice Coralie Glyn Homes</t>
  </si>
  <si>
    <t>East MidlandsAlliance Housing Association (South Yorkshire) Limited</t>
  </si>
  <si>
    <t>South EastAllnutt Mill Housing Co-operative Limited</t>
  </si>
  <si>
    <t>South EastAlmshouse Charity of Elizabeth Smith</t>
  </si>
  <si>
    <t>LondonAlmshouse Charity of Sir William Powell</t>
  </si>
  <si>
    <t>South EastAlmshouses of Miss Anne Hopkins-Smith</t>
  </si>
  <si>
    <t>West MidlandsAlpha (R.S.L.) Limited</t>
  </si>
  <si>
    <t>North WestAlpha (R.S.L.) Limited</t>
  </si>
  <si>
    <t>West MidlandsAlpha Housing Co-operative Limited</t>
  </si>
  <si>
    <t>North WestAlt Housing Co-operative Limited</t>
  </si>
  <si>
    <t>LondonAmicus Group Limited</t>
  </si>
  <si>
    <t>South WestAnchor Hanover Group</t>
  </si>
  <si>
    <t>LondonAnchor Hanover Group</t>
  </si>
  <si>
    <t>South EastAnchor Hanover Group</t>
  </si>
  <si>
    <t>East of EnglandAnchor Hanover Group</t>
  </si>
  <si>
    <t>East MidlandsAnchor Hanover Group</t>
  </si>
  <si>
    <t>North WestAnchor Hanover Group</t>
  </si>
  <si>
    <t>North EastAnchor Hanover Group</t>
  </si>
  <si>
    <t>West MidlandsAnchor Hanover Group</t>
  </si>
  <si>
    <t>South EastAnchor Property Holdings Limited</t>
  </si>
  <si>
    <t>LondonAnerley Housing Co-operative Limited</t>
  </si>
  <si>
    <t>South EastAngiers Almshouse Charity</t>
  </si>
  <si>
    <t>East MidlandsAnnie Sutton and Hoult Memorial Houses</t>
  </si>
  <si>
    <t>LondonApna Ghar Housing Association Limited</t>
  </si>
  <si>
    <t>North WestArawak Walton Housing Association Limited</t>
  </si>
  <si>
    <t>East MidlandsArches Housing Limited</t>
  </si>
  <si>
    <t>East MidlandsArcon Housing Association Limited</t>
  </si>
  <si>
    <t>North WestArcon Housing Association Limited</t>
  </si>
  <si>
    <t>East of EnglandArgyle Street Housing Co-operative Limited</t>
  </si>
  <si>
    <t>East of EnglandArhag Housing Association Limited</t>
  </si>
  <si>
    <t>LondonArhag Housing Association Limited</t>
  </si>
  <si>
    <t>LondonArneway Housing Co-operative Limited</t>
  </si>
  <si>
    <t>South EastArpeggio Properties Limited</t>
  </si>
  <si>
    <t>East MidlandsArpeggio Properties Limited</t>
  </si>
  <si>
    <t>North EastArpeggio Properties Limited</t>
  </si>
  <si>
    <t>North WestArpeggio Properties Limited</t>
  </si>
  <si>
    <t>LondonArundel Buildings Housing Co-operative Limited</t>
  </si>
  <si>
    <t>East of EnglandAsett Homes Ltd</t>
  </si>
  <si>
    <t>LondonAsh-Shahada Housing Association Limited</t>
  </si>
  <si>
    <t>East MidlandsAshbourne Almshouse Charity</t>
  </si>
  <si>
    <t>South EastAshford Pavilion Housing Co-operative Limited</t>
  </si>
  <si>
    <t>West MidlandsAshley Community &amp; Housing Ltd</t>
  </si>
  <si>
    <t>South WestAshley Community &amp; Housing Ltd</t>
  </si>
  <si>
    <t>North WestAshton Pioneer Homes Limited</t>
  </si>
  <si>
    <t>North WestAspire Housing Limited</t>
  </si>
  <si>
    <t>West MidlandsAspire Housing Limited</t>
  </si>
  <si>
    <t>North WestAssured Living Housing Association Limited</t>
  </si>
  <si>
    <t>South WestAster 3 Limited</t>
  </si>
  <si>
    <t>South EastAster 3 Limited</t>
  </si>
  <si>
    <t>South WestAster Communities</t>
  </si>
  <si>
    <t>South EastAster Communities</t>
  </si>
  <si>
    <t>East MidlandsAston Almshouse Charity</t>
  </si>
  <si>
    <t>LondonAston-Mansfield Charitable Trust</t>
  </si>
  <si>
    <t>North EastAth-Gray Housing Co-operative Limited</t>
  </si>
  <si>
    <t>East of EnglandAuckland Home Solutions CIC</t>
  </si>
  <si>
    <t>North EastAuckland Home Solutions CIC</t>
  </si>
  <si>
    <t>North WestAuckland Home Solutions CIC</t>
  </si>
  <si>
    <t>North WestAuxesia Homes Limited</t>
  </si>
  <si>
    <t>East of EnglandAylott Janes Almshouses</t>
  </si>
  <si>
    <t>East of EnglandB3 Living Limited</t>
  </si>
  <si>
    <t>BHT Sussex</t>
  </si>
  <si>
    <t>South EastBHT Sussex</t>
  </si>
  <si>
    <t>LondonBahay Kubo Housing Association Limited</t>
  </si>
  <si>
    <t>East of EnglandBalkerne Gardens Trust Limited</t>
  </si>
  <si>
    <t>West MidlandsBalsall Heath Housing Co-operative Limited</t>
  </si>
  <si>
    <t>LondonBangla Housing Association Limited</t>
  </si>
  <si>
    <t>LondonBarnsbury Housing Association Limited</t>
  </si>
  <si>
    <t>South EastBarnwood Housing Co-operative Limited</t>
  </si>
  <si>
    <t>LondonBattersea Tenants Co-operative Limited</t>
  </si>
  <si>
    <t>South EastBecket Trust Housing Association Limited</t>
  </si>
  <si>
    <t>LondonBedfont Stoney Wall Housing Co-operative Limited</t>
  </si>
  <si>
    <t>East of EnglandBedford Citizens Housing Association Limited</t>
  </si>
  <si>
    <t>South WestBeer Community Land Trust Limited</t>
  </si>
  <si>
    <t>East MidlandsBelgrave Neighbourhood Co-operative Housing Association Limited</t>
  </si>
  <si>
    <t>LondonBelgrave Street Housing Co-operative Limited</t>
  </si>
  <si>
    <t>North EastBelieve Housing Limited</t>
  </si>
  <si>
    <t>North EastBen-Motor &amp; Allied Trades Benevolent Fund</t>
  </si>
  <si>
    <t>West MidlandsBen-Motor &amp; Allied Trades Benevolent Fund</t>
  </si>
  <si>
    <t>South EastBenenden Almshouse Charities</t>
  </si>
  <si>
    <t>North EastBernicia Group</t>
  </si>
  <si>
    <t>LondonBespoke Supportive Tenancies Ltd</t>
  </si>
  <si>
    <t>North WestBespoke Supportive Tenancies Ltd</t>
  </si>
  <si>
    <t>North EastBespoke Supportive Tenancies Ltd</t>
  </si>
  <si>
    <t>East MidlandsBespoke Supportive Tenancies Ltd</t>
  </si>
  <si>
    <t>South EastBespoke Supportive Tenancies Ltd</t>
  </si>
  <si>
    <t>East of EnglandBespoke Supportive Tenancies Ltd</t>
  </si>
  <si>
    <t>West MidlandsBespoke Supportive Tenancies Ltd</t>
  </si>
  <si>
    <t>South WestBespoke Supportive Tenancies Ltd</t>
  </si>
  <si>
    <t>East MidlandsBethel Housing Association Limited</t>
  </si>
  <si>
    <t>LondonBexley Community Housing Association</t>
  </si>
  <si>
    <t>LondonBexley United Charities</t>
  </si>
  <si>
    <t>North EastBeyond Housing Limited</t>
  </si>
  <si>
    <t>East of EnglandBillericay Community Housing Association Limited</t>
  </si>
  <si>
    <t>North WestBirkenhead Forum Housing Association Limited</t>
  </si>
  <si>
    <t>West MidlandsBirmingham Civic Housing Association Limited</t>
  </si>
  <si>
    <t>West MidlandsBirmingham Jewish Housing Association Limited</t>
  </si>
  <si>
    <t>LondonBirnbeck Housing Association Limited</t>
  </si>
  <si>
    <t>South WestBirnbeck Housing Association Limited</t>
  </si>
  <si>
    <t>East of EnglandBirnbeck Housing Association Limited</t>
  </si>
  <si>
    <t>South EastBirnbeck Housing Association Limited</t>
  </si>
  <si>
    <t>West MidlandsBirnbeck Housing Association Limited</t>
  </si>
  <si>
    <t>West MidlandsBlack Country Housing Group Limited</t>
  </si>
  <si>
    <t>East of EnglandBlackburn YMCA</t>
  </si>
  <si>
    <t>South EastBlackburn YMCA</t>
  </si>
  <si>
    <t>South WestBlackburn YMCA</t>
  </si>
  <si>
    <t>North EastBlackburn YMCA</t>
  </si>
  <si>
    <t>North WestBlackburn YMCA</t>
  </si>
  <si>
    <t>West MidlandsBlackburn YMCA</t>
  </si>
  <si>
    <t>South EastBlenheim Housing Co-operative Limited</t>
  </si>
  <si>
    <t>North WestBlue Pits Housing Action</t>
  </si>
  <si>
    <t>North WestBlue Square Residential Ltd</t>
  </si>
  <si>
    <t>West MidlandsBlue Square Residential Ltd</t>
  </si>
  <si>
    <t>South WestBlue Square Residential Ltd</t>
  </si>
  <si>
    <t>LondonBlue Square Residential Ltd</t>
  </si>
  <si>
    <t>East MidlandsBlyth Cottages</t>
  </si>
  <si>
    <t>East of EnglandBocking United Charities</t>
  </si>
  <si>
    <t>North WestBolton at Home Limited</t>
  </si>
  <si>
    <t>North EastBomarsund Housing Co-operative Limited</t>
  </si>
  <si>
    <t>South EastBoorman's Almshouses</t>
  </si>
  <si>
    <t>West MidlandsBordesley Green Housing Co-operative Limited</t>
  </si>
  <si>
    <t>South WestBoscombe Rotary and Inner Wheel Housing Association Limited</t>
  </si>
  <si>
    <t>South EastBournemouth Churches Housing Association Limited</t>
  </si>
  <si>
    <t>South WestBournemouth Churches Housing Association Limited</t>
  </si>
  <si>
    <t>South WestBournemouth Young Men's Christian Association</t>
  </si>
  <si>
    <t>West MidlandsBournville Village Trust</t>
  </si>
  <si>
    <t>West MidlandsBournville Works Housing Society Limited</t>
  </si>
  <si>
    <t>LondonBow Housing Society Limited</t>
  </si>
  <si>
    <t>North EastBrandon Aged Persons Homes</t>
  </si>
  <si>
    <t>LondonBrandrams Housing Co-operative Limited</t>
  </si>
  <si>
    <t>East of EnglandBraughing Housing Association Limited</t>
  </si>
  <si>
    <t>LondonBrentwood Housing Trust Limited</t>
  </si>
  <si>
    <t>East of EnglandBrentwood Housing Trust Limited</t>
  </si>
  <si>
    <t>South WestBridgwater Young Men's Christian Association</t>
  </si>
  <si>
    <t>West MidlandsBrighter Futures Housing Association Limited</t>
  </si>
  <si>
    <t>South WestBrighter Places</t>
  </si>
  <si>
    <t>LondonBrighton Buildings Housing Co-operative Limited</t>
  </si>
  <si>
    <t>South EastBrighton Lions Housing Society Limited</t>
  </si>
  <si>
    <t>South EastBrighton YMCA</t>
  </si>
  <si>
    <t>South EastBrighton and Hove Almshouse Charity</t>
  </si>
  <si>
    <t>South EastBrighton and Hove Jewish Housing Association Limited</t>
  </si>
  <si>
    <t>South WestBristol CLT Limited</t>
  </si>
  <si>
    <t>South WestBristol and Anchor Almshouse Charity</t>
  </si>
  <si>
    <t>South WestBristowe (Fair Rent) Housing Association Limited</t>
  </si>
  <si>
    <t>LondonBrixton Housing Co-operative Limited</t>
  </si>
  <si>
    <t>North EastBroadacres Housing Association Limited</t>
  </si>
  <si>
    <t>West MidlandsBroadening Choices for Older People</t>
  </si>
  <si>
    <t>East of EnglandBroadland Housing Association Limited</t>
  </si>
  <si>
    <t>West MidlandsBromford Home Ownership Limited</t>
  </si>
  <si>
    <t>South EastBromford Home Ownership Limited</t>
  </si>
  <si>
    <t>East MidlandsBromford Housing Association Limited</t>
  </si>
  <si>
    <t>West MidlandsBromford Housing Association Limited</t>
  </si>
  <si>
    <t>South WestBromford Housing Association Limited</t>
  </si>
  <si>
    <t>South EastBromford Housing Association Limited</t>
  </si>
  <si>
    <t>West MidlandsBromsgrove District Housing Trust Limited</t>
  </si>
  <si>
    <t>West MidlandsBromsgrove United Charities</t>
  </si>
  <si>
    <t>North WestBrownlow Hill Housing Co-operative Limited</t>
  </si>
  <si>
    <t>South WestBrunelcare</t>
  </si>
  <si>
    <t>East MidlandsBrunts Charity</t>
  </si>
  <si>
    <t>South EastBuckinghamshire Housing Association Limited</t>
  </si>
  <si>
    <t>West MidlandsButlin and Elborow Housing Trust</t>
  </si>
  <si>
    <t>East of EnglandCWL Housing</t>
  </si>
  <si>
    <t>North WestCalico Homes Limited</t>
  </si>
  <si>
    <t>North WestCanning Housing Co-operative Limited</t>
  </si>
  <si>
    <t>East MidlandsCare Housing Association Limited</t>
  </si>
  <si>
    <t>North EastCare Housing Association Limited</t>
  </si>
  <si>
    <t>North WestCare Housing Association Limited</t>
  </si>
  <si>
    <t>LondonCaritas Anchor House</t>
  </si>
  <si>
    <t>North WestCastle Housing Limited</t>
  </si>
  <si>
    <t>North WestCastles &amp; Coasts Housing Association Limited</t>
  </si>
  <si>
    <t>North EastCastles &amp; Coasts Housing Association Limited</t>
  </si>
  <si>
    <t>South EastCatalyst Housing Limited</t>
  </si>
  <si>
    <t>South WestCatalyst Housing Limited</t>
  </si>
  <si>
    <t>East MidlandsCatalyst Housing Limited</t>
  </si>
  <si>
    <t>LondonCatalyst Housing Limited</t>
  </si>
  <si>
    <t>East of EnglandCatalyst Housing Limited</t>
  </si>
  <si>
    <t>North WestCathedral Mansions Housing Co-operative Limited</t>
  </si>
  <si>
    <t>LondonCedarmore Housing Association Limited</t>
  </si>
  <si>
    <t>South EastCentral and Cecil Housing Trust</t>
  </si>
  <si>
    <t>LondonCentral and Cecil Housing Trust</t>
  </si>
  <si>
    <t>North WestCentrepoint Soho</t>
  </si>
  <si>
    <t>LondonCentrepoint Soho</t>
  </si>
  <si>
    <t>North EastCentrepoint Soho</t>
  </si>
  <si>
    <t>LondonChanging Lives Housing Trust</t>
  </si>
  <si>
    <t>South WestCharity of Alice Dale</t>
  </si>
  <si>
    <t>South WestCharity of Jonathan &amp; Rebecca Edwards</t>
  </si>
  <si>
    <t>South EastCharity of Julia Spicer for Almshouses</t>
  </si>
  <si>
    <t>North WestCharity of Marjorie Hurst</t>
  </si>
  <si>
    <t>West MidlandsCharity of Mrs Catherine Walker</t>
  </si>
  <si>
    <t>LondonCharlton Triangle Homes Limited</t>
  </si>
  <si>
    <t>East of EnglandChelmer Housing Partnership Limited</t>
  </si>
  <si>
    <t>South WestCheltenham Borough Homes Limited</t>
  </si>
  <si>
    <t>South WestCheltenham Young Men's Christian Association</t>
  </si>
  <si>
    <t>East of EnglandCherry Hinton Almshouse Charity</t>
  </si>
  <si>
    <t>North WestCherryfield Housing Co-operative Limited</t>
  </si>
  <si>
    <t>East MidlandsCheshire Peaks &amp; Plains Housing Trust Limited</t>
  </si>
  <si>
    <t>North WestCheshire Peaks &amp; Plains Housing Trust Limited</t>
  </si>
  <si>
    <t>East MidlandsChesterfield Churches Housing Association Limited</t>
  </si>
  <si>
    <t>South EastChichester Greyfriars Housing Association Limited</t>
  </si>
  <si>
    <t>LondonChippenham Housing Co-operative Limited</t>
  </si>
  <si>
    <t>South EastChisel Limited</t>
  </si>
  <si>
    <t>LondonChisel Limited</t>
  </si>
  <si>
    <t>East of EnglandChisel Limited</t>
  </si>
  <si>
    <t>LondonChislehurst and Sidcup Housing Association</t>
  </si>
  <si>
    <t>LondonChiswick Parochial Charities</t>
  </si>
  <si>
    <t>West MidlandsChoices Housing Association Limited</t>
  </si>
  <si>
    <t>East of EnglandChorus Homes Limited</t>
  </si>
  <si>
    <t>South EastChorus Homes Limited</t>
  </si>
  <si>
    <t>LondonChristian Action (Enfield) Housing Association Limited</t>
  </si>
  <si>
    <t>LondonChrysalis Supported Association Limited</t>
  </si>
  <si>
    <t>North WestChrysalis Supported Association Limited</t>
  </si>
  <si>
    <t>West MidlandsChrysalis Supported Association Limited</t>
  </si>
  <si>
    <t>South WestChrysalis Supported Association Limited</t>
  </si>
  <si>
    <t>East of EnglandChrysalis Supported Association Limited</t>
  </si>
  <si>
    <t>East MidlandsChrysalis Supported Association Limited</t>
  </si>
  <si>
    <t>South EastChrysalis Supported Association Limited</t>
  </si>
  <si>
    <t>South WestChubb, Whetstone and Napper's Almshouses</t>
  </si>
  <si>
    <t>South EastChurch Almshouses Charity</t>
  </si>
  <si>
    <t>South EastChurch of England Soldiers’ Sailors’ and Airmen’s Housing Association Limited</t>
  </si>
  <si>
    <t>West MidlandsChurches Housing Association of Dudley and District Limited</t>
  </si>
  <si>
    <t>South WestCirencester Housing Limited</t>
  </si>
  <si>
    <t>South WestCitizen Housing Group Limited</t>
  </si>
  <si>
    <t>West MidlandsCitizen Housing Group Limited</t>
  </si>
  <si>
    <t>North WestCity Of Liverpool YMCA (Incorporated)</t>
  </si>
  <si>
    <t>South WestCity of Exeter YMCA</t>
  </si>
  <si>
    <t>South WestCity of Wells Almshouses</t>
  </si>
  <si>
    <t>East of EnglandClarion Housing Association Limited</t>
  </si>
  <si>
    <t>South WestClarion Housing Association Limited</t>
  </si>
  <si>
    <t>South EastClarion Housing Association Limited</t>
  </si>
  <si>
    <t>East MidlandsClarion Housing Association Limited</t>
  </si>
  <si>
    <t>West MidlandsClarion Housing Association Limited</t>
  </si>
  <si>
    <t>North WestClarion Housing Association Limited</t>
  </si>
  <si>
    <t>LondonClarion Housing Association Limited</t>
  </si>
  <si>
    <t>West MidlandsClaverdon Benefice Housing Association Limited</t>
  </si>
  <si>
    <t xml:space="preserve">West MidlandsClifton Parish Houses </t>
  </si>
  <si>
    <t>LondonClissold Housing Co-operative Limited</t>
  </si>
  <si>
    <t>East of EnglandCo-op Homes (South) Limited</t>
  </si>
  <si>
    <t>South EastCo-op Homes (South) Limited</t>
  </si>
  <si>
    <t>LondonCo-op Homes (South) Limited</t>
  </si>
  <si>
    <t>North WestCo-op Schemes For The Elderly Ltd</t>
  </si>
  <si>
    <t>South EastCo-operative Development Society Limited</t>
  </si>
  <si>
    <t>LondonCo-operative Development Society Limited</t>
  </si>
  <si>
    <t>East of EnglandCo-operative Development Society Limited</t>
  </si>
  <si>
    <t>South WestCoastline Housing Limited</t>
  </si>
  <si>
    <t>North WestCobalt Housing Limited</t>
  </si>
  <si>
    <t>South EastCollins Memorial Trust</t>
  </si>
  <si>
    <t>North WestColonel Slater Homes</t>
  </si>
  <si>
    <t>North WestCommonplace Housing Co-operative Limited</t>
  </si>
  <si>
    <t>North WestCommunity Gateway Association Limited</t>
  </si>
  <si>
    <t>North WestConcept Housing Association CIC</t>
  </si>
  <si>
    <t>LondonConcept Housing Association CIC</t>
  </si>
  <si>
    <t>West MidlandsCondlyffe Charity</t>
  </si>
  <si>
    <t>West MidlandsConnexus Homes Limited</t>
  </si>
  <si>
    <t>South WestCooke's Almshouse Charity</t>
  </si>
  <si>
    <t>North WestCorn and Yates Streets Housing Co-operative Ltd</t>
  </si>
  <si>
    <t>South WestCornerstone Housing Limited</t>
  </si>
  <si>
    <t>West MidlandsCornfield Housing Society Limited</t>
  </si>
  <si>
    <t>South WestCornwall CLT Limited</t>
  </si>
  <si>
    <t>South WestCornwall Housing Limited</t>
  </si>
  <si>
    <t>South WestCornwall Rural Housing Association Limited</t>
  </si>
  <si>
    <t>East of EnglandCorton House Limited</t>
  </si>
  <si>
    <t>East MidlandsCossington Housing Co-operative Limited</t>
  </si>
  <si>
    <t>East of EnglandCotman Housing Association Limited</t>
  </si>
  <si>
    <t>South EastCottsway 2</t>
  </si>
  <si>
    <t>South EastCottsway Housing Association Limited</t>
  </si>
  <si>
    <t>South WestCottsway Housing Association Limited</t>
  </si>
  <si>
    <t>West MidlandsCottsway Housing Association Limited</t>
  </si>
  <si>
    <t>South EastCountess of Derby's Almshouse</t>
  </si>
  <si>
    <t>West MidlandsCoventry Church (Municipal) Charities</t>
  </si>
  <si>
    <t>LondonCraymill Housing Co-operative Limited</t>
  </si>
  <si>
    <t>West MidlandsCreative Support Limited</t>
  </si>
  <si>
    <t>South EastCreative Support Limited</t>
  </si>
  <si>
    <t>East MidlandsCreative Support Limited</t>
  </si>
  <si>
    <t>North WestCreative Support Limited</t>
  </si>
  <si>
    <t>North EastCreative Support Limited</t>
  </si>
  <si>
    <t>North WestCrewe YMCA Limited</t>
  </si>
  <si>
    <t>North WestCroft Housing Association Limited</t>
  </si>
  <si>
    <t>LondonCromwood Housing Ltd</t>
  </si>
  <si>
    <t>North WestCrosby Housing Association Limited</t>
  </si>
  <si>
    <t>East MidlandsCross Keys Homes Limited</t>
  </si>
  <si>
    <t>East of EnglandCross Keys Homes Limited</t>
  </si>
  <si>
    <t>South EastCross Keys Homes Limited</t>
  </si>
  <si>
    <t>LondonCross Lances Housing Co-operative Limited</t>
  </si>
  <si>
    <t>LondonCroydon Churches Housing Association Limited</t>
  </si>
  <si>
    <t>South WestCuro Group (Albion) Limited</t>
  </si>
  <si>
    <t>South WestCuro Places Limited</t>
  </si>
  <si>
    <t>LondonCyron Housing Co-operative Limited</t>
  </si>
  <si>
    <t>South WestDanby Almshouse Charity</t>
  </si>
  <si>
    <t>South EastDarent Housing Co-operative Limited</t>
  </si>
  <si>
    <t>South EastDartford Almshouse Charity</t>
  </si>
  <si>
    <t>LondonDavid Henry Waring Home</t>
  </si>
  <si>
    <t>LondonDawley Housing Co-operative Limited</t>
  </si>
  <si>
    <t>South EastDelce Manor Housing Co-operative Limited</t>
  </si>
  <si>
    <t>LondonDennetts Housing Co-operative Limited</t>
  </si>
  <si>
    <t>North WestDepaul Housing Services</t>
  </si>
  <si>
    <t>North EastDepaul Housing Services</t>
  </si>
  <si>
    <t>East MidlandsDerby Homes Limited</t>
  </si>
  <si>
    <t>East MidlandsDerventio Housing Trust CIC</t>
  </si>
  <si>
    <t>East MidlandsDerwent Community Housing Association Limited</t>
  </si>
  <si>
    <t>South EastDerwent Housing Association Limited</t>
  </si>
  <si>
    <t>East MidlandsDerwent Housing Association Limited</t>
  </si>
  <si>
    <t>West MidlandsDerwent Housing Association Limited</t>
  </si>
  <si>
    <t>LondonDholak Partnership Homes Limited</t>
  </si>
  <si>
    <t>East of EnglandDimensions (UK) Limited</t>
  </si>
  <si>
    <t>South EastDimensions (UK) Limited</t>
  </si>
  <si>
    <t>North WestDimensions (UK) Limited</t>
  </si>
  <si>
    <t>LondonDimensions (UK) Limited</t>
  </si>
  <si>
    <t>South WestDimensions (UK) Limited</t>
  </si>
  <si>
    <t>North EastDimensions (UK) Limited</t>
  </si>
  <si>
    <t>West MidlandsDimensions (UK) Limited</t>
  </si>
  <si>
    <t>East MidlandsDimensions (UK) Limited</t>
  </si>
  <si>
    <t>North WestDingle Residents Co-operative Limited</t>
  </si>
  <si>
    <t>North WestDistrict Homes C.I.C</t>
  </si>
  <si>
    <t>LondonDistrict Homes C.I.C</t>
  </si>
  <si>
    <t>LondonDolphin Living Limited</t>
  </si>
  <si>
    <t>South EastDorking Charity</t>
  </si>
  <si>
    <t>South EastDormer's Hospital Charity</t>
  </si>
  <si>
    <t>LondonDovepark Properties Limited</t>
  </si>
  <si>
    <t>South EastDovepark Properties Limited</t>
  </si>
  <si>
    <t>South EastDrayton Parochial Charities</t>
  </si>
  <si>
    <t>South EastDunk's Almshouse Charity</t>
  </si>
  <si>
    <t>North EastDurham Action on Single Housing Limited</t>
  </si>
  <si>
    <t>North EastDurham Aged Mineworkers' Homes Association</t>
  </si>
  <si>
    <t>East of EnglandE W King Memorial Homes</t>
  </si>
  <si>
    <t>East of EnglandEMH Housing and Regeneration Limited</t>
  </si>
  <si>
    <t>East MidlandsEMH Housing and Regeneration Limited</t>
  </si>
  <si>
    <t>West MidlandsEMH Housing and Regeneration Limited</t>
  </si>
  <si>
    <t>South WestEarle's Retreat</t>
  </si>
  <si>
    <t>South WestEast Boro Housing Trust Limited</t>
  </si>
  <si>
    <t>LondonEast End Homes Limited</t>
  </si>
  <si>
    <t>East of EnglandEastlight Community Homes Limited</t>
  </si>
  <si>
    <t>LondonEbony Sistren Housing Association Limited</t>
  </si>
  <si>
    <t>North WestEden Housing Association Limited</t>
  </si>
  <si>
    <t>LondonEdward Henry House Co-operative Limited</t>
  </si>
  <si>
    <t>LondonEkarro Housing Co-operative Limited</t>
  </si>
  <si>
    <t>LondonEkaya Housing Association Limited</t>
  </si>
  <si>
    <t>LondonEldon Housing Association Limited</t>
  </si>
  <si>
    <t>South EastEldon Housing Association Limited</t>
  </si>
  <si>
    <t>North WestEldonian Community Based Housing Association Limited</t>
  </si>
  <si>
    <t>LondonEleanor Palmer Trust</t>
  </si>
  <si>
    <t>South WestElim Housing Association Limited</t>
  </si>
  <si>
    <t>West MidlandsElim Housing Association Limited</t>
  </si>
  <si>
    <t>West MidlandsElizabeth Dowell's Trust</t>
  </si>
  <si>
    <t>South EastElles Housing Co-operative Limited</t>
  </si>
  <si>
    <t>South EastElm Trees Retirement Living Limited</t>
  </si>
  <si>
    <t>South WestEmily Brydges Willyams Memorial Houses</t>
  </si>
  <si>
    <t>North WestEmpower Housing Association Limited</t>
  </si>
  <si>
    <t>North EastEmpower Housing Association Limited</t>
  </si>
  <si>
    <t>East MidlandsEmpower Housing Association Limited</t>
  </si>
  <si>
    <t>West MidlandsEmpower Housing Association Limited</t>
  </si>
  <si>
    <t>South EastEmpower Housing Association Limited</t>
  </si>
  <si>
    <t>East of EnglandEmpower Housing Association Limited</t>
  </si>
  <si>
    <t>South WestEmpower Housing Association Limited</t>
  </si>
  <si>
    <t>LondonEmpower Housing Association Limited</t>
  </si>
  <si>
    <t>West MidlandsEmpowering People Inspiring Communities Limited</t>
  </si>
  <si>
    <t xml:space="preserve">South WestEncircle Housing </t>
  </si>
  <si>
    <t xml:space="preserve">North EastEncircle Housing </t>
  </si>
  <si>
    <t xml:space="preserve">North WestEncircle Housing </t>
  </si>
  <si>
    <t xml:space="preserve">West MidlandsEncircle Housing </t>
  </si>
  <si>
    <t xml:space="preserve">East MidlandsEncircle Housing </t>
  </si>
  <si>
    <t xml:space="preserve">South EastEncircle Housing </t>
  </si>
  <si>
    <t xml:space="preserve">East of EnglandEncircle Housing </t>
  </si>
  <si>
    <t xml:space="preserve">LondonEncircle Housing </t>
  </si>
  <si>
    <t>South EastEnglish Rural Housing Association Limited</t>
  </si>
  <si>
    <t>East of EnglandEnglish Rural Housing Association Limited</t>
  </si>
  <si>
    <t>North WestEnglish Rural Housing Association Limited</t>
  </si>
  <si>
    <t>South WestEnglish Rural Housing Association Limited</t>
  </si>
  <si>
    <t>East MidlandsEnglish Rural Housing Association Limited</t>
  </si>
  <si>
    <t>South EastEnham Trust</t>
  </si>
  <si>
    <t>South EastEpsom and Ewell Housing Association Limited</t>
  </si>
  <si>
    <t>East of EnglandEstuary Housing Association Limited</t>
  </si>
  <si>
    <t>LondonEstuary Housing Association Limited</t>
  </si>
  <si>
    <t>LondonEverbrook Housing Co-operative Limited</t>
  </si>
  <si>
    <t>LondonEvolve Housing + Support</t>
  </si>
  <si>
    <t>North WestExcel Housing Solutions</t>
  </si>
  <si>
    <t>South WestExeter Homes Trust</t>
  </si>
  <si>
    <t>West MidlandsExpectations (UK)</t>
  </si>
  <si>
    <t>North WestFairfield Moravian Housing Association Limited</t>
  </si>
  <si>
    <t>LondonFairhazel Co-operative Limited</t>
  </si>
  <si>
    <t>West MidlandsFairplace Homes Ltd</t>
  </si>
  <si>
    <t>South EastFairplace Homes Ltd</t>
  </si>
  <si>
    <t>North WestFalcon Housing Association C.I.C</t>
  </si>
  <si>
    <t>South EastFalcon Housing Association C.I.C</t>
  </si>
  <si>
    <t>North EastFalcon Housing Association C.I.C</t>
  </si>
  <si>
    <t>South WestFalcon Rural Housing Limited</t>
  </si>
  <si>
    <t>North EastFalconar Street Housing Co-operative Limited</t>
  </si>
  <si>
    <t>North WestFamily Housing Association (Birkenhead and Wirral) Limited</t>
  </si>
  <si>
    <t>East MidlandsFarmer and Lemmoin-Cannon Charity</t>
  </si>
  <si>
    <t>North WestFence Trust</t>
  </si>
  <si>
    <t>North WestFirst Choice Homes Oldham Limited</t>
  </si>
  <si>
    <t>East of EnglandFirst Garden Cities Homes Limited</t>
  </si>
  <si>
    <t>East MidlandsFirst Priority Housing Association Limited</t>
  </si>
  <si>
    <t>East of EnglandFirst Priority Housing Association Limited</t>
  </si>
  <si>
    <t>South WestFirst Priority Housing Association Limited</t>
  </si>
  <si>
    <t>North WestFirst Priority Housing Association Limited</t>
  </si>
  <si>
    <t>LondonFirst Priority Housing Association Limited</t>
  </si>
  <si>
    <t>West MidlandsFirst Priority Housing Association Limited</t>
  </si>
  <si>
    <t>South EastFirst Priority Housing Association Limited</t>
  </si>
  <si>
    <t>LondonFirst Wave Housing Limited</t>
  </si>
  <si>
    <t>South EastFitzgerald Charity</t>
  </si>
  <si>
    <t>South EastFive Villages Home Association Limited</t>
  </si>
  <si>
    <t>East of EnglandFlagship Housing Group Limited</t>
  </si>
  <si>
    <t>North WestForHousing Limited</t>
  </si>
  <si>
    <t>South WestFord Street and Maynard Almshouse Charity</t>
  </si>
  <si>
    <t>LondonForest Housing Association Limited</t>
  </si>
  <si>
    <t>South WestFountain Housing Association Limited</t>
  </si>
  <si>
    <t>East MidlandsFramework Housing Association</t>
  </si>
  <si>
    <t>South EastFranklands Village Housing Association Limited</t>
  </si>
  <si>
    <t>South EastFranklyn Housing Co-operative Limited</t>
  </si>
  <si>
    <t>East of EnglandFreebridge Community Housing Limited</t>
  </si>
  <si>
    <t>South WestFrench Weir Affordable Homes LLP</t>
  </si>
  <si>
    <t>West MidlandsFrontis Homes Limited</t>
  </si>
  <si>
    <t>South EastFrontis Homes Limited</t>
  </si>
  <si>
    <t>South WestFrontis Homes Limited</t>
  </si>
  <si>
    <t>North WestFrontis Homes Limited</t>
  </si>
  <si>
    <t>North WestFunding Affordable Homes Housing Association Limited</t>
  </si>
  <si>
    <t>South WestFunding Affordable Homes Housing Association Limited</t>
  </si>
  <si>
    <t>South EastFunding Affordable Homes Housing Association Limited</t>
  </si>
  <si>
    <t>East of EnglandFunding Affordable Homes Housing Association Limited</t>
  </si>
  <si>
    <t>West MidlandsFunding Affordable Homes Housing Association Limited</t>
  </si>
  <si>
    <t>East MidlandsFunding Affordable Homes Housing Association Limited</t>
  </si>
  <si>
    <t>East MidlandsFutures Homescape Limited</t>
  </si>
  <si>
    <t>East of EnglandFutures Homescape Limited</t>
  </si>
  <si>
    <t>East MidlandsFutures Homeway Limited</t>
  </si>
  <si>
    <t>LondonGateway Housing Association Limited</t>
  </si>
  <si>
    <t>East of EnglandGateway Housing Association Limited</t>
  </si>
  <si>
    <t>East of EnglandGemini Housing Co-operative Limited</t>
  </si>
  <si>
    <t>North EastGentoo Group Limited</t>
  </si>
  <si>
    <t>LondonGeorge Green's Almshouses</t>
  </si>
  <si>
    <t>South WestGerman Lutheran Housing Association Limited</t>
  </si>
  <si>
    <t>LondonGlebe Housing Association Limited</t>
  </si>
  <si>
    <t>South WestGloucester City Homes Limited</t>
  </si>
  <si>
    <t>South WestGloucestershire Rural Housing Association Limited</t>
  </si>
  <si>
    <t>West MidlandsGlover's Trust Endowed Fund</t>
  </si>
  <si>
    <t>South EastGolden Hill Housing Co-operative Limited</t>
  </si>
  <si>
    <t>LondonGolding Homes Limited</t>
  </si>
  <si>
    <t>South EastGolding Homes Limited</t>
  </si>
  <si>
    <t>North WestGrafton Crescent Housing Co-operative Limited</t>
  </si>
  <si>
    <t>LondonGrainger Trust Limited</t>
  </si>
  <si>
    <t>South EastGrainger Trust Limited</t>
  </si>
  <si>
    <t>East MidlandsGranby House (Youlgrave and District) Society Limited</t>
  </si>
  <si>
    <t>LondonGrand Union Housing Co-operative Limited</t>
  </si>
  <si>
    <t>East MidlandsGrand Union Housing Group Limited</t>
  </si>
  <si>
    <t>East of EnglandGrand Union Housing Group Limited</t>
  </si>
  <si>
    <t>South EastGrand Union Housing Group Limited</t>
  </si>
  <si>
    <t>South EastGravesend Churches Housing Association Limited</t>
  </si>
  <si>
    <t>East of EnglandGreat Hospital</t>
  </si>
  <si>
    <t>South EastGreat Places Housing Association</t>
  </si>
  <si>
    <t>East MidlandsGreat Places Housing Association</t>
  </si>
  <si>
    <t>West MidlandsGreat Places Housing Association</t>
  </si>
  <si>
    <t>North WestGreat Places Housing Association</t>
  </si>
  <si>
    <t>LondonGreat Wall Society Limited</t>
  </si>
  <si>
    <t>East MidlandsGreatwell Homes Limited</t>
  </si>
  <si>
    <t>LondonGreen Dragon Lane Housing Co-operative Limited</t>
  </si>
  <si>
    <t>South EastGreenoak Housing Association Limited</t>
  </si>
  <si>
    <t>LondonGreenwich Housing Society Limited</t>
  </si>
  <si>
    <t>South EastGuild Care</t>
  </si>
  <si>
    <t>South EastGuildford Sunset Homes</t>
  </si>
  <si>
    <t>South WestGuinness Care and Support Limited</t>
  </si>
  <si>
    <t>South WestGuinness Housing Association Limited</t>
  </si>
  <si>
    <t>South WestHARC Housing Association Limited</t>
  </si>
  <si>
    <t>LondonHFL Homes Limited</t>
  </si>
  <si>
    <t>East MidlandsHabinteg Housing Association Limited</t>
  </si>
  <si>
    <t>South EastHabinteg Housing Association Limited</t>
  </si>
  <si>
    <t>LondonHabinteg Housing Association Limited</t>
  </si>
  <si>
    <t>North WestHabinteg Housing Association Limited</t>
  </si>
  <si>
    <t>North EastHabinteg Housing Association Limited</t>
  </si>
  <si>
    <t>West MidlandsHabinteg Housing Association Limited</t>
  </si>
  <si>
    <t>East of EnglandHabinteg Housing Association Limited</t>
  </si>
  <si>
    <t>South WestHabinteg Housing Association Limited</t>
  </si>
  <si>
    <t>LondonHackney Housing Co-operative Limited</t>
  </si>
  <si>
    <t>LondonHackney Parish Almshouses Charity</t>
  </si>
  <si>
    <t>South EastHalo Housing Association Limited</t>
  </si>
  <si>
    <t>North EastHalo Housing Association Limited</t>
  </si>
  <si>
    <t>North WestHalo Housing Association Limited</t>
  </si>
  <si>
    <t>East MidlandsHalo Housing Association Limited</t>
  </si>
  <si>
    <t>West MidlandsHalo Housing Association Limited</t>
  </si>
  <si>
    <t>North WestHalton Housing</t>
  </si>
  <si>
    <t>North WestHamlet Village Housing Co-operative Limited</t>
  </si>
  <si>
    <t>LondonHammersmith United Charities</t>
  </si>
  <si>
    <t>South EastHamwic Housing Co-operative Limited</t>
  </si>
  <si>
    <t>North WestHarbour Light Assisted Living CIC</t>
  </si>
  <si>
    <t>LondonHarefield Parochial Charities</t>
  </si>
  <si>
    <t>East of EnglandHarlow Poors Charities</t>
  </si>
  <si>
    <t>West MidlandsHarpers Marsh and Crumps Almshouse Charity</t>
  </si>
  <si>
    <t>LondonHarrison Housing</t>
  </si>
  <si>
    <t>LondonHarrow Churches Housing Association</t>
  </si>
  <si>
    <t>South EastHarrow Churches Housing Association</t>
  </si>
  <si>
    <t>South EastHassocks Housing Society Limited</t>
  </si>
  <si>
    <t>East MidlandsHastoe Housing Association Limited</t>
  </si>
  <si>
    <t>LondonHastoe Housing Association Limited</t>
  </si>
  <si>
    <t>South EastHastoe Housing Association Limited</t>
  </si>
  <si>
    <t>South WestHastoe Housing Association Limited</t>
  </si>
  <si>
    <t>East of EnglandHastoe Housing Association Limited</t>
  </si>
  <si>
    <t>LondonHatch Row Housing Co-operative Limited</t>
  </si>
  <si>
    <t>South EastHatton Housing Trust Limited</t>
  </si>
  <si>
    <t>South EastHavant Housing Association Limited</t>
  </si>
  <si>
    <t>East of EnglandHaven First</t>
  </si>
  <si>
    <t>West MidlandsHawes Street Housing Limited</t>
  </si>
  <si>
    <t>LondonHazel Housing Co-operative Limited</t>
  </si>
  <si>
    <t>West MidlandsHeart of England Young Men's Christian Association</t>
  </si>
  <si>
    <t>West MidlandsHeartsease House Community Interest Company</t>
  </si>
  <si>
    <t>LondonHeathview Tenants' Co-operative Limited</t>
  </si>
  <si>
    <t>LondonHelen Peele Memorial Almshouses</t>
  </si>
  <si>
    <t>North EastHellens Residential Limited</t>
  </si>
  <si>
    <t>LondonHendon Christian Housing Association Limited</t>
  </si>
  <si>
    <t>South EastHenley YMCA</t>
  </si>
  <si>
    <t>South EastHenley and District Housing Trust Limited</t>
  </si>
  <si>
    <t>East of EnglandHerring House Trust (Great Yarmouth)</t>
  </si>
  <si>
    <t>North WestHesketh Street Housing Co-operative Limited</t>
  </si>
  <si>
    <t>South EastHewitt Homes</t>
  </si>
  <si>
    <t>LondonHexagon Housing Association Limited</t>
  </si>
  <si>
    <t>South EastHexagon Housing Association Limited</t>
  </si>
  <si>
    <t>South EastHeyford Regeneration Limited</t>
  </si>
  <si>
    <t>LondonHeylo Housing Registered Provider Limited</t>
  </si>
  <si>
    <t>West MidlandsHeylo Housing Registered Provider Limited</t>
  </si>
  <si>
    <t>North EastHeylo Housing Registered Provider Limited</t>
  </si>
  <si>
    <t>North WestHeylo Housing Registered Provider Limited</t>
  </si>
  <si>
    <t>East of EnglandHeylo Housing Registered Provider Limited</t>
  </si>
  <si>
    <t>East MidlandsHeylo Housing Registered Provider Limited</t>
  </si>
  <si>
    <t>South EastHeylo Housing Registered Provider Limited</t>
  </si>
  <si>
    <t>South WestHeylo Housing Registered Provider Limited</t>
  </si>
  <si>
    <t>LondonHibbert Almshouse Charity</t>
  </si>
  <si>
    <t>West MidlandsHibiscus Housing Association Limited</t>
  </si>
  <si>
    <t>East of EnglandHightown Housing Association Limited</t>
  </si>
  <si>
    <t>South EastHightown Housing Association Limited</t>
  </si>
  <si>
    <t>LondonHill Homes</t>
  </si>
  <si>
    <t>East of EnglandHilldale Housing Association Limited</t>
  </si>
  <si>
    <t>South EastHilldale Housing Association Limited</t>
  </si>
  <si>
    <t>North WestHilldale Housing Association Limited</t>
  </si>
  <si>
    <t>LondonHilldale Housing Association Limited</t>
  </si>
  <si>
    <t>East MidlandsHilldale Housing Association Limited</t>
  </si>
  <si>
    <t>South WestHilldale Housing Association Limited</t>
  </si>
  <si>
    <t>West MidlandsHilldale Housing Association Limited</t>
  </si>
  <si>
    <t>LondonHillside Housing Trust Limited</t>
  </si>
  <si>
    <t>North EastHirst Housing Co-operative Limited</t>
  </si>
  <si>
    <t>West MidlandsHolmwood Tenants Co-operative Limited</t>
  </si>
  <si>
    <t>North WestHolt Road Area Housing Co-operative Limited</t>
  </si>
  <si>
    <t>South EastHoltspur Housing Association Limited</t>
  </si>
  <si>
    <t>South EastHoly Trinity (Guildford) Housing Association Ltd</t>
  </si>
  <si>
    <t>North WestHolyland Housing Co-Operative Limited</t>
  </si>
  <si>
    <t>North EastHome Group Limited</t>
  </si>
  <si>
    <t>East of EnglandHome Group Limited</t>
  </si>
  <si>
    <t>South WestHome Group Limited</t>
  </si>
  <si>
    <t>LondonHome Group Limited</t>
  </si>
  <si>
    <t>South EastHome Group Limited</t>
  </si>
  <si>
    <t>North WestHome Group Limited</t>
  </si>
  <si>
    <t>West MidlandsHome Group Limited</t>
  </si>
  <si>
    <t>East MidlandsHome Group Limited</t>
  </si>
  <si>
    <t>LondonHome from Home Housing Association Limited</t>
  </si>
  <si>
    <t>East of EnglandHomeless Action Resource Project</t>
  </si>
  <si>
    <t>North WestHomes for Change Limited</t>
  </si>
  <si>
    <t>East of EnglandHomes for Wells Limited</t>
  </si>
  <si>
    <t>LondonHomesdale (Woodford Baptist Homes) Limited</t>
  </si>
  <si>
    <t>West MidlandsHoneycomb Group Limited</t>
  </si>
  <si>
    <t>North WestHoneycomb Group Limited</t>
  </si>
  <si>
    <t>LondonHopton's Charity</t>
  </si>
  <si>
    <t>LondonHornsey Housing Trust Limited</t>
  </si>
  <si>
    <t>North EastHospital of St Mary The Virgin (Rye Hill &amp; Benwell)</t>
  </si>
  <si>
    <t>LondonHour Glass Housing Co-operative Limited</t>
  </si>
  <si>
    <t>East MidlandsHousing 21</t>
  </si>
  <si>
    <t>North WestHousing 21</t>
  </si>
  <si>
    <t>LondonHousing 21</t>
  </si>
  <si>
    <t>North EastHousing 21</t>
  </si>
  <si>
    <t>South WestHousing 21</t>
  </si>
  <si>
    <t>West MidlandsHousing 21</t>
  </si>
  <si>
    <t>South EastHousing 21</t>
  </si>
  <si>
    <t>East of EnglandHousing 21</t>
  </si>
  <si>
    <t>LondonHousing For Women</t>
  </si>
  <si>
    <t>LondonHousing Pathways Trust</t>
  </si>
  <si>
    <t>East of EnglandHousing Solutions</t>
  </si>
  <si>
    <t>South EastHousing Solutions</t>
  </si>
  <si>
    <t>North WestHumankind Charity</t>
  </si>
  <si>
    <t>North EastHumankind Charity</t>
  </si>
  <si>
    <t>North WestHumphrey Booth Housing Charity</t>
  </si>
  <si>
    <t>South EastHundred Houses Society Limited</t>
  </si>
  <si>
    <t>East of EnglandHundred Houses Society Limited</t>
  </si>
  <si>
    <t>South EastHyde Housing Association Limited</t>
  </si>
  <si>
    <t>East MidlandsHyde Housing Association Limited</t>
  </si>
  <si>
    <t>East of EnglandHyde Housing Association Limited</t>
  </si>
  <si>
    <t>LondonHyde Housing Association Limited</t>
  </si>
  <si>
    <t>LondonHyde Southbank Homes Limited</t>
  </si>
  <si>
    <t>LondonHyelm</t>
  </si>
  <si>
    <t>West MidlandsIKE Supported Housing Limited</t>
  </si>
  <si>
    <t>North EastIKE Supported Housing Limited</t>
  </si>
  <si>
    <t>East of EnglandIMPAKT Housing &amp; Support Ltd</t>
  </si>
  <si>
    <t>LondonImani Housing Co-operative Limited</t>
  </si>
  <si>
    <t>South EastInclusion Housing Community Interest Company</t>
  </si>
  <si>
    <t>North EastInclusion Housing Community Interest Company</t>
  </si>
  <si>
    <t>South WestInclusion Housing Community Interest Company</t>
  </si>
  <si>
    <t>LondonInclusion Housing Community Interest Company</t>
  </si>
  <si>
    <t>West MidlandsInclusion Housing Community Interest Company</t>
  </si>
  <si>
    <t>East MidlandsInclusion Housing Community Interest Company</t>
  </si>
  <si>
    <t>North WestInclusion Housing Community Interest Company</t>
  </si>
  <si>
    <t>East of EnglandInclusion Housing Community Interest Company</t>
  </si>
  <si>
    <t>East of EnglandInnisfree Housing Association Limited</t>
  </si>
  <si>
    <t>LondonInnisfree Housing Association Limited</t>
  </si>
  <si>
    <t>South EastInquilab Housing Association Limited</t>
  </si>
  <si>
    <t>LondonInquilab Housing Association Limited</t>
  </si>
  <si>
    <t>North WestIrwell Valley Housing Association Limited</t>
  </si>
  <si>
    <t>South EastIsland Cottages Limited</t>
  </si>
  <si>
    <t>LondonIsleworth and Hounslow Charity Limited</t>
  </si>
  <si>
    <t>LondonIslington Community Housing Co-operative Limited</t>
  </si>
  <si>
    <t>LondonIslington and Shoreditch Housing Association Limited</t>
  </si>
  <si>
    <t>North WestJ &amp; M Residential Lettings Limited</t>
  </si>
  <si>
    <t>North EastJacob Wright's Cottages</t>
  </si>
  <si>
    <t>South EastJames Bradford Almshouses Trust</t>
  </si>
  <si>
    <t>North EastJane Cameron's Old Peoples Charity</t>
  </si>
  <si>
    <t>North EastJane Gibson Almshouses</t>
  </si>
  <si>
    <t>South EastJewish Community Housing Association Limited</t>
  </si>
  <si>
    <t>LondonJewish Community Housing Association Limited</t>
  </si>
  <si>
    <t>East of EnglandJewish Community Housing Association Limited</t>
  </si>
  <si>
    <t>North WestJigsaw Homes Group Limited</t>
  </si>
  <si>
    <t>East MidlandsJigsaw Homes Midlands</t>
  </si>
  <si>
    <t>North WestJigsaw Homes North</t>
  </si>
  <si>
    <t>North WestJigsaw Homes Tameside</t>
  </si>
  <si>
    <t>LondonJoel Emanuel Trust</t>
  </si>
  <si>
    <t>South EastJohn Bowley and Sherwood Almshouses</t>
  </si>
  <si>
    <t>East MidlandsJohn Higgs Almshouses</t>
  </si>
  <si>
    <t>North EastJoseph Rowntree Housing Trust</t>
  </si>
  <si>
    <t>North WestJoseph and Eleanor Gunson Almshouse Trust</t>
  </si>
  <si>
    <t>South WestJulian House</t>
  </si>
  <si>
    <t>LondonKaleidoscope (Kingston) Housing Association Limited</t>
  </si>
  <si>
    <t>North EastKarbon Homes Limited</t>
  </si>
  <si>
    <t>LondonKarin Housing Association Limited</t>
  </si>
  <si>
    <t>North EastKeelman Homes Limited</t>
  </si>
  <si>
    <t>North WestKendal Almshouse Charity</t>
  </si>
  <si>
    <t>LondonKeniston Housing Association Limited</t>
  </si>
  <si>
    <t>South EastKeniston Housing Association Limited</t>
  </si>
  <si>
    <t>North WestKentish Homes Limited</t>
  </si>
  <si>
    <t>North WestKeswick Community Housing Trust Limited</t>
  </si>
  <si>
    <t>East of EnglandKeystage Properties Limited</t>
  </si>
  <si>
    <t>South EastKing George V Memorial Houses</t>
  </si>
  <si>
    <t>South WestKing's Barton Housing Association Limited</t>
  </si>
  <si>
    <t>South EastKingsclere Almshouses Charity</t>
  </si>
  <si>
    <t>South EastKingston upon Thames Churches Housing Association Limited</t>
  </si>
  <si>
    <t>LondonKingston upon Thames Churches Housing Association Limited</t>
  </si>
  <si>
    <t>LondonKinsman Housing Limited</t>
  </si>
  <si>
    <t>LondonKirkdale Housing Co-operative Limited</t>
  </si>
  <si>
    <t>North WestKnowsley Residents Housing Co-operative Limited</t>
  </si>
  <si>
    <t>East MidlandsLace Housing Limited</t>
  </si>
  <si>
    <t>LondonLadybur Housing Co-operative Limited</t>
  </si>
  <si>
    <t>LondonLambeth &amp; Southwark Housing Association Limited</t>
  </si>
  <si>
    <t>LondonLambeth Self Help Housing Association Limited</t>
  </si>
  <si>
    <t>East of EnglandLangley House Trust</t>
  </si>
  <si>
    <t>South EastLangley House Trust</t>
  </si>
  <si>
    <t>West MidlandsLangley House Trust</t>
  </si>
  <si>
    <t>South WestLangley House Trust</t>
  </si>
  <si>
    <t>LondonLangley House Trust</t>
  </si>
  <si>
    <t>North WestLangley House Trust</t>
  </si>
  <si>
    <t>East MidlandsLangley House Trust</t>
  </si>
  <si>
    <t>North WestLangrove Community Housing Co-operative Limited</t>
  </si>
  <si>
    <t>LondonLarcombe Housing Association Limited</t>
  </si>
  <si>
    <t>North WestLark Lane Housing Co-operative Limited</t>
  </si>
  <si>
    <t>LondonLawrence Campe's Almshouse Trust</t>
  </si>
  <si>
    <t>North WestLeasowe Community Homes Limited</t>
  </si>
  <si>
    <t>North EastLeazes Homes Limited</t>
  </si>
  <si>
    <t>East MidlandsLeeds Federated Housing Association Limited</t>
  </si>
  <si>
    <t>East MidlandsLegal &amp; General Affordable Homes Limited</t>
  </si>
  <si>
    <t>East of EnglandLegal &amp; General Affordable Homes Limited</t>
  </si>
  <si>
    <t>LondonLegal &amp; General Affordable Homes Limited</t>
  </si>
  <si>
    <t>North WestLegal &amp; General Affordable Homes Limited</t>
  </si>
  <si>
    <t>West MidlandsLegal &amp; General Affordable Homes Limited</t>
  </si>
  <si>
    <t>South EastLegal &amp; General Affordable Homes Limited</t>
  </si>
  <si>
    <t>South WestLegal &amp; General Affordable Homes Limited</t>
  </si>
  <si>
    <t>East MidlandsLeicester Young Men’s Christian Association (Incorporated) (The)</t>
  </si>
  <si>
    <t>West MidlandsLench's Trust</t>
  </si>
  <si>
    <t>North WestLeta/Claudia Streets Housing Co-operative Limited</t>
  </si>
  <si>
    <t>East of EnglandLets for Life</t>
  </si>
  <si>
    <t>North WestLets for Life</t>
  </si>
  <si>
    <t>East MidlandsLets for Life</t>
  </si>
  <si>
    <t>South WestLets for Life</t>
  </si>
  <si>
    <t>LondonLewisham Family Co-operative Association Limited</t>
  </si>
  <si>
    <t>LondonLeytonstone Housing Co-operative Limited</t>
  </si>
  <si>
    <t>North WestLightbown Cottage Home Trust</t>
  </si>
  <si>
    <t>East MidlandsLincolnshire Employment Accommodation Project Limited</t>
  </si>
  <si>
    <t>East MidlandsLincolnshire Housing Partnership Limited</t>
  </si>
  <si>
    <t>East of EnglandLincolnshire Rural Housing Association Limited</t>
  </si>
  <si>
    <t>East MidlandsLincolnshire Rural Housing Association Limited</t>
  </si>
  <si>
    <t>East MidlandsLincolnshire Y.M.C.A. Ltd</t>
  </si>
  <si>
    <t>South EastLittlehampton &amp; Rustington Housing Society Limited</t>
  </si>
  <si>
    <t>South EastLiveWest Homes Limited</t>
  </si>
  <si>
    <t>East MidlandsLiveWest Homes Limited</t>
  </si>
  <si>
    <t>South WestLiveWest Homes Limited</t>
  </si>
  <si>
    <t>North WestLiverpool Gingerbread Housing Co-operative Limited</t>
  </si>
  <si>
    <t>North WestLiverpool Jewish Housing Association Limited</t>
  </si>
  <si>
    <t>North EastLivin Housing Limited</t>
  </si>
  <si>
    <t>North WestLivv Housing Group</t>
  </si>
  <si>
    <t>East of EnglandLocal Space</t>
  </si>
  <si>
    <t>LondonLocal Space</t>
  </si>
  <si>
    <t>South EastLocal Space</t>
  </si>
  <si>
    <t>South WestLocking Deanery Housing Society Limited</t>
  </si>
  <si>
    <t>South EastLoddon Homes Limited</t>
  </si>
  <si>
    <t>North WestLodge Lane East Co-operative Housing Limited</t>
  </si>
  <si>
    <t>LondonLondon &amp; Quadrant Housing Trust</t>
  </si>
  <si>
    <t>East MidlandsLondon &amp; Quadrant Housing Trust</t>
  </si>
  <si>
    <t>West MidlandsLondon &amp; Quadrant Housing Trust</t>
  </si>
  <si>
    <t>South WestLondon &amp; Quadrant Housing Trust</t>
  </si>
  <si>
    <t>South EastLondon &amp; Quadrant Housing Trust</t>
  </si>
  <si>
    <t>East of EnglandLondon &amp; Quadrant Housing Trust</t>
  </si>
  <si>
    <t>North EastLondon &amp; Quadrant Housing Trust</t>
  </si>
  <si>
    <t>LondonLondon Cyrenians Housing Limited</t>
  </si>
  <si>
    <t>East MidlandsLonghurst Group Limited</t>
  </si>
  <si>
    <t>LondonLonghurst Group Limited</t>
  </si>
  <si>
    <t>West MidlandsLonghurst Group Limited</t>
  </si>
  <si>
    <t>East of EnglandLonghurst Group Limited</t>
  </si>
  <si>
    <t>LondonLonglife Housing Co-operative Limited</t>
  </si>
  <si>
    <t>LondonLook Ahead Care and Support Limited</t>
  </si>
  <si>
    <t>South EastLook Ahead Care and Support Limited</t>
  </si>
  <si>
    <t>East of EnglandLouisa Cottages Charity</t>
  </si>
  <si>
    <t>North WestLumen Housing Limited</t>
  </si>
  <si>
    <t>North WestLune Valley Rural Housing Association Limited</t>
  </si>
  <si>
    <t>East of EnglandLuton Community Housing Limited</t>
  </si>
  <si>
    <t>West MidlandsLyng Community Association</t>
  </si>
  <si>
    <t>South EastLynsted Housing Co-operative Limited</t>
  </si>
  <si>
    <t>North WestLyvennet Community Trust</t>
  </si>
  <si>
    <t>North WestMagenta Living</t>
  </si>
  <si>
    <t>South WestMagna Housing Limited</t>
  </si>
  <si>
    <t>LondonMajor Housing Association Limited</t>
  </si>
  <si>
    <t>East of EnglandMaldon Housing Association Limited</t>
  </si>
  <si>
    <t>South EastMalins Affordable Homes Limited</t>
  </si>
  <si>
    <t>North WestManchester Jewish Housing Association</t>
  </si>
  <si>
    <t>North WestManchester Unity Housing Association Limited</t>
  </si>
  <si>
    <t>East MidlandsMansfield Road (Nottingham) Baptist Housing Association Limited</t>
  </si>
  <si>
    <t>West MidlandsMargaret Colquhoun Chavasse Almshouses</t>
  </si>
  <si>
    <t>South EastMargaret Hyde Charity</t>
  </si>
  <si>
    <t>South WestMarlborough &amp; District Housing Association Limited</t>
  </si>
  <si>
    <t>South WestMarshfield Consolidated Charities</t>
  </si>
  <si>
    <t>South EastMartlet Homes Limited</t>
  </si>
  <si>
    <t>North WestMary Hannah Almshouses</t>
  </si>
  <si>
    <t>East MidlandsMasonic Housing Association</t>
  </si>
  <si>
    <t>West MidlandsMasonic Housing Association</t>
  </si>
  <si>
    <t>South EastMasonic Housing Association</t>
  </si>
  <si>
    <t>East of EnglandMasonic Housing Association</t>
  </si>
  <si>
    <t>LondonMay Day Permanent Housing Co-operative Limited</t>
  </si>
  <si>
    <t>East MidlandsMaynard Co-operative Housing Association Limited</t>
  </si>
  <si>
    <t>West MidlandsMerlin Housing Society Limited</t>
  </si>
  <si>
    <t>South WestMerlin Housing Society Limited</t>
  </si>
  <si>
    <t>East of EnglandMersea Island Trust</t>
  </si>
  <si>
    <t>North EastMethodist Homes Housing Association Limited</t>
  </si>
  <si>
    <t>LondonMethodist Homes Housing Association Limited</t>
  </si>
  <si>
    <t>North WestMethodist Homes Housing Association Limited</t>
  </si>
  <si>
    <t>West MidlandsMethodist Homes Housing Association Limited</t>
  </si>
  <si>
    <t>South WestMethodist Homes Housing Association Limited</t>
  </si>
  <si>
    <t>South EastMethodist Homes Housing Association Limited</t>
  </si>
  <si>
    <t>South WestMetropolitan Housing Trust Limited</t>
  </si>
  <si>
    <t>LondonMetropolitan Housing Trust Limited</t>
  </si>
  <si>
    <t>North EastMetropolitan Housing Trust Limited</t>
  </si>
  <si>
    <t>West MidlandsMetropolitan Housing Trust Limited</t>
  </si>
  <si>
    <t>East of EnglandMetropolitan Housing Trust Limited</t>
  </si>
  <si>
    <t>East MidlandsMetropolitan Housing Trust Limited</t>
  </si>
  <si>
    <t>South EastMetropolitan Housing Trust Limited</t>
  </si>
  <si>
    <t>South WestMidland Heart Limited</t>
  </si>
  <si>
    <t>West MidlandsMidland Heart Limited</t>
  </si>
  <si>
    <t>East MidlandsMidland Heart Limited</t>
  </si>
  <si>
    <t>South EastMidland Heart Limited</t>
  </si>
  <si>
    <t>North WestMill Street Co-operative Limited</t>
  </si>
  <si>
    <t>LondonMillat Asian Housing Association Limited</t>
  </si>
  <si>
    <t>South EastMilldale Housing Co-operative Limited</t>
  </si>
  <si>
    <t>LondonMiller Walk Housing Co-operative Limited</t>
  </si>
  <si>
    <t>South EastMilton Keynes YMCA Limited</t>
  </si>
  <si>
    <t>South EastMinster Housing Co-operative Limited</t>
  </si>
  <si>
    <t>North WestMitre Housing Association Limited</t>
  </si>
  <si>
    <t>South EastMoat Farm Housing Co-operative Limited</t>
  </si>
  <si>
    <t>South EastMoat Homes Limited</t>
  </si>
  <si>
    <t>South WestMoat Homes Limited</t>
  </si>
  <si>
    <t>LondonMoat Homes Limited</t>
  </si>
  <si>
    <t>East of EnglandMoat Homes Limited</t>
  </si>
  <si>
    <t>East of EnglandMoat Housing Group Limited</t>
  </si>
  <si>
    <t>LondonMonmouth Road Housing Co-operative Limited</t>
  </si>
  <si>
    <t>West MidlandsMosscare St. Vincent's Housing Group Limited</t>
  </si>
  <si>
    <t>North WestMosscare St. Vincent's Housing Group Limited</t>
  </si>
  <si>
    <t>South EastMount Green Housing Association Limited</t>
  </si>
  <si>
    <t>LondonMount Green Housing Association Limited</t>
  </si>
  <si>
    <t>East MidlandsMuir Group Housing Association Limited</t>
  </si>
  <si>
    <t>West MidlandsMuir Group Housing Association Limited</t>
  </si>
  <si>
    <t>North WestMuir Group Housing Association Limited</t>
  </si>
  <si>
    <t>East of EnglandMuir Group Housing Association Limited</t>
  </si>
  <si>
    <t>South EastMuir Group Housing Association Limited</t>
  </si>
  <si>
    <t>South EastMuirCroft Housing Association Limited</t>
  </si>
  <si>
    <t>LondonMulberry Housing Co-operative Limited</t>
  </si>
  <si>
    <t>South WestMunicipal &amp; Owen Carter Almshouse Charities</t>
  </si>
  <si>
    <t>South WestMunicipal Charities</t>
  </si>
  <si>
    <t>East MidlandsMy Space Housing Solutions</t>
  </si>
  <si>
    <t>North EastMy Space Housing Solutions</t>
  </si>
  <si>
    <t>North WestMy Space Housing Solutions</t>
  </si>
  <si>
    <t>South EastMy Space Housing Solutions</t>
  </si>
  <si>
    <t>East of EnglandMy Space Housing Solutions</t>
  </si>
  <si>
    <t>West MidlandsMy Space Housing Solutions</t>
  </si>
  <si>
    <t>North EastNACRO</t>
  </si>
  <si>
    <t>East of EnglandNACRO</t>
  </si>
  <si>
    <t>East MidlandsNACRO</t>
  </si>
  <si>
    <t>West MidlandsNACRO</t>
  </si>
  <si>
    <t>LondonNACRO</t>
  </si>
  <si>
    <t>North WestNACRO</t>
  </si>
  <si>
    <t>South WestNSAH (Alliance Homes) Limited</t>
  </si>
  <si>
    <t>West MidlandsNehemiah United Churches Housing Association Limited</t>
  </si>
  <si>
    <t>LondonNetwork Homes Limited</t>
  </si>
  <si>
    <t>East of EnglandNetwork Homes Limited</t>
  </si>
  <si>
    <t>South EastNetwork Homes Limited</t>
  </si>
  <si>
    <t>South EastNew Forest Villages Housing Association Limited</t>
  </si>
  <si>
    <t>West MidlandsNew Foundations Housing Association Limited</t>
  </si>
  <si>
    <t>LondonNew Foundations Housing Association Limited</t>
  </si>
  <si>
    <t>South WestNew Foundations Housing Association Limited</t>
  </si>
  <si>
    <t>North WestNew Foundations Housing Association Limited</t>
  </si>
  <si>
    <t>South EastNew Foundations Housing Association Limited</t>
  </si>
  <si>
    <t>North WestNew Longsight Housing Co-operative Limited</t>
  </si>
  <si>
    <t>North EastNew Moves Housing Co-operative Limited</t>
  </si>
  <si>
    <t>West MidlandsNew Outlook Housing Association Limited</t>
  </si>
  <si>
    <t>LondonNew Swift Housing Co-operative Limited</t>
  </si>
  <si>
    <t>LondonNew Venture Housing Co-operative Limited</t>
  </si>
  <si>
    <t>North EastNew Walk Property Management CIC</t>
  </si>
  <si>
    <t>LondonNew World Housing Association Limited</t>
  </si>
  <si>
    <t>East MidlandsNewark Housing Association Limited</t>
  </si>
  <si>
    <t>North WestNewleaf Housing Co-operative Limited</t>
  </si>
  <si>
    <t>LondonNewlon Housing Trust</t>
  </si>
  <si>
    <t>West MidlandsNicholas Chamberlaine's Hospital &amp; Sermon Charity</t>
  </si>
  <si>
    <t>LondonNorth Camden Housing Co-operative Limited</t>
  </si>
  <si>
    <t>South WestNorth Devon Homes</t>
  </si>
  <si>
    <t>LondonNorth London Muslim Housing Association Limited</t>
  </si>
  <si>
    <t>North EastNorth Star Housing Group</t>
  </si>
  <si>
    <t>East MidlandsNorthamptonshire Rural Housing Association Limited</t>
  </si>
  <si>
    <t>South EastNorthchapel, Petworth and Tillington Almshouses</t>
  </si>
  <si>
    <t>East MidlandsNorton Housing and Support Ltd</t>
  </si>
  <si>
    <t>East of EnglandNorwich Consolidated Charities</t>
  </si>
  <si>
    <t>East of EnglandNorwich Housing Society Limited</t>
  </si>
  <si>
    <t>LondonNotting Dale Housing Co-operative Limited</t>
  </si>
  <si>
    <t>South EastNotting Hill Genesis</t>
  </si>
  <si>
    <t>LondonNotting Hill Genesis</t>
  </si>
  <si>
    <t>East of EnglandNotting Hill Genesis</t>
  </si>
  <si>
    <t>North WestNotting Hill Home Ownership Limited</t>
  </si>
  <si>
    <t>East of EnglandNotting Hill Home Ownership Limited</t>
  </si>
  <si>
    <t>South EastNotting Hill Home Ownership Limited</t>
  </si>
  <si>
    <t>LondonNotting Hill Home Ownership Limited</t>
  </si>
  <si>
    <t>South WestNotting Hill Home Ownership Limited</t>
  </si>
  <si>
    <t>East MidlandsNottingham City Homes Registered Provider Limited</t>
  </si>
  <si>
    <t>East MidlandsNottingham Community Housing Association Limited</t>
  </si>
  <si>
    <t>East of EnglandOak Housing Limited</t>
  </si>
  <si>
    <t>LondonOak Housing Limited</t>
  </si>
  <si>
    <t>South WestOak Housing Limited</t>
  </si>
  <si>
    <t>South EastOak Housing Limited</t>
  </si>
  <si>
    <t>South EastOakapple Housing Co-operative Limited</t>
  </si>
  <si>
    <t>South EastOast Wood Housing Co-operative Limited</t>
  </si>
  <si>
    <t>South WestOcean Housing Limited</t>
  </si>
  <si>
    <t>South EastOckley Housing Association Limited</t>
  </si>
  <si>
    <t>LondonOctavia Housing</t>
  </si>
  <si>
    <t>LondonOdu-Dua Housing Association Limited</t>
  </si>
  <si>
    <t>South EastOld Ben Homes Limited</t>
  </si>
  <si>
    <t>West MidlandsOld Ben Homes Limited</t>
  </si>
  <si>
    <t>South WestOld Cleeve Memorial Cottages</t>
  </si>
  <si>
    <t>LondonOld Etonian Housing Association Limited</t>
  </si>
  <si>
    <t>South EastOld Etonian Housing Association Limited</t>
  </si>
  <si>
    <t>South EastOld Farm Park Housing Co-operative Limited</t>
  </si>
  <si>
    <t>LondonOld Isleworth Housing Co-operative Limited</t>
  </si>
  <si>
    <t>LondonOmega Housing Limited</t>
  </si>
  <si>
    <t>South EastOmega Housing Limited</t>
  </si>
  <si>
    <t>East of EnglandOmega Housing Limited</t>
  </si>
  <si>
    <t>LondonOne Housing Group Limited</t>
  </si>
  <si>
    <t>East of EnglandOne Housing Group Limited</t>
  </si>
  <si>
    <t>South EastOne Housing Group Limited</t>
  </si>
  <si>
    <t>North WestOne Manchester Limited</t>
  </si>
  <si>
    <t>North WestOne Vision Housing Limited</t>
  </si>
  <si>
    <t>East of EnglandOne YMCA</t>
  </si>
  <si>
    <t>South EastOne YMCA</t>
  </si>
  <si>
    <t>East MidlandsOngo Homes Limited</t>
  </si>
  <si>
    <t>North WestOnward Homes Limited</t>
  </si>
  <si>
    <t>East MidlandsOptivo</t>
  </si>
  <si>
    <t>West MidlandsOptivo</t>
  </si>
  <si>
    <t>South WestOptivo</t>
  </si>
  <si>
    <t>East of EnglandOptivo</t>
  </si>
  <si>
    <t>South EastOptivo</t>
  </si>
  <si>
    <t>LondonOptivo</t>
  </si>
  <si>
    <t>West MidlandsOrbit Group Limited</t>
  </si>
  <si>
    <t>South EastOrbit Group Limited</t>
  </si>
  <si>
    <t>East MidlandsOrbit Group Limited</t>
  </si>
  <si>
    <t>East of EnglandOrbit Group Limited</t>
  </si>
  <si>
    <t>LondonOrbit Group Limited</t>
  </si>
  <si>
    <t>West MidlandsOrbit Housing Association Limited</t>
  </si>
  <si>
    <t>LondonOrbit Housing Association Limited</t>
  </si>
  <si>
    <t>East of EnglandOrbit Housing Association Limited</t>
  </si>
  <si>
    <t>East MidlandsOrbit Housing Association Limited</t>
  </si>
  <si>
    <t>South EastOrbit Housing Association Limited</t>
  </si>
  <si>
    <t>South WestOrchard Homes</t>
  </si>
  <si>
    <t>LondonOrchard Housing Society Limited</t>
  </si>
  <si>
    <t>LondonOrigin Housing 2 Limited</t>
  </si>
  <si>
    <t>East of EnglandOrigin Housing 2 Limited</t>
  </si>
  <si>
    <t>South EastOrigin Housing Limited</t>
  </si>
  <si>
    <t>LondonOrigin Housing Limited</t>
  </si>
  <si>
    <t>East of EnglandOrigin Housing Limited</t>
  </si>
  <si>
    <t>South EastOrts Road Housing Co-operative Limited</t>
  </si>
  <si>
    <t>East of EnglandOrwell Housing Association Limited</t>
  </si>
  <si>
    <t>LondonOtto Schiff Housing Association</t>
  </si>
  <si>
    <t>LondonOutreach Housing Limited</t>
  </si>
  <si>
    <t>North EastOxfield Housing Co-operative Association Limited</t>
  </si>
  <si>
    <t>West MidlandsP3 Housing Limited</t>
  </si>
  <si>
    <t>East MidlandsP3 Housing Limited</t>
  </si>
  <si>
    <t>South WestP3 Housing Limited</t>
  </si>
  <si>
    <t>South EastPHA Homes Ltd</t>
  </si>
  <si>
    <t>West MidlandsPaddock Housing Co-operative Limited</t>
  </si>
  <si>
    <t>LondonPalm Housing Co-operative Limited</t>
  </si>
  <si>
    <t>LondonPan African Refugee Housing Co-operative Limited</t>
  </si>
  <si>
    <t>LondonParadigm Homes Charitable Housing Association Limited</t>
  </si>
  <si>
    <t>East of EnglandParadigm Homes Charitable Housing Association Limited</t>
  </si>
  <si>
    <t>South EastParadigm Homes Charitable Housing Association Limited</t>
  </si>
  <si>
    <t>East of EnglandParadise Housing Co-operative Limited</t>
  </si>
  <si>
    <t>West MidlandsParagon Asra Housing Limited</t>
  </si>
  <si>
    <t>LondonParagon Asra Housing Limited</t>
  </si>
  <si>
    <t>South EastParagon Asra Housing Limited</t>
  </si>
  <si>
    <t>East MidlandsParagon Asra Housing Limited</t>
  </si>
  <si>
    <t>North EastParagon Asra Housing Limited</t>
  </si>
  <si>
    <t>East of EnglandParagon Asra Housing Limited</t>
  </si>
  <si>
    <t>East MidlandsParasol Homes Limited</t>
  </si>
  <si>
    <t>West MidlandsParasol Homes Limited</t>
  </si>
  <si>
    <t>East of EnglandParasol Homes Limited</t>
  </si>
  <si>
    <t>South EastParasol Homes Limited</t>
  </si>
  <si>
    <t>South WestParasol Homes Limited</t>
  </si>
  <si>
    <t>North WestParasol Homes Limited</t>
  </si>
  <si>
    <t>LondonParasol Homes Limited</t>
  </si>
  <si>
    <t>LondonPark Hill Housing Co-operative Limited</t>
  </si>
  <si>
    <t>East of EnglandPark Properties Housing Association Ltd</t>
  </si>
  <si>
    <t>East MidlandsParson Latham's Hospital In Barnwell</t>
  </si>
  <si>
    <t>North EastPartners Foundation Limited</t>
  </si>
  <si>
    <t>North WestPartners Foundation Limited</t>
  </si>
  <si>
    <t>West MidlandsPartners Foundation Limited</t>
  </si>
  <si>
    <t>East MidlandsPartners Foundation Limited</t>
  </si>
  <si>
    <t>LondonPassage Housing Services</t>
  </si>
  <si>
    <t>LondonPeabody Developments Limited</t>
  </si>
  <si>
    <t>LondonPeabody Trust</t>
  </si>
  <si>
    <t>East of EnglandPeabody Trust</t>
  </si>
  <si>
    <t>South EastPeace Cottages Charity</t>
  </si>
  <si>
    <t>South EastPeacehaven and Telscombe Housing Association Ltd</t>
  </si>
  <si>
    <t>West MidlandsPeak District Rural Housing Association Limited</t>
  </si>
  <si>
    <t>East MidlandsPeak District Rural Housing Association Limited</t>
  </si>
  <si>
    <t>East of EnglandPeal Community Housing Limited</t>
  </si>
  <si>
    <t>LondonPearman Street Co-operative Limited</t>
  </si>
  <si>
    <t>South EastPearson's &amp; St Elizabeth's Cottage Homes</t>
  </si>
  <si>
    <t>North EastPeel Street Housing Co-operative Limited</t>
  </si>
  <si>
    <t>LondonPenge Churches Housing Association Limited</t>
  </si>
  <si>
    <t>LondonPenn and Widow Smith Almshouses</t>
  </si>
  <si>
    <t>North WestPeople First Housing Association Limited</t>
  </si>
  <si>
    <t>LondonPerryviews Housing Co-operative Limited</t>
  </si>
  <si>
    <t>LondonPeter Bedford Housing Association Limited</t>
  </si>
  <si>
    <t>North WestPeter Birtwistle Trust</t>
  </si>
  <si>
    <t>LondonPhoenix Community Housing Association (Bellingham and Downham) Limited</t>
  </si>
  <si>
    <t>LondonPhoenix Community Housing Co-operative Limited</t>
  </si>
  <si>
    <t>LondonPhoenix House</t>
  </si>
  <si>
    <t>North EastPhoenix House</t>
  </si>
  <si>
    <t>North WestPhoenix House</t>
  </si>
  <si>
    <t>North WestPine Court Housing Association Limited</t>
  </si>
  <si>
    <t>East of EnglandPine Ridge Housing Association Limited</t>
  </si>
  <si>
    <t>South EastPine Tree Housing Co-operative Limited</t>
  </si>
  <si>
    <t>LondonPinner House Society Limited</t>
  </si>
  <si>
    <t>South WestPivotal Housing Association</t>
  </si>
  <si>
    <t>East MidlandsPlaces for People Homes Limited</t>
  </si>
  <si>
    <t>West MidlandsPlaces for People Homes Limited</t>
  </si>
  <si>
    <t>North EastPlaces for People Homes Limited</t>
  </si>
  <si>
    <t>North WestPlaces for People Homes Limited</t>
  </si>
  <si>
    <t>South EastPlaces for People Homes Limited</t>
  </si>
  <si>
    <t>LondonPlaces for People Homes Limited</t>
  </si>
  <si>
    <t>South WestPlaces for People Homes Limited</t>
  </si>
  <si>
    <t>East of EnglandPlaces for People Homes Limited</t>
  </si>
  <si>
    <t>West MidlandsPlaces for People Living+ Limited</t>
  </si>
  <si>
    <t>East MidlandsPlaces for People Living+ Limited</t>
  </si>
  <si>
    <t>LondonPlaces for People Living+ Limited</t>
  </si>
  <si>
    <t>North EastPlaces for People Living+ Limited</t>
  </si>
  <si>
    <t>North WestPlaces for People Living+ Limited</t>
  </si>
  <si>
    <t>East of EnglandPlaces for People Living+ Limited</t>
  </si>
  <si>
    <t>South EastPlaces for People Living+ Limited</t>
  </si>
  <si>
    <t>South WestPlaces for People Living+ Limited</t>
  </si>
  <si>
    <t>West MidlandsPlatform Housing Group Limited</t>
  </si>
  <si>
    <t>West MidlandsPlatform Housing Limited</t>
  </si>
  <si>
    <t>South EastPlatform Housing Limited</t>
  </si>
  <si>
    <t>East MidlandsPlatform Housing Limited</t>
  </si>
  <si>
    <t>South WestPlatform Housing Limited</t>
  </si>
  <si>
    <t>East MidlandsPlexus UK (First Project) Limited</t>
  </si>
  <si>
    <t>South EastPlexus UK (First Project) Limited</t>
  </si>
  <si>
    <t>North WestPlexus UK (First Project) Limited</t>
  </si>
  <si>
    <t>South WestPlexus UK (First Project) Limited</t>
  </si>
  <si>
    <t>North WestPlus Dane Housing Limited</t>
  </si>
  <si>
    <t>West MidlandsPlus Dane Housing Limited</t>
  </si>
  <si>
    <t>South WestPlymouth Charity Trust</t>
  </si>
  <si>
    <t>South WestPlymouth Community Homes Limited</t>
  </si>
  <si>
    <t>LondonPolish Retired Persons Housing Association Limited</t>
  </si>
  <si>
    <t>South WestPoole Old Peoples Welfare and Housing Society Limited</t>
  </si>
  <si>
    <t>LondonPoplar Housing And Regeneration Community Association Limited</t>
  </si>
  <si>
    <t>LondonPopulo Homes</t>
  </si>
  <si>
    <t>South EastPorthove Housing Association Limited</t>
  </si>
  <si>
    <t>LondonPortman House</t>
  </si>
  <si>
    <t>LondonPortobello Housing Co-operative Limited</t>
  </si>
  <si>
    <t>South EastPortsmouth Churches Housing Association Limited</t>
  </si>
  <si>
    <t>South EastPortsmouth Rotary Housing Association Limited</t>
  </si>
  <si>
    <t>North WestPrestwich &amp; North Western Housing Association Limited</t>
  </si>
  <si>
    <t>North WestPrince Albert Gardens Housing Co-operative Limited</t>
  </si>
  <si>
    <t>North WestPrinces Park Housing Co-operative Limited</t>
  </si>
  <si>
    <t>South EastProgress Housing Association Limited</t>
  </si>
  <si>
    <t>North WestProgress Housing Association Limited</t>
  </si>
  <si>
    <t>West MidlandsProgress Housing Association Limited</t>
  </si>
  <si>
    <t>East of EnglandProgress Housing Association Limited</t>
  </si>
  <si>
    <t>East MidlandsProgress Housing Association Limited</t>
  </si>
  <si>
    <t>North EastProgress Housing Association Limited</t>
  </si>
  <si>
    <t>South WestProgress Housing Association Limited</t>
  </si>
  <si>
    <t>LondonProgress Housing Association Limited</t>
  </si>
  <si>
    <t>North WestProject 34</t>
  </si>
  <si>
    <t>LondonProvidence Row Housing Association</t>
  </si>
  <si>
    <t>South EastPuttenham &amp; Wanborough Housing Society Limited</t>
  </si>
  <si>
    <t>LondonQuadrant-Brownswood Tenant Co-operative Limited</t>
  </si>
  <si>
    <t>LondonQuo Vadis Trust</t>
  </si>
  <si>
    <t>LondonRadcliffe Housing Society Limited</t>
  </si>
  <si>
    <t>South EastRadcliffe Housing Society Limited</t>
  </si>
  <si>
    <t>West MidlandsRailway Housing Association and Benefit Fund</t>
  </si>
  <si>
    <t>North WestRailway Housing Association and Benefit Fund</t>
  </si>
  <si>
    <t>North EastRailway Housing Association and Benefit Fund</t>
  </si>
  <si>
    <t>East of EnglandRamsey Welfare Charities</t>
  </si>
  <si>
    <t>LondonRapport Housing and Care</t>
  </si>
  <si>
    <t>South EastRapport Housing and Care</t>
  </si>
  <si>
    <t>LondonRaven Housing Trust Limited</t>
  </si>
  <si>
    <t>South EastRaven Housing Trust Limited</t>
  </si>
  <si>
    <t>West MidlandsRayner House and Yew Trees Limited</t>
  </si>
  <si>
    <t>South EastReading YMCA</t>
  </si>
  <si>
    <t>South WestRed Devon Housing Limited</t>
  </si>
  <si>
    <t>North EastRed House Farm Housing Co-operative Limited</t>
  </si>
  <si>
    <t>South EastRed Kite Community Housing Limited</t>
  </si>
  <si>
    <t>North WestRedwing Living Limited</t>
  </si>
  <si>
    <t>LondonRedwood Housing Co-operative Limited</t>
  </si>
  <si>
    <t>LondonRefuge</t>
  </si>
  <si>
    <t>North WestRegenda Limited</t>
  </si>
  <si>
    <t>West MidlandsReliance Social Housing C.I.C</t>
  </si>
  <si>
    <t>North WestReside Housing Association Limited</t>
  </si>
  <si>
    <t>LondonReside Housing Association Limited</t>
  </si>
  <si>
    <t>East MidlandsReside Housing Association Limited</t>
  </si>
  <si>
    <t>North EastReside Housing Association Limited</t>
  </si>
  <si>
    <t>South WestReside Housing Association Limited</t>
  </si>
  <si>
    <t>West MidlandsReside Housing Association Limited</t>
  </si>
  <si>
    <t>South EastReside Housing Association Limited</t>
  </si>
  <si>
    <t>East of EnglandReside Housing Association Limited</t>
  </si>
  <si>
    <t>South EastResthaven Almshouses</t>
  </si>
  <si>
    <t>East MidlandsRetail Trust</t>
  </si>
  <si>
    <t>North WestRetail Trust</t>
  </si>
  <si>
    <t>LondonRetail Trust</t>
  </si>
  <si>
    <t>East of EnglandRex Housing Limited</t>
  </si>
  <si>
    <t>LondonRichmond Avenue Housing Co-operative Limited</t>
  </si>
  <si>
    <t>LondonRichmond Co-operative Housing Association Limited</t>
  </si>
  <si>
    <t>LondonRichmond Housing Partnership Limited</t>
  </si>
  <si>
    <t>East of EnglandRickmansworth Churches Housing Association Limited</t>
  </si>
  <si>
    <t>East of EnglandRobert Hibbert's Almshouse Charity</t>
  </si>
  <si>
    <t>South WestRoborough Community Property Association Limited</t>
  </si>
  <si>
    <t>North WestRochdale Boroughwide Housing Limited</t>
  </si>
  <si>
    <t>South EastRockdale Housing Association Limited</t>
  </si>
  <si>
    <t>South EastRogate and Terwick Housing Association Limited</t>
  </si>
  <si>
    <t>West MidlandsRooftop Housing Association Limited</t>
  </si>
  <si>
    <t>South WestRooftop Housing Association Limited</t>
  </si>
  <si>
    <t>South EastRosebery Housing Association Limited</t>
  </si>
  <si>
    <t>LondonRosemary Simmons Memorial Housing Association Limited</t>
  </si>
  <si>
    <t>South EastRosemary Simmons Memorial Housing Association Limited</t>
  </si>
  <si>
    <t>South EastRosewood Housing Limited</t>
  </si>
  <si>
    <t>East of EnglandRosewood Housing Limited</t>
  </si>
  <si>
    <t>East MidlandsRoss Walk Housing Co-operative Limited</t>
  </si>
  <si>
    <t>LondonRotherhithe Waterside Limited</t>
  </si>
  <si>
    <t>South EastRowland Hill and Vaughan Almshouse Charity</t>
  </si>
  <si>
    <t>South EastRoyal Air Forces Association Housing Limited</t>
  </si>
  <si>
    <t>North WestRusland Road Housing Co-operative Limited</t>
  </si>
  <si>
    <t>East MidlandsRykneld Homes Limited</t>
  </si>
  <si>
    <t>South WestSHAL Housing Limited</t>
  </si>
  <si>
    <t>South EastSackville College</t>
  </si>
  <si>
    <t>East of EnglandSaffron Housing Trust Limited</t>
  </si>
  <si>
    <t>West MidlandsSage Housing Limited</t>
  </si>
  <si>
    <t>North WestSage Housing Limited</t>
  </si>
  <si>
    <t>South EastSage Housing Limited</t>
  </si>
  <si>
    <t>South WestSage Housing Limited</t>
  </si>
  <si>
    <t>East MidlandsSage Housing Limited</t>
  </si>
  <si>
    <t>East of EnglandSage Housing Limited</t>
  </si>
  <si>
    <t>LondonSage Housing Limited</t>
  </si>
  <si>
    <t>South WestSage Rented Limited</t>
  </si>
  <si>
    <t>East of EnglandSage Rented Limited</t>
  </si>
  <si>
    <t>North WestSage Rented Limited</t>
  </si>
  <si>
    <t>East MidlandsSage Rented Limited</t>
  </si>
  <si>
    <t>South EastSage Rented Limited</t>
  </si>
  <si>
    <t>LondonSage Rented Limited</t>
  </si>
  <si>
    <t>West MidlandsSage Rented Limited</t>
  </si>
  <si>
    <t>South WestSalisbury City Almshouse and Welfare Charities</t>
  </si>
  <si>
    <t>North WestSalix Homes Limited</t>
  </si>
  <si>
    <t>LondonSalvation Army Housing Association</t>
  </si>
  <si>
    <t>West MidlandsSalvation Army Housing Association</t>
  </si>
  <si>
    <t>North WestSalvation Army Housing Association</t>
  </si>
  <si>
    <t>North EastSalvation Army Housing Association</t>
  </si>
  <si>
    <t>East of EnglandSalvation Army Housing Association</t>
  </si>
  <si>
    <t>South WestSalvation Army Housing Association</t>
  </si>
  <si>
    <t>East MidlandsSalvation Army Housing Association</t>
  </si>
  <si>
    <t>South EastSalvation Army Housing Association</t>
  </si>
  <si>
    <t>West MidlandsSambourne Trust</t>
  </si>
  <si>
    <t>South WestSanctuary Affordable Housing Limited</t>
  </si>
  <si>
    <t>LondonSanctuary Affordable Housing Limited</t>
  </si>
  <si>
    <t>East MidlandsSanctuary Affordable Housing Limited</t>
  </si>
  <si>
    <t>West MidlandsSanctuary Affordable Housing Limited</t>
  </si>
  <si>
    <t>South EastSanctuary Affordable Housing Limited</t>
  </si>
  <si>
    <t>North WestSanctuary Affordable Housing Limited</t>
  </si>
  <si>
    <t>East of EnglandSanctuary Affordable Housing Limited</t>
  </si>
  <si>
    <t>North EastSanctuary Affordable Housing Limited</t>
  </si>
  <si>
    <t>North WestSanctuary Housing Association</t>
  </si>
  <si>
    <t>West MidlandsSanctuary Housing Association</t>
  </si>
  <si>
    <t>East MidlandsSanctuary Housing Association</t>
  </si>
  <si>
    <t>South WestSanctuary Housing Association</t>
  </si>
  <si>
    <t>East of EnglandSanctuary Housing Association</t>
  </si>
  <si>
    <t>South EastSanctuary Housing Association</t>
  </si>
  <si>
    <t>LondonSanctuary Housing Association</t>
  </si>
  <si>
    <t>North EastSanctuary Housing Association</t>
  </si>
  <si>
    <t>South EastSandbourne Housing Association</t>
  </si>
  <si>
    <t>South WestSandbourne Housing Association</t>
  </si>
  <si>
    <t>West MidlandsSandwell Homeless and Resettlement Project Limited</t>
  </si>
  <si>
    <t>East of EnglandSapphire Independent Housing Limited</t>
  </si>
  <si>
    <t>LondonSapphire Independent Housing Limited</t>
  </si>
  <si>
    <t>South EastSaxon Weald</t>
  </si>
  <si>
    <t>South WestSelwood Housing Society Limited</t>
  </si>
  <si>
    <t>South EastSenacre Housing Co-operative Limited</t>
  </si>
  <si>
    <t>North WestSensible Housing Co-operative Limited</t>
  </si>
  <si>
    <t>South EastSettle Group</t>
  </si>
  <si>
    <t>East of EnglandSettle Group</t>
  </si>
  <si>
    <t>LondonSeven Dials Housing Co-operative Limited</t>
  </si>
  <si>
    <t>East MidlandsSevern Almshouses Trust</t>
  </si>
  <si>
    <t>LondonSeymour Street Homes Limited</t>
  </si>
  <si>
    <t>West MidlandsShahjalal Housing Co-operative Limited</t>
  </si>
  <si>
    <t>LondonShepherds Bush Housing Association Limited</t>
  </si>
  <si>
    <t>South EastShepherds Bush Housing Association Limited</t>
  </si>
  <si>
    <t>East of EnglandShepherds Bush Housing Association Limited</t>
  </si>
  <si>
    <t>South WestShepherds Bush Housing Association Limited</t>
  </si>
  <si>
    <t>South WestShepton Mallet United Charities</t>
  </si>
  <si>
    <t>South EastSherborne Close Housing Society Limited</t>
  </si>
  <si>
    <t>North EastSherburn House Charity</t>
  </si>
  <si>
    <t>LondonShian Housing Association Limited</t>
  </si>
  <si>
    <t>North WestShorefields Co-operative Limited</t>
  </si>
  <si>
    <t>South EastShorncliffe Housing Co-operative Limited</t>
  </si>
  <si>
    <t>West MidlandsShrewsbury Drapers Company Charity</t>
  </si>
  <si>
    <t>West MidlandsShropshire Association for Supported Housing Limited</t>
  </si>
  <si>
    <t>West MidlandsShropshire Rural Housing Association Limited</t>
  </si>
  <si>
    <t>South WestSidcot Friends Housing Society Limited</t>
  </si>
  <si>
    <t>South EastSilva Homes Limited</t>
  </si>
  <si>
    <t>North EastSir E D Walker Homes</t>
  </si>
  <si>
    <t>West MidlandsSir Job Charlton's Hospital Charity</t>
  </si>
  <si>
    <t>West MidlandsSir Josiah Mason's Almshouse Charity</t>
  </si>
  <si>
    <t>East MidlandsSir Robert Coke's Almshouses</t>
  </si>
  <si>
    <t>South EastSir Robert Geffery's Almshouse Trust</t>
  </si>
  <si>
    <t>North EastSir William Turner's Hospital</t>
  </si>
  <si>
    <t>West MidlandsSiward James and Arkwright Trust Charity</t>
  </si>
  <si>
    <t>North WestSix Town Housing Limited</t>
  </si>
  <si>
    <t>West MidlandsSmall Heath Park Housing Co-operative Limited</t>
  </si>
  <si>
    <t>South WestSoha Housing Limited</t>
  </si>
  <si>
    <t>South EastSoha Housing Limited</t>
  </si>
  <si>
    <t>LondonSoho Housing Association Limited</t>
  </si>
  <si>
    <t>West MidlandsSolihull Care Housing Association Limited</t>
  </si>
  <si>
    <t>East of EnglandSolo Housing (East Anglia)</t>
  </si>
  <si>
    <t>South WestSomewhere Co-operative Housing Association Limited</t>
  </si>
  <si>
    <t>LondonSouth Camden Housing Co-operative Limited</t>
  </si>
  <si>
    <t>North WestSouth Cheshire Housing Society Limited</t>
  </si>
  <si>
    <t>South WestSouth Devon Rural Housing Association Limited</t>
  </si>
  <si>
    <t>North WestSouth Lakes Housing</t>
  </si>
  <si>
    <t>North WestSouth Liverpool Homes Limited</t>
  </si>
  <si>
    <t>LondonSouth Mildmay Tenants Co-operative Limited</t>
  </si>
  <si>
    <t>West MidlandsSouth Road Housing Co-operative Limited</t>
  </si>
  <si>
    <t>North EastSouth Tyneside Housing Ventures Trust Limited</t>
  </si>
  <si>
    <t>South WestSouth Western Housing Society Limited</t>
  </si>
  <si>
    <t>East MidlandsSouth Yorkshire Housing Association Limited</t>
  </si>
  <si>
    <t>North WestSouthdene Housing Co-operative Limited</t>
  </si>
  <si>
    <t>South EastSouthdown Housing Association Limited</t>
  </si>
  <si>
    <t>East of EnglandSouthend-on-Sea Young Men's Christian Association</t>
  </si>
  <si>
    <t>North WestSouthern Crescent Co-operative Limited</t>
  </si>
  <si>
    <t>LondonSouthern Home Ownership Limited</t>
  </si>
  <si>
    <t>East of EnglandSouthern Housing Group Limited</t>
  </si>
  <si>
    <t>South EastSouthern Housing Group Limited</t>
  </si>
  <si>
    <t>LondonSouthern Housing Group Limited</t>
  </si>
  <si>
    <t>South EastSouthlands Almshouse Charity</t>
  </si>
  <si>
    <t>South EastSouthsea Self Help Housing Limited</t>
  </si>
  <si>
    <t>LondonSouthward Housing Co-operative Limited</t>
  </si>
  <si>
    <t>North WestSouthway Housing Trust (Manchester) Limited</t>
  </si>
  <si>
    <t>South WestSovereign Housing Association Limited</t>
  </si>
  <si>
    <t>South EastSovereign Housing Association Limited</t>
  </si>
  <si>
    <t>East of EnglandSovereign Housing Association Limited</t>
  </si>
  <si>
    <t>East MidlandsSovereign Housing Association Limited</t>
  </si>
  <si>
    <t>South WestSovereign Living Limited</t>
  </si>
  <si>
    <t>LondonSpitalfields Housing Association Limited</t>
  </si>
  <si>
    <t>North WestSpotland and Falinge Housing Association Limited</t>
  </si>
  <si>
    <t>North WestSpringwood Housing Co-operative Limited</t>
  </si>
  <si>
    <t>North EastSquare Building Trust Limited</t>
  </si>
  <si>
    <t>LondonSt Andrews Community Housing Association Ltd</t>
  </si>
  <si>
    <t>West MidlandsSt Anne's Hostel</t>
  </si>
  <si>
    <t>West MidlandsSt Basil's</t>
  </si>
  <si>
    <t>LondonSt Christopher's Fellowship</t>
  </si>
  <si>
    <t>LondonSt George's Church Housing Co-operative Limited</t>
  </si>
  <si>
    <t>East of EnglandSt Johns Homes</t>
  </si>
  <si>
    <t>LondonSt Joseph's Almshouses</t>
  </si>
  <si>
    <t>East MidlandsSt Leonards Hospital</t>
  </si>
  <si>
    <t>South EastSt Luke's Housing Society Limited</t>
  </si>
  <si>
    <t>LondonSt Martin of Tours Housing Association Limited</t>
  </si>
  <si>
    <t>East of EnglandSt Mungo Community Housing Association</t>
  </si>
  <si>
    <t>LondonSt Mungo Community Housing Association</t>
  </si>
  <si>
    <t>South WestSt Mungo Community Housing Association</t>
  </si>
  <si>
    <t>South EastSt Mungo Community Housing Association</t>
  </si>
  <si>
    <t>West MidlandsSt Peter's Saltley Housing Association Limited</t>
  </si>
  <si>
    <t>South EastSt Richard of Chichester Christian Care Association Ltd</t>
  </si>
  <si>
    <t>West MidlandsStarley Housing Co-operative Limited</t>
  </si>
  <si>
    <t>South WestStephen Hutchen's Charity Trust</t>
  </si>
  <si>
    <t>North WestSteve Biko Housing Association Limited</t>
  </si>
  <si>
    <t>South EastStewart's and Budgen's Almshouses</t>
  </si>
  <si>
    <t>North WestStockport Homes Limited</t>
  </si>
  <si>
    <t>West MidlandsStoke-on-Trent Housing Society Limited</t>
  </si>
  <si>
    <t>South EastStonewater (2) Limited</t>
  </si>
  <si>
    <t>East MidlandsStonewater (2) Limited</t>
  </si>
  <si>
    <t>West MidlandsStonewater (2) Limited</t>
  </si>
  <si>
    <t>South WestStonewater (2) Limited</t>
  </si>
  <si>
    <t>East of EnglandStonewater (2) Limited</t>
  </si>
  <si>
    <t>East MidlandsStonewater (5) Limited</t>
  </si>
  <si>
    <t>West MidlandsStonewater (5) Limited</t>
  </si>
  <si>
    <t>South WestStonewater (5) Limited</t>
  </si>
  <si>
    <t>East of EnglandStonewater (5) Limited</t>
  </si>
  <si>
    <t>South EastStonewater (5) Limited</t>
  </si>
  <si>
    <t>South EastStonewater Limited</t>
  </si>
  <si>
    <t>LondonStonewater Limited</t>
  </si>
  <si>
    <t>East of EnglandStonewater Limited</t>
  </si>
  <si>
    <t>East MidlandsStonewater Limited</t>
  </si>
  <si>
    <t>West MidlandsStonewater Limited</t>
  </si>
  <si>
    <t>South WestStonewater Limited</t>
  </si>
  <si>
    <t>LondonStroud Green Housing Co-operative Limited</t>
  </si>
  <si>
    <t>South WestSturts Community Trust</t>
  </si>
  <si>
    <t>North EastSummerhill Housing Co-operative (Newcastle) Limited</t>
  </si>
  <si>
    <t>North EastSunderland Riverside Housing Co-operative Limited</t>
  </si>
  <si>
    <t>South EastSussex Housing &amp; Care</t>
  </si>
  <si>
    <t>South EastSussex Overseas Housing Society Limited</t>
  </si>
  <si>
    <t>West MidlandsSustain (UK) Ltd</t>
  </si>
  <si>
    <t>East MidlandsSustain (UK) Ltd</t>
  </si>
  <si>
    <t>LondonSutton Housing Society Limited</t>
  </si>
  <si>
    <t>LondonSwan Housing Association Limited</t>
  </si>
  <si>
    <t>East of EnglandSwan Housing Association Limited</t>
  </si>
  <si>
    <t>LondonSwan Lane Housing Co-operative Limited</t>
  </si>
  <si>
    <t>East MidlandsSwift Homes Limited</t>
  </si>
  <si>
    <t>LondonSydenham Housing Co-operative Limited</t>
  </si>
  <si>
    <t>South WestSynergy Housing Limited</t>
  </si>
  <si>
    <t>South EastSynergy Housing Limited</t>
  </si>
  <si>
    <t>LondonTBG Open Door Limited</t>
  </si>
  <si>
    <t>North EastTCUK Homes Limited</t>
  </si>
  <si>
    <t>North WestTHT and L&amp;Q Community Limited</t>
  </si>
  <si>
    <t>South EastTPHA Limited</t>
  </si>
  <si>
    <t>South WestTamar Housing Society Limited</t>
  </si>
  <si>
    <t>LondonTamil Community Housing Association Limited</t>
  </si>
  <si>
    <t>East of EnglandTamil Community Housing Association Limited</t>
  </si>
  <si>
    <t>West MidlandsTamworth Cornerstone Housing Association Limited</t>
  </si>
  <si>
    <t>South WestTaunton Heritage Trust</t>
  </si>
  <si>
    <t>LondonTeachers' Housing Association Limited</t>
  </si>
  <si>
    <t>South EastTeachers' Housing Association Limited</t>
  </si>
  <si>
    <t>West MidlandsTeachers' Housing Association Limited</t>
  </si>
  <si>
    <t>South WestTeachers' Housing Association Limited</t>
  </si>
  <si>
    <t>South WestTeign Housing</t>
  </si>
  <si>
    <t>South EastThame and District Housing Association Limited</t>
  </si>
  <si>
    <t>South EastThames Ditton Homes Limited</t>
  </si>
  <si>
    <t>South EastThames Valley Housing Association Limited</t>
  </si>
  <si>
    <t>LondonThames Valley Housing Association Limited</t>
  </si>
  <si>
    <t>East of EnglandThe Abbeyfield (Berkhamsted &amp; Hemel Hempstead) Society Limited</t>
  </si>
  <si>
    <t>South WestThe Abbeyfield (Colyton) Society Limited</t>
  </si>
  <si>
    <t>South WestThe Abbeyfield (Lyme Regis &amp; District) Society Limited</t>
  </si>
  <si>
    <t>South WestThe Abbeyfield (Wells) Society Limited</t>
  </si>
  <si>
    <t>South WestThe Abbeyfield (Weymouth) Society Limited</t>
  </si>
  <si>
    <t>South EastThe Abbeyfield Alresford and District Society Ltd</t>
  </si>
  <si>
    <t>North WestThe Abbeyfield Barrow-in- Furness Society Limited</t>
  </si>
  <si>
    <t>East of EnglandThe Abbeyfield Basildon Society Limited</t>
  </si>
  <si>
    <t>North EastThe Abbeyfield Berwick Society Limited</t>
  </si>
  <si>
    <t>West MidlandsThe Abbeyfield Bishop's Castle and District Society Limited</t>
  </si>
  <si>
    <t>South WestThe Abbeyfield Bradford-on-Avon Society Limited</t>
  </si>
  <si>
    <t>South WestThe Abbeyfield Buckland Monachorum Society Limited</t>
  </si>
  <si>
    <t>North WestThe Abbeyfield Burnley Society Limited</t>
  </si>
  <si>
    <t>North WestThe Abbeyfield Bury Society Limited</t>
  </si>
  <si>
    <t>South WestThe Abbeyfield Camborne Society Limited</t>
  </si>
  <si>
    <t>East of EnglandThe Abbeyfield Canvey Island Society Limited</t>
  </si>
  <si>
    <t>South EastThe Abbeyfield Chalfonts Society Limited</t>
  </si>
  <si>
    <t>LondonThe Abbeyfield Chelsea &amp; Fulham Society Limited</t>
  </si>
  <si>
    <t>North WestThe Abbeyfield Chester Society Limited</t>
  </si>
  <si>
    <t>South EastThe Abbeyfield Crowborough Society Limited</t>
  </si>
  <si>
    <t>LondonThe Abbeyfield Deptford Society Limited</t>
  </si>
  <si>
    <t>LondonThe Abbeyfield Dulwich Society Limited</t>
  </si>
  <si>
    <t>North WestThe Abbeyfield Ellesmere Port Society Limited</t>
  </si>
  <si>
    <t>South EastThe Abbeyfield Fareham Society Limited</t>
  </si>
  <si>
    <t>South EastThe Abbeyfield Gerrards Cross Society Limited</t>
  </si>
  <si>
    <t>South WestThe Abbeyfield Gloucestershire Society Limited</t>
  </si>
  <si>
    <t>South EastThe Abbeyfield Great Missenden &amp; District Society</t>
  </si>
  <si>
    <t>South WestThe Abbeyfield Holsworthy Society Limited</t>
  </si>
  <si>
    <t>East of EnglandThe Abbeyfield Kings Langley Society Limited</t>
  </si>
  <si>
    <t>LondonThe Abbeyfield London Polish Society Limited</t>
  </si>
  <si>
    <t>South EastThe Abbeyfield North Downs Society Limited</t>
  </si>
  <si>
    <t>East of EnglandThe Abbeyfield Orwell Extra Care Society Limited</t>
  </si>
  <si>
    <t>South EastThe Abbeyfield Oxford Society Limited</t>
  </si>
  <si>
    <t>South EastThe Abbeyfield Pirbright and District Society Ltd</t>
  </si>
  <si>
    <t>North WestThe Abbeyfield Ribble Valley Society Limited</t>
  </si>
  <si>
    <t>South WestThe Abbeyfield Saltash Society Limited</t>
  </si>
  <si>
    <t>LondonThe Abbeyfield Sanderstead Society Limited</t>
  </si>
  <si>
    <t>South EastThe Abbeyfield Shanklin Society Limited</t>
  </si>
  <si>
    <t>South WestThe Abbeyfield Sidmouth Society Limited</t>
  </si>
  <si>
    <t>South WestThe Abbeyfield Society</t>
  </si>
  <si>
    <t>East MidlandsThe Abbeyfield Society</t>
  </si>
  <si>
    <t>South EastThe Abbeyfield Society</t>
  </si>
  <si>
    <t>West MidlandsThe Abbeyfield Society</t>
  </si>
  <si>
    <t>North EastThe Abbeyfield Society</t>
  </si>
  <si>
    <t>East of EnglandThe Abbeyfield Society</t>
  </si>
  <si>
    <t>North WestThe Abbeyfield Society</t>
  </si>
  <si>
    <t>LondonThe Abbeyfield Society</t>
  </si>
  <si>
    <t>South WestThe Abbeyfield South Molton Society Limited</t>
  </si>
  <si>
    <t>South WestThe Abbeyfield South West Society Limited</t>
  </si>
  <si>
    <t>East of EnglandThe Abbeyfield Southend Society Limited</t>
  </si>
  <si>
    <t>South WestThe Abbeyfield Tavistock Society Limited</t>
  </si>
  <si>
    <t>South WestThe Abbeyfield Tiverton Society Limited</t>
  </si>
  <si>
    <t>LondonThe Abbeyfield Uxbridge Society Limited</t>
  </si>
  <si>
    <t>East of EnglandThe Abbeyfield West Herts Society Limited</t>
  </si>
  <si>
    <t>North WestThe Abbeyfield Whitehaven Society Limited</t>
  </si>
  <si>
    <t>West MidlandsThe Abbeyfield Worcester and Hereford Society Limited</t>
  </si>
  <si>
    <t>South EastThe Andover Charities</t>
  </si>
  <si>
    <t>West MidlandsThe Ash Homes</t>
  </si>
  <si>
    <t>East of EnglandThe Baker's Benevolent Society</t>
  </si>
  <si>
    <t>South WestThe Bampfylde Almshouse Charity</t>
  </si>
  <si>
    <t>LondonThe Barnes Fund</t>
  </si>
  <si>
    <t>West MidlandsThe Berrow Cottage Homes</t>
  </si>
  <si>
    <t>West MidlandsThe Birch, Samson and Littleton United Charities</t>
  </si>
  <si>
    <t>South WestThe Blue House</t>
  </si>
  <si>
    <t>West MidlandsThe Buchanan Trust</t>
  </si>
  <si>
    <t>East of EnglandThe Cambridge Housing Society Limited</t>
  </si>
  <si>
    <t>East of EnglandThe Cambridgeshire Cottage Housing Society Limited</t>
  </si>
  <si>
    <t>South EastThe Charity of Mrs Mabel Luke</t>
  </si>
  <si>
    <t>East MidlandsThe Charity of St Leonard's Hospital</t>
  </si>
  <si>
    <t>LondonThe Cinque Cottages</t>
  </si>
  <si>
    <t>West MidlandsThe Community Housing Group Limited</t>
  </si>
  <si>
    <t>LondonThe Drapers' Almshouse Charity</t>
  </si>
  <si>
    <t>South WestThe Duchess of Somerset's Hospital</t>
  </si>
  <si>
    <t>North WestThe Edward Mayes Trust</t>
  </si>
  <si>
    <t>West MidlandsThe Exaireo Trust Ltd</t>
  </si>
  <si>
    <t>East MidlandsThe Exaireo Trust Ltd</t>
  </si>
  <si>
    <t>North WestThe Exaireo Trust Ltd</t>
  </si>
  <si>
    <t>East of EnglandThe Extracare Charitable Trust</t>
  </si>
  <si>
    <t>West MidlandsThe Extracare Charitable Trust</t>
  </si>
  <si>
    <t>South EastThe Extracare Charitable Trust</t>
  </si>
  <si>
    <t>East MidlandsThe Extracare Charitable Trust</t>
  </si>
  <si>
    <t>South WestThe Extracare Charitable Trust</t>
  </si>
  <si>
    <t>North WestThe Fairoak Housing Association</t>
  </si>
  <si>
    <t>North EastThe Fairoak Housing Association</t>
  </si>
  <si>
    <t>South EastThe Faversham Municipal Charities 2010</t>
  </si>
  <si>
    <t>South EastThe Fellowship Houses Trust</t>
  </si>
  <si>
    <t>South EastThe Field Lane Foundation</t>
  </si>
  <si>
    <t>East of EnglandThe Field Lane Foundation</t>
  </si>
  <si>
    <t>LondonThe Field Lane Foundation</t>
  </si>
  <si>
    <t>LondonThe Finchley Charities</t>
  </si>
  <si>
    <t>East of EnglandThe Fishermen's Hospital</t>
  </si>
  <si>
    <t>South WestThe Flood Charity</t>
  </si>
  <si>
    <t>North EastThe Glendale Gateway Trust</t>
  </si>
  <si>
    <t>South WestThe Gloucester Charities Trust</t>
  </si>
  <si>
    <t>South EastThe Grange Centre for People with Disabilities</t>
  </si>
  <si>
    <t>West MidlandsThe Guinness Partnership Limited</t>
  </si>
  <si>
    <t>South EastThe Guinness Partnership Limited</t>
  </si>
  <si>
    <t>East of EnglandThe Guinness Partnership Limited</t>
  </si>
  <si>
    <t>South WestThe Guinness Partnership Limited</t>
  </si>
  <si>
    <t>LondonThe Guinness Partnership Limited</t>
  </si>
  <si>
    <t>East MidlandsThe Guinness Partnership Limited</t>
  </si>
  <si>
    <t>North WestThe Guinness Partnership Limited</t>
  </si>
  <si>
    <t>North EastThe Guinness Partnership Limited</t>
  </si>
  <si>
    <t>LondonThe Hampton Parochial Charities</t>
  </si>
  <si>
    <t>West MidlandsThe Harborne Parish Lands Charity</t>
  </si>
  <si>
    <t>North EastThe Hartlepools War Memorial Homes &amp; the Crosby Homes</t>
  </si>
  <si>
    <t>East of EnglandThe Havebury Housing Partnership</t>
  </si>
  <si>
    <t>East of EnglandThe Henry Gilder Drake Charity</t>
  </si>
  <si>
    <t>South EastThe Henry Pinnock &amp; Victoria &amp; Albert Memorial Charity</t>
  </si>
  <si>
    <t>South EastThe Honywood and Douglas Charity</t>
  </si>
  <si>
    <t>West MidlandsThe Hopkins and Sneyd Almshouse Charity</t>
  </si>
  <si>
    <t>East MidlandsThe Hospital of St John &amp; of St Anne in Okeham</t>
  </si>
  <si>
    <t>South EastThe Hospital of the Holy Trinity Aylesford</t>
  </si>
  <si>
    <t>West MidlandsThe Hosyer-Foxe Charity</t>
  </si>
  <si>
    <t>North EastThe Hunter Memorial Homes Trust</t>
  </si>
  <si>
    <t>East of EnglandThe Industrial Dwellings Society (1885) Limited</t>
  </si>
  <si>
    <t>LondonThe Industrial Dwellings Society (1885) Limited</t>
  </si>
  <si>
    <t>West MidlandsThe James Charities</t>
  </si>
  <si>
    <t>North WestThe Jane Maddock Homes</t>
  </si>
  <si>
    <t>East of EnglandThe John Henry Keene Memorial Homes</t>
  </si>
  <si>
    <t>South EastThe Lord Mayor of Portsmouth's Coronation Homes</t>
  </si>
  <si>
    <t>East MidlandsThe Louisa Lilley Almshouses</t>
  </si>
  <si>
    <t>East of EnglandThe Lowestoft Church &amp; Town Almshouse Charity</t>
  </si>
  <si>
    <t>LondonThe Lygon Almshouses</t>
  </si>
  <si>
    <t>South WestThe Margaret Jane Ashley Almshouse Charity</t>
  </si>
  <si>
    <t>East of EnglandThe Mary Hatch Almshouses with Diamond Jubilee Cottages</t>
  </si>
  <si>
    <t>LondonThe Merchant Taylors' Boone's Charity</t>
  </si>
  <si>
    <t>East of EnglandThe Mills Charity</t>
  </si>
  <si>
    <t>South EastThe Molyneux Almshouses</t>
  </si>
  <si>
    <t>South EastThe Mrs Henrietta Frances Le Personne Benevolent Trust</t>
  </si>
  <si>
    <t>West MidlandsThe Municipal Charities of Stratford-upon-Avon</t>
  </si>
  <si>
    <t>LondonThe New Cut Housing Co-operative Limited</t>
  </si>
  <si>
    <t>East MidlandsThe North Memorial Homes City of Leicester</t>
  </si>
  <si>
    <t>East of EnglandThe Ogilvie Charities (Deed No.1)</t>
  </si>
  <si>
    <t>East of EnglandThe Papworth Trust</t>
  </si>
  <si>
    <t>LondonThe Pathways Jubilee Charity</t>
  </si>
  <si>
    <t>South WestThe Peninsula Trust Limited</t>
  </si>
  <si>
    <t>South WestThe Pepperell Blackmore Vale Society Limited</t>
  </si>
  <si>
    <t>West MidlandsThe Pioneer Housing and Community Group Limited</t>
  </si>
  <si>
    <t>North WestThe Poynton-with-Worth Almshouse Charity</t>
  </si>
  <si>
    <t>South WestThe Reverend Rowland Hill Almshouse Charity</t>
  </si>
  <si>
    <t>North EastThe Richmond Fellowship</t>
  </si>
  <si>
    <t>East of EnglandThe Richmond Fellowship</t>
  </si>
  <si>
    <t>LondonThe Richmond Fellowship</t>
  </si>
  <si>
    <t>South WestThe Richmond Fellowship</t>
  </si>
  <si>
    <t>South EastThe Richmond Fellowship</t>
  </si>
  <si>
    <t>North WestThe Richmond Fellowship</t>
  </si>
  <si>
    <t>East MidlandsThe Richmond Fellowship</t>
  </si>
  <si>
    <t>East MidlandsThe Riverside Group Limited</t>
  </si>
  <si>
    <t>LondonThe Riverside Group Limited</t>
  </si>
  <si>
    <t>North WestThe Riverside Group Limited</t>
  </si>
  <si>
    <t>South EastThe Riverside Group Limited</t>
  </si>
  <si>
    <t>North EastThe Riverside Group Limited</t>
  </si>
  <si>
    <t>East of EnglandThe Riverside Group Limited</t>
  </si>
  <si>
    <t>West MidlandsThe Riverside Group Limited</t>
  </si>
  <si>
    <t>South WestThe Riverside Group Limited</t>
  </si>
  <si>
    <t>East of EnglandThe Saint Mary Magdalen's Hospital</t>
  </si>
  <si>
    <t>East of EnglandThe Shen Place Almshouses</t>
  </si>
  <si>
    <t>LondonThe Skinners'  Almshouse Charity</t>
  </si>
  <si>
    <t>South WestThe Society of Merchant Venturers' Almshouse Charity</t>
  </si>
  <si>
    <t>South EastThe Society of St James</t>
  </si>
  <si>
    <t>LondonThe Sons of Divine Providence</t>
  </si>
  <si>
    <t>North WestThe Sons of Divine Providence</t>
  </si>
  <si>
    <t>South EastThe Sons of Divine Providence</t>
  </si>
  <si>
    <t>East MidlandsThe St Michael's Housing Trust</t>
  </si>
  <si>
    <t>East of EnglandThe Stuart Court Memorial Charity</t>
  </si>
  <si>
    <t>South WestThe Swaythling Housing Society Limited</t>
  </si>
  <si>
    <t>South EastThe Swaythling Housing Society Limited</t>
  </si>
  <si>
    <t>East of EnglandThe Sybil Carthew Trust</t>
  </si>
  <si>
    <t>East MidlandsThe Teetotal Homes</t>
  </si>
  <si>
    <t>LondonThe West Hackney Almshouse Charity</t>
  </si>
  <si>
    <t>East MidlandsThe William Holmes Almshouses</t>
  </si>
  <si>
    <t>West MidlandsThe Wrekin Housing Group Limited</t>
  </si>
  <si>
    <t>North WestThirlmere Housing Co-operative Limited</t>
  </si>
  <si>
    <t>East of EnglandThirteen Housing Group Limited</t>
  </si>
  <si>
    <t>North EastThirteen Housing Group Limited</t>
  </si>
  <si>
    <t>South EastThorngate Churcher Trust</t>
  </si>
  <si>
    <t>North EastThornholme Housing Co-operative Limited</t>
  </si>
  <si>
    <t>LondonThrale Almshouse and Relief in Need Charity</t>
  </si>
  <si>
    <t>South EastThrive Homes Limited</t>
  </si>
  <si>
    <t>East of EnglandThrive Homes Limited</t>
  </si>
  <si>
    <t>South WestTiverton Almshouse Trust</t>
  </si>
  <si>
    <t>East of EnglandToddington United Almshouse Charity</t>
  </si>
  <si>
    <t>North WestTogether Housing Association Limited</t>
  </si>
  <si>
    <t>East MidlandsTogether Housing Association Limited</t>
  </si>
  <si>
    <t>South EastTonbridge United Charity</t>
  </si>
  <si>
    <t>LondonTooting Bec Housing Co-operative Limited</t>
  </si>
  <si>
    <t>North WestTorus62 Limited</t>
  </si>
  <si>
    <t>South WestTorvista Homes Limited</t>
  </si>
  <si>
    <t>LondonTower Hamlets Community Housing</t>
  </si>
  <si>
    <t>South EastTown and Country Housing</t>
  </si>
  <si>
    <t>LondonTownshend Close Housing Co-operative Limited</t>
  </si>
  <si>
    <t>North WestTrafford Housing Trust Limited</t>
  </si>
  <si>
    <t>LondonTransform Housing &amp; Support</t>
  </si>
  <si>
    <t>South EastTransform Housing &amp; Support</t>
  </si>
  <si>
    <t>South WestTregonwell Almshouse Trust</t>
  </si>
  <si>
    <t>West MidlandsTrent &amp; Dove Housing Limited</t>
  </si>
  <si>
    <t>East MidlandsTrent &amp; Dove Housing Limited</t>
  </si>
  <si>
    <t>West MidlandsTriangle Housing Co-operative Limited</t>
  </si>
  <si>
    <t>West MidlandsTrident Housing Association Limited</t>
  </si>
  <si>
    <t>East MidlandsTrident Housing Association Limited</t>
  </si>
  <si>
    <t>LondonTrinity Homes</t>
  </si>
  <si>
    <t>West MidlandsTrinity Hospital at Clun</t>
  </si>
  <si>
    <t>South EastTrinity Housing Association Limited</t>
  </si>
  <si>
    <t>East MidlandsTrinity Housing Association Limited</t>
  </si>
  <si>
    <t>North WestTrinity Housing Association Limited</t>
  </si>
  <si>
    <t>South WestTrinity Housing Association Limited</t>
  </si>
  <si>
    <t>LondonTrinity Housing Association Limited</t>
  </si>
  <si>
    <t>East of EnglandTrinity Housing Association Limited</t>
  </si>
  <si>
    <t>West MidlandsTrinity Housing Association Limited</t>
  </si>
  <si>
    <t>West MidlandsTuntum Housing Association Limited</t>
  </si>
  <si>
    <t>East MidlandsTuntum Housing Association Limited</t>
  </si>
  <si>
    <t>West MidlandsTurning Point</t>
  </si>
  <si>
    <t>East of EnglandTurning Point</t>
  </si>
  <si>
    <t>LondonTurning Point</t>
  </si>
  <si>
    <t>South EastTurning Point</t>
  </si>
  <si>
    <t>South WestTurning Point</t>
  </si>
  <si>
    <t>North WestTurning Point</t>
  </si>
  <si>
    <t>North EastTurning Point</t>
  </si>
  <si>
    <t>South WestTwo Rivers Housing</t>
  </si>
  <si>
    <t>West MidlandsTwo Rivers Housing</t>
  </si>
  <si>
    <t>South EastTwo Saints Limited</t>
  </si>
  <si>
    <t>North EastTyne Housing Association Limited</t>
  </si>
  <si>
    <t>North EastTyne Mariners' Benevolent Institution</t>
  </si>
  <si>
    <t>South WestUCCLT Housing Ltd</t>
  </si>
  <si>
    <t>South EastUckfield and District Housing Association Limited</t>
  </si>
  <si>
    <t>East of EnglandV &amp; F Homes Limited</t>
  </si>
  <si>
    <t>South EastVectis Housing Association Limited</t>
  </si>
  <si>
    <t>LondonVeterans Aid</t>
  </si>
  <si>
    <t>West MidlandsVictoria Tenants Co-operative Limited</t>
  </si>
  <si>
    <t>LondonVine Housing Co-operative Limited</t>
  </si>
  <si>
    <t>South EastVivid Housing Limited</t>
  </si>
  <si>
    <t>LondonWATMOS Community Homes</t>
  </si>
  <si>
    <t>West MidlandsWATMOS Community Homes</t>
  </si>
  <si>
    <t>North WestWaddington Hospital</t>
  </si>
  <si>
    <t>West MidlandsWalsall Housing Group Limited</t>
  </si>
  <si>
    <t>LondonWalterton and Elgin Community Homes Limited</t>
  </si>
  <si>
    <t>LondonWaltham Forest Housing Association Limited</t>
  </si>
  <si>
    <t>South EastWalton-on-Thames Charity</t>
  </si>
  <si>
    <t>South EastWandle Housing Association Limited</t>
  </si>
  <si>
    <t>LondonWandle Housing Association Limited</t>
  </si>
  <si>
    <t>South EastWargrave-on-Thames Housing Association Limited</t>
  </si>
  <si>
    <t>North WestWarrington Housing Association Limited</t>
  </si>
  <si>
    <t>South EastWarwick Housing Co-operative Limited</t>
  </si>
  <si>
    <t>West MidlandsWarwickshire Rural Housing Association Limited</t>
  </si>
  <si>
    <t>LondonWater Tower Housing Co-operative Limited</t>
  </si>
  <si>
    <t>East of EnglandWaters Almshouses</t>
  </si>
  <si>
    <t>East of EnglandWatford Community Housing Trust</t>
  </si>
  <si>
    <t>LondonWaverley (Eighth) Co-operative Housing Association Limited</t>
  </si>
  <si>
    <t>North EastWearmouth Housing Co-operative Limited</t>
  </si>
  <si>
    <t>North WestWeaver Vale Housing Trust Limited</t>
  </si>
  <si>
    <t>LondonWeavers' Almshouse Charities</t>
  </si>
  <si>
    <t>East of EnglandWebster Almshouse Trust</t>
  </si>
  <si>
    <t>North WestWeller Streets Housing Co-operative Limited</t>
  </si>
  <si>
    <t>LondonWellington Housing Co-operative Limited</t>
  </si>
  <si>
    <t>North EastWest End Housing Co-operative Limited</t>
  </si>
  <si>
    <t>LondonWest Ham Non-Ecclesiastical Charity</t>
  </si>
  <si>
    <t>LondonWest Hampstead Housing Co-operative Limited</t>
  </si>
  <si>
    <t>LondonWest Herts Homes Limited</t>
  </si>
  <si>
    <t>East of EnglandWest Herts Homes Limited</t>
  </si>
  <si>
    <t>South EastWest Kent Housing Association</t>
  </si>
  <si>
    <t>LondonWest London YMCA</t>
  </si>
  <si>
    <t>East of EnglandWest Norfolk Housing Company Ltd</t>
  </si>
  <si>
    <t>South WestWest of England Friends Housing Society Limited</t>
  </si>
  <si>
    <t>North WestWestfield Housing Association Limited</t>
  </si>
  <si>
    <t>LondonWestlon Housing Association Limited</t>
  </si>
  <si>
    <t>LondonWestminster Community Homes Limited</t>
  </si>
  <si>
    <t>LondonWestmoreland Supported Housing Limited</t>
  </si>
  <si>
    <t>West MidlandsWestmoreland Supported Housing Limited</t>
  </si>
  <si>
    <t>South WestWestmoreland Supported Housing Limited</t>
  </si>
  <si>
    <t>East MidlandsWestmoreland Supported Housing Limited</t>
  </si>
  <si>
    <t>North EastWestmoreland Supported Housing Limited</t>
  </si>
  <si>
    <t>North WestWestmoreland Supported Housing Limited</t>
  </si>
  <si>
    <t>East of EnglandWestmoreland Supported Housing Limited</t>
  </si>
  <si>
    <t>South EastWestmoreland Supported Housing Limited</t>
  </si>
  <si>
    <t>South EastWestree Road Housing Co-operative Limited</t>
  </si>
  <si>
    <t>North WestWestvale Housing Co-operative Limited</t>
  </si>
  <si>
    <t>South WestWestward Housing Group Limited</t>
  </si>
  <si>
    <t>LondonWestway Housing Association Limited</t>
  </si>
  <si>
    <t>South EastWeybank Housing Co-operative Limited</t>
  </si>
  <si>
    <t>South WestWhite Horse Housing Association Limited</t>
  </si>
  <si>
    <t>West MidlandsWhitehead Almshouses</t>
  </si>
  <si>
    <t>LondonWhitworth Housing Co-operative Limited</t>
  </si>
  <si>
    <t>South EastWickham Community Land Trust</t>
  </si>
  <si>
    <t>LondonWilfrid East London Housing Co-operative Limited</t>
  </si>
  <si>
    <t>LondonWillesden Green Housing Co-operative Limited</t>
  </si>
  <si>
    <t>East MidlandsWilliam Henry Hirst Memorial Homes</t>
  </si>
  <si>
    <t>East of EnglandWilliam Paul Housing Trust</t>
  </si>
  <si>
    <t>North EastWilliam Russell Bequest</t>
  </si>
  <si>
    <t>South EastWinchester Working Men's Housing Society Limited</t>
  </si>
  <si>
    <t>LondonWindrush Alliance UK Community Interest Company</t>
  </si>
  <si>
    <t>East MidlandsWindrush Alliance UK Community Interest Company</t>
  </si>
  <si>
    <t>East of EnglandWindrush Alliance UK Community Interest Company</t>
  </si>
  <si>
    <t>LondonWindsor Walk Housing Association Limited</t>
  </si>
  <si>
    <t>East of EnglandWinnocks and Kendalls Almshouse Charity</t>
  </si>
  <si>
    <t>LondonWinsor Housing Co-operative Limited</t>
  </si>
  <si>
    <t>North WestWirral Methodist Housing Association Limited</t>
  </si>
  <si>
    <t>East of EnglandWisbech Charities</t>
  </si>
  <si>
    <t>East of EnglandWisden Housing Co-operative Limited</t>
  </si>
  <si>
    <t>East of EnglandWitham Housing Association Limited</t>
  </si>
  <si>
    <t>LondonWollaston and Pauncefort Almshouse Charity</t>
  </si>
  <si>
    <t>LondonWomen's Pioneer Housing Limited</t>
  </si>
  <si>
    <t>West MidlandsWoodlands Quaker Home</t>
  </si>
  <si>
    <t>South EastWoodley Sandford and Charvil Charitable Trust</t>
  </si>
  <si>
    <t>LondonWoodside Housing Co-operative Limited</t>
  </si>
  <si>
    <t>West MidlandsWorcester Municipal Charities CIO</t>
  </si>
  <si>
    <t>West MidlandsWorcestershire YMCA Limited</t>
  </si>
  <si>
    <t>South EastWorthing Homes Limited</t>
  </si>
  <si>
    <t>South WestWyedean Housing Association Limited</t>
  </si>
  <si>
    <t>West MidlandsWyedean Housing Association Limited</t>
  </si>
  <si>
    <t xml:space="preserve">North WestWythenshawe Community Housing Group Limited </t>
  </si>
  <si>
    <t>West MidlandsYMCA Black Country Group</t>
  </si>
  <si>
    <t>South WestYMCA Brunel Group</t>
  </si>
  <si>
    <t>East MidlandsYMCA Derbyshire</t>
  </si>
  <si>
    <t>South EastYMCA Downslink Group</t>
  </si>
  <si>
    <t>South EastYMCA East Surrey</t>
  </si>
  <si>
    <t>South EastYMCA Fairthorne Housing</t>
  </si>
  <si>
    <t>LondonYMCA London City and North</t>
  </si>
  <si>
    <t>East of EnglandYMCA Norfolk</t>
  </si>
  <si>
    <t>West MidlandsYMCA North Staffordshire Ltd</t>
  </si>
  <si>
    <t>North EastYMCA North Tyneside</t>
  </si>
  <si>
    <t>North WestYMCA St Helens</t>
  </si>
  <si>
    <t>South EastYMCA St Paul's Group</t>
  </si>
  <si>
    <t>LondonYMCA St Paul's Group</t>
  </si>
  <si>
    <t>LondonYMCA Thames Gateway</t>
  </si>
  <si>
    <t>South EastYMCA Thames Gateway</t>
  </si>
  <si>
    <t>East of EnglandYMCA Trinity Group</t>
  </si>
  <si>
    <t>North WestYMCA Trinity Group</t>
  </si>
  <si>
    <t>West MidlandsYardley Great Trust</t>
  </si>
  <si>
    <t>North WestYorkshire Housing Limited</t>
  </si>
  <si>
    <t>North WestYour Housing Limited</t>
  </si>
  <si>
    <t>West MidlandsYour Housing Limited</t>
  </si>
  <si>
    <t>East MidlandsYour Housing Limited</t>
  </si>
  <si>
    <t>LondonYour Housing Limited</t>
  </si>
  <si>
    <t>North WestZah Housing Co-operative Limited</t>
  </si>
  <si>
    <t>South Westbpha Limited</t>
  </si>
  <si>
    <t>South Eastbpha Limited</t>
  </si>
  <si>
    <t>East of Englandbpha Limited</t>
  </si>
  <si>
    <t>West Midlandsbpha Limited</t>
  </si>
  <si>
    <t>East Midlandsbpha Limited</t>
  </si>
  <si>
    <t>Affordable Rent supported housing/housing for older people</t>
  </si>
  <si>
    <t>EnglandEast Midlands</t>
  </si>
  <si>
    <t>EnglandEast of England</t>
  </si>
  <si>
    <t>EnglandLondon</t>
  </si>
  <si>
    <t>EnglandNorth East</t>
  </si>
  <si>
    <t>EnglandNorth West</t>
  </si>
  <si>
    <t>EnglandSouth East</t>
  </si>
  <si>
    <t>EnglandSouth West</t>
  </si>
  <si>
    <t>EnglandWest Midlands</t>
  </si>
  <si>
    <t xml:space="preserve">Total social units**/PRP counts, by PRP size
</t>
  </si>
  <si>
    <t>Formula</t>
  </si>
  <si>
    <t>Properties made available exclusively to older people and that fully meet the definition of supported housing specified in the Rent Policy Statement.</t>
  </si>
  <si>
    <t>Units that fully meet the definition of intermediate rent accommodation specified in the Rent Policy Statement.</t>
  </si>
  <si>
    <t xml:space="preserve">Units can only be counted as supported housing if they meet the definition of supported housing specified in the Rent Policy Statement. The fact that a tenant receives support services in their home does not make it supported housing. </t>
  </si>
  <si>
    <t>Units are recorded as temporary social housing if they meet the definition of temporary social housing specified in the Rent Policy Statement.</t>
  </si>
  <si>
    <t>A self-contained unit is one in which all the rooms (including kitchen, bathroom and toilet) in a household’s accommodation are behind a door, which only that household can use and therefore allows that household exclusive use of them. Some self-contained units, especially flats, may have some common services such as a central boiler for heating and/or hot water. Households which share a common entrance hall, but otherwise have all their accommodation behind their own front door are self-contained. Bedsits are considered self-contained units.</t>
  </si>
  <si>
    <t>Exceptions/excepted units (rents)</t>
  </si>
  <si>
    <t xml:space="preserve">Owned stock.  Large PRPs only - unweighted. Excludes Affordable Rent and intermediate rent, but includes other units with an exception under the Rent Policy Statement.  Stock outside England is excluded.  </t>
  </si>
  <si>
    <t>Units with an exception from the statutory rent setting requirements set out in the Rent Policy Statement.</t>
  </si>
  <si>
    <t>*Excludes Affordable Rent and intermediate rent, but includes other units with an exception under the Rent Policy Statement.</t>
  </si>
  <si>
    <t>Total social units/PRP counts, by PRP size/Sales by Large PRPs</t>
  </si>
  <si>
    <t>Affordable Rent supported housing/housing for older people - average weekly gross rents (£ per week) and units</t>
  </si>
  <si>
    <t>How to use the drop down list and search function to select an Area name</t>
  </si>
  <si>
    <t>PRPs are providers of social housing in England that are registered with us and are not local authorities. This is the definition of PRPs in the Housing and Regeneration Act 2008.</t>
  </si>
  <si>
    <r>
      <t xml:space="preserve">Non-social leasehold </t>
    </r>
    <r>
      <rPr>
        <sz val="12"/>
        <color rgb="FF59468D"/>
        <rFont val="Arial"/>
        <family val="2"/>
      </rPr>
      <t>(see leasehold definition above)</t>
    </r>
    <r>
      <rPr>
        <b/>
        <sz val="12"/>
        <color rgb="FF59468D"/>
        <rFont val="Arial"/>
        <family val="2"/>
      </rPr>
      <t>.</t>
    </r>
  </si>
  <si>
    <t>Yorkshire and the Humber'Johnnie' Johnson Housing Trust Limited</t>
  </si>
  <si>
    <t>Yorkshire and the HumberAbbeyfield The Dales Limited</t>
  </si>
  <si>
    <t>Yorkshire and the HumberAccent Housing Limited</t>
  </si>
  <si>
    <t>Yorkshire and the HumberAcis Group Limited</t>
  </si>
  <si>
    <t>Yorkshire and the HumberAction Housing and Support Limited</t>
  </si>
  <si>
    <t>Yorkshire and the HumberAdvance Housing and Support Limited</t>
  </si>
  <si>
    <t>Yorkshire and the HumberAlliance Housing Association (South Yorkshire) Limited</t>
  </si>
  <si>
    <t>Yorkshire and the HumberAlmshouse Charity of Hannah Rawson</t>
  </si>
  <si>
    <t>Yorkshire and the HumberAlpha (R.S.L.) Limited</t>
  </si>
  <si>
    <t>Yorkshire and the HumberAnchor Hanover Group</t>
  </si>
  <si>
    <t>Yorkshire and the HumberArches Housing Limited</t>
  </si>
  <si>
    <t>Yorkshire and the HumberArpeggio Properties Limited</t>
  </si>
  <si>
    <t>Yorkshire and the HumberBespoke Supportive Tenancies Ltd</t>
  </si>
  <si>
    <t>Yorkshire and the HumberBeyond Housing Limited</t>
  </si>
  <si>
    <t>Yorkshire and the HumberBlackburn YMCA</t>
  </si>
  <si>
    <t>Yorkshire and the HumberBlue Square Residential Ltd</t>
  </si>
  <si>
    <t>Yorkshire and the HumberBradford Cyrenians Limited</t>
  </si>
  <si>
    <t>Yorkshire and the HumberBridge-It Housing UK Team Ltd</t>
  </si>
  <si>
    <t>Yorkshire and the HumberBroadacres Housing Association Limited</t>
  </si>
  <si>
    <t>Yorkshire and the HumberCalder Valley Community Land Trust Limited</t>
  </si>
  <si>
    <t>Yorkshire and the HumberCare Housing Association Limited</t>
  </si>
  <si>
    <t>Yorkshire and the HumberCastles &amp; Coasts Housing Association Limited</t>
  </si>
  <si>
    <t>Yorkshire and the HumberCatalyst Housing Limited</t>
  </si>
  <si>
    <t>Yorkshire and the HumberCentrepoint Soho</t>
  </si>
  <si>
    <t>Yorkshire and the HumberCharity Of Elizabeth Wadsworth</t>
  </si>
  <si>
    <t>Yorkshire and the HumberCharles Edward Sugden's Almshouses</t>
  </si>
  <si>
    <t>Yorkshire and the HumberChartford Housing Limited</t>
  </si>
  <si>
    <t>Yorkshire and the HumberChrysalis Supported Association Limited</t>
  </si>
  <si>
    <t>Yorkshire and the HumberClarion Housing Association Limited</t>
  </si>
  <si>
    <t>Yorkshire and the HumberConnect Housing Association Limited</t>
  </si>
  <si>
    <t>Yorkshire and the HumberCooke Almshouse Charity</t>
  </si>
  <si>
    <t>Yorkshire and the HumberCreative Support Limited</t>
  </si>
  <si>
    <t>Yorkshire and the HumberDerwent Housing Association Limited</t>
  </si>
  <si>
    <t>Yorkshire and the HumberDimensions (UK) Limited</t>
  </si>
  <si>
    <t>Yorkshire and the HumberDoncaster Young Men's Christian Association</t>
  </si>
  <si>
    <t>Yorkshire and the HumberEMH Housing and Regeneration Limited</t>
  </si>
  <si>
    <t>Yorkshire and the HumberEmily Bentley Homes</t>
  </si>
  <si>
    <t xml:space="preserve">Yorkshire and the HumberEncircle Housing </t>
  </si>
  <si>
    <t>Yorkshire and the HumberFoundation</t>
  </si>
  <si>
    <t>Yorkshire and the HumberFramework Housing Association</t>
  </si>
  <si>
    <t>Yorkshire and the HumberFrank Crossley's Almshouses</t>
  </si>
  <si>
    <t>Yorkshire and the HumberFrontis Homes Limited</t>
  </si>
  <si>
    <t>Yorkshire and the HumberGeorge Newton Housing Trust</t>
  </si>
  <si>
    <t>Yorkshire and the HumberGoodwin Development Trust</t>
  </si>
  <si>
    <t>Yorkshire and the HumberGrantham's Almshouses</t>
  </si>
  <si>
    <t>Yorkshire and the HumberGreat Places Housing Association</t>
  </si>
  <si>
    <t>Yorkshire and the HumberGrimsby,Cleethorpes and Humber Region Y.M.C.A.</t>
  </si>
  <si>
    <t>Yorkshire and the HumberHabinteg Housing Association Limited</t>
  </si>
  <si>
    <t>Yorkshire and the HumberHalo Housing Association Limited</t>
  </si>
  <si>
    <t>Yorkshire and the HumberHarrogate Flower Fund Homes Limited</t>
  </si>
  <si>
    <t>Yorkshire and the HumberHarrogate Housing Association Limited</t>
  </si>
  <si>
    <t>Yorkshire and the HumberHarrogate Neighbours Housing Association Limited</t>
  </si>
  <si>
    <t>Yorkshire and the HumberHellens Residential Limited</t>
  </si>
  <si>
    <t>Yorkshire and the HumberHeylo Housing Registered Provider Limited</t>
  </si>
  <si>
    <t>Yorkshire and the HumberHighstone Housing Association Limited</t>
  </si>
  <si>
    <t>Yorkshire and the HumberHilldale Housing Association Limited</t>
  </si>
  <si>
    <t>Yorkshire and the HumberHome Group Limited</t>
  </si>
  <si>
    <t>Yorkshire and the HumberHousing 21</t>
  </si>
  <si>
    <t>Yorkshire and the HumberHull Churches Housing Association Limited</t>
  </si>
  <si>
    <t>Yorkshire and the HumberHull House Improvement Society Limited</t>
  </si>
  <si>
    <t>Yorkshire and the HumberHull Resettlement Project Limited</t>
  </si>
  <si>
    <t>Yorkshire and the HumberHull United Charities</t>
  </si>
  <si>
    <t>Yorkshire and the HumberHull and East Yorkshire Mind</t>
  </si>
  <si>
    <t>Yorkshire and the HumberHumankind Charity</t>
  </si>
  <si>
    <t>Yorkshire and the HumberIKE Supported Housing Limited</t>
  </si>
  <si>
    <t>Yorkshire and the HumberInclusion Housing Community Interest Company</t>
  </si>
  <si>
    <t>Yorkshire and the HumberIncommunities Limited</t>
  </si>
  <si>
    <t>Yorkshire and the HumberJ &amp; M Residential Lettings Limited</t>
  </si>
  <si>
    <t>Yorkshire and the HumberJigsaw Homes North</t>
  </si>
  <si>
    <t>Yorkshire and the HumberJohn Pease Cottages</t>
  </si>
  <si>
    <t>Yorkshire and the HumberJoseph Crossley's Almshouses</t>
  </si>
  <si>
    <t>Yorkshire and the HumberJoseph Rowntree Housing Trust</t>
  </si>
  <si>
    <t>Yorkshire and the HumberKarbon Homes Limited</t>
  </si>
  <si>
    <t>Yorkshire and the HumberKirklees Housing Association Limited</t>
  </si>
  <si>
    <t>Yorkshire and the HumberLady Lumley's Almshouses</t>
  </si>
  <si>
    <t>Yorkshire and the HumberLangley House Trust</t>
  </si>
  <si>
    <t>Yorkshire and the HumberLeeds Federated Housing Association Limited</t>
  </si>
  <si>
    <t>Yorkshire and the HumberLeeds Jewish Housing Association Limited</t>
  </si>
  <si>
    <t>Yorkshire and the HumberLeeds and Yorkshire Housing Association Limited</t>
  </si>
  <si>
    <t>Yorkshire and the HumberLegal &amp; General Affordable Homes Limited</t>
  </si>
  <si>
    <t>Yorkshire and the HumberLets for Life</t>
  </si>
  <si>
    <t>Yorkshire and the HumberLincolnshire Housing Partnership Limited</t>
  </si>
  <si>
    <t>Yorkshire and the HumberLincolnshire Rural Housing Association Limited</t>
  </si>
  <si>
    <t>Yorkshire and the HumberLonghurst Group Limited</t>
  </si>
  <si>
    <t>Yorkshire and the HumberLune Valley Rural Housing Association Limited</t>
  </si>
  <si>
    <t>Yorkshire and the HumberManningham Housing Association Limited</t>
  </si>
  <si>
    <t>Yorkshire and the HumberMarsden Memorial Homes</t>
  </si>
  <si>
    <t>Yorkshire and the HumberMethodist Homes Housing Association Limited</t>
  </si>
  <si>
    <t>Yorkshire and the HumberMetropolitan Housing Trust Limited</t>
  </si>
  <si>
    <t>Yorkshire and the HumberMosscare St. Vincent's Housing Group Limited</t>
  </si>
  <si>
    <t>Yorkshire and the HumberMuir Group Housing Association Limited</t>
  </si>
  <si>
    <t>Yorkshire and the HumberMy Space Housing Solutions</t>
  </si>
  <si>
    <t>Yorkshire and the HumberNew Foundations Housing Association Limited</t>
  </si>
  <si>
    <t>Yorkshire and the HumberNorth Star Housing Group</t>
  </si>
  <si>
    <t>Yorkshire and the HumberNotting Hill Home Ownership Limited</t>
  </si>
  <si>
    <t>Yorkshire and the HumberOngo Homes Limited</t>
  </si>
  <si>
    <t>Yorkshire and the HumberPadley Housing Association Limited</t>
  </si>
  <si>
    <t>Yorkshire and the HumberParasol Homes Limited</t>
  </si>
  <si>
    <t>Yorkshire and the HumberPartners Foundation Limited</t>
  </si>
  <si>
    <t>Yorkshire and the HumberPeak District Rural Housing Association Limited</t>
  </si>
  <si>
    <t>Yorkshire and the HumberPickering and Ferens Homes</t>
  </si>
  <si>
    <t>Yorkshire and the HumberPinnacle Spaces Limited</t>
  </si>
  <si>
    <t>Yorkshire and the HumberPlaces for People Homes Limited</t>
  </si>
  <si>
    <t>Yorkshire and the HumberPlaces for People Living+ Limited</t>
  </si>
  <si>
    <t>Yorkshire and the HumberPlexus UK (First Project) Limited</t>
  </si>
  <si>
    <t>Yorkshire and the HumberProgress Housing Association Limited</t>
  </si>
  <si>
    <t>Yorkshire and the HumberRailway Housing Association and Benefit Fund</t>
  </si>
  <si>
    <t>Yorkshire and the HumberReside Housing Association Limited</t>
  </si>
  <si>
    <t>Yorkshire and the HumberRipon YMCA</t>
  </si>
  <si>
    <t>Yorkshire and the HumberRoger's Almshouses</t>
  </si>
  <si>
    <t>Yorkshire and the HumberSage Housing Limited</t>
  </si>
  <si>
    <t>Yorkshire and the HumberSage Rented Limited</t>
  </si>
  <si>
    <t>Yorkshire and the HumberSalvation Army Housing Association</t>
  </si>
  <si>
    <t>Yorkshire and the HumberSanctuary Affordable Housing Limited</t>
  </si>
  <si>
    <t>Yorkshire and the HumberSanctuary Housing Association</t>
  </si>
  <si>
    <t>Yorkshire and the HumberSouth Yorkshire Housing Association Limited</t>
  </si>
  <si>
    <t>Yorkshire and the HumberSouthern Housing Group Limited</t>
  </si>
  <si>
    <t>Yorkshire and the HumberSt Andrew Housing Co-operative Limited</t>
  </si>
  <si>
    <t>Yorkshire and the HumberSt Anne's Community Services</t>
  </si>
  <si>
    <t>Yorkshire and the HumberStonewater (2) Limited</t>
  </si>
  <si>
    <t>Yorkshire and the HumberStonewater Limited</t>
  </si>
  <si>
    <t>Yorkshire and the HumberTCUK Homes Limited</t>
  </si>
  <si>
    <t>Yorkshire and the HumberTangram Housing Co-operative Limited</t>
  </si>
  <si>
    <t>Yorkshire and the HumberTarget Housing Limited</t>
  </si>
  <si>
    <t>Yorkshire and the HumberTeachers' Housing Association Limited</t>
  </si>
  <si>
    <t>Yorkshire and the HumberThe Abbeyfield (Ripon and District) Society Ltd</t>
  </si>
  <si>
    <t>Yorkshire and the HumberThe Abbeyfield Society</t>
  </si>
  <si>
    <t>Yorkshire and the HumberThe Abbeyfield Thirsk &amp; Sowerby Society Limited</t>
  </si>
  <si>
    <t>Yorkshire and the HumberThe Abbeyfield York Society Limited</t>
  </si>
  <si>
    <t>Yorkshire and the HumberThe Aberford Almshouses</t>
  </si>
  <si>
    <t>Yorkshire and the HumberThe Charlesworth Charity</t>
  </si>
  <si>
    <t>Yorkshire and the HumberThe Guinness Partnership Limited</t>
  </si>
  <si>
    <t>Yorkshire and the HumberThe Harcourt Almshouse Charities</t>
  </si>
  <si>
    <t>Yorkshire and the HumberThe Hospital of Reverend William James</t>
  </si>
  <si>
    <t>Yorkshire and the HumberThe Hospital of St Thomas the Apostle in Doncaster</t>
  </si>
  <si>
    <t>Yorkshire and the HumberThe Riverside Group Limited</t>
  </si>
  <si>
    <t>Yorkshire and the HumberThe Robert Salter Charity</t>
  </si>
  <si>
    <t>Yorkshire and the HumberThe Thornton Cottage Homes</t>
  </si>
  <si>
    <t>Yorkshire and the HumberThe Walker Barstow Homes</t>
  </si>
  <si>
    <t>Yorkshire and the HumberThirteen Housing Group Limited</t>
  </si>
  <si>
    <t>Yorkshire and the HumberTogether Housing Association Limited</t>
  </si>
  <si>
    <t>Yorkshire and the HumberTrinity Housing Association Limited</t>
  </si>
  <si>
    <t>Yorkshire and the HumberUnity Housing Association Limited</t>
  </si>
  <si>
    <t>Yorkshire and the HumberWakefield And District Housing Limited</t>
  </si>
  <si>
    <t>Yorkshire and the HumberWakefield Charities' Homes</t>
  </si>
  <si>
    <t>Yorkshire and the HumberWestmoreland Supported Housing Limited</t>
  </si>
  <si>
    <t>Yorkshire and the HumberWhitby Merchant Seamen's Hospital Houses</t>
  </si>
  <si>
    <t>Yorkshire and the HumberWinner Trading Limited</t>
  </si>
  <si>
    <t>Yorkshire and the HumberYork Housing Association Limited</t>
  </si>
  <si>
    <t>Yorkshire and the HumberYorkshire Housing Limited</t>
  </si>
  <si>
    <t>Yorkshire and the HumberYorkshire Ladies Council (Hostels) Limited</t>
  </si>
  <si>
    <t>Yorkshire and the HumberYour Housing Limited</t>
  </si>
  <si>
    <t>Yorkshire and the Humberbpha Limited</t>
  </si>
  <si>
    <r>
      <t xml:space="preserve">London Affordable Rent (LAR), was introduced in 2016 by the Mayor of London. LAR units are Affordable Rent units in London let at or below the weekly rent benchmarks set by the GLA. They are included in Affordable Rent figures in the LADR collection. For more information see </t>
    </r>
    <r>
      <rPr>
        <u/>
        <sz val="12"/>
        <color rgb="FF59468D"/>
        <rFont val="Arial"/>
        <family val="2"/>
      </rPr>
      <t>https://www.london.gov.uk/what-we-do/housing-and-land/homes-londoners-affordable-homes-programmes/homes-londoners-affordable-homes-programme-2016-2023</t>
    </r>
    <r>
      <rPr>
        <sz val="12"/>
        <color theme="1"/>
        <rFont val="Arial"/>
        <family val="2"/>
      </rPr>
      <t>.</t>
    </r>
  </si>
  <si>
    <t>Sales by large PRPs</t>
  </si>
  <si>
    <t>Low cost rental^</t>
  </si>
  <si>
    <t>Total low cost rental stock owned (GN, SH and HOP)^</t>
  </si>
  <si>
    <t>General needs (social rent)*</t>
  </si>
  <si>
    <t>Supported housing/housing for older people (social rent)*</t>
  </si>
  <si>
    <t>General needs (social rent)</t>
  </si>
  <si>
    <t>Supported housing/housing for older people (social rent)</t>
  </si>
  <si>
    <t>General needs (social rent) - average weekly net rents and units</t>
  </si>
  <si>
    <t>Supported housing/housing for older people (social rent) - average weekly net rents and units</t>
  </si>
  <si>
    <t>General needs (social rent) - rents and unit counts by unit size</t>
  </si>
  <si>
    <t>Social rent</t>
  </si>
  <si>
    <t>In these statistics social rent refers to all low cost rental units that are general needs or supported housing (excluding Affordable Rent and intermediate rent units). This includes units with exceptions from standard rent rules.</t>
  </si>
  <si>
    <t>October 2022</t>
  </si>
  <si>
    <t>Publication date: October 2022</t>
  </si>
  <si>
    <t>Geographic look-up tool (SDR data) 2022</t>
  </si>
  <si>
    <t>The definitions presented below are provided for clarity of terms and categories within this release. They are consistent with the manner in which data was collected in the 2022 SDR collection (based on a view ‘as at’ or ‘in the year to’ 31 March 2022). See the 2021-22 SDR guidance published as part of this release for more information.</t>
  </si>
  <si>
    <t>Tables 1-3 comprise all PRPs - unweighted.  * Unit counts for LCHO are for Large PRPs only.  ** Total units comprises: GN, SH, HOP for all PRPs and LCHO for Large PRPs.  ^ Figures for GN, SH and HOP include intermediate and Affordable Rent units. 
Source: SDR 2022</t>
  </si>
  <si>
    <t>Source: SDR 2022</t>
  </si>
  <si>
    <t>Version: 1.0</t>
  </si>
  <si>
    <t>Statistical Data Return (SDR) 1 April 2021 to 31 March 2022</t>
  </si>
  <si>
    <t>Bournemouth, Christchurch and Poole</t>
  </si>
  <si>
    <t>North Northamptonshire</t>
  </si>
  <si>
    <t>E06000061</t>
  </si>
  <si>
    <t>West Northamptonshire</t>
  </si>
  <si>
    <t>E06000062</t>
  </si>
  <si>
    <t>L4240</t>
  </si>
  <si>
    <t>A2Dominion Housing Group Limited</t>
  </si>
  <si>
    <t>5094</t>
  </si>
  <si>
    <t>AAIM Housing RP Limited</t>
  </si>
  <si>
    <t>H3680</t>
  </si>
  <si>
    <t>Abbeyfield Oxenford Society Limited</t>
  </si>
  <si>
    <t>Abbeyfield Sodbury Vale Society Limited</t>
  </si>
  <si>
    <t>L4172</t>
  </si>
  <si>
    <t>Abri Group Limited</t>
  </si>
  <si>
    <t>L4511</t>
  </si>
  <si>
    <t>Accent Group Limited</t>
  </si>
  <si>
    <t>4836</t>
  </si>
  <si>
    <t>Affordable Housing Communities Limited</t>
  </si>
  <si>
    <t>H0357</t>
  </si>
  <si>
    <t>Allandale Care Group Limited</t>
  </si>
  <si>
    <t>A2569</t>
  </si>
  <si>
    <t>Almshouse of St John the Baptist &amp; St John the Evangelist</t>
  </si>
  <si>
    <t>L4393</t>
  </si>
  <si>
    <t>Aster Group Limited</t>
  </si>
  <si>
    <t>5153</t>
  </si>
  <si>
    <t>AWOL London Limited</t>
  </si>
  <si>
    <t>L0394</t>
  </si>
  <si>
    <t>Barnet Overseas Students Housing Association Ltd</t>
  </si>
  <si>
    <t>Bonham and Strathleven Tenants Co-operative Limited</t>
  </si>
  <si>
    <t>L0528</t>
  </si>
  <si>
    <t>Boughey Roddam Housing Association</t>
  </si>
  <si>
    <t>5132</t>
  </si>
  <si>
    <t>Bradford Flower Homes Development Limited</t>
  </si>
  <si>
    <t>A0644</t>
  </si>
  <si>
    <t>Brandon Poor's Estate</t>
  </si>
  <si>
    <t>C4379</t>
  </si>
  <si>
    <t>Breedon Housing Co-operative Limited</t>
  </si>
  <si>
    <t>L3921</t>
  </si>
  <si>
    <t>Bridge Care Limited</t>
  </si>
  <si>
    <t>5105</t>
  </si>
  <si>
    <t>Broadway Living RP Limited</t>
  </si>
  <si>
    <t>L4449</t>
  </si>
  <si>
    <t>Bromford Housing Group Limited</t>
  </si>
  <si>
    <t>5139</t>
  </si>
  <si>
    <t>Bromley and Croydon Women's Aid Limited</t>
  </si>
  <si>
    <t>A0352</t>
  </si>
  <si>
    <t>Bromley and Sheppard's Colleges Charity</t>
  </si>
  <si>
    <t>Bucklehaven</t>
  </si>
  <si>
    <t>A2706</t>
  </si>
  <si>
    <t>Charity of Elizabeth Owen</t>
  </si>
  <si>
    <t>LH4087</t>
  </si>
  <si>
    <t>Clarion Housing Group Limited</t>
  </si>
  <si>
    <t>C3729</t>
  </si>
  <si>
    <t>Coin Street Secondary Housing Co-operative Limited</t>
  </si>
  <si>
    <t>LH1651</t>
  </si>
  <si>
    <t>Colne Housing Society Limited</t>
  </si>
  <si>
    <t>5156</t>
  </si>
  <si>
    <t>Connected Living London (RP) Limited</t>
  </si>
  <si>
    <t>C3554</t>
  </si>
  <si>
    <t>Convent Co-operative Limited</t>
  </si>
  <si>
    <t>5155</t>
  </si>
  <si>
    <t>Crawley Open House</t>
  </si>
  <si>
    <t>SL3118</t>
  </si>
  <si>
    <t>Crystal Palace Housing Association Limited</t>
  </si>
  <si>
    <t>Dawson Housing Limited</t>
  </si>
  <si>
    <t>Day's and Atkinson's Almshouse Charity</t>
  </si>
  <si>
    <t>5157</t>
  </si>
  <si>
    <t>Dorchester Almshouses</t>
  </si>
  <si>
    <t>LH4090</t>
  </si>
  <si>
    <t>Drum Housing Association Limited</t>
  </si>
  <si>
    <t>5125</t>
  </si>
  <si>
    <t>A3485</t>
  </si>
  <si>
    <t>Earsdon, Newburn and Shilbottle Almshouse Charity</t>
  </si>
  <si>
    <t>L4530</t>
  </si>
  <si>
    <t>East Midlands Housing Group Limited</t>
  </si>
  <si>
    <t>Easy Housing Association</t>
  </si>
  <si>
    <t>Fairhive Homes Limited</t>
  </si>
  <si>
    <t>5049</t>
  </si>
  <si>
    <t>Feldon Housing Limited</t>
  </si>
  <si>
    <t>C2949</t>
  </si>
  <si>
    <t>Finsbury Park Housing Co-operative Limited</t>
  </si>
  <si>
    <t>4832</t>
  </si>
  <si>
    <t>First Affordable Limited</t>
  </si>
  <si>
    <t>5140</t>
  </si>
  <si>
    <t>Flint Housing Limited</t>
  </si>
  <si>
    <t>Frances Darlington Charity</t>
  </si>
  <si>
    <t>L4502</t>
  </si>
  <si>
    <t>Futures Housing Group Limited</t>
  </si>
  <si>
    <t>5123</t>
  </si>
  <si>
    <t>George Jones Charity</t>
  </si>
  <si>
    <t>C3378</t>
  </si>
  <si>
    <t>Giffard Park Housing Co-operative Limited</t>
  </si>
  <si>
    <t>C2730</t>
  </si>
  <si>
    <t>Glenkerry Co-operative Housing Association Limited</t>
  </si>
  <si>
    <t>Golden Lane Housing Limited</t>
  </si>
  <si>
    <t>A1752</t>
  </si>
  <si>
    <t>Grand Feoffment Charities</t>
  </si>
  <si>
    <t>L4465</t>
  </si>
  <si>
    <t>Great Places Housing Group Limited</t>
  </si>
  <si>
    <t>GreenSquareAccord Limited</t>
  </si>
  <si>
    <t>5135</t>
  </si>
  <si>
    <t>Grevayne Social Housing Limited</t>
  </si>
  <si>
    <t>5128</t>
  </si>
  <si>
    <t>Habitare Homes Limited</t>
  </si>
  <si>
    <t>4685</t>
  </si>
  <si>
    <t>Hamelin Trust Services Limited</t>
  </si>
  <si>
    <t>Harrison and Potter Trust</t>
  </si>
  <si>
    <t>L4526</t>
  </si>
  <si>
    <t>Heart Of England Housing Association Limited</t>
  </si>
  <si>
    <t>Heart of Medway Housing Association Limited</t>
  </si>
  <si>
    <t>L4340</t>
  </si>
  <si>
    <t>Helena Partnerships  Limited</t>
  </si>
  <si>
    <t>Homes Plus Limited</t>
  </si>
  <si>
    <t>LH3903</t>
  </si>
  <si>
    <t>Horniman Housing Association Limited</t>
  </si>
  <si>
    <t>L1312</t>
  </si>
  <si>
    <t>Howard Cottage Housing Association</t>
  </si>
  <si>
    <t>Huyton Community Co-operative for the Elderly Limited</t>
  </si>
  <si>
    <t>C4321</t>
  </si>
  <si>
    <t>Iroko Housing Co-operative Limited</t>
  </si>
  <si>
    <t>5152</t>
  </si>
  <si>
    <t>J49 Ltd</t>
  </si>
  <si>
    <t>A2067</t>
  </si>
  <si>
    <t>Joseph Chariott's Charity</t>
  </si>
  <si>
    <t>C2694</t>
  </si>
  <si>
    <t>Kilburn Housing Co-operative Limited</t>
  </si>
  <si>
    <t>L4544</t>
  </si>
  <si>
    <t>Kurdish Housing Association Limited</t>
  </si>
  <si>
    <t>5149</t>
  </si>
  <si>
    <t>Legal &amp; General Affordable Homes (AR) LLP</t>
  </si>
  <si>
    <t>5148</t>
  </si>
  <si>
    <t>Legal &amp; General Affordable Homes (SO) LLP</t>
  </si>
  <si>
    <t>5147</t>
  </si>
  <si>
    <t>Legal and General Affordable Homes (Capital) Limited</t>
  </si>
  <si>
    <t>5146</t>
  </si>
  <si>
    <t>Legal and General Affordable Homes (Development 3) Limited</t>
  </si>
  <si>
    <t>4752</t>
  </si>
  <si>
    <t>Linden First Limited</t>
  </si>
  <si>
    <t>C3441</t>
  </si>
  <si>
    <t>Lindsey Housing Co-operative Limited</t>
  </si>
  <si>
    <t>5141</t>
  </si>
  <si>
    <t>LTYD Homes Limited</t>
  </si>
  <si>
    <t>5115</t>
  </si>
  <si>
    <t>M&amp;G UK Shared Ownership Limited</t>
  </si>
  <si>
    <t>5121</t>
  </si>
  <si>
    <t>McCarthy &amp; Stone (Shared Ownership) Limited</t>
  </si>
  <si>
    <t>5120</t>
  </si>
  <si>
    <t>MP Living Limited</t>
  </si>
  <si>
    <t>5063</t>
  </si>
  <si>
    <t>MTD Housing Limited</t>
  </si>
  <si>
    <t>4649</t>
  </si>
  <si>
    <t>Onward Group Limited</t>
  </si>
  <si>
    <t>4699</t>
  </si>
  <si>
    <t>Orchard &amp; Shipman Homes Limited</t>
  </si>
  <si>
    <t>LH4162</t>
  </si>
  <si>
    <t>Oriel Housing Limited</t>
  </si>
  <si>
    <t>5143</t>
  </si>
  <si>
    <t>Oxfordshire CLT Limited</t>
  </si>
  <si>
    <t>L4215</t>
  </si>
  <si>
    <t>Paradigm Housing Group Limited</t>
  </si>
  <si>
    <t>A4021</t>
  </si>
  <si>
    <t>C4380</t>
  </si>
  <si>
    <t>Pioneer Co-operative Housing (Redditch) Limited</t>
  </si>
  <si>
    <t>L4236</t>
  </si>
  <si>
    <t>Places for People Group Limited</t>
  </si>
  <si>
    <t>SL3224</t>
  </si>
  <si>
    <t>Plumlife Homes Limited</t>
  </si>
  <si>
    <t>H0007</t>
  </si>
  <si>
    <t>Polish Citizens Committee Housing Association Limited</t>
  </si>
  <si>
    <t>LH4163</t>
  </si>
  <si>
    <t>Portal Housing Association Limited</t>
  </si>
  <si>
    <t>5093</t>
  </si>
  <si>
    <t>Preferred Homes Limited</t>
  </si>
  <si>
    <t>Prima Housing Group Limited</t>
  </si>
  <si>
    <t>LH4275</t>
  </si>
  <si>
    <t>Prime Focus Regeneration Group Limited</t>
  </si>
  <si>
    <t>LH4189</t>
  </si>
  <si>
    <t>Progress Housing Group Limited</t>
  </si>
  <si>
    <t>5108</t>
  </si>
  <si>
    <t>RCVDA Community Housing C.I.C</t>
  </si>
  <si>
    <t>5136</t>
  </si>
  <si>
    <t>RealHousingCo Limited</t>
  </si>
  <si>
    <t>C4381</t>
  </si>
  <si>
    <t>Riverside Housing Co-operative (Redditch) Limited</t>
  </si>
  <si>
    <t>L4404</t>
  </si>
  <si>
    <t>Rooftop Housing Group Limited</t>
  </si>
  <si>
    <t>4761</t>
  </si>
  <si>
    <t>Safer Places</t>
  </si>
  <si>
    <t>5082</t>
  </si>
  <si>
    <t>Sage Shared Ownership Limited</t>
  </si>
  <si>
    <t>LH0113</t>
  </si>
  <si>
    <t>Samuel Lewis Foundation</t>
  </si>
  <si>
    <t>C3097</t>
  </si>
  <si>
    <t>Seagull Housing Co-operative Limited</t>
  </si>
  <si>
    <t>C2318</t>
  </si>
  <si>
    <t>Seymour Housing Co-operative Limited</t>
  </si>
  <si>
    <t>4698</t>
  </si>
  <si>
    <t>Shanly Partnership Homes Limited</t>
  </si>
  <si>
    <t>C3236</t>
  </si>
  <si>
    <t>Shearwood Housing Co-operative Limited</t>
  </si>
  <si>
    <t>5142</t>
  </si>
  <si>
    <t>SL3365</t>
  </si>
  <si>
    <t>Springboard Two Housing Association Limited</t>
  </si>
  <si>
    <t>4753</t>
  </si>
  <si>
    <t>St. Arthur Homes Limited</t>
  </si>
  <si>
    <t>Stanley and Brocklehurst Almshouses</t>
  </si>
  <si>
    <t>LH3702</t>
  </si>
  <si>
    <t>Thames Valley Charitable Housing Association Limited</t>
  </si>
  <si>
    <t>H0228</t>
  </si>
  <si>
    <t>The Abbeyfield (Darlington) Society Limited</t>
  </si>
  <si>
    <t>H0062</t>
  </si>
  <si>
    <t>The Abbeyfield (Maidenhead) Society Limited</t>
  </si>
  <si>
    <t>H1471</t>
  </si>
  <si>
    <t>The Abbeyfield (Norwich) Society Limited</t>
  </si>
  <si>
    <t>H1607</t>
  </si>
  <si>
    <t>The Abbeyfield Billericay Society Limited</t>
  </si>
  <si>
    <t>H0001</t>
  </si>
  <si>
    <t>The Abbeyfield Burnham and Highbridge Society Limited</t>
  </si>
  <si>
    <t>H3860</t>
  </si>
  <si>
    <t>The Abbeyfield East London Extra Care Society Limited</t>
  </si>
  <si>
    <t>H3955</t>
  </si>
  <si>
    <t>The Abbeyfield Furness Extra Care Society Limited</t>
  </si>
  <si>
    <t>H3610</t>
  </si>
  <si>
    <t>The Abbeyfield Hertfordshire Residential Care Society Limited</t>
  </si>
  <si>
    <t>H2854</t>
  </si>
  <si>
    <t>The Abbeyfield Hoylake and West Kirby Society Limited</t>
  </si>
  <si>
    <t>H3873</t>
  </si>
  <si>
    <t>The Abbeyfield Lancashire Extra Care Society Limited</t>
  </si>
  <si>
    <t>H3295</t>
  </si>
  <si>
    <t>The Abbeyfield Lancaster Society Limited</t>
  </si>
  <si>
    <t>H0560</t>
  </si>
  <si>
    <t>The Abbeyfield Newcastle-upon-Tyne Society Limited</t>
  </si>
  <si>
    <t>H4010</t>
  </si>
  <si>
    <t>The Abbeyfield Widnes Society Limited</t>
  </si>
  <si>
    <t>L4005</t>
  </si>
  <si>
    <t>The Blackpool Fylde and Wyre Society for the Blind</t>
  </si>
  <si>
    <t>A0826</t>
  </si>
  <si>
    <t>The Christian Union Almshouses</t>
  </si>
  <si>
    <t>The Cooper and Adkinson Almshouse Charity</t>
  </si>
  <si>
    <t>A0542</t>
  </si>
  <si>
    <t>The Feoffees of the Parish Lands of Highweek</t>
  </si>
  <si>
    <t>The Henry Boys' Almshouses</t>
  </si>
  <si>
    <t>5131</t>
  </si>
  <si>
    <t>The Hospital of William Parson</t>
  </si>
  <si>
    <t>L4491</t>
  </si>
  <si>
    <t>The Housing Plus Group Limited</t>
  </si>
  <si>
    <t>L2022</t>
  </si>
  <si>
    <t>The Hunton Bridge Cottage Trust</t>
  </si>
  <si>
    <t>C2513</t>
  </si>
  <si>
    <t>The Mile End Housing Co-operative Limited</t>
  </si>
  <si>
    <t>The Newark Emmaus Trust</t>
  </si>
  <si>
    <t>The Sir Oswald Stoll Foundation</t>
  </si>
  <si>
    <t>The Vanbrugh and Tempest Almshouse Charity</t>
  </si>
  <si>
    <t>5154</t>
  </si>
  <si>
    <t>C4382</t>
  </si>
  <si>
    <t>The Winyates Co-operative Limited</t>
  </si>
  <si>
    <t>5111</t>
  </si>
  <si>
    <t>Thorner’s Homes</t>
  </si>
  <si>
    <t>L4464</t>
  </si>
  <si>
    <t>Together Housing Group Limited</t>
  </si>
  <si>
    <t>C2614</t>
  </si>
  <si>
    <t>Two Piers Housing Co-operative Limited</t>
  </si>
  <si>
    <t>A3553</t>
  </si>
  <si>
    <t>Victoria Homes</t>
  </si>
  <si>
    <t>L4460</t>
  </si>
  <si>
    <t>Victory Housing Trust</t>
  </si>
  <si>
    <t>C3278</t>
  </si>
  <si>
    <t>Wellington Mills Housing Co-operative Limited</t>
  </si>
  <si>
    <t>L0668</t>
  </si>
  <si>
    <t>Welwyn Garden City Housing Association Limited</t>
  </si>
  <si>
    <t>5138</t>
  </si>
  <si>
    <t>Witton Lodge Community Interest Company</t>
  </si>
  <si>
    <t xml:space="preserve">Woborn's Almshouse </t>
  </si>
  <si>
    <t>5101</t>
  </si>
  <si>
    <t>Woolfardisworthy Sports and Community Hall</t>
  </si>
  <si>
    <t>YMCA Robin Hood Group</t>
  </si>
  <si>
    <t>L4203</t>
  </si>
  <si>
    <t>Your Housing Group Limited</t>
  </si>
  <si>
    <t>LH2018</t>
  </si>
  <si>
    <t>Zebra Housing Association Limited</t>
  </si>
  <si>
    <t>5145</t>
  </si>
  <si>
    <t>Zen Housing Ltd</t>
  </si>
  <si>
    <t>L4398</t>
  </si>
  <si>
    <t>Chorus Homes Group Limited</t>
  </si>
  <si>
    <t>C3284</t>
  </si>
  <si>
    <t>Ewart Road Housing Co-operative Limited</t>
  </si>
  <si>
    <t>National Community Homes CIC</t>
  </si>
  <si>
    <t>LH2204</t>
  </si>
  <si>
    <t>National Council of Young Men's Christian Associations (Incorporated)</t>
  </si>
  <si>
    <t>North East Housing Association Limited</t>
  </si>
  <si>
    <t>L4422</t>
  </si>
  <si>
    <t>Ocean Housing Group Limited</t>
  </si>
  <si>
    <t>C4378</t>
  </si>
  <si>
    <t>Redditch Co-operative 2000 Limited</t>
  </si>
  <si>
    <t>5092</t>
  </si>
  <si>
    <t>ReSI Homes Limited</t>
  </si>
  <si>
    <t>5053</t>
  </si>
  <si>
    <t>ReSI Housing Limited</t>
  </si>
  <si>
    <t>L1967</t>
  </si>
  <si>
    <t>Retirement Lease Housing Association</t>
  </si>
  <si>
    <t>L0288</t>
  </si>
  <si>
    <t>Stonewater (3) Limited</t>
  </si>
  <si>
    <t>LH4027</t>
  </si>
  <si>
    <t>Stonewater (4) Limited</t>
  </si>
  <si>
    <t>Sunny Vale Supported Accommodation Limited</t>
  </si>
  <si>
    <t>L0469</t>
  </si>
  <si>
    <t>Sutton Bonington &amp; Normanton Social Service Association Limited</t>
  </si>
  <si>
    <t>The Perry Almshouse Charity</t>
  </si>
  <si>
    <t>W H Saunders &amp; Frank Wareham Charity</t>
  </si>
  <si>
    <t>C2696</t>
  </si>
  <si>
    <t>W14 Housing Co-operative Limited</t>
  </si>
  <si>
    <t>A3011</t>
  </si>
  <si>
    <t>Whicher and Kifford Almshouses</t>
  </si>
  <si>
    <t>Amber ValleyGolden Lane Housing Limited</t>
  </si>
  <si>
    <t>Amber ValleySage Housing Limited</t>
  </si>
  <si>
    <t>ArunAster 3 Limited</t>
  </si>
  <si>
    <t>ArunGolden Lane Housing Limited</t>
  </si>
  <si>
    <t>ArunSynergy Housing Limited</t>
  </si>
  <si>
    <t>AshfieldGolden Lane Housing Limited</t>
  </si>
  <si>
    <t>AshfieldInclusion Housing Community Interest Company</t>
  </si>
  <si>
    <t>AshfieldParagon Asra Housing Limited</t>
  </si>
  <si>
    <t>AshfordAnchor Hanover Group</t>
  </si>
  <si>
    <t>AshfordInclusion Housing Community Interest Company</t>
  </si>
  <si>
    <t>AshfordSage Housing Limited</t>
  </si>
  <si>
    <t>AshfordSage Rented Limited</t>
  </si>
  <si>
    <t>BaberghChelmer Housing Partnership Limited</t>
  </si>
  <si>
    <t>BaberghGolden Lane Housing Limited</t>
  </si>
  <si>
    <t>BaberghGrand Feoffment Charities</t>
  </si>
  <si>
    <t>BaberghInclusion Housing Community Interest Company</t>
  </si>
  <si>
    <t>BarnetArpeggio Properties Limited</t>
  </si>
  <si>
    <t>BarnetDay's and Atkinson's Almshouse Charity</t>
  </si>
  <si>
    <t xml:space="preserve">BarnetEncircle Housing </t>
  </si>
  <si>
    <t>BarnetGolden Lane Housing Limited</t>
  </si>
  <si>
    <t>BarnetOmega Housing Limited</t>
  </si>
  <si>
    <t>BarnetWindrush Alliance UK Community Interest Company</t>
  </si>
  <si>
    <t>BarnsleyGolden Lane Housing Limited</t>
  </si>
  <si>
    <t>Barrow-in-FurnessDawson Housing Limited</t>
  </si>
  <si>
    <t>Barrow-in-FurnessSouth Lakes Housing</t>
  </si>
  <si>
    <t>BasildonNational Community Homes CIC</t>
  </si>
  <si>
    <t>BasildonOrbit Group Limited</t>
  </si>
  <si>
    <t>BasildonPeabody Trust</t>
  </si>
  <si>
    <t>Basingstoke and DeaneAbri Group Limited</t>
  </si>
  <si>
    <t>Basingstoke and DeaneGolden Lane Housing Limited</t>
  </si>
  <si>
    <t>BassetlawGolden Lane Housing Limited</t>
  </si>
  <si>
    <t>BassetlawLegal &amp; General Affordable Homes Limited</t>
  </si>
  <si>
    <t>BassetlawMy Space Housing Solutions</t>
  </si>
  <si>
    <t>BassetlawSanctuary Affordable Housing Limited</t>
  </si>
  <si>
    <t>Bath and North East SomersetGolden Lane Housing Limited</t>
  </si>
  <si>
    <t>BedfordGolden Lane Housing Limited</t>
  </si>
  <si>
    <t>BedfordLuton Community Housing Limited</t>
  </si>
  <si>
    <t>BedfordNotting Hill Genesis</t>
  </si>
  <si>
    <t>BedfordTBG Open Door Limited</t>
  </si>
  <si>
    <t>BexleyGolden Lane Housing Limited</t>
  </si>
  <si>
    <t>BirminghamArpeggio Properties Limited</t>
  </si>
  <si>
    <t>BirminghamEasy Housing Association</t>
  </si>
  <si>
    <t>BirminghamGolden Lane Housing Limited</t>
  </si>
  <si>
    <t>BirminghamGreenSquareAccord Limited</t>
  </si>
  <si>
    <t>BirminghamOmega Housing Limited</t>
  </si>
  <si>
    <t>BirminghamSage Housing Limited</t>
  </si>
  <si>
    <t>BirminghamWindrush Alliance UK Community Interest Company</t>
  </si>
  <si>
    <t>BirminghamWitton Lodge Community Interest Company</t>
  </si>
  <si>
    <t>BlabyStonewater (2) Limited</t>
  </si>
  <si>
    <t>BlackpoolDawson Housing Limited</t>
  </si>
  <si>
    <t>BlackpoolThe Richmond Fellowship</t>
  </si>
  <si>
    <t>BolsoverFramework Housing Association</t>
  </si>
  <si>
    <t>BolsoverGolden Lane Housing Limited</t>
  </si>
  <si>
    <t>BoltonBlackburn YMCA</t>
  </si>
  <si>
    <t>BoltonGolden Lane Housing Limited</t>
  </si>
  <si>
    <t>BoltonJigsaw Homes North</t>
  </si>
  <si>
    <t>BostonGolden Lane Housing Limited</t>
  </si>
  <si>
    <t>Bracknell ForestAbri Group Limited</t>
  </si>
  <si>
    <t>BradfordBradford Flower Homes Development Limited</t>
  </si>
  <si>
    <t>BradfordBridge-It Housing UK Team Ltd</t>
  </si>
  <si>
    <t>BradfordConnect Housing Association Limited</t>
  </si>
  <si>
    <t>BradfordLeeds Federated Housing Association Limited</t>
  </si>
  <si>
    <t>BradfordThirteen Housing Group Limited</t>
  </si>
  <si>
    <t>BraintreeGolden Lane Housing Limited</t>
  </si>
  <si>
    <t>BraintreeLegal &amp; General Affordable Homes Limited</t>
  </si>
  <si>
    <t>BraintreeOrbit Group Limited</t>
  </si>
  <si>
    <t>BraintreePeabody Trust</t>
  </si>
  <si>
    <t>BrecklandLegal &amp; General Affordable Homes Limited</t>
  </si>
  <si>
    <t>BrecklandV &amp; F Homes Limited</t>
  </si>
  <si>
    <t>BrentGolden Lane Housing Limited</t>
  </si>
  <si>
    <t>BrentHousing For Women</t>
  </si>
  <si>
    <t>BrentKilburn Housing Co-operative Limited</t>
  </si>
  <si>
    <t>BrentLegal &amp; General Affordable Homes (AR) LLP</t>
  </si>
  <si>
    <t>BrentTBG Open Door Limited</t>
  </si>
  <si>
    <t>BrentWindrush Alliance UK Community Interest Company</t>
  </si>
  <si>
    <t>BrentwoodMetropolitan Housing Trust Limited</t>
  </si>
  <si>
    <t>BrentwoodNational Community Homes CIC</t>
  </si>
  <si>
    <t>BrentwoodOrbit Group Limited</t>
  </si>
  <si>
    <t>Brighton and HoveBHT Sussex</t>
  </si>
  <si>
    <t>Brighton and HoveGolden Lane Housing Limited</t>
  </si>
  <si>
    <t>Brighton and HovePeabody Trust</t>
  </si>
  <si>
    <t>Brighton and HoveTwo Piers Housing Co-operative Limited</t>
  </si>
  <si>
    <t>BroadlandLegal &amp; General Affordable Homes Limited</t>
  </si>
  <si>
    <t>BroadlandV &amp; F Homes Limited</t>
  </si>
  <si>
    <t>BromleyBromley and Croydon Women's Aid Limited</t>
  </si>
  <si>
    <t>BromleyBromley and Sheppard's Colleges Charity</t>
  </si>
  <si>
    <t>BromleyCromwood Housing Ltd</t>
  </si>
  <si>
    <t>BromleyGolden Lane Housing Limited</t>
  </si>
  <si>
    <t>BromleyLegal &amp; General Affordable Homes (AR) LLP</t>
  </si>
  <si>
    <t>BromleyLegal &amp; General Affordable Homes Limited</t>
  </si>
  <si>
    <t>BromleyOrchard &amp; Shipman Homes Limited</t>
  </si>
  <si>
    <t>BromleySage Housing Limited</t>
  </si>
  <si>
    <t>BromsgroveGreenSquareAccord Limited</t>
  </si>
  <si>
    <t>BroxbourneOne YMCA</t>
  </si>
  <si>
    <t>BroxtoweGolden Lane Housing Limited</t>
  </si>
  <si>
    <t>BuckinghamshireAbri Group Limited</t>
  </si>
  <si>
    <t>BuckinghamshireFairhive Homes Limited</t>
  </si>
  <si>
    <t>BuckinghamshireGolden Lane Housing Limited</t>
  </si>
  <si>
    <t>BuckinghamshireGreenSquareAccord Limited</t>
  </si>
  <si>
    <t>BuckinghamshireHeylo Housing Registered Provider Limited</t>
  </si>
  <si>
    <t>BurnleyHeylo Housing Registered Provider Limited</t>
  </si>
  <si>
    <t>BuryGolden Lane Housing Limited</t>
  </si>
  <si>
    <t>BuryJigsaw Homes Tameside</t>
  </si>
  <si>
    <t>BuryManchester Jewish Housing Association</t>
  </si>
  <si>
    <t>CalderdaleGolden Lane Housing Limited</t>
  </si>
  <si>
    <t>CamdenTBG Open Door Limited</t>
  </si>
  <si>
    <t>Cannock ChaseAdvance Housing and Support Limited</t>
  </si>
  <si>
    <t>Cannock ChaseGreenSquareAccord Limited</t>
  </si>
  <si>
    <t>Cannock ChaseGrevayne Social Housing Limited</t>
  </si>
  <si>
    <t>Cannock ChaseHomes Plus Limited</t>
  </si>
  <si>
    <t>Cannock ChaseSage Housing Limited</t>
  </si>
  <si>
    <t>CanterburyGolden Lane Housing Limited</t>
  </si>
  <si>
    <t>CanterburyNational Community Homes CIC</t>
  </si>
  <si>
    <t>CanterburyThe Cooper and Adkinson Almshouse Charity</t>
  </si>
  <si>
    <t xml:space="preserve">CarlisleEncircle Housing </t>
  </si>
  <si>
    <t>CarlisleGolden Lane Housing Limited</t>
  </si>
  <si>
    <t>CarlisleTurning Point</t>
  </si>
  <si>
    <t>Castle PointInclusion Housing Community Interest Company</t>
  </si>
  <si>
    <t>Castle PointOrbit Group Limited</t>
  </si>
  <si>
    <t>Castle PointPeabody Trust</t>
  </si>
  <si>
    <t>Central BedfordshireGolden Lane Housing Limited</t>
  </si>
  <si>
    <t>Central BedfordshireLegal &amp; General Affordable Homes Limited</t>
  </si>
  <si>
    <t>Central BedfordshireNational Community Homes CIC</t>
  </si>
  <si>
    <t>Central BedfordshireOmega Housing Limited</t>
  </si>
  <si>
    <t>Central BedfordshireOrbit Group Limited</t>
  </si>
  <si>
    <t xml:space="preserve">CharnwoodEncircle Housing </t>
  </si>
  <si>
    <t>CharnwoodGolden Lane Housing Limited</t>
  </si>
  <si>
    <t>CharnwoodReside Housing Association Limited</t>
  </si>
  <si>
    <t>CharnwoodSage Rented Limited</t>
  </si>
  <si>
    <t>ChelmsfordGolden Lane Housing Limited</t>
  </si>
  <si>
    <t>ChelmsfordHilldale Housing Association Limited</t>
  </si>
  <si>
    <t>ChelmsfordLegal &amp; General Affordable Homes (AR) LLP</t>
  </si>
  <si>
    <t>ChelmsfordLegal &amp; General Affordable Homes Limited</t>
  </si>
  <si>
    <t>ChelmsfordNational Community Homes CIC</t>
  </si>
  <si>
    <t>ChelmsfordOrbit Group Limited</t>
  </si>
  <si>
    <t>ChelmsfordPeabody Trust</t>
  </si>
  <si>
    <t>ChelmsfordSage Rented Limited</t>
  </si>
  <si>
    <t>CheltenhamBucklehaven</t>
  </si>
  <si>
    <t>CheltenhamGreenSquareAccord Limited</t>
  </si>
  <si>
    <t>CherwellChrysalis Supported Association Limited</t>
  </si>
  <si>
    <t>CherwellGolden Lane Housing Limited</t>
  </si>
  <si>
    <t>CherwellGreenSquareAccord Limited</t>
  </si>
  <si>
    <t>CherwellInclusion Housing Community Interest Company</t>
  </si>
  <si>
    <t>CherwellSynergy Housing Limited</t>
  </si>
  <si>
    <t>Cheshire EastLegal &amp; General Affordable Homes (AR) LLP</t>
  </si>
  <si>
    <t>Cheshire EastStanley and Brocklehurst Almshouses</t>
  </si>
  <si>
    <t>Cheshire EastSunny Vale Supported Accommodation Limited</t>
  </si>
  <si>
    <t>Cheshire West and ChesterGolden Lane Housing Limited</t>
  </si>
  <si>
    <t>Cheshire West and ChesterPlaces for People Living+ Limited</t>
  </si>
  <si>
    <t>Cheshire West and ChesterTHT and L&amp;Q Community Limited</t>
  </si>
  <si>
    <t>ChesterfieldEmpower Housing Association Limited</t>
  </si>
  <si>
    <t>ChesterfieldFramework Housing Association</t>
  </si>
  <si>
    <t>ChesterfieldGolden Lane Housing Limited</t>
  </si>
  <si>
    <t>ChesterfieldSage Housing Limited</t>
  </si>
  <si>
    <t>ChesterfieldSage Rented Limited</t>
  </si>
  <si>
    <t>ChesterfieldSanctuary Affordable Housing Limited</t>
  </si>
  <si>
    <t>ChichesterAbri Group Limited</t>
  </si>
  <si>
    <t>ChichesterAster 3 Limited</t>
  </si>
  <si>
    <t>ChichesterGolden Lane Housing Limited</t>
  </si>
  <si>
    <t>ChichesterSynergy Housing Limited</t>
  </si>
  <si>
    <t>ChorleyFrances Darlington Charity</t>
  </si>
  <si>
    <t>ChorleyOne Vision Housing Limited</t>
  </si>
  <si>
    <t>ChorleyOnward Homes Limited</t>
  </si>
  <si>
    <t>ColchesterArpeggio Properties Limited</t>
  </si>
  <si>
    <t>ColchesterGolden Lane Housing Limited</t>
  </si>
  <si>
    <t>ColchesterLegal &amp; General Affordable Homes Limited</t>
  </si>
  <si>
    <t>ColchesterPeabody Trust</t>
  </si>
  <si>
    <t>ColchesterSage Housing Limited</t>
  </si>
  <si>
    <t>CornwallGolden Lane Housing Limited</t>
  </si>
  <si>
    <t>CornwallHilldale Housing Association Limited</t>
  </si>
  <si>
    <t>CornwallLegal &amp; General Affordable Homes (AR) LLP</t>
  </si>
  <si>
    <t>CotswoldGreenSquareAccord Limited</t>
  </si>
  <si>
    <t>County DurhamGolden Lane Housing Limited</t>
  </si>
  <si>
    <t>CoventryGolden Lane Housing Limited</t>
  </si>
  <si>
    <t>CoventryGreenSquareAccord Limited</t>
  </si>
  <si>
    <t>CoventryHeart of England Young Men's Christian Association</t>
  </si>
  <si>
    <t>CoventryThe Exaireo Trust Ltd</t>
  </si>
  <si>
    <t>CravenGolden Lane Housing Limited</t>
  </si>
  <si>
    <t>CrawleyCrawley Open House</t>
  </si>
  <si>
    <t>CroydonAsh-Shahada Housing Association Limited</t>
  </si>
  <si>
    <t>CroydonBromley and Croydon Women's Aid Limited</t>
  </si>
  <si>
    <t>CroydonGolden Lane Housing Limited</t>
  </si>
  <si>
    <t>CroydonLegal &amp; General Affordable Homes Limited</t>
  </si>
  <si>
    <t>DacorumDimensions (UK) Limited</t>
  </si>
  <si>
    <t>DacorumFairhive Homes Limited</t>
  </si>
  <si>
    <t>DacorumGolden Lane Housing Limited</t>
  </si>
  <si>
    <t>DacorumHeylo Housing Registered Provider Limited</t>
  </si>
  <si>
    <t>DacorumLegal &amp; General Affordable Homes (AR) LLP</t>
  </si>
  <si>
    <t>DacorumOne YMCA</t>
  </si>
  <si>
    <t>DacorumSettle Group</t>
  </si>
  <si>
    <t>DarlingtonGolden Lane Housing Limited</t>
  </si>
  <si>
    <t>DarlingtonHalo Housing Association Limited</t>
  </si>
  <si>
    <t>DarlingtonThe Abbeyfield (Darlington) Society Limited</t>
  </si>
  <si>
    <t>DartfordAnchor Hanover Group</t>
  </si>
  <si>
    <t>DartfordGolden Lane Housing Limited</t>
  </si>
  <si>
    <t>DartfordSage Housing Limited</t>
  </si>
  <si>
    <t>DerbyGolden Lane Housing Limited</t>
  </si>
  <si>
    <t>Derbyshire DalesGolden Lane Housing Limited</t>
  </si>
  <si>
    <t>Derbyshire DalesSanctuary Affordable Housing Limited</t>
  </si>
  <si>
    <t>Derbyshire DalesThe Richmond Fellowship</t>
  </si>
  <si>
    <t>DoncasterGolden Lane Housing Limited</t>
  </si>
  <si>
    <t>DoncasterLegal &amp; General Affordable Homes (AR) LLP</t>
  </si>
  <si>
    <t>DoncasterNational Community Homes CIC</t>
  </si>
  <si>
    <t>DoncasterPlaces for People Living+ Limited</t>
  </si>
  <si>
    <t>DoncasterSage Housing Limited</t>
  </si>
  <si>
    <t>DorsetAbri Group Limited</t>
  </si>
  <si>
    <t>DorsetAlmshouse of St John the Baptist &amp; St John the Evangelist</t>
  </si>
  <si>
    <t>DorsetDimensions (UK) Limited</t>
  </si>
  <si>
    <t>DorsetGolden Lane Housing Limited</t>
  </si>
  <si>
    <t>DorsetSage Housing Limited</t>
  </si>
  <si>
    <t>DorsetSage Rented Limited</t>
  </si>
  <si>
    <t>DoverGolden Lane Housing Limited</t>
  </si>
  <si>
    <t>DoverHeylo Housing Registered Provider Limited</t>
  </si>
  <si>
    <t>DoverInclusion Housing Community Interest Company</t>
  </si>
  <si>
    <t>DoverSage Housing Limited</t>
  </si>
  <si>
    <t>DudleyGolden Lane Housing Limited</t>
  </si>
  <si>
    <t>DudleyGreenSquareAccord Limited</t>
  </si>
  <si>
    <t>DudleyHomes Plus Limited</t>
  </si>
  <si>
    <t>DudleySage Housing Limited</t>
  </si>
  <si>
    <t>DudleyTrident Housing Association Limited</t>
  </si>
  <si>
    <t>EalingAWOL London Limited</t>
  </si>
  <si>
    <t>EalingBroadway Living RP Limited</t>
  </si>
  <si>
    <t>EalingDholak Partnership Homes Limited</t>
  </si>
  <si>
    <t>EalingGolden Lane Housing Limited</t>
  </si>
  <si>
    <t>EalingOrchard &amp; Shipman Homes Limited</t>
  </si>
  <si>
    <t>EalingWindrush Alliance UK Community Interest Company</t>
  </si>
  <si>
    <t>East CambridgeshireSage Rented Limited</t>
  </si>
  <si>
    <t>East DevonAbri Group Limited</t>
  </si>
  <si>
    <t>East DevonGolden Lane Housing Limited</t>
  </si>
  <si>
    <t>East DevonTeign Housing</t>
  </si>
  <si>
    <t>East HampshireAbri Group Limited</t>
  </si>
  <si>
    <t>East HampshireGolden Lane Housing Limited</t>
  </si>
  <si>
    <t>East HampshireInclusion Housing Community Interest Company</t>
  </si>
  <si>
    <t>East HertfordshireInclusion Housing Community Interest Company</t>
  </si>
  <si>
    <t>East HertfordshireLegal &amp; General Affordable Homes (AR) LLP</t>
  </si>
  <si>
    <t>East LindseyFramework Housing Association</t>
  </si>
  <si>
    <t>East Riding of YorkshireGolden Lane Housing Limited</t>
  </si>
  <si>
    <t>East Riding of YorkshireHumankind Charity</t>
  </si>
  <si>
    <t>East Riding of YorkshireNational Community Homes CIC</t>
  </si>
  <si>
    <t>East Riding of YorkshireSage Housing Limited</t>
  </si>
  <si>
    <t>East Riding of YorkshireSage Rented Limited</t>
  </si>
  <si>
    <t>East Riding of YorkshireThirteen Housing Group Limited</t>
  </si>
  <si>
    <t>East Riding of YorkshireYMCA Robin Hood Group</t>
  </si>
  <si>
    <t>East StaffordshireGolden Lane Housing Limited</t>
  </si>
  <si>
    <t>East StaffordshireSage Rented Limited</t>
  </si>
  <si>
    <t>East SuffolkGolden Lane Housing Limited</t>
  </si>
  <si>
    <t>EastbourneGolden Lane Housing Limited</t>
  </si>
  <si>
    <t>EastleighAbri Group Limited</t>
  </si>
  <si>
    <t>EastleighGolden Lane Housing Limited</t>
  </si>
  <si>
    <t>EdenGolden Lane Housing Limited</t>
  </si>
  <si>
    <t>EnfieldArpeggio Properties Limited</t>
  </si>
  <si>
    <t>EnfieldGolden Lane Housing Limited</t>
  </si>
  <si>
    <t>EnfieldLegal &amp; General Affordable Homes Limited</t>
  </si>
  <si>
    <t>EnfieldOmega Housing Limited</t>
  </si>
  <si>
    <t>EnfieldTBG Open Door Limited</t>
  </si>
  <si>
    <t>Epping ForestPeabody Trust</t>
  </si>
  <si>
    <t>Epsom and EwellMalins Affordable Homes Limited</t>
  </si>
  <si>
    <t>Epsom and EwellSt Andrews Community Housing Association Ltd</t>
  </si>
  <si>
    <t>ErewashGolden Lane Housing Limited</t>
  </si>
  <si>
    <t>ErewashHousing 21</t>
  </si>
  <si>
    <t>ExeterGolden Lane Housing Limited</t>
  </si>
  <si>
    <t>FarehamAbri Group Limited</t>
  </si>
  <si>
    <t>FarehamGolden Lane Housing Limited</t>
  </si>
  <si>
    <t>FenlandGolden Lane Housing Limited</t>
  </si>
  <si>
    <t>Folkestone and HytheChrysalis Supported Association Limited</t>
  </si>
  <si>
    <t>Folkestone and HytheGolden Lane Housing Limited</t>
  </si>
  <si>
    <t>Folkestone and HytheNational Community Homes CIC</t>
  </si>
  <si>
    <t>Forest of DeanBrighter Places</t>
  </si>
  <si>
    <t>Forest of DeanGolden Lane Housing Limited</t>
  </si>
  <si>
    <t>Forest of DeanHilldale Housing Association Limited</t>
  </si>
  <si>
    <t>Forest of DeanLegal &amp; General Affordable Homes (AR) LLP</t>
  </si>
  <si>
    <t>Forest of DeanLegal &amp; General Affordable Homes Limited</t>
  </si>
  <si>
    <t>FyldeBlackburn YMCA</t>
  </si>
  <si>
    <t>FyldeGolden Lane Housing Limited</t>
  </si>
  <si>
    <t>FyldeInclusion Housing Community Interest Company</t>
  </si>
  <si>
    <t>FyldeLegal &amp; General Affordable Homes Limited</t>
  </si>
  <si>
    <t>GatesheadGolden Lane Housing Limited</t>
  </si>
  <si>
    <t>GedlingGolden Lane Housing Limited</t>
  </si>
  <si>
    <t>GloucesterBrighter Places</t>
  </si>
  <si>
    <t>GloucesterGolden Lane Housing Limited</t>
  </si>
  <si>
    <t>GloucesterGreenSquareAccord Limited</t>
  </si>
  <si>
    <t>GloucesterHARC Housing Association Limited</t>
  </si>
  <si>
    <t>GosportAbri Group Limited</t>
  </si>
  <si>
    <t>GosportInclusion Housing Community Interest Company</t>
  </si>
  <si>
    <t>GraveshamGolden Lane Housing Limited</t>
  </si>
  <si>
    <t>GraveshamHome Group Limited</t>
  </si>
  <si>
    <t>GraveshamNational Community Homes CIC</t>
  </si>
  <si>
    <t>GraveshamSage Rented Limited</t>
  </si>
  <si>
    <t>Great YarmouthGolden Lane Housing Limited</t>
  </si>
  <si>
    <t>GreenwichGolden Lane Housing Limited</t>
  </si>
  <si>
    <t>GreenwichInclusion Housing Community Interest Company</t>
  </si>
  <si>
    <t>GuildfordAbri Group Limited</t>
  </si>
  <si>
    <t>GuildfordOmega Housing Limited</t>
  </si>
  <si>
    <t>GuildfordSage Housing Limited</t>
  </si>
  <si>
    <t>GuildfordThe Hospital of William Parson</t>
  </si>
  <si>
    <t>GuildfordWindrush Alliance UK Community Interest Company</t>
  </si>
  <si>
    <t>HackneyOak Housing Limited</t>
  </si>
  <si>
    <t>HackneyPoplar Housing And Regeneration Community Association Limited</t>
  </si>
  <si>
    <t>HackneyWindrush Alliance UK Community Interest Company</t>
  </si>
  <si>
    <t>HaltonGolden Lane Housing Limited</t>
  </si>
  <si>
    <t>HambletonBespoke Supportive Tenancies Ltd</t>
  </si>
  <si>
    <t>HambletonGolden Lane Housing Limited</t>
  </si>
  <si>
    <t>Hammersmith and FulhamGolden Lane Housing Limited</t>
  </si>
  <si>
    <t>Hammersmith and FulhamThe Sir Oswald Stoll Foundation</t>
  </si>
  <si>
    <t>HarboroughGolden Lane Housing Limited</t>
  </si>
  <si>
    <t>HaringeyGolden Lane Housing Limited</t>
  </si>
  <si>
    <t>HaringeyGrainger Trust Limited</t>
  </si>
  <si>
    <t>HaringeyKarin Housing Association Limited</t>
  </si>
  <si>
    <t>HaringeyTBG Open Door Limited</t>
  </si>
  <si>
    <t>HarlowLegal &amp; General Affordable Homes (AR) LLP</t>
  </si>
  <si>
    <t>HarlowOrbit Group Limited</t>
  </si>
  <si>
    <t>HarlowPeabody Trust</t>
  </si>
  <si>
    <t>HarrogateGolden Lane Housing Limited</t>
  </si>
  <si>
    <t>HarrogateThirteen Housing Group Limited</t>
  </si>
  <si>
    <t>HarrowSage Housing Limited</t>
  </si>
  <si>
    <t>HarrowSage Rented Limited</t>
  </si>
  <si>
    <t>HarrowTBG Open Door Limited</t>
  </si>
  <si>
    <t>HarrowWindrush Alliance UK Community Interest Company</t>
  </si>
  <si>
    <t>HartAbri Group Limited</t>
  </si>
  <si>
    <t>HartlepoolVictoria Homes</t>
  </si>
  <si>
    <t>HastingsBHT Sussex</t>
  </si>
  <si>
    <t>HastingsGolden Lane Housing Limited</t>
  </si>
  <si>
    <t>HavantAbri Group Limited</t>
  </si>
  <si>
    <t>HavantGolden Lane Housing Limited</t>
  </si>
  <si>
    <t>HavantSage Rented Limited</t>
  </si>
  <si>
    <t>HaveringGolden Lane Housing Limited</t>
  </si>
  <si>
    <t>HertsmereGolden Lane Housing Limited</t>
  </si>
  <si>
    <t>HertsmereOne YMCA</t>
  </si>
  <si>
    <t>High PeakGolden Lane Housing Limited</t>
  </si>
  <si>
    <t>High PeakOnward Homes Limited</t>
  </si>
  <si>
    <t>HillingdonGolden Lane Housing Limited</t>
  </si>
  <si>
    <t>HillingdonOak Housing Limited</t>
  </si>
  <si>
    <t>HillingdonOrchard &amp; Shipman Homes Limited</t>
  </si>
  <si>
    <t>HillingdonTBG Open Door Limited</t>
  </si>
  <si>
    <t>Hinckley and BosworthGolden Lane Housing Limited</t>
  </si>
  <si>
    <t>HorshamAster Communities</t>
  </si>
  <si>
    <t>HorshamLegal &amp; General Affordable Homes Limited</t>
  </si>
  <si>
    <t>HorshamSage Rented Limited</t>
  </si>
  <si>
    <t>HorshamVivid Housing Limited</t>
  </si>
  <si>
    <t>HounslowLegal &amp; General Affordable Homes Limited</t>
  </si>
  <si>
    <t>HounslowTBG Open Door Limited</t>
  </si>
  <si>
    <t>HounslowThe Sir Oswald Stoll Foundation</t>
  </si>
  <si>
    <t>HounslowWatermans Housing Co-operative Limited</t>
  </si>
  <si>
    <t>HuntingdonshireGolden Lane Housing Limited</t>
  </si>
  <si>
    <t>HuntingdonshireInclusion Housing Community Interest Company</t>
  </si>
  <si>
    <t>HuntingdonshirePlatform Housing Limited</t>
  </si>
  <si>
    <t>HyndburnSage Rented Limited</t>
  </si>
  <si>
    <t>Ipswich3CHA Ltd</t>
  </si>
  <si>
    <t>Isles of ScillyDerwent Housing Association Limited</t>
  </si>
  <si>
    <t>IslingtonFinsbury Park Housing Co-operative Limited</t>
  </si>
  <si>
    <t>Kingston upon ThamesGolden Lane Housing Limited</t>
  </si>
  <si>
    <t>Kingston upon ThamesPark Properties Housing Association Ltd</t>
  </si>
  <si>
    <t>Kingston upon ThamesSage Rented Limited</t>
  </si>
  <si>
    <t>KirkleesGolden Lane Housing Limited</t>
  </si>
  <si>
    <t>KnowsleyHuyton Community Co-operative for the Elderly Limited</t>
  </si>
  <si>
    <t>KnowsleyPrima Housing Group Limited</t>
  </si>
  <si>
    <t>LambethBonham and Strathleven Tenants Co-operative Limited</t>
  </si>
  <si>
    <t>LambethCromwood Housing Ltd</t>
  </si>
  <si>
    <t>LambethGolden Lane Housing Limited</t>
  </si>
  <si>
    <t>LancasterLangley House Trust</t>
  </si>
  <si>
    <t>LancasterLegal &amp; General Affordable Homes (AR) LLP</t>
  </si>
  <si>
    <t>LancasterOnward Homes Limited</t>
  </si>
  <si>
    <t>LeedsGolden Lane Housing Limited</t>
  </si>
  <si>
    <t>LeedsHarrison and Potter Trust</t>
  </si>
  <si>
    <t>LeedsHellens Residential Limited</t>
  </si>
  <si>
    <t>LeedsIncommunities Limited</t>
  </si>
  <si>
    <t>LeedsPark Properties Housing Association Ltd</t>
  </si>
  <si>
    <t>LewesGolden Lane Housing Limited</t>
  </si>
  <si>
    <t>LewesHeylo Housing Registered Provider Limited</t>
  </si>
  <si>
    <t>LewesLegal &amp; General Affordable Homes Limited</t>
  </si>
  <si>
    <t>LewesStonewater Limited</t>
  </si>
  <si>
    <t>LewishamBirnbeck Housing Association Limited</t>
  </si>
  <si>
    <t>LewishamCromwood Housing Ltd</t>
  </si>
  <si>
    <t>LewishamPeabody Developments Limited</t>
  </si>
  <si>
    <t>LewishamPinnacle Spaces Limited</t>
  </si>
  <si>
    <t>LewishamRosemary Simmons Memorial Housing Association Limited</t>
  </si>
  <si>
    <t>LichfieldGreenSquareAccord Limited</t>
  </si>
  <si>
    <t>LincolnGolden Lane Housing Limited</t>
  </si>
  <si>
    <t>LincolnOngo Homes Limited</t>
  </si>
  <si>
    <t>LiverpoolGolden Lane Housing Limited</t>
  </si>
  <si>
    <t>LiverpoolPrima Housing Group Limited</t>
  </si>
  <si>
    <t>LiverpoolRealHousingCo Limited</t>
  </si>
  <si>
    <t>LiverpoolSunny Vale Supported Accommodation Limited</t>
  </si>
  <si>
    <t>LutonIMPAKT Housing &amp; Support Ltd</t>
  </si>
  <si>
    <t>LutonTBG Open Door Limited</t>
  </si>
  <si>
    <t>MaidstoneGolden Lane Housing Limited</t>
  </si>
  <si>
    <t>MaidstoneHeart of Medway Housing Association Limited</t>
  </si>
  <si>
    <t>MaidstoneNational Community Homes CIC</t>
  </si>
  <si>
    <t>MaidstoneWindrush Alliance UK Community Interest Company</t>
  </si>
  <si>
    <t>MaldonLegal &amp; General Affordable Homes (AR) LLP</t>
  </si>
  <si>
    <t>MaldonReside Housing Association Limited</t>
  </si>
  <si>
    <t>MaldonSage Housing Limited</t>
  </si>
  <si>
    <t>Malvern HillsGolden Lane Housing Limited</t>
  </si>
  <si>
    <t>ManchesterGolden Lane Housing Limited</t>
  </si>
  <si>
    <t>ManchesterOnward Homes Limited</t>
  </si>
  <si>
    <t>MansfieldGolden Lane Housing Limited</t>
  </si>
  <si>
    <t>MansfieldOrbit Group Limited</t>
  </si>
  <si>
    <t>MansfieldThe Exaireo Trust Ltd</t>
  </si>
  <si>
    <t>MansfieldYMCA Robin Hood Group</t>
  </si>
  <si>
    <t>MedwayHeart of Medway Housing Association Limited</t>
  </si>
  <si>
    <t>MeltonGolden Lane Housing Limited</t>
  </si>
  <si>
    <t>MendipAbri Group Limited</t>
  </si>
  <si>
    <t>MendipBrighter Places</t>
  </si>
  <si>
    <t>MendipGolden Lane Housing Limited</t>
  </si>
  <si>
    <t>MertonCatalyst Housing Limited</t>
  </si>
  <si>
    <t>MertonNational Community Homes CIC</t>
  </si>
  <si>
    <t>MertonRosemary Simmons Memorial Housing Association Limited</t>
  </si>
  <si>
    <t>Mid DevonAbri Group Limited</t>
  </si>
  <si>
    <t>Mid SuffolkEastlight Community Homes Limited</t>
  </si>
  <si>
    <t>Mid SuffolkGolden Lane Housing Limited</t>
  </si>
  <si>
    <t>Mid SuffolkHome Group Limited</t>
  </si>
  <si>
    <t>Mid SuffolkLegal &amp; General Affordable Homes Limited</t>
  </si>
  <si>
    <t>Mid SuffolkSage Rented Limited</t>
  </si>
  <si>
    <t>Mid SuffolkThe Richmond Fellowship</t>
  </si>
  <si>
    <t>Mid SuffolkV &amp; F Homes Limited</t>
  </si>
  <si>
    <t>Mid SussexAbri Group Limited</t>
  </si>
  <si>
    <t>Mid SussexBHT Sussex</t>
  </si>
  <si>
    <t>Mid SussexGolden Lane Housing Limited</t>
  </si>
  <si>
    <t>Mid SussexLegal &amp; General Affordable Homes Limited</t>
  </si>
  <si>
    <t>Mid SussexOrbit Housing Association Limited</t>
  </si>
  <si>
    <t>Mid SussexPeabody Trust</t>
  </si>
  <si>
    <t>Mid SussexSunny Vale Supported Accommodation Limited</t>
  </si>
  <si>
    <t>MiddlesbroughGolden Lane Housing Limited</t>
  </si>
  <si>
    <t>MiddlesbroughTCUK Homes Limited</t>
  </si>
  <si>
    <t>Milton KeynesGiffard Park Housing Co-operative Limited</t>
  </si>
  <si>
    <t>Milton KeynesGolden Lane Housing Limited</t>
  </si>
  <si>
    <t>Milton KeynesLegal &amp; General Affordable Homes (AR) LLP</t>
  </si>
  <si>
    <t>Milton KeynesLegal &amp; General Affordable Homes Limited</t>
  </si>
  <si>
    <t>Milton KeynesSage Rented Limited</t>
  </si>
  <si>
    <t>Mole ValleyRosemary Simmons Memorial Housing Association Limited</t>
  </si>
  <si>
    <t>New ForestAbri Group Limited</t>
  </si>
  <si>
    <t>New ForestGolden Lane Housing Limited</t>
  </si>
  <si>
    <t>New ForestNational Community Homes CIC</t>
  </si>
  <si>
    <t>Newark and SherwoodGolden Lane Housing Limited</t>
  </si>
  <si>
    <t>Newark and SherwoodThe Newark Emmaus Trust</t>
  </si>
  <si>
    <t>Newcastle upon TyneNorth East Housing Association Limited</t>
  </si>
  <si>
    <t>Newcastle upon TyneThe Wrekin Housing Group Limited</t>
  </si>
  <si>
    <t>Newcastle-under-LymeGolden Lane Housing Limited</t>
  </si>
  <si>
    <t>Newcastle-under-LymeGreenSquareAccord Limited</t>
  </si>
  <si>
    <t>NewhamGolden Lane Housing Limited</t>
  </si>
  <si>
    <t>NewhamOrbit Group Limited</t>
  </si>
  <si>
    <t>NewhamTBG Open Door Limited</t>
  </si>
  <si>
    <t>North DevonArpeggio Properties Limited</t>
  </si>
  <si>
    <t>North DevonAster 3 Limited</t>
  </si>
  <si>
    <t>North DevonGolden Lane Housing Limited</t>
  </si>
  <si>
    <t>North DevonLegal &amp; General Affordable Homes (AR) LLP</t>
  </si>
  <si>
    <t>North DevonPivotal Housing Association</t>
  </si>
  <si>
    <t>North East DerbyshireFramework Housing Association</t>
  </si>
  <si>
    <t>North East DerbyshireGolden Lane Housing Limited</t>
  </si>
  <si>
    <t>North East LincolnshireBespoke Supportive Tenancies Ltd</t>
  </si>
  <si>
    <t>North East LincolnshireGolden Lane Housing Limited</t>
  </si>
  <si>
    <t>North HertfordshireSage Housing Limited</t>
  </si>
  <si>
    <t>North KestevenGolden Lane Housing Limited</t>
  </si>
  <si>
    <t>North KestevenSage Rented Limited</t>
  </si>
  <si>
    <t>North LincolnshireGolden Lane Housing Limited</t>
  </si>
  <si>
    <t>North NorfolkHome Group Limited</t>
  </si>
  <si>
    <t>North NorthamptonshireAccent Housing Limited</t>
  </si>
  <si>
    <t>North NorthamptonshireAdvance Housing and Support Limited</t>
  </si>
  <si>
    <t>North NorthamptonshireAnchor Hanover Group</t>
  </si>
  <si>
    <t>North NorthamptonshireBespoke Supportive Tenancies Ltd</t>
  </si>
  <si>
    <t>North NorthamptonshireCatalyst Housing Limited</t>
  </si>
  <si>
    <t>North NorthamptonshireChrysalis Supported Association Limited</t>
  </si>
  <si>
    <t>North NorthamptonshireClarion Housing Association Limited</t>
  </si>
  <si>
    <t>North NorthamptonshireCreative Support Limited</t>
  </si>
  <si>
    <t>North NorthamptonshireCross Keys Homes Limited</t>
  </si>
  <si>
    <t>North NorthamptonshireDerwent Housing Association Limited</t>
  </si>
  <si>
    <t>North NorthamptonshireDimensions (UK) Limited</t>
  </si>
  <si>
    <t>North NorthamptonshireEMH Housing and Regeneration Limited</t>
  </si>
  <si>
    <t>North NorthamptonshireEmpower Housing Association Limited</t>
  </si>
  <si>
    <t>North NorthamptonshireFunding Affordable Homes Housing Association Limited</t>
  </si>
  <si>
    <t>North NorthamptonshireFutures Homescape Limited</t>
  </si>
  <si>
    <t>North NorthamptonshireGolden Lane Housing Limited</t>
  </si>
  <si>
    <t>North NorthamptonshireGrand Union Housing Group Limited</t>
  </si>
  <si>
    <t>North NorthamptonshireGreatwell Homes Limited</t>
  </si>
  <si>
    <t>North NorthamptonshireGreenSquareAccord Limited</t>
  </si>
  <si>
    <t>North NorthamptonshireHeylo Housing Registered Provider Limited</t>
  </si>
  <si>
    <t>North NorthamptonshireHome Group Limited</t>
  </si>
  <si>
    <t>North NorthamptonshireHousing 21</t>
  </si>
  <si>
    <t>North NorthamptonshireHyde Housing Association Limited</t>
  </si>
  <si>
    <t>North NorthamptonshireInclusion Housing Community Interest Company</t>
  </si>
  <si>
    <t>North NorthamptonshireLangley House Trust</t>
  </si>
  <si>
    <t>North NorthamptonshireLegal &amp; General Affordable Homes Limited</t>
  </si>
  <si>
    <t>North NorthamptonshireLondon &amp; Quadrant Housing Trust</t>
  </si>
  <si>
    <t>North NorthamptonshireLonghurst Group Limited</t>
  </si>
  <si>
    <t>North NorthamptonshireMasonic Housing Association</t>
  </si>
  <si>
    <t>North NorthamptonshireMetropolitan Housing Trust Limited</t>
  </si>
  <si>
    <t>North NorthamptonshireMidland Heart Limited</t>
  </si>
  <si>
    <t>North NorthamptonshireNorthamptonshire Rural Housing Association Limited</t>
  </si>
  <si>
    <t>North NorthamptonshireNottingham Community Housing Association Limited</t>
  </si>
  <si>
    <t>North NorthamptonshireOptivo</t>
  </si>
  <si>
    <t>North NorthamptonshireOrbit Group Limited</t>
  </si>
  <si>
    <t>North NorthamptonshireOrbit Housing Association Limited</t>
  </si>
  <si>
    <t>North NorthamptonshireParagon Asra Housing Limited</t>
  </si>
  <si>
    <t>North NorthamptonshireParson Latham's Hospital In Barnwell</t>
  </si>
  <si>
    <t>North NorthamptonshirePlaces for People Homes Limited</t>
  </si>
  <si>
    <t>North NorthamptonshirePlaces for People Living+ Limited</t>
  </si>
  <si>
    <t>North NorthamptonshirePlatform Housing Limited</t>
  </si>
  <si>
    <t>North NorthamptonshireSage Housing Limited</t>
  </si>
  <si>
    <t>North NorthamptonshireSanctuary Housing Association</t>
  </si>
  <si>
    <t>North NorthamptonshireStonewater (2) Limited</t>
  </si>
  <si>
    <t>North NorthamptonshireStonewater (5) Limited</t>
  </si>
  <si>
    <t>North NorthamptonshireStonewater Limited</t>
  </si>
  <si>
    <t>North NorthamptonshireThe Abbeyfield Society</t>
  </si>
  <si>
    <t>North NorthamptonshireThe Extracare Charitable Trust</t>
  </si>
  <si>
    <t>North NorthamptonshireThe Guinness Partnership Limited</t>
  </si>
  <si>
    <t>North NorthamptonshireThe Louisa Lilley Almshouses</t>
  </si>
  <si>
    <t>North NorthamptonshireThe Richmond Fellowship</t>
  </si>
  <si>
    <t>North NorthamptonshireThe Riverside Group Limited</t>
  </si>
  <si>
    <t>North NorthamptonshireWestmoreland Supported Housing Limited</t>
  </si>
  <si>
    <t>North Northamptonshirebpha Limited</t>
  </si>
  <si>
    <t>North SomersetAbri Group Limited</t>
  </si>
  <si>
    <t>North SomersetGolden Lane Housing Limited</t>
  </si>
  <si>
    <t>North TynesideHalo Housing Association Limited</t>
  </si>
  <si>
    <t>North WarwickshireSage Rented Limited</t>
  </si>
  <si>
    <t>North West LeicestershireFutures Homeway Limited</t>
  </si>
  <si>
    <t>North West LeicestershireGolden Lane Housing Limited</t>
  </si>
  <si>
    <t>North West LeicestershireLegal &amp; General Affordable Homes Limited</t>
  </si>
  <si>
    <t>NorthumberlandGolden Lane Housing Limited</t>
  </si>
  <si>
    <t>NorthumberlandSage Housing Limited</t>
  </si>
  <si>
    <t>NorwichGolden Lane Housing Limited</t>
  </si>
  <si>
    <t>NottinghamGolden Lane Housing Limited</t>
  </si>
  <si>
    <t>NottinghamHalo Housing Association Limited</t>
  </si>
  <si>
    <t>NottinghamPlatform Housing Limited</t>
  </si>
  <si>
    <t>NottinghamYMCA Robin Hood Group</t>
  </si>
  <si>
    <t>Nuneaton and BedworthGolden Lane Housing Limited</t>
  </si>
  <si>
    <t>Nuneaton and BedworthGreenSquareAccord Limited</t>
  </si>
  <si>
    <t>Nuneaton and BedworthLegal &amp; General Affordable Homes Limited</t>
  </si>
  <si>
    <t>Nuneaton and BedworthSage Rented Limited</t>
  </si>
  <si>
    <t>Nuneaton and BedworthThe Exaireo Trust Ltd</t>
  </si>
  <si>
    <t>Oadby and WigstonLegal &amp; General Affordable Homes (AR) LLP</t>
  </si>
  <si>
    <t>OldhamDistrict Homes C.I.C</t>
  </si>
  <si>
    <t>OldhamGolden Lane Housing Limited</t>
  </si>
  <si>
    <t>OldhamJigsaw Homes North</t>
  </si>
  <si>
    <t>OldhamOnward Homes Limited</t>
  </si>
  <si>
    <t>OxfordGolden Lane Housing Limited</t>
  </si>
  <si>
    <t>OxfordGreenSquareAccord Limited</t>
  </si>
  <si>
    <t>PendleIncommunities Limited</t>
  </si>
  <si>
    <t>PendleJigsaw Homes North</t>
  </si>
  <si>
    <t>PendleTrafford Housing Trust Limited</t>
  </si>
  <si>
    <t>PeterboroughGolden Lane Housing Limited</t>
  </si>
  <si>
    <t>PeterboroughNational Community Homes CIC</t>
  </si>
  <si>
    <t>PeterboroughSage Rented Limited</t>
  </si>
  <si>
    <t>PeterboroughTBG Open Door Limited</t>
  </si>
  <si>
    <t>PeterboroughWindrush Alliance UK Community Interest Company</t>
  </si>
  <si>
    <t>PlymouthGolden Lane Housing Limited</t>
  </si>
  <si>
    <t>PortsmouthAbri Group Limited</t>
  </si>
  <si>
    <t>PortsmouthGolden Lane Housing Limited</t>
  </si>
  <si>
    <t>PrestonAuxesia Homes Limited</t>
  </si>
  <si>
    <t>PrestonGolden Lane Housing Limited</t>
  </si>
  <si>
    <t>PrestonLegal &amp; General Affordable Homes Limited</t>
  </si>
  <si>
    <t>ReadingAbri Group Limited</t>
  </si>
  <si>
    <t>ReadingDimensions (UK) Limited</t>
  </si>
  <si>
    <t>ReadingSage Rented Limited</t>
  </si>
  <si>
    <t>ReadingStonewater (2) Limited</t>
  </si>
  <si>
    <t>RedbridgeGolden Lane Housing Limited</t>
  </si>
  <si>
    <t>Redcar and ClevelandGolden Lane Housing Limited</t>
  </si>
  <si>
    <t>Redcar and ClevelandRCVDA Community Housing C.I.C</t>
  </si>
  <si>
    <t>RedditchGreenSquareAccord Limited</t>
  </si>
  <si>
    <t>RedditchNew Outlook Housing Association Limited</t>
  </si>
  <si>
    <t>Reigate and BansteadGolden Lane Housing Limited</t>
  </si>
  <si>
    <t>Reigate and BansteadInclusion Housing Community Interest Company</t>
  </si>
  <si>
    <t>Reigate and BansteadPark Properties Housing Association Ltd</t>
  </si>
  <si>
    <t>Reigate and BansteadRosemary Simmons Memorial Housing Association Limited</t>
  </si>
  <si>
    <t>Reigate and BansteadSage Housing Limited</t>
  </si>
  <si>
    <t>Ribble ValleyGolden Lane Housing Limited</t>
  </si>
  <si>
    <t>Ribble ValleyThe Abbeyfield Ribble Valley Society Limited</t>
  </si>
  <si>
    <t>Richmond upon ThamesGolden Lane Housing Limited</t>
  </si>
  <si>
    <t>RochdaleGolden Lane Housing Limited</t>
  </si>
  <si>
    <t>RochdaleOnward Homes Limited</t>
  </si>
  <si>
    <t>RochfordLegal &amp; General Affordable Homes Limited</t>
  </si>
  <si>
    <t>RotherLegal &amp; General Affordable Homes Limited</t>
  </si>
  <si>
    <t>RotherPeabody Trust</t>
  </si>
  <si>
    <t>RotherPlaces for People Homes Limited</t>
  </si>
  <si>
    <t>RotherSage Housing Limited</t>
  </si>
  <si>
    <t>RotherhamGolden Lane Housing Limited</t>
  </si>
  <si>
    <t>RotherhamHilldale Housing Association Limited</t>
  </si>
  <si>
    <t>RotherhamIncommunities Limited</t>
  </si>
  <si>
    <t>RugbyGolden Lane Housing Limited</t>
  </si>
  <si>
    <t>RugbyLondon &amp; Quadrant Housing Trust</t>
  </si>
  <si>
    <t>RunnymedeGolden Lane Housing Limited</t>
  </si>
  <si>
    <t>RunnymedeOmega Housing Limited</t>
  </si>
  <si>
    <t>RunnymedeSouthern Home Ownership Limited</t>
  </si>
  <si>
    <t>RunnymedeStonewater (2) Limited</t>
  </si>
  <si>
    <t>RushcliffeEmpower Housing Association Limited</t>
  </si>
  <si>
    <t>RushcliffeGolden Lane Housing Limited</t>
  </si>
  <si>
    <t>RushcliffeLegal &amp; General Affordable Homes Limited</t>
  </si>
  <si>
    <t>RushcliffeSutton Bonington &amp; Normanton Social Service Association Limited</t>
  </si>
  <si>
    <t>RushmoorAbri Group Limited</t>
  </si>
  <si>
    <t>RushmoorGolden Lane Housing Limited</t>
  </si>
  <si>
    <t>RushmoorThe Sir Oswald Stoll Foundation</t>
  </si>
  <si>
    <t>RutlandGolden Lane Housing Limited</t>
  </si>
  <si>
    <t>SalfordGolden Lane Housing Limited</t>
  </si>
  <si>
    <t>SalfordOnward Homes Limited</t>
  </si>
  <si>
    <t>SandwellGolden Lane Housing Limited</t>
  </si>
  <si>
    <t>SandwellGreenSquareAccord Limited</t>
  </si>
  <si>
    <t>ScarboroughGolden Lane Housing Limited</t>
  </si>
  <si>
    <t>ScarboroughHousing 21</t>
  </si>
  <si>
    <t>ScarboroughThe Guinness Partnership Limited</t>
  </si>
  <si>
    <t>SedgemoorAbri Group Limited</t>
  </si>
  <si>
    <t>SedgemoorEmpower Housing Association Limited</t>
  </si>
  <si>
    <t>SedgemoorGolden Lane Housing Limited</t>
  </si>
  <si>
    <t>SedgemoorPlaces for People Living+ Limited</t>
  </si>
  <si>
    <t>SedgemoorSage Rented Limited</t>
  </si>
  <si>
    <t>SedgemoorThe Abbeyfield Burnham and Highbridge Society Limited</t>
  </si>
  <si>
    <t>SeftonGolden Lane Housing Limited</t>
  </si>
  <si>
    <t>SeftonPrima Housing Group Limited</t>
  </si>
  <si>
    <t>SelbyGolden Lane Housing Limited</t>
  </si>
  <si>
    <t>SelbyThirteen Housing Group Limited</t>
  </si>
  <si>
    <t>SevenoaksGolden Lane Housing Limited</t>
  </si>
  <si>
    <t>SheffieldGolden Lane Housing Limited</t>
  </si>
  <si>
    <t>ShropshireConnexus Homes Limited</t>
  </si>
  <si>
    <t>ShropshireGolden Lane Housing Limited</t>
  </si>
  <si>
    <t>ShropshireGreenSquareAccord Limited</t>
  </si>
  <si>
    <t>ShropshireHomes Plus Limited</t>
  </si>
  <si>
    <t>SloughAbri Group Limited</t>
  </si>
  <si>
    <t>SloughGolden Lane Housing Limited</t>
  </si>
  <si>
    <t>SloughWindrush Alliance UK Community Interest Company</t>
  </si>
  <si>
    <t>SolihullGolden Lane Housing Limited</t>
  </si>
  <si>
    <t>SolihullGreenSquareAccord Limited</t>
  </si>
  <si>
    <t>SolihullHeartsease House Community Interest Company</t>
  </si>
  <si>
    <t>SolihullHeylo Housing Registered Provider Limited</t>
  </si>
  <si>
    <t>SolihullHilldale Housing Association Limited</t>
  </si>
  <si>
    <t>SolihullInclusion Housing Community Interest Company</t>
  </si>
  <si>
    <t>SolihullWindrush Alliance UK Community Interest Company</t>
  </si>
  <si>
    <t>Somerset West and TauntonAbri Group Limited</t>
  </si>
  <si>
    <t>Somerset West and TauntonAster 3 Limited</t>
  </si>
  <si>
    <t>Somerset West and TauntonGolden Lane Housing Limited</t>
  </si>
  <si>
    <t>Somerset West and TauntonInclusion Housing Community Interest Company</t>
  </si>
  <si>
    <t>Somerset West and TauntonOrbit Group Limited</t>
  </si>
  <si>
    <t>Somerset West and TauntonWestmoreland Supported Housing Limited</t>
  </si>
  <si>
    <t>South CambridgeshireSettle Group</t>
  </si>
  <si>
    <t>South GloucestershireGolden Lane Housing Limited</t>
  </si>
  <si>
    <t>South GloucestershireThe Abbeyfield Gloucestershire Society Limited</t>
  </si>
  <si>
    <t>South GloucestershireThe Perry Almshouse Charity</t>
  </si>
  <si>
    <t>South HamsClarion Housing Association Limited</t>
  </si>
  <si>
    <t>South HamsGolden Lane Housing Limited</t>
  </si>
  <si>
    <t>South HamsLegal &amp; General Affordable Homes Limited</t>
  </si>
  <si>
    <t>South HamsPlymouth Community Homes Limited</t>
  </si>
  <si>
    <t>South HollandGolden Lane Housing Limited</t>
  </si>
  <si>
    <t>South KestevenGolden Lane Housing Limited</t>
  </si>
  <si>
    <t>South KestevenLegal &amp; General Affordable Homes (AR) LLP</t>
  </si>
  <si>
    <t>South LakelandHilldale Housing Association Limited</t>
  </si>
  <si>
    <t>South OxfordshireFairhive Homes Limited</t>
  </si>
  <si>
    <t>South OxfordshireGolden Lane Housing Limited</t>
  </si>
  <si>
    <t>South OxfordshireGreenSquareAccord Limited</t>
  </si>
  <si>
    <t>South OxfordshireInclusion Housing Community Interest Company</t>
  </si>
  <si>
    <t>South RibbleOnward Homes Limited</t>
  </si>
  <si>
    <t>South SomersetAbri Group Limited</t>
  </si>
  <si>
    <t>South SomersetDimensions (UK) Limited</t>
  </si>
  <si>
    <t>South SomersetGolden Lane Housing Limited</t>
  </si>
  <si>
    <t>South SomersetLegal &amp; General Affordable Homes (AR) LLP</t>
  </si>
  <si>
    <t>South SomersetLegal &amp; General Affordable Homes Limited</t>
  </si>
  <si>
    <t>South SomersetThe Swaythling Housing Society Limited</t>
  </si>
  <si>
    <t xml:space="preserve">South SomersetWoborn's Almshouse </t>
  </si>
  <si>
    <t>South StaffordshireGreenSquareAccord Limited</t>
  </si>
  <si>
    <t>South StaffordshireHeylo Housing Registered Provider Limited</t>
  </si>
  <si>
    <t>South StaffordshireHomes Plus Limited</t>
  </si>
  <si>
    <t>South StaffordshireSage Housing Limited</t>
  </si>
  <si>
    <t>South StaffordshireSage Rented Limited</t>
  </si>
  <si>
    <t>South TynesideGolden Lane Housing Limited</t>
  </si>
  <si>
    <t>South TynesideHalo Housing Association Limited</t>
  </si>
  <si>
    <t>SouthamptonAbri Group Limited</t>
  </si>
  <si>
    <t>SouthamptonGolden Lane Housing Limited</t>
  </si>
  <si>
    <t>SouthamptonThorner’s Homes</t>
  </si>
  <si>
    <t>Southend-on-SeaGolden Lane Housing Limited</t>
  </si>
  <si>
    <t>Southend-on-SeaInclusion Housing Community Interest Company</t>
  </si>
  <si>
    <t>Southend-on-SeaLegal &amp; General Affordable Homes Limited</t>
  </si>
  <si>
    <t>Southend-on-SeaOrbit Group Limited</t>
  </si>
  <si>
    <t>Southend-on-SeaPeabody Trust</t>
  </si>
  <si>
    <t>Southend-on-SeaSage Housing Limited</t>
  </si>
  <si>
    <t>SouthwarkGolden Lane Housing Limited</t>
  </si>
  <si>
    <t>SouthwarkOmega Housing Limited</t>
  </si>
  <si>
    <t>SouthwarkOrchard &amp; Shipman Homes Limited</t>
  </si>
  <si>
    <t>SouthwarkThe New Cut Housing Co-operative Limited</t>
  </si>
  <si>
    <t>SpelthorneClarion Housing Association Limited</t>
  </si>
  <si>
    <t>SpelthorneGolden Lane Housing Limited</t>
  </si>
  <si>
    <t>St AlbansGolden Lane Housing Limited</t>
  </si>
  <si>
    <t>St AlbansSage Rented Limited</t>
  </si>
  <si>
    <t>St AlbansWatford Community Housing Trust</t>
  </si>
  <si>
    <t>St. HelensGolden Lane Housing Limited</t>
  </si>
  <si>
    <t>StaffordGreenSquareAccord Limited</t>
  </si>
  <si>
    <t>StaffordHomes Plus Limited</t>
  </si>
  <si>
    <t>StaffordHumankind Charity</t>
  </si>
  <si>
    <t>StaffordSanctuary Affordable Housing Limited</t>
  </si>
  <si>
    <t>Staffordshire MoorlandsGreenSquareAccord Limited</t>
  </si>
  <si>
    <t>Staffordshire MoorlandsSage Housing Limited</t>
  </si>
  <si>
    <t>Staffordshire MoorlandsSage Rented Limited</t>
  </si>
  <si>
    <t>StevenageGolden Lane Housing Limited</t>
  </si>
  <si>
    <t>StevenageOne YMCA</t>
  </si>
  <si>
    <t>StockportGolden Lane Housing Limited</t>
  </si>
  <si>
    <t>StockportInclusion Housing Community Interest Company</t>
  </si>
  <si>
    <t>StockportOnward Homes Limited</t>
  </si>
  <si>
    <t>Stoke-on-TrentAdullam Homes Housing Association Limited</t>
  </si>
  <si>
    <t>Stoke-on-TrentGolden Lane Housing Limited</t>
  </si>
  <si>
    <t>Stratford-on-AvonCitizen Housing Group Limited</t>
  </si>
  <si>
    <t>Stratford-on-AvonFeldon Housing Limited</t>
  </si>
  <si>
    <t>Stratford-on-AvonHousing 21</t>
  </si>
  <si>
    <t>Stratford-on-AvonInclusion Housing Community Interest Company</t>
  </si>
  <si>
    <t>StroudGeorge Jones Charity</t>
  </si>
  <si>
    <t>StroudGolden Lane Housing Limited</t>
  </si>
  <si>
    <t>StroudGreenSquareAccord Limited</t>
  </si>
  <si>
    <t>StroudNational Community Homes CIC</t>
  </si>
  <si>
    <t>StroudSage Rented Limited</t>
  </si>
  <si>
    <t>StroudSunny Vale Supported Accommodation Limited</t>
  </si>
  <si>
    <t>SunderlandGolden Lane Housing Limited</t>
  </si>
  <si>
    <t>Surrey HeathHeylo Housing Registered Provider Limited</t>
  </si>
  <si>
    <t>Surrey HeathRosemary Simmons Memorial Housing Association Limited</t>
  </si>
  <si>
    <t>Surrey HeathWindrush Alliance UK Community Interest Company</t>
  </si>
  <si>
    <t>SuttonCromwood Housing Ltd</t>
  </si>
  <si>
    <t>SuttonGolden Lane Housing Limited</t>
  </si>
  <si>
    <t>SwaleNational Community Homes CIC</t>
  </si>
  <si>
    <t>SwindonGreenSquareAccord Limited</t>
  </si>
  <si>
    <t>TamesideCare Housing Association Limited</t>
  </si>
  <si>
    <t>TamesideGolden Lane Housing Limited</t>
  </si>
  <si>
    <t>TamesideHilldale Housing Association Limited</t>
  </si>
  <si>
    <t>TamesideInclusion Housing Community Interest Company</t>
  </si>
  <si>
    <t>TamesideJigsaw Homes North</t>
  </si>
  <si>
    <t>TamworthGolden Lane Housing Limited</t>
  </si>
  <si>
    <t>TandridgeGolden Lane Housing Limited</t>
  </si>
  <si>
    <t>TandridgeRosemary Simmons Memorial Housing Association Limited</t>
  </si>
  <si>
    <t>TandridgeStonewater Limited</t>
  </si>
  <si>
    <t>TeignbridgeGolden Lane Housing Limited</t>
  </si>
  <si>
    <t>TeignbridgeThe Feoffees of the Parish Lands of Highweek</t>
  </si>
  <si>
    <t>Telford and WrekinBoughey Roddam Housing Association</t>
  </si>
  <si>
    <t>Telford and WrekinConnexus Homes Limited</t>
  </si>
  <si>
    <t>Telford and WrekinGolden Lane Housing Limited</t>
  </si>
  <si>
    <t>Telford and WrekinGreenSquareAccord Limited</t>
  </si>
  <si>
    <t>Telford and WrekinHomes Plus Limited</t>
  </si>
  <si>
    <t>Telford and WrekinNational Community Homes CIC</t>
  </si>
  <si>
    <t>Tendring3CHA Ltd</t>
  </si>
  <si>
    <t>TendringGolden Lane Housing Limited</t>
  </si>
  <si>
    <t>TendringLegal &amp; General Affordable Homes Limited</t>
  </si>
  <si>
    <t>TendringPeabody Trust</t>
  </si>
  <si>
    <t>Test ValleyAbri Group Limited</t>
  </si>
  <si>
    <t>Test ValleyPlaces for People Living+ Limited</t>
  </si>
  <si>
    <t>TewkesburyAster Communities</t>
  </si>
  <si>
    <t>TewkesburyGolden Lane Housing Limited</t>
  </si>
  <si>
    <t>TewkesburyGreenSquareAccord Limited</t>
  </si>
  <si>
    <t>ThanetGolden Lane Housing Limited</t>
  </si>
  <si>
    <t>ThanetHome Group Limited</t>
  </si>
  <si>
    <t>Three RiversOne YMCA</t>
  </si>
  <si>
    <t>Three RiversSettle Group</t>
  </si>
  <si>
    <t>ThurrockLegal &amp; General Affordable Homes Limited</t>
  </si>
  <si>
    <t>ThurrockOrbit Group Limited</t>
  </si>
  <si>
    <t>ThurrockPeabody Trust</t>
  </si>
  <si>
    <t>Tonbridge and MallingHome Group Limited</t>
  </si>
  <si>
    <t>Tonbridge and MallingLegal &amp; General Affordable Homes Limited</t>
  </si>
  <si>
    <t>Tonbridge and MallingPlaces for People Living+ Limited</t>
  </si>
  <si>
    <t>TorbayGolden Lane Housing Limited</t>
  </si>
  <si>
    <t>TorbayLegal &amp; General Affordable Homes Limited</t>
  </si>
  <si>
    <t>TorbayOak Housing Limited</t>
  </si>
  <si>
    <t>TorridgeArpeggio Properties Limited</t>
  </si>
  <si>
    <t>TorridgeGolden Lane Housing Limited</t>
  </si>
  <si>
    <t>TorridgePivotal Housing Association</t>
  </si>
  <si>
    <t>TorridgeWoolfardisworthy Sports and Community Hall</t>
  </si>
  <si>
    <t>Tower HamletsHeylo Housing Registered Provider Limited</t>
  </si>
  <si>
    <t>Tower HamletsLegal &amp; General Affordable Homes Limited</t>
  </si>
  <si>
    <t>Tower HamletsSeymour Housing Co-operative Limited</t>
  </si>
  <si>
    <t>Tower HamletsTBG Open Door Limited</t>
  </si>
  <si>
    <t>Tower HamletsThe Mile End Housing Co-operative Limited</t>
  </si>
  <si>
    <t>TraffordGolden Lane Housing Limited</t>
  </si>
  <si>
    <t>TraffordOnward Homes Limited</t>
  </si>
  <si>
    <t>Tunbridge WellsGolden Lane Housing Limited</t>
  </si>
  <si>
    <t>UttlesfordGolden Lane Housing Limited</t>
  </si>
  <si>
    <t>UttlesfordInclusion Housing Community Interest Company</t>
  </si>
  <si>
    <t>UttlesfordLegal &amp; General Affordable Homes Limited</t>
  </si>
  <si>
    <t>UttlesfordOrbit Group Limited</t>
  </si>
  <si>
    <t>UttlesfordPeabody Trust</t>
  </si>
  <si>
    <t>Vale of White HorseGreenSquareAccord Limited</t>
  </si>
  <si>
    <t>Vale of White HorseLegal &amp; General Affordable Homes (AR) LLP</t>
  </si>
  <si>
    <t>WakefieldGolden Lane Housing Limited</t>
  </si>
  <si>
    <t>WakefieldIncommunities Limited</t>
  </si>
  <si>
    <t>WalsallGolden Lane Housing Limited</t>
  </si>
  <si>
    <t>WalsallGreenSquareAccord Limited</t>
  </si>
  <si>
    <t>WalsallHomes Plus Limited</t>
  </si>
  <si>
    <t>WalsallThe Henry Boys' Almshouses</t>
  </si>
  <si>
    <t>WalsallTrident Housing Association Limited</t>
  </si>
  <si>
    <t>WalsallWindrush Alliance UK Community Interest Company</t>
  </si>
  <si>
    <t>Waltham ForestBangla Housing Association Limited</t>
  </si>
  <si>
    <t>Waltham ForestDolphin Living Limited</t>
  </si>
  <si>
    <t>WandsworthGolden Lane Housing Limited</t>
  </si>
  <si>
    <t>WarringtonBirkenhead Forum Housing Association Limited</t>
  </si>
  <si>
    <t>WarringtonGolden Lane Housing Limited</t>
  </si>
  <si>
    <t>WarringtonHalo Housing Association Limited</t>
  </si>
  <si>
    <t>WarringtonHalton Housing</t>
  </si>
  <si>
    <t>WarringtonHeylo Housing Registered Provider Limited</t>
  </si>
  <si>
    <t>WarringtonSage Rented Limited</t>
  </si>
  <si>
    <t>WarringtonWeaver Vale Housing Trust Limited</t>
  </si>
  <si>
    <t>WarwickGolden Lane Housing Limited</t>
  </si>
  <si>
    <t>WarwickGreenSquareAccord Limited</t>
  </si>
  <si>
    <t>WarwickLondon &amp; Quadrant Housing Trust</t>
  </si>
  <si>
    <t>WarwickSage Housing Limited</t>
  </si>
  <si>
    <t>WatfordArpeggio Properties Limited</t>
  </si>
  <si>
    <t>WatfordLegal &amp; General Affordable Homes Limited</t>
  </si>
  <si>
    <t>WatfordSettle Group</t>
  </si>
  <si>
    <t>WaverleyAster Communities</t>
  </si>
  <si>
    <t>WaverleyGolden Lane Housing Limited</t>
  </si>
  <si>
    <t>WaverleyRosemary Simmons Memorial Housing Association Limited</t>
  </si>
  <si>
    <t>WaverleySouthern Home Ownership Limited</t>
  </si>
  <si>
    <t>WaverleyWindrush Alliance UK Community Interest Company</t>
  </si>
  <si>
    <t>WealdenLegal &amp; General Affordable Homes (AR) LLP</t>
  </si>
  <si>
    <t>WealdenSage Rented Limited</t>
  </si>
  <si>
    <t>Welwyn HatfieldGolden Lane Housing Limited</t>
  </si>
  <si>
    <t>West BerkshireAbri Group Limited</t>
  </si>
  <si>
    <t>West BerkshireGolden Lane Housing Limited</t>
  </si>
  <si>
    <t>West BerkshireSage Rented Limited</t>
  </si>
  <si>
    <t>West DevonGolden Lane Housing Limited</t>
  </si>
  <si>
    <t>West LancashireAuxesia Homes Limited</t>
  </si>
  <si>
    <t>West LancashireNew Foundations Housing Association Limited</t>
  </si>
  <si>
    <t>West LancashireSage Rented Limited</t>
  </si>
  <si>
    <t>West LancashireTHT and L&amp;Q Community Limited</t>
  </si>
  <si>
    <t>West LancashireThe Vanbrugh and Tempest Almshouse Charity</t>
  </si>
  <si>
    <t>West LindseyGolden Lane Housing Limited</t>
  </si>
  <si>
    <t>West LindseyReside Housing Association Limited</t>
  </si>
  <si>
    <t>West NorthamptonshireAccent Housing Limited</t>
  </si>
  <si>
    <t>West NorthamptonshireAdvance Housing and Support Limited</t>
  </si>
  <si>
    <t>West NorthamptonshireAnchor Hanover Group</t>
  </si>
  <si>
    <t>West NorthamptonshireBromford Housing Association Limited</t>
  </si>
  <si>
    <t>West NorthamptonshireCatalyst Housing Limited</t>
  </si>
  <si>
    <t>West NorthamptonshireClarion Housing Association Limited</t>
  </si>
  <si>
    <t>West NorthamptonshireDerwent Housing Association Limited</t>
  </si>
  <si>
    <t>West NorthamptonshireDimensions (UK) Limited</t>
  </si>
  <si>
    <t>West NorthamptonshireEMH Housing and Regeneration Limited</t>
  </si>
  <si>
    <t>West NorthamptonshireFairhive Homes Limited</t>
  </si>
  <si>
    <t>West NorthamptonshireFutures Homescape Limited</t>
  </si>
  <si>
    <t>West NorthamptonshireFutures Homeway Limited</t>
  </si>
  <si>
    <t>West NorthamptonshireGrand Union Housing Group Limited</t>
  </si>
  <si>
    <t>West NorthamptonshireGreatwell Homes Limited</t>
  </si>
  <si>
    <t>West NorthamptonshireGreenSquareAccord Limited</t>
  </si>
  <si>
    <t>West NorthamptonshireHeylo Housing Registered Provider Limited</t>
  </si>
  <si>
    <t>West NorthamptonshireHousing 21</t>
  </si>
  <si>
    <t>West NorthamptonshireHyde Housing Association Limited</t>
  </si>
  <si>
    <t>West NorthamptonshireInclusion Housing Community Interest Company</t>
  </si>
  <si>
    <t>West NorthamptonshireLangley House Trust</t>
  </si>
  <si>
    <t>West NorthamptonshireLegal &amp; General Affordable Homes Limited</t>
  </si>
  <si>
    <t>West NorthamptonshireLondon &amp; Quadrant Housing Trust</t>
  </si>
  <si>
    <t>West NorthamptonshireLonghurst Group Limited</t>
  </si>
  <si>
    <t>West NorthamptonshireMetropolitan Housing Trust Limited</t>
  </si>
  <si>
    <t>West NorthamptonshireMidland Heart Limited</t>
  </si>
  <si>
    <t>West NorthamptonshireMuir Group Housing Association Limited</t>
  </si>
  <si>
    <t>West NorthamptonshireNorthamptonshire Rural Housing Association Limited</t>
  </si>
  <si>
    <t>West NorthamptonshireNottingham Community Housing Association Limited</t>
  </si>
  <si>
    <t>West NorthamptonshireOptivo</t>
  </si>
  <si>
    <t>West NorthamptonshireOrbit Group Limited</t>
  </si>
  <si>
    <t>West NorthamptonshireOrbit Housing Association Limited</t>
  </si>
  <si>
    <t>West NorthamptonshireParagon Asra Housing Limited</t>
  </si>
  <si>
    <t>West NorthamptonshirePlaces for People Homes Limited</t>
  </si>
  <si>
    <t>West NorthamptonshirePlaces for People Living+ Limited</t>
  </si>
  <si>
    <t>West NorthamptonshirePlatform Housing Limited</t>
  </si>
  <si>
    <t>West NorthamptonshireReside Housing Association Limited</t>
  </si>
  <si>
    <t>West NorthamptonshireSage Housing Limited</t>
  </si>
  <si>
    <t>West NorthamptonshireSage Rented Limited</t>
  </si>
  <si>
    <t>West NorthamptonshireSanctuary Housing Association</t>
  </si>
  <si>
    <t>West NorthamptonshireStonewater (2) Limited</t>
  </si>
  <si>
    <t>West NorthamptonshireStonewater Limited</t>
  </si>
  <si>
    <t>West NorthamptonshireThe Abbeyfield Society</t>
  </si>
  <si>
    <t>West NorthamptonshireThe Guinness Partnership Limited</t>
  </si>
  <si>
    <t>West NorthamptonshireThe Riverside Group Limited</t>
  </si>
  <si>
    <t>West NorthamptonshireTrinity Housing Association Limited</t>
  </si>
  <si>
    <t>West NorthamptonshireWestmoreland Supported Housing Limited</t>
  </si>
  <si>
    <t>West Northamptonshirebpha Limited</t>
  </si>
  <si>
    <t>West OxfordshireGreenSquareAccord Limited</t>
  </si>
  <si>
    <t>West OxfordshireHousing 21</t>
  </si>
  <si>
    <t>West SuffolkBrandon Poor's Estate</t>
  </si>
  <si>
    <t>West SuffolkGolden Lane Housing Limited</t>
  </si>
  <si>
    <t>West SuffolkInclusion Housing Community Interest Company</t>
  </si>
  <si>
    <t>West SuffolkLegal &amp; General Affordable Homes (AR) LLP</t>
  </si>
  <si>
    <t>West SuffolkPark Properties Housing Association Ltd</t>
  </si>
  <si>
    <t>WestminsterSeymour Housing Co-operative Limited</t>
  </si>
  <si>
    <t>WiganLegal &amp; General Affordable Homes (AR) LLP</t>
  </si>
  <si>
    <t>WiganPlaces for People Living+ Limited</t>
  </si>
  <si>
    <t>WiltshireAbri Group Limited</t>
  </si>
  <si>
    <t>WiltshireBrighter Places</t>
  </si>
  <si>
    <t>WiltshireCirencester Housing Limited</t>
  </si>
  <si>
    <t>WiltshireGolden Lane Housing Limited</t>
  </si>
  <si>
    <t>WiltshireGreenSquareAccord Limited</t>
  </si>
  <si>
    <t>WiltshireVivid Housing Limited</t>
  </si>
  <si>
    <t>WinchesterAbri Group Limited</t>
  </si>
  <si>
    <t>WinchesterAster Communities</t>
  </si>
  <si>
    <t>WinchesterBespoke Supportive Tenancies Ltd</t>
  </si>
  <si>
    <t>WinchesterGolden Lane Housing Limited</t>
  </si>
  <si>
    <t>WinchesterStonewater (2) Limited</t>
  </si>
  <si>
    <t>Windsor and MaidenheadAbri Group Limited</t>
  </si>
  <si>
    <t>Windsor and MaidenheadJoseph Chariott's Charity</t>
  </si>
  <si>
    <t>Windsor and MaidenheadSage Housing Limited</t>
  </si>
  <si>
    <t>WirralGolden Lane Housing Limited</t>
  </si>
  <si>
    <t>WirralPrima Housing Group Limited</t>
  </si>
  <si>
    <t>WokingAbri Group Limited</t>
  </si>
  <si>
    <t>WokingGolden Lane Housing Limited</t>
  </si>
  <si>
    <t>WokinghamAbri Group Limited</t>
  </si>
  <si>
    <t>WokinghamSage Rented Limited</t>
  </si>
  <si>
    <t>WolverhamptonGolden Lane Housing Limited</t>
  </si>
  <si>
    <t>WolverhamptonGreenSquareAccord Limited</t>
  </si>
  <si>
    <t>WolverhamptonYMCA Black Country Group</t>
  </si>
  <si>
    <t>WorcesterGolden Lane Housing Limited</t>
  </si>
  <si>
    <t>WorcesterGreenSquareAccord Limited</t>
  </si>
  <si>
    <t>WorcesterHousing 21</t>
  </si>
  <si>
    <t>WorcesterSt Basil's</t>
  </si>
  <si>
    <t>WorcesterThe Abbeyfield Worcester and Hereford Society Limited</t>
  </si>
  <si>
    <t>WorcesterThe Community Housing Group Limited</t>
  </si>
  <si>
    <t>WorthingGolden Lane Housing Limited</t>
  </si>
  <si>
    <t>WychavonAnchor Hanover Group</t>
  </si>
  <si>
    <t>WychavonInclusion Housing Community Interest Company</t>
  </si>
  <si>
    <t>Wyre ForestBromsgrove District Housing Trust Limited</t>
  </si>
  <si>
    <t>Wyre ForestGreenSquareAccord Limited</t>
  </si>
  <si>
    <t>Wyre ForestInclusion Housing Community Interest Company</t>
  </si>
  <si>
    <t>WyreLegal &amp; General Affordable Homes (AR) LLP</t>
  </si>
  <si>
    <t>WyreLegal &amp; General Affordable Homes Limited</t>
  </si>
  <si>
    <t>WyreTrafford Housing Trust Limited</t>
  </si>
  <si>
    <t>YorkGolden Lane Housing Limited</t>
  </si>
  <si>
    <t>East of England3CHA Ltd</t>
  </si>
  <si>
    <t>LondonAWOL London Limited</t>
  </si>
  <si>
    <t>South WestAbri Group Limited</t>
  </si>
  <si>
    <t>South EastAbri Group Limited</t>
  </si>
  <si>
    <t>South WestAlmshouse of St John the Baptist &amp; St John the Evangelist</t>
  </si>
  <si>
    <t>South WestArpeggio Properties Limited</t>
  </si>
  <si>
    <t>LondonArpeggio Properties Limited</t>
  </si>
  <si>
    <t>West MidlandsArpeggio Properties Limited</t>
  </si>
  <si>
    <t>East of EnglandArpeggio Properties Limited</t>
  </si>
  <si>
    <t>LondonBonham and Strathleven Tenants Co-operative Limited</t>
  </si>
  <si>
    <t>West MidlandsBoughey Roddam Housing Association</t>
  </si>
  <si>
    <t>Yorkshire and the HumberBradford Flower Homes Development Limited</t>
  </si>
  <si>
    <t>East of EnglandBrandon Poor's Estate</t>
  </si>
  <si>
    <t>LondonBroadway Living RP Limited</t>
  </si>
  <si>
    <t>LondonBromley and Croydon Women's Aid Limited</t>
  </si>
  <si>
    <t>LondonBromley and Sheppard's Colleges Charity</t>
  </si>
  <si>
    <t>South WestBucklehaven</t>
  </si>
  <si>
    <t>South EastCrawley Open House</t>
  </si>
  <si>
    <t>North WestDawson Housing Limited</t>
  </si>
  <si>
    <t>LondonDay's and Atkinson's Almshouse Charity</t>
  </si>
  <si>
    <t>South WestDerwent Housing Association Limited</t>
  </si>
  <si>
    <t>West MidlandsEasy Housing Association</t>
  </si>
  <si>
    <t>East of EnglandFairhive Homes Limited</t>
  </si>
  <si>
    <t>South EastFairhive Homes Limited</t>
  </si>
  <si>
    <t>East MidlandsFairhive Homes Limited</t>
  </si>
  <si>
    <t>West MidlandsFeldon Housing Limited</t>
  </si>
  <si>
    <t>LondonFinsbury Park Housing Co-operative Limited</t>
  </si>
  <si>
    <t>North WestFrances Darlington Charity</t>
  </si>
  <si>
    <t>South WestGeorge Jones Charity</t>
  </si>
  <si>
    <t>South EastGiffard Park Housing Co-operative Limited</t>
  </si>
  <si>
    <t>East of EnglandGolden Lane Housing Limited</t>
  </si>
  <si>
    <t>South WestGolden Lane Housing Limited</t>
  </si>
  <si>
    <t>LondonGolden Lane Housing Limited</t>
  </si>
  <si>
    <t>South EastGolden Lane Housing Limited</t>
  </si>
  <si>
    <t>North WestGolden Lane Housing Limited</t>
  </si>
  <si>
    <t>North EastGolden Lane Housing Limited</t>
  </si>
  <si>
    <t>Yorkshire and the HumberGolden Lane Housing Limited</t>
  </si>
  <si>
    <t>West MidlandsGolden Lane Housing Limited</t>
  </si>
  <si>
    <t>East MidlandsGolden Lane Housing Limited</t>
  </si>
  <si>
    <t>East of EnglandGrand Feoffment Charities</t>
  </si>
  <si>
    <t>West MidlandsGreenSquareAccord Limited</t>
  </si>
  <si>
    <t>South WestGreenSquareAccord Limited</t>
  </si>
  <si>
    <t>East MidlandsGreenSquareAccord Limited</t>
  </si>
  <si>
    <t>South EastGreenSquareAccord Limited</t>
  </si>
  <si>
    <t>West MidlandsGrevayne Social Housing Limited</t>
  </si>
  <si>
    <t>Yorkshire and the HumberHarrison and Potter Trust</t>
  </si>
  <si>
    <t>South EastHeart of Medway Housing Association Limited</t>
  </si>
  <si>
    <t>West MidlandsHomes Plus Limited</t>
  </si>
  <si>
    <t>West MidlandsHumankind Charity</t>
  </si>
  <si>
    <t>North WestHuyton Community Co-operative for the Elderly Limited</t>
  </si>
  <si>
    <t>North WestIncommunities Limited</t>
  </si>
  <si>
    <t>South EastJoseph Chariott's Charity</t>
  </si>
  <si>
    <t>LondonKilburn Housing Co-operative Limited</t>
  </si>
  <si>
    <t>East MidlandsLegal &amp; General Affordable Homes (AR) LLP</t>
  </si>
  <si>
    <t>LondonLegal &amp; General Affordable Homes (AR) LLP</t>
  </si>
  <si>
    <t>Yorkshire and the HumberLegal &amp; General Affordable Homes (AR) LLP</t>
  </si>
  <si>
    <t>West MidlandsLegal &amp; General Affordable Homes (AR) LLP</t>
  </si>
  <si>
    <t>North WestLegal &amp; General Affordable Homes (AR) LLP</t>
  </si>
  <si>
    <t>East of EnglandLegal &amp; General Affordable Homes (AR) LLP</t>
  </si>
  <si>
    <t>South WestLegal &amp; General Affordable Homes (AR) LLP</t>
  </si>
  <si>
    <t>South EastLegal &amp; General Affordable Homes (AR) LLP</t>
  </si>
  <si>
    <t>LondonNational Community Homes CIC</t>
  </si>
  <si>
    <t>East of EnglandNational Community Homes CIC</t>
  </si>
  <si>
    <t>South WestNational Community Homes CIC</t>
  </si>
  <si>
    <t>South EastNational Community Homes CIC</t>
  </si>
  <si>
    <t>Yorkshire and the HumberNational Community Homes CIC</t>
  </si>
  <si>
    <t>West MidlandsNational Community Homes CIC</t>
  </si>
  <si>
    <t>North EastNorth East Housing Association Limited</t>
  </si>
  <si>
    <t>West MidlandsOmega Housing Limited</t>
  </si>
  <si>
    <t>East MidlandsOnward Homes Limited</t>
  </si>
  <si>
    <t>South WestOrbit Group Limited</t>
  </si>
  <si>
    <t>LondonOrchard &amp; Shipman Homes Limited</t>
  </si>
  <si>
    <t>South EastPark Properties Housing Association Ltd</t>
  </si>
  <si>
    <t>LondonPark Properties Housing Association Ltd</t>
  </si>
  <si>
    <t>Yorkshire and the HumberPark Properties Housing Association Ltd</t>
  </si>
  <si>
    <t>South EastPeabody Trust</t>
  </si>
  <si>
    <t>LondonPinnacle Spaces Limited</t>
  </si>
  <si>
    <t>East of EnglandPlatform Housing Limited</t>
  </si>
  <si>
    <t>North WestPrima Housing Group Limited</t>
  </si>
  <si>
    <t>North EastRCVDA Community Housing C.I.C</t>
  </si>
  <si>
    <t>North WestRealHousingCo Limited</t>
  </si>
  <si>
    <t>North EastSage Housing Limited</t>
  </si>
  <si>
    <t>LondonSeymour Housing Co-operative Limited</t>
  </si>
  <si>
    <t>South EastSouthern Home Ownership Limited</t>
  </si>
  <si>
    <t>South EastSt Andrews Community Housing Association Ltd</t>
  </si>
  <si>
    <t>North WestStanley and Brocklehurst Almshouses</t>
  </si>
  <si>
    <t>South EastSunny Vale Supported Accommodation Limited</t>
  </si>
  <si>
    <t>North WestSunny Vale Supported Accommodation Limited</t>
  </si>
  <si>
    <t>South WestSunny Vale Supported Accommodation Limited</t>
  </si>
  <si>
    <t>East MidlandsSutton Bonington &amp; Normanton Social Service Association Limited</t>
  </si>
  <si>
    <t>East of EnglandTBG Open Door Limited</t>
  </si>
  <si>
    <t>North EastThe Abbeyfield (Darlington) Society Limited</t>
  </si>
  <si>
    <t>South WestThe Abbeyfield Burnham and Highbridge Society Limited</t>
  </si>
  <si>
    <t>South EastThe Cooper and Adkinson Almshouse Charity</t>
  </si>
  <si>
    <t>South WestThe Feoffees of the Parish Lands of Highweek</t>
  </si>
  <si>
    <t>West MidlandsThe Henry Boys' Almshouses</t>
  </si>
  <si>
    <t>South EastThe Hospital of William Parson</t>
  </si>
  <si>
    <t>LondonThe Mile End Housing Co-operative Limited</t>
  </si>
  <si>
    <t>East MidlandsThe Newark Emmaus Trust</t>
  </si>
  <si>
    <t>South WestThe Perry Almshouse Charity</t>
  </si>
  <si>
    <t>South EastThe Sir Oswald Stoll Foundation</t>
  </si>
  <si>
    <t>LondonThe Sir Oswald Stoll Foundation</t>
  </si>
  <si>
    <t>North WestThe Vanbrugh and Tempest Almshouse Charity</t>
  </si>
  <si>
    <t>North EastThe Wrekin Housing Group Limited</t>
  </si>
  <si>
    <t>South EastThorner’s Homes</t>
  </si>
  <si>
    <t>South EastTwo Piers Housing Co-operative Limited</t>
  </si>
  <si>
    <t>North EastVictoria Homes</t>
  </si>
  <si>
    <t>South WestVivid Housing Limited</t>
  </si>
  <si>
    <t>South WestW H Saunders &amp; Frank Wareham Charity</t>
  </si>
  <si>
    <t>LondonWatermans Housing Co-operative Limited</t>
  </si>
  <si>
    <t>South WestWindrush Alliance UK Community Interest Company</t>
  </si>
  <si>
    <t>South EastWindrush Alliance UK Community Interest Company</t>
  </si>
  <si>
    <t>West MidlandsWindrush Alliance UK Community Interest Company</t>
  </si>
  <si>
    <t>West MidlandsWitton Lodge Community Interest Company</t>
  </si>
  <si>
    <t xml:space="preserve">South WestWoborn's Almshouse </t>
  </si>
  <si>
    <t>South WestWoolfardisworthy Sports and Community Hall</t>
  </si>
  <si>
    <t>East MidlandsYMCA Robin Hood Group</t>
  </si>
  <si>
    <t>Yorkshire and the HumberYMCA Robin Hood Group</t>
  </si>
  <si>
    <t>EnglandYorkshire and the Humber</t>
  </si>
  <si>
    <t>Bristol, City ofAbbeyfield Bristol and Keynsham Society</t>
  </si>
  <si>
    <t>Bristol, City ofAbri Group Limited</t>
  </si>
  <si>
    <t>Bristol, City ofAdvance Housing and Support Limited</t>
  </si>
  <si>
    <t>Bristol, City ofAnchor Hanover Group</t>
  </si>
  <si>
    <t>Bristol, City ofAshley Community &amp; Housing Ltd</t>
  </si>
  <si>
    <t>Bristol, City ofAster Communities</t>
  </si>
  <si>
    <t>Bristol, City ofBespoke Supportive Tenancies Ltd</t>
  </si>
  <si>
    <t>Bristol, City ofBrighter Places</t>
  </si>
  <si>
    <t>Bristol, City ofBristol CLT Limited</t>
  </si>
  <si>
    <t>Bristol, City ofBristol and Anchor Almshouse Charity</t>
  </si>
  <si>
    <t>Bristol, City ofBristowe (Fair Rent) Housing Association Limited</t>
  </si>
  <si>
    <t>Bristol, City ofBrunelcare</t>
  </si>
  <si>
    <t>Bristol, City ofClarion Housing Association Limited</t>
  </si>
  <si>
    <t>Bristol, City ofCuro Group (Albion) Limited</t>
  </si>
  <si>
    <t>Bristol, City ofCuro Places Limited</t>
  </si>
  <si>
    <t>Bristol, City ofDimensions (UK) Limited</t>
  </si>
  <si>
    <t>Bristol, City ofElim Housing Association Limited</t>
  </si>
  <si>
    <t>Bristol, City ofFirst Priority Housing Association Limited</t>
  </si>
  <si>
    <t>Bristol, City ofGolden Lane Housing Limited</t>
  </si>
  <si>
    <t>Bristol, City ofGuinness Housing Association Limited</t>
  </si>
  <si>
    <t>Bristol, City ofHabinteg Housing Association Limited</t>
  </si>
  <si>
    <t>Bristol, City ofHeylo Housing Registered Provider Limited</t>
  </si>
  <si>
    <t>Bristol, City ofHome Group Limited</t>
  </si>
  <si>
    <t>Bristol, City ofHousing 21</t>
  </si>
  <si>
    <t>Bristol, City ofInclusion Housing Community Interest Company</t>
  </si>
  <si>
    <t>Bristol, City ofKing's Barton Housing Association Limited</t>
  </si>
  <si>
    <t>Bristol, City ofLiveWest Homes Limited</t>
  </si>
  <si>
    <t>Bristol, City ofMerlin Housing Society Limited</t>
  </si>
  <si>
    <t>Bristol, City ofMoat Homes Limited</t>
  </si>
  <si>
    <t>Bristol, City ofNSAH (Alliance Homes) Limited</t>
  </si>
  <si>
    <t>Bristol, City ofOrchard Homes</t>
  </si>
  <si>
    <t>Bristol, City ofPlaces for People Homes Limited</t>
  </si>
  <si>
    <t>Bristol, City ofPlaces for People Living+ Limited</t>
  </si>
  <si>
    <t>Bristol, City ofSalvation Army Housing Association</t>
  </si>
  <si>
    <t>Bristol, City ofSanctuary Housing Association</t>
  </si>
  <si>
    <t>Bristol, City ofSomewhere Co-operative Housing Association Limited</t>
  </si>
  <si>
    <t>Bristol, City ofSovereign Housing Association Limited</t>
  </si>
  <si>
    <t>Bristol, City ofSovereign Living Limited</t>
  </si>
  <si>
    <t>Bristol, City ofSt Mungo Community Housing Association</t>
  </si>
  <si>
    <t>Bristol, City ofStonewater (2) Limited</t>
  </si>
  <si>
    <t>Bristol, City ofStonewater Limited</t>
  </si>
  <si>
    <t>Bristol, City ofThe Extracare Charitable Trust</t>
  </si>
  <si>
    <t>Bristol, City ofThe Guinness Partnership Limited</t>
  </si>
  <si>
    <t>Bristol, City ofThe Riverside Group Limited</t>
  </si>
  <si>
    <t>Bristol, City ofThe Society of Merchant Venturers' Almshouse Charity</t>
  </si>
  <si>
    <t>Bristol, City ofWest of England Friends Housing Society Limited</t>
  </si>
  <si>
    <t>Herefordshire, County ofAdvance Housing and Support Limited</t>
  </si>
  <si>
    <t>Herefordshire, County ofAnchor Hanover Group</t>
  </si>
  <si>
    <t>Herefordshire, County ofBespoke Supportive Tenancies Ltd</t>
  </si>
  <si>
    <t>Herefordshire, County ofBromford Housing Association Limited</t>
  </si>
  <si>
    <t>Herefordshire, County ofCitizen Housing Group Limited</t>
  </si>
  <si>
    <t>Herefordshire, County ofConnexus Homes Limited</t>
  </si>
  <si>
    <t>Herefordshire, County ofEmpower Housing Association Limited</t>
  </si>
  <si>
    <t>Herefordshire, County ofGreenSquareAccord Limited</t>
  </si>
  <si>
    <t>Herefordshire, County ofHeylo Housing Registered Provider Limited</t>
  </si>
  <si>
    <t>Herefordshire, County ofHome Group Limited</t>
  </si>
  <si>
    <t>Herefordshire, County ofHousing 21</t>
  </si>
  <si>
    <t>Herefordshire, County ofInclusion Housing Community Interest Company</t>
  </si>
  <si>
    <t>Herefordshire, County ofLegal &amp; General Affordable Homes (AR) LLP</t>
  </si>
  <si>
    <t>Herefordshire, County ofLegal &amp; General Affordable Homes Limited</t>
  </si>
  <si>
    <t>Herefordshire, County ofMidland Heart Limited</t>
  </si>
  <si>
    <t>Herefordshire, County ofMuir Group Housing Association Limited</t>
  </si>
  <si>
    <t>Herefordshire, County ofPlatform Housing Limited</t>
  </si>
  <si>
    <t>Herefordshire, County ofRailway Housing Association and Benefit Fund</t>
  </si>
  <si>
    <t>Herefordshire, County ofRooftop Housing Association Limited</t>
  </si>
  <si>
    <t>Herefordshire, County ofSanctuary Affordable Housing Limited</t>
  </si>
  <si>
    <t>Herefordshire, County ofSanctuary Housing Association</t>
  </si>
  <si>
    <t>Herefordshire, County ofSiward James and Arkwright Trust Charity</t>
  </si>
  <si>
    <t>Herefordshire, County ofStonewater (2) Limited</t>
  </si>
  <si>
    <t>Herefordshire, County ofStonewater Limited</t>
  </si>
  <si>
    <t>Herefordshire, County ofThe Buchanan Trust</t>
  </si>
  <si>
    <t>Herefordshire, County ofThe Guinness Partnership Limited</t>
  </si>
  <si>
    <t>Herefordshire, County ofThe Wrekin Housing Group Limited</t>
  </si>
  <si>
    <t>Herefordshire, County ofTwo Rivers Housing</t>
  </si>
  <si>
    <t>Herefordshire, County ofWyedean Housing Association Limited</t>
  </si>
  <si>
    <t>Kingston upon Hull, City ofAnchor Hanover Group</t>
  </si>
  <si>
    <t>Kingston upon Hull, City ofArpeggio Properties Limited</t>
  </si>
  <si>
    <t xml:space="preserve">Kingston upon Hull, City ofEncircle Housing </t>
  </si>
  <si>
    <t>Kingston upon Hull, City ofGolden Lane Housing Limited</t>
  </si>
  <si>
    <t>Kingston upon Hull, City ofGoodwin Development Trust</t>
  </si>
  <si>
    <t>Kingston upon Hull, City ofGreat Places Housing Association</t>
  </si>
  <si>
    <t>Kingston upon Hull, City ofHabinteg Housing Association Limited</t>
  </si>
  <si>
    <t>Kingston upon Hull, City ofHilldale Housing Association Limited</t>
  </si>
  <si>
    <t>Kingston upon Hull, City ofHome Group Limited</t>
  </si>
  <si>
    <t>Kingston upon Hull, City ofHousing 21</t>
  </si>
  <si>
    <t>Kingston upon Hull, City ofHull Churches Housing Association Limited</t>
  </si>
  <si>
    <t>Kingston upon Hull, City ofHull House Improvement Society Limited</t>
  </si>
  <si>
    <t>Kingston upon Hull, City ofHull Resettlement Project Limited</t>
  </si>
  <si>
    <t>Kingston upon Hull, City ofHull United Charities</t>
  </si>
  <si>
    <t>Kingston upon Hull, City ofHull and East Yorkshire Mind</t>
  </si>
  <si>
    <t>Kingston upon Hull, City ofInclusion Housing Community Interest Company</t>
  </si>
  <si>
    <t>Kingston upon Hull, City ofJoseph Rowntree Housing Trust</t>
  </si>
  <si>
    <t>Kingston upon Hull, City ofMy Space Housing Solutions</t>
  </si>
  <si>
    <t>Kingston upon Hull, City ofNational Community Homes CIC</t>
  </si>
  <si>
    <t>Kingston upon Hull, City ofPickering and Ferens Homes</t>
  </si>
  <si>
    <t>Kingston upon Hull, City ofPlaces for People Homes Limited</t>
  </si>
  <si>
    <t>Kingston upon Hull, City ofPlaces for People Living+ Limited</t>
  </si>
  <si>
    <t>Kingston upon Hull, City ofRailway Housing Association and Benefit Fund</t>
  </si>
  <si>
    <t>Kingston upon Hull, City ofReside Housing Association Limited</t>
  </si>
  <si>
    <t>Kingston upon Hull, City ofSalvation Army Housing Association</t>
  </si>
  <si>
    <t>Kingston upon Hull, City ofSanctuary Affordable Housing Limited</t>
  </si>
  <si>
    <t>Kingston upon Hull, City ofSanctuary Housing Association</t>
  </si>
  <si>
    <t>Kingston upon Hull, City ofTarget Housing Limited</t>
  </si>
  <si>
    <t>Kingston upon Hull, City ofTeachers' Housing Association Limited</t>
  </si>
  <si>
    <t>Kingston upon Hull, City ofThe Riverside Group Limited</t>
  </si>
  <si>
    <t>Kingston upon Hull, City ofThirteen Housing Group Limited</t>
  </si>
  <si>
    <t>Kingston upon Hull, City ofTogether Housing Association Limited</t>
  </si>
  <si>
    <t>Kingston upon Hull, City ofWestmoreland Supported Housing Limited</t>
  </si>
  <si>
    <t>Kingston upon Hull, City ofWinner Trading Limited</t>
  </si>
  <si>
    <t>Bournemouth, Christchurch and PooleAbbeyfield Wessex Society Limited</t>
  </si>
  <si>
    <t>Bournemouth, Christchurch and PooleAbility Housing Association</t>
  </si>
  <si>
    <t>Bournemouth, Christchurch and PooleAbri Group Limited</t>
  </si>
  <si>
    <t>Bournemouth, Christchurch and PooleAdvance Housing and Support Limited</t>
  </si>
  <si>
    <t>Bournemouth, Christchurch and PooleAnchor Hanover Group</t>
  </si>
  <si>
    <t>Bournemouth, Christchurch and PooleAster Communities</t>
  </si>
  <si>
    <t>Bournemouth, Christchurch and PooleBespoke Supportive Tenancies Ltd</t>
  </si>
  <si>
    <t>Bournemouth, Christchurch and PooleBoscombe Rotary and Inner Wheel Housing Association Limited</t>
  </si>
  <si>
    <t>Bournemouth, Christchurch and PooleCatalyst Housing Limited</t>
  </si>
  <si>
    <t>Bournemouth, Christchurch and PooleClarion Housing Association Limited</t>
  </si>
  <si>
    <t>Bournemouth, Christchurch and PooleEast Boro Housing Trust Limited</t>
  </si>
  <si>
    <t>Bournemouth, Christchurch and PooleFunding Affordable Homes Housing Association Limited</t>
  </si>
  <si>
    <t>Bournemouth, Christchurch and PooleHeylo Housing Registered Provider Limited</t>
  </si>
  <si>
    <t>Bournemouth, Christchurch and PooleHousing 21</t>
  </si>
  <si>
    <t>Bournemouth, Christchurch and PooleInclusion Housing Community Interest Company</t>
  </si>
  <si>
    <t>Bournemouth, Christchurch and PooleLangley House Trust</t>
  </si>
  <si>
    <t>Bournemouth, Christchurch and PooleMoat Homes Limited</t>
  </si>
  <si>
    <t>Bournemouth, Christchurch and PooleNotting Hill Home Ownership Limited</t>
  </si>
  <si>
    <t>Bournemouth, Christchurch and PoolePivotal Housing Association</t>
  </si>
  <si>
    <t>Bournemouth, Christchurch and PoolePlaces for People Homes Limited</t>
  </si>
  <si>
    <t>Bournemouth, Christchurch and PoolePoole Old Peoples Welfare and Housing Society Limited</t>
  </si>
  <si>
    <t>Bournemouth, Christchurch and PooleReside Housing Association Limited</t>
  </si>
  <si>
    <t>Bournemouth, Christchurch and PooleSage Housing Limited</t>
  </si>
  <si>
    <t>Bournemouth, Christchurch and PooleSage Rented Limited</t>
  </si>
  <si>
    <t>Bournemouth, Christchurch and PooleSalvation Army Housing Association</t>
  </si>
  <si>
    <t>Bournemouth, Christchurch and PooleSanctuary Housing Association</t>
  </si>
  <si>
    <t>Bournemouth, Christchurch and PooleSandbourne Housing Association</t>
  </si>
  <si>
    <t>Bournemouth, Christchurch and PooleShepherds Bush Housing Association Limited</t>
  </si>
  <si>
    <t>Bournemouth, Christchurch and PooleSovereign Housing Association Limited</t>
  </si>
  <si>
    <t>Bournemouth, Christchurch and PooleSt Mungo Community Housing Association</t>
  </si>
  <si>
    <t>Bournemouth, Christchurch and PooleStonewater (5) Limited</t>
  </si>
  <si>
    <t>Bournemouth, Christchurch and PooleStonewater Limited</t>
  </si>
  <si>
    <t>Bournemouth, Christchurch and PooleSynergy Housing Limited</t>
  </si>
  <si>
    <t>Bournemouth, Christchurch and PooleThe Swaythling Housing Society Limited</t>
  </si>
  <si>
    <t>Bournemouth, Christchurch and PooleW H Saunders &amp; Frank Wareham Charity</t>
  </si>
  <si>
    <t>Bournemouth, Christchurch and PooleWestmoreland Supported Housing Limited</t>
  </si>
  <si>
    <t>Bournemouth, Christchurch and PooleWindrush Alliance UK Community Interest Company</t>
  </si>
  <si>
    <t>Bournemouth, Christchurch and PooleBournemouth Churches Housing Association Limited</t>
  </si>
  <si>
    <t>Bournemouth, Christchurch and PooleBournemouth Young Men's Christian Association</t>
  </si>
  <si>
    <t>Supported housing/housing for older people (social rent) - rents and unit counts by unit size</t>
  </si>
  <si>
    <t>% of units vacant and available for letting</t>
  </si>
  <si>
    <t>% of units vacant not available for letting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</si>
</sst>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7" formatCode="&quot;£&quot;#,##0.00;\-&quot;£&quot;#,##0.00"/>
    <numFmt numFmtId="44" formatCode="_-&quot;£&quot;* #,##0.00_-;\-&quot;£&quot;* #,##0.00_-;_-&quot;£&quot;* &quot;-&quot;??_-;_-@_-"/>
    <numFmt numFmtId="43" formatCode="_-* #,##0.00_-;\-* #,##0.00_-;_-* &quot;-&quot;??_-;_-@_-"/>
    <numFmt numFmtId="164" formatCode="_-* #,##0_-;\-* #,##0_-;_-* &quot;-&quot;??_-;_-@_-"/>
    <numFmt numFmtId="165" formatCode="0.0%"/>
    <numFmt numFmtId="166" formatCode="&quot;£&quot;#,##0.00"/>
    <numFmt numFmtId="167" formatCode="#,##0;[Red]\-#,##0,\-;&quot;-&quot;"/>
    <numFmt numFmtId="168" formatCode="#,##0_ ;[Red]\-#,##0\ "/>
    <numFmt numFmtId="169" formatCode="0.0"/>
    <numFmt numFmtId="170" formatCode="#,##0;\-#,##0.00_-;&quot;-&quot;"/>
    <numFmt numFmtId="171" formatCode="&quot;£&quot;#,##0.00;\-#,##0.00_-;&quot;-&quot;"/>
  </numFmts>
  <fonts count="70" x14ac:knownFonts="1">
    <font>
      <sz val="11"/>
      <color theme="1"/>
      <name val="Calibri"/>
      <family val="2"/>
      <scheme val="minor"/>
    </font>
    <font>
      <sz val="11"/>
      <color theme="1"/>
      <name val="Arial"/>
      <family val="2"/>
    </font>
    <font>
      <sz val="11"/>
      <color theme="1"/>
      <name val="Arial"/>
      <family val="2"/>
    </font>
    <font>
      <sz val="11"/>
      <color theme="1"/>
      <name val="Calibri"/>
      <family val="2"/>
      <scheme val="minor"/>
    </font>
    <font>
      <b/>
      <sz val="11"/>
      <color theme="1"/>
      <name val="Calibri"/>
      <family val="2"/>
      <scheme val="minor"/>
    </font>
    <font>
      <u/>
      <sz val="11"/>
      <color theme="10"/>
      <name val="Calibri"/>
      <family val="2"/>
      <scheme val="minor"/>
    </font>
    <font>
      <sz val="10"/>
      <color theme="0"/>
      <name val="Arial"/>
      <family val="2"/>
    </font>
    <font>
      <b/>
      <sz val="24"/>
      <color rgb="FF59468D"/>
      <name val="Arial"/>
      <family val="2"/>
    </font>
    <font>
      <b/>
      <sz val="18"/>
      <color rgb="FF59468D"/>
      <name val="Arial"/>
      <family val="2"/>
    </font>
    <font>
      <b/>
      <sz val="18"/>
      <name val="Arial"/>
      <family val="2"/>
    </font>
    <font>
      <sz val="10"/>
      <color rgb="FFFF0000"/>
      <name val="Arial"/>
      <family val="2"/>
    </font>
    <font>
      <b/>
      <sz val="10"/>
      <color theme="1"/>
      <name val="Arial"/>
      <family val="2"/>
    </font>
    <font>
      <sz val="10"/>
      <name val="Arial"/>
      <family val="2"/>
    </font>
    <font>
      <b/>
      <sz val="10"/>
      <color rgb="FFFF0000"/>
      <name val="Arial"/>
      <family val="2"/>
    </font>
    <font>
      <sz val="11"/>
      <name val="Arial"/>
      <family val="2"/>
    </font>
    <font>
      <b/>
      <sz val="10"/>
      <name val="Arial"/>
      <family val="2"/>
    </font>
    <font>
      <sz val="10"/>
      <color theme="1"/>
      <name val="Arial"/>
      <family val="2"/>
    </font>
    <font>
      <b/>
      <sz val="12"/>
      <color rgb="FF59468D"/>
      <name val="Arial"/>
      <family val="2"/>
    </font>
    <font>
      <sz val="12"/>
      <color rgb="FF59468D"/>
      <name val="Arial"/>
      <family val="2"/>
    </font>
    <font>
      <i/>
      <sz val="8"/>
      <color theme="0" tint="-0.499984740745262"/>
      <name val="Arial"/>
      <family val="2"/>
    </font>
    <font>
      <sz val="8"/>
      <color theme="1"/>
      <name val="Arial"/>
      <family val="2"/>
    </font>
    <font>
      <sz val="10"/>
      <color theme="0" tint="-0.499984740745262"/>
      <name val="Arial"/>
      <family val="2"/>
    </font>
    <font>
      <sz val="8"/>
      <name val="Arial"/>
      <family val="2"/>
    </font>
    <font>
      <b/>
      <sz val="10"/>
      <color theme="0"/>
      <name val="Arial"/>
      <family val="2"/>
    </font>
    <font>
      <sz val="10"/>
      <color theme="0" tint="-0.34998626667073579"/>
      <name val="Arial"/>
      <family val="2"/>
    </font>
    <font>
      <sz val="10"/>
      <color rgb="FFAECFE6"/>
      <name val="Arial"/>
      <family val="2"/>
    </font>
    <font>
      <i/>
      <sz val="8"/>
      <name val="Arial"/>
      <family val="2"/>
    </font>
    <font>
      <sz val="10"/>
      <name val="MS Sans Serif"/>
      <family val="2"/>
    </font>
    <font>
      <sz val="12"/>
      <color rgb="FFFF0000"/>
      <name val="Arial"/>
      <family val="2"/>
    </font>
    <font>
      <b/>
      <sz val="9"/>
      <color indexed="81"/>
      <name val="Tahoma"/>
      <family val="2"/>
    </font>
    <font>
      <sz val="9"/>
      <color indexed="81"/>
      <name val="Tahoma"/>
      <family val="2"/>
    </font>
    <font>
      <sz val="10"/>
      <color indexed="8"/>
      <name val="Arial"/>
      <family val="2"/>
    </font>
    <font>
      <sz val="11"/>
      <color indexed="8"/>
      <name val="Calibri"/>
      <family val="2"/>
    </font>
    <font>
      <u/>
      <sz val="10"/>
      <color theme="10"/>
      <name val="Arial"/>
      <family val="2"/>
    </font>
    <font>
      <b/>
      <sz val="10"/>
      <color rgb="FF59468D"/>
      <name val="Arial"/>
      <family val="2"/>
    </font>
    <font>
      <i/>
      <sz val="10"/>
      <color theme="0" tint="-0.499984740745262"/>
      <name val="Arial"/>
      <family val="2"/>
    </font>
    <font>
      <b/>
      <sz val="14"/>
      <color theme="1"/>
      <name val="Arial"/>
      <family val="2"/>
    </font>
    <font>
      <u/>
      <sz val="30"/>
      <color rgb="FF419331"/>
      <name val="Wingdings"/>
      <charset val="2"/>
    </font>
    <font>
      <b/>
      <sz val="30"/>
      <color rgb="FF419331"/>
      <name val="Wingdings"/>
      <charset val="2"/>
    </font>
    <font>
      <b/>
      <u/>
      <sz val="30"/>
      <color theme="0" tint="-0.499984740745262"/>
      <name val="Wingdings"/>
      <charset val="2"/>
    </font>
    <font>
      <b/>
      <sz val="30"/>
      <color rgb="FF00B050"/>
      <name val="Wingdings"/>
      <charset val="2"/>
    </font>
    <font>
      <b/>
      <u/>
      <sz val="30"/>
      <color rgb="FFC33A32"/>
      <name val="Wingdings"/>
      <charset val="2"/>
    </font>
    <font>
      <sz val="10"/>
      <color rgb="FFC33A32"/>
      <name val="Arial"/>
      <family val="2"/>
    </font>
    <font>
      <b/>
      <sz val="10"/>
      <color rgb="FF419331"/>
      <name val="Arial"/>
      <family val="2"/>
    </font>
    <font>
      <b/>
      <sz val="10"/>
      <color theme="0" tint="-0.499984740745262"/>
      <name val="Arial"/>
      <family val="2"/>
    </font>
    <font>
      <b/>
      <sz val="10"/>
      <color rgb="FFC33A32"/>
      <name val="Arial"/>
      <family val="2"/>
    </font>
    <font>
      <b/>
      <sz val="10"/>
      <color rgb="FF00B050"/>
      <name val="Arial"/>
      <family val="2"/>
    </font>
    <font>
      <b/>
      <sz val="28"/>
      <color rgb="FF59468D"/>
      <name val="Arial"/>
      <family val="2"/>
    </font>
    <font>
      <sz val="12"/>
      <name val="Arial"/>
      <family val="2"/>
    </font>
    <font>
      <b/>
      <sz val="12"/>
      <name val="Arial"/>
      <family val="2"/>
    </font>
    <font>
      <b/>
      <sz val="12"/>
      <color rgb="FFFF0000"/>
      <name val="Arial"/>
      <family val="2"/>
    </font>
    <font>
      <sz val="9"/>
      <name val="Arial"/>
      <family val="2"/>
    </font>
    <font>
      <u/>
      <sz val="12"/>
      <color theme="10"/>
      <name val="Arial"/>
      <family val="2"/>
    </font>
    <font>
      <sz val="12"/>
      <color theme="0" tint="-0.249977111117893"/>
      <name val="Arial"/>
      <family val="2"/>
    </font>
    <font>
      <sz val="10"/>
      <color theme="0" tint="-0.249977111117893"/>
      <name val="Arial"/>
      <family val="2"/>
    </font>
    <font>
      <sz val="12"/>
      <color theme="0"/>
      <name val="Arial"/>
      <family val="2"/>
    </font>
    <font>
      <sz val="12"/>
      <color theme="1"/>
      <name val="Arial"/>
      <family val="2"/>
    </font>
    <font>
      <sz val="24"/>
      <color theme="1"/>
      <name val="Arial"/>
      <family val="2"/>
    </font>
    <font>
      <b/>
      <sz val="18"/>
      <color theme="1"/>
      <name val="Arial"/>
      <family val="2"/>
    </font>
    <font>
      <b/>
      <sz val="12"/>
      <color theme="1"/>
      <name val="Arial"/>
      <family val="2"/>
    </font>
    <font>
      <u/>
      <sz val="12"/>
      <color rgb="FF59468D"/>
      <name val="Arial"/>
      <family val="2"/>
    </font>
    <font>
      <b/>
      <sz val="14"/>
      <color rgb="FF59468D"/>
      <name val="Arial"/>
      <family val="2"/>
    </font>
    <font>
      <b/>
      <sz val="14"/>
      <color indexed="9"/>
      <name val="Arial"/>
      <family val="2"/>
    </font>
    <font>
      <b/>
      <sz val="12"/>
      <color indexed="9"/>
      <name val="Arial"/>
      <family val="2"/>
    </font>
    <font>
      <b/>
      <sz val="12"/>
      <color theme="0"/>
      <name val="Arial"/>
      <family val="2"/>
    </font>
    <font>
      <b/>
      <sz val="22"/>
      <color rgb="FF59468D"/>
      <name val="Arial"/>
      <family val="2"/>
    </font>
    <font>
      <sz val="10"/>
      <color rgb="FF002060"/>
      <name val="Arial"/>
      <family val="2"/>
    </font>
    <font>
      <b/>
      <sz val="11"/>
      <color theme="1"/>
      <name val="Arial"/>
      <family val="2"/>
    </font>
    <font>
      <b/>
      <u/>
      <sz val="10"/>
      <color theme="10"/>
      <name val="Arial"/>
      <family val="2"/>
    </font>
    <font>
      <sz val="8"/>
      <name val="Calibri"/>
      <family val="2"/>
      <scheme val="minor"/>
    </font>
  </fonts>
  <fills count="36">
    <fill>
      <patternFill patternType="none"/>
    </fill>
    <fill>
      <patternFill patternType="gray125"/>
    </fill>
    <fill>
      <patternFill patternType="solid">
        <fgColor theme="0"/>
        <bgColor indexed="64"/>
      </patternFill>
    </fill>
    <fill>
      <patternFill patternType="solid">
        <fgColor rgb="FFFDFF99"/>
        <bgColor indexed="64"/>
      </patternFill>
    </fill>
    <fill>
      <patternFill patternType="solid">
        <fgColor rgb="FFE2EEF6"/>
        <bgColor indexed="64"/>
      </patternFill>
    </fill>
    <fill>
      <patternFill patternType="solid">
        <fgColor rgb="FFC00000"/>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4" tint="0.79998168889431442"/>
        <bgColor theme="4" tint="0.79998168889431442"/>
      </patternFill>
    </fill>
    <fill>
      <patternFill patternType="solid">
        <fgColor rgb="FFFFFF00"/>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rgb="FF92D050"/>
        <bgColor indexed="64"/>
      </patternFill>
    </fill>
    <fill>
      <patternFill patternType="solid">
        <fgColor rgb="FFFFFFCC"/>
        <bgColor indexed="64"/>
      </patternFill>
    </fill>
    <fill>
      <patternFill patternType="solid">
        <fgColor theme="9" tint="0.39997558519241921"/>
        <bgColor indexed="64"/>
      </patternFill>
    </fill>
    <fill>
      <patternFill patternType="solid">
        <fgColor rgb="FFAECFE6"/>
        <bgColor indexed="64"/>
      </patternFill>
    </fill>
    <fill>
      <patternFill patternType="solid">
        <fgColor rgb="FF9A8CC6"/>
        <bgColor indexed="64"/>
      </patternFill>
    </fill>
    <fill>
      <patternFill patternType="solid">
        <fgColor rgb="FFD5CFE7"/>
        <bgColor indexed="64"/>
      </patternFill>
    </fill>
    <fill>
      <patternFill patternType="solid">
        <fgColor theme="7" tint="0.39997558519241921"/>
        <bgColor indexed="64"/>
      </patternFill>
    </fill>
    <fill>
      <patternFill patternType="solid">
        <fgColor indexed="22"/>
        <bgColor indexed="0"/>
      </patternFill>
    </fill>
    <fill>
      <patternFill patternType="solid">
        <fgColor rgb="FFFABF8F"/>
        <bgColor indexed="64"/>
      </patternFill>
    </fill>
    <fill>
      <patternFill patternType="solid">
        <fgColor rgb="FFE4DFEC"/>
        <bgColor indexed="64"/>
      </patternFill>
    </fill>
    <fill>
      <patternFill patternType="solid">
        <fgColor indexed="9"/>
        <bgColor indexed="64"/>
      </patternFill>
    </fill>
    <fill>
      <patternFill patternType="solid">
        <fgColor rgb="FF59468D"/>
        <bgColor indexed="64"/>
      </patternFill>
    </fill>
    <fill>
      <patternFill patternType="solid">
        <fgColor theme="9" tint="0.79998168889431442"/>
        <bgColor theme="9" tint="0.79998168889431442"/>
      </patternFill>
    </fill>
  </fills>
  <borders count="61">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bottom/>
      <diagonal/>
    </border>
    <border>
      <left style="hair">
        <color indexed="64"/>
      </left>
      <right style="hair">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hair">
        <color auto="1"/>
      </left>
      <right style="hair">
        <color auto="1"/>
      </right>
      <top/>
      <bottom/>
      <diagonal/>
    </border>
    <border>
      <left style="medium">
        <color indexed="64"/>
      </left>
      <right/>
      <top/>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theme="1"/>
      </top>
      <bottom/>
      <diagonal/>
    </border>
    <border>
      <left/>
      <right/>
      <top style="thin">
        <color theme="1"/>
      </top>
      <bottom/>
      <diagonal/>
    </border>
    <border>
      <left/>
      <right style="thin">
        <color indexed="64"/>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indexed="64"/>
      </bottom>
      <diagonal/>
    </border>
    <border>
      <left/>
      <right style="thin">
        <color theme="1"/>
      </right>
      <top/>
      <bottom style="thin">
        <color indexed="64"/>
      </bottom>
      <diagonal/>
    </border>
    <border>
      <left/>
      <right style="thin">
        <color theme="1"/>
      </right>
      <top style="thin">
        <color indexed="64"/>
      </top>
      <bottom style="thin">
        <color indexed="64"/>
      </bottom>
      <diagonal/>
    </border>
    <border>
      <left style="thin">
        <color theme="1"/>
      </left>
      <right/>
      <top style="thin">
        <color theme="1"/>
      </top>
      <bottom/>
      <diagonal/>
    </border>
    <border>
      <left/>
      <right style="thin">
        <color theme="1"/>
      </right>
      <top style="thin">
        <color theme="1"/>
      </top>
      <bottom/>
      <diagonal/>
    </border>
    <border>
      <left style="thin">
        <color theme="1"/>
      </left>
      <right/>
      <top style="thin">
        <color indexed="64"/>
      </top>
      <bottom/>
      <diagonal/>
    </border>
    <border>
      <left style="hair">
        <color auto="1"/>
      </left>
      <right style="hair">
        <color auto="1"/>
      </right>
      <top style="hair">
        <color auto="1"/>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right/>
      <top/>
      <bottom style="thin">
        <color theme="4" tint="0.39997558519241921"/>
      </bottom>
      <diagonal/>
    </border>
    <border>
      <left style="thin">
        <color indexed="22"/>
      </left>
      <right style="thin">
        <color indexed="22"/>
      </right>
      <top/>
      <bottom/>
      <diagonal/>
    </border>
    <border>
      <left style="thin">
        <color indexed="8"/>
      </left>
      <right style="thin">
        <color indexed="8"/>
      </right>
      <top style="thin">
        <color indexed="8"/>
      </top>
      <bottom style="thin">
        <color indexed="8"/>
      </bottom>
      <diagonal/>
    </border>
    <border>
      <left style="thin">
        <color auto="1"/>
      </left>
      <right style="thin">
        <color auto="1"/>
      </right>
      <top/>
      <bottom/>
      <diagonal/>
    </border>
    <border>
      <left style="medium">
        <color indexed="64"/>
      </left>
      <right style="medium">
        <color indexed="64"/>
      </right>
      <top style="medium">
        <color indexed="64"/>
      </top>
      <bottom style="medium">
        <color indexed="64"/>
      </bottom>
      <diagonal/>
    </border>
    <border>
      <left/>
      <right/>
      <top/>
      <bottom style="thin">
        <color theme="0"/>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right style="thin">
        <color theme="0"/>
      </right>
      <top/>
      <bottom style="thin">
        <color theme="0"/>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s>
  <cellStyleXfs count="10">
    <xf numFmtId="0" fontId="0"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5" fillId="0" borderId="0" applyNumberFormat="0" applyFill="0" applyBorder="0" applyAlignment="0" applyProtection="0"/>
    <xf numFmtId="0" fontId="14" fillId="0" borderId="0"/>
    <xf numFmtId="0" fontId="27" fillId="0" borderId="0"/>
    <xf numFmtId="0" fontId="31" fillId="0" borderId="0"/>
    <xf numFmtId="0" fontId="16" fillId="0" borderId="0"/>
    <xf numFmtId="0" fontId="1" fillId="0" borderId="0"/>
  </cellStyleXfs>
  <cellXfs count="693">
    <xf numFmtId="0" fontId="0" fillId="0" borderId="0" xfId="0"/>
    <xf numFmtId="0" fontId="6" fillId="2" borderId="0" xfId="0" applyFont="1" applyFill="1" applyAlignment="1" applyProtection="1">
      <alignment horizontal="left" vertical="top"/>
      <protection hidden="1"/>
    </xf>
    <xf numFmtId="0" fontId="0" fillId="2" borderId="0" xfId="0" applyFill="1" applyAlignment="1" applyProtection="1">
      <alignment vertical="top"/>
      <protection hidden="1"/>
    </xf>
    <xf numFmtId="0" fontId="8" fillId="2" borderId="0" xfId="0" applyFont="1" applyFill="1" applyAlignment="1" applyProtection="1">
      <alignment horizontal="left" vertical="top"/>
      <protection hidden="1"/>
    </xf>
    <xf numFmtId="0" fontId="9" fillId="2" borderId="0" xfId="0" applyFont="1" applyFill="1" applyAlignment="1" applyProtection="1">
      <alignment horizontal="left" vertical="top"/>
      <protection hidden="1"/>
    </xf>
    <xf numFmtId="0" fontId="10" fillId="2" borderId="0" xfId="0" applyFont="1" applyFill="1" applyAlignment="1" applyProtection="1">
      <alignment horizontal="left" vertical="top"/>
      <protection hidden="1"/>
    </xf>
    <xf numFmtId="0" fontId="9" fillId="2" borderId="0" xfId="0" applyFont="1" applyFill="1" applyAlignment="1" applyProtection="1">
      <alignment horizontal="center" vertical="top"/>
      <protection hidden="1"/>
    </xf>
    <xf numFmtId="0" fontId="11" fillId="2" borderId="0" xfId="0" applyFont="1" applyFill="1" applyAlignment="1" applyProtection="1">
      <alignment vertical="top"/>
      <protection hidden="1"/>
    </xf>
    <xf numFmtId="0" fontId="6" fillId="2" borderId="0" xfId="0" applyFont="1" applyFill="1" applyAlignment="1" applyProtection="1">
      <alignment vertical="top"/>
      <protection hidden="1"/>
    </xf>
    <xf numFmtId="0" fontId="6" fillId="0" borderId="0" xfId="0" applyFont="1" applyAlignment="1" applyProtection="1">
      <alignment vertical="top"/>
      <protection hidden="1"/>
    </xf>
    <xf numFmtId="0" fontId="13" fillId="2" borderId="0" xfId="0" applyFont="1" applyFill="1" applyAlignment="1" applyProtection="1">
      <alignment vertical="top"/>
      <protection hidden="1"/>
    </xf>
    <xf numFmtId="0" fontId="6" fillId="2" borderId="0" xfId="0" applyFont="1" applyFill="1" applyAlignment="1" applyProtection="1">
      <alignment horizontal="left"/>
      <protection hidden="1"/>
    </xf>
    <xf numFmtId="0" fontId="6" fillId="2" borderId="0" xfId="0" applyFont="1" applyFill="1" applyProtection="1">
      <protection hidden="1"/>
    </xf>
    <xf numFmtId="0" fontId="12" fillId="2" borderId="0" xfId="5" applyFont="1" applyFill="1" applyAlignment="1" applyProtection="1">
      <alignment horizontal="center" wrapText="1"/>
      <protection hidden="1"/>
    </xf>
    <xf numFmtId="0" fontId="10" fillId="2" borderId="0" xfId="0" applyFont="1" applyFill="1" applyAlignment="1" applyProtection="1">
      <alignment wrapText="1"/>
      <protection hidden="1"/>
    </xf>
    <xf numFmtId="0" fontId="15" fillId="2" borderId="0" xfId="5" applyFont="1" applyFill="1" applyAlignment="1" applyProtection="1">
      <alignment horizontal="center" wrapText="1"/>
      <protection hidden="1"/>
    </xf>
    <xf numFmtId="164" fontId="15" fillId="2" borderId="0" xfId="1" applyNumberFormat="1" applyFont="1" applyFill="1" applyBorder="1" applyAlignment="1" applyProtection="1">
      <alignment horizontal="center" wrapText="1"/>
      <protection hidden="1"/>
    </xf>
    <xf numFmtId="0" fontId="0" fillId="2" borderId="0" xfId="0" applyFill="1" applyProtection="1">
      <protection hidden="1"/>
    </xf>
    <xf numFmtId="0" fontId="12" fillId="2" borderId="0" xfId="0" applyFont="1" applyFill="1" applyProtection="1">
      <protection hidden="1"/>
    </xf>
    <xf numFmtId="0" fontId="6" fillId="5" borderId="0" xfId="0" applyFont="1" applyFill="1" applyProtection="1">
      <protection hidden="1"/>
    </xf>
    <xf numFmtId="0" fontId="15" fillId="2" borderId="0" xfId="0" applyFont="1" applyFill="1" applyAlignment="1" applyProtection="1">
      <alignment horizontal="left"/>
      <protection hidden="1"/>
    </xf>
    <xf numFmtId="0" fontId="12" fillId="2" borderId="0" xfId="5" applyFont="1" applyFill="1" applyAlignment="1" applyProtection="1">
      <alignment horizontal="left"/>
      <protection hidden="1"/>
    </xf>
    <xf numFmtId="0" fontId="11" fillId="4" borderId="8" xfId="0" applyFont="1" applyFill="1" applyBorder="1" applyAlignment="1" applyProtection="1">
      <alignment horizontal="left"/>
      <protection hidden="1"/>
    </xf>
    <xf numFmtId="0" fontId="0" fillId="4" borderId="9" xfId="0" applyFill="1" applyBorder="1" applyProtection="1">
      <protection hidden="1"/>
    </xf>
    <xf numFmtId="0" fontId="11" fillId="4" borderId="9" xfId="0" applyFont="1" applyFill="1" applyBorder="1" applyAlignment="1" applyProtection="1">
      <alignment horizontal="right"/>
      <protection hidden="1"/>
    </xf>
    <xf numFmtId="0" fontId="11" fillId="4" borderId="10" xfId="0" applyFont="1" applyFill="1" applyBorder="1" applyAlignment="1" applyProtection="1">
      <alignment horizontal="right"/>
      <protection hidden="1"/>
    </xf>
    <xf numFmtId="0" fontId="0" fillId="2" borderId="9" xfId="0" applyFill="1" applyBorder="1" applyProtection="1">
      <protection hidden="1"/>
    </xf>
    <xf numFmtId="0" fontId="19" fillId="6" borderId="9" xfId="0" applyFont="1" applyFill="1" applyBorder="1" applyAlignment="1" applyProtection="1">
      <alignment horizontal="right"/>
      <protection hidden="1"/>
    </xf>
    <xf numFmtId="0" fontId="21" fillId="2" borderId="0" xfId="0" applyFont="1" applyFill="1" applyAlignment="1" applyProtection="1">
      <alignment horizontal="left"/>
      <protection hidden="1"/>
    </xf>
    <xf numFmtId="0" fontId="21" fillId="2" borderId="0" xfId="0" applyFont="1" applyFill="1" applyProtection="1">
      <protection hidden="1"/>
    </xf>
    <xf numFmtId="0" fontId="21" fillId="2" borderId="9" xfId="0" applyFont="1" applyFill="1" applyBorder="1" applyAlignment="1" applyProtection="1">
      <alignment horizontal="left"/>
      <protection hidden="1"/>
    </xf>
    <xf numFmtId="0" fontId="21" fillId="2" borderId="9" xfId="0" applyFont="1" applyFill="1" applyBorder="1" applyProtection="1">
      <protection hidden="1"/>
    </xf>
    <xf numFmtId="0" fontId="0" fillId="2" borderId="0" xfId="0" applyFill="1" applyAlignment="1" applyProtection="1">
      <alignment horizontal="left"/>
      <protection hidden="1"/>
    </xf>
    <xf numFmtId="0" fontId="19" fillId="6" borderId="0" xfId="0" applyFont="1" applyFill="1" applyAlignment="1" applyProtection="1">
      <alignment horizontal="right"/>
      <protection hidden="1"/>
    </xf>
    <xf numFmtId="0" fontId="6" fillId="2" borderId="21" xfId="0" applyFont="1" applyFill="1" applyBorder="1" applyProtection="1">
      <protection hidden="1"/>
    </xf>
    <xf numFmtId="0" fontId="11" fillId="2" borderId="23" xfId="0" applyFont="1" applyFill="1" applyBorder="1" applyAlignment="1" applyProtection="1">
      <alignment horizontal="left"/>
      <protection hidden="1"/>
    </xf>
    <xf numFmtId="0" fontId="11" fillId="2" borderId="20" xfId="0" applyFont="1" applyFill="1" applyBorder="1" applyAlignment="1" applyProtection="1">
      <alignment horizontal="left"/>
      <protection hidden="1"/>
    </xf>
    <xf numFmtId="0" fontId="11" fillId="2" borderId="21" xfId="0" applyFont="1" applyFill="1" applyBorder="1" applyProtection="1">
      <protection hidden="1"/>
    </xf>
    <xf numFmtId="0" fontId="12" fillId="2" borderId="29" xfId="1" applyNumberFormat="1" applyFont="1" applyFill="1" applyBorder="1" applyAlignment="1" applyProtection="1">
      <alignment horizontal="left"/>
      <protection hidden="1"/>
    </xf>
    <xf numFmtId="3" fontId="12" fillId="2" borderId="0" xfId="1" applyNumberFormat="1" applyFont="1" applyFill="1" applyBorder="1" applyAlignment="1" applyProtection="1">
      <alignment horizontal="right" wrapText="1"/>
      <protection hidden="1"/>
    </xf>
    <xf numFmtId="3" fontId="12" fillId="2" borderId="30" xfId="1" applyNumberFormat="1" applyFont="1" applyFill="1" applyBorder="1" applyAlignment="1" applyProtection="1">
      <alignment horizontal="right" wrapText="1"/>
      <protection hidden="1"/>
    </xf>
    <xf numFmtId="0" fontId="0" fillId="2" borderId="0" xfId="0" applyFill="1" applyAlignment="1" applyProtection="1">
      <alignment horizontal="right"/>
      <protection hidden="1"/>
    </xf>
    <xf numFmtId="0" fontId="12" fillId="2" borderId="31" xfId="1" applyNumberFormat="1" applyFont="1" applyFill="1" applyBorder="1" applyAlignment="1" applyProtection="1">
      <alignment horizontal="left"/>
      <protection hidden="1"/>
    </xf>
    <xf numFmtId="165" fontId="12" fillId="2" borderId="9" xfId="3" applyNumberFormat="1" applyFont="1" applyFill="1" applyBorder="1" applyAlignment="1" applyProtection="1">
      <alignment horizontal="right" wrapText="1"/>
      <protection hidden="1"/>
    </xf>
    <xf numFmtId="165" fontId="12" fillId="2" borderId="32" xfId="3" applyNumberFormat="1" applyFont="1" applyFill="1" applyBorder="1" applyAlignment="1" applyProtection="1">
      <alignment horizontal="right" wrapText="1"/>
      <protection hidden="1"/>
    </xf>
    <xf numFmtId="3" fontId="0" fillId="2" borderId="0" xfId="0" applyNumberFormat="1" applyFill="1" applyProtection="1">
      <protection hidden="1"/>
    </xf>
    <xf numFmtId="164" fontId="12" fillId="2" borderId="0" xfId="1" applyNumberFormat="1" applyFont="1" applyFill="1" applyBorder="1" applyAlignment="1" applyProtection="1">
      <alignment horizontal="left"/>
      <protection hidden="1"/>
    </xf>
    <xf numFmtId="0" fontId="18" fillId="4" borderId="6" xfId="0" applyFont="1" applyFill="1" applyBorder="1" applyAlignment="1" applyProtection="1">
      <alignment vertical="top"/>
      <protection hidden="1"/>
    </xf>
    <xf numFmtId="0" fontId="18" fillId="4" borderId="7" xfId="0" applyFont="1" applyFill="1" applyBorder="1" applyAlignment="1" applyProtection="1">
      <alignment vertical="top"/>
      <protection hidden="1"/>
    </xf>
    <xf numFmtId="0" fontId="17" fillId="4" borderId="5" xfId="0" applyFont="1" applyFill="1" applyBorder="1" applyAlignment="1" applyProtection="1">
      <alignment vertical="top"/>
      <protection hidden="1"/>
    </xf>
    <xf numFmtId="0" fontId="18" fillId="4" borderId="8" xfId="0" applyFont="1" applyFill="1" applyBorder="1" applyAlignment="1" applyProtection="1">
      <alignment vertical="top"/>
      <protection hidden="1"/>
    </xf>
    <xf numFmtId="0" fontId="18" fillId="4" borderId="0" xfId="0" applyFont="1" applyFill="1" applyAlignment="1" applyProtection="1">
      <alignment vertical="top"/>
      <protection hidden="1"/>
    </xf>
    <xf numFmtId="0" fontId="18" fillId="4" borderId="4" xfId="0" applyFont="1" applyFill="1" applyBorder="1" applyAlignment="1" applyProtection="1">
      <alignment vertical="top"/>
      <protection hidden="1"/>
    </xf>
    <xf numFmtId="0" fontId="0" fillId="2" borderId="0" xfId="0" applyFill="1" applyAlignment="1" applyProtection="1">
      <alignment horizontal="right" vertical="top"/>
      <protection hidden="1"/>
    </xf>
    <xf numFmtId="0" fontId="11" fillId="2" borderId="5" xfId="0" applyFont="1" applyFill="1" applyBorder="1" applyProtection="1">
      <protection hidden="1"/>
    </xf>
    <xf numFmtId="0" fontId="0" fillId="2" borderId="6" xfId="0" applyFill="1" applyBorder="1" applyProtection="1">
      <protection hidden="1"/>
    </xf>
    <xf numFmtId="0" fontId="11" fillId="2" borderId="5" xfId="0" applyFont="1" applyFill="1" applyBorder="1" applyAlignment="1" applyProtection="1">
      <alignment horizontal="left" vertical="top"/>
      <protection hidden="1"/>
    </xf>
    <xf numFmtId="0" fontId="11" fillId="2" borderId="0" xfId="0" applyFont="1" applyFill="1" applyProtection="1">
      <protection hidden="1"/>
    </xf>
    <xf numFmtId="0" fontId="11" fillId="2" borderId="8" xfId="0" applyFont="1" applyFill="1" applyBorder="1" applyProtection="1">
      <protection hidden="1"/>
    </xf>
    <xf numFmtId="0" fontId="0" fillId="2" borderId="8" xfId="0" applyFill="1" applyBorder="1" applyAlignment="1" applyProtection="1">
      <alignment horizontal="left" indent="1"/>
      <protection hidden="1"/>
    </xf>
    <xf numFmtId="0" fontId="11" fillId="2" borderId="23" xfId="0" applyFont="1" applyFill="1" applyBorder="1" applyProtection="1">
      <protection hidden="1"/>
    </xf>
    <xf numFmtId="0" fontId="0" fillId="2" borderId="9" xfId="0" applyFill="1" applyBorder="1" applyAlignment="1" applyProtection="1">
      <alignment vertical="top"/>
      <protection hidden="1"/>
    </xf>
    <xf numFmtId="0" fontId="0" fillId="2" borderId="8" xfId="0" applyFill="1" applyBorder="1" applyProtection="1">
      <protection hidden="1"/>
    </xf>
    <xf numFmtId="164" fontId="15" fillId="2" borderId="6" xfId="1" applyNumberFormat="1" applyFont="1" applyFill="1" applyBorder="1" applyAlignment="1" applyProtection="1">
      <alignment horizontal="center" wrapText="1"/>
      <protection hidden="1"/>
    </xf>
    <xf numFmtId="0" fontId="11" fillId="2" borderId="20" xfId="0" applyFont="1" applyFill="1" applyBorder="1" applyProtection="1">
      <protection hidden="1"/>
    </xf>
    <xf numFmtId="164" fontId="15" fillId="2" borderId="21" xfId="1" applyNumberFormat="1" applyFont="1" applyFill="1" applyBorder="1" applyAlignment="1" applyProtection="1">
      <alignment horizontal="right" wrapText="1"/>
      <protection hidden="1"/>
    </xf>
    <xf numFmtId="164" fontId="15" fillId="2" borderId="33" xfId="1" applyNumberFormat="1" applyFont="1" applyFill="1" applyBorder="1" applyAlignment="1" applyProtection="1">
      <alignment horizontal="right" wrapText="1"/>
      <protection hidden="1"/>
    </xf>
    <xf numFmtId="164" fontId="15" fillId="2" borderId="9" xfId="1" applyNumberFormat="1" applyFont="1" applyFill="1" applyBorder="1" applyAlignment="1" applyProtection="1">
      <alignment horizontal="center" wrapText="1"/>
      <protection hidden="1"/>
    </xf>
    <xf numFmtId="3" fontId="12" fillId="2" borderId="9" xfId="1" applyNumberFormat="1" applyFont="1" applyFill="1" applyBorder="1" applyAlignment="1" applyProtection="1">
      <alignment horizontal="right" wrapText="1"/>
      <protection hidden="1"/>
    </xf>
    <xf numFmtId="3" fontId="12" fillId="2" borderId="32" xfId="1" applyNumberFormat="1" applyFont="1" applyFill="1" applyBorder="1" applyAlignment="1" applyProtection="1">
      <alignment horizontal="right" wrapText="1"/>
      <protection hidden="1"/>
    </xf>
    <xf numFmtId="3" fontId="12" fillId="2" borderId="6" xfId="1" applyNumberFormat="1" applyFont="1" applyFill="1" applyBorder="1" applyAlignment="1" applyProtection="1">
      <alignment horizontal="right" wrapText="1"/>
      <protection hidden="1"/>
    </xf>
    <xf numFmtId="3" fontId="12" fillId="2" borderId="7" xfId="1" applyNumberFormat="1" applyFont="1" applyFill="1" applyBorder="1" applyAlignment="1" applyProtection="1">
      <alignment horizontal="right" wrapText="1"/>
      <protection hidden="1"/>
    </xf>
    <xf numFmtId="0" fontId="0" fillId="2" borderId="4" xfId="0" applyFill="1" applyBorder="1" applyProtection="1">
      <protection hidden="1"/>
    </xf>
    <xf numFmtId="165" fontId="12" fillId="2" borderId="0" xfId="3" applyNumberFormat="1" applyFont="1" applyFill="1" applyBorder="1" applyAlignment="1" applyProtection="1">
      <alignment horizontal="right" wrapText="1"/>
      <protection hidden="1"/>
    </xf>
    <xf numFmtId="165" fontId="12" fillId="2" borderId="30" xfId="3" applyNumberFormat="1" applyFont="1" applyFill="1" applyBorder="1" applyAlignment="1" applyProtection="1">
      <alignment horizontal="right" wrapText="1"/>
      <protection hidden="1"/>
    </xf>
    <xf numFmtId="0" fontId="20" fillId="2" borderId="8" xfId="0" applyFont="1" applyFill="1" applyBorder="1" applyProtection="1">
      <protection hidden="1"/>
    </xf>
    <xf numFmtId="165" fontId="0" fillId="2" borderId="0" xfId="0" applyNumberFormat="1" applyFill="1" applyProtection="1">
      <protection hidden="1"/>
    </xf>
    <xf numFmtId="0" fontId="22" fillId="2" borderId="8" xfId="0" applyFont="1" applyFill="1" applyBorder="1" applyProtection="1">
      <protection hidden="1"/>
    </xf>
    <xf numFmtId="0" fontId="22" fillId="2" borderId="23" xfId="0" applyFont="1" applyFill="1" applyBorder="1" applyProtection="1">
      <protection hidden="1"/>
    </xf>
    <xf numFmtId="0" fontId="0" fillId="2" borderId="10" xfId="0" applyFill="1" applyBorder="1" applyProtection="1">
      <protection hidden="1"/>
    </xf>
    <xf numFmtId="0" fontId="17" fillId="4" borderId="34" xfId="0" applyFont="1" applyFill="1" applyBorder="1" applyAlignment="1" applyProtection="1">
      <alignment vertical="top"/>
      <protection hidden="1"/>
    </xf>
    <xf numFmtId="0" fontId="18" fillId="4" borderId="27" xfId="0" applyFont="1" applyFill="1" applyBorder="1" applyAlignment="1" applyProtection="1">
      <alignment vertical="top"/>
      <protection hidden="1"/>
    </xf>
    <xf numFmtId="0" fontId="18" fillId="4" borderId="35" xfId="0" applyFont="1" applyFill="1" applyBorder="1" applyAlignment="1" applyProtection="1">
      <alignment vertical="top"/>
      <protection hidden="1"/>
    </xf>
    <xf numFmtId="0" fontId="6" fillId="2" borderId="29" xfId="0" applyFont="1" applyFill="1" applyBorder="1" applyAlignment="1" applyProtection="1">
      <alignment horizontal="left" indent="1"/>
      <protection hidden="1"/>
    </xf>
    <xf numFmtId="164" fontId="15" fillId="2" borderId="0" xfId="5" applyNumberFormat="1" applyFont="1" applyFill="1" applyAlignment="1" applyProtection="1">
      <alignment horizontal="center" wrapText="1"/>
      <protection hidden="1"/>
    </xf>
    <xf numFmtId="0" fontId="12" fillId="2" borderId="36" xfId="0" applyFont="1" applyFill="1" applyBorder="1" applyAlignment="1" applyProtection="1">
      <alignment horizontal="left" vertical="top"/>
      <protection hidden="1"/>
    </xf>
    <xf numFmtId="0" fontId="12" fillId="2" borderId="29" xfId="0" applyFont="1" applyFill="1" applyBorder="1" applyAlignment="1" applyProtection="1">
      <alignment horizontal="left"/>
      <protection hidden="1"/>
    </xf>
    <xf numFmtId="0" fontId="12" fillId="2" borderId="31" xfId="0" applyFont="1" applyFill="1" applyBorder="1" applyAlignment="1" applyProtection="1">
      <alignment horizontal="left"/>
      <protection hidden="1"/>
    </xf>
    <xf numFmtId="164" fontId="15" fillId="2" borderId="9" xfId="5" applyNumberFormat="1" applyFont="1" applyFill="1" applyBorder="1" applyAlignment="1" applyProtection="1">
      <alignment horizontal="center" wrapText="1"/>
      <protection hidden="1"/>
    </xf>
    <xf numFmtId="0" fontId="15" fillId="2" borderId="31" xfId="0" applyFont="1" applyFill="1" applyBorder="1" applyAlignment="1" applyProtection="1">
      <alignment horizontal="left"/>
      <protection hidden="1"/>
    </xf>
    <xf numFmtId="164" fontId="11" fillId="2" borderId="9" xfId="0" applyNumberFormat="1" applyFont="1" applyFill="1" applyBorder="1" applyProtection="1">
      <protection hidden="1"/>
    </xf>
    <xf numFmtId="0" fontId="0" fillId="2" borderId="5" xfId="0" applyFill="1" applyBorder="1" applyAlignment="1" applyProtection="1">
      <alignment horizontal="left" indent="1"/>
      <protection hidden="1"/>
    </xf>
    <xf numFmtId="164" fontId="12" fillId="2" borderId="6" xfId="5" applyNumberFormat="1" applyFont="1" applyFill="1" applyBorder="1" applyAlignment="1" applyProtection="1">
      <alignment horizontal="center" wrapText="1"/>
      <protection hidden="1"/>
    </xf>
    <xf numFmtId="164" fontId="10" fillId="2" borderId="6" xfId="0" applyNumberFormat="1" applyFont="1" applyFill="1" applyBorder="1" applyAlignment="1" applyProtection="1">
      <alignment wrapText="1"/>
      <protection hidden="1"/>
    </xf>
    <xf numFmtId="0" fontId="10" fillId="2" borderId="6" xfId="0" applyFont="1" applyFill="1" applyBorder="1" applyAlignment="1" applyProtection="1">
      <alignment wrapText="1"/>
      <protection hidden="1"/>
    </xf>
    <xf numFmtId="0" fontId="10" fillId="2" borderId="7" xfId="0" applyFont="1" applyFill="1" applyBorder="1" applyAlignment="1" applyProtection="1">
      <alignment wrapText="1"/>
      <protection hidden="1"/>
    </xf>
    <xf numFmtId="164" fontId="12" fillId="2" borderId="0" xfId="5" applyNumberFormat="1" applyFont="1" applyFill="1" applyAlignment="1" applyProtection="1">
      <alignment horizontal="center" wrapText="1"/>
      <protection hidden="1"/>
    </xf>
    <xf numFmtId="164" fontId="10" fillId="2" borderId="0" xfId="0" applyNumberFormat="1" applyFont="1" applyFill="1" applyAlignment="1" applyProtection="1">
      <alignment wrapText="1"/>
      <protection hidden="1"/>
    </xf>
    <xf numFmtId="0" fontId="10" fillId="2" borderId="4" xfId="0" applyFont="1" applyFill="1" applyBorder="1" applyAlignment="1" applyProtection="1">
      <alignment wrapText="1"/>
      <protection hidden="1"/>
    </xf>
    <xf numFmtId="0" fontId="12" fillId="2" borderId="9" xfId="5" applyFont="1" applyFill="1" applyBorder="1" applyAlignment="1" applyProtection="1">
      <alignment horizontal="center" wrapText="1"/>
      <protection hidden="1"/>
    </xf>
    <xf numFmtId="0" fontId="10" fillId="2" borderId="9" xfId="0" applyFont="1" applyFill="1" applyBorder="1" applyAlignment="1" applyProtection="1">
      <alignment wrapText="1"/>
      <protection hidden="1"/>
    </xf>
    <xf numFmtId="0" fontId="10" fillId="2" borderId="10" xfId="0" applyFont="1" applyFill="1" applyBorder="1" applyAlignment="1" applyProtection="1">
      <alignment wrapText="1"/>
      <protection hidden="1"/>
    </xf>
    <xf numFmtId="0" fontId="24" fillId="2" borderId="0" xfId="0" applyFont="1" applyFill="1" applyProtection="1">
      <protection hidden="1"/>
    </xf>
    <xf numFmtId="0" fontId="25" fillId="2" borderId="0" xfId="0" applyFont="1" applyFill="1" applyProtection="1">
      <protection hidden="1"/>
    </xf>
    <xf numFmtId="0" fontId="17" fillId="4" borderId="5" xfId="0" applyFont="1" applyFill="1" applyBorder="1" applyAlignment="1" applyProtection="1">
      <alignment horizontal="left" vertical="top"/>
      <protection hidden="1"/>
    </xf>
    <xf numFmtId="7" fontId="0" fillId="2" borderId="0" xfId="2" applyNumberFormat="1" applyFont="1" applyFill="1" applyBorder="1" applyProtection="1">
      <protection hidden="1"/>
    </xf>
    <xf numFmtId="0" fontId="13" fillId="2" borderId="0" xfId="0" applyFont="1" applyFill="1" applyAlignment="1" applyProtection="1">
      <alignment horizontal="right"/>
      <protection hidden="1"/>
    </xf>
    <xf numFmtId="0" fontId="13" fillId="2" borderId="4" xfId="0" applyFont="1" applyFill="1" applyBorder="1" applyAlignment="1" applyProtection="1">
      <alignment horizontal="right"/>
      <protection hidden="1"/>
    </xf>
    <xf numFmtId="0" fontId="6" fillId="2" borderId="8" xfId="0" applyFont="1" applyFill="1" applyBorder="1" applyProtection="1">
      <protection hidden="1"/>
    </xf>
    <xf numFmtId="0" fontId="15" fillId="2" borderId="0" xfId="0" applyFont="1" applyFill="1" applyAlignment="1" applyProtection="1">
      <alignment horizontal="right"/>
      <protection hidden="1"/>
    </xf>
    <xf numFmtId="0" fontId="11" fillId="2" borderId="0" xfId="0" applyFont="1" applyFill="1" applyAlignment="1" applyProtection="1">
      <alignment horizontal="right"/>
      <protection hidden="1"/>
    </xf>
    <xf numFmtId="7" fontId="11" fillId="2" borderId="0" xfId="2" applyNumberFormat="1" applyFont="1" applyFill="1" applyBorder="1" applyAlignment="1" applyProtection="1">
      <alignment horizontal="right"/>
      <protection hidden="1"/>
    </xf>
    <xf numFmtId="0" fontId="15" fillId="2" borderId="4" xfId="0" applyFont="1" applyFill="1" applyBorder="1" applyAlignment="1" applyProtection="1">
      <alignment horizontal="right"/>
      <protection hidden="1"/>
    </xf>
    <xf numFmtId="0" fontId="6" fillId="2" borderId="23" xfId="0" applyFont="1" applyFill="1" applyBorder="1" applyAlignment="1" applyProtection="1">
      <alignment vertical="top"/>
      <protection hidden="1"/>
    </xf>
    <xf numFmtId="2" fontId="15" fillId="2" borderId="9" xfId="0" applyNumberFormat="1" applyFont="1" applyFill="1" applyBorder="1" applyAlignment="1" applyProtection="1">
      <alignment horizontal="right"/>
      <protection hidden="1"/>
    </xf>
    <xf numFmtId="2" fontId="11" fillId="2" borderId="9" xfId="2" applyNumberFormat="1" applyFont="1" applyFill="1" applyBorder="1" applyAlignment="1" applyProtection="1">
      <alignment horizontal="right"/>
      <protection hidden="1"/>
    </xf>
    <xf numFmtId="2" fontId="15" fillId="2" borderId="9" xfId="0" applyNumberFormat="1" applyFont="1" applyFill="1" applyBorder="1" applyAlignment="1" applyProtection="1">
      <alignment horizontal="right" wrapText="1"/>
      <protection hidden="1"/>
    </xf>
    <xf numFmtId="2" fontId="15" fillId="2" borderId="10" xfId="0" applyNumberFormat="1" applyFont="1" applyFill="1" applyBorder="1" applyAlignment="1" applyProtection="1">
      <alignment horizontal="right" wrapText="1"/>
      <protection hidden="1"/>
    </xf>
    <xf numFmtId="0" fontId="12" fillId="2" borderId="5" xfId="0" applyFont="1" applyFill="1" applyBorder="1" applyAlignment="1" applyProtection="1">
      <alignment horizontal="left"/>
      <protection hidden="1"/>
    </xf>
    <xf numFmtId="166" fontId="0" fillId="2" borderId="6" xfId="0" applyNumberFormat="1" applyFill="1" applyBorder="1" applyAlignment="1" applyProtection="1">
      <alignment horizontal="right"/>
      <protection hidden="1"/>
    </xf>
    <xf numFmtId="0" fontId="12" fillId="2" borderId="8" xfId="0" applyFont="1" applyFill="1" applyBorder="1" applyAlignment="1" applyProtection="1">
      <alignment horizontal="left"/>
      <protection hidden="1"/>
    </xf>
    <xf numFmtId="166" fontId="0" fillId="2" borderId="0" xfId="0" applyNumberFormat="1" applyFill="1" applyAlignment="1" applyProtection="1">
      <alignment horizontal="right"/>
      <protection hidden="1"/>
    </xf>
    <xf numFmtId="0" fontId="15" fillId="2" borderId="20" xfId="0" applyFont="1" applyFill="1" applyBorder="1" applyAlignment="1" applyProtection="1">
      <alignment horizontal="left"/>
      <protection hidden="1"/>
    </xf>
    <xf numFmtId="0" fontId="15" fillId="2" borderId="8" xfId="0" applyFont="1" applyFill="1" applyBorder="1" applyAlignment="1" applyProtection="1">
      <alignment horizontal="left"/>
      <protection hidden="1"/>
    </xf>
    <xf numFmtId="166" fontId="11" fillId="2" borderId="0" xfId="0" applyNumberFormat="1" applyFont="1" applyFill="1" applyAlignment="1" applyProtection="1">
      <alignment horizontal="right"/>
      <protection hidden="1"/>
    </xf>
    <xf numFmtId="3" fontId="11" fillId="2" borderId="4" xfId="0" applyNumberFormat="1" applyFont="1" applyFill="1" applyBorder="1" applyAlignment="1" applyProtection="1">
      <alignment horizontal="right"/>
      <protection hidden="1"/>
    </xf>
    <xf numFmtId="0" fontId="22" fillId="2" borderId="8" xfId="1" applyNumberFormat="1" applyFont="1" applyFill="1" applyBorder="1" applyAlignment="1" applyProtection="1">
      <alignment horizontal="left"/>
      <protection hidden="1"/>
    </xf>
    <xf numFmtId="0" fontId="22" fillId="2" borderId="0" xfId="1" applyNumberFormat="1" applyFont="1" applyFill="1" applyBorder="1" applyAlignment="1" applyProtection="1">
      <alignment horizontal="left"/>
      <protection hidden="1"/>
    </xf>
    <xf numFmtId="0" fontId="20" fillId="2" borderId="23" xfId="0" applyFont="1" applyFill="1" applyBorder="1" applyProtection="1">
      <protection hidden="1"/>
    </xf>
    <xf numFmtId="2" fontId="0" fillId="2" borderId="0" xfId="2" applyNumberFormat="1" applyFont="1" applyFill="1" applyBorder="1" applyProtection="1">
      <protection hidden="1"/>
    </xf>
    <xf numFmtId="2" fontId="13" fillId="2" borderId="0" xfId="0" applyNumberFormat="1" applyFont="1" applyFill="1" applyAlignment="1" applyProtection="1">
      <alignment horizontal="right"/>
      <protection hidden="1"/>
    </xf>
    <xf numFmtId="0" fontId="11" fillId="2" borderId="4" xfId="0" applyFont="1" applyFill="1" applyBorder="1" applyAlignment="1" applyProtection="1">
      <alignment horizontal="right"/>
      <protection hidden="1"/>
    </xf>
    <xf numFmtId="0" fontId="6" fillId="2" borderId="23" xfId="0" applyFont="1" applyFill="1" applyBorder="1" applyProtection="1">
      <protection hidden="1"/>
    </xf>
    <xf numFmtId="0" fontId="0" fillId="2" borderId="5" xfId="0" applyFill="1" applyBorder="1" applyProtection="1">
      <protection hidden="1"/>
    </xf>
    <xf numFmtId="0" fontId="0" fillId="2" borderId="7" xfId="0" applyFill="1" applyBorder="1" applyProtection="1">
      <protection hidden="1"/>
    </xf>
    <xf numFmtId="2" fontId="13" fillId="2" borderId="4" xfId="0" applyNumberFormat="1" applyFont="1" applyFill="1" applyBorder="1" applyAlignment="1" applyProtection="1">
      <alignment horizontal="right"/>
      <protection hidden="1"/>
    </xf>
    <xf numFmtId="2" fontId="15" fillId="2" borderId="0" xfId="0" applyNumberFormat="1" applyFont="1" applyFill="1" applyAlignment="1" applyProtection="1">
      <alignment horizontal="right"/>
      <protection hidden="1"/>
    </xf>
    <xf numFmtId="2" fontId="15" fillId="2" borderId="0" xfId="2" applyNumberFormat="1" applyFont="1" applyFill="1" applyBorder="1" applyAlignment="1" applyProtection="1">
      <alignment horizontal="right"/>
      <protection hidden="1"/>
    </xf>
    <xf numFmtId="2" fontId="15" fillId="2" borderId="9" xfId="2" applyNumberFormat="1" applyFont="1" applyFill="1" applyBorder="1" applyAlignment="1" applyProtection="1">
      <alignment horizontal="right"/>
      <protection hidden="1"/>
    </xf>
    <xf numFmtId="166" fontId="0" fillId="2" borderId="0" xfId="0" applyNumberFormat="1" applyFill="1" applyProtection="1">
      <protection hidden="1"/>
    </xf>
    <xf numFmtId="166" fontId="0" fillId="2" borderId="9" xfId="0" applyNumberFormat="1" applyFill="1" applyBorder="1" applyAlignment="1" applyProtection="1">
      <alignment horizontal="right"/>
      <protection hidden="1"/>
    </xf>
    <xf numFmtId="166" fontId="0" fillId="2" borderId="9" xfId="0" applyNumberFormat="1" applyFill="1" applyBorder="1" applyProtection="1">
      <protection hidden="1"/>
    </xf>
    <xf numFmtId="166" fontId="11" fillId="2" borderId="9" xfId="0" applyNumberFormat="1" applyFont="1" applyFill="1" applyBorder="1" applyAlignment="1" applyProtection="1">
      <alignment horizontal="right"/>
      <protection hidden="1"/>
    </xf>
    <xf numFmtId="0" fontId="15" fillId="2" borderId="5" xfId="0" applyFont="1" applyFill="1" applyBorder="1" applyAlignment="1" applyProtection="1">
      <alignment horizontal="left"/>
      <protection hidden="1"/>
    </xf>
    <xf numFmtId="166" fontId="11" fillId="2" borderId="6" xfId="0" applyNumberFormat="1" applyFont="1" applyFill="1" applyBorder="1" applyAlignment="1" applyProtection="1">
      <alignment horizontal="right"/>
      <protection hidden="1"/>
    </xf>
    <xf numFmtId="166" fontId="0" fillId="2" borderId="6" xfId="0" applyNumberFormat="1" applyFill="1" applyBorder="1" applyProtection="1">
      <protection hidden="1"/>
    </xf>
    <xf numFmtId="3" fontId="11" fillId="2" borderId="7" xfId="0" applyNumberFormat="1" applyFont="1" applyFill="1" applyBorder="1" applyProtection="1">
      <protection hidden="1"/>
    </xf>
    <xf numFmtId="0" fontId="26" fillId="2" borderId="8" xfId="1" applyNumberFormat="1" applyFont="1" applyFill="1" applyBorder="1" applyAlignment="1" applyProtection="1">
      <alignment horizontal="left"/>
      <protection hidden="1"/>
    </xf>
    <xf numFmtId="0" fontId="12" fillId="2" borderId="23" xfId="0" applyFont="1" applyFill="1" applyBorder="1" applyAlignment="1" applyProtection="1">
      <alignment horizontal="left"/>
      <protection hidden="1"/>
    </xf>
    <xf numFmtId="0" fontId="15" fillId="2" borderId="23" xfId="0" applyFont="1" applyFill="1" applyBorder="1" applyAlignment="1" applyProtection="1">
      <alignment horizontal="left"/>
      <protection hidden="1"/>
    </xf>
    <xf numFmtId="3" fontId="11" fillId="2" borderId="7" xfId="0" applyNumberFormat="1" applyFont="1" applyFill="1" applyBorder="1" applyAlignment="1" applyProtection="1">
      <alignment horizontal="right"/>
      <protection hidden="1"/>
    </xf>
    <xf numFmtId="0" fontId="13" fillId="2" borderId="0" xfId="0" applyFont="1" applyFill="1" applyProtection="1">
      <protection hidden="1"/>
    </xf>
    <xf numFmtId="0" fontId="11" fillId="2" borderId="9" xfId="0" applyFont="1" applyFill="1" applyBorder="1" applyAlignment="1" applyProtection="1">
      <alignment horizontal="right"/>
      <protection hidden="1"/>
    </xf>
    <xf numFmtId="0" fontId="11" fillId="2" borderId="8" xfId="0" applyFont="1" applyFill="1" applyBorder="1" applyAlignment="1" applyProtection="1">
      <alignment horizontal="left" vertical="top"/>
      <protection hidden="1"/>
    </xf>
    <xf numFmtId="2" fontId="11" fillId="2" borderId="0" xfId="0" applyNumberFormat="1" applyFont="1" applyFill="1" applyAlignment="1" applyProtection="1">
      <alignment horizontal="right" vertical="top" wrapText="1"/>
      <protection hidden="1"/>
    </xf>
    <xf numFmtId="2" fontId="11" fillId="2" borderId="4" xfId="0" applyNumberFormat="1" applyFont="1" applyFill="1" applyBorder="1" applyAlignment="1" applyProtection="1">
      <alignment horizontal="right" vertical="top" wrapText="1"/>
      <protection hidden="1"/>
    </xf>
    <xf numFmtId="0" fontId="11" fillId="2" borderId="23" xfId="0" applyFont="1" applyFill="1" applyBorder="1" applyAlignment="1" applyProtection="1">
      <alignment horizontal="left" vertical="top"/>
      <protection hidden="1"/>
    </xf>
    <xf numFmtId="0" fontId="11" fillId="2" borderId="9" xfId="0" applyFont="1" applyFill="1" applyBorder="1" applyAlignment="1" applyProtection="1">
      <alignment horizontal="right" vertical="top" wrapText="1"/>
      <protection hidden="1"/>
    </xf>
    <xf numFmtId="0" fontId="11" fillId="2" borderId="10" xfId="0" applyFont="1" applyFill="1" applyBorder="1" applyAlignment="1" applyProtection="1">
      <alignment horizontal="right" vertical="top" wrapText="1"/>
      <protection hidden="1"/>
    </xf>
    <xf numFmtId="0" fontId="20" fillId="2" borderId="9" xfId="0" applyFont="1" applyFill="1" applyBorder="1" applyProtection="1">
      <protection hidden="1"/>
    </xf>
    <xf numFmtId="0" fontId="6" fillId="2" borderId="8" xfId="6" applyFont="1" applyFill="1" applyBorder="1" applyAlignment="1" applyProtection="1">
      <alignment horizontal="left"/>
      <protection hidden="1"/>
    </xf>
    <xf numFmtId="0" fontId="12" fillId="2" borderId="9" xfId="6" applyFont="1" applyFill="1" applyBorder="1" applyProtection="1">
      <protection hidden="1"/>
    </xf>
    <xf numFmtId="0" fontId="15" fillId="2" borderId="9" xfId="6" applyFont="1" applyFill="1" applyBorder="1" applyAlignment="1" applyProtection="1">
      <alignment horizontal="right"/>
      <protection hidden="1"/>
    </xf>
    <xf numFmtId="0" fontId="16" fillId="2" borderId="4" xfId="0" applyFont="1" applyFill="1" applyBorder="1" applyProtection="1">
      <protection hidden="1"/>
    </xf>
    <xf numFmtId="0" fontId="11" fillId="2" borderId="8" xfId="6" applyFont="1" applyFill="1" applyBorder="1" applyAlignment="1" applyProtection="1">
      <alignment horizontal="left" vertical="top" wrapText="1"/>
      <protection hidden="1"/>
    </xf>
    <xf numFmtId="0" fontId="0" fillId="0" borderId="23" xfId="0" applyBorder="1" applyAlignment="1" applyProtection="1">
      <alignment horizontal="left" vertical="top" wrapText="1"/>
      <protection hidden="1"/>
    </xf>
    <xf numFmtId="0" fontId="12" fillId="2" borderId="8" xfId="6" applyFont="1" applyFill="1" applyBorder="1" applyAlignment="1" applyProtection="1">
      <alignment horizontal="left"/>
      <protection hidden="1"/>
    </xf>
    <xf numFmtId="166" fontId="12" fillId="2" borderId="0" xfId="6" applyNumberFormat="1" applyFont="1" applyFill="1" applyAlignment="1" applyProtection="1">
      <alignment horizontal="right"/>
      <protection hidden="1"/>
    </xf>
    <xf numFmtId="166" fontId="12" fillId="2" borderId="9" xfId="6" applyNumberFormat="1" applyFont="1" applyFill="1" applyBorder="1" applyAlignment="1" applyProtection="1">
      <alignment horizontal="right"/>
      <protection hidden="1"/>
    </xf>
    <xf numFmtId="166" fontId="15" fillId="2" borderId="9" xfId="6" applyNumberFormat="1" applyFont="1" applyFill="1" applyBorder="1" applyAlignment="1" applyProtection="1">
      <alignment horizontal="right"/>
      <protection hidden="1"/>
    </xf>
    <xf numFmtId="0" fontId="11" fillId="2" borderId="8" xfId="6" applyFont="1" applyFill="1" applyBorder="1" applyAlignment="1" applyProtection="1">
      <alignment horizontal="left"/>
      <protection hidden="1"/>
    </xf>
    <xf numFmtId="166" fontId="15" fillId="2" borderId="0" xfId="6" applyNumberFormat="1" applyFont="1" applyFill="1" applyAlignment="1" applyProtection="1">
      <alignment horizontal="right"/>
      <protection hidden="1"/>
    </xf>
    <xf numFmtId="3" fontId="15" fillId="2" borderId="4" xfId="6" applyNumberFormat="1" applyFont="1" applyFill="1" applyBorder="1" applyAlignment="1" applyProtection="1">
      <alignment horizontal="right"/>
      <protection hidden="1"/>
    </xf>
    <xf numFmtId="0" fontId="20" fillId="2" borderId="0" xfId="0" applyFont="1" applyFill="1" applyProtection="1">
      <protection hidden="1"/>
    </xf>
    <xf numFmtId="0" fontId="28" fillId="4" borderId="6" xfId="0" applyFont="1" applyFill="1" applyBorder="1" applyAlignment="1" applyProtection="1">
      <alignment vertical="top"/>
      <protection hidden="1"/>
    </xf>
    <xf numFmtId="0" fontId="11" fillId="2" borderId="8" xfId="0" applyFont="1" applyFill="1" applyBorder="1" applyAlignment="1" applyProtection="1">
      <alignment horizontal="left"/>
      <protection hidden="1"/>
    </xf>
    <xf numFmtId="0" fontId="6" fillId="2" borderId="8" xfId="6" applyFont="1" applyFill="1" applyBorder="1" applyAlignment="1" applyProtection="1">
      <alignment vertical="top"/>
      <protection hidden="1"/>
    </xf>
    <xf numFmtId="0" fontId="11" fillId="2" borderId="23" xfId="6" applyFont="1" applyFill="1" applyBorder="1" applyAlignment="1" applyProtection="1">
      <alignment horizontal="left"/>
      <protection hidden="1"/>
    </xf>
    <xf numFmtId="166" fontId="12" fillId="2" borderId="6" xfId="6" applyNumberFormat="1" applyFont="1" applyFill="1" applyBorder="1" applyAlignment="1" applyProtection="1">
      <alignment horizontal="right"/>
      <protection hidden="1"/>
    </xf>
    <xf numFmtId="0" fontId="0" fillId="2" borderId="8" xfId="0" applyFill="1" applyBorder="1" applyAlignment="1" applyProtection="1">
      <alignment vertical="top"/>
      <protection hidden="1"/>
    </xf>
    <xf numFmtId="0" fontId="0" fillId="2" borderId="4" xfId="0" applyFill="1" applyBorder="1" applyAlignment="1" applyProtection="1">
      <alignment vertical="top"/>
      <protection hidden="1"/>
    </xf>
    <xf numFmtId="0" fontId="20" fillId="2" borderId="23" xfId="0" applyFont="1" applyFill="1" applyBorder="1" applyAlignment="1" applyProtection="1">
      <alignment vertical="top"/>
      <protection hidden="1"/>
    </xf>
    <xf numFmtId="0" fontId="0" fillId="2" borderId="10" xfId="0" applyFill="1" applyBorder="1" applyAlignment="1" applyProtection="1">
      <alignment vertical="top"/>
      <protection hidden="1"/>
    </xf>
    <xf numFmtId="0" fontId="12" fillId="2" borderId="0" xfId="0" applyFont="1" applyFill="1" applyAlignment="1" applyProtection="1">
      <alignment horizontal="left"/>
      <protection hidden="1"/>
    </xf>
    <xf numFmtId="0" fontId="12" fillId="2" borderId="0" xfId="0" applyFont="1" applyFill="1" applyAlignment="1" applyProtection="1">
      <alignment wrapText="1"/>
      <protection hidden="1"/>
    </xf>
    <xf numFmtId="165" fontId="0" fillId="0" borderId="0" xfId="0" applyNumberFormat="1"/>
    <xf numFmtId="0" fontId="4" fillId="8" borderId="0" xfId="0" applyFont="1" applyFill="1"/>
    <xf numFmtId="1" fontId="0" fillId="0" borderId="0" xfId="0" applyNumberFormat="1"/>
    <xf numFmtId="0" fontId="0" fillId="9" borderId="0" xfId="0" applyFill="1" applyAlignment="1">
      <alignment horizontal="right"/>
    </xf>
    <xf numFmtId="0" fontId="0" fillId="0" borderId="0" xfId="0" applyAlignment="1">
      <alignment vertical="top" wrapText="1"/>
    </xf>
    <xf numFmtId="0" fontId="0" fillId="10" borderId="0" xfId="0" applyFill="1" applyAlignment="1">
      <alignment vertical="top" wrapText="1"/>
    </xf>
    <xf numFmtId="0" fontId="0" fillId="11" borderId="0" xfId="0" applyFill="1" applyAlignment="1">
      <alignment vertical="top" wrapText="1"/>
    </xf>
    <xf numFmtId="165" fontId="0" fillId="12" borderId="0" xfId="0" applyNumberFormat="1" applyFill="1" applyAlignment="1">
      <alignment vertical="top" wrapText="1"/>
    </xf>
    <xf numFmtId="0" fontId="0" fillId="13" borderId="0" xfId="0" applyFill="1" applyAlignment="1">
      <alignment vertical="top" wrapText="1"/>
    </xf>
    <xf numFmtId="0" fontId="0" fillId="14" borderId="0" xfId="0" applyFill="1" applyAlignment="1">
      <alignment vertical="top" wrapText="1"/>
    </xf>
    <xf numFmtId="1" fontId="0" fillId="14" borderId="0" xfId="0" applyNumberFormat="1" applyFill="1" applyAlignment="1">
      <alignment vertical="top" wrapText="1"/>
    </xf>
    <xf numFmtId="0" fontId="0" fillId="15" borderId="0" xfId="0" applyFill="1" applyAlignment="1">
      <alignment vertical="top" wrapText="1"/>
    </xf>
    <xf numFmtId="0" fontId="0" fillId="16" borderId="0" xfId="0" applyFill="1" applyAlignment="1">
      <alignment vertical="top" wrapText="1"/>
    </xf>
    <xf numFmtId="1" fontId="0" fillId="16" borderId="0" xfId="0" applyNumberFormat="1" applyFill="1" applyAlignment="1">
      <alignment vertical="top" wrapText="1"/>
    </xf>
    <xf numFmtId="0" fontId="0" fillId="17" borderId="0" xfId="0" applyFill="1" applyAlignment="1">
      <alignment vertical="top" wrapText="1"/>
    </xf>
    <xf numFmtId="1" fontId="0" fillId="17" borderId="0" xfId="0" applyNumberFormat="1" applyFill="1" applyAlignment="1">
      <alignment vertical="top" wrapText="1"/>
    </xf>
    <xf numFmtId="0" fontId="0" fillId="18" borderId="0" xfId="0" applyFill="1" applyAlignment="1">
      <alignment vertical="top" wrapText="1"/>
    </xf>
    <xf numFmtId="1" fontId="0" fillId="18" borderId="0" xfId="0" applyNumberFormat="1" applyFill="1" applyAlignment="1">
      <alignment vertical="top" wrapText="1"/>
    </xf>
    <xf numFmtId="0" fontId="0" fillId="19" borderId="0" xfId="0" applyFill="1" applyAlignment="1">
      <alignment vertical="top" wrapText="1"/>
    </xf>
    <xf numFmtId="1" fontId="0" fillId="19" borderId="0" xfId="0" applyNumberFormat="1" applyFill="1" applyAlignment="1">
      <alignment vertical="top" wrapText="1"/>
    </xf>
    <xf numFmtId="0" fontId="0" fillId="20" borderId="0" xfId="0" applyFill="1" applyAlignment="1">
      <alignment vertical="top" wrapText="1"/>
    </xf>
    <xf numFmtId="1" fontId="0" fillId="20" borderId="0" xfId="0" applyNumberFormat="1" applyFill="1" applyAlignment="1">
      <alignment vertical="top" wrapText="1"/>
    </xf>
    <xf numFmtId="0" fontId="0" fillId="21" borderId="0" xfId="0" applyFill="1" applyAlignment="1">
      <alignment vertical="top" wrapText="1"/>
    </xf>
    <xf numFmtId="1" fontId="0" fillId="21" borderId="0" xfId="0" applyNumberFormat="1" applyFill="1" applyAlignment="1">
      <alignment vertical="top" wrapText="1"/>
    </xf>
    <xf numFmtId="165" fontId="0" fillId="22" borderId="0" xfId="0" applyNumberFormat="1" applyFill="1" applyAlignment="1">
      <alignment vertical="top" wrapText="1"/>
    </xf>
    <xf numFmtId="0" fontId="0" fillId="22" borderId="0" xfId="0" applyFill="1" applyAlignment="1">
      <alignment vertical="top" wrapText="1"/>
    </xf>
    <xf numFmtId="0" fontId="0" fillId="9" borderId="0" xfId="0" applyFill="1" applyAlignment="1">
      <alignment horizontal="right" vertical="top" wrapText="1"/>
    </xf>
    <xf numFmtId="165" fontId="0" fillId="9" borderId="0" xfId="0" applyNumberFormat="1" applyFill="1" applyAlignment="1">
      <alignment horizontal="right" vertical="top" wrapText="1"/>
    </xf>
    <xf numFmtId="1" fontId="0" fillId="9" borderId="0" xfId="0" applyNumberFormat="1" applyFill="1" applyAlignment="1">
      <alignment horizontal="right" vertical="top" wrapText="1"/>
    </xf>
    <xf numFmtId="0" fontId="21" fillId="0" borderId="0" xfId="0" applyFont="1"/>
    <xf numFmtId="0" fontId="0" fillId="9" borderId="0" xfId="0" applyFill="1" applyAlignment="1">
      <alignment vertical="top"/>
    </xf>
    <xf numFmtId="0" fontId="0" fillId="18" borderId="0" xfId="0" applyFill="1" applyAlignment="1">
      <alignment vertical="top"/>
    </xf>
    <xf numFmtId="44" fontId="0" fillId="23" borderId="0" xfId="2" applyFont="1" applyFill="1" applyAlignment="1">
      <alignment horizontal="right"/>
    </xf>
    <xf numFmtId="0" fontId="0" fillId="19" borderId="0" xfId="0" applyFill="1" applyAlignment="1">
      <alignment vertical="top"/>
    </xf>
    <xf numFmtId="0" fontId="0" fillId="20" borderId="0" xfId="0" applyFill="1" applyAlignment="1">
      <alignment vertical="top"/>
    </xf>
    <xf numFmtId="0" fontId="0" fillId="21" borderId="0" xfId="0" applyFill="1" applyAlignment="1">
      <alignment vertical="top"/>
    </xf>
    <xf numFmtId="0" fontId="11" fillId="2" borderId="0" xfId="0" applyFont="1" applyFill="1"/>
    <xf numFmtId="0" fontId="0" fillId="2" borderId="0" xfId="0" applyFill="1"/>
    <xf numFmtId="0" fontId="10" fillId="2" borderId="0" xfId="0" applyFont="1" applyFill="1" applyProtection="1">
      <protection hidden="1"/>
    </xf>
    <xf numFmtId="0" fontId="4" fillId="8" borderId="42" xfId="0" applyFont="1" applyFill="1" applyBorder="1"/>
    <xf numFmtId="0" fontId="11" fillId="8" borderId="42" xfId="0" applyFont="1" applyFill="1" applyBorder="1" applyAlignment="1">
      <alignment wrapText="1"/>
    </xf>
    <xf numFmtId="0" fontId="11" fillId="8" borderId="42" xfId="0" applyFont="1" applyFill="1" applyBorder="1"/>
    <xf numFmtId="0" fontId="0" fillId="0" borderId="0" xfId="0" applyAlignment="1">
      <alignment horizontal="left"/>
    </xf>
    <xf numFmtId="0" fontId="32" fillId="30" borderId="44" xfId="7" applyFont="1" applyFill="1" applyBorder="1" applyAlignment="1">
      <alignment horizontal="center" wrapText="1"/>
    </xf>
    <xf numFmtId="0" fontId="0" fillId="0" borderId="0" xfId="0" applyAlignment="1">
      <alignment wrapText="1"/>
    </xf>
    <xf numFmtId="0" fontId="16" fillId="2" borderId="0" xfId="0" applyFont="1" applyFill="1" applyProtection="1">
      <protection hidden="1"/>
    </xf>
    <xf numFmtId="0" fontId="16" fillId="2" borderId="0" xfId="0" applyFont="1" applyFill="1"/>
    <xf numFmtId="0" fontId="16" fillId="2" borderId="0" xfId="0" applyFont="1" applyFill="1" applyProtection="1">
      <protection locked="0" hidden="1"/>
    </xf>
    <xf numFmtId="0" fontId="16" fillId="7" borderId="11" xfId="0" applyFont="1" applyFill="1" applyBorder="1" applyAlignment="1" applyProtection="1">
      <alignment vertical="center" wrapText="1"/>
      <protection hidden="1"/>
    </xf>
    <xf numFmtId="0" fontId="16" fillId="2" borderId="23" xfId="0" applyFont="1" applyFill="1" applyBorder="1" applyAlignment="1" applyProtection="1">
      <alignment wrapText="1"/>
      <protection hidden="1"/>
    </xf>
    <xf numFmtId="3" fontId="16" fillId="2" borderId="21" xfId="0" applyNumberFormat="1" applyFont="1" applyFill="1" applyBorder="1" applyAlignment="1" applyProtection="1">
      <alignment horizontal="right"/>
      <protection hidden="1"/>
    </xf>
    <xf numFmtId="0" fontId="16" fillId="6" borderId="5" xfId="0" applyFont="1" applyFill="1" applyBorder="1" applyAlignment="1" applyProtection="1">
      <alignment horizontal="center"/>
      <protection hidden="1"/>
    </xf>
    <xf numFmtId="0" fontId="16" fillId="24" borderId="8" xfId="0" applyFont="1" applyFill="1" applyBorder="1" applyAlignment="1" applyProtection="1">
      <alignment horizontal="center"/>
      <protection hidden="1"/>
    </xf>
    <xf numFmtId="0" fontId="16" fillId="24" borderId="4" xfId="0" applyFont="1" applyFill="1" applyBorder="1" applyAlignment="1" applyProtection="1">
      <alignment horizontal="center"/>
      <protection hidden="1"/>
    </xf>
    <xf numFmtId="0" fontId="16" fillId="25" borderId="0" xfId="0" applyFont="1" applyFill="1" applyAlignment="1" applyProtection="1">
      <alignment horizontal="center"/>
      <protection hidden="1"/>
    </xf>
    <xf numFmtId="0" fontId="16" fillId="12" borderId="0" xfId="0" applyFont="1" applyFill="1" applyProtection="1">
      <protection hidden="1"/>
    </xf>
    <xf numFmtId="0" fontId="16" fillId="12" borderId="5" xfId="0" applyFont="1" applyFill="1" applyBorder="1" applyAlignment="1" applyProtection="1">
      <alignment wrapText="1"/>
      <protection hidden="1"/>
    </xf>
    <xf numFmtId="0" fontId="16" fillId="12" borderId="6" xfId="0" applyFont="1" applyFill="1" applyBorder="1" applyAlignment="1" applyProtection="1">
      <alignment wrapText="1"/>
      <protection hidden="1"/>
    </xf>
    <xf numFmtId="0" fontId="16" fillId="12" borderId="7" xfId="0" applyFont="1" applyFill="1" applyBorder="1" applyAlignment="1" applyProtection="1">
      <alignment wrapText="1"/>
      <protection hidden="1"/>
    </xf>
    <xf numFmtId="0" fontId="16" fillId="19" borderId="8" xfId="0" applyFont="1" applyFill="1" applyBorder="1" applyProtection="1">
      <protection hidden="1"/>
    </xf>
    <xf numFmtId="0" fontId="16" fillId="19" borderId="0" xfId="0" applyFont="1" applyFill="1" applyProtection="1">
      <protection hidden="1"/>
    </xf>
    <xf numFmtId="0" fontId="16" fillId="19" borderId="4" xfId="0" applyFont="1" applyFill="1" applyBorder="1" applyProtection="1">
      <protection hidden="1"/>
    </xf>
    <xf numFmtId="0" fontId="16" fillId="29" borderId="5" xfId="0" applyFont="1" applyFill="1" applyBorder="1" applyProtection="1">
      <protection hidden="1"/>
    </xf>
    <xf numFmtId="0" fontId="16" fillId="29" borderId="6" xfId="0" applyFont="1" applyFill="1" applyBorder="1" applyProtection="1">
      <protection hidden="1"/>
    </xf>
    <xf numFmtId="0" fontId="16" fillId="29" borderId="7" xfId="0" applyFont="1" applyFill="1" applyBorder="1" applyProtection="1">
      <protection hidden="1"/>
    </xf>
    <xf numFmtId="0" fontId="16" fillId="14" borderId="5" xfId="0" applyFont="1" applyFill="1" applyBorder="1" applyProtection="1">
      <protection hidden="1"/>
    </xf>
    <xf numFmtId="0" fontId="16" fillId="14" borderId="6" xfId="0" applyFont="1" applyFill="1" applyBorder="1" applyProtection="1">
      <protection hidden="1"/>
    </xf>
    <xf numFmtId="0" fontId="16" fillId="14" borderId="7" xfId="0" applyFont="1" applyFill="1" applyBorder="1" applyProtection="1">
      <protection hidden="1"/>
    </xf>
    <xf numFmtId="0" fontId="16" fillId="3" borderId="13" xfId="0" applyFont="1" applyFill="1" applyBorder="1" applyAlignment="1" applyProtection="1">
      <alignment vertical="center" wrapText="1"/>
      <protection hidden="1"/>
    </xf>
    <xf numFmtId="0" fontId="16" fillId="6" borderId="8" xfId="0" applyFont="1" applyFill="1" applyBorder="1" applyProtection="1">
      <protection hidden="1"/>
    </xf>
    <xf numFmtId="0" fontId="16" fillId="24" borderId="8" xfId="0" applyFont="1" applyFill="1" applyBorder="1" applyProtection="1">
      <protection hidden="1"/>
    </xf>
    <xf numFmtId="168" fontId="16" fillId="25" borderId="0" xfId="0" applyNumberFormat="1" applyFont="1" applyFill="1" applyAlignment="1" applyProtection="1">
      <alignment horizontal="center"/>
      <protection hidden="1"/>
    </xf>
    <xf numFmtId="0" fontId="16" fillId="12" borderId="8" xfId="0" applyFont="1" applyFill="1" applyBorder="1" applyProtection="1">
      <protection hidden="1"/>
    </xf>
    <xf numFmtId="167" fontId="16" fillId="12" borderId="4" xfId="0" applyNumberFormat="1" applyFont="1" applyFill="1" applyBorder="1" applyProtection="1">
      <protection hidden="1"/>
    </xf>
    <xf numFmtId="167" fontId="16" fillId="19" borderId="4" xfId="0" applyNumberFormat="1" applyFont="1" applyFill="1" applyBorder="1" applyProtection="1">
      <protection hidden="1"/>
    </xf>
    <xf numFmtId="0" fontId="16" fillId="29" borderId="8" xfId="0" applyFont="1" applyFill="1" applyBorder="1" applyProtection="1">
      <protection hidden="1"/>
    </xf>
    <xf numFmtId="0" fontId="16" fillId="29" borderId="0" xfId="0" applyFont="1" applyFill="1" applyProtection="1">
      <protection hidden="1"/>
    </xf>
    <xf numFmtId="167" fontId="16" fillId="29" borderId="4" xfId="0" applyNumberFormat="1" applyFont="1" applyFill="1" applyBorder="1" applyProtection="1">
      <protection hidden="1"/>
    </xf>
    <xf numFmtId="0" fontId="16" fillId="29" borderId="4" xfId="0" applyFont="1" applyFill="1" applyBorder="1" applyProtection="1">
      <protection hidden="1"/>
    </xf>
    <xf numFmtId="0" fontId="16" fillId="14" borderId="8" xfId="0" applyFont="1" applyFill="1" applyBorder="1" applyProtection="1">
      <protection hidden="1"/>
    </xf>
    <xf numFmtId="0" fontId="16" fillId="14" borderId="0" xfId="0" applyFont="1" applyFill="1" applyProtection="1">
      <protection hidden="1"/>
    </xf>
    <xf numFmtId="167" fontId="16" fillId="14" borderId="4" xfId="0" applyNumberFormat="1" applyFont="1" applyFill="1" applyBorder="1" applyProtection="1">
      <protection hidden="1"/>
    </xf>
    <xf numFmtId="0" fontId="16" fillId="14" borderId="4" xfId="0" applyFont="1" applyFill="1" applyBorder="1" applyProtection="1">
      <protection hidden="1"/>
    </xf>
    <xf numFmtId="0" fontId="16" fillId="3" borderId="40" xfId="0" applyFont="1" applyFill="1" applyBorder="1" applyAlignment="1" applyProtection="1">
      <alignment vertical="center" wrapText="1"/>
      <protection hidden="1"/>
    </xf>
    <xf numFmtId="167" fontId="16" fillId="2" borderId="0" xfId="0" applyNumberFormat="1" applyFont="1" applyFill="1" applyAlignment="1" applyProtection="1">
      <alignment horizontal="right"/>
      <protection hidden="1"/>
    </xf>
    <xf numFmtId="167" fontId="16" fillId="2" borderId="0" xfId="0" applyNumberFormat="1" applyFont="1" applyFill="1" applyAlignment="1" applyProtection="1">
      <alignment horizontal="left"/>
      <protection hidden="1"/>
    </xf>
    <xf numFmtId="168" fontId="16" fillId="2" borderId="0" xfId="0" applyNumberFormat="1" applyFont="1" applyFill="1" applyAlignment="1" applyProtection="1">
      <alignment horizontal="right"/>
      <protection hidden="1"/>
    </xf>
    <xf numFmtId="165" fontId="16" fillId="2" borderId="0" xfId="3" applyNumberFormat="1" applyFont="1" applyFill="1" applyBorder="1" applyAlignment="1" applyProtection="1">
      <alignment horizontal="right"/>
      <protection hidden="1"/>
    </xf>
    <xf numFmtId="0" fontId="16" fillId="24" borderId="5" xfId="0" applyFont="1" applyFill="1" applyBorder="1" applyProtection="1">
      <protection hidden="1"/>
    </xf>
    <xf numFmtId="167" fontId="16" fillId="24" borderId="6" xfId="0" applyNumberFormat="1" applyFont="1" applyFill="1" applyBorder="1" applyAlignment="1" applyProtection="1">
      <alignment horizontal="center"/>
      <protection hidden="1"/>
    </xf>
    <xf numFmtId="165" fontId="16" fillId="25" borderId="6" xfId="3" applyNumberFormat="1" applyFont="1" applyFill="1" applyBorder="1" applyAlignment="1" applyProtection="1">
      <alignment horizontal="center"/>
      <protection hidden="1"/>
    </xf>
    <xf numFmtId="0" fontId="16" fillId="25" borderId="7" xfId="0" applyFont="1" applyFill="1" applyBorder="1" applyAlignment="1" applyProtection="1">
      <alignment horizontal="center"/>
      <protection hidden="1"/>
    </xf>
    <xf numFmtId="165" fontId="16" fillId="25" borderId="0" xfId="3" applyNumberFormat="1" applyFont="1" applyFill="1" applyBorder="1" applyAlignment="1" applyProtection="1">
      <alignment horizontal="center"/>
      <protection hidden="1"/>
    </xf>
    <xf numFmtId="165" fontId="16" fillId="12" borderId="8" xfId="0" applyNumberFormat="1" applyFont="1" applyFill="1" applyBorder="1" applyProtection="1">
      <protection hidden="1"/>
    </xf>
    <xf numFmtId="165" fontId="16" fillId="12" borderId="0" xfId="3" applyNumberFormat="1" applyFont="1" applyFill="1" applyBorder="1" applyProtection="1">
      <protection hidden="1"/>
    </xf>
    <xf numFmtId="0" fontId="16" fillId="12" borderId="5" xfId="3" applyNumberFormat="1" applyFont="1" applyFill="1" applyBorder="1" applyProtection="1">
      <protection hidden="1"/>
    </xf>
    <xf numFmtId="165" fontId="16" fillId="12" borderId="6" xfId="0" applyNumberFormat="1" applyFont="1" applyFill="1" applyBorder="1" applyProtection="1">
      <protection hidden="1"/>
    </xf>
    <xf numFmtId="165" fontId="16" fillId="12" borderId="6" xfId="3" applyNumberFormat="1" applyFont="1" applyFill="1" applyBorder="1" applyProtection="1">
      <protection hidden="1"/>
    </xf>
    <xf numFmtId="0" fontId="16" fillId="12" borderId="7" xfId="3" applyNumberFormat="1" applyFont="1" applyFill="1" applyBorder="1" applyProtection="1">
      <protection hidden="1"/>
    </xf>
    <xf numFmtId="0" fontId="16" fillId="19" borderId="0" xfId="3" applyNumberFormat="1" applyFont="1" applyFill="1" applyBorder="1" applyProtection="1">
      <protection hidden="1"/>
    </xf>
    <xf numFmtId="165" fontId="16" fillId="19" borderId="0" xfId="0" applyNumberFormat="1" applyFont="1" applyFill="1" applyProtection="1">
      <protection hidden="1"/>
    </xf>
    <xf numFmtId="165" fontId="16" fillId="19" borderId="0" xfId="3" applyNumberFormat="1" applyFont="1" applyFill="1" applyBorder="1" applyProtection="1">
      <protection hidden="1"/>
    </xf>
    <xf numFmtId="0" fontId="16" fillId="19" borderId="4" xfId="3" applyNumberFormat="1" applyFont="1" applyFill="1" applyBorder="1" applyProtection="1">
      <protection hidden="1"/>
    </xf>
    <xf numFmtId="0" fontId="16" fillId="29" borderId="8" xfId="3" applyNumberFormat="1" applyFont="1" applyFill="1" applyBorder="1" applyProtection="1">
      <protection hidden="1"/>
    </xf>
    <xf numFmtId="165" fontId="16" fillId="29" borderId="0" xfId="0" applyNumberFormat="1" applyFont="1" applyFill="1" applyProtection="1">
      <protection hidden="1"/>
    </xf>
    <xf numFmtId="165" fontId="16" fillId="29" borderId="0" xfId="3" applyNumberFormat="1" applyFont="1" applyFill="1" applyBorder="1" applyProtection="1">
      <protection hidden="1"/>
    </xf>
    <xf numFmtId="165" fontId="16" fillId="14" borderId="0" xfId="0" applyNumberFormat="1" applyFont="1" applyFill="1" applyProtection="1">
      <protection hidden="1"/>
    </xf>
    <xf numFmtId="1" fontId="16" fillId="14" borderId="4" xfId="3" applyNumberFormat="1" applyFont="1" applyFill="1" applyBorder="1" applyProtection="1">
      <protection hidden="1"/>
    </xf>
    <xf numFmtId="1" fontId="16" fillId="14" borderId="8" xfId="3" applyNumberFormat="1" applyFont="1" applyFill="1" applyBorder="1" applyProtection="1">
      <protection hidden="1"/>
    </xf>
    <xf numFmtId="165" fontId="16" fillId="14" borderId="0" xfId="3" applyNumberFormat="1" applyFont="1" applyFill="1" applyBorder="1" applyProtection="1">
      <protection hidden="1"/>
    </xf>
    <xf numFmtId="1" fontId="16" fillId="7" borderId="0" xfId="3" applyNumberFormat="1" applyFont="1" applyFill="1" applyBorder="1" applyProtection="1">
      <protection hidden="1"/>
    </xf>
    <xf numFmtId="0" fontId="16" fillId="2" borderId="0" xfId="0" applyFont="1" applyFill="1" applyAlignment="1" applyProtection="1">
      <alignment horizontal="left"/>
      <protection hidden="1"/>
    </xf>
    <xf numFmtId="0" fontId="16" fillId="12" borderId="8" xfId="3" applyNumberFormat="1" applyFont="1" applyFill="1" applyBorder="1" applyProtection="1">
      <protection hidden="1"/>
    </xf>
    <xf numFmtId="165" fontId="16" fillId="12" borderId="0" xfId="0" applyNumberFormat="1" applyFont="1" applyFill="1" applyProtection="1">
      <protection hidden="1"/>
    </xf>
    <xf numFmtId="0" fontId="16" fillId="24" borderId="23" xfId="0" applyFont="1" applyFill="1" applyBorder="1" applyProtection="1">
      <protection hidden="1"/>
    </xf>
    <xf numFmtId="165" fontId="16" fillId="25" borderId="9" xfId="3" applyNumberFormat="1" applyFont="1" applyFill="1" applyBorder="1" applyAlignment="1" applyProtection="1">
      <alignment horizontal="center"/>
      <protection hidden="1"/>
    </xf>
    <xf numFmtId="0" fontId="16" fillId="12" borderId="23" xfId="3" applyNumberFormat="1" applyFont="1" applyFill="1" applyBorder="1" applyProtection="1">
      <protection hidden="1"/>
    </xf>
    <xf numFmtId="165" fontId="16" fillId="12" borderId="9" xfId="0" applyNumberFormat="1" applyFont="1" applyFill="1" applyBorder="1" applyProtection="1">
      <protection hidden="1"/>
    </xf>
    <xf numFmtId="165" fontId="16" fillId="12" borderId="9" xfId="3" applyNumberFormat="1" applyFont="1" applyFill="1" applyBorder="1" applyProtection="1">
      <protection hidden="1"/>
    </xf>
    <xf numFmtId="167" fontId="16" fillId="2" borderId="0" xfId="0" applyNumberFormat="1" applyFont="1" applyFill="1" applyAlignment="1">
      <alignment horizontal="left"/>
    </xf>
    <xf numFmtId="0" fontId="16" fillId="2" borderId="0" xfId="0" applyFont="1" applyFill="1" applyAlignment="1">
      <alignment horizontal="left"/>
    </xf>
    <xf numFmtId="167" fontId="16" fillId="2" borderId="0" xfId="0" applyNumberFormat="1" applyFont="1" applyFill="1" applyAlignment="1">
      <alignment horizontal="right"/>
    </xf>
    <xf numFmtId="168" fontId="16" fillId="2" borderId="0" xfId="0" applyNumberFormat="1" applyFont="1" applyFill="1" applyAlignment="1">
      <alignment horizontal="right"/>
    </xf>
    <xf numFmtId="165" fontId="16" fillId="2" borderId="0" xfId="3" applyNumberFormat="1" applyFont="1" applyFill="1" applyBorder="1" applyAlignment="1">
      <alignment horizontal="right"/>
    </xf>
    <xf numFmtId="0" fontId="16" fillId="6" borderId="23" xfId="0" applyFont="1" applyFill="1" applyBorder="1" applyProtection="1">
      <protection hidden="1"/>
    </xf>
    <xf numFmtId="0" fontId="16" fillId="19" borderId="8" xfId="3" applyNumberFormat="1" applyFont="1" applyFill="1" applyBorder="1" applyProtection="1">
      <protection hidden="1"/>
    </xf>
    <xf numFmtId="0" fontId="16" fillId="32" borderId="20" xfId="0" applyFont="1" applyFill="1" applyBorder="1" applyProtection="1">
      <protection hidden="1"/>
    </xf>
    <xf numFmtId="0" fontId="11" fillId="32" borderId="21" xfId="0" applyFont="1" applyFill="1" applyBorder="1" applyProtection="1">
      <protection hidden="1"/>
    </xf>
    <xf numFmtId="0" fontId="16" fillId="32" borderId="21" xfId="0" applyFont="1" applyFill="1" applyBorder="1" applyProtection="1">
      <protection hidden="1"/>
    </xf>
    <xf numFmtId="167" fontId="11" fillId="32" borderId="41" xfId="0" applyNumberFormat="1" applyFont="1" applyFill="1" applyBorder="1" applyProtection="1">
      <protection hidden="1"/>
    </xf>
    <xf numFmtId="9" fontId="11" fillId="32" borderId="41" xfId="0" applyNumberFormat="1" applyFont="1" applyFill="1" applyBorder="1" applyProtection="1">
      <protection hidden="1"/>
    </xf>
    <xf numFmtId="9" fontId="15" fillId="32" borderId="41" xfId="0" applyNumberFormat="1" applyFont="1" applyFill="1" applyBorder="1" applyProtection="1">
      <protection hidden="1"/>
    </xf>
    <xf numFmtId="0" fontId="11" fillId="2" borderId="9" xfId="0" applyFont="1" applyFill="1" applyBorder="1" applyAlignment="1" applyProtection="1">
      <alignment horizontal="right" vertical="top" wrapText="1"/>
      <protection hidden="1"/>
    </xf>
    <xf numFmtId="0" fontId="34" fillId="2" borderId="0" xfId="0" applyFont="1" applyFill="1" applyAlignment="1" applyProtection="1">
      <alignment horizontal="left" vertical="top"/>
      <protection hidden="1"/>
    </xf>
    <xf numFmtId="0" fontId="16" fillId="2" borderId="0" xfId="0" applyFont="1" applyFill="1" applyAlignment="1" applyProtection="1">
      <alignment vertical="top"/>
      <protection hidden="1"/>
    </xf>
    <xf numFmtId="0" fontId="16" fillId="2" borderId="0" xfId="0" applyFont="1" applyFill="1" applyAlignment="1" applyProtection="1">
      <alignment horizontal="left" vertical="top"/>
      <protection hidden="1"/>
    </xf>
    <xf numFmtId="0" fontId="16" fillId="2" borderId="11" xfId="0" applyFont="1" applyFill="1" applyBorder="1" applyAlignment="1" applyProtection="1">
      <alignment horizontal="left"/>
      <protection hidden="1"/>
    </xf>
    <xf numFmtId="0" fontId="16" fillId="2" borderId="9" xfId="0" applyFont="1" applyFill="1" applyBorder="1" applyAlignment="1" applyProtection="1">
      <alignment horizontal="left"/>
      <protection hidden="1"/>
    </xf>
    <xf numFmtId="0" fontId="16" fillId="2" borderId="9" xfId="0" applyFont="1" applyFill="1" applyBorder="1" applyProtection="1">
      <protection hidden="1"/>
    </xf>
    <xf numFmtId="0" fontId="35" fillId="6" borderId="9" xfId="0" applyFont="1" applyFill="1" applyBorder="1" applyAlignment="1" applyProtection="1">
      <alignment horizontal="right"/>
      <protection hidden="1"/>
    </xf>
    <xf numFmtId="3" fontId="16" fillId="2" borderId="10" xfId="0" applyNumberFormat="1" applyFont="1" applyFill="1" applyBorder="1" applyProtection="1">
      <protection hidden="1"/>
    </xf>
    <xf numFmtId="0" fontId="16" fillId="2" borderId="13" xfId="0" applyFont="1" applyFill="1" applyBorder="1" applyAlignment="1" applyProtection="1">
      <alignment horizontal="left"/>
      <protection hidden="1"/>
    </xf>
    <xf numFmtId="0" fontId="35" fillId="6" borderId="0" xfId="0" applyFont="1" applyFill="1" applyAlignment="1" applyProtection="1">
      <alignment horizontal="right"/>
      <protection hidden="1"/>
    </xf>
    <xf numFmtId="3" fontId="16" fillId="2" borderId="4" xfId="0" applyNumberFormat="1" applyFont="1" applyFill="1" applyBorder="1" applyProtection="1">
      <protection hidden="1"/>
    </xf>
    <xf numFmtId="0" fontId="16" fillId="2" borderId="15" xfId="0" applyFont="1" applyFill="1" applyBorder="1" applyProtection="1">
      <protection hidden="1"/>
    </xf>
    <xf numFmtId="0" fontId="16" fillId="2" borderId="16" xfId="0" applyFont="1" applyFill="1" applyBorder="1" applyProtection="1">
      <protection hidden="1"/>
    </xf>
    <xf numFmtId="0" fontId="16" fillId="2" borderId="18" xfId="0" applyFont="1" applyFill="1" applyBorder="1" applyProtection="1">
      <protection hidden="1"/>
    </xf>
    <xf numFmtId="0" fontId="16" fillId="2" borderId="19" xfId="0" applyFont="1" applyFill="1" applyBorder="1" applyProtection="1">
      <protection hidden="1"/>
    </xf>
    <xf numFmtId="0" fontId="16" fillId="2" borderId="20" xfId="0" applyFont="1" applyFill="1" applyBorder="1" applyAlignment="1" applyProtection="1">
      <alignment horizontal="left"/>
      <protection hidden="1"/>
    </xf>
    <xf numFmtId="0" fontId="16" fillId="2" borderId="21" xfId="0" applyFont="1" applyFill="1" applyBorder="1" applyProtection="1">
      <protection hidden="1"/>
    </xf>
    <xf numFmtId="0" fontId="35" fillId="6" borderId="21" xfId="0" applyFont="1" applyFill="1" applyBorder="1" applyAlignment="1" applyProtection="1">
      <alignment horizontal="right"/>
      <protection hidden="1"/>
    </xf>
    <xf numFmtId="0" fontId="16" fillId="2" borderId="24" xfId="0" applyFont="1" applyFill="1" applyBorder="1" applyProtection="1">
      <protection hidden="1"/>
    </xf>
    <xf numFmtId="0" fontId="16" fillId="2" borderId="25" xfId="0" applyFont="1" applyFill="1" applyBorder="1" applyProtection="1">
      <protection hidden="1"/>
    </xf>
    <xf numFmtId="3" fontId="16" fillId="2" borderId="0" xfId="0" applyNumberFormat="1" applyFont="1" applyFill="1" applyAlignment="1" applyProtection="1">
      <alignment horizontal="right"/>
      <protection hidden="1"/>
    </xf>
    <xf numFmtId="0" fontId="16" fillId="2" borderId="0" xfId="0" applyFont="1" applyFill="1" applyAlignment="1" applyProtection="1">
      <alignment horizontal="right"/>
      <protection hidden="1"/>
    </xf>
    <xf numFmtId="3" fontId="16" fillId="2" borderId="0" xfId="0" applyNumberFormat="1" applyFont="1" applyFill="1" applyProtection="1">
      <protection hidden="1"/>
    </xf>
    <xf numFmtId="0" fontId="16" fillId="2" borderId="6" xfId="0" applyFont="1" applyFill="1" applyBorder="1" applyProtection="1">
      <protection hidden="1"/>
    </xf>
    <xf numFmtId="0" fontId="16" fillId="2" borderId="0" xfId="0" applyFont="1" applyFill="1" applyAlignment="1" applyProtection="1">
      <alignment horizontal="right" vertical="top"/>
      <protection hidden="1"/>
    </xf>
    <xf numFmtId="0" fontId="16" fillId="2" borderId="8" xfId="0" applyFont="1" applyFill="1" applyBorder="1" applyAlignment="1" applyProtection="1">
      <alignment horizontal="left" indent="1"/>
      <protection hidden="1"/>
    </xf>
    <xf numFmtId="0" fontId="16" fillId="2" borderId="23" xfId="0" applyFont="1" applyFill="1" applyBorder="1" applyProtection="1">
      <protection hidden="1"/>
    </xf>
    <xf numFmtId="0" fontId="16" fillId="2" borderId="9" xfId="0" applyFont="1" applyFill="1" applyBorder="1" applyAlignment="1" applyProtection="1">
      <alignment vertical="top"/>
      <protection hidden="1"/>
    </xf>
    <xf numFmtId="0" fontId="16" fillId="2" borderId="8" xfId="0" applyFont="1" applyFill="1" applyBorder="1" applyProtection="1">
      <protection hidden="1"/>
    </xf>
    <xf numFmtId="0" fontId="16" fillId="2" borderId="5" xfId="0" applyFont="1" applyFill="1" applyBorder="1" applyAlignment="1" applyProtection="1">
      <alignment horizontal="left"/>
      <protection hidden="1"/>
    </xf>
    <xf numFmtId="0" fontId="16" fillId="2" borderId="8" xfId="0" applyFont="1" applyFill="1" applyBorder="1" applyAlignment="1" applyProtection="1">
      <alignment horizontal="left"/>
      <protection hidden="1"/>
    </xf>
    <xf numFmtId="3" fontId="16" fillId="2" borderId="9" xfId="0" applyNumberFormat="1" applyFont="1" applyFill="1" applyBorder="1" applyProtection="1">
      <protection hidden="1"/>
    </xf>
    <xf numFmtId="0" fontId="16" fillId="2" borderId="23" xfId="0" applyFont="1" applyFill="1" applyBorder="1" applyAlignment="1" applyProtection="1">
      <alignment horizontal="left"/>
      <protection hidden="1"/>
    </xf>
    <xf numFmtId="3" fontId="16" fillId="2" borderId="9" xfId="0" applyNumberFormat="1" applyFont="1" applyFill="1" applyBorder="1" applyAlignment="1" applyProtection="1">
      <alignment horizontal="right"/>
      <protection hidden="1"/>
    </xf>
    <xf numFmtId="3" fontId="16" fillId="2" borderId="6" xfId="0" applyNumberFormat="1" applyFont="1" applyFill="1" applyBorder="1" applyAlignment="1" applyProtection="1">
      <alignment horizontal="right"/>
      <protection hidden="1"/>
    </xf>
    <xf numFmtId="3" fontId="16" fillId="2" borderId="4" xfId="0" applyNumberFormat="1" applyFont="1" applyFill="1" applyBorder="1" applyAlignment="1" applyProtection="1">
      <alignment horizontal="right"/>
      <protection hidden="1"/>
    </xf>
    <xf numFmtId="3" fontId="16" fillId="2" borderId="10" xfId="0" applyNumberFormat="1" applyFont="1" applyFill="1" applyBorder="1" applyAlignment="1" applyProtection="1">
      <alignment horizontal="right"/>
      <protection hidden="1"/>
    </xf>
    <xf numFmtId="0" fontId="16" fillId="2" borderId="29" xfId="0" applyFont="1" applyFill="1" applyBorder="1" applyAlignment="1" applyProtection="1">
      <alignment horizontal="left" indent="1"/>
      <protection hidden="1"/>
    </xf>
    <xf numFmtId="164" fontId="16" fillId="2" borderId="0" xfId="0" applyNumberFormat="1" applyFont="1" applyFill="1" applyProtection="1">
      <protection hidden="1"/>
    </xf>
    <xf numFmtId="164" fontId="16" fillId="2" borderId="6" xfId="0" applyNumberFormat="1" applyFont="1" applyFill="1" applyBorder="1" applyProtection="1">
      <protection hidden="1"/>
    </xf>
    <xf numFmtId="0" fontId="16" fillId="2" borderId="29" xfId="0" applyFont="1" applyFill="1" applyBorder="1" applyAlignment="1" applyProtection="1">
      <alignment horizontal="left"/>
      <protection hidden="1"/>
    </xf>
    <xf numFmtId="0" fontId="16" fillId="2" borderId="16" xfId="0" applyFont="1" applyFill="1" applyBorder="1" applyAlignment="1" applyProtection="1">
      <alignment horizontal="right"/>
      <protection hidden="1"/>
    </xf>
    <xf numFmtId="0" fontId="35" fillId="6" borderId="38" xfId="0" applyFont="1" applyFill="1" applyBorder="1" applyAlignment="1" applyProtection="1">
      <alignment horizontal="right"/>
      <protection hidden="1"/>
    </xf>
    <xf numFmtId="0" fontId="16" fillId="2" borderId="25" xfId="0" applyFont="1" applyFill="1" applyBorder="1" applyAlignment="1" applyProtection="1">
      <alignment horizontal="right"/>
      <protection hidden="1"/>
    </xf>
    <xf numFmtId="165" fontId="16" fillId="2" borderId="0" xfId="0" applyNumberFormat="1" applyFont="1" applyFill="1" applyProtection="1">
      <protection hidden="1"/>
    </xf>
    <xf numFmtId="165" fontId="16" fillId="2" borderId="30" xfId="0" applyNumberFormat="1" applyFont="1" applyFill="1" applyBorder="1" applyProtection="1">
      <protection hidden="1"/>
    </xf>
    <xf numFmtId="164" fontId="16" fillId="2" borderId="9" xfId="0" applyNumberFormat="1" applyFont="1" applyFill="1" applyBorder="1" applyProtection="1">
      <protection hidden="1"/>
    </xf>
    <xf numFmtId="165" fontId="16" fillId="2" borderId="9" xfId="0" applyNumberFormat="1" applyFont="1" applyFill="1" applyBorder="1" applyProtection="1">
      <protection hidden="1"/>
    </xf>
    <xf numFmtId="165" fontId="16" fillId="2" borderId="32" xfId="0" applyNumberFormat="1" applyFont="1" applyFill="1" applyBorder="1" applyProtection="1">
      <protection hidden="1"/>
    </xf>
    <xf numFmtId="166" fontId="16" fillId="2" borderId="6" xfId="0" applyNumberFormat="1" applyFont="1" applyFill="1" applyBorder="1" applyAlignment="1" applyProtection="1">
      <alignment horizontal="right"/>
      <protection hidden="1"/>
    </xf>
    <xf numFmtId="2" fontId="16" fillId="2" borderId="0" xfId="0" applyNumberFormat="1" applyFont="1" applyFill="1" applyProtection="1">
      <protection hidden="1"/>
    </xf>
    <xf numFmtId="166" fontId="16" fillId="2" borderId="0" xfId="0" applyNumberFormat="1" applyFont="1" applyFill="1" applyAlignment="1" applyProtection="1">
      <alignment horizontal="right"/>
      <protection hidden="1"/>
    </xf>
    <xf numFmtId="166" fontId="16" fillId="2" borderId="0" xfId="0" applyNumberFormat="1" applyFont="1" applyFill="1" applyProtection="1">
      <protection hidden="1"/>
    </xf>
    <xf numFmtId="166" fontId="16" fillId="2" borderId="9" xfId="0" applyNumberFormat="1" applyFont="1" applyFill="1" applyBorder="1" applyAlignment="1" applyProtection="1">
      <alignment horizontal="right"/>
      <protection hidden="1"/>
    </xf>
    <xf numFmtId="166" fontId="16" fillId="2" borderId="9" xfId="0" applyNumberFormat="1" applyFont="1" applyFill="1" applyBorder="1" applyProtection="1">
      <protection hidden="1"/>
    </xf>
    <xf numFmtId="0" fontId="16" fillId="0" borderId="0" xfId="0" applyFont="1"/>
    <xf numFmtId="0" fontId="15" fillId="3" borderId="46" xfId="4" applyFont="1" applyFill="1" applyBorder="1" applyProtection="1">
      <protection hidden="1"/>
    </xf>
    <xf numFmtId="0" fontId="36" fillId="2" borderId="0" xfId="0" applyFont="1" applyFill="1"/>
    <xf numFmtId="0" fontId="11" fillId="2" borderId="0" xfId="0" applyFont="1" applyFill="1" applyAlignment="1">
      <alignment horizontal="center"/>
    </xf>
    <xf numFmtId="0" fontId="13" fillId="2" borderId="0" xfId="0" applyFont="1" applyFill="1"/>
    <xf numFmtId="0" fontId="37" fillId="2" borderId="0" xfId="4" applyFont="1" applyFill="1" applyBorder="1" applyAlignment="1">
      <alignment horizontal="center" vertical="center" readingOrder="1"/>
    </xf>
    <xf numFmtId="0" fontId="38" fillId="2" borderId="0" xfId="0" applyFont="1" applyFill="1" applyAlignment="1">
      <alignment horizontal="center" vertical="center" readingOrder="1"/>
    </xf>
    <xf numFmtId="0" fontId="39" fillId="2" borderId="0" xfId="4" applyFont="1" applyFill="1" applyBorder="1" applyAlignment="1">
      <alignment horizontal="center" vertical="center" readingOrder="1"/>
    </xf>
    <xf numFmtId="0" fontId="40" fillId="2" borderId="0" xfId="0" applyFont="1" applyFill="1" applyAlignment="1">
      <alignment horizontal="center" vertical="center" readingOrder="1"/>
    </xf>
    <xf numFmtId="0" fontId="41" fillId="2" borderId="0" xfId="4" applyFont="1" applyFill="1" applyBorder="1" applyAlignment="1">
      <alignment horizontal="center" vertical="center" readingOrder="1"/>
    </xf>
    <xf numFmtId="0" fontId="42" fillId="2" borderId="0" xfId="0" applyFont="1" applyFill="1"/>
    <xf numFmtId="0" fontId="43" fillId="2" borderId="0" xfId="0" applyFont="1" applyFill="1" applyAlignment="1">
      <alignment horizontal="center"/>
    </xf>
    <xf numFmtId="0" fontId="44" fillId="2" borderId="0" xfId="0" applyFont="1" applyFill="1" applyAlignment="1">
      <alignment horizontal="center"/>
    </xf>
    <xf numFmtId="0" fontId="45" fillId="2" borderId="0" xfId="0" applyFont="1" applyFill="1" applyAlignment="1">
      <alignment horizontal="center"/>
    </xf>
    <xf numFmtId="0" fontId="0" fillId="2" borderId="0" xfId="0" applyFill="1" applyAlignment="1">
      <alignment horizontal="center"/>
    </xf>
    <xf numFmtId="0" fontId="46" fillId="2" borderId="0" xfId="0" applyFont="1" applyFill="1" applyAlignment="1">
      <alignment horizontal="left" vertical="center" readingOrder="1"/>
    </xf>
    <xf numFmtId="0" fontId="46" fillId="2" borderId="0" xfId="0" applyFont="1" applyFill="1" applyAlignment="1">
      <alignment horizontal="center"/>
    </xf>
    <xf numFmtId="0" fontId="13" fillId="2" borderId="0" xfId="0" applyFont="1" applyFill="1" applyAlignment="1">
      <alignment horizontal="center"/>
    </xf>
    <xf numFmtId="0" fontId="48" fillId="2" borderId="0" xfId="0" applyFont="1" applyFill="1"/>
    <xf numFmtId="0" fontId="0" fillId="2" borderId="0" xfId="0" applyFill="1" applyAlignment="1">
      <alignment wrapText="1"/>
    </xf>
    <xf numFmtId="0" fontId="48" fillId="2" borderId="0" xfId="0" applyFont="1" applyFill="1" applyAlignment="1">
      <alignment vertical="center"/>
    </xf>
    <xf numFmtId="0" fontId="49" fillId="2" borderId="0" xfId="0" applyFont="1" applyFill="1" applyAlignment="1">
      <alignment horizontal="left" vertical="center"/>
    </xf>
    <xf numFmtId="0" fontId="48" fillId="2" borderId="0" xfId="0" applyFont="1" applyFill="1" applyAlignment="1">
      <alignment horizontal="left" vertical="center"/>
    </xf>
    <xf numFmtId="0" fontId="49" fillId="2" borderId="0" xfId="0" applyFont="1" applyFill="1" applyAlignment="1">
      <alignment vertical="center"/>
    </xf>
    <xf numFmtId="0" fontId="49" fillId="2" borderId="0" xfId="0" applyFont="1" applyFill="1"/>
    <xf numFmtId="0" fontId="52" fillId="2" borderId="0" xfId="4" applyFont="1" applyFill="1" applyAlignment="1">
      <alignment horizontal="left" vertical="center"/>
    </xf>
    <xf numFmtId="0" fontId="53" fillId="2" borderId="0" xfId="0" applyFont="1" applyFill="1" applyAlignment="1">
      <alignment horizontal="left" vertical="center"/>
    </xf>
    <xf numFmtId="0" fontId="48" fillId="2" borderId="0" xfId="0" applyFont="1" applyFill="1" applyAlignment="1">
      <alignment horizontal="center" vertical="center"/>
    </xf>
    <xf numFmtId="0" fontId="52" fillId="2" borderId="0" xfId="4" quotePrefix="1" applyFont="1" applyFill="1" applyAlignment="1">
      <alignment horizontal="left" vertical="center"/>
    </xf>
    <xf numFmtId="0" fontId="53" fillId="2" borderId="0" xfId="0" applyFont="1" applyFill="1"/>
    <xf numFmtId="0" fontId="48" fillId="2" borderId="0" xfId="0" applyFont="1" applyFill="1" applyAlignment="1">
      <alignment wrapText="1"/>
    </xf>
    <xf numFmtId="0" fontId="54" fillId="2" borderId="0" xfId="0" applyFont="1" applyFill="1"/>
    <xf numFmtId="0" fontId="48" fillId="2" borderId="0" xfId="0" applyFont="1" applyFill="1" applyAlignment="1">
      <alignment horizontal="right" vertical="center"/>
    </xf>
    <xf numFmtId="0" fontId="55" fillId="2" borderId="0" xfId="0" applyFont="1" applyFill="1" applyAlignment="1">
      <alignment horizontal="left" vertical="center"/>
    </xf>
    <xf numFmtId="0" fontId="56" fillId="2" borderId="0" xfId="0" applyFont="1" applyFill="1"/>
    <xf numFmtId="0" fontId="48" fillId="2" borderId="0" xfId="4" applyFont="1" applyFill="1"/>
    <xf numFmtId="0" fontId="56" fillId="2" borderId="0" xfId="0" applyFont="1" applyFill="1" applyAlignment="1">
      <alignment horizontal="left"/>
    </xf>
    <xf numFmtId="0" fontId="52" fillId="2" borderId="0" xfId="4" applyFont="1" applyFill="1"/>
    <xf numFmtId="0" fontId="7" fillId="2" borderId="0" xfId="0" applyFont="1" applyFill="1" applyAlignment="1">
      <alignment horizontal="right"/>
    </xf>
    <xf numFmtId="0" fontId="58" fillId="2" borderId="0" xfId="0" applyFont="1" applyFill="1"/>
    <xf numFmtId="0" fontId="8" fillId="2" borderId="0" xfId="0" applyFont="1" applyFill="1"/>
    <xf numFmtId="0" fontId="16" fillId="2" borderId="0" xfId="8" applyFill="1"/>
    <xf numFmtId="0" fontId="57" fillId="2" borderId="0" xfId="0" applyFont="1" applyFill="1"/>
    <xf numFmtId="0" fontId="56" fillId="2" borderId="0" xfId="0" applyFont="1" applyFill="1" applyAlignment="1">
      <alignment vertical="center" wrapText="1"/>
    </xf>
    <xf numFmtId="0" fontId="17" fillId="2" borderId="0" xfId="0" applyFont="1" applyFill="1" applyAlignment="1">
      <alignment vertical="center" wrapText="1"/>
    </xf>
    <xf numFmtId="0" fontId="61" fillId="2" borderId="0" xfId="0" applyFont="1" applyFill="1" applyAlignment="1">
      <alignment horizontal="left" vertical="center"/>
    </xf>
    <xf numFmtId="0" fontId="56" fillId="2" borderId="0" xfId="0" applyFont="1" applyFill="1" applyAlignment="1">
      <alignment vertical="top" wrapText="1"/>
    </xf>
    <xf numFmtId="0" fontId="62" fillId="2" borderId="0" xfId="0" applyFont="1" applyFill="1" applyAlignment="1">
      <alignment horizontal="left"/>
    </xf>
    <xf numFmtId="0" fontId="0" fillId="2" borderId="47" xfId="0" applyFill="1" applyBorder="1"/>
    <xf numFmtId="0" fontId="8" fillId="2" borderId="0" xfId="0" applyFont="1" applyFill="1" applyAlignment="1">
      <alignment horizontal="center"/>
    </xf>
    <xf numFmtId="0" fontId="63" fillId="2" borderId="0" xfId="0" applyFont="1" applyFill="1" applyAlignment="1">
      <alignment horizontal="left"/>
    </xf>
    <xf numFmtId="0" fontId="49" fillId="0" borderId="0" xfId="0" applyFont="1" applyAlignment="1">
      <alignment horizontal="left" wrapText="1"/>
    </xf>
    <xf numFmtId="0" fontId="49" fillId="0" borderId="48" xfId="0" applyFont="1" applyBorder="1" applyAlignment="1">
      <alignment horizontal="left" wrapText="1"/>
    </xf>
    <xf numFmtId="0" fontId="49" fillId="0" borderId="49" xfId="0" applyFont="1" applyBorder="1" applyAlignment="1">
      <alignment horizontal="left" wrapText="1"/>
    </xf>
    <xf numFmtId="0" fontId="49" fillId="0" borderId="50" xfId="0" applyFont="1" applyBorder="1" applyAlignment="1">
      <alignment horizontal="left" wrapText="1"/>
    </xf>
    <xf numFmtId="0" fontId="49" fillId="0" borderId="51" xfId="0" applyFont="1" applyBorder="1" applyAlignment="1">
      <alignment horizontal="left" wrapText="1"/>
    </xf>
    <xf numFmtId="0" fontId="63" fillId="33" borderId="0" xfId="0" applyFont="1" applyFill="1" applyAlignment="1">
      <alignment horizontal="left"/>
    </xf>
    <xf numFmtId="0" fontId="63" fillId="2" borderId="52" xfId="0" applyFont="1" applyFill="1" applyBorder="1" applyAlignment="1">
      <alignment horizontal="left"/>
    </xf>
    <xf numFmtId="0" fontId="64" fillId="34" borderId="21" xfId="0" applyFont="1" applyFill="1" applyBorder="1" applyAlignment="1">
      <alignment wrapText="1"/>
    </xf>
    <xf numFmtId="0" fontId="64" fillId="34" borderId="22" xfId="0" applyFont="1" applyFill="1" applyBorder="1" applyAlignment="1">
      <alignment wrapText="1"/>
    </xf>
    <xf numFmtId="0" fontId="0" fillId="0" borderId="53" xfId="0" applyBorder="1"/>
    <xf numFmtId="0" fontId="0" fillId="0" borderId="50" xfId="0" applyBorder="1"/>
    <xf numFmtId="0" fontId="56" fillId="0" borderId="50" xfId="0" applyFont="1" applyBorder="1"/>
    <xf numFmtId="0" fontId="56" fillId="0" borderId="53" xfId="0" applyFont="1" applyBorder="1"/>
    <xf numFmtId="0" fontId="59" fillId="2" borderId="53" xfId="0" applyFont="1" applyFill="1" applyBorder="1"/>
    <xf numFmtId="0" fontId="56" fillId="2" borderId="53" xfId="0" applyFont="1" applyFill="1" applyBorder="1"/>
    <xf numFmtId="0" fontId="56" fillId="2" borderId="50" xfId="0" applyFont="1" applyFill="1" applyBorder="1"/>
    <xf numFmtId="0" fontId="0" fillId="2" borderId="50" xfId="0" applyFill="1" applyBorder="1"/>
    <xf numFmtId="0" fontId="48" fillId="2" borderId="53" xfId="0" applyFont="1" applyFill="1" applyBorder="1" applyAlignment="1">
      <alignment vertical="center"/>
    </xf>
    <xf numFmtId="0" fontId="65" fillId="2" borderId="0" xfId="0" applyFont="1" applyFill="1"/>
    <xf numFmtId="0" fontId="50" fillId="2" borderId="0" xfId="0" applyFont="1" applyFill="1"/>
    <xf numFmtId="0" fontId="56" fillId="32" borderId="0" xfId="0" applyFont="1" applyFill="1" applyAlignment="1">
      <alignment vertical="center" wrapText="1"/>
    </xf>
    <xf numFmtId="0" fontId="33" fillId="0" borderId="0" xfId="4" applyFont="1" applyAlignment="1">
      <alignment horizontal="left" wrapText="1"/>
    </xf>
    <xf numFmtId="0" fontId="4" fillId="8" borderId="42" xfId="0" applyFont="1" applyFill="1" applyBorder="1" applyAlignment="1">
      <alignment wrapText="1"/>
    </xf>
    <xf numFmtId="0" fontId="4" fillId="8" borderId="0" xfId="0" applyFont="1" applyFill="1" applyAlignment="1">
      <alignment wrapText="1"/>
    </xf>
    <xf numFmtId="0" fontId="0" fillId="0" borderId="0" xfId="0" applyFill="1" applyBorder="1"/>
    <xf numFmtId="0" fontId="11" fillId="0" borderId="0" xfId="0" applyFont="1" applyFill="1" applyBorder="1"/>
    <xf numFmtId="0" fontId="11" fillId="0" borderId="0" xfId="0" applyFont="1" applyFill="1" applyBorder="1" applyAlignment="1">
      <alignment horizontal="right" wrapText="1"/>
    </xf>
    <xf numFmtId="0" fontId="4" fillId="0" borderId="0" xfId="0" applyFont="1" applyFill="1" applyBorder="1"/>
    <xf numFmtId="0" fontId="0" fillId="0" borderId="0" xfId="0" applyFill="1" applyBorder="1" applyAlignment="1">
      <alignment horizontal="left"/>
    </xf>
    <xf numFmtId="3" fontId="16" fillId="2" borderId="0" xfId="0" applyNumberFormat="1" applyFont="1" applyFill="1" applyAlignment="1" applyProtection="1">
      <alignment horizontal="left" vertical="top"/>
      <protection hidden="1"/>
    </xf>
    <xf numFmtId="0" fontId="11" fillId="2" borderId="0" xfId="0" applyFont="1" applyFill="1" applyAlignment="1" applyProtection="1">
      <alignment horizontal="right" vertical="top"/>
      <protection hidden="1"/>
    </xf>
    <xf numFmtId="0" fontId="17" fillId="4" borderId="6" xfId="0" applyFont="1" applyFill="1" applyBorder="1" applyAlignment="1" applyProtection="1">
      <alignment vertical="top"/>
      <protection hidden="1"/>
    </xf>
    <xf numFmtId="0" fontId="18" fillId="4" borderId="0" xfId="0" applyFont="1" applyFill="1" applyBorder="1" applyAlignment="1" applyProtection="1">
      <alignment vertical="top"/>
      <protection hidden="1"/>
    </xf>
    <xf numFmtId="0" fontId="11" fillId="2" borderId="6" xfId="0" applyFont="1" applyFill="1" applyBorder="1" applyAlignment="1" applyProtection="1">
      <alignment horizontal="left" vertical="top"/>
      <protection hidden="1"/>
    </xf>
    <xf numFmtId="0" fontId="16" fillId="2" borderId="0" xfId="0" applyFont="1" applyFill="1" applyBorder="1" applyAlignment="1" applyProtection="1">
      <alignment horizontal="left" indent="1"/>
      <protection hidden="1"/>
    </xf>
    <xf numFmtId="0" fontId="16" fillId="2" borderId="6" xfId="0" applyFont="1" applyFill="1" applyBorder="1" applyAlignment="1" applyProtection="1">
      <alignment horizontal="left"/>
      <protection hidden="1"/>
    </xf>
    <xf numFmtId="0" fontId="16" fillId="2" borderId="0" xfId="0" applyFont="1" applyFill="1" applyBorder="1" applyAlignment="1" applyProtection="1">
      <alignment horizontal="left"/>
      <protection hidden="1"/>
    </xf>
    <xf numFmtId="0" fontId="16" fillId="2" borderId="0" xfId="0" applyFont="1" applyFill="1" applyBorder="1" applyProtection="1">
      <protection hidden="1"/>
    </xf>
    <xf numFmtId="0" fontId="20" fillId="2" borderId="0" xfId="0" applyFont="1" applyFill="1" applyBorder="1" applyProtection="1">
      <protection hidden="1"/>
    </xf>
    <xf numFmtId="0" fontId="22" fillId="2" borderId="0" xfId="0" applyFont="1" applyFill="1" applyBorder="1" applyProtection="1">
      <protection hidden="1"/>
    </xf>
    <xf numFmtId="0" fontId="22" fillId="2" borderId="9" xfId="0" applyFont="1" applyFill="1" applyBorder="1" applyProtection="1">
      <protection hidden="1"/>
    </xf>
    <xf numFmtId="0" fontId="33" fillId="2" borderId="0" xfId="4" applyFont="1" applyFill="1" applyBorder="1" applyAlignment="1" applyProtection="1">
      <alignment horizontal="right" vertical="top"/>
      <protection hidden="1"/>
    </xf>
    <xf numFmtId="0" fontId="15" fillId="2" borderId="0" xfId="0" applyFont="1" applyFill="1" applyAlignment="1" applyProtection="1">
      <alignment horizontal="right" vertical="top"/>
      <protection hidden="1"/>
    </xf>
    <xf numFmtId="0" fontId="16" fillId="0" borderId="0" xfId="0" applyFont="1" applyBorder="1"/>
    <xf numFmtId="0" fontId="16" fillId="0" borderId="0" xfId="0" applyFont="1" applyFill="1" applyBorder="1"/>
    <xf numFmtId="0" fontId="2" fillId="2" borderId="0" xfId="0" applyFont="1" applyFill="1"/>
    <xf numFmtId="0" fontId="67" fillId="2" borderId="0" xfId="0" applyFont="1" applyFill="1"/>
    <xf numFmtId="0" fontId="59" fillId="2" borderId="0" xfId="0" applyFont="1" applyFill="1"/>
    <xf numFmtId="0" fontId="1" fillId="16" borderId="0" xfId="9" applyFill="1" applyAlignment="1">
      <alignment vertical="top" wrapText="1"/>
    </xf>
    <xf numFmtId="0" fontId="1" fillId="16" borderId="0" xfId="9" applyFill="1" applyAlignment="1">
      <alignment horizontal="right" vertical="top" wrapText="1"/>
    </xf>
    <xf numFmtId="2" fontId="1" fillId="16" borderId="0" xfId="9" applyNumberFormat="1" applyFill="1"/>
    <xf numFmtId="2" fontId="1" fillId="16" borderId="0" xfId="9" applyNumberFormat="1" applyFill="1" applyAlignment="1">
      <alignment horizontal="right" vertical="top" wrapText="1"/>
    </xf>
    <xf numFmtId="0" fontId="1" fillId="16" borderId="0" xfId="9" applyFill="1"/>
    <xf numFmtId="0" fontId="32" fillId="16" borderId="43" xfId="7" applyFont="1" applyFill="1" applyBorder="1"/>
    <xf numFmtId="0" fontId="1" fillId="2" borderId="0" xfId="0" applyFont="1" applyFill="1" applyProtection="1">
      <protection hidden="1"/>
    </xf>
    <xf numFmtId="0" fontId="1" fillId="2" borderId="0" xfId="0" applyFont="1" applyFill="1"/>
    <xf numFmtId="0" fontId="1" fillId="2" borderId="0" xfId="0" applyFont="1" applyFill="1" applyProtection="1">
      <protection locked="0" hidden="1"/>
    </xf>
    <xf numFmtId="0" fontId="52" fillId="2" borderId="0" xfId="4" applyFont="1" applyFill="1" applyAlignment="1">
      <alignment horizontal="left" vertical="center"/>
    </xf>
    <xf numFmtId="0" fontId="0" fillId="0" borderId="0" xfId="0" applyFill="1" applyAlignment="1" applyProtection="1">
      <alignment vertical="top"/>
      <protection hidden="1"/>
    </xf>
    <xf numFmtId="0" fontId="16" fillId="0" borderId="0" xfId="0" applyFont="1" applyFill="1" applyAlignment="1" applyProtection="1">
      <alignment vertical="top"/>
      <protection hidden="1"/>
    </xf>
    <xf numFmtId="0" fontId="0" fillId="0" borderId="0" xfId="0" applyFill="1" applyProtection="1">
      <protection hidden="1"/>
    </xf>
    <xf numFmtId="0" fontId="16" fillId="0" borderId="0" xfId="0" applyFont="1" applyFill="1" applyProtection="1">
      <protection hidden="1"/>
    </xf>
    <xf numFmtId="0" fontId="0" fillId="0" borderId="0" xfId="0" applyFill="1" applyAlignment="1" applyProtection="1">
      <alignment horizontal="left"/>
      <protection hidden="1"/>
    </xf>
    <xf numFmtId="0" fontId="6" fillId="0" borderId="0" xfId="0" applyFont="1" applyFill="1" applyProtection="1">
      <protection hidden="1"/>
    </xf>
    <xf numFmtId="0" fontId="16" fillId="0" borderId="0" xfId="0" applyFont="1" applyFill="1" applyAlignment="1" applyProtection="1">
      <alignment horizontal="left"/>
      <protection hidden="1"/>
    </xf>
    <xf numFmtId="0" fontId="23" fillId="0" borderId="0" xfId="0" applyFont="1" applyFill="1" applyProtection="1">
      <protection hidden="1"/>
    </xf>
    <xf numFmtId="0" fontId="12" fillId="0" borderId="0" xfId="0" applyFont="1" applyFill="1" applyProtection="1">
      <protection hidden="1"/>
    </xf>
    <xf numFmtId="0" fontId="22" fillId="0" borderId="8" xfId="1" applyNumberFormat="1" applyFont="1" applyFill="1" applyBorder="1" applyAlignment="1" applyProtection="1">
      <alignment horizontal="left"/>
      <protection hidden="1"/>
    </xf>
    <xf numFmtId="0" fontId="52" fillId="2" borderId="0" xfId="4" applyFont="1" applyFill="1" applyAlignment="1">
      <alignment horizontal="left" vertical="center"/>
    </xf>
    <xf numFmtId="0" fontId="56" fillId="0" borderId="58" xfId="0" applyFont="1" applyBorder="1"/>
    <xf numFmtId="0" fontId="56" fillId="0" borderId="54" xfId="0" applyFont="1" applyBorder="1"/>
    <xf numFmtId="169" fontId="56" fillId="0" borderId="59" xfId="0" applyNumberFormat="1" applyFont="1" applyBorder="1" applyAlignment="1">
      <alignment horizontal="left" vertical="top"/>
    </xf>
    <xf numFmtId="49" fontId="56" fillId="0" borderId="60" xfId="0" applyNumberFormat="1" applyFont="1" applyBorder="1" applyAlignment="1">
      <alignment horizontal="left" vertical="top"/>
    </xf>
    <xf numFmtId="0" fontId="56" fillId="0" borderId="22" xfId="0" applyFont="1" applyBorder="1" applyAlignment="1">
      <alignment horizontal="left" vertical="top"/>
    </xf>
    <xf numFmtId="3" fontId="0" fillId="0" borderId="0" xfId="0" applyNumberFormat="1"/>
    <xf numFmtId="4" fontId="0" fillId="0" borderId="0" xfId="0" applyNumberFormat="1"/>
    <xf numFmtId="0" fontId="0" fillId="0" borderId="55" xfId="0" applyBorder="1"/>
    <xf numFmtId="0" fontId="0" fillId="0" borderId="56" xfId="0" applyBorder="1"/>
    <xf numFmtId="0" fontId="1" fillId="0" borderId="0" xfId="9"/>
    <xf numFmtId="0" fontId="0" fillId="35" borderId="55" xfId="0" applyFill="1" applyBorder="1"/>
    <xf numFmtId="0" fontId="0" fillId="35" borderId="56" xfId="0" applyFill="1" applyBorder="1"/>
    <xf numFmtId="0" fontId="0" fillId="35" borderId="57" xfId="0" applyFill="1" applyBorder="1"/>
    <xf numFmtId="0" fontId="0" fillId="0" borderId="57" xfId="0" applyBorder="1"/>
    <xf numFmtId="170" fontId="16" fillId="7" borderId="12" xfId="0" applyNumberFormat="1" applyFont="1" applyFill="1" applyBorder="1" applyProtection="1">
      <protection hidden="1"/>
    </xf>
    <xf numFmtId="170" fontId="16" fillId="2" borderId="10" xfId="0" applyNumberFormat="1" applyFont="1" applyFill="1" applyBorder="1" applyProtection="1">
      <protection hidden="1"/>
    </xf>
    <xf numFmtId="170" fontId="21" fillId="2" borderId="0" xfId="0" applyNumberFormat="1" applyFont="1" applyFill="1" applyProtection="1">
      <protection hidden="1"/>
    </xf>
    <xf numFmtId="170" fontId="21" fillId="2" borderId="7" xfId="0" applyNumberFormat="1" applyFont="1" applyFill="1" applyBorder="1" applyProtection="1">
      <protection hidden="1"/>
    </xf>
    <xf numFmtId="170" fontId="21" fillId="2" borderId="10" xfId="0" applyNumberFormat="1" applyFont="1" applyFill="1" applyBorder="1" applyProtection="1">
      <protection hidden="1"/>
    </xf>
    <xf numFmtId="170" fontId="16" fillId="7" borderId="14" xfId="0" applyNumberFormat="1" applyFont="1" applyFill="1" applyBorder="1" applyProtection="1">
      <protection hidden="1"/>
    </xf>
    <xf numFmtId="170" fontId="16" fillId="2" borderId="4" xfId="0" applyNumberFormat="1" applyFont="1" applyFill="1" applyBorder="1" applyProtection="1">
      <protection hidden="1"/>
    </xf>
    <xf numFmtId="170" fontId="16" fillId="7" borderId="17" xfId="0" applyNumberFormat="1" applyFont="1" applyFill="1" applyBorder="1" applyProtection="1">
      <protection hidden="1"/>
    </xf>
    <xf numFmtId="170" fontId="16" fillId="2" borderId="22" xfId="0" applyNumberFormat="1" applyFont="1" applyFill="1" applyBorder="1" applyProtection="1">
      <protection hidden="1"/>
    </xf>
    <xf numFmtId="170" fontId="11" fillId="2" borderId="9" xfId="0" applyNumberFormat="1" applyFont="1" applyFill="1" applyBorder="1" applyProtection="1">
      <protection hidden="1"/>
    </xf>
    <xf numFmtId="170" fontId="11" fillId="2" borderId="10" xfId="0" applyNumberFormat="1" applyFont="1" applyFill="1" applyBorder="1" applyProtection="1">
      <protection hidden="1"/>
    </xf>
    <xf numFmtId="170" fontId="11" fillId="2" borderId="21" xfId="0" applyNumberFormat="1" applyFont="1" applyFill="1" applyBorder="1" applyProtection="1">
      <protection hidden="1"/>
    </xf>
    <xf numFmtId="170" fontId="11" fillId="2" borderId="22" xfId="0" applyNumberFormat="1" applyFont="1" applyFill="1" applyBorder="1" applyProtection="1">
      <protection hidden="1"/>
    </xf>
    <xf numFmtId="170" fontId="16" fillId="2" borderId="0" xfId="0" applyNumberFormat="1" applyFont="1" applyFill="1" applyAlignment="1" applyProtection="1">
      <alignment horizontal="right"/>
      <protection hidden="1"/>
    </xf>
    <xf numFmtId="170" fontId="12" fillId="2" borderId="0" xfId="1" applyNumberFormat="1" applyFont="1" applyFill="1" applyBorder="1" applyAlignment="1" applyProtection="1">
      <alignment horizontal="right" wrapText="1"/>
      <protection hidden="1"/>
    </xf>
    <xf numFmtId="170" fontId="12" fillId="2" borderId="30" xfId="1" applyNumberFormat="1" applyFont="1" applyFill="1" applyBorder="1" applyAlignment="1" applyProtection="1">
      <alignment horizontal="right" wrapText="1"/>
      <protection hidden="1"/>
    </xf>
    <xf numFmtId="170" fontId="15" fillId="2" borderId="21" xfId="1" applyNumberFormat="1" applyFont="1" applyFill="1" applyBorder="1" applyAlignment="1" applyProtection="1">
      <alignment horizontal="right" wrapText="1"/>
      <protection hidden="1"/>
    </xf>
    <xf numFmtId="170" fontId="15" fillId="2" borderId="33" xfId="1" applyNumberFormat="1" applyFont="1" applyFill="1" applyBorder="1" applyAlignment="1" applyProtection="1">
      <alignment horizontal="right" wrapText="1"/>
      <protection hidden="1"/>
    </xf>
    <xf numFmtId="170" fontId="16" fillId="2" borderId="0" xfId="0" applyNumberFormat="1" applyFont="1" applyFill="1" applyProtection="1">
      <protection hidden="1"/>
    </xf>
    <xf numFmtId="170" fontId="16" fillId="2" borderId="30" xfId="0" applyNumberFormat="1" applyFont="1" applyFill="1" applyBorder="1" applyProtection="1">
      <protection hidden="1"/>
    </xf>
    <xf numFmtId="170" fontId="16" fillId="7" borderId="37" xfId="0" applyNumberFormat="1" applyFont="1" applyFill="1" applyBorder="1" applyProtection="1">
      <protection hidden="1"/>
    </xf>
    <xf numFmtId="170" fontId="16" fillId="7" borderId="39" xfId="0" applyNumberFormat="1" applyFont="1" applyFill="1" applyBorder="1" applyProtection="1">
      <protection hidden="1"/>
    </xf>
    <xf numFmtId="170" fontId="16" fillId="2" borderId="9" xfId="0" applyNumberFormat="1" applyFont="1" applyFill="1" applyBorder="1" applyProtection="1">
      <protection hidden="1"/>
    </xf>
    <xf numFmtId="170" fontId="16" fillId="2" borderId="32" xfId="0" applyNumberFormat="1" applyFont="1" applyFill="1" applyBorder="1" applyProtection="1">
      <protection hidden="1"/>
    </xf>
    <xf numFmtId="170" fontId="11" fillId="2" borderId="32" xfId="0" applyNumberFormat="1" applyFont="1" applyFill="1" applyBorder="1" applyProtection="1">
      <protection hidden="1"/>
    </xf>
    <xf numFmtId="170" fontId="16" fillId="2" borderId="7" xfId="1" applyNumberFormat="1" applyFont="1" applyFill="1" applyBorder="1" applyAlignment="1" applyProtection="1">
      <alignment horizontal="right"/>
      <protection hidden="1"/>
    </xf>
    <xf numFmtId="170" fontId="16" fillId="2" borderId="4" xfId="1" applyNumberFormat="1" applyFont="1" applyFill="1" applyBorder="1" applyAlignment="1" applyProtection="1">
      <alignment horizontal="right"/>
      <protection hidden="1"/>
    </xf>
    <xf numFmtId="170" fontId="11" fillId="2" borderId="22" xfId="1" applyNumberFormat="1" applyFont="1" applyFill="1" applyBorder="1" applyAlignment="1" applyProtection="1">
      <alignment horizontal="right"/>
      <protection hidden="1"/>
    </xf>
    <xf numFmtId="170" fontId="11" fillId="2" borderId="22" xfId="0" applyNumberFormat="1" applyFont="1" applyFill="1" applyBorder="1" applyAlignment="1" applyProtection="1">
      <alignment horizontal="right"/>
      <protection hidden="1"/>
    </xf>
    <xf numFmtId="170" fontId="16" fillId="2" borderId="4" xfId="0" applyNumberFormat="1" applyFont="1" applyFill="1" applyBorder="1" applyAlignment="1" applyProtection="1">
      <alignment horizontal="right"/>
      <protection hidden="1"/>
    </xf>
    <xf numFmtId="170" fontId="16" fillId="2" borderId="10" xfId="0" applyNumberFormat="1" applyFont="1" applyFill="1" applyBorder="1" applyAlignment="1" applyProtection="1">
      <alignment horizontal="right"/>
      <protection hidden="1"/>
    </xf>
    <xf numFmtId="170" fontId="11" fillId="2" borderId="10" xfId="0" applyNumberFormat="1" applyFont="1" applyFill="1" applyBorder="1" applyAlignment="1" applyProtection="1">
      <alignment horizontal="right"/>
      <protection hidden="1"/>
    </xf>
    <xf numFmtId="170" fontId="12" fillId="2" borderId="4" xfId="6" applyNumberFormat="1" applyFont="1" applyFill="1" applyBorder="1" applyAlignment="1" applyProtection="1">
      <alignment horizontal="right"/>
      <protection hidden="1"/>
    </xf>
    <xf numFmtId="170" fontId="12" fillId="2" borderId="10" xfId="6" applyNumberFormat="1" applyFont="1" applyFill="1" applyBorder="1" applyAlignment="1" applyProtection="1">
      <alignment horizontal="right"/>
      <protection hidden="1"/>
    </xf>
    <xf numFmtId="170" fontId="15" fillId="2" borderId="10" xfId="6" applyNumberFormat="1" applyFont="1" applyFill="1" applyBorder="1" applyAlignment="1" applyProtection="1">
      <alignment horizontal="right"/>
      <protection hidden="1"/>
    </xf>
    <xf numFmtId="171" fontId="12" fillId="7" borderId="14" xfId="6" applyNumberFormat="1" applyFont="1" applyFill="1" applyBorder="1" applyAlignment="1" applyProtection="1">
      <alignment horizontal="right"/>
      <protection hidden="1"/>
    </xf>
    <xf numFmtId="171" fontId="12" fillId="7" borderId="17" xfId="6" applyNumberFormat="1" applyFont="1" applyFill="1" applyBorder="1" applyAlignment="1" applyProtection="1">
      <alignment horizontal="right"/>
      <protection hidden="1"/>
    </xf>
    <xf numFmtId="171" fontId="12" fillId="7" borderId="39" xfId="6" applyNumberFormat="1" applyFont="1" applyFill="1" applyBorder="1" applyAlignment="1" applyProtection="1">
      <alignment horizontal="right"/>
      <protection hidden="1"/>
    </xf>
    <xf numFmtId="171" fontId="15" fillId="7" borderId="39" xfId="6" applyNumberFormat="1" applyFont="1" applyFill="1" applyBorder="1" applyAlignment="1" applyProtection="1">
      <alignment horizontal="right"/>
      <protection hidden="1"/>
    </xf>
    <xf numFmtId="171" fontId="16" fillId="7" borderId="14" xfId="0" applyNumberFormat="1" applyFont="1" applyFill="1" applyBorder="1" applyAlignment="1" applyProtection="1">
      <alignment horizontal="right"/>
      <protection hidden="1"/>
    </xf>
    <xf numFmtId="171" fontId="16" fillId="7" borderId="17" xfId="0" applyNumberFormat="1" applyFont="1" applyFill="1" applyBorder="1" applyAlignment="1" applyProtection="1">
      <alignment horizontal="right"/>
      <protection hidden="1"/>
    </xf>
    <xf numFmtId="171" fontId="16" fillId="7" borderId="39" xfId="0" applyNumberFormat="1" applyFont="1" applyFill="1" applyBorder="1" applyAlignment="1" applyProtection="1">
      <alignment horizontal="right"/>
      <protection hidden="1"/>
    </xf>
    <xf numFmtId="171" fontId="11" fillId="7" borderId="39" xfId="0" applyNumberFormat="1" applyFont="1" applyFill="1" applyBorder="1" applyAlignment="1" applyProtection="1">
      <alignment horizontal="right"/>
      <protection hidden="1"/>
    </xf>
    <xf numFmtId="171" fontId="12" fillId="2" borderId="0" xfId="6" applyNumberFormat="1" applyFont="1" applyFill="1" applyAlignment="1" applyProtection="1">
      <alignment horizontal="right"/>
      <protection hidden="1"/>
    </xf>
    <xf numFmtId="171" fontId="12" fillId="2" borderId="9" xfId="6" applyNumberFormat="1" applyFont="1" applyFill="1" applyBorder="1" applyAlignment="1" applyProtection="1">
      <alignment horizontal="right"/>
      <protection hidden="1"/>
    </xf>
    <xf numFmtId="171" fontId="15" fillId="2" borderId="9" xfId="6" applyNumberFormat="1" applyFont="1" applyFill="1" applyBorder="1" applyAlignment="1" applyProtection="1">
      <alignment horizontal="right"/>
      <protection hidden="1"/>
    </xf>
    <xf numFmtId="171" fontId="16" fillId="2" borderId="0" xfId="0" applyNumberFormat="1" applyFont="1" applyFill="1" applyAlignment="1" applyProtection="1">
      <alignment horizontal="right"/>
      <protection hidden="1"/>
    </xf>
    <xf numFmtId="171" fontId="16" fillId="2" borderId="9" xfId="0" applyNumberFormat="1" applyFont="1" applyFill="1" applyBorder="1" applyAlignment="1" applyProtection="1">
      <alignment horizontal="right"/>
      <protection hidden="1"/>
    </xf>
    <xf numFmtId="171" fontId="11" fillId="2" borderId="9" xfId="0" applyNumberFormat="1" applyFont="1" applyFill="1" applyBorder="1" applyAlignment="1" applyProtection="1">
      <alignment horizontal="right"/>
      <protection hidden="1"/>
    </xf>
    <xf numFmtId="171" fontId="16" fillId="3" borderId="14" xfId="0" applyNumberFormat="1" applyFont="1" applyFill="1" applyBorder="1" applyAlignment="1" applyProtection="1">
      <alignment horizontal="right"/>
      <protection hidden="1"/>
    </xf>
    <xf numFmtId="171" fontId="16" fillId="3" borderId="39" xfId="0" applyNumberFormat="1" applyFont="1" applyFill="1" applyBorder="1" applyAlignment="1" applyProtection="1">
      <alignment horizontal="right"/>
      <protection hidden="1"/>
    </xf>
    <xf numFmtId="171" fontId="11" fillId="3" borderId="39" xfId="0" applyNumberFormat="1" applyFont="1" applyFill="1" applyBorder="1" applyAlignment="1" applyProtection="1">
      <alignment horizontal="right"/>
      <protection hidden="1"/>
    </xf>
    <xf numFmtId="171" fontId="16" fillId="2" borderId="6" xfId="0" applyNumberFormat="1" applyFont="1" applyFill="1" applyBorder="1" applyAlignment="1" applyProtection="1">
      <alignment horizontal="right"/>
      <protection hidden="1"/>
    </xf>
    <xf numFmtId="171" fontId="11" fillId="7" borderId="12" xfId="0" applyNumberFormat="1" applyFont="1" applyFill="1" applyBorder="1" applyAlignment="1" applyProtection="1">
      <alignment horizontal="right"/>
      <protection hidden="1"/>
    </xf>
    <xf numFmtId="171" fontId="11" fillId="2" borderId="21" xfId="0" applyNumberFormat="1" applyFont="1" applyFill="1" applyBorder="1" applyAlignment="1" applyProtection="1">
      <alignment horizontal="right"/>
      <protection hidden="1"/>
    </xf>
    <xf numFmtId="165" fontId="16" fillId="2" borderId="0" xfId="3" applyNumberFormat="1" applyFont="1" applyFill="1" applyProtection="1">
      <protection hidden="1"/>
    </xf>
    <xf numFmtId="165" fontId="16" fillId="2" borderId="7" xfId="3" applyNumberFormat="1" applyFont="1" applyFill="1" applyBorder="1" applyProtection="1">
      <protection hidden="1"/>
    </xf>
    <xf numFmtId="0" fontId="52" fillId="2" borderId="0" xfId="4" applyFont="1" applyFill="1" applyAlignment="1">
      <alignment horizontal="left" vertical="center"/>
    </xf>
    <xf numFmtId="0" fontId="28" fillId="2" borderId="0" xfId="0" applyFont="1" applyFill="1" applyAlignment="1">
      <alignment horizontal="left" wrapText="1"/>
    </xf>
    <xf numFmtId="0" fontId="48" fillId="2" borderId="0" xfId="0" applyFont="1" applyFill="1" applyAlignment="1">
      <alignment horizontal="left" vertical="top" wrapText="1"/>
    </xf>
    <xf numFmtId="0" fontId="0" fillId="0" borderId="0" xfId="0" applyAlignment="1">
      <alignment wrapText="1"/>
    </xf>
    <xf numFmtId="0" fontId="8" fillId="2" borderId="0" xfId="0" applyFont="1" applyFill="1" applyAlignment="1">
      <alignment horizontal="left"/>
    </xf>
    <xf numFmtId="0" fontId="47" fillId="2" borderId="0" xfId="0" applyFont="1" applyFill="1" applyAlignment="1">
      <alignment horizontal="left"/>
    </xf>
    <xf numFmtId="0" fontId="8" fillId="2" borderId="0" xfId="0" applyFont="1" applyFill="1" applyAlignment="1">
      <alignment horizontal="center"/>
    </xf>
    <xf numFmtId="0" fontId="7" fillId="2" borderId="0" xfId="0" applyFont="1" applyFill="1" applyAlignment="1" applyProtection="1">
      <alignment horizontal="center" vertical="top"/>
      <protection hidden="1"/>
    </xf>
    <xf numFmtId="0" fontId="66" fillId="3" borderId="1" xfId="0" applyFont="1" applyFill="1" applyBorder="1" applyAlignment="1" applyProtection="1">
      <alignment horizontal="left" vertical="center"/>
      <protection locked="0"/>
    </xf>
    <xf numFmtId="0" fontId="66" fillId="3" borderId="2" xfId="0" applyFont="1" applyFill="1" applyBorder="1" applyAlignment="1" applyProtection="1">
      <alignment horizontal="left" vertical="center"/>
      <protection locked="0"/>
    </xf>
    <xf numFmtId="0" fontId="66" fillId="3" borderId="3" xfId="0" applyFont="1" applyFill="1" applyBorder="1" applyAlignment="1" applyProtection="1">
      <alignment horizontal="left" vertical="center"/>
      <protection locked="0"/>
    </xf>
    <xf numFmtId="0" fontId="17" fillId="2" borderId="4" xfId="0" applyFont="1" applyFill="1" applyBorder="1" applyAlignment="1" applyProtection="1">
      <alignment horizontal="left" vertical="top" wrapText="1"/>
      <protection hidden="1"/>
    </xf>
    <xf numFmtId="0" fontId="17" fillId="4" borderId="5" xfId="0" applyFont="1" applyFill="1" applyBorder="1" applyAlignment="1" applyProtection="1">
      <alignment vertical="top" wrapText="1"/>
      <protection hidden="1"/>
    </xf>
    <xf numFmtId="0" fontId="18" fillId="4" borderId="6" xfId="0" applyFont="1" applyFill="1" applyBorder="1" applyAlignment="1" applyProtection="1">
      <alignment vertical="top" wrapText="1"/>
      <protection hidden="1"/>
    </xf>
    <xf numFmtId="0" fontId="18" fillId="4" borderId="7" xfId="0" applyFont="1" applyFill="1" applyBorder="1" applyAlignment="1" applyProtection="1">
      <alignment vertical="top" wrapText="1"/>
      <protection hidden="1"/>
    </xf>
    <xf numFmtId="0" fontId="17" fillId="4" borderId="8" xfId="0" applyFont="1" applyFill="1" applyBorder="1" applyAlignment="1" applyProtection="1">
      <alignment vertical="top" wrapText="1"/>
      <protection hidden="1"/>
    </xf>
    <xf numFmtId="0" fontId="18" fillId="4" borderId="0" xfId="0" applyFont="1" applyFill="1" applyAlignment="1" applyProtection="1">
      <alignment vertical="top" wrapText="1"/>
      <protection hidden="1"/>
    </xf>
    <xf numFmtId="0" fontId="18" fillId="4" borderId="4" xfId="0" applyFont="1" applyFill="1" applyBorder="1" applyAlignment="1" applyProtection="1">
      <alignment vertical="top" wrapText="1"/>
      <protection hidden="1"/>
    </xf>
    <xf numFmtId="0" fontId="18" fillId="4" borderId="8" xfId="0" applyFont="1" applyFill="1" applyBorder="1" applyAlignment="1" applyProtection="1">
      <alignment vertical="top" wrapText="1"/>
      <protection hidden="1"/>
    </xf>
    <xf numFmtId="0" fontId="18" fillId="0" borderId="4" xfId="0" applyFont="1" applyBorder="1" applyAlignment="1" applyProtection="1">
      <alignment horizontal="left" vertical="top" wrapText="1"/>
      <protection hidden="1"/>
    </xf>
    <xf numFmtId="0" fontId="17" fillId="4" borderId="26" xfId="0" applyFont="1" applyFill="1" applyBorder="1" applyAlignment="1" applyProtection="1">
      <alignment vertical="top" wrapText="1"/>
      <protection hidden="1"/>
    </xf>
    <xf numFmtId="0" fontId="18" fillId="4" borderId="27" xfId="0" applyFont="1" applyFill="1" applyBorder="1" applyAlignment="1" applyProtection="1">
      <alignment vertical="top" wrapText="1"/>
      <protection hidden="1"/>
    </xf>
    <xf numFmtId="0" fontId="18" fillId="4" borderId="23" xfId="0" applyFont="1" applyFill="1" applyBorder="1" applyAlignment="1" applyProtection="1">
      <alignment vertical="top" wrapText="1"/>
      <protection hidden="1"/>
    </xf>
    <xf numFmtId="0" fontId="18" fillId="4" borderId="9" xfId="0" applyFont="1" applyFill="1" applyBorder="1" applyAlignment="1" applyProtection="1">
      <alignment vertical="top" wrapText="1"/>
      <protection hidden="1"/>
    </xf>
    <xf numFmtId="164" fontId="15" fillId="4" borderId="27" xfId="1" applyNumberFormat="1" applyFont="1" applyFill="1" applyBorder="1" applyAlignment="1" applyProtection="1">
      <alignment horizontal="right" vertical="top" wrapText="1"/>
      <protection hidden="1"/>
    </xf>
    <xf numFmtId="0" fontId="0" fillId="4" borderId="27" xfId="0" applyFill="1" applyBorder="1" applyAlignment="1" applyProtection="1">
      <alignment vertical="top" wrapText="1"/>
      <protection hidden="1"/>
    </xf>
    <xf numFmtId="0" fontId="0" fillId="4" borderId="0" xfId="0" applyFill="1" applyAlignment="1" applyProtection="1">
      <alignment vertical="top" wrapText="1"/>
      <protection hidden="1"/>
    </xf>
    <xf numFmtId="0" fontId="0" fillId="4" borderId="9" xfId="0" applyFill="1" applyBorder="1" applyAlignment="1" applyProtection="1">
      <alignment vertical="top" wrapText="1"/>
      <protection hidden="1"/>
    </xf>
    <xf numFmtId="164" fontId="15" fillId="4" borderId="28" xfId="1" applyNumberFormat="1" applyFont="1" applyFill="1" applyBorder="1" applyAlignment="1" applyProtection="1">
      <alignment horizontal="right" vertical="top" wrapText="1"/>
      <protection hidden="1"/>
    </xf>
    <xf numFmtId="0" fontId="0" fillId="4" borderId="4" xfId="0" applyFill="1" applyBorder="1" applyAlignment="1" applyProtection="1">
      <alignment vertical="top" wrapText="1"/>
      <protection hidden="1"/>
    </xf>
    <xf numFmtId="0" fontId="0" fillId="4" borderId="10" xfId="0" applyFill="1" applyBorder="1" applyAlignment="1" applyProtection="1">
      <alignment vertical="top" wrapText="1"/>
      <protection hidden="1"/>
    </xf>
    <xf numFmtId="0" fontId="33" fillId="2" borderId="0" xfId="4" applyFont="1" applyFill="1" applyAlignment="1" applyProtection="1">
      <alignment horizontal="left" vertical="top"/>
      <protection hidden="1"/>
    </xf>
    <xf numFmtId="0" fontId="17" fillId="4" borderId="5" xfId="0" applyFont="1" applyFill="1" applyBorder="1" applyAlignment="1" applyProtection="1">
      <alignment horizontal="left" vertical="top" wrapText="1"/>
      <protection hidden="1"/>
    </xf>
    <xf numFmtId="0" fontId="17" fillId="4" borderId="6" xfId="0" applyFont="1" applyFill="1" applyBorder="1" applyAlignment="1" applyProtection="1">
      <alignment horizontal="left" vertical="top" wrapText="1"/>
      <protection hidden="1"/>
    </xf>
    <xf numFmtId="0" fontId="0" fillId="4" borderId="23" xfId="0" applyFill="1" applyBorder="1" applyAlignment="1" applyProtection="1">
      <alignment vertical="top" wrapText="1"/>
      <protection hidden="1"/>
    </xf>
    <xf numFmtId="164" fontId="15" fillId="2" borderId="27" xfId="1" applyNumberFormat="1" applyFont="1" applyFill="1" applyBorder="1" applyAlignment="1" applyProtection="1">
      <alignment horizontal="right" vertical="top" wrapText="1"/>
      <protection hidden="1"/>
    </xf>
    <xf numFmtId="0" fontId="16" fillId="0" borderId="27" xfId="0" applyFont="1" applyBorder="1" applyAlignment="1" applyProtection="1">
      <alignment vertical="top" wrapText="1"/>
      <protection hidden="1"/>
    </xf>
    <xf numFmtId="0" fontId="16" fillId="0" borderId="0" xfId="0" applyFont="1" applyAlignment="1" applyProtection="1">
      <alignment vertical="top" wrapText="1"/>
      <protection hidden="1"/>
    </xf>
    <xf numFmtId="0" fontId="16" fillId="0" borderId="9" xfId="0" applyFont="1" applyBorder="1" applyAlignment="1" applyProtection="1">
      <alignment vertical="top" wrapText="1"/>
      <protection hidden="1"/>
    </xf>
    <xf numFmtId="164" fontId="15" fillId="2" borderId="28" xfId="1" applyNumberFormat="1" applyFont="1" applyFill="1" applyBorder="1" applyAlignment="1" applyProtection="1">
      <alignment horizontal="right" vertical="top" wrapText="1"/>
      <protection hidden="1"/>
    </xf>
    <xf numFmtId="0" fontId="16" fillId="0" borderId="4" xfId="0" applyFont="1" applyBorder="1" applyAlignment="1" applyProtection="1">
      <alignment vertical="top" wrapText="1"/>
      <protection hidden="1"/>
    </xf>
    <xf numFmtId="0" fontId="16" fillId="0" borderId="10" xfId="0" applyFont="1" applyBorder="1" applyAlignment="1" applyProtection="1">
      <alignment vertical="top" wrapText="1"/>
      <protection hidden="1"/>
    </xf>
    <xf numFmtId="164" fontId="15" fillId="2" borderId="6" xfId="1" applyNumberFormat="1" applyFont="1" applyFill="1" applyBorder="1" applyAlignment="1" applyProtection="1">
      <alignment horizontal="right" vertical="top" wrapText="1"/>
      <protection hidden="1"/>
    </xf>
    <xf numFmtId="0" fontId="16" fillId="0" borderId="6" xfId="0" applyFont="1" applyBorder="1" applyAlignment="1" applyProtection="1">
      <alignment vertical="top" wrapText="1"/>
      <protection hidden="1"/>
    </xf>
    <xf numFmtId="164" fontId="15" fillId="2" borderId="7" xfId="1" applyNumberFormat="1" applyFont="1" applyFill="1" applyBorder="1" applyAlignment="1" applyProtection="1">
      <alignment horizontal="right" vertical="top" wrapText="1"/>
      <protection hidden="1"/>
    </xf>
    <xf numFmtId="0" fontId="22" fillId="2" borderId="5" xfId="0" applyFont="1" applyFill="1" applyBorder="1" applyAlignment="1" applyProtection="1">
      <alignment wrapText="1"/>
      <protection hidden="1"/>
    </xf>
    <xf numFmtId="0" fontId="0" fillId="2" borderId="6" xfId="0" applyFill="1" applyBorder="1" applyAlignment="1" applyProtection="1">
      <alignment wrapText="1"/>
      <protection hidden="1"/>
    </xf>
    <xf numFmtId="0" fontId="0" fillId="2" borderId="7" xfId="0" applyFill="1" applyBorder="1" applyAlignment="1" applyProtection="1">
      <alignment wrapText="1"/>
      <protection hidden="1"/>
    </xf>
    <xf numFmtId="0" fontId="22" fillId="2" borderId="8" xfId="0" applyFont="1" applyFill="1" applyBorder="1" applyAlignment="1" applyProtection="1">
      <alignment wrapText="1"/>
      <protection hidden="1"/>
    </xf>
    <xf numFmtId="0" fontId="0" fillId="2" borderId="0" xfId="0" applyFill="1" applyAlignment="1" applyProtection="1">
      <alignment wrapText="1"/>
      <protection hidden="1"/>
    </xf>
    <xf numFmtId="0" fontId="0" fillId="2" borderId="4" xfId="0" applyFill="1" applyBorder="1" applyAlignment="1" applyProtection="1">
      <alignment wrapText="1"/>
      <protection hidden="1"/>
    </xf>
    <xf numFmtId="0" fontId="0" fillId="2" borderId="23" xfId="0" applyFill="1" applyBorder="1" applyAlignment="1" applyProtection="1">
      <alignment wrapText="1"/>
      <protection hidden="1"/>
    </xf>
    <xf numFmtId="0" fontId="0" fillId="2" borderId="9" xfId="0" applyFill="1" applyBorder="1" applyAlignment="1" applyProtection="1">
      <alignment wrapText="1"/>
      <protection hidden="1"/>
    </xf>
    <xf numFmtId="0" fontId="0" fillId="2" borderId="10" xfId="0" applyFill="1" applyBorder="1" applyAlignment="1" applyProtection="1">
      <alignment wrapText="1"/>
      <protection hidden="1"/>
    </xf>
    <xf numFmtId="0" fontId="17" fillId="2" borderId="30" xfId="0" applyFont="1" applyFill="1" applyBorder="1" applyAlignment="1" applyProtection="1">
      <alignment horizontal="left" vertical="top" wrapText="1"/>
      <protection hidden="1"/>
    </xf>
    <xf numFmtId="0" fontId="18" fillId="0" borderId="30" xfId="0" applyFont="1" applyBorder="1" applyAlignment="1" applyProtection="1">
      <alignment horizontal="left" vertical="top" wrapText="1"/>
      <protection hidden="1"/>
    </xf>
    <xf numFmtId="0" fontId="18" fillId="4" borderId="29" xfId="0" applyFont="1" applyFill="1" applyBorder="1" applyAlignment="1" applyProtection="1">
      <alignment vertical="top" wrapText="1"/>
      <protection hidden="1"/>
    </xf>
    <xf numFmtId="0" fontId="18" fillId="4" borderId="30" xfId="0" applyFont="1" applyFill="1" applyBorder="1" applyAlignment="1" applyProtection="1">
      <alignment vertical="top" wrapText="1"/>
      <protection hidden="1"/>
    </xf>
    <xf numFmtId="0" fontId="18" fillId="4" borderId="31" xfId="0" applyFont="1" applyFill="1" applyBorder="1" applyAlignment="1" applyProtection="1">
      <alignment vertical="top" wrapText="1"/>
      <protection hidden="1"/>
    </xf>
    <xf numFmtId="0" fontId="18" fillId="4" borderId="32" xfId="0" applyFont="1" applyFill="1" applyBorder="1" applyAlignment="1" applyProtection="1">
      <alignment vertical="top" wrapText="1"/>
      <protection hidden="1"/>
    </xf>
    <xf numFmtId="0" fontId="23" fillId="2" borderId="0" xfId="0" applyFont="1" applyFill="1" applyAlignment="1" applyProtection="1">
      <alignment horizontal="right" vertical="top" wrapText="1"/>
      <protection hidden="1"/>
    </xf>
    <xf numFmtId="0" fontId="6" fillId="0" borderId="0" xfId="0" applyFont="1" applyAlignment="1" applyProtection="1">
      <alignment horizontal="right" vertical="top" wrapText="1"/>
      <protection hidden="1"/>
    </xf>
    <xf numFmtId="0" fontId="11" fillId="2" borderId="0" xfId="0" applyFont="1" applyFill="1" applyAlignment="1" applyProtection="1">
      <alignment horizontal="right" vertical="top" wrapText="1"/>
      <protection hidden="1"/>
    </xf>
    <xf numFmtId="0" fontId="16" fillId="0" borderId="0" xfId="0" applyFont="1" applyAlignment="1" applyProtection="1">
      <alignment horizontal="right" vertical="top" wrapText="1"/>
      <protection hidden="1"/>
    </xf>
    <xf numFmtId="0" fontId="16" fillId="0" borderId="9" xfId="0" applyFont="1" applyBorder="1" applyAlignment="1" applyProtection="1">
      <alignment horizontal="right" vertical="top" wrapText="1"/>
      <protection hidden="1"/>
    </xf>
    <xf numFmtId="0" fontId="11" fillId="2" borderId="6" xfId="0" applyFont="1" applyFill="1" applyBorder="1" applyAlignment="1" applyProtection="1">
      <alignment horizontal="right" vertical="top" wrapText="1"/>
      <protection hidden="1"/>
    </xf>
    <xf numFmtId="0" fontId="11" fillId="2" borderId="9" xfId="0" applyFont="1" applyFill="1" applyBorder="1" applyAlignment="1" applyProtection="1">
      <alignment horizontal="right" vertical="top" wrapText="1"/>
      <protection hidden="1"/>
    </xf>
    <xf numFmtId="0" fontId="11" fillId="2" borderId="30" xfId="0" applyFont="1" applyFill="1" applyBorder="1" applyAlignment="1" applyProtection="1">
      <alignment horizontal="right" vertical="top" wrapText="1"/>
      <protection hidden="1"/>
    </xf>
    <xf numFmtId="0" fontId="11" fillId="2" borderId="32" xfId="0" applyFont="1" applyFill="1" applyBorder="1" applyAlignment="1" applyProtection="1">
      <alignment horizontal="right" vertical="top" wrapText="1"/>
      <protection hidden="1"/>
    </xf>
    <xf numFmtId="0" fontId="22" fillId="2" borderId="8" xfId="0" applyFont="1" applyFill="1" applyBorder="1" applyProtection="1">
      <protection hidden="1"/>
    </xf>
    <xf numFmtId="0" fontId="0" fillId="0" borderId="23" xfId="0" applyBorder="1"/>
    <xf numFmtId="0" fontId="17" fillId="2" borderId="0" xfId="0" applyFont="1" applyFill="1" applyAlignment="1" applyProtection="1">
      <alignment horizontal="left" vertical="top" wrapText="1"/>
      <protection hidden="1"/>
    </xf>
    <xf numFmtId="0" fontId="18" fillId="0" borderId="0" xfId="0" applyFont="1" applyAlignment="1" applyProtection="1">
      <alignment horizontal="left" vertical="top" wrapText="1"/>
      <protection hidden="1"/>
    </xf>
    <xf numFmtId="0" fontId="0" fillId="4" borderId="0" xfId="0" applyFill="1" applyAlignment="1" applyProtection="1">
      <alignment wrapText="1"/>
      <protection hidden="1"/>
    </xf>
    <xf numFmtId="0" fontId="0" fillId="4" borderId="4" xfId="0" applyFill="1" applyBorder="1" applyAlignment="1" applyProtection="1">
      <alignment wrapText="1"/>
      <protection hidden="1"/>
    </xf>
    <xf numFmtId="0" fontId="0" fillId="4" borderId="8" xfId="0" applyFill="1" applyBorder="1" applyAlignment="1" applyProtection="1">
      <alignment wrapText="1"/>
      <protection hidden="1"/>
    </xf>
    <xf numFmtId="0" fontId="0" fillId="4" borderId="23" xfId="0" applyFill="1" applyBorder="1" applyAlignment="1" applyProtection="1">
      <alignment wrapText="1"/>
      <protection hidden="1"/>
    </xf>
    <xf numFmtId="0" fontId="0" fillId="4" borderId="9" xfId="0" applyFill="1" applyBorder="1" applyAlignment="1" applyProtection="1">
      <alignment wrapText="1"/>
      <protection hidden="1"/>
    </xf>
    <xf numFmtId="0" fontId="0" fillId="4" borderId="10" xfId="0" applyFill="1" applyBorder="1" applyAlignment="1" applyProtection="1">
      <alignment wrapText="1"/>
      <protection hidden="1"/>
    </xf>
    <xf numFmtId="0" fontId="22" fillId="2" borderId="8" xfId="0" applyFont="1" applyFill="1" applyBorder="1" applyAlignment="1" applyProtection="1">
      <alignment vertical="top" wrapText="1"/>
      <protection hidden="1"/>
    </xf>
    <xf numFmtId="0" fontId="0" fillId="0" borderId="0" xfId="0" applyAlignment="1" applyProtection="1">
      <alignment vertical="top" wrapText="1"/>
      <protection hidden="1"/>
    </xf>
    <xf numFmtId="0" fontId="0" fillId="0" borderId="4" xfId="0" applyBorder="1" applyAlignment="1" applyProtection="1">
      <alignment vertical="top" wrapText="1"/>
      <protection hidden="1"/>
    </xf>
    <xf numFmtId="0" fontId="0" fillId="0" borderId="8" xfId="0" applyBorder="1" applyAlignment="1" applyProtection="1">
      <alignment vertical="top" wrapText="1"/>
      <protection hidden="1"/>
    </xf>
    <xf numFmtId="0" fontId="22" fillId="2" borderId="0" xfId="0" applyFont="1" applyFill="1" applyAlignment="1" applyProtection="1">
      <alignment vertical="top" wrapText="1"/>
      <protection hidden="1"/>
    </xf>
    <xf numFmtId="0" fontId="22" fillId="2" borderId="4" xfId="0" applyFont="1" applyFill="1" applyBorder="1" applyAlignment="1" applyProtection="1">
      <alignment vertical="top" wrapText="1"/>
      <protection hidden="1"/>
    </xf>
    <xf numFmtId="0" fontId="0" fillId="4" borderId="8" xfId="0" applyFill="1" applyBorder="1" applyAlignment="1" applyProtection="1">
      <alignment vertical="top" wrapText="1"/>
      <protection hidden="1"/>
    </xf>
    <xf numFmtId="0" fontId="20" fillId="0" borderId="8" xfId="0" applyFont="1" applyFill="1" applyBorder="1" applyAlignment="1" applyProtection="1">
      <alignment horizontal="left" vertical="center" wrapText="1"/>
      <protection hidden="1"/>
    </xf>
    <xf numFmtId="0" fontId="20" fillId="0" borderId="0" xfId="0" applyFont="1" applyFill="1" applyAlignment="1" applyProtection="1">
      <alignment horizontal="left" vertical="center" wrapText="1"/>
      <protection hidden="1"/>
    </xf>
    <xf numFmtId="0" fontId="20" fillId="0" borderId="4" xfId="0" applyFont="1" applyFill="1" applyBorder="1" applyAlignment="1" applyProtection="1">
      <alignment horizontal="left" vertical="center" wrapText="1"/>
      <protection hidden="1"/>
    </xf>
    <xf numFmtId="0" fontId="17" fillId="2" borderId="0" xfId="0" applyFont="1" applyFill="1" applyAlignment="1" applyProtection="1">
      <alignment horizontal="left" vertical="top"/>
      <protection hidden="1"/>
    </xf>
    <xf numFmtId="0" fontId="18" fillId="0" borderId="0" xfId="0" applyFont="1" applyAlignment="1" applyProtection="1">
      <alignment horizontal="left" vertical="top"/>
      <protection hidden="1"/>
    </xf>
    <xf numFmtId="0" fontId="18" fillId="4" borderId="8" xfId="6" applyFont="1" applyFill="1" applyBorder="1" applyAlignment="1" applyProtection="1">
      <alignment vertical="top" wrapText="1"/>
      <protection hidden="1"/>
    </xf>
    <xf numFmtId="0" fontId="20" fillId="2" borderId="8" xfId="0" applyFont="1" applyFill="1" applyBorder="1" applyAlignment="1" applyProtection="1">
      <alignment vertical="center" wrapText="1"/>
      <protection hidden="1"/>
    </xf>
    <xf numFmtId="0" fontId="20" fillId="2" borderId="0" xfId="0" applyFont="1" applyFill="1" applyAlignment="1" applyProtection="1">
      <alignment vertical="center" wrapText="1"/>
      <protection hidden="1"/>
    </xf>
    <xf numFmtId="0" fontId="20" fillId="2" borderId="4" xfId="0" applyFont="1" applyFill="1" applyBorder="1" applyAlignment="1" applyProtection="1">
      <alignment vertical="center" wrapText="1"/>
      <protection hidden="1"/>
    </xf>
    <xf numFmtId="0" fontId="16" fillId="28" borderId="11" xfId="0" applyFont="1" applyFill="1" applyBorder="1" applyAlignment="1" applyProtection="1">
      <alignment horizontal="center" vertical="center" wrapText="1"/>
      <protection hidden="1"/>
    </xf>
    <xf numFmtId="0" fontId="16" fillId="28" borderId="13" xfId="0" applyFont="1" applyFill="1" applyBorder="1" applyAlignment="1" applyProtection="1">
      <alignment horizontal="center" vertical="center" wrapText="1"/>
      <protection hidden="1"/>
    </xf>
    <xf numFmtId="0" fontId="47" fillId="0" borderId="0" xfId="0" applyFont="1" applyAlignment="1" applyProtection="1">
      <alignment horizontal="center"/>
      <protection hidden="1"/>
    </xf>
    <xf numFmtId="0" fontId="16" fillId="24" borderId="11" xfId="0" applyFont="1" applyFill="1" applyBorder="1" applyAlignment="1" applyProtection="1">
      <alignment horizontal="center" vertical="center" wrapText="1"/>
      <protection hidden="1"/>
    </xf>
    <xf numFmtId="0" fontId="16" fillId="24" borderId="45" xfId="0" applyFont="1" applyFill="1" applyBorder="1" applyAlignment="1" applyProtection="1">
      <alignment horizontal="center" vertical="center" wrapText="1"/>
      <protection hidden="1"/>
    </xf>
    <xf numFmtId="0" fontId="16" fillId="24" borderId="40" xfId="0" applyFont="1" applyFill="1" applyBorder="1" applyAlignment="1" applyProtection="1">
      <alignment horizontal="center" vertical="center" wrapText="1"/>
      <protection hidden="1"/>
    </xf>
    <xf numFmtId="0" fontId="16" fillId="31" borderId="11" xfId="0" applyFont="1" applyFill="1" applyBorder="1" applyAlignment="1" applyProtection="1">
      <alignment horizontal="center" vertical="center" wrapText="1"/>
      <protection hidden="1"/>
    </xf>
    <xf numFmtId="0" fontId="16" fillId="31" borderId="45" xfId="0" applyFont="1" applyFill="1" applyBorder="1" applyAlignment="1" applyProtection="1">
      <alignment horizontal="center" vertical="center" wrapText="1"/>
      <protection hidden="1"/>
    </xf>
    <xf numFmtId="0" fontId="16" fillId="26" borderId="11" xfId="0" applyFont="1" applyFill="1" applyBorder="1" applyAlignment="1" applyProtection="1">
      <alignment horizontal="center" vertical="center" wrapText="1"/>
      <protection hidden="1"/>
    </xf>
    <xf numFmtId="0" fontId="16" fillId="26" borderId="13" xfId="0" applyFont="1" applyFill="1" applyBorder="1" applyAlignment="1" applyProtection="1">
      <alignment horizontal="center" vertical="center" wrapText="1"/>
      <protection hidden="1"/>
    </xf>
    <xf numFmtId="0" fontId="16" fillId="4" borderId="11" xfId="0" applyFont="1" applyFill="1" applyBorder="1" applyAlignment="1" applyProtection="1">
      <alignment horizontal="center" vertical="center" wrapText="1"/>
      <protection hidden="1"/>
    </xf>
    <xf numFmtId="0" fontId="16" fillId="4" borderId="13" xfId="0" applyFont="1" applyFill="1" applyBorder="1" applyAlignment="1" applyProtection="1">
      <alignment horizontal="center" vertical="center" wrapText="1"/>
      <protection hidden="1"/>
    </xf>
    <xf numFmtId="0" fontId="16" fillId="4" borderId="40" xfId="0" applyFont="1" applyFill="1" applyBorder="1" applyAlignment="1" applyProtection="1">
      <alignment horizontal="center" vertical="center" wrapText="1"/>
      <protection hidden="1"/>
    </xf>
    <xf numFmtId="0" fontId="16" fillId="27" borderId="11" xfId="0" applyFont="1" applyFill="1" applyBorder="1" applyAlignment="1" applyProtection="1">
      <alignment horizontal="center" vertical="center" wrapText="1"/>
      <protection hidden="1"/>
    </xf>
    <xf numFmtId="0" fontId="16" fillId="27" borderId="13" xfId="0" applyFont="1" applyFill="1" applyBorder="1" applyAlignment="1" applyProtection="1">
      <alignment horizontal="center" vertical="center" wrapText="1"/>
      <protection hidden="1"/>
    </xf>
    <xf numFmtId="0" fontId="16" fillId="29" borderId="20" xfId="0" applyFont="1" applyFill="1" applyBorder="1" applyAlignment="1" applyProtection="1">
      <alignment horizontal="center"/>
      <protection hidden="1"/>
    </xf>
    <xf numFmtId="0" fontId="16" fillId="29" borderId="21" xfId="0" applyFont="1" applyFill="1" applyBorder="1" applyAlignment="1" applyProtection="1">
      <alignment horizontal="center"/>
      <protection hidden="1"/>
    </xf>
    <xf numFmtId="0" fontId="16" fillId="29" borderId="22" xfId="0" applyFont="1" applyFill="1" applyBorder="1" applyAlignment="1" applyProtection="1">
      <alignment horizontal="center"/>
      <protection hidden="1"/>
    </xf>
    <xf numFmtId="0" fontId="16" fillId="14" borderId="20" xfId="0" applyFont="1" applyFill="1" applyBorder="1" applyAlignment="1" applyProtection="1">
      <alignment horizontal="center"/>
      <protection hidden="1"/>
    </xf>
    <xf numFmtId="0" fontId="16" fillId="14" borderId="21" xfId="0" applyFont="1" applyFill="1" applyBorder="1" applyAlignment="1" applyProtection="1">
      <alignment horizontal="center"/>
      <protection hidden="1"/>
    </xf>
    <xf numFmtId="0" fontId="16" fillId="14" borderId="22" xfId="0" applyFont="1" applyFill="1" applyBorder="1" applyAlignment="1" applyProtection="1">
      <alignment horizontal="center"/>
      <protection hidden="1"/>
    </xf>
    <xf numFmtId="0" fontId="16" fillId="3" borderId="11" xfId="0" applyFont="1" applyFill="1" applyBorder="1" applyAlignment="1" applyProtection="1">
      <alignment horizontal="center" vertical="center" wrapText="1"/>
      <protection hidden="1"/>
    </xf>
    <xf numFmtId="0" fontId="16" fillId="3" borderId="13" xfId="0" applyFont="1" applyFill="1" applyBorder="1" applyAlignment="1" applyProtection="1">
      <alignment horizontal="center" vertical="center" wrapText="1"/>
      <protection hidden="1"/>
    </xf>
    <xf numFmtId="0" fontId="16" fillId="3" borderId="40" xfId="0" applyFont="1" applyFill="1" applyBorder="1" applyAlignment="1" applyProtection="1">
      <alignment horizontal="center" vertical="center" wrapText="1"/>
      <protection hidden="1"/>
    </xf>
    <xf numFmtId="0" fontId="16" fillId="24" borderId="5" xfId="0" applyFont="1" applyFill="1" applyBorder="1" applyAlignment="1" applyProtection="1">
      <alignment horizontal="center"/>
      <protection hidden="1"/>
    </xf>
    <xf numFmtId="0" fontId="16" fillId="24" borderId="7" xfId="0" applyFont="1" applyFill="1" applyBorder="1" applyAlignment="1" applyProtection="1">
      <alignment horizontal="center"/>
      <protection hidden="1"/>
    </xf>
    <xf numFmtId="0" fontId="16" fillId="25" borderId="21" xfId="0" applyFont="1" applyFill="1" applyBorder="1" applyAlignment="1" applyProtection="1">
      <alignment horizontal="center"/>
      <protection hidden="1"/>
    </xf>
    <xf numFmtId="0" fontId="16" fillId="25" borderId="22" xfId="0" applyFont="1" applyFill="1" applyBorder="1" applyAlignment="1" applyProtection="1">
      <alignment horizontal="center"/>
      <protection hidden="1"/>
    </xf>
    <xf numFmtId="0" fontId="16" fillId="12" borderId="21" xfId="0" applyFont="1" applyFill="1" applyBorder="1" applyAlignment="1" applyProtection="1">
      <alignment horizontal="center"/>
      <protection hidden="1"/>
    </xf>
    <xf numFmtId="0" fontId="16" fillId="12" borderId="22" xfId="0" applyFont="1" applyFill="1" applyBorder="1" applyAlignment="1" applyProtection="1">
      <alignment horizontal="center"/>
      <protection hidden="1"/>
    </xf>
    <xf numFmtId="0" fontId="16" fillId="19" borderId="20" xfId="0" applyFont="1" applyFill="1" applyBorder="1" applyAlignment="1" applyProtection="1">
      <alignment horizontal="center"/>
      <protection hidden="1"/>
    </xf>
    <xf numFmtId="0" fontId="16" fillId="19" borderId="21" xfId="0" applyFont="1" applyFill="1" applyBorder="1" applyAlignment="1" applyProtection="1">
      <alignment horizontal="center"/>
      <protection hidden="1"/>
    </xf>
    <xf numFmtId="0" fontId="16" fillId="19" borderId="22" xfId="0" applyFont="1" applyFill="1" applyBorder="1" applyAlignment="1" applyProtection="1">
      <alignment horizontal="center"/>
      <protection hidden="1"/>
    </xf>
    <xf numFmtId="0" fontId="52" fillId="2" borderId="0" xfId="4" applyFont="1" applyFill="1" applyAlignment="1">
      <alignment horizontal="left"/>
    </xf>
  </cellXfs>
  <cellStyles count="10">
    <cellStyle name="Comma" xfId="1" builtinId="3"/>
    <cellStyle name="Currency" xfId="2" builtinId="4"/>
    <cellStyle name="Hyperlink" xfId="4" builtinId="8"/>
    <cellStyle name="Normal" xfId="0" builtinId="0"/>
    <cellStyle name="Normal 2" xfId="9" xr:uid="{3BE30EB6-EB76-4251-89CC-A530DAFBDEF6}"/>
    <cellStyle name="Normal 2 2" xfId="6" xr:uid="{C88832C4-2B14-4A3D-AA44-D6A2AD48997E}"/>
    <cellStyle name="Normal 2 4" xfId="8" xr:uid="{837576B7-D139-411F-A65B-AFB0CBD7376D}"/>
    <cellStyle name="Normal_Sheet16" xfId="7" xr:uid="{AACDC048-E6E1-4C9E-B53E-B78ED095C0CE}"/>
    <cellStyle name="Normal_Table 1 Jan 2012" xfId="5" xr:uid="{14EDE3C3-9C05-429C-BA39-388736C1AE86}"/>
    <cellStyle name="Percent" xfId="3" builtinId="5"/>
  </cellStyles>
  <dxfs count="539">
    <dxf>
      <fill>
        <patternFill>
          <bgColor theme="0"/>
        </patternFill>
      </fill>
      <border>
        <left style="thin">
          <color auto="1"/>
        </left>
        <right style="thin">
          <color auto="1"/>
        </right>
        <top style="thin">
          <color rgb="FF59468D"/>
        </top>
        <bottom style="thin">
          <color rgb="FF59468D"/>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font>
        <color rgb="FFAECFE6"/>
      </font>
    </dxf>
    <dxf>
      <border>
        <bottom style="thin">
          <color auto="1"/>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ont>
        <color theme="0"/>
      </font>
    </dxf>
    <dxf>
      <font>
        <color theme="0"/>
      </font>
    </dxf>
    <dxf>
      <font>
        <color theme="0"/>
      </font>
    </dxf>
    <dxf>
      <font>
        <color rgb="FFFFFF99"/>
      </font>
    </dxf>
    <dxf>
      <font>
        <color theme="0"/>
      </font>
    </dxf>
    <dxf>
      <font>
        <color theme="0"/>
      </font>
      <border>
        <left/>
        <right/>
        <bottom/>
      </border>
    </dxf>
    <dxf>
      <font>
        <color theme="0"/>
      </font>
    </dxf>
    <dxf>
      <font>
        <color rgb="FFFFFF99"/>
      </font>
    </dxf>
    <dxf>
      <font>
        <color theme="0"/>
      </font>
    </dxf>
    <dxf>
      <font>
        <color theme="0"/>
      </font>
    </dxf>
    <dxf>
      <font>
        <color rgb="FFFFFF99"/>
      </font>
    </dxf>
    <dxf>
      <font>
        <color theme="0"/>
      </font>
    </dxf>
    <dxf>
      <font>
        <b/>
        <i val="0"/>
        <color rgb="FFFF0000"/>
      </font>
    </dxf>
    <dxf>
      <font>
        <color rgb="FFE2EEF6"/>
      </font>
    </dxf>
    <dxf>
      <font>
        <color rgb="FFE2EEF6"/>
      </font>
    </dxf>
    <dxf>
      <font>
        <color rgb="FFE2EEF6"/>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FF99"/>
        </patternFill>
      </fill>
    </dxf>
  </dxfs>
  <tableStyles count="0" defaultTableStyle="TableStyleMedium2" defaultPivotStyle="PivotStyleLight16"/>
  <colors>
    <mruColors>
      <color rgb="FF59468D"/>
      <color rgb="FFE4DFEC"/>
      <color rgb="FF9933FF"/>
      <color rgb="FFFABF8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summary'!$B$7</c:f>
          <c:strCache>
            <c:ptCount val="1"/>
            <c:pt idx="0">
              <c:v>Total social units by provision type</c:v>
            </c:pt>
          </c:strCache>
        </c:strRef>
      </c:tx>
      <c:layout>
        <c:manualLayout>
          <c:xMode val="edge"/>
          <c:yMode val="edge"/>
          <c:x val="5.1498439478828116E-3"/>
          <c:y val="3.2968859518011481E-3"/>
        </c:manualLayout>
      </c:layout>
      <c:overlay val="0"/>
      <c:txPr>
        <a:bodyPr/>
        <a:lstStyle/>
        <a:p>
          <a:pPr algn="l">
            <a:defRPr sz="1200">
              <a:solidFill>
                <a:srgbClr val="59468D"/>
              </a:solidFill>
            </a:defRPr>
          </a:pPr>
          <a:endParaRPr lang="en-US"/>
        </a:p>
      </c:txPr>
    </c:title>
    <c:autoTitleDeleted val="0"/>
    <c:plotArea>
      <c:layout>
        <c:manualLayout>
          <c:layoutTarget val="inner"/>
          <c:xMode val="edge"/>
          <c:yMode val="edge"/>
          <c:x val="0.15321332254669706"/>
          <c:y val="0.19350071852297687"/>
          <c:w val="0.48788611280639815"/>
          <c:h val="0.68527712084934811"/>
        </c:manualLayout>
      </c:layout>
      <c:pieChart>
        <c:varyColors val="1"/>
        <c:ser>
          <c:idx val="0"/>
          <c:order val="0"/>
          <c:tx>
            <c:strRef>
              <c:f>'Area summary'!$R$14:$R$17</c:f>
              <c:strCache>
                <c:ptCount val="4"/>
                <c:pt idx="0">
                  <c:v>General needs</c:v>
                </c:pt>
                <c:pt idx="1">
                  <c:v>Supported housing</c:v>
                </c:pt>
                <c:pt idx="2">
                  <c:v>Housing for older people</c:v>
                </c:pt>
                <c:pt idx="3">
                  <c:v>Low cost home ownership (LCHO)</c:v>
                </c:pt>
              </c:strCache>
            </c:strRef>
          </c:tx>
          <c:spPr>
            <a:ln>
              <a:noFill/>
            </a:ln>
          </c:spPr>
          <c:dPt>
            <c:idx val="0"/>
            <c:bubble3D val="0"/>
            <c:spPr>
              <a:solidFill>
                <a:srgbClr val="59468D">
                  <a:alpha val="89804"/>
                </a:srgbClr>
              </a:solidFill>
              <a:ln>
                <a:noFill/>
              </a:ln>
            </c:spPr>
            <c:extLst>
              <c:ext xmlns:c16="http://schemas.microsoft.com/office/drawing/2014/chart" uri="{C3380CC4-5D6E-409C-BE32-E72D297353CC}">
                <c16:uniqueId val="{00000001-9439-4672-BE1D-4839161D3103}"/>
              </c:ext>
            </c:extLst>
          </c:dPt>
          <c:dPt>
            <c:idx val="1"/>
            <c:bubble3D val="0"/>
            <c:spPr>
              <a:solidFill>
                <a:srgbClr val="AECFE6"/>
              </a:solidFill>
              <a:ln>
                <a:noFill/>
              </a:ln>
            </c:spPr>
            <c:extLst>
              <c:ext xmlns:c16="http://schemas.microsoft.com/office/drawing/2014/chart" uri="{C3380CC4-5D6E-409C-BE32-E72D297353CC}">
                <c16:uniqueId val="{00000003-9439-4672-BE1D-4839161D3103}"/>
              </c:ext>
            </c:extLst>
          </c:dPt>
          <c:dPt>
            <c:idx val="2"/>
            <c:bubble3D val="0"/>
            <c:spPr>
              <a:solidFill>
                <a:srgbClr val="FCBE37"/>
              </a:solidFill>
              <a:ln>
                <a:noFill/>
              </a:ln>
            </c:spPr>
            <c:extLst>
              <c:ext xmlns:c16="http://schemas.microsoft.com/office/drawing/2014/chart" uri="{C3380CC4-5D6E-409C-BE32-E72D297353CC}">
                <c16:uniqueId val="{00000005-9439-4672-BE1D-4839161D3103}"/>
              </c:ext>
            </c:extLst>
          </c:dPt>
          <c:dPt>
            <c:idx val="3"/>
            <c:bubble3D val="0"/>
            <c:spPr>
              <a:solidFill>
                <a:srgbClr val="E1CE9D"/>
              </a:solidFill>
              <a:ln>
                <a:noFill/>
              </a:ln>
            </c:spPr>
            <c:extLst>
              <c:ext xmlns:c16="http://schemas.microsoft.com/office/drawing/2014/chart" uri="{C3380CC4-5D6E-409C-BE32-E72D297353CC}">
                <c16:uniqueId val="{00000007-9439-4672-BE1D-4839161D3103}"/>
              </c:ext>
            </c:extLst>
          </c:dPt>
          <c:dPt>
            <c:idx val="4"/>
            <c:bubble3D val="0"/>
            <c:spPr>
              <a:solidFill>
                <a:srgbClr val="FCBE37"/>
              </a:solidFill>
              <a:ln>
                <a:noFill/>
              </a:ln>
            </c:spPr>
            <c:extLst>
              <c:ext xmlns:c16="http://schemas.microsoft.com/office/drawing/2014/chart" uri="{C3380CC4-5D6E-409C-BE32-E72D297353CC}">
                <c16:uniqueId val="{00000009-9439-4672-BE1D-4839161D3103}"/>
              </c:ext>
            </c:extLst>
          </c:dPt>
          <c:dPt>
            <c:idx val="5"/>
            <c:bubble3D val="0"/>
            <c:spPr>
              <a:solidFill>
                <a:srgbClr val="E1CE9D"/>
              </a:solidFill>
              <a:ln>
                <a:noFill/>
              </a:ln>
            </c:spPr>
            <c:extLst>
              <c:ext xmlns:c16="http://schemas.microsoft.com/office/drawing/2014/chart" uri="{C3380CC4-5D6E-409C-BE32-E72D297353CC}">
                <c16:uniqueId val="{0000000B-9439-4672-BE1D-4839161D3103}"/>
              </c:ext>
            </c:extLst>
          </c:dPt>
          <c:dLbls>
            <c:numFmt formatCode="#,##0" sourceLinked="0"/>
            <c:spPr>
              <a:noFill/>
              <a:ln>
                <a:noFill/>
              </a:ln>
              <a:effectLst/>
            </c:spPr>
            <c:txPr>
              <a:bodyPr/>
              <a:lstStyle/>
              <a:p>
                <a:pPr>
                  <a:defRPr sz="1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extLst>
          </c:dLbls>
          <c:cat>
            <c:strRef>
              <c:f>'Area summary'!$R$14:$R$17</c:f>
              <c:strCache>
                <c:ptCount val="4"/>
                <c:pt idx="0">
                  <c:v>General needs</c:v>
                </c:pt>
                <c:pt idx="1">
                  <c:v>Supported housing</c:v>
                </c:pt>
                <c:pt idx="2">
                  <c:v>Housing for older people</c:v>
                </c:pt>
                <c:pt idx="3">
                  <c:v>Low cost home ownership (LCHO)</c:v>
                </c:pt>
              </c:strCache>
            </c:strRef>
          </c:cat>
          <c:val>
            <c:numRef>
              <c:f>'Area summary'!$S$14:$S$17</c:f>
              <c:numCache>
                <c:formatCode>General</c:formatCode>
                <c:ptCount val="4"/>
                <c:pt idx="0">
                  <c:v>#N/A</c:v>
                </c:pt>
                <c:pt idx="1">
                  <c:v>#N/A</c:v>
                </c:pt>
                <c:pt idx="2">
                  <c:v>#N/A</c:v>
                </c:pt>
                <c:pt idx="3">
                  <c:v>#N/A</c:v>
                </c:pt>
              </c:numCache>
            </c:numRef>
          </c:val>
          <c:extLst>
            <c:ext xmlns:c16="http://schemas.microsoft.com/office/drawing/2014/chart" uri="{C3380CC4-5D6E-409C-BE32-E72D297353CC}">
              <c16:uniqueId val="{0000000C-9439-4672-BE1D-4839161D310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526497457370558"/>
          <c:y val="0.32835125820299083"/>
          <c:w val="0.25957445332751544"/>
          <c:h val="0.44033578121152556"/>
        </c:manualLayout>
      </c:layout>
      <c:overlay val="0"/>
      <c:spPr>
        <a:ln>
          <a:noFill/>
        </a:ln>
      </c:spPr>
      <c:txPr>
        <a:bodyPr/>
        <a:lstStyle/>
        <a:p>
          <a:pPr rtl="0">
            <a:defRPr sz="1000" b="0"/>
          </a:pPr>
          <a:endParaRPr lang="en-US"/>
        </a:p>
      </c:txPr>
    </c:legend>
    <c:plotVisOnly val="0"/>
    <c:dispBlanksAs val="zero"/>
    <c:showDLblsOverMax val="0"/>
  </c:chart>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summary'!$B$51</c:f>
          <c:strCache>
            <c:ptCount val="1"/>
          </c:strCache>
        </c:strRef>
      </c:tx>
      <c:layout>
        <c:manualLayout>
          <c:xMode val="edge"/>
          <c:yMode val="edge"/>
          <c:x val="7.6194541947316799E-4"/>
          <c:y val="5.4405539733065285E-2"/>
        </c:manualLayout>
      </c:layout>
      <c:overlay val="0"/>
      <c:txPr>
        <a:bodyPr/>
        <a:lstStyle/>
        <a:p>
          <a:pPr algn="l">
            <a:defRPr sz="1200" b="0">
              <a:solidFill>
                <a:srgbClr val="59468D"/>
              </a:solidFill>
            </a:defRPr>
          </a:pPr>
          <a:endParaRPr lang="en-US"/>
        </a:p>
      </c:txPr>
    </c:title>
    <c:autoTitleDeleted val="0"/>
    <c:plotArea>
      <c:layout>
        <c:manualLayout>
          <c:layoutTarget val="inner"/>
          <c:xMode val="edge"/>
          <c:yMode val="edge"/>
          <c:x val="0.10498250588926289"/>
          <c:y val="0.23666422511139595"/>
          <c:w val="0.34161229949176475"/>
          <c:h val="0.63820407200070184"/>
        </c:manualLayout>
      </c:layout>
      <c:pieChart>
        <c:varyColors val="1"/>
        <c:ser>
          <c:idx val="0"/>
          <c:order val="0"/>
          <c:tx>
            <c:strRef>
              <c:f>'Area summary'!$R$58:$R$59</c:f>
              <c:strCache>
                <c:ptCount val="2"/>
                <c:pt idx="0">
                  <c:v>Vacant and available for letting</c:v>
                </c:pt>
                <c:pt idx="1">
                  <c:v>Vacant and not available for letting</c:v>
                </c:pt>
              </c:strCache>
            </c:strRef>
          </c:tx>
          <c:spPr>
            <a:ln>
              <a:noFill/>
            </a:ln>
          </c:spPr>
          <c:dPt>
            <c:idx val="0"/>
            <c:bubble3D val="0"/>
            <c:spPr>
              <a:solidFill>
                <a:srgbClr val="59468D"/>
              </a:solidFill>
              <a:ln>
                <a:noFill/>
              </a:ln>
            </c:spPr>
            <c:extLst>
              <c:ext xmlns:c16="http://schemas.microsoft.com/office/drawing/2014/chart" uri="{C3380CC4-5D6E-409C-BE32-E72D297353CC}">
                <c16:uniqueId val="{00000001-3BB7-43D3-9C2B-46ED41E4DC45}"/>
              </c:ext>
            </c:extLst>
          </c:dPt>
          <c:dPt>
            <c:idx val="1"/>
            <c:bubble3D val="0"/>
            <c:spPr>
              <a:solidFill>
                <a:srgbClr val="AECFE6"/>
              </a:solidFill>
              <a:ln>
                <a:noFill/>
              </a:ln>
            </c:spPr>
            <c:extLst>
              <c:ext xmlns:c16="http://schemas.microsoft.com/office/drawing/2014/chart" uri="{C3380CC4-5D6E-409C-BE32-E72D297353CC}">
                <c16:uniqueId val="{00000003-3BB7-43D3-9C2B-46ED41E4DC45}"/>
              </c:ext>
            </c:extLst>
          </c:dPt>
          <c:dPt>
            <c:idx val="2"/>
            <c:bubble3D val="0"/>
            <c:spPr>
              <a:solidFill>
                <a:schemeClr val="accent6">
                  <a:lumMod val="75000"/>
                </a:schemeClr>
              </a:solidFill>
              <a:ln>
                <a:noFill/>
              </a:ln>
            </c:spPr>
            <c:extLst>
              <c:ext xmlns:c16="http://schemas.microsoft.com/office/drawing/2014/chart" uri="{C3380CC4-5D6E-409C-BE32-E72D297353CC}">
                <c16:uniqueId val="{00000005-3BB7-43D3-9C2B-46ED41E4DC45}"/>
              </c:ext>
            </c:extLst>
          </c:dPt>
          <c:dLbls>
            <c:numFmt formatCode="#,##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extLst>
          </c:dLbls>
          <c:cat>
            <c:strRef>
              <c:f>'Area summary'!$R$58:$R$59</c:f>
              <c:strCache>
                <c:ptCount val="2"/>
                <c:pt idx="0">
                  <c:v>Vacant and available for letting</c:v>
                </c:pt>
                <c:pt idx="1">
                  <c:v>Vacant and not available for letting</c:v>
                </c:pt>
              </c:strCache>
            </c:strRef>
          </c:cat>
          <c:val>
            <c:numRef>
              <c:f>'Area summary'!$S$58:$S$59</c:f>
              <c:numCache>
                <c:formatCode>General</c:formatCode>
                <c:ptCount val="2"/>
                <c:pt idx="0">
                  <c:v>#N/A</c:v>
                </c:pt>
                <c:pt idx="1">
                  <c:v>#N/A</c:v>
                </c:pt>
              </c:numCache>
            </c:numRef>
          </c:val>
          <c:extLst>
            <c:ext xmlns:c16="http://schemas.microsoft.com/office/drawing/2014/chart" uri="{C3380CC4-5D6E-409C-BE32-E72D297353CC}">
              <c16:uniqueId val="{00000006-3BB7-43D3-9C2B-46ED41E4DC45}"/>
            </c:ext>
          </c:extLst>
        </c:ser>
        <c:dLbls>
          <c:showLegendKey val="0"/>
          <c:showVal val="0"/>
          <c:showCatName val="0"/>
          <c:showSerName val="0"/>
          <c:showPercent val="0"/>
          <c:showBubbleSize val="0"/>
          <c:showLeaderLines val="0"/>
        </c:dLbls>
        <c:firstSliceAng val="72"/>
      </c:pieChart>
    </c:plotArea>
    <c:legend>
      <c:legendPos val="r"/>
      <c:layout>
        <c:manualLayout>
          <c:xMode val="edge"/>
          <c:yMode val="edge"/>
          <c:x val="0.52812164213739021"/>
          <c:y val="0.42487943123029837"/>
          <c:w val="0.33934880225339303"/>
          <c:h val="0.15354498423868321"/>
        </c:manualLayout>
      </c:layout>
      <c:overlay val="0"/>
      <c:txPr>
        <a:bodyPr/>
        <a:lstStyle/>
        <a:p>
          <a:pPr rtl="0">
            <a:defRPr b="0"/>
          </a:pPr>
          <a:endParaRPr lang="en-US"/>
        </a:p>
      </c:txPr>
    </c:legend>
    <c:plotVisOnly val="0"/>
    <c:dispBlanksAs val="zero"/>
    <c:showDLblsOverMax val="0"/>
  </c:chart>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summary'!$B$164</c:f>
          <c:strCache>
            <c:ptCount val="1"/>
            <c:pt idx="0">
              <c:v>Average weekly net rent (£ per week) by unit size for  - large PRPs</c:v>
            </c:pt>
          </c:strCache>
        </c:strRef>
      </c:tx>
      <c:layout>
        <c:manualLayout>
          <c:xMode val="edge"/>
          <c:yMode val="edge"/>
          <c:x val="5.692762724901078E-3"/>
          <c:y val="5.6022341213287141E-2"/>
        </c:manualLayout>
      </c:layout>
      <c:overlay val="0"/>
      <c:txPr>
        <a:bodyPr/>
        <a:lstStyle/>
        <a:p>
          <a:pPr algn="l">
            <a:defRPr sz="1200" b="0">
              <a:solidFill>
                <a:srgbClr val="59468D"/>
              </a:solidFill>
            </a:defRPr>
          </a:pPr>
          <a:endParaRPr lang="en-US"/>
        </a:p>
      </c:txPr>
    </c:title>
    <c:autoTitleDeleted val="0"/>
    <c:plotArea>
      <c:layout>
        <c:manualLayout>
          <c:layoutTarget val="inner"/>
          <c:xMode val="edge"/>
          <c:yMode val="edge"/>
          <c:x val="0.11528298611111111"/>
          <c:y val="0.21209855006316861"/>
          <c:w val="0.86046354166666672"/>
          <c:h val="0.44632610521511434"/>
        </c:manualLayout>
      </c:layout>
      <c:barChart>
        <c:barDir val="col"/>
        <c:grouping val="clustered"/>
        <c:varyColors val="0"/>
        <c:ser>
          <c:idx val="0"/>
          <c:order val="0"/>
          <c:tx>
            <c:v>Area net rent</c:v>
          </c:tx>
          <c:spPr>
            <a:solidFill>
              <a:srgbClr val="59468D"/>
            </a:solidFill>
            <a:ln w="6350">
              <a:noFill/>
            </a:ln>
          </c:spPr>
          <c:invertIfNegative val="0"/>
          <c:cat>
            <c:strRef>
              <c:f>'Area summary'!$B$167:$B$176</c:f>
              <c:strCache>
                <c:ptCount val="10"/>
                <c:pt idx="0">
                  <c:v>Non-self-contained</c:v>
                </c:pt>
                <c:pt idx="1">
                  <c:v>Bedsit</c:v>
                </c:pt>
                <c:pt idx="2">
                  <c:v>1 Bedroom</c:v>
                </c:pt>
                <c:pt idx="3">
                  <c:v>2 Bedroom</c:v>
                </c:pt>
                <c:pt idx="4">
                  <c:v>3 Bedroom</c:v>
                </c:pt>
                <c:pt idx="5">
                  <c:v>4 Bedroom</c:v>
                </c:pt>
                <c:pt idx="6">
                  <c:v>5 Bedroom</c:v>
                </c:pt>
                <c:pt idx="7">
                  <c:v>6+ Bedroom</c:v>
                </c:pt>
                <c:pt idx="8">
                  <c:v>All self-contained</c:v>
                </c:pt>
                <c:pt idx="9">
                  <c:v>All stock sizes</c:v>
                </c:pt>
              </c:strCache>
            </c:strRef>
          </c:cat>
          <c:val>
            <c:numRef>
              <c:f>'Area summary'!$C$167:$C$176</c:f>
              <c:numCache>
                <c:formatCode>"£"#,##0.00;\-#,##0.00_-;"-"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0-9B7E-45A9-AEDD-A0B1B0D34732}"/>
            </c:ext>
          </c:extLst>
        </c:ser>
        <c:dLbls>
          <c:showLegendKey val="0"/>
          <c:showVal val="0"/>
          <c:showCatName val="0"/>
          <c:showSerName val="0"/>
          <c:showPercent val="0"/>
          <c:showBubbleSize val="0"/>
        </c:dLbls>
        <c:gapWidth val="150"/>
        <c:axId val="486943744"/>
        <c:axId val="493175168"/>
      </c:barChart>
      <c:scatterChart>
        <c:scatterStyle val="lineMarker"/>
        <c:varyColors val="0"/>
        <c:ser>
          <c:idx val="1"/>
          <c:order val="1"/>
          <c:tx>
            <c:v>England net rent</c:v>
          </c:tx>
          <c:spPr>
            <a:ln>
              <a:noFill/>
            </a:ln>
          </c:spPr>
          <c:marker>
            <c:symbol val="dash"/>
            <c:size val="17"/>
            <c:spPr>
              <a:solidFill>
                <a:srgbClr val="FFC000"/>
              </a:solidFill>
              <a:ln cmpd="sng">
                <a:noFill/>
              </a:ln>
            </c:spPr>
          </c:marker>
          <c:xVal>
            <c:strRef>
              <c:f>'Area summary'!$S$167:$S$176</c:f>
              <c:strCache>
                <c:ptCount val="10"/>
                <c:pt idx="0">
                  <c:v>Non-self-contained</c:v>
                </c:pt>
                <c:pt idx="1">
                  <c:v>Bedsit</c:v>
                </c:pt>
                <c:pt idx="2">
                  <c:v>1 Bedroom</c:v>
                </c:pt>
                <c:pt idx="3">
                  <c:v>2 Bedroom</c:v>
                </c:pt>
                <c:pt idx="4">
                  <c:v>3 Bedroom</c:v>
                </c:pt>
                <c:pt idx="5">
                  <c:v>4 Bedroom</c:v>
                </c:pt>
                <c:pt idx="6">
                  <c:v>5 Bedroom</c:v>
                </c:pt>
                <c:pt idx="7">
                  <c:v>6+ Bedroom</c:v>
                </c:pt>
                <c:pt idx="8">
                  <c:v>All Self-Contained</c:v>
                </c:pt>
                <c:pt idx="9">
                  <c:v>All Stock Sizes</c:v>
                </c:pt>
              </c:strCache>
            </c:strRef>
          </c:xVal>
          <c:yVal>
            <c:numRef>
              <c:f>'Area summary'!$T$167:$T$176</c:f>
              <c:numCache>
                <c:formatCode>_("£"* #,##0.00_);_("£"* \(#,##0.00\);_("£"* "-"??_);_(@_)</c:formatCode>
                <c:ptCount val="10"/>
                <c:pt idx="0">
                  <c:v>82.66</c:v>
                </c:pt>
                <c:pt idx="1">
                  <c:v>76.5</c:v>
                </c:pt>
                <c:pt idx="2">
                  <c:v>84.22</c:v>
                </c:pt>
                <c:pt idx="3">
                  <c:v>96.37</c:v>
                </c:pt>
                <c:pt idx="4">
                  <c:v>106.54</c:v>
                </c:pt>
                <c:pt idx="5">
                  <c:v>124.48</c:v>
                </c:pt>
                <c:pt idx="6">
                  <c:v>138.52000000000001</c:v>
                </c:pt>
                <c:pt idx="7">
                  <c:v>147.81</c:v>
                </c:pt>
                <c:pt idx="8">
                  <c:v>98.06</c:v>
                </c:pt>
                <c:pt idx="9">
                  <c:v>98.05</c:v>
                </c:pt>
              </c:numCache>
            </c:numRef>
          </c:yVal>
          <c:smooth val="1"/>
          <c:extLst>
            <c:ext xmlns:c16="http://schemas.microsoft.com/office/drawing/2014/chart" uri="{C3380CC4-5D6E-409C-BE32-E72D297353CC}">
              <c16:uniqueId val="{00000001-9B7E-45A9-AEDD-A0B1B0D34732}"/>
            </c:ext>
          </c:extLst>
        </c:ser>
        <c:dLbls>
          <c:showLegendKey val="0"/>
          <c:showVal val="0"/>
          <c:showCatName val="0"/>
          <c:showSerName val="0"/>
          <c:showPercent val="0"/>
          <c:showBubbleSize val="0"/>
        </c:dLbls>
        <c:axId val="486943744"/>
        <c:axId val="493175168"/>
      </c:scatterChart>
      <c:catAx>
        <c:axId val="486943744"/>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en-US"/>
          </a:p>
        </c:txPr>
        <c:crossAx val="493175168"/>
        <c:crosses val="autoZero"/>
        <c:auto val="1"/>
        <c:lblAlgn val="ctr"/>
        <c:lblOffset val="100"/>
        <c:noMultiLvlLbl val="0"/>
      </c:catAx>
      <c:valAx>
        <c:axId val="493175168"/>
        <c:scaling>
          <c:orientation val="minMax"/>
        </c:scaling>
        <c:delete val="0"/>
        <c:axPos val="l"/>
        <c:majorGridlines>
          <c:spPr>
            <a:ln>
              <a:solidFill>
                <a:schemeClr val="bg1">
                  <a:lumMod val="75000"/>
                </a:schemeClr>
              </a:solidFill>
            </a:ln>
          </c:spPr>
        </c:majorGridlines>
        <c:title>
          <c:tx>
            <c:rich>
              <a:bodyPr rot="-5400000" vert="horz"/>
              <a:lstStyle/>
              <a:p>
                <a:pPr>
                  <a:defRPr/>
                </a:pPr>
                <a:r>
                  <a:rPr lang="en-GB"/>
                  <a:t>£ per week</a:t>
                </a:r>
              </a:p>
            </c:rich>
          </c:tx>
          <c:layout>
            <c:manualLayout>
              <c:xMode val="edge"/>
              <c:yMode val="edge"/>
              <c:x val="1.425155824949011E-2"/>
              <c:y val="0.26751659630606101"/>
            </c:manualLayout>
          </c:layout>
          <c:overlay val="0"/>
        </c:title>
        <c:numFmt formatCode="&quot;£&quot;#,##0" sourceLinked="0"/>
        <c:majorTickMark val="out"/>
        <c:minorTickMark val="none"/>
        <c:tickLblPos val="nextTo"/>
        <c:spPr>
          <a:ln>
            <a:solidFill>
              <a:schemeClr val="tx1"/>
            </a:solidFill>
          </a:ln>
        </c:spPr>
        <c:crossAx val="486943744"/>
        <c:crosses val="autoZero"/>
        <c:crossBetween val="between"/>
      </c:valAx>
    </c:plotArea>
    <c:legend>
      <c:legendPos val="b"/>
      <c:layout>
        <c:manualLayout>
          <c:xMode val="edge"/>
          <c:yMode val="edge"/>
          <c:x val="0.25783428462945179"/>
          <c:y val="0.91625550130533151"/>
          <c:w val="0.48228627961391229"/>
          <c:h val="6.1958000090920035E-2"/>
        </c:manualLayout>
      </c:layout>
      <c:overlay val="0"/>
    </c:legend>
    <c:plotVisOnly val="0"/>
    <c:dispBlanksAs val="gap"/>
    <c:showDLblsOverMax val="0"/>
  </c:chart>
  <c:spPr>
    <a:ln>
      <a:solidFill>
        <a:sysClr val="windowText" lastClr="000000"/>
      </a:solidFill>
    </a:ln>
  </c:spPr>
  <c:txPr>
    <a:bodyPr/>
    <a:lstStyle/>
    <a:p>
      <a:pPr>
        <a:defRPr baseline="0">
          <a:latin typeface="Arial" pitchFamily="34" charset="0"/>
          <a:cs typeface="Arial"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summary'!$B$186</c:f>
          <c:strCache>
            <c:ptCount val="1"/>
            <c:pt idx="0">
              <c:v>Average weekly net rent (£ per week) by unit size for  - large PRPs</c:v>
            </c:pt>
          </c:strCache>
        </c:strRef>
      </c:tx>
      <c:layout>
        <c:manualLayout>
          <c:xMode val="edge"/>
          <c:yMode val="edge"/>
          <c:x val="1.6646055301877223E-3"/>
          <c:y val="5.2445016708888334E-2"/>
        </c:manualLayout>
      </c:layout>
      <c:overlay val="0"/>
      <c:txPr>
        <a:bodyPr/>
        <a:lstStyle/>
        <a:p>
          <a:pPr algn="l">
            <a:defRPr sz="1200" b="0">
              <a:solidFill>
                <a:srgbClr val="59468D"/>
              </a:solidFill>
            </a:defRPr>
          </a:pPr>
          <a:endParaRPr lang="en-US"/>
        </a:p>
      </c:txPr>
    </c:title>
    <c:autoTitleDeleted val="0"/>
    <c:plotArea>
      <c:layout>
        <c:manualLayout>
          <c:layoutTarget val="inner"/>
          <c:xMode val="edge"/>
          <c:yMode val="edge"/>
          <c:x val="0.11528298611111111"/>
          <c:y val="0.19718896828988253"/>
          <c:w val="0.86046354166666672"/>
          <c:h val="0.46502074727412113"/>
        </c:manualLayout>
      </c:layout>
      <c:barChart>
        <c:barDir val="col"/>
        <c:grouping val="clustered"/>
        <c:varyColors val="0"/>
        <c:ser>
          <c:idx val="0"/>
          <c:order val="0"/>
          <c:tx>
            <c:v>Area net rent</c:v>
          </c:tx>
          <c:spPr>
            <a:solidFill>
              <a:srgbClr val="59468D"/>
            </a:solidFill>
            <a:ln w="6350">
              <a:noFill/>
            </a:ln>
          </c:spPr>
          <c:invertIfNegative val="0"/>
          <c:cat>
            <c:strLit>
              <c:ptCount val="8"/>
              <c:pt idx="0">
                <c:v>Non-self-contained</c:v>
              </c:pt>
              <c:pt idx="1">
                <c:v>Bedsit</c:v>
              </c:pt>
              <c:pt idx="2">
                <c:v>1 Bedroom</c:v>
              </c:pt>
              <c:pt idx="3">
                <c:v>2 Bedroom</c:v>
              </c:pt>
              <c:pt idx="4">
                <c:v>3 Bedroom</c:v>
              </c:pt>
              <c:pt idx="5">
                <c:v>4+ Bedroom</c:v>
              </c:pt>
              <c:pt idx="6">
                <c:v>All self-contained</c:v>
              </c:pt>
              <c:pt idx="7">
                <c:v>All stock sizes</c:v>
              </c:pt>
            </c:strLit>
          </c:cat>
          <c:val>
            <c:numRef>
              <c:f>'Area summary'!$C$189:$C$196</c:f>
              <c:numCache>
                <c:formatCode>"£"#,##0.00;\-#,##0.00_-;"-"</c:formatCode>
                <c:ptCount val="8"/>
                <c:pt idx="0">
                  <c:v>#N/A</c:v>
                </c:pt>
                <c:pt idx="1">
                  <c:v>#N/A</c:v>
                </c:pt>
                <c:pt idx="2">
                  <c:v>#N/A</c:v>
                </c:pt>
                <c:pt idx="3">
                  <c:v>#N/A</c:v>
                </c:pt>
                <c:pt idx="4">
                  <c:v>#N/A</c:v>
                </c:pt>
                <c:pt idx="5">
                  <c:v>#N/A</c:v>
                </c:pt>
                <c:pt idx="6">
                  <c:v>#N/A</c:v>
                </c:pt>
                <c:pt idx="7">
                  <c:v>#N/A</c:v>
                </c:pt>
              </c:numCache>
            </c:numRef>
          </c:val>
          <c:extLst>
            <c:ext xmlns:c16="http://schemas.microsoft.com/office/drawing/2014/chart" uri="{C3380CC4-5D6E-409C-BE32-E72D297353CC}">
              <c16:uniqueId val="{00000000-9DF8-46CB-AA2B-3F05B6E95989}"/>
            </c:ext>
          </c:extLst>
        </c:ser>
        <c:dLbls>
          <c:showLegendKey val="0"/>
          <c:showVal val="0"/>
          <c:showCatName val="0"/>
          <c:showSerName val="0"/>
          <c:showPercent val="0"/>
          <c:showBubbleSize val="0"/>
        </c:dLbls>
        <c:gapWidth val="150"/>
        <c:axId val="650522624"/>
        <c:axId val="694391936"/>
      </c:barChart>
      <c:scatterChart>
        <c:scatterStyle val="lineMarker"/>
        <c:varyColors val="0"/>
        <c:ser>
          <c:idx val="1"/>
          <c:order val="1"/>
          <c:tx>
            <c:v>England net rent</c:v>
          </c:tx>
          <c:spPr>
            <a:ln>
              <a:noFill/>
            </a:ln>
          </c:spPr>
          <c:marker>
            <c:symbol val="dash"/>
            <c:size val="21"/>
            <c:spPr>
              <a:solidFill>
                <a:srgbClr val="FFC000"/>
              </a:solidFill>
              <a:ln>
                <a:noFill/>
              </a:ln>
            </c:spPr>
          </c:marker>
          <c:xVal>
            <c:strRef>
              <c:f>'Area summary'!$S$188:$S$195</c:f>
              <c:strCache>
                <c:ptCount val="8"/>
                <c:pt idx="0">
                  <c:v>Non-self-contained</c:v>
                </c:pt>
                <c:pt idx="1">
                  <c:v>Bedsit</c:v>
                </c:pt>
                <c:pt idx="2">
                  <c:v>1 Bedroom</c:v>
                </c:pt>
                <c:pt idx="3">
                  <c:v>2 Bedroom</c:v>
                </c:pt>
                <c:pt idx="4">
                  <c:v>3 Bedroom</c:v>
                </c:pt>
                <c:pt idx="5">
                  <c:v>4+ Bedroom</c:v>
                </c:pt>
                <c:pt idx="6">
                  <c:v>All Self-Contained</c:v>
                </c:pt>
                <c:pt idx="7">
                  <c:v>All Stock Sizes</c:v>
                </c:pt>
              </c:strCache>
            </c:strRef>
          </c:xVal>
          <c:yVal>
            <c:numRef>
              <c:f>'Area summary'!$T$188:$T$195</c:f>
              <c:numCache>
                <c:formatCode>_("£"* #,##0.00_);_("£"* \(#,##0.00\);_("£"* "-"??_);_(@_)</c:formatCode>
                <c:ptCount val="8"/>
                <c:pt idx="0">
                  <c:v>105.35</c:v>
                </c:pt>
                <c:pt idx="1">
                  <c:v>80.89</c:v>
                </c:pt>
                <c:pt idx="2">
                  <c:v>93.42</c:v>
                </c:pt>
                <c:pt idx="3">
                  <c:v>103.5</c:v>
                </c:pt>
                <c:pt idx="4">
                  <c:v>116.04</c:v>
                </c:pt>
                <c:pt idx="5">
                  <c:v>148.43</c:v>
                </c:pt>
                <c:pt idx="6">
                  <c:v>131.71</c:v>
                </c:pt>
                <c:pt idx="7">
                  <c:v>95.6</c:v>
                </c:pt>
              </c:numCache>
            </c:numRef>
          </c:yVal>
          <c:smooth val="0"/>
          <c:extLst>
            <c:ext xmlns:c16="http://schemas.microsoft.com/office/drawing/2014/chart" uri="{C3380CC4-5D6E-409C-BE32-E72D297353CC}">
              <c16:uniqueId val="{00000001-9DF8-46CB-AA2B-3F05B6E95989}"/>
            </c:ext>
          </c:extLst>
        </c:ser>
        <c:dLbls>
          <c:showLegendKey val="0"/>
          <c:showVal val="0"/>
          <c:showCatName val="0"/>
          <c:showSerName val="0"/>
          <c:showPercent val="0"/>
          <c:showBubbleSize val="0"/>
        </c:dLbls>
        <c:axId val="650522624"/>
        <c:axId val="694391936"/>
      </c:scatterChart>
      <c:catAx>
        <c:axId val="650522624"/>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en-US"/>
          </a:p>
        </c:txPr>
        <c:crossAx val="694391936"/>
        <c:crosses val="autoZero"/>
        <c:auto val="1"/>
        <c:lblAlgn val="ctr"/>
        <c:lblOffset val="100"/>
        <c:noMultiLvlLbl val="0"/>
      </c:catAx>
      <c:valAx>
        <c:axId val="694391936"/>
        <c:scaling>
          <c:orientation val="minMax"/>
        </c:scaling>
        <c:delete val="0"/>
        <c:axPos val="l"/>
        <c:majorGridlines>
          <c:spPr>
            <a:ln>
              <a:solidFill>
                <a:schemeClr val="bg1">
                  <a:lumMod val="75000"/>
                </a:schemeClr>
              </a:solidFill>
            </a:ln>
          </c:spPr>
        </c:majorGridlines>
        <c:title>
          <c:tx>
            <c:rich>
              <a:bodyPr rot="-5400000" vert="horz"/>
              <a:lstStyle/>
              <a:p>
                <a:pPr>
                  <a:defRPr/>
                </a:pPr>
                <a:r>
                  <a:rPr lang="en-GB"/>
                  <a:t>£ per week</a:t>
                </a:r>
              </a:p>
            </c:rich>
          </c:tx>
          <c:layout>
            <c:manualLayout>
              <c:xMode val="edge"/>
              <c:yMode val="edge"/>
              <c:x val="1.9473190851143607E-3"/>
              <c:y val="0.22641522988505747"/>
            </c:manualLayout>
          </c:layout>
          <c:overlay val="0"/>
        </c:title>
        <c:numFmt formatCode="&quot;£&quot;#,##0" sourceLinked="0"/>
        <c:majorTickMark val="out"/>
        <c:minorTickMark val="none"/>
        <c:tickLblPos val="nextTo"/>
        <c:spPr>
          <a:ln>
            <a:solidFill>
              <a:schemeClr val="tx1"/>
            </a:solidFill>
          </a:ln>
        </c:spPr>
        <c:crossAx val="650522624"/>
        <c:crosses val="autoZero"/>
        <c:crossBetween val="between"/>
      </c:valAx>
    </c:plotArea>
    <c:legend>
      <c:legendPos val="b"/>
      <c:layout>
        <c:manualLayout>
          <c:xMode val="edge"/>
          <c:yMode val="edge"/>
          <c:x val="0.28468348675273075"/>
          <c:y val="0.91733609911664271"/>
          <c:w val="0.430632865669131"/>
          <c:h val="6.11585245392713E-2"/>
        </c:manualLayout>
      </c:layout>
      <c:overlay val="0"/>
    </c:legend>
    <c:plotVisOnly val="0"/>
    <c:dispBlanksAs val="gap"/>
    <c:showDLblsOverMax val="0"/>
  </c:chart>
  <c:spPr>
    <a:ln>
      <a:solidFill>
        <a:sysClr val="windowText" lastClr="000000"/>
      </a:solidFill>
    </a:ln>
  </c:spPr>
  <c:txPr>
    <a:bodyPr/>
    <a:lstStyle/>
    <a:p>
      <a:pPr>
        <a:defRPr baseline="0">
          <a:latin typeface="Arial" pitchFamily="34" charset="0"/>
          <a:cs typeface="Arial" pitchFamily="34" charset="0"/>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summary'!$B$205</c:f>
          <c:strCache>
            <c:ptCount val="1"/>
            <c:pt idx="0">
              <c:v>Average weekly gross rent (£ per week) and unit counts by unit size for </c:v>
            </c:pt>
          </c:strCache>
        </c:strRef>
      </c:tx>
      <c:layout>
        <c:manualLayout>
          <c:xMode val="edge"/>
          <c:yMode val="edge"/>
          <c:x val="1.6645785035260693E-3"/>
          <c:y val="5.5401678161909003E-2"/>
        </c:manualLayout>
      </c:layout>
      <c:overlay val="0"/>
      <c:txPr>
        <a:bodyPr/>
        <a:lstStyle/>
        <a:p>
          <a:pPr algn="l">
            <a:defRPr sz="1200" b="0">
              <a:solidFill>
                <a:srgbClr val="59468D"/>
              </a:solidFill>
            </a:defRPr>
          </a:pPr>
          <a:endParaRPr lang="en-US"/>
        </a:p>
      </c:txPr>
    </c:title>
    <c:autoTitleDeleted val="0"/>
    <c:plotArea>
      <c:layout>
        <c:manualLayout>
          <c:layoutTarget val="inner"/>
          <c:xMode val="edge"/>
          <c:yMode val="edge"/>
          <c:x val="0.11528298611111111"/>
          <c:y val="0.19717079448038716"/>
          <c:w val="0.86046354166666672"/>
          <c:h val="0.46496681455149513"/>
        </c:manualLayout>
      </c:layout>
      <c:barChart>
        <c:barDir val="col"/>
        <c:grouping val="clustered"/>
        <c:varyColors val="0"/>
        <c:ser>
          <c:idx val="0"/>
          <c:order val="0"/>
          <c:tx>
            <c:v>Area Affordable Rent</c:v>
          </c:tx>
          <c:spPr>
            <a:solidFill>
              <a:srgbClr val="59468D"/>
            </a:solidFill>
            <a:ln w="6350">
              <a:noFill/>
            </a:ln>
          </c:spPr>
          <c:invertIfNegative val="0"/>
          <c:cat>
            <c:strLit>
              <c:ptCount val="10"/>
              <c:pt idx="0">
                <c:v>Non-self-contained</c:v>
              </c:pt>
              <c:pt idx="1">
                <c:v>Bedsit</c:v>
              </c:pt>
              <c:pt idx="2">
                <c:v>1 Bedroom</c:v>
              </c:pt>
              <c:pt idx="3">
                <c:v>2 Bedroom</c:v>
              </c:pt>
              <c:pt idx="4">
                <c:v>3 Bedroom</c:v>
              </c:pt>
              <c:pt idx="5">
                <c:v>4 Bedroom</c:v>
              </c:pt>
              <c:pt idx="6">
                <c:v>5 Bedroom</c:v>
              </c:pt>
              <c:pt idx="7">
                <c:v>6+ Bedroom</c:v>
              </c:pt>
              <c:pt idx="8">
                <c:v>All self-contained</c:v>
              </c:pt>
              <c:pt idx="9">
                <c:v>All stock sizes</c:v>
              </c:pt>
            </c:strLit>
          </c:cat>
          <c:val>
            <c:numRef>
              <c:f>'Area summary'!$F$211:$F$220</c:f>
              <c:numCache>
                <c:formatCode>"£"#,##0.00;\-#,##0.00_-;"-"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0-9697-4D42-8141-4564FA37369E}"/>
            </c:ext>
          </c:extLst>
        </c:ser>
        <c:dLbls>
          <c:showLegendKey val="0"/>
          <c:showVal val="0"/>
          <c:showCatName val="0"/>
          <c:showSerName val="0"/>
          <c:showPercent val="0"/>
          <c:showBubbleSize val="0"/>
        </c:dLbls>
        <c:gapWidth val="150"/>
        <c:axId val="731063040"/>
        <c:axId val="731112576"/>
      </c:barChart>
      <c:lineChart>
        <c:grouping val="standard"/>
        <c:varyColors val="0"/>
        <c:ser>
          <c:idx val="1"/>
          <c:order val="1"/>
          <c:tx>
            <c:v>England Affordable Rent</c:v>
          </c:tx>
          <c:spPr>
            <a:ln>
              <a:noFill/>
            </a:ln>
          </c:spPr>
          <c:marker>
            <c:symbol val="dash"/>
            <c:size val="17"/>
            <c:spPr>
              <a:solidFill>
                <a:srgbClr val="FFC000"/>
              </a:solidFill>
              <a:ln>
                <a:noFill/>
              </a:ln>
            </c:spPr>
          </c:marker>
          <c:cat>
            <c:strRef>
              <c:f>'Area summary'!$B$211:$B$220</c:f>
              <c:strCache>
                <c:ptCount val="10"/>
                <c:pt idx="0">
                  <c:v>Non-self-contained</c:v>
                </c:pt>
                <c:pt idx="1">
                  <c:v>Bedsit</c:v>
                </c:pt>
                <c:pt idx="2">
                  <c:v>1 Bedroom</c:v>
                </c:pt>
                <c:pt idx="3">
                  <c:v>2 Bedroom</c:v>
                </c:pt>
                <c:pt idx="4">
                  <c:v>3 Bedroom</c:v>
                </c:pt>
                <c:pt idx="5">
                  <c:v>4 Bedroom</c:v>
                </c:pt>
                <c:pt idx="6">
                  <c:v>5 Bedroom</c:v>
                </c:pt>
                <c:pt idx="7">
                  <c:v>6+ Bedroom</c:v>
                </c:pt>
                <c:pt idx="8">
                  <c:v>All self-contained</c:v>
                </c:pt>
                <c:pt idx="9">
                  <c:v>All stock sizes</c:v>
                </c:pt>
              </c:strCache>
            </c:strRef>
          </c:cat>
          <c:val>
            <c:numRef>
              <c:f>'Area summary'!$T$212:$T$221</c:f>
              <c:numCache>
                <c:formatCode>_("£"* #,##0.00_);_("£"* \(#,##0.00\);_("£"* "-"??_);_(@_)</c:formatCode>
                <c:ptCount val="10"/>
                <c:pt idx="0">
                  <c:v>98.7</c:v>
                </c:pt>
                <c:pt idx="1">
                  <c:v>136.83000000000001</c:v>
                </c:pt>
                <c:pt idx="2">
                  <c:v>124.93</c:v>
                </c:pt>
                <c:pt idx="3">
                  <c:v>134.26</c:v>
                </c:pt>
                <c:pt idx="4">
                  <c:v>143.97999999999999</c:v>
                </c:pt>
                <c:pt idx="5">
                  <c:v>182.13</c:v>
                </c:pt>
                <c:pt idx="6">
                  <c:v>176.58</c:v>
                </c:pt>
                <c:pt idx="7">
                  <c:v>199.57</c:v>
                </c:pt>
                <c:pt idx="8">
                  <c:v>136.74</c:v>
                </c:pt>
                <c:pt idx="9">
                  <c:v>136.72</c:v>
                </c:pt>
              </c:numCache>
            </c:numRef>
          </c:val>
          <c:smooth val="0"/>
          <c:extLst>
            <c:ext xmlns:c16="http://schemas.microsoft.com/office/drawing/2014/chart" uri="{C3380CC4-5D6E-409C-BE32-E72D297353CC}">
              <c16:uniqueId val="{00000001-9697-4D42-8141-4564FA37369E}"/>
            </c:ext>
          </c:extLst>
        </c:ser>
        <c:dLbls>
          <c:showLegendKey val="0"/>
          <c:showVal val="0"/>
          <c:showCatName val="0"/>
          <c:showSerName val="0"/>
          <c:showPercent val="0"/>
          <c:showBubbleSize val="0"/>
        </c:dLbls>
        <c:marker val="1"/>
        <c:smooth val="0"/>
        <c:axId val="731063040"/>
        <c:axId val="731112576"/>
      </c:lineChart>
      <c:catAx>
        <c:axId val="731063040"/>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en-US"/>
          </a:p>
        </c:txPr>
        <c:crossAx val="731112576"/>
        <c:crosses val="autoZero"/>
        <c:auto val="1"/>
        <c:lblAlgn val="ctr"/>
        <c:lblOffset val="100"/>
        <c:noMultiLvlLbl val="0"/>
      </c:catAx>
      <c:valAx>
        <c:axId val="731112576"/>
        <c:scaling>
          <c:orientation val="minMax"/>
        </c:scaling>
        <c:delete val="0"/>
        <c:axPos val="l"/>
        <c:majorGridlines>
          <c:spPr>
            <a:ln>
              <a:solidFill>
                <a:schemeClr val="bg1">
                  <a:lumMod val="75000"/>
                </a:schemeClr>
              </a:solidFill>
            </a:ln>
          </c:spPr>
        </c:majorGridlines>
        <c:title>
          <c:tx>
            <c:rich>
              <a:bodyPr rot="-5400000" vert="horz"/>
              <a:lstStyle/>
              <a:p>
                <a:pPr>
                  <a:defRPr/>
                </a:pPr>
                <a:r>
                  <a:rPr lang="en-GB"/>
                  <a:t>£ per week</a:t>
                </a:r>
              </a:p>
            </c:rich>
          </c:tx>
          <c:layout>
            <c:manualLayout>
              <c:xMode val="edge"/>
              <c:yMode val="edge"/>
              <c:x val="1.9473190851143607E-3"/>
              <c:y val="0.2742053229337712"/>
            </c:manualLayout>
          </c:layout>
          <c:overlay val="0"/>
        </c:title>
        <c:numFmt formatCode="&quot;£&quot;#,##0" sourceLinked="0"/>
        <c:majorTickMark val="out"/>
        <c:minorTickMark val="none"/>
        <c:tickLblPos val="nextTo"/>
        <c:spPr>
          <a:ln>
            <a:solidFill>
              <a:schemeClr val="tx1"/>
            </a:solidFill>
          </a:ln>
        </c:spPr>
        <c:crossAx val="731063040"/>
        <c:crosses val="autoZero"/>
        <c:crossBetween val="between"/>
      </c:valAx>
    </c:plotArea>
    <c:legend>
      <c:legendPos val="b"/>
      <c:layout>
        <c:manualLayout>
          <c:xMode val="edge"/>
          <c:yMode val="edge"/>
          <c:x val="0.22353136735193962"/>
          <c:y val="0.91733607578699961"/>
          <c:w val="0.5569659888292231"/>
          <c:h val="6.1158541799605393E-2"/>
        </c:manualLayout>
      </c:layout>
      <c:overlay val="0"/>
    </c:legend>
    <c:plotVisOnly val="0"/>
    <c:dispBlanksAs val="gap"/>
    <c:showDLblsOverMax val="0"/>
  </c:chart>
  <c:spPr>
    <a:ln>
      <a:solidFill>
        <a:sysClr val="windowText" lastClr="000000"/>
      </a:solidFill>
    </a:ln>
  </c:spPr>
  <c:txPr>
    <a:bodyPr/>
    <a:lstStyle/>
    <a:p>
      <a:pPr>
        <a:defRPr baseline="0">
          <a:latin typeface="Arial" pitchFamily="34" charset="0"/>
          <a:cs typeface="Arial"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summary'!$B$227</c:f>
          <c:strCache>
            <c:ptCount val="1"/>
            <c:pt idx="0">
              <c:v>Average weekly gross rent (£ per week) and unit counts by unit size for </c:v>
            </c:pt>
          </c:strCache>
        </c:strRef>
      </c:tx>
      <c:layout>
        <c:manualLayout>
          <c:xMode val="edge"/>
          <c:yMode val="edge"/>
          <c:x val="1.8640918461690365E-3"/>
          <c:y val="6.176182955428957E-2"/>
        </c:manualLayout>
      </c:layout>
      <c:overlay val="0"/>
      <c:txPr>
        <a:bodyPr anchor="ctr" anchorCtr="1"/>
        <a:lstStyle/>
        <a:p>
          <a:pPr algn="l">
            <a:defRPr sz="1200" b="0">
              <a:solidFill>
                <a:srgbClr val="59468D"/>
              </a:solidFill>
            </a:defRPr>
          </a:pPr>
          <a:endParaRPr lang="en-US"/>
        </a:p>
      </c:txPr>
    </c:title>
    <c:autoTitleDeleted val="0"/>
    <c:plotArea>
      <c:layout>
        <c:manualLayout>
          <c:layoutTarget val="inner"/>
          <c:xMode val="edge"/>
          <c:yMode val="edge"/>
          <c:x val="0.11528298611111111"/>
          <c:y val="0.20088264590194924"/>
          <c:w val="0.86046354166666672"/>
          <c:h val="0.46132716789902645"/>
        </c:manualLayout>
      </c:layout>
      <c:barChart>
        <c:barDir val="col"/>
        <c:grouping val="clustered"/>
        <c:varyColors val="0"/>
        <c:ser>
          <c:idx val="0"/>
          <c:order val="0"/>
          <c:tx>
            <c:v>Area Affordable Rent</c:v>
          </c:tx>
          <c:spPr>
            <a:solidFill>
              <a:srgbClr val="59468D"/>
            </a:solidFill>
            <a:ln w="6350">
              <a:noFill/>
            </a:ln>
          </c:spPr>
          <c:invertIfNegative val="0"/>
          <c:cat>
            <c:strLit>
              <c:ptCount val="8"/>
              <c:pt idx="0">
                <c:v>Non-self-contained</c:v>
              </c:pt>
              <c:pt idx="1">
                <c:v>Bedsit</c:v>
              </c:pt>
              <c:pt idx="2">
                <c:v>1 Bedroom</c:v>
              </c:pt>
              <c:pt idx="3">
                <c:v>2 Bedroom</c:v>
              </c:pt>
              <c:pt idx="4">
                <c:v>3 Bedroom</c:v>
              </c:pt>
              <c:pt idx="5">
                <c:v>4+ Bedroom</c:v>
              </c:pt>
              <c:pt idx="6">
                <c:v>All self-contained</c:v>
              </c:pt>
              <c:pt idx="7">
                <c:v>All stock sizes</c:v>
              </c:pt>
            </c:strLit>
          </c:cat>
          <c:val>
            <c:numRef>
              <c:f>'Area summary'!$F$233:$F$240</c:f>
              <c:numCache>
                <c:formatCode>"£"#,##0.00;\-#,##0.00_-;"-"</c:formatCode>
                <c:ptCount val="8"/>
                <c:pt idx="0">
                  <c:v>#N/A</c:v>
                </c:pt>
                <c:pt idx="1">
                  <c:v>#N/A</c:v>
                </c:pt>
                <c:pt idx="2">
                  <c:v>#N/A</c:v>
                </c:pt>
                <c:pt idx="3">
                  <c:v>#N/A</c:v>
                </c:pt>
                <c:pt idx="4">
                  <c:v>#N/A</c:v>
                </c:pt>
                <c:pt idx="5">
                  <c:v>#N/A</c:v>
                </c:pt>
                <c:pt idx="6">
                  <c:v>#N/A</c:v>
                </c:pt>
                <c:pt idx="7">
                  <c:v>#N/A</c:v>
                </c:pt>
              </c:numCache>
            </c:numRef>
          </c:val>
          <c:extLst>
            <c:ext xmlns:c16="http://schemas.microsoft.com/office/drawing/2014/chart" uri="{C3380CC4-5D6E-409C-BE32-E72D297353CC}">
              <c16:uniqueId val="{00000000-D0B0-42E0-80DE-ED7390B1D42E}"/>
            </c:ext>
          </c:extLst>
        </c:ser>
        <c:dLbls>
          <c:showLegendKey val="0"/>
          <c:showVal val="0"/>
          <c:showCatName val="0"/>
          <c:showSerName val="0"/>
          <c:showPercent val="0"/>
          <c:showBubbleSize val="0"/>
        </c:dLbls>
        <c:gapWidth val="150"/>
        <c:axId val="166952960"/>
        <c:axId val="166954880"/>
      </c:barChart>
      <c:lineChart>
        <c:grouping val="standard"/>
        <c:varyColors val="0"/>
        <c:ser>
          <c:idx val="1"/>
          <c:order val="1"/>
          <c:tx>
            <c:v>England Affordable Rent</c:v>
          </c:tx>
          <c:spPr>
            <a:ln>
              <a:noFill/>
            </a:ln>
          </c:spPr>
          <c:marker>
            <c:symbol val="dash"/>
            <c:size val="21"/>
            <c:spPr>
              <a:solidFill>
                <a:srgbClr val="FFC000"/>
              </a:solidFill>
              <a:ln>
                <a:noFill/>
              </a:ln>
            </c:spPr>
          </c:marker>
          <c:cat>
            <c:strRef>
              <c:f>'Area summary'!$B$233:$B$240</c:f>
              <c:strCache>
                <c:ptCount val="8"/>
                <c:pt idx="0">
                  <c:v>Non-self-contained</c:v>
                </c:pt>
                <c:pt idx="1">
                  <c:v>Bedsit</c:v>
                </c:pt>
                <c:pt idx="2">
                  <c:v>1 Bedroom</c:v>
                </c:pt>
                <c:pt idx="3">
                  <c:v>2 Bedroom</c:v>
                </c:pt>
                <c:pt idx="4">
                  <c:v>3 Bedroom</c:v>
                </c:pt>
                <c:pt idx="5">
                  <c:v>4+ Bedroom</c:v>
                </c:pt>
                <c:pt idx="6">
                  <c:v>All self-contained</c:v>
                </c:pt>
                <c:pt idx="7">
                  <c:v>All stock sizes</c:v>
                </c:pt>
              </c:strCache>
            </c:strRef>
          </c:cat>
          <c:val>
            <c:numRef>
              <c:f>'Area summary'!$T$233:$T$240</c:f>
              <c:numCache>
                <c:formatCode>_("£"* #,##0.00_);_("£"* \(#,##0.00\);_("£"* "-"??_);_(@_)</c:formatCode>
                <c:ptCount val="8"/>
                <c:pt idx="0">
                  <c:v>255.74</c:v>
                </c:pt>
                <c:pt idx="1">
                  <c:v>185.96</c:v>
                </c:pt>
                <c:pt idx="2">
                  <c:v>175.48</c:v>
                </c:pt>
                <c:pt idx="3">
                  <c:v>179.94</c:v>
                </c:pt>
                <c:pt idx="4">
                  <c:v>202.82</c:v>
                </c:pt>
                <c:pt idx="5">
                  <c:v>139.34</c:v>
                </c:pt>
                <c:pt idx="6">
                  <c:v>177.84</c:v>
                </c:pt>
                <c:pt idx="7">
                  <c:v>181.29</c:v>
                </c:pt>
              </c:numCache>
            </c:numRef>
          </c:val>
          <c:smooth val="0"/>
          <c:extLst>
            <c:ext xmlns:c16="http://schemas.microsoft.com/office/drawing/2014/chart" uri="{C3380CC4-5D6E-409C-BE32-E72D297353CC}">
              <c16:uniqueId val="{00000008-D0B0-42E0-80DE-ED7390B1D42E}"/>
            </c:ext>
          </c:extLst>
        </c:ser>
        <c:dLbls>
          <c:showLegendKey val="0"/>
          <c:showVal val="0"/>
          <c:showCatName val="0"/>
          <c:showSerName val="0"/>
          <c:showPercent val="0"/>
          <c:showBubbleSize val="0"/>
        </c:dLbls>
        <c:marker val="1"/>
        <c:smooth val="0"/>
        <c:axId val="166952960"/>
        <c:axId val="166954880"/>
      </c:lineChart>
      <c:catAx>
        <c:axId val="166952960"/>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en-US"/>
          </a:p>
        </c:txPr>
        <c:crossAx val="166954880"/>
        <c:crosses val="autoZero"/>
        <c:auto val="0"/>
        <c:lblAlgn val="ctr"/>
        <c:lblOffset val="100"/>
        <c:noMultiLvlLbl val="0"/>
      </c:catAx>
      <c:valAx>
        <c:axId val="166954880"/>
        <c:scaling>
          <c:orientation val="minMax"/>
        </c:scaling>
        <c:delete val="0"/>
        <c:axPos val="l"/>
        <c:majorGridlines>
          <c:spPr>
            <a:ln>
              <a:solidFill>
                <a:schemeClr val="bg1">
                  <a:lumMod val="75000"/>
                </a:schemeClr>
              </a:solidFill>
            </a:ln>
          </c:spPr>
        </c:majorGridlines>
        <c:title>
          <c:tx>
            <c:rich>
              <a:bodyPr rot="-5400000" vert="horz"/>
              <a:lstStyle/>
              <a:p>
                <a:pPr>
                  <a:defRPr/>
                </a:pPr>
                <a:r>
                  <a:rPr lang="en-GB"/>
                  <a:t>£</a:t>
                </a:r>
                <a:r>
                  <a:rPr lang="en-GB" baseline="0"/>
                  <a:t> per week</a:t>
                </a:r>
                <a:endParaRPr lang="en-GB"/>
              </a:p>
            </c:rich>
          </c:tx>
          <c:layout>
            <c:manualLayout>
              <c:xMode val="edge"/>
              <c:yMode val="edge"/>
              <c:x val="1.9473190851143607E-3"/>
              <c:y val="0.2742053229337712"/>
            </c:manualLayout>
          </c:layout>
          <c:overlay val="0"/>
        </c:title>
        <c:numFmt formatCode="&quot;£&quot;#,##0" sourceLinked="0"/>
        <c:majorTickMark val="out"/>
        <c:minorTickMark val="none"/>
        <c:tickLblPos val="nextTo"/>
        <c:spPr>
          <a:ln>
            <a:solidFill>
              <a:schemeClr val="tx1"/>
            </a:solidFill>
          </a:ln>
        </c:spPr>
        <c:crossAx val="166952960"/>
        <c:crosses val="autoZero"/>
        <c:crossBetween val="between"/>
      </c:valAx>
    </c:plotArea>
    <c:legend>
      <c:legendPos val="b"/>
      <c:layout>
        <c:manualLayout>
          <c:xMode val="edge"/>
          <c:yMode val="edge"/>
          <c:x val="0.20623949304738987"/>
          <c:y val="0.91715794415784235"/>
          <c:w val="0.55193972729208629"/>
          <c:h val="6.1290331704226625E-2"/>
        </c:manualLayout>
      </c:layout>
      <c:overlay val="0"/>
    </c:legend>
    <c:plotVisOnly val="0"/>
    <c:dispBlanksAs val="gap"/>
    <c:showDLblsOverMax val="0"/>
  </c:chart>
  <c:spPr>
    <a:ln>
      <a:solidFill>
        <a:sysClr val="windowText" lastClr="000000"/>
      </a:solidFill>
    </a:ln>
  </c:spPr>
  <c:txPr>
    <a:bodyPr/>
    <a:lstStyle/>
    <a:p>
      <a:pPr>
        <a:defRPr baseline="0">
          <a:latin typeface="Arial" pitchFamily="34" charset="0"/>
          <a:cs typeface="Arial"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summary'!$S$9</c:f>
          <c:strCache>
            <c:ptCount val="1"/>
            <c:pt idx="0">
              <c:v>Average weekly net rent (£ per week) for England - large PRPs</c:v>
            </c:pt>
          </c:strCache>
        </c:strRef>
      </c:tx>
      <c:layout>
        <c:manualLayout>
          <c:xMode val="edge"/>
          <c:yMode val="edge"/>
          <c:x val="3.3132922643244934E-4"/>
          <c:y val="4.7512253739366919E-2"/>
        </c:manualLayout>
      </c:layout>
      <c:overlay val="0"/>
      <c:txPr>
        <a:bodyPr/>
        <a:lstStyle/>
        <a:p>
          <a:pPr algn="l">
            <a:defRPr sz="1200" b="0">
              <a:solidFill>
                <a:srgbClr val="59468D"/>
              </a:solidFill>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2826965364635182"/>
          <c:y val="0.24863758806464981"/>
          <c:w val="0.81449938488306928"/>
          <c:h val="0.59134594601014234"/>
        </c:manualLayout>
      </c:layout>
      <c:barChart>
        <c:barDir val="col"/>
        <c:grouping val="clustered"/>
        <c:varyColors val="0"/>
        <c:ser>
          <c:idx val="0"/>
          <c:order val="0"/>
          <c:tx>
            <c:strRef>
              <c:f>'Area summary'!$B$79</c:f>
              <c:strCache>
                <c:ptCount val="1"/>
              </c:strCache>
            </c:strRef>
          </c:tx>
          <c:spPr>
            <a:solidFill>
              <a:srgbClr val="59468D"/>
            </a:solidFill>
            <a:ln w="6350">
              <a:noFill/>
            </a:ln>
          </c:spPr>
          <c:invertIfNegative val="0"/>
          <c:dPt>
            <c:idx val="0"/>
            <c:invertIfNegative val="0"/>
            <c:bubble3D val="0"/>
            <c:extLst>
              <c:ext xmlns:c16="http://schemas.microsoft.com/office/drawing/2014/chart" uri="{C3380CC4-5D6E-409C-BE32-E72D297353CC}">
                <c16:uniqueId val="{00000000-B074-416D-9782-E5D528C58158}"/>
              </c:ext>
            </c:extLst>
          </c:dPt>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summary'!$C$79</c:f>
              <c:numCache>
                <c:formatCode>"£"#,##0.00;\-#,##0.00_-;"-"</c:formatCode>
                <c:ptCount val="1"/>
                <c:pt idx="0">
                  <c:v>0</c:v>
                </c:pt>
              </c:numCache>
            </c:numRef>
          </c:val>
          <c:extLst>
            <c:ext xmlns:c16="http://schemas.microsoft.com/office/drawing/2014/chart" uri="{C3380CC4-5D6E-409C-BE32-E72D297353CC}">
              <c16:uniqueId val="{00000001-B074-416D-9782-E5D528C58158}"/>
            </c:ext>
          </c:extLst>
        </c:ser>
        <c:ser>
          <c:idx val="1"/>
          <c:order val="1"/>
          <c:tx>
            <c:strRef>
              <c:f>'Area summary'!$B$80</c:f>
              <c:strCache>
                <c:ptCount val="1"/>
              </c:strCache>
            </c:strRef>
          </c:tx>
          <c:spPr>
            <a:solidFill>
              <a:srgbClr val="AECFE6"/>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summary'!$C$80</c:f>
              <c:numCache>
                <c:formatCode>"£"#,##0.00;\-#,##0.00_-;"-"</c:formatCode>
                <c:ptCount val="1"/>
                <c:pt idx="0">
                  <c:v>0</c:v>
                </c:pt>
              </c:numCache>
            </c:numRef>
          </c:val>
          <c:extLst>
            <c:ext xmlns:c16="http://schemas.microsoft.com/office/drawing/2014/chart" uri="{C3380CC4-5D6E-409C-BE32-E72D297353CC}">
              <c16:uniqueId val="{00000002-B074-416D-9782-E5D528C58158}"/>
            </c:ext>
          </c:extLst>
        </c:ser>
        <c:ser>
          <c:idx val="2"/>
          <c:order val="2"/>
          <c:tx>
            <c:strRef>
              <c:f>'Area summary'!$B$81</c:f>
              <c:strCache>
                <c:ptCount val="1"/>
                <c:pt idx="0">
                  <c:v>England</c:v>
                </c:pt>
              </c:strCache>
            </c:strRef>
          </c:tx>
          <c:spPr>
            <a:solidFill>
              <a:srgbClr val="FCBE37"/>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summary'!$C$81</c:f>
              <c:numCache>
                <c:formatCode>"£"#,##0.00;\-#,##0.00_-;"-"</c:formatCode>
                <c:ptCount val="1"/>
                <c:pt idx="0">
                  <c:v>98.05</c:v>
                </c:pt>
              </c:numCache>
            </c:numRef>
          </c:val>
          <c:extLst>
            <c:ext xmlns:c16="http://schemas.microsoft.com/office/drawing/2014/chart" uri="{C3380CC4-5D6E-409C-BE32-E72D297353CC}">
              <c16:uniqueId val="{00000003-B074-416D-9782-E5D528C58158}"/>
            </c:ext>
          </c:extLst>
        </c:ser>
        <c:dLbls>
          <c:showLegendKey val="0"/>
          <c:showVal val="0"/>
          <c:showCatName val="0"/>
          <c:showSerName val="0"/>
          <c:showPercent val="0"/>
          <c:showBubbleSize val="0"/>
        </c:dLbls>
        <c:gapWidth val="300"/>
        <c:overlap val="-100"/>
        <c:axId val="166967936"/>
        <c:axId val="166973824"/>
      </c:barChart>
      <c:catAx>
        <c:axId val="166967936"/>
        <c:scaling>
          <c:orientation val="minMax"/>
        </c:scaling>
        <c:delete val="0"/>
        <c:axPos val="b"/>
        <c:numFmt formatCode="#,##0.00" sourceLinked="1"/>
        <c:majorTickMark val="out"/>
        <c:minorTickMark val="none"/>
        <c:tickLblPos val="nextTo"/>
        <c:spPr>
          <a:ln>
            <a:solidFill>
              <a:schemeClr val="tx1"/>
            </a:solidFill>
          </a:ln>
        </c:spPr>
        <c:txPr>
          <a:bodyPr/>
          <a:lstStyle/>
          <a:p>
            <a:pPr>
              <a:defRPr>
                <a:solidFill>
                  <a:schemeClr val="bg1"/>
                </a:solidFill>
              </a:defRPr>
            </a:pPr>
            <a:endParaRPr lang="en-US"/>
          </a:p>
        </c:txPr>
        <c:crossAx val="166973824"/>
        <c:crosses val="autoZero"/>
        <c:auto val="1"/>
        <c:lblAlgn val="ctr"/>
        <c:lblOffset val="100"/>
        <c:noMultiLvlLbl val="0"/>
      </c:catAx>
      <c:valAx>
        <c:axId val="166973824"/>
        <c:scaling>
          <c:orientation val="minMax"/>
        </c:scaling>
        <c:delete val="0"/>
        <c:axPos val="l"/>
        <c:majorGridlines>
          <c:spPr>
            <a:ln>
              <a:noFill/>
            </a:ln>
          </c:spPr>
        </c:majorGridlines>
        <c:title>
          <c:tx>
            <c:rich>
              <a:bodyPr rot="-5400000" vert="horz"/>
              <a:lstStyle/>
              <a:p>
                <a:pPr>
                  <a:defRPr b="1">
                    <a:latin typeface="Arial" panose="020B0604020202020204" pitchFamily="34" charset="0"/>
                    <a:cs typeface="Arial" panose="020B0604020202020204" pitchFamily="34" charset="0"/>
                  </a:defRPr>
                </a:pPr>
                <a:r>
                  <a:rPr lang="en-US" b="1">
                    <a:latin typeface="Arial" panose="020B0604020202020204" pitchFamily="34" charset="0"/>
                    <a:cs typeface="Arial" panose="020B0604020202020204" pitchFamily="34" charset="0"/>
                  </a:rPr>
                  <a:t>£</a:t>
                </a:r>
                <a:r>
                  <a:rPr lang="en-US" b="1" baseline="0">
                    <a:latin typeface="Arial" panose="020B0604020202020204" pitchFamily="34" charset="0"/>
                    <a:cs typeface="Arial" panose="020B0604020202020204" pitchFamily="34" charset="0"/>
                  </a:rPr>
                  <a:t> per </a:t>
                </a:r>
                <a:r>
                  <a:rPr lang="en-US" b="1">
                    <a:latin typeface="Arial" panose="020B0604020202020204" pitchFamily="34" charset="0"/>
                    <a:cs typeface="Arial" panose="020B0604020202020204" pitchFamily="34" charset="0"/>
                  </a:rPr>
                  <a:t>week</a:t>
                </a:r>
              </a:p>
            </c:rich>
          </c:tx>
          <c:layout>
            <c:manualLayout>
              <c:xMode val="edge"/>
              <c:yMode val="edge"/>
              <c:x val="2.3371313865335592E-3"/>
              <c:y val="0.24207141870424093"/>
            </c:manualLayout>
          </c:layout>
          <c:overlay val="0"/>
        </c:title>
        <c:numFmt formatCode="&quot;£&quot;#,##0" sourceLinked="0"/>
        <c:majorTickMark val="out"/>
        <c:minorTickMark val="none"/>
        <c:tickLblPos val="nextTo"/>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166967936"/>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0"/>
    <c:dispBlanksAs val="gap"/>
    <c:showDLblsOverMax val="0"/>
  </c:chart>
  <c:spPr>
    <a:ln>
      <a:solidFill>
        <a:schemeClr val="tx1"/>
      </a:solid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summary'!$S$10</c:f>
          <c:strCache>
            <c:ptCount val="1"/>
            <c:pt idx="0">
              <c:v>Average weekly net rent (£ per week) for England - large PRPs</c:v>
            </c:pt>
          </c:strCache>
        </c:strRef>
      </c:tx>
      <c:layout>
        <c:manualLayout>
          <c:xMode val="edge"/>
          <c:yMode val="edge"/>
          <c:x val="3.3115482810189127E-4"/>
          <c:y val="5.7631363662405441E-2"/>
        </c:manualLayout>
      </c:layout>
      <c:overlay val="0"/>
      <c:txPr>
        <a:bodyPr/>
        <a:lstStyle/>
        <a:p>
          <a:pPr algn="l">
            <a:defRPr sz="1200" b="0">
              <a:solidFill>
                <a:srgbClr val="59468D"/>
              </a:solidFill>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2601170228302991"/>
          <c:y val="0.25302355297693052"/>
          <c:w val="0.81432929310802438"/>
          <c:h val="0.58696016725676203"/>
        </c:manualLayout>
      </c:layout>
      <c:barChart>
        <c:barDir val="col"/>
        <c:grouping val="clustered"/>
        <c:varyColors val="0"/>
        <c:ser>
          <c:idx val="0"/>
          <c:order val="0"/>
          <c:tx>
            <c:strRef>
              <c:f>'Area summary'!$B$102</c:f>
              <c:strCache>
                <c:ptCount val="1"/>
              </c:strCache>
            </c:strRef>
          </c:tx>
          <c:spPr>
            <a:solidFill>
              <a:srgbClr val="59468D"/>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summary'!$C$102</c:f>
              <c:numCache>
                <c:formatCode>"£"#,##0.00;\-#,##0.00_-;"-"</c:formatCode>
                <c:ptCount val="1"/>
                <c:pt idx="0">
                  <c:v>0</c:v>
                </c:pt>
              </c:numCache>
            </c:numRef>
          </c:val>
          <c:extLst>
            <c:ext xmlns:c16="http://schemas.microsoft.com/office/drawing/2014/chart" uri="{C3380CC4-5D6E-409C-BE32-E72D297353CC}">
              <c16:uniqueId val="{00000000-36F7-4165-AB32-01E1353968A9}"/>
            </c:ext>
          </c:extLst>
        </c:ser>
        <c:ser>
          <c:idx val="1"/>
          <c:order val="1"/>
          <c:tx>
            <c:strRef>
              <c:f>'Area summary'!$B$103</c:f>
              <c:strCache>
                <c:ptCount val="1"/>
              </c:strCache>
            </c:strRef>
          </c:tx>
          <c:spPr>
            <a:solidFill>
              <a:srgbClr val="AECFE6"/>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summary'!$C$103</c:f>
              <c:numCache>
                <c:formatCode>"£"#,##0.00;\-#,##0.00_-;"-"</c:formatCode>
                <c:ptCount val="1"/>
                <c:pt idx="0">
                  <c:v>0</c:v>
                </c:pt>
              </c:numCache>
            </c:numRef>
          </c:val>
          <c:extLst>
            <c:ext xmlns:c16="http://schemas.microsoft.com/office/drawing/2014/chart" uri="{C3380CC4-5D6E-409C-BE32-E72D297353CC}">
              <c16:uniqueId val="{00000001-36F7-4165-AB32-01E1353968A9}"/>
            </c:ext>
          </c:extLst>
        </c:ser>
        <c:ser>
          <c:idx val="2"/>
          <c:order val="2"/>
          <c:tx>
            <c:strRef>
              <c:f>'Area summary'!$B$104</c:f>
              <c:strCache>
                <c:ptCount val="1"/>
                <c:pt idx="0">
                  <c:v>England</c:v>
                </c:pt>
              </c:strCache>
            </c:strRef>
          </c:tx>
          <c:spPr>
            <a:solidFill>
              <a:srgbClr val="FCBE37"/>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summary'!$C$104</c:f>
              <c:numCache>
                <c:formatCode>"£"#,##0.00;\-#,##0.00_-;"-"</c:formatCode>
                <c:ptCount val="1"/>
                <c:pt idx="0">
                  <c:v>95.6</c:v>
                </c:pt>
              </c:numCache>
            </c:numRef>
          </c:val>
          <c:extLst>
            <c:ext xmlns:c16="http://schemas.microsoft.com/office/drawing/2014/chart" uri="{C3380CC4-5D6E-409C-BE32-E72D297353CC}">
              <c16:uniqueId val="{00000002-36F7-4165-AB32-01E1353968A9}"/>
            </c:ext>
          </c:extLst>
        </c:ser>
        <c:dLbls>
          <c:showLegendKey val="0"/>
          <c:showVal val="0"/>
          <c:showCatName val="0"/>
          <c:showSerName val="0"/>
          <c:showPercent val="0"/>
          <c:showBubbleSize val="0"/>
        </c:dLbls>
        <c:gapWidth val="300"/>
        <c:overlap val="-100"/>
        <c:axId val="166986496"/>
        <c:axId val="166988032"/>
      </c:barChart>
      <c:catAx>
        <c:axId val="166986496"/>
        <c:scaling>
          <c:orientation val="minMax"/>
        </c:scaling>
        <c:delete val="0"/>
        <c:axPos val="b"/>
        <c:numFmt formatCode="#,##0.00" sourceLinked="1"/>
        <c:majorTickMark val="out"/>
        <c:minorTickMark val="none"/>
        <c:tickLblPos val="nextTo"/>
        <c:spPr>
          <a:ln>
            <a:solidFill>
              <a:schemeClr val="tx1"/>
            </a:solidFill>
          </a:ln>
        </c:spPr>
        <c:txPr>
          <a:bodyPr/>
          <a:lstStyle/>
          <a:p>
            <a:pPr>
              <a:defRPr>
                <a:solidFill>
                  <a:schemeClr val="bg1"/>
                </a:solidFill>
              </a:defRPr>
            </a:pPr>
            <a:endParaRPr lang="en-US"/>
          </a:p>
        </c:txPr>
        <c:crossAx val="166988032"/>
        <c:crosses val="autoZero"/>
        <c:auto val="1"/>
        <c:lblAlgn val="ctr"/>
        <c:lblOffset val="100"/>
        <c:noMultiLvlLbl val="0"/>
      </c:catAx>
      <c:valAx>
        <c:axId val="166988032"/>
        <c:scaling>
          <c:orientation val="minMax"/>
          <c:min val="0"/>
        </c:scaling>
        <c:delete val="0"/>
        <c:axPos val="l"/>
        <c:majorGridlines>
          <c:spPr>
            <a:ln>
              <a:noFill/>
            </a:ln>
          </c:spPr>
        </c:majorGridlines>
        <c:title>
          <c:tx>
            <c:rich>
              <a:bodyPr rot="-5400000" vert="horz"/>
              <a:lstStyle/>
              <a:p>
                <a:pPr>
                  <a:defRPr b="1">
                    <a:latin typeface="Arial" panose="020B0604020202020204" pitchFamily="34" charset="0"/>
                    <a:cs typeface="Arial" panose="020B0604020202020204" pitchFamily="34" charset="0"/>
                  </a:defRPr>
                </a:pPr>
                <a:r>
                  <a:rPr lang="en-US" b="1">
                    <a:latin typeface="Arial" panose="020B0604020202020204" pitchFamily="34" charset="0"/>
                    <a:cs typeface="Arial" panose="020B0604020202020204" pitchFamily="34" charset="0"/>
                  </a:rPr>
                  <a:t>£ per week</a:t>
                </a:r>
              </a:p>
            </c:rich>
          </c:tx>
          <c:layout>
            <c:manualLayout>
              <c:xMode val="edge"/>
              <c:yMode val="edge"/>
              <c:x val="2.3371313865335592E-3"/>
              <c:y val="0.24207141870424093"/>
            </c:manualLayout>
          </c:layout>
          <c:overlay val="0"/>
        </c:title>
        <c:numFmt formatCode="&quot;£&quot;#,##0" sourceLinked="0"/>
        <c:majorTickMark val="out"/>
        <c:minorTickMark val="none"/>
        <c:tickLblPos val="nextTo"/>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166986496"/>
        <c:crosses val="autoZero"/>
        <c:crossBetween val="between"/>
      </c:valAx>
      <c:spPr>
        <a:ln>
          <a:noFill/>
        </a:ln>
      </c:spPr>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0"/>
    <c:dispBlanksAs val="gap"/>
    <c:showDLblsOverMax val="0"/>
  </c:chart>
  <c:spPr>
    <a:ln>
      <a:solidFill>
        <a:sysClr val="windowText" lastClr="000000"/>
      </a:solid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summary'!$S$11</c:f>
          <c:strCache>
            <c:ptCount val="1"/>
            <c:pt idx="0">
              <c:v>Average weekly gross rent (£ per week) for England</c:v>
            </c:pt>
          </c:strCache>
        </c:strRef>
      </c:tx>
      <c:layout>
        <c:manualLayout>
          <c:xMode val="edge"/>
          <c:yMode val="edge"/>
          <c:x val="3.3116338374578031E-4"/>
          <c:y val="5.3937953046727882E-2"/>
        </c:manualLayout>
      </c:layout>
      <c:overlay val="0"/>
      <c:txPr>
        <a:bodyPr/>
        <a:lstStyle/>
        <a:p>
          <a:pPr algn="l">
            <a:defRPr sz="1200" b="0">
              <a:solidFill>
                <a:srgbClr val="59468D"/>
              </a:solidFill>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2598637649214589"/>
          <c:y val="0.24863758806464981"/>
          <c:w val="0.81457844840345561"/>
          <c:h val="0.59134614014268705"/>
        </c:manualLayout>
      </c:layout>
      <c:barChart>
        <c:barDir val="col"/>
        <c:grouping val="clustered"/>
        <c:varyColors val="0"/>
        <c:ser>
          <c:idx val="0"/>
          <c:order val="0"/>
          <c:tx>
            <c:strRef>
              <c:f>'Area summary'!$B$124</c:f>
              <c:strCache>
                <c:ptCount val="1"/>
              </c:strCache>
            </c:strRef>
          </c:tx>
          <c:spPr>
            <a:solidFill>
              <a:srgbClr val="59468D"/>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summary'!$F$124</c:f>
              <c:numCache>
                <c:formatCode>"£"#,##0.00;\-#,##0.00_-;"-"</c:formatCode>
                <c:ptCount val="1"/>
                <c:pt idx="0">
                  <c:v>0</c:v>
                </c:pt>
              </c:numCache>
            </c:numRef>
          </c:val>
          <c:extLst>
            <c:ext xmlns:c16="http://schemas.microsoft.com/office/drawing/2014/chart" uri="{C3380CC4-5D6E-409C-BE32-E72D297353CC}">
              <c16:uniqueId val="{00000000-23A8-46FC-B09A-46CE2D90FD0C}"/>
            </c:ext>
          </c:extLst>
        </c:ser>
        <c:ser>
          <c:idx val="1"/>
          <c:order val="1"/>
          <c:tx>
            <c:strRef>
              <c:f>'Area summary'!$B$125</c:f>
              <c:strCache>
                <c:ptCount val="1"/>
              </c:strCache>
            </c:strRef>
          </c:tx>
          <c:spPr>
            <a:solidFill>
              <a:srgbClr val="AECFE6"/>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summary'!$F$125</c:f>
              <c:numCache>
                <c:formatCode>"£"#,##0.00;\-#,##0.00_-;"-"</c:formatCode>
                <c:ptCount val="1"/>
                <c:pt idx="0">
                  <c:v>0</c:v>
                </c:pt>
              </c:numCache>
            </c:numRef>
          </c:val>
          <c:extLst>
            <c:ext xmlns:c16="http://schemas.microsoft.com/office/drawing/2014/chart" uri="{C3380CC4-5D6E-409C-BE32-E72D297353CC}">
              <c16:uniqueId val="{00000001-23A8-46FC-B09A-46CE2D90FD0C}"/>
            </c:ext>
          </c:extLst>
        </c:ser>
        <c:ser>
          <c:idx val="2"/>
          <c:order val="2"/>
          <c:tx>
            <c:strRef>
              <c:f>'Area summary'!$B$126</c:f>
              <c:strCache>
                <c:ptCount val="1"/>
                <c:pt idx="0">
                  <c:v>England</c:v>
                </c:pt>
              </c:strCache>
            </c:strRef>
          </c:tx>
          <c:spPr>
            <a:solidFill>
              <a:srgbClr val="FCBE37"/>
            </a:solidFill>
            <a:ln w="6350">
              <a:noFill/>
            </a:ln>
          </c:spPr>
          <c:invertIfNegative val="0"/>
          <c:dPt>
            <c:idx val="0"/>
            <c:invertIfNegative val="0"/>
            <c:bubble3D val="0"/>
            <c:extLst>
              <c:ext xmlns:c16="http://schemas.microsoft.com/office/drawing/2014/chart" uri="{C3380CC4-5D6E-409C-BE32-E72D297353CC}">
                <c16:uniqueId val="{00000002-23A8-46FC-B09A-46CE2D90FD0C}"/>
              </c:ext>
            </c:extLst>
          </c:dPt>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summary'!$F$126</c:f>
              <c:numCache>
                <c:formatCode>"£"#,##0.00;\-#,##0.00_-;"-"</c:formatCode>
                <c:ptCount val="1"/>
                <c:pt idx="0">
                  <c:v>136.72</c:v>
                </c:pt>
              </c:numCache>
            </c:numRef>
          </c:val>
          <c:extLst>
            <c:ext xmlns:c16="http://schemas.microsoft.com/office/drawing/2014/chart" uri="{C3380CC4-5D6E-409C-BE32-E72D297353CC}">
              <c16:uniqueId val="{00000003-23A8-46FC-B09A-46CE2D90FD0C}"/>
            </c:ext>
          </c:extLst>
        </c:ser>
        <c:dLbls>
          <c:showLegendKey val="0"/>
          <c:showVal val="0"/>
          <c:showCatName val="0"/>
          <c:showSerName val="0"/>
          <c:showPercent val="0"/>
          <c:showBubbleSize val="0"/>
        </c:dLbls>
        <c:gapWidth val="300"/>
        <c:overlap val="-100"/>
        <c:axId val="167001088"/>
        <c:axId val="167002880"/>
      </c:barChart>
      <c:catAx>
        <c:axId val="167001088"/>
        <c:scaling>
          <c:orientation val="minMax"/>
        </c:scaling>
        <c:delete val="0"/>
        <c:axPos val="b"/>
        <c:numFmt formatCode="#,##0.00" sourceLinked="1"/>
        <c:majorTickMark val="out"/>
        <c:minorTickMark val="none"/>
        <c:tickLblPos val="nextTo"/>
        <c:spPr>
          <a:ln>
            <a:solidFill>
              <a:schemeClr val="tx1"/>
            </a:solidFill>
          </a:ln>
        </c:spPr>
        <c:txPr>
          <a:bodyPr/>
          <a:lstStyle/>
          <a:p>
            <a:pPr>
              <a:defRPr>
                <a:solidFill>
                  <a:schemeClr val="bg1"/>
                </a:solidFill>
              </a:defRPr>
            </a:pPr>
            <a:endParaRPr lang="en-US"/>
          </a:p>
        </c:txPr>
        <c:crossAx val="167002880"/>
        <c:crosses val="autoZero"/>
        <c:auto val="1"/>
        <c:lblAlgn val="ctr"/>
        <c:lblOffset val="100"/>
        <c:noMultiLvlLbl val="0"/>
      </c:catAx>
      <c:valAx>
        <c:axId val="167002880"/>
        <c:scaling>
          <c:orientation val="minMax"/>
        </c:scaling>
        <c:delete val="0"/>
        <c:axPos val="l"/>
        <c:majorGridlines>
          <c:spPr>
            <a:ln>
              <a:noFill/>
            </a:ln>
          </c:spPr>
        </c:majorGridlines>
        <c:title>
          <c:tx>
            <c:rich>
              <a:bodyPr rot="-5400000" vert="horz"/>
              <a:lstStyle/>
              <a:p>
                <a:pPr>
                  <a:defRPr b="1">
                    <a:latin typeface="Arial" panose="020B0604020202020204" pitchFamily="34" charset="0"/>
                    <a:cs typeface="Arial" panose="020B0604020202020204" pitchFamily="34" charset="0"/>
                  </a:defRPr>
                </a:pPr>
                <a:r>
                  <a:rPr lang="en-US" b="1">
                    <a:latin typeface="Arial" panose="020B0604020202020204" pitchFamily="34" charset="0"/>
                    <a:cs typeface="Arial" panose="020B0604020202020204" pitchFamily="34" charset="0"/>
                  </a:rPr>
                  <a:t>£ per</a:t>
                </a:r>
                <a:r>
                  <a:rPr lang="en-US" b="1" baseline="0">
                    <a:latin typeface="Arial" panose="020B0604020202020204" pitchFamily="34" charset="0"/>
                    <a:cs typeface="Arial" panose="020B0604020202020204" pitchFamily="34" charset="0"/>
                  </a:rPr>
                  <a:t> week</a:t>
                </a:r>
                <a:endParaRPr lang="en-US" b="1">
                  <a:latin typeface="Arial" panose="020B0604020202020204" pitchFamily="34" charset="0"/>
                  <a:cs typeface="Arial" panose="020B0604020202020204" pitchFamily="34" charset="0"/>
                </a:endParaRPr>
              </a:p>
            </c:rich>
          </c:tx>
          <c:layout>
            <c:manualLayout>
              <c:xMode val="edge"/>
              <c:yMode val="edge"/>
              <c:x val="2.3371313865335592E-3"/>
              <c:y val="0.24207141870424093"/>
            </c:manualLayout>
          </c:layout>
          <c:overlay val="0"/>
        </c:title>
        <c:numFmt formatCode="&quot;£&quot;#,##0" sourceLinked="0"/>
        <c:majorTickMark val="out"/>
        <c:minorTickMark val="none"/>
        <c:tickLblPos val="nextTo"/>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167001088"/>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0"/>
    <c:dispBlanksAs val="gap"/>
    <c:showDLblsOverMax val="0"/>
  </c:chart>
  <c:spPr>
    <a:ln>
      <a:solidFill>
        <a:sysClr val="windowText" lastClr="000000"/>
      </a:solidFill>
    </a:ln>
  </c:sp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summary'!$S$12</c:f>
          <c:strCache>
            <c:ptCount val="1"/>
            <c:pt idx="0">
              <c:v>Average weekly gross rent (£ per week) for England</c:v>
            </c:pt>
          </c:strCache>
        </c:strRef>
      </c:tx>
      <c:layout>
        <c:manualLayout>
          <c:xMode val="edge"/>
          <c:yMode val="edge"/>
          <c:x val="3.311632742408872E-4"/>
          <c:y val="5.3937968733095948E-2"/>
        </c:manualLayout>
      </c:layout>
      <c:overlay val="0"/>
      <c:txPr>
        <a:bodyPr/>
        <a:lstStyle/>
        <a:p>
          <a:pPr algn="l">
            <a:defRPr sz="1200" b="0">
              <a:solidFill>
                <a:srgbClr val="59468D"/>
              </a:solidFill>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2598633188198913"/>
          <c:y val="0.27490994660150242"/>
          <c:w val="0.81658370993458951"/>
          <c:h val="0.56507384238849534"/>
        </c:manualLayout>
      </c:layout>
      <c:barChart>
        <c:barDir val="col"/>
        <c:grouping val="clustered"/>
        <c:varyColors val="0"/>
        <c:ser>
          <c:idx val="0"/>
          <c:order val="0"/>
          <c:tx>
            <c:strRef>
              <c:f>'Area summary'!$B$145</c:f>
              <c:strCache>
                <c:ptCount val="1"/>
              </c:strCache>
            </c:strRef>
          </c:tx>
          <c:spPr>
            <a:solidFill>
              <a:srgbClr val="59468D"/>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summary'!$F$145</c:f>
              <c:numCache>
                <c:formatCode>"£"#,##0.00;\-#,##0.00_-;"-"</c:formatCode>
                <c:ptCount val="1"/>
                <c:pt idx="0">
                  <c:v>0</c:v>
                </c:pt>
              </c:numCache>
            </c:numRef>
          </c:val>
          <c:extLst>
            <c:ext xmlns:c16="http://schemas.microsoft.com/office/drawing/2014/chart" uri="{C3380CC4-5D6E-409C-BE32-E72D297353CC}">
              <c16:uniqueId val="{00000000-D16A-4E60-B9C2-17EF9A42DA7F}"/>
            </c:ext>
          </c:extLst>
        </c:ser>
        <c:ser>
          <c:idx val="1"/>
          <c:order val="1"/>
          <c:tx>
            <c:strRef>
              <c:f>'Area summary'!$B$146</c:f>
              <c:strCache>
                <c:ptCount val="1"/>
              </c:strCache>
            </c:strRef>
          </c:tx>
          <c:spPr>
            <a:solidFill>
              <a:srgbClr val="AECFE6"/>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summary'!$F$146</c:f>
              <c:numCache>
                <c:formatCode>"£"#,##0.00;\-#,##0.00_-;"-"</c:formatCode>
                <c:ptCount val="1"/>
                <c:pt idx="0">
                  <c:v>0</c:v>
                </c:pt>
              </c:numCache>
            </c:numRef>
          </c:val>
          <c:extLst>
            <c:ext xmlns:c16="http://schemas.microsoft.com/office/drawing/2014/chart" uri="{C3380CC4-5D6E-409C-BE32-E72D297353CC}">
              <c16:uniqueId val="{00000001-D16A-4E60-B9C2-17EF9A42DA7F}"/>
            </c:ext>
          </c:extLst>
        </c:ser>
        <c:ser>
          <c:idx val="2"/>
          <c:order val="2"/>
          <c:tx>
            <c:strRef>
              <c:f>'Area summary'!$B$147</c:f>
              <c:strCache>
                <c:ptCount val="1"/>
                <c:pt idx="0">
                  <c:v>England</c:v>
                </c:pt>
              </c:strCache>
            </c:strRef>
          </c:tx>
          <c:spPr>
            <a:solidFill>
              <a:srgbClr val="FCBE37"/>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summary'!$F$147</c:f>
              <c:numCache>
                <c:formatCode>"£"#,##0.00;\-#,##0.00_-;"-"</c:formatCode>
                <c:ptCount val="1"/>
                <c:pt idx="0">
                  <c:v>181.29</c:v>
                </c:pt>
              </c:numCache>
            </c:numRef>
          </c:val>
          <c:extLst>
            <c:ext xmlns:c16="http://schemas.microsoft.com/office/drawing/2014/chart" uri="{C3380CC4-5D6E-409C-BE32-E72D297353CC}">
              <c16:uniqueId val="{00000002-D16A-4E60-B9C2-17EF9A42DA7F}"/>
            </c:ext>
          </c:extLst>
        </c:ser>
        <c:dLbls>
          <c:showLegendKey val="0"/>
          <c:showVal val="0"/>
          <c:showCatName val="0"/>
          <c:showSerName val="0"/>
          <c:showPercent val="0"/>
          <c:showBubbleSize val="0"/>
        </c:dLbls>
        <c:gapWidth val="300"/>
        <c:overlap val="-100"/>
        <c:axId val="167019648"/>
        <c:axId val="167021184"/>
      </c:barChart>
      <c:catAx>
        <c:axId val="167019648"/>
        <c:scaling>
          <c:orientation val="minMax"/>
        </c:scaling>
        <c:delete val="0"/>
        <c:axPos val="b"/>
        <c:numFmt formatCode="#,##0.00" sourceLinked="1"/>
        <c:majorTickMark val="out"/>
        <c:minorTickMark val="none"/>
        <c:tickLblPos val="nextTo"/>
        <c:spPr>
          <a:ln>
            <a:solidFill>
              <a:schemeClr val="tx1"/>
            </a:solidFill>
          </a:ln>
        </c:spPr>
        <c:txPr>
          <a:bodyPr/>
          <a:lstStyle/>
          <a:p>
            <a:pPr>
              <a:defRPr>
                <a:solidFill>
                  <a:schemeClr val="bg1"/>
                </a:solidFill>
              </a:defRPr>
            </a:pPr>
            <a:endParaRPr lang="en-US"/>
          </a:p>
        </c:txPr>
        <c:crossAx val="167021184"/>
        <c:crosses val="autoZero"/>
        <c:auto val="1"/>
        <c:lblAlgn val="ctr"/>
        <c:lblOffset val="100"/>
        <c:noMultiLvlLbl val="0"/>
      </c:catAx>
      <c:valAx>
        <c:axId val="167021184"/>
        <c:scaling>
          <c:orientation val="minMax"/>
        </c:scaling>
        <c:delete val="0"/>
        <c:axPos val="l"/>
        <c:majorGridlines>
          <c:spPr>
            <a:ln>
              <a:noFill/>
            </a:ln>
          </c:spPr>
        </c:majorGridlines>
        <c:title>
          <c:tx>
            <c:rich>
              <a:bodyPr rot="-5400000" vert="horz"/>
              <a:lstStyle/>
              <a:p>
                <a:pPr>
                  <a:defRPr b="1">
                    <a:latin typeface="Arial" panose="020B0604020202020204" pitchFamily="34" charset="0"/>
                    <a:cs typeface="Arial" panose="020B0604020202020204" pitchFamily="34" charset="0"/>
                  </a:defRPr>
                </a:pPr>
                <a:r>
                  <a:rPr lang="en-US" b="1">
                    <a:latin typeface="Arial" panose="020B0604020202020204" pitchFamily="34" charset="0"/>
                    <a:cs typeface="Arial" panose="020B0604020202020204" pitchFamily="34" charset="0"/>
                  </a:rPr>
                  <a:t>£ per week</a:t>
                </a:r>
              </a:p>
            </c:rich>
          </c:tx>
          <c:layout>
            <c:manualLayout>
              <c:xMode val="edge"/>
              <c:yMode val="edge"/>
              <c:x val="2.3371313865335592E-3"/>
              <c:y val="0.24207141870424093"/>
            </c:manualLayout>
          </c:layout>
          <c:overlay val="0"/>
        </c:title>
        <c:numFmt formatCode="&quot;£&quot;#,##0" sourceLinked="0"/>
        <c:majorTickMark val="out"/>
        <c:minorTickMark val="none"/>
        <c:tickLblPos val="nextTo"/>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167019648"/>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image" Target="../media/image1.png"/><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4</xdr:col>
      <xdr:colOff>6327245</xdr:colOff>
      <xdr:row>0</xdr:row>
      <xdr:rowOff>200686</xdr:rowOff>
    </xdr:from>
    <xdr:to>
      <xdr:col>10</xdr:col>
      <xdr:colOff>525478</xdr:colOff>
      <xdr:row>6</xdr:row>
      <xdr:rowOff>144656</xdr:rowOff>
    </xdr:to>
    <xdr:sp macro="" textlink="">
      <xdr:nvSpPr>
        <xdr:cNvPr id="2" name="Text Box 2">
          <a:extLst>
            <a:ext uri="{FF2B5EF4-FFF2-40B4-BE49-F238E27FC236}">
              <a16:creationId xmlns:a16="http://schemas.microsoft.com/office/drawing/2014/main" id="{9AF8DD79-ADCE-446B-8CDD-6C57BB5FEAF8}"/>
            </a:ext>
          </a:extLst>
        </xdr:cNvPr>
        <xdr:cNvSpPr>
          <a:spLocks noChangeArrowheads="1"/>
        </xdr:cNvSpPr>
      </xdr:nvSpPr>
      <xdr:spPr bwMode="auto">
        <a:xfrm>
          <a:off x="8124295" y="200686"/>
          <a:ext cx="4510633" cy="1518770"/>
        </a:xfrm>
        <a:prstGeom prst="roundRect">
          <a:avLst>
            <a:gd name="adj" fmla="val 9648"/>
          </a:avLst>
        </a:prstGeom>
        <a:noFill/>
        <a:ln w="28575" algn="ctr">
          <a:solidFill>
            <a:srgbClr val="59468D"/>
          </a:solidFill>
          <a:round/>
          <a:headEnd/>
          <a:tailEnd/>
        </a:ln>
        <a:effectLst/>
        <a:extLst>
          <a:ext uri="{909E8E84-426E-40DD-AFC4-6F175D3DCCD1}">
            <a14:hiddenFill xmlns:a14="http://schemas.microsoft.com/office/drawing/2010/main">
              <a:solidFill>
                <a:srgbClr val="EEEBF5"/>
              </a:solidFill>
            </a14:hiddenFill>
          </a:ext>
          <a:ext uri="{AF507438-7753-43E0-B8FC-AC1667EBCBE1}">
            <a14:hiddenEffects xmlns:a14="http://schemas.microsoft.com/office/drawing/2010/main">
              <a:effectLst>
                <a:outerShdw sx="0" sy="0" algn="ctr" rotWithShape="0">
                  <a:srgbClr val="59468D">
                    <a:alpha val="0"/>
                  </a:srgbClr>
                </a:outerShdw>
              </a:effectLst>
            </a14:hiddenEffects>
          </a:ext>
        </a:extLst>
      </xdr:spPr>
      <xdr:txBody>
        <a:bodyPr vertOverflow="clip" wrap="square" lIns="91440" tIns="45720" rIns="91440" bIns="45720" anchor="t" upright="1"/>
        <a:lstStyle/>
        <a:p>
          <a:pPr algn="ctr" rtl="0">
            <a:defRPr sz="1000"/>
          </a:pPr>
          <a:r>
            <a:rPr lang="en-GB" sz="1200" b="1" i="0" u="none" strike="noStrike" baseline="0">
              <a:solidFill>
                <a:srgbClr val="594691"/>
              </a:solidFill>
              <a:latin typeface="Arial"/>
              <a:cs typeface="Arial"/>
            </a:rPr>
            <a:t>Why not have your say on our statistics in 2022/23?</a:t>
          </a:r>
        </a:p>
        <a:p>
          <a:pPr algn="ctr" rtl="0">
            <a:defRPr sz="1000"/>
          </a:pPr>
          <a:endParaRPr lang="en-GB" sz="600" b="1" i="0" u="none" strike="noStrike" baseline="0">
            <a:solidFill>
              <a:srgbClr val="594691"/>
            </a:solidFill>
            <a:latin typeface="Arial"/>
            <a:cs typeface="Arial"/>
          </a:endParaRPr>
        </a:p>
        <a:p>
          <a:pPr algn="ctr" rtl="0">
            <a:defRPr sz="1000"/>
          </a:pPr>
          <a:r>
            <a:rPr lang="en-GB" sz="1000" b="0" i="0" u="none" strike="noStrike" baseline="0">
              <a:solidFill>
                <a:srgbClr val="594691"/>
              </a:solidFill>
              <a:latin typeface="Arial"/>
              <a:cs typeface="Arial"/>
            </a:rPr>
            <a:t>Email feedback to </a:t>
          </a:r>
          <a:r>
            <a:rPr lang="en-GB" sz="1000" b="0" i="0" u="none" strike="noStrike" baseline="0">
              <a:solidFill>
                <a:srgbClr val="0000FF"/>
              </a:solidFill>
              <a:latin typeface="Arial"/>
              <a:cs typeface="Arial"/>
            </a:rPr>
            <a:t>enquiries@rsh.gov.uk</a:t>
          </a:r>
          <a:r>
            <a:rPr lang="en-GB" sz="1000" b="0" i="0" u="none" strike="noStrike" baseline="0">
              <a:solidFill>
                <a:srgbClr val="594691"/>
              </a:solidFill>
              <a:latin typeface="Arial"/>
              <a:cs typeface="Arial"/>
            </a:rPr>
            <a:t> or rate how this document meets your needs </a:t>
          </a:r>
          <a:r>
            <a:rPr lang="en-GB" sz="1000" b="1" i="0" u="none" strike="noStrike" baseline="0">
              <a:solidFill>
                <a:srgbClr val="594691"/>
              </a:solidFill>
              <a:latin typeface="Arial"/>
              <a:cs typeface="Arial"/>
            </a:rPr>
            <a:t>by clicking 1 of the 3 options below:</a:t>
          </a:r>
        </a:p>
        <a:p>
          <a:pPr algn="l" rtl="0">
            <a:defRPr sz="1000"/>
          </a:pPr>
          <a:endParaRPr lang="en-GB" sz="1100" b="0" i="0" u="none" strike="noStrike" baseline="0">
            <a:solidFill>
              <a:srgbClr val="00B050"/>
            </a:solidFill>
            <a:latin typeface="Arial"/>
            <a:cs typeface="Arial"/>
          </a:endParaRPr>
        </a:p>
      </xdr:txBody>
    </xdr:sp>
    <xdr:clientData/>
  </xdr:twoCellAnchor>
  <xdr:oneCellAnchor>
    <xdr:from>
      <xdr:col>1</xdr:col>
      <xdr:colOff>114301</xdr:colOff>
      <xdr:row>1</xdr:row>
      <xdr:rowOff>187325</xdr:rowOff>
    </xdr:from>
    <xdr:ext cx="1993900" cy="1058908"/>
    <xdr:pic>
      <xdr:nvPicPr>
        <xdr:cNvPr id="3" name="Picture 2">
          <a:extLst>
            <a:ext uri="{FF2B5EF4-FFF2-40B4-BE49-F238E27FC236}">
              <a16:creationId xmlns:a16="http://schemas.microsoft.com/office/drawing/2014/main" id="{CDA1621D-652D-4F76-B609-9D7A2A785066}"/>
            </a:ext>
          </a:extLst>
        </xdr:cNvPr>
        <xdr:cNvPicPr>
          <a:picLocks noChangeAspect="1"/>
        </xdr:cNvPicPr>
      </xdr:nvPicPr>
      <xdr:blipFill>
        <a:blip xmlns:r="http://schemas.openxmlformats.org/officeDocument/2006/relationships" r:embed="rId1"/>
        <a:stretch>
          <a:fillRect/>
        </a:stretch>
      </xdr:blipFill>
      <xdr:spPr>
        <a:xfrm>
          <a:off x="466726" y="415925"/>
          <a:ext cx="1993900" cy="105890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390525</xdr:colOff>
      <xdr:row>1</xdr:row>
      <xdr:rowOff>28575</xdr:rowOff>
    </xdr:from>
    <xdr:ext cx="1571751" cy="800100"/>
    <xdr:pic>
      <xdr:nvPicPr>
        <xdr:cNvPr id="2" name="Picture 1">
          <a:extLst>
            <a:ext uri="{FF2B5EF4-FFF2-40B4-BE49-F238E27FC236}">
              <a16:creationId xmlns:a16="http://schemas.microsoft.com/office/drawing/2014/main" id="{3FC541C5-2045-46D7-92AC-EFCFC5C16592}"/>
            </a:ext>
          </a:extLst>
        </xdr:cNvPr>
        <xdr:cNvPicPr>
          <a:picLocks noChangeAspect="1"/>
        </xdr:cNvPicPr>
      </xdr:nvPicPr>
      <xdr:blipFill>
        <a:blip xmlns:r="http://schemas.openxmlformats.org/officeDocument/2006/relationships" r:embed="rId1"/>
        <a:stretch>
          <a:fillRect/>
        </a:stretch>
      </xdr:blipFill>
      <xdr:spPr>
        <a:xfrm>
          <a:off x="390525" y="323850"/>
          <a:ext cx="1571751" cy="80010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304800</xdr:colOff>
      <xdr:row>1</xdr:row>
      <xdr:rowOff>66675</xdr:rowOff>
    </xdr:from>
    <xdr:ext cx="1540565" cy="784225"/>
    <xdr:pic>
      <xdr:nvPicPr>
        <xdr:cNvPr id="2" name="Picture 1">
          <a:extLst>
            <a:ext uri="{FF2B5EF4-FFF2-40B4-BE49-F238E27FC236}">
              <a16:creationId xmlns:a16="http://schemas.microsoft.com/office/drawing/2014/main" id="{EF65AFA1-9E20-4774-BFCC-800881C46400}"/>
            </a:ext>
          </a:extLst>
        </xdr:cNvPr>
        <xdr:cNvPicPr>
          <a:picLocks noChangeAspect="1"/>
        </xdr:cNvPicPr>
      </xdr:nvPicPr>
      <xdr:blipFill>
        <a:blip xmlns:r="http://schemas.openxmlformats.org/officeDocument/2006/relationships" r:embed="rId1"/>
        <a:stretch>
          <a:fillRect/>
        </a:stretch>
      </xdr:blipFill>
      <xdr:spPr>
        <a:xfrm>
          <a:off x="409575" y="361950"/>
          <a:ext cx="1540565" cy="78422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7</xdr:col>
      <xdr:colOff>95249</xdr:colOff>
      <xdr:row>48</xdr:row>
      <xdr:rowOff>133351</xdr:rowOff>
    </xdr:from>
    <xdr:to>
      <xdr:col>12</xdr:col>
      <xdr:colOff>647700</xdr:colOff>
      <xdr:row>50</xdr:row>
      <xdr:rowOff>57151</xdr:rowOff>
    </xdr:to>
    <xdr:sp macro="" textlink="">
      <xdr:nvSpPr>
        <xdr:cNvPr id="12" name="TextBox 11">
          <a:extLst>
            <a:ext uri="{FF2B5EF4-FFF2-40B4-BE49-F238E27FC236}">
              <a16:creationId xmlns:a16="http://schemas.microsoft.com/office/drawing/2014/main" id="{C70FA23F-396B-4E45-AA7D-55A3898DD74A}"/>
            </a:ext>
          </a:extLst>
        </xdr:cNvPr>
        <xdr:cNvSpPr txBox="1"/>
      </xdr:nvSpPr>
      <xdr:spPr>
        <a:xfrm>
          <a:off x="6810374" y="8667751"/>
          <a:ext cx="4514851"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Total general needs self-contained vacant units</a:t>
          </a:r>
        </a:p>
      </xdr:txBody>
    </xdr:sp>
    <xdr:clientData/>
  </xdr:twoCellAnchor>
  <xdr:twoCellAnchor>
    <xdr:from>
      <xdr:col>7</xdr:col>
      <xdr:colOff>171444</xdr:colOff>
      <xdr:row>6</xdr:row>
      <xdr:rowOff>6351</xdr:rowOff>
    </xdr:from>
    <xdr:to>
      <xdr:col>15</xdr:col>
      <xdr:colOff>0</xdr:colOff>
      <xdr:row>26</xdr:row>
      <xdr:rowOff>789</xdr:rowOff>
    </xdr:to>
    <xdr:graphicFrame macro="">
      <xdr:nvGraphicFramePr>
        <xdr:cNvPr id="22" name="Chart 21">
          <a:extLst>
            <a:ext uri="{FF2B5EF4-FFF2-40B4-BE49-F238E27FC236}">
              <a16:creationId xmlns:a16="http://schemas.microsoft.com/office/drawing/2014/main" id="{AFE14792-713D-45E5-B589-9195E5F1D4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12687</xdr:colOff>
      <xdr:row>159</xdr:row>
      <xdr:rowOff>938</xdr:rowOff>
    </xdr:from>
    <xdr:to>
      <xdr:col>14</xdr:col>
      <xdr:colOff>838200</xdr:colOff>
      <xdr:row>180</xdr:row>
      <xdr:rowOff>1765</xdr:rowOff>
    </xdr:to>
    <xdr:graphicFrame macro="">
      <xdr:nvGraphicFramePr>
        <xdr:cNvPr id="23" name="Chart 22">
          <a:extLst>
            <a:ext uri="{FF2B5EF4-FFF2-40B4-BE49-F238E27FC236}">
              <a16:creationId xmlns:a16="http://schemas.microsoft.com/office/drawing/2014/main" id="{53DD75FF-18B2-4F70-83AE-6749033AA6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12682</xdr:colOff>
      <xdr:row>181</xdr:row>
      <xdr:rowOff>6935</xdr:rowOff>
    </xdr:from>
    <xdr:to>
      <xdr:col>15</xdr:col>
      <xdr:colOff>1</xdr:colOff>
      <xdr:row>202</xdr:row>
      <xdr:rowOff>0</xdr:rowOff>
    </xdr:to>
    <xdr:graphicFrame macro="">
      <xdr:nvGraphicFramePr>
        <xdr:cNvPr id="24" name="Chart 23">
          <a:extLst>
            <a:ext uri="{FF2B5EF4-FFF2-40B4-BE49-F238E27FC236}">
              <a16:creationId xmlns:a16="http://schemas.microsoft.com/office/drawing/2014/main" id="{A011D1F8-CD61-4BE1-94FA-5ED3E6A763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11089</xdr:colOff>
      <xdr:row>203</xdr:row>
      <xdr:rowOff>3048</xdr:rowOff>
    </xdr:from>
    <xdr:to>
      <xdr:col>15</xdr:col>
      <xdr:colOff>0</xdr:colOff>
      <xdr:row>224</xdr:row>
      <xdr:rowOff>0</xdr:rowOff>
    </xdr:to>
    <xdr:graphicFrame macro="">
      <xdr:nvGraphicFramePr>
        <xdr:cNvPr id="25" name="Chart 24">
          <a:extLst>
            <a:ext uri="{FF2B5EF4-FFF2-40B4-BE49-F238E27FC236}">
              <a16:creationId xmlns:a16="http://schemas.microsoft.com/office/drawing/2014/main" id="{68FA4ABD-F4A3-4D83-9D29-C759E422AC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3166</xdr:colOff>
      <xdr:row>225</xdr:row>
      <xdr:rowOff>7102</xdr:rowOff>
    </xdr:from>
    <xdr:to>
      <xdr:col>15</xdr:col>
      <xdr:colOff>0</xdr:colOff>
      <xdr:row>246</xdr:row>
      <xdr:rowOff>0</xdr:rowOff>
    </xdr:to>
    <xdr:graphicFrame macro="">
      <xdr:nvGraphicFramePr>
        <xdr:cNvPr id="26" name="Chart 25">
          <a:extLst>
            <a:ext uri="{FF2B5EF4-FFF2-40B4-BE49-F238E27FC236}">
              <a16:creationId xmlns:a16="http://schemas.microsoft.com/office/drawing/2014/main" id="{F303FD5D-982E-4C86-8120-538FD9F273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1581</xdr:colOff>
      <xdr:row>70</xdr:row>
      <xdr:rowOff>956</xdr:rowOff>
    </xdr:from>
    <xdr:to>
      <xdr:col>15</xdr:col>
      <xdr:colOff>0</xdr:colOff>
      <xdr:row>92</xdr:row>
      <xdr:rowOff>11353</xdr:rowOff>
    </xdr:to>
    <xdr:graphicFrame macro="">
      <xdr:nvGraphicFramePr>
        <xdr:cNvPr id="27" name="Chart 26">
          <a:extLst>
            <a:ext uri="{FF2B5EF4-FFF2-40B4-BE49-F238E27FC236}">
              <a16:creationId xmlns:a16="http://schemas.microsoft.com/office/drawing/2014/main" id="{7FE43D7F-6C58-4BE7-A27B-B4B1B7BB23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7919</xdr:colOff>
      <xdr:row>92</xdr:row>
      <xdr:rowOff>170745</xdr:rowOff>
    </xdr:from>
    <xdr:to>
      <xdr:col>15</xdr:col>
      <xdr:colOff>0</xdr:colOff>
      <xdr:row>114</xdr:row>
      <xdr:rowOff>0</xdr:rowOff>
    </xdr:to>
    <xdr:graphicFrame macro="">
      <xdr:nvGraphicFramePr>
        <xdr:cNvPr id="28" name="Chart 27">
          <a:extLst>
            <a:ext uri="{FF2B5EF4-FFF2-40B4-BE49-F238E27FC236}">
              <a16:creationId xmlns:a16="http://schemas.microsoft.com/office/drawing/2014/main" id="{AD5EB069-28E7-4A0A-8F62-156A89AC7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1</xdr:colOff>
      <xdr:row>115</xdr:row>
      <xdr:rowOff>1147</xdr:rowOff>
    </xdr:from>
    <xdr:to>
      <xdr:col>15</xdr:col>
      <xdr:colOff>0</xdr:colOff>
      <xdr:row>136</xdr:row>
      <xdr:rowOff>1983</xdr:rowOff>
    </xdr:to>
    <xdr:graphicFrame macro="">
      <xdr:nvGraphicFramePr>
        <xdr:cNvPr id="29" name="Chart 28">
          <a:extLst>
            <a:ext uri="{FF2B5EF4-FFF2-40B4-BE49-F238E27FC236}">
              <a16:creationId xmlns:a16="http://schemas.microsoft.com/office/drawing/2014/main" id="{9B85CEE8-20B4-4287-853D-25AD99F120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2</xdr:colOff>
      <xdr:row>137</xdr:row>
      <xdr:rowOff>3001</xdr:rowOff>
    </xdr:from>
    <xdr:to>
      <xdr:col>14</xdr:col>
      <xdr:colOff>838200</xdr:colOff>
      <xdr:row>158</xdr:row>
      <xdr:rowOff>0</xdr:rowOff>
    </xdr:to>
    <xdr:graphicFrame macro="">
      <xdr:nvGraphicFramePr>
        <xdr:cNvPr id="30" name="Chart 29">
          <a:extLst>
            <a:ext uri="{FF2B5EF4-FFF2-40B4-BE49-F238E27FC236}">
              <a16:creationId xmlns:a16="http://schemas.microsoft.com/office/drawing/2014/main" id="{133E5582-E0DE-4A8B-B4A0-1EA4397CB9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171449</xdr:colOff>
      <xdr:row>49</xdr:row>
      <xdr:rowOff>1716</xdr:rowOff>
    </xdr:from>
    <xdr:to>
      <xdr:col>14</xdr:col>
      <xdr:colOff>847724</xdr:colOff>
      <xdr:row>69</xdr:row>
      <xdr:rowOff>2504</xdr:rowOff>
    </xdr:to>
    <xdr:graphicFrame macro="">
      <xdr:nvGraphicFramePr>
        <xdr:cNvPr id="31" name="Chart 30">
          <a:extLst>
            <a:ext uri="{FF2B5EF4-FFF2-40B4-BE49-F238E27FC236}">
              <a16:creationId xmlns:a16="http://schemas.microsoft.com/office/drawing/2014/main" id="{56ED61F9-FB8B-45EE-9BE3-734272025F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107949</xdr:colOff>
      <xdr:row>48</xdr:row>
      <xdr:rowOff>168276</xdr:rowOff>
    </xdr:from>
    <xdr:to>
      <xdr:col>12</xdr:col>
      <xdr:colOff>654050</xdr:colOff>
      <xdr:row>50</xdr:row>
      <xdr:rowOff>38100</xdr:rowOff>
    </xdr:to>
    <xdr:sp macro="" textlink="">
      <xdr:nvSpPr>
        <xdr:cNvPr id="32" name="TextBox 31">
          <a:extLst>
            <a:ext uri="{FF2B5EF4-FFF2-40B4-BE49-F238E27FC236}">
              <a16:creationId xmlns:a16="http://schemas.microsoft.com/office/drawing/2014/main" id="{8D035E02-9079-4790-A955-194C81E98DB2}"/>
            </a:ext>
          </a:extLst>
        </xdr:cNvPr>
        <xdr:cNvSpPr txBox="1"/>
      </xdr:nvSpPr>
      <xdr:spPr>
        <a:xfrm>
          <a:off x="6823074" y="9083676"/>
          <a:ext cx="4527551" cy="250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Total general needs self-contained vacant units</a:t>
          </a:r>
        </a:p>
      </xdr:txBody>
    </xdr:sp>
    <xdr:clientData/>
  </xdr:twoCellAnchor>
  <xdr:twoCellAnchor>
    <xdr:from>
      <xdr:col>7</xdr:col>
      <xdr:colOff>111125</xdr:colOff>
      <xdr:row>69</xdr:row>
      <xdr:rowOff>152400</xdr:rowOff>
    </xdr:from>
    <xdr:to>
      <xdr:col>10</xdr:col>
      <xdr:colOff>257175</xdr:colOff>
      <xdr:row>71</xdr:row>
      <xdr:rowOff>76200</xdr:rowOff>
    </xdr:to>
    <xdr:sp macro="" textlink="">
      <xdr:nvSpPr>
        <xdr:cNvPr id="33" name="TextBox 32">
          <a:extLst>
            <a:ext uri="{FF2B5EF4-FFF2-40B4-BE49-F238E27FC236}">
              <a16:creationId xmlns:a16="http://schemas.microsoft.com/office/drawing/2014/main" id="{50442A5A-65C9-4ABC-92B5-082B437AB4C2}"/>
            </a:ext>
          </a:extLst>
        </xdr:cNvPr>
        <xdr:cNvSpPr txBox="1"/>
      </xdr:nvSpPr>
      <xdr:spPr>
        <a:xfrm>
          <a:off x="6826250" y="12830175"/>
          <a:ext cx="24320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General needs (social rent)</a:t>
          </a:r>
        </a:p>
      </xdr:txBody>
    </xdr:sp>
    <xdr:clientData/>
  </xdr:twoCellAnchor>
  <xdr:twoCellAnchor>
    <xdr:from>
      <xdr:col>7</xdr:col>
      <xdr:colOff>126999</xdr:colOff>
      <xdr:row>92</xdr:row>
      <xdr:rowOff>152400</xdr:rowOff>
    </xdr:from>
    <xdr:to>
      <xdr:col>13</xdr:col>
      <xdr:colOff>104774</xdr:colOff>
      <xdr:row>94</xdr:row>
      <xdr:rowOff>73025</xdr:rowOff>
    </xdr:to>
    <xdr:sp macro="" textlink="">
      <xdr:nvSpPr>
        <xdr:cNvPr id="34" name="TextBox 33">
          <a:extLst>
            <a:ext uri="{FF2B5EF4-FFF2-40B4-BE49-F238E27FC236}">
              <a16:creationId xmlns:a16="http://schemas.microsoft.com/office/drawing/2014/main" id="{088B8C85-0AB5-450C-BF4B-78159DCF1753}"/>
            </a:ext>
          </a:extLst>
        </xdr:cNvPr>
        <xdr:cNvSpPr txBox="1"/>
      </xdr:nvSpPr>
      <xdr:spPr>
        <a:xfrm>
          <a:off x="6842124" y="16954500"/>
          <a:ext cx="4806950" cy="301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Supported housing/housing for older people (social rent)</a:t>
          </a:r>
        </a:p>
      </xdr:txBody>
    </xdr:sp>
    <xdr:clientData/>
  </xdr:twoCellAnchor>
  <xdr:twoCellAnchor>
    <xdr:from>
      <xdr:col>7</xdr:col>
      <xdr:colOff>123825</xdr:colOff>
      <xdr:row>114</xdr:row>
      <xdr:rowOff>152400</xdr:rowOff>
    </xdr:from>
    <xdr:to>
      <xdr:col>12</xdr:col>
      <xdr:colOff>234951</xdr:colOff>
      <xdr:row>116</xdr:row>
      <xdr:rowOff>73025</xdr:rowOff>
    </xdr:to>
    <xdr:sp macro="" textlink="">
      <xdr:nvSpPr>
        <xdr:cNvPr id="35" name="TextBox 34">
          <a:extLst>
            <a:ext uri="{FF2B5EF4-FFF2-40B4-BE49-F238E27FC236}">
              <a16:creationId xmlns:a16="http://schemas.microsoft.com/office/drawing/2014/main" id="{EE3936E9-EE04-46BD-BF4F-84F1BA9D8A78}"/>
            </a:ext>
          </a:extLst>
        </xdr:cNvPr>
        <xdr:cNvSpPr txBox="1"/>
      </xdr:nvSpPr>
      <xdr:spPr>
        <a:xfrm>
          <a:off x="6838950" y="20935950"/>
          <a:ext cx="4092576"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Affordable Rent general needs</a:t>
          </a:r>
        </a:p>
      </xdr:txBody>
    </xdr:sp>
    <xdr:clientData/>
  </xdr:twoCellAnchor>
  <xdr:twoCellAnchor>
    <xdr:from>
      <xdr:col>7</xdr:col>
      <xdr:colOff>114300</xdr:colOff>
      <xdr:row>137</xdr:row>
      <xdr:rowOff>6350</xdr:rowOff>
    </xdr:from>
    <xdr:to>
      <xdr:col>13</xdr:col>
      <xdr:colOff>390525</xdr:colOff>
      <xdr:row>138</xdr:row>
      <xdr:rowOff>114300</xdr:rowOff>
    </xdr:to>
    <xdr:sp macro="" textlink="">
      <xdr:nvSpPr>
        <xdr:cNvPr id="36" name="TextBox 35">
          <a:extLst>
            <a:ext uri="{FF2B5EF4-FFF2-40B4-BE49-F238E27FC236}">
              <a16:creationId xmlns:a16="http://schemas.microsoft.com/office/drawing/2014/main" id="{F7DCBCFC-B893-46D7-BCD3-9521EE46CB6B}"/>
            </a:ext>
          </a:extLst>
        </xdr:cNvPr>
        <xdr:cNvSpPr txBox="1"/>
      </xdr:nvSpPr>
      <xdr:spPr>
        <a:xfrm>
          <a:off x="6829425" y="24933275"/>
          <a:ext cx="5105400" cy="307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Affordable Rent supported housing/housing for older people</a:t>
          </a:r>
        </a:p>
      </xdr:txBody>
    </xdr:sp>
    <xdr:clientData/>
  </xdr:twoCellAnchor>
  <xdr:twoCellAnchor>
    <xdr:from>
      <xdr:col>8</xdr:col>
      <xdr:colOff>6350</xdr:colOff>
      <xdr:row>158</xdr:row>
      <xdr:rowOff>152400</xdr:rowOff>
    </xdr:from>
    <xdr:to>
      <xdr:col>10</xdr:col>
      <xdr:colOff>409575</xdr:colOff>
      <xdr:row>160</xdr:row>
      <xdr:rowOff>76200</xdr:rowOff>
    </xdr:to>
    <xdr:sp macro="" textlink="">
      <xdr:nvSpPr>
        <xdr:cNvPr id="37" name="TextBox 36">
          <a:extLst>
            <a:ext uri="{FF2B5EF4-FFF2-40B4-BE49-F238E27FC236}">
              <a16:creationId xmlns:a16="http://schemas.microsoft.com/office/drawing/2014/main" id="{75BF7220-1A7D-4A61-A23B-336004D6C77A}"/>
            </a:ext>
          </a:extLst>
        </xdr:cNvPr>
        <xdr:cNvSpPr txBox="1"/>
      </xdr:nvSpPr>
      <xdr:spPr>
        <a:xfrm>
          <a:off x="6892925" y="28841700"/>
          <a:ext cx="251777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General needs (social</a:t>
          </a:r>
          <a:r>
            <a:rPr lang="en-GB" sz="1200" b="1" baseline="0">
              <a:solidFill>
                <a:srgbClr val="59468D"/>
              </a:solidFill>
              <a:latin typeface="Arial" panose="020B0604020202020204" pitchFamily="34" charset="0"/>
              <a:cs typeface="Arial" panose="020B0604020202020204" pitchFamily="34" charset="0"/>
            </a:rPr>
            <a:t> rent)</a:t>
          </a:r>
          <a:endParaRPr lang="en-GB" sz="1200" b="1">
            <a:solidFill>
              <a:srgbClr val="59468D"/>
            </a:solidFill>
            <a:latin typeface="Arial" panose="020B0604020202020204" pitchFamily="34" charset="0"/>
            <a:cs typeface="Arial" panose="020B0604020202020204" pitchFamily="34" charset="0"/>
          </a:endParaRPr>
        </a:p>
      </xdr:txBody>
    </xdr:sp>
    <xdr:clientData/>
  </xdr:twoCellAnchor>
  <xdr:twoCellAnchor>
    <xdr:from>
      <xdr:col>7</xdr:col>
      <xdr:colOff>133349</xdr:colOff>
      <xdr:row>181</xdr:row>
      <xdr:rowOff>0</xdr:rowOff>
    </xdr:from>
    <xdr:to>
      <xdr:col>12</xdr:col>
      <xdr:colOff>812799</xdr:colOff>
      <xdr:row>182</xdr:row>
      <xdr:rowOff>104775</xdr:rowOff>
    </xdr:to>
    <xdr:sp macro="" textlink="">
      <xdr:nvSpPr>
        <xdr:cNvPr id="38" name="TextBox 37">
          <a:extLst>
            <a:ext uri="{FF2B5EF4-FFF2-40B4-BE49-F238E27FC236}">
              <a16:creationId xmlns:a16="http://schemas.microsoft.com/office/drawing/2014/main" id="{2EA2D9D8-A5A8-4AAF-9B0E-5FA7CB808F99}"/>
            </a:ext>
          </a:extLst>
        </xdr:cNvPr>
        <xdr:cNvSpPr txBox="1"/>
      </xdr:nvSpPr>
      <xdr:spPr>
        <a:xfrm>
          <a:off x="6848474" y="32813625"/>
          <a:ext cx="46609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Supported housing/housing for older people (social rent)</a:t>
          </a:r>
        </a:p>
      </xdr:txBody>
    </xdr:sp>
    <xdr:clientData/>
  </xdr:twoCellAnchor>
  <xdr:twoCellAnchor>
    <xdr:from>
      <xdr:col>7</xdr:col>
      <xdr:colOff>139700</xdr:colOff>
      <xdr:row>203</xdr:row>
      <xdr:rowOff>15875</xdr:rowOff>
    </xdr:from>
    <xdr:to>
      <xdr:col>12</xdr:col>
      <xdr:colOff>257176</xdr:colOff>
      <xdr:row>204</xdr:row>
      <xdr:rowOff>120650</xdr:rowOff>
    </xdr:to>
    <xdr:sp macro="" textlink="">
      <xdr:nvSpPr>
        <xdr:cNvPr id="39" name="TextBox 38">
          <a:extLst>
            <a:ext uri="{FF2B5EF4-FFF2-40B4-BE49-F238E27FC236}">
              <a16:creationId xmlns:a16="http://schemas.microsoft.com/office/drawing/2014/main" id="{40E29F35-5DC5-495B-A0E7-D0F90DED4F08}"/>
            </a:ext>
          </a:extLst>
        </xdr:cNvPr>
        <xdr:cNvSpPr txBox="1"/>
      </xdr:nvSpPr>
      <xdr:spPr>
        <a:xfrm>
          <a:off x="6854825" y="36830000"/>
          <a:ext cx="4098926"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Affordable Rent general needs</a:t>
          </a:r>
        </a:p>
      </xdr:txBody>
    </xdr:sp>
    <xdr:clientData/>
  </xdr:twoCellAnchor>
  <xdr:twoCellAnchor>
    <xdr:from>
      <xdr:col>7</xdr:col>
      <xdr:colOff>139700</xdr:colOff>
      <xdr:row>225</xdr:row>
      <xdr:rowOff>15875</xdr:rowOff>
    </xdr:from>
    <xdr:to>
      <xdr:col>13</xdr:col>
      <xdr:colOff>419100</xdr:colOff>
      <xdr:row>226</xdr:row>
      <xdr:rowOff>120650</xdr:rowOff>
    </xdr:to>
    <xdr:sp macro="" textlink="">
      <xdr:nvSpPr>
        <xdr:cNvPr id="40" name="TextBox 39">
          <a:extLst>
            <a:ext uri="{FF2B5EF4-FFF2-40B4-BE49-F238E27FC236}">
              <a16:creationId xmlns:a16="http://schemas.microsoft.com/office/drawing/2014/main" id="{D8E7B3E8-66A7-462C-83C3-97271AD0C7D4}"/>
            </a:ext>
          </a:extLst>
        </xdr:cNvPr>
        <xdr:cNvSpPr txBox="1"/>
      </xdr:nvSpPr>
      <xdr:spPr>
        <a:xfrm>
          <a:off x="6854825" y="40811450"/>
          <a:ext cx="510857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Affordable Rent supported housing/housing for older people</a:t>
          </a:r>
        </a:p>
      </xdr:txBody>
    </xdr:sp>
    <xdr:clientData/>
  </xdr:twoCellAnchor>
  <xdr:twoCellAnchor editAs="oneCell">
    <xdr:from>
      <xdr:col>0</xdr:col>
      <xdr:colOff>352424</xdr:colOff>
      <xdr:row>0</xdr:row>
      <xdr:rowOff>311150</xdr:rowOff>
    </xdr:from>
    <xdr:to>
      <xdr:col>1</xdr:col>
      <xdr:colOff>1256220</xdr:colOff>
      <xdr:row>4</xdr:row>
      <xdr:rowOff>63500</xdr:rowOff>
    </xdr:to>
    <xdr:pic>
      <xdr:nvPicPr>
        <xdr:cNvPr id="41" name="Picture 40">
          <a:extLst>
            <a:ext uri="{FF2B5EF4-FFF2-40B4-BE49-F238E27FC236}">
              <a16:creationId xmlns:a16="http://schemas.microsoft.com/office/drawing/2014/main" id="{53EE9E9F-E41B-4536-AD6E-101D728B969B}"/>
            </a:ext>
          </a:extLst>
        </xdr:cNvPr>
        <xdr:cNvPicPr>
          <a:picLocks noChangeAspect="1"/>
        </xdr:cNvPicPr>
      </xdr:nvPicPr>
      <xdr:blipFill>
        <a:blip xmlns:r="http://schemas.openxmlformats.org/officeDocument/2006/relationships" r:embed="rId11"/>
        <a:stretch>
          <a:fillRect/>
        </a:stretch>
      </xdr:blipFill>
      <xdr:spPr>
        <a:xfrm>
          <a:off x="352424" y="311150"/>
          <a:ext cx="1294321" cy="698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370416</xdr:colOff>
      <xdr:row>1</xdr:row>
      <xdr:rowOff>136524</xdr:rowOff>
    </xdr:from>
    <xdr:to>
      <xdr:col>1</xdr:col>
      <xdr:colOff>1154171</xdr:colOff>
      <xdr:row>4</xdr:row>
      <xdr:rowOff>9525</xdr:rowOff>
    </xdr:to>
    <xdr:pic>
      <xdr:nvPicPr>
        <xdr:cNvPr id="2" name="Picture 1">
          <a:extLst>
            <a:ext uri="{FF2B5EF4-FFF2-40B4-BE49-F238E27FC236}">
              <a16:creationId xmlns:a16="http://schemas.microsoft.com/office/drawing/2014/main" id="{334B0439-67F2-424A-9F11-9652AD356FDA}"/>
            </a:ext>
          </a:extLst>
        </xdr:cNvPr>
        <xdr:cNvPicPr>
          <a:picLocks noChangeAspect="1"/>
        </xdr:cNvPicPr>
      </xdr:nvPicPr>
      <xdr:blipFill>
        <a:blip xmlns:r="http://schemas.openxmlformats.org/officeDocument/2006/relationships" r:embed="rId1"/>
        <a:stretch>
          <a:fillRect/>
        </a:stretch>
      </xdr:blipFill>
      <xdr:spPr>
        <a:xfrm>
          <a:off x="370416" y="317499"/>
          <a:ext cx="1171105" cy="6604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133349</xdr:colOff>
      <xdr:row>13</xdr:row>
      <xdr:rowOff>82550</xdr:rowOff>
    </xdr:from>
    <xdr:to>
      <xdr:col>7</xdr:col>
      <xdr:colOff>504824</xdr:colOff>
      <xdr:row>24</xdr:row>
      <xdr:rowOff>135281</xdr:rowOff>
    </xdr:to>
    <xdr:pic>
      <xdr:nvPicPr>
        <xdr:cNvPr id="5" name="Picture 4">
          <a:extLst>
            <a:ext uri="{FF2B5EF4-FFF2-40B4-BE49-F238E27FC236}">
              <a16:creationId xmlns:a16="http://schemas.microsoft.com/office/drawing/2014/main" id="{D1473FEF-9A23-4156-A229-E7BDF04E1B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49" y="1758950"/>
          <a:ext cx="4152900" cy="2040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6350</xdr:colOff>
      <xdr:row>28</xdr:row>
      <xdr:rowOff>76200</xdr:rowOff>
    </xdr:from>
    <xdr:to>
      <xdr:col>7</xdr:col>
      <xdr:colOff>295275</xdr:colOff>
      <xdr:row>33</xdr:row>
      <xdr:rowOff>123040</xdr:rowOff>
    </xdr:to>
    <xdr:pic>
      <xdr:nvPicPr>
        <xdr:cNvPr id="6" name="Picture 5">
          <a:extLst>
            <a:ext uri="{FF2B5EF4-FFF2-40B4-BE49-F238E27FC236}">
              <a16:creationId xmlns:a16="http://schemas.microsoft.com/office/drawing/2014/main" id="{F5389AED-B877-40FA-83C7-CBC6C0AE86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750" y="4489450"/>
          <a:ext cx="3943350" cy="951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35</xdr:row>
      <xdr:rowOff>107949</xdr:rowOff>
    </xdr:from>
    <xdr:to>
      <xdr:col>7</xdr:col>
      <xdr:colOff>330200</xdr:colOff>
      <xdr:row>46</xdr:row>
      <xdr:rowOff>69374</xdr:rowOff>
    </xdr:to>
    <xdr:pic>
      <xdr:nvPicPr>
        <xdr:cNvPr id="7" name="Picture 6">
          <a:extLst>
            <a:ext uri="{FF2B5EF4-FFF2-40B4-BE49-F238E27FC236}">
              <a16:creationId xmlns:a16="http://schemas.microsoft.com/office/drawing/2014/main" id="{D906903D-ACFF-4D48-B252-E03DABFE0D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5949949"/>
          <a:ext cx="4064000" cy="1948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4</xdr:row>
      <xdr:rowOff>114300</xdr:rowOff>
    </xdr:from>
    <xdr:to>
      <xdr:col>7</xdr:col>
      <xdr:colOff>353349</xdr:colOff>
      <xdr:row>9</xdr:row>
      <xdr:rowOff>101600</xdr:rowOff>
    </xdr:to>
    <xdr:pic>
      <xdr:nvPicPr>
        <xdr:cNvPr id="11" name="Picture 10">
          <a:extLst>
            <a:ext uri="{FF2B5EF4-FFF2-40B4-BE49-F238E27FC236}">
              <a16:creationId xmlns:a16="http://schemas.microsoft.com/office/drawing/2014/main" id="{3BD7F19C-3B90-4F4F-A799-17BB2F669B3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3825" y="1009650"/>
          <a:ext cx="4210974" cy="892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48</xdr:row>
      <xdr:rowOff>57150</xdr:rowOff>
    </xdr:from>
    <xdr:to>
      <xdr:col>7</xdr:col>
      <xdr:colOff>296199</xdr:colOff>
      <xdr:row>53</xdr:row>
      <xdr:rowOff>47625</xdr:rowOff>
    </xdr:to>
    <xdr:pic>
      <xdr:nvPicPr>
        <xdr:cNvPr id="13" name="Picture 12">
          <a:extLst>
            <a:ext uri="{FF2B5EF4-FFF2-40B4-BE49-F238E27FC236}">
              <a16:creationId xmlns:a16="http://schemas.microsoft.com/office/drawing/2014/main" id="{E7DE2FCF-FCD8-4D8A-A71B-5E99CA8057B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8972550"/>
          <a:ext cx="421097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enquiries@rsh.gov.uk?subject=Geographic%20Lookup%20tool%20meets%20no%20needs" TargetMode="External"/><Relationship Id="rId2" Type="http://schemas.openxmlformats.org/officeDocument/2006/relationships/hyperlink" Target="mailto:enquiries@rsh.gov.uk?subject=Geographic%20Lookup%20tool%20meets%20some%20needs" TargetMode="External"/><Relationship Id="rId1" Type="http://schemas.openxmlformats.org/officeDocument/2006/relationships/hyperlink" Target="mailto:enquiries@rsh.gov.uk?subject=Geographic%20Lookup%20tool%20meets%20all%20need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enquiries@rsh.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london.gov.uk/what-we-do/housing-and-land/homes-londoners-affordable-homes-programmes/homes-londoners-affordable-homes-programme-2016-2023" TargetMode="External"/><Relationship Id="rId1" Type="http://schemas.openxmlformats.org/officeDocument/2006/relationships/hyperlink" Target="https://www.gov.uk/government/publications/a-decent-home-definition-and-guidance"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enquiries@rsh.gov.uk"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6BA1E-1D55-484B-9BC8-EC7C1A08FCFD}">
  <sheetPr codeName="Sheet1">
    <tabColor rgb="FF59468D"/>
  </sheetPr>
  <dimension ref="B1:V66"/>
  <sheetViews>
    <sheetView tabSelected="1" workbookViewId="0">
      <selection activeCell="B11" sqref="B11:K19"/>
    </sheetView>
  </sheetViews>
  <sheetFormatPr defaultColWidth="9.1796875" defaultRowHeight="14.5" x14ac:dyDescent="0.35"/>
  <cols>
    <col min="1" max="1" width="5" style="222" customWidth="1"/>
    <col min="2" max="2" width="8.453125" style="222" customWidth="1"/>
    <col min="3" max="3" width="8.81640625" style="222" customWidth="1"/>
    <col min="4" max="4" width="3.453125" style="222" customWidth="1"/>
    <col min="5" max="5" width="103.54296875" style="222" customWidth="1"/>
    <col min="6" max="15" width="8.81640625" style="222" customWidth="1"/>
    <col min="16" max="16384" width="9.1796875" style="222"/>
  </cols>
  <sheetData>
    <row r="1" spans="2:22" ht="18" x14ac:dyDescent="0.4">
      <c r="B1" s="375"/>
      <c r="F1" s="565"/>
    </row>
    <row r="2" spans="2:22" ht="18" x14ac:dyDescent="0.4">
      <c r="B2" s="375"/>
      <c r="F2" s="565"/>
    </row>
    <row r="3" spans="2:22" ht="18" x14ac:dyDescent="0.4">
      <c r="B3" s="375"/>
    </row>
    <row r="4" spans="2:22" ht="18" x14ac:dyDescent="0.4">
      <c r="B4" s="375"/>
      <c r="L4" s="376"/>
      <c r="N4" s="377"/>
    </row>
    <row r="5" spans="2:22" ht="37" x14ac:dyDescent="0.4">
      <c r="B5" s="375"/>
      <c r="F5" s="378" t="s">
        <v>11274</v>
      </c>
      <c r="G5" s="379"/>
      <c r="H5" s="380" t="s">
        <v>11275</v>
      </c>
      <c r="I5" s="381"/>
      <c r="J5" s="382" t="s">
        <v>11276</v>
      </c>
      <c r="K5" s="383"/>
      <c r="L5" s="376"/>
    </row>
    <row r="6" spans="2:22" ht="15" customHeight="1" x14ac:dyDescent="0.4">
      <c r="B6" s="375"/>
      <c r="F6" s="384" t="s">
        <v>11277</v>
      </c>
      <c r="G6" s="384"/>
      <c r="H6" s="385" t="s">
        <v>11278</v>
      </c>
      <c r="I6" s="376"/>
      <c r="J6" s="386" t="s">
        <v>11279</v>
      </c>
      <c r="K6" s="383"/>
      <c r="L6" s="387"/>
    </row>
    <row r="7" spans="2:22" ht="15.75" customHeight="1" x14ac:dyDescent="0.4">
      <c r="B7" s="375"/>
      <c r="E7" s="387"/>
      <c r="F7" s="388"/>
      <c r="G7" s="389"/>
      <c r="H7" s="376"/>
      <c r="I7" s="385"/>
      <c r="J7" s="376"/>
      <c r="K7" s="390"/>
      <c r="L7" s="387"/>
    </row>
    <row r="8" spans="2:22" ht="15.75" customHeight="1" x14ac:dyDescent="0.4">
      <c r="B8" s="375"/>
    </row>
    <row r="9" spans="2:22" ht="50.5" customHeight="1" x14ac:dyDescent="0.7">
      <c r="B9" s="569" t="s">
        <v>14108</v>
      </c>
      <c r="C9" s="569"/>
      <c r="D9" s="569"/>
      <c r="E9" s="569"/>
    </row>
    <row r="10" spans="2:22" ht="15" customHeight="1" x14ac:dyDescent="0.35">
      <c r="C10" s="391"/>
      <c r="D10" s="391"/>
      <c r="E10" s="391"/>
      <c r="F10" s="391"/>
      <c r="G10" s="391"/>
      <c r="H10" s="391"/>
      <c r="I10" s="391"/>
      <c r="J10" s="391"/>
      <c r="K10" s="391"/>
      <c r="L10" s="391"/>
      <c r="M10" s="391"/>
    </row>
    <row r="11" spans="2:22" ht="15" customHeight="1" x14ac:dyDescent="0.35">
      <c r="B11" s="566" t="s">
        <v>11280</v>
      </c>
      <c r="C11" s="567"/>
      <c r="D11" s="567"/>
      <c r="E11" s="567"/>
      <c r="F11" s="567"/>
      <c r="G11" s="567"/>
      <c r="H11" s="567"/>
      <c r="I11" s="567"/>
      <c r="J11" s="567"/>
      <c r="K11" s="567"/>
      <c r="V11" s="392"/>
    </row>
    <row r="12" spans="2:22" ht="15" customHeight="1" x14ac:dyDescent="0.35">
      <c r="B12" s="567"/>
      <c r="C12" s="567"/>
      <c r="D12" s="567"/>
      <c r="E12" s="567"/>
      <c r="F12" s="567"/>
      <c r="G12" s="567"/>
      <c r="H12" s="567"/>
      <c r="I12" s="567"/>
      <c r="J12" s="567"/>
      <c r="K12" s="567"/>
      <c r="V12" s="392"/>
    </row>
    <row r="13" spans="2:22" ht="15" customHeight="1" x14ac:dyDescent="0.35">
      <c r="B13" s="567"/>
      <c r="C13" s="567"/>
      <c r="D13" s="567"/>
      <c r="E13" s="567"/>
      <c r="F13" s="567"/>
      <c r="G13" s="567"/>
      <c r="H13" s="567"/>
      <c r="I13" s="567"/>
      <c r="J13" s="567"/>
      <c r="K13" s="567"/>
      <c r="V13" s="392"/>
    </row>
    <row r="14" spans="2:22" ht="15" customHeight="1" x14ac:dyDescent="0.35">
      <c r="B14" s="567"/>
      <c r="C14" s="567"/>
      <c r="D14" s="567"/>
      <c r="E14" s="567"/>
      <c r="F14" s="567"/>
      <c r="G14" s="567"/>
      <c r="H14" s="567"/>
      <c r="I14" s="567"/>
      <c r="J14" s="567"/>
      <c r="K14" s="567"/>
      <c r="V14" s="392"/>
    </row>
    <row r="15" spans="2:22" ht="15" customHeight="1" x14ac:dyDescent="0.35">
      <c r="B15" s="567"/>
      <c r="C15" s="567"/>
      <c r="D15" s="567"/>
      <c r="E15" s="567"/>
      <c r="F15" s="567"/>
      <c r="G15" s="567"/>
      <c r="H15" s="567"/>
      <c r="I15" s="567"/>
      <c r="J15" s="567"/>
      <c r="K15" s="567"/>
      <c r="V15" s="392"/>
    </row>
    <row r="16" spans="2:22" ht="15" customHeight="1" x14ac:dyDescent="0.35">
      <c r="B16" s="567"/>
      <c r="C16" s="567"/>
      <c r="D16" s="567"/>
      <c r="E16" s="567"/>
      <c r="F16" s="567"/>
      <c r="G16" s="567"/>
      <c r="H16" s="567"/>
      <c r="I16" s="567"/>
      <c r="J16" s="567"/>
      <c r="K16" s="567"/>
      <c r="V16" s="392"/>
    </row>
    <row r="17" spans="2:22" ht="15" customHeight="1" x14ac:dyDescent="0.35">
      <c r="B17" s="567"/>
      <c r="C17" s="567"/>
      <c r="D17" s="567"/>
      <c r="E17" s="567"/>
      <c r="F17" s="567"/>
      <c r="G17" s="567"/>
      <c r="H17" s="567"/>
      <c r="I17" s="567"/>
      <c r="J17" s="567"/>
      <c r="K17" s="567"/>
      <c r="V17" s="392"/>
    </row>
    <row r="18" spans="2:22" ht="15" customHeight="1" x14ac:dyDescent="0.35">
      <c r="B18" s="567"/>
      <c r="C18" s="567"/>
      <c r="D18" s="567"/>
      <c r="E18" s="567"/>
      <c r="F18" s="567"/>
      <c r="G18" s="567"/>
      <c r="H18" s="567"/>
      <c r="I18" s="567"/>
      <c r="J18" s="567"/>
      <c r="K18" s="567"/>
      <c r="V18" s="392"/>
    </row>
    <row r="19" spans="2:22" ht="15" customHeight="1" x14ac:dyDescent="0.35">
      <c r="B19" s="567"/>
      <c r="C19" s="567"/>
      <c r="D19" s="567"/>
      <c r="E19" s="567"/>
      <c r="F19" s="567"/>
      <c r="G19" s="567"/>
      <c r="H19" s="567"/>
      <c r="I19" s="567"/>
      <c r="J19" s="567"/>
      <c r="K19" s="567"/>
      <c r="V19" s="392"/>
    </row>
    <row r="20" spans="2:22" ht="15" customHeight="1" x14ac:dyDescent="0.35">
      <c r="B20" s="392"/>
      <c r="C20" s="392"/>
      <c r="D20" s="392"/>
      <c r="E20" s="392"/>
      <c r="F20" s="392"/>
      <c r="G20" s="392"/>
      <c r="H20" s="392"/>
      <c r="I20" s="392"/>
      <c r="J20" s="392"/>
      <c r="K20" s="392"/>
      <c r="V20" s="392"/>
    </row>
    <row r="21" spans="2:22" ht="23" x14ac:dyDescent="0.5">
      <c r="B21" s="568" t="s">
        <v>11281</v>
      </c>
      <c r="C21" s="568"/>
      <c r="D21" s="568"/>
      <c r="E21" s="568"/>
      <c r="F21" s="568"/>
      <c r="G21" s="568"/>
      <c r="H21" s="568"/>
      <c r="I21" s="568"/>
      <c r="J21" s="568"/>
      <c r="K21" s="568"/>
      <c r="L21" s="393"/>
      <c r="M21" s="393"/>
    </row>
    <row r="22" spans="2:22" ht="15" customHeight="1" x14ac:dyDescent="0.35">
      <c r="B22" s="394"/>
      <c r="C22" s="394"/>
      <c r="D22" s="394"/>
      <c r="E22" s="394"/>
      <c r="F22" s="395"/>
      <c r="G22" s="395"/>
      <c r="H22" s="395"/>
      <c r="I22" s="395"/>
      <c r="J22" s="395"/>
      <c r="K22" s="393"/>
      <c r="L22" s="393"/>
      <c r="M22" s="393"/>
    </row>
    <row r="23" spans="2:22" ht="15" customHeight="1" x14ac:dyDescent="0.35">
      <c r="B23" s="396" t="s">
        <v>11282</v>
      </c>
      <c r="C23" s="397"/>
      <c r="D23" s="397"/>
      <c r="E23" s="397" t="s">
        <v>11283</v>
      </c>
      <c r="F23" s="391"/>
      <c r="G23" s="391"/>
      <c r="H23" s="391"/>
      <c r="I23" s="391"/>
      <c r="J23" s="391"/>
      <c r="K23" s="391"/>
    </row>
    <row r="24" spans="2:22" ht="15" customHeight="1" x14ac:dyDescent="0.35">
      <c r="B24" s="395"/>
      <c r="C24" s="395"/>
      <c r="D24" s="395"/>
      <c r="E24" s="395"/>
      <c r="F24" s="395"/>
      <c r="G24" s="395"/>
      <c r="H24" s="395"/>
      <c r="I24" s="395"/>
      <c r="J24" s="395"/>
      <c r="K24" s="393"/>
    </row>
    <row r="25" spans="2:22" ht="15" customHeight="1" x14ac:dyDescent="0.35">
      <c r="B25" s="492" t="s">
        <v>11284</v>
      </c>
      <c r="C25" s="395"/>
      <c r="D25" s="395"/>
      <c r="E25" s="398"/>
      <c r="F25" s="395"/>
      <c r="G25" s="395"/>
      <c r="H25" s="395"/>
      <c r="I25" s="395"/>
      <c r="J25" s="395"/>
      <c r="K25" s="393"/>
    </row>
    <row r="26" spans="2:22" ht="15" customHeight="1" x14ac:dyDescent="0.35">
      <c r="B26" s="395"/>
      <c r="C26" s="395"/>
      <c r="D26" s="395"/>
      <c r="E26" s="395"/>
      <c r="F26" s="395"/>
      <c r="G26" s="395"/>
      <c r="H26" s="395"/>
      <c r="I26" s="395"/>
      <c r="J26" s="395"/>
      <c r="K26" s="393"/>
    </row>
    <row r="27" spans="2:22" ht="15" customHeight="1" x14ac:dyDescent="0.35">
      <c r="B27" s="564" t="s">
        <v>11285</v>
      </c>
      <c r="C27" s="564"/>
      <c r="D27" s="395"/>
      <c r="E27" s="395"/>
      <c r="F27" s="395"/>
      <c r="G27" s="395"/>
      <c r="H27" s="395"/>
      <c r="I27" s="395"/>
      <c r="J27" s="395"/>
      <c r="K27" s="393"/>
    </row>
    <row r="28" spans="2:22" ht="15" customHeight="1" x14ac:dyDescent="0.35">
      <c r="B28" s="395"/>
      <c r="C28" s="395"/>
      <c r="D28" s="395"/>
      <c r="E28" s="395"/>
      <c r="F28" s="395"/>
      <c r="G28" s="395"/>
      <c r="H28" s="395"/>
      <c r="I28" s="399"/>
      <c r="J28" s="395"/>
      <c r="K28" s="393"/>
    </row>
    <row r="29" spans="2:22" ht="15" customHeight="1" x14ac:dyDescent="0.35">
      <c r="B29" s="400">
        <v>1</v>
      </c>
      <c r="C29" s="395"/>
      <c r="D29" s="395"/>
      <c r="E29" s="401" t="s">
        <v>11286</v>
      </c>
      <c r="F29" s="395"/>
      <c r="G29" s="395"/>
      <c r="H29" s="395"/>
      <c r="I29" s="399"/>
      <c r="J29" s="395"/>
      <c r="K29" s="393"/>
      <c r="L29" s="392"/>
      <c r="M29" s="392"/>
    </row>
    <row r="30" spans="2:22" ht="15" customHeight="1" x14ac:dyDescent="0.35">
      <c r="B30" s="400"/>
      <c r="C30" s="391"/>
      <c r="D30" s="391"/>
      <c r="E30" s="391"/>
      <c r="F30" s="391"/>
      <c r="G30" s="391"/>
      <c r="H30" s="391"/>
      <c r="I30" s="402"/>
      <c r="J30" s="391"/>
      <c r="K30" s="403"/>
      <c r="L30" s="392"/>
      <c r="M30" s="392"/>
    </row>
    <row r="31" spans="2:22" ht="15" customHeight="1" x14ac:dyDescent="0.35">
      <c r="B31" s="400">
        <v>2</v>
      </c>
      <c r="C31" s="395"/>
      <c r="D31" s="395"/>
      <c r="E31" s="481" t="s">
        <v>11287</v>
      </c>
      <c r="F31" s="395"/>
      <c r="G31" s="395"/>
      <c r="H31" s="395"/>
      <c r="I31" s="399"/>
      <c r="J31" s="395"/>
      <c r="K31" s="393"/>
      <c r="L31" s="393"/>
      <c r="M31" s="393"/>
    </row>
    <row r="32" spans="2:22" ht="15" customHeight="1" x14ac:dyDescent="0.35">
      <c r="B32" s="400"/>
      <c r="C32" s="395"/>
      <c r="D32" s="395"/>
      <c r="E32" s="395"/>
      <c r="F32" s="395"/>
      <c r="G32" s="395"/>
      <c r="H32" s="395"/>
      <c r="I32" s="399"/>
      <c r="J32" s="395"/>
      <c r="K32" s="393"/>
      <c r="L32" s="393"/>
      <c r="M32" s="393"/>
    </row>
    <row r="33" spans="2:13" ht="15" customHeight="1" x14ac:dyDescent="0.35">
      <c r="B33" s="400">
        <v>3</v>
      </c>
      <c r="C33" s="395"/>
      <c r="D33" s="395"/>
      <c r="E33" s="481" t="s">
        <v>13935</v>
      </c>
      <c r="F33" s="395"/>
      <c r="G33" s="395"/>
      <c r="H33" s="395"/>
      <c r="I33" s="399"/>
      <c r="J33" s="395"/>
      <c r="K33" s="393"/>
      <c r="L33" s="393"/>
      <c r="M33" s="393"/>
    </row>
    <row r="34" spans="2:13" ht="15" customHeight="1" x14ac:dyDescent="0.35">
      <c r="B34" s="400"/>
      <c r="C34" s="395"/>
      <c r="D34" s="395"/>
      <c r="E34" s="395"/>
      <c r="F34" s="395"/>
      <c r="G34" s="395"/>
      <c r="H34" s="395"/>
      <c r="I34" s="399"/>
      <c r="J34" s="395"/>
      <c r="K34" s="393"/>
      <c r="L34" s="393"/>
      <c r="M34" s="393"/>
    </row>
    <row r="35" spans="2:13" ht="15" customHeight="1" x14ac:dyDescent="0.35">
      <c r="B35" s="400">
        <v>4</v>
      </c>
      <c r="C35" s="395"/>
      <c r="D35" s="395"/>
      <c r="E35" s="401" t="s">
        <v>11288</v>
      </c>
      <c r="F35" s="395"/>
      <c r="G35" s="395"/>
      <c r="H35" s="395"/>
      <c r="I35" s="399"/>
      <c r="J35" s="395"/>
      <c r="K35" s="393"/>
      <c r="L35" s="393"/>
      <c r="M35" s="393"/>
    </row>
    <row r="36" spans="2:13" ht="15" customHeight="1" x14ac:dyDescent="0.35">
      <c r="B36" s="400"/>
      <c r="C36" s="395"/>
      <c r="D36" s="395"/>
      <c r="E36" s="395"/>
      <c r="I36" s="404"/>
      <c r="M36" s="393"/>
    </row>
    <row r="37" spans="2:13" ht="15" customHeight="1" x14ac:dyDescent="0.35">
      <c r="B37" s="400">
        <v>5</v>
      </c>
      <c r="C37" s="395"/>
      <c r="D37" s="395"/>
      <c r="E37" s="481" t="s">
        <v>14101</v>
      </c>
      <c r="F37" s="395"/>
      <c r="G37" s="395"/>
      <c r="I37" s="404"/>
      <c r="M37" s="393"/>
    </row>
    <row r="38" spans="2:13" ht="15" customHeight="1" x14ac:dyDescent="0.35">
      <c r="B38" s="400"/>
      <c r="C38" s="395"/>
      <c r="D38" s="395"/>
      <c r="E38" s="481"/>
      <c r="F38" s="395"/>
      <c r="G38" s="395"/>
      <c r="H38" s="395"/>
      <c r="I38" s="399"/>
      <c r="J38" s="395"/>
      <c r="K38" s="393"/>
      <c r="L38" s="393"/>
      <c r="M38" s="393"/>
    </row>
    <row r="39" spans="2:13" ht="15" customHeight="1" x14ac:dyDescent="0.35">
      <c r="B39" s="400">
        <v>6</v>
      </c>
      <c r="C39" s="395"/>
      <c r="D39" s="395"/>
      <c r="E39" s="481" t="s">
        <v>14102</v>
      </c>
      <c r="F39" s="395"/>
      <c r="G39" s="395"/>
      <c r="H39" s="395"/>
      <c r="I39" s="399"/>
      <c r="J39" s="395"/>
      <c r="K39" s="393"/>
      <c r="L39" s="393"/>
      <c r="M39" s="393"/>
    </row>
    <row r="40" spans="2:13" ht="15" customHeight="1" x14ac:dyDescent="0.35">
      <c r="B40" s="400"/>
      <c r="C40" s="395"/>
      <c r="D40" s="395"/>
      <c r="E40" s="395"/>
      <c r="F40" s="395"/>
      <c r="G40" s="395"/>
      <c r="H40" s="395"/>
      <c r="I40" s="399"/>
      <c r="J40" s="395"/>
      <c r="K40" s="393"/>
      <c r="L40" s="393"/>
      <c r="M40" s="393"/>
    </row>
    <row r="41" spans="2:13" ht="15" customHeight="1" x14ac:dyDescent="0.35">
      <c r="B41" s="400">
        <v>7</v>
      </c>
      <c r="C41" s="395"/>
      <c r="D41" s="395"/>
      <c r="E41" s="481" t="s">
        <v>11289</v>
      </c>
      <c r="F41" s="395"/>
      <c r="G41" s="395"/>
      <c r="H41" s="395"/>
      <c r="I41" s="399"/>
      <c r="J41" s="395"/>
      <c r="K41" s="393"/>
      <c r="L41" s="393"/>
      <c r="M41" s="393"/>
    </row>
    <row r="42" spans="2:13" ht="15" customHeight="1" x14ac:dyDescent="0.35">
      <c r="B42" s="400"/>
      <c r="C42" s="395"/>
      <c r="D42" s="395"/>
      <c r="E42" s="395"/>
      <c r="F42" s="395"/>
      <c r="G42" s="395"/>
      <c r="H42" s="395"/>
      <c r="I42" s="399"/>
      <c r="J42" s="395"/>
      <c r="K42" s="393"/>
      <c r="L42" s="393"/>
      <c r="M42" s="393"/>
    </row>
    <row r="43" spans="2:13" ht="15" customHeight="1" x14ac:dyDescent="0.35">
      <c r="B43" s="400">
        <v>8</v>
      </c>
      <c r="C43" s="395"/>
      <c r="D43" s="395"/>
      <c r="E43" s="481" t="s">
        <v>13936</v>
      </c>
      <c r="F43" s="395"/>
      <c r="G43" s="395"/>
      <c r="H43" s="395"/>
      <c r="I43" s="399"/>
      <c r="J43" s="395"/>
      <c r="K43" s="393"/>
      <c r="L43" s="393"/>
      <c r="M43" s="393"/>
    </row>
    <row r="44" spans="2:13" ht="15" customHeight="1" x14ac:dyDescent="0.35">
      <c r="B44" s="400"/>
      <c r="C44" s="395"/>
      <c r="D44" s="395"/>
      <c r="E44" s="395"/>
      <c r="F44" s="395"/>
      <c r="G44" s="395"/>
      <c r="H44" s="395"/>
      <c r="I44" s="399"/>
      <c r="J44" s="395"/>
      <c r="K44" s="393"/>
      <c r="L44" s="393"/>
      <c r="M44" s="393"/>
    </row>
    <row r="45" spans="2:13" ht="15" customHeight="1" x14ac:dyDescent="0.35">
      <c r="B45" s="400">
        <v>9</v>
      </c>
      <c r="C45" s="395"/>
      <c r="D45" s="395"/>
      <c r="E45" s="481" t="s">
        <v>14103</v>
      </c>
      <c r="F45" s="395"/>
      <c r="G45" s="395"/>
      <c r="H45" s="395"/>
      <c r="I45" s="399"/>
      <c r="J45" s="395"/>
      <c r="K45" s="393"/>
      <c r="L45" s="393"/>
      <c r="M45" s="393"/>
    </row>
    <row r="46" spans="2:13" ht="15" customHeight="1" x14ac:dyDescent="0.35">
      <c r="B46" s="400"/>
      <c r="C46" s="395"/>
      <c r="D46" s="395"/>
      <c r="E46" s="395"/>
      <c r="F46" s="395"/>
      <c r="G46" s="395"/>
      <c r="H46" s="395"/>
      <c r="I46" s="399"/>
      <c r="J46" s="395"/>
      <c r="K46" s="393"/>
      <c r="L46" s="393"/>
      <c r="M46" s="393"/>
    </row>
    <row r="47" spans="2:13" ht="15" customHeight="1" x14ac:dyDescent="0.35">
      <c r="B47" s="400">
        <v>10</v>
      </c>
      <c r="C47" s="395"/>
      <c r="D47" s="395"/>
      <c r="E47" s="481" t="s">
        <v>15604</v>
      </c>
      <c r="F47" s="395"/>
      <c r="G47" s="395"/>
      <c r="H47" s="395"/>
      <c r="I47" s="399"/>
      <c r="J47" s="395"/>
      <c r="K47" s="393"/>
      <c r="L47" s="393"/>
      <c r="M47" s="393"/>
    </row>
    <row r="48" spans="2:13" ht="15" customHeight="1" x14ac:dyDescent="0.35">
      <c r="B48" s="400"/>
      <c r="C48" s="395"/>
      <c r="D48" s="395"/>
      <c r="E48" s="395"/>
      <c r="F48" s="395"/>
      <c r="G48" s="395"/>
      <c r="H48" s="395"/>
      <c r="I48" s="399"/>
      <c r="J48" s="395"/>
      <c r="K48" s="393"/>
      <c r="L48" s="393"/>
      <c r="M48" s="393"/>
    </row>
    <row r="49" spans="2:13" ht="15" customHeight="1" x14ac:dyDescent="0.35">
      <c r="B49" s="400">
        <v>11</v>
      </c>
      <c r="C49" s="395"/>
      <c r="D49" s="395"/>
      <c r="E49" s="481" t="s">
        <v>11290</v>
      </c>
      <c r="F49" s="395"/>
      <c r="G49" s="395"/>
      <c r="H49" s="395"/>
      <c r="I49" s="399"/>
      <c r="J49" s="395"/>
      <c r="K49" s="393"/>
      <c r="L49" s="393"/>
      <c r="M49" s="393"/>
    </row>
    <row r="50" spans="2:13" ht="15" customHeight="1" x14ac:dyDescent="0.35">
      <c r="B50" s="400"/>
      <c r="C50" s="395"/>
      <c r="D50" s="395"/>
      <c r="E50" s="395"/>
      <c r="F50" s="395"/>
      <c r="G50" s="395"/>
      <c r="H50" s="395"/>
      <c r="I50" s="399"/>
      <c r="J50" s="395"/>
      <c r="K50" s="393"/>
      <c r="L50" s="393"/>
      <c r="M50" s="393"/>
    </row>
    <row r="51" spans="2:13" ht="15" customHeight="1" x14ac:dyDescent="0.35">
      <c r="B51" s="400">
        <v>12</v>
      </c>
      <c r="C51" s="395"/>
      <c r="D51" s="395"/>
      <c r="E51" s="481" t="s">
        <v>11291</v>
      </c>
      <c r="F51" s="395"/>
      <c r="G51" s="395"/>
      <c r="H51" s="395"/>
      <c r="I51" s="399"/>
      <c r="J51" s="395"/>
      <c r="K51" s="393"/>
      <c r="L51" s="393"/>
      <c r="M51" s="393"/>
    </row>
    <row r="52" spans="2:13" ht="15" customHeight="1" x14ac:dyDescent="0.35">
      <c r="B52" s="400"/>
      <c r="C52" s="395"/>
      <c r="D52" s="395"/>
      <c r="E52" s="395"/>
      <c r="F52" s="395"/>
      <c r="G52" s="395"/>
      <c r="H52" s="395"/>
      <c r="I52" s="399"/>
      <c r="J52" s="395"/>
      <c r="K52" s="393"/>
      <c r="L52" s="393"/>
      <c r="M52" s="393"/>
    </row>
    <row r="53" spans="2:13" ht="15" customHeight="1" x14ac:dyDescent="0.35">
      <c r="B53" s="405"/>
      <c r="C53" s="395"/>
      <c r="D53" s="395"/>
      <c r="E53" s="398"/>
      <c r="F53" s="395"/>
      <c r="G53" s="395"/>
      <c r="H53" s="395"/>
      <c r="I53" s="406"/>
      <c r="J53" s="395"/>
      <c r="K53" s="393"/>
      <c r="L53" s="393"/>
      <c r="M53" s="393"/>
    </row>
    <row r="54" spans="2:13" ht="15" customHeight="1" x14ac:dyDescent="0.35">
      <c r="B54" s="564" t="s">
        <v>11292</v>
      </c>
      <c r="C54" s="564"/>
      <c r="D54" s="395"/>
      <c r="E54" s="398"/>
      <c r="F54" s="395"/>
      <c r="G54" s="395"/>
      <c r="H54" s="395"/>
      <c r="I54" s="406"/>
      <c r="J54" s="395"/>
      <c r="K54" s="393"/>
      <c r="L54" s="393"/>
      <c r="M54" s="393"/>
    </row>
    <row r="55" spans="2:13" ht="15" customHeight="1" x14ac:dyDescent="0.35">
      <c r="B55" s="405"/>
      <c r="C55" s="395"/>
      <c r="D55" s="395"/>
      <c r="E55" s="398"/>
      <c r="F55" s="395"/>
      <c r="G55" s="395"/>
      <c r="H55" s="395"/>
      <c r="I55" s="406"/>
      <c r="J55" s="395"/>
      <c r="K55" s="393"/>
      <c r="L55" s="393"/>
      <c r="M55" s="393"/>
    </row>
    <row r="56" spans="2:13" ht="15" customHeight="1" x14ac:dyDescent="0.35">
      <c r="B56" s="564" t="s">
        <v>11293</v>
      </c>
      <c r="C56" s="564"/>
      <c r="D56" s="564"/>
      <c r="E56" s="564"/>
      <c r="F56" s="395"/>
      <c r="G56" s="395"/>
      <c r="H56" s="395"/>
      <c r="I56" s="406"/>
      <c r="J56" s="395"/>
      <c r="K56" s="393"/>
      <c r="L56" s="393"/>
      <c r="M56" s="393"/>
    </row>
    <row r="57" spans="2:13" ht="15" customHeight="1" x14ac:dyDescent="0.35">
      <c r="B57" s="405"/>
      <c r="C57" s="395"/>
      <c r="D57" s="395"/>
      <c r="E57" s="398"/>
      <c r="F57" s="395"/>
      <c r="G57" s="395"/>
      <c r="H57" s="395"/>
      <c r="I57" s="406"/>
      <c r="J57" s="395"/>
      <c r="K57" s="393"/>
      <c r="L57" s="393"/>
      <c r="M57" s="393"/>
    </row>
    <row r="58" spans="2:13" ht="15" customHeight="1" x14ac:dyDescent="0.35">
      <c r="B58" s="405"/>
      <c r="C58" s="395"/>
      <c r="D58" s="395"/>
      <c r="E58" s="395"/>
      <c r="F58" s="395"/>
      <c r="G58" s="395"/>
      <c r="H58" s="395"/>
      <c r="I58" s="395"/>
      <c r="J58" s="395"/>
      <c r="K58" s="393"/>
      <c r="L58" s="393"/>
      <c r="M58" s="393"/>
    </row>
    <row r="59" spans="2:13" ht="15" customHeight="1" x14ac:dyDescent="0.35">
      <c r="B59" s="393" t="s">
        <v>11294</v>
      </c>
      <c r="C59" s="391" t="s">
        <v>14113</v>
      </c>
      <c r="D59" s="403"/>
      <c r="E59" s="403"/>
      <c r="F59" s="403"/>
      <c r="H59" s="403"/>
      <c r="I59" s="403"/>
      <c r="J59" s="403"/>
      <c r="K59" s="403"/>
      <c r="L59" s="392"/>
      <c r="M59" s="392"/>
    </row>
    <row r="60" spans="2:13" ht="15" customHeight="1" x14ac:dyDescent="0.35">
      <c r="B60" s="407"/>
      <c r="C60" s="407"/>
      <c r="D60" s="407"/>
      <c r="E60" s="407"/>
      <c r="F60" s="407"/>
      <c r="G60" s="407"/>
      <c r="H60" s="407"/>
      <c r="I60" s="407"/>
      <c r="J60" s="407"/>
      <c r="K60" s="407"/>
    </row>
    <row r="61" spans="2:13" ht="15" customHeight="1" x14ac:dyDescent="0.35">
      <c r="B61" s="408" t="s">
        <v>11295</v>
      </c>
      <c r="C61" s="407"/>
      <c r="D61" s="407"/>
      <c r="E61" s="407"/>
      <c r="F61" s="407"/>
      <c r="G61" s="407"/>
      <c r="H61" s="407"/>
      <c r="I61" s="407"/>
      <c r="J61" s="407"/>
      <c r="K61" s="407"/>
    </row>
    <row r="62" spans="2:13" ht="15" customHeight="1" x14ac:dyDescent="0.35">
      <c r="B62" s="409" t="s">
        <v>11296</v>
      </c>
      <c r="C62" s="407"/>
      <c r="D62" s="407"/>
      <c r="E62" s="407"/>
      <c r="F62" s="407"/>
      <c r="G62" s="407"/>
      <c r="H62" s="407"/>
      <c r="I62" s="407"/>
      <c r="J62" s="407"/>
      <c r="K62" s="407"/>
    </row>
    <row r="63" spans="2:13" ht="15" customHeight="1" x14ac:dyDescent="0.35">
      <c r="B63" s="409" t="s">
        <v>11297</v>
      </c>
      <c r="C63" s="410" t="s">
        <v>11298</v>
      </c>
      <c r="D63" s="407"/>
      <c r="E63" s="407"/>
      <c r="F63" s="407"/>
      <c r="G63" s="407"/>
      <c r="H63" s="407"/>
      <c r="I63" s="407"/>
      <c r="J63" s="407"/>
      <c r="K63" s="407"/>
    </row>
    <row r="64" spans="2:13" ht="15" customHeight="1" x14ac:dyDescent="0.35">
      <c r="B64" s="407"/>
      <c r="C64" s="407"/>
      <c r="D64" s="407"/>
      <c r="E64" s="407"/>
      <c r="F64" s="407"/>
      <c r="G64" s="407"/>
      <c r="H64" s="407"/>
      <c r="I64" s="407"/>
      <c r="J64" s="407"/>
      <c r="K64" s="407"/>
    </row>
    <row r="65" spans="2:11" ht="15" customHeight="1" x14ac:dyDescent="0.35">
      <c r="B65" s="407" t="s">
        <v>14107</v>
      </c>
      <c r="C65" s="407"/>
      <c r="D65" s="407"/>
      <c r="E65" s="407"/>
      <c r="F65" s="407"/>
      <c r="G65" s="407"/>
      <c r="H65" s="407"/>
      <c r="I65" s="407"/>
      <c r="J65" s="407"/>
      <c r="K65" s="407"/>
    </row>
    <row r="66" spans="2:11" ht="15" customHeight="1" x14ac:dyDescent="0.35">
      <c r="B66" s="407" t="s">
        <v>14112</v>
      </c>
      <c r="C66" s="407"/>
      <c r="D66" s="407"/>
      <c r="E66" s="407"/>
      <c r="F66" s="407"/>
      <c r="G66" s="407"/>
      <c r="H66" s="407"/>
      <c r="I66" s="407"/>
      <c r="J66" s="407"/>
      <c r="K66" s="407"/>
    </row>
  </sheetData>
  <sheetProtection algorithmName="SHA-512" hashValue="/FXCH0I8+GOqMmNq0jri17zFcctBhO/DCLumspAA1RijUz9NgGuaCqeFgCC3tYm4AfslW4a3Y5WJi3XNiPOZsg==" saltValue="WcTyWHwALLd1sk+7qcFuJQ==" spinCount="100000" sheet="1" formatColumns="0" formatRows="0"/>
  <mergeCells count="7">
    <mergeCell ref="B56:E56"/>
    <mergeCell ref="F1:F2"/>
    <mergeCell ref="B11:K19"/>
    <mergeCell ref="B21:K21"/>
    <mergeCell ref="B27:C27"/>
    <mergeCell ref="B54:C54"/>
    <mergeCell ref="B9:E9"/>
  </mergeCells>
  <hyperlinks>
    <hyperlink ref="E33" location="'Area summary'!A48" display="Total social units / PRP counts, by PRP size / Sales by Large PRPs" xr:uid="{5E816B5D-BD46-4AD5-BCF4-CCB7C23DEF24}"/>
    <hyperlink ref="E35" location="'Area summary'!A69" display="Total general needs self-contained vacant units" xr:uid="{AFF7E418-B7F8-4E60-91D6-86532DA96655}"/>
    <hyperlink ref="E37" location="'Area summary'!A92" display="General needs (social rent) - average weekly net rents and units" xr:uid="{31B74A43-336F-4889-93D8-4A863926A990}"/>
    <hyperlink ref="E47" location="'Area summary'!A202" display="Supported housing / housing fo older people (social rent) - rents and unit counts by unit size" xr:uid="{BDEC6235-05DA-41B4-97A1-96566258F80E}"/>
    <hyperlink ref="E49" location="'Area summary'!A224" display="Affordable Rent general needs - rents and unit counts by unit size" xr:uid="{ED052F05-0EC2-4BA6-BBE7-9D6EF2A86B35}"/>
    <hyperlink ref="E51" location="'Area summary'!A246" display="Affordable Rent supported housing (including housing for older people) - rents and unit counts" xr:uid="{DB9D794B-1791-40D6-B035-5588EF6A67C9}"/>
    <hyperlink ref="E39" location="'Area summary'!A114" display="Supported housing / housing for older people (social rent) - average weekly net rents and units" xr:uid="{DCB1A3B9-DAA3-48DA-A96B-8CD12D2D9CC6}"/>
    <hyperlink ref="E41" location="'Area summary'!A136" display="Affordable Rent general needs - average weekly gross rent (£ per week) and units" xr:uid="{A386EC61-DD85-4154-B405-DEB3BA31A36A}"/>
    <hyperlink ref="E43" location="'Area summary'!A158" display="Affordable Rent supported housing / housing for older people - average weekly gross rents (£ per week) and units" xr:uid="{6627B4D8-98D4-4689-905A-AA0ED8393EA8}"/>
    <hyperlink ref="E45" location="'Area summary'!A180" display="General needs (social rent) - rents and unit counts by unit size" xr:uid="{F7014472-D728-435D-9592-9B2444E122F0}"/>
    <hyperlink ref="E29" location="'Area summary'!A7" display="Total social units by provision type" xr:uid="{133F5B93-A377-47F8-ACCD-BECAB7EB1991}"/>
    <hyperlink ref="F5" r:id="rId1" xr:uid="{6789C619-BACB-4E8D-92C0-2074CAF114A9}"/>
    <hyperlink ref="H5" r:id="rId2" xr:uid="{749E2C8A-4899-4901-92AC-2F860303A91B}"/>
    <hyperlink ref="J5" r:id="rId3" xr:uid="{7670150E-62D4-4533-83AD-C27C3A628A6D}"/>
    <hyperlink ref="B25" location="Glossary!B8" display="Glossary" xr:uid="{AC6BF110-B4F2-4991-A844-C3B532EF1A3C}"/>
    <hyperlink ref="B27" location="'Area summary'!A1" display="Area summary" xr:uid="{10336029-3112-4DFA-B1C6-43661DB4913A}"/>
    <hyperlink ref="B54" location="'PRPs in area'!A1" display="PRPs in area" xr:uid="{F04FE96A-C8CB-49A8-8DBE-F262AC4F9D32}"/>
    <hyperlink ref="B56" location="'How to use the Search function'!A1" display="How to use the search function" xr:uid="{D904DFF1-0C98-455B-855E-6C299F9BE282}"/>
    <hyperlink ref="E31" location="'Area summary'!A21" display="Decent Homes Standard" xr:uid="{A1180263-FC48-44EA-82FE-4256ABA67AA1}"/>
    <hyperlink ref="C63" r:id="rId4" xr:uid="{F85B31D0-61DD-4CA4-A8C3-180425A8DF33}"/>
    <hyperlink ref="B27:C27" location="'Area summary'!E3" display="Area summary" xr:uid="{12D5915D-D9BA-4F99-B94B-6773E1403630}"/>
  </hyperlinks>
  <pageMargins left="0.7" right="0.7" top="0.75" bottom="0.75" header="0.3" footer="0.3"/>
  <pageSetup paperSize="9" orientation="portrait" r:id="rId5"/>
  <headerFooter>
    <oddFooter>&amp;C&amp;1#&amp;"Calibri"&amp;12&amp;K0078D7OFFICIAL</oddFooter>
  </headerFooter>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AB200-DB55-4EDD-90FB-E901485ECDC3}">
  <sheetPr codeName="Sheet10">
    <tabColor rgb="FFFFC000"/>
  </sheetPr>
  <dimension ref="A1:S1345"/>
  <sheetViews>
    <sheetView topLeftCell="A2" workbookViewId="0">
      <selection activeCell="I14" sqref="I14:I1345"/>
    </sheetView>
  </sheetViews>
  <sheetFormatPr defaultColWidth="8.81640625" defaultRowHeight="14.5" x14ac:dyDescent="0.35"/>
  <cols>
    <col min="2" max="2" width="64.54296875" bestFit="1" customWidth="1"/>
    <col min="11" max="13" width="8.81640625" style="448"/>
    <col min="18" max="18" width="23" bestFit="1" customWidth="1"/>
  </cols>
  <sheetData>
    <row r="1" spans="1:19" ht="72.5" x14ac:dyDescent="0.35">
      <c r="A1" s="224" t="s">
        <v>2193</v>
      </c>
      <c r="B1" s="224" t="s">
        <v>2194</v>
      </c>
      <c r="C1" s="446" t="s">
        <v>3369</v>
      </c>
      <c r="D1" s="446" t="s">
        <v>3370</v>
      </c>
      <c r="E1" s="446" t="s">
        <v>3371</v>
      </c>
      <c r="F1" s="446" t="s">
        <v>3372</v>
      </c>
      <c r="G1" s="446" t="s">
        <v>3373</v>
      </c>
      <c r="H1" s="447" t="s">
        <v>1062</v>
      </c>
      <c r="I1" s="225" t="s">
        <v>2195</v>
      </c>
      <c r="K1" s="449"/>
      <c r="L1" s="449"/>
      <c r="M1" s="450"/>
      <c r="R1" s="226" t="s">
        <v>2196</v>
      </c>
      <c r="S1" s="226"/>
    </row>
    <row r="2" spans="1:19" x14ac:dyDescent="0.35">
      <c r="A2" s="477" t="s">
        <v>79</v>
      </c>
      <c r="B2" s="476" t="s">
        <v>414</v>
      </c>
      <c r="C2" s="476">
        <v>118801</v>
      </c>
      <c r="D2" s="476">
        <v>567</v>
      </c>
      <c r="E2" s="476">
        <v>9179</v>
      </c>
      <c r="F2" s="476">
        <v>22205</v>
      </c>
      <c r="G2" s="476">
        <v>16161</v>
      </c>
      <c r="H2" s="476">
        <v>166913</v>
      </c>
      <c r="I2" s="476">
        <v>1</v>
      </c>
      <c r="K2" s="451"/>
      <c r="Q2" t="str">
        <f>'PRPs in area'!B6</f>
        <v/>
      </c>
      <c r="R2" t="s">
        <v>6</v>
      </c>
      <c r="S2" t="s">
        <v>1142</v>
      </c>
    </row>
    <row r="3" spans="1:19" x14ac:dyDescent="0.35">
      <c r="A3" s="477" t="s">
        <v>79</v>
      </c>
      <c r="B3" s="476" t="s">
        <v>415</v>
      </c>
      <c r="C3" s="476">
        <v>226684</v>
      </c>
      <c r="D3" s="476">
        <v>1760</v>
      </c>
      <c r="E3" s="476">
        <v>12055</v>
      </c>
      <c r="F3" s="476">
        <v>27781</v>
      </c>
      <c r="G3" s="476">
        <v>25159</v>
      </c>
      <c r="H3" s="476">
        <v>293439</v>
      </c>
      <c r="I3" s="476">
        <v>1</v>
      </c>
      <c r="K3" s="451"/>
      <c r="Q3">
        <f>IFERROR(VLOOKUP(Q2,R2:S11,2,0),0)</f>
        <v>0</v>
      </c>
      <c r="R3" t="s">
        <v>414</v>
      </c>
      <c r="S3" t="s">
        <v>1142</v>
      </c>
    </row>
    <row r="4" spans="1:19" x14ac:dyDescent="0.35">
      <c r="A4" s="477" t="s">
        <v>79</v>
      </c>
      <c r="B4" s="476" t="s">
        <v>416</v>
      </c>
      <c r="C4" s="476">
        <v>359727</v>
      </c>
      <c r="D4" s="476">
        <v>5633</v>
      </c>
      <c r="E4" s="476">
        <v>27656</v>
      </c>
      <c r="F4" s="476">
        <v>28060</v>
      </c>
      <c r="G4" s="476">
        <v>53251</v>
      </c>
      <c r="H4" s="476">
        <v>474327</v>
      </c>
      <c r="I4" s="476">
        <v>1</v>
      </c>
      <c r="K4" s="451"/>
      <c r="R4" s="227" t="s">
        <v>415</v>
      </c>
      <c r="S4" t="s">
        <v>1142</v>
      </c>
    </row>
    <row r="5" spans="1:19" x14ac:dyDescent="0.35">
      <c r="A5" s="477" t="s">
        <v>79</v>
      </c>
      <c r="B5" s="476" t="s">
        <v>417</v>
      </c>
      <c r="C5" s="476">
        <v>159209</v>
      </c>
      <c r="D5" s="476">
        <v>157</v>
      </c>
      <c r="E5" s="476">
        <v>7115</v>
      </c>
      <c r="F5" s="476">
        <v>16944</v>
      </c>
      <c r="G5" s="476">
        <v>4224</v>
      </c>
      <c r="H5" s="476">
        <v>187649</v>
      </c>
      <c r="I5" s="476">
        <v>1</v>
      </c>
      <c r="K5" s="451"/>
      <c r="R5" t="s">
        <v>416</v>
      </c>
      <c r="S5" t="s">
        <v>1142</v>
      </c>
    </row>
    <row r="6" spans="1:19" x14ac:dyDescent="0.35">
      <c r="A6" s="477" t="s">
        <v>79</v>
      </c>
      <c r="B6" s="476" t="s">
        <v>418</v>
      </c>
      <c r="C6" s="476">
        <v>433492</v>
      </c>
      <c r="D6" s="476">
        <v>138</v>
      </c>
      <c r="E6" s="476">
        <v>24149</v>
      </c>
      <c r="F6" s="476">
        <v>51691</v>
      </c>
      <c r="G6" s="476">
        <v>18996</v>
      </c>
      <c r="H6" s="476">
        <v>528466</v>
      </c>
      <c r="I6" s="476">
        <v>1</v>
      </c>
      <c r="K6" s="451"/>
      <c r="R6" t="s">
        <v>417</v>
      </c>
      <c r="S6" t="s">
        <v>1142</v>
      </c>
    </row>
    <row r="7" spans="1:19" x14ac:dyDescent="0.35">
      <c r="A7" s="477" t="s">
        <v>79</v>
      </c>
      <c r="B7" s="476" t="s">
        <v>2</v>
      </c>
      <c r="C7" s="476">
        <v>308243</v>
      </c>
      <c r="D7" s="476">
        <v>1143</v>
      </c>
      <c r="E7" s="476">
        <v>15721</v>
      </c>
      <c r="F7" s="476">
        <v>39365</v>
      </c>
      <c r="G7" s="476">
        <v>51691</v>
      </c>
      <c r="H7" s="476">
        <v>416163</v>
      </c>
      <c r="I7" s="476">
        <v>1</v>
      </c>
      <c r="K7" s="451"/>
      <c r="R7" t="s">
        <v>418</v>
      </c>
      <c r="S7" t="s">
        <v>1142</v>
      </c>
    </row>
    <row r="8" spans="1:19" x14ac:dyDescent="0.35">
      <c r="A8" s="477" t="s">
        <v>79</v>
      </c>
      <c r="B8" s="476" t="s">
        <v>419</v>
      </c>
      <c r="C8" s="476">
        <v>203240</v>
      </c>
      <c r="D8" s="476">
        <v>217</v>
      </c>
      <c r="E8" s="476">
        <v>14528</v>
      </c>
      <c r="F8" s="476">
        <v>30014</v>
      </c>
      <c r="G8" s="476">
        <v>24712</v>
      </c>
      <c r="H8" s="476">
        <v>272711</v>
      </c>
      <c r="I8" s="476">
        <v>1</v>
      </c>
      <c r="K8" s="451"/>
      <c r="R8" t="s">
        <v>2</v>
      </c>
      <c r="S8" t="s">
        <v>1142</v>
      </c>
    </row>
    <row r="9" spans="1:19" x14ac:dyDescent="0.35">
      <c r="A9" s="477" t="s">
        <v>79</v>
      </c>
      <c r="B9" s="476" t="s">
        <v>420</v>
      </c>
      <c r="C9" s="476">
        <v>227342</v>
      </c>
      <c r="D9" s="476">
        <v>401</v>
      </c>
      <c r="E9" s="476">
        <v>17290</v>
      </c>
      <c r="F9" s="476">
        <v>27737</v>
      </c>
      <c r="G9" s="476">
        <v>19142</v>
      </c>
      <c r="H9" s="476">
        <v>291912</v>
      </c>
      <c r="I9" s="476">
        <v>1</v>
      </c>
      <c r="K9" s="451"/>
      <c r="R9" t="s">
        <v>419</v>
      </c>
      <c r="S9" t="s">
        <v>1142</v>
      </c>
    </row>
    <row r="10" spans="1:19" x14ac:dyDescent="0.35">
      <c r="A10" s="477" t="s">
        <v>79</v>
      </c>
      <c r="B10" s="476" t="s">
        <v>421</v>
      </c>
      <c r="C10" s="476">
        <v>169863</v>
      </c>
      <c r="D10" s="476">
        <v>42</v>
      </c>
      <c r="E10" s="476">
        <v>12630</v>
      </c>
      <c r="F10" s="476">
        <v>18275</v>
      </c>
      <c r="G10" s="476">
        <v>10210</v>
      </c>
      <c r="H10" s="476">
        <v>211020</v>
      </c>
      <c r="I10" s="476">
        <v>1</v>
      </c>
      <c r="K10" s="451"/>
      <c r="R10" t="s">
        <v>420</v>
      </c>
      <c r="S10" t="s">
        <v>1142</v>
      </c>
    </row>
    <row r="11" spans="1:19" x14ac:dyDescent="0.35">
      <c r="A11" s="500" t="s">
        <v>2758</v>
      </c>
      <c r="B11" s="501" t="s">
        <v>2054</v>
      </c>
      <c r="C11" s="502">
        <v>49</v>
      </c>
      <c r="D11" s="502">
        <v>0</v>
      </c>
      <c r="E11" s="502">
        <v>0</v>
      </c>
      <c r="F11" s="502">
        <v>0</v>
      </c>
      <c r="G11" s="502">
        <v>0</v>
      </c>
      <c r="H11" s="502">
        <v>49</v>
      </c>
      <c r="I11" s="502">
        <v>1</v>
      </c>
      <c r="K11" s="451"/>
      <c r="R11" s="448" t="s">
        <v>1048</v>
      </c>
      <c r="S11" t="s">
        <v>1142</v>
      </c>
    </row>
    <row r="12" spans="1:19" x14ac:dyDescent="0.35">
      <c r="A12" t="s">
        <v>2294</v>
      </c>
      <c r="B12" t="s">
        <v>1609</v>
      </c>
      <c r="C12">
        <v>7</v>
      </c>
      <c r="D12">
        <v>0</v>
      </c>
      <c r="E12">
        <v>726</v>
      </c>
      <c r="F12">
        <v>0</v>
      </c>
      <c r="G12">
        <v>0</v>
      </c>
      <c r="H12">
        <v>733</v>
      </c>
      <c r="I12">
        <v>5</v>
      </c>
      <c r="K12" s="451"/>
    </row>
    <row r="13" spans="1:19" x14ac:dyDescent="0.35">
      <c r="A13" t="s">
        <v>2340</v>
      </c>
      <c r="B13" t="s">
        <v>1610</v>
      </c>
      <c r="C13">
        <v>0</v>
      </c>
      <c r="D13">
        <v>0</v>
      </c>
      <c r="E13">
        <v>45</v>
      </c>
      <c r="F13">
        <v>0</v>
      </c>
      <c r="G13">
        <v>0</v>
      </c>
      <c r="H13">
        <v>45</v>
      </c>
      <c r="I13">
        <v>1</v>
      </c>
      <c r="K13" s="451"/>
    </row>
    <row r="14" spans="1:19" x14ac:dyDescent="0.35">
      <c r="A14" t="s">
        <v>3249</v>
      </c>
      <c r="B14" t="s">
        <v>1385</v>
      </c>
      <c r="C14">
        <v>9357</v>
      </c>
      <c r="D14">
        <v>14</v>
      </c>
      <c r="E14">
        <v>810</v>
      </c>
      <c r="F14">
        <v>308</v>
      </c>
      <c r="G14">
        <v>1921</v>
      </c>
      <c r="H14">
        <v>12410</v>
      </c>
      <c r="I14">
        <v>47</v>
      </c>
      <c r="K14" s="451"/>
    </row>
    <row r="15" spans="1:19" x14ac:dyDescent="0.35">
      <c r="A15" t="s">
        <v>14119</v>
      </c>
      <c r="B15" t="s">
        <v>14120</v>
      </c>
      <c r="C15">
        <v>0</v>
      </c>
      <c r="D15">
        <v>0</v>
      </c>
      <c r="E15">
        <v>0</v>
      </c>
      <c r="F15">
        <v>0</v>
      </c>
      <c r="G15">
        <v>0</v>
      </c>
      <c r="H15">
        <v>0</v>
      </c>
      <c r="I15">
        <v>0</v>
      </c>
      <c r="K15" s="451"/>
    </row>
    <row r="16" spans="1:19" x14ac:dyDescent="0.35">
      <c r="A16" t="s">
        <v>3367</v>
      </c>
      <c r="B16" t="s">
        <v>1791</v>
      </c>
      <c r="C16">
        <v>0</v>
      </c>
      <c r="D16">
        <v>29</v>
      </c>
      <c r="E16">
        <v>0</v>
      </c>
      <c r="F16">
        <v>0</v>
      </c>
      <c r="G16">
        <v>0</v>
      </c>
      <c r="H16">
        <v>29</v>
      </c>
      <c r="I16">
        <v>4</v>
      </c>
      <c r="K16" s="451"/>
    </row>
    <row r="17" spans="1:11" x14ac:dyDescent="0.35">
      <c r="A17" t="s">
        <v>3331</v>
      </c>
      <c r="B17" t="s">
        <v>1386</v>
      </c>
      <c r="C17">
        <v>10022</v>
      </c>
      <c r="D17">
        <v>0</v>
      </c>
      <c r="E17">
        <v>301</v>
      </c>
      <c r="F17">
        <v>620</v>
      </c>
      <c r="G17">
        <v>1043</v>
      </c>
      <c r="H17">
        <v>11986</v>
      </c>
      <c r="I17">
        <v>40</v>
      </c>
      <c r="K17" s="451"/>
    </row>
    <row r="18" spans="1:11" x14ac:dyDescent="0.35">
      <c r="A18" t="s">
        <v>14121</v>
      </c>
      <c r="B18" t="s">
        <v>14122</v>
      </c>
      <c r="C18">
        <v>0</v>
      </c>
      <c r="D18">
        <v>0</v>
      </c>
      <c r="E18">
        <v>0</v>
      </c>
      <c r="F18">
        <v>0</v>
      </c>
      <c r="G18">
        <v>0</v>
      </c>
      <c r="H18">
        <v>0</v>
      </c>
      <c r="I18">
        <v>0</v>
      </c>
      <c r="K18" s="451"/>
    </row>
    <row r="19" spans="1:11" x14ac:dyDescent="0.35">
      <c r="A19" t="s">
        <v>2842</v>
      </c>
      <c r="B19" t="s">
        <v>1267</v>
      </c>
      <c r="C19">
        <v>0</v>
      </c>
      <c r="D19">
        <v>0</v>
      </c>
      <c r="E19">
        <v>0</v>
      </c>
      <c r="F19">
        <v>103</v>
      </c>
      <c r="G19">
        <v>0</v>
      </c>
      <c r="H19">
        <v>103</v>
      </c>
      <c r="I19">
        <v>1</v>
      </c>
      <c r="K19" s="451"/>
    </row>
    <row r="20" spans="1:11" x14ac:dyDescent="0.35">
      <c r="A20" t="s">
        <v>2840</v>
      </c>
      <c r="B20" t="s">
        <v>1947</v>
      </c>
      <c r="C20">
        <v>0</v>
      </c>
      <c r="D20">
        <v>0</v>
      </c>
      <c r="E20">
        <v>0</v>
      </c>
      <c r="F20">
        <v>89</v>
      </c>
      <c r="G20">
        <v>0</v>
      </c>
      <c r="H20">
        <v>89</v>
      </c>
      <c r="I20">
        <v>3</v>
      </c>
      <c r="K20" s="451"/>
    </row>
    <row r="21" spans="1:11" x14ac:dyDescent="0.35">
      <c r="A21" t="s">
        <v>2906</v>
      </c>
      <c r="B21" t="s">
        <v>11411</v>
      </c>
      <c r="C21">
        <v>0</v>
      </c>
      <c r="D21">
        <v>0</v>
      </c>
      <c r="E21">
        <v>0</v>
      </c>
      <c r="F21">
        <v>11</v>
      </c>
      <c r="G21">
        <v>0</v>
      </c>
      <c r="H21">
        <v>11</v>
      </c>
      <c r="I21">
        <v>1</v>
      </c>
      <c r="K21" s="451"/>
    </row>
    <row r="22" spans="1:11" x14ac:dyDescent="0.35">
      <c r="A22" t="s">
        <v>14123</v>
      </c>
      <c r="B22" t="s">
        <v>14124</v>
      </c>
      <c r="C22">
        <v>0</v>
      </c>
      <c r="D22">
        <v>0</v>
      </c>
      <c r="E22">
        <v>0</v>
      </c>
      <c r="F22">
        <v>0</v>
      </c>
      <c r="G22">
        <v>0</v>
      </c>
      <c r="H22">
        <v>0</v>
      </c>
      <c r="I22">
        <v>0</v>
      </c>
      <c r="K22" s="451"/>
    </row>
    <row r="23" spans="1:11" x14ac:dyDescent="0.35">
      <c r="A23" t="s">
        <v>2908</v>
      </c>
      <c r="B23" t="s">
        <v>11421</v>
      </c>
      <c r="C23">
        <v>0</v>
      </c>
      <c r="D23">
        <v>0</v>
      </c>
      <c r="E23">
        <v>0</v>
      </c>
      <c r="F23">
        <v>8</v>
      </c>
      <c r="G23">
        <v>0</v>
      </c>
      <c r="H23">
        <v>8</v>
      </c>
      <c r="I23">
        <v>1</v>
      </c>
      <c r="K23" s="451"/>
    </row>
    <row r="24" spans="1:11" x14ac:dyDescent="0.35">
      <c r="A24" t="s">
        <v>2897</v>
      </c>
      <c r="B24" t="s">
        <v>14125</v>
      </c>
      <c r="C24">
        <v>0</v>
      </c>
      <c r="D24">
        <v>0</v>
      </c>
      <c r="E24">
        <v>0</v>
      </c>
      <c r="F24">
        <v>0</v>
      </c>
      <c r="G24">
        <v>0</v>
      </c>
      <c r="H24">
        <v>0</v>
      </c>
      <c r="I24">
        <v>0</v>
      </c>
      <c r="K24" s="451"/>
    </row>
    <row r="25" spans="1:11" x14ac:dyDescent="0.35">
      <c r="A25" t="s">
        <v>2845</v>
      </c>
      <c r="B25" t="s">
        <v>1792</v>
      </c>
      <c r="C25">
        <v>0</v>
      </c>
      <c r="D25">
        <v>0</v>
      </c>
      <c r="E25">
        <v>58</v>
      </c>
      <c r="F25">
        <v>0</v>
      </c>
      <c r="G25">
        <v>0</v>
      </c>
      <c r="H25">
        <v>58</v>
      </c>
      <c r="I25">
        <v>3</v>
      </c>
      <c r="K25" s="451"/>
    </row>
    <row r="26" spans="1:11" x14ac:dyDescent="0.35">
      <c r="A26" t="s">
        <v>2861</v>
      </c>
      <c r="B26" t="s">
        <v>1387</v>
      </c>
      <c r="C26">
        <v>0</v>
      </c>
      <c r="D26">
        <v>0</v>
      </c>
      <c r="E26">
        <v>0</v>
      </c>
      <c r="F26">
        <v>60</v>
      </c>
      <c r="G26">
        <v>0</v>
      </c>
      <c r="H26">
        <v>60</v>
      </c>
      <c r="I26">
        <v>3</v>
      </c>
      <c r="K26" s="451"/>
    </row>
    <row r="27" spans="1:11" x14ac:dyDescent="0.35">
      <c r="A27" t="s">
        <v>2413</v>
      </c>
      <c r="B27" t="s">
        <v>2134</v>
      </c>
      <c r="C27">
        <v>0</v>
      </c>
      <c r="D27">
        <v>0</v>
      </c>
      <c r="E27">
        <v>131</v>
      </c>
      <c r="F27">
        <v>18</v>
      </c>
      <c r="G27">
        <v>0</v>
      </c>
      <c r="H27">
        <v>149</v>
      </c>
      <c r="I27">
        <v>3</v>
      </c>
      <c r="K27" s="451"/>
    </row>
    <row r="28" spans="1:11" x14ac:dyDescent="0.35">
      <c r="A28" t="s">
        <v>2879</v>
      </c>
      <c r="B28" t="s">
        <v>1088</v>
      </c>
      <c r="C28">
        <v>0</v>
      </c>
      <c r="D28">
        <v>0</v>
      </c>
      <c r="E28">
        <v>0</v>
      </c>
      <c r="F28">
        <v>81</v>
      </c>
      <c r="G28">
        <v>0</v>
      </c>
      <c r="H28">
        <v>81</v>
      </c>
      <c r="I28">
        <v>4</v>
      </c>
      <c r="K28" s="451"/>
    </row>
    <row r="29" spans="1:11" x14ac:dyDescent="0.35">
      <c r="A29" t="s">
        <v>2911</v>
      </c>
      <c r="B29" t="s">
        <v>1793</v>
      </c>
      <c r="C29">
        <v>0</v>
      </c>
      <c r="D29">
        <v>0</v>
      </c>
      <c r="E29">
        <v>0</v>
      </c>
      <c r="F29">
        <v>17</v>
      </c>
      <c r="G29">
        <v>0</v>
      </c>
      <c r="H29">
        <v>17</v>
      </c>
      <c r="I29">
        <v>2</v>
      </c>
      <c r="K29" s="451"/>
    </row>
    <row r="30" spans="1:11" x14ac:dyDescent="0.35">
      <c r="A30" t="s">
        <v>2756</v>
      </c>
      <c r="B30" t="s">
        <v>1388</v>
      </c>
      <c r="C30">
        <v>44</v>
      </c>
      <c r="D30">
        <v>0</v>
      </c>
      <c r="E30">
        <v>0</v>
      </c>
      <c r="F30">
        <v>0</v>
      </c>
      <c r="G30">
        <v>0</v>
      </c>
      <c r="H30">
        <v>44</v>
      </c>
      <c r="I30">
        <v>1</v>
      </c>
      <c r="K30" s="451"/>
    </row>
    <row r="31" spans="1:11" x14ac:dyDescent="0.35">
      <c r="A31" t="s">
        <v>3288</v>
      </c>
      <c r="B31" t="s">
        <v>1091</v>
      </c>
      <c r="C31">
        <v>113</v>
      </c>
      <c r="D31">
        <v>0</v>
      </c>
      <c r="E31">
        <v>546</v>
      </c>
      <c r="F31">
        <v>0</v>
      </c>
      <c r="G31">
        <v>0</v>
      </c>
      <c r="H31">
        <v>659</v>
      </c>
      <c r="I31">
        <v>31</v>
      </c>
      <c r="K31" s="451"/>
    </row>
    <row r="32" spans="1:11" x14ac:dyDescent="0.35">
      <c r="A32" t="s">
        <v>14126</v>
      </c>
      <c r="B32" t="s">
        <v>14127</v>
      </c>
      <c r="C32">
        <v>19795</v>
      </c>
      <c r="D32">
        <v>79</v>
      </c>
      <c r="E32">
        <v>149</v>
      </c>
      <c r="F32">
        <v>2748</v>
      </c>
      <c r="G32">
        <v>1543</v>
      </c>
      <c r="H32">
        <v>24314</v>
      </c>
      <c r="I32">
        <v>35</v>
      </c>
      <c r="K32" s="451"/>
    </row>
    <row r="33" spans="1:11" x14ac:dyDescent="0.35">
      <c r="A33" t="s">
        <v>14128</v>
      </c>
      <c r="B33" t="s">
        <v>14129</v>
      </c>
      <c r="C33">
        <v>0</v>
      </c>
      <c r="D33">
        <v>0</v>
      </c>
      <c r="E33">
        <v>0</v>
      </c>
      <c r="F33">
        <v>0</v>
      </c>
      <c r="G33">
        <v>0</v>
      </c>
      <c r="H33">
        <v>0</v>
      </c>
      <c r="I33">
        <v>0</v>
      </c>
      <c r="K33" s="451"/>
    </row>
    <row r="34" spans="1:11" x14ac:dyDescent="0.35">
      <c r="A34" t="s">
        <v>3281</v>
      </c>
      <c r="B34" t="s">
        <v>1143</v>
      </c>
      <c r="C34">
        <v>15868</v>
      </c>
      <c r="D34">
        <v>44</v>
      </c>
      <c r="E34">
        <v>20</v>
      </c>
      <c r="F34">
        <v>1860</v>
      </c>
      <c r="G34">
        <v>1200</v>
      </c>
      <c r="H34">
        <v>18992</v>
      </c>
      <c r="I34">
        <v>65</v>
      </c>
      <c r="K34" s="451"/>
    </row>
    <row r="35" spans="1:11" x14ac:dyDescent="0.35">
      <c r="A35" t="s">
        <v>3366</v>
      </c>
      <c r="B35" t="s">
        <v>1389</v>
      </c>
      <c r="C35">
        <v>33</v>
      </c>
      <c r="D35">
        <v>0</v>
      </c>
      <c r="E35">
        <v>0</v>
      </c>
      <c r="F35">
        <v>0</v>
      </c>
      <c r="G35">
        <v>0</v>
      </c>
      <c r="H35">
        <v>33</v>
      </c>
      <c r="I35">
        <v>2</v>
      </c>
      <c r="K35" s="451"/>
    </row>
    <row r="36" spans="1:11" x14ac:dyDescent="0.35">
      <c r="A36" t="s">
        <v>2339</v>
      </c>
      <c r="B36" t="s">
        <v>1794</v>
      </c>
      <c r="C36">
        <v>0</v>
      </c>
      <c r="D36">
        <v>0</v>
      </c>
      <c r="E36">
        <v>100</v>
      </c>
      <c r="F36">
        <v>0</v>
      </c>
      <c r="G36">
        <v>0</v>
      </c>
      <c r="H36">
        <v>100</v>
      </c>
      <c r="I36">
        <v>1</v>
      </c>
      <c r="K36" s="451"/>
    </row>
    <row r="37" spans="1:11" x14ac:dyDescent="0.35">
      <c r="A37" t="s">
        <v>3164</v>
      </c>
      <c r="B37" t="s">
        <v>1145</v>
      </c>
      <c r="C37">
        <v>5749</v>
      </c>
      <c r="D37">
        <v>1</v>
      </c>
      <c r="E37">
        <v>7</v>
      </c>
      <c r="F37">
        <v>251</v>
      </c>
      <c r="G37">
        <v>536</v>
      </c>
      <c r="H37">
        <v>6544</v>
      </c>
      <c r="I37">
        <v>19</v>
      </c>
      <c r="K37" s="451"/>
    </row>
    <row r="38" spans="1:11" x14ac:dyDescent="0.35">
      <c r="A38" t="s">
        <v>2227</v>
      </c>
      <c r="B38" t="s">
        <v>1146</v>
      </c>
      <c r="C38">
        <v>136</v>
      </c>
      <c r="D38">
        <v>3</v>
      </c>
      <c r="E38">
        <v>74</v>
      </c>
      <c r="F38">
        <v>0</v>
      </c>
      <c r="G38">
        <v>0</v>
      </c>
      <c r="H38">
        <v>213</v>
      </c>
      <c r="I38">
        <v>9</v>
      </c>
      <c r="K38" s="451"/>
    </row>
    <row r="39" spans="1:11" x14ac:dyDescent="0.35">
      <c r="A39" t="s">
        <v>3294</v>
      </c>
      <c r="B39" t="s">
        <v>1390</v>
      </c>
      <c r="C39">
        <v>15</v>
      </c>
      <c r="D39">
        <v>0</v>
      </c>
      <c r="E39">
        <v>0</v>
      </c>
      <c r="F39">
        <v>0</v>
      </c>
      <c r="G39">
        <v>0</v>
      </c>
      <c r="H39">
        <v>15</v>
      </c>
      <c r="I39">
        <v>1</v>
      </c>
      <c r="K39" s="451"/>
    </row>
    <row r="40" spans="1:11" x14ac:dyDescent="0.35">
      <c r="A40" t="s">
        <v>2321</v>
      </c>
      <c r="B40" t="s">
        <v>1611</v>
      </c>
      <c r="C40">
        <v>12</v>
      </c>
      <c r="D40">
        <v>0</v>
      </c>
      <c r="E40">
        <v>0</v>
      </c>
      <c r="F40">
        <v>0</v>
      </c>
      <c r="G40">
        <v>0</v>
      </c>
      <c r="H40">
        <v>12</v>
      </c>
      <c r="I40">
        <v>1</v>
      </c>
      <c r="K40" s="451"/>
    </row>
    <row r="41" spans="1:11" x14ac:dyDescent="0.35">
      <c r="A41" t="s">
        <v>3274</v>
      </c>
      <c r="B41" t="s">
        <v>1147</v>
      </c>
      <c r="C41">
        <v>0</v>
      </c>
      <c r="D41">
        <v>28</v>
      </c>
      <c r="E41">
        <v>520</v>
      </c>
      <c r="F41">
        <v>0</v>
      </c>
      <c r="G41">
        <v>0</v>
      </c>
      <c r="H41">
        <v>548</v>
      </c>
      <c r="I41">
        <v>20</v>
      </c>
      <c r="K41" s="451"/>
    </row>
    <row r="42" spans="1:11" x14ac:dyDescent="0.35">
      <c r="A42" t="s">
        <v>3248</v>
      </c>
      <c r="B42" t="s">
        <v>1093</v>
      </c>
      <c r="C42">
        <v>4</v>
      </c>
      <c r="D42">
        <v>0</v>
      </c>
      <c r="E42">
        <v>1467</v>
      </c>
      <c r="F42">
        <v>0</v>
      </c>
      <c r="G42">
        <v>685</v>
      </c>
      <c r="H42">
        <v>2156</v>
      </c>
      <c r="I42">
        <v>148</v>
      </c>
      <c r="K42" s="451"/>
    </row>
    <row r="43" spans="1:11" x14ac:dyDescent="0.35">
      <c r="A43" t="s">
        <v>14130</v>
      </c>
      <c r="B43" t="s">
        <v>14131</v>
      </c>
      <c r="C43">
        <v>0</v>
      </c>
      <c r="D43">
        <v>0</v>
      </c>
      <c r="E43">
        <v>0</v>
      </c>
      <c r="F43">
        <v>0</v>
      </c>
      <c r="G43">
        <v>0</v>
      </c>
      <c r="H43">
        <v>0</v>
      </c>
      <c r="I43">
        <v>0</v>
      </c>
      <c r="K43" s="451"/>
    </row>
    <row r="44" spans="1:11" x14ac:dyDescent="0.35">
      <c r="A44" t="s">
        <v>3018</v>
      </c>
      <c r="B44" t="s">
        <v>1795</v>
      </c>
      <c r="C44">
        <v>0</v>
      </c>
      <c r="D44">
        <v>0</v>
      </c>
      <c r="E44">
        <v>0</v>
      </c>
      <c r="F44">
        <v>241</v>
      </c>
      <c r="G44">
        <v>0</v>
      </c>
      <c r="H44">
        <v>241</v>
      </c>
      <c r="I44">
        <v>3</v>
      </c>
      <c r="K44" s="451"/>
    </row>
    <row r="45" spans="1:11" x14ac:dyDescent="0.35">
      <c r="A45" t="s">
        <v>2493</v>
      </c>
      <c r="B45" t="s">
        <v>1612</v>
      </c>
      <c r="C45">
        <v>31</v>
      </c>
      <c r="D45">
        <v>0</v>
      </c>
      <c r="E45">
        <v>0</v>
      </c>
      <c r="F45">
        <v>0</v>
      </c>
      <c r="G45">
        <v>0</v>
      </c>
      <c r="H45">
        <v>31</v>
      </c>
      <c r="I45">
        <v>1</v>
      </c>
      <c r="K45" s="451"/>
    </row>
    <row r="46" spans="1:11" x14ac:dyDescent="0.35">
      <c r="A46" t="s">
        <v>3297</v>
      </c>
      <c r="B46" t="s">
        <v>1391</v>
      </c>
      <c r="C46">
        <v>549</v>
      </c>
      <c r="D46">
        <v>2</v>
      </c>
      <c r="E46">
        <v>34</v>
      </c>
      <c r="F46">
        <v>48</v>
      </c>
      <c r="G46">
        <v>0</v>
      </c>
      <c r="H46">
        <v>633</v>
      </c>
      <c r="I46">
        <v>5</v>
      </c>
      <c r="K46" s="451"/>
    </row>
    <row r="47" spans="1:11" x14ac:dyDescent="0.35">
      <c r="A47" t="s">
        <v>3314</v>
      </c>
      <c r="B47" t="s">
        <v>1667</v>
      </c>
      <c r="C47">
        <v>0</v>
      </c>
      <c r="D47">
        <v>0</v>
      </c>
      <c r="E47">
        <v>0</v>
      </c>
      <c r="F47">
        <v>0</v>
      </c>
      <c r="G47">
        <v>0</v>
      </c>
      <c r="H47">
        <v>0</v>
      </c>
      <c r="I47">
        <v>0</v>
      </c>
      <c r="K47" s="451"/>
    </row>
    <row r="48" spans="1:11" x14ac:dyDescent="0.35">
      <c r="A48" t="s">
        <v>2791</v>
      </c>
      <c r="B48" t="s">
        <v>1613</v>
      </c>
      <c r="C48">
        <v>12</v>
      </c>
      <c r="D48">
        <v>0</v>
      </c>
      <c r="E48">
        <v>0</v>
      </c>
      <c r="F48">
        <v>0</v>
      </c>
      <c r="G48">
        <v>0</v>
      </c>
      <c r="H48">
        <v>12</v>
      </c>
      <c r="I48">
        <v>1</v>
      </c>
      <c r="K48" s="451"/>
    </row>
    <row r="49" spans="1:11" x14ac:dyDescent="0.35">
      <c r="A49" t="s">
        <v>2442</v>
      </c>
      <c r="B49" t="s">
        <v>1268</v>
      </c>
      <c r="C49">
        <v>14</v>
      </c>
      <c r="D49">
        <v>0</v>
      </c>
      <c r="E49">
        <v>0</v>
      </c>
      <c r="F49">
        <v>0</v>
      </c>
      <c r="G49">
        <v>0</v>
      </c>
      <c r="H49">
        <v>14</v>
      </c>
      <c r="I49">
        <v>1</v>
      </c>
      <c r="K49" s="451"/>
    </row>
    <row r="50" spans="1:11" x14ac:dyDescent="0.35">
      <c r="A50" t="s">
        <v>14132</v>
      </c>
      <c r="B50" t="s">
        <v>14133</v>
      </c>
      <c r="C50">
        <v>0</v>
      </c>
      <c r="D50">
        <v>0</v>
      </c>
      <c r="E50">
        <v>0</v>
      </c>
      <c r="F50">
        <v>0</v>
      </c>
      <c r="G50">
        <v>0</v>
      </c>
      <c r="H50">
        <v>0</v>
      </c>
      <c r="I50">
        <v>0</v>
      </c>
      <c r="K50" s="451"/>
    </row>
    <row r="51" spans="1:11" x14ac:dyDescent="0.35">
      <c r="A51" t="s">
        <v>2284</v>
      </c>
      <c r="B51" t="s">
        <v>1148</v>
      </c>
      <c r="C51">
        <v>222</v>
      </c>
      <c r="D51">
        <v>0</v>
      </c>
      <c r="E51">
        <v>0</v>
      </c>
      <c r="F51">
        <v>0</v>
      </c>
      <c r="G51">
        <v>0</v>
      </c>
      <c r="H51">
        <v>222</v>
      </c>
      <c r="I51">
        <v>4</v>
      </c>
      <c r="K51" s="451"/>
    </row>
    <row r="52" spans="1:11" x14ac:dyDescent="0.35">
      <c r="A52" t="s">
        <v>2824</v>
      </c>
      <c r="B52" t="s">
        <v>1796</v>
      </c>
      <c r="C52">
        <v>46</v>
      </c>
      <c r="D52">
        <v>0</v>
      </c>
      <c r="E52">
        <v>0</v>
      </c>
      <c r="F52">
        <v>0</v>
      </c>
      <c r="G52">
        <v>0</v>
      </c>
      <c r="H52">
        <v>46</v>
      </c>
      <c r="I52">
        <v>1</v>
      </c>
      <c r="K52" s="451"/>
    </row>
    <row r="53" spans="1:11" x14ac:dyDescent="0.35">
      <c r="A53" t="s">
        <v>2599</v>
      </c>
      <c r="B53" t="s">
        <v>1797</v>
      </c>
      <c r="C53">
        <v>0</v>
      </c>
      <c r="D53">
        <v>0</v>
      </c>
      <c r="E53">
        <v>0</v>
      </c>
      <c r="F53">
        <v>10</v>
      </c>
      <c r="G53">
        <v>0</v>
      </c>
      <c r="H53">
        <v>10</v>
      </c>
      <c r="I53">
        <v>1</v>
      </c>
      <c r="K53" s="451"/>
    </row>
    <row r="54" spans="1:11" x14ac:dyDescent="0.35">
      <c r="A54" t="s">
        <v>2563</v>
      </c>
      <c r="B54" t="s">
        <v>2135</v>
      </c>
      <c r="C54">
        <v>6</v>
      </c>
      <c r="D54">
        <v>0</v>
      </c>
      <c r="E54">
        <v>0</v>
      </c>
      <c r="F54">
        <v>0</v>
      </c>
      <c r="G54">
        <v>0</v>
      </c>
      <c r="H54">
        <v>6</v>
      </c>
      <c r="I54">
        <v>1</v>
      </c>
      <c r="K54" s="451"/>
    </row>
    <row r="55" spans="1:11" x14ac:dyDescent="0.35">
      <c r="A55" t="s">
        <v>2477</v>
      </c>
      <c r="B55" t="s">
        <v>1392</v>
      </c>
      <c r="C55">
        <v>0</v>
      </c>
      <c r="D55">
        <v>0</v>
      </c>
      <c r="E55">
        <v>0</v>
      </c>
      <c r="F55">
        <v>12</v>
      </c>
      <c r="G55">
        <v>0</v>
      </c>
      <c r="H55">
        <v>12</v>
      </c>
      <c r="I55">
        <v>1</v>
      </c>
      <c r="K55" s="451"/>
    </row>
    <row r="56" spans="1:11" x14ac:dyDescent="0.35">
      <c r="A56" t="s">
        <v>14134</v>
      </c>
      <c r="B56" t="s">
        <v>14135</v>
      </c>
      <c r="C56">
        <v>0</v>
      </c>
      <c r="D56">
        <v>0</v>
      </c>
      <c r="E56">
        <v>0</v>
      </c>
      <c r="F56">
        <v>17</v>
      </c>
      <c r="G56">
        <v>0</v>
      </c>
      <c r="H56">
        <v>17</v>
      </c>
      <c r="I56">
        <v>1</v>
      </c>
      <c r="K56" s="451"/>
    </row>
    <row r="57" spans="1:11" x14ac:dyDescent="0.35">
      <c r="A57" t="s">
        <v>2554</v>
      </c>
      <c r="B57" t="s">
        <v>1798</v>
      </c>
      <c r="C57">
        <v>12</v>
      </c>
      <c r="D57">
        <v>0</v>
      </c>
      <c r="E57">
        <v>0</v>
      </c>
      <c r="F57">
        <v>0</v>
      </c>
      <c r="G57">
        <v>0</v>
      </c>
      <c r="H57">
        <v>12</v>
      </c>
      <c r="I57">
        <v>1</v>
      </c>
      <c r="K57" s="451"/>
    </row>
    <row r="58" spans="1:11" x14ac:dyDescent="0.35">
      <c r="A58" t="s">
        <v>3035</v>
      </c>
      <c r="B58" t="s">
        <v>1668</v>
      </c>
      <c r="C58">
        <v>0</v>
      </c>
      <c r="D58">
        <v>0</v>
      </c>
      <c r="E58">
        <v>0</v>
      </c>
      <c r="F58">
        <v>960</v>
      </c>
      <c r="G58">
        <v>0</v>
      </c>
      <c r="H58">
        <v>960</v>
      </c>
      <c r="I58">
        <v>11</v>
      </c>
      <c r="K58" s="451"/>
    </row>
    <row r="59" spans="1:11" x14ac:dyDescent="0.35">
      <c r="A59" t="s">
        <v>2729</v>
      </c>
      <c r="B59" t="s">
        <v>2055</v>
      </c>
      <c r="C59">
        <v>33</v>
      </c>
      <c r="D59">
        <v>0</v>
      </c>
      <c r="E59">
        <v>0</v>
      </c>
      <c r="F59">
        <v>0</v>
      </c>
      <c r="G59">
        <v>0</v>
      </c>
      <c r="H59">
        <v>33</v>
      </c>
      <c r="I59">
        <v>1</v>
      </c>
      <c r="K59" s="451"/>
    </row>
    <row r="60" spans="1:11" x14ac:dyDescent="0.35">
      <c r="A60" t="s">
        <v>2674</v>
      </c>
      <c r="B60" t="s">
        <v>1669</v>
      </c>
      <c r="C60">
        <v>138</v>
      </c>
      <c r="D60">
        <v>0</v>
      </c>
      <c r="E60">
        <v>0</v>
      </c>
      <c r="F60">
        <v>0</v>
      </c>
      <c r="G60">
        <v>0</v>
      </c>
      <c r="H60">
        <v>138</v>
      </c>
      <c r="I60">
        <v>1</v>
      </c>
      <c r="K60" s="451"/>
    </row>
    <row r="61" spans="1:11" x14ac:dyDescent="0.35">
      <c r="A61" t="s">
        <v>11447</v>
      </c>
      <c r="B61" t="s">
        <v>11380</v>
      </c>
      <c r="C61">
        <v>1</v>
      </c>
      <c r="D61">
        <v>0</v>
      </c>
      <c r="E61">
        <v>0</v>
      </c>
      <c r="F61">
        <v>0</v>
      </c>
      <c r="G61">
        <v>0</v>
      </c>
      <c r="H61">
        <v>1</v>
      </c>
      <c r="I61">
        <v>1</v>
      </c>
      <c r="K61" s="451"/>
    </row>
    <row r="62" spans="1:11" x14ac:dyDescent="0.35">
      <c r="A62" t="s">
        <v>3326</v>
      </c>
      <c r="B62" t="s">
        <v>1096</v>
      </c>
      <c r="C62">
        <v>234</v>
      </c>
      <c r="D62">
        <v>0</v>
      </c>
      <c r="E62">
        <v>0</v>
      </c>
      <c r="F62">
        <v>35385</v>
      </c>
      <c r="G62">
        <v>1403</v>
      </c>
      <c r="H62">
        <v>37022</v>
      </c>
      <c r="I62">
        <v>256</v>
      </c>
      <c r="K62" s="451"/>
    </row>
    <row r="63" spans="1:11" x14ac:dyDescent="0.35">
      <c r="A63" t="s">
        <v>2269</v>
      </c>
      <c r="B63" t="s">
        <v>1799</v>
      </c>
      <c r="C63">
        <v>0</v>
      </c>
      <c r="D63">
        <v>0</v>
      </c>
      <c r="E63">
        <v>97</v>
      </c>
      <c r="F63">
        <v>0</v>
      </c>
      <c r="G63">
        <v>0</v>
      </c>
      <c r="H63">
        <v>97</v>
      </c>
      <c r="I63">
        <v>1</v>
      </c>
      <c r="K63" s="451"/>
    </row>
    <row r="64" spans="1:11" x14ac:dyDescent="0.35">
      <c r="A64" t="s">
        <v>2682</v>
      </c>
      <c r="B64" t="s">
        <v>11448</v>
      </c>
      <c r="C64">
        <v>49</v>
      </c>
      <c r="D64">
        <v>0</v>
      </c>
      <c r="E64">
        <v>0</v>
      </c>
      <c r="F64">
        <v>0</v>
      </c>
      <c r="G64">
        <v>0</v>
      </c>
      <c r="H64">
        <v>49</v>
      </c>
      <c r="I64">
        <v>1</v>
      </c>
      <c r="K64" s="451"/>
    </row>
    <row r="65" spans="1:11" x14ac:dyDescent="0.35">
      <c r="A65" t="s">
        <v>2524</v>
      </c>
      <c r="B65" t="s">
        <v>1800</v>
      </c>
      <c r="C65">
        <v>0</v>
      </c>
      <c r="D65">
        <v>0</v>
      </c>
      <c r="E65">
        <v>0</v>
      </c>
      <c r="F65">
        <v>6</v>
      </c>
      <c r="G65">
        <v>0</v>
      </c>
      <c r="H65">
        <v>6</v>
      </c>
      <c r="I65">
        <v>1</v>
      </c>
      <c r="K65" s="451"/>
    </row>
    <row r="66" spans="1:11" x14ac:dyDescent="0.35">
      <c r="A66" t="s">
        <v>2603</v>
      </c>
      <c r="B66" t="s">
        <v>11361</v>
      </c>
      <c r="C66">
        <v>33</v>
      </c>
      <c r="D66">
        <v>0</v>
      </c>
      <c r="E66">
        <v>0</v>
      </c>
      <c r="F66">
        <v>0</v>
      </c>
      <c r="G66">
        <v>0</v>
      </c>
      <c r="H66">
        <v>33</v>
      </c>
      <c r="I66">
        <v>1</v>
      </c>
      <c r="K66" s="451"/>
    </row>
    <row r="67" spans="1:11" x14ac:dyDescent="0.35">
      <c r="A67" t="s">
        <v>3194</v>
      </c>
      <c r="B67" t="s">
        <v>1393</v>
      </c>
      <c r="C67">
        <v>115</v>
      </c>
      <c r="D67">
        <v>0</v>
      </c>
      <c r="E67">
        <v>0</v>
      </c>
      <c r="F67">
        <v>0</v>
      </c>
      <c r="G67">
        <v>0</v>
      </c>
      <c r="H67">
        <v>115</v>
      </c>
      <c r="I67">
        <v>6</v>
      </c>
      <c r="K67" s="451"/>
    </row>
    <row r="68" spans="1:11" x14ac:dyDescent="0.35">
      <c r="A68" t="s">
        <v>3125</v>
      </c>
      <c r="B68" t="s">
        <v>1670</v>
      </c>
      <c r="C68">
        <v>945</v>
      </c>
      <c r="D68">
        <v>0</v>
      </c>
      <c r="E68">
        <v>0</v>
      </c>
      <c r="F68">
        <v>147</v>
      </c>
      <c r="G68">
        <v>6</v>
      </c>
      <c r="H68">
        <v>1098</v>
      </c>
      <c r="I68">
        <v>3</v>
      </c>
      <c r="K68" s="451"/>
    </row>
    <row r="69" spans="1:11" x14ac:dyDescent="0.35">
      <c r="A69" t="s">
        <v>3261</v>
      </c>
      <c r="B69" t="s">
        <v>1149</v>
      </c>
      <c r="C69">
        <v>1142</v>
      </c>
      <c r="D69">
        <v>0</v>
      </c>
      <c r="E69">
        <v>48</v>
      </c>
      <c r="F69">
        <v>0</v>
      </c>
      <c r="G69">
        <v>110</v>
      </c>
      <c r="H69">
        <v>1300</v>
      </c>
      <c r="I69">
        <v>3</v>
      </c>
      <c r="K69" s="451"/>
    </row>
    <row r="70" spans="1:11" x14ac:dyDescent="0.35">
      <c r="A70" t="s">
        <v>2975</v>
      </c>
      <c r="B70" t="s">
        <v>1150</v>
      </c>
      <c r="C70">
        <v>1115</v>
      </c>
      <c r="D70">
        <v>0</v>
      </c>
      <c r="E70">
        <v>0</v>
      </c>
      <c r="F70">
        <v>0</v>
      </c>
      <c r="G70">
        <v>72</v>
      </c>
      <c r="H70">
        <v>1187</v>
      </c>
      <c r="I70">
        <v>11</v>
      </c>
      <c r="K70" s="451"/>
    </row>
    <row r="71" spans="1:11" x14ac:dyDescent="0.35">
      <c r="A71" t="s">
        <v>2662</v>
      </c>
      <c r="B71" t="s">
        <v>1269</v>
      </c>
      <c r="C71">
        <v>9</v>
      </c>
      <c r="D71">
        <v>75</v>
      </c>
      <c r="E71">
        <v>0</v>
      </c>
      <c r="F71">
        <v>0</v>
      </c>
      <c r="G71">
        <v>0</v>
      </c>
      <c r="H71">
        <v>84</v>
      </c>
      <c r="I71">
        <v>1</v>
      </c>
      <c r="K71" s="451"/>
    </row>
    <row r="72" spans="1:11" x14ac:dyDescent="0.35">
      <c r="A72" t="s">
        <v>3304</v>
      </c>
      <c r="B72" t="s">
        <v>1270</v>
      </c>
      <c r="C72">
        <v>867</v>
      </c>
      <c r="D72">
        <v>0</v>
      </c>
      <c r="E72">
        <v>23</v>
      </c>
      <c r="F72">
        <v>0</v>
      </c>
      <c r="G72">
        <v>0</v>
      </c>
      <c r="H72">
        <v>890</v>
      </c>
      <c r="I72">
        <v>15</v>
      </c>
      <c r="K72" s="451"/>
    </row>
    <row r="73" spans="1:11" x14ac:dyDescent="0.35">
      <c r="A73" t="s">
        <v>11449</v>
      </c>
      <c r="B73" t="s">
        <v>11381</v>
      </c>
      <c r="C73">
        <v>61</v>
      </c>
      <c r="D73">
        <v>4</v>
      </c>
      <c r="E73">
        <v>0</v>
      </c>
      <c r="F73">
        <v>0</v>
      </c>
      <c r="G73">
        <v>0</v>
      </c>
      <c r="H73">
        <v>65</v>
      </c>
      <c r="I73">
        <v>1</v>
      </c>
      <c r="K73" s="451"/>
    </row>
    <row r="74" spans="1:11" x14ac:dyDescent="0.35">
      <c r="A74" t="s">
        <v>2272</v>
      </c>
      <c r="B74" t="s">
        <v>1151</v>
      </c>
      <c r="C74">
        <v>99</v>
      </c>
      <c r="D74">
        <v>0</v>
      </c>
      <c r="E74">
        <v>106</v>
      </c>
      <c r="F74">
        <v>0</v>
      </c>
      <c r="G74">
        <v>0</v>
      </c>
      <c r="H74">
        <v>205</v>
      </c>
      <c r="I74">
        <v>34</v>
      </c>
      <c r="K74" s="451"/>
    </row>
    <row r="75" spans="1:11" x14ac:dyDescent="0.35">
      <c r="A75" t="s">
        <v>2749</v>
      </c>
      <c r="B75" t="s">
        <v>1394</v>
      </c>
      <c r="C75">
        <v>23</v>
      </c>
      <c r="D75">
        <v>0</v>
      </c>
      <c r="E75">
        <v>0</v>
      </c>
      <c r="F75">
        <v>0</v>
      </c>
      <c r="G75">
        <v>0</v>
      </c>
      <c r="H75">
        <v>23</v>
      </c>
      <c r="I75">
        <v>1</v>
      </c>
      <c r="K75" s="451"/>
    </row>
    <row r="76" spans="1:11" x14ac:dyDescent="0.35">
      <c r="A76" t="s">
        <v>2270</v>
      </c>
      <c r="B76" t="s">
        <v>2056</v>
      </c>
      <c r="C76">
        <v>0</v>
      </c>
      <c r="D76">
        <v>0</v>
      </c>
      <c r="E76">
        <v>0</v>
      </c>
      <c r="F76">
        <v>0</v>
      </c>
      <c r="G76">
        <v>0</v>
      </c>
      <c r="H76">
        <v>0</v>
      </c>
      <c r="I76">
        <v>0</v>
      </c>
      <c r="K76" s="451"/>
    </row>
    <row r="77" spans="1:11" x14ac:dyDescent="0.35">
      <c r="A77" t="s">
        <v>2375</v>
      </c>
      <c r="B77" t="s">
        <v>1271</v>
      </c>
      <c r="C77">
        <v>6</v>
      </c>
      <c r="D77">
        <v>0</v>
      </c>
      <c r="E77">
        <v>0</v>
      </c>
      <c r="F77">
        <v>0</v>
      </c>
      <c r="G77">
        <v>0</v>
      </c>
      <c r="H77">
        <v>6</v>
      </c>
      <c r="I77">
        <v>1</v>
      </c>
      <c r="K77" s="451"/>
    </row>
    <row r="78" spans="1:11" x14ac:dyDescent="0.35">
      <c r="A78" t="s">
        <v>2565</v>
      </c>
      <c r="B78" t="s">
        <v>1152</v>
      </c>
      <c r="C78">
        <v>46</v>
      </c>
      <c r="D78">
        <v>0</v>
      </c>
      <c r="E78">
        <v>0</v>
      </c>
      <c r="F78">
        <v>0</v>
      </c>
      <c r="G78">
        <v>0</v>
      </c>
      <c r="H78">
        <v>46</v>
      </c>
      <c r="I78">
        <v>1</v>
      </c>
      <c r="K78" s="451"/>
    </row>
    <row r="79" spans="1:11" x14ac:dyDescent="0.35">
      <c r="A79" t="s">
        <v>2828</v>
      </c>
      <c r="B79" t="s">
        <v>1801</v>
      </c>
      <c r="C79">
        <v>40</v>
      </c>
      <c r="D79">
        <v>0</v>
      </c>
      <c r="E79">
        <v>0</v>
      </c>
      <c r="F79">
        <v>0</v>
      </c>
      <c r="G79">
        <v>0</v>
      </c>
      <c r="H79">
        <v>40</v>
      </c>
      <c r="I79">
        <v>1</v>
      </c>
      <c r="K79" s="451"/>
    </row>
    <row r="80" spans="1:11" x14ac:dyDescent="0.35">
      <c r="A80" t="s">
        <v>2264</v>
      </c>
      <c r="B80" t="s">
        <v>1948</v>
      </c>
      <c r="C80">
        <v>12</v>
      </c>
      <c r="D80">
        <v>0</v>
      </c>
      <c r="E80">
        <v>492</v>
      </c>
      <c r="F80">
        <v>0</v>
      </c>
      <c r="G80">
        <v>0</v>
      </c>
      <c r="H80">
        <v>504</v>
      </c>
      <c r="I80">
        <v>4</v>
      </c>
      <c r="K80" s="451"/>
    </row>
    <row r="81" spans="1:11" x14ac:dyDescent="0.35">
      <c r="A81" t="s">
        <v>2806</v>
      </c>
      <c r="B81" t="s">
        <v>1395</v>
      </c>
      <c r="C81">
        <v>150</v>
      </c>
      <c r="D81">
        <v>0</v>
      </c>
      <c r="E81">
        <v>0</v>
      </c>
      <c r="F81">
        <v>0</v>
      </c>
      <c r="G81">
        <v>0</v>
      </c>
      <c r="H81">
        <v>150</v>
      </c>
      <c r="I81">
        <v>3</v>
      </c>
      <c r="K81" s="451"/>
    </row>
    <row r="82" spans="1:11" x14ac:dyDescent="0.35">
      <c r="A82" t="s">
        <v>3157</v>
      </c>
      <c r="B82" t="s">
        <v>1671</v>
      </c>
      <c r="C82">
        <v>954</v>
      </c>
      <c r="D82">
        <v>0</v>
      </c>
      <c r="E82">
        <v>0</v>
      </c>
      <c r="F82">
        <v>0</v>
      </c>
      <c r="G82">
        <v>0</v>
      </c>
      <c r="H82">
        <v>954</v>
      </c>
      <c r="I82">
        <v>1</v>
      </c>
      <c r="K82" s="451"/>
    </row>
    <row r="83" spans="1:11" x14ac:dyDescent="0.35">
      <c r="A83" t="s">
        <v>3166</v>
      </c>
      <c r="B83" t="s">
        <v>1672</v>
      </c>
      <c r="C83">
        <v>8169</v>
      </c>
      <c r="D83">
        <v>0</v>
      </c>
      <c r="E83">
        <v>0</v>
      </c>
      <c r="F83">
        <v>547</v>
      </c>
      <c r="G83">
        <v>464</v>
      </c>
      <c r="H83">
        <v>9180</v>
      </c>
      <c r="I83">
        <v>8</v>
      </c>
      <c r="K83" s="451"/>
    </row>
    <row r="84" spans="1:11" x14ac:dyDescent="0.35">
      <c r="A84" t="s">
        <v>2277</v>
      </c>
      <c r="B84" t="s">
        <v>1673</v>
      </c>
      <c r="C84">
        <v>0</v>
      </c>
      <c r="D84">
        <v>0</v>
      </c>
      <c r="E84">
        <v>86</v>
      </c>
      <c r="F84">
        <v>0</v>
      </c>
      <c r="G84">
        <v>0</v>
      </c>
      <c r="H84">
        <v>86</v>
      </c>
      <c r="I84">
        <v>9</v>
      </c>
      <c r="K84" s="451"/>
    </row>
    <row r="85" spans="1:11" x14ac:dyDescent="0.35">
      <c r="A85" t="s">
        <v>2391</v>
      </c>
      <c r="B85" t="s">
        <v>1802</v>
      </c>
      <c r="C85">
        <v>892</v>
      </c>
      <c r="D85">
        <v>0</v>
      </c>
      <c r="E85">
        <v>1</v>
      </c>
      <c r="F85">
        <v>0</v>
      </c>
      <c r="G85">
        <v>139</v>
      </c>
      <c r="H85">
        <v>1032</v>
      </c>
      <c r="I85">
        <v>12</v>
      </c>
      <c r="K85" s="451"/>
    </row>
    <row r="86" spans="1:11" x14ac:dyDescent="0.35">
      <c r="A86" t="s">
        <v>2249</v>
      </c>
      <c r="B86" t="s">
        <v>1098</v>
      </c>
      <c r="C86">
        <v>15504</v>
      </c>
      <c r="D86">
        <v>0</v>
      </c>
      <c r="E86">
        <v>469</v>
      </c>
      <c r="F86">
        <v>1385</v>
      </c>
      <c r="G86">
        <v>2380</v>
      </c>
      <c r="H86">
        <v>19738</v>
      </c>
      <c r="I86">
        <v>41</v>
      </c>
      <c r="K86" s="451"/>
    </row>
    <row r="87" spans="1:11" x14ac:dyDescent="0.35">
      <c r="A87" t="s">
        <v>14136</v>
      </c>
      <c r="B87" t="s">
        <v>14137</v>
      </c>
      <c r="C87">
        <v>0</v>
      </c>
      <c r="D87">
        <v>0</v>
      </c>
      <c r="E87">
        <v>0</v>
      </c>
      <c r="F87">
        <v>0</v>
      </c>
      <c r="G87">
        <v>0</v>
      </c>
      <c r="H87">
        <v>0</v>
      </c>
      <c r="I87">
        <v>0</v>
      </c>
      <c r="K87" s="451"/>
    </row>
    <row r="88" spans="1:11" x14ac:dyDescent="0.35">
      <c r="A88" t="s">
        <v>2610</v>
      </c>
      <c r="B88" t="s">
        <v>1153</v>
      </c>
      <c r="C88">
        <v>3</v>
      </c>
      <c r="D88">
        <v>0</v>
      </c>
      <c r="E88">
        <v>0</v>
      </c>
      <c r="F88">
        <v>0</v>
      </c>
      <c r="G88">
        <v>0</v>
      </c>
      <c r="H88">
        <v>3</v>
      </c>
      <c r="I88">
        <v>1</v>
      </c>
      <c r="K88" s="451"/>
    </row>
    <row r="89" spans="1:11" x14ac:dyDescent="0.35">
      <c r="A89" t="s">
        <v>3275</v>
      </c>
      <c r="B89" t="s">
        <v>1396</v>
      </c>
      <c r="C89">
        <v>19</v>
      </c>
      <c r="D89">
        <v>7</v>
      </c>
      <c r="E89">
        <v>0</v>
      </c>
      <c r="F89">
        <v>0</v>
      </c>
      <c r="G89">
        <v>0</v>
      </c>
      <c r="H89">
        <v>26</v>
      </c>
      <c r="I89">
        <v>1</v>
      </c>
      <c r="K89" s="451"/>
    </row>
    <row r="90" spans="1:11" x14ac:dyDescent="0.35">
      <c r="A90" t="s">
        <v>2739</v>
      </c>
      <c r="B90" t="s">
        <v>1614</v>
      </c>
      <c r="C90">
        <v>31</v>
      </c>
      <c r="D90">
        <v>0</v>
      </c>
      <c r="E90">
        <v>0</v>
      </c>
      <c r="F90">
        <v>0</v>
      </c>
      <c r="G90">
        <v>0</v>
      </c>
      <c r="H90">
        <v>31</v>
      </c>
      <c r="I90">
        <v>1</v>
      </c>
      <c r="K90" s="451"/>
    </row>
    <row r="91" spans="1:11" x14ac:dyDescent="0.35">
      <c r="A91" t="s">
        <v>2248</v>
      </c>
      <c r="B91" t="s">
        <v>11370</v>
      </c>
      <c r="C91">
        <v>0</v>
      </c>
      <c r="D91">
        <v>0</v>
      </c>
      <c r="E91">
        <v>22</v>
      </c>
      <c r="F91">
        <v>0</v>
      </c>
      <c r="G91">
        <v>0</v>
      </c>
      <c r="H91">
        <v>22</v>
      </c>
      <c r="I91">
        <v>4</v>
      </c>
      <c r="K91" s="451"/>
    </row>
    <row r="92" spans="1:11" x14ac:dyDescent="0.35">
      <c r="A92" t="s">
        <v>2299</v>
      </c>
      <c r="B92" t="s">
        <v>1674</v>
      </c>
      <c r="C92">
        <v>43</v>
      </c>
      <c r="D92">
        <v>0</v>
      </c>
      <c r="E92">
        <v>0</v>
      </c>
      <c r="F92">
        <v>0</v>
      </c>
      <c r="G92">
        <v>0</v>
      </c>
      <c r="H92">
        <v>43</v>
      </c>
      <c r="I92">
        <v>6</v>
      </c>
      <c r="K92" s="451"/>
    </row>
    <row r="93" spans="1:11" x14ac:dyDescent="0.35">
      <c r="A93" t="s">
        <v>14138</v>
      </c>
      <c r="B93" t="s">
        <v>14139</v>
      </c>
      <c r="C93">
        <v>57</v>
      </c>
      <c r="D93">
        <v>0</v>
      </c>
      <c r="E93">
        <v>0</v>
      </c>
      <c r="F93">
        <v>0</v>
      </c>
      <c r="G93">
        <v>0</v>
      </c>
      <c r="H93">
        <v>57</v>
      </c>
      <c r="I93">
        <v>1</v>
      </c>
      <c r="K93" s="451"/>
    </row>
    <row r="94" spans="1:11" x14ac:dyDescent="0.35">
      <c r="A94" t="s">
        <v>2433</v>
      </c>
      <c r="B94" t="s">
        <v>1272</v>
      </c>
      <c r="C94">
        <v>0</v>
      </c>
      <c r="D94">
        <v>0</v>
      </c>
      <c r="E94">
        <v>0</v>
      </c>
      <c r="F94">
        <v>36</v>
      </c>
      <c r="G94">
        <v>0</v>
      </c>
      <c r="H94">
        <v>36</v>
      </c>
      <c r="I94">
        <v>1</v>
      </c>
      <c r="K94" s="451"/>
    </row>
    <row r="95" spans="1:11" x14ac:dyDescent="0.35">
      <c r="A95" t="s">
        <v>3197</v>
      </c>
      <c r="B95" t="s">
        <v>1273</v>
      </c>
      <c r="C95">
        <v>3625</v>
      </c>
      <c r="D95">
        <v>0</v>
      </c>
      <c r="E95">
        <v>0</v>
      </c>
      <c r="F95">
        <v>284</v>
      </c>
      <c r="G95">
        <v>334</v>
      </c>
      <c r="H95">
        <v>4243</v>
      </c>
      <c r="I95">
        <v>11</v>
      </c>
      <c r="K95" s="451"/>
    </row>
    <row r="96" spans="1:11" x14ac:dyDescent="0.35">
      <c r="A96" t="s">
        <v>2307</v>
      </c>
      <c r="B96" t="s">
        <v>1397</v>
      </c>
      <c r="C96">
        <v>2</v>
      </c>
      <c r="D96">
        <v>0</v>
      </c>
      <c r="E96">
        <v>0</v>
      </c>
      <c r="F96">
        <v>0</v>
      </c>
      <c r="G96">
        <v>0</v>
      </c>
      <c r="H96">
        <v>2</v>
      </c>
      <c r="I96">
        <v>1</v>
      </c>
      <c r="K96" s="451"/>
    </row>
    <row r="97" spans="1:11" x14ac:dyDescent="0.35">
      <c r="A97" t="s">
        <v>3276</v>
      </c>
      <c r="B97" t="s">
        <v>1274</v>
      </c>
      <c r="C97">
        <v>0</v>
      </c>
      <c r="D97">
        <v>0</v>
      </c>
      <c r="E97">
        <v>0</v>
      </c>
      <c r="F97">
        <v>69</v>
      </c>
      <c r="G97">
        <v>0</v>
      </c>
      <c r="H97">
        <v>69</v>
      </c>
      <c r="I97">
        <v>1</v>
      </c>
      <c r="K97" s="451"/>
    </row>
    <row r="98" spans="1:11" x14ac:dyDescent="0.35">
      <c r="A98" t="s">
        <v>2673</v>
      </c>
      <c r="B98" t="s">
        <v>2057</v>
      </c>
      <c r="C98">
        <v>78</v>
      </c>
      <c r="D98">
        <v>0</v>
      </c>
      <c r="E98">
        <v>0</v>
      </c>
      <c r="F98">
        <v>0</v>
      </c>
      <c r="G98">
        <v>0</v>
      </c>
      <c r="H98">
        <v>78</v>
      </c>
      <c r="I98">
        <v>1</v>
      </c>
      <c r="K98" s="451"/>
    </row>
    <row r="99" spans="1:11" x14ac:dyDescent="0.35">
      <c r="A99" t="s">
        <v>3223</v>
      </c>
      <c r="B99" t="s">
        <v>11382</v>
      </c>
      <c r="C99">
        <v>139</v>
      </c>
      <c r="D99">
        <v>0</v>
      </c>
      <c r="E99">
        <v>0</v>
      </c>
      <c r="F99">
        <v>0</v>
      </c>
      <c r="G99">
        <v>0</v>
      </c>
      <c r="H99">
        <v>139</v>
      </c>
      <c r="I99">
        <v>3</v>
      </c>
      <c r="K99" s="451"/>
    </row>
    <row r="100" spans="1:11" x14ac:dyDescent="0.35">
      <c r="A100" t="s">
        <v>14140</v>
      </c>
      <c r="B100" t="s">
        <v>14141</v>
      </c>
      <c r="C100">
        <v>0</v>
      </c>
      <c r="D100">
        <v>0</v>
      </c>
      <c r="E100">
        <v>0</v>
      </c>
      <c r="F100">
        <v>0</v>
      </c>
      <c r="G100">
        <v>0</v>
      </c>
      <c r="H100">
        <v>0</v>
      </c>
      <c r="I100">
        <v>0</v>
      </c>
      <c r="K100" s="451"/>
    </row>
    <row r="101" spans="1:11" x14ac:dyDescent="0.35">
      <c r="A101" t="s">
        <v>3105</v>
      </c>
      <c r="B101" t="s">
        <v>1398</v>
      </c>
      <c r="C101">
        <v>268</v>
      </c>
      <c r="D101">
        <v>0</v>
      </c>
      <c r="E101">
        <v>0</v>
      </c>
      <c r="F101">
        <v>31</v>
      </c>
      <c r="G101">
        <v>0</v>
      </c>
      <c r="H101">
        <v>299</v>
      </c>
      <c r="I101">
        <v>1</v>
      </c>
      <c r="K101" s="451"/>
    </row>
    <row r="102" spans="1:11" x14ac:dyDescent="0.35">
      <c r="A102" t="s">
        <v>2745</v>
      </c>
      <c r="B102" t="s">
        <v>1803</v>
      </c>
      <c r="C102">
        <v>45</v>
      </c>
      <c r="D102">
        <v>0</v>
      </c>
      <c r="E102">
        <v>0</v>
      </c>
      <c r="F102">
        <v>0</v>
      </c>
      <c r="G102">
        <v>0</v>
      </c>
      <c r="H102">
        <v>45</v>
      </c>
      <c r="I102">
        <v>1</v>
      </c>
      <c r="K102" s="451"/>
    </row>
    <row r="103" spans="1:11" x14ac:dyDescent="0.35">
      <c r="A103" t="s">
        <v>2660</v>
      </c>
      <c r="B103" t="s">
        <v>1399</v>
      </c>
      <c r="C103">
        <v>66</v>
      </c>
      <c r="D103">
        <v>0</v>
      </c>
      <c r="E103">
        <v>0</v>
      </c>
      <c r="F103">
        <v>0</v>
      </c>
      <c r="G103">
        <v>0</v>
      </c>
      <c r="H103">
        <v>66</v>
      </c>
      <c r="I103">
        <v>1</v>
      </c>
      <c r="K103" s="451"/>
    </row>
    <row r="104" spans="1:11" x14ac:dyDescent="0.35">
      <c r="A104" t="s">
        <v>3017</v>
      </c>
      <c r="B104" t="s">
        <v>1804</v>
      </c>
      <c r="C104">
        <v>8</v>
      </c>
      <c r="D104">
        <v>0</v>
      </c>
      <c r="E104">
        <v>0</v>
      </c>
      <c r="F104">
        <v>0</v>
      </c>
      <c r="G104">
        <v>0</v>
      </c>
      <c r="H104">
        <v>8</v>
      </c>
      <c r="I104">
        <v>1</v>
      </c>
      <c r="K104" s="451"/>
    </row>
    <row r="105" spans="1:11" x14ac:dyDescent="0.35">
      <c r="A105" t="s">
        <v>2815</v>
      </c>
      <c r="B105" t="s">
        <v>1400</v>
      </c>
      <c r="C105">
        <v>55</v>
      </c>
      <c r="D105">
        <v>0</v>
      </c>
      <c r="E105">
        <v>0</v>
      </c>
      <c r="F105">
        <v>0</v>
      </c>
      <c r="G105">
        <v>0</v>
      </c>
      <c r="H105">
        <v>55</v>
      </c>
      <c r="I105">
        <v>1</v>
      </c>
      <c r="K105" s="451"/>
    </row>
    <row r="106" spans="1:11" x14ac:dyDescent="0.35">
      <c r="A106" t="s">
        <v>3278</v>
      </c>
      <c r="B106" t="s">
        <v>1275</v>
      </c>
      <c r="C106">
        <v>63</v>
      </c>
      <c r="D106">
        <v>0</v>
      </c>
      <c r="E106">
        <v>0</v>
      </c>
      <c r="F106">
        <v>103</v>
      </c>
      <c r="G106">
        <v>0</v>
      </c>
      <c r="H106">
        <v>166</v>
      </c>
      <c r="I106">
        <v>1</v>
      </c>
      <c r="K106" s="451"/>
    </row>
    <row r="107" spans="1:11" x14ac:dyDescent="0.35">
      <c r="A107" t="s">
        <v>3365</v>
      </c>
      <c r="B107" t="s">
        <v>1675</v>
      </c>
      <c r="C107">
        <v>0</v>
      </c>
      <c r="D107">
        <v>0</v>
      </c>
      <c r="E107">
        <v>0</v>
      </c>
      <c r="F107">
        <v>0</v>
      </c>
      <c r="G107">
        <v>0</v>
      </c>
      <c r="H107">
        <v>0</v>
      </c>
      <c r="I107">
        <v>0</v>
      </c>
      <c r="K107" s="451"/>
    </row>
    <row r="108" spans="1:11" x14ac:dyDescent="0.35">
      <c r="A108" t="s">
        <v>2336</v>
      </c>
      <c r="B108" t="s">
        <v>1949</v>
      </c>
      <c r="C108">
        <v>4</v>
      </c>
      <c r="D108">
        <v>0</v>
      </c>
      <c r="E108">
        <v>0</v>
      </c>
      <c r="F108">
        <v>0</v>
      </c>
      <c r="G108">
        <v>0</v>
      </c>
      <c r="H108">
        <v>4</v>
      </c>
      <c r="I108">
        <v>1</v>
      </c>
      <c r="K108" s="451"/>
    </row>
    <row r="109" spans="1:11" x14ac:dyDescent="0.35">
      <c r="A109" t="s">
        <v>2655</v>
      </c>
      <c r="B109" t="s">
        <v>11362</v>
      </c>
      <c r="C109">
        <v>357</v>
      </c>
      <c r="D109">
        <v>0</v>
      </c>
      <c r="E109">
        <v>0</v>
      </c>
      <c r="F109">
        <v>21</v>
      </c>
      <c r="G109">
        <v>0</v>
      </c>
      <c r="H109">
        <v>378</v>
      </c>
      <c r="I109">
        <v>1</v>
      </c>
      <c r="K109" s="451"/>
    </row>
    <row r="110" spans="1:11" x14ac:dyDescent="0.35">
      <c r="A110" t="s">
        <v>2703</v>
      </c>
      <c r="B110" t="s">
        <v>1401</v>
      </c>
      <c r="C110">
        <v>22</v>
      </c>
      <c r="D110">
        <v>0</v>
      </c>
      <c r="E110">
        <v>0</v>
      </c>
      <c r="F110">
        <v>0</v>
      </c>
      <c r="G110">
        <v>0</v>
      </c>
      <c r="H110">
        <v>22</v>
      </c>
      <c r="I110">
        <v>1</v>
      </c>
      <c r="K110" s="451"/>
    </row>
    <row r="111" spans="1:11" x14ac:dyDescent="0.35">
      <c r="A111" t="s">
        <v>2414</v>
      </c>
      <c r="B111" t="s">
        <v>1615</v>
      </c>
      <c r="C111">
        <v>18151</v>
      </c>
      <c r="D111">
        <v>0</v>
      </c>
      <c r="E111">
        <v>0</v>
      </c>
      <c r="F111">
        <v>0</v>
      </c>
      <c r="G111">
        <v>3</v>
      </c>
      <c r="H111">
        <v>18154</v>
      </c>
      <c r="I111">
        <v>3</v>
      </c>
      <c r="K111" s="451"/>
    </row>
    <row r="112" spans="1:11" x14ac:dyDescent="0.35">
      <c r="A112" t="s">
        <v>2575</v>
      </c>
      <c r="B112" t="s">
        <v>1805</v>
      </c>
      <c r="C112">
        <v>9</v>
      </c>
      <c r="D112">
        <v>0</v>
      </c>
      <c r="E112">
        <v>0</v>
      </c>
      <c r="F112">
        <v>0</v>
      </c>
      <c r="G112">
        <v>0</v>
      </c>
      <c r="H112">
        <v>9</v>
      </c>
      <c r="I112">
        <v>1</v>
      </c>
      <c r="K112" s="451"/>
    </row>
    <row r="113" spans="1:11" x14ac:dyDescent="0.35">
      <c r="A113" t="s">
        <v>3302</v>
      </c>
      <c r="B113" t="s">
        <v>1616</v>
      </c>
      <c r="C113">
        <v>0</v>
      </c>
      <c r="D113">
        <v>0</v>
      </c>
      <c r="E113">
        <v>0</v>
      </c>
      <c r="F113">
        <v>35</v>
      </c>
      <c r="G113">
        <v>0</v>
      </c>
      <c r="H113">
        <v>35</v>
      </c>
      <c r="I113">
        <v>2</v>
      </c>
      <c r="K113" s="451"/>
    </row>
    <row r="114" spans="1:11" x14ac:dyDescent="0.35">
      <c r="A114" t="s">
        <v>2387</v>
      </c>
      <c r="B114" t="s">
        <v>1617</v>
      </c>
      <c r="C114">
        <v>10029</v>
      </c>
      <c r="D114">
        <v>0</v>
      </c>
      <c r="E114">
        <v>557</v>
      </c>
      <c r="F114">
        <v>2678</v>
      </c>
      <c r="G114">
        <v>369</v>
      </c>
      <c r="H114">
        <v>13633</v>
      </c>
      <c r="I114">
        <v>12</v>
      </c>
      <c r="K114" s="451"/>
    </row>
    <row r="115" spans="1:11" x14ac:dyDescent="0.35">
      <c r="A115" t="s">
        <v>2266</v>
      </c>
      <c r="B115" t="s">
        <v>11363</v>
      </c>
      <c r="C115">
        <v>0</v>
      </c>
      <c r="D115">
        <v>0</v>
      </c>
      <c r="E115">
        <v>1405</v>
      </c>
      <c r="F115">
        <v>0</v>
      </c>
      <c r="G115">
        <v>0</v>
      </c>
      <c r="H115">
        <v>1405</v>
      </c>
      <c r="I115">
        <v>105</v>
      </c>
      <c r="K115" s="451"/>
    </row>
    <row r="116" spans="1:11" x14ac:dyDescent="0.35">
      <c r="A116" t="s">
        <v>3036</v>
      </c>
      <c r="B116" t="s">
        <v>1154</v>
      </c>
      <c r="C116">
        <v>0</v>
      </c>
      <c r="D116">
        <v>0</v>
      </c>
      <c r="E116">
        <v>0</v>
      </c>
      <c r="F116">
        <v>9</v>
      </c>
      <c r="G116">
        <v>0</v>
      </c>
      <c r="H116">
        <v>9</v>
      </c>
      <c r="I116">
        <v>1</v>
      </c>
      <c r="K116" s="451"/>
    </row>
    <row r="117" spans="1:11" x14ac:dyDescent="0.35">
      <c r="A117" t="s">
        <v>3108</v>
      </c>
      <c r="B117" t="s">
        <v>2059</v>
      </c>
      <c r="C117">
        <v>8</v>
      </c>
      <c r="D117">
        <v>0</v>
      </c>
      <c r="E117">
        <v>0</v>
      </c>
      <c r="F117">
        <v>34</v>
      </c>
      <c r="G117">
        <v>0</v>
      </c>
      <c r="H117">
        <v>42</v>
      </c>
      <c r="I117">
        <v>1</v>
      </c>
      <c r="K117" s="451"/>
    </row>
    <row r="118" spans="1:11" x14ac:dyDescent="0.35">
      <c r="A118" t="s">
        <v>3056</v>
      </c>
      <c r="B118" t="s">
        <v>1277</v>
      </c>
      <c r="C118">
        <v>81</v>
      </c>
      <c r="D118">
        <v>0</v>
      </c>
      <c r="E118">
        <v>89</v>
      </c>
      <c r="F118">
        <v>0</v>
      </c>
      <c r="G118">
        <v>0</v>
      </c>
      <c r="H118">
        <v>170</v>
      </c>
      <c r="I118">
        <v>11</v>
      </c>
      <c r="K118" s="451"/>
    </row>
    <row r="119" spans="1:11" x14ac:dyDescent="0.35">
      <c r="A119" t="s">
        <v>3068</v>
      </c>
      <c r="B119" t="s">
        <v>2060</v>
      </c>
      <c r="C119">
        <v>1602</v>
      </c>
      <c r="D119">
        <v>0</v>
      </c>
      <c r="E119">
        <v>89</v>
      </c>
      <c r="F119">
        <v>229</v>
      </c>
      <c r="G119">
        <v>143</v>
      </c>
      <c r="H119">
        <v>2063</v>
      </c>
      <c r="I119">
        <v>5</v>
      </c>
      <c r="K119" s="451"/>
    </row>
    <row r="120" spans="1:11" x14ac:dyDescent="0.35">
      <c r="A120" t="s">
        <v>2216</v>
      </c>
      <c r="B120" t="s">
        <v>1278</v>
      </c>
      <c r="C120">
        <v>45</v>
      </c>
      <c r="D120">
        <v>0</v>
      </c>
      <c r="E120">
        <v>251</v>
      </c>
      <c r="F120">
        <v>0</v>
      </c>
      <c r="G120">
        <v>0</v>
      </c>
      <c r="H120">
        <v>296</v>
      </c>
      <c r="I120">
        <v>11</v>
      </c>
      <c r="K120" s="451"/>
    </row>
    <row r="121" spans="1:11" x14ac:dyDescent="0.35">
      <c r="A121" t="s">
        <v>2825</v>
      </c>
      <c r="B121" t="s">
        <v>1806</v>
      </c>
      <c r="C121">
        <v>42</v>
      </c>
      <c r="D121">
        <v>0</v>
      </c>
      <c r="E121">
        <v>0</v>
      </c>
      <c r="F121">
        <v>0</v>
      </c>
      <c r="G121">
        <v>0</v>
      </c>
      <c r="H121">
        <v>42</v>
      </c>
      <c r="I121">
        <v>1</v>
      </c>
      <c r="K121" s="451"/>
    </row>
    <row r="122" spans="1:11" x14ac:dyDescent="0.35">
      <c r="A122" t="s">
        <v>2267</v>
      </c>
      <c r="B122" t="s">
        <v>1677</v>
      </c>
      <c r="C122">
        <v>0</v>
      </c>
      <c r="D122">
        <v>0</v>
      </c>
      <c r="E122">
        <v>43</v>
      </c>
      <c r="F122">
        <v>0</v>
      </c>
      <c r="G122">
        <v>0</v>
      </c>
      <c r="H122">
        <v>43</v>
      </c>
      <c r="I122">
        <v>1</v>
      </c>
      <c r="K122" s="451"/>
    </row>
    <row r="123" spans="1:11" x14ac:dyDescent="0.35">
      <c r="A123" t="s">
        <v>2278</v>
      </c>
      <c r="B123" t="s">
        <v>1403</v>
      </c>
      <c r="C123">
        <v>0</v>
      </c>
      <c r="D123">
        <v>369</v>
      </c>
      <c r="E123">
        <v>215</v>
      </c>
      <c r="F123">
        <v>0</v>
      </c>
      <c r="G123">
        <v>0</v>
      </c>
      <c r="H123">
        <v>584</v>
      </c>
      <c r="I123">
        <v>16</v>
      </c>
      <c r="K123" s="451"/>
    </row>
    <row r="124" spans="1:11" x14ac:dyDescent="0.35">
      <c r="A124" t="s">
        <v>2639</v>
      </c>
      <c r="B124" t="s">
        <v>1155</v>
      </c>
      <c r="C124">
        <v>12</v>
      </c>
      <c r="D124">
        <v>0</v>
      </c>
      <c r="E124">
        <v>0</v>
      </c>
      <c r="F124">
        <v>0</v>
      </c>
      <c r="G124">
        <v>0</v>
      </c>
      <c r="H124">
        <v>12</v>
      </c>
      <c r="I124">
        <v>2</v>
      </c>
      <c r="K124" s="451"/>
    </row>
    <row r="125" spans="1:11" x14ac:dyDescent="0.35">
      <c r="A125" t="s">
        <v>2627</v>
      </c>
      <c r="B125" t="s">
        <v>1279</v>
      </c>
      <c r="C125">
        <v>0</v>
      </c>
      <c r="D125">
        <v>0</v>
      </c>
      <c r="E125">
        <v>28</v>
      </c>
      <c r="F125">
        <v>0</v>
      </c>
      <c r="G125">
        <v>0</v>
      </c>
      <c r="H125">
        <v>28</v>
      </c>
      <c r="I125">
        <v>1</v>
      </c>
      <c r="K125" s="451"/>
    </row>
    <row r="126" spans="1:11" x14ac:dyDescent="0.35">
      <c r="A126" t="s">
        <v>2197</v>
      </c>
      <c r="B126" t="s">
        <v>1678</v>
      </c>
      <c r="C126">
        <v>15172</v>
      </c>
      <c r="D126">
        <v>12</v>
      </c>
      <c r="E126">
        <v>107</v>
      </c>
      <c r="F126">
        <v>2221</v>
      </c>
      <c r="G126">
        <v>79</v>
      </c>
      <c r="H126">
        <v>17591</v>
      </c>
      <c r="I126">
        <v>6</v>
      </c>
      <c r="K126" s="451"/>
    </row>
    <row r="127" spans="1:11" x14ac:dyDescent="0.35">
      <c r="A127" t="s">
        <v>2798</v>
      </c>
      <c r="B127" t="s">
        <v>1619</v>
      </c>
      <c r="C127">
        <v>174</v>
      </c>
      <c r="D127">
        <v>0</v>
      </c>
      <c r="E127">
        <v>0</v>
      </c>
      <c r="F127">
        <v>0</v>
      </c>
      <c r="G127">
        <v>0</v>
      </c>
      <c r="H127">
        <v>174</v>
      </c>
      <c r="I127">
        <v>2</v>
      </c>
      <c r="K127" s="451"/>
    </row>
    <row r="128" spans="1:11" x14ac:dyDescent="0.35">
      <c r="A128" t="s">
        <v>2700</v>
      </c>
      <c r="B128" t="s">
        <v>14142</v>
      </c>
      <c r="C128">
        <v>39</v>
      </c>
      <c r="D128">
        <v>0</v>
      </c>
      <c r="E128">
        <v>0</v>
      </c>
      <c r="F128">
        <v>0</v>
      </c>
      <c r="G128">
        <v>0</v>
      </c>
      <c r="H128">
        <v>39</v>
      </c>
      <c r="I128">
        <v>1</v>
      </c>
      <c r="K128" s="451"/>
    </row>
    <row r="129" spans="1:11" x14ac:dyDescent="0.35">
      <c r="A129" t="s">
        <v>2641</v>
      </c>
      <c r="B129" t="s">
        <v>1807</v>
      </c>
      <c r="C129">
        <v>0</v>
      </c>
      <c r="D129">
        <v>0</v>
      </c>
      <c r="E129">
        <v>0</v>
      </c>
      <c r="F129">
        <v>2</v>
      </c>
      <c r="G129">
        <v>0</v>
      </c>
      <c r="H129">
        <v>2</v>
      </c>
      <c r="I129">
        <v>1</v>
      </c>
      <c r="K129" s="451"/>
    </row>
    <row r="130" spans="1:11" x14ac:dyDescent="0.35">
      <c r="A130" t="s">
        <v>2754</v>
      </c>
      <c r="B130" t="s">
        <v>2061</v>
      </c>
      <c r="C130">
        <v>34</v>
      </c>
      <c r="D130">
        <v>0</v>
      </c>
      <c r="E130">
        <v>0</v>
      </c>
      <c r="F130">
        <v>0</v>
      </c>
      <c r="G130">
        <v>0</v>
      </c>
      <c r="H130">
        <v>34</v>
      </c>
      <c r="I130">
        <v>1</v>
      </c>
      <c r="K130" s="451"/>
    </row>
    <row r="131" spans="1:11" x14ac:dyDescent="0.35">
      <c r="A131" t="s">
        <v>3029</v>
      </c>
      <c r="B131" t="s">
        <v>1950</v>
      </c>
      <c r="C131">
        <v>10</v>
      </c>
      <c r="D131">
        <v>0</v>
      </c>
      <c r="E131">
        <v>0</v>
      </c>
      <c r="F131">
        <v>11</v>
      </c>
      <c r="G131">
        <v>0</v>
      </c>
      <c r="H131">
        <v>21</v>
      </c>
      <c r="I131">
        <v>1</v>
      </c>
      <c r="K131" s="451"/>
    </row>
    <row r="132" spans="1:11" x14ac:dyDescent="0.35">
      <c r="A132" t="s">
        <v>14143</v>
      </c>
      <c r="B132" t="s">
        <v>14144</v>
      </c>
      <c r="C132">
        <v>0</v>
      </c>
      <c r="D132">
        <v>0</v>
      </c>
      <c r="E132">
        <v>0</v>
      </c>
      <c r="F132">
        <v>42</v>
      </c>
      <c r="G132">
        <v>0</v>
      </c>
      <c r="H132">
        <v>42</v>
      </c>
      <c r="I132">
        <v>1</v>
      </c>
      <c r="K132" s="451"/>
    </row>
    <row r="133" spans="1:11" x14ac:dyDescent="0.35">
      <c r="A133" t="s">
        <v>3242</v>
      </c>
      <c r="B133" t="s">
        <v>1808</v>
      </c>
      <c r="C133">
        <v>361</v>
      </c>
      <c r="D133">
        <v>14</v>
      </c>
      <c r="E133">
        <v>779</v>
      </c>
      <c r="F133">
        <v>51</v>
      </c>
      <c r="G133">
        <v>16</v>
      </c>
      <c r="H133">
        <v>1221</v>
      </c>
      <c r="I133">
        <v>10</v>
      </c>
      <c r="K133" s="451"/>
    </row>
    <row r="134" spans="1:11" x14ac:dyDescent="0.35">
      <c r="A134" t="s">
        <v>2940</v>
      </c>
      <c r="B134" t="s">
        <v>1951</v>
      </c>
      <c r="C134">
        <v>0</v>
      </c>
      <c r="D134">
        <v>0</v>
      </c>
      <c r="E134">
        <v>114</v>
      </c>
      <c r="F134">
        <v>0</v>
      </c>
      <c r="G134">
        <v>0</v>
      </c>
      <c r="H134">
        <v>114</v>
      </c>
      <c r="I134">
        <v>1</v>
      </c>
      <c r="K134" s="451"/>
    </row>
    <row r="135" spans="1:11" x14ac:dyDescent="0.35">
      <c r="A135" t="s">
        <v>3002</v>
      </c>
      <c r="B135" t="s">
        <v>2062</v>
      </c>
      <c r="C135">
        <v>2998</v>
      </c>
      <c r="D135">
        <v>0</v>
      </c>
      <c r="E135">
        <v>9</v>
      </c>
      <c r="F135">
        <v>262</v>
      </c>
      <c r="G135">
        <v>141</v>
      </c>
      <c r="H135">
        <v>3410</v>
      </c>
      <c r="I135">
        <v>2</v>
      </c>
      <c r="K135" s="451"/>
    </row>
    <row r="136" spans="1:11" x14ac:dyDescent="0.35">
      <c r="A136" t="s">
        <v>2656</v>
      </c>
      <c r="B136" t="s">
        <v>2063</v>
      </c>
      <c r="C136">
        <v>313</v>
      </c>
      <c r="D136">
        <v>0</v>
      </c>
      <c r="E136">
        <v>0</v>
      </c>
      <c r="F136">
        <v>0</v>
      </c>
      <c r="G136">
        <v>0</v>
      </c>
      <c r="H136">
        <v>313</v>
      </c>
      <c r="I136">
        <v>1</v>
      </c>
      <c r="K136" s="451"/>
    </row>
    <row r="137" spans="1:11" x14ac:dyDescent="0.35">
      <c r="A137" t="s">
        <v>2980</v>
      </c>
      <c r="B137" t="s">
        <v>1404</v>
      </c>
      <c r="C137">
        <v>0</v>
      </c>
      <c r="D137">
        <v>0</v>
      </c>
      <c r="E137">
        <v>0</v>
      </c>
      <c r="F137">
        <v>18</v>
      </c>
      <c r="G137">
        <v>0</v>
      </c>
      <c r="H137">
        <v>18</v>
      </c>
      <c r="I137">
        <v>1</v>
      </c>
      <c r="K137" s="451"/>
    </row>
    <row r="138" spans="1:11" x14ac:dyDescent="0.35">
      <c r="A138" t="s">
        <v>3310</v>
      </c>
      <c r="B138" t="s">
        <v>1156</v>
      </c>
      <c r="C138">
        <v>12117</v>
      </c>
      <c r="D138">
        <v>166</v>
      </c>
      <c r="E138">
        <v>195</v>
      </c>
      <c r="F138">
        <v>1010</v>
      </c>
      <c r="G138">
        <v>2960</v>
      </c>
      <c r="H138">
        <v>16448</v>
      </c>
      <c r="I138">
        <v>29</v>
      </c>
      <c r="K138" s="451"/>
    </row>
    <row r="139" spans="1:11" x14ac:dyDescent="0.35">
      <c r="A139" t="s">
        <v>2379</v>
      </c>
      <c r="B139" t="s">
        <v>2136</v>
      </c>
      <c r="C139">
        <v>0</v>
      </c>
      <c r="D139">
        <v>0</v>
      </c>
      <c r="E139">
        <v>75</v>
      </c>
      <c r="F139">
        <v>0</v>
      </c>
      <c r="G139">
        <v>0</v>
      </c>
      <c r="H139">
        <v>75</v>
      </c>
      <c r="I139">
        <v>1</v>
      </c>
      <c r="K139" s="451"/>
    </row>
    <row r="140" spans="1:11" x14ac:dyDescent="0.35">
      <c r="A140" t="s">
        <v>14145</v>
      </c>
      <c r="B140" t="s">
        <v>14146</v>
      </c>
      <c r="C140">
        <v>0</v>
      </c>
      <c r="D140">
        <v>0</v>
      </c>
      <c r="E140">
        <v>0</v>
      </c>
      <c r="F140">
        <v>10</v>
      </c>
      <c r="G140">
        <v>0</v>
      </c>
      <c r="H140">
        <v>10</v>
      </c>
      <c r="I140">
        <v>1</v>
      </c>
      <c r="K140" s="451"/>
    </row>
    <row r="141" spans="1:11" x14ac:dyDescent="0.35">
      <c r="A141" t="s">
        <v>2605</v>
      </c>
      <c r="B141" t="s">
        <v>1620</v>
      </c>
      <c r="C141">
        <v>12</v>
      </c>
      <c r="D141">
        <v>0</v>
      </c>
      <c r="E141">
        <v>0</v>
      </c>
      <c r="F141">
        <v>0</v>
      </c>
      <c r="G141">
        <v>0</v>
      </c>
      <c r="H141">
        <v>12</v>
      </c>
      <c r="I141">
        <v>1</v>
      </c>
      <c r="K141" s="451"/>
    </row>
    <row r="142" spans="1:11" x14ac:dyDescent="0.35">
      <c r="A142" t="s">
        <v>14147</v>
      </c>
      <c r="B142" t="s">
        <v>14148</v>
      </c>
      <c r="C142">
        <v>0</v>
      </c>
      <c r="D142">
        <v>0</v>
      </c>
      <c r="E142">
        <v>0</v>
      </c>
      <c r="F142">
        <v>7</v>
      </c>
      <c r="G142">
        <v>0</v>
      </c>
      <c r="H142">
        <v>7</v>
      </c>
      <c r="I142">
        <v>1</v>
      </c>
      <c r="K142" s="451"/>
    </row>
    <row r="143" spans="1:11" x14ac:dyDescent="0.35">
      <c r="A143" t="s">
        <v>2728</v>
      </c>
      <c r="B143" t="s">
        <v>1405</v>
      </c>
      <c r="C143">
        <v>50</v>
      </c>
      <c r="D143">
        <v>0</v>
      </c>
      <c r="E143">
        <v>0</v>
      </c>
      <c r="F143">
        <v>0</v>
      </c>
      <c r="G143">
        <v>0</v>
      </c>
      <c r="H143">
        <v>50</v>
      </c>
      <c r="I143">
        <v>1</v>
      </c>
      <c r="K143" s="451"/>
    </row>
    <row r="144" spans="1:11" x14ac:dyDescent="0.35">
      <c r="A144" t="s">
        <v>3031</v>
      </c>
      <c r="B144" t="s">
        <v>1280</v>
      </c>
      <c r="C144">
        <v>0</v>
      </c>
      <c r="D144">
        <v>0</v>
      </c>
      <c r="E144">
        <v>0</v>
      </c>
      <c r="F144">
        <v>6</v>
      </c>
      <c r="G144">
        <v>0</v>
      </c>
      <c r="H144">
        <v>6</v>
      </c>
      <c r="I144">
        <v>1</v>
      </c>
      <c r="K144" s="451"/>
    </row>
    <row r="145" spans="1:11" x14ac:dyDescent="0.35">
      <c r="A145" t="s">
        <v>14149</v>
      </c>
      <c r="B145" t="s">
        <v>14150</v>
      </c>
      <c r="C145">
        <v>0</v>
      </c>
      <c r="D145">
        <v>0</v>
      </c>
      <c r="E145">
        <v>0</v>
      </c>
      <c r="F145">
        <v>0</v>
      </c>
      <c r="G145">
        <v>0</v>
      </c>
      <c r="H145">
        <v>0</v>
      </c>
      <c r="I145">
        <v>0</v>
      </c>
      <c r="K145" s="451"/>
    </row>
    <row r="146" spans="1:11" x14ac:dyDescent="0.35">
      <c r="A146" t="s">
        <v>3044</v>
      </c>
      <c r="B146" t="s">
        <v>1281</v>
      </c>
      <c r="C146">
        <v>164</v>
      </c>
      <c r="D146">
        <v>7</v>
      </c>
      <c r="E146">
        <v>0</v>
      </c>
      <c r="F146">
        <v>0</v>
      </c>
      <c r="G146">
        <v>0</v>
      </c>
      <c r="H146">
        <v>171</v>
      </c>
      <c r="I146">
        <v>2</v>
      </c>
      <c r="K146" s="451"/>
    </row>
    <row r="147" spans="1:11" x14ac:dyDescent="0.35">
      <c r="A147" t="s">
        <v>14151</v>
      </c>
      <c r="B147" t="s">
        <v>14152</v>
      </c>
      <c r="C147">
        <v>0</v>
      </c>
      <c r="D147">
        <v>0</v>
      </c>
      <c r="E147">
        <v>0</v>
      </c>
      <c r="F147">
        <v>0</v>
      </c>
      <c r="G147">
        <v>0</v>
      </c>
      <c r="H147">
        <v>0</v>
      </c>
      <c r="I147">
        <v>0</v>
      </c>
      <c r="K147" s="451"/>
    </row>
    <row r="148" spans="1:11" x14ac:dyDescent="0.35">
      <c r="A148" t="s">
        <v>2280</v>
      </c>
      <c r="B148" t="s">
        <v>2137</v>
      </c>
      <c r="C148">
        <v>0</v>
      </c>
      <c r="D148">
        <v>2</v>
      </c>
      <c r="E148">
        <v>10</v>
      </c>
      <c r="F148">
        <v>0</v>
      </c>
      <c r="G148">
        <v>0</v>
      </c>
      <c r="H148">
        <v>12</v>
      </c>
      <c r="I148">
        <v>2</v>
      </c>
      <c r="K148" s="451"/>
    </row>
    <row r="149" spans="1:11" x14ac:dyDescent="0.35">
      <c r="A149" t="s">
        <v>2939</v>
      </c>
      <c r="B149" t="s">
        <v>11422</v>
      </c>
      <c r="C149">
        <v>0</v>
      </c>
      <c r="D149">
        <v>0</v>
      </c>
      <c r="E149">
        <v>269</v>
      </c>
      <c r="F149">
        <v>0</v>
      </c>
      <c r="G149">
        <v>0</v>
      </c>
      <c r="H149">
        <v>269</v>
      </c>
      <c r="I149">
        <v>4</v>
      </c>
      <c r="K149" s="451"/>
    </row>
    <row r="150" spans="1:11" x14ac:dyDescent="0.35">
      <c r="A150" t="s">
        <v>2944</v>
      </c>
      <c r="B150" t="s">
        <v>2064</v>
      </c>
      <c r="C150">
        <v>0</v>
      </c>
      <c r="D150">
        <v>0</v>
      </c>
      <c r="E150">
        <v>195</v>
      </c>
      <c r="F150">
        <v>0</v>
      </c>
      <c r="G150">
        <v>0</v>
      </c>
      <c r="H150">
        <v>195</v>
      </c>
      <c r="I150">
        <v>3</v>
      </c>
      <c r="K150" s="451"/>
    </row>
    <row r="151" spans="1:11" x14ac:dyDescent="0.35">
      <c r="A151" t="s">
        <v>3128</v>
      </c>
      <c r="B151" t="s">
        <v>11423</v>
      </c>
      <c r="C151">
        <v>2828</v>
      </c>
      <c r="D151">
        <v>0</v>
      </c>
      <c r="E151">
        <v>173</v>
      </c>
      <c r="F151">
        <v>26</v>
      </c>
      <c r="G151">
        <v>151</v>
      </c>
      <c r="H151">
        <v>3178</v>
      </c>
      <c r="I151">
        <v>9</v>
      </c>
      <c r="K151" s="451"/>
    </row>
    <row r="152" spans="1:11" x14ac:dyDescent="0.35">
      <c r="A152" t="s">
        <v>2492</v>
      </c>
      <c r="B152" t="s">
        <v>1809</v>
      </c>
      <c r="C152">
        <v>0</v>
      </c>
      <c r="D152">
        <v>0</v>
      </c>
      <c r="E152">
        <v>0</v>
      </c>
      <c r="F152">
        <v>12</v>
      </c>
      <c r="G152">
        <v>0</v>
      </c>
      <c r="H152">
        <v>12</v>
      </c>
      <c r="I152">
        <v>1</v>
      </c>
      <c r="K152" s="451"/>
    </row>
    <row r="153" spans="1:11" x14ac:dyDescent="0.35">
      <c r="A153" t="s">
        <v>2987</v>
      </c>
      <c r="B153" t="s">
        <v>1810</v>
      </c>
      <c r="C153">
        <v>0</v>
      </c>
      <c r="D153">
        <v>0</v>
      </c>
      <c r="E153">
        <v>19</v>
      </c>
      <c r="F153">
        <v>0</v>
      </c>
      <c r="G153">
        <v>0</v>
      </c>
      <c r="H153">
        <v>19</v>
      </c>
      <c r="I153">
        <v>1</v>
      </c>
      <c r="K153" s="451"/>
    </row>
    <row r="154" spans="1:11" x14ac:dyDescent="0.35">
      <c r="A154" t="s">
        <v>2780</v>
      </c>
      <c r="B154" t="s">
        <v>1406</v>
      </c>
      <c r="C154">
        <v>39</v>
      </c>
      <c r="D154">
        <v>0</v>
      </c>
      <c r="E154">
        <v>0</v>
      </c>
      <c r="F154">
        <v>0</v>
      </c>
      <c r="G154">
        <v>0</v>
      </c>
      <c r="H154">
        <v>39</v>
      </c>
      <c r="I154">
        <v>1</v>
      </c>
      <c r="K154" s="451"/>
    </row>
    <row r="155" spans="1:11" x14ac:dyDescent="0.35">
      <c r="A155" t="s">
        <v>2999</v>
      </c>
      <c r="B155" t="s">
        <v>1811</v>
      </c>
      <c r="C155">
        <v>26</v>
      </c>
      <c r="D155">
        <v>0</v>
      </c>
      <c r="E155">
        <v>0</v>
      </c>
      <c r="F155">
        <v>110</v>
      </c>
      <c r="G155">
        <v>0</v>
      </c>
      <c r="H155">
        <v>136</v>
      </c>
      <c r="I155">
        <v>1</v>
      </c>
      <c r="K155" s="451"/>
    </row>
    <row r="156" spans="1:11" x14ac:dyDescent="0.35">
      <c r="A156" t="s">
        <v>2924</v>
      </c>
      <c r="B156" t="s">
        <v>1812</v>
      </c>
      <c r="C156">
        <v>0</v>
      </c>
      <c r="D156">
        <v>0</v>
      </c>
      <c r="E156">
        <v>301</v>
      </c>
      <c r="F156">
        <v>0</v>
      </c>
      <c r="G156">
        <v>0</v>
      </c>
      <c r="H156">
        <v>301</v>
      </c>
      <c r="I156">
        <v>1</v>
      </c>
      <c r="K156" s="451"/>
    </row>
    <row r="157" spans="1:11" x14ac:dyDescent="0.35">
      <c r="A157" t="s">
        <v>2640</v>
      </c>
      <c r="B157" t="s">
        <v>1952</v>
      </c>
      <c r="C157">
        <v>0</v>
      </c>
      <c r="D157">
        <v>0</v>
      </c>
      <c r="E157">
        <v>22</v>
      </c>
      <c r="F157">
        <v>0</v>
      </c>
      <c r="G157">
        <v>0</v>
      </c>
      <c r="H157">
        <v>22</v>
      </c>
      <c r="I157">
        <v>1</v>
      </c>
      <c r="K157" s="451"/>
    </row>
    <row r="158" spans="1:11" x14ac:dyDescent="0.35">
      <c r="A158" t="s">
        <v>2333</v>
      </c>
      <c r="B158" t="s">
        <v>1953</v>
      </c>
      <c r="C158">
        <v>5</v>
      </c>
      <c r="D158">
        <v>0</v>
      </c>
      <c r="E158">
        <v>0</v>
      </c>
      <c r="F158">
        <v>0</v>
      </c>
      <c r="G158">
        <v>0</v>
      </c>
      <c r="H158">
        <v>5</v>
      </c>
      <c r="I158">
        <v>1</v>
      </c>
      <c r="K158" s="451"/>
    </row>
    <row r="159" spans="1:11" x14ac:dyDescent="0.35">
      <c r="A159" t="s">
        <v>3084</v>
      </c>
      <c r="B159" t="s">
        <v>1954</v>
      </c>
      <c r="C159">
        <v>74</v>
      </c>
      <c r="D159">
        <v>0</v>
      </c>
      <c r="E159">
        <v>0</v>
      </c>
      <c r="F159">
        <v>0</v>
      </c>
      <c r="G159">
        <v>0</v>
      </c>
      <c r="H159">
        <v>74</v>
      </c>
      <c r="I159">
        <v>3</v>
      </c>
      <c r="K159" s="451"/>
    </row>
    <row r="160" spans="1:11" x14ac:dyDescent="0.35">
      <c r="A160" t="s">
        <v>2681</v>
      </c>
      <c r="B160" t="s">
        <v>1407</v>
      </c>
      <c r="C160">
        <v>86</v>
      </c>
      <c r="D160">
        <v>0</v>
      </c>
      <c r="E160">
        <v>0</v>
      </c>
      <c r="F160">
        <v>0</v>
      </c>
      <c r="G160">
        <v>0</v>
      </c>
      <c r="H160">
        <v>86</v>
      </c>
      <c r="I160">
        <v>1</v>
      </c>
      <c r="K160" s="451"/>
    </row>
    <row r="161" spans="1:11" x14ac:dyDescent="0.35">
      <c r="A161" t="s">
        <v>3319</v>
      </c>
      <c r="B161" t="s">
        <v>1621</v>
      </c>
      <c r="C161">
        <v>5966</v>
      </c>
      <c r="D161">
        <v>6</v>
      </c>
      <c r="E161">
        <v>327</v>
      </c>
      <c r="F161">
        <v>0</v>
      </c>
      <c r="G161">
        <v>260</v>
      </c>
      <c r="H161">
        <v>6559</v>
      </c>
      <c r="I161">
        <v>11</v>
      </c>
      <c r="K161" s="451"/>
    </row>
    <row r="162" spans="1:11" x14ac:dyDescent="0.35">
      <c r="A162" t="s">
        <v>3161</v>
      </c>
      <c r="B162" t="s">
        <v>2065</v>
      </c>
      <c r="C162">
        <v>0</v>
      </c>
      <c r="D162">
        <v>0</v>
      </c>
      <c r="E162">
        <v>0</v>
      </c>
      <c r="F162">
        <v>148</v>
      </c>
      <c r="G162">
        <v>0</v>
      </c>
      <c r="H162">
        <v>148</v>
      </c>
      <c r="I162">
        <v>1</v>
      </c>
      <c r="K162" s="451"/>
    </row>
    <row r="163" spans="1:11" x14ac:dyDescent="0.35">
      <c r="A163" t="s">
        <v>2953</v>
      </c>
      <c r="B163" t="s">
        <v>1282</v>
      </c>
      <c r="C163">
        <v>4399</v>
      </c>
      <c r="D163">
        <v>0</v>
      </c>
      <c r="E163">
        <v>180</v>
      </c>
      <c r="F163">
        <v>599</v>
      </c>
      <c r="G163">
        <v>247</v>
      </c>
      <c r="H163">
        <v>5425</v>
      </c>
      <c r="I163">
        <v>10</v>
      </c>
      <c r="K163" s="451"/>
    </row>
    <row r="164" spans="1:11" x14ac:dyDescent="0.35">
      <c r="A164" t="s">
        <v>14153</v>
      </c>
      <c r="B164" t="s">
        <v>14154</v>
      </c>
      <c r="C164">
        <v>26</v>
      </c>
      <c r="D164">
        <v>0</v>
      </c>
      <c r="E164">
        <v>0</v>
      </c>
      <c r="F164">
        <v>0</v>
      </c>
      <c r="G164">
        <v>0</v>
      </c>
      <c r="H164">
        <v>26</v>
      </c>
      <c r="I164">
        <v>1</v>
      </c>
      <c r="K164" s="451"/>
    </row>
    <row r="165" spans="1:11" x14ac:dyDescent="0.35">
      <c r="A165" t="s">
        <v>3196</v>
      </c>
      <c r="B165" t="s">
        <v>1157</v>
      </c>
      <c r="C165">
        <v>68</v>
      </c>
      <c r="D165">
        <v>0</v>
      </c>
      <c r="E165">
        <v>16</v>
      </c>
      <c r="F165">
        <v>0</v>
      </c>
      <c r="G165">
        <v>0</v>
      </c>
      <c r="H165">
        <v>84</v>
      </c>
      <c r="I165">
        <v>5</v>
      </c>
      <c r="K165" s="451"/>
    </row>
    <row r="166" spans="1:11" x14ac:dyDescent="0.35">
      <c r="A166" t="s">
        <v>2346</v>
      </c>
      <c r="B166" t="s">
        <v>1158</v>
      </c>
      <c r="C166">
        <v>24111</v>
      </c>
      <c r="D166">
        <v>14</v>
      </c>
      <c r="E166">
        <v>831</v>
      </c>
      <c r="F166">
        <v>841</v>
      </c>
      <c r="G166">
        <v>3609</v>
      </c>
      <c r="H166">
        <v>29406</v>
      </c>
      <c r="I166">
        <v>37</v>
      </c>
      <c r="K166" s="451"/>
    </row>
    <row r="167" spans="1:11" x14ac:dyDescent="0.35">
      <c r="A167" t="s">
        <v>14155</v>
      </c>
      <c r="B167" t="s">
        <v>14156</v>
      </c>
      <c r="C167">
        <v>0</v>
      </c>
      <c r="D167">
        <v>0</v>
      </c>
      <c r="E167">
        <v>0</v>
      </c>
      <c r="F167">
        <v>0</v>
      </c>
      <c r="G167">
        <v>0</v>
      </c>
      <c r="H167">
        <v>0</v>
      </c>
      <c r="I167">
        <v>0</v>
      </c>
      <c r="K167" s="451"/>
    </row>
    <row r="168" spans="1:11" x14ac:dyDescent="0.35">
      <c r="A168" t="s">
        <v>14157</v>
      </c>
      <c r="B168" t="s">
        <v>14158</v>
      </c>
      <c r="C168">
        <v>0</v>
      </c>
      <c r="D168">
        <v>0</v>
      </c>
      <c r="E168">
        <v>17</v>
      </c>
      <c r="F168">
        <v>0</v>
      </c>
      <c r="G168">
        <v>0</v>
      </c>
      <c r="H168">
        <v>17</v>
      </c>
      <c r="I168">
        <v>2</v>
      </c>
      <c r="K168" s="451"/>
    </row>
    <row r="169" spans="1:11" x14ac:dyDescent="0.35">
      <c r="A169" t="s">
        <v>14159</v>
      </c>
      <c r="B169" t="s">
        <v>14160</v>
      </c>
      <c r="C169">
        <v>0</v>
      </c>
      <c r="D169">
        <v>0</v>
      </c>
      <c r="E169">
        <v>0</v>
      </c>
      <c r="F169">
        <v>39</v>
      </c>
      <c r="G169">
        <v>0</v>
      </c>
      <c r="H169">
        <v>39</v>
      </c>
      <c r="I169">
        <v>1</v>
      </c>
      <c r="K169" s="451"/>
    </row>
    <row r="170" spans="1:11" x14ac:dyDescent="0.35">
      <c r="A170" t="s">
        <v>3359</v>
      </c>
      <c r="B170" t="s">
        <v>2066</v>
      </c>
      <c r="C170">
        <v>2827</v>
      </c>
      <c r="D170">
        <v>0</v>
      </c>
      <c r="E170">
        <v>3</v>
      </c>
      <c r="F170">
        <v>913</v>
      </c>
      <c r="G170">
        <v>242</v>
      </c>
      <c r="H170">
        <v>3985</v>
      </c>
      <c r="I170">
        <v>5</v>
      </c>
      <c r="K170" s="451"/>
    </row>
    <row r="171" spans="1:11" x14ac:dyDescent="0.35">
      <c r="A171" t="s">
        <v>2472</v>
      </c>
      <c r="B171" t="s">
        <v>2067</v>
      </c>
      <c r="C171">
        <v>0</v>
      </c>
      <c r="D171">
        <v>0</v>
      </c>
      <c r="E171">
        <v>0</v>
      </c>
      <c r="F171">
        <v>42</v>
      </c>
      <c r="G171">
        <v>0</v>
      </c>
      <c r="H171">
        <v>42</v>
      </c>
      <c r="I171">
        <v>1</v>
      </c>
      <c r="K171" s="451"/>
    </row>
    <row r="172" spans="1:11" x14ac:dyDescent="0.35">
      <c r="A172" t="s">
        <v>2790</v>
      </c>
      <c r="B172" t="s">
        <v>1679</v>
      </c>
      <c r="C172">
        <v>15</v>
      </c>
      <c r="D172">
        <v>0</v>
      </c>
      <c r="E172">
        <v>0</v>
      </c>
      <c r="F172">
        <v>0</v>
      </c>
      <c r="G172">
        <v>0</v>
      </c>
      <c r="H172">
        <v>15</v>
      </c>
      <c r="I172">
        <v>1</v>
      </c>
      <c r="K172" s="451"/>
    </row>
    <row r="173" spans="1:11" x14ac:dyDescent="0.35">
      <c r="A173" t="s">
        <v>3246</v>
      </c>
      <c r="B173" t="s">
        <v>1955</v>
      </c>
      <c r="C173">
        <v>4</v>
      </c>
      <c r="D173">
        <v>0</v>
      </c>
      <c r="E173">
        <v>1110</v>
      </c>
      <c r="F173">
        <v>0</v>
      </c>
      <c r="G173">
        <v>24</v>
      </c>
      <c r="H173">
        <v>1138</v>
      </c>
      <c r="I173">
        <v>2</v>
      </c>
      <c r="K173" s="451"/>
    </row>
    <row r="174" spans="1:11" x14ac:dyDescent="0.35">
      <c r="A174" t="s">
        <v>2537</v>
      </c>
      <c r="B174" t="s">
        <v>1159</v>
      </c>
      <c r="C174">
        <v>0</v>
      </c>
      <c r="D174">
        <v>0</v>
      </c>
      <c r="E174">
        <v>0</v>
      </c>
      <c r="F174">
        <v>153</v>
      </c>
      <c r="G174">
        <v>0</v>
      </c>
      <c r="H174">
        <v>153</v>
      </c>
      <c r="I174">
        <v>1</v>
      </c>
      <c r="K174" s="451"/>
    </row>
    <row r="175" spans="1:11" x14ac:dyDescent="0.35">
      <c r="A175" t="s">
        <v>3088</v>
      </c>
      <c r="B175" t="s">
        <v>1813</v>
      </c>
      <c r="C175">
        <v>425</v>
      </c>
      <c r="D175">
        <v>0</v>
      </c>
      <c r="E175">
        <v>4</v>
      </c>
      <c r="F175">
        <v>34</v>
      </c>
      <c r="G175">
        <v>0</v>
      </c>
      <c r="H175">
        <v>463</v>
      </c>
      <c r="I175">
        <v>3</v>
      </c>
      <c r="K175" s="451"/>
    </row>
    <row r="176" spans="1:11" x14ac:dyDescent="0.35">
      <c r="A176" t="s">
        <v>2463</v>
      </c>
      <c r="B176" t="s">
        <v>14161</v>
      </c>
      <c r="C176">
        <v>26</v>
      </c>
      <c r="D176">
        <v>0</v>
      </c>
      <c r="E176">
        <v>0</v>
      </c>
      <c r="F176">
        <v>0</v>
      </c>
      <c r="G176">
        <v>0</v>
      </c>
      <c r="H176">
        <v>26</v>
      </c>
      <c r="I176">
        <v>1</v>
      </c>
      <c r="K176" s="451"/>
    </row>
    <row r="177" spans="1:11" x14ac:dyDescent="0.35">
      <c r="A177" t="s">
        <v>2398</v>
      </c>
      <c r="B177" t="s">
        <v>2068</v>
      </c>
      <c r="C177">
        <v>12</v>
      </c>
      <c r="D177">
        <v>0</v>
      </c>
      <c r="E177">
        <v>0</v>
      </c>
      <c r="F177">
        <v>0</v>
      </c>
      <c r="G177">
        <v>0</v>
      </c>
      <c r="H177">
        <v>12</v>
      </c>
      <c r="I177">
        <v>1</v>
      </c>
      <c r="K177" s="451"/>
    </row>
    <row r="178" spans="1:11" x14ac:dyDescent="0.35">
      <c r="A178" t="s">
        <v>2262</v>
      </c>
      <c r="B178" t="s">
        <v>1622</v>
      </c>
      <c r="C178">
        <v>0</v>
      </c>
      <c r="D178">
        <v>0</v>
      </c>
      <c r="E178">
        <v>0</v>
      </c>
      <c r="F178">
        <v>0</v>
      </c>
      <c r="G178">
        <v>0</v>
      </c>
      <c r="H178">
        <v>0</v>
      </c>
      <c r="I178">
        <v>0</v>
      </c>
      <c r="K178" s="451"/>
    </row>
    <row r="179" spans="1:11" x14ac:dyDescent="0.35">
      <c r="A179" t="s">
        <v>2399</v>
      </c>
      <c r="B179" t="s">
        <v>2138</v>
      </c>
      <c r="C179">
        <v>6</v>
      </c>
      <c r="D179">
        <v>0</v>
      </c>
      <c r="E179">
        <v>0</v>
      </c>
      <c r="F179">
        <v>0</v>
      </c>
      <c r="G179">
        <v>0</v>
      </c>
      <c r="H179">
        <v>6</v>
      </c>
      <c r="I179">
        <v>1</v>
      </c>
      <c r="K179" s="451"/>
    </row>
    <row r="180" spans="1:11" x14ac:dyDescent="0.35">
      <c r="A180" t="s">
        <v>3168</v>
      </c>
      <c r="B180" t="s">
        <v>1680</v>
      </c>
      <c r="C180">
        <v>3818</v>
      </c>
      <c r="D180">
        <v>0</v>
      </c>
      <c r="E180">
        <v>282</v>
      </c>
      <c r="F180">
        <v>1127</v>
      </c>
      <c r="G180">
        <v>2</v>
      </c>
      <c r="H180">
        <v>5229</v>
      </c>
      <c r="I180">
        <v>8</v>
      </c>
      <c r="K180" s="451"/>
    </row>
    <row r="181" spans="1:11" x14ac:dyDescent="0.35">
      <c r="A181" t="s">
        <v>2657</v>
      </c>
      <c r="B181" t="s">
        <v>1681</v>
      </c>
      <c r="C181">
        <v>119</v>
      </c>
      <c r="D181">
        <v>0</v>
      </c>
      <c r="E181">
        <v>0</v>
      </c>
      <c r="F181">
        <v>0</v>
      </c>
      <c r="G181">
        <v>0</v>
      </c>
      <c r="H181">
        <v>119</v>
      </c>
      <c r="I181">
        <v>1</v>
      </c>
      <c r="K181" s="451"/>
    </row>
    <row r="182" spans="1:11" x14ac:dyDescent="0.35">
      <c r="A182" t="s">
        <v>2235</v>
      </c>
      <c r="B182" t="s">
        <v>1160</v>
      </c>
      <c r="C182">
        <v>0</v>
      </c>
      <c r="D182">
        <v>0</v>
      </c>
      <c r="E182">
        <v>368</v>
      </c>
      <c r="F182">
        <v>0</v>
      </c>
      <c r="G182">
        <v>0</v>
      </c>
      <c r="H182">
        <v>368</v>
      </c>
      <c r="I182">
        <v>28</v>
      </c>
      <c r="K182" s="451"/>
    </row>
    <row r="183" spans="1:11" x14ac:dyDescent="0.35">
      <c r="A183" t="s">
        <v>2362</v>
      </c>
      <c r="B183" t="s">
        <v>1408</v>
      </c>
      <c r="C183">
        <v>0</v>
      </c>
      <c r="D183">
        <v>0</v>
      </c>
      <c r="E183">
        <v>155</v>
      </c>
      <c r="F183">
        <v>0</v>
      </c>
      <c r="G183">
        <v>0</v>
      </c>
      <c r="H183">
        <v>155</v>
      </c>
      <c r="I183">
        <v>1</v>
      </c>
      <c r="K183" s="451"/>
    </row>
    <row r="184" spans="1:11" x14ac:dyDescent="0.35">
      <c r="A184" t="s">
        <v>2259</v>
      </c>
      <c r="B184" t="s">
        <v>1682</v>
      </c>
      <c r="C184">
        <v>0</v>
      </c>
      <c r="D184">
        <v>0</v>
      </c>
      <c r="E184">
        <v>48</v>
      </c>
      <c r="F184">
        <v>0</v>
      </c>
      <c r="G184">
        <v>0</v>
      </c>
      <c r="H184">
        <v>48</v>
      </c>
      <c r="I184">
        <v>1</v>
      </c>
      <c r="K184" s="451"/>
    </row>
    <row r="185" spans="1:11" x14ac:dyDescent="0.35">
      <c r="A185" t="s">
        <v>2377</v>
      </c>
      <c r="B185" t="s">
        <v>1623</v>
      </c>
      <c r="C185">
        <v>5356</v>
      </c>
      <c r="D185">
        <v>0</v>
      </c>
      <c r="E185">
        <v>35</v>
      </c>
      <c r="F185">
        <v>679</v>
      </c>
      <c r="G185">
        <v>362</v>
      </c>
      <c r="H185">
        <v>6432</v>
      </c>
      <c r="I185">
        <v>15</v>
      </c>
      <c r="K185" s="451"/>
    </row>
    <row r="186" spans="1:11" x14ac:dyDescent="0.35">
      <c r="A186" t="s">
        <v>3001</v>
      </c>
      <c r="B186" t="s">
        <v>1161</v>
      </c>
      <c r="C186">
        <v>20856</v>
      </c>
      <c r="D186">
        <v>531</v>
      </c>
      <c r="E186">
        <v>580</v>
      </c>
      <c r="F186">
        <v>992</v>
      </c>
      <c r="G186">
        <v>5013</v>
      </c>
      <c r="H186">
        <v>27972</v>
      </c>
      <c r="I186">
        <v>67</v>
      </c>
      <c r="K186" s="451"/>
    </row>
    <row r="187" spans="1:11" x14ac:dyDescent="0.35">
      <c r="A187" t="s">
        <v>2807</v>
      </c>
      <c r="B187" t="s">
        <v>1683</v>
      </c>
      <c r="C187">
        <v>18</v>
      </c>
      <c r="D187">
        <v>0</v>
      </c>
      <c r="E187">
        <v>0</v>
      </c>
      <c r="F187">
        <v>0</v>
      </c>
      <c r="G187">
        <v>0</v>
      </c>
      <c r="H187">
        <v>18</v>
      </c>
      <c r="I187">
        <v>1</v>
      </c>
      <c r="K187" s="451"/>
    </row>
    <row r="188" spans="1:11" x14ac:dyDescent="0.35">
      <c r="A188" t="s">
        <v>2957</v>
      </c>
      <c r="B188" t="s">
        <v>1409</v>
      </c>
      <c r="C188">
        <v>0</v>
      </c>
      <c r="D188">
        <v>0</v>
      </c>
      <c r="E188">
        <v>0</v>
      </c>
      <c r="F188">
        <v>49</v>
      </c>
      <c r="G188">
        <v>0</v>
      </c>
      <c r="H188">
        <v>49</v>
      </c>
      <c r="I188">
        <v>1</v>
      </c>
      <c r="K188" s="451"/>
    </row>
    <row r="189" spans="1:11" x14ac:dyDescent="0.35">
      <c r="A189" t="s">
        <v>2868</v>
      </c>
      <c r="B189" t="s">
        <v>1410</v>
      </c>
      <c r="C189">
        <v>241</v>
      </c>
      <c r="D189">
        <v>48</v>
      </c>
      <c r="E189">
        <v>190</v>
      </c>
      <c r="F189">
        <v>999</v>
      </c>
      <c r="G189">
        <v>0</v>
      </c>
      <c r="H189">
        <v>1478</v>
      </c>
      <c r="I189">
        <v>16</v>
      </c>
      <c r="K189" s="451"/>
    </row>
    <row r="190" spans="1:11" x14ac:dyDescent="0.35">
      <c r="A190" t="s">
        <v>2873</v>
      </c>
      <c r="B190" t="s">
        <v>1411</v>
      </c>
      <c r="C190">
        <v>44</v>
      </c>
      <c r="D190">
        <v>66</v>
      </c>
      <c r="E190">
        <v>231</v>
      </c>
      <c r="F190">
        <v>0</v>
      </c>
      <c r="G190">
        <v>0</v>
      </c>
      <c r="H190">
        <v>341</v>
      </c>
      <c r="I190">
        <v>17</v>
      </c>
      <c r="K190" s="451"/>
    </row>
    <row r="191" spans="1:11" x14ac:dyDescent="0.35">
      <c r="A191" t="s">
        <v>2218</v>
      </c>
      <c r="B191" t="s">
        <v>1412</v>
      </c>
      <c r="C191">
        <v>2</v>
      </c>
      <c r="D191">
        <v>209</v>
      </c>
      <c r="E191">
        <v>58</v>
      </c>
      <c r="F191">
        <v>0</v>
      </c>
      <c r="G191">
        <v>0</v>
      </c>
      <c r="H191">
        <v>269</v>
      </c>
      <c r="I191">
        <v>4</v>
      </c>
      <c r="K191" s="451"/>
    </row>
    <row r="192" spans="1:11" x14ac:dyDescent="0.35">
      <c r="A192" t="s">
        <v>2543</v>
      </c>
      <c r="B192" t="s">
        <v>1956</v>
      </c>
      <c r="C192">
        <v>2</v>
      </c>
      <c r="D192">
        <v>0</v>
      </c>
      <c r="E192">
        <v>0</v>
      </c>
      <c r="F192">
        <v>0</v>
      </c>
      <c r="G192">
        <v>0</v>
      </c>
      <c r="H192">
        <v>2</v>
      </c>
      <c r="I192">
        <v>1</v>
      </c>
      <c r="K192" s="451"/>
    </row>
    <row r="193" spans="1:11" x14ac:dyDescent="0.35">
      <c r="A193" t="s">
        <v>14162</v>
      </c>
      <c r="B193" t="s">
        <v>14163</v>
      </c>
      <c r="C193">
        <v>0</v>
      </c>
      <c r="D193">
        <v>0</v>
      </c>
      <c r="E193">
        <v>0</v>
      </c>
      <c r="F193">
        <v>0</v>
      </c>
      <c r="G193">
        <v>0</v>
      </c>
      <c r="H193">
        <v>0</v>
      </c>
      <c r="I193">
        <v>0</v>
      </c>
      <c r="K193" s="451"/>
    </row>
    <row r="194" spans="1:11" x14ac:dyDescent="0.35">
      <c r="A194" t="s">
        <v>2596</v>
      </c>
      <c r="B194" t="s">
        <v>2139</v>
      </c>
      <c r="C194">
        <v>0</v>
      </c>
      <c r="D194">
        <v>0</v>
      </c>
      <c r="E194">
        <v>0</v>
      </c>
      <c r="F194">
        <v>4</v>
      </c>
      <c r="G194">
        <v>0</v>
      </c>
      <c r="H194">
        <v>4</v>
      </c>
      <c r="I194">
        <v>1</v>
      </c>
      <c r="K194" s="451"/>
    </row>
    <row r="195" spans="1:11" x14ac:dyDescent="0.35">
      <c r="A195" t="s">
        <v>2535</v>
      </c>
      <c r="B195" t="s">
        <v>11424</v>
      </c>
      <c r="C195">
        <v>0</v>
      </c>
      <c r="D195">
        <v>0</v>
      </c>
      <c r="E195">
        <v>0</v>
      </c>
      <c r="F195">
        <v>11</v>
      </c>
      <c r="G195">
        <v>0</v>
      </c>
      <c r="H195">
        <v>11</v>
      </c>
      <c r="I195">
        <v>1</v>
      </c>
      <c r="K195" s="451"/>
    </row>
    <row r="196" spans="1:11" x14ac:dyDescent="0.35">
      <c r="A196" t="s">
        <v>2520</v>
      </c>
      <c r="B196" t="s">
        <v>1814</v>
      </c>
      <c r="C196">
        <v>14</v>
      </c>
      <c r="D196">
        <v>0</v>
      </c>
      <c r="E196">
        <v>0</v>
      </c>
      <c r="F196">
        <v>0</v>
      </c>
      <c r="G196">
        <v>0</v>
      </c>
      <c r="H196">
        <v>14</v>
      </c>
      <c r="I196">
        <v>1</v>
      </c>
      <c r="K196" s="451"/>
    </row>
    <row r="197" spans="1:11" x14ac:dyDescent="0.35">
      <c r="A197" t="s">
        <v>2630</v>
      </c>
      <c r="B197" t="s">
        <v>1684</v>
      </c>
      <c r="C197">
        <v>10</v>
      </c>
      <c r="D197">
        <v>0</v>
      </c>
      <c r="E197">
        <v>0</v>
      </c>
      <c r="F197">
        <v>0</v>
      </c>
      <c r="G197">
        <v>0</v>
      </c>
      <c r="H197">
        <v>10</v>
      </c>
      <c r="I197">
        <v>1</v>
      </c>
      <c r="K197" s="451"/>
    </row>
    <row r="198" spans="1:11" x14ac:dyDescent="0.35">
      <c r="A198" t="s">
        <v>3053</v>
      </c>
      <c r="B198" t="s">
        <v>1960</v>
      </c>
      <c r="C198">
        <v>169</v>
      </c>
      <c r="D198">
        <v>0</v>
      </c>
      <c r="E198">
        <v>0</v>
      </c>
      <c r="F198">
        <v>0</v>
      </c>
      <c r="G198">
        <v>0</v>
      </c>
      <c r="H198">
        <v>169</v>
      </c>
      <c r="I198">
        <v>2</v>
      </c>
      <c r="K198" s="451"/>
    </row>
    <row r="199" spans="1:11" x14ac:dyDescent="0.35">
      <c r="A199" t="s">
        <v>2416</v>
      </c>
      <c r="B199" t="s">
        <v>1961</v>
      </c>
      <c r="C199">
        <v>26219</v>
      </c>
      <c r="D199">
        <v>0</v>
      </c>
      <c r="E199">
        <v>484</v>
      </c>
      <c r="F199">
        <v>712</v>
      </c>
      <c r="G199">
        <v>1372</v>
      </c>
      <c r="H199">
        <v>28787</v>
      </c>
      <c r="I199">
        <v>26</v>
      </c>
      <c r="K199" s="451"/>
    </row>
    <row r="200" spans="1:11" x14ac:dyDescent="0.35">
      <c r="A200" t="s">
        <v>2929</v>
      </c>
      <c r="B200" t="s">
        <v>1962</v>
      </c>
      <c r="C200">
        <v>0</v>
      </c>
      <c r="D200">
        <v>0</v>
      </c>
      <c r="E200">
        <v>86</v>
      </c>
      <c r="F200">
        <v>0</v>
      </c>
      <c r="G200">
        <v>0</v>
      </c>
      <c r="H200">
        <v>86</v>
      </c>
      <c r="I200">
        <v>1</v>
      </c>
      <c r="K200" s="451"/>
    </row>
    <row r="201" spans="1:11" x14ac:dyDescent="0.35">
      <c r="A201" t="s">
        <v>2872</v>
      </c>
      <c r="B201" t="s">
        <v>1687</v>
      </c>
      <c r="C201">
        <v>0</v>
      </c>
      <c r="D201">
        <v>0</v>
      </c>
      <c r="E201">
        <v>99</v>
      </c>
      <c r="F201">
        <v>0</v>
      </c>
      <c r="G201">
        <v>0</v>
      </c>
      <c r="H201">
        <v>99</v>
      </c>
      <c r="I201">
        <v>1</v>
      </c>
      <c r="K201" s="451"/>
    </row>
    <row r="202" spans="1:11" x14ac:dyDescent="0.35">
      <c r="A202" t="s">
        <v>2629</v>
      </c>
      <c r="B202" t="s">
        <v>1963</v>
      </c>
      <c r="C202">
        <v>0</v>
      </c>
      <c r="D202">
        <v>0</v>
      </c>
      <c r="E202">
        <v>0</v>
      </c>
      <c r="F202">
        <v>33</v>
      </c>
      <c r="G202">
        <v>0</v>
      </c>
      <c r="H202">
        <v>33</v>
      </c>
      <c r="I202">
        <v>1</v>
      </c>
      <c r="K202" s="451"/>
    </row>
    <row r="203" spans="1:11" x14ac:dyDescent="0.35">
      <c r="A203" t="s">
        <v>2384</v>
      </c>
      <c r="B203" t="s">
        <v>1100</v>
      </c>
      <c r="C203">
        <v>90107</v>
      </c>
      <c r="D203">
        <v>646</v>
      </c>
      <c r="E203">
        <v>1666</v>
      </c>
      <c r="F203">
        <v>6629</v>
      </c>
      <c r="G203">
        <v>10505</v>
      </c>
      <c r="H203">
        <v>109553</v>
      </c>
      <c r="I203">
        <v>174</v>
      </c>
      <c r="K203" s="451"/>
    </row>
    <row r="204" spans="1:11" x14ac:dyDescent="0.35">
      <c r="A204" t="s">
        <v>14164</v>
      </c>
      <c r="B204" t="s">
        <v>14165</v>
      </c>
      <c r="C204">
        <v>0</v>
      </c>
      <c r="D204">
        <v>0</v>
      </c>
      <c r="E204">
        <v>0</v>
      </c>
      <c r="F204">
        <v>0</v>
      </c>
      <c r="G204">
        <v>0</v>
      </c>
      <c r="H204">
        <v>0</v>
      </c>
      <c r="I204">
        <v>0</v>
      </c>
      <c r="K204" s="451"/>
    </row>
    <row r="205" spans="1:11" x14ac:dyDescent="0.35">
      <c r="A205" t="s">
        <v>2970</v>
      </c>
      <c r="B205" t="s">
        <v>2071</v>
      </c>
      <c r="C205">
        <v>0</v>
      </c>
      <c r="D205">
        <v>0</v>
      </c>
      <c r="E205">
        <v>0</v>
      </c>
      <c r="F205">
        <v>16</v>
      </c>
      <c r="G205">
        <v>0</v>
      </c>
      <c r="H205">
        <v>16</v>
      </c>
      <c r="I205">
        <v>1</v>
      </c>
      <c r="K205" s="451"/>
    </row>
    <row r="206" spans="1:11" x14ac:dyDescent="0.35">
      <c r="A206" t="s">
        <v>2470</v>
      </c>
      <c r="B206" t="s">
        <v>2072</v>
      </c>
      <c r="C206">
        <v>16</v>
      </c>
      <c r="D206">
        <v>0</v>
      </c>
      <c r="E206">
        <v>0</v>
      </c>
      <c r="F206">
        <v>0</v>
      </c>
      <c r="G206">
        <v>0</v>
      </c>
      <c r="H206">
        <v>16</v>
      </c>
      <c r="I206">
        <v>1</v>
      </c>
      <c r="K206" s="451"/>
    </row>
    <row r="207" spans="1:11" x14ac:dyDescent="0.35">
      <c r="A207" t="s">
        <v>2715</v>
      </c>
      <c r="B207" t="s">
        <v>1418</v>
      </c>
      <c r="C207">
        <v>24</v>
      </c>
      <c r="D207">
        <v>0</v>
      </c>
      <c r="E207">
        <v>0</v>
      </c>
      <c r="F207">
        <v>0</v>
      </c>
      <c r="G207">
        <v>0</v>
      </c>
      <c r="H207">
        <v>24</v>
      </c>
      <c r="I207">
        <v>1</v>
      </c>
      <c r="K207" s="451"/>
    </row>
    <row r="208" spans="1:11" x14ac:dyDescent="0.35">
      <c r="A208" t="s">
        <v>3333</v>
      </c>
      <c r="B208" t="s">
        <v>1964</v>
      </c>
      <c r="C208">
        <v>3576</v>
      </c>
      <c r="D208">
        <v>0</v>
      </c>
      <c r="E208">
        <v>101</v>
      </c>
      <c r="F208">
        <v>834</v>
      </c>
      <c r="G208">
        <v>456</v>
      </c>
      <c r="H208">
        <v>4967</v>
      </c>
      <c r="I208">
        <v>1</v>
      </c>
      <c r="K208" s="451"/>
    </row>
    <row r="209" spans="1:11" x14ac:dyDescent="0.35">
      <c r="A209" t="s">
        <v>3181</v>
      </c>
      <c r="B209" t="s">
        <v>1688</v>
      </c>
      <c r="C209">
        <v>5808</v>
      </c>
      <c r="D209">
        <v>0</v>
      </c>
      <c r="E209">
        <v>0</v>
      </c>
      <c r="F209">
        <v>0</v>
      </c>
      <c r="G209">
        <v>2</v>
      </c>
      <c r="H209">
        <v>5810</v>
      </c>
      <c r="I209">
        <v>2</v>
      </c>
      <c r="K209" s="451"/>
    </row>
    <row r="210" spans="1:11" x14ac:dyDescent="0.35">
      <c r="A210" t="s">
        <v>14166</v>
      </c>
      <c r="B210" t="s">
        <v>14167</v>
      </c>
      <c r="C210">
        <v>0</v>
      </c>
      <c r="D210">
        <v>0</v>
      </c>
      <c r="E210">
        <v>0</v>
      </c>
      <c r="F210">
        <v>0</v>
      </c>
      <c r="G210">
        <v>0</v>
      </c>
      <c r="H210">
        <v>0</v>
      </c>
      <c r="I210">
        <v>0</v>
      </c>
      <c r="K210" s="451"/>
    </row>
    <row r="211" spans="1:11" x14ac:dyDescent="0.35">
      <c r="A211" t="s">
        <v>2525</v>
      </c>
      <c r="B211" t="s">
        <v>1817</v>
      </c>
      <c r="C211">
        <v>0</v>
      </c>
      <c r="D211">
        <v>0</v>
      </c>
      <c r="E211">
        <v>0</v>
      </c>
      <c r="F211">
        <v>45</v>
      </c>
      <c r="G211">
        <v>0</v>
      </c>
      <c r="H211">
        <v>45</v>
      </c>
      <c r="I211">
        <v>1</v>
      </c>
      <c r="K211" s="451"/>
    </row>
    <row r="212" spans="1:11" x14ac:dyDescent="0.35">
      <c r="A212" t="s">
        <v>14168</v>
      </c>
      <c r="B212" t="s">
        <v>14169</v>
      </c>
      <c r="C212">
        <v>0</v>
      </c>
      <c r="D212">
        <v>0</v>
      </c>
      <c r="E212">
        <v>0</v>
      </c>
      <c r="F212">
        <v>0</v>
      </c>
      <c r="G212">
        <v>0</v>
      </c>
      <c r="H212">
        <v>0</v>
      </c>
      <c r="I212">
        <v>0</v>
      </c>
      <c r="K212" s="451"/>
    </row>
    <row r="213" spans="1:11" x14ac:dyDescent="0.35">
      <c r="A213" t="s">
        <v>2569</v>
      </c>
      <c r="B213" t="s">
        <v>1689</v>
      </c>
      <c r="C213">
        <v>11</v>
      </c>
      <c r="D213">
        <v>0</v>
      </c>
      <c r="E213">
        <v>0</v>
      </c>
      <c r="F213">
        <v>0</v>
      </c>
      <c r="G213">
        <v>0</v>
      </c>
      <c r="H213">
        <v>11</v>
      </c>
      <c r="I213">
        <v>1</v>
      </c>
      <c r="K213" s="451"/>
    </row>
    <row r="214" spans="1:11" x14ac:dyDescent="0.35">
      <c r="A214" t="s">
        <v>2675</v>
      </c>
      <c r="B214" t="s">
        <v>1690</v>
      </c>
      <c r="C214">
        <v>1</v>
      </c>
      <c r="D214">
        <v>15</v>
      </c>
      <c r="E214">
        <v>0</v>
      </c>
      <c r="F214">
        <v>0</v>
      </c>
      <c r="G214">
        <v>0</v>
      </c>
      <c r="H214">
        <v>16</v>
      </c>
      <c r="I214">
        <v>1</v>
      </c>
      <c r="K214" s="451"/>
    </row>
    <row r="215" spans="1:11" x14ac:dyDescent="0.35">
      <c r="A215" t="s">
        <v>3199</v>
      </c>
      <c r="B215" t="s">
        <v>1691</v>
      </c>
      <c r="C215">
        <v>6045</v>
      </c>
      <c r="D215">
        <v>0</v>
      </c>
      <c r="E215">
        <v>179</v>
      </c>
      <c r="F215">
        <v>429</v>
      </c>
      <c r="G215">
        <v>25</v>
      </c>
      <c r="H215">
        <v>6678</v>
      </c>
      <c r="I215">
        <v>6</v>
      </c>
      <c r="K215" s="451"/>
    </row>
    <row r="216" spans="1:11" x14ac:dyDescent="0.35">
      <c r="A216" t="s">
        <v>2314</v>
      </c>
      <c r="B216" t="s">
        <v>1692</v>
      </c>
      <c r="C216">
        <v>4</v>
      </c>
      <c r="D216">
        <v>96</v>
      </c>
      <c r="E216">
        <v>0</v>
      </c>
      <c r="F216">
        <v>0</v>
      </c>
      <c r="G216">
        <v>0</v>
      </c>
      <c r="H216">
        <v>100</v>
      </c>
      <c r="I216">
        <v>8</v>
      </c>
      <c r="K216" s="451"/>
    </row>
    <row r="217" spans="1:11" x14ac:dyDescent="0.35">
      <c r="A217" t="s">
        <v>2556</v>
      </c>
      <c r="B217" t="s">
        <v>2073</v>
      </c>
      <c r="C217">
        <v>8</v>
      </c>
      <c r="D217">
        <v>0</v>
      </c>
      <c r="E217">
        <v>0</v>
      </c>
      <c r="F217">
        <v>0</v>
      </c>
      <c r="G217">
        <v>0</v>
      </c>
      <c r="H217">
        <v>8</v>
      </c>
      <c r="I217">
        <v>1</v>
      </c>
      <c r="K217" s="451"/>
    </row>
    <row r="218" spans="1:11" x14ac:dyDescent="0.35">
      <c r="A218" t="s">
        <v>3100</v>
      </c>
      <c r="B218" t="s">
        <v>2142</v>
      </c>
      <c r="C218">
        <v>2003</v>
      </c>
      <c r="D218">
        <v>11</v>
      </c>
      <c r="E218">
        <v>238</v>
      </c>
      <c r="F218">
        <v>811</v>
      </c>
      <c r="G218">
        <v>270</v>
      </c>
      <c r="H218">
        <v>3333</v>
      </c>
      <c r="I218">
        <v>5</v>
      </c>
      <c r="K218" s="451"/>
    </row>
    <row r="219" spans="1:11" x14ac:dyDescent="0.35">
      <c r="A219" t="s">
        <v>14170</v>
      </c>
      <c r="B219" t="s">
        <v>14171</v>
      </c>
      <c r="C219">
        <v>0</v>
      </c>
      <c r="D219">
        <v>0</v>
      </c>
      <c r="E219">
        <v>0</v>
      </c>
      <c r="F219">
        <v>0</v>
      </c>
      <c r="G219">
        <v>0</v>
      </c>
      <c r="H219">
        <v>0</v>
      </c>
      <c r="I219">
        <v>0</v>
      </c>
      <c r="K219" s="451"/>
    </row>
    <row r="220" spans="1:11" x14ac:dyDescent="0.35">
      <c r="A220" t="s">
        <v>3353</v>
      </c>
      <c r="B220" t="s">
        <v>11430</v>
      </c>
      <c r="C220">
        <v>8483</v>
      </c>
      <c r="D220">
        <v>0</v>
      </c>
      <c r="E220">
        <v>118</v>
      </c>
      <c r="F220">
        <v>1512</v>
      </c>
      <c r="G220">
        <v>372</v>
      </c>
      <c r="H220">
        <v>10485</v>
      </c>
      <c r="I220">
        <v>3</v>
      </c>
      <c r="K220" s="451"/>
    </row>
    <row r="221" spans="1:11" x14ac:dyDescent="0.35">
      <c r="A221" t="s">
        <v>3110</v>
      </c>
      <c r="B221" t="s">
        <v>1165</v>
      </c>
      <c r="C221">
        <v>0</v>
      </c>
      <c r="D221">
        <v>0</v>
      </c>
      <c r="E221">
        <v>0</v>
      </c>
      <c r="F221">
        <v>0</v>
      </c>
      <c r="G221">
        <v>0</v>
      </c>
      <c r="H221">
        <v>0</v>
      </c>
      <c r="I221">
        <v>0</v>
      </c>
      <c r="K221" s="451"/>
    </row>
    <row r="222" spans="1:11" x14ac:dyDescent="0.35">
      <c r="A222" t="s">
        <v>14172</v>
      </c>
      <c r="B222" t="s">
        <v>14173</v>
      </c>
      <c r="C222">
        <v>0</v>
      </c>
      <c r="D222">
        <v>0</v>
      </c>
      <c r="E222">
        <v>0</v>
      </c>
      <c r="F222">
        <v>0</v>
      </c>
      <c r="G222">
        <v>0</v>
      </c>
      <c r="H222">
        <v>0</v>
      </c>
      <c r="I222">
        <v>0</v>
      </c>
      <c r="K222" s="451"/>
    </row>
    <row r="223" spans="1:11" x14ac:dyDescent="0.35">
      <c r="A223" t="s">
        <v>2636</v>
      </c>
      <c r="B223" t="s">
        <v>2143</v>
      </c>
      <c r="C223">
        <v>0</v>
      </c>
      <c r="D223">
        <v>0</v>
      </c>
      <c r="E223">
        <v>0</v>
      </c>
      <c r="F223">
        <v>6</v>
      </c>
      <c r="G223">
        <v>0</v>
      </c>
      <c r="H223">
        <v>6</v>
      </c>
      <c r="I223">
        <v>1</v>
      </c>
      <c r="K223" s="451"/>
    </row>
    <row r="224" spans="1:11" x14ac:dyDescent="0.35">
      <c r="A224" t="s">
        <v>2592</v>
      </c>
      <c r="B224" t="s">
        <v>1965</v>
      </c>
      <c r="C224">
        <v>4</v>
      </c>
      <c r="D224">
        <v>0</v>
      </c>
      <c r="E224">
        <v>0</v>
      </c>
      <c r="F224">
        <v>0</v>
      </c>
      <c r="G224">
        <v>0</v>
      </c>
      <c r="H224">
        <v>4</v>
      </c>
      <c r="I224">
        <v>1</v>
      </c>
      <c r="K224" s="451"/>
    </row>
    <row r="225" spans="1:11" x14ac:dyDescent="0.35">
      <c r="A225" t="s">
        <v>2784</v>
      </c>
      <c r="B225" t="s">
        <v>1287</v>
      </c>
      <c r="C225">
        <v>300</v>
      </c>
      <c r="D225">
        <v>0</v>
      </c>
      <c r="E225">
        <v>0</v>
      </c>
      <c r="F225">
        <v>0</v>
      </c>
      <c r="G225">
        <v>0</v>
      </c>
      <c r="H225">
        <v>300</v>
      </c>
      <c r="I225">
        <v>10</v>
      </c>
      <c r="K225" s="451"/>
    </row>
    <row r="226" spans="1:11" x14ac:dyDescent="0.35">
      <c r="A226" t="s">
        <v>2800</v>
      </c>
      <c r="B226" t="s">
        <v>1693</v>
      </c>
      <c r="C226">
        <v>20</v>
      </c>
      <c r="D226">
        <v>0</v>
      </c>
      <c r="E226">
        <v>0</v>
      </c>
      <c r="F226">
        <v>0</v>
      </c>
      <c r="G226">
        <v>0</v>
      </c>
      <c r="H226">
        <v>20</v>
      </c>
      <c r="I226">
        <v>1</v>
      </c>
      <c r="K226" s="451"/>
    </row>
    <row r="227" spans="1:11" x14ac:dyDescent="0.35">
      <c r="A227" t="s">
        <v>3243</v>
      </c>
      <c r="B227" t="s">
        <v>1288</v>
      </c>
      <c r="C227">
        <v>738</v>
      </c>
      <c r="D227">
        <v>0</v>
      </c>
      <c r="E227">
        <v>0</v>
      </c>
      <c r="F227">
        <v>0</v>
      </c>
      <c r="G227">
        <v>0</v>
      </c>
      <c r="H227">
        <v>738</v>
      </c>
      <c r="I227">
        <v>11</v>
      </c>
      <c r="K227" s="451"/>
    </row>
    <row r="228" spans="1:11" x14ac:dyDescent="0.35">
      <c r="A228" t="s">
        <v>2668</v>
      </c>
      <c r="B228" t="s">
        <v>1694</v>
      </c>
      <c r="C228">
        <v>75</v>
      </c>
      <c r="D228">
        <v>0</v>
      </c>
      <c r="E228">
        <v>0</v>
      </c>
      <c r="F228">
        <v>0</v>
      </c>
      <c r="G228">
        <v>0</v>
      </c>
      <c r="H228">
        <v>75</v>
      </c>
      <c r="I228">
        <v>1</v>
      </c>
      <c r="K228" s="451"/>
    </row>
    <row r="229" spans="1:11" x14ac:dyDescent="0.35">
      <c r="A229" t="s">
        <v>2969</v>
      </c>
      <c r="B229" t="s">
        <v>1966</v>
      </c>
      <c r="C229">
        <v>1326</v>
      </c>
      <c r="D229">
        <v>0</v>
      </c>
      <c r="E229">
        <v>0</v>
      </c>
      <c r="F229">
        <v>0</v>
      </c>
      <c r="G229">
        <v>57</v>
      </c>
      <c r="H229">
        <v>1383</v>
      </c>
      <c r="I229">
        <v>4</v>
      </c>
      <c r="K229" s="451"/>
    </row>
    <row r="230" spans="1:11" x14ac:dyDescent="0.35">
      <c r="A230" t="s">
        <v>2653</v>
      </c>
      <c r="B230" t="s">
        <v>2074</v>
      </c>
      <c r="C230">
        <v>50</v>
      </c>
      <c r="D230">
        <v>0</v>
      </c>
      <c r="E230">
        <v>0</v>
      </c>
      <c r="F230">
        <v>0</v>
      </c>
      <c r="G230">
        <v>0</v>
      </c>
      <c r="H230">
        <v>50</v>
      </c>
      <c r="I230">
        <v>1</v>
      </c>
      <c r="K230" s="451"/>
    </row>
    <row r="231" spans="1:11" x14ac:dyDescent="0.35">
      <c r="A231" t="s">
        <v>2421</v>
      </c>
      <c r="B231" t="s">
        <v>1967</v>
      </c>
      <c r="C231">
        <v>8</v>
      </c>
      <c r="D231">
        <v>0</v>
      </c>
      <c r="E231">
        <v>0</v>
      </c>
      <c r="F231">
        <v>0</v>
      </c>
      <c r="G231">
        <v>0</v>
      </c>
      <c r="H231">
        <v>8</v>
      </c>
      <c r="I231">
        <v>1</v>
      </c>
      <c r="K231" s="451"/>
    </row>
    <row r="232" spans="1:11" x14ac:dyDescent="0.35">
      <c r="A232" t="s">
        <v>2199</v>
      </c>
      <c r="B232" t="s">
        <v>1968</v>
      </c>
      <c r="C232">
        <v>56</v>
      </c>
      <c r="D232">
        <v>0</v>
      </c>
      <c r="E232">
        <v>0</v>
      </c>
      <c r="F232">
        <v>0</v>
      </c>
      <c r="G232">
        <v>0</v>
      </c>
      <c r="H232">
        <v>56</v>
      </c>
      <c r="I232">
        <v>1</v>
      </c>
      <c r="K232" s="451"/>
    </row>
    <row r="233" spans="1:11" x14ac:dyDescent="0.35">
      <c r="A233" t="s">
        <v>3117</v>
      </c>
      <c r="B233" t="s">
        <v>1969</v>
      </c>
      <c r="C233">
        <v>336</v>
      </c>
      <c r="D233">
        <v>0</v>
      </c>
      <c r="E233">
        <v>0</v>
      </c>
      <c r="F233">
        <v>0</v>
      </c>
      <c r="G233">
        <v>0</v>
      </c>
      <c r="H233">
        <v>336</v>
      </c>
      <c r="I233">
        <v>2</v>
      </c>
      <c r="K233" s="451"/>
    </row>
    <row r="234" spans="1:11" x14ac:dyDescent="0.35">
      <c r="A234" t="s">
        <v>3285</v>
      </c>
      <c r="B234" t="s">
        <v>1289</v>
      </c>
      <c r="C234">
        <v>0</v>
      </c>
      <c r="D234">
        <v>0</v>
      </c>
      <c r="E234">
        <v>0</v>
      </c>
      <c r="F234">
        <v>51</v>
      </c>
      <c r="G234">
        <v>0</v>
      </c>
      <c r="H234">
        <v>51</v>
      </c>
      <c r="I234">
        <v>1</v>
      </c>
      <c r="K234" s="451"/>
    </row>
    <row r="235" spans="1:11" x14ac:dyDescent="0.35">
      <c r="A235" t="s">
        <v>2699</v>
      </c>
      <c r="B235" t="s">
        <v>1166</v>
      </c>
      <c r="C235">
        <v>125</v>
      </c>
      <c r="D235">
        <v>0</v>
      </c>
      <c r="E235">
        <v>0</v>
      </c>
      <c r="F235">
        <v>14</v>
      </c>
      <c r="G235">
        <v>0</v>
      </c>
      <c r="H235">
        <v>139</v>
      </c>
      <c r="I235">
        <v>1</v>
      </c>
      <c r="K235" s="451"/>
    </row>
    <row r="236" spans="1:11" x14ac:dyDescent="0.35">
      <c r="A236" t="s">
        <v>2979</v>
      </c>
      <c r="B236" t="s">
        <v>1290</v>
      </c>
      <c r="C236">
        <v>1441</v>
      </c>
      <c r="D236">
        <v>0</v>
      </c>
      <c r="E236">
        <v>79</v>
      </c>
      <c r="F236">
        <v>102</v>
      </c>
      <c r="G236">
        <v>108</v>
      </c>
      <c r="H236">
        <v>1730</v>
      </c>
      <c r="I236">
        <v>12</v>
      </c>
      <c r="K236" s="451"/>
    </row>
    <row r="237" spans="1:11" x14ac:dyDescent="0.35">
      <c r="A237" t="s">
        <v>2415</v>
      </c>
      <c r="B237" t="s">
        <v>1818</v>
      </c>
      <c r="C237">
        <v>32</v>
      </c>
      <c r="D237">
        <v>0</v>
      </c>
      <c r="E237">
        <v>0</v>
      </c>
      <c r="F237">
        <v>0</v>
      </c>
      <c r="G237">
        <v>0</v>
      </c>
      <c r="H237">
        <v>32</v>
      </c>
      <c r="I237">
        <v>1</v>
      </c>
      <c r="K237" s="451"/>
    </row>
    <row r="238" spans="1:11" x14ac:dyDescent="0.35">
      <c r="A238" t="s">
        <v>3175</v>
      </c>
      <c r="B238" t="s">
        <v>1819</v>
      </c>
      <c r="C238">
        <v>4704</v>
      </c>
      <c r="D238">
        <v>0</v>
      </c>
      <c r="E238">
        <v>0</v>
      </c>
      <c r="F238">
        <v>0</v>
      </c>
      <c r="G238">
        <v>437</v>
      </c>
      <c r="H238">
        <v>5141</v>
      </c>
      <c r="I238">
        <v>9</v>
      </c>
      <c r="K238" s="451"/>
    </row>
    <row r="239" spans="1:11" x14ac:dyDescent="0.35">
      <c r="A239" t="s">
        <v>2475</v>
      </c>
      <c r="B239" t="s">
        <v>1820</v>
      </c>
      <c r="C239">
        <v>0</v>
      </c>
      <c r="D239">
        <v>0</v>
      </c>
      <c r="E239">
        <v>0</v>
      </c>
      <c r="F239">
        <v>18</v>
      </c>
      <c r="G239">
        <v>0</v>
      </c>
      <c r="H239">
        <v>18</v>
      </c>
      <c r="I239">
        <v>1</v>
      </c>
      <c r="K239" s="451"/>
    </row>
    <row r="240" spans="1:11" x14ac:dyDescent="0.35">
      <c r="A240" t="s">
        <v>2948</v>
      </c>
      <c r="B240" t="s">
        <v>2075</v>
      </c>
      <c r="C240">
        <v>0</v>
      </c>
      <c r="D240">
        <v>0</v>
      </c>
      <c r="E240">
        <v>0</v>
      </c>
      <c r="F240">
        <v>0</v>
      </c>
      <c r="G240">
        <v>0</v>
      </c>
      <c r="H240">
        <v>0</v>
      </c>
      <c r="I240">
        <v>0</v>
      </c>
      <c r="K240" s="451"/>
    </row>
    <row r="241" spans="1:11" x14ac:dyDescent="0.35">
      <c r="A241" t="s">
        <v>2452</v>
      </c>
      <c r="B241" t="s">
        <v>2076</v>
      </c>
      <c r="C241">
        <v>0</v>
      </c>
      <c r="D241">
        <v>0</v>
      </c>
      <c r="E241">
        <v>0</v>
      </c>
      <c r="F241">
        <v>118</v>
      </c>
      <c r="G241">
        <v>0</v>
      </c>
      <c r="H241">
        <v>118</v>
      </c>
      <c r="I241">
        <v>1</v>
      </c>
      <c r="K241" s="451"/>
    </row>
    <row r="242" spans="1:11" x14ac:dyDescent="0.35">
      <c r="A242" t="s">
        <v>14174</v>
      </c>
      <c r="B242" t="s">
        <v>14175</v>
      </c>
      <c r="C242">
        <v>0</v>
      </c>
      <c r="D242">
        <v>0</v>
      </c>
      <c r="E242">
        <v>2</v>
      </c>
      <c r="F242">
        <v>0</v>
      </c>
      <c r="G242">
        <v>0</v>
      </c>
      <c r="H242">
        <v>2</v>
      </c>
      <c r="I242">
        <v>1</v>
      </c>
      <c r="K242" s="451"/>
    </row>
    <row r="243" spans="1:11" x14ac:dyDescent="0.35">
      <c r="A243" t="s">
        <v>2720</v>
      </c>
      <c r="B243" t="s">
        <v>1419</v>
      </c>
      <c r="C243">
        <v>90</v>
      </c>
      <c r="D243">
        <v>0</v>
      </c>
      <c r="E243">
        <v>0</v>
      </c>
      <c r="F243">
        <v>0</v>
      </c>
      <c r="G243">
        <v>0</v>
      </c>
      <c r="H243">
        <v>90</v>
      </c>
      <c r="I243">
        <v>1</v>
      </c>
      <c r="K243" s="451"/>
    </row>
    <row r="244" spans="1:11" x14ac:dyDescent="0.35">
      <c r="A244" t="s">
        <v>2247</v>
      </c>
      <c r="B244" t="s">
        <v>1167</v>
      </c>
      <c r="C244">
        <v>0</v>
      </c>
      <c r="D244">
        <v>0</v>
      </c>
      <c r="E244">
        <v>694</v>
      </c>
      <c r="F244">
        <v>0</v>
      </c>
      <c r="G244">
        <v>0</v>
      </c>
      <c r="H244">
        <v>694</v>
      </c>
      <c r="I244">
        <v>35</v>
      </c>
      <c r="K244" s="451"/>
    </row>
    <row r="245" spans="1:11" x14ac:dyDescent="0.35">
      <c r="A245" t="s">
        <v>2932</v>
      </c>
      <c r="B245" t="s">
        <v>11400</v>
      </c>
      <c r="C245">
        <v>0</v>
      </c>
      <c r="D245">
        <v>0</v>
      </c>
      <c r="E245">
        <v>72</v>
      </c>
      <c r="F245">
        <v>0</v>
      </c>
      <c r="G245">
        <v>0</v>
      </c>
      <c r="H245">
        <v>72</v>
      </c>
      <c r="I245">
        <v>1</v>
      </c>
      <c r="K245" s="451"/>
    </row>
    <row r="246" spans="1:11" x14ac:dyDescent="0.35">
      <c r="A246" t="s">
        <v>2263</v>
      </c>
      <c r="B246" t="s">
        <v>1695</v>
      </c>
      <c r="C246">
        <v>0</v>
      </c>
      <c r="D246">
        <v>0</v>
      </c>
      <c r="E246">
        <v>119</v>
      </c>
      <c r="F246">
        <v>0</v>
      </c>
      <c r="G246">
        <v>0</v>
      </c>
      <c r="H246">
        <v>119</v>
      </c>
      <c r="I246">
        <v>1</v>
      </c>
      <c r="K246" s="451"/>
    </row>
    <row r="247" spans="1:11" x14ac:dyDescent="0.35">
      <c r="A247" t="s">
        <v>2298</v>
      </c>
      <c r="B247" t="s">
        <v>1420</v>
      </c>
      <c r="C247">
        <v>154</v>
      </c>
      <c r="D247">
        <v>0</v>
      </c>
      <c r="E247">
        <v>0</v>
      </c>
      <c r="F247">
        <v>0</v>
      </c>
      <c r="G247">
        <v>0</v>
      </c>
      <c r="H247">
        <v>154</v>
      </c>
      <c r="I247">
        <v>15</v>
      </c>
      <c r="K247" s="451"/>
    </row>
    <row r="248" spans="1:11" x14ac:dyDescent="0.35">
      <c r="A248" t="s">
        <v>3074</v>
      </c>
      <c r="B248" t="s">
        <v>1696</v>
      </c>
      <c r="C248">
        <v>357</v>
      </c>
      <c r="D248">
        <v>0</v>
      </c>
      <c r="E248">
        <v>76</v>
      </c>
      <c r="F248">
        <v>0</v>
      </c>
      <c r="G248">
        <v>0</v>
      </c>
      <c r="H248">
        <v>433</v>
      </c>
      <c r="I248">
        <v>2</v>
      </c>
      <c r="K248" s="451"/>
    </row>
    <row r="249" spans="1:11" x14ac:dyDescent="0.35">
      <c r="A249" t="s">
        <v>3360</v>
      </c>
      <c r="B249" t="s">
        <v>1168</v>
      </c>
      <c r="C249">
        <v>9576</v>
      </c>
      <c r="D249">
        <v>10</v>
      </c>
      <c r="E249">
        <v>73</v>
      </c>
      <c r="F249">
        <v>1209</v>
      </c>
      <c r="G249">
        <v>1167</v>
      </c>
      <c r="H249">
        <v>12035</v>
      </c>
      <c r="I249">
        <v>11</v>
      </c>
      <c r="K249" s="451"/>
    </row>
    <row r="250" spans="1:11" x14ac:dyDescent="0.35">
      <c r="A250" t="s">
        <v>2742</v>
      </c>
      <c r="B250" t="s">
        <v>1421</v>
      </c>
      <c r="C250">
        <v>23</v>
      </c>
      <c r="D250">
        <v>0</v>
      </c>
      <c r="E250">
        <v>0</v>
      </c>
      <c r="F250">
        <v>0</v>
      </c>
      <c r="G250">
        <v>0</v>
      </c>
      <c r="H250">
        <v>23</v>
      </c>
      <c r="I250">
        <v>1</v>
      </c>
      <c r="K250" s="451"/>
    </row>
    <row r="251" spans="1:11" x14ac:dyDescent="0.35">
      <c r="A251" t="s">
        <v>3254</v>
      </c>
      <c r="B251" t="s">
        <v>1422</v>
      </c>
      <c r="C251">
        <v>906</v>
      </c>
      <c r="D251">
        <v>0</v>
      </c>
      <c r="E251">
        <v>131</v>
      </c>
      <c r="F251">
        <v>317</v>
      </c>
      <c r="G251">
        <v>52</v>
      </c>
      <c r="H251">
        <v>1406</v>
      </c>
      <c r="I251">
        <v>3</v>
      </c>
      <c r="K251" s="451"/>
    </row>
    <row r="252" spans="1:11" x14ac:dyDescent="0.35">
      <c r="A252" t="s">
        <v>14176</v>
      </c>
      <c r="B252" t="s">
        <v>14177</v>
      </c>
      <c r="C252">
        <v>0</v>
      </c>
      <c r="D252">
        <v>0</v>
      </c>
      <c r="E252">
        <v>0</v>
      </c>
      <c r="F252">
        <v>0</v>
      </c>
      <c r="G252">
        <v>0</v>
      </c>
      <c r="H252">
        <v>0</v>
      </c>
      <c r="I252">
        <v>0</v>
      </c>
      <c r="K252" s="451"/>
    </row>
    <row r="253" spans="1:11" x14ac:dyDescent="0.35">
      <c r="A253" t="s">
        <v>3347</v>
      </c>
      <c r="B253" t="s">
        <v>1970</v>
      </c>
      <c r="C253">
        <v>1</v>
      </c>
      <c r="D253">
        <v>0</v>
      </c>
      <c r="E253">
        <v>0</v>
      </c>
      <c r="F253">
        <v>0</v>
      </c>
      <c r="G253">
        <v>0</v>
      </c>
      <c r="H253">
        <v>1</v>
      </c>
      <c r="I253">
        <v>1</v>
      </c>
      <c r="K253" s="451"/>
    </row>
    <row r="254" spans="1:11" x14ac:dyDescent="0.35">
      <c r="A254" t="s">
        <v>3337</v>
      </c>
      <c r="B254" t="s">
        <v>1971</v>
      </c>
      <c r="C254">
        <v>9803</v>
      </c>
      <c r="D254">
        <v>0</v>
      </c>
      <c r="E254">
        <v>220</v>
      </c>
      <c r="F254">
        <v>1872</v>
      </c>
      <c r="G254">
        <v>737</v>
      </c>
      <c r="H254">
        <v>12632</v>
      </c>
      <c r="I254">
        <v>7</v>
      </c>
      <c r="K254" s="451"/>
    </row>
    <row r="255" spans="1:11" x14ac:dyDescent="0.35">
      <c r="A255" t="s">
        <v>3060</v>
      </c>
      <c r="B255" t="s">
        <v>1291</v>
      </c>
      <c r="C255">
        <v>0</v>
      </c>
      <c r="D255">
        <v>0</v>
      </c>
      <c r="E255">
        <v>0</v>
      </c>
      <c r="F255">
        <v>44</v>
      </c>
      <c r="G255">
        <v>0</v>
      </c>
      <c r="H255">
        <v>44</v>
      </c>
      <c r="I255">
        <v>2</v>
      </c>
      <c r="K255" s="451"/>
    </row>
    <row r="256" spans="1:11" x14ac:dyDescent="0.35">
      <c r="A256" t="s">
        <v>2692</v>
      </c>
      <c r="B256" t="s">
        <v>1423</v>
      </c>
      <c r="C256">
        <v>54</v>
      </c>
      <c r="D256">
        <v>0</v>
      </c>
      <c r="E256">
        <v>0</v>
      </c>
      <c r="F256">
        <v>0</v>
      </c>
      <c r="G256">
        <v>0</v>
      </c>
      <c r="H256">
        <v>54</v>
      </c>
      <c r="I256">
        <v>1</v>
      </c>
      <c r="K256" s="451"/>
    </row>
    <row r="257" spans="1:11" x14ac:dyDescent="0.35">
      <c r="A257" t="s">
        <v>2559</v>
      </c>
      <c r="B257" t="s">
        <v>1972</v>
      </c>
      <c r="C257">
        <v>0</v>
      </c>
      <c r="D257">
        <v>0</v>
      </c>
      <c r="E257">
        <v>0</v>
      </c>
      <c r="F257">
        <v>4</v>
      </c>
      <c r="G257">
        <v>0</v>
      </c>
      <c r="H257">
        <v>4</v>
      </c>
      <c r="I257">
        <v>1</v>
      </c>
      <c r="K257" s="451"/>
    </row>
    <row r="258" spans="1:11" x14ac:dyDescent="0.35">
      <c r="A258" t="s">
        <v>2740</v>
      </c>
      <c r="B258" t="s">
        <v>1821</v>
      </c>
      <c r="C258">
        <v>47</v>
      </c>
      <c r="D258">
        <v>0</v>
      </c>
      <c r="E258">
        <v>0</v>
      </c>
      <c r="F258">
        <v>0</v>
      </c>
      <c r="G258">
        <v>0</v>
      </c>
      <c r="H258">
        <v>47</v>
      </c>
      <c r="I258">
        <v>1</v>
      </c>
      <c r="K258" s="451"/>
    </row>
    <row r="259" spans="1:11" x14ac:dyDescent="0.35">
      <c r="A259" t="s">
        <v>2522</v>
      </c>
      <c r="B259" t="s">
        <v>1822</v>
      </c>
      <c r="C259">
        <v>0</v>
      </c>
      <c r="D259">
        <v>0</v>
      </c>
      <c r="E259">
        <v>0</v>
      </c>
      <c r="F259">
        <v>36</v>
      </c>
      <c r="G259">
        <v>0</v>
      </c>
      <c r="H259">
        <v>36</v>
      </c>
      <c r="I259">
        <v>1</v>
      </c>
      <c r="K259" s="451"/>
    </row>
    <row r="260" spans="1:11" x14ac:dyDescent="0.35">
      <c r="A260" t="s">
        <v>3089</v>
      </c>
      <c r="B260" t="s">
        <v>1424</v>
      </c>
      <c r="C260">
        <v>0</v>
      </c>
      <c r="D260">
        <v>0</v>
      </c>
      <c r="E260">
        <v>0</v>
      </c>
      <c r="F260">
        <v>28</v>
      </c>
      <c r="G260">
        <v>0</v>
      </c>
      <c r="H260">
        <v>28</v>
      </c>
      <c r="I260">
        <v>1</v>
      </c>
      <c r="K260" s="451"/>
    </row>
    <row r="261" spans="1:11" x14ac:dyDescent="0.35">
      <c r="A261" t="s">
        <v>2808</v>
      </c>
      <c r="B261" t="s">
        <v>1425</v>
      </c>
      <c r="C261">
        <v>6</v>
      </c>
      <c r="D261">
        <v>0</v>
      </c>
      <c r="E261">
        <v>0</v>
      </c>
      <c r="F261">
        <v>0</v>
      </c>
      <c r="G261">
        <v>0</v>
      </c>
      <c r="H261">
        <v>6</v>
      </c>
      <c r="I261">
        <v>1</v>
      </c>
      <c r="K261" s="451"/>
    </row>
    <row r="262" spans="1:11" x14ac:dyDescent="0.35">
      <c r="A262" t="s">
        <v>2406</v>
      </c>
      <c r="B262" t="s">
        <v>14178</v>
      </c>
      <c r="C262">
        <v>15</v>
      </c>
      <c r="D262">
        <v>0</v>
      </c>
      <c r="E262">
        <v>0</v>
      </c>
      <c r="F262">
        <v>0</v>
      </c>
      <c r="G262">
        <v>0</v>
      </c>
      <c r="H262">
        <v>15</v>
      </c>
      <c r="I262">
        <v>2</v>
      </c>
      <c r="K262" s="451"/>
    </row>
    <row r="263" spans="1:11" x14ac:dyDescent="0.35">
      <c r="A263" t="s">
        <v>2642</v>
      </c>
      <c r="B263" t="s">
        <v>14179</v>
      </c>
      <c r="C263">
        <v>23</v>
      </c>
      <c r="D263">
        <v>0</v>
      </c>
      <c r="E263">
        <v>0</v>
      </c>
      <c r="F263">
        <v>0</v>
      </c>
      <c r="G263">
        <v>0</v>
      </c>
      <c r="H263">
        <v>23</v>
      </c>
      <c r="I263">
        <v>1</v>
      </c>
      <c r="K263" s="451"/>
    </row>
    <row r="264" spans="1:11" x14ac:dyDescent="0.35">
      <c r="A264" t="s">
        <v>2820</v>
      </c>
      <c r="B264" t="s">
        <v>1823</v>
      </c>
      <c r="C264">
        <v>29</v>
      </c>
      <c r="D264">
        <v>0</v>
      </c>
      <c r="E264">
        <v>0</v>
      </c>
      <c r="F264">
        <v>0</v>
      </c>
      <c r="G264">
        <v>0</v>
      </c>
      <c r="H264">
        <v>29</v>
      </c>
      <c r="I264">
        <v>1</v>
      </c>
      <c r="K264" s="451"/>
    </row>
    <row r="265" spans="1:11" x14ac:dyDescent="0.35">
      <c r="A265" t="s">
        <v>2786</v>
      </c>
      <c r="B265" t="s">
        <v>1426</v>
      </c>
      <c r="C265">
        <v>19</v>
      </c>
      <c r="D265">
        <v>0</v>
      </c>
      <c r="E265">
        <v>0</v>
      </c>
      <c r="F265">
        <v>0</v>
      </c>
      <c r="G265">
        <v>0</v>
      </c>
      <c r="H265">
        <v>19</v>
      </c>
      <c r="I265">
        <v>1</v>
      </c>
      <c r="K265" s="451"/>
    </row>
    <row r="266" spans="1:11" x14ac:dyDescent="0.35">
      <c r="A266" t="s">
        <v>2325</v>
      </c>
      <c r="B266" t="s">
        <v>1624</v>
      </c>
      <c r="C266">
        <v>0</v>
      </c>
      <c r="D266">
        <v>0</v>
      </c>
      <c r="E266">
        <v>25</v>
      </c>
      <c r="F266">
        <v>0</v>
      </c>
      <c r="G266">
        <v>0</v>
      </c>
      <c r="H266">
        <v>25</v>
      </c>
      <c r="I266">
        <v>2</v>
      </c>
      <c r="K266" s="451"/>
    </row>
    <row r="267" spans="1:11" x14ac:dyDescent="0.35">
      <c r="A267" t="s">
        <v>2201</v>
      </c>
      <c r="B267" t="s">
        <v>1169</v>
      </c>
      <c r="C267">
        <v>111</v>
      </c>
      <c r="D267">
        <v>0</v>
      </c>
      <c r="E267">
        <v>0</v>
      </c>
      <c r="F267">
        <v>0</v>
      </c>
      <c r="G267">
        <v>0</v>
      </c>
      <c r="H267">
        <v>111</v>
      </c>
      <c r="I267">
        <v>1</v>
      </c>
      <c r="K267" s="451"/>
    </row>
    <row r="268" spans="1:11" x14ac:dyDescent="0.35">
      <c r="A268" t="s">
        <v>2238</v>
      </c>
      <c r="B268" t="s">
        <v>11364</v>
      </c>
      <c r="C268">
        <v>0</v>
      </c>
      <c r="D268">
        <v>0</v>
      </c>
      <c r="E268">
        <v>17</v>
      </c>
      <c r="F268">
        <v>0</v>
      </c>
      <c r="G268">
        <v>0</v>
      </c>
      <c r="H268">
        <v>17</v>
      </c>
      <c r="I268">
        <v>2</v>
      </c>
      <c r="K268" s="451"/>
    </row>
    <row r="269" spans="1:11" x14ac:dyDescent="0.35">
      <c r="A269" t="s">
        <v>2323</v>
      </c>
      <c r="B269" t="s">
        <v>1170</v>
      </c>
      <c r="C269">
        <v>95</v>
      </c>
      <c r="D269">
        <v>0</v>
      </c>
      <c r="E269">
        <v>0</v>
      </c>
      <c r="F269">
        <v>0</v>
      </c>
      <c r="G269">
        <v>0</v>
      </c>
      <c r="H269">
        <v>95</v>
      </c>
      <c r="I269">
        <v>5</v>
      </c>
      <c r="K269" s="451"/>
    </row>
    <row r="270" spans="1:11" x14ac:dyDescent="0.35">
      <c r="A270" t="s">
        <v>3003</v>
      </c>
      <c r="B270" t="s">
        <v>1171</v>
      </c>
      <c r="C270">
        <v>6355</v>
      </c>
      <c r="D270">
        <v>320</v>
      </c>
      <c r="E270">
        <v>85</v>
      </c>
      <c r="F270">
        <v>587</v>
      </c>
      <c r="G270">
        <v>853</v>
      </c>
      <c r="H270">
        <v>8200</v>
      </c>
      <c r="I270">
        <v>38</v>
      </c>
      <c r="K270" s="451"/>
    </row>
    <row r="271" spans="1:11" x14ac:dyDescent="0.35">
      <c r="A271" t="s">
        <v>11451</v>
      </c>
      <c r="B271" t="s">
        <v>11384</v>
      </c>
      <c r="C271">
        <v>18</v>
      </c>
      <c r="D271">
        <v>0</v>
      </c>
      <c r="E271">
        <v>0</v>
      </c>
      <c r="F271">
        <v>0</v>
      </c>
      <c r="G271">
        <v>0</v>
      </c>
      <c r="H271">
        <v>18</v>
      </c>
      <c r="I271">
        <v>1</v>
      </c>
      <c r="K271" s="451"/>
    </row>
    <row r="272" spans="1:11" x14ac:dyDescent="0.35">
      <c r="A272" t="s">
        <v>2222</v>
      </c>
      <c r="B272" t="s">
        <v>1172</v>
      </c>
      <c r="C272">
        <v>0</v>
      </c>
      <c r="D272">
        <v>0</v>
      </c>
      <c r="E272">
        <v>578</v>
      </c>
      <c r="F272">
        <v>0</v>
      </c>
      <c r="G272">
        <v>0</v>
      </c>
      <c r="H272">
        <v>578</v>
      </c>
      <c r="I272">
        <v>56</v>
      </c>
      <c r="K272" s="451"/>
    </row>
    <row r="273" spans="1:11" x14ac:dyDescent="0.35">
      <c r="A273" t="s">
        <v>2732</v>
      </c>
      <c r="B273" t="s">
        <v>1697</v>
      </c>
      <c r="C273">
        <v>32</v>
      </c>
      <c r="D273">
        <v>0</v>
      </c>
      <c r="E273">
        <v>0</v>
      </c>
      <c r="F273">
        <v>0</v>
      </c>
      <c r="G273">
        <v>0</v>
      </c>
      <c r="H273">
        <v>32</v>
      </c>
      <c r="I273">
        <v>1</v>
      </c>
      <c r="K273" s="451"/>
    </row>
    <row r="274" spans="1:11" x14ac:dyDescent="0.35">
      <c r="A274" t="s">
        <v>2320</v>
      </c>
      <c r="B274" t="s">
        <v>11385</v>
      </c>
      <c r="C274">
        <v>220</v>
      </c>
      <c r="D274">
        <v>0</v>
      </c>
      <c r="E274">
        <v>46</v>
      </c>
      <c r="F274">
        <v>0</v>
      </c>
      <c r="G274">
        <v>0</v>
      </c>
      <c r="H274">
        <v>266</v>
      </c>
      <c r="I274">
        <v>10</v>
      </c>
      <c r="K274" s="451"/>
    </row>
    <row r="275" spans="1:11" x14ac:dyDescent="0.35">
      <c r="A275" t="s">
        <v>2342</v>
      </c>
      <c r="B275" t="s">
        <v>1427</v>
      </c>
      <c r="C275">
        <v>88</v>
      </c>
      <c r="D275">
        <v>0</v>
      </c>
      <c r="E275">
        <v>0</v>
      </c>
      <c r="F275">
        <v>0</v>
      </c>
      <c r="G275">
        <v>0</v>
      </c>
      <c r="H275">
        <v>88</v>
      </c>
      <c r="I275">
        <v>3</v>
      </c>
      <c r="K275" s="451"/>
    </row>
    <row r="276" spans="1:11" x14ac:dyDescent="0.35">
      <c r="A276" t="s">
        <v>2918</v>
      </c>
      <c r="B276" t="s">
        <v>2144</v>
      </c>
      <c r="C276">
        <v>0</v>
      </c>
      <c r="D276">
        <v>0</v>
      </c>
      <c r="E276">
        <v>30</v>
      </c>
      <c r="F276">
        <v>0</v>
      </c>
      <c r="G276">
        <v>0</v>
      </c>
      <c r="H276">
        <v>30</v>
      </c>
      <c r="I276">
        <v>1</v>
      </c>
      <c r="K276" s="451"/>
    </row>
    <row r="277" spans="1:11" x14ac:dyDescent="0.35">
      <c r="A277" t="s">
        <v>14180</v>
      </c>
      <c r="B277" t="s">
        <v>14181</v>
      </c>
      <c r="C277">
        <v>0</v>
      </c>
      <c r="D277">
        <v>0</v>
      </c>
      <c r="E277">
        <v>0</v>
      </c>
      <c r="F277">
        <v>0</v>
      </c>
      <c r="G277">
        <v>0</v>
      </c>
      <c r="H277">
        <v>0</v>
      </c>
      <c r="I277">
        <v>0</v>
      </c>
      <c r="K277" s="451"/>
    </row>
    <row r="278" spans="1:11" x14ac:dyDescent="0.35">
      <c r="A278" t="s">
        <v>2514</v>
      </c>
      <c r="B278" t="s">
        <v>1824</v>
      </c>
      <c r="C278">
        <v>0</v>
      </c>
      <c r="D278">
        <v>0</v>
      </c>
      <c r="E278">
        <v>20</v>
      </c>
      <c r="F278">
        <v>0</v>
      </c>
      <c r="G278">
        <v>0</v>
      </c>
      <c r="H278">
        <v>20</v>
      </c>
      <c r="I278">
        <v>1</v>
      </c>
      <c r="K278" s="451"/>
    </row>
    <row r="279" spans="1:11" x14ac:dyDescent="0.35">
      <c r="A279" t="s">
        <v>2549</v>
      </c>
      <c r="B279" t="s">
        <v>1825</v>
      </c>
      <c r="C279">
        <v>0</v>
      </c>
      <c r="D279">
        <v>0</v>
      </c>
      <c r="E279">
        <v>0</v>
      </c>
      <c r="F279">
        <v>4</v>
      </c>
      <c r="G279">
        <v>0</v>
      </c>
      <c r="H279">
        <v>4</v>
      </c>
      <c r="I279">
        <v>1</v>
      </c>
      <c r="K279" s="451"/>
    </row>
    <row r="280" spans="1:11" x14ac:dyDescent="0.35">
      <c r="A280" t="s">
        <v>2371</v>
      </c>
      <c r="B280" t="s">
        <v>1428</v>
      </c>
      <c r="C280">
        <v>16</v>
      </c>
      <c r="D280">
        <v>0</v>
      </c>
      <c r="E280">
        <v>0</v>
      </c>
      <c r="F280">
        <v>0</v>
      </c>
      <c r="G280">
        <v>0</v>
      </c>
      <c r="H280">
        <v>16</v>
      </c>
      <c r="I280">
        <v>2</v>
      </c>
      <c r="K280" s="451"/>
    </row>
    <row r="281" spans="1:11" x14ac:dyDescent="0.35">
      <c r="A281" t="s">
        <v>2519</v>
      </c>
      <c r="B281" t="s">
        <v>1826</v>
      </c>
      <c r="C281">
        <v>0</v>
      </c>
      <c r="D281">
        <v>0</v>
      </c>
      <c r="E281">
        <v>6</v>
      </c>
      <c r="F281">
        <v>0</v>
      </c>
      <c r="G281">
        <v>0</v>
      </c>
      <c r="H281">
        <v>6</v>
      </c>
      <c r="I281">
        <v>1</v>
      </c>
      <c r="K281" s="451"/>
    </row>
    <row r="282" spans="1:11" x14ac:dyDescent="0.35">
      <c r="A282" t="s">
        <v>14182</v>
      </c>
      <c r="B282" t="s">
        <v>14183</v>
      </c>
      <c r="C282">
        <v>0</v>
      </c>
      <c r="D282">
        <v>0</v>
      </c>
      <c r="E282">
        <v>0</v>
      </c>
      <c r="F282">
        <v>0</v>
      </c>
      <c r="G282">
        <v>0</v>
      </c>
      <c r="H282">
        <v>0</v>
      </c>
      <c r="I282">
        <v>0</v>
      </c>
      <c r="K282" s="451"/>
    </row>
    <row r="283" spans="1:11" x14ac:dyDescent="0.35">
      <c r="A283" t="s">
        <v>2637</v>
      </c>
      <c r="B283" t="s">
        <v>1827</v>
      </c>
      <c r="C283">
        <v>0</v>
      </c>
      <c r="D283">
        <v>0</v>
      </c>
      <c r="E283">
        <v>0</v>
      </c>
      <c r="F283">
        <v>14</v>
      </c>
      <c r="G283">
        <v>0</v>
      </c>
      <c r="H283">
        <v>14</v>
      </c>
      <c r="I283">
        <v>1</v>
      </c>
      <c r="K283" s="451"/>
    </row>
    <row r="284" spans="1:11" x14ac:dyDescent="0.35">
      <c r="A284" t="s">
        <v>2420</v>
      </c>
      <c r="B284" t="s">
        <v>1625</v>
      </c>
      <c r="C284">
        <v>4</v>
      </c>
      <c r="D284">
        <v>12</v>
      </c>
      <c r="E284">
        <v>10</v>
      </c>
      <c r="F284">
        <v>0</v>
      </c>
      <c r="G284">
        <v>0</v>
      </c>
      <c r="H284">
        <v>26</v>
      </c>
      <c r="I284">
        <v>1</v>
      </c>
      <c r="K284" s="451"/>
    </row>
    <row r="285" spans="1:11" x14ac:dyDescent="0.35">
      <c r="A285" t="s">
        <v>14184</v>
      </c>
      <c r="B285" t="s">
        <v>1626</v>
      </c>
      <c r="C285">
        <v>1702</v>
      </c>
      <c r="D285">
        <v>0</v>
      </c>
      <c r="E285">
        <v>0</v>
      </c>
      <c r="F285">
        <v>62</v>
      </c>
      <c r="G285">
        <v>3</v>
      </c>
      <c r="H285">
        <v>1767</v>
      </c>
      <c r="I285">
        <v>4</v>
      </c>
      <c r="K285" s="451"/>
    </row>
    <row r="286" spans="1:11" x14ac:dyDescent="0.35">
      <c r="A286" t="s">
        <v>2536</v>
      </c>
      <c r="B286" t="s">
        <v>1292</v>
      </c>
      <c r="C286">
        <v>8</v>
      </c>
      <c r="D286">
        <v>0</v>
      </c>
      <c r="E286">
        <v>0</v>
      </c>
      <c r="F286">
        <v>0</v>
      </c>
      <c r="G286">
        <v>0</v>
      </c>
      <c r="H286">
        <v>8</v>
      </c>
      <c r="I286">
        <v>1</v>
      </c>
      <c r="K286" s="451"/>
    </row>
    <row r="287" spans="1:11" x14ac:dyDescent="0.35">
      <c r="A287" t="s">
        <v>2583</v>
      </c>
      <c r="B287" t="s">
        <v>1973</v>
      </c>
      <c r="C287">
        <v>0</v>
      </c>
      <c r="D287">
        <v>0</v>
      </c>
      <c r="E287">
        <v>0</v>
      </c>
      <c r="F287">
        <v>20</v>
      </c>
      <c r="G287">
        <v>0</v>
      </c>
      <c r="H287">
        <v>20</v>
      </c>
      <c r="I287">
        <v>1</v>
      </c>
      <c r="K287" s="451"/>
    </row>
    <row r="288" spans="1:11" x14ac:dyDescent="0.35">
      <c r="A288" t="s">
        <v>14185</v>
      </c>
      <c r="B288" t="s">
        <v>14186</v>
      </c>
      <c r="C288">
        <v>0</v>
      </c>
      <c r="D288">
        <v>0</v>
      </c>
      <c r="E288">
        <v>0</v>
      </c>
      <c r="F288">
        <v>0</v>
      </c>
      <c r="G288">
        <v>0</v>
      </c>
      <c r="H288">
        <v>0</v>
      </c>
      <c r="I288">
        <v>0</v>
      </c>
      <c r="K288" s="451"/>
    </row>
    <row r="289" spans="1:11" x14ac:dyDescent="0.35">
      <c r="A289" t="s">
        <v>2993</v>
      </c>
      <c r="B289" t="s">
        <v>1974</v>
      </c>
      <c r="C289">
        <v>17</v>
      </c>
      <c r="D289">
        <v>0</v>
      </c>
      <c r="E289">
        <v>225</v>
      </c>
      <c r="F289">
        <v>234</v>
      </c>
      <c r="G289">
        <v>0</v>
      </c>
      <c r="H289">
        <v>476</v>
      </c>
      <c r="I289">
        <v>2</v>
      </c>
      <c r="K289" s="451"/>
    </row>
    <row r="290" spans="1:11" x14ac:dyDescent="0.35">
      <c r="A290" t="s">
        <v>3190</v>
      </c>
      <c r="B290" t="s">
        <v>1429</v>
      </c>
      <c r="C290">
        <v>2259</v>
      </c>
      <c r="D290">
        <v>0</v>
      </c>
      <c r="E290">
        <v>0</v>
      </c>
      <c r="F290">
        <v>0</v>
      </c>
      <c r="G290">
        <v>0</v>
      </c>
      <c r="H290">
        <v>2259</v>
      </c>
      <c r="I290">
        <v>1</v>
      </c>
      <c r="K290" s="451"/>
    </row>
    <row r="291" spans="1:11" x14ac:dyDescent="0.35">
      <c r="A291" t="s">
        <v>14187</v>
      </c>
      <c r="B291" t="s">
        <v>14188</v>
      </c>
      <c r="C291">
        <v>0</v>
      </c>
      <c r="D291">
        <v>0</v>
      </c>
      <c r="E291">
        <v>0</v>
      </c>
      <c r="F291">
        <v>0</v>
      </c>
      <c r="G291">
        <v>0</v>
      </c>
      <c r="H291">
        <v>0</v>
      </c>
      <c r="I291">
        <v>0</v>
      </c>
      <c r="K291" s="451"/>
    </row>
    <row r="292" spans="1:11" x14ac:dyDescent="0.35">
      <c r="A292" t="s">
        <v>3212</v>
      </c>
      <c r="B292" t="s">
        <v>1293</v>
      </c>
      <c r="C292">
        <v>10736</v>
      </c>
      <c r="D292">
        <v>0</v>
      </c>
      <c r="E292">
        <v>149</v>
      </c>
      <c r="F292">
        <v>637</v>
      </c>
      <c r="G292">
        <v>620</v>
      </c>
      <c r="H292">
        <v>12142</v>
      </c>
      <c r="I292">
        <v>10</v>
      </c>
      <c r="K292" s="451"/>
    </row>
    <row r="293" spans="1:11" x14ac:dyDescent="0.35">
      <c r="A293" t="s">
        <v>2233</v>
      </c>
      <c r="B293" t="s">
        <v>14189</v>
      </c>
      <c r="C293">
        <v>0</v>
      </c>
      <c r="D293">
        <v>213</v>
      </c>
      <c r="E293">
        <v>0</v>
      </c>
      <c r="F293">
        <v>0</v>
      </c>
      <c r="G293">
        <v>0</v>
      </c>
      <c r="H293">
        <v>213</v>
      </c>
      <c r="I293">
        <v>1</v>
      </c>
      <c r="K293" s="451"/>
    </row>
    <row r="294" spans="1:11" x14ac:dyDescent="0.35">
      <c r="A294" t="s">
        <v>3308</v>
      </c>
      <c r="B294" t="s">
        <v>1430</v>
      </c>
      <c r="C294">
        <v>8</v>
      </c>
      <c r="D294">
        <v>25</v>
      </c>
      <c r="E294">
        <v>0</v>
      </c>
      <c r="F294">
        <v>0</v>
      </c>
      <c r="G294">
        <v>0</v>
      </c>
      <c r="H294">
        <v>33</v>
      </c>
      <c r="I294">
        <v>1</v>
      </c>
      <c r="K294" s="451"/>
    </row>
    <row r="295" spans="1:11" x14ac:dyDescent="0.35">
      <c r="A295" t="s">
        <v>3149</v>
      </c>
      <c r="B295" t="s">
        <v>1698</v>
      </c>
      <c r="C295">
        <v>1572</v>
      </c>
      <c r="D295">
        <v>0</v>
      </c>
      <c r="E295">
        <v>81</v>
      </c>
      <c r="F295">
        <v>68</v>
      </c>
      <c r="G295">
        <v>95</v>
      </c>
      <c r="H295">
        <v>1816</v>
      </c>
      <c r="I295">
        <v>4</v>
      </c>
      <c r="K295" s="451"/>
    </row>
    <row r="296" spans="1:11" x14ac:dyDescent="0.35">
      <c r="A296" t="s">
        <v>2695</v>
      </c>
      <c r="B296" t="s">
        <v>1431</v>
      </c>
      <c r="C296">
        <v>69</v>
      </c>
      <c r="D296">
        <v>0</v>
      </c>
      <c r="E296">
        <v>0</v>
      </c>
      <c r="F296">
        <v>0</v>
      </c>
      <c r="G296">
        <v>0</v>
      </c>
      <c r="H296">
        <v>69</v>
      </c>
      <c r="I296">
        <v>1</v>
      </c>
      <c r="K296" s="451"/>
    </row>
    <row r="297" spans="1:11" x14ac:dyDescent="0.35">
      <c r="A297" t="s">
        <v>2719</v>
      </c>
      <c r="B297" t="s">
        <v>1432</v>
      </c>
      <c r="C297">
        <v>59</v>
      </c>
      <c r="D297">
        <v>0</v>
      </c>
      <c r="E297">
        <v>0</v>
      </c>
      <c r="F297">
        <v>0</v>
      </c>
      <c r="G297">
        <v>0</v>
      </c>
      <c r="H297">
        <v>59</v>
      </c>
      <c r="I297">
        <v>1</v>
      </c>
      <c r="K297" s="451"/>
    </row>
    <row r="298" spans="1:11" x14ac:dyDescent="0.35">
      <c r="A298" t="s">
        <v>3316</v>
      </c>
      <c r="B298" t="s">
        <v>1433</v>
      </c>
      <c r="C298">
        <v>401</v>
      </c>
      <c r="D298">
        <v>0</v>
      </c>
      <c r="E298">
        <v>66</v>
      </c>
      <c r="F298">
        <v>0</v>
      </c>
      <c r="G298">
        <v>0</v>
      </c>
      <c r="H298">
        <v>467</v>
      </c>
      <c r="I298">
        <v>8</v>
      </c>
      <c r="K298" s="451"/>
    </row>
    <row r="299" spans="1:11" x14ac:dyDescent="0.35">
      <c r="A299" t="s">
        <v>3111</v>
      </c>
      <c r="B299" t="s">
        <v>1434</v>
      </c>
      <c r="C299">
        <v>6</v>
      </c>
      <c r="D299">
        <v>0</v>
      </c>
      <c r="E299">
        <v>276</v>
      </c>
      <c r="F299">
        <v>0</v>
      </c>
      <c r="G299">
        <v>0</v>
      </c>
      <c r="H299">
        <v>282</v>
      </c>
      <c r="I299">
        <v>2</v>
      </c>
      <c r="K299" s="451"/>
    </row>
    <row r="300" spans="1:11" x14ac:dyDescent="0.35">
      <c r="A300" t="s">
        <v>2774</v>
      </c>
      <c r="B300" t="s">
        <v>11452</v>
      </c>
      <c r="C300">
        <v>346</v>
      </c>
      <c r="D300">
        <v>0</v>
      </c>
      <c r="E300">
        <v>0</v>
      </c>
      <c r="F300">
        <v>36</v>
      </c>
      <c r="G300">
        <v>0</v>
      </c>
      <c r="H300">
        <v>382</v>
      </c>
      <c r="I300">
        <v>1</v>
      </c>
      <c r="K300" s="451"/>
    </row>
    <row r="301" spans="1:11" x14ac:dyDescent="0.35">
      <c r="A301" t="s">
        <v>2479</v>
      </c>
      <c r="B301" t="s">
        <v>1435</v>
      </c>
      <c r="C301">
        <v>0</v>
      </c>
      <c r="D301">
        <v>0</v>
      </c>
      <c r="E301">
        <v>0</v>
      </c>
      <c r="F301">
        <v>78</v>
      </c>
      <c r="G301">
        <v>0</v>
      </c>
      <c r="H301">
        <v>78</v>
      </c>
      <c r="I301">
        <v>1</v>
      </c>
      <c r="K301" s="451"/>
    </row>
    <row r="302" spans="1:11" x14ac:dyDescent="0.35">
      <c r="A302" t="s">
        <v>3268</v>
      </c>
      <c r="B302" t="s">
        <v>1975</v>
      </c>
      <c r="C302">
        <v>432</v>
      </c>
      <c r="D302">
        <v>25</v>
      </c>
      <c r="E302">
        <v>251</v>
      </c>
      <c r="F302">
        <v>0</v>
      </c>
      <c r="G302">
        <v>0</v>
      </c>
      <c r="H302">
        <v>708</v>
      </c>
      <c r="I302">
        <v>8</v>
      </c>
      <c r="K302" s="451"/>
    </row>
    <row r="303" spans="1:11" x14ac:dyDescent="0.35">
      <c r="A303" t="s">
        <v>2540</v>
      </c>
      <c r="B303" t="s">
        <v>2077</v>
      </c>
      <c r="C303">
        <v>0</v>
      </c>
      <c r="D303">
        <v>0</v>
      </c>
      <c r="E303">
        <v>0</v>
      </c>
      <c r="F303">
        <v>30</v>
      </c>
      <c r="G303">
        <v>0</v>
      </c>
      <c r="H303">
        <v>30</v>
      </c>
      <c r="I303">
        <v>1</v>
      </c>
      <c r="K303" s="451"/>
    </row>
    <row r="304" spans="1:11" x14ac:dyDescent="0.35">
      <c r="A304" t="s">
        <v>2723</v>
      </c>
      <c r="B304" t="s">
        <v>1828</v>
      </c>
      <c r="C304">
        <v>21</v>
      </c>
      <c r="D304">
        <v>0</v>
      </c>
      <c r="E304">
        <v>0</v>
      </c>
      <c r="F304">
        <v>0</v>
      </c>
      <c r="G304">
        <v>0</v>
      </c>
      <c r="H304">
        <v>21</v>
      </c>
      <c r="I304">
        <v>1</v>
      </c>
      <c r="K304" s="451"/>
    </row>
    <row r="305" spans="1:12" x14ac:dyDescent="0.35">
      <c r="A305" t="s">
        <v>2844</v>
      </c>
      <c r="B305" t="s">
        <v>1829</v>
      </c>
      <c r="C305">
        <v>0</v>
      </c>
      <c r="D305">
        <v>0</v>
      </c>
      <c r="E305">
        <v>0</v>
      </c>
      <c r="F305">
        <v>36</v>
      </c>
      <c r="G305">
        <v>0</v>
      </c>
      <c r="H305">
        <v>36</v>
      </c>
      <c r="I305">
        <v>1</v>
      </c>
      <c r="K305" s="451"/>
    </row>
    <row r="306" spans="1:12" x14ac:dyDescent="0.35">
      <c r="A306" t="s">
        <v>2327</v>
      </c>
      <c r="B306" t="s">
        <v>1699</v>
      </c>
      <c r="C306">
        <v>0</v>
      </c>
      <c r="D306">
        <v>0</v>
      </c>
      <c r="E306">
        <v>200</v>
      </c>
      <c r="F306">
        <v>0</v>
      </c>
      <c r="G306">
        <v>0</v>
      </c>
      <c r="H306">
        <v>200</v>
      </c>
      <c r="I306">
        <v>3</v>
      </c>
      <c r="K306" s="451"/>
    </row>
    <row r="307" spans="1:12" x14ac:dyDescent="0.35">
      <c r="A307" t="s">
        <v>2499</v>
      </c>
      <c r="B307" t="s">
        <v>1977</v>
      </c>
      <c r="C307">
        <v>0</v>
      </c>
      <c r="D307">
        <v>0</v>
      </c>
      <c r="E307">
        <v>0</v>
      </c>
      <c r="F307">
        <v>143</v>
      </c>
      <c r="G307">
        <v>0</v>
      </c>
      <c r="H307">
        <v>143</v>
      </c>
      <c r="I307">
        <v>1</v>
      </c>
      <c r="K307" s="451"/>
    </row>
    <row r="308" spans="1:12" x14ac:dyDescent="0.35">
      <c r="A308" t="s">
        <v>2308</v>
      </c>
      <c r="B308" t="s">
        <v>2079</v>
      </c>
      <c r="C308">
        <v>0</v>
      </c>
      <c r="D308">
        <v>0</v>
      </c>
      <c r="E308">
        <v>64</v>
      </c>
      <c r="F308">
        <v>0</v>
      </c>
      <c r="G308">
        <v>0</v>
      </c>
      <c r="H308">
        <v>64</v>
      </c>
      <c r="I308">
        <v>1</v>
      </c>
      <c r="K308" s="451"/>
    </row>
    <row r="309" spans="1:12" x14ac:dyDescent="0.35">
      <c r="A309" t="s">
        <v>3129</v>
      </c>
      <c r="B309" t="s">
        <v>1700</v>
      </c>
      <c r="C309">
        <v>16</v>
      </c>
      <c r="D309">
        <v>0</v>
      </c>
      <c r="E309">
        <v>0</v>
      </c>
      <c r="F309">
        <v>0</v>
      </c>
      <c r="G309">
        <v>0</v>
      </c>
      <c r="H309">
        <v>16</v>
      </c>
      <c r="I309">
        <v>1</v>
      </c>
      <c r="K309" s="451"/>
    </row>
    <row r="310" spans="1:12" x14ac:dyDescent="0.35">
      <c r="A310" t="s">
        <v>2651</v>
      </c>
      <c r="B310" t="s">
        <v>1438</v>
      </c>
      <c r="C310">
        <v>115</v>
      </c>
      <c r="D310">
        <v>43</v>
      </c>
      <c r="E310">
        <v>0</v>
      </c>
      <c r="F310">
        <v>0</v>
      </c>
      <c r="G310">
        <v>0</v>
      </c>
      <c r="H310">
        <v>158</v>
      </c>
      <c r="I310">
        <v>1</v>
      </c>
      <c r="K310" s="451"/>
    </row>
    <row r="311" spans="1:12" x14ac:dyDescent="0.35">
      <c r="A311" t="s">
        <v>3204</v>
      </c>
      <c r="B311" t="s">
        <v>14190</v>
      </c>
      <c r="C311">
        <v>7076</v>
      </c>
      <c r="D311">
        <v>0</v>
      </c>
      <c r="E311">
        <v>11</v>
      </c>
      <c r="F311">
        <v>582</v>
      </c>
      <c r="G311">
        <v>253</v>
      </c>
      <c r="H311">
        <v>7922</v>
      </c>
      <c r="I311">
        <v>4</v>
      </c>
      <c r="K311" s="451"/>
    </row>
    <row r="312" spans="1:12" x14ac:dyDescent="0.35">
      <c r="A312" t="s">
        <v>2330</v>
      </c>
      <c r="B312" t="s">
        <v>1832</v>
      </c>
      <c r="C312">
        <v>0</v>
      </c>
      <c r="D312">
        <v>0</v>
      </c>
      <c r="E312">
        <v>56</v>
      </c>
      <c r="F312">
        <v>0</v>
      </c>
      <c r="G312">
        <v>0</v>
      </c>
      <c r="H312">
        <v>56</v>
      </c>
      <c r="I312">
        <v>10</v>
      </c>
      <c r="K312" s="451"/>
    </row>
    <row r="313" spans="1:12" x14ac:dyDescent="0.35">
      <c r="A313" t="s">
        <v>2305</v>
      </c>
      <c r="B313" t="s">
        <v>1627</v>
      </c>
      <c r="C313">
        <v>0</v>
      </c>
      <c r="D313">
        <v>0</v>
      </c>
      <c r="E313">
        <v>8</v>
      </c>
      <c r="F313">
        <v>0</v>
      </c>
      <c r="G313">
        <v>0</v>
      </c>
      <c r="H313">
        <v>8</v>
      </c>
      <c r="I313">
        <v>3</v>
      </c>
      <c r="K313" s="451"/>
    </row>
    <row r="314" spans="1:12" x14ac:dyDescent="0.35">
      <c r="A314" t="s">
        <v>3119</v>
      </c>
      <c r="B314" t="s">
        <v>1978</v>
      </c>
      <c r="C314">
        <v>286</v>
      </c>
      <c r="D314">
        <v>0</v>
      </c>
      <c r="E314">
        <v>0</v>
      </c>
      <c r="F314">
        <v>0</v>
      </c>
      <c r="G314">
        <v>0</v>
      </c>
      <c r="H314">
        <v>286</v>
      </c>
      <c r="I314">
        <v>3</v>
      </c>
      <c r="K314" s="451"/>
    </row>
    <row r="315" spans="1:12" x14ac:dyDescent="0.35">
      <c r="A315" t="s">
        <v>2696</v>
      </c>
      <c r="B315" t="s">
        <v>1628</v>
      </c>
      <c r="C315">
        <v>29</v>
      </c>
      <c r="D315">
        <v>0</v>
      </c>
      <c r="E315">
        <v>0</v>
      </c>
      <c r="F315">
        <v>0</v>
      </c>
      <c r="G315">
        <v>0</v>
      </c>
      <c r="H315">
        <v>29</v>
      </c>
      <c r="I315">
        <v>1</v>
      </c>
      <c r="K315" s="451"/>
    </row>
    <row r="316" spans="1:12" x14ac:dyDescent="0.35">
      <c r="A316" t="s">
        <v>3040</v>
      </c>
      <c r="B316" t="s">
        <v>1701</v>
      </c>
      <c r="C316">
        <v>330</v>
      </c>
      <c r="D316">
        <v>0</v>
      </c>
      <c r="E316">
        <v>0</v>
      </c>
      <c r="F316">
        <v>57</v>
      </c>
      <c r="G316">
        <v>0</v>
      </c>
      <c r="H316">
        <v>387</v>
      </c>
      <c r="I316">
        <v>1</v>
      </c>
      <c r="K316" s="451"/>
    </row>
    <row r="317" spans="1:12" x14ac:dyDescent="0.35">
      <c r="A317" t="s">
        <v>2604</v>
      </c>
      <c r="B317" t="s">
        <v>1176</v>
      </c>
      <c r="C317">
        <v>0</v>
      </c>
      <c r="D317">
        <v>0</v>
      </c>
      <c r="E317">
        <v>0</v>
      </c>
      <c r="F317">
        <v>10</v>
      </c>
      <c r="G317">
        <v>0</v>
      </c>
      <c r="H317">
        <v>10</v>
      </c>
      <c r="I317">
        <v>1</v>
      </c>
      <c r="K317" s="451"/>
    </row>
    <row r="318" spans="1:12" x14ac:dyDescent="0.35">
      <c r="A318" t="s">
        <v>14191</v>
      </c>
      <c r="B318" t="s">
        <v>14192</v>
      </c>
      <c r="C318">
        <v>8</v>
      </c>
      <c r="D318">
        <v>0</v>
      </c>
      <c r="E318">
        <v>0</v>
      </c>
      <c r="F318">
        <v>0</v>
      </c>
      <c r="G318">
        <v>0</v>
      </c>
      <c r="H318">
        <v>8</v>
      </c>
      <c r="I318">
        <v>1</v>
      </c>
      <c r="K318" s="451"/>
    </row>
    <row r="319" spans="1:12" x14ac:dyDescent="0.35">
      <c r="A319" t="s">
        <v>2616</v>
      </c>
      <c r="B319" t="s">
        <v>1702</v>
      </c>
      <c r="C319">
        <v>0</v>
      </c>
      <c r="D319">
        <v>0</v>
      </c>
      <c r="E319">
        <v>0</v>
      </c>
      <c r="F319">
        <v>7</v>
      </c>
      <c r="G319">
        <v>0</v>
      </c>
      <c r="H319">
        <v>7</v>
      </c>
      <c r="I319">
        <v>1</v>
      </c>
      <c r="L319" s="452"/>
    </row>
    <row r="320" spans="1:12" x14ac:dyDescent="0.35">
      <c r="A320" t="s">
        <v>14193</v>
      </c>
      <c r="B320" t="s">
        <v>14194</v>
      </c>
      <c r="C320">
        <v>35</v>
      </c>
      <c r="D320">
        <v>0</v>
      </c>
      <c r="E320">
        <v>0</v>
      </c>
      <c r="F320">
        <v>0</v>
      </c>
      <c r="G320">
        <v>0</v>
      </c>
      <c r="H320">
        <v>35</v>
      </c>
      <c r="I320">
        <v>1</v>
      </c>
    </row>
    <row r="321" spans="1:9" x14ac:dyDescent="0.35">
      <c r="A321" t="s">
        <v>14195</v>
      </c>
      <c r="B321" t="s">
        <v>14196</v>
      </c>
      <c r="C321">
        <v>0</v>
      </c>
      <c r="D321">
        <v>0</v>
      </c>
      <c r="E321">
        <v>0</v>
      </c>
      <c r="F321">
        <v>0</v>
      </c>
      <c r="G321">
        <v>0</v>
      </c>
      <c r="H321">
        <v>0</v>
      </c>
      <c r="I321">
        <v>0</v>
      </c>
    </row>
    <row r="322" spans="1:9" x14ac:dyDescent="0.35">
      <c r="A322" t="s">
        <v>2202</v>
      </c>
      <c r="B322" t="s">
        <v>1703</v>
      </c>
      <c r="C322">
        <v>11323</v>
      </c>
      <c r="D322">
        <v>3</v>
      </c>
      <c r="E322">
        <v>0</v>
      </c>
      <c r="F322">
        <v>0</v>
      </c>
      <c r="G322">
        <v>35</v>
      </c>
      <c r="H322">
        <v>11361</v>
      </c>
      <c r="I322">
        <v>2</v>
      </c>
    </row>
    <row r="323" spans="1:9" x14ac:dyDescent="0.35">
      <c r="A323" t="s">
        <v>2423</v>
      </c>
      <c r="B323" t="s">
        <v>1295</v>
      </c>
      <c r="C323">
        <v>1597</v>
      </c>
      <c r="D323">
        <v>0</v>
      </c>
      <c r="E323">
        <v>46</v>
      </c>
      <c r="F323">
        <v>463</v>
      </c>
      <c r="G323">
        <v>157</v>
      </c>
      <c r="H323">
        <v>2263</v>
      </c>
      <c r="I323">
        <v>6</v>
      </c>
    </row>
    <row r="324" spans="1:9" x14ac:dyDescent="0.35">
      <c r="A324" t="s">
        <v>2255</v>
      </c>
      <c r="B324" t="s">
        <v>1177</v>
      </c>
      <c r="C324">
        <v>8</v>
      </c>
      <c r="D324">
        <v>0</v>
      </c>
      <c r="E324">
        <v>264</v>
      </c>
      <c r="F324">
        <v>0</v>
      </c>
      <c r="G324">
        <v>0</v>
      </c>
      <c r="H324">
        <v>272</v>
      </c>
      <c r="I324">
        <v>34</v>
      </c>
    </row>
    <row r="325" spans="1:9" x14ac:dyDescent="0.35">
      <c r="A325" t="s">
        <v>2198</v>
      </c>
      <c r="B325" t="s">
        <v>1439</v>
      </c>
      <c r="C325">
        <v>179</v>
      </c>
      <c r="D325">
        <v>0</v>
      </c>
      <c r="E325">
        <v>0</v>
      </c>
      <c r="F325">
        <v>0</v>
      </c>
      <c r="G325">
        <v>0</v>
      </c>
      <c r="H325">
        <v>179</v>
      </c>
      <c r="I325">
        <v>3</v>
      </c>
    </row>
    <row r="326" spans="1:9" x14ac:dyDescent="0.35">
      <c r="A326" t="s">
        <v>2517</v>
      </c>
      <c r="B326" t="s">
        <v>1833</v>
      </c>
      <c r="C326">
        <v>0</v>
      </c>
      <c r="D326">
        <v>0</v>
      </c>
      <c r="E326">
        <v>0</v>
      </c>
      <c r="F326">
        <v>14</v>
      </c>
      <c r="G326">
        <v>0</v>
      </c>
      <c r="H326">
        <v>14</v>
      </c>
      <c r="I326">
        <v>1</v>
      </c>
    </row>
    <row r="327" spans="1:9" x14ac:dyDescent="0.35">
      <c r="A327" t="s">
        <v>3097</v>
      </c>
      <c r="B327" t="s">
        <v>1834</v>
      </c>
      <c r="C327">
        <v>0</v>
      </c>
      <c r="D327">
        <v>0</v>
      </c>
      <c r="E327">
        <v>0</v>
      </c>
      <c r="F327">
        <v>52</v>
      </c>
      <c r="G327">
        <v>0</v>
      </c>
      <c r="H327">
        <v>52</v>
      </c>
      <c r="I327">
        <v>1</v>
      </c>
    </row>
    <row r="328" spans="1:9" x14ac:dyDescent="0.35">
      <c r="A328" t="s">
        <v>2223</v>
      </c>
      <c r="B328" t="s">
        <v>1296</v>
      </c>
      <c r="C328">
        <v>26742</v>
      </c>
      <c r="D328">
        <v>0</v>
      </c>
      <c r="E328">
        <v>295</v>
      </c>
      <c r="F328">
        <v>2192</v>
      </c>
      <c r="G328">
        <v>1690</v>
      </c>
      <c r="H328">
        <v>30919</v>
      </c>
      <c r="I328">
        <v>20</v>
      </c>
    </row>
    <row r="329" spans="1:9" x14ac:dyDescent="0.35">
      <c r="A329" t="s">
        <v>14197</v>
      </c>
      <c r="B329" t="s">
        <v>14198</v>
      </c>
      <c r="C329">
        <v>0</v>
      </c>
      <c r="D329">
        <v>0</v>
      </c>
      <c r="E329">
        <v>0</v>
      </c>
      <c r="F329">
        <v>0</v>
      </c>
      <c r="G329">
        <v>0</v>
      </c>
      <c r="H329">
        <v>0</v>
      </c>
      <c r="I329">
        <v>0</v>
      </c>
    </row>
    <row r="330" spans="1:9" x14ac:dyDescent="0.35">
      <c r="A330" t="s">
        <v>2582</v>
      </c>
      <c r="B330" t="s">
        <v>1979</v>
      </c>
      <c r="C330">
        <v>0</v>
      </c>
      <c r="D330">
        <v>0</v>
      </c>
      <c r="E330">
        <v>0</v>
      </c>
      <c r="F330">
        <v>12</v>
      </c>
      <c r="G330">
        <v>0</v>
      </c>
      <c r="H330">
        <v>12</v>
      </c>
      <c r="I330">
        <v>1</v>
      </c>
    </row>
    <row r="331" spans="1:9" x14ac:dyDescent="0.35">
      <c r="A331" t="s">
        <v>2964</v>
      </c>
      <c r="B331" t="s">
        <v>1440</v>
      </c>
      <c r="C331">
        <v>123</v>
      </c>
      <c r="D331">
        <v>0</v>
      </c>
      <c r="E331">
        <v>0</v>
      </c>
      <c r="F331">
        <v>0</v>
      </c>
      <c r="G331">
        <v>0</v>
      </c>
      <c r="H331">
        <v>123</v>
      </c>
      <c r="I331">
        <v>1</v>
      </c>
    </row>
    <row r="332" spans="1:9" x14ac:dyDescent="0.35">
      <c r="A332" t="s">
        <v>3221</v>
      </c>
      <c r="B332" t="s">
        <v>1704</v>
      </c>
      <c r="C332">
        <v>16191</v>
      </c>
      <c r="D332">
        <v>3</v>
      </c>
      <c r="E332">
        <v>1464</v>
      </c>
      <c r="F332">
        <v>0</v>
      </c>
      <c r="G332">
        <v>97</v>
      </c>
      <c r="H332">
        <v>17755</v>
      </c>
      <c r="I332">
        <v>7</v>
      </c>
    </row>
    <row r="333" spans="1:9" x14ac:dyDescent="0.35">
      <c r="A333" t="s">
        <v>2246</v>
      </c>
      <c r="B333" t="s">
        <v>2146</v>
      </c>
      <c r="C333">
        <v>7</v>
      </c>
      <c r="D333">
        <v>0</v>
      </c>
      <c r="E333">
        <v>9</v>
      </c>
      <c r="F333">
        <v>0</v>
      </c>
      <c r="G333">
        <v>0</v>
      </c>
      <c r="H333">
        <v>16</v>
      </c>
      <c r="I333">
        <v>2</v>
      </c>
    </row>
    <row r="334" spans="1:9" x14ac:dyDescent="0.35">
      <c r="A334" t="s">
        <v>3264</v>
      </c>
      <c r="B334" t="s">
        <v>1980</v>
      </c>
      <c r="C334">
        <v>8</v>
      </c>
      <c r="D334">
        <v>0</v>
      </c>
      <c r="E334">
        <v>0</v>
      </c>
      <c r="F334">
        <v>0</v>
      </c>
      <c r="G334">
        <v>0</v>
      </c>
      <c r="H334">
        <v>8</v>
      </c>
      <c r="I334">
        <v>1</v>
      </c>
    </row>
    <row r="335" spans="1:9" x14ac:dyDescent="0.35">
      <c r="A335" t="s">
        <v>3334</v>
      </c>
      <c r="B335" t="s">
        <v>1178</v>
      </c>
      <c r="C335">
        <v>0</v>
      </c>
      <c r="D335">
        <v>0</v>
      </c>
      <c r="E335">
        <v>1143</v>
      </c>
      <c r="F335">
        <v>0</v>
      </c>
      <c r="G335">
        <v>0</v>
      </c>
      <c r="H335">
        <v>1143</v>
      </c>
      <c r="I335">
        <v>23</v>
      </c>
    </row>
    <row r="336" spans="1:9" x14ac:dyDescent="0.35">
      <c r="A336" t="s">
        <v>2632</v>
      </c>
      <c r="B336" t="s">
        <v>14199</v>
      </c>
      <c r="C336">
        <v>5</v>
      </c>
      <c r="D336">
        <v>0</v>
      </c>
      <c r="E336">
        <v>0</v>
      </c>
      <c r="F336">
        <v>0</v>
      </c>
      <c r="G336">
        <v>0</v>
      </c>
      <c r="H336">
        <v>5</v>
      </c>
      <c r="I336">
        <v>1</v>
      </c>
    </row>
    <row r="337" spans="1:9" x14ac:dyDescent="0.35">
      <c r="A337" t="s">
        <v>2460</v>
      </c>
      <c r="B337" t="s">
        <v>2147</v>
      </c>
      <c r="C337">
        <v>21</v>
      </c>
      <c r="D337">
        <v>0</v>
      </c>
      <c r="E337">
        <v>0</v>
      </c>
      <c r="F337">
        <v>0</v>
      </c>
      <c r="G337">
        <v>0</v>
      </c>
      <c r="H337">
        <v>21</v>
      </c>
      <c r="I337">
        <v>1</v>
      </c>
    </row>
    <row r="338" spans="1:9" x14ac:dyDescent="0.35">
      <c r="A338" t="s">
        <v>3069</v>
      </c>
      <c r="B338" t="s">
        <v>1835</v>
      </c>
      <c r="C338">
        <v>283</v>
      </c>
      <c r="D338">
        <v>0</v>
      </c>
      <c r="E338">
        <v>0</v>
      </c>
      <c r="F338">
        <v>0</v>
      </c>
      <c r="G338">
        <v>0</v>
      </c>
      <c r="H338">
        <v>283</v>
      </c>
      <c r="I338">
        <v>1</v>
      </c>
    </row>
    <row r="339" spans="1:9" x14ac:dyDescent="0.35">
      <c r="A339" t="s">
        <v>2813</v>
      </c>
      <c r="B339" t="s">
        <v>1836</v>
      </c>
      <c r="C339">
        <v>59</v>
      </c>
      <c r="D339">
        <v>0</v>
      </c>
      <c r="E339">
        <v>0</v>
      </c>
      <c r="F339">
        <v>0</v>
      </c>
      <c r="G339">
        <v>0</v>
      </c>
      <c r="H339">
        <v>59</v>
      </c>
      <c r="I339">
        <v>1</v>
      </c>
    </row>
    <row r="340" spans="1:9" x14ac:dyDescent="0.35">
      <c r="A340" t="s">
        <v>3201</v>
      </c>
      <c r="B340" t="s">
        <v>1297</v>
      </c>
      <c r="C340">
        <v>6161</v>
      </c>
      <c r="D340">
        <v>18</v>
      </c>
      <c r="E340">
        <v>28</v>
      </c>
      <c r="F340">
        <v>583</v>
      </c>
      <c r="G340">
        <v>45</v>
      </c>
      <c r="H340">
        <v>6835</v>
      </c>
      <c r="I340">
        <v>1</v>
      </c>
    </row>
    <row r="341" spans="1:9" x14ac:dyDescent="0.35">
      <c r="A341" t="s">
        <v>2283</v>
      </c>
      <c r="B341" t="s">
        <v>1981</v>
      </c>
      <c r="C341">
        <v>3</v>
      </c>
      <c r="D341">
        <v>0</v>
      </c>
      <c r="E341">
        <v>0</v>
      </c>
      <c r="F341">
        <v>0</v>
      </c>
      <c r="G341">
        <v>0</v>
      </c>
      <c r="H341">
        <v>3</v>
      </c>
      <c r="I341">
        <v>1</v>
      </c>
    </row>
    <row r="342" spans="1:9" x14ac:dyDescent="0.35">
      <c r="A342" t="s">
        <v>3158</v>
      </c>
      <c r="B342" t="s">
        <v>1705</v>
      </c>
      <c r="C342">
        <v>1153</v>
      </c>
      <c r="D342">
        <v>0</v>
      </c>
      <c r="E342">
        <v>23</v>
      </c>
      <c r="F342">
        <v>49</v>
      </c>
      <c r="G342">
        <v>142</v>
      </c>
      <c r="H342">
        <v>1367</v>
      </c>
      <c r="I342">
        <v>14</v>
      </c>
    </row>
    <row r="343" spans="1:9" x14ac:dyDescent="0.35">
      <c r="A343" t="s">
        <v>2355</v>
      </c>
      <c r="B343" t="s">
        <v>1179</v>
      </c>
      <c r="C343">
        <v>0</v>
      </c>
      <c r="D343">
        <v>0</v>
      </c>
      <c r="E343">
        <v>26</v>
      </c>
      <c r="F343">
        <v>0</v>
      </c>
      <c r="G343">
        <v>0</v>
      </c>
      <c r="H343">
        <v>26</v>
      </c>
      <c r="I343">
        <v>12</v>
      </c>
    </row>
    <row r="344" spans="1:9" x14ac:dyDescent="0.35">
      <c r="A344" t="s">
        <v>3184</v>
      </c>
      <c r="B344" t="s">
        <v>1180</v>
      </c>
      <c r="C344">
        <v>3985</v>
      </c>
      <c r="D344">
        <v>34</v>
      </c>
      <c r="E344">
        <v>18</v>
      </c>
      <c r="F344">
        <v>2211</v>
      </c>
      <c r="G344">
        <v>263</v>
      </c>
      <c r="H344">
        <v>6511</v>
      </c>
      <c r="I344">
        <v>19</v>
      </c>
    </row>
    <row r="345" spans="1:9" x14ac:dyDescent="0.35">
      <c r="A345" t="s">
        <v>3211</v>
      </c>
      <c r="B345" t="s">
        <v>1181</v>
      </c>
      <c r="C345">
        <v>2319</v>
      </c>
      <c r="D345">
        <v>0</v>
      </c>
      <c r="E345">
        <v>0</v>
      </c>
      <c r="F345">
        <v>886</v>
      </c>
      <c r="G345">
        <v>168</v>
      </c>
      <c r="H345">
        <v>3373</v>
      </c>
      <c r="I345">
        <v>5</v>
      </c>
    </row>
    <row r="346" spans="1:9" x14ac:dyDescent="0.35">
      <c r="A346" t="s">
        <v>14200</v>
      </c>
      <c r="B346" t="s">
        <v>14201</v>
      </c>
      <c r="C346">
        <v>0</v>
      </c>
      <c r="D346">
        <v>0</v>
      </c>
      <c r="E346">
        <v>0</v>
      </c>
      <c r="F346">
        <v>0</v>
      </c>
      <c r="G346">
        <v>0</v>
      </c>
      <c r="H346">
        <v>0</v>
      </c>
      <c r="I346">
        <v>0</v>
      </c>
    </row>
    <row r="347" spans="1:9" x14ac:dyDescent="0.35">
      <c r="A347" t="s">
        <v>2991</v>
      </c>
      <c r="B347" t="s">
        <v>1298</v>
      </c>
      <c r="C347">
        <v>1959</v>
      </c>
      <c r="D347">
        <v>0</v>
      </c>
      <c r="E347">
        <v>99</v>
      </c>
      <c r="F347">
        <v>428</v>
      </c>
      <c r="G347">
        <v>342</v>
      </c>
      <c r="H347">
        <v>2828</v>
      </c>
      <c r="I347">
        <v>6</v>
      </c>
    </row>
    <row r="348" spans="1:9" x14ac:dyDescent="0.35">
      <c r="A348" t="s">
        <v>2810</v>
      </c>
      <c r="B348" t="s">
        <v>1299</v>
      </c>
      <c r="C348">
        <v>20</v>
      </c>
      <c r="D348">
        <v>0</v>
      </c>
      <c r="E348">
        <v>0</v>
      </c>
      <c r="F348">
        <v>0</v>
      </c>
      <c r="G348">
        <v>0</v>
      </c>
      <c r="H348">
        <v>20</v>
      </c>
      <c r="I348">
        <v>1</v>
      </c>
    </row>
    <row r="349" spans="1:9" x14ac:dyDescent="0.35">
      <c r="A349" t="s">
        <v>3176</v>
      </c>
      <c r="B349" t="s">
        <v>1629</v>
      </c>
      <c r="C349">
        <v>28301</v>
      </c>
      <c r="D349">
        <v>0</v>
      </c>
      <c r="E349">
        <v>150</v>
      </c>
      <c r="F349">
        <v>233</v>
      </c>
      <c r="G349">
        <v>164</v>
      </c>
      <c r="H349">
        <v>28848</v>
      </c>
      <c r="I349">
        <v>5</v>
      </c>
    </row>
    <row r="350" spans="1:9" x14ac:dyDescent="0.35">
      <c r="A350" t="s">
        <v>2562</v>
      </c>
      <c r="B350" t="s">
        <v>1441</v>
      </c>
      <c r="C350">
        <v>0</v>
      </c>
      <c r="D350">
        <v>0</v>
      </c>
      <c r="E350">
        <v>0</v>
      </c>
      <c r="F350">
        <v>0</v>
      </c>
      <c r="G350">
        <v>0</v>
      </c>
      <c r="H350">
        <v>0</v>
      </c>
      <c r="I350">
        <v>0</v>
      </c>
    </row>
    <row r="351" spans="1:9" x14ac:dyDescent="0.35">
      <c r="A351" t="s">
        <v>14202</v>
      </c>
      <c r="B351" t="s">
        <v>1441</v>
      </c>
      <c r="C351">
        <v>11</v>
      </c>
      <c r="D351">
        <v>0</v>
      </c>
      <c r="E351">
        <v>0</v>
      </c>
      <c r="F351">
        <v>0</v>
      </c>
      <c r="G351">
        <v>0</v>
      </c>
      <c r="H351">
        <v>11</v>
      </c>
      <c r="I351">
        <v>1</v>
      </c>
    </row>
    <row r="352" spans="1:9" x14ac:dyDescent="0.35">
      <c r="A352" t="s">
        <v>11450</v>
      </c>
      <c r="B352" t="s">
        <v>14203</v>
      </c>
      <c r="C352">
        <v>2</v>
      </c>
      <c r="D352">
        <v>0</v>
      </c>
      <c r="E352">
        <v>0</v>
      </c>
      <c r="F352">
        <v>0</v>
      </c>
      <c r="G352">
        <v>0</v>
      </c>
      <c r="H352">
        <v>2</v>
      </c>
      <c r="I352">
        <v>1</v>
      </c>
    </row>
    <row r="353" spans="1:9" x14ac:dyDescent="0.35">
      <c r="A353" t="s">
        <v>2633</v>
      </c>
      <c r="B353" t="s">
        <v>2148</v>
      </c>
      <c r="C353">
        <v>8</v>
      </c>
      <c r="D353">
        <v>0</v>
      </c>
      <c r="E353">
        <v>0</v>
      </c>
      <c r="F353">
        <v>0</v>
      </c>
      <c r="G353">
        <v>0</v>
      </c>
      <c r="H353">
        <v>8</v>
      </c>
      <c r="I353">
        <v>1</v>
      </c>
    </row>
    <row r="354" spans="1:9" x14ac:dyDescent="0.35">
      <c r="A354" t="s">
        <v>3116</v>
      </c>
      <c r="B354" t="s">
        <v>1982</v>
      </c>
      <c r="C354">
        <v>0</v>
      </c>
      <c r="D354">
        <v>0</v>
      </c>
      <c r="E354">
        <v>0</v>
      </c>
      <c r="F354">
        <v>6</v>
      </c>
      <c r="G354">
        <v>0</v>
      </c>
      <c r="H354">
        <v>6</v>
      </c>
      <c r="I354">
        <v>1</v>
      </c>
    </row>
    <row r="355" spans="1:9" x14ac:dyDescent="0.35">
      <c r="A355" t="s">
        <v>14204</v>
      </c>
      <c r="B355" t="s">
        <v>14205</v>
      </c>
      <c r="C355">
        <v>24</v>
      </c>
      <c r="D355">
        <v>48</v>
      </c>
      <c r="E355">
        <v>0</v>
      </c>
      <c r="F355">
        <v>0</v>
      </c>
      <c r="G355">
        <v>0</v>
      </c>
      <c r="H355">
        <v>72</v>
      </c>
      <c r="I355">
        <v>1</v>
      </c>
    </row>
    <row r="356" spans="1:9" x14ac:dyDescent="0.35">
      <c r="A356" t="s">
        <v>2995</v>
      </c>
      <c r="B356" t="s">
        <v>1442</v>
      </c>
      <c r="C356">
        <v>0</v>
      </c>
      <c r="D356">
        <v>0</v>
      </c>
      <c r="E356">
        <v>0</v>
      </c>
      <c r="F356">
        <v>138</v>
      </c>
      <c r="G356">
        <v>0</v>
      </c>
      <c r="H356">
        <v>138</v>
      </c>
      <c r="I356">
        <v>1</v>
      </c>
    </row>
    <row r="357" spans="1:9" x14ac:dyDescent="0.35">
      <c r="A357" t="s">
        <v>14206</v>
      </c>
      <c r="B357" t="s">
        <v>14207</v>
      </c>
      <c r="C357">
        <v>0</v>
      </c>
      <c r="D357">
        <v>0</v>
      </c>
      <c r="E357">
        <v>0</v>
      </c>
      <c r="F357">
        <v>0</v>
      </c>
      <c r="G357">
        <v>0</v>
      </c>
      <c r="H357">
        <v>0</v>
      </c>
      <c r="I357">
        <v>0</v>
      </c>
    </row>
    <row r="358" spans="1:9" x14ac:dyDescent="0.35">
      <c r="A358" t="s">
        <v>2203</v>
      </c>
      <c r="B358" t="s">
        <v>1983</v>
      </c>
      <c r="C358">
        <v>4213</v>
      </c>
      <c r="D358">
        <v>0</v>
      </c>
      <c r="E358">
        <v>72</v>
      </c>
      <c r="F358">
        <v>293</v>
      </c>
      <c r="G358">
        <v>107</v>
      </c>
      <c r="H358">
        <v>4685</v>
      </c>
      <c r="I358">
        <v>4</v>
      </c>
    </row>
    <row r="359" spans="1:9" x14ac:dyDescent="0.35">
      <c r="A359" t="s">
        <v>3118</v>
      </c>
      <c r="B359" t="s">
        <v>1984</v>
      </c>
      <c r="C359">
        <v>151</v>
      </c>
      <c r="D359">
        <v>0</v>
      </c>
      <c r="E359">
        <v>0</v>
      </c>
      <c r="F359">
        <v>0</v>
      </c>
      <c r="G359">
        <v>0</v>
      </c>
      <c r="H359">
        <v>151</v>
      </c>
      <c r="I359">
        <v>4</v>
      </c>
    </row>
    <row r="360" spans="1:9" x14ac:dyDescent="0.35">
      <c r="A360" t="s">
        <v>2567</v>
      </c>
      <c r="B360" t="s">
        <v>2080</v>
      </c>
      <c r="C360">
        <v>0</v>
      </c>
      <c r="D360">
        <v>0</v>
      </c>
      <c r="E360">
        <v>0</v>
      </c>
      <c r="F360">
        <v>33</v>
      </c>
      <c r="G360">
        <v>0</v>
      </c>
      <c r="H360">
        <v>33</v>
      </c>
      <c r="I360">
        <v>1</v>
      </c>
    </row>
    <row r="361" spans="1:9" x14ac:dyDescent="0.35">
      <c r="A361" t="s">
        <v>2829</v>
      </c>
      <c r="B361" t="s">
        <v>1837</v>
      </c>
      <c r="C361">
        <v>35</v>
      </c>
      <c r="D361">
        <v>0</v>
      </c>
      <c r="E361">
        <v>0</v>
      </c>
      <c r="F361">
        <v>0</v>
      </c>
      <c r="G361">
        <v>0</v>
      </c>
      <c r="H361">
        <v>35</v>
      </c>
      <c r="I361">
        <v>1</v>
      </c>
    </row>
    <row r="362" spans="1:9" x14ac:dyDescent="0.35">
      <c r="A362" t="s">
        <v>2334</v>
      </c>
      <c r="B362" t="s">
        <v>14208</v>
      </c>
      <c r="C362">
        <v>0</v>
      </c>
      <c r="D362">
        <v>0</v>
      </c>
      <c r="E362">
        <v>2320</v>
      </c>
      <c r="F362">
        <v>0</v>
      </c>
      <c r="G362">
        <v>0</v>
      </c>
      <c r="H362">
        <v>2320</v>
      </c>
      <c r="I362">
        <v>200</v>
      </c>
    </row>
    <row r="363" spans="1:9" x14ac:dyDescent="0.35">
      <c r="A363" t="s">
        <v>3356</v>
      </c>
      <c r="B363" t="s">
        <v>1443</v>
      </c>
      <c r="C363">
        <v>6195</v>
      </c>
      <c r="D363">
        <v>0</v>
      </c>
      <c r="E363">
        <v>0</v>
      </c>
      <c r="F363">
        <v>975</v>
      </c>
      <c r="G363">
        <v>384</v>
      </c>
      <c r="H363">
        <v>7554</v>
      </c>
      <c r="I363">
        <v>11</v>
      </c>
    </row>
    <row r="364" spans="1:9" x14ac:dyDescent="0.35">
      <c r="A364" t="s">
        <v>2331</v>
      </c>
      <c r="B364" t="s">
        <v>2149</v>
      </c>
      <c r="C364">
        <v>62</v>
      </c>
      <c r="D364">
        <v>0</v>
      </c>
      <c r="E364">
        <v>6</v>
      </c>
      <c r="F364">
        <v>0</v>
      </c>
      <c r="G364">
        <v>0</v>
      </c>
      <c r="H364">
        <v>68</v>
      </c>
      <c r="I364">
        <v>1</v>
      </c>
    </row>
    <row r="365" spans="1:9" x14ac:dyDescent="0.35">
      <c r="A365" t="s">
        <v>2733</v>
      </c>
      <c r="B365" t="s">
        <v>1706</v>
      </c>
      <c r="C365">
        <v>30</v>
      </c>
      <c r="D365">
        <v>0</v>
      </c>
      <c r="E365">
        <v>0</v>
      </c>
      <c r="F365">
        <v>0</v>
      </c>
      <c r="G365">
        <v>0</v>
      </c>
      <c r="H365">
        <v>30</v>
      </c>
      <c r="I365">
        <v>1</v>
      </c>
    </row>
    <row r="366" spans="1:9" x14ac:dyDescent="0.35">
      <c r="A366" t="s">
        <v>2286</v>
      </c>
      <c r="B366" t="s">
        <v>1444</v>
      </c>
      <c r="C366">
        <v>554</v>
      </c>
      <c r="D366">
        <v>0</v>
      </c>
      <c r="E366">
        <v>0</v>
      </c>
      <c r="F366">
        <v>0</v>
      </c>
      <c r="G366">
        <v>0</v>
      </c>
      <c r="H366">
        <v>554</v>
      </c>
      <c r="I366">
        <v>7</v>
      </c>
    </row>
    <row r="367" spans="1:9" x14ac:dyDescent="0.35">
      <c r="A367" t="s">
        <v>2927</v>
      </c>
      <c r="B367" t="s">
        <v>11365</v>
      </c>
      <c r="C367">
        <v>0</v>
      </c>
      <c r="D367">
        <v>0</v>
      </c>
      <c r="E367">
        <v>0</v>
      </c>
      <c r="F367">
        <v>8</v>
      </c>
      <c r="G367">
        <v>0</v>
      </c>
      <c r="H367">
        <v>8</v>
      </c>
      <c r="I367">
        <v>1</v>
      </c>
    </row>
    <row r="368" spans="1:9" x14ac:dyDescent="0.35">
      <c r="A368" t="s">
        <v>14209</v>
      </c>
      <c r="B368" t="s">
        <v>14210</v>
      </c>
      <c r="C368">
        <v>31</v>
      </c>
      <c r="D368">
        <v>0</v>
      </c>
      <c r="E368">
        <v>0</v>
      </c>
      <c r="F368">
        <v>0</v>
      </c>
      <c r="G368">
        <v>0</v>
      </c>
      <c r="H368">
        <v>31</v>
      </c>
      <c r="I368">
        <v>1</v>
      </c>
    </row>
    <row r="369" spans="1:9" x14ac:dyDescent="0.35">
      <c r="A369" t="s">
        <v>2690</v>
      </c>
      <c r="B369" t="s">
        <v>1445</v>
      </c>
      <c r="C369">
        <v>78</v>
      </c>
      <c r="D369">
        <v>0</v>
      </c>
      <c r="E369">
        <v>0</v>
      </c>
      <c r="F369">
        <v>0</v>
      </c>
      <c r="G369">
        <v>0</v>
      </c>
      <c r="H369">
        <v>78</v>
      </c>
      <c r="I369">
        <v>1</v>
      </c>
    </row>
    <row r="370" spans="1:9" x14ac:dyDescent="0.35">
      <c r="A370" t="s">
        <v>2408</v>
      </c>
      <c r="B370" t="s">
        <v>1182</v>
      </c>
      <c r="C370">
        <v>9619</v>
      </c>
      <c r="D370">
        <v>0</v>
      </c>
      <c r="E370">
        <v>434</v>
      </c>
      <c r="F370">
        <v>946</v>
      </c>
      <c r="G370">
        <v>916</v>
      </c>
      <c r="H370">
        <v>11915</v>
      </c>
      <c r="I370">
        <v>19</v>
      </c>
    </row>
    <row r="371" spans="1:9" x14ac:dyDescent="0.35">
      <c r="A371" t="s">
        <v>2588</v>
      </c>
      <c r="B371" t="s">
        <v>2150</v>
      </c>
      <c r="C371">
        <v>0</v>
      </c>
      <c r="D371">
        <v>0</v>
      </c>
      <c r="E371">
        <v>0</v>
      </c>
      <c r="F371">
        <v>6</v>
      </c>
      <c r="G371">
        <v>0</v>
      </c>
      <c r="H371">
        <v>6</v>
      </c>
      <c r="I371">
        <v>1</v>
      </c>
    </row>
    <row r="372" spans="1:9" x14ac:dyDescent="0.35">
      <c r="A372" t="s">
        <v>3260</v>
      </c>
      <c r="B372" t="s">
        <v>1838</v>
      </c>
      <c r="C372">
        <v>537</v>
      </c>
      <c r="D372">
        <v>0</v>
      </c>
      <c r="E372">
        <v>32</v>
      </c>
      <c r="F372">
        <v>0</v>
      </c>
      <c r="G372">
        <v>0</v>
      </c>
      <c r="H372">
        <v>569</v>
      </c>
      <c r="I372">
        <v>3</v>
      </c>
    </row>
    <row r="373" spans="1:9" x14ac:dyDescent="0.35">
      <c r="A373" t="s">
        <v>2467</v>
      </c>
      <c r="B373" t="s">
        <v>1300</v>
      </c>
      <c r="C373">
        <v>0</v>
      </c>
      <c r="D373">
        <v>0</v>
      </c>
      <c r="E373">
        <v>0</v>
      </c>
      <c r="F373">
        <v>98</v>
      </c>
      <c r="G373">
        <v>0</v>
      </c>
      <c r="H373">
        <v>98</v>
      </c>
      <c r="I373">
        <v>1</v>
      </c>
    </row>
    <row r="374" spans="1:9" x14ac:dyDescent="0.35">
      <c r="A374" t="s">
        <v>3038</v>
      </c>
      <c r="B374" t="s">
        <v>1183</v>
      </c>
      <c r="C374">
        <v>15990</v>
      </c>
      <c r="D374">
        <v>0</v>
      </c>
      <c r="E374">
        <v>1315</v>
      </c>
      <c r="F374">
        <v>479</v>
      </c>
      <c r="G374">
        <v>2988</v>
      </c>
      <c r="H374">
        <v>20772</v>
      </c>
      <c r="I374">
        <v>48</v>
      </c>
    </row>
    <row r="375" spans="1:9" x14ac:dyDescent="0.35">
      <c r="A375" t="s">
        <v>14211</v>
      </c>
      <c r="B375" t="s">
        <v>14212</v>
      </c>
      <c r="C375">
        <v>0</v>
      </c>
      <c r="D375">
        <v>0</v>
      </c>
      <c r="E375">
        <v>0</v>
      </c>
      <c r="F375">
        <v>0</v>
      </c>
      <c r="G375">
        <v>0</v>
      </c>
      <c r="H375">
        <v>0</v>
      </c>
      <c r="I375">
        <v>0</v>
      </c>
    </row>
    <row r="376" spans="1:9" x14ac:dyDescent="0.35">
      <c r="A376" t="s">
        <v>2921</v>
      </c>
      <c r="B376" t="s">
        <v>1446</v>
      </c>
      <c r="C376">
        <v>0</v>
      </c>
      <c r="D376">
        <v>0</v>
      </c>
      <c r="E376">
        <v>0</v>
      </c>
      <c r="F376">
        <v>9</v>
      </c>
      <c r="G376">
        <v>0</v>
      </c>
      <c r="H376">
        <v>9</v>
      </c>
      <c r="I376">
        <v>1</v>
      </c>
    </row>
    <row r="377" spans="1:9" x14ac:dyDescent="0.35">
      <c r="A377" t="s">
        <v>3215</v>
      </c>
      <c r="B377" t="s">
        <v>1184</v>
      </c>
      <c r="C377">
        <v>4593</v>
      </c>
      <c r="D377">
        <v>0</v>
      </c>
      <c r="E377">
        <v>248</v>
      </c>
      <c r="F377">
        <v>0</v>
      </c>
      <c r="G377">
        <v>248</v>
      </c>
      <c r="H377">
        <v>5089</v>
      </c>
      <c r="I377">
        <v>2</v>
      </c>
    </row>
    <row r="378" spans="1:9" x14ac:dyDescent="0.35">
      <c r="A378" t="s">
        <v>2689</v>
      </c>
      <c r="B378" t="s">
        <v>1447</v>
      </c>
      <c r="C378">
        <v>75</v>
      </c>
      <c r="D378">
        <v>0</v>
      </c>
      <c r="E378">
        <v>0</v>
      </c>
      <c r="F378">
        <v>0</v>
      </c>
      <c r="G378">
        <v>0</v>
      </c>
      <c r="H378">
        <v>75</v>
      </c>
      <c r="I378">
        <v>1</v>
      </c>
    </row>
    <row r="379" spans="1:9" x14ac:dyDescent="0.35">
      <c r="A379" t="s">
        <v>3050</v>
      </c>
      <c r="B379" t="s">
        <v>1839</v>
      </c>
      <c r="C379">
        <v>197</v>
      </c>
      <c r="D379">
        <v>0</v>
      </c>
      <c r="E379">
        <v>0</v>
      </c>
      <c r="F379">
        <v>134</v>
      </c>
      <c r="G379">
        <v>0</v>
      </c>
      <c r="H379">
        <v>331</v>
      </c>
      <c r="I379">
        <v>6</v>
      </c>
    </row>
    <row r="380" spans="1:9" x14ac:dyDescent="0.35">
      <c r="A380" t="s">
        <v>2357</v>
      </c>
      <c r="B380" t="s">
        <v>1840</v>
      </c>
      <c r="C380">
        <v>0</v>
      </c>
      <c r="D380">
        <v>0</v>
      </c>
      <c r="E380">
        <v>0</v>
      </c>
      <c r="F380">
        <v>0</v>
      </c>
      <c r="G380">
        <v>0</v>
      </c>
      <c r="H380">
        <v>0</v>
      </c>
      <c r="I380">
        <v>0</v>
      </c>
    </row>
    <row r="381" spans="1:9" x14ac:dyDescent="0.35">
      <c r="A381" t="s">
        <v>3312</v>
      </c>
      <c r="B381" t="s">
        <v>14213</v>
      </c>
      <c r="C381">
        <v>19433</v>
      </c>
      <c r="D381">
        <v>14</v>
      </c>
      <c r="E381">
        <v>1008</v>
      </c>
      <c r="F381">
        <v>1920</v>
      </c>
      <c r="G381">
        <v>2218</v>
      </c>
      <c r="H381">
        <v>24593</v>
      </c>
      <c r="I381">
        <v>37</v>
      </c>
    </row>
    <row r="382" spans="1:9" x14ac:dyDescent="0.35">
      <c r="A382" t="s">
        <v>2981</v>
      </c>
      <c r="B382" t="s">
        <v>1448</v>
      </c>
      <c r="C382">
        <v>17</v>
      </c>
      <c r="D382">
        <v>0</v>
      </c>
      <c r="E382">
        <v>0</v>
      </c>
      <c r="F382">
        <v>0</v>
      </c>
      <c r="G382">
        <v>0</v>
      </c>
      <c r="H382">
        <v>17</v>
      </c>
      <c r="I382">
        <v>1</v>
      </c>
    </row>
    <row r="383" spans="1:9" x14ac:dyDescent="0.35">
      <c r="A383" t="s">
        <v>14214</v>
      </c>
      <c r="B383" t="s">
        <v>14215</v>
      </c>
      <c r="C383">
        <v>1</v>
      </c>
      <c r="D383">
        <v>0</v>
      </c>
      <c r="E383">
        <v>0</v>
      </c>
      <c r="F383">
        <v>0</v>
      </c>
      <c r="G383">
        <v>0</v>
      </c>
      <c r="H383">
        <v>1</v>
      </c>
      <c r="I383">
        <v>1</v>
      </c>
    </row>
    <row r="384" spans="1:9" x14ac:dyDescent="0.35">
      <c r="A384" t="s">
        <v>3332</v>
      </c>
      <c r="B384" t="s">
        <v>2151</v>
      </c>
      <c r="C384">
        <v>0</v>
      </c>
      <c r="D384">
        <v>0</v>
      </c>
      <c r="E384">
        <v>187</v>
      </c>
      <c r="F384">
        <v>0</v>
      </c>
      <c r="G384">
        <v>0</v>
      </c>
      <c r="H384">
        <v>187</v>
      </c>
      <c r="I384">
        <v>1</v>
      </c>
    </row>
    <row r="385" spans="1:9" x14ac:dyDescent="0.35">
      <c r="A385" t="s">
        <v>3328</v>
      </c>
      <c r="B385" t="s">
        <v>1841</v>
      </c>
      <c r="C385">
        <v>0</v>
      </c>
      <c r="D385">
        <v>0</v>
      </c>
      <c r="E385">
        <v>10</v>
      </c>
      <c r="F385">
        <v>32</v>
      </c>
      <c r="G385">
        <v>0</v>
      </c>
      <c r="H385">
        <v>42</v>
      </c>
      <c r="I385">
        <v>1</v>
      </c>
    </row>
    <row r="386" spans="1:9" x14ac:dyDescent="0.35">
      <c r="A386" t="s">
        <v>3267</v>
      </c>
      <c r="B386" t="s">
        <v>1842</v>
      </c>
      <c r="C386">
        <v>0</v>
      </c>
      <c r="D386">
        <v>0</v>
      </c>
      <c r="E386">
        <v>0</v>
      </c>
      <c r="F386">
        <v>87</v>
      </c>
      <c r="G386">
        <v>0</v>
      </c>
      <c r="H386">
        <v>87</v>
      </c>
      <c r="I386">
        <v>1</v>
      </c>
    </row>
    <row r="387" spans="1:9" x14ac:dyDescent="0.35">
      <c r="A387" t="s">
        <v>3210</v>
      </c>
      <c r="B387" t="s">
        <v>1985</v>
      </c>
      <c r="C387">
        <v>56</v>
      </c>
      <c r="D387">
        <v>0</v>
      </c>
      <c r="E387">
        <v>155</v>
      </c>
      <c r="F387">
        <v>559</v>
      </c>
      <c r="G387">
        <v>0</v>
      </c>
      <c r="H387">
        <v>770</v>
      </c>
      <c r="I387">
        <v>7</v>
      </c>
    </row>
    <row r="388" spans="1:9" x14ac:dyDescent="0.35">
      <c r="A388" t="s">
        <v>3103</v>
      </c>
      <c r="B388" t="s">
        <v>1986</v>
      </c>
      <c r="C388">
        <v>211</v>
      </c>
      <c r="D388">
        <v>0</v>
      </c>
      <c r="E388">
        <v>6</v>
      </c>
      <c r="F388">
        <v>329</v>
      </c>
      <c r="G388">
        <v>0</v>
      </c>
      <c r="H388">
        <v>546</v>
      </c>
      <c r="I388">
        <v>6</v>
      </c>
    </row>
    <row r="389" spans="1:9" x14ac:dyDescent="0.35">
      <c r="A389" t="s">
        <v>3253</v>
      </c>
      <c r="B389" t="s">
        <v>1185</v>
      </c>
      <c r="C389">
        <v>1736</v>
      </c>
      <c r="D389">
        <v>0</v>
      </c>
      <c r="E389">
        <v>1269</v>
      </c>
      <c r="F389">
        <v>244</v>
      </c>
      <c r="G389">
        <v>2</v>
      </c>
      <c r="H389">
        <v>3251</v>
      </c>
      <c r="I389">
        <v>80</v>
      </c>
    </row>
    <row r="390" spans="1:9" x14ac:dyDescent="0.35">
      <c r="A390" t="s">
        <v>14216</v>
      </c>
      <c r="B390" t="s">
        <v>14217</v>
      </c>
      <c r="C390">
        <v>0</v>
      </c>
      <c r="D390">
        <v>0</v>
      </c>
      <c r="E390">
        <v>0</v>
      </c>
      <c r="F390">
        <v>0</v>
      </c>
      <c r="G390">
        <v>0</v>
      </c>
      <c r="H390">
        <v>0</v>
      </c>
      <c r="I390">
        <v>0</v>
      </c>
    </row>
    <row r="391" spans="1:9" x14ac:dyDescent="0.35">
      <c r="A391" t="s">
        <v>2694</v>
      </c>
      <c r="B391" t="s">
        <v>1449</v>
      </c>
      <c r="C391">
        <v>86</v>
      </c>
      <c r="D391">
        <v>0</v>
      </c>
      <c r="E391">
        <v>0</v>
      </c>
      <c r="F391">
        <v>0</v>
      </c>
      <c r="G391">
        <v>0</v>
      </c>
      <c r="H391">
        <v>86</v>
      </c>
      <c r="I391">
        <v>1</v>
      </c>
    </row>
    <row r="392" spans="1:9" x14ac:dyDescent="0.35">
      <c r="A392" t="s">
        <v>2252</v>
      </c>
      <c r="B392" t="s">
        <v>1450</v>
      </c>
      <c r="C392">
        <v>46</v>
      </c>
      <c r="D392">
        <v>0</v>
      </c>
      <c r="E392">
        <v>0</v>
      </c>
      <c r="F392">
        <v>0</v>
      </c>
      <c r="G392">
        <v>0</v>
      </c>
      <c r="H392">
        <v>46</v>
      </c>
      <c r="I392">
        <v>1</v>
      </c>
    </row>
    <row r="393" spans="1:9" x14ac:dyDescent="0.35">
      <c r="A393" t="s">
        <v>2228</v>
      </c>
      <c r="B393" t="s">
        <v>1186</v>
      </c>
      <c r="C393">
        <v>0</v>
      </c>
      <c r="D393">
        <v>0</v>
      </c>
      <c r="E393">
        <v>696</v>
      </c>
      <c r="F393">
        <v>0</v>
      </c>
      <c r="G393">
        <v>0</v>
      </c>
      <c r="H393">
        <v>696</v>
      </c>
      <c r="I393">
        <v>44</v>
      </c>
    </row>
    <row r="394" spans="1:9" x14ac:dyDescent="0.35">
      <c r="A394" t="s">
        <v>3198</v>
      </c>
      <c r="B394" t="s">
        <v>1707</v>
      </c>
      <c r="C394">
        <v>6790</v>
      </c>
      <c r="D394">
        <v>0</v>
      </c>
      <c r="E394">
        <v>206</v>
      </c>
      <c r="F394">
        <v>0</v>
      </c>
      <c r="G394">
        <v>165</v>
      </c>
      <c r="H394">
        <v>7161</v>
      </c>
      <c r="I394">
        <v>4</v>
      </c>
    </row>
    <row r="395" spans="1:9" x14ac:dyDescent="0.35">
      <c r="A395" t="s">
        <v>14218</v>
      </c>
      <c r="B395" t="s">
        <v>14219</v>
      </c>
      <c r="C395">
        <v>0</v>
      </c>
      <c r="D395">
        <v>0</v>
      </c>
      <c r="E395">
        <v>0</v>
      </c>
      <c r="F395">
        <v>0</v>
      </c>
      <c r="G395">
        <v>0</v>
      </c>
      <c r="H395">
        <v>0</v>
      </c>
      <c r="I395">
        <v>0</v>
      </c>
    </row>
    <row r="396" spans="1:9" x14ac:dyDescent="0.35">
      <c r="A396" t="s">
        <v>2793</v>
      </c>
      <c r="B396" t="s">
        <v>1708</v>
      </c>
      <c r="C396">
        <v>40</v>
      </c>
      <c r="D396">
        <v>0</v>
      </c>
      <c r="E396">
        <v>0</v>
      </c>
      <c r="F396">
        <v>0</v>
      </c>
      <c r="G396">
        <v>0</v>
      </c>
      <c r="H396">
        <v>40</v>
      </c>
      <c r="I396">
        <v>1</v>
      </c>
    </row>
    <row r="397" spans="1:9" x14ac:dyDescent="0.35">
      <c r="A397" t="s">
        <v>2494</v>
      </c>
      <c r="B397" t="s">
        <v>1451</v>
      </c>
      <c r="C397">
        <v>0</v>
      </c>
      <c r="D397">
        <v>0</v>
      </c>
      <c r="E397">
        <v>0</v>
      </c>
      <c r="F397">
        <v>91</v>
      </c>
      <c r="G397">
        <v>0</v>
      </c>
      <c r="H397">
        <v>91</v>
      </c>
      <c r="I397">
        <v>1</v>
      </c>
    </row>
    <row r="398" spans="1:9" x14ac:dyDescent="0.35">
      <c r="A398" t="s">
        <v>2803</v>
      </c>
      <c r="B398" t="s">
        <v>1843</v>
      </c>
      <c r="C398">
        <v>20</v>
      </c>
      <c r="D398">
        <v>36</v>
      </c>
      <c r="E398">
        <v>0</v>
      </c>
      <c r="F398">
        <v>0</v>
      </c>
      <c r="G398">
        <v>0</v>
      </c>
      <c r="H398">
        <v>56</v>
      </c>
      <c r="I398">
        <v>1</v>
      </c>
    </row>
    <row r="399" spans="1:9" x14ac:dyDescent="0.35">
      <c r="A399" t="s">
        <v>2324</v>
      </c>
      <c r="B399" t="s">
        <v>1709</v>
      </c>
      <c r="C399">
        <v>0</v>
      </c>
      <c r="D399">
        <v>0</v>
      </c>
      <c r="E399">
        <v>274</v>
      </c>
      <c r="F399">
        <v>0</v>
      </c>
      <c r="G399">
        <v>0</v>
      </c>
      <c r="H399">
        <v>274</v>
      </c>
      <c r="I399">
        <v>5</v>
      </c>
    </row>
    <row r="400" spans="1:9" x14ac:dyDescent="0.35">
      <c r="A400" t="s">
        <v>3295</v>
      </c>
      <c r="B400" t="s">
        <v>1987</v>
      </c>
      <c r="C400">
        <v>0</v>
      </c>
      <c r="D400">
        <v>0</v>
      </c>
      <c r="E400">
        <v>20</v>
      </c>
      <c r="F400">
        <v>0</v>
      </c>
      <c r="G400">
        <v>0</v>
      </c>
      <c r="H400">
        <v>20</v>
      </c>
      <c r="I400">
        <v>2</v>
      </c>
    </row>
    <row r="401" spans="1:9" x14ac:dyDescent="0.35">
      <c r="A401" t="s">
        <v>2646</v>
      </c>
      <c r="B401" t="s">
        <v>1452</v>
      </c>
      <c r="C401">
        <v>16</v>
      </c>
      <c r="D401">
        <v>0</v>
      </c>
      <c r="E401">
        <v>0</v>
      </c>
      <c r="F401">
        <v>0</v>
      </c>
      <c r="G401">
        <v>0</v>
      </c>
      <c r="H401">
        <v>16</v>
      </c>
      <c r="I401">
        <v>1</v>
      </c>
    </row>
    <row r="402" spans="1:9" x14ac:dyDescent="0.35">
      <c r="A402" t="s">
        <v>2429</v>
      </c>
      <c r="B402" t="s">
        <v>1301</v>
      </c>
      <c r="C402">
        <v>0</v>
      </c>
      <c r="D402">
        <v>0</v>
      </c>
      <c r="E402">
        <v>0</v>
      </c>
      <c r="F402">
        <v>14</v>
      </c>
      <c r="G402">
        <v>0</v>
      </c>
      <c r="H402">
        <v>14</v>
      </c>
      <c r="I402">
        <v>1</v>
      </c>
    </row>
    <row r="403" spans="1:9" x14ac:dyDescent="0.35">
      <c r="A403" t="s">
        <v>2441</v>
      </c>
      <c r="B403" t="s">
        <v>2081</v>
      </c>
      <c r="C403">
        <v>13</v>
      </c>
      <c r="D403">
        <v>0</v>
      </c>
      <c r="E403">
        <v>0</v>
      </c>
      <c r="F403">
        <v>0</v>
      </c>
      <c r="G403">
        <v>0</v>
      </c>
      <c r="H403">
        <v>13</v>
      </c>
      <c r="I403">
        <v>1</v>
      </c>
    </row>
    <row r="404" spans="1:9" x14ac:dyDescent="0.35">
      <c r="A404" t="s">
        <v>2498</v>
      </c>
      <c r="B404" t="s">
        <v>14220</v>
      </c>
      <c r="C404">
        <v>0</v>
      </c>
      <c r="D404">
        <v>0</v>
      </c>
      <c r="E404">
        <v>0</v>
      </c>
      <c r="F404">
        <v>52</v>
      </c>
      <c r="G404">
        <v>0</v>
      </c>
      <c r="H404">
        <v>52</v>
      </c>
      <c r="I404">
        <v>1</v>
      </c>
    </row>
    <row r="405" spans="1:9" x14ac:dyDescent="0.35">
      <c r="A405" t="s">
        <v>2648</v>
      </c>
      <c r="B405" t="s">
        <v>1453</v>
      </c>
      <c r="C405">
        <v>37</v>
      </c>
      <c r="D405">
        <v>0</v>
      </c>
      <c r="E405">
        <v>0</v>
      </c>
      <c r="F405">
        <v>74</v>
      </c>
      <c r="G405">
        <v>0</v>
      </c>
      <c r="H405">
        <v>111</v>
      </c>
      <c r="I405">
        <v>5</v>
      </c>
    </row>
    <row r="406" spans="1:9" x14ac:dyDescent="0.35">
      <c r="A406" t="s">
        <v>3032</v>
      </c>
      <c r="B406" t="s">
        <v>2152</v>
      </c>
      <c r="C406">
        <v>30</v>
      </c>
      <c r="D406">
        <v>0</v>
      </c>
      <c r="E406">
        <v>0</v>
      </c>
      <c r="F406">
        <v>0</v>
      </c>
      <c r="G406">
        <v>0</v>
      </c>
      <c r="H406">
        <v>30</v>
      </c>
      <c r="I406">
        <v>1</v>
      </c>
    </row>
    <row r="407" spans="1:9" x14ac:dyDescent="0.35">
      <c r="A407" t="s">
        <v>3095</v>
      </c>
      <c r="B407" t="s">
        <v>2153</v>
      </c>
      <c r="C407">
        <v>222</v>
      </c>
      <c r="D407">
        <v>0</v>
      </c>
      <c r="E407">
        <v>12</v>
      </c>
      <c r="F407">
        <v>0</v>
      </c>
      <c r="G407">
        <v>0</v>
      </c>
      <c r="H407">
        <v>234</v>
      </c>
      <c r="I407">
        <v>1</v>
      </c>
    </row>
    <row r="408" spans="1:9" x14ac:dyDescent="0.35">
      <c r="A408" t="s">
        <v>2855</v>
      </c>
      <c r="B408" t="s">
        <v>2154</v>
      </c>
      <c r="C408">
        <v>0</v>
      </c>
      <c r="D408">
        <v>0</v>
      </c>
      <c r="E408">
        <v>0</v>
      </c>
      <c r="F408">
        <v>55</v>
      </c>
      <c r="G408">
        <v>0</v>
      </c>
      <c r="H408">
        <v>55</v>
      </c>
      <c r="I408">
        <v>1</v>
      </c>
    </row>
    <row r="409" spans="1:9" x14ac:dyDescent="0.35">
      <c r="A409" t="s">
        <v>3019</v>
      </c>
      <c r="B409" t="s">
        <v>1454</v>
      </c>
      <c r="C409">
        <v>86</v>
      </c>
      <c r="D409">
        <v>0</v>
      </c>
      <c r="E409">
        <v>9</v>
      </c>
      <c r="F409">
        <v>291</v>
      </c>
      <c r="G409">
        <v>0</v>
      </c>
      <c r="H409">
        <v>386</v>
      </c>
      <c r="I409">
        <v>4</v>
      </c>
    </row>
    <row r="410" spans="1:9" x14ac:dyDescent="0.35">
      <c r="A410" t="s">
        <v>3093</v>
      </c>
      <c r="B410" t="s">
        <v>1844</v>
      </c>
      <c r="C410">
        <v>0</v>
      </c>
      <c r="D410">
        <v>0</v>
      </c>
      <c r="E410">
        <v>0</v>
      </c>
      <c r="F410">
        <v>14</v>
      </c>
      <c r="G410">
        <v>0</v>
      </c>
      <c r="H410">
        <v>14</v>
      </c>
      <c r="I410">
        <v>1</v>
      </c>
    </row>
    <row r="411" spans="1:9" x14ac:dyDescent="0.35">
      <c r="A411" t="s">
        <v>2951</v>
      </c>
      <c r="B411" t="s">
        <v>1187</v>
      </c>
      <c r="C411">
        <v>4205</v>
      </c>
      <c r="D411">
        <v>0</v>
      </c>
      <c r="E411">
        <v>0</v>
      </c>
      <c r="F411">
        <v>0</v>
      </c>
      <c r="G411">
        <v>837</v>
      </c>
      <c r="H411">
        <v>5042</v>
      </c>
      <c r="I411">
        <v>65</v>
      </c>
    </row>
    <row r="412" spans="1:9" x14ac:dyDescent="0.35">
      <c r="A412" t="s">
        <v>2663</v>
      </c>
      <c r="B412" t="s">
        <v>11386</v>
      </c>
      <c r="C412">
        <v>19</v>
      </c>
      <c r="D412">
        <v>0</v>
      </c>
      <c r="E412">
        <v>0</v>
      </c>
      <c r="F412">
        <v>0</v>
      </c>
      <c r="G412">
        <v>0</v>
      </c>
      <c r="H412">
        <v>19</v>
      </c>
      <c r="I412">
        <v>1</v>
      </c>
    </row>
    <row r="413" spans="1:9" x14ac:dyDescent="0.35">
      <c r="A413" t="s">
        <v>3021</v>
      </c>
      <c r="B413" t="s">
        <v>1845</v>
      </c>
      <c r="C413">
        <v>100</v>
      </c>
      <c r="D413">
        <v>0</v>
      </c>
      <c r="E413">
        <v>0</v>
      </c>
      <c r="F413">
        <v>0</v>
      </c>
      <c r="G413">
        <v>0</v>
      </c>
      <c r="H413">
        <v>100</v>
      </c>
      <c r="I413">
        <v>1</v>
      </c>
    </row>
    <row r="414" spans="1:9" x14ac:dyDescent="0.35">
      <c r="A414" t="s">
        <v>3311</v>
      </c>
      <c r="B414" t="s">
        <v>1846</v>
      </c>
      <c r="C414">
        <v>0</v>
      </c>
      <c r="D414">
        <v>0</v>
      </c>
      <c r="E414">
        <v>126</v>
      </c>
      <c r="F414">
        <v>0</v>
      </c>
      <c r="G414">
        <v>0</v>
      </c>
      <c r="H414">
        <v>126</v>
      </c>
      <c r="I414">
        <v>2</v>
      </c>
    </row>
    <row r="415" spans="1:9" x14ac:dyDescent="0.35">
      <c r="A415" t="s">
        <v>2344</v>
      </c>
      <c r="B415" t="s">
        <v>11371</v>
      </c>
      <c r="C415">
        <v>0</v>
      </c>
      <c r="D415">
        <v>19</v>
      </c>
      <c r="E415">
        <v>56</v>
      </c>
      <c r="F415">
        <v>0</v>
      </c>
      <c r="G415">
        <v>0</v>
      </c>
      <c r="H415">
        <v>75</v>
      </c>
      <c r="I415">
        <v>2</v>
      </c>
    </row>
    <row r="416" spans="1:9" x14ac:dyDescent="0.35">
      <c r="A416" t="s">
        <v>2258</v>
      </c>
      <c r="B416" t="s">
        <v>2082</v>
      </c>
      <c r="C416">
        <v>28</v>
      </c>
      <c r="D416">
        <v>0</v>
      </c>
      <c r="E416">
        <v>0</v>
      </c>
      <c r="F416">
        <v>0</v>
      </c>
      <c r="G416">
        <v>0</v>
      </c>
      <c r="H416">
        <v>28</v>
      </c>
      <c r="I416">
        <v>1</v>
      </c>
    </row>
    <row r="417" spans="1:9" x14ac:dyDescent="0.35">
      <c r="A417" t="s">
        <v>2811</v>
      </c>
      <c r="B417" t="s">
        <v>1455</v>
      </c>
      <c r="C417">
        <v>76</v>
      </c>
      <c r="D417">
        <v>0</v>
      </c>
      <c r="E417">
        <v>0</v>
      </c>
      <c r="F417">
        <v>0</v>
      </c>
      <c r="G417">
        <v>0</v>
      </c>
      <c r="H417">
        <v>76</v>
      </c>
      <c r="I417">
        <v>1</v>
      </c>
    </row>
    <row r="418" spans="1:9" x14ac:dyDescent="0.35">
      <c r="A418" t="s">
        <v>14221</v>
      </c>
      <c r="B418" t="s">
        <v>14222</v>
      </c>
      <c r="C418">
        <v>0</v>
      </c>
      <c r="D418">
        <v>0</v>
      </c>
      <c r="E418">
        <v>0</v>
      </c>
      <c r="F418">
        <v>0</v>
      </c>
      <c r="G418">
        <v>0</v>
      </c>
      <c r="H418">
        <v>0</v>
      </c>
      <c r="I418">
        <v>0</v>
      </c>
    </row>
    <row r="419" spans="1:9" x14ac:dyDescent="0.35">
      <c r="A419" t="s">
        <v>2316</v>
      </c>
      <c r="B419" t="s">
        <v>2083</v>
      </c>
      <c r="C419">
        <v>66</v>
      </c>
      <c r="D419">
        <v>0</v>
      </c>
      <c r="E419">
        <v>264</v>
      </c>
      <c r="F419">
        <v>0</v>
      </c>
      <c r="G419">
        <v>0</v>
      </c>
      <c r="H419">
        <v>330</v>
      </c>
      <c r="I419">
        <v>2</v>
      </c>
    </row>
    <row r="420" spans="1:9" x14ac:dyDescent="0.35">
      <c r="A420" t="s">
        <v>2211</v>
      </c>
      <c r="B420" t="s">
        <v>14223</v>
      </c>
      <c r="C420">
        <v>543</v>
      </c>
      <c r="D420">
        <v>0</v>
      </c>
      <c r="E420">
        <v>36</v>
      </c>
      <c r="F420">
        <v>54</v>
      </c>
      <c r="G420">
        <v>0</v>
      </c>
      <c r="H420">
        <v>633</v>
      </c>
      <c r="I420">
        <v>2</v>
      </c>
    </row>
    <row r="421" spans="1:9" x14ac:dyDescent="0.35">
      <c r="A421" t="s">
        <v>2225</v>
      </c>
      <c r="B421" t="s">
        <v>2084</v>
      </c>
      <c r="C421">
        <v>0</v>
      </c>
      <c r="D421">
        <v>4</v>
      </c>
      <c r="E421">
        <v>566</v>
      </c>
      <c r="F421">
        <v>0</v>
      </c>
      <c r="G421">
        <v>0</v>
      </c>
      <c r="H421">
        <v>570</v>
      </c>
      <c r="I421">
        <v>2</v>
      </c>
    </row>
    <row r="422" spans="1:9" x14ac:dyDescent="0.35">
      <c r="A422" t="s">
        <v>2665</v>
      </c>
      <c r="B422" t="s">
        <v>1456</v>
      </c>
      <c r="C422">
        <v>58</v>
      </c>
      <c r="D422">
        <v>0</v>
      </c>
      <c r="E422">
        <v>0</v>
      </c>
      <c r="F422">
        <v>0</v>
      </c>
      <c r="G422">
        <v>0</v>
      </c>
      <c r="H422">
        <v>58</v>
      </c>
      <c r="I422">
        <v>1</v>
      </c>
    </row>
    <row r="423" spans="1:9" x14ac:dyDescent="0.35">
      <c r="A423" t="s">
        <v>2440</v>
      </c>
      <c r="B423" t="s">
        <v>1457</v>
      </c>
      <c r="C423">
        <v>0</v>
      </c>
      <c r="D423">
        <v>0</v>
      </c>
      <c r="E423">
        <v>0</v>
      </c>
      <c r="F423">
        <v>7</v>
      </c>
      <c r="G423">
        <v>0</v>
      </c>
      <c r="H423">
        <v>7</v>
      </c>
      <c r="I423">
        <v>1</v>
      </c>
    </row>
    <row r="424" spans="1:9" x14ac:dyDescent="0.35">
      <c r="A424" t="s">
        <v>14224</v>
      </c>
      <c r="B424" t="s">
        <v>14225</v>
      </c>
      <c r="C424">
        <v>0</v>
      </c>
      <c r="D424">
        <v>0</v>
      </c>
      <c r="E424">
        <v>0</v>
      </c>
      <c r="F424">
        <v>0</v>
      </c>
      <c r="G424">
        <v>0</v>
      </c>
      <c r="H424">
        <v>0</v>
      </c>
      <c r="I424">
        <v>0</v>
      </c>
    </row>
    <row r="425" spans="1:9" x14ac:dyDescent="0.35">
      <c r="A425" t="s">
        <v>2287</v>
      </c>
      <c r="B425" t="s">
        <v>1630</v>
      </c>
      <c r="C425">
        <v>262</v>
      </c>
      <c r="D425">
        <v>0</v>
      </c>
      <c r="E425">
        <v>0</v>
      </c>
      <c r="F425">
        <v>0</v>
      </c>
      <c r="G425">
        <v>0</v>
      </c>
      <c r="H425">
        <v>262</v>
      </c>
      <c r="I425">
        <v>8</v>
      </c>
    </row>
    <row r="426" spans="1:9" x14ac:dyDescent="0.35">
      <c r="A426" t="s">
        <v>3058</v>
      </c>
      <c r="B426" t="s">
        <v>1458</v>
      </c>
      <c r="C426">
        <v>115</v>
      </c>
      <c r="D426">
        <v>6</v>
      </c>
      <c r="E426">
        <v>0</v>
      </c>
      <c r="F426">
        <v>17</v>
      </c>
      <c r="G426">
        <v>0</v>
      </c>
      <c r="H426">
        <v>138</v>
      </c>
      <c r="I426">
        <v>2</v>
      </c>
    </row>
    <row r="427" spans="1:9" x14ac:dyDescent="0.35">
      <c r="A427" t="s">
        <v>3086</v>
      </c>
      <c r="B427" t="s">
        <v>1847</v>
      </c>
      <c r="C427">
        <v>75</v>
      </c>
      <c r="D427">
        <v>0</v>
      </c>
      <c r="E427">
        <v>0</v>
      </c>
      <c r="F427">
        <v>0</v>
      </c>
      <c r="G427">
        <v>0</v>
      </c>
      <c r="H427">
        <v>75</v>
      </c>
      <c r="I427">
        <v>1</v>
      </c>
    </row>
    <row r="428" spans="1:9" x14ac:dyDescent="0.35">
      <c r="A428" t="s">
        <v>2366</v>
      </c>
      <c r="B428" t="s">
        <v>1848</v>
      </c>
      <c r="C428">
        <v>0</v>
      </c>
      <c r="D428">
        <v>0</v>
      </c>
      <c r="E428">
        <v>31</v>
      </c>
      <c r="F428">
        <v>0</v>
      </c>
      <c r="G428">
        <v>0</v>
      </c>
      <c r="H428">
        <v>31</v>
      </c>
      <c r="I428">
        <v>1</v>
      </c>
    </row>
    <row r="429" spans="1:9" x14ac:dyDescent="0.35">
      <c r="A429" t="s">
        <v>3342</v>
      </c>
      <c r="B429" t="s">
        <v>11372</v>
      </c>
      <c r="C429">
        <v>0</v>
      </c>
      <c r="D429">
        <v>0</v>
      </c>
      <c r="E429">
        <v>57</v>
      </c>
      <c r="F429">
        <v>0</v>
      </c>
      <c r="G429">
        <v>0</v>
      </c>
      <c r="H429">
        <v>57</v>
      </c>
      <c r="I429">
        <v>1</v>
      </c>
    </row>
    <row r="430" spans="1:9" x14ac:dyDescent="0.35">
      <c r="A430" t="s">
        <v>2707</v>
      </c>
      <c r="B430" t="s">
        <v>1710</v>
      </c>
      <c r="C430">
        <v>42</v>
      </c>
      <c r="D430">
        <v>0</v>
      </c>
      <c r="E430">
        <v>0</v>
      </c>
      <c r="F430">
        <v>0</v>
      </c>
      <c r="G430">
        <v>0</v>
      </c>
      <c r="H430">
        <v>42</v>
      </c>
      <c r="I430">
        <v>1</v>
      </c>
    </row>
    <row r="431" spans="1:9" x14ac:dyDescent="0.35">
      <c r="A431" t="s">
        <v>3079</v>
      </c>
      <c r="B431" t="s">
        <v>1849</v>
      </c>
      <c r="C431">
        <v>0</v>
      </c>
      <c r="D431">
        <v>0</v>
      </c>
      <c r="E431">
        <v>0</v>
      </c>
      <c r="F431">
        <v>49</v>
      </c>
      <c r="G431">
        <v>0</v>
      </c>
      <c r="H431">
        <v>49</v>
      </c>
      <c r="I431">
        <v>1</v>
      </c>
    </row>
    <row r="432" spans="1:9" x14ac:dyDescent="0.35">
      <c r="A432" t="s">
        <v>3063</v>
      </c>
      <c r="B432" t="s">
        <v>1459</v>
      </c>
      <c r="C432">
        <v>3643</v>
      </c>
      <c r="D432">
        <v>28</v>
      </c>
      <c r="E432">
        <v>265</v>
      </c>
      <c r="F432">
        <v>0</v>
      </c>
      <c r="G432">
        <v>323</v>
      </c>
      <c r="H432">
        <v>4259</v>
      </c>
      <c r="I432">
        <v>8</v>
      </c>
    </row>
    <row r="433" spans="1:9" x14ac:dyDescent="0.35">
      <c r="A433" t="s">
        <v>2329</v>
      </c>
      <c r="B433" t="s">
        <v>1850</v>
      </c>
      <c r="C433">
        <v>151</v>
      </c>
      <c r="D433">
        <v>0</v>
      </c>
      <c r="E433">
        <v>0</v>
      </c>
      <c r="F433">
        <v>0</v>
      </c>
      <c r="G433">
        <v>0</v>
      </c>
      <c r="H433">
        <v>151</v>
      </c>
      <c r="I433">
        <v>1</v>
      </c>
    </row>
    <row r="434" spans="1:9" x14ac:dyDescent="0.35">
      <c r="A434" t="s">
        <v>2232</v>
      </c>
      <c r="B434" t="s">
        <v>1105</v>
      </c>
      <c r="C434">
        <v>0</v>
      </c>
      <c r="D434">
        <v>0</v>
      </c>
      <c r="E434">
        <v>0</v>
      </c>
      <c r="F434">
        <v>0</v>
      </c>
      <c r="G434">
        <v>5967</v>
      </c>
      <c r="H434">
        <v>5967</v>
      </c>
      <c r="I434">
        <v>222</v>
      </c>
    </row>
    <row r="435" spans="1:9" x14ac:dyDescent="0.35">
      <c r="A435" t="s">
        <v>2411</v>
      </c>
      <c r="B435" t="s">
        <v>1460</v>
      </c>
      <c r="C435">
        <v>150</v>
      </c>
      <c r="D435">
        <v>0</v>
      </c>
      <c r="E435">
        <v>0</v>
      </c>
      <c r="F435">
        <v>0</v>
      </c>
      <c r="G435">
        <v>0</v>
      </c>
      <c r="H435">
        <v>150</v>
      </c>
      <c r="I435">
        <v>1</v>
      </c>
    </row>
    <row r="436" spans="1:9" x14ac:dyDescent="0.35">
      <c r="A436" t="s">
        <v>2526</v>
      </c>
      <c r="B436" t="s">
        <v>1461</v>
      </c>
      <c r="C436">
        <v>0</v>
      </c>
      <c r="D436">
        <v>0</v>
      </c>
      <c r="E436">
        <v>0</v>
      </c>
      <c r="F436">
        <v>8</v>
      </c>
      <c r="G436">
        <v>0</v>
      </c>
      <c r="H436">
        <v>8</v>
      </c>
      <c r="I436">
        <v>1</v>
      </c>
    </row>
    <row r="437" spans="1:9" x14ac:dyDescent="0.35">
      <c r="A437" t="s">
        <v>2925</v>
      </c>
      <c r="B437" t="s">
        <v>2085</v>
      </c>
      <c r="C437">
        <v>0</v>
      </c>
      <c r="D437">
        <v>0</v>
      </c>
      <c r="E437">
        <v>12</v>
      </c>
      <c r="F437">
        <v>0</v>
      </c>
      <c r="G437">
        <v>0</v>
      </c>
      <c r="H437">
        <v>12</v>
      </c>
      <c r="I437">
        <v>1</v>
      </c>
    </row>
    <row r="438" spans="1:9" x14ac:dyDescent="0.35">
      <c r="A438" t="s">
        <v>2310</v>
      </c>
      <c r="B438" t="s">
        <v>2155</v>
      </c>
      <c r="C438">
        <v>17</v>
      </c>
      <c r="D438">
        <v>0</v>
      </c>
      <c r="E438">
        <v>178</v>
      </c>
      <c r="F438">
        <v>0</v>
      </c>
      <c r="G438">
        <v>0</v>
      </c>
      <c r="H438">
        <v>195</v>
      </c>
      <c r="I438">
        <v>5</v>
      </c>
    </row>
    <row r="439" spans="1:9" x14ac:dyDescent="0.35">
      <c r="A439" t="s">
        <v>3094</v>
      </c>
      <c r="B439" t="s">
        <v>1302</v>
      </c>
      <c r="C439">
        <v>5120</v>
      </c>
      <c r="D439">
        <v>0</v>
      </c>
      <c r="E439">
        <v>451</v>
      </c>
      <c r="F439">
        <v>81</v>
      </c>
      <c r="G439">
        <v>1108</v>
      </c>
      <c r="H439">
        <v>6760</v>
      </c>
      <c r="I439">
        <v>14</v>
      </c>
    </row>
    <row r="440" spans="1:9" x14ac:dyDescent="0.35">
      <c r="A440" t="s">
        <v>3272</v>
      </c>
      <c r="B440" t="s">
        <v>1462</v>
      </c>
      <c r="C440">
        <v>1</v>
      </c>
      <c r="D440">
        <v>0</v>
      </c>
      <c r="E440">
        <v>0</v>
      </c>
      <c r="F440">
        <v>65</v>
      </c>
      <c r="G440">
        <v>0</v>
      </c>
      <c r="H440">
        <v>66</v>
      </c>
      <c r="I440">
        <v>2</v>
      </c>
    </row>
    <row r="441" spans="1:9" x14ac:dyDescent="0.35">
      <c r="A441" t="s">
        <v>2295</v>
      </c>
      <c r="B441" t="s">
        <v>1188</v>
      </c>
      <c r="C441">
        <v>0</v>
      </c>
      <c r="D441">
        <v>0</v>
      </c>
      <c r="E441">
        <v>939</v>
      </c>
      <c r="F441">
        <v>0</v>
      </c>
      <c r="G441">
        <v>0</v>
      </c>
      <c r="H441">
        <v>939</v>
      </c>
      <c r="I441">
        <v>52</v>
      </c>
    </row>
    <row r="442" spans="1:9" x14ac:dyDescent="0.35">
      <c r="A442" t="s">
        <v>3195</v>
      </c>
      <c r="B442" t="s">
        <v>1463</v>
      </c>
      <c r="C442">
        <v>713</v>
      </c>
      <c r="D442">
        <v>0</v>
      </c>
      <c r="E442">
        <v>0</v>
      </c>
      <c r="F442">
        <v>0</v>
      </c>
      <c r="G442">
        <v>0</v>
      </c>
      <c r="H442">
        <v>713</v>
      </c>
      <c r="I442">
        <v>1</v>
      </c>
    </row>
    <row r="443" spans="1:9" x14ac:dyDescent="0.35">
      <c r="A443" t="s">
        <v>2755</v>
      </c>
      <c r="B443" t="s">
        <v>1631</v>
      </c>
      <c r="C443">
        <v>26</v>
      </c>
      <c r="D443">
        <v>0</v>
      </c>
      <c r="E443">
        <v>0</v>
      </c>
      <c r="F443">
        <v>0</v>
      </c>
      <c r="G443">
        <v>0</v>
      </c>
      <c r="H443">
        <v>26</v>
      </c>
      <c r="I443">
        <v>1</v>
      </c>
    </row>
    <row r="444" spans="1:9" x14ac:dyDescent="0.35">
      <c r="A444" t="s">
        <v>2661</v>
      </c>
      <c r="B444" t="s">
        <v>2086</v>
      </c>
      <c r="C444">
        <v>58</v>
      </c>
      <c r="D444">
        <v>0</v>
      </c>
      <c r="E444">
        <v>0</v>
      </c>
      <c r="F444">
        <v>0</v>
      </c>
      <c r="G444">
        <v>0</v>
      </c>
      <c r="H444">
        <v>58</v>
      </c>
      <c r="I444">
        <v>1</v>
      </c>
    </row>
    <row r="445" spans="1:9" x14ac:dyDescent="0.35">
      <c r="A445" t="s">
        <v>2738</v>
      </c>
      <c r="B445" t="s">
        <v>1711</v>
      </c>
      <c r="C445">
        <v>34</v>
      </c>
      <c r="D445">
        <v>0</v>
      </c>
      <c r="E445">
        <v>0</v>
      </c>
      <c r="F445">
        <v>0</v>
      </c>
      <c r="G445">
        <v>0</v>
      </c>
      <c r="H445">
        <v>34</v>
      </c>
      <c r="I445">
        <v>1</v>
      </c>
    </row>
    <row r="446" spans="1:9" x14ac:dyDescent="0.35">
      <c r="A446" t="s">
        <v>3140</v>
      </c>
      <c r="B446" t="s">
        <v>1851</v>
      </c>
      <c r="C446">
        <v>29</v>
      </c>
      <c r="D446">
        <v>0</v>
      </c>
      <c r="E446">
        <v>0</v>
      </c>
      <c r="F446">
        <v>0</v>
      </c>
      <c r="G446">
        <v>0</v>
      </c>
      <c r="H446">
        <v>29</v>
      </c>
      <c r="I446">
        <v>1</v>
      </c>
    </row>
    <row r="447" spans="1:9" x14ac:dyDescent="0.35">
      <c r="A447" t="s">
        <v>3085</v>
      </c>
      <c r="B447" t="s">
        <v>1852</v>
      </c>
      <c r="C447">
        <v>0</v>
      </c>
      <c r="D447">
        <v>0</v>
      </c>
      <c r="E447">
        <v>0</v>
      </c>
      <c r="F447">
        <v>30</v>
      </c>
      <c r="G447">
        <v>0</v>
      </c>
      <c r="H447">
        <v>30</v>
      </c>
      <c r="I447">
        <v>1</v>
      </c>
    </row>
    <row r="448" spans="1:9" x14ac:dyDescent="0.35">
      <c r="A448" t="s">
        <v>2671</v>
      </c>
      <c r="B448" t="s">
        <v>1712</v>
      </c>
      <c r="C448">
        <v>119</v>
      </c>
      <c r="D448">
        <v>0</v>
      </c>
      <c r="E448">
        <v>0</v>
      </c>
      <c r="F448">
        <v>0</v>
      </c>
      <c r="G448">
        <v>0</v>
      </c>
      <c r="H448">
        <v>119</v>
      </c>
      <c r="I448">
        <v>1</v>
      </c>
    </row>
    <row r="449" spans="1:9" x14ac:dyDescent="0.35">
      <c r="A449" t="s">
        <v>2801</v>
      </c>
      <c r="B449" t="s">
        <v>1464</v>
      </c>
      <c r="C449">
        <v>25</v>
      </c>
      <c r="D449">
        <v>0</v>
      </c>
      <c r="E449">
        <v>15</v>
      </c>
      <c r="F449">
        <v>0</v>
      </c>
      <c r="G449">
        <v>0</v>
      </c>
      <c r="H449">
        <v>40</v>
      </c>
      <c r="I449">
        <v>2</v>
      </c>
    </row>
    <row r="450" spans="1:9" x14ac:dyDescent="0.35">
      <c r="A450" t="s">
        <v>3109</v>
      </c>
      <c r="B450" t="s">
        <v>1107</v>
      </c>
      <c r="C450">
        <v>37776</v>
      </c>
      <c r="D450">
        <v>0</v>
      </c>
      <c r="E450">
        <v>4226</v>
      </c>
      <c r="F450">
        <v>1659</v>
      </c>
      <c r="G450">
        <v>3021</v>
      </c>
      <c r="H450">
        <v>46682</v>
      </c>
      <c r="I450">
        <v>189</v>
      </c>
    </row>
    <row r="451" spans="1:9" x14ac:dyDescent="0.35">
      <c r="A451" t="s">
        <v>2285</v>
      </c>
      <c r="B451" t="s">
        <v>1303</v>
      </c>
      <c r="C451">
        <v>0</v>
      </c>
      <c r="D451">
        <v>0</v>
      </c>
      <c r="E451">
        <v>235</v>
      </c>
      <c r="F451">
        <v>0</v>
      </c>
      <c r="G451">
        <v>0</v>
      </c>
      <c r="H451">
        <v>235</v>
      </c>
      <c r="I451">
        <v>1</v>
      </c>
    </row>
    <row r="452" spans="1:9" x14ac:dyDescent="0.35">
      <c r="A452" t="s">
        <v>2809</v>
      </c>
      <c r="B452" t="s">
        <v>1713</v>
      </c>
      <c r="C452">
        <v>75</v>
      </c>
      <c r="D452">
        <v>0</v>
      </c>
      <c r="E452">
        <v>0</v>
      </c>
      <c r="F452">
        <v>0</v>
      </c>
      <c r="G452">
        <v>0</v>
      </c>
      <c r="H452">
        <v>75</v>
      </c>
      <c r="I452">
        <v>1</v>
      </c>
    </row>
    <row r="453" spans="1:9" x14ac:dyDescent="0.35">
      <c r="A453" t="s">
        <v>2318</v>
      </c>
      <c r="B453" t="s">
        <v>1304</v>
      </c>
      <c r="C453">
        <v>22</v>
      </c>
      <c r="D453">
        <v>0</v>
      </c>
      <c r="E453">
        <v>0</v>
      </c>
      <c r="F453">
        <v>0</v>
      </c>
      <c r="G453">
        <v>0</v>
      </c>
      <c r="H453">
        <v>22</v>
      </c>
      <c r="I453">
        <v>1</v>
      </c>
    </row>
    <row r="454" spans="1:9" x14ac:dyDescent="0.35">
      <c r="A454" t="s">
        <v>3329</v>
      </c>
      <c r="B454" t="s">
        <v>14226</v>
      </c>
      <c r="C454">
        <v>15775</v>
      </c>
      <c r="D454">
        <v>0</v>
      </c>
      <c r="E454">
        <v>299</v>
      </c>
      <c r="F454">
        <v>1950</v>
      </c>
      <c r="G454">
        <v>797</v>
      </c>
      <c r="H454">
        <v>18821</v>
      </c>
      <c r="I454">
        <v>7</v>
      </c>
    </row>
    <row r="455" spans="1:9" x14ac:dyDescent="0.35">
      <c r="A455" t="s">
        <v>3286</v>
      </c>
      <c r="B455" t="s">
        <v>1465</v>
      </c>
      <c r="C455">
        <v>0</v>
      </c>
      <c r="D455">
        <v>0</v>
      </c>
      <c r="E455">
        <v>0</v>
      </c>
      <c r="F455">
        <v>70</v>
      </c>
      <c r="G455">
        <v>0</v>
      </c>
      <c r="H455">
        <v>70</v>
      </c>
      <c r="I455">
        <v>1</v>
      </c>
    </row>
    <row r="456" spans="1:9" x14ac:dyDescent="0.35">
      <c r="A456" t="s">
        <v>3287</v>
      </c>
      <c r="B456" t="s">
        <v>1714</v>
      </c>
      <c r="C456">
        <v>2159</v>
      </c>
      <c r="D456">
        <v>4</v>
      </c>
      <c r="E456">
        <v>141</v>
      </c>
      <c r="F456">
        <v>456</v>
      </c>
      <c r="G456">
        <v>197</v>
      </c>
      <c r="H456">
        <v>2957</v>
      </c>
      <c r="I456">
        <v>5</v>
      </c>
    </row>
    <row r="457" spans="1:9" x14ac:dyDescent="0.35">
      <c r="A457" t="s">
        <v>2546</v>
      </c>
      <c r="B457" t="s">
        <v>1466</v>
      </c>
      <c r="C457">
        <v>0</v>
      </c>
      <c r="D457">
        <v>0</v>
      </c>
      <c r="E457">
        <v>0</v>
      </c>
      <c r="F457">
        <v>20</v>
      </c>
      <c r="G457">
        <v>0</v>
      </c>
      <c r="H457">
        <v>20</v>
      </c>
      <c r="I457">
        <v>1</v>
      </c>
    </row>
    <row r="458" spans="1:9" x14ac:dyDescent="0.35">
      <c r="A458" t="s">
        <v>14227</v>
      </c>
      <c r="B458" t="s">
        <v>14228</v>
      </c>
      <c r="C458">
        <v>0</v>
      </c>
      <c r="D458">
        <v>0</v>
      </c>
      <c r="E458">
        <v>0</v>
      </c>
      <c r="F458">
        <v>0</v>
      </c>
      <c r="G458">
        <v>0</v>
      </c>
      <c r="H458">
        <v>0</v>
      </c>
      <c r="I458">
        <v>0</v>
      </c>
    </row>
    <row r="459" spans="1:9" x14ac:dyDescent="0.35">
      <c r="A459" t="s">
        <v>3006</v>
      </c>
      <c r="B459" t="s">
        <v>1467</v>
      </c>
      <c r="C459">
        <v>225</v>
      </c>
      <c r="D459">
        <v>0</v>
      </c>
      <c r="E459">
        <v>168</v>
      </c>
      <c r="F459">
        <v>0</v>
      </c>
      <c r="G459">
        <v>0</v>
      </c>
      <c r="H459">
        <v>393</v>
      </c>
      <c r="I459">
        <v>1</v>
      </c>
    </row>
    <row r="460" spans="1:9" x14ac:dyDescent="0.35">
      <c r="A460" t="s">
        <v>2481</v>
      </c>
      <c r="B460" t="s">
        <v>1632</v>
      </c>
      <c r="C460">
        <v>59</v>
      </c>
      <c r="D460">
        <v>0</v>
      </c>
      <c r="E460">
        <v>0</v>
      </c>
      <c r="F460">
        <v>0</v>
      </c>
      <c r="G460">
        <v>0</v>
      </c>
      <c r="H460">
        <v>59</v>
      </c>
      <c r="I460">
        <v>1</v>
      </c>
    </row>
    <row r="461" spans="1:9" x14ac:dyDescent="0.35">
      <c r="A461" t="s">
        <v>2717</v>
      </c>
      <c r="B461" t="s">
        <v>1468</v>
      </c>
      <c r="C461">
        <v>15</v>
      </c>
      <c r="D461">
        <v>0</v>
      </c>
      <c r="E461">
        <v>0</v>
      </c>
      <c r="F461">
        <v>0</v>
      </c>
      <c r="G461">
        <v>0</v>
      </c>
      <c r="H461">
        <v>15</v>
      </c>
      <c r="I461">
        <v>1</v>
      </c>
    </row>
    <row r="462" spans="1:9" x14ac:dyDescent="0.35">
      <c r="A462" t="s">
        <v>2959</v>
      </c>
      <c r="B462" t="s">
        <v>1109</v>
      </c>
      <c r="C462">
        <v>61</v>
      </c>
      <c r="D462">
        <v>0</v>
      </c>
      <c r="E462">
        <v>153</v>
      </c>
      <c r="F462">
        <v>17027</v>
      </c>
      <c r="G462">
        <v>1393</v>
      </c>
      <c r="H462">
        <v>18634</v>
      </c>
      <c r="I462">
        <v>207</v>
      </c>
    </row>
    <row r="463" spans="1:9" x14ac:dyDescent="0.35">
      <c r="A463" t="s">
        <v>3023</v>
      </c>
      <c r="B463" t="s">
        <v>1469</v>
      </c>
      <c r="C463">
        <v>830</v>
      </c>
      <c r="D463">
        <v>2</v>
      </c>
      <c r="E463">
        <v>15</v>
      </c>
      <c r="F463">
        <v>0</v>
      </c>
      <c r="G463">
        <v>0</v>
      </c>
      <c r="H463">
        <v>847</v>
      </c>
      <c r="I463">
        <v>9</v>
      </c>
    </row>
    <row r="464" spans="1:9" x14ac:dyDescent="0.35">
      <c r="A464" t="s">
        <v>2439</v>
      </c>
      <c r="B464" t="s">
        <v>1470</v>
      </c>
      <c r="C464">
        <v>8</v>
      </c>
      <c r="D464">
        <v>0</v>
      </c>
      <c r="E464">
        <v>0</v>
      </c>
      <c r="F464">
        <v>124</v>
      </c>
      <c r="G464">
        <v>0</v>
      </c>
      <c r="H464">
        <v>132</v>
      </c>
      <c r="I464">
        <v>2</v>
      </c>
    </row>
    <row r="465" spans="1:9" x14ac:dyDescent="0.35">
      <c r="A465" t="s">
        <v>3144</v>
      </c>
      <c r="B465" t="s">
        <v>1305</v>
      </c>
      <c r="C465">
        <v>4086</v>
      </c>
      <c r="D465">
        <v>24</v>
      </c>
      <c r="E465">
        <v>272</v>
      </c>
      <c r="F465">
        <v>300</v>
      </c>
      <c r="G465">
        <v>535</v>
      </c>
      <c r="H465">
        <v>5217</v>
      </c>
      <c r="I465">
        <v>8</v>
      </c>
    </row>
    <row r="466" spans="1:9" x14ac:dyDescent="0.35">
      <c r="A466" t="s">
        <v>14229</v>
      </c>
      <c r="B466" t="s">
        <v>14230</v>
      </c>
      <c r="C466">
        <v>0</v>
      </c>
      <c r="D466">
        <v>0</v>
      </c>
      <c r="E466">
        <v>0</v>
      </c>
      <c r="F466">
        <v>0</v>
      </c>
      <c r="G466">
        <v>0</v>
      </c>
      <c r="H466">
        <v>0</v>
      </c>
      <c r="I466">
        <v>0</v>
      </c>
    </row>
    <row r="467" spans="1:9" x14ac:dyDescent="0.35">
      <c r="A467" t="s">
        <v>2354</v>
      </c>
      <c r="B467" t="s">
        <v>2156</v>
      </c>
      <c r="C467">
        <v>4</v>
      </c>
      <c r="D467">
        <v>0</v>
      </c>
      <c r="E467">
        <v>27</v>
      </c>
      <c r="F467">
        <v>0</v>
      </c>
      <c r="G467">
        <v>0</v>
      </c>
      <c r="H467">
        <v>31</v>
      </c>
      <c r="I467">
        <v>1</v>
      </c>
    </row>
    <row r="468" spans="1:9" x14ac:dyDescent="0.35">
      <c r="A468" t="s">
        <v>3112</v>
      </c>
      <c r="B468" t="s">
        <v>2157</v>
      </c>
      <c r="C468">
        <v>224</v>
      </c>
      <c r="D468">
        <v>0</v>
      </c>
      <c r="E468">
        <v>44</v>
      </c>
      <c r="F468">
        <v>205</v>
      </c>
      <c r="G468">
        <v>0</v>
      </c>
      <c r="H468">
        <v>473</v>
      </c>
      <c r="I468">
        <v>2</v>
      </c>
    </row>
    <row r="469" spans="1:9" x14ac:dyDescent="0.35">
      <c r="A469" t="s">
        <v>3102</v>
      </c>
      <c r="B469" t="s">
        <v>2158</v>
      </c>
      <c r="C469">
        <v>45</v>
      </c>
      <c r="D469">
        <v>0</v>
      </c>
      <c r="E469">
        <v>0</v>
      </c>
      <c r="F469">
        <v>0</v>
      </c>
      <c r="G469">
        <v>0</v>
      </c>
      <c r="H469">
        <v>45</v>
      </c>
      <c r="I469">
        <v>1</v>
      </c>
    </row>
    <row r="470" spans="1:9" x14ac:dyDescent="0.35">
      <c r="A470" t="s">
        <v>2943</v>
      </c>
      <c r="B470" t="s">
        <v>2159</v>
      </c>
      <c r="C470">
        <v>0</v>
      </c>
      <c r="D470">
        <v>0</v>
      </c>
      <c r="E470">
        <v>73</v>
      </c>
      <c r="F470">
        <v>0</v>
      </c>
      <c r="G470">
        <v>0</v>
      </c>
      <c r="H470">
        <v>73</v>
      </c>
      <c r="I470">
        <v>1</v>
      </c>
    </row>
    <row r="471" spans="1:9" x14ac:dyDescent="0.35">
      <c r="A471" t="s">
        <v>2427</v>
      </c>
      <c r="B471" t="s">
        <v>2160</v>
      </c>
      <c r="C471">
        <v>0</v>
      </c>
      <c r="D471">
        <v>0</v>
      </c>
      <c r="E471">
        <v>0</v>
      </c>
      <c r="F471">
        <v>61</v>
      </c>
      <c r="G471">
        <v>0</v>
      </c>
      <c r="H471">
        <v>61</v>
      </c>
      <c r="I471">
        <v>1</v>
      </c>
    </row>
    <row r="472" spans="1:9" x14ac:dyDescent="0.35">
      <c r="A472" t="s">
        <v>2261</v>
      </c>
      <c r="B472" t="s">
        <v>1633</v>
      </c>
      <c r="C472">
        <v>5</v>
      </c>
      <c r="D472">
        <v>0</v>
      </c>
      <c r="E472">
        <v>67</v>
      </c>
      <c r="F472">
        <v>0</v>
      </c>
      <c r="G472">
        <v>0</v>
      </c>
      <c r="H472">
        <v>72</v>
      </c>
      <c r="I472">
        <v>9</v>
      </c>
    </row>
    <row r="473" spans="1:9" x14ac:dyDescent="0.35">
      <c r="A473" t="s">
        <v>2464</v>
      </c>
      <c r="B473" t="s">
        <v>1715</v>
      </c>
      <c r="C473">
        <v>44</v>
      </c>
      <c r="D473">
        <v>0</v>
      </c>
      <c r="E473">
        <v>0</v>
      </c>
      <c r="F473">
        <v>0</v>
      </c>
      <c r="G473">
        <v>0</v>
      </c>
      <c r="H473">
        <v>44</v>
      </c>
      <c r="I473">
        <v>1</v>
      </c>
    </row>
    <row r="474" spans="1:9" x14ac:dyDescent="0.35">
      <c r="A474" t="s">
        <v>3005</v>
      </c>
      <c r="B474" t="s">
        <v>1306</v>
      </c>
      <c r="C474">
        <v>1240</v>
      </c>
      <c r="D474">
        <v>13</v>
      </c>
      <c r="E474">
        <v>0</v>
      </c>
      <c r="F474">
        <v>0</v>
      </c>
      <c r="G474">
        <v>117</v>
      </c>
      <c r="H474">
        <v>1370</v>
      </c>
      <c r="I474">
        <v>9</v>
      </c>
    </row>
    <row r="475" spans="1:9" x14ac:dyDescent="0.35">
      <c r="A475" t="s">
        <v>2765</v>
      </c>
      <c r="B475" t="s">
        <v>14231</v>
      </c>
      <c r="C475">
        <v>0</v>
      </c>
      <c r="D475">
        <v>0</v>
      </c>
      <c r="E475">
        <v>59</v>
      </c>
      <c r="F475">
        <v>0</v>
      </c>
      <c r="G475">
        <v>0</v>
      </c>
      <c r="H475">
        <v>59</v>
      </c>
      <c r="I475">
        <v>1</v>
      </c>
    </row>
    <row r="476" spans="1:9" x14ac:dyDescent="0.35">
      <c r="A476" t="s">
        <v>3236</v>
      </c>
      <c r="B476" t="s">
        <v>1189</v>
      </c>
      <c r="C476">
        <v>19356</v>
      </c>
      <c r="D476">
        <v>90</v>
      </c>
      <c r="E476">
        <v>1132</v>
      </c>
      <c r="F476">
        <v>1011</v>
      </c>
      <c r="G476">
        <v>3311</v>
      </c>
      <c r="H476">
        <v>24900</v>
      </c>
      <c r="I476">
        <v>47</v>
      </c>
    </row>
    <row r="477" spans="1:9" x14ac:dyDescent="0.35">
      <c r="A477" t="s">
        <v>3163</v>
      </c>
      <c r="B477" t="s">
        <v>1471</v>
      </c>
      <c r="C477">
        <v>2199</v>
      </c>
      <c r="D477">
        <v>0</v>
      </c>
      <c r="E477">
        <v>0</v>
      </c>
      <c r="F477">
        <v>42</v>
      </c>
      <c r="G477">
        <v>29</v>
      </c>
      <c r="H477">
        <v>2270</v>
      </c>
      <c r="I477">
        <v>1</v>
      </c>
    </row>
    <row r="478" spans="1:9" x14ac:dyDescent="0.35">
      <c r="A478" t="s">
        <v>2839</v>
      </c>
      <c r="B478" t="s">
        <v>1472</v>
      </c>
      <c r="C478">
        <v>0</v>
      </c>
      <c r="D478">
        <v>74</v>
      </c>
      <c r="E478">
        <v>0</v>
      </c>
      <c r="F478">
        <v>0</v>
      </c>
      <c r="G478">
        <v>0</v>
      </c>
      <c r="H478">
        <v>74</v>
      </c>
      <c r="I478">
        <v>1</v>
      </c>
    </row>
    <row r="479" spans="1:9" x14ac:dyDescent="0.35">
      <c r="A479" t="s">
        <v>2348</v>
      </c>
      <c r="B479" t="s">
        <v>1634</v>
      </c>
      <c r="C479">
        <v>0</v>
      </c>
      <c r="D479">
        <v>0</v>
      </c>
      <c r="E479">
        <v>136</v>
      </c>
      <c r="F479">
        <v>0</v>
      </c>
      <c r="G479">
        <v>0</v>
      </c>
      <c r="H479">
        <v>136</v>
      </c>
      <c r="I479">
        <v>10</v>
      </c>
    </row>
    <row r="480" spans="1:9" x14ac:dyDescent="0.35">
      <c r="A480" t="s">
        <v>2799</v>
      </c>
      <c r="B480" t="s">
        <v>1473</v>
      </c>
      <c r="C480">
        <v>54</v>
      </c>
      <c r="D480">
        <v>0</v>
      </c>
      <c r="E480">
        <v>0</v>
      </c>
      <c r="F480">
        <v>0</v>
      </c>
      <c r="G480">
        <v>0</v>
      </c>
      <c r="H480">
        <v>54</v>
      </c>
      <c r="I480">
        <v>1</v>
      </c>
    </row>
    <row r="481" spans="1:9" x14ac:dyDescent="0.35">
      <c r="A481" t="s">
        <v>2926</v>
      </c>
      <c r="B481" t="s">
        <v>11373</v>
      </c>
      <c r="C481">
        <v>0</v>
      </c>
      <c r="D481">
        <v>0</v>
      </c>
      <c r="E481">
        <v>64</v>
      </c>
      <c r="F481">
        <v>0</v>
      </c>
      <c r="G481">
        <v>0</v>
      </c>
      <c r="H481">
        <v>64</v>
      </c>
      <c r="I481">
        <v>2</v>
      </c>
    </row>
    <row r="482" spans="1:9" x14ac:dyDescent="0.35">
      <c r="A482" t="s">
        <v>2229</v>
      </c>
      <c r="B482" t="s">
        <v>1190</v>
      </c>
      <c r="C482">
        <v>7</v>
      </c>
      <c r="D482">
        <v>0</v>
      </c>
      <c r="E482">
        <v>3131</v>
      </c>
      <c r="F482">
        <v>125</v>
      </c>
      <c r="G482">
        <v>0</v>
      </c>
      <c r="H482">
        <v>3263</v>
      </c>
      <c r="I482">
        <v>140</v>
      </c>
    </row>
    <row r="483" spans="1:9" x14ac:dyDescent="0.35">
      <c r="A483" t="s">
        <v>3205</v>
      </c>
      <c r="B483" t="s">
        <v>2161</v>
      </c>
      <c r="C483">
        <v>20349</v>
      </c>
      <c r="D483">
        <v>0</v>
      </c>
      <c r="E483">
        <v>35</v>
      </c>
      <c r="F483">
        <v>705</v>
      </c>
      <c r="G483">
        <v>132</v>
      </c>
      <c r="H483">
        <v>21221</v>
      </c>
      <c r="I483">
        <v>9</v>
      </c>
    </row>
    <row r="484" spans="1:9" x14ac:dyDescent="0.35">
      <c r="A484" t="s">
        <v>3306</v>
      </c>
      <c r="B484" t="s">
        <v>1307</v>
      </c>
      <c r="C484">
        <v>514</v>
      </c>
      <c r="D484">
        <v>0</v>
      </c>
      <c r="E484">
        <v>38</v>
      </c>
      <c r="F484">
        <v>25</v>
      </c>
      <c r="G484">
        <v>0</v>
      </c>
      <c r="H484">
        <v>577</v>
      </c>
      <c r="I484">
        <v>12</v>
      </c>
    </row>
    <row r="485" spans="1:9" x14ac:dyDescent="0.35">
      <c r="A485" t="s">
        <v>3300</v>
      </c>
      <c r="B485" t="s">
        <v>1474</v>
      </c>
      <c r="C485">
        <v>1251</v>
      </c>
      <c r="D485">
        <v>0</v>
      </c>
      <c r="E485">
        <v>0</v>
      </c>
      <c r="F485">
        <v>0</v>
      </c>
      <c r="G485">
        <v>78</v>
      </c>
      <c r="H485">
        <v>1329</v>
      </c>
      <c r="I485">
        <v>10</v>
      </c>
    </row>
    <row r="486" spans="1:9" x14ac:dyDescent="0.35">
      <c r="A486" t="s">
        <v>14232</v>
      </c>
      <c r="B486" t="s">
        <v>14233</v>
      </c>
      <c r="C486">
        <v>0</v>
      </c>
      <c r="D486">
        <v>0</v>
      </c>
      <c r="E486">
        <v>0</v>
      </c>
      <c r="F486">
        <v>0</v>
      </c>
      <c r="G486">
        <v>0</v>
      </c>
      <c r="H486">
        <v>0</v>
      </c>
      <c r="I486">
        <v>0</v>
      </c>
    </row>
    <row r="487" spans="1:9" x14ac:dyDescent="0.35">
      <c r="A487" t="s">
        <v>2960</v>
      </c>
      <c r="B487" t="s">
        <v>1716</v>
      </c>
      <c r="C487">
        <v>6329</v>
      </c>
      <c r="D487">
        <v>0</v>
      </c>
      <c r="E487">
        <v>286</v>
      </c>
      <c r="F487">
        <v>457</v>
      </c>
      <c r="G487">
        <v>198</v>
      </c>
      <c r="H487">
        <v>7270</v>
      </c>
      <c r="I487">
        <v>10</v>
      </c>
    </row>
    <row r="488" spans="1:9" x14ac:dyDescent="0.35">
      <c r="A488" t="s">
        <v>3075</v>
      </c>
      <c r="B488" t="s">
        <v>1853</v>
      </c>
      <c r="C488">
        <v>37</v>
      </c>
      <c r="D488">
        <v>0</v>
      </c>
      <c r="E488">
        <v>0</v>
      </c>
      <c r="F488">
        <v>0</v>
      </c>
      <c r="G488">
        <v>0</v>
      </c>
      <c r="H488">
        <v>37</v>
      </c>
      <c r="I488">
        <v>1</v>
      </c>
    </row>
    <row r="489" spans="1:9" x14ac:dyDescent="0.35">
      <c r="A489" t="s">
        <v>2236</v>
      </c>
      <c r="B489" t="s">
        <v>1475</v>
      </c>
      <c r="C489">
        <v>80</v>
      </c>
      <c r="D489">
        <v>0</v>
      </c>
      <c r="E489">
        <v>12</v>
      </c>
      <c r="F489">
        <v>0</v>
      </c>
      <c r="G489">
        <v>0</v>
      </c>
      <c r="H489">
        <v>92</v>
      </c>
      <c r="I489">
        <v>1</v>
      </c>
    </row>
    <row r="490" spans="1:9" x14ac:dyDescent="0.35">
      <c r="A490" t="s">
        <v>2988</v>
      </c>
      <c r="B490" t="s">
        <v>1476</v>
      </c>
      <c r="C490">
        <v>1843</v>
      </c>
      <c r="D490">
        <v>0</v>
      </c>
      <c r="E490">
        <v>70</v>
      </c>
      <c r="F490">
        <v>42</v>
      </c>
      <c r="G490">
        <v>374</v>
      </c>
      <c r="H490">
        <v>2329</v>
      </c>
      <c r="I490">
        <v>6</v>
      </c>
    </row>
    <row r="491" spans="1:9" x14ac:dyDescent="0.35">
      <c r="A491" t="s">
        <v>2683</v>
      </c>
      <c r="B491" t="s">
        <v>1477</v>
      </c>
      <c r="C491">
        <v>104</v>
      </c>
      <c r="D491">
        <v>0</v>
      </c>
      <c r="E491">
        <v>0</v>
      </c>
      <c r="F491">
        <v>0</v>
      </c>
      <c r="G491">
        <v>0</v>
      </c>
      <c r="H491">
        <v>104</v>
      </c>
      <c r="I491">
        <v>1</v>
      </c>
    </row>
    <row r="492" spans="1:9" x14ac:dyDescent="0.35">
      <c r="A492" t="s">
        <v>2281</v>
      </c>
      <c r="B492" t="s">
        <v>1717</v>
      </c>
      <c r="C492">
        <v>163</v>
      </c>
      <c r="D492">
        <v>0</v>
      </c>
      <c r="E492">
        <v>0</v>
      </c>
      <c r="F492">
        <v>0</v>
      </c>
      <c r="G492">
        <v>0</v>
      </c>
      <c r="H492">
        <v>163</v>
      </c>
      <c r="I492">
        <v>3</v>
      </c>
    </row>
    <row r="493" spans="1:9" x14ac:dyDescent="0.35">
      <c r="A493" t="s">
        <v>14234</v>
      </c>
      <c r="B493" t="s">
        <v>14235</v>
      </c>
      <c r="C493">
        <v>0</v>
      </c>
      <c r="D493">
        <v>0</v>
      </c>
      <c r="E493">
        <v>0</v>
      </c>
      <c r="F493">
        <v>0</v>
      </c>
      <c r="G493">
        <v>0</v>
      </c>
      <c r="H493">
        <v>0</v>
      </c>
      <c r="I493">
        <v>0</v>
      </c>
    </row>
    <row r="494" spans="1:9" x14ac:dyDescent="0.35">
      <c r="A494" t="s">
        <v>2515</v>
      </c>
      <c r="B494" t="s">
        <v>1635</v>
      </c>
      <c r="C494">
        <v>5</v>
      </c>
      <c r="D494">
        <v>0</v>
      </c>
      <c r="E494">
        <v>0</v>
      </c>
      <c r="F494">
        <v>0</v>
      </c>
      <c r="G494">
        <v>0</v>
      </c>
      <c r="H494">
        <v>5</v>
      </c>
      <c r="I494">
        <v>1</v>
      </c>
    </row>
    <row r="495" spans="1:9" x14ac:dyDescent="0.35">
      <c r="A495" t="s">
        <v>2555</v>
      </c>
      <c r="B495" t="s">
        <v>1854</v>
      </c>
      <c r="C495">
        <v>6</v>
      </c>
      <c r="D495">
        <v>0</v>
      </c>
      <c r="E495">
        <v>0</v>
      </c>
      <c r="F495">
        <v>0</v>
      </c>
      <c r="G495">
        <v>0</v>
      </c>
      <c r="H495">
        <v>6</v>
      </c>
      <c r="I495">
        <v>1</v>
      </c>
    </row>
    <row r="496" spans="1:9" x14ac:dyDescent="0.35">
      <c r="A496" t="s">
        <v>2480</v>
      </c>
      <c r="B496" t="s">
        <v>1636</v>
      </c>
      <c r="C496">
        <v>0</v>
      </c>
      <c r="D496">
        <v>0</v>
      </c>
      <c r="E496">
        <v>0</v>
      </c>
      <c r="F496">
        <v>101</v>
      </c>
      <c r="G496">
        <v>0</v>
      </c>
      <c r="H496">
        <v>101</v>
      </c>
      <c r="I496">
        <v>3</v>
      </c>
    </row>
    <row r="497" spans="1:9" x14ac:dyDescent="0.35">
      <c r="A497" t="s">
        <v>2451</v>
      </c>
      <c r="B497" t="s">
        <v>1637</v>
      </c>
      <c r="C497">
        <v>0</v>
      </c>
      <c r="D497">
        <v>0</v>
      </c>
      <c r="E497">
        <v>0</v>
      </c>
      <c r="F497">
        <v>8</v>
      </c>
      <c r="G497">
        <v>0</v>
      </c>
      <c r="H497">
        <v>8</v>
      </c>
      <c r="I497">
        <v>1</v>
      </c>
    </row>
    <row r="498" spans="1:9" x14ac:dyDescent="0.35">
      <c r="A498" t="s">
        <v>3263</v>
      </c>
      <c r="B498" t="s">
        <v>1308</v>
      </c>
      <c r="C498">
        <v>4</v>
      </c>
      <c r="D498">
        <v>0</v>
      </c>
      <c r="E498">
        <v>2</v>
      </c>
      <c r="F498">
        <v>421</v>
      </c>
      <c r="G498">
        <v>0</v>
      </c>
      <c r="H498">
        <v>427</v>
      </c>
      <c r="I498">
        <v>8</v>
      </c>
    </row>
    <row r="499" spans="1:9" x14ac:dyDescent="0.35">
      <c r="A499" t="s">
        <v>3352</v>
      </c>
      <c r="B499" t="s">
        <v>1718</v>
      </c>
      <c r="C499">
        <v>5</v>
      </c>
      <c r="D499">
        <v>0</v>
      </c>
      <c r="E499">
        <v>0</v>
      </c>
      <c r="F499">
        <v>0</v>
      </c>
      <c r="G499">
        <v>0</v>
      </c>
      <c r="H499">
        <v>5</v>
      </c>
      <c r="I499">
        <v>1</v>
      </c>
    </row>
    <row r="500" spans="1:9" x14ac:dyDescent="0.35">
      <c r="A500" t="s">
        <v>3222</v>
      </c>
      <c r="B500" t="s">
        <v>1191</v>
      </c>
      <c r="C500">
        <v>2343</v>
      </c>
      <c r="D500">
        <v>0</v>
      </c>
      <c r="E500">
        <v>0</v>
      </c>
      <c r="F500">
        <v>831</v>
      </c>
      <c r="G500">
        <v>34</v>
      </c>
      <c r="H500">
        <v>3208</v>
      </c>
      <c r="I500">
        <v>3</v>
      </c>
    </row>
    <row r="501" spans="1:9" x14ac:dyDescent="0.35">
      <c r="A501" t="s">
        <v>3241</v>
      </c>
      <c r="B501" t="s">
        <v>11401</v>
      </c>
      <c r="C501">
        <v>11465</v>
      </c>
      <c r="D501">
        <v>0</v>
      </c>
      <c r="E501">
        <v>441</v>
      </c>
      <c r="F501">
        <v>1647</v>
      </c>
      <c r="G501">
        <v>1133</v>
      </c>
      <c r="H501">
        <v>14686</v>
      </c>
      <c r="I501">
        <v>26</v>
      </c>
    </row>
    <row r="502" spans="1:9" x14ac:dyDescent="0.35">
      <c r="A502" t="s">
        <v>3344</v>
      </c>
      <c r="B502" t="s">
        <v>11402</v>
      </c>
      <c r="C502">
        <v>14137</v>
      </c>
      <c r="D502">
        <v>0</v>
      </c>
      <c r="E502">
        <v>230</v>
      </c>
      <c r="F502">
        <v>655</v>
      </c>
      <c r="G502">
        <v>5</v>
      </c>
      <c r="H502">
        <v>15027</v>
      </c>
      <c r="I502">
        <v>5</v>
      </c>
    </row>
    <row r="503" spans="1:9" x14ac:dyDescent="0.35">
      <c r="A503" t="s">
        <v>2533</v>
      </c>
      <c r="B503" t="s">
        <v>1478</v>
      </c>
      <c r="C503">
        <v>0</v>
      </c>
      <c r="D503">
        <v>32</v>
      </c>
      <c r="E503">
        <v>0</v>
      </c>
      <c r="F503">
        <v>0</v>
      </c>
      <c r="G503">
        <v>0</v>
      </c>
      <c r="H503">
        <v>32</v>
      </c>
      <c r="I503">
        <v>1</v>
      </c>
    </row>
    <row r="504" spans="1:9" x14ac:dyDescent="0.35">
      <c r="A504" t="s">
        <v>2446</v>
      </c>
      <c r="B504" t="s">
        <v>1855</v>
      </c>
      <c r="C504">
        <v>16</v>
      </c>
      <c r="D504">
        <v>0</v>
      </c>
      <c r="E504">
        <v>0</v>
      </c>
      <c r="F504">
        <v>0</v>
      </c>
      <c r="G504">
        <v>0</v>
      </c>
      <c r="H504">
        <v>16</v>
      </c>
      <c r="I504">
        <v>1</v>
      </c>
    </row>
    <row r="505" spans="1:9" x14ac:dyDescent="0.35">
      <c r="A505" t="s">
        <v>2577</v>
      </c>
      <c r="B505" t="s">
        <v>1192</v>
      </c>
      <c r="C505">
        <v>6</v>
      </c>
      <c r="D505">
        <v>0</v>
      </c>
      <c r="E505">
        <v>0</v>
      </c>
      <c r="F505">
        <v>0</v>
      </c>
      <c r="G505">
        <v>0</v>
      </c>
      <c r="H505">
        <v>6</v>
      </c>
      <c r="I505">
        <v>1</v>
      </c>
    </row>
    <row r="506" spans="1:9" x14ac:dyDescent="0.35">
      <c r="A506" t="s">
        <v>2615</v>
      </c>
      <c r="B506" t="s">
        <v>2162</v>
      </c>
      <c r="C506">
        <v>4</v>
      </c>
      <c r="D506">
        <v>0</v>
      </c>
      <c r="E506">
        <v>0</v>
      </c>
      <c r="F506">
        <v>0</v>
      </c>
      <c r="G506">
        <v>0</v>
      </c>
      <c r="H506">
        <v>4</v>
      </c>
      <c r="I506">
        <v>1</v>
      </c>
    </row>
    <row r="507" spans="1:9" x14ac:dyDescent="0.35">
      <c r="A507" t="s">
        <v>3039</v>
      </c>
      <c r="B507" t="s">
        <v>1193</v>
      </c>
      <c r="C507">
        <v>1689</v>
      </c>
      <c r="D507">
        <v>0</v>
      </c>
      <c r="E507">
        <v>93</v>
      </c>
      <c r="F507">
        <v>2476</v>
      </c>
      <c r="G507">
        <v>661</v>
      </c>
      <c r="H507">
        <v>4919</v>
      </c>
      <c r="I507">
        <v>26</v>
      </c>
    </row>
    <row r="508" spans="1:9" x14ac:dyDescent="0.35">
      <c r="A508" t="s">
        <v>2489</v>
      </c>
      <c r="B508" t="s">
        <v>1719</v>
      </c>
      <c r="C508">
        <v>10</v>
      </c>
      <c r="D508">
        <v>0</v>
      </c>
      <c r="E508">
        <v>0</v>
      </c>
      <c r="F508">
        <v>0</v>
      </c>
      <c r="G508">
        <v>0</v>
      </c>
      <c r="H508">
        <v>10</v>
      </c>
      <c r="I508">
        <v>1</v>
      </c>
    </row>
    <row r="509" spans="1:9" x14ac:dyDescent="0.35">
      <c r="A509" t="s">
        <v>14236</v>
      </c>
      <c r="B509" t="s">
        <v>14237</v>
      </c>
      <c r="C509">
        <v>4</v>
      </c>
      <c r="D509">
        <v>0</v>
      </c>
      <c r="E509">
        <v>0</v>
      </c>
      <c r="F509">
        <v>0</v>
      </c>
      <c r="G509">
        <v>0</v>
      </c>
      <c r="H509">
        <v>4</v>
      </c>
      <c r="I509">
        <v>1</v>
      </c>
    </row>
    <row r="510" spans="1:9" x14ac:dyDescent="0.35">
      <c r="A510" t="s">
        <v>2482</v>
      </c>
      <c r="B510" t="s">
        <v>2163</v>
      </c>
      <c r="C510">
        <v>0</v>
      </c>
      <c r="D510">
        <v>0</v>
      </c>
      <c r="E510">
        <v>0</v>
      </c>
      <c r="F510">
        <v>32</v>
      </c>
      <c r="G510">
        <v>0</v>
      </c>
      <c r="H510">
        <v>32</v>
      </c>
      <c r="I510">
        <v>1</v>
      </c>
    </row>
    <row r="511" spans="1:9" x14ac:dyDescent="0.35">
      <c r="A511" t="s">
        <v>2417</v>
      </c>
      <c r="B511" t="s">
        <v>1638</v>
      </c>
      <c r="C511">
        <v>1234</v>
      </c>
      <c r="D511">
        <v>0</v>
      </c>
      <c r="E511">
        <v>54</v>
      </c>
      <c r="F511">
        <v>316</v>
      </c>
      <c r="G511">
        <v>616</v>
      </c>
      <c r="H511">
        <v>2220</v>
      </c>
      <c r="I511">
        <v>10</v>
      </c>
    </row>
    <row r="512" spans="1:9" x14ac:dyDescent="0.35">
      <c r="A512" t="s">
        <v>3229</v>
      </c>
      <c r="B512" t="s">
        <v>1988</v>
      </c>
      <c r="C512">
        <v>0</v>
      </c>
      <c r="D512">
        <v>0</v>
      </c>
      <c r="E512">
        <v>19</v>
      </c>
      <c r="F512">
        <v>0</v>
      </c>
      <c r="G512">
        <v>0</v>
      </c>
      <c r="H512">
        <v>19</v>
      </c>
      <c r="I512">
        <v>2</v>
      </c>
    </row>
    <row r="513" spans="1:9" x14ac:dyDescent="0.35">
      <c r="A513" t="s">
        <v>3240</v>
      </c>
      <c r="B513" t="s">
        <v>1479</v>
      </c>
      <c r="C513">
        <v>0</v>
      </c>
      <c r="D513">
        <v>0</v>
      </c>
      <c r="E513">
        <v>16</v>
      </c>
      <c r="F513">
        <v>0</v>
      </c>
      <c r="G513">
        <v>0</v>
      </c>
      <c r="H513">
        <v>16</v>
      </c>
      <c r="I513">
        <v>1</v>
      </c>
    </row>
    <row r="514" spans="1:9" x14ac:dyDescent="0.35">
      <c r="A514" t="s">
        <v>2365</v>
      </c>
      <c r="B514" t="s">
        <v>1639</v>
      </c>
      <c r="C514">
        <v>25117</v>
      </c>
      <c r="D514">
        <v>0</v>
      </c>
      <c r="E514">
        <v>522</v>
      </c>
      <c r="F514">
        <v>1055</v>
      </c>
      <c r="G514">
        <v>767</v>
      </c>
      <c r="H514">
        <v>27461</v>
      </c>
      <c r="I514">
        <v>20</v>
      </c>
    </row>
    <row r="515" spans="1:9" x14ac:dyDescent="0.35">
      <c r="A515" t="s">
        <v>2304</v>
      </c>
      <c r="B515" t="s">
        <v>1480</v>
      </c>
      <c r="C515">
        <v>33</v>
      </c>
      <c r="D515">
        <v>0</v>
      </c>
      <c r="E515">
        <v>0</v>
      </c>
      <c r="F515">
        <v>0</v>
      </c>
      <c r="G515">
        <v>0</v>
      </c>
      <c r="H515">
        <v>33</v>
      </c>
      <c r="I515">
        <v>5</v>
      </c>
    </row>
    <row r="516" spans="1:9" x14ac:dyDescent="0.35">
      <c r="A516" t="s">
        <v>2221</v>
      </c>
      <c r="B516" t="s">
        <v>1640</v>
      </c>
      <c r="C516">
        <v>280</v>
      </c>
      <c r="D516">
        <v>0</v>
      </c>
      <c r="E516">
        <v>0</v>
      </c>
      <c r="F516">
        <v>4</v>
      </c>
      <c r="G516">
        <v>0</v>
      </c>
      <c r="H516">
        <v>284</v>
      </c>
      <c r="I516">
        <v>1</v>
      </c>
    </row>
    <row r="517" spans="1:9" x14ac:dyDescent="0.35">
      <c r="A517" t="s">
        <v>11453</v>
      </c>
      <c r="B517" t="s">
        <v>1720</v>
      </c>
      <c r="C517">
        <v>41</v>
      </c>
      <c r="D517">
        <v>0</v>
      </c>
      <c r="E517">
        <v>0</v>
      </c>
      <c r="F517">
        <v>0</v>
      </c>
      <c r="G517">
        <v>0</v>
      </c>
      <c r="H517">
        <v>41</v>
      </c>
      <c r="I517">
        <v>1</v>
      </c>
    </row>
    <row r="518" spans="1:9" x14ac:dyDescent="0.35">
      <c r="A518" t="s">
        <v>3083</v>
      </c>
      <c r="B518" t="s">
        <v>1481</v>
      </c>
      <c r="C518">
        <v>628</v>
      </c>
      <c r="D518">
        <v>0</v>
      </c>
      <c r="E518">
        <v>35</v>
      </c>
      <c r="F518">
        <v>184</v>
      </c>
      <c r="G518">
        <v>0</v>
      </c>
      <c r="H518">
        <v>847</v>
      </c>
      <c r="I518">
        <v>7</v>
      </c>
    </row>
    <row r="519" spans="1:9" x14ac:dyDescent="0.35">
      <c r="A519" t="s">
        <v>2349</v>
      </c>
      <c r="B519" t="s">
        <v>1721</v>
      </c>
      <c r="C519">
        <v>41</v>
      </c>
      <c r="D519">
        <v>0</v>
      </c>
      <c r="E519">
        <v>0</v>
      </c>
      <c r="F519">
        <v>0</v>
      </c>
      <c r="G519">
        <v>0</v>
      </c>
      <c r="H519">
        <v>41</v>
      </c>
      <c r="I519">
        <v>1</v>
      </c>
    </row>
    <row r="520" spans="1:9" x14ac:dyDescent="0.35">
      <c r="A520" t="s">
        <v>2260</v>
      </c>
      <c r="B520" t="s">
        <v>11454</v>
      </c>
      <c r="C520">
        <v>25</v>
      </c>
      <c r="D520">
        <v>0</v>
      </c>
      <c r="E520">
        <v>0</v>
      </c>
      <c r="F520">
        <v>0</v>
      </c>
      <c r="G520">
        <v>0</v>
      </c>
      <c r="H520">
        <v>25</v>
      </c>
      <c r="I520">
        <v>1</v>
      </c>
    </row>
    <row r="521" spans="1:9" x14ac:dyDescent="0.35">
      <c r="A521" t="s">
        <v>2271</v>
      </c>
      <c r="B521" t="s">
        <v>1309</v>
      </c>
      <c r="C521">
        <v>4</v>
      </c>
      <c r="D521">
        <v>0</v>
      </c>
      <c r="E521">
        <v>111</v>
      </c>
      <c r="F521">
        <v>0</v>
      </c>
      <c r="G521">
        <v>0</v>
      </c>
      <c r="H521">
        <v>115</v>
      </c>
      <c r="I521">
        <v>1</v>
      </c>
    </row>
    <row r="522" spans="1:9" x14ac:dyDescent="0.35">
      <c r="A522" t="s">
        <v>14238</v>
      </c>
      <c r="B522" t="s">
        <v>14239</v>
      </c>
      <c r="C522">
        <v>37</v>
      </c>
      <c r="D522">
        <v>0</v>
      </c>
      <c r="E522">
        <v>0</v>
      </c>
      <c r="F522">
        <v>0</v>
      </c>
      <c r="G522">
        <v>0</v>
      </c>
      <c r="H522">
        <v>37</v>
      </c>
      <c r="I522">
        <v>1</v>
      </c>
    </row>
    <row r="523" spans="1:9" x14ac:dyDescent="0.35">
      <c r="A523" t="s">
        <v>2513</v>
      </c>
      <c r="B523" t="s">
        <v>1856</v>
      </c>
      <c r="C523">
        <v>0</v>
      </c>
      <c r="D523">
        <v>0</v>
      </c>
      <c r="E523">
        <v>0</v>
      </c>
      <c r="F523">
        <v>12</v>
      </c>
      <c r="G523">
        <v>0</v>
      </c>
      <c r="H523">
        <v>12</v>
      </c>
      <c r="I523">
        <v>1</v>
      </c>
    </row>
    <row r="524" spans="1:9" x14ac:dyDescent="0.35">
      <c r="A524" t="s">
        <v>3073</v>
      </c>
      <c r="B524" t="s">
        <v>1989</v>
      </c>
      <c r="C524">
        <v>147</v>
      </c>
      <c r="D524">
        <v>0</v>
      </c>
      <c r="E524">
        <v>0</v>
      </c>
      <c r="F524">
        <v>0</v>
      </c>
      <c r="G524">
        <v>0</v>
      </c>
      <c r="H524">
        <v>147</v>
      </c>
      <c r="I524">
        <v>2</v>
      </c>
    </row>
    <row r="525" spans="1:9" x14ac:dyDescent="0.35">
      <c r="A525" t="s">
        <v>2445</v>
      </c>
      <c r="B525" t="s">
        <v>1857</v>
      </c>
      <c r="C525">
        <v>0</v>
      </c>
      <c r="D525">
        <v>0</v>
      </c>
      <c r="E525">
        <v>0</v>
      </c>
      <c r="F525">
        <v>12</v>
      </c>
      <c r="G525">
        <v>0</v>
      </c>
      <c r="H525">
        <v>12</v>
      </c>
      <c r="I525">
        <v>1</v>
      </c>
    </row>
    <row r="526" spans="1:9" x14ac:dyDescent="0.35">
      <c r="A526" t="s">
        <v>3014</v>
      </c>
      <c r="B526" t="s">
        <v>1482</v>
      </c>
      <c r="C526">
        <v>184</v>
      </c>
      <c r="D526">
        <v>0</v>
      </c>
      <c r="E526">
        <v>0</v>
      </c>
      <c r="F526">
        <v>88</v>
      </c>
      <c r="G526">
        <v>0</v>
      </c>
      <c r="H526">
        <v>272</v>
      </c>
      <c r="I526">
        <v>3</v>
      </c>
    </row>
    <row r="527" spans="1:9" x14ac:dyDescent="0.35">
      <c r="A527" t="s">
        <v>2303</v>
      </c>
      <c r="B527" t="s">
        <v>1483</v>
      </c>
      <c r="C527">
        <v>24</v>
      </c>
      <c r="D527">
        <v>0</v>
      </c>
      <c r="E527">
        <v>0</v>
      </c>
      <c r="F527">
        <v>0</v>
      </c>
      <c r="G527">
        <v>0</v>
      </c>
      <c r="H527">
        <v>24</v>
      </c>
      <c r="I527">
        <v>4</v>
      </c>
    </row>
    <row r="528" spans="1:9" x14ac:dyDescent="0.35">
      <c r="A528" t="s">
        <v>2746</v>
      </c>
      <c r="B528" t="s">
        <v>1484</v>
      </c>
      <c r="C528">
        <v>28</v>
      </c>
      <c r="D528">
        <v>10</v>
      </c>
      <c r="E528">
        <v>0</v>
      </c>
      <c r="F528">
        <v>0</v>
      </c>
      <c r="G528">
        <v>0</v>
      </c>
      <c r="H528">
        <v>38</v>
      </c>
      <c r="I528">
        <v>1</v>
      </c>
    </row>
    <row r="529" spans="1:9" x14ac:dyDescent="0.35">
      <c r="A529" t="s">
        <v>2279</v>
      </c>
      <c r="B529" t="s">
        <v>2164</v>
      </c>
      <c r="C529">
        <v>8</v>
      </c>
      <c r="D529">
        <v>0</v>
      </c>
      <c r="E529">
        <v>0</v>
      </c>
      <c r="F529">
        <v>0</v>
      </c>
      <c r="G529">
        <v>0</v>
      </c>
      <c r="H529">
        <v>8</v>
      </c>
      <c r="I529">
        <v>1</v>
      </c>
    </row>
    <row r="530" spans="1:9" x14ac:dyDescent="0.35">
      <c r="A530" t="s">
        <v>2770</v>
      </c>
      <c r="B530" t="s">
        <v>1722</v>
      </c>
      <c r="C530">
        <v>24</v>
      </c>
      <c r="D530">
        <v>0</v>
      </c>
      <c r="E530">
        <v>0</v>
      </c>
      <c r="F530">
        <v>0</v>
      </c>
      <c r="G530">
        <v>0</v>
      </c>
      <c r="H530">
        <v>24</v>
      </c>
      <c r="I530">
        <v>1</v>
      </c>
    </row>
    <row r="531" spans="1:9" x14ac:dyDescent="0.35">
      <c r="A531" t="s">
        <v>14240</v>
      </c>
      <c r="B531" t="s">
        <v>14241</v>
      </c>
      <c r="C531">
        <v>0</v>
      </c>
      <c r="D531">
        <v>0</v>
      </c>
      <c r="E531">
        <v>0</v>
      </c>
      <c r="F531">
        <v>0</v>
      </c>
      <c r="G531">
        <v>0</v>
      </c>
      <c r="H531">
        <v>0</v>
      </c>
      <c r="I531">
        <v>0</v>
      </c>
    </row>
    <row r="532" spans="1:9" x14ac:dyDescent="0.35">
      <c r="A532" t="s">
        <v>2985</v>
      </c>
      <c r="B532" t="s">
        <v>1194</v>
      </c>
      <c r="C532">
        <v>144</v>
      </c>
      <c r="D532">
        <v>0</v>
      </c>
      <c r="E532">
        <v>0</v>
      </c>
      <c r="F532">
        <v>121</v>
      </c>
      <c r="G532">
        <v>0</v>
      </c>
      <c r="H532">
        <v>265</v>
      </c>
      <c r="I532">
        <v>5</v>
      </c>
    </row>
    <row r="533" spans="1:9" x14ac:dyDescent="0.35">
      <c r="A533" t="s">
        <v>2586</v>
      </c>
      <c r="B533" t="s">
        <v>2165</v>
      </c>
      <c r="C533">
        <v>12</v>
      </c>
      <c r="D533">
        <v>0</v>
      </c>
      <c r="E533">
        <v>0</v>
      </c>
      <c r="F533">
        <v>0</v>
      </c>
      <c r="G533">
        <v>0</v>
      </c>
      <c r="H533">
        <v>12</v>
      </c>
      <c r="I533">
        <v>1</v>
      </c>
    </row>
    <row r="534" spans="1:9" x14ac:dyDescent="0.35">
      <c r="A534" t="s">
        <v>2654</v>
      </c>
      <c r="B534" t="s">
        <v>1485</v>
      </c>
      <c r="C534">
        <v>158</v>
      </c>
      <c r="D534">
        <v>0</v>
      </c>
      <c r="E534">
        <v>0</v>
      </c>
      <c r="F534">
        <v>0</v>
      </c>
      <c r="G534">
        <v>0</v>
      </c>
      <c r="H534">
        <v>158</v>
      </c>
      <c r="I534">
        <v>1</v>
      </c>
    </row>
    <row r="535" spans="1:9" x14ac:dyDescent="0.35">
      <c r="A535" t="s">
        <v>3020</v>
      </c>
      <c r="B535" t="s">
        <v>1486</v>
      </c>
      <c r="C535">
        <v>0</v>
      </c>
      <c r="D535">
        <v>292</v>
      </c>
      <c r="E535">
        <v>0</v>
      </c>
      <c r="F535">
        <v>0</v>
      </c>
      <c r="G535">
        <v>0</v>
      </c>
      <c r="H535">
        <v>292</v>
      </c>
      <c r="I535">
        <v>3</v>
      </c>
    </row>
    <row r="536" spans="1:9" x14ac:dyDescent="0.35">
      <c r="A536" t="s">
        <v>3180</v>
      </c>
      <c r="B536" t="s">
        <v>1487</v>
      </c>
      <c r="C536">
        <v>52</v>
      </c>
      <c r="D536">
        <v>0</v>
      </c>
      <c r="E536">
        <v>0</v>
      </c>
      <c r="F536">
        <v>0</v>
      </c>
      <c r="G536">
        <v>0</v>
      </c>
      <c r="H536">
        <v>52</v>
      </c>
      <c r="I536">
        <v>1</v>
      </c>
    </row>
    <row r="537" spans="1:9" x14ac:dyDescent="0.35">
      <c r="A537" t="s">
        <v>2251</v>
      </c>
      <c r="B537" t="s">
        <v>1195</v>
      </c>
      <c r="C537">
        <v>0</v>
      </c>
      <c r="D537">
        <v>0</v>
      </c>
      <c r="E537">
        <v>413</v>
      </c>
      <c r="F537">
        <v>0</v>
      </c>
      <c r="G537">
        <v>0</v>
      </c>
      <c r="H537">
        <v>413</v>
      </c>
      <c r="I537">
        <v>19</v>
      </c>
    </row>
    <row r="538" spans="1:9" x14ac:dyDescent="0.35">
      <c r="A538" t="s">
        <v>2804</v>
      </c>
      <c r="B538" t="s">
        <v>1723</v>
      </c>
      <c r="C538">
        <v>48</v>
      </c>
      <c r="D538">
        <v>0</v>
      </c>
      <c r="E538">
        <v>0</v>
      </c>
      <c r="F538">
        <v>0</v>
      </c>
      <c r="G538">
        <v>0</v>
      </c>
      <c r="H538">
        <v>48</v>
      </c>
      <c r="I538">
        <v>1</v>
      </c>
    </row>
    <row r="539" spans="1:9" x14ac:dyDescent="0.35">
      <c r="A539" t="s">
        <v>2857</v>
      </c>
      <c r="B539" t="s">
        <v>1488</v>
      </c>
      <c r="C539">
        <v>0</v>
      </c>
      <c r="D539">
        <v>8</v>
      </c>
      <c r="E539">
        <v>0</v>
      </c>
      <c r="F539">
        <v>0</v>
      </c>
      <c r="G539">
        <v>0</v>
      </c>
      <c r="H539">
        <v>8</v>
      </c>
      <c r="I539">
        <v>1</v>
      </c>
    </row>
    <row r="540" spans="1:9" x14ac:dyDescent="0.35">
      <c r="A540" t="s">
        <v>2667</v>
      </c>
      <c r="B540" t="s">
        <v>1724</v>
      </c>
      <c r="C540">
        <v>128</v>
      </c>
      <c r="D540">
        <v>0</v>
      </c>
      <c r="E540">
        <v>0</v>
      </c>
      <c r="F540">
        <v>0</v>
      </c>
      <c r="G540">
        <v>0</v>
      </c>
      <c r="H540">
        <v>128</v>
      </c>
      <c r="I540">
        <v>1</v>
      </c>
    </row>
    <row r="541" spans="1:9" x14ac:dyDescent="0.35">
      <c r="A541" t="s">
        <v>2500</v>
      </c>
      <c r="B541" t="s">
        <v>1489</v>
      </c>
      <c r="C541">
        <v>0</v>
      </c>
      <c r="D541">
        <v>0</v>
      </c>
      <c r="E541">
        <v>0</v>
      </c>
      <c r="F541">
        <v>19</v>
      </c>
      <c r="G541">
        <v>0</v>
      </c>
      <c r="H541">
        <v>19</v>
      </c>
      <c r="I541">
        <v>1</v>
      </c>
    </row>
    <row r="542" spans="1:9" x14ac:dyDescent="0.35">
      <c r="A542" t="s">
        <v>3156</v>
      </c>
      <c r="B542" t="s">
        <v>1725</v>
      </c>
      <c r="C542">
        <v>940</v>
      </c>
      <c r="D542">
        <v>0</v>
      </c>
      <c r="E542">
        <v>0</v>
      </c>
      <c r="F542">
        <v>0</v>
      </c>
      <c r="G542">
        <v>0</v>
      </c>
      <c r="H542">
        <v>940</v>
      </c>
      <c r="I542">
        <v>1</v>
      </c>
    </row>
    <row r="543" spans="1:9" x14ac:dyDescent="0.35">
      <c r="A543" t="s">
        <v>2210</v>
      </c>
      <c r="B543" t="s">
        <v>1641</v>
      </c>
      <c r="C543">
        <v>413</v>
      </c>
      <c r="D543">
        <v>0</v>
      </c>
      <c r="E543">
        <v>319</v>
      </c>
      <c r="F543">
        <v>24</v>
      </c>
      <c r="G543">
        <v>0</v>
      </c>
      <c r="H543">
        <v>756</v>
      </c>
      <c r="I543">
        <v>1</v>
      </c>
    </row>
    <row r="544" spans="1:9" x14ac:dyDescent="0.35">
      <c r="A544" t="s">
        <v>3258</v>
      </c>
      <c r="B544" t="s">
        <v>1726</v>
      </c>
      <c r="C544">
        <v>1467</v>
      </c>
      <c r="D544">
        <v>0</v>
      </c>
      <c r="E544">
        <v>0</v>
      </c>
      <c r="F544">
        <v>76</v>
      </c>
      <c r="G544">
        <v>57</v>
      </c>
      <c r="H544">
        <v>1600</v>
      </c>
      <c r="I544">
        <v>5</v>
      </c>
    </row>
    <row r="545" spans="1:9" x14ac:dyDescent="0.35">
      <c r="A545" t="s">
        <v>3269</v>
      </c>
      <c r="B545" t="s">
        <v>1196</v>
      </c>
      <c r="C545">
        <v>3518</v>
      </c>
      <c r="D545">
        <v>0</v>
      </c>
      <c r="E545">
        <v>212</v>
      </c>
      <c r="F545">
        <v>255</v>
      </c>
      <c r="G545">
        <v>402</v>
      </c>
      <c r="H545">
        <v>4387</v>
      </c>
      <c r="I545">
        <v>6</v>
      </c>
    </row>
    <row r="546" spans="1:9" x14ac:dyDescent="0.35">
      <c r="A546" t="s">
        <v>2986</v>
      </c>
      <c r="B546" t="s">
        <v>2166</v>
      </c>
      <c r="C546">
        <v>244</v>
      </c>
      <c r="D546">
        <v>0</v>
      </c>
      <c r="E546">
        <v>0</v>
      </c>
      <c r="F546">
        <v>219</v>
      </c>
      <c r="G546">
        <v>0</v>
      </c>
      <c r="H546">
        <v>463</v>
      </c>
      <c r="I546">
        <v>1</v>
      </c>
    </row>
    <row r="547" spans="1:9" x14ac:dyDescent="0.35">
      <c r="A547" t="s">
        <v>14242</v>
      </c>
      <c r="B547" t="s">
        <v>14243</v>
      </c>
      <c r="C547">
        <v>411</v>
      </c>
      <c r="D547">
        <v>0</v>
      </c>
      <c r="E547">
        <v>0</v>
      </c>
      <c r="F547">
        <v>0</v>
      </c>
      <c r="G547">
        <v>0</v>
      </c>
      <c r="H547">
        <v>411</v>
      </c>
      <c r="I547">
        <v>23</v>
      </c>
    </row>
    <row r="548" spans="1:9" x14ac:dyDescent="0.35">
      <c r="A548" t="s">
        <v>14244</v>
      </c>
      <c r="B548" t="s">
        <v>14245</v>
      </c>
      <c r="C548">
        <v>0</v>
      </c>
      <c r="D548">
        <v>0</v>
      </c>
      <c r="E548">
        <v>0</v>
      </c>
      <c r="F548">
        <v>0</v>
      </c>
      <c r="G548">
        <v>0</v>
      </c>
      <c r="H548">
        <v>0</v>
      </c>
      <c r="I548">
        <v>0</v>
      </c>
    </row>
    <row r="549" spans="1:9" x14ac:dyDescent="0.35">
      <c r="A549" t="s">
        <v>2410</v>
      </c>
      <c r="B549" t="s">
        <v>1310</v>
      </c>
      <c r="C549">
        <v>509</v>
      </c>
      <c r="D549">
        <v>0</v>
      </c>
      <c r="E549">
        <v>0</v>
      </c>
      <c r="F549">
        <v>0</v>
      </c>
      <c r="G549">
        <v>900</v>
      </c>
      <c r="H549">
        <v>1409</v>
      </c>
      <c r="I549">
        <v>58</v>
      </c>
    </row>
    <row r="550" spans="1:9" x14ac:dyDescent="0.35">
      <c r="A550" t="s">
        <v>14246</v>
      </c>
      <c r="B550" t="s">
        <v>14247</v>
      </c>
      <c r="C550">
        <v>0</v>
      </c>
      <c r="D550">
        <v>0</v>
      </c>
      <c r="E550">
        <v>0</v>
      </c>
      <c r="F550">
        <v>0</v>
      </c>
      <c r="G550">
        <v>0</v>
      </c>
      <c r="H550">
        <v>0</v>
      </c>
      <c r="I550">
        <v>0</v>
      </c>
    </row>
    <row r="551" spans="1:9" x14ac:dyDescent="0.35">
      <c r="A551" t="s">
        <v>14248</v>
      </c>
      <c r="B551" t="s">
        <v>14249</v>
      </c>
      <c r="C551">
        <v>0</v>
      </c>
      <c r="D551">
        <v>0</v>
      </c>
      <c r="E551">
        <v>0</v>
      </c>
      <c r="F551">
        <v>0</v>
      </c>
      <c r="G551">
        <v>0</v>
      </c>
      <c r="H551">
        <v>0</v>
      </c>
      <c r="I551">
        <v>0</v>
      </c>
    </row>
    <row r="552" spans="1:9" x14ac:dyDescent="0.35">
      <c r="A552" t="s">
        <v>2887</v>
      </c>
      <c r="B552" t="s">
        <v>11366</v>
      </c>
      <c r="C552">
        <v>0</v>
      </c>
      <c r="D552">
        <v>0</v>
      </c>
      <c r="E552">
        <v>103</v>
      </c>
      <c r="F552">
        <v>0</v>
      </c>
      <c r="G552">
        <v>0</v>
      </c>
      <c r="H552">
        <v>103</v>
      </c>
      <c r="I552">
        <v>1</v>
      </c>
    </row>
    <row r="553" spans="1:9" x14ac:dyDescent="0.35">
      <c r="A553" t="s">
        <v>2504</v>
      </c>
      <c r="B553" t="s">
        <v>2087</v>
      </c>
      <c r="C553">
        <v>0</v>
      </c>
      <c r="D553">
        <v>0</v>
      </c>
      <c r="E553">
        <v>0</v>
      </c>
      <c r="F553">
        <v>183</v>
      </c>
      <c r="G553">
        <v>0</v>
      </c>
      <c r="H553">
        <v>183</v>
      </c>
      <c r="I553">
        <v>1</v>
      </c>
    </row>
    <row r="554" spans="1:9" x14ac:dyDescent="0.35">
      <c r="A554" t="s">
        <v>2731</v>
      </c>
      <c r="B554" t="s">
        <v>11403</v>
      </c>
      <c r="C554">
        <v>40</v>
      </c>
      <c r="D554">
        <v>0</v>
      </c>
      <c r="E554">
        <v>0</v>
      </c>
      <c r="F554">
        <v>0</v>
      </c>
      <c r="G554">
        <v>0</v>
      </c>
      <c r="H554">
        <v>40</v>
      </c>
      <c r="I554">
        <v>1</v>
      </c>
    </row>
    <row r="555" spans="1:9" x14ac:dyDescent="0.35">
      <c r="A555" t="s">
        <v>2382</v>
      </c>
      <c r="B555" t="s">
        <v>1197</v>
      </c>
      <c r="C555">
        <v>0</v>
      </c>
      <c r="D555">
        <v>0</v>
      </c>
      <c r="E555">
        <v>81</v>
      </c>
      <c r="F555">
        <v>0</v>
      </c>
      <c r="G555">
        <v>0</v>
      </c>
      <c r="H555">
        <v>81</v>
      </c>
      <c r="I555">
        <v>12</v>
      </c>
    </row>
    <row r="556" spans="1:9" x14ac:dyDescent="0.35">
      <c r="A556" t="s">
        <v>2664</v>
      </c>
      <c r="B556" t="s">
        <v>1490</v>
      </c>
      <c r="C556">
        <v>46</v>
      </c>
      <c r="D556">
        <v>1</v>
      </c>
      <c r="E556">
        <v>0</v>
      </c>
      <c r="F556">
        <v>0</v>
      </c>
      <c r="G556">
        <v>0</v>
      </c>
      <c r="H556">
        <v>47</v>
      </c>
      <c r="I556">
        <v>1</v>
      </c>
    </row>
    <row r="557" spans="1:9" x14ac:dyDescent="0.35">
      <c r="A557" t="s">
        <v>2783</v>
      </c>
      <c r="B557" t="s">
        <v>1491</v>
      </c>
      <c r="C557">
        <v>12</v>
      </c>
      <c r="D557">
        <v>0</v>
      </c>
      <c r="E557">
        <v>0</v>
      </c>
      <c r="F557">
        <v>0</v>
      </c>
      <c r="G557">
        <v>0</v>
      </c>
      <c r="H557">
        <v>12</v>
      </c>
      <c r="I557">
        <v>1</v>
      </c>
    </row>
    <row r="558" spans="1:9" x14ac:dyDescent="0.35">
      <c r="A558" t="s">
        <v>2570</v>
      </c>
      <c r="B558" t="s">
        <v>1727</v>
      </c>
      <c r="C558">
        <v>0</v>
      </c>
      <c r="D558">
        <v>0</v>
      </c>
      <c r="E558">
        <v>0</v>
      </c>
      <c r="F558">
        <v>8</v>
      </c>
      <c r="G558">
        <v>0</v>
      </c>
      <c r="H558">
        <v>8</v>
      </c>
      <c r="I558">
        <v>1</v>
      </c>
    </row>
    <row r="559" spans="1:9" x14ac:dyDescent="0.35">
      <c r="A559" t="s">
        <v>2328</v>
      </c>
      <c r="B559" t="s">
        <v>1198</v>
      </c>
      <c r="C559">
        <v>0</v>
      </c>
      <c r="D559">
        <v>0</v>
      </c>
      <c r="E559">
        <v>31</v>
      </c>
      <c r="F559">
        <v>0</v>
      </c>
      <c r="G559">
        <v>0</v>
      </c>
      <c r="H559">
        <v>31</v>
      </c>
      <c r="I559">
        <v>1</v>
      </c>
    </row>
    <row r="560" spans="1:9" x14ac:dyDescent="0.35">
      <c r="A560" t="s">
        <v>2395</v>
      </c>
      <c r="B560" t="s">
        <v>1199</v>
      </c>
      <c r="C560">
        <v>10053</v>
      </c>
      <c r="D560">
        <v>8</v>
      </c>
      <c r="E560">
        <v>20</v>
      </c>
      <c r="F560">
        <v>1702</v>
      </c>
      <c r="G560">
        <v>329</v>
      </c>
      <c r="H560">
        <v>12112</v>
      </c>
      <c r="I560">
        <v>6</v>
      </c>
    </row>
    <row r="561" spans="1:9" x14ac:dyDescent="0.35">
      <c r="A561" t="s">
        <v>3122</v>
      </c>
      <c r="B561" t="s">
        <v>1200</v>
      </c>
      <c r="C561">
        <v>403</v>
      </c>
      <c r="D561">
        <v>0</v>
      </c>
      <c r="E561">
        <v>0</v>
      </c>
      <c r="F561">
        <v>0</v>
      </c>
      <c r="G561">
        <v>0</v>
      </c>
      <c r="H561">
        <v>403</v>
      </c>
      <c r="I561">
        <v>9</v>
      </c>
    </row>
    <row r="562" spans="1:9" x14ac:dyDescent="0.35">
      <c r="A562" t="s">
        <v>2892</v>
      </c>
      <c r="B562" t="s">
        <v>1201</v>
      </c>
      <c r="C562">
        <v>0</v>
      </c>
      <c r="D562">
        <v>0</v>
      </c>
      <c r="E562">
        <v>151</v>
      </c>
      <c r="F562">
        <v>0</v>
      </c>
      <c r="G562">
        <v>0</v>
      </c>
      <c r="H562">
        <v>151</v>
      </c>
      <c r="I562">
        <v>1</v>
      </c>
    </row>
    <row r="563" spans="1:9" x14ac:dyDescent="0.35">
      <c r="A563" t="s">
        <v>14250</v>
      </c>
      <c r="B563" t="s">
        <v>14251</v>
      </c>
      <c r="C563">
        <v>0</v>
      </c>
      <c r="D563">
        <v>0</v>
      </c>
      <c r="E563">
        <v>0</v>
      </c>
      <c r="F563">
        <v>0</v>
      </c>
      <c r="G563">
        <v>0</v>
      </c>
      <c r="H563">
        <v>0</v>
      </c>
      <c r="I563">
        <v>0</v>
      </c>
    </row>
    <row r="564" spans="1:9" x14ac:dyDescent="0.35">
      <c r="A564" t="s">
        <v>14252</v>
      </c>
      <c r="B564" t="s">
        <v>14253</v>
      </c>
      <c r="C564">
        <v>0</v>
      </c>
      <c r="D564">
        <v>0</v>
      </c>
      <c r="E564">
        <v>0</v>
      </c>
      <c r="F564">
        <v>0</v>
      </c>
      <c r="G564">
        <v>0</v>
      </c>
      <c r="H564">
        <v>0</v>
      </c>
      <c r="I564">
        <v>0</v>
      </c>
    </row>
    <row r="565" spans="1:9" x14ac:dyDescent="0.35">
      <c r="A565" t="s">
        <v>3043</v>
      </c>
      <c r="B565" t="s">
        <v>1858</v>
      </c>
      <c r="C565">
        <v>2</v>
      </c>
      <c r="D565">
        <v>0</v>
      </c>
      <c r="E565">
        <v>4</v>
      </c>
      <c r="F565">
        <v>87</v>
      </c>
      <c r="G565">
        <v>0</v>
      </c>
      <c r="H565">
        <v>93</v>
      </c>
      <c r="I565">
        <v>1</v>
      </c>
    </row>
    <row r="566" spans="1:9" x14ac:dyDescent="0.35">
      <c r="A566" t="s">
        <v>2702</v>
      </c>
      <c r="B566" t="s">
        <v>1728</v>
      </c>
      <c r="C566">
        <v>51</v>
      </c>
      <c r="D566">
        <v>0</v>
      </c>
      <c r="E566">
        <v>0</v>
      </c>
      <c r="F566">
        <v>0</v>
      </c>
      <c r="G566">
        <v>0</v>
      </c>
      <c r="H566">
        <v>51</v>
      </c>
      <c r="I566">
        <v>2</v>
      </c>
    </row>
    <row r="567" spans="1:9" x14ac:dyDescent="0.35">
      <c r="A567" t="s">
        <v>2961</v>
      </c>
      <c r="B567" t="s">
        <v>1729</v>
      </c>
      <c r="C567">
        <v>40</v>
      </c>
      <c r="D567">
        <v>0</v>
      </c>
      <c r="E567">
        <v>0</v>
      </c>
      <c r="F567">
        <v>166</v>
      </c>
      <c r="G567">
        <v>0</v>
      </c>
      <c r="H567">
        <v>206</v>
      </c>
      <c r="I567">
        <v>1</v>
      </c>
    </row>
    <row r="568" spans="1:9" x14ac:dyDescent="0.35">
      <c r="A568" t="s">
        <v>2392</v>
      </c>
      <c r="B568" t="s">
        <v>1111</v>
      </c>
      <c r="C568">
        <v>28166</v>
      </c>
      <c r="D568">
        <v>3</v>
      </c>
      <c r="E568">
        <v>1414</v>
      </c>
      <c r="F568">
        <v>1902</v>
      </c>
      <c r="G568">
        <v>4638</v>
      </c>
      <c r="H568">
        <v>36123</v>
      </c>
      <c r="I568">
        <v>33</v>
      </c>
    </row>
    <row r="569" spans="1:9" x14ac:dyDescent="0.35">
      <c r="A569" t="s">
        <v>3225</v>
      </c>
      <c r="B569" t="s">
        <v>1642</v>
      </c>
      <c r="C569">
        <v>8626</v>
      </c>
      <c r="D569">
        <v>0</v>
      </c>
      <c r="E569">
        <v>0</v>
      </c>
      <c r="F569">
        <v>0</v>
      </c>
      <c r="G569">
        <v>15</v>
      </c>
      <c r="H569">
        <v>8641</v>
      </c>
      <c r="I569">
        <v>3</v>
      </c>
    </row>
    <row r="570" spans="1:9" x14ac:dyDescent="0.35">
      <c r="A570" t="s">
        <v>3351</v>
      </c>
      <c r="B570" t="s">
        <v>1730</v>
      </c>
      <c r="C570">
        <v>11960</v>
      </c>
      <c r="D570">
        <v>4</v>
      </c>
      <c r="E570">
        <v>37</v>
      </c>
      <c r="F570">
        <v>739</v>
      </c>
      <c r="G570">
        <v>226</v>
      </c>
      <c r="H570">
        <v>12966</v>
      </c>
      <c r="I570">
        <v>5</v>
      </c>
    </row>
    <row r="571" spans="1:9" x14ac:dyDescent="0.35">
      <c r="A571" t="s">
        <v>3361</v>
      </c>
      <c r="B571" t="s">
        <v>1311</v>
      </c>
      <c r="C571">
        <v>1305</v>
      </c>
      <c r="D571">
        <v>0</v>
      </c>
      <c r="E571">
        <v>0</v>
      </c>
      <c r="F571">
        <v>0</v>
      </c>
      <c r="G571">
        <v>0</v>
      </c>
      <c r="H571">
        <v>1305</v>
      </c>
      <c r="I571">
        <v>19</v>
      </c>
    </row>
    <row r="572" spans="1:9" x14ac:dyDescent="0.35">
      <c r="A572" t="s">
        <v>2874</v>
      </c>
      <c r="B572" t="s">
        <v>1990</v>
      </c>
      <c r="C572">
        <v>0</v>
      </c>
      <c r="D572">
        <v>0</v>
      </c>
      <c r="E572">
        <v>0</v>
      </c>
      <c r="F572">
        <v>34</v>
      </c>
      <c r="G572">
        <v>0</v>
      </c>
      <c r="H572">
        <v>34</v>
      </c>
      <c r="I572">
        <v>1</v>
      </c>
    </row>
    <row r="573" spans="1:9" x14ac:dyDescent="0.35">
      <c r="A573" t="s">
        <v>2353</v>
      </c>
      <c r="B573" t="s">
        <v>1859</v>
      </c>
      <c r="C573">
        <v>38</v>
      </c>
      <c r="D573">
        <v>0</v>
      </c>
      <c r="E573">
        <v>63</v>
      </c>
      <c r="F573">
        <v>0</v>
      </c>
      <c r="G573">
        <v>0</v>
      </c>
      <c r="H573">
        <v>101</v>
      </c>
      <c r="I573">
        <v>1</v>
      </c>
    </row>
    <row r="574" spans="1:9" x14ac:dyDescent="0.35">
      <c r="A574" t="s">
        <v>2652</v>
      </c>
      <c r="B574" t="s">
        <v>1731</v>
      </c>
      <c r="C574">
        <v>213</v>
      </c>
      <c r="D574">
        <v>0</v>
      </c>
      <c r="E574">
        <v>0</v>
      </c>
      <c r="F574">
        <v>0</v>
      </c>
      <c r="G574">
        <v>0</v>
      </c>
      <c r="H574">
        <v>213</v>
      </c>
      <c r="I574">
        <v>1</v>
      </c>
    </row>
    <row r="575" spans="1:9" x14ac:dyDescent="0.35">
      <c r="A575" t="s">
        <v>3217</v>
      </c>
      <c r="B575" t="s">
        <v>1202</v>
      </c>
      <c r="C575">
        <v>61057</v>
      </c>
      <c r="D575">
        <v>24</v>
      </c>
      <c r="E575">
        <v>2436</v>
      </c>
      <c r="F575">
        <v>2584</v>
      </c>
      <c r="G575">
        <v>12357</v>
      </c>
      <c r="H575">
        <v>78458</v>
      </c>
      <c r="I575">
        <v>128</v>
      </c>
    </row>
    <row r="576" spans="1:9" x14ac:dyDescent="0.35">
      <c r="A576" t="s">
        <v>3354</v>
      </c>
      <c r="B576" t="s">
        <v>1492</v>
      </c>
      <c r="C576">
        <v>0</v>
      </c>
      <c r="D576">
        <v>0</v>
      </c>
      <c r="E576">
        <v>86</v>
      </c>
      <c r="F576">
        <v>0</v>
      </c>
      <c r="G576">
        <v>0</v>
      </c>
      <c r="H576">
        <v>86</v>
      </c>
      <c r="I576">
        <v>5</v>
      </c>
    </row>
    <row r="577" spans="1:9" x14ac:dyDescent="0.35">
      <c r="A577" t="s">
        <v>3170</v>
      </c>
      <c r="B577" t="s">
        <v>1203</v>
      </c>
      <c r="C577">
        <v>17820</v>
      </c>
      <c r="D577">
        <v>0</v>
      </c>
      <c r="E577">
        <v>535</v>
      </c>
      <c r="F577">
        <v>1339</v>
      </c>
      <c r="G577">
        <v>2324</v>
      </c>
      <c r="H577">
        <v>22018</v>
      </c>
      <c r="I577">
        <v>43</v>
      </c>
    </row>
    <row r="578" spans="1:9" x14ac:dyDescent="0.35">
      <c r="A578" t="s">
        <v>2734</v>
      </c>
      <c r="B578" t="s">
        <v>1493</v>
      </c>
      <c r="C578">
        <v>64</v>
      </c>
      <c r="D578">
        <v>0</v>
      </c>
      <c r="E578">
        <v>0</v>
      </c>
      <c r="F578">
        <v>0</v>
      </c>
      <c r="G578">
        <v>0</v>
      </c>
      <c r="H578">
        <v>64</v>
      </c>
      <c r="I578">
        <v>1</v>
      </c>
    </row>
    <row r="579" spans="1:9" x14ac:dyDescent="0.35">
      <c r="A579" t="s">
        <v>3235</v>
      </c>
      <c r="B579" t="s">
        <v>1494</v>
      </c>
      <c r="C579">
        <v>26</v>
      </c>
      <c r="D579">
        <v>0</v>
      </c>
      <c r="E579">
        <v>1143</v>
      </c>
      <c r="F579">
        <v>0</v>
      </c>
      <c r="G579">
        <v>0</v>
      </c>
      <c r="H579">
        <v>1169</v>
      </c>
      <c r="I579">
        <v>20</v>
      </c>
    </row>
    <row r="580" spans="1:9" x14ac:dyDescent="0.35">
      <c r="A580" t="s">
        <v>2497</v>
      </c>
      <c r="B580" t="s">
        <v>1860</v>
      </c>
      <c r="C580">
        <v>0</v>
      </c>
      <c r="D580">
        <v>0</v>
      </c>
      <c r="E580">
        <v>0</v>
      </c>
      <c r="F580">
        <v>8</v>
      </c>
      <c r="G580">
        <v>0</v>
      </c>
      <c r="H580">
        <v>8</v>
      </c>
      <c r="I580">
        <v>1</v>
      </c>
    </row>
    <row r="581" spans="1:9" x14ac:dyDescent="0.35">
      <c r="A581" t="s">
        <v>14254</v>
      </c>
      <c r="B581" t="s">
        <v>14255</v>
      </c>
      <c r="C581">
        <v>0</v>
      </c>
      <c r="D581">
        <v>0</v>
      </c>
      <c r="E581">
        <v>0</v>
      </c>
      <c r="F581">
        <v>0</v>
      </c>
      <c r="G581">
        <v>0</v>
      </c>
      <c r="H581">
        <v>0</v>
      </c>
      <c r="I581">
        <v>0</v>
      </c>
    </row>
    <row r="582" spans="1:9" x14ac:dyDescent="0.35">
      <c r="A582" t="s">
        <v>11455</v>
      </c>
      <c r="B582" t="s">
        <v>11404</v>
      </c>
      <c r="C582">
        <v>27</v>
      </c>
      <c r="D582">
        <v>0</v>
      </c>
      <c r="E582">
        <v>0</v>
      </c>
      <c r="F582">
        <v>0</v>
      </c>
      <c r="G582">
        <v>0</v>
      </c>
      <c r="H582">
        <v>27</v>
      </c>
      <c r="I582">
        <v>1</v>
      </c>
    </row>
    <row r="583" spans="1:9" x14ac:dyDescent="0.35">
      <c r="A583" t="s">
        <v>3132</v>
      </c>
      <c r="B583" t="s">
        <v>1732</v>
      </c>
      <c r="C583">
        <v>102</v>
      </c>
      <c r="D583">
        <v>0</v>
      </c>
      <c r="E583">
        <v>0</v>
      </c>
      <c r="F583">
        <v>0</v>
      </c>
      <c r="G583">
        <v>0</v>
      </c>
      <c r="H583">
        <v>102</v>
      </c>
      <c r="I583">
        <v>3</v>
      </c>
    </row>
    <row r="584" spans="1:9" x14ac:dyDescent="0.35">
      <c r="A584" t="s">
        <v>3059</v>
      </c>
      <c r="B584" t="s">
        <v>11374</v>
      </c>
      <c r="C584">
        <v>365</v>
      </c>
      <c r="D584">
        <v>0</v>
      </c>
      <c r="E584">
        <v>135</v>
      </c>
      <c r="F584">
        <v>28</v>
      </c>
      <c r="G584">
        <v>0</v>
      </c>
      <c r="H584">
        <v>528</v>
      </c>
      <c r="I584">
        <v>2</v>
      </c>
    </row>
    <row r="585" spans="1:9" x14ac:dyDescent="0.35">
      <c r="A585" t="s">
        <v>3189</v>
      </c>
      <c r="B585" t="s">
        <v>2088</v>
      </c>
      <c r="C585">
        <v>200</v>
      </c>
      <c r="D585">
        <v>0</v>
      </c>
      <c r="E585">
        <v>0</v>
      </c>
      <c r="F585">
        <v>0</v>
      </c>
      <c r="G585">
        <v>0</v>
      </c>
      <c r="H585">
        <v>200</v>
      </c>
      <c r="I585">
        <v>1</v>
      </c>
    </row>
    <row r="586" spans="1:9" x14ac:dyDescent="0.35">
      <c r="A586" t="s">
        <v>2826</v>
      </c>
      <c r="B586" t="s">
        <v>1861</v>
      </c>
      <c r="C586">
        <v>17</v>
      </c>
      <c r="D586">
        <v>0</v>
      </c>
      <c r="E586">
        <v>0</v>
      </c>
      <c r="F586">
        <v>0</v>
      </c>
      <c r="G586">
        <v>0</v>
      </c>
      <c r="H586">
        <v>17</v>
      </c>
      <c r="I586">
        <v>1</v>
      </c>
    </row>
    <row r="587" spans="1:9" x14ac:dyDescent="0.35">
      <c r="A587" t="s">
        <v>2209</v>
      </c>
      <c r="B587" t="s">
        <v>1733</v>
      </c>
      <c r="C587">
        <v>10</v>
      </c>
      <c r="D587">
        <v>0</v>
      </c>
      <c r="E587">
        <v>0</v>
      </c>
      <c r="F587">
        <v>0</v>
      </c>
      <c r="G587">
        <v>0</v>
      </c>
      <c r="H587">
        <v>10</v>
      </c>
      <c r="I587">
        <v>1</v>
      </c>
    </row>
    <row r="588" spans="1:9" x14ac:dyDescent="0.35">
      <c r="A588" t="s">
        <v>14256</v>
      </c>
      <c r="B588" t="s">
        <v>14257</v>
      </c>
      <c r="C588">
        <v>0</v>
      </c>
      <c r="D588">
        <v>0</v>
      </c>
      <c r="E588">
        <v>0</v>
      </c>
      <c r="F588">
        <v>0</v>
      </c>
      <c r="G588">
        <v>0</v>
      </c>
      <c r="H588">
        <v>0</v>
      </c>
      <c r="I588">
        <v>0</v>
      </c>
    </row>
    <row r="589" spans="1:9" x14ac:dyDescent="0.35">
      <c r="A589" t="s">
        <v>3191</v>
      </c>
      <c r="B589" t="s">
        <v>1734</v>
      </c>
      <c r="C589">
        <v>10805</v>
      </c>
      <c r="D589">
        <v>0</v>
      </c>
      <c r="E589">
        <v>47</v>
      </c>
      <c r="F589">
        <v>1735</v>
      </c>
      <c r="G589">
        <v>46</v>
      </c>
      <c r="H589">
        <v>12633</v>
      </c>
      <c r="I589">
        <v>3</v>
      </c>
    </row>
    <row r="590" spans="1:9" x14ac:dyDescent="0.35">
      <c r="A590" t="s">
        <v>2364</v>
      </c>
      <c r="B590" t="s">
        <v>1991</v>
      </c>
      <c r="C590">
        <v>6089</v>
      </c>
      <c r="D590">
        <v>0</v>
      </c>
      <c r="E590">
        <v>213</v>
      </c>
      <c r="F590">
        <v>1843</v>
      </c>
      <c r="G590">
        <v>230</v>
      </c>
      <c r="H590">
        <v>8375</v>
      </c>
      <c r="I590">
        <v>6</v>
      </c>
    </row>
    <row r="591" spans="1:9" x14ac:dyDescent="0.35">
      <c r="A591" t="s">
        <v>2214</v>
      </c>
      <c r="B591" t="s">
        <v>1495</v>
      </c>
      <c r="C591">
        <v>7</v>
      </c>
      <c r="D591">
        <v>0</v>
      </c>
      <c r="E591">
        <v>0</v>
      </c>
      <c r="F591">
        <v>0</v>
      </c>
      <c r="G591">
        <v>0</v>
      </c>
      <c r="H591">
        <v>7</v>
      </c>
      <c r="I591">
        <v>1</v>
      </c>
    </row>
    <row r="592" spans="1:9" x14ac:dyDescent="0.35">
      <c r="A592" t="s">
        <v>3065</v>
      </c>
      <c r="B592" t="s">
        <v>1312</v>
      </c>
      <c r="C592">
        <v>0</v>
      </c>
      <c r="D592">
        <v>0</v>
      </c>
      <c r="E592">
        <v>0</v>
      </c>
      <c r="F592">
        <v>57</v>
      </c>
      <c r="G592">
        <v>0</v>
      </c>
      <c r="H592">
        <v>57</v>
      </c>
      <c r="I592">
        <v>1</v>
      </c>
    </row>
    <row r="593" spans="1:9" x14ac:dyDescent="0.35">
      <c r="A593" t="s">
        <v>2311</v>
      </c>
      <c r="B593" t="s">
        <v>1862</v>
      </c>
      <c r="C593">
        <v>3</v>
      </c>
      <c r="D593">
        <v>0</v>
      </c>
      <c r="E593">
        <v>0</v>
      </c>
      <c r="F593">
        <v>0</v>
      </c>
      <c r="G593">
        <v>0</v>
      </c>
      <c r="H593">
        <v>3</v>
      </c>
      <c r="I593">
        <v>2</v>
      </c>
    </row>
    <row r="594" spans="1:9" x14ac:dyDescent="0.35">
      <c r="A594" t="s">
        <v>3072</v>
      </c>
      <c r="B594" t="s">
        <v>1735</v>
      </c>
      <c r="C594">
        <v>9</v>
      </c>
      <c r="D594">
        <v>0</v>
      </c>
      <c r="E594">
        <v>5</v>
      </c>
      <c r="F594">
        <v>86</v>
      </c>
      <c r="G594">
        <v>0</v>
      </c>
      <c r="H594">
        <v>100</v>
      </c>
      <c r="I594">
        <v>4</v>
      </c>
    </row>
    <row r="595" spans="1:9" x14ac:dyDescent="0.35">
      <c r="A595" t="s">
        <v>2984</v>
      </c>
      <c r="B595" t="s">
        <v>1736</v>
      </c>
      <c r="C595">
        <v>51</v>
      </c>
      <c r="D595">
        <v>0</v>
      </c>
      <c r="E595">
        <v>0</v>
      </c>
      <c r="F595">
        <v>0</v>
      </c>
      <c r="G595">
        <v>0</v>
      </c>
      <c r="H595">
        <v>51</v>
      </c>
      <c r="I595">
        <v>1</v>
      </c>
    </row>
    <row r="596" spans="1:9" x14ac:dyDescent="0.35">
      <c r="A596" t="s">
        <v>3126</v>
      </c>
      <c r="B596" t="s">
        <v>2167</v>
      </c>
      <c r="C596">
        <v>1348</v>
      </c>
      <c r="D596">
        <v>0</v>
      </c>
      <c r="E596">
        <v>0</v>
      </c>
      <c r="F596">
        <v>0</v>
      </c>
      <c r="G596">
        <v>46</v>
      </c>
      <c r="H596">
        <v>1394</v>
      </c>
      <c r="I596">
        <v>2</v>
      </c>
    </row>
    <row r="597" spans="1:9" x14ac:dyDescent="0.35">
      <c r="A597" t="s">
        <v>3266</v>
      </c>
      <c r="B597" t="s">
        <v>1204</v>
      </c>
      <c r="C597">
        <v>0</v>
      </c>
      <c r="D597">
        <v>0</v>
      </c>
      <c r="E597">
        <v>0</v>
      </c>
      <c r="F597">
        <v>110</v>
      </c>
      <c r="G597">
        <v>0</v>
      </c>
      <c r="H597">
        <v>110</v>
      </c>
      <c r="I597">
        <v>1</v>
      </c>
    </row>
    <row r="598" spans="1:9" x14ac:dyDescent="0.35">
      <c r="A598" t="s">
        <v>2597</v>
      </c>
      <c r="B598" t="s">
        <v>2089</v>
      </c>
      <c r="C598">
        <v>2</v>
      </c>
      <c r="D598">
        <v>0</v>
      </c>
      <c r="E598">
        <v>0</v>
      </c>
      <c r="F598">
        <v>0</v>
      </c>
      <c r="G598">
        <v>0</v>
      </c>
      <c r="H598">
        <v>2</v>
      </c>
      <c r="I598">
        <v>1</v>
      </c>
    </row>
    <row r="599" spans="1:9" x14ac:dyDescent="0.35">
      <c r="A599" t="s">
        <v>2572</v>
      </c>
      <c r="B599" t="s">
        <v>11413</v>
      </c>
      <c r="C599">
        <v>0</v>
      </c>
      <c r="D599">
        <v>0</v>
      </c>
      <c r="E599">
        <v>0</v>
      </c>
      <c r="F599">
        <v>4</v>
      </c>
      <c r="G599">
        <v>0</v>
      </c>
      <c r="H599">
        <v>4</v>
      </c>
      <c r="I599">
        <v>1</v>
      </c>
    </row>
    <row r="600" spans="1:9" x14ac:dyDescent="0.35">
      <c r="A600" t="s">
        <v>3034</v>
      </c>
      <c r="B600" t="s">
        <v>1992</v>
      </c>
      <c r="C600">
        <v>0</v>
      </c>
      <c r="D600">
        <v>0</v>
      </c>
      <c r="E600">
        <v>0</v>
      </c>
      <c r="F600">
        <v>16</v>
      </c>
      <c r="G600">
        <v>0</v>
      </c>
      <c r="H600">
        <v>16</v>
      </c>
      <c r="I600">
        <v>1</v>
      </c>
    </row>
    <row r="601" spans="1:9" x14ac:dyDescent="0.35">
      <c r="A601" t="s">
        <v>2607</v>
      </c>
      <c r="B601" t="s">
        <v>2168</v>
      </c>
      <c r="C601">
        <v>0</v>
      </c>
      <c r="D601">
        <v>0</v>
      </c>
      <c r="E601">
        <v>0</v>
      </c>
      <c r="F601">
        <v>6</v>
      </c>
      <c r="G601">
        <v>0</v>
      </c>
      <c r="H601">
        <v>6</v>
      </c>
      <c r="I601">
        <v>1</v>
      </c>
    </row>
    <row r="602" spans="1:9" x14ac:dyDescent="0.35">
      <c r="A602" t="s">
        <v>2437</v>
      </c>
      <c r="B602" t="s">
        <v>1993</v>
      </c>
      <c r="C602">
        <v>8</v>
      </c>
      <c r="D602">
        <v>0</v>
      </c>
      <c r="E602">
        <v>0</v>
      </c>
      <c r="F602">
        <v>0</v>
      </c>
      <c r="G602">
        <v>0</v>
      </c>
      <c r="H602">
        <v>8</v>
      </c>
      <c r="I602">
        <v>1</v>
      </c>
    </row>
    <row r="603" spans="1:9" x14ac:dyDescent="0.35">
      <c r="A603" t="s">
        <v>3173</v>
      </c>
      <c r="B603" t="s">
        <v>1863</v>
      </c>
      <c r="C603">
        <v>5576</v>
      </c>
      <c r="D603">
        <v>0</v>
      </c>
      <c r="E603">
        <v>49</v>
      </c>
      <c r="F603">
        <v>393</v>
      </c>
      <c r="G603">
        <v>227</v>
      </c>
      <c r="H603">
        <v>6245</v>
      </c>
      <c r="I603">
        <v>9</v>
      </c>
    </row>
    <row r="604" spans="1:9" x14ac:dyDescent="0.35">
      <c r="A604" t="s">
        <v>2628</v>
      </c>
      <c r="B604" t="s">
        <v>1737</v>
      </c>
      <c r="C604">
        <v>6</v>
      </c>
      <c r="D604">
        <v>0</v>
      </c>
      <c r="E604">
        <v>0</v>
      </c>
      <c r="F604">
        <v>0</v>
      </c>
      <c r="G604">
        <v>0</v>
      </c>
      <c r="H604">
        <v>6</v>
      </c>
      <c r="I604">
        <v>1</v>
      </c>
    </row>
    <row r="605" spans="1:9" x14ac:dyDescent="0.35">
      <c r="A605" t="s">
        <v>2996</v>
      </c>
      <c r="B605" t="s">
        <v>1205</v>
      </c>
      <c r="C605">
        <v>0</v>
      </c>
      <c r="D605">
        <v>0</v>
      </c>
      <c r="E605">
        <v>0</v>
      </c>
      <c r="F605">
        <v>191</v>
      </c>
      <c r="G605">
        <v>0</v>
      </c>
      <c r="H605">
        <v>191</v>
      </c>
      <c r="I605">
        <v>5</v>
      </c>
    </row>
    <row r="606" spans="1:9" x14ac:dyDescent="0.35">
      <c r="A606" t="s">
        <v>2768</v>
      </c>
      <c r="B606" t="s">
        <v>1496</v>
      </c>
      <c r="C606">
        <v>18</v>
      </c>
      <c r="D606">
        <v>0</v>
      </c>
      <c r="E606">
        <v>0</v>
      </c>
      <c r="F606">
        <v>0</v>
      </c>
      <c r="G606">
        <v>0</v>
      </c>
      <c r="H606">
        <v>18</v>
      </c>
      <c r="I606">
        <v>1</v>
      </c>
    </row>
    <row r="607" spans="1:9" x14ac:dyDescent="0.35">
      <c r="A607" t="s">
        <v>2676</v>
      </c>
      <c r="B607" t="s">
        <v>1206</v>
      </c>
      <c r="C607">
        <v>117</v>
      </c>
      <c r="D607">
        <v>0</v>
      </c>
      <c r="E607">
        <v>0</v>
      </c>
      <c r="F607">
        <v>0</v>
      </c>
      <c r="G607">
        <v>0</v>
      </c>
      <c r="H607">
        <v>117</v>
      </c>
      <c r="I607">
        <v>1</v>
      </c>
    </row>
    <row r="608" spans="1:9" x14ac:dyDescent="0.35">
      <c r="A608" t="s">
        <v>14258</v>
      </c>
      <c r="B608" t="s">
        <v>14259</v>
      </c>
      <c r="C608">
        <v>0</v>
      </c>
      <c r="D608">
        <v>0</v>
      </c>
      <c r="E608">
        <v>0</v>
      </c>
      <c r="F608">
        <v>0</v>
      </c>
      <c r="G608">
        <v>0</v>
      </c>
      <c r="H608">
        <v>0</v>
      </c>
      <c r="I608">
        <v>0</v>
      </c>
    </row>
    <row r="609" spans="1:9" x14ac:dyDescent="0.35">
      <c r="A609" t="s">
        <v>3206</v>
      </c>
      <c r="B609" t="s">
        <v>1994</v>
      </c>
      <c r="C609">
        <v>9976</v>
      </c>
      <c r="D609">
        <v>0</v>
      </c>
      <c r="E609">
        <v>74</v>
      </c>
      <c r="F609">
        <v>1737</v>
      </c>
      <c r="G609">
        <v>469</v>
      </c>
      <c r="H609">
        <v>12256</v>
      </c>
      <c r="I609">
        <v>12</v>
      </c>
    </row>
    <row r="610" spans="1:9" x14ac:dyDescent="0.35">
      <c r="A610" t="s">
        <v>3045</v>
      </c>
      <c r="B610" t="s">
        <v>1313</v>
      </c>
      <c r="C610">
        <v>0</v>
      </c>
      <c r="D610">
        <v>0</v>
      </c>
      <c r="E610">
        <v>0</v>
      </c>
      <c r="F610">
        <v>42</v>
      </c>
      <c r="G610">
        <v>0</v>
      </c>
      <c r="H610">
        <v>42</v>
      </c>
      <c r="I610">
        <v>1</v>
      </c>
    </row>
    <row r="611" spans="1:9" x14ac:dyDescent="0.35">
      <c r="A611" t="s">
        <v>3290</v>
      </c>
      <c r="B611" t="s">
        <v>1497</v>
      </c>
      <c r="C611">
        <v>0</v>
      </c>
      <c r="D611">
        <v>0</v>
      </c>
      <c r="E611">
        <v>0</v>
      </c>
      <c r="F611">
        <v>671</v>
      </c>
      <c r="G611">
        <v>0</v>
      </c>
      <c r="H611">
        <v>671</v>
      </c>
      <c r="I611">
        <v>17</v>
      </c>
    </row>
    <row r="612" spans="1:9" x14ac:dyDescent="0.35">
      <c r="A612" t="s">
        <v>3008</v>
      </c>
      <c r="B612" t="s">
        <v>1112</v>
      </c>
      <c r="C612">
        <v>30219</v>
      </c>
      <c r="D612">
        <v>11</v>
      </c>
      <c r="E612">
        <v>2034</v>
      </c>
      <c r="F612">
        <v>3197</v>
      </c>
      <c r="G612">
        <v>8457</v>
      </c>
      <c r="H612">
        <v>43918</v>
      </c>
      <c r="I612">
        <v>128</v>
      </c>
    </row>
    <row r="613" spans="1:9" x14ac:dyDescent="0.35">
      <c r="A613" t="s">
        <v>3202</v>
      </c>
      <c r="B613" t="s">
        <v>1207</v>
      </c>
      <c r="C613">
        <v>24214</v>
      </c>
      <c r="D613">
        <v>2</v>
      </c>
      <c r="E613">
        <v>1154</v>
      </c>
      <c r="F613">
        <v>2850</v>
      </c>
      <c r="G613">
        <v>2232</v>
      </c>
      <c r="H613">
        <v>30452</v>
      </c>
      <c r="I613">
        <v>42</v>
      </c>
    </row>
    <row r="614" spans="1:9" x14ac:dyDescent="0.35">
      <c r="A614" t="s">
        <v>2751</v>
      </c>
      <c r="B614" t="s">
        <v>11405</v>
      </c>
      <c r="C614">
        <v>54</v>
      </c>
      <c r="D614">
        <v>0</v>
      </c>
      <c r="E614">
        <v>0</v>
      </c>
      <c r="F614">
        <v>0</v>
      </c>
      <c r="G614">
        <v>0</v>
      </c>
      <c r="H614">
        <v>54</v>
      </c>
      <c r="I614">
        <v>1</v>
      </c>
    </row>
    <row r="615" spans="1:9" x14ac:dyDescent="0.35">
      <c r="A615" t="s">
        <v>3138</v>
      </c>
      <c r="B615" t="s">
        <v>1498</v>
      </c>
      <c r="C615">
        <v>41</v>
      </c>
      <c r="D615">
        <v>0</v>
      </c>
      <c r="E615">
        <v>0</v>
      </c>
      <c r="F615">
        <v>16</v>
      </c>
      <c r="G615">
        <v>0</v>
      </c>
      <c r="H615">
        <v>57</v>
      </c>
      <c r="I615">
        <v>3</v>
      </c>
    </row>
    <row r="616" spans="1:9" x14ac:dyDescent="0.35">
      <c r="A616" t="s">
        <v>2737</v>
      </c>
      <c r="B616" t="s">
        <v>1864</v>
      </c>
      <c r="C616">
        <v>52</v>
      </c>
      <c r="D616">
        <v>0</v>
      </c>
      <c r="E616">
        <v>0</v>
      </c>
      <c r="F616">
        <v>0</v>
      </c>
      <c r="G616">
        <v>0</v>
      </c>
      <c r="H616">
        <v>52</v>
      </c>
      <c r="I616">
        <v>1</v>
      </c>
    </row>
    <row r="617" spans="1:9" x14ac:dyDescent="0.35">
      <c r="A617" t="s">
        <v>2779</v>
      </c>
      <c r="B617" t="s">
        <v>1499</v>
      </c>
      <c r="C617">
        <v>13</v>
      </c>
      <c r="D617">
        <v>0</v>
      </c>
      <c r="E617">
        <v>0</v>
      </c>
      <c r="F617">
        <v>0</v>
      </c>
      <c r="G617">
        <v>0</v>
      </c>
      <c r="H617">
        <v>13</v>
      </c>
      <c r="I617">
        <v>1</v>
      </c>
    </row>
    <row r="618" spans="1:9" x14ac:dyDescent="0.35">
      <c r="A618" t="s">
        <v>2389</v>
      </c>
      <c r="B618" t="s">
        <v>1865</v>
      </c>
      <c r="C618">
        <v>0</v>
      </c>
      <c r="D618">
        <v>0</v>
      </c>
      <c r="E618">
        <v>206</v>
      </c>
      <c r="F618">
        <v>0</v>
      </c>
      <c r="G618">
        <v>0</v>
      </c>
      <c r="H618">
        <v>206</v>
      </c>
      <c r="I618">
        <v>1</v>
      </c>
    </row>
    <row r="619" spans="1:9" x14ac:dyDescent="0.35">
      <c r="A619" t="s">
        <v>2827</v>
      </c>
      <c r="B619" t="s">
        <v>1866</v>
      </c>
      <c r="C619">
        <v>36</v>
      </c>
      <c r="D619">
        <v>0</v>
      </c>
      <c r="E619">
        <v>0</v>
      </c>
      <c r="F619">
        <v>0</v>
      </c>
      <c r="G619">
        <v>0</v>
      </c>
      <c r="H619">
        <v>36</v>
      </c>
      <c r="I619">
        <v>1</v>
      </c>
    </row>
    <row r="620" spans="1:9" x14ac:dyDescent="0.35">
      <c r="A620" t="s">
        <v>3280</v>
      </c>
      <c r="B620" t="s">
        <v>1738</v>
      </c>
      <c r="C620">
        <v>140</v>
      </c>
      <c r="D620">
        <v>0</v>
      </c>
      <c r="E620">
        <v>0</v>
      </c>
      <c r="F620">
        <v>0</v>
      </c>
      <c r="G620">
        <v>0</v>
      </c>
      <c r="H620">
        <v>140</v>
      </c>
      <c r="I620">
        <v>5</v>
      </c>
    </row>
    <row r="621" spans="1:9" x14ac:dyDescent="0.35">
      <c r="A621" t="s">
        <v>2775</v>
      </c>
      <c r="B621" t="s">
        <v>1867</v>
      </c>
      <c r="C621">
        <v>27</v>
      </c>
      <c r="D621">
        <v>0</v>
      </c>
      <c r="E621">
        <v>0</v>
      </c>
      <c r="F621">
        <v>0</v>
      </c>
      <c r="G621">
        <v>0</v>
      </c>
      <c r="H621">
        <v>27</v>
      </c>
      <c r="I621">
        <v>1</v>
      </c>
    </row>
    <row r="622" spans="1:9" x14ac:dyDescent="0.35">
      <c r="A622" t="s">
        <v>2982</v>
      </c>
      <c r="B622" t="s">
        <v>1114</v>
      </c>
      <c r="C622">
        <v>10495</v>
      </c>
      <c r="D622">
        <v>0</v>
      </c>
      <c r="E622">
        <v>214</v>
      </c>
      <c r="F622">
        <v>1533</v>
      </c>
      <c r="G622">
        <v>5756</v>
      </c>
      <c r="H622">
        <v>17998</v>
      </c>
      <c r="I622">
        <v>94</v>
      </c>
    </row>
    <row r="623" spans="1:9" x14ac:dyDescent="0.35">
      <c r="A623" t="s">
        <v>3142</v>
      </c>
      <c r="B623" t="s">
        <v>1314</v>
      </c>
      <c r="C623">
        <v>3</v>
      </c>
      <c r="D623">
        <v>0</v>
      </c>
      <c r="E623">
        <v>0</v>
      </c>
      <c r="F623">
        <v>0</v>
      </c>
      <c r="G623">
        <v>0</v>
      </c>
      <c r="H623">
        <v>3</v>
      </c>
      <c r="I623">
        <v>1</v>
      </c>
    </row>
    <row r="624" spans="1:9" x14ac:dyDescent="0.35">
      <c r="A624" t="s">
        <v>2704</v>
      </c>
      <c r="B624" t="s">
        <v>1500</v>
      </c>
      <c r="C624">
        <v>5</v>
      </c>
      <c r="D624">
        <v>0</v>
      </c>
      <c r="E624">
        <v>0</v>
      </c>
      <c r="F624">
        <v>0</v>
      </c>
      <c r="G624">
        <v>0</v>
      </c>
      <c r="H624">
        <v>5</v>
      </c>
      <c r="I624">
        <v>1</v>
      </c>
    </row>
    <row r="625" spans="1:9" x14ac:dyDescent="0.35">
      <c r="A625" t="s">
        <v>2376</v>
      </c>
      <c r="B625" t="s">
        <v>1739</v>
      </c>
      <c r="C625">
        <v>6793</v>
      </c>
      <c r="D625">
        <v>21</v>
      </c>
      <c r="E625">
        <v>617</v>
      </c>
      <c r="F625">
        <v>645</v>
      </c>
      <c r="G625">
        <v>349</v>
      </c>
      <c r="H625">
        <v>8425</v>
      </c>
      <c r="I625">
        <v>18</v>
      </c>
    </row>
    <row r="626" spans="1:9" x14ac:dyDescent="0.35">
      <c r="A626" t="s">
        <v>2956</v>
      </c>
      <c r="B626" t="s">
        <v>1501</v>
      </c>
      <c r="C626">
        <v>1006</v>
      </c>
      <c r="D626">
        <v>0</v>
      </c>
      <c r="E626">
        <v>50</v>
      </c>
      <c r="F626">
        <v>287</v>
      </c>
      <c r="G626">
        <v>178</v>
      </c>
      <c r="H626">
        <v>1521</v>
      </c>
      <c r="I626">
        <v>15</v>
      </c>
    </row>
    <row r="627" spans="1:9" x14ac:dyDescent="0.35">
      <c r="A627" t="s">
        <v>14260</v>
      </c>
      <c r="B627" t="s">
        <v>14261</v>
      </c>
      <c r="C627">
        <v>0</v>
      </c>
      <c r="D627">
        <v>0</v>
      </c>
      <c r="E627">
        <v>0</v>
      </c>
      <c r="F627">
        <v>0</v>
      </c>
      <c r="G627">
        <v>0</v>
      </c>
      <c r="H627">
        <v>0</v>
      </c>
      <c r="I627">
        <v>0</v>
      </c>
    </row>
    <row r="628" spans="1:9" x14ac:dyDescent="0.35">
      <c r="A628" t="s">
        <v>14262</v>
      </c>
      <c r="B628" t="s">
        <v>14263</v>
      </c>
      <c r="C628">
        <v>0</v>
      </c>
      <c r="D628">
        <v>0</v>
      </c>
      <c r="E628">
        <v>0</v>
      </c>
      <c r="F628">
        <v>0</v>
      </c>
      <c r="G628">
        <v>0</v>
      </c>
      <c r="H628">
        <v>0</v>
      </c>
      <c r="I628">
        <v>0</v>
      </c>
    </row>
    <row r="629" spans="1:9" x14ac:dyDescent="0.35">
      <c r="A629" t="s">
        <v>2212</v>
      </c>
      <c r="B629" t="s">
        <v>1321</v>
      </c>
      <c r="C629">
        <v>281</v>
      </c>
      <c r="D629">
        <v>0</v>
      </c>
      <c r="E629">
        <v>0</v>
      </c>
      <c r="F629">
        <v>0</v>
      </c>
      <c r="G629">
        <v>0</v>
      </c>
      <c r="H629">
        <v>281</v>
      </c>
      <c r="I629">
        <v>13</v>
      </c>
    </row>
    <row r="630" spans="1:9" x14ac:dyDescent="0.35">
      <c r="A630" t="s">
        <v>3244</v>
      </c>
      <c r="B630" t="s">
        <v>1322</v>
      </c>
      <c r="C630">
        <v>8620</v>
      </c>
      <c r="D630">
        <v>12</v>
      </c>
      <c r="E630">
        <v>1482</v>
      </c>
      <c r="F630">
        <v>134</v>
      </c>
      <c r="G630">
        <v>1848</v>
      </c>
      <c r="H630">
        <v>12096</v>
      </c>
      <c r="I630">
        <v>40</v>
      </c>
    </row>
    <row r="631" spans="1:9" x14ac:dyDescent="0.35">
      <c r="A631" t="s">
        <v>2337</v>
      </c>
      <c r="B631" t="s">
        <v>1742</v>
      </c>
      <c r="C631">
        <v>11573</v>
      </c>
      <c r="D631">
        <v>0</v>
      </c>
      <c r="E631">
        <v>6</v>
      </c>
      <c r="F631">
        <v>240</v>
      </c>
      <c r="G631">
        <v>119</v>
      </c>
      <c r="H631">
        <v>11938</v>
      </c>
      <c r="I631">
        <v>2</v>
      </c>
    </row>
    <row r="632" spans="1:9" x14ac:dyDescent="0.35">
      <c r="A632" t="s">
        <v>2335</v>
      </c>
      <c r="B632" t="s">
        <v>1743</v>
      </c>
      <c r="C632">
        <v>11587</v>
      </c>
      <c r="D632">
        <v>0</v>
      </c>
      <c r="E632">
        <v>1027</v>
      </c>
      <c r="F632">
        <v>0</v>
      </c>
      <c r="G632">
        <v>301</v>
      </c>
      <c r="H632">
        <v>12915</v>
      </c>
      <c r="I632">
        <v>10</v>
      </c>
    </row>
    <row r="633" spans="1:9" x14ac:dyDescent="0.35">
      <c r="A633" t="s">
        <v>2946</v>
      </c>
      <c r="B633" t="s">
        <v>1323</v>
      </c>
      <c r="C633">
        <v>0</v>
      </c>
      <c r="D633">
        <v>0</v>
      </c>
      <c r="E633">
        <v>603</v>
      </c>
      <c r="F633">
        <v>0</v>
      </c>
      <c r="G633">
        <v>0</v>
      </c>
      <c r="H633">
        <v>603</v>
      </c>
      <c r="I633">
        <v>9</v>
      </c>
    </row>
    <row r="634" spans="1:9" x14ac:dyDescent="0.35">
      <c r="A634" t="s">
        <v>3207</v>
      </c>
      <c r="B634" t="s">
        <v>1216</v>
      </c>
      <c r="C634">
        <v>10102</v>
      </c>
      <c r="D634">
        <v>2</v>
      </c>
      <c r="E634">
        <v>113</v>
      </c>
      <c r="F634">
        <v>0</v>
      </c>
      <c r="G634">
        <v>46</v>
      </c>
      <c r="H634">
        <v>10263</v>
      </c>
      <c r="I634">
        <v>6</v>
      </c>
    </row>
    <row r="635" spans="1:9" x14ac:dyDescent="0.35">
      <c r="A635" t="s">
        <v>14264</v>
      </c>
      <c r="B635" t="s">
        <v>14265</v>
      </c>
      <c r="C635">
        <v>0</v>
      </c>
      <c r="D635">
        <v>0</v>
      </c>
      <c r="E635">
        <v>0</v>
      </c>
      <c r="F635">
        <v>0</v>
      </c>
      <c r="G635">
        <v>0</v>
      </c>
      <c r="H635">
        <v>0</v>
      </c>
      <c r="I635">
        <v>0</v>
      </c>
    </row>
    <row r="636" spans="1:9" x14ac:dyDescent="0.35">
      <c r="A636" t="s">
        <v>3245</v>
      </c>
      <c r="B636" t="s">
        <v>1744</v>
      </c>
      <c r="C636">
        <v>22302</v>
      </c>
      <c r="D636">
        <v>0</v>
      </c>
      <c r="E636">
        <v>1956</v>
      </c>
      <c r="F636">
        <v>3865</v>
      </c>
      <c r="G636">
        <v>1269</v>
      </c>
      <c r="H636">
        <v>29392</v>
      </c>
      <c r="I636">
        <v>29</v>
      </c>
    </row>
    <row r="637" spans="1:9" x14ac:dyDescent="0.35">
      <c r="A637" t="s">
        <v>2370</v>
      </c>
      <c r="B637" t="s">
        <v>1217</v>
      </c>
      <c r="C637">
        <v>30757</v>
      </c>
      <c r="D637">
        <v>1242</v>
      </c>
      <c r="E637">
        <v>989</v>
      </c>
      <c r="F637">
        <v>3491</v>
      </c>
      <c r="G637">
        <v>4314</v>
      </c>
      <c r="H637">
        <v>40793</v>
      </c>
      <c r="I637">
        <v>59</v>
      </c>
    </row>
    <row r="638" spans="1:9" x14ac:dyDescent="0.35">
      <c r="A638" t="s">
        <v>3147</v>
      </c>
      <c r="B638" t="s">
        <v>1218</v>
      </c>
      <c r="C638">
        <v>125</v>
      </c>
      <c r="D638">
        <v>0</v>
      </c>
      <c r="E638">
        <v>0</v>
      </c>
      <c r="F638">
        <v>0</v>
      </c>
      <c r="G638">
        <v>5837</v>
      </c>
      <c r="H638">
        <v>5962</v>
      </c>
      <c r="I638">
        <v>81</v>
      </c>
    </row>
    <row r="639" spans="1:9" x14ac:dyDescent="0.35">
      <c r="A639" t="s">
        <v>3143</v>
      </c>
      <c r="B639" t="s">
        <v>11367</v>
      </c>
      <c r="C639">
        <v>30086</v>
      </c>
      <c r="D639">
        <v>2</v>
      </c>
      <c r="E639">
        <v>645</v>
      </c>
      <c r="F639">
        <v>2850</v>
      </c>
      <c r="G639">
        <v>246</v>
      </c>
      <c r="H639">
        <v>33829</v>
      </c>
      <c r="I639">
        <v>70</v>
      </c>
    </row>
    <row r="640" spans="1:9" x14ac:dyDescent="0.35">
      <c r="A640" t="s">
        <v>14266</v>
      </c>
      <c r="B640" t="s">
        <v>14267</v>
      </c>
      <c r="C640">
        <v>122</v>
      </c>
      <c r="D640">
        <v>0</v>
      </c>
      <c r="E640">
        <v>0</v>
      </c>
      <c r="F640">
        <v>0</v>
      </c>
      <c r="G640">
        <v>0</v>
      </c>
      <c r="H640">
        <v>122</v>
      </c>
      <c r="I640">
        <v>4</v>
      </c>
    </row>
    <row r="641" spans="1:9" x14ac:dyDescent="0.35">
      <c r="A641" t="s">
        <v>2426</v>
      </c>
      <c r="B641" t="s">
        <v>2001</v>
      </c>
      <c r="C641">
        <v>5</v>
      </c>
      <c r="D641">
        <v>0</v>
      </c>
      <c r="E641">
        <v>0</v>
      </c>
      <c r="F641">
        <v>112</v>
      </c>
      <c r="G641">
        <v>0</v>
      </c>
      <c r="H641">
        <v>117</v>
      </c>
      <c r="I641">
        <v>1</v>
      </c>
    </row>
    <row r="642" spans="1:9" x14ac:dyDescent="0.35">
      <c r="A642" t="s">
        <v>3048</v>
      </c>
      <c r="B642" t="s">
        <v>1513</v>
      </c>
      <c r="C642">
        <v>0</v>
      </c>
      <c r="D642">
        <v>0</v>
      </c>
      <c r="E642">
        <v>61</v>
      </c>
      <c r="F642">
        <v>0</v>
      </c>
      <c r="G642">
        <v>0</v>
      </c>
      <c r="H642">
        <v>61</v>
      </c>
      <c r="I642">
        <v>1</v>
      </c>
    </row>
    <row r="643" spans="1:9" x14ac:dyDescent="0.35">
      <c r="A643" t="s">
        <v>14268</v>
      </c>
      <c r="B643" t="s">
        <v>14269</v>
      </c>
      <c r="C643">
        <v>0</v>
      </c>
      <c r="D643">
        <v>0</v>
      </c>
      <c r="E643">
        <v>0</v>
      </c>
      <c r="F643">
        <v>0</v>
      </c>
      <c r="G643">
        <v>0</v>
      </c>
      <c r="H643">
        <v>0</v>
      </c>
      <c r="I643">
        <v>0</v>
      </c>
    </row>
    <row r="644" spans="1:9" x14ac:dyDescent="0.35">
      <c r="A644" t="s">
        <v>2300</v>
      </c>
      <c r="B644" t="s">
        <v>1324</v>
      </c>
      <c r="C644">
        <v>539</v>
      </c>
      <c r="D644">
        <v>0</v>
      </c>
      <c r="E644">
        <v>15</v>
      </c>
      <c r="F644">
        <v>0</v>
      </c>
      <c r="G644">
        <v>0</v>
      </c>
      <c r="H644">
        <v>554</v>
      </c>
      <c r="I644">
        <v>5</v>
      </c>
    </row>
    <row r="645" spans="1:9" x14ac:dyDescent="0.35">
      <c r="A645" t="s">
        <v>3011</v>
      </c>
      <c r="B645" t="s">
        <v>1325</v>
      </c>
      <c r="C645">
        <v>3709</v>
      </c>
      <c r="D645">
        <v>419</v>
      </c>
      <c r="E645">
        <v>255</v>
      </c>
      <c r="F645">
        <v>402</v>
      </c>
      <c r="G645">
        <v>552</v>
      </c>
      <c r="H645">
        <v>5337</v>
      </c>
      <c r="I645">
        <v>33</v>
      </c>
    </row>
    <row r="646" spans="1:9" x14ac:dyDescent="0.35">
      <c r="A646" t="s">
        <v>2658</v>
      </c>
      <c r="B646" t="s">
        <v>1873</v>
      </c>
      <c r="C646">
        <v>92</v>
      </c>
      <c r="D646">
        <v>0</v>
      </c>
      <c r="E646">
        <v>0</v>
      </c>
      <c r="F646">
        <v>0</v>
      </c>
      <c r="G646">
        <v>0</v>
      </c>
      <c r="H646">
        <v>92</v>
      </c>
      <c r="I646">
        <v>1</v>
      </c>
    </row>
    <row r="647" spans="1:9" x14ac:dyDescent="0.35">
      <c r="A647" t="s">
        <v>2954</v>
      </c>
      <c r="B647" t="s">
        <v>1326</v>
      </c>
      <c r="C647">
        <v>2823</v>
      </c>
      <c r="D647">
        <v>0</v>
      </c>
      <c r="E647">
        <v>382</v>
      </c>
      <c r="F647">
        <v>428</v>
      </c>
      <c r="G647">
        <v>146</v>
      </c>
      <c r="H647">
        <v>3779</v>
      </c>
      <c r="I647">
        <v>12</v>
      </c>
    </row>
    <row r="648" spans="1:9" x14ac:dyDescent="0.35">
      <c r="A648" t="s">
        <v>3284</v>
      </c>
      <c r="B648" t="s">
        <v>1514</v>
      </c>
      <c r="C648">
        <v>0</v>
      </c>
      <c r="D648">
        <v>0</v>
      </c>
      <c r="E648">
        <v>3</v>
      </c>
      <c r="F648">
        <v>8</v>
      </c>
      <c r="G648">
        <v>0</v>
      </c>
      <c r="H648">
        <v>11</v>
      </c>
      <c r="I648">
        <v>1</v>
      </c>
    </row>
    <row r="649" spans="1:9" x14ac:dyDescent="0.35">
      <c r="A649" t="s">
        <v>11457</v>
      </c>
      <c r="B649" t="s">
        <v>11388</v>
      </c>
      <c r="C649">
        <v>1</v>
      </c>
      <c r="D649">
        <v>0</v>
      </c>
      <c r="E649">
        <v>0</v>
      </c>
      <c r="F649">
        <v>0</v>
      </c>
      <c r="G649">
        <v>0</v>
      </c>
      <c r="H649">
        <v>1</v>
      </c>
      <c r="I649">
        <v>1</v>
      </c>
    </row>
    <row r="650" spans="1:9" x14ac:dyDescent="0.35">
      <c r="A650" t="s">
        <v>2736</v>
      </c>
      <c r="B650" t="s">
        <v>1646</v>
      </c>
      <c r="C650">
        <v>29</v>
      </c>
      <c r="D650">
        <v>0</v>
      </c>
      <c r="E650">
        <v>0</v>
      </c>
      <c r="F650">
        <v>0</v>
      </c>
      <c r="G650">
        <v>0</v>
      </c>
      <c r="H650">
        <v>29</v>
      </c>
      <c r="I650">
        <v>1</v>
      </c>
    </row>
    <row r="651" spans="1:9" x14ac:dyDescent="0.35">
      <c r="A651" t="s">
        <v>14270</v>
      </c>
      <c r="B651" t="s">
        <v>14271</v>
      </c>
      <c r="C651">
        <v>0</v>
      </c>
      <c r="D651">
        <v>0</v>
      </c>
      <c r="E651">
        <v>0</v>
      </c>
      <c r="F651">
        <v>0</v>
      </c>
      <c r="G651">
        <v>0</v>
      </c>
      <c r="H651">
        <v>0</v>
      </c>
      <c r="I651">
        <v>0</v>
      </c>
    </row>
    <row r="652" spans="1:9" x14ac:dyDescent="0.35">
      <c r="A652" t="s">
        <v>2394</v>
      </c>
      <c r="B652" t="s">
        <v>1219</v>
      </c>
      <c r="C652">
        <v>0</v>
      </c>
      <c r="D652">
        <v>0</v>
      </c>
      <c r="E652">
        <v>119</v>
      </c>
      <c r="F652">
        <v>0</v>
      </c>
      <c r="G652">
        <v>0</v>
      </c>
      <c r="H652">
        <v>119</v>
      </c>
      <c r="I652">
        <v>6</v>
      </c>
    </row>
    <row r="653" spans="1:9" x14ac:dyDescent="0.35">
      <c r="A653" t="s">
        <v>2772</v>
      </c>
      <c r="B653" t="s">
        <v>2092</v>
      </c>
      <c r="C653">
        <v>24</v>
      </c>
      <c r="D653">
        <v>0</v>
      </c>
      <c r="E653">
        <v>0</v>
      </c>
      <c r="F653">
        <v>0</v>
      </c>
      <c r="G653">
        <v>0</v>
      </c>
      <c r="H653">
        <v>24</v>
      </c>
      <c r="I653">
        <v>1</v>
      </c>
    </row>
    <row r="654" spans="1:9" x14ac:dyDescent="0.35">
      <c r="A654" t="s">
        <v>3104</v>
      </c>
      <c r="B654" t="s">
        <v>2169</v>
      </c>
      <c r="C654">
        <v>29</v>
      </c>
      <c r="D654">
        <v>0</v>
      </c>
      <c r="E654">
        <v>0</v>
      </c>
      <c r="F654">
        <v>32</v>
      </c>
      <c r="G654">
        <v>0</v>
      </c>
      <c r="H654">
        <v>61</v>
      </c>
      <c r="I654">
        <v>1</v>
      </c>
    </row>
    <row r="655" spans="1:9" x14ac:dyDescent="0.35">
      <c r="A655" t="s">
        <v>2818</v>
      </c>
      <c r="B655" t="s">
        <v>1515</v>
      </c>
      <c r="C655">
        <v>27</v>
      </c>
      <c r="D655">
        <v>0</v>
      </c>
      <c r="E655">
        <v>0</v>
      </c>
      <c r="F655">
        <v>0</v>
      </c>
      <c r="G655">
        <v>0</v>
      </c>
      <c r="H655">
        <v>27</v>
      </c>
      <c r="I655">
        <v>1</v>
      </c>
    </row>
    <row r="656" spans="1:9" x14ac:dyDescent="0.35">
      <c r="A656" t="s">
        <v>2782</v>
      </c>
      <c r="B656" t="s">
        <v>1516</v>
      </c>
      <c r="C656">
        <v>49</v>
      </c>
      <c r="D656">
        <v>0</v>
      </c>
      <c r="E656">
        <v>0</v>
      </c>
      <c r="F656">
        <v>0</v>
      </c>
      <c r="G656">
        <v>0</v>
      </c>
      <c r="H656">
        <v>49</v>
      </c>
      <c r="I656">
        <v>1</v>
      </c>
    </row>
    <row r="657" spans="1:9" x14ac:dyDescent="0.35">
      <c r="A657" t="s">
        <v>3330</v>
      </c>
      <c r="B657" t="s">
        <v>1327</v>
      </c>
      <c r="C657">
        <v>11746</v>
      </c>
      <c r="D657">
        <v>3</v>
      </c>
      <c r="E657">
        <v>138</v>
      </c>
      <c r="F657">
        <v>25</v>
      </c>
      <c r="G657">
        <v>2648</v>
      </c>
      <c r="H657">
        <v>14560</v>
      </c>
      <c r="I657">
        <v>25</v>
      </c>
    </row>
    <row r="658" spans="1:9" x14ac:dyDescent="0.35">
      <c r="A658" t="s">
        <v>14272</v>
      </c>
      <c r="B658" t="s">
        <v>14273</v>
      </c>
      <c r="C658">
        <v>0</v>
      </c>
      <c r="D658">
        <v>0</v>
      </c>
      <c r="E658">
        <v>0</v>
      </c>
      <c r="F658">
        <v>0</v>
      </c>
      <c r="G658">
        <v>0</v>
      </c>
      <c r="H658">
        <v>0</v>
      </c>
      <c r="I658">
        <v>0</v>
      </c>
    </row>
    <row r="659" spans="1:9" x14ac:dyDescent="0.35">
      <c r="A659" t="s">
        <v>2722</v>
      </c>
      <c r="B659" t="s">
        <v>1328</v>
      </c>
      <c r="C659">
        <v>0</v>
      </c>
      <c r="D659">
        <v>11</v>
      </c>
      <c r="E659">
        <v>0</v>
      </c>
      <c r="F659">
        <v>0</v>
      </c>
      <c r="G659">
        <v>0</v>
      </c>
      <c r="H659">
        <v>11</v>
      </c>
      <c r="I659">
        <v>1</v>
      </c>
    </row>
    <row r="660" spans="1:9" x14ac:dyDescent="0.35">
      <c r="A660" t="s">
        <v>2368</v>
      </c>
      <c r="B660" t="s">
        <v>1220</v>
      </c>
      <c r="C660">
        <v>16141</v>
      </c>
      <c r="D660">
        <v>0</v>
      </c>
      <c r="E660">
        <v>719</v>
      </c>
      <c r="F660">
        <v>2363</v>
      </c>
      <c r="G660">
        <v>1687</v>
      </c>
      <c r="H660">
        <v>20910</v>
      </c>
      <c r="I660">
        <v>63</v>
      </c>
    </row>
    <row r="661" spans="1:9" x14ac:dyDescent="0.35">
      <c r="A661" t="s">
        <v>2274</v>
      </c>
      <c r="B661" t="s">
        <v>1221</v>
      </c>
      <c r="C661">
        <v>0</v>
      </c>
      <c r="D661">
        <v>0</v>
      </c>
      <c r="E661">
        <v>472</v>
      </c>
      <c r="F661">
        <v>0</v>
      </c>
      <c r="G661">
        <v>0</v>
      </c>
      <c r="H661">
        <v>472</v>
      </c>
      <c r="I661">
        <v>24</v>
      </c>
    </row>
    <row r="662" spans="1:9" x14ac:dyDescent="0.35">
      <c r="A662" t="s">
        <v>2778</v>
      </c>
      <c r="B662" t="s">
        <v>1517</v>
      </c>
      <c r="C662">
        <v>25</v>
      </c>
      <c r="D662">
        <v>0</v>
      </c>
      <c r="E662">
        <v>0</v>
      </c>
      <c r="F662">
        <v>0</v>
      </c>
      <c r="G662">
        <v>0</v>
      </c>
      <c r="H662">
        <v>25</v>
      </c>
      <c r="I662">
        <v>1</v>
      </c>
    </row>
    <row r="663" spans="1:9" x14ac:dyDescent="0.35">
      <c r="A663" t="s">
        <v>2404</v>
      </c>
      <c r="B663" t="s">
        <v>1329</v>
      </c>
      <c r="C663">
        <v>46</v>
      </c>
      <c r="D663">
        <v>0</v>
      </c>
      <c r="E663">
        <v>0</v>
      </c>
      <c r="F663">
        <v>0</v>
      </c>
      <c r="G663">
        <v>0</v>
      </c>
      <c r="H663">
        <v>46</v>
      </c>
      <c r="I663">
        <v>4</v>
      </c>
    </row>
    <row r="664" spans="1:9" x14ac:dyDescent="0.35">
      <c r="A664" t="s">
        <v>2538</v>
      </c>
      <c r="B664" t="s">
        <v>1222</v>
      </c>
      <c r="C664">
        <v>0</v>
      </c>
      <c r="D664">
        <v>0</v>
      </c>
      <c r="E664">
        <v>0</v>
      </c>
      <c r="F664">
        <v>8</v>
      </c>
      <c r="G664">
        <v>0</v>
      </c>
      <c r="H664">
        <v>8</v>
      </c>
      <c r="I664">
        <v>1</v>
      </c>
    </row>
    <row r="665" spans="1:9" x14ac:dyDescent="0.35">
      <c r="A665" t="s">
        <v>2302</v>
      </c>
      <c r="B665" t="s">
        <v>1223</v>
      </c>
      <c r="C665">
        <v>16</v>
      </c>
      <c r="D665">
        <v>0</v>
      </c>
      <c r="E665">
        <v>339</v>
      </c>
      <c r="F665">
        <v>0</v>
      </c>
      <c r="G665">
        <v>0</v>
      </c>
      <c r="H665">
        <v>355</v>
      </c>
      <c r="I665">
        <v>30</v>
      </c>
    </row>
    <row r="666" spans="1:9" x14ac:dyDescent="0.35">
      <c r="A666" t="s">
        <v>11458</v>
      </c>
      <c r="B666" t="s">
        <v>11389</v>
      </c>
      <c r="C666">
        <v>60</v>
      </c>
      <c r="D666">
        <v>0</v>
      </c>
      <c r="E666">
        <v>0</v>
      </c>
      <c r="F666">
        <v>0</v>
      </c>
      <c r="G666">
        <v>0</v>
      </c>
      <c r="H666">
        <v>60</v>
      </c>
      <c r="I666">
        <v>1</v>
      </c>
    </row>
    <row r="667" spans="1:9" x14ac:dyDescent="0.35">
      <c r="A667" t="s">
        <v>3134</v>
      </c>
      <c r="B667" t="s">
        <v>1330</v>
      </c>
      <c r="C667">
        <v>117</v>
      </c>
      <c r="D667">
        <v>0</v>
      </c>
      <c r="E667">
        <v>0</v>
      </c>
      <c r="F667">
        <v>0</v>
      </c>
      <c r="G667">
        <v>0</v>
      </c>
      <c r="H667">
        <v>117</v>
      </c>
      <c r="I667">
        <v>2</v>
      </c>
    </row>
    <row r="668" spans="1:9" x14ac:dyDescent="0.35">
      <c r="A668" t="s">
        <v>2388</v>
      </c>
      <c r="B668" t="s">
        <v>1331</v>
      </c>
      <c r="C668">
        <v>0</v>
      </c>
      <c r="D668">
        <v>0</v>
      </c>
      <c r="E668">
        <v>0</v>
      </c>
      <c r="F668">
        <v>0</v>
      </c>
      <c r="G668">
        <v>0</v>
      </c>
      <c r="H668">
        <v>0</v>
      </c>
      <c r="I668">
        <v>0</v>
      </c>
    </row>
    <row r="669" spans="1:9" x14ac:dyDescent="0.35">
      <c r="A669" t="s">
        <v>2396</v>
      </c>
      <c r="B669" t="s">
        <v>1332</v>
      </c>
      <c r="C669">
        <v>40216</v>
      </c>
      <c r="D669">
        <v>12</v>
      </c>
      <c r="E669">
        <v>2920</v>
      </c>
      <c r="F669">
        <v>1057</v>
      </c>
      <c r="G669">
        <v>4152</v>
      </c>
      <c r="H669">
        <v>48357</v>
      </c>
      <c r="I669">
        <v>45</v>
      </c>
    </row>
    <row r="670" spans="1:9" x14ac:dyDescent="0.35">
      <c r="A670" t="s">
        <v>2593</v>
      </c>
      <c r="B670" t="s">
        <v>1874</v>
      </c>
      <c r="C670">
        <v>5</v>
      </c>
      <c r="D670">
        <v>0</v>
      </c>
      <c r="E670">
        <v>0</v>
      </c>
      <c r="F670">
        <v>0</v>
      </c>
      <c r="G670">
        <v>0</v>
      </c>
      <c r="H670">
        <v>5</v>
      </c>
      <c r="I670">
        <v>1</v>
      </c>
    </row>
    <row r="671" spans="1:9" x14ac:dyDescent="0.35">
      <c r="A671" t="s">
        <v>3057</v>
      </c>
      <c r="B671" t="s">
        <v>1875</v>
      </c>
      <c r="C671">
        <v>0</v>
      </c>
      <c r="D671">
        <v>0</v>
      </c>
      <c r="E671">
        <v>0</v>
      </c>
      <c r="F671">
        <v>17</v>
      </c>
      <c r="G671">
        <v>0</v>
      </c>
      <c r="H671">
        <v>17</v>
      </c>
      <c r="I671">
        <v>1</v>
      </c>
    </row>
    <row r="672" spans="1:9" x14ac:dyDescent="0.35">
      <c r="A672" t="s">
        <v>3135</v>
      </c>
      <c r="B672" t="s">
        <v>1224</v>
      </c>
      <c r="C672">
        <v>186</v>
      </c>
      <c r="D672">
        <v>0</v>
      </c>
      <c r="E672">
        <v>0</v>
      </c>
      <c r="F672">
        <v>0</v>
      </c>
      <c r="G672">
        <v>0</v>
      </c>
      <c r="H672">
        <v>186</v>
      </c>
      <c r="I672">
        <v>6</v>
      </c>
    </row>
    <row r="673" spans="1:9" x14ac:dyDescent="0.35">
      <c r="A673" t="s">
        <v>2409</v>
      </c>
      <c r="B673" t="s">
        <v>1333</v>
      </c>
      <c r="C673">
        <v>9</v>
      </c>
      <c r="D673">
        <v>0</v>
      </c>
      <c r="E673">
        <v>0</v>
      </c>
      <c r="F673">
        <v>0</v>
      </c>
      <c r="G673">
        <v>0</v>
      </c>
      <c r="H673">
        <v>9</v>
      </c>
      <c r="I673">
        <v>1</v>
      </c>
    </row>
    <row r="674" spans="1:9" x14ac:dyDescent="0.35">
      <c r="A674" t="s">
        <v>2666</v>
      </c>
      <c r="B674" t="s">
        <v>1518</v>
      </c>
      <c r="C674">
        <v>27</v>
      </c>
      <c r="D674">
        <v>0</v>
      </c>
      <c r="E674">
        <v>0</v>
      </c>
      <c r="F674">
        <v>0</v>
      </c>
      <c r="G674">
        <v>0</v>
      </c>
      <c r="H674">
        <v>27</v>
      </c>
      <c r="I674">
        <v>1</v>
      </c>
    </row>
    <row r="675" spans="1:9" x14ac:dyDescent="0.35">
      <c r="A675" t="s">
        <v>2488</v>
      </c>
      <c r="B675" t="s">
        <v>1876</v>
      </c>
      <c r="C675">
        <v>10</v>
      </c>
      <c r="D675">
        <v>0</v>
      </c>
      <c r="E675">
        <v>0</v>
      </c>
      <c r="F675">
        <v>64</v>
      </c>
      <c r="G675">
        <v>0</v>
      </c>
      <c r="H675">
        <v>74</v>
      </c>
      <c r="I675">
        <v>1</v>
      </c>
    </row>
    <row r="676" spans="1:9" x14ac:dyDescent="0.35">
      <c r="A676" t="s">
        <v>2705</v>
      </c>
      <c r="B676" t="s">
        <v>1647</v>
      </c>
      <c r="C676">
        <v>23</v>
      </c>
      <c r="D676">
        <v>0</v>
      </c>
      <c r="E676">
        <v>0</v>
      </c>
      <c r="F676">
        <v>0</v>
      </c>
      <c r="G676">
        <v>0</v>
      </c>
      <c r="H676">
        <v>23</v>
      </c>
      <c r="I676">
        <v>1</v>
      </c>
    </row>
    <row r="677" spans="1:9" x14ac:dyDescent="0.35">
      <c r="A677" t="s">
        <v>3041</v>
      </c>
      <c r="B677" t="s">
        <v>1519</v>
      </c>
      <c r="C677">
        <v>250</v>
      </c>
      <c r="D677">
        <v>0</v>
      </c>
      <c r="E677">
        <v>13</v>
      </c>
      <c r="F677">
        <v>0</v>
      </c>
      <c r="G677">
        <v>0</v>
      </c>
      <c r="H677">
        <v>263</v>
      </c>
      <c r="I677">
        <v>1</v>
      </c>
    </row>
    <row r="678" spans="1:9" x14ac:dyDescent="0.35">
      <c r="A678" t="s">
        <v>2516</v>
      </c>
      <c r="B678" t="s">
        <v>1520</v>
      </c>
      <c r="C678">
        <v>0</v>
      </c>
      <c r="D678">
        <v>0</v>
      </c>
      <c r="E678">
        <v>0</v>
      </c>
      <c r="F678">
        <v>10</v>
      </c>
      <c r="G678">
        <v>0</v>
      </c>
      <c r="H678">
        <v>10</v>
      </c>
      <c r="I678">
        <v>1</v>
      </c>
    </row>
    <row r="679" spans="1:9" x14ac:dyDescent="0.35">
      <c r="A679" t="s">
        <v>3145</v>
      </c>
      <c r="B679" t="s">
        <v>1745</v>
      </c>
      <c r="C679">
        <v>275</v>
      </c>
      <c r="D679">
        <v>0</v>
      </c>
      <c r="E679">
        <v>0</v>
      </c>
      <c r="F679">
        <v>0</v>
      </c>
      <c r="G679">
        <v>0</v>
      </c>
      <c r="H679">
        <v>275</v>
      </c>
      <c r="I679">
        <v>1</v>
      </c>
    </row>
    <row r="680" spans="1:9" x14ac:dyDescent="0.35">
      <c r="A680" t="s">
        <v>2797</v>
      </c>
      <c r="B680" t="s">
        <v>1521</v>
      </c>
      <c r="C680">
        <v>24</v>
      </c>
      <c r="D680">
        <v>0</v>
      </c>
      <c r="E680">
        <v>0</v>
      </c>
      <c r="F680">
        <v>0</v>
      </c>
      <c r="G680">
        <v>0</v>
      </c>
      <c r="H680">
        <v>24</v>
      </c>
      <c r="I680">
        <v>1</v>
      </c>
    </row>
    <row r="681" spans="1:9" x14ac:dyDescent="0.35">
      <c r="A681" t="s">
        <v>3262</v>
      </c>
      <c r="B681" t="s">
        <v>1522</v>
      </c>
      <c r="C681">
        <v>35</v>
      </c>
      <c r="D681">
        <v>26</v>
      </c>
      <c r="E681">
        <v>131</v>
      </c>
      <c r="F681">
        <v>6</v>
      </c>
      <c r="G681">
        <v>0</v>
      </c>
      <c r="H681">
        <v>198</v>
      </c>
      <c r="I681">
        <v>2</v>
      </c>
    </row>
    <row r="682" spans="1:9" x14ac:dyDescent="0.35">
      <c r="A682" t="s">
        <v>2419</v>
      </c>
      <c r="B682" t="s">
        <v>1746</v>
      </c>
      <c r="C682">
        <v>0</v>
      </c>
      <c r="D682">
        <v>0</v>
      </c>
      <c r="E682">
        <v>95</v>
      </c>
      <c r="F682">
        <v>0</v>
      </c>
      <c r="G682">
        <v>0</v>
      </c>
      <c r="H682">
        <v>95</v>
      </c>
      <c r="I682">
        <v>1</v>
      </c>
    </row>
    <row r="683" spans="1:9" x14ac:dyDescent="0.35">
      <c r="A683" t="s">
        <v>14274</v>
      </c>
      <c r="B683" t="s">
        <v>1746</v>
      </c>
      <c r="C683">
        <v>0</v>
      </c>
      <c r="D683">
        <v>0</v>
      </c>
      <c r="E683">
        <v>0</v>
      </c>
      <c r="F683">
        <v>0</v>
      </c>
      <c r="G683">
        <v>0</v>
      </c>
      <c r="H683">
        <v>0</v>
      </c>
      <c r="I683">
        <v>0</v>
      </c>
    </row>
    <row r="684" spans="1:9" x14ac:dyDescent="0.35">
      <c r="A684" t="s">
        <v>2973</v>
      </c>
      <c r="B684" t="s">
        <v>11415</v>
      </c>
      <c r="C684">
        <v>268</v>
      </c>
      <c r="D684">
        <v>0</v>
      </c>
      <c r="E684">
        <v>4</v>
      </c>
      <c r="F684">
        <v>0</v>
      </c>
      <c r="G684">
        <v>0</v>
      </c>
      <c r="H684">
        <v>272</v>
      </c>
      <c r="I684">
        <v>2</v>
      </c>
    </row>
    <row r="685" spans="1:9" x14ac:dyDescent="0.35">
      <c r="A685" t="s">
        <v>3213</v>
      </c>
      <c r="B685" t="s">
        <v>1523</v>
      </c>
      <c r="C685">
        <v>6436</v>
      </c>
      <c r="D685">
        <v>0</v>
      </c>
      <c r="E685">
        <v>0</v>
      </c>
      <c r="F685">
        <v>60</v>
      </c>
      <c r="G685">
        <v>31</v>
      </c>
      <c r="H685">
        <v>6527</v>
      </c>
      <c r="I685">
        <v>2</v>
      </c>
    </row>
    <row r="686" spans="1:9" x14ac:dyDescent="0.35">
      <c r="A686" t="s">
        <v>2767</v>
      </c>
      <c r="B686" t="s">
        <v>1524</v>
      </c>
      <c r="C686">
        <v>3</v>
      </c>
      <c r="D686">
        <v>54</v>
      </c>
      <c r="E686">
        <v>0</v>
      </c>
      <c r="F686">
        <v>0</v>
      </c>
      <c r="G686">
        <v>0</v>
      </c>
      <c r="H686">
        <v>57</v>
      </c>
      <c r="I686">
        <v>3</v>
      </c>
    </row>
    <row r="687" spans="1:9" x14ac:dyDescent="0.35">
      <c r="A687" t="s">
        <v>2923</v>
      </c>
      <c r="B687" t="s">
        <v>1525</v>
      </c>
      <c r="C687">
        <v>0</v>
      </c>
      <c r="D687">
        <v>0</v>
      </c>
      <c r="E687">
        <v>65</v>
      </c>
      <c r="F687">
        <v>0</v>
      </c>
      <c r="G687">
        <v>0</v>
      </c>
      <c r="H687">
        <v>65</v>
      </c>
      <c r="I687">
        <v>6</v>
      </c>
    </row>
    <row r="688" spans="1:9" x14ac:dyDescent="0.35">
      <c r="A688" t="s">
        <v>2621</v>
      </c>
      <c r="B688" t="s">
        <v>2170</v>
      </c>
      <c r="C688">
        <v>1201</v>
      </c>
      <c r="D688">
        <v>0</v>
      </c>
      <c r="E688">
        <v>0</v>
      </c>
      <c r="F688">
        <v>191</v>
      </c>
      <c r="G688">
        <v>0</v>
      </c>
      <c r="H688">
        <v>1392</v>
      </c>
      <c r="I688">
        <v>2</v>
      </c>
    </row>
    <row r="689" spans="1:9" x14ac:dyDescent="0.35">
      <c r="A689" t="s">
        <v>3121</v>
      </c>
      <c r="B689" t="s">
        <v>1747</v>
      </c>
      <c r="C689">
        <v>482</v>
      </c>
      <c r="D689">
        <v>0</v>
      </c>
      <c r="E689">
        <v>38</v>
      </c>
      <c r="F689">
        <v>0</v>
      </c>
      <c r="G689">
        <v>0</v>
      </c>
      <c r="H689">
        <v>520</v>
      </c>
      <c r="I689">
        <v>2</v>
      </c>
    </row>
    <row r="690" spans="1:9" x14ac:dyDescent="0.35">
      <c r="A690" t="s">
        <v>3082</v>
      </c>
      <c r="B690" t="s">
        <v>1334</v>
      </c>
      <c r="C690">
        <v>117</v>
      </c>
      <c r="D690">
        <v>0</v>
      </c>
      <c r="E690">
        <v>0</v>
      </c>
      <c r="F690">
        <v>0</v>
      </c>
      <c r="G690">
        <v>0</v>
      </c>
      <c r="H690">
        <v>117</v>
      </c>
      <c r="I690">
        <v>1</v>
      </c>
    </row>
    <row r="691" spans="1:9" x14ac:dyDescent="0.35">
      <c r="A691" t="s">
        <v>2822</v>
      </c>
      <c r="B691" t="s">
        <v>1877</v>
      </c>
      <c r="C691">
        <v>25</v>
      </c>
      <c r="D691">
        <v>0</v>
      </c>
      <c r="E691">
        <v>0</v>
      </c>
      <c r="F691">
        <v>0</v>
      </c>
      <c r="G691">
        <v>0</v>
      </c>
      <c r="H691">
        <v>25</v>
      </c>
      <c r="I691">
        <v>1</v>
      </c>
    </row>
    <row r="692" spans="1:9" x14ac:dyDescent="0.35">
      <c r="A692" t="s">
        <v>2254</v>
      </c>
      <c r="B692" t="s">
        <v>2171</v>
      </c>
      <c r="C692">
        <v>41</v>
      </c>
      <c r="D692">
        <v>0</v>
      </c>
      <c r="E692">
        <v>0</v>
      </c>
      <c r="F692">
        <v>0</v>
      </c>
      <c r="G692">
        <v>0</v>
      </c>
      <c r="H692">
        <v>41</v>
      </c>
      <c r="I692">
        <v>2</v>
      </c>
    </row>
    <row r="693" spans="1:9" x14ac:dyDescent="0.35">
      <c r="A693" t="s">
        <v>3061</v>
      </c>
      <c r="B693" t="s">
        <v>1526</v>
      </c>
      <c r="C693">
        <v>0</v>
      </c>
      <c r="D693">
        <v>0</v>
      </c>
      <c r="E693">
        <v>0</v>
      </c>
      <c r="F693">
        <v>30</v>
      </c>
      <c r="G693">
        <v>0</v>
      </c>
      <c r="H693">
        <v>30</v>
      </c>
      <c r="I693">
        <v>1</v>
      </c>
    </row>
    <row r="694" spans="1:9" x14ac:dyDescent="0.35">
      <c r="A694" t="s">
        <v>14275</v>
      </c>
      <c r="B694" t="s">
        <v>14276</v>
      </c>
      <c r="C694">
        <v>0</v>
      </c>
      <c r="D694">
        <v>0</v>
      </c>
      <c r="E694">
        <v>0</v>
      </c>
      <c r="F694">
        <v>0</v>
      </c>
      <c r="G694">
        <v>0</v>
      </c>
      <c r="H694">
        <v>0</v>
      </c>
      <c r="I694">
        <v>0</v>
      </c>
    </row>
    <row r="695" spans="1:9" x14ac:dyDescent="0.35">
      <c r="A695" t="s">
        <v>2289</v>
      </c>
      <c r="B695" t="s">
        <v>2002</v>
      </c>
      <c r="C695">
        <v>0</v>
      </c>
      <c r="D695">
        <v>0</v>
      </c>
      <c r="E695">
        <v>112</v>
      </c>
      <c r="F695">
        <v>0</v>
      </c>
      <c r="G695">
        <v>0</v>
      </c>
      <c r="H695">
        <v>112</v>
      </c>
      <c r="I695">
        <v>5</v>
      </c>
    </row>
    <row r="696" spans="1:9" x14ac:dyDescent="0.35">
      <c r="A696" t="s">
        <v>14277</v>
      </c>
      <c r="B696" t="s">
        <v>14278</v>
      </c>
      <c r="C696">
        <v>0</v>
      </c>
      <c r="D696">
        <v>0</v>
      </c>
      <c r="E696">
        <v>0</v>
      </c>
      <c r="F696">
        <v>0</v>
      </c>
      <c r="G696">
        <v>0</v>
      </c>
      <c r="H696">
        <v>0</v>
      </c>
      <c r="I696">
        <v>0</v>
      </c>
    </row>
    <row r="697" spans="1:9" x14ac:dyDescent="0.35">
      <c r="A697" t="s">
        <v>2994</v>
      </c>
      <c r="B697" t="s">
        <v>1122</v>
      </c>
      <c r="C697">
        <v>33161</v>
      </c>
      <c r="D697">
        <v>1</v>
      </c>
      <c r="E697">
        <v>424</v>
      </c>
      <c r="F697">
        <v>2266</v>
      </c>
      <c r="G697">
        <v>2761</v>
      </c>
      <c r="H697">
        <v>38613</v>
      </c>
      <c r="I697">
        <v>208</v>
      </c>
    </row>
    <row r="698" spans="1:9" x14ac:dyDescent="0.35">
      <c r="A698" t="s">
        <v>3315</v>
      </c>
      <c r="B698" t="s">
        <v>1225</v>
      </c>
      <c r="C698">
        <v>2932</v>
      </c>
      <c r="D698">
        <v>1</v>
      </c>
      <c r="E698">
        <v>2381</v>
      </c>
      <c r="F698">
        <v>508</v>
      </c>
      <c r="G698">
        <v>58</v>
      </c>
      <c r="H698">
        <v>5880</v>
      </c>
      <c r="I698">
        <v>94</v>
      </c>
    </row>
    <row r="699" spans="1:9" x14ac:dyDescent="0.35">
      <c r="A699" t="s">
        <v>2322</v>
      </c>
      <c r="B699" t="s">
        <v>2093</v>
      </c>
      <c r="C699">
        <v>2</v>
      </c>
      <c r="D699">
        <v>0</v>
      </c>
      <c r="E699">
        <v>0</v>
      </c>
      <c r="F699">
        <v>0</v>
      </c>
      <c r="G699">
        <v>0</v>
      </c>
      <c r="H699">
        <v>2</v>
      </c>
      <c r="I699">
        <v>2</v>
      </c>
    </row>
    <row r="700" spans="1:9" x14ac:dyDescent="0.35">
      <c r="A700" t="s">
        <v>2418</v>
      </c>
      <c r="B700" t="s">
        <v>1226</v>
      </c>
      <c r="C700">
        <v>36069</v>
      </c>
      <c r="D700">
        <v>0</v>
      </c>
      <c r="E700">
        <v>400</v>
      </c>
      <c r="F700">
        <v>3083</v>
      </c>
      <c r="G700">
        <v>5905</v>
      </c>
      <c r="H700">
        <v>45457</v>
      </c>
      <c r="I700">
        <v>63</v>
      </c>
    </row>
    <row r="701" spans="1:9" x14ac:dyDescent="0.35">
      <c r="A701" t="s">
        <v>2293</v>
      </c>
      <c r="B701" t="s">
        <v>1227</v>
      </c>
      <c r="C701">
        <v>209</v>
      </c>
      <c r="D701">
        <v>0</v>
      </c>
      <c r="E701">
        <v>24</v>
      </c>
      <c r="F701">
        <v>69</v>
      </c>
      <c r="G701">
        <v>0</v>
      </c>
      <c r="H701">
        <v>302</v>
      </c>
      <c r="I701">
        <v>12</v>
      </c>
    </row>
    <row r="702" spans="1:9" x14ac:dyDescent="0.35">
      <c r="A702" t="s">
        <v>14279</v>
      </c>
      <c r="B702" t="s">
        <v>14280</v>
      </c>
      <c r="C702">
        <v>0</v>
      </c>
      <c r="D702">
        <v>0</v>
      </c>
      <c r="E702">
        <v>0</v>
      </c>
      <c r="F702">
        <v>0</v>
      </c>
      <c r="G702">
        <v>0</v>
      </c>
      <c r="H702">
        <v>0</v>
      </c>
      <c r="I702">
        <v>0</v>
      </c>
    </row>
    <row r="703" spans="1:9" x14ac:dyDescent="0.35">
      <c r="A703" t="s">
        <v>3233</v>
      </c>
      <c r="B703" t="s">
        <v>1748</v>
      </c>
      <c r="C703">
        <v>11639</v>
      </c>
      <c r="D703">
        <v>0</v>
      </c>
      <c r="E703">
        <v>294</v>
      </c>
      <c r="F703">
        <v>376</v>
      </c>
      <c r="G703">
        <v>707</v>
      </c>
      <c r="H703">
        <v>13016</v>
      </c>
      <c r="I703">
        <v>13</v>
      </c>
    </row>
    <row r="704" spans="1:9" x14ac:dyDescent="0.35">
      <c r="A704" t="s">
        <v>2643</v>
      </c>
      <c r="B704" t="s">
        <v>2003</v>
      </c>
      <c r="C704">
        <v>0</v>
      </c>
      <c r="D704">
        <v>0</v>
      </c>
      <c r="E704">
        <v>0</v>
      </c>
      <c r="F704">
        <v>73</v>
      </c>
      <c r="G704">
        <v>0</v>
      </c>
      <c r="H704">
        <v>73</v>
      </c>
      <c r="I704">
        <v>1</v>
      </c>
    </row>
    <row r="705" spans="1:9" x14ac:dyDescent="0.35">
      <c r="A705" t="s">
        <v>3226</v>
      </c>
      <c r="B705" t="s">
        <v>2004</v>
      </c>
      <c r="C705">
        <v>12324</v>
      </c>
      <c r="D705">
        <v>0</v>
      </c>
      <c r="E705">
        <v>1778</v>
      </c>
      <c r="F705">
        <v>0</v>
      </c>
      <c r="G705">
        <v>317</v>
      </c>
      <c r="H705">
        <v>14419</v>
      </c>
      <c r="I705">
        <v>4</v>
      </c>
    </row>
    <row r="706" spans="1:9" x14ac:dyDescent="0.35">
      <c r="A706" t="s">
        <v>14281</v>
      </c>
      <c r="B706" t="s">
        <v>14282</v>
      </c>
      <c r="C706">
        <v>0</v>
      </c>
      <c r="D706">
        <v>0</v>
      </c>
      <c r="E706">
        <v>0</v>
      </c>
      <c r="F706">
        <v>0</v>
      </c>
      <c r="G706">
        <v>0</v>
      </c>
      <c r="H706">
        <v>0</v>
      </c>
      <c r="I706">
        <v>0</v>
      </c>
    </row>
    <row r="707" spans="1:9" x14ac:dyDescent="0.35">
      <c r="A707" t="s">
        <v>2966</v>
      </c>
      <c r="B707" t="s">
        <v>1527</v>
      </c>
      <c r="C707">
        <v>0</v>
      </c>
      <c r="D707">
        <v>0</v>
      </c>
      <c r="E707">
        <v>0</v>
      </c>
      <c r="F707">
        <v>42</v>
      </c>
      <c r="G707">
        <v>0</v>
      </c>
      <c r="H707">
        <v>42</v>
      </c>
      <c r="I707">
        <v>1</v>
      </c>
    </row>
    <row r="708" spans="1:9" x14ac:dyDescent="0.35">
      <c r="A708" t="s">
        <v>3098</v>
      </c>
      <c r="B708" t="s">
        <v>2005</v>
      </c>
      <c r="C708">
        <v>11</v>
      </c>
      <c r="D708">
        <v>0</v>
      </c>
      <c r="E708">
        <v>0</v>
      </c>
      <c r="F708">
        <v>0</v>
      </c>
      <c r="G708">
        <v>0</v>
      </c>
      <c r="H708">
        <v>11</v>
      </c>
      <c r="I708">
        <v>1</v>
      </c>
    </row>
    <row r="709" spans="1:9" x14ac:dyDescent="0.35">
      <c r="A709" t="s">
        <v>3153</v>
      </c>
      <c r="B709" t="s">
        <v>1528</v>
      </c>
      <c r="C709">
        <v>5294</v>
      </c>
      <c r="D709">
        <v>0</v>
      </c>
      <c r="E709">
        <v>0</v>
      </c>
      <c r="F709">
        <v>0</v>
      </c>
      <c r="G709">
        <v>257</v>
      </c>
      <c r="H709">
        <v>5551</v>
      </c>
      <c r="I709">
        <v>2</v>
      </c>
    </row>
    <row r="710" spans="1:9" x14ac:dyDescent="0.35">
      <c r="A710" t="s">
        <v>11459</v>
      </c>
      <c r="B710" t="s">
        <v>11390</v>
      </c>
      <c r="C710">
        <v>118</v>
      </c>
      <c r="D710">
        <v>0</v>
      </c>
      <c r="E710">
        <v>0</v>
      </c>
      <c r="F710">
        <v>0</v>
      </c>
      <c r="G710">
        <v>0</v>
      </c>
      <c r="H710">
        <v>118</v>
      </c>
      <c r="I710">
        <v>1</v>
      </c>
    </row>
    <row r="711" spans="1:9" x14ac:dyDescent="0.35">
      <c r="A711" t="s">
        <v>14283</v>
      </c>
      <c r="B711" t="s">
        <v>14284</v>
      </c>
      <c r="C711">
        <v>0</v>
      </c>
      <c r="D711">
        <v>0</v>
      </c>
      <c r="E711">
        <v>0</v>
      </c>
      <c r="F711">
        <v>0</v>
      </c>
      <c r="G711">
        <v>0</v>
      </c>
      <c r="H711">
        <v>0</v>
      </c>
      <c r="I711">
        <v>0</v>
      </c>
    </row>
    <row r="712" spans="1:9" x14ac:dyDescent="0.35">
      <c r="A712" t="s">
        <v>2950</v>
      </c>
      <c r="B712" t="s">
        <v>1878</v>
      </c>
      <c r="C712">
        <v>0</v>
      </c>
      <c r="D712">
        <v>0</v>
      </c>
      <c r="E712">
        <v>0</v>
      </c>
      <c r="F712">
        <v>44</v>
      </c>
      <c r="G712">
        <v>0</v>
      </c>
      <c r="H712">
        <v>44</v>
      </c>
      <c r="I712">
        <v>1</v>
      </c>
    </row>
    <row r="713" spans="1:9" x14ac:dyDescent="0.35">
      <c r="A713" t="s">
        <v>2870</v>
      </c>
      <c r="B713" t="s">
        <v>1529</v>
      </c>
      <c r="C713">
        <v>0</v>
      </c>
      <c r="D713">
        <v>0</v>
      </c>
      <c r="E713">
        <v>112</v>
      </c>
      <c r="F713">
        <v>0</v>
      </c>
      <c r="G713">
        <v>0</v>
      </c>
      <c r="H713">
        <v>112</v>
      </c>
      <c r="I713">
        <v>1</v>
      </c>
    </row>
    <row r="714" spans="1:9" x14ac:dyDescent="0.35">
      <c r="A714" t="s">
        <v>2744</v>
      </c>
      <c r="B714" t="s">
        <v>1530</v>
      </c>
      <c r="C714">
        <v>18</v>
      </c>
      <c r="D714">
        <v>0</v>
      </c>
      <c r="E714">
        <v>0</v>
      </c>
      <c r="F714">
        <v>0</v>
      </c>
      <c r="G714">
        <v>0</v>
      </c>
      <c r="H714">
        <v>18</v>
      </c>
      <c r="I714">
        <v>2</v>
      </c>
    </row>
    <row r="715" spans="1:9" x14ac:dyDescent="0.35">
      <c r="A715" t="s">
        <v>2894</v>
      </c>
      <c r="B715" t="s">
        <v>1879</v>
      </c>
      <c r="C715">
        <v>10</v>
      </c>
      <c r="D715">
        <v>0</v>
      </c>
      <c r="E715">
        <v>31</v>
      </c>
      <c r="F715">
        <v>0</v>
      </c>
      <c r="G715">
        <v>0</v>
      </c>
      <c r="H715">
        <v>41</v>
      </c>
      <c r="I715">
        <v>1</v>
      </c>
    </row>
    <row r="716" spans="1:9" x14ac:dyDescent="0.35">
      <c r="A716" t="s">
        <v>2997</v>
      </c>
      <c r="B716" t="s">
        <v>1880</v>
      </c>
      <c r="C716">
        <v>47</v>
      </c>
      <c r="D716">
        <v>0</v>
      </c>
      <c r="E716">
        <v>0</v>
      </c>
      <c r="F716">
        <v>111</v>
      </c>
      <c r="G716">
        <v>0</v>
      </c>
      <c r="H716">
        <v>158</v>
      </c>
      <c r="I716">
        <v>2</v>
      </c>
    </row>
    <row r="717" spans="1:9" x14ac:dyDescent="0.35">
      <c r="A717" t="s">
        <v>14285</v>
      </c>
      <c r="B717" t="s">
        <v>14286</v>
      </c>
      <c r="C717">
        <v>0</v>
      </c>
      <c r="D717">
        <v>0</v>
      </c>
      <c r="E717">
        <v>0</v>
      </c>
      <c r="F717">
        <v>0</v>
      </c>
      <c r="G717">
        <v>0</v>
      </c>
      <c r="H717">
        <v>0</v>
      </c>
      <c r="I717">
        <v>0</v>
      </c>
    </row>
    <row r="718" spans="1:9" x14ac:dyDescent="0.35">
      <c r="A718" t="s">
        <v>3091</v>
      </c>
      <c r="B718" t="s">
        <v>11406</v>
      </c>
      <c r="C718">
        <v>188</v>
      </c>
      <c r="D718">
        <v>0</v>
      </c>
      <c r="E718">
        <v>0</v>
      </c>
      <c r="F718">
        <v>0</v>
      </c>
      <c r="G718">
        <v>0</v>
      </c>
      <c r="H718">
        <v>188</v>
      </c>
      <c r="I718">
        <v>1</v>
      </c>
    </row>
    <row r="719" spans="1:9" x14ac:dyDescent="0.35">
      <c r="A719" t="s">
        <v>3028</v>
      </c>
      <c r="B719" t="s">
        <v>14287</v>
      </c>
      <c r="C719">
        <v>1314</v>
      </c>
      <c r="D719">
        <v>0</v>
      </c>
      <c r="E719">
        <v>49</v>
      </c>
      <c r="F719">
        <v>206</v>
      </c>
      <c r="G719">
        <v>20</v>
      </c>
      <c r="H719">
        <v>1589</v>
      </c>
      <c r="I719">
        <v>4</v>
      </c>
    </row>
    <row r="720" spans="1:9" x14ac:dyDescent="0.35">
      <c r="A720" t="s">
        <v>14288</v>
      </c>
      <c r="B720" t="s">
        <v>14289</v>
      </c>
      <c r="C720">
        <v>0</v>
      </c>
      <c r="D720">
        <v>0</v>
      </c>
      <c r="E720">
        <v>0</v>
      </c>
      <c r="F720">
        <v>0</v>
      </c>
      <c r="G720">
        <v>0</v>
      </c>
      <c r="H720">
        <v>0</v>
      </c>
      <c r="I720">
        <v>0</v>
      </c>
    </row>
    <row r="721" spans="1:9" x14ac:dyDescent="0.35">
      <c r="A721" t="s">
        <v>2725</v>
      </c>
      <c r="B721" t="s">
        <v>1749</v>
      </c>
      <c r="C721">
        <v>19</v>
      </c>
      <c r="D721">
        <v>0</v>
      </c>
      <c r="E721">
        <v>0</v>
      </c>
      <c r="F721">
        <v>0</v>
      </c>
      <c r="G721">
        <v>0</v>
      </c>
      <c r="H721">
        <v>19</v>
      </c>
      <c r="I721">
        <v>1</v>
      </c>
    </row>
    <row r="722" spans="1:9" x14ac:dyDescent="0.35">
      <c r="A722" t="s">
        <v>2670</v>
      </c>
      <c r="B722" t="s">
        <v>11407</v>
      </c>
      <c r="C722">
        <v>99</v>
      </c>
      <c r="D722">
        <v>0</v>
      </c>
      <c r="E722">
        <v>0</v>
      </c>
      <c r="F722">
        <v>0</v>
      </c>
      <c r="G722">
        <v>0</v>
      </c>
      <c r="H722">
        <v>99</v>
      </c>
      <c r="I722">
        <v>1</v>
      </c>
    </row>
    <row r="723" spans="1:9" x14ac:dyDescent="0.35">
      <c r="A723" t="s">
        <v>3321</v>
      </c>
      <c r="B723" t="s">
        <v>1228</v>
      </c>
      <c r="C723">
        <v>5082</v>
      </c>
      <c r="D723">
        <v>3</v>
      </c>
      <c r="E723">
        <v>2950</v>
      </c>
      <c r="F723">
        <v>1220</v>
      </c>
      <c r="G723">
        <v>289</v>
      </c>
      <c r="H723">
        <v>9544</v>
      </c>
      <c r="I723">
        <v>103</v>
      </c>
    </row>
    <row r="724" spans="1:9" x14ac:dyDescent="0.35">
      <c r="A724" t="s">
        <v>14290</v>
      </c>
      <c r="B724" t="s">
        <v>14291</v>
      </c>
      <c r="C724">
        <v>0</v>
      </c>
      <c r="D724">
        <v>0</v>
      </c>
      <c r="E724">
        <v>0</v>
      </c>
      <c r="F724">
        <v>0</v>
      </c>
      <c r="G724">
        <v>0</v>
      </c>
      <c r="H724">
        <v>0</v>
      </c>
      <c r="I724">
        <v>0</v>
      </c>
    </row>
    <row r="725" spans="1:9" x14ac:dyDescent="0.35">
      <c r="A725" t="s">
        <v>2332</v>
      </c>
      <c r="B725" t="s">
        <v>1750</v>
      </c>
      <c r="C725">
        <v>0</v>
      </c>
      <c r="D725">
        <v>0</v>
      </c>
      <c r="E725">
        <v>35</v>
      </c>
      <c r="F725">
        <v>0</v>
      </c>
      <c r="G725">
        <v>0</v>
      </c>
      <c r="H725">
        <v>35</v>
      </c>
      <c r="I725">
        <v>1</v>
      </c>
    </row>
    <row r="726" spans="1:9" x14ac:dyDescent="0.35">
      <c r="A726" t="s">
        <v>3000</v>
      </c>
      <c r="B726" t="s">
        <v>1531</v>
      </c>
      <c r="C726">
        <v>88</v>
      </c>
      <c r="D726">
        <v>0</v>
      </c>
      <c r="E726">
        <v>395</v>
      </c>
      <c r="F726">
        <v>33</v>
      </c>
      <c r="G726">
        <v>0</v>
      </c>
      <c r="H726">
        <v>516</v>
      </c>
      <c r="I726">
        <v>3</v>
      </c>
    </row>
    <row r="727" spans="1:9" x14ac:dyDescent="0.35">
      <c r="A727" t="s">
        <v>3016</v>
      </c>
      <c r="B727" t="s">
        <v>1881</v>
      </c>
      <c r="C727">
        <v>15</v>
      </c>
      <c r="D727">
        <v>0</v>
      </c>
      <c r="E727">
        <v>0</v>
      </c>
      <c r="F727">
        <v>0</v>
      </c>
      <c r="G727">
        <v>0</v>
      </c>
      <c r="H727">
        <v>15</v>
      </c>
      <c r="I727">
        <v>1</v>
      </c>
    </row>
    <row r="728" spans="1:9" x14ac:dyDescent="0.35">
      <c r="A728" t="s">
        <v>2659</v>
      </c>
      <c r="B728" t="s">
        <v>1532</v>
      </c>
      <c r="C728">
        <v>138</v>
      </c>
      <c r="D728">
        <v>0</v>
      </c>
      <c r="E728">
        <v>0</v>
      </c>
      <c r="F728">
        <v>0</v>
      </c>
      <c r="G728">
        <v>0</v>
      </c>
      <c r="H728">
        <v>138</v>
      </c>
      <c r="I728">
        <v>3</v>
      </c>
    </row>
    <row r="729" spans="1:9" x14ac:dyDescent="0.35">
      <c r="A729" t="s">
        <v>2256</v>
      </c>
      <c r="B729" t="s">
        <v>1533</v>
      </c>
      <c r="C729">
        <v>0</v>
      </c>
      <c r="D729">
        <v>0</v>
      </c>
      <c r="E729">
        <v>183</v>
      </c>
      <c r="F729">
        <v>0</v>
      </c>
      <c r="G729">
        <v>0</v>
      </c>
      <c r="H729">
        <v>183</v>
      </c>
      <c r="I729">
        <v>2</v>
      </c>
    </row>
    <row r="730" spans="1:9" x14ac:dyDescent="0.35">
      <c r="A730" t="s">
        <v>3092</v>
      </c>
      <c r="B730" t="s">
        <v>1534</v>
      </c>
      <c r="C730">
        <v>286</v>
      </c>
      <c r="D730">
        <v>0</v>
      </c>
      <c r="E730">
        <v>0</v>
      </c>
      <c r="F730">
        <v>73</v>
      </c>
      <c r="G730">
        <v>0</v>
      </c>
      <c r="H730">
        <v>359</v>
      </c>
      <c r="I730">
        <v>8</v>
      </c>
    </row>
    <row r="731" spans="1:9" x14ac:dyDescent="0.35">
      <c r="A731" t="s">
        <v>2496</v>
      </c>
      <c r="B731" t="s">
        <v>1648</v>
      </c>
      <c r="C731">
        <v>558</v>
      </c>
      <c r="D731">
        <v>0</v>
      </c>
      <c r="E731">
        <v>492</v>
      </c>
      <c r="F731">
        <v>466</v>
      </c>
      <c r="G731">
        <v>75</v>
      </c>
      <c r="H731">
        <v>1591</v>
      </c>
      <c r="I731">
        <v>24</v>
      </c>
    </row>
    <row r="732" spans="1:9" x14ac:dyDescent="0.35">
      <c r="A732" t="s">
        <v>2551</v>
      </c>
      <c r="B732" t="s">
        <v>1335</v>
      </c>
      <c r="C732">
        <v>0</v>
      </c>
      <c r="D732">
        <v>0</v>
      </c>
      <c r="E732">
        <v>0</v>
      </c>
      <c r="F732">
        <v>44</v>
      </c>
      <c r="G732">
        <v>0</v>
      </c>
      <c r="H732">
        <v>44</v>
      </c>
      <c r="I732">
        <v>1</v>
      </c>
    </row>
    <row r="733" spans="1:9" x14ac:dyDescent="0.35">
      <c r="A733" t="s">
        <v>2885</v>
      </c>
      <c r="B733" t="s">
        <v>1535</v>
      </c>
      <c r="C733">
        <v>0</v>
      </c>
      <c r="D733">
        <v>0</v>
      </c>
      <c r="E733">
        <v>22</v>
      </c>
      <c r="F733">
        <v>189</v>
      </c>
      <c r="G733">
        <v>0</v>
      </c>
      <c r="H733">
        <v>211</v>
      </c>
      <c r="I733">
        <v>4</v>
      </c>
    </row>
    <row r="734" spans="1:9" x14ac:dyDescent="0.35">
      <c r="A734" t="s">
        <v>3178</v>
      </c>
      <c r="B734" t="s">
        <v>1536</v>
      </c>
      <c r="C734">
        <v>5475</v>
      </c>
      <c r="D734">
        <v>11</v>
      </c>
      <c r="E734">
        <v>0</v>
      </c>
      <c r="F734">
        <v>360</v>
      </c>
      <c r="G734">
        <v>490</v>
      </c>
      <c r="H734">
        <v>6336</v>
      </c>
      <c r="I734">
        <v>10</v>
      </c>
    </row>
    <row r="735" spans="1:9" x14ac:dyDescent="0.35">
      <c r="A735" t="s">
        <v>2907</v>
      </c>
      <c r="B735" t="s">
        <v>2094</v>
      </c>
      <c r="C735">
        <v>0</v>
      </c>
      <c r="D735">
        <v>0</v>
      </c>
      <c r="E735">
        <v>0</v>
      </c>
      <c r="F735">
        <v>21</v>
      </c>
      <c r="G735">
        <v>0</v>
      </c>
      <c r="H735">
        <v>21</v>
      </c>
      <c r="I735">
        <v>1</v>
      </c>
    </row>
    <row r="736" spans="1:9" x14ac:dyDescent="0.35">
      <c r="A736" t="s">
        <v>14292</v>
      </c>
      <c r="B736" t="s">
        <v>14293</v>
      </c>
      <c r="C736">
        <v>0</v>
      </c>
      <c r="D736">
        <v>0</v>
      </c>
      <c r="E736">
        <v>8</v>
      </c>
      <c r="F736">
        <v>0</v>
      </c>
      <c r="G736">
        <v>0</v>
      </c>
      <c r="H736">
        <v>8</v>
      </c>
      <c r="I736">
        <v>1</v>
      </c>
    </row>
    <row r="737" spans="1:9" x14ac:dyDescent="0.35">
      <c r="A737" t="s">
        <v>3231</v>
      </c>
      <c r="B737" t="s">
        <v>1882</v>
      </c>
      <c r="C737">
        <v>0</v>
      </c>
      <c r="D737">
        <v>0</v>
      </c>
      <c r="E737">
        <v>40</v>
      </c>
      <c r="F737">
        <v>0</v>
      </c>
      <c r="G737">
        <v>0</v>
      </c>
      <c r="H737">
        <v>40</v>
      </c>
      <c r="I737">
        <v>1</v>
      </c>
    </row>
    <row r="738" spans="1:9" x14ac:dyDescent="0.35">
      <c r="A738" t="s">
        <v>14294</v>
      </c>
      <c r="B738" t="s">
        <v>14295</v>
      </c>
      <c r="C738">
        <v>7</v>
      </c>
      <c r="D738">
        <v>0</v>
      </c>
      <c r="E738">
        <v>0</v>
      </c>
      <c r="F738">
        <v>0</v>
      </c>
      <c r="G738">
        <v>0</v>
      </c>
      <c r="H738">
        <v>7</v>
      </c>
      <c r="I738">
        <v>1</v>
      </c>
    </row>
    <row r="739" spans="1:9" x14ac:dyDescent="0.35">
      <c r="A739" t="s">
        <v>2854</v>
      </c>
      <c r="B739" t="s">
        <v>2006</v>
      </c>
      <c r="C739">
        <v>0</v>
      </c>
      <c r="D739">
        <v>0</v>
      </c>
      <c r="E739">
        <v>21</v>
      </c>
      <c r="F739">
        <v>16</v>
      </c>
      <c r="G739">
        <v>0</v>
      </c>
      <c r="H739">
        <v>37</v>
      </c>
      <c r="I739">
        <v>1</v>
      </c>
    </row>
    <row r="740" spans="1:9" x14ac:dyDescent="0.35">
      <c r="A740" t="s">
        <v>2802</v>
      </c>
      <c r="B740" t="s">
        <v>1649</v>
      </c>
      <c r="C740">
        <v>39</v>
      </c>
      <c r="D740">
        <v>0</v>
      </c>
      <c r="E740">
        <v>0</v>
      </c>
      <c r="F740">
        <v>0</v>
      </c>
      <c r="G740">
        <v>0</v>
      </c>
      <c r="H740">
        <v>39</v>
      </c>
      <c r="I740">
        <v>1</v>
      </c>
    </row>
    <row r="741" spans="1:9" x14ac:dyDescent="0.35">
      <c r="A741" t="s">
        <v>2716</v>
      </c>
      <c r="B741" t="s">
        <v>1538</v>
      </c>
      <c r="C741">
        <v>0</v>
      </c>
      <c r="D741">
        <v>26</v>
      </c>
      <c r="E741">
        <v>0</v>
      </c>
      <c r="F741">
        <v>0</v>
      </c>
      <c r="G741">
        <v>0</v>
      </c>
      <c r="H741">
        <v>26</v>
      </c>
      <c r="I741">
        <v>1</v>
      </c>
    </row>
    <row r="742" spans="1:9" x14ac:dyDescent="0.35">
      <c r="A742" t="s">
        <v>11460</v>
      </c>
      <c r="B742" t="s">
        <v>11391</v>
      </c>
      <c r="C742">
        <v>25</v>
      </c>
      <c r="D742">
        <v>0</v>
      </c>
      <c r="E742">
        <v>0</v>
      </c>
      <c r="F742">
        <v>0</v>
      </c>
      <c r="G742">
        <v>0</v>
      </c>
      <c r="H742">
        <v>25</v>
      </c>
      <c r="I742">
        <v>1</v>
      </c>
    </row>
    <row r="743" spans="1:9" x14ac:dyDescent="0.35">
      <c r="A743" t="s">
        <v>3171</v>
      </c>
      <c r="B743" t="s">
        <v>1539</v>
      </c>
      <c r="C743">
        <v>6659</v>
      </c>
      <c r="D743">
        <v>0</v>
      </c>
      <c r="E743">
        <v>0</v>
      </c>
      <c r="F743">
        <v>391</v>
      </c>
      <c r="G743">
        <v>148</v>
      </c>
      <c r="H743">
        <v>7198</v>
      </c>
      <c r="I743">
        <v>4</v>
      </c>
    </row>
    <row r="744" spans="1:9" x14ac:dyDescent="0.35">
      <c r="A744" t="s">
        <v>3015</v>
      </c>
      <c r="B744" t="s">
        <v>1337</v>
      </c>
      <c r="C744">
        <v>0</v>
      </c>
      <c r="D744">
        <v>0</v>
      </c>
      <c r="E744">
        <v>0</v>
      </c>
      <c r="F744">
        <v>27</v>
      </c>
      <c r="G744">
        <v>0</v>
      </c>
      <c r="H744">
        <v>27</v>
      </c>
      <c r="I744">
        <v>1</v>
      </c>
    </row>
    <row r="745" spans="1:9" x14ac:dyDescent="0.35">
      <c r="A745" t="s">
        <v>3296</v>
      </c>
      <c r="B745" t="s">
        <v>2172</v>
      </c>
      <c r="C745">
        <v>4</v>
      </c>
      <c r="D745">
        <v>0</v>
      </c>
      <c r="E745">
        <v>15</v>
      </c>
      <c r="F745">
        <v>0</v>
      </c>
      <c r="G745">
        <v>0</v>
      </c>
      <c r="H745">
        <v>19</v>
      </c>
      <c r="I745">
        <v>1</v>
      </c>
    </row>
    <row r="746" spans="1:9" x14ac:dyDescent="0.35">
      <c r="A746" t="s">
        <v>14296</v>
      </c>
      <c r="B746" t="s">
        <v>14297</v>
      </c>
      <c r="C746">
        <v>0</v>
      </c>
      <c r="D746">
        <v>0</v>
      </c>
      <c r="E746">
        <v>0</v>
      </c>
      <c r="F746">
        <v>0</v>
      </c>
      <c r="G746">
        <v>0</v>
      </c>
      <c r="H746">
        <v>0</v>
      </c>
      <c r="I746">
        <v>0</v>
      </c>
    </row>
    <row r="747" spans="1:9" x14ac:dyDescent="0.35">
      <c r="A747" t="s">
        <v>2528</v>
      </c>
      <c r="B747" t="s">
        <v>1338</v>
      </c>
      <c r="C747">
        <v>0</v>
      </c>
      <c r="D747">
        <v>0</v>
      </c>
      <c r="E747">
        <v>0</v>
      </c>
      <c r="F747">
        <v>24</v>
      </c>
      <c r="G747">
        <v>0</v>
      </c>
      <c r="H747">
        <v>24</v>
      </c>
      <c r="I747">
        <v>1</v>
      </c>
    </row>
    <row r="748" spans="1:9" x14ac:dyDescent="0.35">
      <c r="A748" t="s">
        <v>2385</v>
      </c>
      <c r="B748" t="s">
        <v>2007</v>
      </c>
      <c r="C748">
        <v>4</v>
      </c>
      <c r="D748">
        <v>0</v>
      </c>
      <c r="E748">
        <v>0</v>
      </c>
      <c r="F748">
        <v>0</v>
      </c>
      <c r="G748">
        <v>0</v>
      </c>
      <c r="H748">
        <v>4</v>
      </c>
      <c r="I748">
        <v>1</v>
      </c>
    </row>
    <row r="749" spans="1:9" x14ac:dyDescent="0.35">
      <c r="A749" t="s">
        <v>2204</v>
      </c>
      <c r="B749" t="s">
        <v>1753</v>
      </c>
      <c r="C749">
        <v>11506</v>
      </c>
      <c r="D749">
        <v>0</v>
      </c>
      <c r="E749">
        <v>0</v>
      </c>
      <c r="F749">
        <v>967</v>
      </c>
      <c r="G749">
        <v>48</v>
      </c>
      <c r="H749">
        <v>12521</v>
      </c>
      <c r="I749">
        <v>1</v>
      </c>
    </row>
    <row r="750" spans="1:9" x14ac:dyDescent="0.35">
      <c r="A750" t="s">
        <v>3259</v>
      </c>
      <c r="B750" t="s">
        <v>1885</v>
      </c>
      <c r="C750">
        <v>0</v>
      </c>
      <c r="D750">
        <v>0</v>
      </c>
      <c r="E750">
        <v>0</v>
      </c>
      <c r="F750">
        <v>124</v>
      </c>
      <c r="G750">
        <v>0</v>
      </c>
      <c r="H750">
        <v>124</v>
      </c>
      <c r="I750">
        <v>1</v>
      </c>
    </row>
    <row r="751" spans="1:9" x14ac:dyDescent="0.35">
      <c r="A751" t="s">
        <v>2967</v>
      </c>
      <c r="B751" t="s">
        <v>1886</v>
      </c>
      <c r="C751">
        <v>8</v>
      </c>
      <c r="D751">
        <v>0</v>
      </c>
      <c r="E751">
        <v>0</v>
      </c>
      <c r="F751">
        <v>16</v>
      </c>
      <c r="G751">
        <v>0</v>
      </c>
      <c r="H751">
        <v>24</v>
      </c>
      <c r="I751">
        <v>1</v>
      </c>
    </row>
    <row r="752" spans="1:9" x14ac:dyDescent="0.35">
      <c r="A752" t="s">
        <v>2462</v>
      </c>
      <c r="B752" t="s">
        <v>2173</v>
      </c>
      <c r="C752">
        <v>0</v>
      </c>
      <c r="D752">
        <v>0</v>
      </c>
      <c r="E752">
        <v>0</v>
      </c>
      <c r="F752">
        <v>15</v>
      </c>
      <c r="G752">
        <v>0</v>
      </c>
      <c r="H752">
        <v>15</v>
      </c>
      <c r="I752">
        <v>1</v>
      </c>
    </row>
    <row r="753" spans="1:9" x14ac:dyDescent="0.35">
      <c r="A753" t="s">
        <v>3323</v>
      </c>
      <c r="B753" t="s">
        <v>2008</v>
      </c>
      <c r="C753">
        <v>5223</v>
      </c>
      <c r="D753">
        <v>135</v>
      </c>
      <c r="E753">
        <v>177</v>
      </c>
      <c r="F753">
        <v>588</v>
      </c>
      <c r="G753">
        <v>328</v>
      </c>
      <c r="H753">
        <v>6451</v>
      </c>
      <c r="I753">
        <v>16</v>
      </c>
    </row>
    <row r="754" spans="1:9" x14ac:dyDescent="0.35">
      <c r="A754" t="s">
        <v>14298</v>
      </c>
      <c r="B754" t="s">
        <v>14299</v>
      </c>
      <c r="C754">
        <v>0</v>
      </c>
      <c r="D754">
        <v>0</v>
      </c>
      <c r="E754">
        <v>0</v>
      </c>
      <c r="F754">
        <v>0</v>
      </c>
      <c r="G754">
        <v>0</v>
      </c>
      <c r="H754">
        <v>0</v>
      </c>
      <c r="I754">
        <v>0</v>
      </c>
    </row>
    <row r="755" spans="1:9" x14ac:dyDescent="0.35">
      <c r="A755" t="s">
        <v>3320</v>
      </c>
      <c r="B755" t="s">
        <v>1887</v>
      </c>
      <c r="C755">
        <v>1901</v>
      </c>
      <c r="D755">
        <v>0</v>
      </c>
      <c r="E755">
        <v>6</v>
      </c>
      <c r="F755">
        <v>185</v>
      </c>
      <c r="G755">
        <v>192</v>
      </c>
      <c r="H755">
        <v>2284</v>
      </c>
      <c r="I755">
        <v>7</v>
      </c>
    </row>
    <row r="756" spans="1:9" x14ac:dyDescent="0.35">
      <c r="A756" t="s">
        <v>3271</v>
      </c>
      <c r="B756" t="s">
        <v>1540</v>
      </c>
      <c r="C756">
        <v>390</v>
      </c>
      <c r="D756">
        <v>0</v>
      </c>
      <c r="E756">
        <v>0</v>
      </c>
      <c r="F756">
        <v>27</v>
      </c>
      <c r="G756">
        <v>0</v>
      </c>
      <c r="H756">
        <v>417</v>
      </c>
      <c r="I756">
        <v>12</v>
      </c>
    </row>
    <row r="757" spans="1:9" x14ac:dyDescent="0.35">
      <c r="A757" t="s">
        <v>2403</v>
      </c>
      <c r="B757" t="s">
        <v>1888</v>
      </c>
      <c r="C757">
        <v>9</v>
      </c>
      <c r="D757">
        <v>0</v>
      </c>
      <c r="E757">
        <v>0</v>
      </c>
      <c r="F757">
        <v>0</v>
      </c>
      <c r="G757">
        <v>0</v>
      </c>
      <c r="H757">
        <v>9</v>
      </c>
      <c r="I757">
        <v>2</v>
      </c>
    </row>
    <row r="758" spans="1:9" x14ac:dyDescent="0.35">
      <c r="A758" t="s">
        <v>2708</v>
      </c>
      <c r="B758" t="s">
        <v>1231</v>
      </c>
      <c r="C758">
        <v>119</v>
      </c>
      <c r="D758">
        <v>0</v>
      </c>
      <c r="E758">
        <v>0</v>
      </c>
      <c r="F758">
        <v>0</v>
      </c>
      <c r="G758">
        <v>0</v>
      </c>
      <c r="H758">
        <v>119</v>
      </c>
      <c r="I758">
        <v>1</v>
      </c>
    </row>
    <row r="759" spans="1:9" x14ac:dyDescent="0.35">
      <c r="A759" t="s">
        <v>2920</v>
      </c>
      <c r="B759" t="s">
        <v>1541</v>
      </c>
      <c r="C759">
        <v>0</v>
      </c>
      <c r="D759">
        <v>0</v>
      </c>
      <c r="E759">
        <v>16</v>
      </c>
      <c r="F759">
        <v>0</v>
      </c>
      <c r="G759">
        <v>0</v>
      </c>
      <c r="H759">
        <v>16</v>
      </c>
      <c r="I759">
        <v>1</v>
      </c>
    </row>
    <row r="760" spans="1:9" x14ac:dyDescent="0.35">
      <c r="A760" t="s">
        <v>2584</v>
      </c>
      <c r="B760" t="s">
        <v>1889</v>
      </c>
      <c r="C760">
        <v>0</v>
      </c>
      <c r="D760">
        <v>0</v>
      </c>
      <c r="E760">
        <v>0</v>
      </c>
      <c r="F760">
        <v>25</v>
      </c>
      <c r="G760">
        <v>0</v>
      </c>
      <c r="H760">
        <v>25</v>
      </c>
      <c r="I760">
        <v>1</v>
      </c>
    </row>
    <row r="761" spans="1:9" x14ac:dyDescent="0.35">
      <c r="A761" t="s">
        <v>3055</v>
      </c>
      <c r="B761" t="s">
        <v>1890</v>
      </c>
      <c r="C761">
        <v>0</v>
      </c>
      <c r="D761">
        <v>0</v>
      </c>
      <c r="E761">
        <v>0</v>
      </c>
      <c r="F761">
        <v>32</v>
      </c>
      <c r="G761">
        <v>0</v>
      </c>
      <c r="H761">
        <v>32</v>
      </c>
      <c r="I761">
        <v>1</v>
      </c>
    </row>
    <row r="762" spans="1:9" x14ac:dyDescent="0.35">
      <c r="A762" t="s">
        <v>2787</v>
      </c>
      <c r="B762" t="s">
        <v>1754</v>
      </c>
      <c r="C762">
        <v>37</v>
      </c>
      <c r="D762">
        <v>0</v>
      </c>
      <c r="E762">
        <v>0</v>
      </c>
      <c r="F762">
        <v>0</v>
      </c>
      <c r="G762">
        <v>0</v>
      </c>
      <c r="H762">
        <v>37</v>
      </c>
      <c r="I762">
        <v>1</v>
      </c>
    </row>
    <row r="763" spans="1:9" x14ac:dyDescent="0.35">
      <c r="A763" t="s">
        <v>2205</v>
      </c>
      <c r="B763" t="s">
        <v>1232</v>
      </c>
      <c r="C763">
        <v>132</v>
      </c>
      <c r="D763">
        <v>0</v>
      </c>
      <c r="E763">
        <v>0</v>
      </c>
      <c r="F763">
        <v>0</v>
      </c>
      <c r="G763">
        <v>0</v>
      </c>
      <c r="H763">
        <v>132</v>
      </c>
      <c r="I763">
        <v>1</v>
      </c>
    </row>
    <row r="764" spans="1:9" x14ac:dyDescent="0.35">
      <c r="A764" t="s">
        <v>2465</v>
      </c>
      <c r="B764" t="s">
        <v>1891</v>
      </c>
      <c r="C764">
        <v>0</v>
      </c>
      <c r="D764">
        <v>0</v>
      </c>
      <c r="E764">
        <v>0</v>
      </c>
      <c r="F764">
        <v>15</v>
      </c>
      <c r="G764">
        <v>0</v>
      </c>
      <c r="H764">
        <v>15</v>
      </c>
      <c r="I764">
        <v>1</v>
      </c>
    </row>
    <row r="765" spans="1:9" x14ac:dyDescent="0.35">
      <c r="A765" t="s">
        <v>14300</v>
      </c>
      <c r="B765" t="s">
        <v>14301</v>
      </c>
      <c r="C765">
        <v>0</v>
      </c>
      <c r="D765">
        <v>0</v>
      </c>
      <c r="E765">
        <v>0</v>
      </c>
      <c r="F765">
        <v>0</v>
      </c>
      <c r="G765">
        <v>0</v>
      </c>
      <c r="H765">
        <v>0</v>
      </c>
      <c r="I765">
        <v>0</v>
      </c>
    </row>
    <row r="766" spans="1:9" x14ac:dyDescent="0.35">
      <c r="A766" t="s">
        <v>3358</v>
      </c>
      <c r="B766" t="s">
        <v>1339</v>
      </c>
      <c r="C766">
        <v>5425</v>
      </c>
      <c r="D766">
        <v>0</v>
      </c>
      <c r="E766">
        <v>138</v>
      </c>
      <c r="F766">
        <v>575</v>
      </c>
      <c r="G766">
        <v>221</v>
      </c>
      <c r="H766">
        <v>6359</v>
      </c>
      <c r="I766">
        <v>23</v>
      </c>
    </row>
    <row r="767" spans="1:9" x14ac:dyDescent="0.35">
      <c r="A767" t="s">
        <v>2213</v>
      </c>
      <c r="B767" t="s">
        <v>1233</v>
      </c>
      <c r="C767">
        <v>1454</v>
      </c>
      <c r="D767">
        <v>0</v>
      </c>
      <c r="E767">
        <v>0</v>
      </c>
      <c r="F767">
        <v>0</v>
      </c>
      <c r="G767">
        <v>3106</v>
      </c>
      <c r="H767">
        <v>4560</v>
      </c>
      <c r="I767">
        <v>119</v>
      </c>
    </row>
    <row r="768" spans="1:9" x14ac:dyDescent="0.35">
      <c r="A768" t="s">
        <v>11461</v>
      </c>
      <c r="B768" t="s">
        <v>11368</v>
      </c>
      <c r="C768">
        <v>3321</v>
      </c>
      <c r="D768">
        <v>0</v>
      </c>
      <c r="E768">
        <v>0</v>
      </c>
      <c r="F768">
        <v>0</v>
      </c>
      <c r="G768">
        <v>0</v>
      </c>
      <c r="H768">
        <v>3321</v>
      </c>
      <c r="I768">
        <v>97</v>
      </c>
    </row>
    <row r="769" spans="1:9" x14ac:dyDescent="0.35">
      <c r="A769" t="s">
        <v>14302</v>
      </c>
      <c r="B769" t="s">
        <v>14303</v>
      </c>
      <c r="C769">
        <v>0</v>
      </c>
      <c r="D769">
        <v>0</v>
      </c>
      <c r="E769">
        <v>0</v>
      </c>
      <c r="F769">
        <v>0</v>
      </c>
      <c r="G769">
        <v>0</v>
      </c>
      <c r="H769">
        <v>0</v>
      </c>
      <c r="I769">
        <v>0</v>
      </c>
    </row>
    <row r="770" spans="1:9" x14ac:dyDescent="0.35">
      <c r="A770" t="s">
        <v>2431</v>
      </c>
      <c r="B770" t="s">
        <v>2009</v>
      </c>
      <c r="C770">
        <v>35</v>
      </c>
      <c r="D770">
        <v>0</v>
      </c>
      <c r="E770">
        <v>0</v>
      </c>
      <c r="F770">
        <v>191</v>
      </c>
      <c r="G770">
        <v>0</v>
      </c>
      <c r="H770">
        <v>226</v>
      </c>
      <c r="I770">
        <v>1</v>
      </c>
    </row>
    <row r="771" spans="1:9" x14ac:dyDescent="0.35">
      <c r="A771" t="s">
        <v>2206</v>
      </c>
      <c r="B771" t="s">
        <v>1755</v>
      </c>
      <c r="C771">
        <v>7624</v>
      </c>
      <c r="D771">
        <v>14</v>
      </c>
      <c r="E771">
        <v>0</v>
      </c>
      <c r="F771">
        <v>297</v>
      </c>
      <c r="G771">
        <v>0</v>
      </c>
      <c r="H771">
        <v>7935</v>
      </c>
      <c r="I771">
        <v>1</v>
      </c>
    </row>
    <row r="772" spans="1:9" x14ac:dyDescent="0.35">
      <c r="A772" t="s">
        <v>3291</v>
      </c>
      <c r="B772" t="s">
        <v>1234</v>
      </c>
      <c r="C772">
        <v>1254</v>
      </c>
      <c r="D772">
        <v>11</v>
      </c>
      <c r="E772">
        <v>1967</v>
      </c>
      <c r="F772">
        <v>291</v>
      </c>
      <c r="G772">
        <v>0</v>
      </c>
      <c r="H772">
        <v>3523</v>
      </c>
      <c r="I772">
        <v>74</v>
      </c>
    </row>
    <row r="773" spans="1:9" x14ac:dyDescent="0.35">
      <c r="A773" t="s">
        <v>2564</v>
      </c>
      <c r="B773" t="s">
        <v>2096</v>
      </c>
      <c r="C773">
        <v>10</v>
      </c>
      <c r="D773">
        <v>0</v>
      </c>
      <c r="E773">
        <v>0</v>
      </c>
      <c r="F773">
        <v>0</v>
      </c>
      <c r="G773">
        <v>0</v>
      </c>
      <c r="H773">
        <v>10</v>
      </c>
      <c r="I773">
        <v>1</v>
      </c>
    </row>
    <row r="774" spans="1:9" x14ac:dyDescent="0.35">
      <c r="A774" t="s">
        <v>14304</v>
      </c>
      <c r="B774" t="s">
        <v>14305</v>
      </c>
      <c r="C774">
        <v>0</v>
      </c>
      <c r="D774">
        <v>0</v>
      </c>
      <c r="E774">
        <v>0</v>
      </c>
      <c r="F774">
        <v>0</v>
      </c>
      <c r="G774">
        <v>0</v>
      </c>
      <c r="H774">
        <v>0</v>
      </c>
      <c r="I774">
        <v>0</v>
      </c>
    </row>
    <row r="775" spans="1:9" x14ac:dyDescent="0.35">
      <c r="A775" t="s">
        <v>2243</v>
      </c>
      <c r="B775" t="s">
        <v>1235</v>
      </c>
      <c r="C775">
        <v>3450</v>
      </c>
      <c r="D775">
        <v>0</v>
      </c>
      <c r="E775">
        <v>909</v>
      </c>
      <c r="F775">
        <v>495</v>
      </c>
      <c r="G775">
        <v>990</v>
      </c>
      <c r="H775">
        <v>5844</v>
      </c>
      <c r="I775">
        <v>87</v>
      </c>
    </row>
    <row r="776" spans="1:9" x14ac:dyDescent="0.35">
      <c r="A776" t="s">
        <v>2974</v>
      </c>
      <c r="B776" t="s">
        <v>1126</v>
      </c>
      <c r="C776">
        <v>48810</v>
      </c>
      <c r="D776">
        <v>518</v>
      </c>
      <c r="E776">
        <v>3439</v>
      </c>
      <c r="F776">
        <v>10423</v>
      </c>
      <c r="G776">
        <v>2534</v>
      </c>
      <c r="H776">
        <v>65724</v>
      </c>
      <c r="I776">
        <v>217</v>
      </c>
    </row>
    <row r="777" spans="1:9" x14ac:dyDescent="0.35">
      <c r="A777" t="s">
        <v>3250</v>
      </c>
      <c r="B777" t="s">
        <v>1128</v>
      </c>
      <c r="C777">
        <v>388</v>
      </c>
      <c r="D777">
        <v>0</v>
      </c>
      <c r="E777">
        <v>0</v>
      </c>
      <c r="F777">
        <v>32</v>
      </c>
      <c r="G777">
        <v>0</v>
      </c>
      <c r="H777">
        <v>420</v>
      </c>
      <c r="I777">
        <v>3</v>
      </c>
    </row>
    <row r="778" spans="1:9" x14ac:dyDescent="0.35">
      <c r="A778" t="s">
        <v>2402</v>
      </c>
      <c r="B778" t="s">
        <v>2097</v>
      </c>
      <c r="C778">
        <v>2</v>
      </c>
      <c r="D778">
        <v>0</v>
      </c>
      <c r="E778">
        <v>18</v>
      </c>
      <c r="F778">
        <v>0</v>
      </c>
      <c r="G778">
        <v>0</v>
      </c>
      <c r="H778">
        <v>20</v>
      </c>
      <c r="I778">
        <v>1</v>
      </c>
    </row>
    <row r="779" spans="1:9" x14ac:dyDescent="0.35">
      <c r="A779" t="s">
        <v>2862</v>
      </c>
      <c r="B779" t="s">
        <v>1340</v>
      </c>
      <c r="C779">
        <v>93</v>
      </c>
      <c r="D779">
        <v>41</v>
      </c>
      <c r="E779">
        <v>150</v>
      </c>
      <c r="F779">
        <v>0</v>
      </c>
      <c r="G779">
        <v>0</v>
      </c>
      <c r="H779">
        <v>284</v>
      </c>
      <c r="I779">
        <v>4</v>
      </c>
    </row>
    <row r="780" spans="1:9" x14ac:dyDescent="0.35">
      <c r="A780" t="s">
        <v>3172</v>
      </c>
      <c r="B780" t="s">
        <v>1892</v>
      </c>
      <c r="C780">
        <v>4241</v>
      </c>
      <c r="D780">
        <v>0</v>
      </c>
      <c r="E780">
        <v>73</v>
      </c>
      <c r="F780">
        <v>1408</v>
      </c>
      <c r="G780">
        <v>395</v>
      </c>
      <c r="H780">
        <v>6117</v>
      </c>
      <c r="I780">
        <v>13</v>
      </c>
    </row>
    <row r="781" spans="1:9" x14ac:dyDescent="0.35">
      <c r="A781" t="s">
        <v>14306</v>
      </c>
      <c r="B781" t="s">
        <v>14307</v>
      </c>
      <c r="C781">
        <v>0</v>
      </c>
      <c r="D781">
        <v>0</v>
      </c>
      <c r="E781">
        <v>0</v>
      </c>
      <c r="F781">
        <v>0</v>
      </c>
      <c r="G781">
        <v>0</v>
      </c>
      <c r="H781">
        <v>0</v>
      </c>
      <c r="I781">
        <v>0</v>
      </c>
    </row>
    <row r="782" spans="1:9" x14ac:dyDescent="0.35">
      <c r="A782" t="s">
        <v>3327</v>
      </c>
      <c r="B782" t="s">
        <v>2010</v>
      </c>
      <c r="C782">
        <v>4972</v>
      </c>
      <c r="D782">
        <v>0</v>
      </c>
      <c r="E782">
        <v>82</v>
      </c>
      <c r="F782">
        <v>1415</v>
      </c>
      <c r="G782">
        <v>308</v>
      </c>
      <c r="H782">
        <v>6777</v>
      </c>
      <c r="I782">
        <v>3</v>
      </c>
    </row>
    <row r="783" spans="1:9" x14ac:dyDescent="0.35">
      <c r="A783" t="s">
        <v>2764</v>
      </c>
      <c r="B783" t="s">
        <v>1893</v>
      </c>
      <c r="C783">
        <v>77</v>
      </c>
      <c r="D783">
        <v>0</v>
      </c>
      <c r="E783">
        <v>0</v>
      </c>
      <c r="F783">
        <v>0</v>
      </c>
      <c r="G783">
        <v>0</v>
      </c>
      <c r="H783">
        <v>77</v>
      </c>
      <c r="I783">
        <v>1</v>
      </c>
    </row>
    <row r="784" spans="1:9" x14ac:dyDescent="0.35">
      <c r="A784" t="s">
        <v>2757</v>
      </c>
      <c r="B784" t="s">
        <v>1756</v>
      </c>
      <c r="C784">
        <v>28</v>
      </c>
      <c r="D784">
        <v>0</v>
      </c>
      <c r="E784">
        <v>0</v>
      </c>
      <c r="F784">
        <v>0</v>
      </c>
      <c r="G784">
        <v>0</v>
      </c>
      <c r="H784">
        <v>28</v>
      </c>
      <c r="I784">
        <v>1</v>
      </c>
    </row>
    <row r="785" spans="1:9" x14ac:dyDescent="0.35">
      <c r="A785" t="s">
        <v>3183</v>
      </c>
      <c r="B785" t="s">
        <v>1341</v>
      </c>
      <c r="C785">
        <v>7601</v>
      </c>
      <c r="D785">
        <v>0</v>
      </c>
      <c r="E785">
        <v>105</v>
      </c>
      <c r="F785">
        <v>743</v>
      </c>
      <c r="G785">
        <v>514</v>
      </c>
      <c r="H785">
        <v>8963</v>
      </c>
      <c r="I785">
        <v>14</v>
      </c>
    </row>
    <row r="786" spans="1:9" x14ac:dyDescent="0.35">
      <c r="A786" t="s">
        <v>11462</v>
      </c>
      <c r="B786" t="s">
        <v>11392</v>
      </c>
      <c r="C786">
        <v>3</v>
      </c>
      <c r="D786">
        <v>0</v>
      </c>
      <c r="E786">
        <v>0</v>
      </c>
      <c r="F786">
        <v>0</v>
      </c>
      <c r="G786">
        <v>0</v>
      </c>
      <c r="H786">
        <v>3</v>
      </c>
      <c r="I786">
        <v>1</v>
      </c>
    </row>
    <row r="787" spans="1:9" x14ac:dyDescent="0.35">
      <c r="A787" t="s">
        <v>2468</v>
      </c>
      <c r="B787" t="s">
        <v>1236</v>
      </c>
      <c r="C787">
        <v>0</v>
      </c>
      <c r="D787">
        <v>0</v>
      </c>
      <c r="E787">
        <v>0</v>
      </c>
      <c r="F787">
        <v>8</v>
      </c>
      <c r="G787">
        <v>0</v>
      </c>
      <c r="H787">
        <v>8</v>
      </c>
      <c r="I787">
        <v>1</v>
      </c>
    </row>
    <row r="788" spans="1:9" x14ac:dyDescent="0.35">
      <c r="A788" t="s">
        <v>3346</v>
      </c>
      <c r="B788" t="s">
        <v>2098</v>
      </c>
      <c r="C788">
        <v>0</v>
      </c>
      <c r="D788">
        <v>0</v>
      </c>
      <c r="E788">
        <v>0</v>
      </c>
      <c r="F788">
        <v>0</v>
      </c>
      <c r="G788">
        <v>0</v>
      </c>
      <c r="H788">
        <v>0</v>
      </c>
      <c r="I788">
        <v>0</v>
      </c>
    </row>
    <row r="789" spans="1:9" x14ac:dyDescent="0.35">
      <c r="A789" t="s">
        <v>14308</v>
      </c>
      <c r="B789" t="s">
        <v>14309</v>
      </c>
      <c r="C789">
        <v>88</v>
      </c>
      <c r="D789">
        <v>0</v>
      </c>
      <c r="E789">
        <v>0</v>
      </c>
      <c r="F789">
        <v>0</v>
      </c>
      <c r="G789">
        <v>0</v>
      </c>
      <c r="H789">
        <v>88</v>
      </c>
      <c r="I789">
        <v>2</v>
      </c>
    </row>
    <row r="790" spans="1:9" x14ac:dyDescent="0.35">
      <c r="A790" t="s">
        <v>2367</v>
      </c>
      <c r="B790" t="s">
        <v>1542</v>
      </c>
      <c r="C790">
        <v>11</v>
      </c>
      <c r="D790">
        <v>0</v>
      </c>
      <c r="E790">
        <v>0</v>
      </c>
      <c r="F790">
        <v>0</v>
      </c>
      <c r="G790">
        <v>0</v>
      </c>
      <c r="H790">
        <v>11</v>
      </c>
      <c r="I790">
        <v>1</v>
      </c>
    </row>
    <row r="791" spans="1:9" x14ac:dyDescent="0.35">
      <c r="A791" t="s">
        <v>2701</v>
      </c>
      <c r="B791" t="s">
        <v>2099</v>
      </c>
      <c r="C791">
        <v>76</v>
      </c>
      <c r="D791">
        <v>0</v>
      </c>
      <c r="E791">
        <v>0</v>
      </c>
      <c r="F791">
        <v>0</v>
      </c>
      <c r="G791">
        <v>0</v>
      </c>
      <c r="H791">
        <v>76</v>
      </c>
      <c r="I791">
        <v>1</v>
      </c>
    </row>
    <row r="792" spans="1:9" x14ac:dyDescent="0.35">
      <c r="A792" t="s">
        <v>3322</v>
      </c>
      <c r="B792" t="s">
        <v>2011</v>
      </c>
      <c r="C792">
        <v>746</v>
      </c>
      <c r="D792">
        <v>0</v>
      </c>
      <c r="E792">
        <v>0</v>
      </c>
      <c r="F792">
        <v>0</v>
      </c>
      <c r="G792">
        <v>0</v>
      </c>
      <c r="H792">
        <v>746</v>
      </c>
      <c r="I792">
        <v>2</v>
      </c>
    </row>
    <row r="793" spans="1:9" x14ac:dyDescent="0.35">
      <c r="A793" t="s">
        <v>14310</v>
      </c>
      <c r="B793" t="s">
        <v>14311</v>
      </c>
      <c r="C793">
        <v>0</v>
      </c>
      <c r="D793">
        <v>0</v>
      </c>
      <c r="E793">
        <v>0</v>
      </c>
      <c r="F793">
        <v>0</v>
      </c>
      <c r="G793">
        <v>0</v>
      </c>
      <c r="H793">
        <v>0</v>
      </c>
      <c r="I793">
        <v>0</v>
      </c>
    </row>
    <row r="794" spans="1:9" x14ac:dyDescent="0.35">
      <c r="A794" t="s">
        <v>14312</v>
      </c>
      <c r="B794" t="s">
        <v>14313</v>
      </c>
      <c r="C794">
        <v>0</v>
      </c>
      <c r="D794">
        <v>0</v>
      </c>
      <c r="E794">
        <v>0</v>
      </c>
      <c r="F794">
        <v>0</v>
      </c>
      <c r="G794">
        <v>0</v>
      </c>
      <c r="H794">
        <v>0</v>
      </c>
      <c r="I794">
        <v>0</v>
      </c>
    </row>
    <row r="795" spans="1:9" x14ac:dyDescent="0.35">
      <c r="A795" t="s">
        <v>3237</v>
      </c>
      <c r="B795" t="s">
        <v>1342</v>
      </c>
      <c r="C795">
        <v>3434</v>
      </c>
      <c r="D795">
        <v>0</v>
      </c>
      <c r="E795">
        <v>232</v>
      </c>
      <c r="F795">
        <v>73</v>
      </c>
      <c r="G795">
        <v>712</v>
      </c>
      <c r="H795">
        <v>4451</v>
      </c>
      <c r="I795">
        <v>36</v>
      </c>
    </row>
    <row r="796" spans="1:9" x14ac:dyDescent="0.35">
      <c r="A796" t="s">
        <v>14314</v>
      </c>
      <c r="B796" t="s">
        <v>2012</v>
      </c>
      <c r="C796">
        <v>0</v>
      </c>
      <c r="D796">
        <v>0</v>
      </c>
      <c r="E796">
        <v>0</v>
      </c>
      <c r="F796">
        <v>12</v>
      </c>
      <c r="G796">
        <v>0</v>
      </c>
      <c r="H796">
        <v>12</v>
      </c>
      <c r="I796">
        <v>1</v>
      </c>
    </row>
    <row r="797" spans="1:9" x14ac:dyDescent="0.35">
      <c r="A797" t="s">
        <v>2443</v>
      </c>
      <c r="B797" t="s">
        <v>2012</v>
      </c>
      <c r="C797">
        <v>0</v>
      </c>
      <c r="D797">
        <v>0</v>
      </c>
      <c r="E797">
        <v>0</v>
      </c>
      <c r="F797">
        <v>0</v>
      </c>
      <c r="G797">
        <v>0</v>
      </c>
      <c r="H797">
        <v>0</v>
      </c>
      <c r="I797">
        <v>0</v>
      </c>
    </row>
    <row r="798" spans="1:9" x14ac:dyDescent="0.35">
      <c r="A798" t="s">
        <v>3010</v>
      </c>
      <c r="B798" t="s">
        <v>1894</v>
      </c>
      <c r="C798">
        <v>0</v>
      </c>
      <c r="D798">
        <v>0</v>
      </c>
      <c r="E798">
        <v>0</v>
      </c>
      <c r="F798">
        <v>94</v>
      </c>
      <c r="G798">
        <v>0</v>
      </c>
      <c r="H798">
        <v>94</v>
      </c>
      <c r="I798">
        <v>1</v>
      </c>
    </row>
    <row r="799" spans="1:9" x14ac:dyDescent="0.35">
      <c r="A799" t="s">
        <v>2580</v>
      </c>
      <c r="B799" t="s">
        <v>1650</v>
      </c>
      <c r="C799">
        <v>0</v>
      </c>
      <c r="D799">
        <v>0</v>
      </c>
      <c r="E799">
        <v>18</v>
      </c>
      <c r="F799">
        <v>7</v>
      </c>
      <c r="G799">
        <v>0</v>
      </c>
      <c r="H799">
        <v>25</v>
      </c>
      <c r="I799">
        <v>1</v>
      </c>
    </row>
    <row r="800" spans="1:9" x14ac:dyDescent="0.35">
      <c r="A800" t="s">
        <v>3309</v>
      </c>
      <c r="B800" t="s">
        <v>1543</v>
      </c>
      <c r="C800">
        <v>455</v>
      </c>
      <c r="D800">
        <v>0</v>
      </c>
      <c r="E800">
        <v>34</v>
      </c>
      <c r="F800">
        <v>0</v>
      </c>
      <c r="G800">
        <v>0</v>
      </c>
      <c r="H800">
        <v>489</v>
      </c>
      <c r="I800">
        <v>3</v>
      </c>
    </row>
    <row r="801" spans="1:9" x14ac:dyDescent="0.35">
      <c r="A801" t="s">
        <v>2753</v>
      </c>
      <c r="B801" t="s">
        <v>1757</v>
      </c>
      <c r="C801">
        <v>46</v>
      </c>
      <c r="D801">
        <v>0</v>
      </c>
      <c r="E801">
        <v>0</v>
      </c>
      <c r="F801">
        <v>0</v>
      </c>
      <c r="G801">
        <v>0</v>
      </c>
      <c r="H801">
        <v>46</v>
      </c>
      <c r="I801">
        <v>1</v>
      </c>
    </row>
    <row r="802" spans="1:9" x14ac:dyDescent="0.35">
      <c r="A802" t="s">
        <v>2823</v>
      </c>
      <c r="B802" t="s">
        <v>1895</v>
      </c>
      <c r="C802">
        <v>19</v>
      </c>
      <c r="D802">
        <v>0</v>
      </c>
      <c r="E802">
        <v>0</v>
      </c>
      <c r="F802">
        <v>0</v>
      </c>
      <c r="G802">
        <v>0</v>
      </c>
      <c r="H802">
        <v>19</v>
      </c>
      <c r="I802">
        <v>1</v>
      </c>
    </row>
    <row r="803" spans="1:9" x14ac:dyDescent="0.35">
      <c r="A803" t="s">
        <v>2338</v>
      </c>
      <c r="B803" t="s">
        <v>2100</v>
      </c>
      <c r="C803">
        <v>0</v>
      </c>
      <c r="D803">
        <v>0</v>
      </c>
      <c r="E803">
        <v>0</v>
      </c>
      <c r="F803">
        <v>51</v>
      </c>
      <c r="G803">
        <v>0</v>
      </c>
      <c r="H803">
        <v>51</v>
      </c>
      <c r="I803">
        <v>1</v>
      </c>
    </row>
    <row r="804" spans="1:9" x14ac:dyDescent="0.35">
      <c r="A804" t="s">
        <v>2834</v>
      </c>
      <c r="B804" t="s">
        <v>2101</v>
      </c>
      <c r="C804">
        <v>0</v>
      </c>
      <c r="D804">
        <v>0</v>
      </c>
      <c r="E804">
        <v>21</v>
      </c>
      <c r="F804">
        <v>0</v>
      </c>
      <c r="G804">
        <v>0</v>
      </c>
      <c r="H804">
        <v>21</v>
      </c>
      <c r="I804">
        <v>1</v>
      </c>
    </row>
    <row r="805" spans="1:9" x14ac:dyDescent="0.35">
      <c r="A805" t="s">
        <v>3054</v>
      </c>
      <c r="B805" t="s">
        <v>2102</v>
      </c>
      <c r="C805">
        <v>281</v>
      </c>
      <c r="D805">
        <v>0</v>
      </c>
      <c r="E805">
        <v>0</v>
      </c>
      <c r="F805">
        <v>20</v>
      </c>
      <c r="G805">
        <v>0</v>
      </c>
      <c r="H805">
        <v>301</v>
      </c>
      <c r="I805">
        <v>2</v>
      </c>
    </row>
    <row r="806" spans="1:9" x14ac:dyDescent="0.35">
      <c r="A806" t="s">
        <v>2837</v>
      </c>
      <c r="B806" t="s">
        <v>2013</v>
      </c>
      <c r="C806">
        <v>0</v>
      </c>
      <c r="D806">
        <v>0</v>
      </c>
      <c r="E806">
        <v>0</v>
      </c>
      <c r="F806">
        <v>25</v>
      </c>
      <c r="G806">
        <v>0</v>
      </c>
      <c r="H806">
        <v>25</v>
      </c>
      <c r="I806">
        <v>1</v>
      </c>
    </row>
    <row r="807" spans="1:9" x14ac:dyDescent="0.35">
      <c r="A807" t="s">
        <v>3216</v>
      </c>
      <c r="B807" t="s">
        <v>1896</v>
      </c>
      <c r="C807">
        <v>6059</v>
      </c>
      <c r="D807">
        <v>0</v>
      </c>
      <c r="E807">
        <v>47</v>
      </c>
      <c r="F807">
        <v>350</v>
      </c>
      <c r="G807">
        <v>408</v>
      </c>
      <c r="H807">
        <v>6864</v>
      </c>
      <c r="I807">
        <v>7</v>
      </c>
    </row>
    <row r="808" spans="1:9" x14ac:dyDescent="0.35">
      <c r="A808" t="s">
        <v>2450</v>
      </c>
      <c r="B808" t="s">
        <v>1651</v>
      </c>
      <c r="C808">
        <v>0</v>
      </c>
      <c r="D808">
        <v>0</v>
      </c>
      <c r="E808">
        <v>0</v>
      </c>
      <c r="F808">
        <v>55</v>
      </c>
      <c r="G808">
        <v>0</v>
      </c>
      <c r="H808">
        <v>55</v>
      </c>
      <c r="I808">
        <v>1</v>
      </c>
    </row>
    <row r="809" spans="1:9" x14ac:dyDescent="0.35">
      <c r="A809" t="s">
        <v>11463</v>
      </c>
      <c r="B809" t="s">
        <v>11432</v>
      </c>
      <c r="C809">
        <v>0</v>
      </c>
      <c r="D809">
        <v>0</v>
      </c>
      <c r="E809">
        <v>0</v>
      </c>
      <c r="F809">
        <v>6</v>
      </c>
      <c r="G809">
        <v>0</v>
      </c>
      <c r="H809">
        <v>6</v>
      </c>
      <c r="I809">
        <v>1</v>
      </c>
    </row>
    <row r="810" spans="1:9" x14ac:dyDescent="0.35">
      <c r="A810" t="s">
        <v>2458</v>
      </c>
      <c r="B810" t="s">
        <v>2103</v>
      </c>
      <c r="C810">
        <v>0</v>
      </c>
      <c r="D810">
        <v>0</v>
      </c>
      <c r="E810">
        <v>0</v>
      </c>
      <c r="F810">
        <v>182</v>
      </c>
      <c r="G810">
        <v>0</v>
      </c>
      <c r="H810">
        <v>182</v>
      </c>
      <c r="I810">
        <v>2</v>
      </c>
    </row>
    <row r="811" spans="1:9" x14ac:dyDescent="0.35">
      <c r="A811" t="s">
        <v>2341</v>
      </c>
      <c r="B811" t="s">
        <v>1237</v>
      </c>
      <c r="C811">
        <v>3</v>
      </c>
      <c r="D811">
        <v>0</v>
      </c>
      <c r="E811">
        <v>0</v>
      </c>
      <c r="F811">
        <v>0</v>
      </c>
      <c r="G811">
        <v>0</v>
      </c>
      <c r="H811">
        <v>3</v>
      </c>
      <c r="I811">
        <v>1</v>
      </c>
    </row>
    <row r="812" spans="1:9" x14ac:dyDescent="0.35">
      <c r="A812" t="s">
        <v>2502</v>
      </c>
      <c r="B812" t="s">
        <v>1897</v>
      </c>
      <c r="C812">
        <v>0</v>
      </c>
      <c r="D812">
        <v>0</v>
      </c>
      <c r="E812">
        <v>0</v>
      </c>
      <c r="F812">
        <v>102</v>
      </c>
      <c r="G812">
        <v>0</v>
      </c>
      <c r="H812">
        <v>102</v>
      </c>
      <c r="I812">
        <v>2</v>
      </c>
    </row>
    <row r="813" spans="1:9" x14ac:dyDescent="0.35">
      <c r="A813" t="s">
        <v>2644</v>
      </c>
      <c r="B813" t="s">
        <v>1652</v>
      </c>
      <c r="C813">
        <v>0</v>
      </c>
      <c r="D813">
        <v>0</v>
      </c>
      <c r="E813">
        <v>0</v>
      </c>
      <c r="F813">
        <v>25</v>
      </c>
      <c r="G813">
        <v>0</v>
      </c>
      <c r="H813">
        <v>25</v>
      </c>
      <c r="I813">
        <v>1</v>
      </c>
    </row>
    <row r="814" spans="1:9" x14ac:dyDescent="0.35">
      <c r="A814" t="s">
        <v>2527</v>
      </c>
      <c r="B814" t="s">
        <v>2104</v>
      </c>
      <c r="C814">
        <v>0</v>
      </c>
      <c r="D814">
        <v>0</v>
      </c>
      <c r="E814">
        <v>0</v>
      </c>
      <c r="F814">
        <v>23</v>
      </c>
      <c r="G814">
        <v>0</v>
      </c>
      <c r="H814">
        <v>23</v>
      </c>
      <c r="I814">
        <v>1</v>
      </c>
    </row>
    <row r="815" spans="1:9" x14ac:dyDescent="0.35">
      <c r="A815" t="s">
        <v>2207</v>
      </c>
      <c r="B815" t="s">
        <v>1758</v>
      </c>
      <c r="C815">
        <v>97</v>
      </c>
      <c r="D815">
        <v>12</v>
      </c>
      <c r="E815">
        <v>40</v>
      </c>
      <c r="F815">
        <v>0</v>
      </c>
      <c r="G815">
        <v>0</v>
      </c>
      <c r="H815">
        <v>149</v>
      </c>
      <c r="I815">
        <v>1</v>
      </c>
    </row>
    <row r="816" spans="1:9" x14ac:dyDescent="0.35">
      <c r="A816" t="s">
        <v>2679</v>
      </c>
      <c r="B816" t="s">
        <v>2105</v>
      </c>
      <c r="C816">
        <v>47</v>
      </c>
      <c r="D816">
        <v>0</v>
      </c>
      <c r="E816">
        <v>0</v>
      </c>
      <c r="F816">
        <v>0</v>
      </c>
      <c r="G816">
        <v>0</v>
      </c>
      <c r="H816">
        <v>47</v>
      </c>
      <c r="I816">
        <v>1</v>
      </c>
    </row>
    <row r="817" spans="1:9" x14ac:dyDescent="0.35">
      <c r="A817" t="s">
        <v>3148</v>
      </c>
      <c r="B817" t="s">
        <v>1898</v>
      </c>
      <c r="C817">
        <v>5601</v>
      </c>
      <c r="D817">
        <v>0</v>
      </c>
      <c r="E817">
        <v>117</v>
      </c>
      <c r="F817">
        <v>567</v>
      </c>
      <c r="G817">
        <v>793</v>
      </c>
      <c r="H817">
        <v>7078</v>
      </c>
      <c r="I817">
        <v>10</v>
      </c>
    </row>
    <row r="818" spans="1:9" x14ac:dyDescent="0.35">
      <c r="A818" t="s">
        <v>3273</v>
      </c>
      <c r="B818" t="s">
        <v>1544</v>
      </c>
      <c r="C818">
        <v>713</v>
      </c>
      <c r="D818">
        <v>0</v>
      </c>
      <c r="E818">
        <v>0</v>
      </c>
      <c r="F818">
        <v>19</v>
      </c>
      <c r="G818">
        <v>0</v>
      </c>
      <c r="H818">
        <v>732</v>
      </c>
      <c r="I818">
        <v>2</v>
      </c>
    </row>
    <row r="819" spans="1:9" x14ac:dyDescent="0.35">
      <c r="A819" t="s">
        <v>3155</v>
      </c>
      <c r="B819" t="s">
        <v>2106</v>
      </c>
      <c r="C819">
        <v>0</v>
      </c>
      <c r="D819">
        <v>0</v>
      </c>
      <c r="E819">
        <v>32</v>
      </c>
      <c r="F819">
        <v>81</v>
      </c>
      <c r="G819">
        <v>0</v>
      </c>
      <c r="H819">
        <v>113</v>
      </c>
      <c r="I819">
        <v>1</v>
      </c>
    </row>
    <row r="820" spans="1:9" x14ac:dyDescent="0.35">
      <c r="A820" t="s">
        <v>2253</v>
      </c>
      <c r="B820" t="s">
        <v>11375</v>
      </c>
      <c r="C820">
        <v>4</v>
      </c>
      <c r="D820">
        <v>0</v>
      </c>
      <c r="E820">
        <v>133</v>
      </c>
      <c r="F820">
        <v>0</v>
      </c>
      <c r="G820">
        <v>0</v>
      </c>
      <c r="H820">
        <v>137</v>
      </c>
      <c r="I820">
        <v>5</v>
      </c>
    </row>
    <row r="821" spans="1:9" x14ac:dyDescent="0.35">
      <c r="A821" t="s">
        <v>2968</v>
      </c>
      <c r="B821" t="s">
        <v>2014</v>
      </c>
      <c r="C821">
        <v>0</v>
      </c>
      <c r="D821">
        <v>0</v>
      </c>
      <c r="E821">
        <v>0</v>
      </c>
      <c r="F821">
        <v>0</v>
      </c>
      <c r="G821">
        <v>0</v>
      </c>
      <c r="H821">
        <v>0</v>
      </c>
      <c r="I821">
        <v>0</v>
      </c>
    </row>
    <row r="822" spans="1:9" x14ac:dyDescent="0.35">
      <c r="A822" t="s">
        <v>2714</v>
      </c>
      <c r="B822" t="s">
        <v>2015</v>
      </c>
      <c r="C822">
        <v>13</v>
      </c>
      <c r="D822">
        <v>4</v>
      </c>
      <c r="E822">
        <v>0</v>
      </c>
      <c r="F822">
        <v>0</v>
      </c>
      <c r="G822">
        <v>0</v>
      </c>
      <c r="H822">
        <v>17</v>
      </c>
      <c r="I822">
        <v>1</v>
      </c>
    </row>
    <row r="823" spans="1:9" x14ac:dyDescent="0.35">
      <c r="A823" t="s">
        <v>2735</v>
      </c>
      <c r="B823" t="s">
        <v>1545</v>
      </c>
      <c r="C823">
        <v>26</v>
      </c>
      <c r="D823">
        <v>0</v>
      </c>
      <c r="E823">
        <v>3</v>
      </c>
      <c r="F823">
        <v>0</v>
      </c>
      <c r="G823">
        <v>0</v>
      </c>
      <c r="H823">
        <v>29</v>
      </c>
      <c r="I823">
        <v>1</v>
      </c>
    </row>
    <row r="824" spans="1:9" x14ac:dyDescent="0.35">
      <c r="A824" t="s">
        <v>3090</v>
      </c>
      <c r="B824" t="s">
        <v>1759</v>
      </c>
      <c r="C824">
        <v>115</v>
      </c>
      <c r="D824">
        <v>0</v>
      </c>
      <c r="E824">
        <v>0</v>
      </c>
      <c r="F824">
        <v>0</v>
      </c>
      <c r="G824">
        <v>0</v>
      </c>
      <c r="H824">
        <v>115</v>
      </c>
      <c r="I824">
        <v>1</v>
      </c>
    </row>
    <row r="825" spans="1:9" x14ac:dyDescent="0.35">
      <c r="A825" t="s">
        <v>3265</v>
      </c>
      <c r="B825" t="s">
        <v>2016</v>
      </c>
      <c r="C825">
        <v>201</v>
      </c>
      <c r="D825">
        <v>0</v>
      </c>
      <c r="E825">
        <v>21</v>
      </c>
      <c r="F825">
        <v>77</v>
      </c>
      <c r="G825">
        <v>0</v>
      </c>
      <c r="H825">
        <v>299</v>
      </c>
      <c r="I825">
        <v>4</v>
      </c>
    </row>
    <row r="826" spans="1:9" x14ac:dyDescent="0.35">
      <c r="A826" t="s">
        <v>2244</v>
      </c>
      <c r="B826" t="s">
        <v>1760</v>
      </c>
      <c r="C826">
        <v>2777</v>
      </c>
      <c r="D826">
        <v>0</v>
      </c>
      <c r="E826">
        <v>0</v>
      </c>
      <c r="F826">
        <v>420</v>
      </c>
      <c r="G826">
        <v>44</v>
      </c>
      <c r="H826">
        <v>3241</v>
      </c>
      <c r="I826">
        <v>3</v>
      </c>
    </row>
    <row r="827" spans="1:9" x14ac:dyDescent="0.35">
      <c r="A827" t="s">
        <v>3165</v>
      </c>
      <c r="B827" t="s">
        <v>1761</v>
      </c>
      <c r="C827">
        <v>3673</v>
      </c>
      <c r="D827">
        <v>0</v>
      </c>
      <c r="E827">
        <v>3</v>
      </c>
      <c r="F827">
        <v>118</v>
      </c>
      <c r="G827">
        <v>43</v>
      </c>
      <c r="H827">
        <v>3837</v>
      </c>
      <c r="I827">
        <v>1</v>
      </c>
    </row>
    <row r="828" spans="1:9" x14ac:dyDescent="0.35">
      <c r="A828" t="s">
        <v>2687</v>
      </c>
      <c r="B828" t="s">
        <v>1546</v>
      </c>
      <c r="C828">
        <v>107</v>
      </c>
      <c r="D828">
        <v>0</v>
      </c>
      <c r="E828">
        <v>0</v>
      </c>
      <c r="F828">
        <v>0</v>
      </c>
      <c r="G828">
        <v>0</v>
      </c>
      <c r="H828">
        <v>107</v>
      </c>
      <c r="I828">
        <v>1</v>
      </c>
    </row>
    <row r="829" spans="1:9" x14ac:dyDescent="0.35">
      <c r="A829" t="s">
        <v>2727</v>
      </c>
      <c r="B829" t="s">
        <v>2107</v>
      </c>
      <c r="C829">
        <v>33</v>
      </c>
      <c r="D829">
        <v>0</v>
      </c>
      <c r="E829">
        <v>0</v>
      </c>
      <c r="F829">
        <v>0</v>
      </c>
      <c r="G829">
        <v>0</v>
      </c>
      <c r="H829">
        <v>33</v>
      </c>
      <c r="I829">
        <v>1</v>
      </c>
    </row>
    <row r="830" spans="1:9" x14ac:dyDescent="0.35">
      <c r="A830" t="s">
        <v>2319</v>
      </c>
      <c r="B830" t="s">
        <v>1653</v>
      </c>
      <c r="C830">
        <v>157</v>
      </c>
      <c r="D830">
        <v>0</v>
      </c>
      <c r="E830">
        <v>11</v>
      </c>
      <c r="F830">
        <v>273</v>
      </c>
      <c r="G830">
        <v>0</v>
      </c>
      <c r="H830">
        <v>441</v>
      </c>
      <c r="I830">
        <v>1</v>
      </c>
    </row>
    <row r="831" spans="1:9" x14ac:dyDescent="0.35">
      <c r="A831" t="s">
        <v>3101</v>
      </c>
      <c r="B831" t="s">
        <v>2017</v>
      </c>
      <c r="C831">
        <v>599</v>
      </c>
      <c r="D831">
        <v>0</v>
      </c>
      <c r="E831">
        <v>0</v>
      </c>
      <c r="F831">
        <v>61</v>
      </c>
      <c r="G831">
        <v>0</v>
      </c>
      <c r="H831">
        <v>660</v>
      </c>
      <c r="I831">
        <v>13</v>
      </c>
    </row>
    <row r="832" spans="1:9" x14ac:dyDescent="0.35">
      <c r="A832" t="s">
        <v>2963</v>
      </c>
      <c r="B832" t="s">
        <v>1238</v>
      </c>
      <c r="C832">
        <v>3535</v>
      </c>
      <c r="D832">
        <v>0</v>
      </c>
      <c r="E832">
        <v>1068</v>
      </c>
      <c r="F832">
        <v>313</v>
      </c>
      <c r="G832">
        <v>284</v>
      </c>
      <c r="H832">
        <v>5200</v>
      </c>
      <c r="I832">
        <v>13</v>
      </c>
    </row>
    <row r="833" spans="1:9" x14ac:dyDescent="0.35">
      <c r="A833" t="s">
        <v>2769</v>
      </c>
      <c r="B833" t="s">
        <v>1762</v>
      </c>
      <c r="C833">
        <v>23</v>
      </c>
      <c r="D833">
        <v>0</v>
      </c>
      <c r="E833">
        <v>0</v>
      </c>
      <c r="F833">
        <v>0</v>
      </c>
      <c r="G833">
        <v>0</v>
      </c>
      <c r="H833">
        <v>23</v>
      </c>
      <c r="I833">
        <v>1</v>
      </c>
    </row>
    <row r="834" spans="1:9" x14ac:dyDescent="0.35">
      <c r="A834" t="s">
        <v>3078</v>
      </c>
      <c r="B834" t="s">
        <v>1899</v>
      </c>
      <c r="C834">
        <v>0</v>
      </c>
      <c r="D834">
        <v>0</v>
      </c>
      <c r="E834">
        <v>476</v>
      </c>
      <c r="F834">
        <v>0</v>
      </c>
      <c r="G834">
        <v>0</v>
      </c>
      <c r="H834">
        <v>476</v>
      </c>
      <c r="I834">
        <v>12</v>
      </c>
    </row>
    <row r="835" spans="1:9" x14ac:dyDescent="0.35">
      <c r="A835" t="s">
        <v>2372</v>
      </c>
      <c r="B835" t="s">
        <v>1343</v>
      </c>
      <c r="C835">
        <v>0</v>
      </c>
      <c r="D835">
        <v>0</v>
      </c>
      <c r="E835">
        <v>36</v>
      </c>
      <c r="F835">
        <v>0</v>
      </c>
      <c r="G835">
        <v>0</v>
      </c>
      <c r="H835">
        <v>36</v>
      </c>
      <c r="I835">
        <v>1</v>
      </c>
    </row>
    <row r="836" spans="1:9" x14ac:dyDescent="0.35">
      <c r="A836" t="s">
        <v>2741</v>
      </c>
      <c r="B836" t="s">
        <v>1763</v>
      </c>
      <c r="C836">
        <v>40</v>
      </c>
      <c r="D836">
        <v>0</v>
      </c>
      <c r="E836">
        <v>0</v>
      </c>
      <c r="F836">
        <v>0</v>
      </c>
      <c r="G836">
        <v>0</v>
      </c>
      <c r="H836">
        <v>40</v>
      </c>
      <c r="I836">
        <v>1</v>
      </c>
    </row>
    <row r="837" spans="1:9" x14ac:dyDescent="0.35">
      <c r="A837" t="s">
        <v>3279</v>
      </c>
      <c r="B837" t="s">
        <v>1547</v>
      </c>
      <c r="C837">
        <v>92</v>
      </c>
      <c r="D837">
        <v>0</v>
      </c>
      <c r="E837">
        <v>0</v>
      </c>
      <c r="F837">
        <v>0</v>
      </c>
      <c r="G837">
        <v>0</v>
      </c>
      <c r="H837">
        <v>92</v>
      </c>
      <c r="I837">
        <v>6</v>
      </c>
    </row>
    <row r="838" spans="1:9" x14ac:dyDescent="0.35">
      <c r="A838" t="s">
        <v>3234</v>
      </c>
      <c r="B838" t="s">
        <v>1130</v>
      </c>
      <c r="C838">
        <v>19774</v>
      </c>
      <c r="D838">
        <v>11</v>
      </c>
      <c r="E838">
        <v>459</v>
      </c>
      <c r="F838">
        <v>2316</v>
      </c>
      <c r="G838">
        <v>3145</v>
      </c>
      <c r="H838">
        <v>25705</v>
      </c>
      <c r="I838">
        <v>84</v>
      </c>
    </row>
    <row r="839" spans="1:9" x14ac:dyDescent="0.35">
      <c r="A839" t="s">
        <v>2507</v>
      </c>
      <c r="B839" t="s">
        <v>1900</v>
      </c>
      <c r="C839">
        <v>10</v>
      </c>
      <c r="D839">
        <v>0</v>
      </c>
      <c r="E839">
        <v>0</v>
      </c>
      <c r="F839">
        <v>0</v>
      </c>
      <c r="G839">
        <v>0</v>
      </c>
      <c r="H839">
        <v>10</v>
      </c>
      <c r="I839">
        <v>1</v>
      </c>
    </row>
    <row r="840" spans="1:9" x14ac:dyDescent="0.35">
      <c r="A840" t="s">
        <v>2766</v>
      </c>
      <c r="B840" t="s">
        <v>1901</v>
      </c>
      <c r="C840">
        <v>33</v>
      </c>
      <c r="D840">
        <v>4</v>
      </c>
      <c r="E840">
        <v>0</v>
      </c>
      <c r="F840">
        <v>0</v>
      </c>
      <c r="G840">
        <v>0</v>
      </c>
      <c r="H840">
        <v>37</v>
      </c>
      <c r="I840">
        <v>1</v>
      </c>
    </row>
    <row r="841" spans="1:9" x14ac:dyDescent="0.35">
      <c r="A841" t="s">
        <v>2684</v>
      </c>
      <c r="B841" t="s">
        <v>1548</v>
      </c>
      <c r="C841">
        <v>36</v>
      </c>
      <c r="D841">
        <v>0</v>
      </c>
      <c r="E841">
        <v>0</v>
      </c>
      <c r="F841">
        <v>0</v>
      </c>
      <c r="G841">
        <v>0</v>
      </c>
      <c r="H841">
        <v>36</v>
      </c>
      <c r="I841">
        <v>1</v>
      </c>
    </row>
    <row r="842" spans="1:9" x14ac:dyDescent="0.35">
      <c r="A842" t="s">
        <v>3214</v>
      </c>
      <c r="B842" t="s">
        <v>1764</v>
      </c>
      <c r="C842">
        <v>5741</v>
      </c>
      <c r="D842">
        <v>0</v>
      </c>
      <c r="E842">
        <v>0</v>
      </c>
      <c r="F842">
        <v>219</v>
      </c>
      <c r="G842">
        <v>132</v>
      </c>
      <c r="H842">
        <v>6092</v>
      </c>
      <c r="I842">
        <v>3</v>
      </c>
    </row>
    <row r="843" spans="1:9" x14ac:dyDescent="0.35">
      <c r="A843" t="s">
        <v>2358</v>
      </c>
      <c r="B843" t="s">
        <v>1132</v>
      </c>
      <c r="C843">
        <v>45388</v>
      </c>
      <c r="D843">
        <v>1</v>
      </c>
      <c r="E843">
        <v>1144</v>
      </c>
      <c r="F843">
        <v>2294</v>
      </c>
      <c r="G843">
        <v>7381</v>
      </c>
      <c r="H843">
        <v>56208</v>
      </c>
      <c r="I843">
        <v>57</v>
      </c>
    </row>
    <row r="844" spans="1:9" x14ac:dyDescent="0.35">
      <c r="A844" t="s">
        <v>3136</v>
      </c>
      <c r="B844" t="s">
        <v>2018</v>
      </c>
      <c r="C844">
        <v>3</v>
      </c>
      <c r="D844">
        <v>0</v>
      </c>
      <c r="E844">
        <v>0</v>
      </c>
      <c r="F844">
        <v>0</v>
      </c>
      <c r="G844">
        <v>0</v>
      </c>
      <c r="H844">
        <v>3</v>
      </c>
      <c r="I844">
        <v>2</v>
      </c>
    </row>
    <row r="845" spans="1:9" x14ac:dyDescent="0.35">
      <c r="A845" t="s">
        <v>2710</v>
      </c>
      <c r="B845" t="s">
        <v>1549</v>
      </c>
      <c r="C845">
        <v>678</v>
      </c>
      <c r="D845">
        <v>0</v>
      </c>
      <c r="E845">
        <v>0</v>
      </c>
      <c r="F845">
        <v>0</v>
      </c>
      <c r="G845">
        <v>0</v>
      </c>
      <c r="H845">
        <v>678</v>
      </c>
      <c r="I845">
        <v>2</v>
      </c>
    </row>
    <row r="846" spans="1:9" x14ac:dyDescent="0.35">
      <c r="A846" t="s">
        <v>3363</v>
      </c>
      <c r="B846" t="s">
        <v>1765</v>
      </c>
      <c r="C846">
        <v>30</v>
      </c>
      <c r="D846">
        <v>0</v>
      </c>
      <c r="E846">
        <v>0</v>
      </c>
      <c r="F846">
        <v>0</v>
      </c>
      <c r="G846">
        <v>0</v>
      </c>
      <c r="H846">
        <v>30</v>
      </c>
      <c r="I846">
        <v>1</v>
      </c>
    </row>
    <row r="847" spans="1:9" x14ac:dyDescent="0.35">
      <c r="A847" t="s">
        <v>14315</v>
      </c>
      <c r="B847" t="s">
        <v>14316</v>
      </c>
      <c r="C847">
        <v>0</v>
      </c>
      <c r="D847">
        <v>0</v>
      </c>
      <c r="E847">
        <v>0</v>
      </c>
      <c r="F847">
        <v>0</v>
      </c>
      <c r="G847">
        <v>0</v>
      </c>
      <c r="H847">
        <v>0</v>
      </c>
      <c r="I847">
        <v>0</v>
      </c>
    </row>
    <row r="848" spans="1:9" x14ac:dyDescent="0.35">
      <c r="A848" t="s">
        <v>2788</v>
      </c>
      <c r="B848" t="s">
        <v>1766</v>
      </c>
      <c r="C848">
        <v>24</v>
      </c>
      <c r="D848">
        <v>0</v>
      </c>
      <c r="E848">
        <v>0</v>
      </c>
      <c r="F848">
        <v>0</v>
      </c>
      <c r="G848">
        <v>0</v>
      </c>
      <c r="H848">
        <v>24</v>
      </c>
      <c r="I848">
        <v>1</v>
      </c>
    </row>
    <row r="849" spans="1:9" x14ac:dyDescent="0.35">
      <c r="A849" t="s">
        <v>3037</v>
      </c>
      <c r="B849" t="s">
        <v>1654</v>
      </c>
      <c r="C849">
        <v>90</v>
      </c>
      <c r="D849">
        <v>0</v>
      </c>
      <c r="E849">
        <v>25</v>
      </c>
      <c r="F849">
        <v>0</v>
      </c>
      <c r="G849">
        <v>0</v>
      </c>
      <c r="H849">
        <v>115</v>
      </c>
      <c r="I849">
        <v>1</v>
      </c>
    </row>
    <row r="850" spans="1:9" x14ac:dyDescent="0.35">
      <c r="A850" t="s">
        <v>2677</v>
      </c>
      <c r="B850" t="s">
        <v>2174</v>
      </c>
      <c r="C850">
        <v>41</v>
      </c>
      <c r="D850">
        <v>0</v>
      </c>
      <c r="E850">
        <v>0</v>
      </c>
      <c r="F850">
        <v>37</v>
      </c>
      <c r="G850">
        <v>0</v>
      </c>
      <c r="H850">
        <v>78</v>
      </c>
      <c r="I850">
        <v>1</v>
      </c>
    </row>
    <row r="851" spans="1:9" x14ac:dyDescent="0.35">
      <c r="A851" t="s">
        <v>3227</v>
      </c>
      <c r="B851" t="s">
        <v>11393</v>
      </c>
      <c r="C851">
        <v>3</v>
      </c>
      <c r="D851">
        <v>0</v>
      </c>
      <c r="E851">
        <v>0</v>
      </c>
      <c r="F851">
        <v>0</v>
      </c>
      <c r="G851">
        <v>0</v>
      </c>
      <c r="H851">
        <v>3</v>
      </c>
      <c r="I851">
        <v>2</v>
      </c>
    </row>
    <row r="852" spans="1:9" x14ac:dyDescent="0.35">
      <c r="A852" t="s">
        <v>2905</v>
      </c>
      <c r="B852" t="s">
        <v>11439</v>
      </c>
      <c r="C852">
        <v>0</v>
      </c>
      <c r="D852">
        <v>0</v>
      </c>
      <c r="E852">
        <v>272</v>
      </c>
      <c r="F852">
        <v>0</v>
      </c>
      <c r="G852">
        <v>0</v>
      </c>
      <c r="H852">
        <v>272</v>
      </c>
      <c r="I852">
        <v>4</v>
      </c>
    </row>
    <row r="853" spans="1:9" x14ac:dyDescent="0.35">
      <c r="A853" t="s">
        <v>2942</v>
      </c>
      <c r="B853" t="s">
        <v>2108</v>
      </c>
      <c r="C853">
        <v>0</v>
      </c>
      <c r="D853">
        <v>0</v>
      </c>
      <c r="E853">
        <v>51</v>
      </c>
      <c r="F853">
        <v>0</v>
      </c>
      <c r="G853">
        <v>0</v>
      </c>
      <c r="H853">
        <v>51</v>
      </c>
      <c r="I853">
        <v>1</v>
      </c>
    </row>
    <row r="854" spans="1:9" x14ac:dyDescent="0.35">
      <c r="A854" t="s">
        <v>2931</v>
      </c>
      <c r="B854" t="s">
        <v>2109</v>
      </c>
      <c r="C854">
        <v>0</v>
      </c>
      <c r="D854">
        <v>0</v>
      </c>
      <c r="E854">
        <v>476</v>
      </c>
      <c r="F854">
        <v>0</v>
      </c>
      <c r="G854">
        <v>0</v>
      </c>
      <c r="H854">
        <v>476</v>
      </c>
      <c r="I854">
        <v>6</v>
      </c>
    </row>
    <row r="855" spans="1:9" x14ac:dyDescent="0.35">
      <c r="A855" t="s">
        <v>3282</v>
      </c>
      <c r="B855" t="s">
        <v>1550</v>
      </c>
      <c r="C855">
        <v>4</v>
      </c>
      <c r="D855">
        <v>0</v>
      </c>
      <c r="E855">
        <v>71</v>
      </c>
      <c r="F855">
        <v>0</v>
      </c>
      <c r="G855">
        <v>0</v>
      </c>
      <c r="H855">
        <v>75</v>
      </c>
      <c r="I855">
        <v>6</v>
      </c>
    </row>
    <row r="856" spans="1:9" x14ac:dyDescent="0.35">
      <c r="A856" t="s">
        <v>2819</v>
      </c>
      <c r="B856" t="s">
        <v>1551</v>
      </c>
      <c r="C856">
        <v>30</v>
      </c>
      <c r="D856">
        <v>0</v>
      </c>
      <c r="E856">
        <v>0</v>
      </c>
      <c r="F856">
        <v>0</v>
      </c>
      <c r="G856">
        <v>0</v>
      </c>
      <c r="H856">
        <v>30</v>
      </c>
      <c r="I856">
        <v>1</v>
      </c>
    </row>
    <row r="857" spans="1:9" x14ac:dyDescent="0.35">
      <c r="A857" t="s">
        <v>2547</v>
      </c>
      <c r="B857" t="s">
        <v>1344</v>
      </c>
      <c r="C857">
        <v>20</v>
      </c>
      <c r="D857">
        <v>0</v>
      </c>
      <c r="E857">
        <v>0</v>
      </c>
      <c r="F857">
        <v>0</v>
      </c>
      <c r="G857">
        <v>0</v>
      </c>
      <c r="H857">
        <v>20</v>
      </c>
      <c r="I857">
        <v>1</v>
      </c>
    </row>
    <row r="858" spans="1:9" x14ac:dyDescent="0.35">
      <c r="A858" t="s">
        <v>2576</v>
      </c>
      <c r="B858" t="s">
        <v>1552</v>
      </c>
      <c r="C858">
        <v>0</v>
      </c>
      <c r="D858">
        <v>0</v>
      </c>
      <c r="E858">
        <v>0</v>
      </c>
      <c r="F858">
        <v>10</v>
      </c>
      <c r="G858">
        <v>0</v>
      </c>
      <c r="H858">
        <v>10</v>
      </c>
      <c r="I858">
        <v>1</v>
      </c>
    </row>
    <row r="859" spans="1:9" x14ac:dyDescent="0.35">
      <c r="A859" t="s">
        <v>2485</v>
      </c>
      <c r="B859" t="s">
        <v>1239</v>
      </c>
      <c r="C859">
        <v>0</v>
      </c>
      <c r="D859">
        <v>0</v>
      </c>
      <c r="E859">
        <v>0</v>
      </c>
      <c r="F859">
        <v>10</v>
      </c>
      <c r="G859">
        <v>0</v>
      </c>
      <c r="H859">
        <v>10</v>
      </c>
      <c r="I859">
        <v>1</v>
      </c>
    </row>
    <row r="860" spans="1:9" x14ac:dyDescent="0.35">
      <c r="A860" t="s">
        <v>3077</v>
      </c>
      <c r="B860" t="s">
        <v>1902</v>
      </c>
      <c r="C860">
        <v>0</v>
      </c>
      <c r="D860">
        <v>0</v>
      </c>
      <c r="E860">
        <v>0</v>
      </c>
      <c r="F860">
        <v>38</v>
      </c>
      <c r="G860">
        <v>0</v>
      </c>
      <c r="H860">
        <v>38</v>
      </c>
      <c r="I860">
        <v>1</v>
      </c>
    </row>
    <row r="861" spans="1:9" x14ac:dyDescent="0.35">
      <c r="A861" t="s">
        <v>2904</v>
      </c>
      <c r="B861" t="s">
        <v>1553</v>
      </c>
      <c r="C861">
        <v>0</v>
      </c>
      <c r="D861">
        <v>0</v>
      </c>
      <c r="E861">
        <v>40</v>
      </c>
      <c r="F861">
        <v>0</v>
      </c>
      <c r="G861">
        <v>0</v>
      </c>
      <c r="H861">
        <v>40</v>
      </c>
      <c r="I861">
        <v>2</v>
      </c>
    </row>
    <row r="862" spans="1:9" x14ac:dyDescent="0.35">
      <c r="A862" t="s">
        <v>3247</v>
      </c>
      <c r="B862" t="s">
        <v>1345</v>
      </c>
      <c r="C862">
        <v>104</v>
      </c>
      <c r="D862">
        <v>156</v>
      </c>
      <c r="E862">
        <v>1422</v>
      </c>
      <c r="F862">
        <v>0</v>
      </c>
      <c r="G862">
        <v>0</v>
      </c>
      <c r="H862">
        <v>1682</v>
      </c>
      <c r="I862">
        <v>23</v>
      </c>
    </row>
    <row r="863" spans="1:9" x14ac:dyDescent="0.35">
      <c r="A863" t="s">
        <v>3113</v>
      </c>
      <c r="B863" t="s">
        <v>2110</v>
      </c>
      <c r="C863">
        <v>64</v>
      </c>
      <c r="D863">
        <v>0</v>
      </c>
      <c r="E863">
        <v>520</v>
      </c>
      <c r="F863">
        <v>41</v>
      </c>
      <c r="G863">
        <v>0</v>
      </c>
      <c r="H863">
        <v>625</v>
      </c>
      <c r="I863">
        <v>4</v>
      </c>
    </row>
    <row r="864" spans="1:9" x14ac:dyDescent="0.35">
      <c r="A864" t="s">
        <v>2282</v>
      </c>
      <c r="B864" t="s">
        <v>11416</v>
      </c>
      <c r="C864">
        <v>0</v>
      </c>
      <c r="D864">
        <v>0</v>
      </c>
      <c r="E864">
        <v>99</v>
      </c>
      <c r="F864">
        <v>0</v>
      </c>
      <c r="G864">
        <v>0</v>
      </c>
      <c r="H864">
        <v>99</v>
      </c>
      <c r="I864">
        <v>2</v>
      </c>
    </row>
    <row r="865" spans="1:9" x14ac:dyDescent="0.35">
      <c r="A865" t="s">
        <v>14317</v>
      </c>
      <c r="B865" t="s">
        <v>14318</v>
      </c>
      <c r="C865">
        <v>0</v>
      </c>
      <c r="D865">
        <v>0</v>
      </c>
      <c r="E865">
        <v>0</v>
      </c>
      <c r="F865">
        <v>0</v>
      </c>
      <c r="G865">
        <v>0</v>
      </c>
      <c r="H865">
        <v>0</v>
      </c>
      <c r="I865">
        <v>0</v>
      </c>
    </row>
    <row r="866" spans="1:9" x14ac:dyDescent="0.35">
      <c r="A866" t="s">
        <v>2611</v>
      </c>
      <c r="B866" t="s">
        <v>14319</v>
      </c>
      <c r="C866">
        <v>0</v>
      </c>
      <c r="D866">
        <v>0</v>
      </c>
      <c r="E866">
        <v>0</v>
      </c>
      <c r="F866">
        <v>12</v>
      </c>
      <c r="G866">
        <v>0</v>
      </c>
      <c r="H866">
        <v>12</v>
      </c>
      <c r="I866">
        <v>1</v>
      </c>
    </row>
    <row r="867" spans="1:9" x14ac:dyDescent="0.35">
      <c r="A867" t="s">
        <v>2693</v>
      </c>
      <c r="B867" t="s">
        <v>2111</v>
      </c>
      <c r="C867">
        <v>125</v>
      </c>
      <c r="D867">
        <v>0</v>
      </c>
      <c r="E867">
        <v>0</v>
      </c>
      <c r="F867">
        <v>0</v>
      </c>
      <c r="G867">
        <v>0</v>
      </c>
      <c r="H867">
        <v>125</v>
      </c>
      <c r="I867">
        <v>1</v>
      </c>
    </row>
    <row r="868" spans="1:9" x14ac:dyDescent="0.35">
      <c r="A868" t="s">
        <v>2623</v>
      </c>
      <c r="B868" t="s">
        <v>2019</v>
      </c>
      <c r="C868">
        <v>0</v>
      </c>
      <c r="D868">
        <v>0</v>
      </c>
      <c r="E868">
        <v>0</v>
      </c>
      <c r="F868">
        <v>8</v>
      </c>
      <c r="G868">
        <v>0</v>
      </c>
      <c r="H868">
        <v>8</v>
      </c>
      <c r="I868">
        <v>1</v>
      </c>
    </row>
    <row r="869" spans="1:9" x14ac:dyDescent="0.35">
      <c r="A869" t="s">
        <v>3124</v>
      </c>
      <c r="B869" t="s">
        <v>1767</v>
      </c>
      <c r="C869">
        <v>195</v>
      </c>
      <c r="D869">
        <v>0</v>
      </c>
      <c r="E869">
        <v>82</v>
      </c>
      <c r="F869">
        <v>0</v>
      </c>
      <c r="G869">
        <v>0</v>
      </c>
      <c r="H869">
        <v>277</v>
      </c>
      <c r="I869">
        <v>1</v>
      </c>
    </row>
    <row r="870" spans="1:9" x14ac:dyDescent="0.35">
      <c r="A870" t="s">
        <v>2601</v>
      </c>
      <c r="B870" t="s">
        <v>1903</v>
      </c>
      <c r="C870">
        <v>11</v>
      </c>
      <c r="D870">
        <v>0</v>
      </c>
      <c r="E870">
        <v>0</v>
      </c>
      <c r="F870">
        <v>0</v>
      </c>
      <c r="G870">
        <v>0</v>
      </c>
      <c r="H870">
        <v>11</v>
      </c>
      <c r="I870">
        <v>1</v>
      </c>
    </row>
    <row r="871" spans="1:9" x14ac:dyDescent="0.35">
      <c r="A871" t="s">
        <v>2208</v>
      </c>
      <c r="B871" t="s">
        <v>1768</v>
      </c>
      <c r="C871">
        <v>476</v>
      </c>
      <c r="D871">
        <v>0</v>
      </c>
      <c r="E871">
        <v>11</v>
      </c>
      <c r="F871">
        <v>0</v>
      </c>
      <c r="G871">
        <v>0</v>
      </c>
      <c r="H871">
        <v>487</v>
      </c>
      <c r="I871">
        <v>1</v>
      </c>
    </row>
    <row r="872" spans="1:9" x14ac:dyDescent="0.35">
      <c r="A872" t="s">
        <v>2952</v>
      </c>
      <c r="B872" t="s">
        <v>2112</v>
      </c>
      <c r="C872">
        <v>569</v>
      </c>
      <c r="D872">
        <v>0</v>
      </c>
      <c r="E872">
        <v>0</v>
      </c>
      <c r="F872">
        <v>0</v>
      </c>
      <c r="G872">
        <v>0</v>
      </c>
      <c r="H872">
        <v>569</v>
      </c>
      <c r="I872">
        <v>1</v>
      </c>
    </row>
    <row r="873" spans="1:9" x14ac:dyDescent="0.35">
      <c r="A873" t="s">
        <v>2972</v>
      </c>
      <c r="B873" t="s">
        <v>1240</v>
      </c>
      <c r="C873">
        <v>8427</v>
      </c>
      <c r="D873">
        <v>0</v>
      </c>
      <c r="E873">
        <v>157</v>
      </c>
      <c r="F873">
        <v>350</v>
      </c>
      <c r="G873">
        <v>1253</v>
      </c>
      <c r="H873">
        <v>10187</v>
      </c>
      <c r="I873">
        <v>72</v>
      </c>
    </row>
    <row r="874" spans="1:9" x14ac:dyDescent="0.35">
      <c r="A874" t="s">
        <v>2292</v>
      </c>
      <c r="B874" t="s">
        <v>1656</v>
      </c>
      <c r="C874">
        <v>84</v>
      </c>
      <c r="D874">
        <v>0</v>
      </c>
      <c r="E874">
        <v>275</v>
      </c>
      <c r="F874">
        <v>0</v>
      </c>
      <c r="G874">
        <v>0</v>
      </c>
      <c r="H874">
        <v>359</v>
      </c>
      <c r="I874">
        <v>9</v>
      </c>
    </row>
    <row r="875" spans="1:9" x14ac:dyDescent="0.35">
      <c r="A875" t="s">
        <v>3252</v>
      </c>
      <c r="B875" t="s">
        <v>1559</v>
      </c>
      <c r="C875">
        <v>293</v>
      </c>
      <c r="D875">
        <v>15</v>
      </c>
      <c r="E875">
        <v>0</v>
      </c>
      <c r="F875">
        <v>273</v>
      </c>
      <c r="G875">
        <v>0</v>
      </c>
      <c r="H875">
        <v>581</v>
      </c>
      <c r="I875">
        <v>12</v>
      </c>
    </row>
    <row r="876" spans="1:9" x14ac:dyDescent="0.35">
      <c r="A876" t="s">
        <v>3357</v>
      </c>
      <c r="B876" t="s">
        <v>2023</v>
      </c>
      <c r="C876">
        <v>2627</v>
      </c>
      <c r="D876">
        <v>0</v>
      </c>
      <c r="E876">
        <v>0</v>
      </c>
      <c r="F876">
        <v>999</v>
      </c>
      <c r="G876">
        <v>114</v>
      </c>
      <c r="H876">
        <v>3740</v>
      </c>
      <c r="I876">
        <v>4</v>
      </c>
    </row>
    <row r="877" spans="1:9" x14ac:dyDescent="0.35">
      <c r="A877" t="s">
        <v>3062</v>
      </c>
      <c r="B877" t="s">
        <v>1906</v>
      </c>
      <c r="C877">
        <v>0</v>
      </c>
      <c r="D877">
        <v>0</v>
      </c>
      <c r="E877">
        <v>0</v>
      </c>
      <c r="F877">
        <v>96</v>
      </c>
      <c r="G877">
        <v>0</v>
      </c>
      <c r="H877">
        <v>96</v>
      </c>
      <c r="I877">
        <v>2</v>
      </c>
    </row>
    <row r="878" spans="1:9" x14ac:dyDescent="0.35">
      <c r="A878" t="s">
        <v>2971</v>
      </c>
      <c r="B878" t="s">
        <v>1907</v>
      </c>
      <c r="C878">
        <v>0</v>
      </c>
      <c r="D878">
        <v>0</v>
      </c>
      <c r="E878">
        <v>0</v>
      </c>
      <c r="F878">
        <v>15</v>
      </c>
      <c r="G878">
        <v>0</v>
      </c>
      <c r="H878">
        <v>15</v>
      </c>
      <c r="I878">
        <v>1</v>
      </c>
    </row>
    <row r="879" spans="1:9" x14ac:dyDescent="0.35">
      <c r="A879" t="s">
        <v>14320</v>
      </c>
      <c r="B879" t="s">
        <v>14321</v>
      </c>
      <c r="C879">
        <v>0</v>
      </c>
      <c r="D879">
        <v>0</v>
      </c>
      <c r="E879">
        <v>0</v>
      </c>
      <c r="F879">
        <v>0</v>
      </c>
      <c r="G879">
        <v>0</v>
      </c>
      <c r="H879">
        <v>0</v>
      </c>
      <c r="I879">
        <v>0</v>
      </c>
    </row>
    <row r="880" spans="1:9" x14ac:dyDescent="0.35">
      <c r="A880" t="s">
        <v>2990</v>
      </c>
      <c r="B880" t="s">
        <v>1560</v>
      </c>
      <c r="C880">
        <v>1170</v>
      </c>
      <c r="D880">
        <v>0</v>
      </c>
      <c r="E880">
        <v>0</v>
      </c>
      <c r="F880">
        <v>0</v>
      </c>
      <c r="G880">
        <v>260</v>
      </c>
      <c r="H880">
        <v>1430</v>
      </c>
      <c r="I880">
        <v>6</v>
      </c>
    </row>
    <row r="881" spans="1:9" x14ac:dyDescent="0.35">
      <c r="A881" t="s">
        <v>2860</v>
      </c>
      <c r="B881" t="s">
        <v>1348</v>
      </c>
      <c r="C881">
        <v>0</v>
      </c>
      <c r="D881">
        <v>0</v>
      </c>
      <c r="E881">
        <v>0</v>
      </c>
      <c r="F881">
        <v>34</v>
      </c>
      <c r="G881">
        <v>0</v>
      </c>
      <c r="H881">
        <v>34</v>
      </c>
      <c r="I881">
        <v>1</v>
      </c>
    </row>
    <row r="882" spans="1:9" x14ac:dyDescent="0.35">
      <c r="A882" t="s">
        <v>2896</v>
      </c>
      <c r="B882" t="s">
        <v>2024</v>
      </c>
      <c r="C882">
        <v>0</v>
      </c>
      <c r="D882">
        <v>0</v>
      </c>
      <c r="E882">
        <v>15</v>
      </c>
      <c r="F882">
        <v>0</v>
      </c>
      <c r="G882">
        <v>0</v>
      </c>
      <c r="H882">
        <v>15</v>
      </c>
      <c r="I882">
        <v>1</v>
      </c>
    </row>
    <row r="883" spans="1:9" x14ac:dyDescent="0.35">
      <c r="A883" t="s">
        <v>14322</v>
      </c>
      <c r="B883" t="s">
        <v>14323</v>
      </c>
      <c r="C883">
        <v>0</v>
      </c>
      <c r="D883">
        <v>0</v>
      </c>
      <c r="E883">
        <v>26</v>
      </c>
      <c r="F883">
        <v>0</v>
      </c>
      <c r="G883">
        <v>0</v>
      </c>
      <c r="H883">
        <v>26</v>
      </c>
      <c r="I883">
        <v>1</v>
      </c>
    </row>
    <row r="884" spans="1:9" x14ac:dyDescent="0.35">
      <c r="A884" t="s">
        <v>2893</v>
      </c>
      <c r="B884" t="s">
        <v>11425</v>
      </c>
      <c r="C884">
        <v>0</v>
      </c>
      <c r="D884">
        <v>0</v>
      </c>
      <c r="E884">
        <v>0</v>
      </c>
      <c r="F884">
        <v>9</v>
      </c>
      <c r="G884">
        <v>0</v>
      </c>
      <c r="H884">
        <v>9</v>
      </c>
      <c r="I884">
        <v>1</v>
      </c>
    </row>
    <row r="885" spans="1:9" x14ac:dyDescent="0.35">
      <c r="A885" t="s">
        <v>14324</v>
      </c>
      <c r="B885" t="s">
        <v>14325</v>
      </c>
      <c r="C885">
        <v>0</v>
      </c>
      <c r="D885">
        <v>0</v>
      </c>
      <c r="E885">
        <v>0</v>
      </c>
      <c r="F885">
        <v>0</v>
      </c>
      <c r="G885">
        <v>0</v>
      </c>
      <c r="H885">
        <v>0</v>
      </c>
      <c r="I885">
        <v>0</v>
      </c>
    </row>
    <row r="886" spans="1:9" x14ac:dyDescent="0.35">
      <c r="A886" t="s">
        <v>14326</v>
      </c>
      <c r="B886" t="s">
        <v>14327</v>
      </c>
      <c r="C886">
        <v>0</v>
      </c>
      <c r="D886">
        <v>0</v>
      </c>
      <c r="E886">
        <v>0</v>
      </c>
      <c r="F886">
        <v>0</v>
      </c>
      <c r="G886">
        <v>0</v>
      </c>
      <c r="H886">
        <v>0</v>
      </c>
      <c r="I886">
        <v>0</v>
      </c>
    </row>
    <row r="887" spans="1:9" x14ac:dyDescent="0.35">
      <c r="A887" t="s">
        <v>2836</v>
      </c>
      <c r="B887" t="s">
        <v>2177</v>
      </c>
      <c r="C887">
        <v>0</v>
      </c>
      <c r="D887">
        <v>0</v>
      </c>
      <c r="E887">
        <v>0</v>
      </c>
      <c r="F887">
        <v>10</v>
      </c>
      <c r="G887">
        <v>0</v>
      </c>
      <c r="H887">
        <v>10</v>
      </c>
      <c r="I887">
        <v>1</v>
      </c>
    </row>
    <row r="888" spans="1:9" x14ac:dyDescent="0.35">
      <c r="A888" t="s">
        <v>2889</v>
      </c>
      <c r="B888" t="s">
        <v>2025</v>
      </c>
      <c r="C888">
        <v>0</v>
      </c>
      <c r="D888">
        <v>0</v>
      </c>
      <c r="E888">
        <v>0</v>
      </c>
      <c r="F888">
        <v>9</v>
      </c>
      <c r="G888">
        <v>0</v>
      </c>
      <c r="H888">
        <v>9</v>
      </c>
      <c r="I888">
        <v>1</v>
      </c>
    </row>
    <row r="889" spans="1:9" x14ac:dyDescent="0.35">
      <c r="A889" t="s">
        <v>2832</v>
      </c>
      <c r="B889" t="s">
        <v>2026</v>
      </c>
      <c r="C889">
        <v>0</v>
      </c>
      <c r="D889">
        <v>0</v>
      </c>
      <c r="E889">
        <v>0</v>
      </c>
      <c r="F889">
        <v>10</v>
      </c>
      <c r="G889">
        <v>0</v>
      </c>
      <c r="H889">
        <v>10</v>
      </c>
      <c r="I889">
        <v>1</v>
      </c>
    </row>
    <row r="890" spans="1:9" x14ac:dyDescent="0.35">
      <c r="A890" t="s">
        <v>2916</v>
      </c>
      <c r="B890" t="s">
        <v>1908</v>
      </c>
      <c r="C890">
        <v>0</v>
      </c>
      <c r="D890">
        <v>0</v>
      </c>
      <c r="E890">
        <v>0</v>
      </c>
      <c r="F890">
        <v>10</v>
      </c>
      <c r="G890">
        <v>0</v>
      </c>
      <c r="H890">
        <v>10</v>
      </c>
      <c r="I890">
        <v>1</v>
      </c>
    </row>
    <row r="891" spans="1:9" x14ac:dyDescent="0.35">
      <c r="A891" t="s">
        <v>2847</v>
      </c>
      <c r="B891" t="s">
        <v>1769</v>
      </c>
      <c r="C891">
        <v>0</v>
      </c>
      <c r="D891">
        <v>0</v>
      </c>
      <c r="E891">
        <v>12</v>
      </c>
      <c r="F891">
        <v>0</v>
      </c>
      <c r="G891">
        <v>0</v>
      </c>
      <c r="H891">
        <v>12</v>
      </c>
      <c r="I891">
        <v>1</v>
      </c>
    </row>
    <row r="892" spans="1:9" x14ac:dyDescent="0.35">
      <c r="A892" t="s">
        <v>2849</v>
      </c>
      <c r="B892" t="s">
        <v>1349</v>
      </c>
      <c r="C892">
        <v>0</v>
      </c>
      <c r="D892">
        <v>0</v>
      </c>
      <c r="E892">
        <v>23</v>
      </c>
      <c r="F892">
        <v>0</v>
      </c>
      <c r="G892">
        <v>0</v>
      </c>
      <c r="H892">
        <v>23</v>
      </c>
      <c r="I892">
        <v>1</v>
      </c>
    </row>
    <row r="893" spans="1:9" x14ac:dyDescent="0.35">
      <c r="A893" t="s">
        <v>2886</v>
      </c>
      <c r="B893" t="s">
        <v>1657</v>
      </c>
      <c r="C893">
        <v>0</v>
      </c>
      <c r="D893">
        <v>0</v>
      </c>
      <c r="E893">
        <v>0</v>
      </c>
      <c r="F893">
        <v>9</v>
      </c>
      <c r="G893">
        <v>0</v>
      </c>
      <c r="H893">
        <v>9</v>
      </c>
      <c r="I893">
        <v>1</v>
      </c>
    </row>
    <row r="894" spans="1:9" x14ac:dyDescent="0.35">
      <c r="A894" t="s">
        <v>14328</v>
      </c>
      <c r="B894" t="s">
        <v>14329</v>
      </c>
      <c r="C894">
        <v>0</v>
      </c>
      <c r="D894">
        <v>0</v>
      </c>
      <c r="E894">
        <v>0</v>
      </c>
      <c r="F894">
        <v>0</v>
      </c>
      <c r="G894">
        <v>0</v>
      </c>
      <c r="H894">
        <v>0</v>
      </c>
      <c r="I894">
        <v>0</v>
      </c>
    </row>
    <row r="895" spans="1:9" x14ac:dyDescent="0.35">
      <c r="A895" t="s">
        <v>2937</v>
      </c>
      <c r="B895" t="s">
        <v>11464</v>
      </c>
      <c r="C895">
        <v>0</v>
      </c>
      <c r="D895">
        <v>0</v>
      </c>
      <c r="E895">
        <v>0</v>
      </c>
      <c r="F895">
        <v>11</v>
      </c>
      <c r="G895">
        <v>0</v>
      </c>
      <c r="H895">
        <v>11</v>
      </c>
      <c r="I895">
        <v>1</v>
      </c>
    </row>
    <row r="896" spans="1:9" x14ac:dyDescent="0.35">
      <c r="A896" t="s">
        <v>2902</v>
      </c>
      <c r="B896" t="s">
        <v>2027</v>
      </c>
      <c r="C896">
        <v>0</v>
      </c>
      <c r="D896">
        <v>0</v>
      </c>
      <c r="E896">
        <v>0</v>
      </c>
      <c r="F896">
        <v>12</v>
      </c>
      <c r="G896">
        <v>0</v>
      </c>
      <c r="H896">
        <v>12</v>
      </c>
      <c r="I896">
        <v>1</v>
      </c>
    </row>
    <row r="897" spans="1:9" x14ac:dyDescent="0.35">
      <c r="A897" t="s">
        <v>2863</v>
      </c>
      <c r="B897" t="s">
        <v>2028</v>
      </c>
      <c r="C897">
        <v>0</v>
      </c>
      <c r="D897">
        <v>0</v>
      </c>
      <c r="E897">
        <v>0</v>
      </c>
      <c r="F897">
        <v>7</v>
      </c>
      <c r="G897">
        <v>0</v>
      </c>
      <c r="H897">
        <v>7</v>
      </c>
      <c r="I897">
        <v>1</v>
      </c>
    </row>
    <row r="898" spans="1:9" x14ac:dyDescent="0.35">
      <c r="A898" t="s">
        <v>14330</v>
      </c>
      <c r="B898" t="s">
        <v>14331</v>
      </c>
      <c r="C898">
        <v>0</v>
      </c>
      <c r="D898">
        <v>0</v>
      </c>
      <c r="E898">
        <v>0</v>
      </c>
      <c r="F898">
        <v>8</v>
      </c>
      <c r="G898">
        <v>0</v>
      </c>
      <c r="H898">
        <v>8</v>
      </c>
      <c r="I898">
        <v>1</v>
      </c>
    </row>
    <row r="899" spans="1:9" x14ac:dyDescent="0.35">
      <c r="A899" t="s">
        <v>11465</v>
      </c>
      <c r="B899" t="s">
        <v>11408</v>
      </c>
      <c r="C899">
        <v>22</v>
      </c>
      <c r="D899">
        <v>0</v>
      </c>
      <c r="E899">
        <v>0</v>
      </c>
      <c r="F899">
        <v>0</v>
      </c>
      <c r="G899">
        <v>0</v>
      </c>
      <c r="H899">
        <v>22</v>
      </c>
      <c r="I899">
        <v>1</v>
      </c>
    </row>
    <row r="900" spans="1:9" x14ac:dyDescent="0.35">
      <c r="A900" t="s">
        <v>2890</v>
      </c>
      <c r="B900" t="s">
        <v>1770</v>
      </c>
      <c r="C900">
        <v>0</v>
      </c>
      <c r="D900">
        <v>0</v>
      </c>
      <c r="E900">
        <v>0</v>
      </c>
      <c r="F900">
        <v>33</v>
      </c>
      <c r="G900">
        <v>0</v>
      </c>
      <c r="H900">
        <v>33</v>
      </c>
      <c r="I900">
        <v>1</v>
      </c>
    </row>
    <row r="901" spans="1:9" x14ac:dyDescent="0.35">
      <c r="A901" t="s">
        <v>2846</v>
      </c>
      <c r="B901" t="s">
        <v>11426</v>
      </c>
      <c r="C901">
        <v>0</v>
      </c>
      <c r="D901">
        <v>0</v>
      </c>
      <c r="E901">
        <v>0</v>
      </c>
      <c r="F901">
        <v>7</v>
      </c>
      <c r="G901">
        <v>0</v>
      </c>
      <c r="H901">
        <v>7</v>
      </c>
      <c r="I901">
        <v>1</v>
      </c>
    </row>
    <row r="902" spans="1:9" x14ac:dyDescent="0.35">
      <c r="A902" t="s">
        <v>2864</v>
      </c>
      <c r="B902" t="s">
        <v>1350</v>
      </c>
      <c r="C902">
        <v>0</v>
      </c>
      <c r="D902">
        <v>0</v>
      </c>
      <c r="E902">
        <v>0</v>
      </c>
      <c r="F902">
        <v>11</v>
      </c>
      <c r="G902">
        <v>0</v>
      </c>
      <c r="H902">
        <v>11</v>
      </c>
      <c r="I902">
        <v>1</v>
      </c>
    </row>
    <row r="903" spans="1:9" x14ac:dyDescent="0.35">
      <c r="A903" t="s">
        <v>2867</v>
      </c>
      <c r="B903" t="s">
        <v>1909</v>
      </c>
      <c r="C903">
        <v>0</v>
      </c>
      <c r="D903">
        <v>0</v>
      </c>
      <c r="E903">
        <v>11</v>
      </c>
      <c r="F903">
        <v>0</v>
      </c>
      <c r="G903">
        <v>0</v>
      </c>
      <c r="H903">
        <v>11</v>
      </c>
      <c r="I903">
        <v>1</v>
      </c>
    </row>
    <row r="904" spans="1:9" x14ac:dyDescent="0.35">
      <c r="A904" t="s">
        <v>2881</v>
      </c>
      <c r="B904" t="s">
        <v>11394</v>
      </c>
      <c r="C904">
        <v>0</v>
      </c>
      <c r="D904">
        <v>0</v>
      </c>
      <c r="E904">
        <v>0</v>
      </c>
      <c r="F904">
        <v>8</v>
      </c>
      <c r="G904">
        <v>0</v>
      </c>
      <c r="H904">
        <v>8</v>
      </c>
      <c r="I904">
        <v>1</v>
      </c>
    </row>
    <row r="905" spans="1:9" x14ac:dyDescent="0.35">
      <c r="A905" t="s">
        <v>2831</v>
      </c>
      <c r="B905" t="s">
        <v>11409</v>
      </c>
      <c r="C905">
        <v>0</v>
      </c>
      <c r="D905">
        <v>0</v>
      </c>
      <c r="E905">
        <v>0</v>
      </c>
      <c r="F905">
        <v>12</v>
      </c>
      <c r="G905">
        <v>0</v>
      </c>
      <c r="H905">
        <v>12</v>
      </c>
      <c r="I905">
        <v>1</v>
      </c>
    </row>
    <row r="906" spans="1:9" x14ac:dyDescent="0.35">
      <c r="A906" t="s">
        <v>2882</v>
      </c>
      <c r="B906" t="s">
        <v>1910</v>
      </c>
      <c r="C906">
        <v>0</v>
      </c>
      <c r="D906">
        <v>0</v>
      </c>
      <c r="E906">
        <v>9</v>
      </c>
      <c r="F906">
        <v>0</v>
      </c>
      <c r="G906">
        <v>0</v>
      </c>
      <c r="H906">
        <v>9</v>
      </c>
      <c r="I906">
        <v>1</v>
      </c>
    </row>
    <row r="907" spans="1:9" x14ac:dyDescent="0.35">
      <c r="A907" t="s">
        <v>2899</v>
      </c>
      <c r="B907" t="s">
        <v>1561</v>
      </c>
      <c r="C907">
        <v>0</v>
      </c>
      <c r="D907">
        <v>0</v>
      </c>
      <c r="E907">
        <v>0</v>
      </c>
      <c r="F907">
        <v>5</v>
      </c>
      <c r="G907">
        <v>0</v>
      </c>
      <c r="H907">
        <v>5</v>
      </c>
      <c r="I907">
        <v>1</v>
      </c>
    </row>
    <row r="908" spans="1:9" x14ac:dyDescent="0.35">
      <c r="A908" t="s">
        <v>2833</v>
      </c>
      <c r="B908" t="s">
        <v>1562</v>
      </c>
      <c r="C908">
        <v>0</v>
      </c>
      <c r="D908">
        <v>0</v>
      </c>
      <c r="E908">
        <v>0</v>
      </c>
      <c r="F908">
        <v>7</v>
      </c>
      <c r="G908">
        <v>0</v>
      </c>
      <c r="H908">
        <v>7</v>
      </c>
      <c r="I908">
        <v>1</v>
      </c>
    </row>
    <row r="909" spans="1:9" x14ac:dyDescent="0.35">
      <c r="A909" t="s">
        <v>14332</v>
      </c>
      <c r="B909" t="s">
        <v>14333</v>
      </c>
      <c r="C909">
        <v>0</v>
      </c>
      <c r="D909">
        <v>0</v>
      </c>
      <c r="E909">
        <v>0</v>
      </c>
      <c r="F909">
        <v>0</v>
      </c>
      <c r="G909">
        <v>0</v>
      </c>
      <c r="H909">
        <v>0</v>
      </c>
      <c r="I909">
        <v>0</v>
      </c>
    </row>
    <row r="910" spans="1:9" x14ac:dyDescent="0.35">
      <c r="A910" t="s">
        <v>2922</v>
      </c>
      <c r="B910" t="s">
        <v>1771</v>
      </c>
      <c r="C910">
        <v>0</v>
      </c>
      <c r="D910">
        <v>0</v>
      </c>
      <c r="E910">
        <v>0</v>
      </c>
      <c r="F910">
        <v>10</v>
      </c>
      <c r="G910">
        <v>0</v>
      </c>
      <c r="H910">
        <v>10</v>
      </c>
      <c r="I910">
        <v>1</v>
      </c>
    </row>
    <row r="911" spans="1:9" x14ac:dyDescent="0.35">
      <c r="A911" t="s">
        <v>2838</v>
      </c>
      <c r="B911" t="s">
        <v>1911</v>
      </c>
      <c r="C911">
        <v>0</v>
      </c>
      <c r="D911">
        <v>0</v>
      </c>
      <c r="E911">
        <v>0</v>
      </c>
      <c r="F911">
        <v>16</v>
      </c>
      <c r="G911">
        <v>0</v>
      </c>
      <c r="H911">
        <v>16</v>
      </c>
      <c r="I911">
        <v>1</v>
      </c>
    </row>
    <row r="912" spans="1:9" x14ac:dyDescent="0.35">
      <c r="A912" t="s">
        <v>14334</v>
      </c>
      <c r="B912" t="s">
        <v>14335</v>
      </c>
      <c r="C912">
        <v>0</v>
      </c>
      <c r="D912">
        <v>0</v>
      </c>
      <c r="E912">
        <v>0</v>
      </c>
      <c r="F912">
        <v>0</v>
      </c>
      <c r="G912">
        <v>0</v>
      </c>
      <c r="H912">
        <v>0</v>
      </c>
      <c r="I912">
        <v>0</v>
      </c>
    </row>
    <row r="913" spans="1:9" x14ac:dyDescent="0.35">
      <c r="A913" t="s">
        <v>2869</v>
      </c>
      <c r="B913" t="s">
        <v>1912</v>
      </c>
      <c r="C913">
        <v>0</v>
      </c>
      <c r="D913">
        <v>0</v>
      </c>
      <c r="E913">
        <v>0</v>
      </c>
      <c r="F913">
        <v>13</v>
      </c>
      <c r="G913">
        <v>0</v>
      </c>
      <c r="H913">
        <v>13</v>
      </c>
      <c r="I913">
        <v>1</v>
      </c>
    </row>
    <row r="914" spans="1:9" x14ac:dyDescent="0.35">
      <c r="A914" t="s">
        <v>2878</v>
      </c>
      <c r="B914" t="s">
        <v>2029</v>
      </c>
      <c r="C914">
        <v>0</v>
      </c>
      <c r="D914">
        <v>0</v>
      </c>
      <c r="E914">
        <v>0</v>
      </c>
      <c r="F914">
        <v>22</v>
      </c>
      <c r="G914">
        <v>0</v>
      </c>
      <c r="H914">
        <v>22</v>
      </c>
      <c r="I914">
        <v>2</v>
      </c>
    </row>
    <row r="915" spans="1:9" x14ac:dyDescent="0.35">
      <c r="A915" t="s">
        <v>2850</v>
      </c>
      <c r="B915" t="s">
        <v>1913</v>
      </c>
      <c r="C915">
        <v>0</v>
      </c>
      <c r="D915">
        <v>0</v>
      </c>
      <c r="E915">
        <v>0</v>
      </c>
      <c r="F915">
        <v>15</v>
      </c>
      <c r="G915">
        <v>0</v>
      </c>
      <c r="H915">
        <v>15</v>
      </c>
      <c r="I915">
        <v>1</v>
      </c>
    </row>
    <row r="916" spans="1:9" x14ac:dyDescent="0.35">
      <c r="A916" t="s">
        <v>14336</v>
      </c>
      <c r="B916" t="s">
        <v>14337</v>
      </c>
      <c r="C916">
        <v>0</v>
      </c>
      <c r="D916">
        <v>0</v>
      </c>
      <c r="E916">
        <v>0</v>
      </c>
      <c r="F916">
        <v>0</v>
      </c>
      <c r="G916">
        <v>0</v>
      </c>
      <c r="H916">
        <v>0</v>
      </c>
      <c r="I916">
        <v>0</v>
      </c>
    </row>
    <row r="917" spans="1:9" x14ac:dyDescent="0.35">
      <c r="A917" t="s">
        <v>2903</v>
      </c>
      <c r="B917" t="s">
        <v>2030</v>
      </c>
      <c r="C917">
        <v>0</v>
      </c>
      <c r="D917">
        <v>0</v>
      </c>
      <c r="E917">
        <v>0</v>
      </c>
      <c r="F917">
        <v>10</v>
      </c>
      <c r="G917">
        <v>0</v>
      </c>
      <c r="H917">
        <v>10</v>
      </c>
      <c r="I917">
        <v>1</v>
      </c>
    </row>
    <row r="918" spans="1:9" x14ac:dyDescent="0.35">
      <c r="A918" t="s">
        <v>14338</v>
      </c>
      <c r="B918" t="s">
        <v>14339</v>
      </c>
      <c r="C918">
        <v>0</v>
      </c>
      <c r="D918">
        <v>0</v>
      </c>
      <c r="E918">
        <v>0</v>
      </c>
      <c r="F918">
        <v>0</v>
      </c>
      <c r="G918">
        <v>0</v>
      </c>
      <c r="H918">
        <v>0</v>
      </c>
      <c r="I918">
        <v>0</v>
      </c>
    </row>
    <row r="919" spans="1:9" x14ac:dyDescent="0.35">
      <c r="A919" t="s">
        <v>2915</v>
      </c>
      <c r="B919" t="s">
        <v>1351</v>
      </c>
      <c r="C919">
        <v>0</v>
      </c>
      <c r="D919">
        <v>0</v>
      </c>
      <c r="E919">
        <v>0</v>
      </c>
      <c r="F919">
        <v>12</v>
      </c>
      <c r="G919">
        <v>0</v>
      </c>
      <c r="H919">
        <v>12</v>
      </c>
      <c r="I919">
        <v>1</v>
      </c>
    </row>
    <row r="920" spans="1:9" x14ac:dyDescent="0.35">
      <c r="A920" t="s">
        <v>14340</v>
      </c>
      <c r="B920" t="s">
        <v>14341</v>
      </c>
      <c r="C920">
        <v>0</v>
      </c>
      <c r="D920">
        <v>0</v>
      </c>
      <c r="E920">
        <v>0</v>
      </c>
      <c r="F920">
        <v>0</v>
      </c>
      <c r="G920">
        <v>0</v>
      </c>
      <c r="H920">
        <v>0</v>
      </c>
      <c r="I920">
        <v>0</v>
      </c>
    </row>
    <row r="921" spans="1:9" x14ac:dyDescent="0.35">
      <c r="A921" t="s">
        <v>14342</v>
      </c>
      <c r="B921" t="s">
        <v>14343</v>
      </c>
      <c r="C921">
        <v>0</v>
      </c>
      <c r="D921">
        <v>0</v>
      </c>
      <c r="E921">
        <v>0</v>
      </c>
      <c r="F921">
        <v>0</v>
      </c>
      <c r="G921">
        <v>0</v>
      </c>
      <c r="H921">
        <v>0</v>
      </c>
      <c r="I921">
        <v>0</v>
      </c>
    </row>
    <row r="922" spans="1:9" x14ac:dyDescent="0.35">
      <c r="A922" t="s">
        <v>2917</v>
      </c>
      <c r="B922" t="s">
        <v>1563</v>
      </c>
      <c r="C922">
        <v>0</v>
      </c>
      <c r="D922">
        <v>0</v>
      </c>
      <c r="E922">
        <v>22</v>
      </c>
      <c r="F922">
        <v>0</v>
      </c>
      <c r="G922">
        <v>0</v>
      </c>
      <c r="H922">
        <v>22</v>
      </c>
      <c r="I922">
        <v>3</v>
      </c>
    </row>
    <row r="923" spans="1:9" x14ac:dyDescent="0.35">
      <c r="A923" t="s">
        <v>2852</v>
      </c>
      <c r="B923" t="s">
        <v>1244</v>
      </c>
      <c r="C923">
        <v>0</v>
      </c>
      <c r="D923">
        <v>0</v>
      </c>
      <c r="E923">
        <v>0</v>
      </c>
      <c r="F923">
        <v>0</v>
      </c>
      <c r="G923">
        <v>0</v>
      </c>
      <c r="H923">
        <v>0</v>
      </c>
      <c r="I923">
        <v>0</v>
      </c>
    </row>
    <row r="924" spans="1:9" x14ac:dyDescent="0.35">
      <c r="A924" t="s">
        <v>14344</v>
      </c>
      <c r="B924" t="s">
        <v>14345</v>
      </c>
      <c r="C924">
        <v>0</v>
      </c>
      <c r="D924">
        <v>0</v>
      </c>
      <c r="E924">
        <v>0</v>
      </c>
      <c r="F924">
        <v>0</v>
      </c>
      <c r="G924">
        <v>0</v>
      </c>
      <c r="H924">
        <v>0</v>
      </c>
      <c r="I924">
        <v>0</v>
      </c>
    </row>
    <row r="925" spans="1:9" x14ac:dyDescent="0.35">
      <c r="A925" t="s">
        <v>2912</v>
      </c>
      <c r="B925" t="s">
        <v>1914</v>
      </c>
      <c r="C925">
        <v>0</v>
      </c>
      <c r="D925">
        <v>0</v>
      </c>
      <c r="E925">
        <v>0</v>
      </c>
      <c r="F925">
        <v>5</v>
      </c>
      <c r="G925">
        <v>0</v>
      </c>
      <c r="H925">
        <v>5</v>
      </c>
      <c r="I925">
        <v>1</v>
      </c>
    </row>
    <row r="926" spans="1:9" x14ac:dyDescent="0.35">
      <c r="A926" t="s">
        <v>2935</v>
      </c>
      <c r="B926" t="s">
        <v>1352</v>
      </c>
      <c r="C926">
        <v>0</v>
      </c>
      <c r="D926">
        <v>0</v>
      </c>
      <c r="E926">
        <v>0</v>
      </c>
      <c r="F926">
        <v>36</v>
      </c>
      <c r="G926">
        <v>0</v>
      </c>
      <c r="H926">
        <v>36</v>
      </c>
      <c r="I926">
        <v>1</v>
      </c>
    </row>
    <row r="927" spans="1:9" x14ac:dyDescent="0.35">
      <c r="A927" t="s">
        <v>2898</v>
      </c>
      <c r="B927" t="s">
        <v>11417</v>
      </c>
      <c r="C927">
        <v>0</v>
      </c>
      <c r="D927">
        <v>0</v>
      </c>
      <c r="E927">
        <v>0</v>
      </c>
      <c r="F927">
        <v>11</v>
      </c>
      <c r="G927">
        <v>0</v>
      </c>
      <c r="H927">
        <v>11</v>
      </c>
      <c r="I927">
        <v>1</v>
      </c>
    </row>
    <row r="928" spans="1:9" x14ac:dyDescent="0.35">
      <c r="A928" t="s">
        <v>2901</v>
      </c>
      <c r="B928" t="s">
        <v>1915</v>
      </c>
      <c r="C928">
        <v>0</v>
      </c>
      <c r="D928">
        <v>0</v>
      </c>
      <c r="E928">
        <v>0</v>
      </c>
      <c r="F928">
        <v>9</v>
      </c>
      <c r="G928">
        <v>0</v>
      </c>
      <c r="H928">
        <v>9</v>
      </c>
      <c r="I928">
        <v>1</v>
      </c>
    </row>
    <row r="929" spans="1:9" x14ac:dyDescent="0.35">
      <c r="A929" t="s">
        <v>2930</v>
      </c>
      <c r="B929" t="s">
        <v>1772</v>
      </c>
      <c r="C929">
        <v>0</v>
      </c>
      <c r="D929">
        <v>0</v>
      </c>
      <c r="E929">
        <v>0</v>
      </c>
      <c r="F929">
        <v>10</v>
      </c>
      <c r="G929">
        <v>0</v>
      </c>
      <c r="H929">
        <v>10</v>
      </c>
      <c r="I929">
        <v>1</v>
      </c>
    </row>
    <row r="930" spans="1:9" x14ac:dyDescent="0.35">
      <c r="A930" t="s">
        <v>2883</v>
      </c>
      <c r="B930" t="s">
        <v>2031</v>
      </c>
      <c r="C930">
        <v>0</v>
      </c>
      <c r="D930">
        <v>0</v>
      </c>
      <c r="E930">
        <v>0</v>
      </c>
      <c r="F930">
        <v>13</v>
      </c>
      <c r="G930">
        <v>0</v>
      </c>
      <c r="H930">
        <v>13</v>
      </c>
      <c r="I930">
        <v>1</v>
      </c>
    </row>
    <row r="931" spans="1:9" x14ac:dyDescent="0.35">
      <c r="A931" t="s">
        <v>2853</v>
      </c>
      <c r="B931" t="s">
        <v>1564</v>
      </c>
      <c r="C931">
        <v>0</v>
      </c>
      <c r="D931">
        <v>0</v>
      </c>
      <c r="E931">
        <v>0</v>
      </c>
      <c r="F931">
        <v>9</v>
      </c>
      <c r="G931">
        <v>0</v>
      </c>
      <c r="H931">
        <v>9</v>
      </c>
      <c r="I931">
        <v>1</v>
      </c>
    </row>
    <row r="932" spans="1:9" x14ac:dyDescent="0.35">
      <c r="A932" t="s">
        <v>2877</v>
      </c>
      <c r="B932" t="s">
        <v>1916</v>
      </c>
      <c r="C932">
        <v>0</v>
      </c>
      <c r="D932">
        <v>0</v>
      </c>
      <c r="E932">
        <v>0</v>
      </c>
      <c r="F932">
        <v>16</v>
      </c>
      <c r="G932">
        <v>0</v>
      </c>
      <c r="H932">
        <v>16</v>
      </c>
      <c r="I932">
        <v>1</v>
      </c>
    </row>
    <row r="933" spans="1:9" x14ac:dyDescent="0.35">
      <c r="A933" t="s">
        <v>2841</v>
      </c>
      <c r="B933" t="s">
        <v>2032</v>
      </c>
      <c r="C933">
        <v>0</v>
      </c>
      <c r="D933">
        <v>0</v>
      </c>
      <c r="E933">
        <v>0</v>
      </c>
      <c r="F933">
        <v>57</v>
      </c>
      <c r="G933">
        <v>0</v>
      </c>
      <c r="H933">
        <v>57</v>
      </c>
      <c r="I933">
        <v>1</v>
      </c>
    </row>
    <row r="934" spans="1:9" x14ac:dyDescent="0.35">
      <c r="A934" t="s">
        <v>2859</v>
      </c>
      <c r="B934" t="s">
        <v>1245</v>
      </c>
      <c r="C934">
        <v>0</v>
      </c>
      <c r="D934">
        <v>0</v>
      </c>
      <c r="E934">
        <v>0</v>
      </c>
      <c r="F934">
        <v>1085</v>
      </c>
      <c r="G934">
        <v>5</v>
      </c>
      <c r="H934">
        <v>1090</v>
      </c>
      <c r="I934">
        <v>53</v>
      </c>
    </row>
    <row r="935" spans="1:9" x14ac:dyDescent="0.35">
      <c r="A935" t="s">
        <v>2909</v>
      </c>
      <c r="B935" t="s">
        <v>2033</v>
      </c>
      <c r="C935">
        <v>0</v>
      </c>
      <c r="D935">
        <v>0</v>
      </c>
      <c r="E935">
        <v>0</v>
      </c>
      <c r="F935">
        <v>9</v>
      </c>
      <c r="G935">
        <v>0</v>
      </c>
      <c r="H935">
        <v>9</v>
      </c>
      <c r="I935">
        <v>1</v>
      </c>
    </row>
    <row r="936" spans="1:9" x14ac:dyDescent="0.35">
      <c r="A936" t="s">
        <v>2913</v>
      </c>
      <c r="B936" t="s">
        <v>2034</v>
      </c>
      <c r="C936">
        <v>0</v>
      </c>
      <c r="D936">
        <v>0</v>
      </c>
      <c r="E936">
        <v>0</v>
      </c>
      <c r="F936">
        <v>57</v>
      </c>
      <c r="G936">
        <v>0</v>
      </c>
      <c r="H936">
        <v>57</v>
      </c>
      <c r="I936">
        <v>4</v>
      </c>
    </row>
    <row r="937" spans="1:9" x14ac:dyDescent="0.35">
      <c r="A937" t="s">
        <v>2856</v>
      </c>
      <c r="B937" t="s">
        <v>1353</v>
      </c>
      <c r="C937">
        <v>0</v>
      </c>
      <c r="D937">
        <v>0</v>
      </c>
      <c r="E937">
        <v>0</v>
      </c>
      <c r="F937">
        <v>33</v>
      </c>
      <c r="G937">
        <v>0</v>
      </c>
      <c r="H937">
        <v>33</v>
      </c>
      <c r="I937">
        <v>1</v>
      </c>
    </row>
    <row r="938" spans="1:9" x14ac:dyDescent="0.35">
      <c r="A938" t="s">
        <v>2895</v>
      </c>
      <c r="B938" t="s">
        <v>2035</v>
      </c>
      <c r="C938">
        <v>0</v>
      </c>
      <c r="D938">
        <v>0</v>
      </c>
      <c r="E938">
        <v>0</v>
      </c>
      <c r="F938">
        <v>18</v>
      </c>
      <c r="G938">
        <v>0</v>
      </c>
      <c r="H938">
        <v>18</v>
      </c>
      <c r="I938">
        <v>1</v>
      </c>
    </row>
    <row r="939" spans="1:9" x14ac:dyDescent="0.35">
      <c r="A939" t="s">
        <v>2914</v>
      </c>
      <c r="B939" t="s">
        <v>2178</v>
      </c>
      <c r="C939">
        <v>8</v>
      </c>
      <c r="D939">
        <v>0</v>
      </c>
      <c r="E939">
        <v>0</v>
      </c>
      <c r="F939">
        <v>12</v>
      </c>
      <c r="G939">
        <v>0</v>
      </c>
      <c r="H939">
        <v>20</v>
      </c>
      <c r="I939">
        <v>1</v>
      </c>
    </row>
    <row r="940" spans="1:9" x14ac:dyDescent="0.35">
      <c r="A940" t="s">
        <v>2851</v>
      </c>
      <c r="B940" t="s">
        <v>2036</v>
      </c>
      <c r="C940">
        <v>0</v>
      </c>
      <c r="D940">
        <v>0</v>
      </c>
      <c r="E940">
        <v>0</v>
      </c>
      <c r="F940">
        <v>10</v>
      </c>
      <c r="G940">
        <v>0</v>
      </c>
      <c r="H940">
        <v>10</v>
      </c>
      <c r="I940">
        <v>1</v>
      </c>
    </row>
    <row r="941" spans="1:9" x14ac:dyDescent="0.35">
      <c r="A941" t="s">
        <v>2848</v>
      </c>
      <c r="B941" t="s">
        <v>1565</v>
      </c>
      <c r="C941">
        <v>0</v>
      </c>
      <c r="D941">
        <v>0</v>
      </c>
      <c r="E941">
        <v>0</v>
      </c>
      <c r="F941">
        <v>30</v>
      </c>
      <c r="G941">
        <v>0</v>
      </c>
      <c r="H941">
        <v>30</v>
      </c>
      <c r="I941">
        <v>1</v>
      </c>
    </row>
    <row r="942" spans="1:9" x14ac:dyDescent="0.35">
      <c r="A942" t="s">
        <v>2835</v>
      </c>
      <c r="B942" t="s">
        <v>1354</v>
      </c>
      <c r="C942">
        <v>0</v>
      </c>
      <c r="D942">
        <v>0</v>
      </c>
      <c r="E942">
        <v>0</v>
      </c>
      <c r="F942">
        <v>12</v>
      </c>
      <c r="G942">
        <v>0</v>
      </c>
      <c r="H942">
        <v>12</v>
      </c>
      <c r="I942">
        <v>1</v>
      </c>
    </row>
    <row r="943" spans="1:9" x14ac:dyDescent="0.35">
      <c r="A943" t="s">
        <v>2843</v>
      </c>
      <c r="B943" t="s">
        <v>1773</v>
      </c>
      <c r="C943">
        <v>20</v>
      </c>
      <c r="D943">
        <v>0</v>
      </c>
      <c r="E943">
        <v>0</v>
      </c>
      <c r="F943">
        <v>0</v>
      </c>
      <c r="G943">
        <v>0</v>
      </c>
      <c r="H943">
        <v>20</v>
      </c>
      <c r="I943">
        <v>1</v>
      </c>
    </row>
    <row r="944" spans="1:9" x14ac:dyDescent="0.35">
      <c r="A944" t="s">
        <v>14346</v>
      </c>
      <c r="B944" t="s">
        <v>14347</v>
      </c>
      <c r="C944">
        <v>0</v>
      </c>
      <c r="D944">
        <v>0</v>
      </c>
      <c r="E944">
        <v>0</v>
      </c>
      <c r="F944">
        <v>0</v>
      </c>
      <c r="G944">
        <v>0</v>
      </c>
      <c r="H944">
        <v>0</v>
      </c>
      <c r="I944">
        <v>0</v>
      </c>
    </row>
    <row r="945" spans="1:9" x14ac:dyDescent="0.35">
      <c r="A945" t="s">
        <v>2900</v>
      </c>
      <c r="B945" t="s">
        <v>2114</v>
      </c>
      <c r="C945">
        <v>0</v>
      </c>
      <c r="D945">
        <v>0</v>
      </c>
      <c r="E945">
        <v>0</v>
      </c>
      <c r="F945">
        <v>11</v>
      </c>
      <c r="G945">
        <v>0</v>
      </c>
      <c r="H945">
        <v>11</v>
      </c>
      <c r="I945">
        <v>1</v>
      </c>
    </row>
    <row r="946" spans="1:9" x14ac:dyDescent="0.35">
      <c r="A946" t="s">
        <v>2876</v>
      </c>
      <c r="B946" t="s">
        <v>2179</v>
      </c>
      <c r="C946">
        <v>0</v>
      </c>
      <c r="D946">
        <v>0</v>
      </c>
      <c r="E946">
        <v>0</v>
      </c>
      <c r="F946">
        <v>31</v>
      </c>
      <c r="G946">
        <v>0</v>
      </c>
      <c r="H946">
        <v>31</v>
      </c>
      <c r="I946">
        <v>1</v>
      </c>
    </row>
    <row r="947" spans="1:9" x14ac:dyDescent="0.35">
      <c r="A947" t="s">
        <v>2435</v>
      </c>
      <c r="B947" t="s">
        <v>11466</v>
      </c>
      <c r="C947">
        <v>0</v>
      </c>
      <c r="D947">
        <v>0</v>
      </c>
      <c r="E947">
        <v>0</v>
      </c>
      <c r="F947">
        <v>28</v>
      </c>
      <c r="G947">
        <v>0</v>
      </c>
      <c r="H947">
        <v>28</v>
      </c>
      <c r="I947">
        <v>1</v>
      </c>
    </row>
    <row r="948" spans="1:9" x14ac:dyDescent="0.35">
      <c r="A948" t="s">
        <v>2459</v>
      </c>
      <c r="B948" t="s">
        <v>1917</v>
      </c>
      <c r="C948">
        <v>18</v>
      </c>
      <c r="D948">
        <v>0</v>
      </c>
      <c r="E948">
        <v>0</v>
      </c>
      <c r="F948">
        <v>0</v>
      </c>
      <c r="G948">
        <v>0</v>
      </c>
      <c r="H948">
        <v>18</v>
      </c>
      <c r="I948">
        <v>1</v>
      </c>
    </row>
    <row r="949" spans="1:9" x14ac:dyDescent="0.35">
      <c r="A949" t="s">
        <v>2557</v>
      </c>
      <c r="B949" t="s">
        <v>2115</v>
      </c>
      <c r="C949">
        <v>14</v>
      </c>
      <c r="D949">
        <v>0</v>
      </c>
      <c r="E949">
        <v>0</v>
      </c>
      <c r="F949">
        <v>0</v>
      </c>
      <c r="G949">
        <v>0</v>
      </c>
      <c r="H949">
        <v>14</v>
      </c>
      <c r="I949">
        <v>1</v>
      </c>
    </row>
    <row r="950" spans="1:9" x14ac:dyDescent="0.35">
      <c r="A950" t="s">
        <v>2476</v>
      </c>
      <c r="B950" t="s">
        <v>1355</v>
      </c>
      <c r="C950">
        <v>0</v>
      </c>
      <c r="D950">
        <v>0</v>
      </c>
      <c r="E950">
        <v>47</v>
      </c>
      <c r="F950">
        <v>0</v>
      </c>
      <c r="G950">
        <v>0</v>
      </c>
      <c r="H950">
        <v>47</v>
      </c>
      <c r="I950">
        <v>1</v>
      </c>
    </row>
    <row r="951" spans="1:9" x14ac:dyDescent="0.35">
      <c r="A951" t="s">
        <v>2544</v>
      </c>
      <c r="B951" t="s">
        <v>2037</v>
      </c>
      <c r="C951">
        <v>2</v>
      </c>
      <c r="D951">
        <v>0</v>
      </c>
      <c r="E951">
        <v>0</v>
      </c>
      <c r="F951">
        <v>0</v>
      </c>
      <c r="G951">
        <v>0</v>
      </c>
      <c r="H951">
        <v>2</v>
      </c>
      <c r="I951">
        <v>1</v>
      </c>
    </row>
    <row r="952" spans="1:9" x14ac:dyDescent="0.35">
      <c r="A952" t="s">
        <v>2503</v>
      </c>
      <c r="B952" t="s">
        <v>1566</v>
      </c>
      <c r="C952">
        <v>0</v>
      </c>
      <c r="D952">
        <v>0</v>
      </c>
      <c r="E952">
        <v>0</v>
      </c>
      <c r="F952">
        <v>33</v>
      </c>
      <c r="G952">
        <v>0</v>
      </c>
      <c r="H952">
        <v>33</v>
      </c>
      <c r="I952">
        <v>1</v>
      </c>
    </row>
    <row r="953" spans="1:9" x14ac:dyDescent="0.35">
      <c r="A953" t="s">
        <v>2400</v>
      </c>
      <c r="B953" t="s">
        <v>2116</v>
      </c>
      <c r="C953">
        <v>29</v>
      </c>
      <c r="D953">
        <v>0</v>
      </c>
      <c r="E953">
        <v>0</v>
      </c>
      <c r="F953">
        <v>0</v>
      </c>
      <c r="G953">
        <v>0</v>
      </c>
      <c r="H953">
        <v>29</v>
      </c>
      <c r="I953">
        <v>1</v>
      </c>
    </row>
    <row r="954" spans="1:9" x14ac:dyDescent="0.35">
      <c r="A954" t="s">
        <v>2624</v>
      </c>
      <c r="B954" t="s">
        <v>2117</v>
      </c>
      <c r="C954">
        <v>13</v>
      </c>
      <c r="D954">
        <v>0</v>
      </c>
      <c r="E954">
        <v>0</v>
      </c>
      <c r="F954">
        <v>0</v>
      </c>
      <c r="G954">
        <v>0</v>
      </c>
      <c r="H954">
        <v>13</v>
      </c>
      <c r="I954">
        <v>2</v>
      </c>
    </row>
    <row r="955" spans="1:9" x14ac:dyDescent="0.35">
      <c r="A955" t="s">
        <v>14348</v>
      </c>
      <c r="B955" t="s">
        <v>14349</v>
      </c>
      <c r="C955">
        <v>0</v>
      </c>
      <c r="D955">
        <v>0</v>
      </c>
      <c r="E955">
        <v>0</v>
      </c>
      <c r="F955">
        <v>0</v>
      </c>
      <c r="G955">
        <v>0</v>
      </c>
      <c r="H955">
        <v>0</v>
      </c>
      <c r="I955">
        <v>0</v>
      </c>
    </row>
    <row r="956" spans="1:9" x14ac:dyDescent="0.35">
      <c r="A956" t="s">
        <v>2378</v>
      </c>
      <c r="B956" t="s">
        <v>2038</v>
      </c>
      <c r="C956">
        <v>0</v>
      </c>
      <c r="D956">
        <v>0</v>
      </c>
      <c r="E956">
        <v>0</v>
      </c>
      <c r="F956">
        <v>17</v>
      </c>
      <c r="G956">
        <v>0</v>
      </c>
      <c r="H956">
        <v>17</v>
      </c>
      <c r="I956">
        <v>1</v>
      </c>
    </row>
    <row r="957" spans="1:9" x14ac:dyDescent="0.35">
      <c r="A957" t="s">
        <v>11467</v>
      </c>
      <c r="B957" t="s">
        <v>11433</v>
      </c>
      <c r="C957">
        <v>14</v>
      </c>
      <c r="D957">
        <v>0</v>
      </c>
      <c r="E957">
        <v>0</v>
      </c>
      <c r="F957">
        <v>0</v>
      </c>
      <c r="G957">
        <v>0</v>
      </c>
      <c r="H957">
        <v>14</v>
      </c>
      <c r="I957">
        <v>1</v>
      </c>
    </row>
    <row r="958" spans="1:9" x14ac:dyDescent="0.35">
      <c r="A958" t="s">
        <v>3026</v>
      </c>
      <c r="B958" t="s">
        <v>1356</v>
      </c>
      <c r="C958">
        <v>2091</v>
      </c>
      <c r="D958">
        <v>0</v>
      </c>
      <c r="E958">
        <v>188</v>
      </c>
      <c r="F958">
        <v>215</v>
      </c>
      <c r="G958">
        <v>443</v>
      </c>
      <c r="H958">
        <v>2937</v>
      </c>
      <c r="I958">
        <v>7</v>
      </c>
    </row>
    <row r="959" spans="1:9" x14ac:dyDescent="0.35">
      <c r="A959" t="s">
        <v>3013</v>
      </c>
      <c r="B959" t="s">
        <v>1357</v>
      </c>
      <c r="C959">
        <v>64</v>
      </c>
      <c r="D959">
        <v>0</v>
      </c>
      <c r="E959">
        <v>0</v>
      </c>
      <c r="F959">
        <v>0</v>
      </c>
      <c r="G959">
        <v>0</v>
      </c>
      <c r="H959">
        <v>64</v>
      </c>
      <c r="I959">
        <v>3</v>
      </c>
    </row>
    <row r="960" spans="1:9" x14ac:dyDescent="0.35">
      <c r="A960" t="s">
        <v>2361</v>
      </c>
      <c r="B960" t="s">
        <v>1918</v>
      </c>
      <c r="C960">
        <v>16</v>
      </c>
      <c r="D960">
        <v>0</v>
      </c>
      <c r="E960">
        <v>0</v>
      </c>
      <c r="F960">
        <v>0</v>
      </c>
      <c r="G960">
        <v>0</v>
      </c>
      <c r="H960">
        <v>16</v>
      </c>
      <c r="I960">
        <v>1</v>
      </c>
    </row>
    <row r="961" spans="1:9" x14ac:dyDescent="0.35">
      <c r="A961" t="s">
        <v>2510</v>
      </c>
      <c r="B961" t="s">
        <v>1246</v>
      </c>
      <c r="C961">
        <v>0</v>
      </c>
      <c r="D961">
        <v>0</v>
      </c>
      <c r="E961">
        <v>0</v>
      </c>
      <c r="F961">
        <v>69</v>
      </c>
      <c r="G961">
        <v>0</v>
      </c>
      <c r="H961">
        <v>69</v>
      </c>
      <c r="I961">
        <v>1</v>
      </c>
    </row>
    <row r="962" spans="1:9" x14ac:dyDescent="0.35">
      <c r="A962" t="s">
        <v>2553</v>
      </c>
      <c r="B962" t="s">
        <v>2180</v>
      </c>
      <c r="C962">
        <v>0</v>
      </c>
      <c r="D962">
        <v>0</v>
      </c>
      <c r="E962">
        <v>0</v>
      </c>
      <c r="F962">
        <v>4</v>
      </c>
      <c r="G962">
        <v>0</v>
      </c>
      <c r="H962">
        <v>4</v>
      </c>
      <c r="I962">
        <v>1</v>
      </c>
    </row>
    <row r="963" spans="1:9" x14ac:dyDescent="0.35">
      <c r="A963" t="s">
        <v>14350</v>
      </c>
      <c r="B963" t="s">
        <v>14351</v>
      </c>
      <c r="C963">
        <v>0</v>
      </c>
      <c r="D963">
        <v>0</v>
      </c>
      <c r="E963">
        <v>0</v>
      </c>
      <c r="F963">
        <v>0</v>
      </c>
      <c r="G963">
        <v>0</v>
      </c>
      <c r="H963">
        <v>0</v>
      </c>
      <c r="I963">
        <v>0</v>
      </c>
    </row>
    <row r="964" spans="1:9" x14ac:dyDescent="0.35">
      <c r="A964" t="s">
        <v>2598</v>
      </c>
      <c r="B964" t="s">
        <v>1567</v>
      </c>
      <c r="C964">
        <v>8</v>
      </c>
      <c r="D964">
        <v>0</v>
      </c>
      <c r="E964">
        <v>0</v>
      </c>
      <c r="F964">
        <v>0</v>
      </c>
      <c r="G964">
        <v>0</v>
      </c>
      <c r="H964">
        <v>8</v>
      </c>
      <c r="I964">
        <v>1</v>
      </c>
    </row>
    <row r="965" spans="1:9" x14ac:dyDescent="0.35">
      <c r="A965" t="s">
        <v>3343</v>
      </c>
      <c r="B965" t="s">
        <v>2118</v>
      </c>
      <c r="C965">
        <v>3606</v>
      </c>
      <c r="D965">
        <v>0</v>
      </c>
      <c r="E965">
        <v>2059</v>
      </c>
      <c r="F965">
        <v>0</v>
      </c>
      <c r="G965">
        <v>311</v>
      </c>
      <c r="H965">
        <v>5976</v>
      </c>
      <c r="I965">
        <v>4</v>
      </c>
    </row>
    <row r="966" spans="1:9" x14ac:dyDescent="0.35">
      <c r="A966" t="s">
        <v>2606</v>
      </c>
      <c r="B966" t="s">
        <v>14352</v>
      </c>
      <c r="C966">
        <v>6</v>
      </c>
      <c r="D966">
        <v>0</v>
      </c>
      <c r="E966">
        <v>0</v>
      </c>
      <c r="F966">
        <v>0</v>
      </c>
      <c r="G966">
        <v>0</v>
      </c>
      <c r="H966">
        <v>6</v>
      </c>
      <c r="I966">
        <v>1</v>
      </c>
    </row>
    <row r="967" spans="1:9" x14ac:dyDescent="0.35">
      <c r="A967" t="s">
        <v>2591</v>
      </c>
      <c r="B967" t="s">
        <v>1568</v>
      </c>
      <c r="C967">
        <v>0</v>
      </c>
      <c r="D967">
        <v>0</v>
      </c>
      <c r="E967">
        <v>0</v>
      </c>
      <c r="F967">
        <v>172</v>
      </c>
      <c r="G967">
        <v>0</v>
      </c>
      <c r="H967">
        <v>172</v>
      </c>
      <c r="I967">
        <v>3</v>
      </c>
    </row>
    <row r="968" spans="1:9" x14ac:dyDescent="0.35">
      <c r="A968" t="s">
        <v>2561</v>
      </c>
      <c r="B968" t="s">
        <v>2039</v>
      </c>
      <c r="C968">
        <v>0</v>
      </c>
      <c r="D968">
        <v>0</v>
      </c>
      <c r="E968">
        <v>0</v>
      </c>
      <c r="F968">
        <v>49</v>
      </c>
      <c r="G968">
        <v>0</v>
      </c>
      <c r="H968">
        <v>49</v>
      </c>
      <c r="I968">
        <v>1</v>
      </c>
    </row>
    <row r="969" spans="1:9" x14ac:dyDescent="0.35">
      <c r="A969" t="s">
        <v>2301</v>
      </c>
      <c r="B969" t="s">
        <v>1774</v>
      </c>
      <c r="C969">
        <v>48</v>
      </c>
      <c r="D969">
        <v>0</v>
      </c>
      <c r="E969">
        <v>0</v>
      </c>
      <c r="F969">
        <v>0</v>
      </c>
      <c r="G969">
        <v>0</v>
      </c>
      <c r="H969">
        <v>48</v>
      </c>
      <c r="I969">
        <v>1</v>
      </c>
    </row>
    <row r="970" spans="1:9" x14ac:dyDescent="0.35">
      <c r="A970" t="s">
        <v>2359</v>
      </c>
      <c r="B970" t="s">
        <v>1247</v>
      </c>
      <c r="C970">
        <v>0</v>
      </c>
      <c r="D970">
        <v>0</v>
      </c>
      <c r="E970">
        <v>127</v>
      </c>
      <c r="F970">
        <v>0</v>
      </c>
      <c r="G970">
        <v>0</v>
      </c>
      <c r="H970">
        <v>127</v>
      </c>
      <c r="I970">
        <v>7</v>
      </c>
    </row>
    <row r="971" spans="1:9" x14ac:dyDescent="0.35">
      <c r="A971" t="s">
        <v>2257</v>
      </c>
      <c r="B971" t="s">
        <v>1248</v>
      </c>
      <c r="C971">
        <v>0</v>
      </c>
      <c r="D971">
        <v>0</v>
      </c>
      <c r="E971">
        <v>0</v>
      </c>
      <c r="F971">
        <v>745</v>
      </c>
      <c r="G971">
        <v>0</v>
      </c>
      <c r="H971">
        <v>745</v>
      </c>
      <c r="I971">
        <v>10</v>
      </c>
    </row>
    <row r="972" spans="1:9" x14ac:dyDescent="0.35">
      <c r="A972" t="s">
        <v>3224</v>
      </c>
      <c r="B972" t="s">
        <v>11398</v>
      </c>
      <c r="C972">
        <v>0</v>
      </c>
      <c r="D972">
        <v>0</v>
      </c>
      <c r="E972">
        <v>91</v>
      </c>
      <c r="F972">
        <v>0</v>
      </c>
      <c r="G972">
        <v>0</v>
      </c>
      <c r="H972">
        <v>91</v>
      </c>
      <c r="I972">
        <v>5</v>
      </c>
    </row>
    <row r="973" spans="1:9" x14ac:dyDescent="0.35">
      <c r="A973" t="s">
        <v>2491</v>
      </c>
      <c r="B973" t="s">
        <v>11468</v>
      </c>
      <c r="C973">
        <v>0</v>
      </c>
      <c r="D973">
        <v>0</v>
      </c>
      <c r="E973">
        <v>0</v>
      </c>
      <c r="F973">
        <v>69</v>
      </c>
      <c r="G973">
        <v>0</v>
      </c>
      <c r="H973">
        <v>69</v>
      </c>
      <c r="I973">
        <v>1</v>
      </c>
    </row>
    <row r="974" spans="1:9" x14ac:dyDescent="0.35">
      <c r="A974" t="s">
        <v>3076</v>
      </c>
      <c r="B974" t="s">
        <v>1919</v>
      </c>
      <c r="C974">
        <v>58</v>
      </c>
      <c r="D974">
        <v>0</v>
      </c>
      <c r="E974">
        <v>0</v>
      </c>
      <c r="F974">
        <v>0</v>
      </c>
      <c r="G974">
        <v>0</v>
      </c>
      <c r="H974">
        <v>58</v>
      </c>
      <c r="I974">
        <v>4</v>
      </c>
    </row>
    <row r="975" spans="1:9" x14ac:dyDescent="0.35">
      <c r="A975" t="s">
        <v>14353</v>
      </c>
      <c r="B975" t="s">
        <v>14354</v>
      </c>
      <c r="C975">
        <v>8</v>
      </c>
      <c r="D975">
        <v>0</v>
      </c>
      <c r="E975">
        <v>0</v>
      </c>
      <c r="F975">
        <v>0</v>
      </c>
      <c r="G975">
        <v>0</v>
      </c>
      <c r="H975">
        <v>8</v>
      </c>
      <c r="I975">
        <v>1</v>
      </c>
    </row>
    <row r="976" spans="1:9" x14ac:dyDescent="0.35">
      <c r="A976" t="s">
        <v>3293</v>
      </c>
      <c r="B976" t="s">
        <v>1358</v>
      </c>
      <c r="C976">
        <v>0</v>
      </c>
      <c r="D976">
        <v>0</v>
      </c>
      <c r="E976">
        <v>88</v>
      </c>
      <c r="F976">
        <v>7</v>
      </c>
      <c r="G976">
        <v>0</v>
      </c>
      <c r="H976">
        <v>95</v>
      </c>
      <c r="I976">
        <v>7</v>
      </c>
    </row>
    <row r="977" spans="1:9" x14ac:dyDescent="0.35">
      <c r="A977" t="s">
        <v>2430</v>
      </c>
      <c r="B977" t="s">
        <v>1569</v>
      </c>
      <c r="C977">
        <v>0</v>
      </c>
      <c r="D977">
        <v>0</v>
      </c>
      <c r="E977">
        <v>0</v>
      </c>
      <c r="F977">
        <v>172</v>
      </c>
      <c r="G977">
        <v>0</v>
      </c>
      <c r="H977">
        <v>172</v>
      </c>
      <c r="I977">
        <v>1</v>
      </c>
    </row>
    <row r="978" spans="1:9" x14ac:dyDescent="0.35">
      <c r="A978" t="s">
        <v>2579</v>
      </c>
      <c r="B978" t="s">
        <v>1359</v>
      </c>
      <c r="C978">
        <v>0</v>
      </c>
      <c r="D978">
        <v>0</v>
      </c>
      <c r="E978">
        <v>0</v>
      </c>
      <c r="F978">
        <v>8</v>
      </c>
      <c r="G978">
        <v>0</v>
      </c>
      <c r="H978">
        <v>8</v>
      </c>
      <c r="I978">
        <v>1</v>
      </c>
    </row>
    <row r="979" spans="1:9" x14ac:dyDescent="0.35">
      <c r="A979" t="s">
        <v>2626</v>
      </c>
      <c r="B979" t="s">
        <v>2040</v>
      </c>
      <c r="C979">
        <v>12</v>
      </c>
      <c r="D979">
        <v>0</v>
      </c>
      <c r="E979">
        <v>0</v>
      </c>
      <c r="F979">
        <v>0</v>
      </c>
      <c r="G979">
        <v>0</v>
      </c>
      <c r="H979">
        <v>12</v>
      </c>
      <c r="I979">
        <v>1</v>
      </c>
    </row>
    <row r="980" spans="1:9" x14ac:dyDescent="0.35">
      <c r="A980" t="s">
        <v>2242</v>
      </c>
      <c r="B980" t="s">
        <v>1658</v>
      </c>
      <c r="C980">
        <v>20</v>
      </c>
      <c r="D980">
        <v>0</v>
      </c>
      <c r="E980">
        <v>0</v>
      </c>
      <c r="F980">
        <v>0</v>
      </c>
      <c r="G980">
        <v>0</v>
      </c>
      <c r="H980">
        <v>20</v>
      </c>
      <c r="I980">
        <v>1</v>
      </c>
    </row>
    <row r="981" spans="1:9" x14ac:dyDescent="0.35">
      <c r="A981" t="s">
        <v>2434</v>
      </c>
      <c r="B981" t="s">
        <v>2041</v>
      </c>
      <c r="C981">
        <v>0</v>
      </c>
      <c r="D981">
        <v>0</v>
      </c>
      <c r="E981">
        <v>0</v>
      </c>
      <c r="F981">
        <v>137</v>
      </c>
      <c r="G981">
        <v>0</v>
      </c>
      <c r="H981">
        <v>137</v>
      </c>
      <c r="I981">
        <v>1</v>
      </c>
    </row>
    <row r="982" spans="1:9" x14ac:dyDescent="0.35">
      <c r="A982" t="s">
        <v>2919</v>
      </c>
      <c r="B982" t="s">
        <v>1920</v>
      </c>
      <c r="C982">
        <v>0</v>
      </c>
      <c r="D982">
        <v>0</v>
      </c>
      <c r="E982">
        <v>66</v>
      </c>
      <c r="F982">
        <v>0</v>
      </c>
      <c r="G982">
        <v>0</v>
      </c>
      <c r="H982">
        <v>66</v>
      </c>
      <c r="I982">
        <v>2</v>
      </c>
    </row>
    <row r="983" spans="1:9" x14ac:dyDescent="0.35">
      <c r="A983" t="s">
        <v>2275</v>
      </c>
      <c r="B983" t="s">
        <v>1249</v>
      </c>
      <c r="C983">
        <v>44699</v>
      </c>
      <c r="D983">
        <v>7</v>
      </c>
      <c r="E983">
        <v>682</v>
      </c>
      <c r="F983">
        <v>6892</v>
      </c>
      <c r="G983">
        <v>6356</v>
      </c>
      <c r="H983">
        <v>58636</v>
      </c>
      <c r="I983">
        <v>141</v>
      </c>
    </row>
    <row r="984" spans="1:9" x14ac:dyDescent="0.35">
      <c r="A984" t="s">
        <v>2490</v>
      </c>
      <c r="B984" t="s">
        <v>1570</v>
      </c>
      <c r="C984">
        <v>0</v>
      </c>
      <c r="D984">
        <v>0</v>
      </c>
      <c r="E984">
        <v>0</v>
      </c>
      <c r="F984">
        <v>12</v>
      </c>
      <c r="G984">
        <v>0</v>
      </c>
      <c r="H984">
        <v>12</v>
      </c>
      <c r="I984">
        <v>1</v>
      </c>
    </row>
    <row r="985" spans="1:9" x14ac:dyDescent="0.35">
      <c r="A985" t="s">
        <v>2558</v>
      </c>
      <c r="B985" t="s">
        <v>2119</v>
      </c>
      <c r="C985">
        <v>0</v>
      </c>
      <c r="D985">
        <v>0</v>
      </c>
      <c r="E985">
        <v>0</v>
      </c>
      <c r="F985">
        <v>99</v>
      </c>
      <c r="G985">
        <v>0</v>
      </c>
      <c r="H985">
        <v>99</v>
      </c>
      <c r="I985">
        <v>2</v>
      </c>
    </row>
    <row r="986" spans="1:9" x14ac:dyDescent="0.35">
      <c r="A986" t="s">
        <v>2618</v>
      </c>
      <c r="B986" t="s">
        <v>2181</v>
      </c>
      <c r="C986">
        <v>0</v>
      </c>
      <c r="D986">
        <v>0</v>
      </c>
      <c r="E986">
        <v>0</v>
      </c>
      <c r="F986">
        <v>8</v>
      </c>
      <c r="G986">
        <v>0</v>
      </c>
      <c r="H986">
        <v>8</v>
      </c>
      <c r="I986">
        <v>1</v>
      </c>
    </row>
    <row r="987" spans="1:9" x14ac:dyDescent="0.35">
      <c r="A987" t="s">
        <v>2469</v>
      </c>
      <c r="B987" t="s">
        <v>11399</v>
      </c>
      <c r="C987">
        <v>29</v>
      </c>
      <c r="D987">
        <v>0</v>
      </c>
      <c r="E987">
        <v>0</v>
      </c>
      <c r="F987">
        <v>0</v>
      </c>
      <c r="G987">
        <v>0</v>
      </c>
      <c r="H987">
        <v>29</v>
      </c>
      <c r="I987">
        <v>1</v>
      </c>
    </row>
    <row r="988" spans="1:9" x14ac:dyDescent="0.35">
      <c r="A988" t="s">
        <v>3350</v>
      </c>
      <c r="B988" t="s">
        <v>1360</v>
      </c>
      <c r="C988">
        <v>6430</v>
      </c>
      <c r="D988">
        <v>0</v>
      </c>
      <c r="E988">
        <v>99</v>
      </c>
      <c r="F988">
        <v>265</v>
      </c>
      <c r="G988">
        <v>296</v>
      </c>
      <c r="H988">
        <v>7090</v>
      </c>
      <c r="I988">
        <v>10</v>
      </c>
    </row>
    <row r="989" spans="1:9" x14ac:dyDescent="0.35">
      <c r="A989" t="s">
        <v>2631</v>
      </c>
      <c r="B989" t="s">
        <v>14355</v>
      </c>
      <c r="C989">
        <v>12</v>
      </c>
      <c r="D989">
        <v>0</v>
      </c>
      <c r="E989">
        <v>0</v>
      </c>
      <c r="F989">
        <v>0</v>
      </c>
      <c r="G989">
        <v>0</v>
      </c>
      <c r="H989">
        <v>12</v>
      </c>
      <c r="I989">
        <v>1</v>
      </c>
    </row>
    <row r="990" spans="1:9" x14ac:dyDescent="0.35">
      <c r="A990" t="s">
        <v>2613</v>
      </c>
      <c r="B990" t="s">
        <v>1361</v>
      </c>
      <c r="C990">
        <v>16</v>
      </c>
      <c r="D990">
        <v>0</v>
      </c>
      <c r="E990">
        <v>0</v>
      </c>
      <c r="F990">
        <v>0</v>
      </c>
      <c r="G990">
        <v>0</v>
      </c>
      <c r="H990">
        <v>16</v>
      </c>
      <c r="I990">
        <v>1</v>
      </c>
    </row>
    <row r="991" spans="1:9" x14ac:dyDescent="0.35">
      <c r="A991" t="s">
        <v>2614</v>
      </c>
      <c r="B991" t="s">
        <v>11418</v>
      </c>
      <c r="C991">
        <v>0</v>
      </c>
      <c r="D991">
        <v>0</v>
      </c>
      <c r="E991">
        <v>0</v>
      </c>
      <c r="F991">
        <v>60</v>
      </c>
      <c r="G991">
        <v>0</v>
      </c>
      <c r="H991">
        <v>60</v>
      </c>
      <c r="I991">
        <v>1</v>
      </c>
    </row>
    <row r="992" spans="1:9" x14ac:dyDescent="0.35">
      <c r="A992" t="s">
        <v>2620</v>
      </c>
      <c r="B992" t="s">
        <v>1921</v>
      </c>
      <c r="C992">
        <v>26</v>
      </c>
      <c r="D992">
        <v>0</v>
      </c>
      <c r="E992">
        <v>0</v>
      </c>
      <c r="F992">
        <v>0</v>
      </c>
      <c r="G992">
        <v>0</v>
      </c>
      <c r="H992">
        <v>26</v>
      </c>
      <c r="I992">
        <v>1</v>
      </c>
    </row>
    <row r="993" spans="1:9" x14ac:dyDescent="0.35">
      <c r="A993" t="s">
        <v>2529</v>
      </c>
      <c r="B993" t="s">
        <v>11434</v>
      </c>
      <c r="C993">
        <v>11</v>
      </c>
      <c r="D993">
        <v>0</v>
      </c>
      <c r="E993">
        <v>0</v>
      </c>
      <c r="F993">
        <v>36</v>
      </c>
      <c r="G993">
        <v>0</v>
      </c>
      <c r="H993">
        <v>47</v>
      </c>
      <c r="I993">
        <v>1</v>
      </c>
    </row>
    <row r="994" spans="1:9" x14ac:dyDescent="0.35">
      <c r="A994" t="s">
        <v>2545</v>
      </c>
      <c r="B994" t="s">
        <v>2182</v>
      </c>
      <c r="C994">
        <v>20</v>
      </c>
      <c r="D994">
        <v>0</v>
      </c>
      <c r="E994">
        <v>0</v>
      </c>
      <c r="F994">
        <v>0</v>
      </c>
      <c r="G994">
        <v>0</v>
      </c>
      <c r="H994">
        <v>20</v>
      </c>
      <c r="I994">
        <v>1</v>
      </c>
    </row>
    <row r="995" spans="1:9" x14ac:dyDescent="0.35">
      <c r="A995" t="s">
        <v>2456</v>
      </c>
      <c r="B995" t="s">
        <v>1250</v>
      </c>
      <c r="C995">
        <v>0</v>
      </c>
      <c r="D995">
        <v>0</v>
      </c>
      <c r="E995">
        <v>0</v>
      </c>
      <c r="F995">
        <v>103</v>
      </c>
      <c r="G995">
        <v>0</v>
      </c>
      <c r="H995">
        <v>103</v>
      </c>
      <c r="I995">
        <v>1</v>
      </c>
    </row>
    <row r="996" spans="1:9" x14ac:dyDescent="0.35">
      <c r="A996" t="s">
        <v>2484</v>
      </c>
      <c r="B996" t="s">
        <v>2183</v>
      </c>
      <c r="C996">
        <v>15</v>
      </c>
      <c r="D996">
        <v>0</v>
      </c>
      <c r="E996">
        <v>0</v>
      </c>
      <c r="F996">
        <v>0</v>
      </c>
      <c r="G996">
        <v>0</v>
      </c>
      <c r="H996">
        <v>15</v>
      </c>
      <c r="I996">
        <v>1</v>
      </c>
    </row>
    <row r="997" spans="1:9" x14ac:dyDescent="0.35">
      <c r="A997" t="s">
        <v>2585</v>
      </c>
      <c r="B997" t="s">
        <v>1922</v>
      </c>
      <c r="C997">
        <v>0</v>
      </c>
      <c r="D997">
        <v>0</v>
      </c>
      <c r="E997">
        <v>0</v>
      </c>
      <c r="F997">
        <v>14</v>
      </c>
      <c r="G997">
        <v>0</v>
      </c>
      <c r="H997">
        <v>14</v>
      </c>
      <c r="I997">
        <v>1</v>
      </c>
    </row>
    <row r="998" spans="1:9" x14ac:dyDescent="0.35">
      <c r="A998" t="s">
        <v>14356</v>
      </c>
      <c r="B998" t="s">
        <v>14357</v>
      </c>
      <c r="C998">
        <v>0</v>
      </c>
      <c r="D998">
        <v>0</v>
      </c>
      <c r="E998">
        <v>0</v>
      </c>
      <c r="F998">
        <v>14</v>
      </c>
      <c r="G998">
        <v>0</v>
      </c>
      <c r="H998">
        <v>14</v>
      </c>
      <c r="I998">
        <v>1</v>
      </c>
    </row>
    <row r="999" spans="1:9" x14ac:dyDescent="0.35">
      <c r="A999" t="s">
        <v>11469</v>
      </c>
      <c r="B999" t="s">
        <v>11435</v>
      </c>
      <c r="C999">
        <v>0</v>
      </c>
      <c r="D999">
        <v>0</v>
      </c>
      <c r="E999">
        <v>0</v>
      </c>
      <c r="F999">
        <v>22</v>
      </c>
      <c r="G999">
        <v>0</v>
      </c>
      <c r="H999">
        <v>22</v>
      </c>
      <c r="I999">
        <v>1</v>
      </c>
    </row>
    <row r="1000" spans="1:9" x14ac:dyDescent="0.35">
      <c r="A1000" t="s">
        <v>14358</v>
      </c>
      <c r="B1000" t="s">
        <v>14359</v>
      </c>
      <c r="C1000">
        <v>0</v>
      </c>
      <c r="D1000">
        <v>0</v>
      </c>
      <c r="E1000">
        <v>0</v>
      </c>
      <c r="F1000">
        <v>0</v>
      </c>
      <c r="G1000">
        <v>0</v>
      </c>
      <c r="H1000">
        <v>0</v>
      </c>
      <c r="I1000">
        <v>0</v>
      </c>
    </row>
    <row r="1001" spans="1:9" x14ac:dyDescent="0.35">
      <c r="A1001" t="s">
        <v>2531</v>
      </c>
      <c r="B1001" t="s">
        <v>1659</v>
      </c>
      <c r="C1001">
        <v>10</v>
      </c>
      <c r="D1001">
        <v>0</v>
      </c>
      <c r="E1001">
        <v>0</v>
      </c>
      <c r="F1001">
        <v>0</v>
      </c>
      <c r="G1001">
        <v>0</v>
      </c>
      <c r="H1001">
        <v>10</v>
      </c>
      <c r="I1001">
        <v>1</v>
      </c>
    </row>
    <row r="1002" spans="1:9" x14ac:dyDescent="0.35">
      <c r="A1002" t="s">
        <v>14360</v>
      </c>
      <c r="B1002" t="s">
        <v>14361</v>
      </c>
      <c r="C1002">
        <v>0</v>
      </c>
      <c r="D1002">
        <v>0</v>
      </c>
      <c r="E1002">
        <v>0</v>
      </c>
      <c r="F1002">
        <v>0</v>
      </c>
      <c r="G1002">
        <v>0</v>
      </c>
      <c r="H1002">
        <v>0</v>
      </c>
      <c r="I1002">
        <v>0</v>
      </c>
    </row>
    <row r="1003" spans="1:9" x14ac:dyDescent="0.35">
      <c r="A1003" t="s">
        <v>2977</v>
      </c>
      <c r="B1003" t="s">
        <v>1362</v>
      </c>
      <c r="C1003">
        <v>1179</v>
      </c>
      <c r="D1003">
        <v>0</v>
      </c>
      <c r="E1003">
        <v>3</v>
      </c>
      <c r="F1003">
        <v>196</v>
      </c>
      <c r="G1003">
        <v>26</v>
      </c>
      <c r="H1003">
        <v>1404</v>
      </c>
      <c r="I1003">
        <v>9</v>
      </c>
    </row>
    <row r="1004" spans="1:9" x14ac:dyDescent="0.35">
      <c r="A1004" t="s">
        <v>2509</v>
      </c>
      <c r="B1004" t="s">
        <v>2120</v>
      </c>
      <c r="C1004">
        <v>0</v>
      </c>
      <c r="D1004">
        <v>0</v>
      </c>
      <c r="E1004">
        <v>0</v>
      </c>
      <c r="F1004">
        <v>31</v>
      </c>
      <c r="G1004">
        <v>0</v>
      </c>
      <c r="H1004">
        <v>31</v>
      </c>
      <c r="I1004">
        <v>1</v>
      </c>
    </row>
    <row r="1005" spans="1:9" x14ac:dyDescent="0.35">
      <c r="A1005" t="s">
        <v>2647</v>
      </c>
      <c r="B1005" t="s">
        <v>1775</v>
      </c>
      <c r="C1005">
        <v>0</v>
      </c>
      <c r="D1005">
        <v>0</v>
      </c>
      <c r="E1005">
        <v>0</v>
      </c>
      <c r="F1005">
        <v>5</v>
      </c>
      <c r="G1005">
        <v>0</v>
      </c>
      <c r="H1005">
        <v>5</v>
      </c>
      <c r="I1005">
        <v>1</v>
      </c>
    </row>
    <row r="1006" spans="1:9" x14ac:dyDescent="0.35">
      <c r="A1006" t="s">
        <v>2612</v>
      </c>
      <c r="B1006" t="s">
        <v>1363</v>
      </c>
      <c r="C1006">
        <v>0</v>
      </c>
      <c r="D1006">
        <v>0</v>
      </c>
      <c r="E1006">
        <v>0</v>
      </c>
      <c r="F1006">
        <v>41</v>
      </c>
      <c r="G1006">
        <v>0</v>
      </c>
      <c r="H1006">
        <v>41</v>
      </c>
      <c r="I1006">
        <v>1</v>
      </c>
    </row>
    <row r="1007" spans="1:9" x14ac:dyDescent="0.35">
      <c r="A1007" t="s">
        <v>3159</v>
      </c>
      <c r="B1007" t="s">
        <v>11419</v>
      </c>
      <c r="C1007">
        <v>0</v>
      </c>
      <c r="D1007">
        <v>0</v>
      </c>
      <c r="E1007">
        <v>0</v>
      </c>
      <c r="F1007">
        <v>82</v>
      </c>
      <c r="G1007">
        <v>0</v>
      </c>
      <c r="H1007">
        <v>82</v>
      </c>
      <c r="I1007">
        <v>1</v>
      </c>
    </row>
    <row r="1008" spans="1:9" x14ac:dyDescent="0.35">
      <c r="A1008" t="s">
        <v>2487</v>
      </c>
      <c r="B1008" t="s">
        <v>1251</v>
      </c>
      <c r="C1008">
        <v>20</v>
      </c>
      <c r="D1008">
        <v>0</v>
      </c>
      <c r="E1008">
        <v>0</v>
      </c>
      <c r="F1008">
        <v>0</v>
      </c>
      <c r="G1008">
        <v>0</v>
      </c>
      <c r="H1008">
        <v>20</v>
      </c>
      <c r="I1008">
        <v>1</v>
      </c>
    </row>
    <row r="1009" spans="1:9" x14ac:dyDescent="0.35">
      <c r="A1009" t="s">
        <v>2478</v>
      </c>
      <c r="B1009" t="s">
        <v>11376</v>
      </c>
      <c r="C1009">
        <v>0</v>
      </c>
      <c r="D1009">
        <v>0</v>
      </c>
      <c r="E1009">
        <v>0</v>
      </c>
      <c r="F1009">
        <v>68</v>
      </c>
      <c r="G1009">
        <v>0</v>
      </c>
      <c r="H1009">
        <v>68</v>
      </c>
      <c r="I1009">
        <v>1</v>
      </c>
    </row>
    <row r="1010" spans="1:9" x14ac:dyDescent="0.35">
      <c r="A1010" t="s">
        <v>11470</v>
      </c>
      <c r="B1010" t="s">
        <v>11395</v>
      </c>
      <c r="C1010">
        <v>0</v>
      </c>
      <c r="D1010">
        <v>0</v>
      </c>
      <c r="E1010">
        <v>0</v>
      </c>
      <c r="F1010">
        <v>40</v>
      </c>
      <c r="G1010">
        <v>0</v>
      </c>
      <c r="H1010">
        <v>40</v>
      </c>
      <c r="I1010">
        <v>1</v>
      </c>
    </row>
    <row r="1011" spans="1:9" x14ac:dyDescent="0.35">
      <c r="A1011" t="s">
        <v>2619</v>
      </c>
      <c r="B1011" t="s">
        <v>2042</v>
      </c>
      <c r="C1011">
        <v>3</v>
      </c>
      <c r="D1011">
        <v>0</v>
      </c>
      <c r="E1011">
        <v>0</v>
      </c>
      <c r="F1011">
        <v>0</v>
      </c>
      <c r="G1011">
        <v>0</v>
      </c>
      <c r="H1011">
        <v>3</v>
      </c>
      <c r="I1011">
        <v>1</v>
      </c>
    </row>
    <row r="1012" spans="1:9" x14ac:dyDescent="0.35">
      <c r="A1012" t="s">
        <v>2609</v>
      </c>
      <c r="B1012" t="s">
        <v>11377</v>
      </c>
      <c r="C1012">
        <v>0</v>
      </c>
      <c r="D1012">
        <v>0</v>
      </c>
      <c r="E1012">
        <v>0</v>
      </c>
      <c r="F1012">
        <v>6</v>
      </c>
      <c r="G1012">
        <v>0</v>
      </c>
      <c r="H1012">
        <v>6</v>
      </c>
      <c r="I1012">
        <v>1</v>
      </c>
    </row>
    <row r="1013" spans="1:9" x14ac:dyDescent="0.35">
      <c r="A1013" t="s">
        <v>2511</v>
      </c>
      <c r="B1013" t="s">
        <v>1571</v>
      </c>
      <c r="C1013">
        <v>76</v>
      </c>
      <c r="D1013">
        <v>0</v>
      </c>
      <c r="E1013">
        <v>0</v>
      </c>
      <c r="F1013">
        <v>0</v>
      </c>
      <c r="G1013">
        <v>0</v>
      </c>
      <c r="H1013">
        <v>76</v>
      </c>
      <c r="I1013">
        <v>1</v>
      </c>
    </row>
    <row r="1014" spans="1:9" x14ac:dyDescent="0.35">
      <c r="A1014" t="s">
        <v>14362</v>
      </c>
      <c r="B1014" t="s">
        <v>14363</v>
      </c>
      <c r="C1014">
        <v>25</v>
      </c>
      <c r="D1014">
        <v>0</v>
      </c>
      <c r="E1014">
        <v>0</v>
      </c>
      <c r="F1014">
        <v>0</v>
      </c>
      <c r="G1014">
        <v>0</v>
      </c>
      <c r="H1014">
        <v>25</v>
      </c>
      <c r="I1014">
        <v>1</v>
      </c>
    </row>
    <row r="1015" spans="1:9" x14ac:dyDescent="0.35">
      <c r="A1015" t="s">
        <v>11471</v>
      </c>
      <c r="B1015" t="s">
        <v>11378</v>
      </c>
      <c r="C1015">
        <v>28</v>
      </c>
      <c r="D1015">
        <v>0</v>
      </c>
      <c r="E1015">
        <v>0</v>
      </c>
      <c r="F1015">
        <v>0</v>
      </c>
      <c r="G1015">
        <v>0</v>
      </c>
      <c r="H1015">
        <v>28</v>
      </c>
      <c r="I1015">
        <v>1</v>
      </c>
    </row>
    <row r="1016" spans="1:9" x14ac:dyDescent="0.35">
      <c r="A1016" t="s">
        <v>2638</v>
      </c>
      <c r="B1016" t="s">
        <v>1923</v>
      </c>
      <c r="C1016">
        <v>16</v>
      </c>
      <c r="D1016">
        <v>0</v>
      </c>
      <c r="E1016">
        <v>0</v>
      </c>
      <c r="F1016">
        <v>0</v>
      </c>
      <c r="G1016">
        <v>0</v>
      </c>
      <c r="H1016">
        <v>16</v>
      </c>
      <c r="I1016">
        <v>1</v>
      </c>
    </row>
    <row r="1017" spans="1:9" x14ac:dyDescent="0.35">
      <c r="A1017" t="s">
        <v>2424</v>
      </c>
      <c r="B1017" t="s">
        <v>11472</v>
      </c>
      <c r="C1017">
        <v>0</v>
      </c>
      <c r="D1017">
        <v>0</v>
      </c>
      <c r="E1017">
        <v>0</v>
      </c>
      <c r="F1017">
        <v>43</v>
      </c>
      <c r="G1017">
        <v>0</v>
      </c>
      <c r="H1017">
        <v>43</v>
      </c>
      <c r="I1017">
        <v>1</v>
      </c>
    </row>
    <row r="1018" spans="1:9" x14ac:dyDescent="0.35">
      <c r="A1018" t="s">
        <v>2539</v>
      </c>
      <c r="B1018" t="s">
        <v>2121</v>
      </c>
      <c r="C1018">
        <v>0</v>
      </c>
      <c r="D1018">
        <v>0</v>
      </c>
      <c r="E1018">
        <v>0</v>
      </c>
      <c r="F1018">
        <v>46</v>
      </c>
      <c r="G1018">
        <v>0</v>
      </c>
      <c r="H1018">
        <v>46</v>
      </c>
      <c r="I1018">
        <v>1</v>
      </c>
    </row>
    <row r="1019" spans="1:9" x14ac:dyDescent="0.35">
      <c r="A1019" t="s">
        <v>2781</v>
      </c>
      <c r="B1019" t="s">
        <v>1572</v>
      </c>
      <c r="C1019">
        <v>41</v>
      </c>
      <c r="D1019">
        <v>0</v>
      </c>
      <c r="E1019">
        <v>0</v>
      </c>
      <c r="F1019">
        <v>0</v>
      </c>
      <c r="G1019">
        <v>0</v>
      </c>
      <c r="H1019">
        <v>41</v>
      </c>
      <c r="I1019">
        <v>1</v>
      </c>
    </row>
    <row r="1020" spans="1:9" x14ac:dyDescent="0.35">
      <c r="A1020" t="s">
        <v>2217</v>
      </c>
      <c r="B1020" t="s">
        <v>14364</v>
      </c>
      <c r="C1020">
        <v>0</v>
      </c>
      <c r="D1020">
        <v>0</v>
      </c>
      <c r="E1020">
        <v>36</v>
      </c>
      <c r="F1020">
        <v>0</v>
      </c>
      <c r="G1020">
        <v>0</v>
      </c>
      <c r="H1020">
        <v>36</v>
      </c>
      <c r="I1020">
        <v>1</v>
      </c>
    </row>
    <row r="1021" spans="1:9" x14ac:dyDescent="0.35">
      <c r="A1021" t="s">
        <v>3107</v>
      </c>
      <c r="B1021" t="s">
        <v>11369</v>
      </c>
      <c r="C1021">
        <v>35</v>
      </c>
      <c r="D1021">
        <v>0</v>
      </c>
      <c r="E1021">
        <v>0</v>
      </c>
      <c r="F1021">
        <v>0</v>
      </c>
      <c r="G1021">
        <v>0</v>
      </c>
      <c r="H1021">
        <v>35</v>
      </c>
      <c r="I1021">
        <v>1</v>
      </c>
    </row>
    <row r="1022" spans="1:9" x14ac:dyDescent="0.35">
      <c r="A1022" t="s">
        <v>2542</v>
      </c>
      <c r="B1022" t="s">
        <v>11473</v>
      </c>
      <c r="C1022">
        <v>0</v>
      </c>
      <c r="D1022">
        <v>0</v>
      </c>
      <c r="E1022">
        <v>0</v>
      </c>
      <c r="F1022">
        <v>57</v>
      </c>
      <c r="G1022">
        <v>0</v>
      </c>
      <c r="H1022">
        <v>57</v>
      </c>
      <c r="I1022">
        <v>2</v>
      </c>
    </row>
    <row r="1023" spans="1:9" x14ac:dyDescent="0.35">
      <c r="A1023" t="s">
        <v>3277</v>
      </c>
      <c r="B1023" t="s">
        <v>1364</v>
      </c>
      <c r="C1023">
        <v>173</v>
      </c>
      <c r="D1023">
        <v>0</v>
      </c>
      <c r="E1023">
        <v>485</v>
      </c>
      <c r="F1023">
        <v>0</v>
      </c>
      <c r="G1023">
        <v>0</v>
      </c>
      <c r="H1023">
        <v>658</v>
      </c>
      <c r="I1023">
        <v>20</v>
      </c>
    </row>
    <row r="1024" spans="1:9" x14ac:dyDescent="0.35">
      <c r="A1024" t="s">
        <v>2473</v>
      </c>
      <c r="B1024" t="s">
        <v>1573</v>
      </c>
      <c r="C1024">
        <v>0</v>
      </c>
      <c r="D1024">
        <v>0</v>
      </c>
      <c r="E1024">
        <v>0</v>
      </c>
      <c r="F1024">
        <v>104</v>
      </c>
      <c r="G1024">
        <v>0</v>
      </c>
      <c r="H1024">
        <v>104</v>
      </c>
      <c r="I1024">
        <v>7</v>
      </c>
    </row>
    <row r="1025" spans="1:9" x14ac:dyDescent="0.35">
      <c r="A1025" t="s">
        <v>11474</v>
      </c>
      <c r="B1025" t="s">
        <v>11427</v>
      </c>
      <c r="C1025">
        <v>3</v>
      </c>
      <c r="D1025">
        <v>0</v>
      </c>
      <c r="E1025">
        <v>0</v>
      </c>
      <c r="F1025">
        <v>0</v>
      </c>
      <c r="G1025">
        <v>0</v>
      </c>
      <c r="H1025">
        <v>3</v>
      </c>
      <c r="I1025">
        <v>1</v>
      </c>
    </row>
    <row r="1026" spans="1:9" x14ac:dyDescent="0.35">
      <c r="A1026" t="s">
        <v>2884</v>
      </c>
      <c r="B1026" t="s">
        <v>11475</v>
      </c>
      <c r="C1026">
        <v>0</v>
      </c>
      <c r="D1026">
        <v>0</v>
      </c>
      <c r="E1026">
        <v>15</v>
      </c>
      <c r="F1026">
        <v>0</v>
      </c>
      <c r="G1026">
        <v>0</v>
      </c>
      <c r="H1026">
        <v>15</v>
      </c>
      <c r="I1026">
        <v>1</v>
      </c>
    </row>
    <row r="1027" spans="1:9" x14ac:dyDescent="0.35">
      <c r="A1027" t="s">
        <v>2634</v>
      </c>
      <c r="B1027" t="s">
        <v>1365</v>
      </c>
      <c r="C1027">
        <v>6</v>
      </c>
      <c r="D1027">
        <v>0</v>
      </c>
      <c r="E1027">
        <v>0</v>
      </c>
      <c r="F1027">
        <v>0</v>
      </c>
      <c r="G1027">
        <v>0</v>
      </c>
      <c r="H1027">
        <v>6</v>
      </c>
      <c r="I1027">
        <v>1</v>
      </c>
    </row>
    <row r="1028" spans="1:9" x14ac:dyDescent="0.35">
      <c r="A1028" t="s">
        <v>2594</v>
      </c>
      <c r="B1028" t="s">
        <v>1366</v>
      </c>
      <c r="C1028">
        <v>6</v>
      </c>
      <c r="D1028">
        <v>0</v>
      </c>
      <c r="E1028">
        <v>0</v>
      </c>
      <c r="F1028">
        <v>0</v>
      </c>
      <c r="G1028">
        <v>0</v>
      </c>
      <c r="H1028">
        <v>6</v>
      </c>
      <c r="I1028">
        <v>1</v>
      </c>
    </row>
    <row r="1029" spans="1:9" x14ac:dyDescent="0.35">
      <c r="A1029" t="s">
        <v>2574</v>
      </c>
      <c r="B1029" t="s">
        <v>14365</v>
      </c>
      <c r="C1029">
        <v>4</v>
      </c>
      <c r="D1029">
        <v>0</v>
      </c>
      <c r="E1029">
        <v>283</v>
      </c>
      <c r="F1029">
        <v>0</v>
      </c>
      <c r="G1029">
        <v>0</v>
      </c>
      <c r="H1029">
        <v>287</v>
      </c>
      <c r="I1029">
        <v>3</v>
      </c>
    </row>
    <row r="1030" spans="1:9" x14ac:dyDescent="0.35">
      <c r="A1030" t="s">
        <v>2552</v>
      </c>
      <c r="B1030" t="s">
        <v>1574</v>
      </c>
      <c r="C1030">
        <v>0</v>
      </c>
      <c r="D1030">
        <v>0</v>
      </c>
      <c r="E1030">
        <v>0</v>
      </c>
      <c r="F1030">
        <v>87</v>
      </c>
      <c r="G1030">
        <v>0</v>
      </c>
      <c r="H1030">
        <v>87</v>
      </c>
      <c r="I1030">
        <v>2</v>
      </c>
    </row>
    <row r="1031" spans="1:9" x14ac:dyDescent="0.35">
      <c r="A1031" t="s">
        <v>2590</v>
      </c>
      <c r="B1031" t="s">
        <v>2044</v>
      </c>
      <c r="C1031">
        <v>12</v>
      </c>
      <c r="D1031">
        <v>0</v>
      </c>
      <c r="E1031">
        <v>0</v>
      </c>
      <c r="F1031">
        <v>0</v>
      </c>
      <c r="G1031">
        <v>0</v>
      </c>
      <c r="H1031">
        <v>12</v>
      </c>
      <c r="I1031">
        <v>1</v>
      </c>
    </row>
    <row r="1032" spans="1:9" x14ac:dyDescent="0.35">
      <c r="A1032" t="s">
        <v>3348</v>
      </c>
      <c r="B1032" t="s">
        <v>1924</v>
      </c>
      <c r="C1032">
        <v>119</v>
      </c>
      <c r="D1032">
        <v>100</v>
      </c>
      <c r="E1032">
        <v>209</v>
      </c>
      <c r="F1032">
        <v>0</v>
      </c>
      <c r="G1032">
        <v>0</v>
      </c>
      <c r="H1032">
        <v>428</v>
      </c>
      <c r="I1032">
        <v>4</v>
      </c>
    </row>
    <row r="1033" spans="1:9" x14ac:dyDescent="0.35">
      <c r="A1033" t="s">
        <v>3349</v>
      </c>
      <c r="B1033" t="s">
        <v>1575</v>
      </c>
      <c r="C1033">
        <v>41</v>
      </c>
      <c r="D1033">
        <v>16</v>
      </c>
      <c r="E1033">
        <v>16</v>
      </c>
      <c r="F1033">
        <v>0</v>
      </c>
      <c r="G1033">
        <v>0</v>
      </c>
      <c r="H1033">
        <v>73</v>
      </c>
      <c r="I1033">
        <v>4</v>
      </c>
    </row>
    <row r="1034" spans="1:9" x14ac:dyDescent="0.35">
      <c r="A1034" t="s">
        <v>2866</v>
      </c>
      <c r="B1034" t="s">
        <v>1254</v>
      </c>
      <c r="C1034">
        <v>0</v>
      </c>
      <c r="D1034">
        <v>0</v>
      </c>
      <c r="E1034">
        <v>14</v>
      </c>
      <c r="F1034">
        <v>0</v>
      </c>
      <c r="G1034">
        <v>0</v>
      </c>
      <c r="H1034">
        <v>14</v>
      </c>
      <c r="I1034">
        <v>1</v>
      </c>
    </row>
    <row r="1035" spans="1:9" x14ac:dyDescent="0.35">
      <c r="A1035" t="s">
        <v>2541</v>
      </c>
      <c r="B1035" t="s">
        <v>1367</v>
      </c>
      <c r="C1035">
        <v>3</v>
      </c>
      <c r="D1035">
        <v>0</v>
      </c>
      <c r="E1035">
        <v>0</v>
      </c>
      <c r="F1035">
        <v>22</v>
      </c>
      <c r="G1035">
        <v>0</v>
      </c>
      <c r="H1035">
        <v>25</v>
      </c>
      <c r="I1035">
        <v>1</v>
      </c>
    </row>
    <row r="1036" spans="1:9" x14ac:dyDescent="0.35">
      <c r="A1036" t="s">
        <v>2998</v>
      </c>
      <c r="B1036" t="s">
        <v>1138</v>
      </c>
      <c r="C1036">
        <v>5047</v>
      </c>
      <c r="D1036">
        <v>0</v>
      </c>
      <c r="E1036">
        <v>35</v>
      </c>
      <c r="F1036">
        <v>161</v>
      </c>
      <c r="G1036">
        <v>1928</v>
      </c>
      <c r="H1036">
        <v>7171</v>
      </c>
      <c r="I1036">
        <v>29</v>
      </c>
    </row>
    <row r="1037" spans="1:9" x14ac:dyDescent="0.35">
      <c r="A1037" t="s">
        <v>2534</v>
      </c>
      <c r="B1037" t="s">
        <v>11379</v>
      </c>
      <c r="C1037">
        <v>0</v>
      </c>
      <c r="D1037">
        <v>0</v>
      </c>
      <c r="E1037">
        <v>15</v>
      </c>
      <c r="F1037">
        <v>0</v>
      </c>
      <c r="G1037">
        <v>0</v>
      </c>
      <c r="H1037">
        <v>15</v>
      </c>
      <c r="I1037">
        <v>1</v>
      </c>
    </row>
    <row r="1038" spans="1:9" x14ac:dyDescent="0.35">
      <c r="A1038" t="s">
        <v>2595</v>
      </c>
      <c r="B1038" t="s">
        <v>1255</v>
      </c>
      <c r="C1038">
        <v>4</v>
      </c>
      <c r="D1038">
        <v>0</v>
      </c>
      <c r="E1038">
        <v>0</v>
      </c>
      <c r="F1038">
        <v>0</v>
      </c>
      <c r="G1038">
        <v>0</v>
      </c>
      <c r="H1038">
        <v>4</v>
      </c>
      <c r="I1038">
        <v>1</v>
      </c>
    </row>
    <row r="1039" spans="1:9" x14ac:dyDescent="0.35">
      <c r="A1039" t="s">
        <v>2649</v>
      </c>
      <c r="B1039" t="s">
        <v>11476</v>
      </c>
      <c r="C1039">
        <v>0</v>
      </c>
      <c r="D1039">
        <v>0</v>
      </c>
      <c r="E1039">
        <v>0</v>
      </c>
      <c r="F1039">
        <v>4</v>
      </c>
      <c r="G1039">
        <v>0</v>
      </c>
      <c r="H1039">
        <v>4</v>
      </c>
      <c r="I1039">
        <v>1</v>
      </c>
    </row>
    <row r="1040" spans="1:9" x14ac:dyDescent="0.35">
      <c r="A1040" t="s">
        <v>2457</v>
      </c>
      <c r="B1040" t="s">
        <v>14366</v>
      </c>
      <c r="C1040">
        <v>0</v>
      </c>
      <c r="D1040">
        <v>0</v>
      </c>
      <c r="E1040">
        <v>0</v>
      </c>
      <c r="F1040">
        <v>6</v>
      </c>
      <c r="G1040">
        <v>0</v>
      </c>
      <c r="H1040">
        <v>6</v>
      </c>
      <c r="I1040">
        <v>1</v>
      </c>
    </row>
    <row r="1041" spans="1:9" x14ac:dyDescent="0.35">
      <c r="A1041" t="s">
        <v>2483</v>
      </c>
      <c r="B1041" t="s">
        <v>2185</v>
      </c>
      <c r="C1041">
        <v>19</v>
      </c>
      <c r="D1041">
        <v>0</v>
      </c>
      <c r="E1041">
        <v>0</v>
      </c>
      <c r="F1041">
        <v>0</v>
      </c>
      <c r="G1041">
        <v>0</v>
      </c>
      <c r="H1041">
        <v>19</v>
      </c>
      <c r="I1041">
        <v>1</v>
      </c>
    </row>
    <row r="1042" spans="1:9" x14ac:dyDescent="0.35">
      <c r="A1042" t="s">
        <v>14367</v>
      </c>
      <c r="B1042" t="s">
        <v>1576</v>
      </c>
      <c r="C1042">
        <v>9</v>
      </c>
      <c r="D1042">
        <v>0</v>
      </c>
      <c r="E1042">
        <v>0</v>
      </c>
      <c r="F1042">
        <v>0</v>
      </c>
      <c r="G1042">
        <v>0</v>
      </c>
      <c r="H1042">
        <v>9</v>
      </c>
      <c r="I1042">
        <v>1</v>
      </c>
    </row>
    <row r="1043" spans="1:9" x14ac:dyDescent="0.35">
      <c r="A1043" t="s">
        <v>2506</v>
      </c>
      <c r="B1043" t="s">
        <v>1576</v>
      </c>
      <c r="C1043">
        <v>0</v>
      </c>
      <c r="D1043">
        <v>0</v>
      </c>
      <c r="E1043">
        <v>0</v>
      </c>
      <c r="F1043">
        <v>0</v>
      </c>
      <c r="G1043">
        <v>0</v>
      </c>
      <c r="H1043">
        <v>0</v>
      </c>
      <c r="I1043">
        <v>0</v>
      </c>
    </row>
    <row r="1044" spans="1:9" x14ac:dyDescent="0.35">
      <c r="A1044" t="s">
        <v>2573</v>
      </c>
      <c r="B1044" t="s">
        <v>1256</v>
      </c>
      <c r="C1044">
        <v>6</v>
      </c>
      <c r="D1044">
        <v>0</v>
      </c>
      <c r="E1044">
        <v>0</v>
      </c>
      <c r="F1044">
        <v>0</v>
      </c>
      <c r="G1044">
        <v>0</v>
      </c>
      <c r="H1044">
        <v>6</v>
      </c>
      <c r="I1044">
        <v>1</v>
      </c>
    </row>
    <row r="1045" spans="1:9" x14ac:dyDescent="0.35">
      <c r="A1045" t="s">
        <v>14368</v>
      </c>
      <c r="B1045" t="s">
        <v>14369</v>
      </c>
      <c r="C1045">
        <v>0</v>
      </c>
      <c r="D1045">
        <v>0</v>
      </c>
      <c r="E1045">
        <v>0</v>
      </c>
      <c r="F1045">
        <v>0</v>
      </c>
      <c r="G1045">
        <v>0</v>
      </c>
      <c r="H1045">
        <v>0</v>
      </c>
      <c r="I1045">
        <v>0</v>
      </c>
    </row>
    <row r="1046" spans="1:9" x14ac:dyDescent="0.35">
      <c r="A1046" t="s">
        <v>3338</v>
      </c>
      <c r="B1046" t="s">
        <v>2123</v>
      </c>
      <c r="C1046">
        <v>10457</v>
      </c>
      <c r="D1046">
        <v>0</v>
      </c>
      <c r="E1046">
        <v>658</v>
      </c>
      <c r="F1046">
        <v>1396</v>
      </c>
      <c r="G1046">
        <v>293</v>
      </c>
      <c r="H1046">
        <v>12804</v>
      </c>
      <c r="I1046">
        <v>12</v>
      </c>
    </row>
    <row r="1047" spans="1:9" x14ac:dyDescent="0.35">
      <c r="A1047" t="s">
        <v>2730</v>
      </c>
      <c r="B1047" t="s">
        <v>1777</v>
      </c>
      <c r="C1047">
        <v>40</v>
      </c>
      <c r="D1047">
        <v>0</v>
      </c>
      <c r="E1047">
        <v>0</v>
      </c>
      <c r="F1047">
        <v>0</v>
      </c>
      <c r="G1047">
        <v>0</v>
      </c>
      <c r="H1047">
        <v>40</v>
      </c>
      <c r="I1047">
        <v>1</v>
      </c>
    </row>
    <row r="1048" spans="1:9" x14ac:dyDescent="0.35">
      <c r="A1048" t="s">
        <v>3220</v>
      </c>
      <c r="B1048" t="s">
        <v>1368</v>
      </c>
      <c r="C1048">
        <v>30190</v>
      </c>
      <c r="D1048">
        <v>6</v>
      </c>
      <c r="E1048">
        <v>321</v>
      </c>
      <c r="F1048">
        <v>2765</v>
      </c>
      <c r="G1048">
        <v>1006</v>
      </c>
      <c r="H1048">
        <v>34288</v>
      </c>
      <c r="I1048">
        <v>23</v>
      </c>
    </row>
    <row r="1049" spans="1:9" x14ac:dyDescent="0.35">
      <c r="A1049" t="s">
        <v>14370</v>
      </c>
      <c r="B1049" t="s">
        <v>14371</v>
      </c>
      <c r="C1049">
        <v>0</v>
      </c>
      <c r="D1049">
        <v>0</v>
      </c>
      <c r="E1049">
        <v>0</v>
      </c>
      <c r="F1049">
        <v>98</v>
      </c>
      <c r="G1049">
        <v>0</v>
      </c>
      <c r="H1049">
        <v>98</v>
      </c>
      <c r="I1049">
        <v>1</v>
      </c>
    </row>
    <row r="1050" spans="1:9" x14ac:dyDescent="0.35">
      <c r="A1050" t="s">
        <v>2455</v>
      </c>
      <c r="B1050" t="s">
        <v>1925</v>
      </c>
      <c r="C1050">
        <v>0</v>
      </c>
      <c r="D1050">
        <v>0</v>
      </c>
      <c r="E1050">
        <v>0</v>
      </c>
      <c r="F1050">
        <v>0</v>
      </c>
      <c r="G1050">
        <v>0</v>
      </c>
      <c r="H1050">
        <v>0</v>
      </c>
      <c r="I1050">
        <v>0</v>
      </c>
    </row>
    <row r="1051" spans="1:9" x14ac:dyDescent="0.35">
      <c r="A1051" t="s">
        <v>2360</v>
      </c>
      <c r="B1051" t="s">
        <v>1926</v>
      </c>
      <c r="C1051">
        <v>0</v>
      </c>
      <c r="D1051">
        <v>0</v>
      </c>
      <c r="E1051">
        <v>0</v>
      </c>
      <c r="F1051">
        <v>124</v>
      </c>
      <c r="G1051">
        <v>0</v>
      </c>
      <c r="H1051">
        <v>124</v>
      </c>
      <c r="I1051">
        <v>1</v>
      </c>
    </row>
    <row r="1052" spans="1:9" x14ac:dyDescent="0.35">
      <c r="A1052" t="s">
        <v>2762</v>
      </c>
      <c r="B1052" t="s">
        <v>1660</v>
      </c>
      <c r="C1052">
        <v>30</v>
      </c>
      <c r="D1052">
        <v>0</v>
      </c>
      <c r="E1052">
        <v>0</v>
      </c>
      <c r="F1052">
        <v>0</v>
      </c>
      <c r="G1052">
        <v>0</v>
      </c>
      <c r="H1052">
        <v>30</v>
      </c>
      <c r="I1052">
        <v>1</v>
      </c>
    </row>
    <row r="1053" spans="1:9" x14ac:dyDescent="0.35">
      <c r="A1053" t="s">
        <v>2343</v>
      </c>
      <c r="B1053" t="s">
        <v>1577</v>
      </c>
      <c r="C1053">
        <v>0</v>
      </c>
      <c r="D1053">
        <v>0</v>
      </c>
      <c r="E1053">
        <v>0</v>
      </c>
      <c r="F1053">
        <v>17</v>
      </c>
      <c r="G1053">
        <v>0</v>
      </c>
      <c r="H1053">
        <v>17</v>
      </c>
      <c r="I1053">
        <v>1</v>
      </c>
    </row>
    <row r="1054" spans="1:9" x14ac:dyDescent="0.35">
      <c r="A1054" t="s">
        <v>3218</v>
      </c>
      <c r="B1054" t="s">
        <v>1369</v>
      </c>
      <c r="C1054">
        <v>3550</v>
      </c>
      <c r="D1054">
        <v>0</v>
      </c>
      <c r="E1054">
        <v>0</v>
      </c>
      <c r="F1054">
        <v>571</v>
      </c>
      <c r="G1054">
        <v>216</v>
      </c>
      <c r="H1054">
        <v>4337</v>
      </c>
      <c r="I1054">
        <v>13</v>
      </c>
    </row>
    <row r="1055" spans="1:9" x14ac:dyDescent="0.35">
      <c r="A1055" t="s">
        <v>2401</v>
      </c>
      <c r="B1055" t="s">
        <v>1778</v>
      </c>
      <c r="C1055">
        <v>161</v>
      </c>
      <c r="D1055">
        <v>0</v>
      </c>
      <c r="E1055">
        <v>0</v>
      </c>
      <c r="F1055">
        <v>0</v>
      </c>
      <c r="G1055">
        <v>0</v>
      </c>
      <c r="H1055">
        <v>161</v>
      </c>
      <c r="I1055">
        <v>5</v>
      </c>
    </row>
    <row r="1056" spans="1:9" x14ac:dyDescent="0.35">
      <c r="A1056" t="s">
        <v>2474</v>
      </c>
      <c r="B1056" t="s">
        <v>2045</v>
      </c>
      <c r="C1056">
        <v>0</v>
      </c>
      <c r="D1056">
        <v>0</v>
      </c>
      <c r="E1056">
        <v>0</v>
      </c>
      <c r="F1056">
        <v>83</v>
      </c>
      <c r="G1056">
        <v>0</v>
      </c>
      <c r="H1056">
        <v>83</v>
      </c>
      <c r="I1056">
        <v>1</v>
      </c>
    </row>
    <row r="1057" spans="1:9" x14ac:dyDescent="0.35">
      <c r="A1057" t="s">
        <v>2471</v>
      </c>
      <c r="B1057" t="s">
        <v>1370</v>
      </c>
      <c r="C1057">
        <v>0</v>
      </c>
      <c r="D1057">
        <v>0</v>
      </c>
      <c r="E1057">
        <v>0</v>
      </c>
      <c r="F1057">
        <v>4</v>
      </c>
      <c r="G1057">
        <v>0</v>
      </c>
      <c r="H1057">
        <v>4</v>
      </c>
      <c r="I1057">
        <v>1</v>
      </c>
    </row>
    <row r="1058" spans="1:9" x14ac:dyDescent="0.35">
      <c r="A1058" t="s">
        <v>3151</v>
      </c>
      <c r="B1058" t="s">
        <v>1257</v>
      </c>
      <c r="C1058">
        <v>33070</v>
      </c>
      <c r="D1058">
        <v>0</v>
      </c>
      <c r="E1058">
        <v>523</v>
      </c>
      <c r="F1058">
        <v>956</v>
      </c>
      <c r="G1058">
        <v>1273</v>
      </c>
      <c r="H1058">
        <v>35822</v>
      </c>
      <c r="I1058">
        <v>35</v>
      </c>
    </row>
    <row r="1059" spans="1:9" x14ac:dyDescent="0.35">
      <c r="A1059" t="s">
        <v>14372</v>
      </c>
      <c r="B1059" t="s">
        <v>14373</v>
      </c>
      <c r="C1059">
        <v>0</v>
      </c>
      <c r="D1059">
        <v>0</v>
      </c>
      <c r="E1059">
        <v>0</v>
      </c>
      <c r="F1059">
        <v>0</v>
      </c>
      <c r="G1059">
        <v>0</v>
      </c>
      <c r="H1059">
        <v>0</v>
      </c>
      <c r="I1059">
        <v>0</v>
      </c>
    </row>
    <row r="1060" spans="1:9" x14ac:dyDescent="0.35">
      <c r="A1060" t="s">
        <v>2505</v>
      </c>
      <c r="B1060" t="s">
        <v>1927</v>
      </c>
      <c r="C1060">
        <v>6</v>
      </c>
      <c r="D1060">
        <v>0</v>
      </c>
      <c r="E1060">
        <v>0</v>
      </c>
      <c r="F1060">
        <v>0</v>
      </c>
      <c r="G1060">
        <v>0</v>
      </c>
      <c r="H1060">
        <v>6</v>
      </c>
      <c r="I1060">
        <v>1</v>
      </c>
    </row>
    <row r="1061" spans="1:9" x14ac:dyDescent="0.35">
      <c r="A1061" t="s">
        <v>2688</v>
      </c>
      <c r="B1061" t="s">
        <v>1578</v>
      </c>
      <c r="C1061">
        <v>70</v>
      </c>
      <c r="D1061">
        <v>0</v>
      </c>
      <c r="E1061">
        <v>0</v>
      </c>
      <c r="F1061">
        <v>0</v>
      </c>
      <c r="G1061">
        <v>0</v>
      </c>
      <c r="H1061">
        <v>70</v>
      </c>
      <c r="I1061">
        <v>1</v>
      </c>
    </row>
    <row r="1062" spans="1:9" x14ac:dyDescent="0.35">
      <c r="A1062" t="s">
        <v>2412</v>
      </c>
      <c r="B1062" t="s">
        <v>1779</v>
      </c>
      <c r="C1062">
        <v>33282</v>
      </c>
      <c r="D1062">
        <v>0</v>
      </c>
      <c r="E1062">
        <v>192</v>
      </c>
      <c r="F1062">
        <v>3714</v>
      </c>
      <c r="G1062">
        <v>992</v>
      </c>
      <c r="H1062">
        <v>38180</v>
      </c>
      <c r="I1062">
        <v>10</v>
      </c>
    </row>
    <row r="1063" spans="1:9" x14ac:dyDescent="0.35">
      <c r="A1063" t="s">
        <v>11477</v>
      </c>
      <c r="B1063" t="s">
        <v>11428</v>
      </c>
      <c r="C1063">
        <v>9</v>
      </c>
      <c r="D1063">
        <v>0</v>
      </c>
      <c r="E1063">
        <v>14</v>
      </c>
      <c r="F1063">
        <v>0</v>
      </c>
      <c r="G1063">
        <v>0</v>
      </c>
      <c r="H1063">
        <v>23</v>
      </c>
      <c r="I1063">
        <v>1</v>
      </c>
    </row>
    <row r="1064" spans="1:9" x14ac:dyDescent="0.35">
      <c r="A1064" t="s">
        <v>3169</v>
      </c>
      <c r="B1064" t="s">
        <v>1579</v>
      </c>
      <c r="C1064">
        <v>2002</v>
      </c>
      <c r="D1064">
        <v>0</v>
      </c>
      <c r="E1064">
        <v>0</v>
      </c>
      <c r="F1064">
        <v>0</v>
      </c>
      <c r="G1064">
        <v>56</v>
      </c>
      <c r="H1064">
        <v>2058</v>
      </c>
      <c r="I1064">
        <v>1</v>
      </c>
    </row>
    <row r="1065" spans="1:9" x14ac:dyDescent="0.35">
      <c r="A1065" t="s">
        <v>3167</v>
      </c>
      <c r="B1065" t="s">
        <v>1928</v>
      </c>
      <c r="C1065">
        <v>7991</v>
      </c>
      <c r="D1065">
        <v>0</v>
      </c>
      <c r="E1065">
        <v>75</v>
      </c>
      <c r="F1065">
        <v>475</v>
      </c>
      <c r="G1065">
        <v>856</v>
      </c>
      <c r="H1065">
        <v>9397</v>
      </c>
      <c r="I1065">
        <v>16</v>
      </c>
    </row>
    <row r="1066" spans="1:9" x14ac:dyDescent="0.35">
      <c r="A1066" t="s">
        <v>2812</v>
      </c>
      <c r="B1066" t="s">
        <v>1580</v>
      </c>
      <c r="C1066">
        <v>32</v>
      </c>
      <c r="D1066">
        <v>0</v>
      </c>
      <c r="E1066">
        <v>0</v>
      </c>
      <c r="F1066">
        <v>0</v>
      </c>
      <c r="G1066">
        <v>0</v>
      </c>
      <c r="H1066">
        <v>32</v>
      </c>
      <c r="I1066">
        <v>1</v>
      </c>
    </row>
    <row r="1067" spans="1:9" x14ac:dyDescent="0.35">
      <c r="A1067" t="s">
        <v>3364</v>
      </c>
      <c r="B1067" t="s">
        <v>1929</v>
      </c>
      <c r="C1067">
        <v>1</v>
      </c>
      <c r="D1067">
        <v>0</v>
      </c>
      <c r="E1067">
        <v>0</v>
      </c>
      <c r="F1067">
        <v>0</v>
      </c>
      <c r="G1067">
        <v>0</v>
      </c>
      <c r="H1067">
        <v>1</v>
      </c>
      <c r="I1067">
        <v>1</v>
      </c>
    </row>
    <row r="1068" spans="1:9" x14ac:dyDescent="0.35">
      <c r="A1068" t="s">
        <v>3192</v>
      </c>
      <c r="B1068" t="s">
        <v>1780</v>
      </c>
      <c r="C1068">
        <v>6068</v>
      </c>
      <c r="D1068">
        <v>0</v>
      </c>
      <c r="E1068">
        <v>136</v>
      </c>
      <c r="F1068">
        <v>2542</v>
      </c>
      <c r="G1068">
        <v>155</v>
      </c>
      <c r="H1068">
        <v>8901</v>
      </c>
      <c r="I1068">
        <v>4</v>
      </c>
    </row>
    <row r="1069" spans="1:9" x14ac:dyDescent="0.35">
      <c r="A1069" t="s">
        <v>2888</v>
      </c>
      <c r="B1069" t="s">
        <v>1581</v>
      </c>
      <c r="C1069">
        <v>2</v>
      </c>
      <c r="D1069">
        <v>0</v>
      </c>
      <c r="E1069">
        <v>867</v>
      </c>
      <c r="F1069">
        <v>36</v>
      </c>
      <c r="G1069">
        <v>0</v>
      </c>
      <c r="H1069">
        <v>905</v>
      </c>
      <c r="I1069">
        <v>14</v>
      </c>
    </row>
    <row r="1070" spans="1:9" x14ac:dyDescent="0.35">
      <c r="A1070" t="s">
        <v>2425</v>
      </c>
      <c r="B1070" t="s">
        <v>2046</v>
      </c>
      <c r="C1070">
        <v>0</v>
      </c>
      <c r="D1070">
        <v>0</v>
      </c>
      <c r="E1070">
        <v>0</v>
      </c>
      <c r="F1070">
        <v>4</v>
      </c>
      <c r="G1070">
        <v>0</v>
      </c>
      <c r="H1070">
        <v>4</v>
      </c>
      <c r="I1070">
        <v>1</v>
      </c>
    </row>
    <row r="1071" spans="1:9" x14ac:dyDescent="0.35">
      <c r="A1071" t="s">
        <v>3174</v>
      </c>
      <c r="B1071" t="s">
        <v>1258</v>
      </c>
      <c r="C1071">
        <v>6019</v>
      </c>
      <c r="D1071">
        <v>0</v>
      </c>
      <c r="E1071">
        <v>2</v>
      </c>
      <c r="F1071">
        <v>165</v>
      </c>
      <c r="G1071">
        <v>288</v>
      </c>
      <c r="H1071">
        <v>6474</v>
      </c>
      <c r="I1071">
        <v>6</v>
      </c>
    </row>
    <row r="1072" spans="1:9" x14ac:dyDescent="0.35">
      <c r="A1072" t="s">
        <v>2685</v>
      </c>
      <c r="B1072" t="s">
        <v>2124</v>
      </c>
      <c r="C1072">
        <v>90</v>
      </c>
      <c r="D1072">
        <v>0</v>
      </c>
      <c r="E1072">
        <v>0</v>
      </c>
      <c r="F1072">
        <v>0</v>
      </c>
      <c r="G1072">
        <v>0</v>
      </c>
      <c r="H1072">
        <v>90</v>
      </c>
      <c r="I1072">
        <v>1</v>
      </c>
    </row>
    <row r="1073" spans="1:9" x14ac:dyDescent="0.35">
      <c r="A1073" t="s">
        <v>3025</v>
      </c>
      <c r="B1073" t="s">
        <v>1259</v>
      </c>
      <c r="C1073">
        <v>2013</v>
      </c>
      <c r="D1073">
        <v>0</v>
      </c>
      <c r="E1073">
        <v>613</v>
      </c>
      <c r="F1073">
        <v>446</v>
      </c>
      <c r="G1073">
        <v>87</v>
      </c>
      <c r="H1073">
        <v>3159</v>
      </c>
      <c r="I1073">
        <v>14</v>
      </c>
    </row>
    <row r="1074" spans="1:9" x14ac:dyDescent="0.35">
      <c r="A1074" t="s">
        <v>2523</v>
      </c>
      <c r="B1074" t="s">
        <v>1582</v>
      </c>
      <c r="C1074">
        <v>0</v>
      </c>
      <c r="D1074">
        <v>0</v>
      </c>
      <c r="E1074">
        <v>0</v>
      </c>
      <c r="F1074">
        <v>17</v>
      </c>
      <c r="G1074">
        <v>0</v>
      </c>
      <c r="H1074">
        <v>17</v>
      </c>
      <c r="I1074">
        <v>1</v>
      </c>
    </row>
    <row r="1075" spans="1:9" x14ac:dyDescent="0.35">
      <c r="A1075" t="s">
        <v>2622</v>
      </c>
      <c r="B1075" t="s">
        <v>2125</v>
      </c>
      <c r="C1075">
        <v>0</v>
      </c>
      <c r="D1075">
        <v>0</v>
      </c>
      <c r="E1075">
        <v>0</v>
      </c>
      <c r="F1075">
        <v>13</v>
      </c>
      <c r="G1075">
        <v>0</v>
      </c>
      <c r="H1075">
        <v>13</v>
      </c>
      <c r="I1075">
        <v>1</v>
      </c>
    </row>
    <row r="1076" spans="1:9" x14ac:dyDescent="0.35">
      <c r="A1076" t="s">
        <v>2220</v>
      </c>
      <c r="B1076" t="s">
        <v>1260</v>
      </c>
      <c r="C1076">
        <v>0</v>
      </c>
      <c r="D1076">
        <v>0</v>
      </c>
      <c r="E1076">
        <v>560</v>
      </c>
      <c r="F1076">
        <v>0</v>
      </c>
      <c r="G1076">
        <v>0</v>
      </c>
      <c r="H1076">
        <v>560</v>
      </c>
      <c r="I1076">
        <v>37</v>
      </c>
    </row>
    <row r="1077" spans="1:9" x14ac:dyDescent="0.35">
      <c r="A1077" t="s">
        <v>3130</v>
      </c>
      <c r="B1077" t="s">
        <v>1261</v>
      </c>
      <c r="C1077">
        <v>1256</v>
      </c>
      <c r="D1077">
        <v>0</v>
      </c>
      <c r="E1077">
        <v>102</v>
      </c>
      <c r="F1077">
        <v>92</v>
      </c>
      <c r="G1077">
        <v>88</v>
      </c>
      <c r="H1077">
        <v>1538</v>
      </c>
      <c r="I1077">
        <v>12</v>
      </c>
    </row>
    <row r="1078" spans="1:9" x14ac:dyDescent="0.35">
      <c r="A1078" t="s">
        <v>2891</v>
      </c>
      <c r="B1078" t="s">
        <v>1371</v>
      </c>
      <c r="C1078">
        <v>0</v>
      </c>
      <c r="D1078">
        <v>0</v>
      </c>
      <c r="E1078">
        <v>90</v>
      </c>
      <c r="F1078">
        <v>0</v>
      </c>
      <c r="G1078">
        <v>0</v>
      </c>
      <c r="H1078">
        <v>90</v>
      </c>
      <c r="I1078">
        <v>11</v>
      </c>
    </row>
    <row r="1079" spans="1:9" x14ac:dyDescent="0.35">
      <c r="A1079" t="s">
        <v>14374</v>
      </c>
      <c r="B1079" t="s">
        <v>14375</v>
      </c>
      <c r="C1079">
        <v>12</v>
      </c>
      <c r="D1079">
        <v>55</v>
      </c>
      <c r="E1079">
        <v>0</v>
      </c>
      <c r="F1079">
        <v>0</v>
      </c>
      <c r="G1079">
        <v>0</v>
      </c>
      <c r="H1079">
        <v>67</v>
      </c>
      <c r="I1079">
        <v>1</v>
      </c>
    </row>
    <row r="1080" spans="1:9" x14ac:dyDescent="0.35">
      <c r="A1080" t="s">
        <v>3187</v>
      </c>
      <c r="B1080" t="s">
        <v>2047</v>
      </c>
      <c r="C1080">
        <v>3466</v>
      </c>
      <c r="D1080">
        <v>0</v>
      </c>
      <c r="E1080">
        <v>0</v>
      </c>
      <c r="F1080">
        <v>595</v>
      </c>
      <c r="G1080">
        <v>250</v>
      </c>
      <c r="H1080">
        <v>4311</v>
      </c>
      <c r="I1080">
        <v>6</v>
      </c>
    </row>
    <row r="1081" spans="1:9" x14ac:dyDescent="0.35">
      <c r="A1081" t="s">
        <v>3313</v>
      </c>
      <c r="B1081" t="s">
        <v>1930</v>
      </c>
      <c r="C1081">
        <v>0</v>
      </c>
      <c r="D1081">
        <v>0</v>
      </c>
      <c r="E1081">
        <v>630</v>
      </c>
      <c r="F1081">
        <v>0</v>
      </c>
      <c r="G1081">
        <v>0</v>
      </c>
      <c r="H1081">
        <v>630</v>
      </c>
      <c r="I1081">
        <v>13</v>
      </c>
    </row>
    <row r="1082" spans="1:9" x14ac:dyDescent="0.35">
      <c r="A1082" t="s">
        <v>3345</v>
      </c>
      <c r="B1082" t="s">
        <v>1661</v>
      </c>
      <c r="C1082">
        <v>17</v>
      </c>
      <c r="D1082">
        <v>0</v>
      </c>
      <c r="E1082">
        <v>325</v>
      </c>
      <c r="F1082">
        <v>0</v>
      </c>
      <c r="G1082">
        <v>0</v>
      </c>
      <c r="H1082">
        <v>342</v>
      </c>
      <c r="I1082">
        <v>5</v>
      </c>
    </row>
    <row r="1083" spans="1:9" x14ac:dyDescent="0.35">
      <c r="A1083" t="s">
        <v>2600</v>
      </c>
      <c r="B1083" t="s">
        <v>1662</v>
      </c>
      <c r="C1083">
        <v>30</v>
      </c>
      <c r="D1083">
        <v>0</v>
      </c>
      <c r="E1083">
        <v>0</v>
      </c>
      <c r="F1083">
        <v>0</v>
      </c>
      <c r="G1083">
        <v>0</v>
      </c>
      <c r="H1083">
        <v>30</v>
      </c>
      <c r="I1083">
        <v>1</v>
      </c>
    </row>
    <row r="1084" spans="1:9" x14ac:dyDescent="0.35">
      <c r="A1084" t="s">
        <v>2380</v>
      </c>
      <c r="B1084" t="s">
        <v>2048</v>
      </c>
      <c r="C1084">
        <v>4</v>
      </c>
      <c r="D1084">
        <v>0</v>
      </c>
      <c r="E1084">
        <v>0</v>
      </c>
      <c r="F1084">
        <v>0</v>
      </c>
      <c r="G1084">
        <v>0</v>
      </c>
      <c r="H1084">
        <v>4</v>
      </c>
      <c r="I1084">
        <v>1</v>
      </c>
    </row>
    <row r="1085" spans="1:9" x14ac:dyDescent="0.35">
      <c r="A1085" t="s">
        <v>2983</v>
      </c>
      <c r="B1085" t="s">
        <v>11420</v>
      </c>
      <c r="C1085">
        <v>0</v>
      </c>
      <c r="D1085">
        <v>0</v>
      </c>
      <c r="E1085">
        <v>0</v>
      </c>
      <c r="F1085">
        <v>17</v>
      </c>
      <c r="G1085">
        <v>0</v>
      </c>
      <c r="H1085">
        <v>17</v>
      </c>
      <c r="I1085">
        <v>1</v>
      </c>
    </row>
    <row r="1086" spans="1:9" x14ac:dyDescent="0.35">
      <c r="A1086" t="s">
        <v>3301</v>
      </c>
      <c r="B1086" t="s">
        <v>2186</v>
      </c>
      <c r="C1086">
        <v>1289</v>
      </c>
      <c r="D1086">
        <v>0</v>
      </c>
      <c r="E1086">
        <v>17</v>
      </c>
      <c r="F1086">
        <v>0</v>
      </c>
      <c r="G1086">
        <v>61</v>
      </c>
      <c r="H1086">
        <v>1367</v>
      </c>
      <c r="I1086">
        <v>2</v>
      </c>
    </row>
    <row r="1087" spans="1:9" x14ac:dyDescent="0.35">
      <c r="A1087" t="s">
        <v>2386</v>
      </c>
      <c r="B1087" t="s">
        <v>1372</v>
      </c>
      <c r="C1087">
        <v>10</v>
      </c>
      <c r="D1087">
        <v>0</v>
      </c>
      <c r="E1087">
        <v>0</v>
      </c>
      <c r="F1087">
        <v>0</v>
      </c>
      <c r="G1087">
        <v>0</v>
      </c>
      <c r="H1087">
        <v>10</v>
      </c>
      <c r="I1087">
        <v>4</v>
      </c>
    </row>
    <row r="1088" spans="1:9" x14ac:dyDescent="0.35">
      <c r="A1088" t="s">
        <v>3030</v>
      </c>
      <c r="B1088" t="s">
        <v>1931</v>
      </c>
      <c r="C1088">
        <v>411</v>
      </c>
      <c r="D1088">
        <v>0</v>
      </c>
      <c r="E1088">
        <v>10</v>
      </c>
      <c r="F1088">
        <v>0</v>
      </c>
      <c r="G1088">
        <v>0</v>
      </c>
      <c r="H1088">
        <v>421</v>
      </c>
      <c r="I1088">
        <v>1</v>
      </c>
    </row>
    <row r="1089" spans="1:9" x14ac:dyDescent="0.35">
      <c r="A1089" t="s">
        <v>3256</v>
      </c>
      <c r="B1089" t="s">
        <v>1583</v>
      </c>
      <c r="C1089">
        <v>0</v>
      </c>
      <c r="D1089">
        <v>66</v>
      </c>
      <c r="E1089">
        <v>0</v>
      </c>
      <c r="F1089">
        <v>0</v>
      </c>
      <c r="G1089">
        <v>0</v>
      </c>
      <c r="H1089">
        <v>66</v>
      </c>
      <c r="I1089">
        <v>1</v>
      </c>
    </row>
    <row r="1090" spans="1:9" x14ac:dyDescent="0.35">
      <c r="A1090" t="s">
        <v>14376</v>
      </c>
      <c r="B1090" t="s">
        <v>14377</v>
      </c>
      <c r="C1090">
        <v>0</v>
      </c>
      <c r="D1090">
        <v>0</v>
      </c>
      <c r="E1090">
        <v>0</v>
      </c>
      <c r="F1090">
        <v>26</v>
      </c>
      <c r="G1090">
        <v>0</v>
      </c>
      <c r="H1090">
        <v>26</v>
      </c>
      <c r="I1090">
        <v>1</v>
      </c>
    </row>
    <row r="1091" spans="1:9" x14ac:dyDescent="0.35">
      <c r="A1091" t="s">
        <v>2678</v>
      </c>
      <c r="B1091" t="s">
        <v>2126</v>
      </c>
      <c r="C1091">
        <v>136</v>
      </c>
      <c r="D1091">
        <v>0</v>
      </c>
      <c r="E1091">
        <v>0</v>
      </c>
      <c r="F1091">
        <v>0</v>
      </c>
      <c r="G1091">
        <v>0</v>
      </c>
      <c r="H1091">
        <v>136</v>
      </c>
      <c r="I1091">
        <v>1</v>
      </c>
    </row>
    <row r="1092" spans="1:9" x14ac:dyDescent="0.35">
      <c r="A1092" t="s">
        <v>14378</v>
      </c>
      <c r="B1092" t="s">
        <v>14379</v>
      </c>
      <c r="C1092">
        <v>0</v>
      </c>
      <c r="D1092">
        <v>0</v>
      </c>
      <c r="E1092">
        <v>0</v>
      </c>
      <c r="F1092">
        <v>0</v>
      </c>
      <c r="G1092">
        <v>0</v>
      </c>
      <c r="H1092">
        <v>0</v>
      </c>
      <c r="I1092">
        <v>0</v>
      </c>
    </row>
    <row r="1093" spans="1:9" x14ac:dyDescent="0.35">
      <c r="A1093" t="s">
        <v>3186</v>
      </c>
      <c r="B1093" t="s">
        <v>1590</v>
      </c>
      <c r="C1093">
        <v>2536</v>
      </c>
      <c r="D1093">
        <v>0</v>
      </c>
      <c r="E1093">
        <v>0</v>
      </c>
      <c r="F1093">
        <v>86</v>
      </c>
      <c r="G1093">
        <v>0</v>
      </c>
      <c r="H1093">
        <v>2622</v>
      </c>
      <c r="I1093">
        <v>2</v>
      </c>
    </row>
    <row r="1094" spans="1:9" x14ac:dyDescent="0.35">
      <c r="A1094" t="s">
        <v>2686</v>
      </c>
      <c r="B1094" t="s">
        <v>1591</v>
      </c>
      <c r="C1094">
        <v>26</v>
      </c>
      <c r="D1094">
        <v>0</v>
      </c>
      <c r="E1094">
        <v>0</v>
      </c>
      <c r="F1094">
        <v>0</v>
      </c>
      <c r="G1094">
        <v>0</v>
      </c>
      <c r="H1094">
        <v>26</v>
      </c>
      <c r="I1094">
        <v>1</v>
      </c>
    </row>
    <row r="1095" spans="1:9" x14ac:dyDescent="0.35">
      <c r="A1095" t="s">
        <v>2718</v>
      </c>
      <c r="B1095" t="s">
        <v>1663</v>
      </c>
      <c r="C1095">
        <v>67</v>
      </c>
      <c r="D1095">
        <v>0</v>
      </c>
      <c r="E1095">
        <v>0</v>
      </c>
      <c r="F1095">
        <v>0</v>
      </c>
      <c r="G1095">
        <v>0</v>
      </c>
      <c r="H1095">
        <v>67</v>
      </c>
      <c r="I1095">
        <v>1</v>
      </c>
    </row>
    <row r="1096" spans="1:9" x14ac:dyDescent="0.35">
      <c r="A1096" t="s">
        <v>3179</v>
      </c>
      <c r="B1096" t="s">
        <v>1783</v>
      </c>
      <c r="C1096">
        <v>5971</v>
      </c>
      <c r="D1096">
        <v>0</v>
      </c>
      <c r="E1096">
        <v>9</v>
      </c>
      <c r="F1096">
        <v>109</v>
      </c>
      <c r="G1096">
        <v>117</v>
      </c>
      <c r="H1096">
        <v>6206</v>
      </c>
      <c r="I1096">
        <v>3</v>
      </c>
    </row>
    <row r="1097" spans="1:9" x14ac:dyDescent="0.35">
      <c r="A1097" t="s">
        <v>2436</v>
      </c>
      <c r="B1097" t="s">
        <v>1592</v>
      </c>
      <c r="C1097">
        <v>0</v>
      </c>
      <c r="D1097">
        <v>0</v>
      </c>
      <c r="E1097">
        <v>0</v>
      </c>
      <c r="F1097">
        <v>39</v>
      </c>
      <c r="G1097">
        <v>0</v>
      </c>
      <c r="H1097">
        <v>39</v>
      </c>
      <c r="I1097">
        <v>1</v>
      </c>
    </row>
    <row r="1098" spans="1:9" x14ac:dyDescent="0.35">
      <c r="A1098" t="s">
        <v>2447</v>
      </c>
      <c r="B1098" t="s">
        <v>1375</v>
      </c>
      <c r="C1098">
        <v>4</v>
      </c>
      <c r="D1098">
        <v>0</v>
      </c>
      <c r="E1098">
        <v>0</v>
      </c>
      <c r="F1098">
        <v>0</v>
      </c>
      <c r="G1098">
        <v>0</v>
      </c>
      <c r="H1098">
        <v>4</v>
      </c>
      <c r="I1098">
        <v>1</v>
      </c>
    </row>
    <row r="1099" spans="1:9" x14ac:dyDescent="0.35">
      <c r="A1099" t="s">
        <v>2691</v>
      </c>
      <c r="B1099" t="s">
        <v>1784</v>
      </c>
      <c r="C1099">
        <v>67</v>
      </c>
      <c r="D1099">
        <v>0</v>
      </c>
      <c r="E1099">
        <v>0</v>
      </c>
      <c r="F1099">
        <v>0</v>
      </c>
      <c r="G1099">
        <v>0</v>
      </c>
      <c r="H1099">
        <v>67</v>
      </c>
      <c r="I1099">
        <v>1</v>
      </c>
    </row>
    <row r="1100" spans="1:9" x14ac:dyDescent="0.35">
      <c r="A1100" t="s">
        <v>2805</v>
      </c>
      <c r="B1100" t="s">
        <v>1593</v>
      </c>
      <c r="C1100">
        <v>24</v>
      </c>
      <c r="D1100">
        <v>0</v>
      </c>
      <c r="E1100">
        <v>0</v>
      </c>
      <c r="F1100">
        <v>0</v>
      </c>
      <c r="G1100">
        <v>0</v>
      </c>
      <c r="H1100">
        <v>24</v>
      </c>
      <c r="I1100">
        <v>1</v>
      </c>
    </row>
    <row r="1101" spans="1:9" x14ac:dyDescent="0.35">
      <c r="A1101" t="s">
        <v>14380</v>
      </c>
      <c r="B1101" t="s">
        <v>14381</v>
      </c>
      <c r="C1101">
        <v>0</v>
      </c>
      <c r="D1101">
        <v>0</v>
      </c>
      <c r="E1101">
        <v>0</v>
      </c>
      <c r="F1101">
        <v>0</v>
      </c>
      <c r="G1101">
        <v>0</v>
      </c>
      <c r="H1101">
        <v>0</v>
      </c>
      <c r="I1101">
        <v>0</v>
      </c>
    </row>
    <row r="1102" spans="1:9" x14ac:dyDescent="0.35">
      <c r="A1102" t="s">
        <v>14382</v>
      </c>
      <c r="B1102" t="s">
        <v>14383</v>
      </c>
      <c r="C1102">
        <v>0</v>
      </c>
      <c r="D1102">
        <v>0</v>
      </c>
      <c r="E1102">
        <v>0</v>
      </c>
      <c r="F1102">
        <v>0</v>
      </c>
      <c r="G1102">
        <v>0</v>
      </c>
      <c r="H1102">
        <v>0</v>
      </c>
      <c r="I1102">
        <v>0</v>
      </c>
    </row>
    <row r="1103" spans="1:9" x14ac:dyDescent="0.35">
      <c r="A1103" t="s">
        <v>2706</v>
      </c>
      <c r="B1103" t="s">
        <v>1664</v>
      </c>
      <c r="C1103">
        <v>13</v>
      </c>
      <c r="D1103">
        <v>0</v>
      </c>
      <c r="E1103">
        <v>0</v>
      </c>
      <c r="F1103">
        <v>0</v>
      </c>
      <c r="G1103">
        <v>0</v>
      </c>
      <c r="H1103">
        <v>13</v>
      </c>
      <c r="I1103">
        <v>1</v>
      </c>
    </row>
    <row r="1104" spans="1:9" x14ac:dyDescent="0.35">
      <c r="A1104" t="s">
        <v>2568</v>
      </c>
      <c r="B1104" t="s">
        <v>1594</v>
      </c>
      <c r="C1104">
        <v>18</v>
      </c>
      <c r="D1104">
        <v>0</v>
      </c>
      <c r="E1104">
        <v>0</v>
      </c>
      <c r="F1104">
        <v>0</v>
      </c>
      <c r="G1104">
        <v>0</v>
      </c>
      <c r="H1104">
        <v>18</v>
      </c>
      <c r="I1104">
        <v>1</v>
      </c>
    </row>
    <row r="1105" spans="1:9" x14ac:dyDescent="0.35">
      <c r="A1105" t="s">
        <v>2669</v>
      </c>
      <c r="B1105" t="s">
        <v>1595</v>
      </c>
      <c r="C1105">
        <v>91</v>
      </c>
      <c r="D1105">
        <v>0</v>
      </c>
      <c r="E1105">
        <v>0</v>
      </c>
      <c r="F1105">
        <v>0</v>
      </c>
      <c r="G1105">
        <v>0</v>
      </c>
      <c r="H1105">
        <v>91</v>
      </c>
      <c r="I1105">
        <v>3</v>
      </c>
    </row>
    <row r="1106" spans="1:9" x14ac:dyDescent="0.35">
      <c r="A1106" t="s">
        <v>3081</v>
      </c>
      <c r="B1106" t="s">
        <v>1376</v>
      </c>
      <c r="C1106">
        <v>16</v>
      </c>
      <c r="D1106">
        <v>4</v>
      </c>
      <c r="E1106">
        <v>38</v>
      </c>
      <c r="F1106">
        <v>0</v>
      </c>
      <c r="G1106">
        <v>0</v>
      </c>
      <c r="H1106">
        <v>58</v>
      </c>
      <c r="I1106">
        <v>4</v>
      </c>
    </row>
    <row r="1107" spans="1:9" x14ac:dyDescent="0.35">
      <c r="A1107" t="s">
        <v>3305</v>
      </c>
      <c r="B1107" t="s">
        <v>1935</v>
      </c>
      <c r="C1107">
        <v>5907</v>
      </c>
      <c r="D1107">
        <v>0</v>
      </c>
      <c r="E1107">
        <v>75</v>
      </c>
      <c r="F1107">
        <v>1109</v>
      </c>
      <c r="G1107">
        <v>786</v>
      </c>
      <c r="H1107">
        <v>7877</v>
      </c>
      <c r="I1107">
        <v>12</v>
      </c>
    </row>
    <row r="1108" spans="1:9" x14ac:dyDescent="0.35">
      <c r="A1108" t="s">
        <v>2936</v>
      </c>
      <c r="B1108" t="s">
        <v>1596</v>
      </c>
      <c r="C1108">
        <v>0</v>
      </c>
      <c r="D1108">
        <v>0</v>
      </c>
      <c r="E1108">
        <v>409</v>
      </c>
      <c r="F1108">
        <v>0</v>
      </c>
      <c r="G1108">
        <v>0</v>
      </c>
      <c r="H1108">
        <v>409</v>
      </c>
      <c r="I1108">
        <v>3</v>
      </c>
    </row>
    <row r="1109" spans="1:9" x14ac:dyDescent="0.35">
      <c r="A1109" t="s">
        <v>2405</v>
      </c>
      <c r="B1109" t="s">
        <v>1377</v>
      </c>
      <c r="C1109">
        <v>7</v>
      </c>
      <c r="D1109">
        <v>0</v>
      </c>
      <c r="E1109">
        <v>8</v>
      </c>
      <c r="F1109">
        <v>0</v>
      </c>
      <c r="G1109">
        <v>0</v>
      </c>
      <c r="H1109">
        <v>15</v>
      </c>
      <c r="I1109">
        <v>1</v>
      </c>
    </row>
    <row r="1110" spans="1:9" x14ac:dyDescent="0.35">
      <c r="A1110" t="s">
        <v>3289</v>
      </c>
      <c r="B1110" t="s">
        <v>2049</v>
      </c>
      <c r="C1110">
        <v>0</v>
      </c>
      <c r="D1110">
        <v>0</v>
      </c>
      <c r="E1110">
        <v>0</v>
      </c>
      <c r="F1110">
        <v>18</v>
      </c>
      <c r="G1110">
        <v>0</v>
      </c>
      <c r="H1110">
        <v>18</v>
      </c>
      <c r="I1110">
        <v>1</v>
      </c>
    </row>
    <row r="1111" spans="1:9" x14ac:dyDescent="0.35">
      <c r="A1111" t="s">
        <v>2976</v>
      </c>
      <c r="B1111" t="s">
        <v>1785</v>
      </c>
      <c r="C1111">
        <v>616</v>
      </c>
      <c r="D1111">
        <v>0</v>
      </c>
      <c r="E1111">
        <v>0</v>
      </c>
      <c r="F1111">
        <v>0</v>
      </c>
      <c r="G1111">
        <v>0</v>
      </c>
      <c r="H1111">
        <v>616</v>
      </c>
      <c r="I1111">
        <v>1</v>
      </c>
    </row>
    <row r="1112" spans="1:9" x14ac:dyDescent="0.35">
      <c r="A1112" t="s">
        <v>3325</v>
      </c>
      <c r="B1112" t="s">
        <v>1936</v>
      </c>
      <c r="C1112">
        <v>0</v>
      </c>
      <c r="D1112">
        <v>0</v>
      </c>
      <c r="E1112">
        <v>0</v>
      </c>
      <c r="F1112">
        <v>0</v>
      </c>
      <c r="G1112">
        <v>0</v>
      </c>
      <c r="H1112">
        <v>0</v>
      </c>
      <c r="I1112">
        <v>0</v>
      </c>
    </row>
    <row r="1113" spans="1:9" x14ac:dyDescent="0.35">
      <c r="A1113" t="s">
        <v>3251</v>
      </c>
      <c r="B1113" t="s">
        <v>1597</v>
      </c>
      <c r="C1113">
        <v>0</v>
      </c>
      <c r="D1113">
        <v>0</v>
      </c>
      <c r="E1113">
        <v>0</v>
      </c>
      <c r="F1113">
        <v>91</v>
      </c>
      <c r="G1113">
        <v>0</v>
      </c>
      <c r="H1113">
        <v>91</v>
      </c>
      <c r="I1113">
        <v>2</v>
      </c>
    </row>
    <row r="1114" spans="1:9" x14ac:dyDescent="0.35">
      <c r="A1114" t="s">
        <v>2296</v>
      </c>
      <c r="B1114" t="s">
        <v>2190</v>
      </c>
      <c r="C1114">
        <v>13</v>
      </c>
      <c r="D1114">
        <v>0</v>
      </c>
      <c r="E1114">
        <v>31</v>
      </c>
      <c r="F1114">
        <v>0</v>
      </c>
      <c r="G1114">
        <v>0</v>
      </c>
      <c r="H1114">
        <v>44</v>
      </c>
      <c r="I1114">
        <v>1</v>
      </c>
    </row>
    <row r="1115" spans="1:9" x14ac:dyDescent="0.35">
      <c r="A1115" t="s">
        <v>2356</v>
      </c>
      <c r="B1115" t="s">
        <v>1379</v>
      </c>
      <c r="C1115">
        <v>0</v>
      </c>
      <c r="D1115">
        <v>0</v>
      </c>
      <c r="E1115">
        <v>0</v>
      </c>
      <c r="F1115">
        <v>43</v>
      </c>
      <c r="G1115">
        <v>0</v>
      </c>
      <c r="H1115">
        <v>43</v>
      </c>
      <c r="I1115">
        <v>1</v>
      </c>
    </row>
    <row r="1116" spans="1:9" x14ac:dyDescent="0.35">
      <c r="A1116" t="s">
        <v>2789</v>
      </c>
      <c r="B1116" t="s">
        <v>1603</v>
      </c>
      <c r="C1116">
        <v>24</v>
      </c>
      <c r="D1116">
        <v>0</v>
      </c>
      <c r="E1116">
        <v>0</v>
      </c>
      <c r="F1116">
        <v>0</v>
      </c>
      <c r="G1116">
        <v>0</v>
      </c>
      <c r="H1116">
        <v>24</v>
      </c>
      <c r="I1116">
        <v>1</v>
      </c>
    </row>
    <row r="1117" spans="1:9" x14ac:dyDescent="0.35">
      <c r="A1117" t="s">
        <v>3009</v>
      </c>
      <c r="B1117" t="s">
        <v>1787</v>
      </c>
      <c r="C1117">
        <v>596</v>
      </c>
      <c r="D1117">
        <v>0</v>
      </c>
      <c r="E1117">
        <v>115</v>
      </c>
      <c r="F1117">
        <v>113</v>
      </c>
      <c r="G1117">
        <v>0</v>
      </c>
      <c r="H1117">
        <v>824</v>
      </c>
      <c r="I1117">
        <v>2</v>
      </c>
    </row>
    <row r="1118" spans="1:9" x14ac:dyDescent="0.35">
      <c r="A1118" t="s">
        <v>2508</v>
      </c>
      <c r="B1118" t="s">
        <v>1380</v>
      </c>
      <c r="C1118">
        <v>0</v>
      </c>
      <c r="D1118">
        <v>0</v>
      </c>
      <c r="E1118">
        <v>0</v>
      </c>
      <c r="F1118">
        <v>21</v>
      </c>
      <c r="G1118">
        <v>0</v>
      </c>
      <c r="H1118">
        <v>21</v>
      </c>
      <c r="I1118">
        <v>1</v>
      </c>
    </row>
    <row r="1119" spans="1:9" x14ac:dyDescent="0.35">
      <c r="A1119" t="s">
        <v>2698</v>
      </c>
      <c r="B1119" t="s">
        <v>1381</v>
      </c>
      <c r="C1119">
        <v>94</v>
      </c>
      <c r="D1119">
        <v>0</v>
      </c>
      <c r="E1119">
        <v>0</v>
      </c>
      <c r="F1119">
        <v>0</v>
      </c>
      <c r="G1119">
        <v>0</v>
      </c>
      <c r="H1119">
        <v>94</v>
      </c>
      <c r="I1119">
        <v>1</v>
      </c>
    </row>
    <row r="1120" spans="1:9" x14ac:dyDescent="0.35">
      <c r="A1120" t="s">
        <v>3027</v>
      </c>
      <c r="B1120" t="s">
        <v>1382</v>
      </c>
      <c r="C1120">
        <v>0</v>
      </c>
      <c r="D1120">
        <v>0</v>
      </c>
      <c r="E1120">
        <v>0</v>
      </c>
      <c r="F1120">
        <v>41</v>
      </c>
      <c r="G1120">
        <v>0</v>
      </c>
      <c r="H1120">
        <v>41</v>
      </c>
      <c r="I1120">
        <v>1</v>
      </c>
    </row>
    <row r="1121" spans="1:9" x14ac:dyDescent="0.35">
      <c r="A1121" t="s">
        <v>14384</v>
      </c>
      <c r="B1121" t="s">
        <v>14385</v>
      </c>
      <c r="C1121">
        <v>0</v>
      </c>
      <c r="D1121">
        <v>5</v>
      </c>
      <c r="E1121">
        <v>0</v>
      </c>
      <c r="F1121">
        <v>0</v>
      </c>
      <c r="G1121">
        <v>0</v>
      </c>
      <c r="H1121">
        <v>5</v>
      </c>
      <c r="I1121">
        <v>1</v>
      </c>
    </row>
    <row r="1122" spans="1:9" x14ac:dyDescent="0.35">
      <c r="A1122" t="s">
        <v>2645</v>
      </c>
      <c r="B1122" t="s">
        <v>14386</v>
      </c>
      <c r="C1122">
        <v>0</v>
      </c>
      <c r="D1122">
        <v>0</v>
      </c>
      <c r="E1122">
        <v>0</v>
      </c>
      <c r="F1122">
        <v>8</v>
      </c>
      <c r="G1122">
        <v>0</v>
      </c>
      <c r="H1122">
        <v>8</v>
      </c>
      <c r="I1122">
        <v>1</v>
      </c>
    </row>
    <row r="1123" spans="1:9" x14ac:dyDescent="0.35">
      <c r="A1123" t="s">
        <v>2581</v>
      </c>
      <c r="B1123" t="s">
        <v>1604</v>
      </c>
      <c r="C1123">
        <v>0</v>
      </c>
      <c r="D1123">
        <v>0</v>
      </c>
      <c r="E1123">
        <v>0</v>
      </c>
      <c r="F1123">
        <v>6</v>
      </c>
      <c r="G1123">
        <v>0</v>
      </c>
      <c r="H1123">
        <v>6</v>
      </c>
      <c r="I1123">
        <v>1</v>
      </c>
    </row>
    <row r="1124" spans="1:9" x14ac:dyDescent="0.35">
      <c r="A1124" t="s">
        <v>3064</v>
      </c>
      <c r="B1124" t="s">
        <v>1605</v>
      </c>
      <c r="C1124">
        <v>778</v>
      </c>
      <c r="D1124">
        <v>20</v>
      </c>
      <c r="E1124">
        <v>0</v>
      </c>
      <c r="F1124">
        <v>182</v>
      </c>
      <c r="G1124">
        <v>0</v>
      </c>
      <c r="H1124">
        <v>980</v>
      </c>
      <c r="I1124">
        <v>8</v>
      </c>
    </row>
    <row r="1125" spans="1:9" x14ac:dyDescent="0.35">
      <c r="A1125" t="s">
        <v>2865</v>
      </c>
      <c r="B1125" t="s">
        <v>11436</v>
      </c>
      <c r="C1125">
        <v>0</v>
      </c>
      <c r="D1125">
        <v>0</v>
      </c>
      <c r="E1125">
        <v>25</v>
      </c>
      <c r="F1125">
        <v>0</v>
      </c>
      <c r="G1125">
        <v>0</v>
      </c>
      <c r="H1125">
        <v>25</v>
      </c>
      <c r="I1125">
        <v>1</v>
      </c>
    </row>
    <row r="1126" spans="1:9" x14ac:dyDescent="0.35">
      <c r="A1126" t="s">
        <v>2518</v>
      </c>
      <c r="B1126" t="s">
        <v>1941</v>
      </c>
      <c r="C1126">
        <v>18</v>
      </c>
      <c r="D1126">
        <v>0</v>
      </c>
      <c r="E1126">
        <v>0</v>
      </c>
      <c r="F1126">
        <v>0</v>
      </c>
      <c r="G1126">
        <v>0</v>
      </c>
      <c r="H1126">
        <v>18</v>
      </c>
      <c r="I1126">
        <v>1</v>
      </c>
    </row>
    <row r="1127" spans="1:9" x14ac:dyDescent="0.35">
      <c r="A1127" t="s">
        <v>2761</v>
      </c>
      <c r="B1127" t="s">
        <v>1606</v>
      </c>
      <c r="C1127">
        <v>2</v>
      </c>
      <c r="D1127">
        <v>2</v>
      </c>
      <c r="E1127">
        <v>0</v>
      </c>
      <c r="F1127">
        <v>0</v>
      </c>
      <c r="G1127">
        <v>0</v>
      </c>
      <c r="H1127">
        <v>4</v>
      </c>
      <c r="I1127">
        <v>1</v>
      </c>
    </row>
    <row r="1128" spans="1:9" x14ac:dyDescent="0.35">
      <c r="A1128" t="s">
        <v>14387</v>
      </c>
      <c r="B1128" t="s">
        <v>14388</v>
      </c>
      <c r="C1128">
        <v>4</v>
      </c>
      <c r="D1128">
        <v>0</v>
      </c>
      <c r="E1128">
        <v>0</v>
      </c>
      <c r="F1128">
        <v>0</v>
      </c>
      <c r="G1128">
        <v>0</v>
      </c>
      <c r="H1128">
        <v>4</v>
      </c>
      <c r="I1128">
        <v>1</v>
      </c>
    </row>
    <row r="1129" spans="1:9" x14ac:dyDescent="0.35">
      <c r="A1129" t="s">
        <v>2374</v>
      </c>
      <c r="B1129" t="s">
        <v>2130</v>
      </c>
      <c r="C1129">
        <v>64</v>
      </c>
      <c r="D1129">
        <v>0</v>
      </c>
      <c r="E1129">
        <v>32</v>
      </c>
      <c r="F1129">
        <v>0</v>
      </c>
      <c r="G1129">
        <v>0</v>
      </c>
      <c r="H1129">
        <v>96</v>
      </c>
      <c r="I1129">
        <v>1</v>
      </c>
    </row>
    <row r="1130" spans="1:9" x14ac:dyDescent="0.35">
      <c r="A1130" t="s">
        <v>3299</v>
      </c>
      <c r="B1130" t="s">
        <v>2131</v>
      </c>
      <c r="C1130">
        <v>123</v>
      </c>
      <c r="D1130">
        <v>5</v>
      </c>
      <c r="E1130">
        <v>118</v>
      </c>
      <c r="F1130">
        <v>0</v>
      </c>
      <c r="G1130">
        <v>0</v>
      </c>
      <c r="H1130">
        <v>246</v>
      </c>
      <c r="I1130">
        <v>2</v>
      </c>
    </row>
    <row r="1131" spans="1:9" x14ac:dyDescent="0.35">
      <c r="A1131" t="s">
        <v>3336</v>
      </c>
      <c r="B1131" t="s">
        <v>1942</v>
      </c>
      <c r="C1131">
        <v>3241</v>
      </c>
      <c r="D1131">
        <v>0</v>
      </c>
      <c r="E1131">
        <v>11</v>
      </c>
      <c r="F1131">
        <v>215</v>
      </c>
      <c r="G1131">
        <v>185</v>
      </c>
      <c r="H1131">
        <v>3652</v>
      </c>
      <c r="I1131">
        <v>6</v>
      </c>
    </row>
    <row r="1132" spans="1:9" x14ac:dyDescent="0.35">
      <c r="A1132" t="s">
        <v>3080</v>
      </c>
      <c r="B1132" t="s">
        <v>2052</v>
      </c>
      <c r="C1132">
        <v>421</v>
      </c>
      <c r="D1132">
        <v>0</v>
      </c>
      <c r="E1132">
        <v>0</v>
      </c>
      <c r="F1132">
        <v>22</v>
      </c>
      <c r="G1132">
        <v>0</v>
      </c>
      <c r="H1132">
        <v>443</v>
      </c>
      <c r="I1132">
        <v>2</v>
      </c>
    </row>
    <row r="1133" spans="1:9" x14ac:dyDescent="0.35">
      <c r="A1133" t="s">
        <v>3162</v>
      </c>
      <c r="B1133" t="s">
        <v>11410</v>
      </c>
      <c r="C1133">
        <v>13198</v>
      </c>
      <c r="D1133">
        <v>5</v>
      </c>
      <c r="E1133">
        <v>116</v>
      </c>
      <c r="F1133">
        <v>69</v>
      </c>
      <c r="G1133">
        <v>270</v>
      </c>
      <c r="H1133">
        <v>13658</v>
      </c>
      <c r="I1133">
        <v>3</v>
      </c>
    </row>
    <row r="1134" spans="1:9" x14ac:dyDescent="0.35">
      <c r="A1134" t="s">
        <v>2512</v>
      </c>
      <c r="B1134" t="s">
        <v>2132</v>
      </c>
      <c r="C1134">
        <v>0</v>
      </c>
      <c r="D1134">
        <v>0</v>
      </c>
      <c r="E1134">
        <v>0</v>
      </c>
      <c r="F1134">
        <v>195</v>
      </c>
      <c r="G1134">
        <v>0</v>
      </c>
      <c r="H1134">
        <v>195</v>
      </c>
      <c r="I1134">
        <v>1</v>
      </c>
    </row>
    <row r="1135" spans="1:9" x14ac:dyDescent="0.35">
      <c r="A1135" t="s">
        <v>3335</v>
      </c>
      <c r="B1135" t="s">
        <v>1943</v>
      </c>
      <c r="C1135">
        <v>0</v>
      </c>
      <c r="D1135">
        <v>0</v>
      </c>
      <c r="E1135">
        <v>0</v>
      </c>
      <c r="F1135">
        <v>0</v>
      </c>
      <c r="G1135">
        <v>0</v>
      </c>
      <c r="H1135">
        <v>0</v>
      </c>
      <c r="I1135">
        <v>0</v>
      </c>
    </row>
    <row r="1136" spans="1:9" x14ac:dyDescent="0.35">
      <c r="A1136" t="s">
        <v>3230</v>
      </c>
      <c r="B1136" t="s">
        <v>2133</v>
      </c>
      <c r="C1136">
        <v>63</v>
      </c>
      <c r="D1136">
        <v>34</v>
      </c>
      <c r="E1136">
        <v>131</v>
      </c>
      <c r="F1136">
        <v>0</v>
      </c>
      <c r="G1136">
        <v>0</v>
      </c>
      <c r="H1136">
        <v>228</v>
      </c>
      <c r="I1136">
        <v>3</v>
      </c>
    </row>
    <row r="1137" spans="1:9" x14ac:dyDescent="0.35">
      <c r="A1137" t="s">
        <v>2390</v>
      </c>
      <c r="B1137" t="s">
        <v>2053</v>
      </c>
      <c r="C1137">
        <v>0</v>
      </c>
      <c r="D1137">
        <v>0</v>
      </c>
      <c r="E1137">
        <v>41</v>
      </c>
      <c r="F1137">
        <v>0</v>
      </c>
      <c r="G1137">
        <v>0</v>
      </c>
      <c r="H1137">
        <v>41</v>
      </c>
      <c r="I1137">
        <v>1</v>
      </c>
    </row>
    <row r="1138" spans="1:9" x14ac:dyDescent="0.35">
      <c r="A1138" t="s">
        <v>2933</v>
      </c>
      <c r="B1138" t="s">
        <v>1265</v>
      </c>
      <c r="C1138">
        <v>0</v>
      </c>
      <c r="D1138">
        <v>0</v>
      </c>
      <c r="E1138">
        <v>196</v>
      </c>
      <c r="F1138">
        <v>0</v>
      </c>
      <c r="G1138">
        <v>0</v>
      </c>
      <c r="H1138">
        <v>196</v>
      </c>
      <c r="I1138">
        <v>2</v>
      </c>
    </row>
    <row r="1139" spans="1:9" x14ac:dyDescent="0.35">
      <c r="A1139" t="s">
        <v>2219</v>
      </c>
      <c r="B1139" t="s">
        <v>1944</v>
      </c>
      <c r="C1139">
        <v>0</v>
      </c>
      <c r="D1139">
        <v>0</v>
      </c>
      <c r="E1139">
        <v>266</v>
      </c>
      <c r="F1139">
        <v>0</v>
      </c>
      <c r="G1139">
        <v>0</v>
      </c>
      <c r="H1139">
        <v>266</v>
      </c>
      <c r="I1139">
        <v>7</v>
      </c>
    </row>
    <row r="1140" spans="1:9" x14ac:dyDescent="0.35">
      <c r="A1140" t="s">
        <v>2373</v>
      </c>
      <c r="B1140" t="s">
        <v>1945</v>
      </c>
      <c r="C1140">
        <v>0</v>
      </c>
      <c r="D1140">
        <v>0</v>
      </c>
      <c r="E1140">
        <v>57</v>
      </c>
      <c r="F1140">
        <v>0</v>
      </c>
      <c r="G1140">
        <v>0</v>
      </c>
      <c r="H1140">
        <v>57</v>
      </c>
      <c r="I1140">
        <v>1</v>
      </c>
    </row>
    <row r="1141" spans="1:9" x14ac:dyDescent="0.35">
      <c r="A1141" t="s">
        <v>2393</v>
      </c>
      <c r="B1141" t="s">
        <v>1946</v>
      </c>
      <c r="C1141">
        <v>0</v>
      </c>
      <c r="D1141">
        <v>0</v>
      </c>
      <c r="E1141">
        <v>144</v>
      </c>
      <c r="F1141">
        <v>0</v>
      </c>
      <c r="G1141">
        <v>0</v>
      </c>
      <c r="H1141">
        <v>144</v>
      </c>
      <c r="I1141">
        <v>3</v>
      </c>
    </row>
    <row r="1142" spans="1:9" x14ac:dyDescent="0.35">
      <c r="A1142" t="s">
        <v>2934</v>
      </c>
      <c r="B1142" t="s">
        <v>11479</v>
      </c>
      <c r="C1142">
        <v>0</v>
      </c>
      <c r="D1142">
        <v>8</v>
      </c>
      <c r="E1142">
        <v>387</v>
      </c>
      <c r="F1142">
        <v>0</v>
      </c>
      <c r="G1142">
        <v>0</v>
      </c>
      <c r="H1142">
        <v>395</v>
      </c>
      <c r="I1142">
        <v>3</v>
      </c>
    </row>
    <row r="1143" spans="1:9" x14ac:dyDescent="0.35">
      <c r="A1143" t="s">
        <v>2928</v>
      </c>
      <c r="B1143" t="s">
        <v>1383</v>
      </c>
      <c r="C1143">
        <v>0</v>
      </c>
      <c r="D1143">
        <v>0</v>
      </c>
      <c r="E1143">
        <v>210</v>
      </c>
      <c r="F1143">
        <v>0</v>
      </c>
      <c r="G1143">
        <v>0</v>
      </c>
      <c r="H1143">
        <v>210</v>
      </c>
      <c r="I1143">
        <v>3</v>
      </c>
    </row>
    <row r="1144" spans="1:9" x14ac:dyDescent="0.35">
      <c r="A1144" t="s">
        <v>2947</v>
      </c>
      <c r="B1144" t="s">
        <v>11437</v>
      </c>
      <c r="C1144">
        <v>0</v>
      </c>
      <c r="D1144">
        <v>0</v>
      </c>
      <c r="E1144">
        <v>203</v>
      </c>
      <c r="F1144">
        <v>0</v>
      </c>
      <c r="G1144">
        <v>0</v>
      </c>
      <c r="H1144">
        <v>203</v>
      </c>
      <c r="I1144">
        <v>1</v>
      </c>
    </row>
    <row r="1145" spans="1:9" x14ac:dyDescent="0.35">
      <c r="A1145" t="s">
        <v>2326</v>
      </c>
      <c r="B1145" t="s">
        <v>1666</v>
      </c>
      <c r="C1145">
        <v>0</v>
      </c>
      <c r="D1145">
        <v>0</v>
      </c>
      <c r="E1145">
        <v>24</v>
      </c>
      <c r="F1145">
        <v>0</v>
      </c>
      <c r="G1145">
        <v>0</v>
      </c>
      <c r="H1145">
        <v>24</v>
      </c>
      <c r="I1145">
        <v>1</v>
      </c>
    </row>
    <row r="1146" spans="1:9" x14ac:dyDescent="0.35">
      <c r="A1146" t="s">
        <v>2910</v>
      </c>
      <c r="B1146" t="s">
        <v>14389</v>
      </c>
      <c r="C1146">
        <v>0</v>
      </c>
      <c r="D1146">
        <v>0</v>
      </c>
      <c r="E1146">
        <v>164</v>
      </c>
      <c r="F1146">
        <v>0</v>
      </c>
      <c r="G1146">
        <v>0</v>
      </c>
      <c r="H1146">
        <v>164</v>
      </c>
      <c r="I1146">
        <v>3</v>
      </c>
    </row>
    <row r="1147" spans="1:9" x14ac:dyDescent="0.35">
      <c r="A1147" t="s">
        <v>3298</v>
      </c>
      <c r="B1147" t="s">
        <v>1788</v>
      </c>
      <c r="C1147">
        <v>44</v>
      </c>
      <c r="D1147">
        <v>0</v>
      </c>
      <c r="E1147">
        <v>103</v>
      </c>
      <c r="F1147">
        <v>0</v>
      </c>
      <c r="G1147">
        <v>0</v>
      </c>
      <c r="H1147">
        <v>147</v>
      </c>
      <c r="I1147">
        <v>1</v>
      </c>
    </row>
    <row r="1148" spans="1:9" x14ac:dyDescent="0.35">
      <c r="A1148" t="s">
        <v>3324</v>
      </c>
      <c r="B1148" t="s">
        <v>1607</v>
      </c>
      <c r="C1148">
        <v>56</v>
      </c>
      <c r="D1148">
        <v>0</v>
      </c>
      <c r="E1148">
        <v>670</v>
      </c>
      <c r="F1148">
        <v>0</v>
      </c>
      <c r="G1148">
        <v>0</v>
      </c>
      <c r="H1148">
        <v>726</v>
      </c>
      <c r="I1148">
        <v>5</v>
      </c>
    </row>
    <row r="1149" spans="1:9" x14ac:dyDescent="0.35">
      <c r="A1149" t="s">
        <v>3228</v>
      </c>
      <c r="B1149" t="s">
        <v>1608</v>
      </c>
      <c r="C1149">
        <v>43</v>
      </c>
      <c r="D1149">
        <v>0</v>
      </c>
      <c r="E1149">
        <v>222</v>
      </c>
      <c r="F1149">
        <v>0</v>
      </c>
      <c r="G1149">
        <v>0</v>
      </c>
      <c r="H1149">
        <v>265</v>
      </c>
      <c r="I1149">
        <v>3</v>
      </c>
    </row>
    <row r="1150" spans="1:9" x14ac:dyDescent="0.35">
      <c r="A1150" t="s">
        <v>2938</v>
      </c>
      <c r="B1150" t="s">
        <v>1384</v>
      </c>
      <c r="C1150">
        <v>0</v>
      </c>
      <c r="D1150">
        <v>0</v>
      </c>
      <c r="E1150">
        <v>301</v>
      </c>
      <c r="F1150">
        <v>0</v>
      </c>
      <c r="G1150">
        <v>0</v>
      </c>
      <c r="H1150">
        <v>301</v>
      </c>
      <c r="I1150">
        <v>4</v>
      </c>
    </row>
    <row r="1151" spans="1:9" x14ac:dyDescent="0.35">
      <c r="A1151" t="s">
        <v>3033</v>
      </c>
      <c r="B1151" t="s">
        <v>2191</v>
      </c>
      <c r="C1151">
        <v>522</v>
      </c>
      <c r="D1151">
        <v>6</v>
      </c>
      <c r="E1151">
        <v>167</v>
      </c>
      <c r="F1151">
        <v>131</v>
      </c>
      <c r="G1151">
        <v>0</v>
      </c>
      <c r="H1151">
        <v>826</v>
      </c>
      <c r="I1151">
        <v>7</v>
      </c>
    </row>
    <row r="1152" spans="1:9" x14ac:dyDescent="0.35">
      <c r="A1152" t="s">
        <v>3219</v>
      </c>
      <c r="B1152" t="s">
        <v>1789</v>
      </c>
      <c r="C1152">
        <v>15304</v>
      </c>
      <c r="D1152">
        <v>10</v>
      </c>
      <c r="E1152">
        <v>395</v>
      </c>
      <c r="F1152">
        <v>865</v>
      </c>
      <c r="G1152">
        <v>1001</v>
      </c>
      <c r="H1152">
        <v>17575</v>
      </c>
      <c r="I1152">
        <v>18</v>
      </c>
    </row>
    <row r="1153" spans="1:9" x14ac:dyDescent="0.35">
      <c r="A1153" t="s">
        <v>3270</v>
      </c>
      <c r="B1153" t="s">
        <v>2192</v>
      </c>
      <c r="C1153">
        <v>0</v>
      </c>
      <c r="D1153">
        <v>0</v>
      </c>
      <c r="E1153">
        <v>0</v>
      </c>
      <c r="F1153">
        <v>30</v>
      </c>
      <c r="G1153">
        <v>0</v>
      </c>
      <c r="H1153">
        <v>30</v>
      </c>
      <c r="I1153">
        <v>1</v>
      </c>
    </row>
    <row r="1154" spans="1:9" x14ac:dyDescent="0.35">
      <c r="A1154" t="s">
        <v>14390</v>
      </c>
      <c r="B1154" t="s">
        <v>14391</v>
      </c>
      <c r="C1154">
        <v>0</v>
      </c>
      <c r="D1154">
        <v>0</v>
      </c>
      <c r="E1154">
        <v>0</v>
      </c>
      <c r="F1154">
        <v>0</v>
      </c>
      <c r="G1154">
        <v>0</v>
      </c>
      <c r="H1154">
        <v>0</v>
      </c>
      <c r="I1154">
        <v>0</v>
      </c>
    </row>
    <row r="1155" spans="1:9" x14ac:dyDescent="0.35">
      <c r="A1155" t="s">
        <v>3071</v>
      </c>
      <c r="B1155" t="s">
        <v>1266</v>
      </c>
      <c r="C1155">
        <v>17744</v>
      </c>
      <c r="D1155">
        <v>5</v>
      </c>
      <c r="E1155">
        <v>787</v>
      </c>
      <c r="F1155">
        <v>3295</v>
      </c>
      <c r="G1155">
        <v>1683</v>
      </c>
      <c r="H1155">
        <v>23514</v>
      </c>
      <c r="I1155">
        <v>43</v>
      </c>
    </row>
    <row r="1156" spans="1:9" x14ac:dyDescent="0.35">
      <c r="A1156" t="s">
        <v>2748</v>
      </c>
      <c r="B1156" t="s">
        <v>1790</v>
      </c>
      <c r="C1156">
        <v>6</v>
      </c>
      <c r="D1156">
        <v>0</v>
      </c>
      <c r="E1156">
        <v>0</v>
      </c>
      <c r="F1156">
        <v>0</v>
      </c>
      <c r="G1156">
        <v>0</v>
      </c>
      <c r="H1156">
        <v>6</v>
      </c>
      <c r="I1156">
        <v>1</v>
      </c>
    </row>
    <row r="1157" spans="1:9" x14ac:dyDescent="0.35">
      <c r="A1157" t="s">
        <v>14392</v>
      </c>
      <c r="B1157" t="s">
        <v>14393</v>
      </c>
      <c r="C1157">
        <v>0</v>
      </c>
      <c r="D1157">
        <v>0</v>
      </c>
      <c r="E1157">
        <v>0</v>
      </c>
      <c r="F1157">
        <v>0</v>
      </c>
      <c r="G1157">
        <v>0</v>
      </c>
      <c r="H1157">
        <v>0</v>
      </c>
      <c r="I1157">
        <v>0</v>
      </c>
    </row>
    <row r="1158" spans="1:9" x14ac:dyDescent="0.35">
      <c r="A1158" t="s">
        <v>14394</v>
      </c>
      <c r="B1158" t="s">
        <v>14395</v>
      </c>
      <c r="C1158">
        <v>0</v>
      </c>
      <c r="D1158">
        <v>0</v>
      </c>
      <c r="E1158">
        <v>0</v>
      </c>
      <c r="F1158">
        <v>0</v>
      </c>
      <c r="G1158">
        <v>0</v>
      </c>
      <c r="H1158">
        <v>0</v>
      </c>
      <c r="I1158">
        <v>0</v>
      </c>
    </row>
    <row r="1159" spans="1:9" x14ac:dyDescent="0.35">
      <c r="A1159" t="s">
        <v>3024</v>
      </c>
      <c r="B1159" t="s">
        <v>11383</v>
      </c>
      <c r="C1159">
        <v>136</v>
      </c>
      <c r="D1159">
        <v>0</v>
      </c>
      <c r="E1159">
        <v>0</v>
      </c>
      <c r="F1159">
        <v>0</v>
      </c>
      <c r="G1159">
        <v>0</v>
      </c>
      <c r="H1159">
        <v>136</v>
      </c>
      <c r="I1159">
        <v>1</v>
      </c>
    </row>
    <row r="1160" spans="1:9" x14ac:dyDescent="0.35">
      <c r="A1160" t="s">
        <v>2560</v>
      </c>
      <c r="B1160" t="s">
        <v>1402</v>
      </c>
      <c r="C1160">
        <v>12</v>
      </c>
      <c r="D1160">
        <v>0</v>
      </c>
      <c r="E1160">
        <v>0</v>
      </c>
      <c r="F1160">
        <v>0</v>
      </c>
      <c r="G1160">
        <v>0</v>
      </c>
      <c r="H1160">
        <v>12</v>
      </c>
      <c r="I1160">
        <v>1</v>
      </c>
    </row>
    <row r="1161" spans="1:9" x14ac:dyDescent="0.35">
      <c r="A1161" t="s">
        <v>3355</v>
      </c>
      <c r="B1161" t="s">
        <v>1618</v>
      </c>
      <c r="C1161">
        <v>14413</v>
      </c>
      <c r="D1161">
        <v>0</v>
      </c>
      <c r="E1161">
        <v>75</v>
      </c>
      <c r="F1161">
        <v>278</v>
      </c>
      <c r="G1161">
        <v>273</v>
      </c>
      <c r="H1161">
        <v>15039</v>
      </c>
      <c r="I1161">
        <v>9</v>
      </c>
    </row>
    <row r="1162" spans="1:9" x14ac:dyDescent="0.35">
      <c r="A1162" t="s">
        <v>2871</v>
      </c>
      <c r="B1162" t="s">
        <v>12382</v>
      </c>
      <c r="C1162">
        <v>305</v>
      </c>
      <c r="D1162">
        <v>0</v>
      </c>
      <c r="E1162">
        <v>129</v>
      </c>
      <c r="F1162">
        <v>0</v>
      </c>
      <c r="G1162">
        <v>0</v>
      </c>
      <c r="H1162">
        <v>434</v>
      </c>
      <c r="I1162">
        <v>3</v>
      </c>
    </row>
    <row r="1163" spans="1:9" x14ac:dyDescent="0.35">
      <c r="A1163" t="s">
        <v>3051</v>
      </c>
      <c r="B1163" t="s">
        <v>1276</v>
      </c>
      <c r="C1163">
        <v>0</v>
      </c>
      <c r="D1163">
        <v>0</v>
      </c>
      <c r="E1163">
        <v>0</v>
      </c>
      <c r="F1163">
        <v>38</v>
      </c>
      <c r="G1163">
        <v>0</v>
      </c>
      <c r="H1163">
        <v>38</v>
      </c>
      <c r="I1163">
        <v>1</v>
      </c>
    </row>
    <row r="1164" spans="1:9" x14ac:dyDescent="0.35">
      <c r="A1164" t="s">
        <v>3046</v>
      </c>
      <c r="B1164" t="s">
        <v>1676</v>
      </c>
      <c r="C1164">
        <v>0</v>
      </c>
      <c r="D1164">
        <v>0</v>
      </c>
      <c r="E1164">
        <v>287</v>
      </c>
      <c r="F1164">
        <v>0</v>
      </c>
      <c r="G1164">
        <v>0</v>
      </c>
      <c r="H1164">
        <v>287</v>
      </c>
      <c r="I1164">
        <v>4</v>
      </c>
    </row>
    <row r="1165" spans="1:9" x14ac:dyDescent="0.35">
      <c r="A1165" t="s">
        <v>3049</v>
      </c>
      <c r="B1165" t="s">
        <v>2058</v>
      </c>
      <c r="C1165">
        <v>215</v>
      </c>
      <c r="D1165">
        <v>0</v>
      </c>
      <c r="E1165">
        <v>0</v>
      </c>
      <c r="F1165">
        <v>0</v>
      </c>
      <c r="G1165">
        <v>0</v>
      </c>
      <c r="H1165">
        <v>215</v>
      </c>
      <c r="I1165">
        <v>1</v>
      </c>
    </row>
    <row r="1166" spans="1:9" x14ac:dyDescent="0.35">
      <c r="A1166" t="s">
        <v>2650</v>
      </c>
      <c r="B1166" t="s">
        <v>2069</v>
      </c>
      <c r="C1166">
        <v>6</v>
      </c>
      <c r="D1166">
        <v>0</v>
      </c>
      <c r="E1166">
        <v>0</v>
      </c>
      <c r="F1166">
        <v>0</v>
      </c>
      <c r="G1166">
        <v>0</v>
      </c>
      <c r="H1166">
        <v>6</v>
      </c>
      <c r="I1166">
        <v>1</v>
      </c>
    </row>
    <row r="1167" spans="1:9" x14ac:dyDescent="0.35">
      <c r="A1167" t="s">
        <v>2617</v>
      </c>
      <c r="B1167" t="s">
        <v>11438</v>
      </c>
      <c r="C1167">
        <v>0</v>
      </c>
      <c r="D1167">
        <v>0</v>
      </c>
      <c r="E1167">
        <v>0</v>
      </c>
      <c r="F1167">
        <v>7</v>
      </c>
      <c r="G1167">
        <v>0</v>
      </c>
      <c r="H1167">
        <v>7</v>
      </c>
      <c r="I1167">
        <v>1</v>
      </c>
    </row>
    <row r="1168" spans="1:9" x14ac:dyDescent="0.35">
      <c r="A1168" t="s">
        <v>3160</v>
      </c>
      <c r="B1168" t="s">
        <v>1413</v>
      </c>
      <c r="C1168">
        <v>990</v>
      </c>
      <c r="D1168">
        <v>0</v>
      </c>
      <c r="E1168">
        <v>0</v>
      </c>
      <c r="F1168">
        <v>0</v>
      </c>
      <c r="G1168">
        <v>0</v>
      </c>
      <c r="H1168">
        <v>990</v>
      </c>
      <c r="I1168">
        <v>1</v>
      </c>
    </row>
    <row r="1169" spans="1:9" x14ac:dyDescent="0.35">
      <c r="A1169" t="s">
        <v>2347</v>
      </c>
      <c r="B1169" t="s">
        <v>2140</v>
      </c>
      <c r="C1169">
        <v>0</v>
      </c>
      <c r="D1169">
        <v>0</v>
      </c>
      <c r="E1169">
        <v>473</v>
      </c>
      <c r="F1169">
        <v>0</v>
      </c>
      <c r="G1169">
        <v>0</v>
      </c>
      <c r="H1169">
        <v>473</v>
      </c>
      <c r="I1169">
        <v>4</v>
      </c>
    </row>
    <row r="1170" spans="1:9" x14ac:dyDescent="0.35">
      <c r="A1170" t="s">
        <v>3177</v>
      </c>
      <c r="B1170" t="s">
        <v>1283</v>
      </c>
      <c r="C1170">
        <v>9157</v>
      </c>
      <c r="D1170">
        <v>0</v>
      </c>
      <c r="E1170">
        <v>28</v>
      </c>
      <c r="F1170">
        <v>0</v>
      </c>
      <c r="G1170">
        <v>578</v>
      </c>
      <c r="H1170">
        <v>9763</v>
      </c>
      <c r="I1170">
        <v>14</v>
      </c>
    </row>
    <row r="1171" spans="1:9" x14ac:dyDescent="0.35">
      <c r="A1171" t="s">
        <v>2200</v>
      </c>
      <c r="B1171" t="s">
        <v>1957</v>
      </c>
      <c r="C1171">
        <v>95</v>
      </c>
      <c r="D1171">
        <v>0</v>
      </c>
      <c r="E1171">
        <v>0</v>
      </c>
      <c r="F1171">
        <v>0</v>
      </c>
      <c r="G1171">
        <v>0</v>
      </c>
      <c r="H1171">
        <v>95</v>
      </c>
      <c r="I1171">
        <v>1</v>
      </c>
    </row>
    <row r="1172" spans="1:9" x14ac:dyDescent="0.35">
      <c r="A1172" t="s">
        <v>2941</v>
      </c>
      <c r="B1172" t="s">
        <v>1958</v>
      </c>
      <c r="C1172">
        <v>31</v>
      </c>
      <c r="D1172">
        <v>0</v>
      </c>
      <c r="E1172">
        <v>137</v>
      </c>
      <c r="F1172">
        <v>0</v>
      </c>
      <c r="G1172">
        <v>0</v>
      </c>
      <c r="H1172">
        <v>168</v>
      </c>
      <c r="I1172">
        <v>2</v>
      </c>
    </row>
    <row r="1173" spans="1:9" x14ac:dyDescent="0.35">
      <c r="A1173" t="s">
        <v>2530</v>
      </c>
      <c r="B1173" t="s">
        <v>1284</v>
      </c>
      <c r="C1173">
        <v>2</v>
      </c>
      <c r="D1173">
        <v>0</v>
      </c>
      <c r="E1173">
        <v>0</v>
      </c>
      <c r="F1173">
        <v>0</v>
      </c>
      <c r="G1173">
        <v>0</v>
      </c>
      <c r="H1173">
        <v>2</v>
      </c>
      <c r="I1173">
        <v>1</v>
      </c>
    </row>
    <row r="1174" spans="1:9" x14ac:dyDescent="0.35">
      <c r="A1174" t="s">
        <v>2773</v>
      </c>
      <c r="B1174" t="s">
        <v>1685</v>
      </c>
      <c r="C1174">
        <v>19</v>
      </c>
      <c r="D1174">
        <v>0</v>
      </c>
      <c r="E1174">
        <v>0</v>
      </c>
      <c r="F1174">
        <v>0</v>
      </c>
      <c r="G1174">
        <v>0</v>
      </c>
      <c r="H1174">
        <v>19</v>
      </c>
      <c r="I1174">
        <v>1</v>
      </c>
    </row>
    <row r="1175" spans="1:9" x14ac:dyDescent="0.35">
      <c r="A1175" t="s">
        <v>3203</v>
      </c>
      <c r="B1175" t="s">
        <v>1162</v>
      </c>
      <c r="C1175">
        <v>3924</v>
      </c>
      <c r="D1175">
        <v>0</v>
      </c>
      <c r="E1175">
        <v>5</v>
      </c>
      <c r="F1175">
        <v>1182</v>
      </c>
      <c r="G1175">
        <v>89</v>
      </c>
      <c r="H1175">
        <v>5200</v>
      </c>
      <c r="I1175">
        <v>3</v>
      </c>
    </row>
    <row r="1176" spans="1:9" x14ac:dyDescent="0.35">
      <c r="A1176" t="s">
        <v>3317</v>
      </c>
      <c r="B1176" t="s">
        <v>1163</v>
      </c>
      <c r="C1176">
        <v>0</v>
      </c>
      <c r="D1176">
        <v>0</v>
      </c>
      <c r="E1176">
        <v>0</v>
      </c>
      <c r="F1176">
        <v>33</v>
      </c>
      <c r="G1176">
        <v>0</v>
      </c>
      <c r="H1176">
        <v>33</v>
      </c>
      <c r="I1176">
        <v>1</v>
      </c>
    </row>
    <row r="1177" spans="1:9" x14ac:dyDescent="0.35">
      <c r="A1177" t="s">
        <v>3047</v>
      </c>
      <c r="B1177" t="s">
        <v>1815</v>
      </c>
      <c r="C1177">
        <v>0</v>
      </c>
      <c r="D1177">
        <v>0</v>
      </c>
      <c r="E1177">
        <v>0</v>
      </c>
      <c r="F1177">
        <v>95</v>
      </c>
      <c r="G1177">
        <v>0</v>
      </c>
      <c r="H1177">
        <v>95</v>
      </c>
      <c r="I1177">
        <v>1</v>
      </c>
    </row>
    <row r="1178" spans="1:9" x14ac:dyDescent="0.35">
      <c r="A1178" t="s">
        <v>2759</v>
      </c>
      <c r="B1178" t="s">
        <v>1414</v>
      </c>
      <c r="C1178">
        <v>12</v>
      </c>
      <c r="D1178">
        <v>0</v>
      </c>
      <c r="E1178">
        <v>0</v>
      </c>
      <c r="F1178">
        <v>0</v>
      </c>
      <c r="G1178">
        <v>0</v>
      </c>
      <c r="H1178">
        <v>12</v>
      </c>
      <c r="I1178">
        <v>1</v>
      </c>
    </row>
    <row r="1179" spans="1:9" x14ac:dyDescent="0.35">
      <c r="A1179" t="s">
        <v>3120</v>
      </c>
      <c r="B1179" t="s">
        <v>1285</v>
      </c>
      <c r="C1179">
        <v>198</v>
      </c>
      <c r="D1179">
        <v>38</v>
      </c>
      <c r="E1179">
        <v>0</v>
      </c>
      <c r="F1179">
        <v>0</v>
      </c>
      <c r="G1179">
        <v>0</v>
      </c>
      <c r="H1179">
        <v>236</v>
      </c>
      <c r="I1179">
        <v>6</v>
      </c>
    </row>
    <row r="1180" spans="1:9" x14ac:dyDescent="0.35">
      <c r="A1180" t="s">
        <v>3070</v>
      </c>
      <c r="B1180" t="s">
        <v>1415</v>
      </c>
      <c r="C1180">
        <v>5</v>
      </c>
      <c r="D1180">
        <v>0</v>
      </c>
      <c r="E1180">
        <v>0</v>
      </c>
      <c r="F1180">
        <v>192</v>
      </c>
      <c r="G1180">
        <v>0</v>
      </c>
      <c r="H1180">
        <v>197</v>
      </c>
      <c r="I1180">
        <v>3</v>
      </c>
    </row>
    <row r="1181" spans="1:9" x14ac:dyDescent="0.35">
      <c r="A1181" t="s">
        <v>2466</v>
      </c>
      <c r="B1181" t="s">
        <v>1416</v>
      </c>
      <c r="C1181">
        <v>19</v>
      </c>
      <c r="D1181">
        <v>0</v>
      </c>
      <c r="E1181">
        <v>0</v>
      </c>
      <c r="F1181">
        <v>0</v>
      </c>
      <c r="G1181">
        <v>0</v>
      </c>
      <c r="H1181">
        <v>19</v>
      </c>
      <c r="I1181">
        <v>1</v>
      </c>
    </row>
    <row r="1182" spans="1:9" x14ac:dyDescent="0.35">
      <c r="A1182" t="s">
        <v>3154</v>
      </c>
      <c r="B1182" t="s">
        <v>2070</v>
      </c>
      <c r="C1182">
        <v>0</v>
      </c>
      <c r="D1182">
        <v>0</v>
      </c>
      <c r="E1182">
        <v>19</v>
      </c>
      <c r="F1182">
        <v>0</v>
      </c>
      <c r="G1182">
        <v>0</v>
      </c>
      <c r="H1182">
        <v>19</v>
      </c>
      <c r="I1182">
        <v>2</v>
      </c>
    </row>
    <row r="1183" spans="1:9" x14ac:dyDescent="0.35">
      <c r="A1183" t="s">
        <v>3208</v>
      </c>
      <c r="B1183" t="s">
        <v>1686</v>
      </c>
      <c r="C1183">
        <v>0</v>
      </c>
      <c r="D1183">
        <v>0</v>
      </c>
      <c r="E1183">
        <v>0</v>
      </c>
      <c r="F1183">
        <v>0</v>
      </c>
      <c r="G1183">
        <v>0</v>
      </c>
      <c r="H1183">
        <v>0</v>
      </c>
      <c r="I1183">
        <v>0</v>
      </c>
    </row>
    <row r="1184" spans="1:9" x14ac:dyDescent="0.35">
      <c r="A1184" t="s">
        <v>14396</v>
      </c>
      <c r="B1184" t="s">
        <v>14397</v>
      </c>
      <c r="C1184">
        <v>0</v>
      </c>
      <c r="D1184">
        <v>0</v>
      </c>
      <c r="E1184">
        <v>0</v>
      </c>
      <c r="F1184">
        <v>0</v>
      </c>
      <c r="G1184">
        <v>0</v>
      </c>
      <c r="H1184">
        <v>0</v>
      </c>
      <c r="I1184">
        <v>0</v>
      </c>
    </row>
    <row r="1185" spans="1:9" x14ac:dyDescent="0.35">
      <c r="A1185" t="s">
        <v>3341</v>
      </c>
      <c r="B1185" t="s">
        <v>1286</v>
      </c>
      <c r="C1185">
        <v>5718</v>
      </c>
      <c r="D1185">
        <v>0</v>
      </c>
      <c r="E1185">
        <v>140</v>
      </c>
      <c r="F1185">
        <v>455</v>
      </c>
      <c r="G1185">
        <v>271</v>
      </c>
      <c r="H1185">
        <v>6584</v>
      </c>
      <c r="I1185">
        <v>7</v>
      </c>
    </row>
    <row r="1186" spans="1:9" x14ac:dyDescent="0.35">
      <c r="A1186" t="s">
        <v>3257</v>
      </c>
      <c r="B1186" t="s">
        <v>1417</v>
      </c>
      <c r="C1186">
        <v>953</v>
      </c>
      <c r="D1186">
        <v>3</v>
      </c>
      <c r="E1186">
        <v>226</v>
      </c>
      <c r="F1186">
        <v>228</v>
      </c>
      <c r="G1186">
        <v>17</v>
      </c>
      <c r="H1186">
        <v>1427</v>
      </c>
      <c r="I1186">
        <v>4</v>
      </c>
    </row>
    <row r="1187" spans="1:9" x14ac:dyDescent="0.35">
      <c r="A1187" t="s">
        <v>2291</v>
      </c>
      <c r="B1187" t="s">
        <v>1164</v>
      </c>
      <c r="C1187">
        <v>0</v>
      </c>
      <c r="D1187">
        <v>0</v>
      </c>
      <c r="E1187">
        <v>269</v>
      </c>
      <c r="F1187">
        <v>0</v>
      </c>
      <c r="G1187">
        <v>0</v>
      </c>
      <c r="H1187">
        <v>269</v>
      </c>
      <c r="I1187">
        <v>23</v>
      </c>
    </row>
    <row r="1188" spans="1:9" x14ac:dyDescent="0.35">
      <c r="A1188" t="s">
        <v>2548</v>
      </c>
      <c r="B1188" t="s">
        <v>1959</v>
      </c>
      <c r="C1188">
        <v>0</v>
      </c>
      <c r="D1188">
        <v>0</v>
      </c>
      <c r="E1188">
        <v>26</v>
      </c>
      <c r="F1188">
        <v>0</v>
      </c>
      <c r="G1188">
        <v>0</v>
      </c>
      <c r="H1188">
        <v>26</v>
      </c>
      <c r="I1188">
        <v>1</v>
      </c>
    </row>
    <row r="1189" spans="1:9" x14ac:dyDescent="0.35">
      <c r="A1189" t="s">
        <v>2501</v>
      </c>
      <c r="B1189" t="s">
        <v>1816</v>
      </c>
      <c r="C1189">
        <v>3</v>
      </c>
      <c r="D1189">
        <v>0</v>
      </c>
      <c r="E1189">
        <v>0</v>
      </c>
      <c r="F1189">
        <v>0</v>
      </c>
      <c r="G1189">
        <v>0</v>
      </c>
      <c r="H1189">
        <v>3</v>
      </c>
      <c r="I1189">
        <v>1</v>
      </c>
    </row>
    <row r="1190" spans="1:9" x14ac:dyDescent="0.35">
      <c r="A1190" t="s">
        <v>2965</v>
      </c>
      <c r="B1190" t="s">
        <v>11412</v>
      </c>
      <c r="C1190">
        <v>0</v>
      </c>
      <c r="D1190">
        <v>0</v>
      </c>
      <c r="E1190">
        <v>0</v>
      </c>
      <c r="F1190">
        <v>191</v>
      </c>
      <c r="G1190">
        <v>0</v>
      </c>
      <c r="H1190">
        <v>191</v>
      </c>
      <c r="I1190">
        <v>3</v>
      </c>
    </row>
    <row r="1191" spans="1:9" x14ac:dyDescent="0.35">
      <c r="A1191" t="s">
        <v>3292</v>
      </c>
      <c r="B1191" t="s">
        <v>11429</v>
      </c>
      <c r="C1191">
        <v>0</v>
      </c>
      <c r="D1191">
        <v>0</v>
      </c>
      <c r="E1191">
        <v>152</v>
      </c>
      <c r="F1191">
        <v>95</v>
      </c>
      <c r="G1191">
        <v>0</v>
      </c>
      <c r="H1191">
        <v>247</v>
      </c>
      <c r="I1191">
        <v>1</v>
      </c>
    </row>
    <row r="1192" spans="1:9" x14ac:dyDescent="0.35">
      <c r="A1192" t="s">
        <v>2309</v>
      </c>
      <c r="B1192" t="s">
        <v>1173</v>
      </c>
      <c r="C1192">
        <v>11570</v>
      </c>
      <c r="D1192">
        <v>0</v>
      </c>
      <c r="E1192">
        <v>657</v>
      </c>
      <c r="F1192">
        <v>3600</v>
      </c>
      <c r="G1192">
        <v>1967</v>
      </c>
      <c r="H1192">
        <v>17794</v>
      </c>
      <c r="I1192">
        <v>40</v>
      </c>
    </row>
    <row r="1193" spans="1:9" x14ac:dyDescent="0.35">
      <c r="A1193" t="s">
        <v>2608</v>
      </c>
      <c r="B1193" t="s">
        <v>2145</v>
      </c>
      <c r="C1193">
        <v>0</v>
      </c>
      <c r="D1193">
        <v>0</v>
      </c>
      <c r="E1193">
        <v>0</v>
      </c>
      <c r="F1193">
        <v>4</v>
      </c>
      <c r="G1193">
        <v>0</v>
      </c>
      <c r="H1193">
        <v>4</v>
      </c>
      <c r="I1193">
        <v>1</v>
      </c>
    </row>
    <row r="1194" spans="1:9" x14ac:dyDescent="0.35">
      <c r="A1194" t="s">
        <v>2571</v>
      </c>
      <c r="B1194" t="s">
        <v>1976</v>
      </c>
      <c r="C1194">
        <v>0</v>
      </c>
      <c r="D1194">
        <v>0</v>
      </c>
      <c r="E1194">
        <v>0</v>
      </c>
      <c r="F1194">
        <v>3</v>
      </c>
      <c r="G1194">
        <v>0</v>
      </c>
      <c r="H1194">
        <v>3</v>
      </c>
      <c r="I1194">
        <v>1</v>
      </c>
    </row>
    <row r="1195" spans="1:9" x14ac:dyDescent="0.35">
      <c r="A1195" t="s">
        <v>2230</v>
      </c>
      <c r="B1195" t="s">
        <v>1102</v>
      </c>
      <c r="C1195">
        <v>0</v>
      </c>
      <c r="D1195">
        <v>0</v>
      </c>
      <c r="E1195">
        <v>432</v>
      </c>
      <c r="F1195">
        <v>0</v>
      </c>
      <c r="G1195">
        <v>0</v>
      </c>
      <c r="H1195">
        <v>432</v>
      </c>
      <c r="I1195">
        <v>58</v>
      </c>
    </row>
    <row r="1196" spans="1:9" x14ac:dyDescent="0.35">
      <c r="A1196" t="s">
        <v>3152</v>
      </c>
      <c r="B1196" t="s">
        <v>2078</v>
      </c>
      <c r="C1196">
        <v>1366</v>
      </c>
      <c r="D1196">
        <v>0</v>
      </c>
      <c r="E1196">
        <v>20</v>
      </c>
      <c r="F1196">
        <v>0</v>
      </c>
      <c r="G1196">
        <v>3</v>
      </c>
      <c r="H1196">
        <v>1389</v>
      </c>
      <c r="I1196">
        <v>3</v>
      </c>
    </row>
    <row r="1197" spans="1:9" x14ac:dyDescent="0.35">
      <c r="A1197" t="s">
        <v>2317</v>
      </c>
      <c r="B1197" t="s">
        <v>1174</v>
      </c>
      <c r="C1197">
        <v>0</v>
      </c>
      <c r="D1197">
        <v>0</v>
      </c>
      <c r="E1197">
        <v>583</v>
      </c>
      <c r="F1197">
        <v>0</v>
      </c>
      <c r="G1197">
        <v>0</v>
      </c>
      <c r="H1197">
        <v>583</v>
      </c>
      <c r="I1197">
        <v>39</v>
      </c>
    </row>
    <row r="1198" spans="1:9" x14ac:dyDescent="0.35">
      <c r="A1198" t="s">
        <v>3141</v>
      </c>
      <c r="B1198" t="s">
        <v>1175</v>
      </c>
      <c r="C1198">
        <v>837</v>
      </c>
      <c r="D1198">
        <v>0</v>
      </c>
      <c r="E1198">
        <v>0</v>
      </c>
      <c r="F1198">
        <v>0</v>
      </c>
      <c r="G1198">
        <v>378</v>
      </c>
      <c r="H1198">
        <v>1215</v>
      </c>
      <c r="I1198">
        <v>42</v>
      </c>
    </row>
    <row r="1199" spans="1:9" x14ac:dyDescent="0.35">
      <c r="A1199" t="s">
        <v>3255</v>
      </c>
      <c r="B1199" t="s">
        <v>1830</v>
      </c>
      <c r="C1199">
        <v>142</v>
      </c>
      <c r="D1199">
        <v>0</v>
      </c>
      <c r="E1199">
        <v>79</v>
      </c>
      <c r="F1199">
        <v>0</v>
      </c>
      <c r="G1199">
        <v>0</v>
      </c>
      <c r="H1199">
        <v>221</v>
      </c>
      <c r="I1199">
        <v>1</v>
      </c>
    </row>
    <row r="1200" spans="1:9" x14ac:dyDescent="0.35">
      <c r="A1200" t="s">
        <v>2955</v>
      </c>
      <c r="B1200" t="s">
        <v>1831</v>
      </c>
      <c r="C1200">
        <v>0</v>
      </c>
      <c r="D1200">
        <v>0</v>
      </c>
      <c r="E1200">
        <v>0</v>
      </c>
      <c r="F1200">
        <v>91</v>
      </c>
      <c r="G1200">
        <v>0</v>
      </c>
      <c r="H1200">
        <v>91</v>
      </c>
      <c r="I1200">
        <v>1</v>
      </c>
    </row>
    <row r="1201" spans="1:9" x14ac:dyDescent="0.35">
      <c r="A1201" t="s">
        <v>3114</v>
      </c>
      <c r="B1201" t="s">
        <v>1294</v>
      </c>
      <c r="C1201">
        <v>3521</v>
      </c>
      <c r="D1201">
        <v>0</v>
      </c>
      <c r="E1201">
        <v>97</v>
      </c>
      <c r="F1201">
        <v>78</v>
      </c>
      <c r="G1201">
        <v>580</v>
      </c>
      <c r="H1201">
        <v>4276</v>
      </c>
      <c r="I1201">
        <v>19</v>
      </c>
    </row>
    <row r="1202" spans="1:9" x14ac:dyDescent="0.35">
      <c r="A1202" t="s">
        <v>2711</v>
      </c>
      <c r="B1202" t="s">
        <v>1436</v>
      </c>
      <c r="C1202">
        <v>62</v>
      </c>
      <c r="D1202">
        <v>0</v>
      </c>
      <c r="E1202">
        <v>0</v>
      </c>
      <c r="F1202">
        <v>0</v>
      </c>
      <c r="G1202">
        <v>0</v>
      </c>
      <c r="H1202">
        <v>62</v>
      </c>
      <c r="I1202">
        <v>1</v>
      </c>
    </row>
    <row r="1203" spans="1:9" x14ac:dyDescent="0.35">
      <c r="A1203" t="s">
        <v>2945</v>
      </c>
      <c r="B1203" t="s">
        <v>1437</v>
      </c>
      <c r="C1203">
        <v>0</v>
      </c>
      <c r="D1203">
        <v>0</v>
      </c>
      <c r="E1203">
        <v>435</v>
      </c>
      <c r="F1203">
        <v>0</v>
      </c>
      <c r="G1203">
        <v>0</v>
      </c>
      <c r="H1203">
        <v>435</v>
      </c>
      <c r="I1203">
        <v>3</v>
      </c>
    </row>
    <row r="1204" spans="1:9" x14ac:dyDescent="0.35">
      <c r="A1204" t="s">
        <v>14398</v>
      </c>
      <c r="B1204" t="s">
        <v>14399</v>
      </c>
      <c r="C1204">
        <v>0</v>
      </c>
      <c r="D1204">
        <v>0</v>
      </c>
      <c r="E1204">
        <v>0</v>
      </c>
      <c r="F1204">
        <v>0</v>
      </c>
      <c r="G1204">
        <v>0</v>
      </c>
      <c r="H1204">
        <v>0</v>
      </c>
      <c r="I1204">
        <v>0</v>
      </c>
    </row>
    <row r="1205" spans="1:9" x14ac:dyDescent="0.35">
      <c r="A1205" t="s">
        <v>3096</v>
      </c>
      <c r="B1205" t="s">
        <v>1208</v>
      </c>
      <c r="C1205">
        <v>4492</v>
      </c>
      <c r="D1205">
        <v>2</v>
      </c>
      <c r="E1205">
        <v>368</v>
      </c>
      <c r="F1205">
        <v>179</v>
      </c>
      <c r="G1205">
        <v>458</v>
      </c>
      <c r="H1205">
        <v>5499</v>
      </c>
      <c r="I1205">
        <v>30</v>
      </c>
    </row>
    <row r="1206" spans="1:9" x14ac:dyDescent="0.35">
      <c r="A1206" t="s">
        <v>3042</v>
      </c>
      <c r="B1206" t="s">
        <v>1116</v>
      </c>
      <c r="C1206">
        <v>0</v>
      </c>
      <c r="D1206">
        <v>0</v>
      </c>
      <c r="E1206">
        <v>0</v>
      </c>
      <c r="F1206">
        <v>102</v>
      </c>
      <c r="G1206">
        <v>0</v>
      </c>
      <c r="H1206">
        <v>102</v>
      </c>
      <c r="I1206">
        <v>1</v>
      </c>
    </row>
    <row r="1207" spans="1:9" x14ac:dyDescent="0.35">
      <c r="A1207" t="s">
        <v>2777</v>
      </c>
      <c r="B1207" t="s">
        <v>1502</v>
      </c>
      <c r="C1207">
        <v>56</v>
      </c>
      <c r="D1207">
        <v>0</v>
      </c>
      <c r="E1207">
        <v>0</v>
      </c>
      <c r="F1207">
        <v>0</v>
      </c>
      <c r="G1207">
        <v>0</v>
      </c>
      <c r="H1207">
        <v>56</v>
      </c>
      <c r="I1207">
        <v>1</v>
      </c>
    </row>
    <row r="1208" spans="1:9" x14ac:dyDescent="0.35">
      <c r="A1208" t="s">
        <v>2566</v>
      </c>
      <c r="B1208" t="s">
        <v>1995</v>
      </c>
      <c r="C1208">
        <v>0</v>
      </c>
      <c r="D1208">
        <v>0</v>
      </c>
      <c r="E1208">
        <v>0</v>
      </c>
      <c r="F1208">
        <v>43</v>
      </c>
      <c r="G1208">
        <v>0</v>
      </c>
      <c r="H1208">
        <v>43</v>
      </c>
      <c r="I1208">
        <v>1</v>
      </c>
    </row>
    <row r="1209" spans="1:9" x14ac:dyDescent="0.35">
      <c r="A1209" t="s">
        <v>2461</v>
      </c>
      <c r="B1209" t="s">
        <v>1996</v>
      </c>
      <c r="C1209">
        <v>0</v>
      </c>
      <c r="D1209">
        <v>0</v>
      </c>
      <c r="E1209">
        <v>0</v>
      </c>
      <c r="F1209">
        <v>16</v>
      </c>
      <c r="G1209">
        <v>0</v>
      </c>
      <c r="H1209">
        <v>16</v>
      </c>
      <c r="I1209">
        <v>1</v>
      </c>
    </row>
    <row r="1210" spans="1:9" x14ac:dyDescent="0.35">
      <c r="A1210" t="s">
        <v>2313</v>
      </c>
      <c r="B1210" t="s">
        <v>1209</v>
      </c>
      <c r="C1210">
        <v>0</v>
      </c>
      <c r="D1210">
        <v>0</v>
      </c>
      <c r="E1210">
        <v>1790</v>
      </c>
      <c r="F1210">
        <v>0</v>
      </c>
      <c r="G1210">
        <v>0</v>
      </c>
      <c r="H1210">
        <v>1790</v>
      </c>
      <c r="I1210">
        <v>64</v>
      </c>
    </row>
    <row r="1211" spans="1:9" x14ac:dyDescent="0.35">
      <c r="A1211" t="s">
        <v>2315</v>
      </c>
      <c r="B1211" t="s">
        <v>1210</v>
      </c>
      <c r="C1211">
        <v>0</v>
      </c>
      <c r="D1211">
        <v>0</v>
      </c>
      <c r="E1211">
        <v>333</v>
      </c>
      <c r="F1211">
        <v>0</v>
      </c>
      <c r="G1211">
        <v>0</v>
      </c>
      <c r="H1211">
        <v>333</v>
      </c>
      <c r="I1211">
        <v>21</v>
      </c>
    </row>
    <row r="1212" spans="1:9" x14ac:dyDescent="0.35">
      <c r="A1212" t="s">
        <v>2273</v>
      </c>
      <c r="B1212" t="s">
        <v>14400</v>
      </c>
      <c r="C1212">
        <v>5</v>
      </c>
      <c r="D1212">
        <v>0</v>
      </c>
      <c r="E1212">
        <v>121</v>
      </c>
      <c r="F1212">
        <v>0</v>
      </c>
      <c r="G1212">
        <v>0</v>
      </c>
      <c r="H1212">
        <v>126</v>
      </c>
      <c r="I1212">
        <v>17</v>
      </c>
    </row>
    <row r="1213" spans="1:9" x14ac:dyDescent="0.35">
      <c r="A1213" t="s">
        <v>14401</v>
      </c>
      <c r="B1213" t="s">
        <v>14402</v>
      </c>
      <c r="C1213">
        <v>0</v>
      </c>
      <c r="D1213">
        <v>0</v>
      </c>
      <c r="E1213">
        <v>0</v>
      </c>
      <c r="F1213">
        <v>0</v>
      </c>
      <c r="G1213">
        <v>0</v>
      </c>
      <c r="H1213">
        <v>0</v>
      </c>
      <c r="I1213">
        <v>0</v>
      </c>
    </row>
    <row r="1214" spans="1:9" x14ac:dyDescent="0.35">
      <c r="A1214" t="s">
        <v>3131</v>
      </c>
      <c r="B1214" t="s">
        <v>2090</v>
      </c>
      <c r="C1214">
        <v>898</v>
      </c>
      <c r="D1214">
        <v>0</v>
      </c>
      <c r="E1214">
        <v>35</v>
      </c>
      <c r="F1214">
        <v>270</v>
      </c>
      <c r="G1214">
        <v>4</v>
      </c>
      <c r="H1214">
        <v>1207</v>
      </c>
      <c r="I1214">
        <v>6</v>
      </c>
    </row>
    <row r="1215" spans="1:9" x14ac:dyDescent="0.35">
      <c r="A1215" t="s">
        <v>2351</v>
      </c>
      <c r="B1215" t="s">
        <v>1315</v>
      </c>
      <c r="C1215">
        <v>13142</v>
      </c>
      <c r="D1215">
        <v>306</v>
      </c>
      <c r="E1215">
        <v>526</v>
      </c>
      <c r="F1215">
        <v>1438</v>
      </c>
      <c r="G1215">
        <v>2153</v>
      </c>
      <c r="H1215">
        <v>17565</v>
      </c>
      <c r="I1215">
        <v>36</v>
      </c>
    </row>
    <row r="1216" spans="1:9" x14ac:dyDescent="0.35">
      <c r="A1216" t="s">
        <v>3123</v>
      </c>
      <c r="B1216" t="s">
        <v>1118</v>
      </c>
      <c r="C1216">
        <v>47</v>
      </c>
      <c r="D1216">
        <v>0</v>
      </c>
      <c r="E1216">
        <v>0</v>
      </c>
      <c r="F1216">
        <v>0</v>
      </c>
      <c r="G1216">
        <v>0</v>
      </c>
      <c r="H1216">
        <v>47</v>
      </c>
      <c r="I1216">
        <v>1</v>
      </c>
    </row>
    <row r="1217" spans="1:9" x14ac:dyDescent="0.35">
      <c r="A1217" t="s">
        <v>2231</v>
      </c>
      <c r="B1217" t="s">
        <v>1503</v>
      </c>
      <c r="C1217">
        <v>0</v>
      </c>
      <c r="D1217">
        <v>0</v>
      </c>
      <c r="E1217">
        <v>213</v>
      </c>
      <c r="F1217">
        <v>0</v>
      </c>
      <c r="G1217">
        <v>0</v>
      </c>
      <c r="H1217">
        <v>213</v>
      </c>
      <c r="I1217">
        <v>23</v>
      </c>
    </row>
    <row r="1218" spans="1:9" x14ac:dyDescent="0.35">
      <c r="A1218" t="s">
        <v>2771</v>
      </c>
      <c r="B1218" t="s">
        <v>1740</v>
      </c>
      <c r="C1218">
        <v>85</v>
      </c>
      <c r="D1218">
        <v>0</v>
      </c>
      <c r="E1218">
        <v>0</v>
      </c>
      <c r="F1218">
        <v>0</v>
      </c>
      <c r="G1218">
        <v>0</v>
      </c>
      <c r="H1218">
        <v>85</v>
      </c>
      <c r="I1218">
        <v>1</v>
      </c>
    </row>
    <row r="1219" spans="1:9" x14ac:dyDescent="0.35">
      <c r="A1219" t="s">
        <v>2776</v>
      </c>
      <c r="B1219" t="s">
        <v>1643</v>
      </c>
      <c r="C1219">
        <v>8</v>
      </c>
      <c r="D1219">
        <v>0</v>
      </c>
      <c r="E1219">
        <v>0</v>
      </c>
      <c r="F1219">
        <v>0</v>
      </c>
      <c r="G1219">
        <v>0</v>
      </c>
      <c r="H1219">
        <v>8</v>
      </c>
      <c r="I1219">
        <v>1</v>
      </c>
    </row>
    <row r="1220" spans="1:9" x14ac:dyDescent="0.35">
      <c r="A1220" t="s">
        <v>2858</v>
      </c>
      <c r="B1220" t="s">
        <v>2091</v>
      </c>
      <c r="C1220">
        <v>52</v>
      </c>
      <c r="D1220">
        <v>0</v>
      </c>
      <c r="E1220">
        <v>4</v>
      </c>
      <c r="F1220">
        <v>50</v>
      </c>
      <c r="G1220">
        <v>0</v>
      </c>
      <c r="H1220">
        <v>106</v>
      </c>
      <c r="I1220">
        <v>2</v>
      </c>
    </row>
    <row r="1221" spans="1:9" x14ac:dyDescent="0.35">
      <c r="A1221" t="s">
        <v>2680</v>
      </c>
      <c r="B1221" t="s">
        <v>1504</v>
      </c>
      <c r="C1221">
        <v>82</v>
      </c>
      <c r="D1221">
        <v>0</v>
      </c>
      <c r="E1221">
        <v>0</v>
      </c>
      <c r="F1221">
        <v>0</v>
      </c>
      <c r="G1221">
        <v>0</v>
      </c>
      <c r="H1221">
        <v>82</v>
      </c>
      <c r="I1221">
        <v>2</v>
      </c>
    </row>
    <row r="1222" spans="1:9" x14ac:dyDescent="0.35">
      <c r="A1222" t="s">
        <v>2752</v>
      </c>
      <c r="B1222" t="s">
        <v>1505</v>
      </c>
      <c r="C1222">
        <v>0</v>
      </c>
      <c r="D1222">
        <v>0</v>
      </c>
      <c r="E1222">
        <v>0</v>
      </c>
      <c r="F1222">
        <v>27</v>
      </c>
      <c r="G1222">
        <v>0</v>
      </c>
      <c r="H1222">
        <v>27</v>
      </c>
      <c r="I1222">
        <v>1</v>
      </c>
    </row>
    <row r="1223" spans="1:9" x14ac:dyDescent="0.35">
      <c r="A1223" t="s">
        <v>2297</v>
      </c>
      <c r="B1223" t="s">
        <v>1644</v>
      </c>
      <c r="C1223">
        <v>12</v>
      </c>
      <c r="D1223">
        <v>0</v>
      </c>
      <c r="E1223">
        <v>65</v>
      </c>
      <c r="F1223">
        <v>46</v>
      </c>
      <c r="G1223">
        <v>0</v>
      </c>
      <c r="H1223">
        <v>123</v>
      </c>
      <c r="I1223">
        <v>4</v>
      </c>
    </row>
    <row r="1224" spans="1:9" x14ac:dyDescent="0.35">
      <c r="A1224" t="s">
        <v>3318</v>
      </c>
      <c r="B1224" t="s">
        <v>1506</v>
      </c>
      <c r="C1224">
        <v>443</v>
      </c>
      <c r="D1224">
        <v>0</v>
      </c>
      <c r="E1224">
        <v>0</v>
      </c>
      <c r="F1224">
        <v>53</v>
      </c>
      <c r="G1224">
        <v>0</v>
      </c>
      <c r="H1224">
        <v>496</v>
      </c>
      <c r="I1224">
        <v>5</v>
      </c>
    </row>
    <row r="1225" spans="1:9" x14ac:dyDescent="0.35">
      <c r="A1225" t="s">
        <v>3022</v>
      </c>
      <c r="B1225" t="s">
        <v>1211</v>
      </c>
      <c r="C1225">
        <v>0</v>
      </c>
      <c r="D1225">
        <v>0</v>
      </c>
      <c r="E1225">
        <v>0</v>
      </c>
      <c r="F1225">
        <v>28</v>
      </c>
      <c r="G1225">
        <v>0</v>
      </c>
      <c r="H1225">
        <v>28</v>
      </c>
      <c r="I1225">
        <v>1</v>
      </c>
    </row>
    <row r="1226" spans="1:9" x14ac:dyDescent="0.35">
      <c r="A1226" t="s">
        <v>2713</v>
      </c>
      <c r="B1226" t="s">
        <v>1741</v>
      </c>
      <c r="C1226">
        <v>90</v>
      </c>
      <c r="D1226">
        <v>0</v>
      </c>
      <c r="E1226">
        <v>0</v>
      </c>
      <c r="F1226">
        <v>0</v>
      </c>
      <c r="G1226">
        <v>0</v>
      </c>
      <c r="H1226">
        <v>90</v>
      </c>
      <c r="I1226">
        <v>1</v>
      </c>
    </row>
    <row r="1227" spans="1:9" x14ac:dyDescent="0.35">
      <c r="A1227" t="s">
        <v>2949</v>
      </c>
      <c r="B1227" t="s">
        <v>1316</v>
      </c>
      <c r="C1227">
        <v>5124</v>
      </c>
      <c r="D1227">
        <v>268</v>
      </c>
      <c r="E1227">
        <v>394</v>
      </c>
      <c r="F1227">
        <v>193</v>
      </c>
      <c r="G1227">
        <v>1262</v>
      </c>
      <c r="H1227">
        <v>7241</v>
      </c>
      <c r="I1227">
        <v>10</v>
      </c>
    </row>
    <row r="1228" spans="1:9" x14ac:dyDescent="0.35">
      <c r="A1228" t="s">
        <v>11456</v>
      </c>
      <c r="B1228" t="s">
        <v>11431</v>
      </c>
      <c r="C1228">
        <v>0</v>
      </c>
      <c r="D1228">
        <v>0</v>
      </c>
      <c r="E1228">
        <v>0</v>
      </c>
      <c r="F1228">
        <v>28</v>
      </c>
      <c r="G1228">
        <v>0</v>
      </c>
      <c r="H1228">
        <v>28</v>
      </c>
      <c r="I1228">
        <v>1</v>
      </c>
    </row>
    <row r="1229" spans="1:9" x14ac:dyDescent="0.35">
      <c r="A1229" t="s">
        <v>2712</v>
      </c>
      <c r="B1229" t="s">
        <v>1507</v>
      </c>
      <c r="C1229">
        <v>106</v>
      </c>
      <c r="D1229">
        <v>0</v>
      </c>
      <c r="E1229">
        <v>0</v>
      </c>
      <c r="F1229">
        <v>0</v>
      </c>
      <c r="G1229">
        <v>0</v>
      </c>
      <c r="H1229">
        <v>106</v>
      </c>
      <c r="I1229">
        <v>1</v>
      </c>
    </row>
    <row r="1230" spans="1:9" x14ac:dyDescent="0.35">
      <c r="A1230" t="s">
        <v>3340</v>
      </c>
      <c r="B1230" t="s">
        <v>1997</v>
      </c>
      <c r="C1230">
        <v>2710</v>
      </c>
      <c r="D1230">
        <v>0</v>
      </c>
      <c r="E1230">
        <v>0</v>
      </c>
      <c r="F1230">
        <v>541</v>
      </c>
      <c r="G1230">
        <v>75</v>
      </c>
      <c r="H1230">
        <v>3326</v>
      </c>
      <c r="I1230">
        <v>2</v>
      </c>
    </row>
    <row r="1231" spans="1:9" x14ac:dyDescent="0.35">
      <c r="A1231" t="s">
        <v>2880</v>
      </c>
      <c r="B1231" t="s">
        <v>14403</v>
      </c>
      <c r="C1231">
        <v>17</v>
      </c>
      <c r="D1231">
        <v>125</v>
      </c>
      <c r="E1231">
        <v>84</v>
      </c>
      <c r="F1231">
        <v>0</v>
      </c>
      <c r="G1231">
        <v>0</v>
      </c>
      <c r="H1231">
        <v>226</v>
      </c>
      <c r="I1231">
        <v>1</v>
      </c>
    </row>
    <row r="1232" spans="1:9" x14ac:dyDescent="0.35">
      <c r="A1232" t="s">
        <v>3307</v>
      </c>
      <c r="B1232" t="s">
        <v>1508</v>
      </c>
      <c r="C1232">
        <v>970</v>
      </c>
      <c r="D1232">
        <v>0</v>
      </c>
      <c r="E1232">
        <v>0</v>
      </c>
      <c r="F1232">
        <v>0</v>
      </c>
      <c r="G1232">
        <v>48</v>
      </c>
      <c r="H1232">
        <v>1018</v>
      </c>
      <c r="I1232">
        <v>5</v>
      </c>
    </row>
    <row r="1233" spans="1:9" x14ac:dyDescent="0.35">
      <c r="A1233" t="s">
        <v>3239</v>
      </c>
      <c r="B1233" t="s">
        <v>1645</v>
      </c>
      <c r="C1233">
        <v>3137</v>
      </c>
      <c r="D1233">
        <v>0</v>
      </c>
      <c r="E1233">
        <v>403</v>
      </c>
      <c r="F1233">
        <v>193</v>
      </c>
      <c r="G1233">
        <v>28</v>
      </c>
      <c r="H1233">
        <v>3761</v>
      </c>
      <c r="I1233">
        <v>11</v>
      </c>
    </row>
    <row r="1234" spans="1:9" x14ac:dyDescent="0.35">
      <c r="A1234" t="s">
        <v>3139</v>
      </c>
      <c r="B1234" t="s">
        <v>1212</v>
      </c>
      <c r="C1234">
        <v>336</v>
      </c>
      <c r="D1234">
        <v>0</v>
      </c>
      <c r="E1234">
        <v>0</v>
      </c>
      <c r="F1234">
        <v>0</v>
      </c>
      <c r="G1234">
        <v>0</v>
      </c>
      <c r="H1234">
        <v>336</v>
      </c>
      <c r="I1234">
        <v>2</v>
      </c>
    </row>
    <row r="1235" spans="1:9" x14ac:dyDescent="0.35">
      <c r="A1235" t="s">
        <v>2521</v>
      </c>
      <c r="B1235" t="s">
        <v>1868</v>
      </c>
      <c r="C1235">
        <v>0</v>
      </c>
      <c r="D1235">
        <v>0</v>
      </c>
      <c r="E1235">
        <v>0</v>
      </c>
      <c r="F1235">
        <v>7</v>
      </c>
      <c r="G1235">
        <v>0</v>
      </c>
      <c r="H1235">
        <v>7</v>
      </c>
      <c r="I1235">
        <v>1</v>
      </c>
    </row>
    <row r="1236" spans="1:9" x14ac:dyDescent="0.35">
      <c r="A1236" t="s">
        <v>2237</v>
      </c>
      <c r="B1236" t="s">
        <v>1213</v>
      </c>
      <c r="C1236">
        <v>0</v>
      </c>
      <c r="D1236">
        <v>0</v>
      </c>
      <c r="E1236">
        <v>20</v>
      </c>
      <c r="F1236">
        <v>0</v>
      </c>
      <c r="G1236">
        <v>0</v>
      </c>
      <c r="H1236">
        <v>20</v>
      </c>
      <c r="I1236">
        <v>2</v>
      </c>
    </row>
    <row r="1237" spans="1:9" x14ac:dyDescent="0.35">
      <c r="A1237" t="s">
        <v>2444</v>
      </c>
      <c r="B1237" t="s">
        <v>1317</v>
      </c>
      <c r="C1237">
        <v>0</v>
      </c>
      <c r="D1237">
        <v>0</v>
      </c>
      <c r="E1237">
        <v>12</v>
      </c>
      <c r="F1237">
        <v>57</v>
      </c>
      <c r="G1237">
        <v>0</v>
      </c>
      <c r="H1237">
        <v>69</v>
      </c>
      <c r="I1237">
        <v>1</v>
      </c>
    </row>
    <row r="1238" spans="1:9" x14ac:dyDescent="0.35">
      <c r="A1238" t="s">
        <v>3052</v>
      </c>
      <c r="B1238" t="s">
        <v>1318</v>
      </c>
      <c r="C1238">
        <v>12</v>
      </c>
      <c r="D1238">
        <v>0</v>
      </c>
      <c r="E1238">
        <v>0</v>
      </c>
      <c r="F1238">
        <v>279</v>
      </c>
      <c r="G1238">
        <v>0</v>
      </c>
      <c r="H1238">
        <v>291</v>
      </c>
      <c r="I1238">
        <v>1</v>
      </c>
    </row>
    <row r="1239" spans="1:9" x14ac:dyDescent="0.35">
      <c r="A1239" t="s">
        <v>2763</v>
      </c>
      <c r="B1239" t="s">
        <v>1509</v>
      </c>
      <c r="C1239">
        <v>17</v>
      </c>
      <c r="D1239">
        <v>0</v>
      </c>
      <c r="E1239">
        <v>0</v>
      </c>
      <c r="F1239">
        <v>0</v>
      </c>
      <c r="G1239">
        <v>0</v>
      </c>
      <c r="H1239">
        <v>17</v>
      </c>
      <c r="I1239">
        <v>1</v>
      </c>
    </row>
    <row r="1240" spans="1:9" x14ac:dyDescent="0.35">
      <c r="A1240" t="s">
        <v>2397</v>
      </c>
      <c r="B1240" t="s">
        <v>1319</v>
      </c>
      <c r="C1240">
        <v>36018</v>
      </c>
      <c r="D1240">
        <v>1337</v>
      </c>
      <c r="E1240">
        <v>2791</v>
      </c>
      <c r="F1240">
        <v>1991</v>
      </c>
      <c r="G1240">
        <v>3656</v>
      </c>
      <c r="H1240">
        <v>45793</v>
      </c>
      <c r="I1240">
        <v>55</v>
      </c>
    </row>
    <row r="1241" spans="1:9" x14ac:dyDescent="0.35">
      <c r="A1241" t="s">
        <v>3362</v>
      </c>
      <c r="B1241" t="s">
        <v>1120</v>
      </c>
      <c r="C1241">
        <v>55</v>
      </c>
      <c r="D1241">
        <v>0</v>
      </c>
      <c r="E1241">
        <v>0</v>
      </c>
      <c r="F1241">
        <v>0</v>
      </c>
      <c r="G1241">
        <v>5763</v>
      </c>
      <c r="H1241">
        <v>5818</v>
      </c>
      <c r="I1241">
        <v>70</v>
      </c>
    </row>
    <row r="1242" spans="1:9" x14ac:dyDescent="0.35">
      <c r="A1242" t="s">
        <v>2381</v>
      </c>
      <c r="B1242" t="s">
        <v>1214</v>
      </c>
      <c r="C1242">
        <v>31</v>
      </c>
      <c r="D1242">
        <v>0</v>
      </c>
      <c r="E1242">
        <v>19</v>
      </c>
      <c r="F1242">
        <v>0</v>
      </c>
      <c r="G1242">
        <v>0</v>
      </c>
      <c r="H1242">
        <v>50</v>
      </c>
      <c r="I1242">
        <v>1</v>
      </c>
    </row>
    <row r="1243" spans="1:9" x14ac:dyDescent="0.35">
      <c r="A1243" t="s">
        <v>2345</v>
      </c>
      <c r="B1243" t="s">
        <v>1215</v>
      </c>
      <c r="C1243">
        <v>7636</v>
      </c>
      <c r="D1243">
        <v>0</v>
      </c>
      <c r="E1243">
        <v>667</v>
      </c>
      <c r="F1243">
        <v>350</v>
      </c>
      <c r="G1243">
        <v>1190</v>
      </c>
      <c r="H1243">
        <v>9843</v>
      </c>
      <c r="I1243">
        <v>31</v>
      </c>
    </row>
    <row r="1244" spans="1:9" x14ac:dyDescent="0.35">
      <c r="A1244" t="s">
        <v>3200</v>
      </c>
      <c r="B1244" t="s">
        <v>1998</v>
      </c>
      <c r="C1244">
        <v>6335</v>
      </c>
      <c r="D1244">
        <v>0</v>
      </c>
      <c r="E1244">
        <v>87</v>
      </c>
      <c r="F1244">
        <v>0</v>
      </c>
      <c r="G1244">
        <v>170</v>
      </c>
      <c r="H1244">
        <v>6592</v>
      </c>
      <c r="I1244">
        <v>4</v>
      </c>
    </row>
    <row r="1245" spans="1:9" x14ac:dyDescent="0.35">
      <c r="A1245" t="s">
        <v>2268</v>
      </c>
      <c r="B1245" t="s">
        <v>1320</v>
      </c>
      <c r="C1245">
        <v>343</v>
      </c>
      <c r="D1245">
        <v>0</v>
      </c>
      <c r="E1245">
        <v>0</v>
      </c>
      <c r="F1245">
        <v>21</v>
      </c>
      <c r="G1245">
        <v>0</v>
      </c>
      <c r="H1245">
        <v>364</v>
      </c>
      <c r="I1245">
        <v>21</v>
      </c>
    </row>
    <row r="1246" spans="1:9" x14ac:dyDescent="0.35">
      <c r="A1246" t="s">
        <v>2821</v>
      </c>
      <c r="B1246" t="s">
        <v>1869</v>
      </c>
      <c r="C1246">
        <v>25</v>
      </c>
      <c r="D1246">
        <v>0</v>
      </c>
      <c r="E1246">
        <v>0</v>
      </c>
      <c r="F1246">
        <v>0</v>
      </c>
      <c r="G1246">
        <v>0</v>
      </c>
      <c r="H1246">
        <v>25</v>
      </c>
      <c r="I1246">
        <v>1</v>
      </c>
    </row>
    <row r="1247" spans="1:9" x14ac:dyDescent="0.35">
      <c r="A1247" t="s">
        <v>2817</v>
      </c>
      <c r="B1247" t="s">
        <v>1870</v>
      </c>
      <c r="C1247">
        <v>36</v>
      </c>
      <c r="D1247">
        <v>0</v>
      </c>
      <c r="E1247">
        <v>0</v>
      </c>
      <c r="F1247">
        <v>0</v>
      </c>
      <c r="G1247">
        <v>0</v>
      </c>
      <c r="H1247">
        <v>36</v>
      </c>
      <c r="I1247">
        <v>1</v>
      </c>
    </row>
    <row r="1248" spans="1:9" x14ac:dyDescent="0.35">
      <c r="A1248" t="s">
        <v>14404</v>
      </c>
      <c r="B1248" t="s">
        <v>14405</v>
      </c>
      <c r="C1248">
        <v>0</v>
      </c>
      <c r="D1248">
        <v>0</v>
      </c>
      <c r="E1248">
        <v>0</v>
      </c>
      <c r="F1248">
        <v>0</v>
      </c>
      <c r="G1248">
        <v>0</v>
      </c>
      <c r="H1248">
        <v>0</v>
      </c>
      <c r="I1248">
        <v>0</v>
      </c>
    </row>
    <row r="1249" spans="1:9" x14ac:dyDescent="0.35">
      <c r="A1249" t="s">
        <v>3339</v>
      </c>
      <c r="B1249" t="s">
        <v>1999</v>
      </c>
      <c r="C1249">
        <v>3557</v>
      </c>
      <c r="D1249">
        <v>0</v>
      </c>
      <c r="E1249">
        <v>14</v>
      </c>
      <c r="F1249">
        <v>631</v>
      </c>
      <c r="G1249">
        <v>486</v>
      </c>
      <c r="H1249">
        <v>4688</v>
      </c>
      <c r="I1249">
        <v>1</v>
      </c>
    </row>
    <row r="1250" spans="1:9" x14ac:dyDescent="0.35">
      <c r="A1250" t="s">
        <v>2962</v>
      </c>
      <c r="B1250" t="s">
        <v>1871</v>
      </c>
      <c r="C1250">
        <v>3</v>
      </c>
      <c r="D1250">
        <v>0</v>
      </c>
      <c r="E1250">
        <v>0</v>
      </c>
      <c r="F1250">
        <v>12</v>
      </c>
      <c r="G1250">
        <v>0</v>
      </c>
      <c r="H1250">
        <v>15</v>
      </c>
      <c r="I1250">
        <v>1</v>
      </c>
    </row>
    <row r="1251" spans="1:9" x14ac:dyDescent="0.35">
      <c r="A1251" t="s">
        <v>3004</v>
      </c>
      <c r="B1251" t="s">
        <v>1510</v>
      </c>
      <c r="C1251">
        <v>3938</v>
      </c>
      <c r="D1251">
        <v>0</v>
      </c>
      <c r="E1251">
        <v>284</v>
      </c>
      <c r="F1251">
        <v>137</v>
      </c>
      <c r="G1251">
        <v>507</v>
      </c>
      <c r="H1251">
        <v>4866</v>
      </c>
      <c r="I1251">
        <v>11</v>
      </c>
    </row>
    <row r="1252" spans="1:9" x14ac:dyDescent="0.35">
      <c r="A1252" t="s">
        <v>3127</v>
      </c>
      <c r="B1252" t="s">
        <v>1511</v>
      </c>
      <c r="C1252">
        <v>163</v>
      </c>
      <c r="D1252">
        <v>0</v>
      </c>
      <c r="E1252">
        <v>0</v>
      </c>
      <c r="F1252">
        <v>0</v>
      </c>
      <c r="G1252">
        <v>0</v>
      </c>
      <c r="H1252">
        <v>163</v>
      </c>
      <c r="I1252">
        <v>3</v>
      </c>
    </row>
    <row r="1253" spans="1:9" x14ac:dyDescent="0.35">
      <c r="A1253" t="s">
        <v>2495</v>
      </c>
      <c r="B1253" t="s">
        <v>11414</v>
      </c>
      <c r="C1253">
        <v>0</v>
      </c>
      <c r="D1253">
        <v>0</v>
      </c>
      <c r="E1253">
        <v>0</v>
      </c>
      <c r="F1253">
        <v>78</v>
      </c>
      <c r="G1253">
        <v>0</v>
      </c>
      <c r="H1253">
        <v>78</v>
      </c>
      <c r="I1253">
        <v>2</v>
      </c>
    </row>
    <row r="1254" spans="1:9" x14ac:dyDescent="0.35">
      <c r="A1254" t="s">
        <v>2449</v>
      </c>
      <c r="B1254" t="s">
        <v>2000</v>
      </c>
      <c r="C1254">
        <v>4</v>
      </c>
      <c r="D1254">
        <v>0</v>
      </c>
      <c r="E1254">
        <v>0</v>
      </c>
      <c r="F1254">
        <v>0</v>
      </c>
      <c r="G1254">
        <v>0</v>
      </c>
      <c r="H1254">
        <v>4</v>
      </c>
      <c r="I1254">
        <v>1</v>
      </c>
    </row>
    <row r="1255" spans="1:9" x14ac:dyDescent="0.35">
      <c r="A1255" t="s">
        <v>3087</v>
      </c>
      <c r="B1255" t="s">
        <v>11387</v>
      </c>
      <c r="C1255">
        <v>55</v>
      </c>
      <c r="D1255">
        <v>0</v>
      </c>
      <c r="E1255">
        <v>0</v>
      </c>
      <c r="F1255">
        <v>0</v>
      </c>
      <c r="G1255">
        <v>0</v>
      </c>
      <c r="H1255">
        <v>55</v>
      </c>
      <c r="I1255">
        <v>3</v>
      </c>
    </row>
    <row r="1256" spans="1:9" x14ac:dyDescent="0.35">
      <c r="A1256" t="s">
        <v>2814</v>
      </c>
      <c r="B1256" t="s">
        <v>1872</v>
      </c>
      <c r="C1256">
        <v>42</v>
      </c>
      <c r="D1256">
        <v>0</v>
      </c>
      <c r="E1256">
        <v>0</v>
      </c>
      <c r="F1256">
        <v>0</v>
      </c>
      <c r="G1256">
        <v>0</v>
      </c>
      <c r="H1256">
        <v>42</v>
      </c>
      <c r="I1256">
        <v>1</v>
      </c>
    </row>
    <row r="1257" spans="1:9" x14ac:dyDescent="0.35">
      <c r="A1257" t="s">
        <v>2795</v>
      </c>
      <c r="B1257" t="s">
        <v>1512</v>
      </c>
      <c r="C1257">
        <v>20</v>
      </c>
      <c r="D1257">
        <v>0</v>
      </c>
      <c r="E1257">
        <v>0</v>
      </c>
      <c r="F1257">
        <v>0</v>
      </c>
      <c r="G1257">
        <v>0</v>
      </c>
      <c r="H1257">
        <v>20</v>
      </c>
      <c r="I1257">
        <v>1</v>
      </c>
    </row>
    <row r="1258" spans="1:9" x14ac:dyDescent="0.35">
      <c r="A1258" t="s">
        <v>2241</v>
      </c>
      <c r="B1258" t="s">
        <v>1883</v>
      </c>
      <c r="C1258">
        <v>3821</v>
      </c>
      <c r="D1258">
        <v>0</v>
      </c>
      <c r="E1258">
        <v>0</v>
      </c>
      <c r="F1258">
        <v>1734</v>
      </c>
      <c r="G1258">
        <v>33</v>
      </c>
      <c r="H1258">
        <v>5588</v>
      </c>
      <c r="I1258">
        <v>2</v>
      </c>
    </row>
    <row r="1259" spans="1:9" x14ac:dyDescent="0.35">
      <c r="A1259" t="s">
        <v>14406</v>
      </c>
      <c r="B1259" t="s">
        <v>14407</v>
      </c>
      <c r="C1259">
        <v>0</v>
      </c>
      <c r="D1259">
        <v>0</v>
      </c>
      <c r="E1259">
        <v>0</v>
      </c>
      <c r="F1259">
        <v>0</v>
      </c>
      <c r="G1259">
        <v>0</v>
      </c>
      <c r="H1259">
        <v>0</v>
      </c>
      <c r="I1259">
        <v>0</v>
      </c>
    </row>
    <row r="1260" spans="1:9" x14ac:dyDescent="0.35">
      <c r="A1260" t="s">
        <v>3012</v>
      </c>
      <c r="B1260" t="s">
        <v>1751</v>
      </c>
      <c r="C1260">
        <v>129</v>
      </c>
      <c r="D1260">
        <v>0</v>
      </c>
      <c r="E1260">
        <v>67</v>
      </c>
      <c r="F1260">
        <v>0</v>
      </c>
      <c r="G1260">
        <v>0</v>
      </c>
      <c r="H1260">
        <v>196</v>
      </c>
      <c r="I1260">
        <v>5</v>
      </c>
    </row>
    <row r="1261" spans="1:9" x14ac:dyDescent="0.35">
      <c r="A1261" t="s">
        <v>2785</v>
      </c>
      <c r="B1261" t="s">
        <v>1537</v>
      </c>
      <c r="C1261">
        <v>78</v>
      </c>
      <c r="D1261">
        <v>0</v>
      </c>
      <c r="E1261">
        <v>0</v>
      </c>
      <c r="F1261">
        <v>0</v>
      </c>
      <c r="G1261">
        <v>0</v>
      </c>
      <c r="H1261">
        <v>78</v>
      </c>
      <c r="I1261">
        <v>1</v>
      </c>
    </row>
    <row r="1262" spans="1:9" x14ac:dyDescent="0.35">
      <c r="A1262" t="s">
        <v>2276</v>
      </c>
      <c r="B1262" t="s">
        <v>1229</v>
      </c>
      <c r="C1262">
        <v>0</v>
      </c>
      <c r="D1262">
        <v>0</v>
      </c>
      <c r="E1262">
        <v>8</v>
      </c>
      <c r="F1262">
        <v>0</v>
      </c>
      <c r="G1262">
        <v>0</v>
      </c>
      <c r="H1262">
        <v>8</v>
      </c>
      <c r="I1262">
        <v>1</v>
      </c>
    </row>
    <row r="1263" spans="1:9" x14ac:dyDescent="0.35">
      <c r="A1263" t="s">
        <v>2224</v>
      </c>
      <c r="B1263" t="s">
        <v>1752</v>
      </c>
      <c r="C1263">
        <v>9139</v>
      </c>
      <c r="D1263">
        <v>0</v>
      </c>
      <c r="E1263">
        <v>737</v>
      </c>
      <c r="F1263">
        <v>1036</v>
      </c>
      <c r="G1263">
        <v>438</v>
      </c>
      <c r="H1263">
        <v>11350</v>
      </c>
      <c r="I1263">
        <v>24</v>
      </c>
    </row>
    <row r="1264" spans="1:9" x14ac:dyDescent="0.35">
      <c r="A1264" t="s">
        <v>2312</v>
      </c>
      <c r="B1264" t="s">
        <v>2095</v>
      </c>
      <c r="C1264">
        <v>0</v>
      </c>
      <c r="D1264">
        <v>4</v>
      </c>
      <c r="E1264">
        <v>0</v>
      </c>
      <c r="F1264">
        <v>0</v>
      </c>
      <c r="G1264">
        <v>0</v>
      </c>
      <c r="H1264">
        <v>4</v>
      </c>
      <c r="I1264">
        <v>1</v>
      </c>
    </row>
    <row r="1265" spans="1:9" x14ac:dyDescent="0.35">
      <c r="A1265" t="s">
        <v>14408</v>
      </c>
      <c r="B1265" t="s">
        <v>14409</v>
      </c>
      <c r="C1265">
        <v>0</v>
      </c>
      <c r="D1265">
        <v>0</v>
      </c>
      <c r="E1265">
        <v>0</v>
      </c>
      <c r="F1265">
        <v>0</v>
      </c>
      <c r="G1265">
        <v>0</v>
      </c>
      <c r="H1265">
        <v>0</v>
      </c>
      <c r="I1265">
        <v>0</v>
      </c>
    </row>
    <row r="1266" spans="1:9" x14ac:dyDescent="0.35">
      <c r="A1266" t="s">
        <v>14410</v>
      </c>
      <c r="B1266" t="s">
        <v>14411</v>
      </c>
      <c r="C1266">
        <v>0</v>
      </c>
      <c r="D1266">
        <v>0</v>
      </c>
      <c r="E1266">
        <v>0</v>
      </c>
      <c r="F1266">
        <v>0</v>
      </c>
      <c r="G1266">
        <v>0</v>
      </c>
      <c r="H1266">
        <v>0</v>
      </c>
      <c r="I1266">
        <v>0</v>
      </c>
    </row>
    <row r="1267" spans="1:9" x14ac:dyDescent="0.35">
      <c r="A1267" t="s">
        <v>2288</v>
      </c>
      <c r="B1267" t="s">
        <v>1124</v>
      </c>
      <c r="C1267">
        <v>0</v>
      </c>
      <c r="D1267">
        <v>0</v>
      </c>
      <c r="E1267">
        <v>1305</v>
      </c>
      <c r="F1267">
        <v>0</v>
      </c>
      <c r="G1267">
        <v>0</v>
      </c>
      <c r="H1267">
        <v>1305</v>
      </c>
      <c r="I1267">
        <v>101</v>
      </c>
    </row>
    <row r="1268" spans="1:9" x14ac:dyDescent="0.35">
      <c r="A1268" t="s">
        <v>2635</v>
      </c>
      <c r="B1268" t="s">
        <v>1884</v>
      </c>
      <c r="C1268">
        <v>0</v>
      </c>
      <c r="D1268">
        <v>0</v>
      </c>
      <c r="E1268">
        <v>0</v>
      </c>
      <c r="F1268">
        <v>6</v>
      </c>
      <c r="G1268">
        <v>0</v>
      </c>
      <c r="H1268">
        <v>6</v>
      </c>
      <c r="I1268">
        <v>1</v>
      </c>
    </row>
    <row r="1269" spans="1:9" x14ac:dyDescent="0.35">
      <c r="A1269" t="s">
        <v>3182</v>
      </c>
      <c r="B1269" t="s">
        <v>1230</v>
      </c>
      <c r="C1269">
        <v>0</v>
      </c>
      <c r="D1269">
        <v>0</v>
      </c>
      <c r="E1269">
        <v>0</v>
      </c>
      <c r="F1269">
        <v>291</v>
      </c>
      <c r="G1269">
        <v>0</v>
      </c>
      <c r="H1269">
        <v>291</v>
      </c>
      <c r="I1269">
        <v>4</v>
      </c>
    </row>
    <row r="1270" spans="1:9" x14ac:dyDescent="0.35">
      <c r="A1270" t="s">
        <v>14412</v>
      </c>
      <c r="B1270" t="s">
        <v>14413</v>
      </c>
      <c r="C1270">
        <v>0</v>
      </c>
      <c r="D1270">
        <v>0</v>
      </c>
      <c r="E1270">
        <v>0</v>
      </c>
      <c r="F1270">
        <v>0</v>
      </c>
      <c r="G1270">
        <v>0</v>
      </c>
      <c r="H1270">
        <v>0</v>
      </c>
      <c r="I1270">
        <v>0</v>
      </c>
    </row>
    <row r="1271" spans="1:9" x14ac:dyDescent="0.35">
      <c r="A1271" t="s">
        <v>2350</v>
      </c>
      <c r="B1271" t="s">
        <v>1336</v>
      </c>
      <c r="C1271">
        <v>12</v>
      </c>
      <c r="D1271">
        <v>0</v>
      </c>
      <c r="E1271">
        <v>0</v>
      </c>
      <c r="F1271">
        <v>0</v>
      </c>
      <c r="G1271">
        <v>0</v>
      </c>
      <c r="H1271">
        <v>12</v>
      </c>
      <c r="I1271">
        <v>1</v>
      </c>
    </row>
    <row r="1272" spans="1:9" x14ac:dyDescent="0.35">
      <c r="A1272" t="s">
        <v>14414</v>
      </c>
      <c r="B1272" t="s">
        <v>14415</v>
      </c>
      <c r="C1272">
        <v>0</v>
      </c>
      <c r="D1272">
        <v>0</v>
      </c>
      <c r="E1272">
        <v>0</v>
      </c>
      <c r="F1272">
        <v>0</v>
      </c>
      <c r="G1272">
        <v>0</v>
      </c>
      <c r="H1272">
        <v>0</v>
      </c>
      <c r="I1272">
        <v>0</v>
      </c>
    </row>
    <row r="1273" spans="1:9" x14ac:dyDescent="0.35">
      <c r="A1273" t="s">
        <v>14416</v>
      </c>
      <c r="B1273" t="s">
        <v>14417</v>
      </c>
      <c r="C1273">
        <v>0</v>
      </c>
      <c r="D1273">
        <v>0</v>
      </c>
      <c r="E1273">
        <v>0</v>
      </c>
      <c r="F1273">
        <v>0</v>
      </c>
      <c r="G1273">
        <v>0</v>
      </c>
      <c r="H1273">
        <v>0</v>
      </c>
      <c r="I1273">
        <v>0</v>
      </c>
    </row>
    <row r="1274" spans="1:9" x14ac:dyDescent="0.35">
      <c r="A1274" t="s">
        <v>2265</v>
      </c>
      <c r="B1274" t="s">
        <v>1241</v>
      </c>
      <c r="C1274">
        <v>1085</v>
      </c>
      <c r="D1274">
        <v>0</v>
      </c>
      <c r="E1274">
        <v>8</v>
      </c>
      <c r="F1274">
        <v>132</v>
      </c>
      <c r="G1274">
        <v>59</v>
      </c>
      <c r="H1274">
        <v>1284</v>
      </c>
      <c r="I1274">
        <v>23</v>
      </c>
    </row>
    <row r="1275" spans="1:9" x14ac:dyDescent="0.35">
      <c r="A1275" t="s">
        <v>3066</v>
      </c>
      <c r="B1275" t="s">
        <v>1134</v>
      </c>
      <c r="C1275">
        <v>15931</v>
      </c>
      <c r="D1275">
        <v>8</v>
      </c>
      <c r="E1275">
        <v>442</v>
      </c>
      <c r="F1275">
        <v>1789</v>
      </c>
      <c r="G1275">
        <v>1795</v>
      </c>
      <c r="H1275">
        <v>19965</v>
      </c>
      <c r="I1275">
        <v>114</v>
      </c>
    </row>
    <row r="1276" spans="1:9" x14ac:dyDescent="0.35">
      <c r="A1276" t="s">
        <v>2672</v>
      </c>
      <c r="B1276" t="s">
        <v>1554</v>
      </c>
      <c r="C1276">
        <v>63</v>
      </c>
      <c r="D1276">
        <v>0</v>
      </c>
      <c r="E1276">
        <v>0</v>
      </c>
      <c r="F1276">
        <v>0</v>
      </c>
      <c r="G1276">
        <v>0</v>
      </c>
      <c r="H1276">
        <v>63</v>
      </c>
      <c r="I1276">
        <v>2</v>
      </c>
    </row>
    <row r="1277" spans="1:9" x14ac:dyDescent="0.35">
      <c r="A1277" t="s">
        <v>2422</v>
      </c>
      <c r="B1277" t="s">
        <v>2020</v>
      </c>
      <c r="C1277">
        <v>9</v>
      </c>
      <c r="D1277">
        <v>0</v>
      </c>
      <c r="E1277">
        <v>26</v>
      </c>
      <c r="F1277">
        <v>0</v>
      </c>
      <c r="G1277">
        <v>0</v>
      </c>
      <c r="H1277">
        <v>35</v>
      </c>
      <c r="I1277">
        <v>1</v>
      </c>
    </row>
    <row r="1278" spans="1:9" x14ac:dyDescent="0.35">
      <c r="A1278" t="s">
        <v>2724</v>
      </c>
      <c r="B1278" t="s">
        <v>11397</v>
      </c>
      <c r="C1278">
        <v>0</v>
      </c>
      <c r="D1278">
        <v>12</v>
      </c>
      <c r="E1278">
        <v>0</v>
      </c>
      <c r="F1278">
        <v>0</v>
      </c>
      <c r="G1278">
        <v>0</v>
      </c>
      <c r="H1278">
        <v>12</v>
      </c>
      <c r="I1278">
        <v>1</v>
      </c>
    </row>
    <row r="1279" spans="1:9" x14ac:dyDescent="0.35">
      <c r="A1279" t="s">
        <v>2747</v>
      </c>
      <c r="B1279" t="s">
        <v>1655</v>
      </c>
      <c r="C1279">
        <v>87</v>
      </c>
      <c r="D1279">
        <v>0</v>
      </c>
      <c r="E1279">
        <v>0</v>
      </c>
      <c r="F1279">
        <v>0</v>
      </c>
      <c r="G1279">
        <v>0</v>
      </c>
      <c r="H1279">
        <v>87</v>
      </c>
      <c r="I1279">
        <v>1</v>
      </c>
    </row>
    <row r="1280" spans="1:9" x14ac:dyDescent="0.35">
      <c r="A1280" t="s">
        <v>2290</v>
      </c>
      <c r="B1280" t="s">
        <v>14418</v>
      </c>
      <c r="C1280">
        <v>0</v>
      </c>
      <c r="D1280">
        <v>0</v>
      </c>
      <c r="E1280">
        <v>48</v>
      </c>
      <c r="F1280">
        <v>0</v>
      </c>
      <c r="G1280">
        <v>0</v>
      </c>
      <c r="H1280">
        <v>48</v>
      </c>
      <c r="I1280">
        <v>4</v>
      </c>
    </row>
    <row r="1281" spans="1:9" x14ac:dyDescent="0.35">
      <c r="A1281" t="s">
        <v>3238</v>
      </c>
      <c r="B1281" t="s">
        <v>1904</v>
      </c>
      <c r="C1281">
        <v>0</v>
      </c>
      <c r="D1281">
        <v>0</v>
      </c>
      <c r="E1281">
        <v>0</v>
      </c>
      <c r="F1281">
        <v>429</v>
      </c>
      <c r="G1281">
        <v>0</v>
      </c>
      <c r="H1281">
        <v>429</v>
      </c>
      <c r="I1281">
        <v>6</v>
      </c>
    </row>
    <row r="1282" spans="1:9" x14ac:dyDescent="0.35">
      <c r="A1282" t="s">
        <v>3283</v>
      </c>
      <c r="B1282" t="s">
        <v>1905</v>
      </c>
      <c r="C1282">
        <v>14</v>
      </c>
      <c r="D1282">
        <v>0</v>
      </c>
      <c r="E1282">
        <v>0</v>
      </c>
      <c r="F1282">
        <v>0</v>
      </c>
      <c r="G1282">
        <v>0</v>
      </c>
      <c r="H1282">
        <v>14</v>
      </c>
      <c r="I1282">
        <v>1</v>
      </c>
    </row>
    <row r="1283" spans="1:9" x14ac:dyDescent="0.35">
      <c r="A1283" t="s">
        <v>2245</v>
      </c>
      <c r="B1283" t="s">
        <v>1242</v>
      </c>
      <c r="C1283">
        <v>0</v>
      </c>
      <c r="D1283">
        <v>0</v>
      </c>
      <c r="E1283">
        <v>2163</v>
      </c>
      <c r="F1283">
        <v>0</v>
      </c>
      <c r="G1283">
        <v>0</v>
      </c>
      <c r="H1283">
        <v>2163</v>
      </c>
      <c r="I1283">
        <v>2</v>
      </c>
    </row>
    <row r="1284" spans="1:9" x14ac:dyDescent="0.35">
      <c r="A1284" t="s">
        <v>14419</v>
      </c>
      <c r="B1284" t="s">
        <v>14420</v>
      </c>
      <c r="C1284">
        <v>0</v>
      </c>
      <c r="D1284">
        <v>0</v>
      </c>
      <c r="E1284">
        <v>0</v>
      </c>
      <c r="F1284">
        <v>12</v>
      </c>
      <c r="G1284">
        <v>0</v>
      </c>
      <c r="H1284">
        <v>12</v>
      </c>
      <c r="I1284">
        <v>1</v>
      </c>
    </row>
    <row r="1285" spans="1:9" x14ac:dyDescent="0.35">
      <c r="A1285" t="s">
        <v>3007</v>
      </c>
      <c r="B1285" t="s">
        <v>1555</v>
      </c>
      <c r="C1285">
        <v>108</v>
      </c>
      <c r="D1285">
        <v>0</v>
      </c>
      <c r="E1285">
        <v>6</v>
      </c>
      <c r="F1285">
        <v>373</v>
      </c>
      <c r="G1285">
        <v>0</v>
      </c>
      <c r="H1285">
        <v>487</v>
      </c>
      <c r="I1285">
        <v>1</v>
      </c>
    </row>
    <row r="1286" spans="1:9" x14ac:dyDescent="0.35">
      <c r="A1286" t="s">
        <v>3150</v>
      </c>
      <c r="B1286" t="s">
        <v>1346</v>
      </c>
      <c r="C1286">
        <v>7040</v>
      </c>
      <c r="D1286">
        <v>739</v>
      </c>
      <c r="E1286">
        <v>406</v>
      </c>
      <c r="F1286">
        <v>79</v>
      </c>
      <c r="G1286">
        <v>213</v>
      </c>
      <c r="H1286">
        <v>8477</v>
      </c>
      <c r="I1286">
        <v>19</v>
      </c>
    </row>
    <row r="1287" spans="1:9" x14ac:dyDescent="0.35">
      <c r="A1287" t="s">
        <v>2796</v>
      </c>
      <c r="B1287" t="s">
        <v>1556</v>
      </c>
      <c r="C1287">
        <v>44</v>
      </c>
      <c r="D1287">
        <v>0</v>
      </c>
      <c r="E1287">
        <v>0</v>
      </c>
      <c r="F1287">
        <v>0</v>
      </c>
      <c r="G1287">
        <v>0</v>
      </c>
      <c r="H1287">
        <v>44</v>
      </c>
      <c r="I1287">
        <v>1</v>
      </c>
    </row>
    <row r="1288" spans="1:9" x14ac:dyDescent="0.35">
      <c r="A1288" t="s">
        <v>2383</v>
      </c>
      <c r="B1288" t="s">
        <v>1243</v>
      </c>
      <c r="C1288">
        <v>2</v>
      </c>
      <c r="D1288">
        <v>0</v>
      </c>
      <c r="E1288">
        <v>0</v>
      </c>
      <c r="F1288">
        <v>0</v>
      </c>
      <c r="G1288">
        <v>0</v>
      </c>
      <c r="H1288">
        <v>2</v>
      </c>
      <c r="I1288">
        <v>1</v>
      </c>
    </row>
    <row r="1289" spans="1:9" x14ac:dyDescent="0.35">
      <c r="A1289" t="s">
        <v>2726</v>
      </c>
      <c r="B1289" t="s">
        <v>1557</v>
      </c>
      <c r="C1289">
        <v>23</v>
      </c>
      <c r="D1289">
        <v>0</v>
      </c>
      <c r="E1289">
        <v>0</v>
      </c>
      <c r="F1289">
        <v>0</v>
      </c>
      <c r="G1289">
        <v>0</v>
      </c>
      <c r="H1289">
        <v>23</v>
      </c>
      <c r="I1289">
        <v>1</v>
      </c>
    </row>
    <row r="1290" spans="1:9" x14ac:dyDescent="0.35">
      <c r="A1290" t="s">
        <v>2240</v>
      </c>
      <c r="B1290" t="s">
        <v>1136</v>
      </c>
      <c r="C1290">
        <v>7330</v>
      </c>
      <c r="D1290">
        <v>16</v>
      </c>
      <c r="E1290">
        <v>486</v>
      </c>
      <c r="F1290">
        <v>1321</v>
      </c>
      <c r="G1290">
        <v>869</v>
      </c>
      <c r="H1290">
        <v>10022</v>
      </c>
      <c r="I1290">
        <v>26</v>
      </c>
    </row>
    <row r="1291" spans="1:9" x14ac:dyDescent="0.35">
      <c r="A1291" t="s">
        <v>3099</v>
      </c>
      <c r="B1291" t="s">
        <v>2021</v>
      </c>
      <c r="C1291">
        <v>743</v>
      </c>
      <c r="D1291">
        <v>0</v>
      </c>
      <c r="E1291">
        <v>0</v>
      </c>
      <c r="F1291">
        <v>0</v>
      </c>
      <c r="G1291">
        <v>0</v>
      </c>
      <c r="H1291">
        <v>743</v>
      </c>
      <c r="I1291">
        <v>8</v>
      </c>
    </row>
    <row r="1292" spans="1:9" x14ac:dyDescent="0.35">
      <c r="A1292" t="s">
        <v>3185</v>
      </c>
      <c r="B1292" t="s">
        <v>1347</v>
      </c>
      <c r="C1292">
        <v>184</v>
      </c>
      <c r="D1292">
        <v>0</v>
      </c>
      <c r="E1292">
        <v>0</v>
      </c>
      <c r="F1292">
        <v>0</v>
      </c>
      <c r="G1292">
        <v>0</v>
      </c>
      <c r="H1292">
        <v>184</v>
      </c>
      <c r="I1292">
        <v>9</v>
      </c>
    </row>
    <row r="1293" spans="1:9" x14ac:dyDescent="0.35">
      <c r="A1293" t="s">
        <v>2226</v>
      </c>
      <c r="B1293" t="s">
        <v>2113</v>
      </c>
      <c r="C1293">
        <v>0</v>
      </c>
      <c r="D1293">
        <v>0</v>
      </c>
      <c r="E1293">
        <v>49</v>
      </c>
      <c r="F1293">
        <v>0</v>
      </c>
      <c r="G1293">
        <v>0</v>
      </c>
      <c r="H1293">
        <v>49</v>
      </c>
      <c r="I1293">
        <v>1</v>
      </c>
    </row>
    <row r="1294" spans="1:9" x14ac:dyDescent="0.35">
      <c r="A1294" t="s">
        <v>2709</v>
      </c>
      <c r="B1294" t="s">
        <v>2175</v>
      </c>
      <c r="C1294">
        <v>38</v>
      </c>
      <c r="D1294">
        <v>0</v>
      </c>
      <c r="E1294">
        <v>0</v>
      </c>
      <c r="F1294">
        <v>0</v>
      </c>
      <c r="G1294">
        <v>0</v>
      </c>
      <c r="H1294">
        <v>38</v>
      </c>
      <c r="I1294">
        <v>1</v>
      </c>
    </row>
    <row r="1295" spans="1:9" x14ac:dyDescent="0.35">
      <c r="A1295" t="s">
        <v>2239</v>
      </c>
      <c r="B1295" t="s">
        <v>2176</v>
      </c>
      <c r="C1295">
        <v>0</v>
      </c>
      <c r="D1295">
        <v>0</v>
      </c>
      <c r="E1295">
        <v>75</v>
      </c>
      <c r="F1295">
        <v>0</v>
      </c>
      <c r="G1295">
        <v>0</v>
      </c>
      <c r="H1295">
        <v>75</v>
      </c>
      <c r="I1295">
        <v>4</v>
      </c>
    </row>
    <row r="1296" spans="1:9" x14ac:dyDescent="0.35">
      <c r="A1296" t="s">
        <v>2407</v>
      </c>
      <c r="B1296" t="s">
        <v>2022</v>
      </c>
      <c r="C1296">
        <v>0</v>
      </c>
      <c r="D1296">
        <v>0</v>
      </c>
      <c r="E1296">
        <v>0</v>
      </c>
      <c r="F1296">
        <v>66</v>
      </c>
      <c r="G1296">
        <v>0</v>
      </c>
      <c r="H1296">
        <v>66</v>
      </c>
      <c r="I1296">
        <v>1</v>
      </c>
    </row>
    <row r="1297" spans="1:9" x14ac:dyDescent="0.35">
      <c r="A1297" t="s">
        <v>2363</v>
      </c>
      <c r="B1297" t="s">
        <v>1558</v>
      </c>
      <c r="C1297">
        <v>415</v>
      </c>
      <c r="D1297">
        <v>0</v>
      </c>
      <c r="E1297">
        <v>0</v>
      </c>
      <c r="F1297">
        <v>0</v>
      </c>
      <c r="G1297">
        <v>0</v>
      </c>
      <c r="H1297">
        <v>415</v>
      </c>
      <c r="I1297">
        <v>13</v>
      </c>
    </row>
    <row r="1298" spans="1:9" x14ac:dyDescent="0.35">
      <c r="A1298" t="s">
        <v>2454</v>
      </c>
      <c r="B1298" t="s">
        <v>14421</v>
      </c>
      <c r="C1298">
        <v>10</v>
      </c>
      <c r="D1298">
        <v>0</v>
      </c>
      <c r="E1298">
        <v>0</v>
      </c>
      <c r="F1298">
        <v>0</v>
      </c>
      <c r="G1298">
        <v>0</v>
      </c>
      <c r="H1298">
        <v>10</v>
      </c>
      <c r="I1298">
        <v>1</v>
      </c>
    </row>
    <row r="1299" spans="1:9" x14ac:dyDescent="0.35">
      <c r="A1299" t="s">
        <v>3146</v>
      </c>
      <c r="B1299" t="s">
        <v>2122</v>
      </c>
      <c r="C1299">
        <v>2228</v>
      </c>
      <c r="D1299">
        <v>0</v>
      </c>
      <c r="E1299">
        <v>0</v>
      </c>
      <c r="F1299">
        <v>128</v>
      </c>
      <c r="G1299">
        <v>31</v>
      </c>
      <c r="H1299">
        <v>2387</v>
      </c>
      <c r="I1299">
        <v>1</v>
      </c>
    </row>
    <row r="1300" spans="1:9" x14ac:dyDescent="0.35">
      <c r="A1300" t="s">
        <v>2602</v>
      </c>
      <c r="B1300" t="s">
        <v>1776</v>
      </c>
      <c r="C1300">
        <v>0</v>
      </c>
      <c r="D1300">
        <v>0</v>
      </c>
      <c r="E1300">
        <v>0</v>
      </c>
      <c r="F1300">
        <v>6</v>
      </c>
      <c r="G1300">
        <v>0</v>
      </c>
      <c r="H1300">
        <v>6</v>
      </c>
      <c r="I1300">
        <v>1</v>
      </c>
    </row>
    <row r="1301" spans="1:9" x14ac:dyDescent="0.35">
      <c r="A1301" t="s">
        <v>2438</v>
      </c>
      <c r="B1301" t="s">
        <v>2043</v>
      </c>
      <c r="C1301">
        <v>7</v>
      </c>
      <c r="D1301">
        <v>0</v>
      </c>
      <c r="E1301">
        <v>0</v>
      </c>
      <c r="F1301">
        <v>0</v>
      </c>
      <c r="G1301">
        <v>0</v>
      </c>
      <c r="H1301">
        <v>7</v>
      </c>
      <c r="I1301">
        <v>1</v>
      </c>
    </row>
    <row r="1302" spans="1:9" x14ac:dyDescent="0.35">
      <c r="A1302" t="s">
        <v>2875</v>
      </c>
      <c r="B1302" t="s">
        <v>1252</v>
      </c>
      <c r="C1302">
        <v>0</v>
      </c>
      <c r="D1302">
        <v>0</v>
      </c>
      <c r="E1302">
        <v>275</v>
      </c>
      <c r="F1302">
        <v>0</v>
      </c>
      <c r="G1302">
        <v>0</v>
      </c>
      <c r="H1302">
        <v>275</v>
      </c>
      <c r="I1302">
        <v>23</v>
      </c>
    </row>
    <row r="1303" spans="1:9" x14ac:dyDescent="0.35">
      <c r="A1303" t="s">
        <v>3232</v>
      </c>
      <c r="B1303" t="s">
        <v>1253</v>
      </c>
      <c r="C1303">
        <v>39677</v>
      </c>
      <c r="D1303">
        <v>25</v>
      </c>
      <c r="E1303">
        <v>4427</v>
      </c>
      <c r="F1303">
        <v>5068</v>
      </c>
      <c r="G1303">
        <v>2618</v>
      </c>
      <c r="H1303">
        <v>51815</v>
      </c>
      <c r="I1303">
        <v>148</v>
      </c>
    </row>
    <row r="1304" spans="1:9" x14ac:dyDescent="0.35">
      <c r="A1304" t="s">
        <v>2589</v>
      </c>
      <c r="B1304" t="s">
        <v>2184</v>
      </c>
      <c r="C1304">
        <v>0</v>
      </c>
      <c r="D1304">
        <v>0</v>
      </c>
      <c r="E1304">
        <v>0</v>
      </c>
      <c r="F1304">
        <v>7</v>
      </c>
      <c r="G1304">
        <v>0</v>
      </c>
      <c r="H1304">
        <v>7</v>
      </c>
      <c r="I1304">
        <v>1</v>
      </c>
    </row>
    <row r="1305" spans="1:9" x14ac:dyDescent="0.35">
      <c r="A1305" t="s">
        <v>2760</v>
      </c>
      <c r="B1305" t="s">
        <v>1584</v>
      </c>
      <c r="C1305">
        <v>50</v>
      </c>
      <c r="D1305">
        <v>0</v>
      </c>
      <c r="E1305">
        <v>0</v>
      </c>
      <c r="F1305">
        <v>0</v>
      </c>
      <c r="G1305">
        <v>0</v>
      </c>
      <c r="H1305">
        <v>50</v>
      </c>
      <c r="I1305">
        <v>1</v>
      </c>
    </row>
    <row r="1306" spans="1:9" x14ac:dyDescent="0.35">
      <c r="A1306" t="s">
        <v>2369</v>
      </c>
      <c r="B1306" t="s">
        <v>1140</v>
      </c>
      <c r="C1306">
        <v>24639</v>
      </c>
      <c r="D1306">
        <v>0</v>
      </c>
      <c r="E1306">
        <v>272</v>
      </c>
      <c r="F1306">
        <v>1234</v>
      </c>
      <c r="G1306">
        <v>3892</v>
      </c>
      <c r="H1306">
        <v>30037</v>
      </c>
      <c r="I1306">
        <v>23</v>
      </c>
    </row>
    <row r="1307" spans="1:9" x14ac:dyDescent="0.35">
      <c r="A1307" t="s">
        <v>2448</v>
      </c>
      <c r="B1307" t="s">
        <v>14422</v>
      </c>
      <c r="C1307">
        <v>0</v>
      </c>
      <c r="D1307">
        <v>0</v>
      </c>
      <c r="E1307">
        <v>0</v>
      </c>
      <c r="F1307">
        <v>21</v>
      </c>
      <c r="G1307">
        <v>0</v>
      </c>
      <c r="H1307">
        <v>21</v>
      </c>
      <c r="I1307">
        <v>1</v>
      </c>
    </row>
    <row r="1308" spans="1:9" x14ac:dyDescent="0.35">
      <c r="A1308" t="s">
        <v>14423</v>
      </c>
      <c r="B1308" t="s">
        <v>14424</v>
      </c>
      <c r="C1308">
        <v>0</v>
      </c>
      <c r="D1308">
        <v>0</v>
      </c>
      <c r="E1308">
        <v>0</v>
      </c>
      <c r="F1308">
        <v>0</v>
      </c>
      <c r="G1308">
        <v>0</v>
      </c>
      <c r="H1308">
        <v>0</v>
      </c>
      <c r="I1308">
        <v>0</v>
      </c>
    </row>
    <row r="1309" spans="1:9" x14ac:dyDescent="0.35">
      <c r="A1309" t="s">
        <v>2587</v>
      </c>
      <c r="B1309" t="s">
        <v>1781</v>
      </c>
      <c r="C1309">
        <v>0</v>
      </c>
      <c r="D1309">
        <v>0</v>
      </c>
      <c r="E1309">
        <v>0</v>
      </c>
      <c r="F1309">
        <v>24</v>
      </c>
      <c r="G1309">
        <v>0</v>
      </c>
      <c r="H1309">
        <v>24</v>
      </c>
      <c r="I1309">
        <v>1</v>
      </c>
    </row>
    <row r="1310" spans="1:9" x14ac:dyDescent="0.35">
      <c r="A1310" t="s">
        <v>3193</v>
      </c>
      <c r="B1310" t="s">
        <v>2187</v>
      </c>
      <c r="C1310">
        <v>29403</v>
      </c>
      <c r="D1310">
        <v>0</v>
      </c>
      <c r="E1310">
        <v>1572</v>
      </c>
      <c r="F1310">
        <v>0</v>
      </c>
      <c r="G1310">
        <v>769</v>
      </c>
      <c r="H1310">
        <v>31744</v>
      </c>
      <c r="I1310">
        <v>12</v>
      </c>
    </row>
    <row r="1311" spans="1:9" x14ac:dyDescent="0.35">
      <c r="A1311" t="s">
        <v>2550</v>
      </c>
      <c r="B1311" t="s">
        <v>2188</v>
      </c>
      <c r="C1311">
        <v>0</v>
      </c>
      <c r="D1311">
        <v>0</v>
      </c>
      <c r="E1311">
        <v>0</v>
      </c>
      <c r="F1311">
        <v>31</v>
      </c>
      <c r="G1311">
        <v>0</v>
      </c>
      <c r="H1311">
        <v>31</v>
      </c>
      <c r="I1311">
        <v>1</v>
      </c>
    </row>
    <row r="1312" spans="1:9" x14ac:dyDescent="0.35">
      <c r="A1312" t="s">
        <v>3188</v>
      </c>
      <c r="B1312" t="s">
        <v>2127</v>
      </c>
      <c r="C1312">
        <v>20265</v>
      </c>
      <c r="D1312">
        <v>0</v>
      </c>
      <c r="E1312">
        <v>300</v>
      </c>
      <c r="F1312">
        <v>0</v>
      </c>
      <c r="G1312">
        <v>620</v>
      </c>
      <c r="H1312">
        <v>21185</v>
      </c>
      <c r="I1312">
        <v>19</v>
      </c>
    </row>
    <row r="1313" spans="1:9" x14ac:dyDescent="0.35">
      <c r="A1313" t="s">
        <v>3137</v>
      </c>
      <c r="B1313" t="s">
        <v>1585</v>
      </c>
      <c r="C1313">
        <v>501</v>
      </c>
      <c r="D1313">
        <v>0</v>
      </c>
      <c r="E1313">
        <v>0</v>
      </c>
      <c r="F1313">
        <v>0</v>
      </c>
      <c r="G1313">
        <v>0</v>
      </c>
      <c r="H1313">
        <v>501</v>
      </c>
      <c r="I1313">
        <v>1</v>
      </c>
    </row>
    <row r="1314" spans="1:9" x14ac:dyDescent="0.35">
      <c r="A1314" t="s">
        <v>2989</v>
      </c>
      <c r="B1314" t="s">
        <v>1586</v>
      </c>
      <c r="C1314">
        <v>156</v>
      </c>
      <c r="D1314">
        <v>0</v>
      </c>
      <c r="E1314">
        <v>21</v>
      </c>
      <c r="F1314">
        <v>154</v>
      </c>
      <c r="G1314">
        <v>0</v>
      </c>
      <c r="H1314">
        <v>331</v>
      </c>
      <c r="I1314">
        <v>1</v>
      </c>
    </row>
    <row r="1315" spans="1:9" x14ac:dyDescent="0.35">
      <c r="A1315" t="s">
        <v>2428</v>
      </c>
      <c r="B1315" t="s">
        <v>1932</v>
      </c>
      <c r="C1315">
        <v>0</v>
      </c>
      <c r="D1315">
        <v>0</v>
      </c>
      <c r="E1315">
        <v>0</v>
      </c>
      <c r="F1315">
        <v>104</v>
      </c>
      <c r="G1315">
        <v>0</v>
      </c>
      <c r="H1315">
        <v>104</v>
      </c>
      <c r="I1315">
        <v>1</v>
      </c>
    </row>
    <row r="1316" spans="1:9" x14ac:dyDescent="0.35">
      <c r="A1316" t="s">
        <v>2978</v>
      </c>
      <c r="B1316" t="s">
        <v>1587</v>
      </c>
      <c r="C1316">
        <v>5768</v>
      </c>
      <c r="D1316">
        <v>5</v>
      </c>
      <c r="E1316">
        <v>240</v>
      </c>
      <c r="F1316">
        <v>94</v>
      </c>
      <c r="G1316">
        <v>793</v>
      </c>
      <c r="H1316">
        <v>6900</v>
      </c>
      <c r="I1316">
        <v>13</v>
      </c>
    </row>
    <row r="1317" spans="1:9" x14ac:dyDescent="0.35">
      <c r="A1317" t="s">
        <v>2958</v>
      </c>
      <c r="B1317" t="s">
        <v>1933</v>
      </c>
      <c r="C1317">
        <v>0</v>
      </c>
      <c r="D1317">
        <v>0</v>
      </c>
      <c r="E1317">
        <v>0</v>
      </c>
      <c r="F1317">
        <v>46</v>
      </c>
      <c r="G1317">
        <v>0</v>
      </c>
      <c r="H1317">
        <v>46</v>
      </c>
      <c r="I1317">
        <v>1</v>
      </c>
    </row>
    <row r="1318" spans="1:9" x14ac:dyDescent="0.35">
      <c r="A1318" t="s">
        <v>2992</v>
      </c>
      <c r="B1318" t="s">
        <v>1782</v>
      </c>
      <c r="C1318">
        <v>1005</v>
      </c>
      <c r="D1318">
        <v>0</v>
      </c>
      <c r="E1318">
        <v>71</v>
      </c>
      <c r="F1318">
        <v>157</v>
      </c>
      <c r="G1318">
        <v>35</v>
      </c>
      <c r="H1318">
        <v>1268</v>
      </c>
      <c r="I1318">
        <v>1</v>
      </c>
    </row>
    <row r="1319" spans="1:9" x14ac:dyDescent="0.35">
      <c r="A1319" t="s">
        <v>2816</v>
      </c>
      <c r="B1319" t="s">
        <v>1934</v>
      </c>
      <c r="C1319">
        <v>40</v>
      </c>
      <c r="D1319">
        <v>0</v>
      </c>
      <c r="E1319">
        <v>0</v>
      </c>
      <c r="F1319">
        <v>0</v>
      </c>
      <c r="G1319">
        <v>0</v>
      </c>
      <c r="H1319">
        <v>40</v>
      </c>
      <c r="I1319">
        <v>1</v>
      </c>
    </row>
    <row r="1320" spans="1:9" x14ac:dyDescent="0.35">
      <c r="A1320" t="s">
        <v>3133</v>
      </c>
      <c r="B1320" t="s">
        <v>2128</v>
      </c>
      <c r="C1320">
        <v>484</v>
      </c>
      <c r="D1320">
        <v>0</v>
      </c>
      <c r="E1320">
        <v>0</v>
      </c>
      <c r="F1320">
        <v>0</v>
      </c>
      <c r="G1320">
        <v>0</v>
      </c>
      <c r="H1320">
        <v>484</v>
      </c>
      <c r="I1320">
        <v>5</v>
      </c>
    </row>
    <row r="1321" spans="1:9" x14ac:dyDescent="0.35">
      <c r="A1321" t="s">
        <v>2697</v>
      </c>
      <c r="B1321" t="s">
        <v>1588</v>
      </c>
      <c r="C1321">
        <v>42</v>
      </c>
      <c r="D1321">
        <v>0</v>
      </c>
      <c r="E1321">
        <v>0</v>
      </c>
      <c r="F1321">
        <v>0</v>
      </c>
      <c r="G1321">
        <v>0</v>
      </c>
      <c r="H1321">
        <v>42</v>
      </c>
      <c r="I1321">
        <v>1</v>
      </c>
    </row>
    <row r="1322" spans="1:9" x14ac:dyDescent="0.35">
      <c r="A1322" t="s">
        <v>2794</v>
      </c>
      <c r="B1322" t="s">
        <v>1589</v>
      </c>
      <c r="C1322">
        <v>92</v>
      </c>
      <c r="D1322">
        <v>0</v>
      </c>
      <c r="E1322">
        <v>0</v>
      </c>
      <c r="F1322">
        <v>0</v>
      </c>
      <c r="G1322">
        <v>0</v>
      </c>
      <c r="H1322">
        <v>92</v>
      </c>
      <c r="I1322">
        <v>1</v>
      </c>
    </row>
    <row r="1323" spans="1:9" x14ac:dyDescent="0.35">
      <c r="A1323" t="s">
        <v>2432</v>
      </c>
      <c r="B1323" t="s">
        <v>1373</v>
      </c>
      <c r="C1323">
        <v>6</v>
      </c>
      <c r="D1323">
        <v>0</v>
      </c>
      <c r="E1323">
        <v>0</v>
      </c>
      <c r="F1323">
        <v>0</v>
      </c>
      <c r="G1323">
        <v>0</v>
      </c>
      <c r="H1323">
        <v>6</v>
      </c>
      <c r="I1323">
        <v>1</v>
      </c>
    </row>
    <row r="1324" spans="1:9" x14ac:dyDescent="0.35">
      <c r="A1324" t="s">
        <v>3209</v>
      </c>
      <c r="B1324" t="s">
        <v>1374</v>
      </c>
      <c r="C1324">
        <v>4402</v>
      </c>
      <c r="D1324">
        <v>87</v>
      </c>
      <c r="E1324">
        <v>0</v>
      </c>
      <c r="F1324">
        <v>469</v>
      </c>
      <c r="G1324">
        <v>206</v>
      </c>
      <c r="H1324">
        <v>5164</v>
      </c>
      <c r="I1324">
        <v>6</v>
      </c>
    </row>
    <row r="1325" spans="1:9" x14ac:dyDescent="0.35">
      <c r="A1325" t="s">
        <v>2215</v>
      </c>
      <c r="B1325" t="s">
        <v>1598</v>
      </c>
      <c r="C1325">
        <v>414</v>
      </c>
      <c r="D1325">
        <v>0</v>
      </c>
      <c r="E1325">
        <v>0</v>
      </c>
      <c r="F1325">
        <v>0</v>
      </c>
      <c r="G1325">
        <v>0</v>
      </c>
      <c r="H1325">
        <v>414</v>
      </c>
      <c r="I1325">
        <v>2</v>
      </c>
    </row>
    <row r="1326" spans="1:9" x14ac:dyDescent="0.35">
      <c r="A1326" t="s">
        <v>2306</v>
      </c>
      <c r="B1326" t="s">
        <v>1262</v>
      </c>
      <c r="C1326">
        <v>0</v>
      </c>
      <c r="D1326">
        <v>0</v>
      </c>
      <c r="E1326">
        <v>530</v>
      </c>
      <c r="F1326">
        <v>0</v>
      </c>
      <c r="G1326">
        <v>0</v>
      </c>
      <c r="H1326">
        <v>530</v>
      </c>
      <c r="I1326">
        <v>60</v>
      </c>
    </row>
    <row r="1327" spans="1:9" x14ac:dyDescent="0.35">
      <c r="A1327" t="s">
        <v>2830</v>
      </c>
      <c r="B1327" t="s">
        <v>1937</v>
      </c>
      <c r="C1327">
        <v>34</v>
      </c>
      <c r="D1327">
        <v>0</v>
      </c>
      <c r="E1327">
        <v>0</v>
      </c>
      <c r="F1327">
        <v>0</v>
      </c>
      <c r="G1327">
        <v>0</v>
      </c>
      <c r="H1327">
        <v>34</v>
      </c>
      <c r="I1327">
        <v>1</v>
      </c>
    </row>
    <row r="1328" spans="1:9" x14ac:dyDescent="0.35">
      <c r="A1328" t="s">
        <v>2792</v>
      </c>
      <c r="B1328" t="s">
        <v>1786</v>
      </c>
      <c r="C1328">
        <v>35</v>
      </c>
      <c r="D1328">
        <v>0</v>
      </c>
      <c r="E1328">
        <v>0</v>
      </c>
      <c r="F1328">
        <v>0</v>
      </c>
      <c r="G1328">
        <v>0</v>
      </c>
      <c r="H1328">
        <v>35</v>
      </c>
      <c r="I1328">
        <v>1</v>
      </c>
    </row>
    <row r="1329" spans="1:9" x14ac:dyDescent="0.35">
      <c r="A1329" t="s">
        <v>2352</v>
      </c>
      <c r="B1329" t="s">
        <v>2050</v>
      </c>
      <c r="C1329">
        <v>5254</v>
      </c>
      <c r="D1329">
        <v>0</v>
      </c>
      <c r="E1329">
        <v>340</v>
      </c>
      <c r="F1329">
        <v>686</v>
      </c>
      <c r="G1329">
        <v>920</v>
      </c>
      <c r="H1329">
        <v>7200</v>
      </c>
      <c r="I1329">
        <v>12</v>
      </c>
    </row>
    <row r="1330" spans="1:9" x14ac:dyDescent="0.35">
      <c r="A1330" t="s">
        <v>3303</v>
      </c>
      <c r="B1330" t="s">
        <v>1599</v>
      </c>
      <c r="C1330">
        <v>471</v>
      </c>
      <c r="D1330">
        <v>0</v>
      </c>
      <c r="E1330">
        <v>40</v>
      </c>
      <c r="F1330">
        <v>0</v>
      </c>
      <c r="G1330">
        <v>0</v>
      </c>
      <c r="H1330">
        <v>511</v>
      </c>
      <c r="I1330">
        <v>9</v>
      </c>
    </row>
    <row r="1331" spans="1:9" x14ac:dyDescent="0.35">
      <c r="A1331" t="s">
        <v>2743</v>
      </c>
      <c r="B1331" t="s">
        <v>1938</v>
      </c>
      <c r="C1331">
        <v>48</v>
      </c>
      <c r="D1331">
        <v>0</v>
      </c>
      <c r="E1331">
        <v>0</v>
      </c>
      <c r="F1331">
        <v>0</v>
      </c>
      <c r="G1331">
        <v>0</v>
      </c>
      <c r="H1331">
        <v>48</v>
      </c>
      <c r="I1331">
        <v>1</v>
      </c>
    </row>
    <row r="1332" spans="1:9" x14ac:dyDescent="0.35">
      <c r="A1332" t="s">
        <v>14425</v>
      </c>
      <c r="B1332" t="s">
        <v>14426</v>
      </c>
      <c r="C1332">
        <v>0</v>
      </c>
      <c r="D1332">
        <v>0</v>
      </c>
      <c r="E1332">
        <v>0</v>
      </c>
      <c r="F1332">
        <v>0</v>
      </c>
      <c r="G1332">
        <v>0</v>
      </c>
      <c r="H1332">
        <v>0</v>
      </c>
      <c r="I1332">
        <v>0</v>
      </c>
    </row>
    <row r="1333" spans="1:9" x14ac:dyDescent="0.35">
      <c r="A1333" t="s">
        <v>2625</v>
      </c>
      <c r="B1333" t="s">
        <v>2189</v>
      </c>
      <c r="C1333">
        <v>0</v>
      </c>
      <c r="D1333">
        <v>0</v>
      </c>
      <c r="E1333">
        <v>0</v>
      </c>
      <c r="F1333">
        <v>20</v>
      </c>
      <c r="G1333">
        <v>0</v>
      </c>
      <c r="H1333">
        <v>20</v>
      </c>
      <c r="I1333">
        <v>1</v>
      </c>
    </row>
    <row r="1334" spans="1:9" x14ac:dyDescent="0.35">
      <c r="A1334" t="s">
        <v>3115</v>
      </c>
      <c r="B1334" t="s">
        <v>2051</v>
      </c>
      <c r="C1334">
        <v>387</v>
      </c>
      <c r="D1334">
        <v>0</v>
      </c>
      <c r="E1334">
        <v>0</v>
      </c>
      <c r="F1334">
        <v>0</v>
      </c>
      <c r="G1334">
        <v>0</v>
      </c>
      <c r="H1334">
        <v>387</v>
      </c>
      <c r="I1334">
        <v>5</v>
      </c>
    </row>
    <row r="1335" spans="1:9" x14ac:dyDescent="0.35">
      <c r="A1335" t="s">
        <v>2578</v>
      </c>
      <c r="B1335" t="s">
        <v>2129</v>
      </c>
      <c r="C1335">
        <v>12</v>
      </c>
      <c r="D1335">
        <v>0</v>
      </c>
      <c r="E1335">
        <v>0</v>
      </c>
      <c r="F1335">
        <v>0</v>
      </c>
      <c r="G1335">
        <v>0</v>
      </c>
      <c r="H1335">
        <v>12</v>
      </c>
      <c r="I1335">
        <v>1</v>
      </c>
    </row>
    <row r="1336" spans="1:9" x14ac:dyDescent="0.35">
      <c r="A1336" t="s">
        <v>2721</v>
      </c>
      <c r="B1336" t="s">
        <v>1600</v>
      </c>
      <c r="C1336">
        <v>83</v>
      </c>
      <c r="D1336">
        <v>0</v>
      </c>
      <c r="E1336">
        <v>0</v>
      </c>
      <c r="F1336">
        <v>0</v>
      </c>
      <c r="G1336">
        <v>0</v>
      </c>
      <c r="H1336">
        <v>83</v>
      </c>
      <c r="I1336">
        <v>1</v>
      </c>
    </row>
    <row r="1337" spans="1:9" x14ac:dyDescent="0.35">
      <c r="A1337" t="s">
        <v>2250</v>
      </c>
      <c r="B1337" t="s">
        <v>1939</v>
      </c>
      <c r="C1337">
        <v>4</v>
      </c>
      <c r="D1337">
        <v>0</v>
      </c>
      <c r="E1337">
        <v>0</v>
      </c>
      <c r="F1337">
        <v>0</v>
      </c>
      <c r="G1337">
        <v>0</v>
      </c>
      <c r="H1337">
        <v>4</v>
      </c>
      <c r="I1337">
        <v>1</v>
      </c>
    </row>
    <row r="1338" spans="1:9" x14ac:dyDescent="0.35">
      <c r="A1338" t="s">
        <v>11478</v>
      </c>
      <c r="B1338" t="s">
        <v>11396</v>
      </c>
      <c r="C1338">
        <v>66</v>
      </c>
      <c r="D1338">
        <v>0</v>
      </c>
      <c r="E1338">
        <v>0</v>
      </c>
      <c r="F1338">
        <v>0</v>
      </c>
      <c r="G1338">
        <v>0</v>
      </c>
      <c r="H1338">
        <v>66</v>
      </c>
      <c r="I1338">
        <v>1</v>
      </c>
    </row>
    <row r="1339" spans="1:9" x14ac:dyDescent="0.35">
      <c r="A1339" t="s">
        <v>2750</v>
      </c>
      <c r="B1339" t="s">
        <v>1601</v>
      </c>
      <c r="C1339">
        <v>18</v>
      </c>
      <c r="D1339">
        <v>0</v>
      </c>
      <c r="E1339">
        <v>0</v>
      </c>
      <c r="F1339">
        <v>0</v>
      </c>
      <c r="G1339">
        <v>0</v>
      </c>
      <c r="H1339">
        <v>18</v>
      </c>
      <c r="I1339">
        <v>1</v>
      </c>
    </row>
    <row r="1340" spans="1:9" x14ac:dyDescent="0.35">
      <c r="A1340" t="s">
        <v>2486</v>
      </c>
      <c r="B1340" t="s">
        <v>1263</v>
      </c>
      <c r="C1340">
        <v>20</v>
      </c>
      <c r="D1340">
        <v>0</v>
      </c>
      <c r="E1340">
        <v>0</v>
      </c>
      <c r="F1340">
        <v>0</v>
      </c>
      <c r="G1340">
        <v>0</v>
      </c>
      <c r="H1340">
        <v>20</v>
      </c>
      <c r="I1340">
        <v>1</v>
      </c>
    </row>
    <row r="1341" spans="1:9" x14ac:dyDescent="0.35">
      <c r="A1341" t="s">
        <v>2532</v>
      </c>
      <c r="B1341" t="s">
        <v>1378</v>
      </c>
      <c r="C1341">
        <v>0</v>
      </c>
      <c r="D1341">
        <v>0</v>
      </c>
      <c r="E1341">
        <v>0</v>
      </c>
      <c r="F1341">
        <v>80</v>
      </c>
      <c r="G1341">
        <v>0</v>
      </c>
      <c r="H1341">
        <v>80</v>
      </c>
      <c r="I1341">
        <v>1</v>
      </c>
    </row>
    <row r="1342" spans="1:9" x14ac:dyDescent="0.35">
      <c r="A1342" t="s">
        <v>2453</v>
      </c>
      <c r="B1342" t="s">
        <v>1665</v>
      </c>
      <c r="C1342">
        <v>7</v>
      </c>
      <c r="D1342">
        <v>0</v>
      </c>
      <c r="E1342">
        <v>0</v>
      </c>
      <c r="F1342">
        <v>0</v>
      </c>
      <c r="G1342">
        <v>0</v>
      </c>
      <c r="H1342">
        <v>7</v>
      </c>
      <c r="I1342">
        <v>1</v>
      </c>
    </row>
    <row r="1343" spans="1:9" x14ac:dyDescent="0.35">
      <c r="A1343" t="s">
        <v>3106</v>
      </c>
      <c r="B1343" t="s">
        <v>1940</v>
      </c>
      <c r="C1343">
        <v>92</v>
      </c>
      <c r="D1343">
        <v>0</v>
      </c>
      <c r="E1343">
        <v>0</v>
      </c>
      <c r="F1343">
        <v>0</v>
      </c>
      <c r="G1343">
        <v>0</v>
      </c>
      <c r="H1343">
        <v>92</v>
      </c>
      <c r="I1343">
        <v>1</v>
      </c>
    </row>
    <row r="1344" spans="1:9" x14ac:dyDescent="0.35">
      <c r="A1344" t="s">
        <v>2234</v>
      </c>
      <c r="B1344" t="s">
        <v>1264</v>
      </c>
      <c r="C1344">
        <v>3</v>
      </c>
      <c r="D1344">
        <v>0</v>
      </c>
      <c r="E1344">
        <v>545</v>
      </c>
      <c r="F1344">
        <v>0</v>
      </c>
      <c r="G1344">
        <v>0</v>
      </c>
      <c r="H1344">
        <v>548</v>
      </c>
      <c r="I1344">
        <v>20</v>
      </c>
    </row>
    <row r="1345" spans="1:9" x14ac:dyDescent="0.35">
      <c r="A1345" t="s">
        <v>3067</v>
      </c>
      <c r="B1345" t="s">
        <v>1602</v>
      </c>
      <c r="C1345">
        <v>0</v>
      </c>
      <c r="D1345">
        <v>0</v>
      </c>
      <c r="E1345">
        <v>22</v>
      </c>
      <c r="F1345">
        <v>0</v>
      </c>
      <c r="G1345">
        <v>0</v>
      </c>
      <c r="H1345">
        <v>22</v>
      </c>
      <c r="I1345">
        <v>1</v>
      </c>
    </row>
  </sheetData>
  <sortState xmlns:xlrd2="http://schemas.microsoft.com/office/spreadsheetml/2017/richdata2" ref="K2:M318">
    <sortCondition ref="L2:L318"/>
  </sortState>
  <pageMargins left="0.7" right="0.7" top="0.75" bottom="0.75" header="0.3" footer="0.3"/>
  <pageSetup paperSize="9" orientation="portrait" r:id="rId1"/>
  <headerFooter>
    <oddFooter>&amp;C&amp;1#&amp;"Calibri"&amp;12&amp;K0078D7OFFICIAL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2A67A-E1E4-4CB8-A237-FE54688B8B48}">
  <sheetPr codeName="Sheet11">
    <tabColor rgb="FFFFC000"/>
  </sheetPr>
  <dimension ref="A1:O11679"/>
  <sheetViews>
    <sheetView zoomScale="80" zoomScaleNormal="80" workbookViewId="0">
      <pane ySplit="1" topLeftCell="A712" activePane="bottomLeft" state="frozen"/>
      <selection pane="bottomLeft"/>
    </sheetView>
  </sheetViews>
  <sheetFormatPr defaultColWidth="8.81640625" defaultRowHeight="14.5" x14ac:dyDescent="0.35"/>
  <cols>
    <col min="1" max="1" width="68.7265625" bestFit="1" customWidth="1"/>
    <col min="6" max="6" width="32.81640625" bestFit="1" customWidth="1"/>
    <col min="7" max="7" width="10.54296875" customWidth="1"/>
    <col min="8" max="8" width="9.1796875" customWidth="1"/>
  </cols>
  <sheetData>
    <row r="1" spans="1:15" s="229" customFormat="1" ht="72.5" x14ac:dyDescent="0.35">
      <c r="A1" s="228" t="s">
        <v>2194</v>
      </c>
      <c r="B1" s="228" t="s">
        <v>2193</v>
      </c>
      <c r="C1" s="228" t="s">
        <v>3374</v>
      </c>
      <c r="D1" s="228" t="s">
        <v>3375</v>
      </c>
      <c r="E1" s="228" t="s">
        <v>3376</v>
      </c>
      <c r="F1" s="228" t="s">
        <v>3377</v>
      </c>
      <c r="G1" s="228" t="s">
        <v>78</v>
      </c>
      <c r="H1" s="228" t="s">
        <v>3378</v>
      </c>
      <c r="I1" s="228" t="s">
        <v>1062</v>
      </c>
      <c r="J1" s="228" t="s">
        <v>3369</v>
      </c>
      <c r="K1" s="228" t="s">
        <v>3370</v>
      </c>
      <c r="L1" s="228" t="s">
        <v>3371</v>
      </c>
      <c r="M1" s="228" t="s">
        <v>3372</v>
      </c>
      <c r="N1" s="228" t="s">
        <v>3379</v>
      </c>
      <c r="O1" s="228" t="s">
        <v>3373</v>
      </c>
    </row>
    <row r="2" spans="1:15" x14ac:dyDescent="0.35">
      <c r="A2" s="503" t="s">
        <v>1100</v>
      </c>
      <c r="B2" s="504">
        <v>4865</v>
      </c>
      <c r="C2" s="504" t="s">
        <v>1094</v>
      </c>
      <c r="D2" s="504" t="s">
        <v>3380</v>
      </c>
      <c r="E2" s="504" t="s">
        <v>3381</v>
      </c>
      <c r="F2" s="504" t="s">
        <v>422</v>
      </c>
      <c r="G2" s="504" t="s">
        <v>423</v>
      </c>
      <c r="H2" s="504" t="s">
        <v>3382</v>
      </c>
      <c r="I2" s="504">
        <v>200</v>
      </c>
      <c r="J2" s="504">
        <v>173</v>
      </c>
      <c r="K2" s="504">
        <v>0</v>
      </c>
      <c r="L2" s="504">
        <v>4</v>
      </c>
      <c r="M2" s="504">
        <v>0</v>
      </c>
      <c r="N2" s="504">
        <v>0</v>
      </c>
      <c r="O2" s="505">
        <v>23</v>
      </c>
    </row>
    <row r="3" spans="1:15" x14ac:dyDescent="0.35">
      <c r="A3" s="500" t="s">
        <v>1185</v>
      </c>
      <c r="B3" s="501" t="s">
        <v>3253</v>
      </c>
      <c r="C3" s="501" t="s">
        <v>1094</v>
      </c>
      <c r="D3" s="501" t="s">
        <v>3380</v>
      </c>
      <c r="E3" s="501" t="s">
        <v>3381</v>
      </c>
      <c r="F3" s="501" t="s">
        <v>422</v>
      </c>
      <c r="G3" s="501" t="s">
        <v>423</v>
      </c>
      <c r="H3" s="501" t="s">
        <v>3383</v>
      </c>
      <c r="I3" s="501">
        <v>7</v>
      </c>
      <c r="J3" s="501">
        <v>0</v>
      </c>
      <c r="K3" s="501">
        <v>0</v>
      </c>
      <c r="L3" s="501">
        <v>7</v>
      </c>
      <c r="M3" s="501">
        <v>0</v>
      </c>
      <c r="N3" s="501">
        <v>0</v>
      </c>
      <c r="O3" s="506">
        <v>0</v>
      </c>
    </row>
    <row r="4" spans="1:15" x14ac:dyDescent="0.35">
      <c r="A4" s="503" t="s">
        <v>1107</v>
      </c>
      <c r="B4" s="504" t="s">
        <v>3109</v>
      </c>
      <c r="C4" s="504" t="s">
        <v>1094</v>
      </c>
      <c r="D4" s="504" t="s">
        <v>3380</v>
      </c>
      <c r="E4" s="504" t="s">
        <v>3381</v>
      </c>
      <c r="F4" s="504" t="s">
        <v>422</v>
      </c>
      <c r="G4" s="504" t="s">
        <v>423</v>
      </c>
      <c r="H4" s="504" t="s">
        <v>3384</v>
      </c>
      <c r="I4" s="504">
        <v>4</v>
      </c>
      <c r="J4" s="504">
        <v>0</v>
      </c>
      <c r="K4" s="504">
        <v>0</v>
      </c>
      <c r="L4" s="504">
        <v>4</v>
      </c>
      <c r="M4" s="504">
        <v>0</v>
      </c>
      <c r="N4" s="504">
        <v>0</v>
      </c>
      <c r="O4" s="505">
        <v>0</v>
      </c>
    </row>
    <row r="5" spans="1:15" x14ac:dyDescent="0.35">
      <c r="A5" s="500" t="s">
        <v>1109</v>
      </c>
      <c r="B5" s="501" t="s">
        <v>2959</v>
      </c>
      <c r="C5" s="501" t="s">
        <v>1094</v>
      </c>
      <c r="D5" s="501" t="s">
        <v>3380</v>
      </c>
      <c r="E5" s="501" t="s">
        <v>3381</v>
      </c>
      <c r="F5" s="501" t="s">
        <v>422</v>
      </c>
      <c r="G5" s="501" t="s">
        <v>423</v>
      </c>
      <c r="H5" s="501" t="s">
        <v>3385</v>
      </c>
      <c r="I5" s="501">
        <v>51</v>
      </c>
      <c r="J5" s="501">
        <v>0</v>
      </c>
      <c r="K5" s="501">
        <v>0</v>
      </c>
      <c r="L5" s="501">
        <v>0</v>
      </c>
      <c r="M5" s="501">
        <v>51</v>
      </c>
      <c r="N5" s="501">
        <v>0</v>
      </c>
      <c r="O5" s="506">
        <v>0</v>
      </c>
    </row>
    <row r="6" spans="1:15" x14ac:dyDescent="0.35">
      <c r="A6" s="503" t="s">
        <v>1189</v>
      </c>
      <c r="B6" s="504" t="s">
        <v>3236</v>
      </c>
      <c r="C6" s="504" t="s">
        <v>1094</v>
      </c>
      <c r="D6" s="504" t="s">
        <v>3380</v>
      </c>
      <c r="E6" s="504" t="s">
        <v>3381</v>
      </c>
      <c r="F6" s="504" t="s">
        <v>422</v>
      </c>
      <c r="G6" s="504" t="s">
        <v>423</v>
      </c>
      <c r="H6" s="504" t="s">
        <v>3386</v>
      </c>
      <c r="I6" s="504">
        <v>188</v>
      </c>
      <c r="J6" s="504">
        <v>116</v>
      </c>
      <c r="K6" s="504">
        <v>0</v>
      </c>
      <c r="L6" s="504">
        <v>12</v>
      </c>
      <c r="M6" s="504">
        <v>0</v>
      </c>
      <c r="N6" s="504">
        <v>0</v>
      </c>
      <c r="O6" s="505">
        <v>60</v>
      </c>
    </row>
    <row r="7" spans="1:15" x14ac:dyDescent="0.35">
      <c r="A7" s="500" t="s">
        <v>1202</v>
      </c>
      <c r="B7" s="501" t="s">
        <v>3217</v>
      </c>
      <c r="C7" s="501" t="s">
        <v>1094</v>
      </c>
      <c r="D7" s="501" t="s">
        <v>3380</v>
      </c>
      <c r="E7" s="501" t="s">
        <v>3381</v>
      </c>
      <c r="F7" s="501" t="s">
        <v>422</v>
      </c>
      <c r="G7" s="501" t="s">
        <v>423</v>
      </c>
      <c r="H7" s="501" t="s">
        <v>11822</v>
      </c>
      <c r="I7" s="501">
        <v>1</v>
      </c>
      <c r="J7" s="501">
        <v>0</v>
      </c>
      <c r="K7" s="501">
        <v>0</v>
      </c>
      <c r="L7" s="501">
        <v>0</v>
      </c>
      <c r="M7" s="501">
        <v>0</v>
      </c>
      <c r="N7" s="501">
        <v>0</v>
      </c>
      <c r="O7" s="506">
        <v>1</v>
      </c>
    </row>
    <row r="8" spans="1:15" x14ac:dyDescent="0.35">
      <c r="A8" s="503" t="s">
        <v>1112</v>
      </c>
      <c r="B8" s="504" t="s">
        <v>3008</v>
      </c>
      <c r="C8" s="504" t="s">
        <v>1094</v>
      </c>
      <c r="D8" s="504" t="s">
        <v>3380</v>
      </c>
      <c r="E8" s="504" t="s">
        <v>3381</v>
      </c>
      <c r="F8" s="504" t="s">
        <v>422</v>
      </c>
      <c r="G8" s="504" t="s">
        <v>423</v>
      </c>
      <c r="H8" s="504" t="s">
        <v>3387</v>
      </c>
      <c r="I8" s="504">
        <v>1</v>
      </c>
      <c r="J8" s="504">
        <v>0</v>
      </c>
      <c r="K8" s="504">
        <v>0</v>
      </c>
      <c r="L8" s="504">
        <v>0</v>
      </c>
      <c r="M8" s="504">
        <v>0</v>
      </c>
      <c r="N8" s="504">
        <v>0</v>
      </c>
      <c r="O8" s="505">
        <v>1</v>
      </c>
    </row>
    <row r="9" spans="1:15" x14ac:dyDescent="0.35">
      <c r="A9" s="500" t="s">
        <v>1114</v>
      </c>
      <c r="B9" s="501" t="s">
        <v>2982</v>
      </c>
      <c r="C9" s="501" t="s">
        <v>1094</v>
      </c>
      <c r="D9" s="501" t="s">
        <v>3380</v>
      </c>
      <c r="E9" s="501" t="s">
        <v>3381</v>
      </c>
      <c r="F9" s="501" t="s">
        <v>422</v>
      </c>
      <c r="G9" s="501" t="s">
        <v>423</v>
      </c>
      <c r="H9" s="501" t="s">
        <v>3388</v>
      </c>
      <c r="I9" s="501">
        <v>1</v>
      </c>
      <c r="J9" s="501">
        <v>1</v>
      </c>
      <c r="K9" s="501">
        <v>0</v>
      </c>
      <c r="L9" s="501">
        <v>0</v>
      </c>
      <c r="M9" s="501">
        <v>0</v>
      </c>
      <c r="N9" s="501">
        <v>0</v>
      </c>
      <c r="O9" s="506">
        <v>0</v>
      </c>
    </row>
    <row r="10" spans="1:15" x14ac:dyDescent="0.35">
      <c r="A10" s="503" t="s">
        <v>1217</v>
      </c>
      <c r="B10" s="504">
        <v>4851</v>
      </c>
      <c r="C10" s="504" t="s">
        <v>1094</v>
      </c>
      <c r="D10" s="504" t="s">
        <v>3380</v>
      </c>
      <c r="E10" s="504" t="s">
        <v>3381</v>
      </c>
      <c r="F10" s="504" t="s">
        <v>422</v>
      </c>
      <c r="G10" s="504" t="s">
        <v>423</v>
      </c>
      <c r="H10" s="504" t="s">
        <v>3389</v>
      </c>
      <c r="I10" s="504">
        <v>16</v>
      </c>
      <c r="J10" s="504">
        <v>0</v>
      </c>
      <c r="K10" s="504">
        <v>0</v>
      </c>
      <c r="L10" s="504">
        <v>0</v>
      </c>
      <c r="M10" s="504">
        <v>0</v>
      </c>
      <c r="N10" s="504">
        <v>0</v>
      </c>
      <c r="O10" s="505">
        <v>16</v>
      </c>
    </row>
    <row r="11" spans="1:15" x14ac:dyDescent="0.35">
      <c r="A11" s="500" t="s">
        <v>1218</v>
      </c>
      <c r="B11" s="501" t="s">
        <v>3147</v>
      </c>
      <c r="C11" s="501" t="s">
        <v>1094</v>
      </c>
      <c r="D11" s="501" t="s">
        <v>3380</v>
      </c>
      <c r="E11" s="501" t="s">
        <v>3381</v>
      </c>
      <c r="F11" s="501" t="s">
        <v>422</v>
      </c>
      <c r="G11" s="501" t="s">
        <v>423</v>
      </c>
      <c r="H11" s="501" t="s">
        <v>3390</v>
      </c>
      <c r="I11" s="501">
        <v>3</v>
      </c>
      <c r="J11" s="501">
        <v>0</v>
      </c>
      <c r="K11" s="501">
        <v>0</v>
      </c>
      <c r="L11" s="501">
        <v>0</v>
      </c>
      <c r="M11" s="501">
        <v>0</v>
      </c>
      <c r="N11" s="501">
        <v>0</v>
      </c>
      <c r="O11" s="506">
        <v>3</v>
      </c>
    </row>
    <row r="12" spans="1:15" x14ac:dyDescent="0.35">
      <c r="A12" s="503" t="s">
        <v>1126</v>
      </c>
      <c r="B12" s="504" t="s">
        <v>2974</v>
      </c>
      <c r="C12" s="504" t="s">
        <v>1094</v>
      </c>
      <c r="D12" s="504" t="s">
        <v>3380</v>
      </c>
      <c r="E12" s="504" t="s">
        <v>3381</v>
      </c>
      <c r="F12" s="504" t="s">
        <v>422</v>
      </c>
      <c r="G12" s="504" t="s">
        <v>423</v>
      </c>
      <c r="H12" s="504" t="s">
        <v>3391</v>
      </c>
      <c r="I12" s="504">
        <v>25</v>
      </c>
      <c r="J12" s="504">
        <v>0</v>
      </c>
      <c r="K12" s="504">
        <v>0</v>
      </c>
      <c r="L12" s="504">
        <v>25</v>
      </c>
      <c r="M12" s="504">
        <v>0</v>
      </c>
      <c r="N12" s="504">
        <v>0</v>
      </c>
      <c r="O12" s="505">
        <v>0</v>
      </c>
    </row>
    <row r="13" spans="1:15" x14ac:dyDescent="0.35">
      <c r="A13" s="500" t="s">
        <v>1899</v>
      </c>
      <c r="B13" s="501" t="s">
        <v>3078</v>
      </c>
      <c r="C13" s="501" t="s">
        <v>1089</v>
      </c>
      <c r="D13" s="501" t="s">
        <v>3392</v>
      </c>
      <c r="E13" s="501" t="s">
        <v>3381</v>
      </c>
      <c r="F13" s="501" t="s">
        <v>422</v>
      </c>
      <c r="G13" s="501" t="s">
        <v>423</v>
      </c>
      <c r="H13" s="501" t="s">
        <v>3393</v>
      </c>
      <c r="I13" s="501">
        <v>8</v>
      </c>
      <c r="J13" s="501">
        <v>0</v>
      </c>
      <c r="K13" s="501">
        <v>0</v>
      </c>
      <c r="L13" s="501">
        <v>8</v>
      </c>
      <c r="M13" s="501">
        <v>0</v>
      </c>
      <c r="N13" s="501">
        <v>0</v>
      </c>
      <c r="O13" s="506">
        <v>0</v>
      </c>
    </row>
    <row r="14" spans="1:15" x14ac:dyDescent="0.35">
      <c r="A14" s="503" t="s">
        <v>1130</v>
      </c>
      <c r="B14" s="504" t="s">
        <v>3234</v>
      </c>
      <c r="C14" s="504" t="s">
        <v>1094</v>
      </c>
      <c r="D14" s="504" t="s">
        <v>3380</v>
      </c>
      <c r="E14" s="504" t="s">
        <v>3381</v>
      </c>
      <c r="F14" s="504" t="s">
        <v>422</v>
      </c>
      <c r="G14" s="504" t="s">
        <v>423</v>
      </c>
      <c r="H14" s="504" t="s">
        <v>3394</v>
      </c>
      <c r="I14" s="504">
        <v>369</v>
      </c>
      <c r="J14" s="504">
        <v>200</v>
      </c>
      <c r="K14" s="504">
        <v>0</v>
      </c>
      <c r="L14" s="504">
        <v>0</v>
      </c>
      <c r="M14" s="504">
        <v>87</v>
      </c>
      <c r="N14" s="504">
        <v>3</v>
      </c>
      <c r="O14" s="505">
        <v>82</v>
      </c>
    </row>
    <row r="15" spans="1:15" x14ac:dyDescent="0.35">
      <c r="A15" s="500" t="s">
        <v>1134</v>
      </c>
      <c r="B15" s="501" t="s">
        <v>3066</v>
      </c>
      <c r="C15" s="501" t="s">
        <v>1094</v>
      </c>
      <c r="D15" s="501" t="s">
        <v>3380</v>
      </c>
      <c r="E15" s="501" t="s">
        <v>3381</v>
      </c>
      <c r="F15" s="501" t="s">
        <v>422</v>
      </c>
      <c r="G15" s="501" t="s">
        <v>423</v>
      </c>
      <c r="H15" s="501" t="s">
        <v>3395</v>
      </c>
      <c r="I15" s="501">
        <v>42</v>
      </c>
      <c r="J15" s="501">
        <v>38</v>
      </c>
      <c r="K15" s="501">
        <v>0</v>
      </c>
      <c r="L15" s="501">
        <v>0</v>
      </c>
      <c r="M15" s="501">
        <v>0</v>
      </c>
      <c r="N15" s="501">
        <v>0</v>
      </c>
      <c r="O15" s="506">
        <v>4</v>
      </c>
    </row>
    <row r="16" spans="1:15" x14ac:dyDescent="0.35">
      <c r="A16" s="503" t="s">
        <v>1919</v>
      </c>
      <c r="B16" s="504" t="s">
        <v>3076</v>
      </c>
      <c r="C16" s="504" t="s">
        <v>1089</v>
      </c>
      <c r="D16" s="504" t="s">
        <v>3392</v>
      </c>
      <c r="E16" s="504" t="s">
        <v>3381</v>
      </c>
      <c r="F16" s="504" t="s">
        <v>422</v>
      </c>
      <c r="G16" s="504" t="s">
        <v>423</v>
      </c>
      <c r="H16" s="504" t="s">
        <v>3396</v>
      </c>
      <c r="I16" s="504">
        <v>21</v>
      </c>
      <c r="J16" s="504">
        <v>21</v>
      </c>
      <c r="K16" s="504">
        <v>0</v>
      </c>
      <c r="L16" s="504">
        <v>0</v>
      </c>
      <c r="M16" s="504">
        <v>0</v>
      </c>
      <c r="N16" s="504">
        <v>0</v>
      </c>
      <c r="O16" s="505">
        <v>0</v>
      </c>
    </row>
    <row r="17" spans="1:15" x14ac:dyDescent="0.35">
      <c r="A17" s="500" t="s">
        <v>1249</v>
      </c>
      <c r="B17" s="501">
        <v>4729</v>
      </c>
      <c r="C17" s="501" t="s">
        <v>1094</v>
      </c>
      <c r="D17" s="501" t="s">
        <v>3380</v>
      </c>
      <c r="E17" s="501" t="s">
        <v>3381</v>
      </c>
      <c r="F17" s="501" t="s">
        <v>422</v>
      </c>
      <c r="G17" s="501" t="s">
        <v>423</v>
      </c>
      <c r="H17" s="501" t="s">
        <v>3397</v>
      </c>
      <c r="I17" s="501">
        <v>224</v>
      </c>
      <c r="J17" s="501">
        <v>224</v>
      </c>
      <c r="K17" s="501">
        <v>0</v>
      </c>
      <c r="L17" s="501">
        <v>0</v>
      </c>
      <c r="M17" s="501">
        <v>0</v>
      </c>
      <c r="N17" s="501">
        <v>0</v>
      </c>
      <c r="O17" s="506">
        <v>0</v>
      </c>
    </row>
    <row r="18" spans="1:15" x14ac:dyDescent="0.35">
      <c r="A18" s="503" t="s">
        <v>1262</v>
      </c>
      <c r="B18" s="504">
        <v>4772</v>
      </c>
      <c r="C18" s="504" t="s">
        <v>1089</v>
      </c>
      <c r="D18" s="504" t="s">
        <v>3392</v>
      </c>
      <c r="E18" s="504" t="s">
        <v>3381</v>
      </c>
      <c r="F18" s="504" t="s">
        <v>422</v>
      </c>
      <c r="G18" s="504" t="s">
        <v>423</v>
      </c>
      <c r="H18" s="504" t="s">
        <v>3398</v>
      </c>
      <c r="I18" s="504">
        <v>4</v>
      </c>
      <c r="J18" s="504">
        <v>0</v>
      </c>
      <c r="K18" s="504">
        <v>0</v>
      </c>
      <c r="L18" s="504">
        <v>4</v>
      </c>
      <c r="M18" s="504">
        <v>0</v>
      </c>
      <c r="N18" s="504">
        <v>0</v>
      </c>
      <c r="O18" s="505">
        <v>0</v>
      </c>
    </row>
    <row r="19" spans="1:15" x14ac:dyDescent="0.35">
      <c r="A19" s="500" t="s">
        <v>1942</v>
      </c>
      <c r="B19" s="501" t="s">
        <v>3336</v>
      </c>
      <c r="C19" s="501" t="s">
        <v>1094</v>
      </c>
      <c r="D19" s="501" t="s">
        <v>3380</v>
      </c>
      <c r="E19" s="501" t="s">
        <v>3381</v>
      </c>
      <c r="F19" s="501" t="s">
        <v>422</v>
      </c>
      <c r="G19" s="501" t="s">
        <v>423</v>
      </c>
      <c r="H19" s="501" t="s">
        <v>3399</v>
      </c>
      <c r="I19" s="501">
        <v>126</v>
      </c>
      <c r="J19" s="501">
        <v>113</v>
      </c>
      <c r="K19" s="501">
        <v>0</v>
      </c>
      <c r="L19" s="501">
        <v>0</v>
      </c>
      <c r="M19" s="501">
        <v>0</v>
      </c>
      <c r="N19" s="501">
        <v>0</v>
      </c>
      <c r="O19" s="506">
        <v>13</v>
      </c>
    </row>
    <row r="20" spans="1:15" x14ac:dyDescent="0.35">
      <c r="A20" s="503" t="s">
        <v>1096</v>
      </c>
      <c r="B20" s="504" t="s">
        <v>3326</v>
      </c>
      <c r="C20" s="504" t="s">
        <v>1094</v>
      </c>
      <c r="D20" s="504" t="s">
        <v>3380</v>
      </c>
      <c r="E20" s="504" t="s">
        <v>3381</v>
      </c>
      <c r="F20" s="504" t="s">
        <v>424</v>
      </c>
      <c r="G20" s="504" t="s">
        <v>425</v>
      </c>
      <c r="H20" s="504" t="s">
        <v>3400</v>
      </c>
      <c r="I20" s="504">
        <v>106</v>
      </c>
      <c r="J20" s="504">
        <v>0</v>
      </c>
      <c r="K20" s="504">
        <v>0</v>
      </c>
      <c r="L20" s="504">
        <v>0</v>
      </c>
      <c r="M20" s="504">
        <v>106</v>
      </c>
      <c r="N20" s="504">
        <v>0</v>
      </c>
      <c r="O20" s="505">
        <v>0</v>
      </c>
    </row>
    <row r="21" spans="1:15" x14ac:dyDescent="0.35">
      <c r="A21" s="500" t="s">
        <v>1623</v>
      </c>
      <c r="B21" s="501">
        <v>4858</v>
      </c>
      <c r="C21" s="501" t="s">
        <v>1094</v>
      </c>
      <c r="D21" s="501" t="s">
        <v>3380</v>
      </c>
      <c r="E21" s="501" t="s">
        <v>3381</v>
      </c>
      <c r="F21" s="501" t="s">
        <v>424</v>
      </c>
      <c r="G21" s="501" t="s">
        <v>425</v>
      </c>
      <c r="H21" s="501" t="s">
        <v>3401</v>
      </c>
      <c r="I21" s="501">
        <v>3095</v>
      </c>
      <c r="J21" s="501">
        <v>2928</v>
      </c>
      <c r="K21" s="501">
        <v>0</v>
      </c>
      <c r="L21" s="501">
        <v>0</v>
      </c>
      <c r="M21" s="501">
        <v>149</v>
      </c>
      <c r="N21" s="501">
        <v>0</v>
      </c>
      <c r="O21" s="506">
        <v>18</v>
      </c>
    </row>
    <row r="22" spans="1:15" x14ac:dyDescent="0.35">
      <c r="A22" s="503" t="s">
        <v>1698</v>
      </c>
      <c r="B22" s="504" t="s">
        <v>3149</v>
      </c>
      <c r="C22" s="504" t="s">
        <v>1094</v>
      </c>
      <c r="D22" s="504" t="s">
        <v>3380</v>
      </c>
      <c r="E22" s="504" t="s">
        <v>3381</v>
      </c>
      <c r="F22" s="504" t="s">
        <v>424</v>
      </c>
      <c r="G22" s="504" t="s">
        <v>425</v>
      </c>
      <c r="H22" s="504" t="s">
        <v>3402</v>
      </c>
      <c r="I22" s="504">
        <v>26</v>
      </c>
      <c r="J22" s="504">
        <v>16</v>
      </c>
      <c r="K22" s="504">
        <v>0</v>
      </c>
      <c r="L22" s="504">
        <v>0</v>
      </c>
      <c r="M22" s="504">
        <v>0</v>
      </c>
      <c r="N22" s="504">
        <v>0</v>
      </c>
      <c r="O22" s="505">
        <v>10</v>
      </c>
    </row>
    <row r="23" spans="1:15" x14ac:dyDescent="0.35">
      <c r="A23" s="500" t="s">
        <v>1102</v>
      </c>
      <c r="B23" s="501">
        <v>4663</v>
      </c>
      <c r="C23" s="501" t="s">
        <v>1089</v>
      </c>
      <c r="D23" s="501" t="s">
        <v>3392</v>
      </c>
      <c r="E23" s="501" t="s">
        <v>3381</v>
      </c>
      <c r="F23" s="501" t="s">
        <v>424</v>
      </c>
      <c r="G23" s="501" t="s">
        <v>425</v>
      </c>
      <c r="H23" s="501" t="s">
        <v>3403</v>
      </c>
      <c r="I23" s="501">
        <v>6</v>
      </c>
      <c r="J23" s="501">
        <v>0</v>
      </c>
      <c r="K23" s="501">
        <v>0</v>
      </c>
      <c r="L23" s="501">
        <v>6</v>
      </c>
      <c r="M23" s="501">
        <v>0</v>
      </c>
      <c r="N23" s="501">
        <v>0</v>
      </c>
      <c r="O23" s="506">
        <v>0</v>
      </c>
    </row>
    <row r="24" spans="1:15" x14ac:dyDescent="0.35">
      <c r="A24" s="503" t="s">
        <v>1105</v>
      </c>
      <c r="B24" s="504">
        <v>4668</v>
      </c>
      <c r="C24" s="504" t="s">
        <v>1094</v>
      </c>
      <c r="D24" s="504" t="s">
        <v>3380</v>
      </c>
      <c r="E24" s="504" t="s">
        <v>3381</v>
      </c>
      <c r="F24" s="504" t="s">
        <v>424</v>
      </c>
      <c r="G24" s="504" t="s">
        <v>425</v>
      </c>
      <c r="H24" s="504" t="s">
        <v>3404</v>
      </c>
      <c r="I24" s="504">
        <v>10</v>
      </c>
      <c r="J24" s="504">
        <v>0</v>
      </c>
      <c r="K24" s="504">
        <v>0</v>
      </c>
      <c r="L24" s="504">
        <v>0</v>
      </c>
      <c r="M24" s="504">
        <v>0</v>
      </c>
      <c r="N24" s="504">
        <v>0</v>
      </c>
      <c r="O24" s="505">
        <v>10</v>
      </c>
    </row>
    <row r="25" spans="1:15" x14ac:dyDescent="0.35">
      <c r="A25" s="500" t="s">
        <v>1107</v>
      </c>
      <c r="B25" s="501" t="s">
        <v>3109</v>
      </c>
      <c r="C25" s="501" t="s">
        <v>1094</v>
      </c>
      <c r="D25" s="501" t="s">
        <v>3380</v>
      </c>
      <c r="E25" s="501" t="s">
        <v>3381</v>
      </c>
      <c r="F25" s="501" t="s">
        <v>424</v>
      </c>
      <c r="G25" s="501" t="s">
        <v>425</v>
      </c>
      <c r="H25" s="501" t="s">
        <v>3405</v>
      </c>
      <c r="I25" s="501">
        <v>3755</v>
      </c>
      <c r="J25" s="501">
        <v>3526</v>
      </c>
      <c r="K25" s="501">
        <v>0</v>
      </c>
      <c r="L25" s="501">
        <v>67</v>
      </c>
      <c r="M25" s="501">
        <v>97</v>
      </c>
      <c r="N25" s="501">
        <v>3</v>
      </c>
      <c r="O25" s="506">
        <v>65</v>
      </c>
    </row>
    <row r="26" spans="1:15" x14ac:dyDescent="0.35">
      <c r="A26" s="503" t="s">
        <v>1109</v>
      </c>
      <c r="B26" s="504" t="s">
        <v>2959</v>
      </c>
      <c r="C26" s="504" t="s">
        <v>1094</v>
      </c>
      <c r="D26" s="504" t="s">
        <v>3380</v>
      </c>
      <c r="E26" s="504" t="s">
        <v>3381</v>
      </c>
      <c r="F26" s="504" t="s">
        <v>424</v>
      </c>
      <c r="G26" s="504" t="s">
        <v>425</v>
      </c>
      <c r="H26" s="504" t="s">
        <v>3406</v>
      </c>
      <c r="I26" s="504">
        <v>29</v>
      </c>
      <c r="J26" s="504">
        <v>0</v>
      </c>
      <c r="K26" s="504">
        <v>0</v>
      </c>
      <c r="L26" s="504">
        <v>0</v>
      </c>
      <c r="M26" s="504">
        <v>29</v>
      </c>
      <c r="N26" s="504">
        <v>0</v>
      </c>
      <c r="O26" s="505">
        <v>0</v>
      </c>
    </row>
    <row r="27" spans="1:15" x14ac:dyDescent="0.35">
      <c r="A27" s="500" t="s">
        <v>1190</v>
      </c>
      <c r="B27" s="501">
        <v>4662</v>
      </c>
      <c r="C27" s="501" t="s">
        <v>1094</v>
      </c>
      <c r="D27" s="501" t="s">
        <v>3380</v>
      </c>
      <c r="E27" s="501" t="s">
        <v>3381</v>
      </c>
      <c r="F27" s="501" t="s">
        <v>424</v>
      </c>
      <c r="G27" s="501" t="s">
        <v>425</v>
      </c>
      <c r="H27" s="501" t="s">
        <v>3407</v>
      </c>
      <c r="I27" s="501">
        <v>16</v>
      </c>
      <c r="J27" s="501">
        <v>0</v>
      </c>
      <c r="K27" s="501">
        <v>0</v>
      </c>
      <c r="L27" s="501">
        <v>16</v>
      </c>
      <c r="M27" s="501">
        <v>0</v>
      </c>
      <c r="N27" s="501">
        <v>0</v>
      </c>
      <c r="O27" s="506">
        <v>0</v>
      </c>
    </row>
    <row r="28" spans="1:15" x14ac:dyDescent="0.35">
      <c r="A28" s="503" t="s">
        <v>11454</v>
      </c>
      <c r="B28" s="504">
        <v>4712</v>
      </c>
      <c r="C28" s="504" t="s">
        <v>1089</v>
      </c>
      <c r="D28" s="504" t="s">
        <v>3392</v>
      </c>
      <c r="E28" s="504" t="s">
        <v>3381</v>
      </c>
      <c r="F28" s="504" t="s">
        <v>424</v>
      </c>
      <c r="G28" s="504" t="s">
        <v>425</v>
      </c>
      <c r="H28" s="504" t="s">
        <v>11803</v>
      </c>
      <c r="I28" s="504">
        <v>25</v>
      </c>
      <c r="J28" s="504">
        <v>25</v>
      </c>
      <c r="K28" s="504">
        <v>0</v>
      </c>
      <c r="L28" s="504">
        <v>0</v>
      </c>
      <c r="M28" s="504">
        <v>0</v>
      </c>
      <c r="N28" s="504">
        <v>0</v>
      </c>
      <c r="O28" s="505">
        <v>0</v>
      </c>
    </row>
    <row r="29" spans="1:15" x14ac:dyDescent="0.35">
      <c r="A29" s="500" t="s">
        <v>1738</v>
      </c>
      <c r="B29" s="501" t="s">
        <v>3280</v>
      </c>
      <c r="C29" s="501" t="s">
        <v>1089</v>
      </c>
      <c r="D29" s="501" t="s">
        <v>3392</v>
      </c>
      <c r="E29" s="501" t="s">
        <v>3381</v>
      </c>
      <c r="F29" s="501" t="s">
        <v>424</v>
      </c>
      <c r="G29" s="501" t="s">
        <v>425</v>
      </c>
      <c r="H29" s="501" t="s">
        <v>3408</v>
      </c>
      <c r="I29" s="501">
        <v>55</v>
      </c>
      <c r="J29" s="501">
        <v>55</v>
      </c>
      <c r="K29" s="501">
        <v>0</v>
      </c>
      <c r="L29" s="501">
        <v>0</v>
      </c>
      <c r="M29" s="501">
        <v>0</v>
      </c>
      <c r="N29" s="501">
        <v>0</v>
      </c>
      <c r="O29" s="506">
        <v>0</v>
      </c>
    </row>
    <row r="30" spans="1:15" x14ac:dyDescent="0.35">
      <c r="A30" s="503" t="s">
        <v>1503</v>
      </c>
      <c r="B30" s="504">
        <v>4666</v>
      </c>
      <c r="C30" s="504" t="s">
        <v>1089</v>
      </c>
      <c r="D30" s="504" t="s">
        <v>3392</v>
      </c>
      <c r="E30" s="504" t="s">
        <v>3381</v>
      </c>
      <c r="F30" s="504" t="s">
        <v>424</v>
      </c>
      <c r="G30" s="504" t="s">
        <v>425</v>
      </c>
      <c r="H30" s="504" t="s">
        <v>3409</v>
      </c>
      <c r="I30" s="504">
        <v>13</v>
      </c>
      <c r="J30" s="504">
        <v>0</v>
      </c>
      <c r="K30" s="504">
        <v>0</v>
      </c>
      <c r="L30" s="504">
        <v>13</v>
      </c>
      <c r="M30" s="504">
        <v>0</v>
      </c>
      <c r="N30" s="504">
        <v>0</v>
      </c>
      <c r="O30" s="505">
        <v>0</v>
      </c>
    </row>
    <row r="31" spans="1:15" x14ac:dyDescent="0.35">
      <c r="A31" s="500" t="s">
        <v>1223</v>
      </c>
      <c r="B31" s="501">
        <v>4768</v>
      </c>
      <c r="C31" s="501" t="s">
        <v>1089</v>
      </c>
      <c r="D31" s="501" t="s">
        <v>3392</v>
      </c>
      <c r="E31" s="501" t="s">
        <v>3381</v>
      </c>
      <c r="F31" s="501" t="s">
        <v>424</v>
      </c>
      <c r="G31" s="501" t="s">
        <v>425</v>
      </c>
      <c r="H31" s="501" t="s">
        <v>3410</v>
      </c>
      <c r="I31" s="501">
        <v>5</v>
      </c>
      <c r="J31" s="501">
        <v>0</v>
      </c>
      <c r="K31" s="501">
        <v>0</v>
      </c>
      <c r="L31" s="501">
        <v>5</v>
      </c>
      <c r="M31" s="501">
        <v>0</v>
      </c>
      <c r="N31" s="501">
        <v>0</v>
      </c>
      <c r="O31" s="506">
        <v>0</v>
      </c>
    </row>
    <row r="32" spans="1:15" x14ac:dyDescent="0.35">
      <c r="A32" s="503" t="s">
        <v>1245</v>
      </c>
      <c r="B32" s="504" t="s">
        <v>2859</v>
      </c>
      <c r="C32" s="504" t="s">
        <v>1094</v>
      </c>
      <c r="D32" s="504" t="s">
        <v>3380</v>
      </c>
      <c r="E32" s="504" t="s">
        <v>3381</v>
      </c>
      <c r="F32" s="504" t="s">
        <v>424</v>
      </c>
      <c r="G32" s="504" t="s">
        <v>425</v>
      </c>
      <c r="H32" s="504" t="s">
        <v>3411</v>
      </c>
      <c r="I32" s="504">
        <v>23</v>
      </c>
      <c r="J32" s="504">
        <v>0</v>
      </c>
      <c r="K32" s="504">
        <v>0</v>
      </c>
      <c r="L32" s="504">
        <v>0</v>
      </c>
      <c r="M32" s="504">
        <v>23</v>
      </c>
      <c r="N32" s="504">
        <v>0</v>
      </c>
      <c r="O32" s="505">
        <v>0</v>
      </c>
    </row>
    <row r="33" spans="1:15" x14ac:dyDescent="0.35">
      <c r="A33" s="500" t="s">
        <v>11398</v>
      </c>
      <c r="B33" s="501" t="s">
        <v>3224</v>
      </c>
      <c r="C33" s="501" t="s">
        <v>1089</v>
      </c>
      <c r="D33" s="501" t="s">
        <v>3392</v>
      </c>
      <c r="E33" s="501" t="s">
        <v>3381</v>
      </c>
      <c r="F33" s="501" t="s">
        <v>424</v>
      </c>
      <c r="G33" s="501" t="s">
        <v>425</v>
      </c>
      <c r="H33" s="501" t="s">
        <v>12202</v>
      </c>
      <c r="I33" s="501">
        <v>18</v>
      </c>
      <c r="J33" s="501">
        <v>0</v>
      </c>
      <c r="K33" s="501">
        <v>0</v>
      </c>
      <c r="L33" s="501">
        <v>18</v>
      </c>
      <c r="M33" s="501">
        <v>0</v>
      </c>
      <c r="N33" s="501">
        <v>0</v>
      </c>
      <c r="O33" s="506">
        <v>0</v>
      </c>
    </row>
    <row r="34" spans="1:15" x14ac:dyDescent="0.35">
      <c r="A34" s="503" t="s">
        <v>1253</v>
      </c>
      <c r="B34" s="504" t="s">
        <v>3232</v>
      </c>
      <c r="C34" s="504" t="s">
        <v>1094</v>
      </c>
      <c r="D34" s="504" t="s">
        <v>3380</v>
      </c>
      <c r="E34" s="504" t="s">
        <v>3381</v>
      </c>
      <c r="F34" s="504" t="s">
        <v>424</v>
      </c>
      <c r="G34" s="504" t="s">
        <v>425</v>
      </c>
      <c r="H34" s="504" t="s">
        <v>3412</v>
      </c>
      <c r="I34" s="504">
        <v>1208</v>
      </c>
      <c r="J34" s="504">
        <v>1137</v>
      </c>
      <c r="K34" s="504">
        <v>0</v>
      </c>
      <c r="L34" s="504">
        <v>47</v>
      </c>
      <c r="M34" s="504">
        <v>0</v>
      </c>
      <c r="N34" s="504">
        <v>0</v>
      </c>
      <c r="O34" s="505">
        <v>24</v>
      </c>
    </row>
    <row r="35" spans="1:15" x14ac:dyDescent="0.35">
      <c r="A35" s="500" t="s">
        <v>1785</v>
      </c>
      <c r="B35" s="501" t="s">
        <v>2976</v>
      </c>
      <c r="C35" s="501" t="s">
        <v>1089</v>
      </c>
      <c r="D35" s="501" t="s">
        <v>3392</v>
      </c>
      <c r="E35" s="501" t="s">
        <v>3381</v>
      </c>
      <c r="F35" s="501" t="s">
        <v>424</v>
      </c>
      <c r="G35" s="501" t="s">
        <v>425</v>
      </c>
      <c r="H35" s="501" t="s">
        <v>3413</v>
      </c>
      <c r="I35" s="501">
        <v>616</v>
      </c>
      <c r="J35" s="501">
        <v>616</v>
      </c>
      <c r="K35" s="501">
        <v>0</v>
      </c>
      <c r="L35" s="501">
        <v>0</v>
      </c>
      <c r="M35" s="501">
        <v>0</v>
      </c>
      <c r="N35" s="501">
        <v>3</v>
      </c>
      <c r="O35" s="506">
        <v>0</v>
      </c>
    </row>
    <row r="36" spans="1:15" x14ac:dyDescent="0.35">
      <c r="A36" s="503" t="s">
        <v>1147</v>
      </c>
      <c r="B36" s="504" t="s">
        <v>3274</v>
      </c>
      <c r="C36" s="504" t="s">
        <v>1089</v>
      </c>
      <c r="D36" s="504" t="s">
        <v>3392</v>
      </c>
      <c r="E36" s="504" t="s">
        <v>3381</v>
      </c>
      <c r="F36" s="504" t="s">
        <v>426</v>
      </c>
      <c r="G36" s="504" t="s">
        <v>427</v>
      </c>
      <c r="H36" s="504" t="s">
        <v>3414</v>
      </c>
      <c r="I36" s="504">
        <v>10</v>
      </c>
      <c r="J36" s="504">
        <v>0</v>
      </c>
      <c r="K36" s="504">
        <v>0</v>
      </c>
      <c r="L36" s="504">
        <v>10</v>
      </c>
      <c r="M36" s="504">
        <v>0</v>
      </c>
      <c r="N36" s="504">
        <v>0</v>
      </c>
      <c r="O36" s="505">
        <v>0</v>
      </c>
    </row>
    <row r="37" spans="1:15" x14ac:dyDescent="0.35">
      <c r="A37" s="500" t="s">
        <v>1093</v>
      </c>
      <c r="B37" s="501" t="s">
        <v>3248</v>
      </c>
      <c r="C37" s="501" t="s">
        <v>1094</v>
      </c>
      <c r="D37" s="501" t="s">
        <v>3380</v>
      </c>
      <c r="E37" s="501" t="s">
        <v>3381</v>
      </c>
      <c r="F37" s="501" t="s">
        <v>426</v>
      </c>
      <c r="G37" s="501" t="s">
        <v>427</v>
      </c>
      <c r="H37" s="501" t="s">
        <v>3415</v>
      </c>
      <c r="I37" s="501">
        <v>1</v>
      </c>
      <c r="J37" s="501">
        <v>0</v>
      </c>
      <c r="K37" s="501">
        <v>0</v>
      </c>
      <c r="L37" s="501">
        <v>0</v>
      </c>
      <c r="M37" s="501">
        <v>0</v>
      </c>
      <c r="N37" s="501">
        <v>0</v>
      </c>
      <c r="O37" s="506">
        <v>1</v>
      </c>
    </row>
    <row r="38" spans="1:15" x14ac:dyDescent="0.35">
      <c r="A38" s="503" t="s">
        <v>1096</v>
      </c>
      <c r="B38" s="504" t="s">
        <v>3326</v>
      </c>
      <c r="C38" s="504" t="s">
        <v>1094</v>
      </c>
      <c r="D38" s="504" t="s">
        <v>3380</v>
      </c>
      <c r="E38" s="504" t="s">
        <v>3381</v>
      </c>
      <c r="F38" s="504" t="s">
        <v>426</v>
      </c>
      <c r="G38" s="504" t="s">
        <v>427</v>
      </c>
      <c r="H38" s="504" t="s">
        <v>3416</v>
      </c>
      <c r="I38" s="504">
        <v>48</v>
      </c>
      <c r="J38" s="504">
        <v>0</v>
      </c>
      <c r="K38" s="504">
        <v>0</v>
      </c>
      <c r="L38" s="504">
        <v>0</v>
      </c>
      <c r="M38" s="504">
        <v>48</v>
      </c>
      <c r="N38" s="504">
        <v>0</v>
      </c>
      <c r="O38" s="505">
        <v>0</v>
      </c>
    </row>
    <row r="39" spans="1:15" x14ac:dyDescent="0.35">
      <c r="A39" s="500" t="s">
        <v>1170</v>
      </c>
      <c r="B39" s="501">
        <v>4790</v>
      </c>
      <c r="C39" s="501" t="s">
        <v>1089</v>
      </c>
      <c r="D39" s="501" t="s">
        <v>3392</v>
      </c>
      <c r="E39" s="501" t="s">
        <v>3381</v>
      </c>
      <c r="F39" s="501" t="s">
        <v>426</v>
      </c>
      <c r="G39" s="501" t="s">
        <v>427</v>
      </c>
      <c r="H39" s="501" t="s">
        <v>3417</v>
      </c>
      <c r="I39" s="501">
        <v>21</v>
      </c>
      <c r="J39" s="501">
        <v>21</v>
      </c>
      <c r="K39" s="501">
        <v>0</v>
      </c>
      <c r="L39" s="501">
        <v>0</v>
      </c>
      <c r="M39" s="501">
        <v>0</v>
      </c>
      <c r="N39" s="501">
        <v>0</v>
      </c>
      <c r="O39" s="506">
        <v>0</v>
      </c>
    </row>
    <row r="40" spans="1:15" x14ac:dyDescent="0.35">
      <c r="A40" s="503" t="s">
        <v>1171</v>
      </c>
      <c r="B40" s="504" t="s">
        <v>3003</v>
      </c>
      <c r="C40" s="504" t="s">
        <v>1094</v>
      </c>
      <c r="D40" s="504" t="s">
        <v>3380</v>
      </c>
      <c r="E40" s="504" t="s">
        <v>3381</v>
      </c>
      <c r="F40" s="504" t="s">
        <v>426</v>
      </c>
      <c r="G40" s="504" t="s">
        <v>427</v>
      </c>
      <c r="H40" s="504" t="s">
        <v>3418</v>
      </c>
      <c r="I40" s="504">
        <v>588</v>
      </c>
      <c r="J40" s="504">
        <v>462</v>
      </c>
      <c r="K40" s="504">
        <v>0</v>
      </c>
      <c r="L40" s="504">
        <v>11</v>
      </c>
      <c r="M40" s="504">
        <v>70</v>
      </c>
      <c r="N40" s="504">
        <v>0</v>
      </c>
      <c r="O40" s="505">
        <v>45</v>
      </c>
    </row>
    <row r="41" spans="1:15" x14ac:dyDescent="0.35">
      <c r="A41" s="500" t="s">
        <v>1173</v>
      </c>
      <c r="B41" s="501">
        <v>4775</v>
      </c>
      <c r="C41" s="501" t="s">
        <v>1094</v>
      </c>
      <c r="D41" s="501" t="s">
        <v>3380</v>
      </c>
      <c r="E41" s="501" t="s">
        <v>3381</v>
      </c>
      <c r="F41" s="501" t="s">
        <v>426</v>
      </c>
      <c r="G41" s="501" t="s">
        <v>427</v>
      </c>
      <c r="H41" s="501" t="s">
        <v>3419</v>
      </c>
      <c r="I41" s="501">
        <v>115</v>
      </c>
      <c r="J41" s="501">
        <v>90</v>
      </c>
      <c r="K41" s="501">
        <v>0</v>
      </c>
      <c r="L41" s="501">
        <v>0</v>
      </c>
      <c r="M41" s="501">
        <v>0</v>
      </c>
      <c r="N41" s="501">
        <v>0</v>
      </c>
      <c r="O41" s="506">
        <v>25</v>
      </c>
    </row>
    <row r="42" spans="1:15" x14ac:dyDescent="0.35">
      <c r="A42" s="503" t="s">
        <v>1178</v>
      </c>
      <c r="B42" s="504" t="s">
        <v>3334</v>
      </c>
      <c r="C42" s="504" t="s">
        <v>1094</v>
      </c>
      <c r="D42" s="504" t="s">
        <v>3380</v>
      </c>
      <c r="E42" s="504" t="s">
        <v>3381</v>
      </c>
      <c r="F42" s="504" t="s">
        <v>426</v>
      </c>
      <c r="G42" s="504" t="s">
        <v>427</v>
      </c>
      <c r="H42" s="504" t="s">
        <v>3420</v>
      </c>
      <c r="I42" s="504">
        <v>7</v>
      </c>
      <c r="J42" s="504">
        <v>0</v>
      </c>
      <c r="K42" s="504">
        <v>0</v>
      </c>
      <c r="L42" s="504">
        <v>7</v>
      </c>
      <c r="M42" s="504">
        <v>0</v>
      </c>
      <c r="N42" s="504">
        <v>0</v>
      </c>
      <c r="O42" s="505">
        <v>0</v>
      </c>
    </row>
    <row r="43" spans="1:15" x14ac:dyDescent="0.35">
      <c r="A43" s="500" t="s">
        <v>1180</v>
      </c>
      <c r="B43" s="501" t="s">
        <v>3184</v>
      </c>
      <c r="C43" s="501" t="s">
        <v>1094</v>
      </c>
      <c r="D43" s="501" t="s">
        <v>3380</v>
      </c>
      <c r="E43" s="501" t="s">
        <v>3381</v>
      </c>
      <c r="F43" s="501" t="s">
        <v>426</v>
      </c>
      <c r="G43" s="501" t="s">
        <v>427</v>
      </c>
      <c r="H43" s="501" t="s">
        <v>3421</v>
      </c>
      <c r="I43" s="501">
        <v>5773</v>
      </c>
      <c r="J43" s="501">
        <v>3463</v>
      </c>
      <c r="K43" s="501">
        <v>0</v>
      </c>
      <c r="L43" s="501">
        <v>2</v>
      </c>
      <c r="M43" s="501">
        <v>2211</v>
      </c>
      <c r="N43" s="501">
        <v>0</v>
      </c>
      <c r="O43" s="506">
        <v>97</v>
      </c>
    </row>
    <row r="44" spans="1:15" x14ac:dyDescent="0.35">
      <c r="A44" s="503" t="s">
        <v>14208</v>
      </c>
      <c r="B44" s="504">
        <v>4803</v>
      </c>
      <c r="C44" s="504" t="s">
        <v>1094</v>
      </c>
      <c r="D44" s="504" t="s">
        <v>3380</v>
      </c>
      <c r="E44" s="504" t="s">
        <v>3381</v>
      </c>
      <c r="F44" s="504" t="s">
        <v>426</v>
      </c>
      <c r="G44" s="504" t="s">
        <v>427</v>
      </c>
      <c r="H44" s="504" t="s">
        <v>14427</v>
      </c>
      <c r="I44" s="504">
        <v>8</v>
      </c>
      <c r="J44" s="504">
        <v>0</v>
      </c>
      <c r="K44" s="504">
        <v>0</v>
      </c>
      <c r="L44" s="504">
        <v>8</v>
      </c>
      <c r="M44" s="504">
        <v>0</v>
      </c>
      <c r="N44" s="504">
        <v>0</v>
      </c>
      <c r="O44" s="505">
        <v>0</v>
      </c>
    </row>
    <row r="45" spans="1:15" x14ac:dyDescent="0.35">
      <c r="A45" s="500" t="s">
        <v>1105</v>
      </c>
      <c r="B45" s="501">
        <v>4668</v>
      </c>
      <c r="C45" s="501" t="s">
        <v>1094</v>
      </c>
      <c r="D45" s="501" t="s">
        <v>3380</v>
      </c>
      <c r="E45" s="501" t="s">
        <v>3381</v>
      </c>
      <c r="F45" s="501" t="s">
        <v>426</v>
      </c>
      <c r="G45" s="501" t="s">
        <v>427</v>
      </c>
      <c r="H45" s="501" t="s">
        <v>3422</v>
      </c>
      <c r="I45" s="501">
        <v>5</v>
      </c>
      <c r="J45" s="501">
        <v>0</v>
      </c>
      <c r="K45" s="501">
        <v>0</v>
      </c>
      <c r="L45" s="501">
        <v>0</v>
      </c>
      <c r="M45" s="501">
        <v>0</v>
      </c>
      <c r="N45" s="501">
        <v>0</v>
      </c>
      <c r="O45" s="506">
        <v>5</v>
      </c>
    </row>
    <row r="46" spans="1:15" x14ac:dyDescent="0.35">
      <c r="A46" s="503" t="s">
        <v>1107</v>
      </c>
      <c r="B46" s="504" t="s">
        <v>3109</v>
      </c>
      <c r="C46" s="504" t="s">
        <v>1094</v>
      </c>
      <c r="D46" s="504" t="s">
        <v>3380</v>
      </c>
      <c r="E46" s="504" t="s">
        <v>3381</v>
      </c>
      <c r="F46" s="504" t="s">
        <v>426</v>
      </c>
      <c r="G46" s="504" t="s">
        <v>427</v>
      </c>
      <c r="H46" s="504" t="s">
        <v>3423</v>
      </c>
      <c r="I46" s="504">
        <v>6</v>
      </c>
      <c r="J46" s="504">
        <v>0</v>
      </c>
      <c r="K46" s="504">
        <v>0</v>
      </c>
      <c r="L46" s="504">
        <v>6</v>
      </c>
      <c r="M46" s="504">
        <v>0</v>
      </c>
      <c r="N46" s="504">
        <v>0</v>
      </c>
      <c r="O46" s="505">
        <v>0</v>
      </c>
    </row>
    <row r="47" spans="1:15" x14ac:dyDescent="0.35">
      <c r="A47" s="500" t="s">
        <v>1203</v>
      </c>
      <c r="B47" s="501" t="s">
        <v>3170</v>
      </c>
      <c r="C47" s="501" t="s">
        <v>1094</v>
      </c>
      <c r="D47" s="501" t="s">
        <v>3380</v>
      </c>
      <c r="E47" s="501" t="s">
        <v>3381</v>
      </c>
      <c r="F47" s="501" t="s">
        <v>426</v>
      </c>
      <c r="G47" s="501" t="s">
        <v>427</v>
      </c>
      <c r="H47" s="501" t="s">
        <v>3424</v>
      </c>
      <c r="I47" s="501">
        <v>38</v>
      </c>
      <c r="J47" s="501">
        <v>37</v>
      </c>
      <c r="K47" s="501">
        <v>0</v>
      </c>
      <c r="L47" s="501">
        <v>0</v>
      </c>
      <c r="M47" s="501">
        <v>0</v>
      </c>
      <c r="N47" s="501">
        <v>2</v>
      </c>
      <c r="O47" s="506">
        <v>1</v>
      </c>
    </row>
    <row r="48" spans="1:15" x14ac:dyDescent="0.35">
      <c r="A48" s="503" t="s">
        <v>1112</v>
      </c>
      <c r="B48" s="504" t="s">
        <v>3008</v>
      </c>
      <c r="C48" s="504" t="s">
        <v>1094</v>
      </c>
      <c r="D48" s="504" t="s">
        <v>3380</v>
      </c>
      <c r="E48" s="504" t="s">
        <v>3381</v>
      </c>
      <c r="F48" s="504" t="s">
        <v>426</v>
      </c>
      <c r="G48" s="504" t="s">
        <v>427</v>
      </c>
      <c r="H48" s="504" t="s">
        <v>3425</v>
      </c>
      <c r="I48" s="504">
        <v>126</v>
      </c>
      <c r="J48" s="504">
        <v>102</v>
      </c>
      <c r="K48" s="504">
        <v>0</v>
      </c>
      <c r="L48" s="504">
        <v>21</v>
      </c>
      <c r="M48" s="504">
        <v>3</v>
      </c>
      <c r="N48" s="504">
        <v>0</v>
      </c>
      <c r="O48" s="505">
        <v>0</v>
      </c>
    </row>
    <row r="49" spans="1:15" x14ac:dyDescent="0.35">
      <c r="A49" s="500" t="s">
        <v>1215</v>
      </c>
      <c r="B49" s="501">
        <v>4817</v>
      </c>
      <c r="C49" s="501" t="s">
        <v>1094</v>
      </c>
      <c r="D49" s="501" t="s">
        <v>3380</v>
      </c>
      <c r="E49" s="501" t="s">
        <v>3381</v>
      </c>
      <c r="F49" s="501" t="s">
        <v>426</v>
      </c>
      <c r="G49" s="501" t="s">
        <v>427</v>
      </c>
      <c r="H49" s="501" t="s">
        <v>3426</v>
      </c>
      <c r="I49" s="501">
        <v>201</v>
      </c>
      <c r="J49" s="501">
        <v>152</v>
      </c>
      <c r="K49" s="501">
        <v>0</v>
      </c>
      <c r="L49" s="501">
        <v>19</v>
      </c>
      <c r="M49" s="501">
        <v>0</v>
      </c>
      <c r="N49" s="501">
        <v>0</v>
      </c>
      <c r="O49" s="506">
        <v>30</v>
      </c>
    </row>
    <row r="50" spans="1:15" x14ac:dyDescent="0.35">
      <c r="A50" s="503" t="s">
        <v>11367</v>
      </c>
      <c r="B50" s="504" t="s">
        <v>3143</v>
      </c>
      <c r="C50" s="504" t="s">
        <v>1094</v>
      </c>
      <c r="D50" s="504" t="s">
        <v>3380</v>
      </c>
      <c r="E50" s="504" t="s">
        <v>3381</v>
      </c>
      <c r="F50" s="504" t="s">
        <v>426</v>
      </c>
      <c r="G50" s="504" t="s">
        <v>427</v>
      </c>
      <c r="H50" s="504" t="s">
        <v>11899</v>
      </c>
      <c r="I50" s="504">
        <v>7</v>
      </c>
      <c r="J50" s="504">
        <v>7</v>
      </c>
      <c r="K50" s="504">
        <v>0</v>
      </c>
      <c r="L50" s="504">
        <v>0</v>
      </c>
      <c r="M50" s="504">
        <v>0</v>
      </c>
      <c r="N50" s="504">
        <v>0</v>
      </c>
      <c r="O50" s="505">
        <v>0</v>
      </c>
    </row>
    <row r="51" spans="1:15" x14ac:dyDescent="0.35">
      <c r="A51" s="500" t="s">
        <v>1223</v>
      </c>
      <c r="B51" s="501">
        <v>4768</v>
      </c>
      <c r="C51" s="501" t="s">
        <v>1089</v>
      </c>
      <c r="D51" s="501" t="s">
        <v>3392</v>
      </c>
      <c r="E51" s="501" t="s">
        <v>3381</v>
      </c>
      <c r="F51" s="501" t="s">
        <v>426</v>
      </c>
      <c r="G51" s="501" t="s">
        <v>427</v>
      </c>
      <c r="H51" s="501" t="s">
        <v>3427</v>
      </c>
      <c r="I51" s="501">
        <v>6</v>
      </c>
      <c r="J51" s="501">
        <v>0</v>
      </c>
      <c r="K51" s="501">
        <v>0</v>
      </c>
      <c r="L51" s="501">
        <v>6</v>
      </c>
      <c r="M51" s="501">
        <v>0</v>
      </c>
      <c r="N51" s="501">
        <v>0</v>
      </c>
      <c r="O51" s="506">
        <v>0</v>
      </c>
    </row>
    <row r="52" spans="1:15" x14ac:dyDescent="0.35">
      <c r="A52" s="503" t="s">
        <v>1122</v>
      </c>
      <c r="B52" s="504" t="s">
        <v>2994</v>
      </c>
      <c r="C52" s="504" t="s">
        <v>1094</v>
      </c>
      <c r="D52" s="504" t="s">
        <v>3380</v>
      </c>
      <c r="E52" s="504" t="s">
        <v>3381</v>
      </c>
      <c r="F52" s="504" t="s">
        <v>426</v>
      </c>
      <c r="G52" s="504" t="s">
        <v>427</v>
      </c>
      <c r="H52" s="504" t="s">
        <v>3428</v>
      </c>
      <c r="I52" s="504">
        <v>13</v>
      </c>
      <c r="J52" s="504">
        <v>11</v>
      </c>
      <c r="K52" s="504">
        <v>0</v>
      </c>
      <c r="L52" s="504">
        <v>0</v>
      </c>
      <c r="M52" s="504">
        <v>0</v>
      </c>
      <c r="N52" s="504">
        <v>0</v>
      </c>
      <c r="O52" s="505">
        <v>2</v>
      </c>
    </row>
    <row r="53" spans="1:15" x14ac:dyDescent="0.35">
      <c r="A53" s="500" t="s">
        <v>1226</v>
      </c>
      <c r="B53" s="501">
        <v>5084</v>
      </c>
      <c r="C53" s="501" t="s">
        <v>1094</v>
      </c>
      <c r="D53" s="501" t="s">
        <v>3380</v>
      </c>
      <c r="E53" s="501" t="s">
        <v>3381</v>
      </c>
      <c r="F53" s="501" t="s">
        <v>426</v>
      </c>
      <c r="G53" s="501" t="s">
        <v>427</v>
      </c>
      <c r="H53" s="501" t="s">
        <v>3429</v>
      </c>
      <c r="I53" s="501">
        <v>75</v>
      </c>
      <c r="J53" s="501">
        <v>64</v>
      </c>
      <c r="K53" s="501">
        <v>0</v>
      </c>
      <c r="L53" s="501">
        <v>0</v>
      </c>
      <c r="M53" s="501">
        <v>0</v>
      </c>
      <c r="N53" s="501">
        <v>0</v>
      </c>
      <c r="O53" s="506">
        <v>11</v>
      </c>
    </row>
    <row r="54" spans="1:15" x14ac:dyDescent="0.35">
      <c r="A54" s="503" t="s">
        <v>1228</v>
      </c>
      <c r="B54" s="504" t="s">
        <v>3321</v>
      </c>
      <c r="C54" s="504" t="s">
        <v>1094</v>
      </c>
      <c r="D54" s="504" t="s">
        <v>3380</v>
      </c>
      <c r="E54" s="504" t="s">
        <v>3381</v>
      </c>
      <c r="F54" s="504" t="s">
        <v>426</v>
      </c>
      <c r="G54" s="504" t="s">
        <v>427</v>
      </c>
      <c r="H54" s="504" t="s">
        <v>3430</v>
      </c>
      <c r="I54" s="504">
        <v>10</v>
      </c>
      <c r="J54" s="504">
        <v>0</v>
      </c>
      <c r="K54" s="504">
        <v>0</v>
      </c>
      <c r="L54" s="504">
        <v>10</v>
      </c>
      <c r="M54" s="504">
        <v>0</v>
      </c>
      <c r="N54" s="504">
        <v>0</v>
      </c>
      <c r="O54" s="505">
        <v>0</v>
      </c>
    </row>
    <row r="55" spans="1:15" x14ac:dyDescent="0.35">
      <c r="A55" s="500" t="s">
        <v>1124</v>
      </c>
      <c r="B55" s="501">
        <v>4745</v>
      </c>
      <c r="C55" s="501" t="s">
        <v>1094</v>
      </c>
      <c r="D55" s="501" t="s">
        <v>3380</v>
      </c>
      <c r="E55" s="501" t="s">
        <v>3381</v>
      </c>
      <c r="F55" s="501" t="s">
        <v>426</v>
      </c>
      <c r="G55" s="501" t="s">
        <v>427</v>
      </c>
      <c r="H55" s="501" t="s">
        <v>3431</v>
      </c>
      <c r="I55" s="501">
        <v>2</v>
      </c>
      <c r="J55" s="501">
        <v>0</v>
      </c>
      <c r="K55" s="501">
        <v>0</v>
      </c>
      <c r="L55" s="501">
        <v>2</v>
      </c>
      <c r="M55" s="501">
        <v>0</v>
      </c>
      <c r="N55" s="501">
        <v>0</v>
      </c>
      <c r="O55" s="506">
        <v>0</v>
      </c>
    </row>
    <row r="56" spans="1:15" x14ac:dyDescent="0.35">
      <c r="A56" s="503" t="s">
        <v>1233</v>
      </c>
      <c r="B56" s="504">
        <v>4636</v>
      </c>
      <c r="C56" s="504" t="s">
        <v>1094</v>
      </c>
      <c r="D56" s="504" t="s">
        <v>3380</v>
      </c>
      <c r="E56" s="504" t="s">
        <v>3381</v>
      </c>
      <c r="F56" s="504" t="s">
        <v>426</v>
      </c>
      <c r="G56" s="504" t="s">
        <v>427</v>
      </c>
      <c r="H56" s="504" t="s">
        <v>14428</v>
      </c>
      <c r="I56" s="504">
        <v>11</v>
      </c>
      <c r="J56" s="504">
        <v>11</v>
      </c>
      <c r="K56" s="504">
        <v>0</v>
      </c>
      <c r="L56" s="504">
        <v>0</v>
      </c>
      <c r="M56" s="504">
        <v>0</v>
      </c>
      <c r="N56" s="504">
        <v>0</v>
      </c>
      <c r="O56" s="505">
        <v>0</v>
      </c>
    </row>
    <row r="57" spans="1:15" x14ac:dyDescent="0.35">
      <c r="A57" s="500" t="s">
        <v>1236</v>
      </c>
      <c r="B57" s="501" t="s">
        <v>2468</v>
      </c>
      <c r="C57" s="501" t="s">
        <v>1089</v>
      </c>
      <c r="D57" s="501" t="s">
        <v>3392</v>
      </c>
      <c r="E57" s="501" t="s">
        <v>3381</v>
      </c>
      <c r="F57" s="501" t="s">
        <v>426</v>
      </c>
      <c r="G57" s="501" t="s">
        <v>427</v>
      </c>
      <c r="H57" s="501" t="s">
        <v>3432</v>
      </c>
      <c r="I57" s="501">
        <v>8</v>
      </c>
      <c r="J57" s="501">
        <v>0</v>
      </c>
      <c r="K57" s="501">
        <v>0</v>
      </c>
      <c r="L57" s="501">
        <v>0</v>
      </c>
      <c r="M57" s="501">
        <v>8</v>
      </c>
      <c r="N57" s="501">
        <v>0</v>
      </c>
      <c r="O57" s="506">
        <v>0</v>
      </c>
    </row>
    <row r="58" spans="1:15" x14ac:dyDescent="0.35">
      <c r="A58" s="503" t="s">
        <v>1134</v>
      </c>
      <c r="B58" s="504" t="s">
        <v>3066</v>
      </c>
      <c r="C58" s="504" t="s">
        <v>1094</v>
      </c>
      <c r="D58" s="504" t="s">
        <v>3380</v>
      </c>
      <c r="E58" s="504" t="s">
        <v>3381</v>
      </c>
      <c r="F58" s="504" t="s">
        <v>426</v>
      </c>
      <c r="G58" s="504" t="s">
        <v>427</v>
      </c>
      <c r="H58" s="504" t="s">
        <v>3433</v>
      </c>
      <c r="I58" s="504">
        <v>9</v>
      </c>
      <c r="J58" s="504">
        <v>9</v>
      </c>
      <c r="K58" s="504">
        <v>0</v>
      </c>
      <c r="L58" s="504">
        <v>0</v>
      </c>
      <c r="M58" s="504">
        <v>0</v>
      </c>
      <c r="N58" s="504">
        <v>0</v>
      </c>
      <c r="O58" s="505">
        <v>0</v>
      </c>
    </row>
    <row r="59" spans="1:15" x14ac:dyDescent="0.35">
      <c r="A59" s="500" t="s">
        <v>1249</v>
      </c>
      <c r="B59" s="501">
        <v>4729</v>
      </c>
      <c r="C59" s="501" t="s">
        <v>1094</v>
      </c>
      <c r="D59" s="501" t="s">
        <v>3380</v>
      </c>
      <c r="E59" s="501" t="s">
        <v>3381</v>
      </c>
      <c r="F59" s="501" t="s">
        <v>426</v>
      </c>
      <c r="G59" s="501" t="s">
        <v>427</v>
      </c>
      <c r="H59" s="501" t="s">
        <v>3434</v>
      </c>
      <c r="I59" s="501">
        <v>425</v>
      </c>
      <c r="J59" s="501">
        <v>329</v>
      </c>
      <c r="K59" s="501">
        <v>0</v>
      </c>
      <c r="L59" s="501">
        <v>2</v>
      </c>
      <c r="M59" s="501">
        <v>93</v>
      </c>
      <c r="N59" s="501">
        <v>1</v>
      </c>
      <c r="O59" s="506">
        <v>1</v>
      </c>
    </row>
    <row r="60" spans="1:15" x14ac:dyDescent="0.35">
      <c r="A60" s="503" t="s">
        <v>1253</v>
      </c>
      <c r="B60" s="504" t="s">
        <v>3232</v>
      </c>
      <c r="C60" s="504" t="s">
        <v>1094</v>
      </c>
      <c r="D60" s="504" t="s">
        <v>3380</v>
      </c>
      <c r="E60" s="504" t="s">
        <v>3381</v>
      </c>
      <c r="F60" s="504" t="s">
        <v>426</v>
      </c>
      <c r="G60" s="504" t="s">
        <v>427</v>
      </c>
      <c r="H60" s="504" t="s">
        <v>3435</v>
      </c>
      <c r="I60" s="504">
        <v>56</v>
      </c>
      <c r="J60" s="504">
        <v>21</v>
      </c>
      <c r="K60" s="504">
        <v>0</v>
      </c>
      <c r="L60" s="504">
        <v>35</v>
      </c>
      <c r="M60" s="504">
        <v>0</v>
      </c>
      <c r="N60" s="504">
        <v>0</v>
      </c>
      <c r="O60" s="505">
        <v>0</v>
      </c>
    </row>
    <row r="61" spans="1:15" x14ac:dyDescent="0.35">
      <c r="A61" s="500" t="s">
        <v>1256</v>
      </c>
      <c r="B61" s="501" t="s">
        <v>2573</v>
      </c>
      <c r="C61" s="501" t="s">
        <v>1089</v>
      </c>
      <c r="D61" s="501" t="s">
        <v>3392</v>
      </c>
      <c r="E61" s="501" t="s">
        <v>3381</v>
      </c>
      <c r="F61" s="501" t="s">
        <v>426</v>
      </c>
      <c r="G61" s="501" t="s">
        <v>427</v>
      </c>
      <c r="H61" s="501" t="s">
        <v>3436</v>
      </c>
      <c r="I61" s="501">
        <v>6</v>
      </c>
      <c r="J61" s="501">
        <v>6</v>
      </c>
      <c r="K61" s="501">
        <v>0</v>
      </c>
      <c r="L61" s="501">
        <v>0</v>
      </c>
      <c r="M61" s="501">
        <v>0</v>
      </c>
      <c r="N61" s="501">
        <v>0</v>
      </c>
      <c r="O61" s="506">
        <v>0</v>
      </c>
    </row>
    <row r="62" spans="1:15" x14ac:dyDescent="0.35">
      <c r="A62" s="503" t="s">
        <v>1265</v>
      </c>
      <c r="B62" s="504" t="s">
        <v>2933</v>
      </c>
      <c r="C62" s="504" t="s">
        <v>1089</v>
      </c>
      <c r="D62" s="504" t="s">
        <v>3392</v>
      </c>
      <c r="E62" s="504" t="s">
        <v>3381</v>
      </c>
      <c r="F62" s="504" t="s">
        <v>426</v>
      </c>
      <c r="G62" s="504" t="s">
        <v>427</v>
      </c>
      <c r="H62" s="504" t="s">
        <v>3437</v>
      </c>
      <c r="I62" s="504">
        <v>17</v>
      </c>
      <c r="J62" s="504">
        <v>0</v>
      </c>
      <c r="K62" s="504">
        <v>0</v>
      </c>
      <c r="L62" s="504">
        <v>17</v>
      </c>
      <c r="M62" s="504">
        <v>0</v>
      </c>
      <c r="N62" s="504">
        <v>0</v>
      </c>
      <c r="O62" s="505">
        <v>0</v>
      </c>
    </row>
    <row r="63" spans="1:15" x14ac:dyDescent="0.35">
      <c r="A63" s="500" t="s">
        <v>11411</v>
      </c>
      <c r="B63" s="501" t="s">
        <v>2906</v>
      </c>
      <c r="C63" s="501" t="s">
        <v>1089</v>
      </c>
      <c r="D63" s="501" t="s">
        <v>3392</v>
      </c>
      <c r="E63" s="501" t="s">
        <v>3381</v>
      </c>
      <c r="F63" s="501" t="s">
        <v>428</v>
      </c>
      <c r="G63" s="501" t="s">
        <v>429</v>
      </c>
      <c r="H63" s="501" t="s">
        <v>11482</v>
      </c>
      <c r="I63" s="501">
        <v>11</v>
      </c>
      <c r="J63" s="501">
        <v>0</v>
      </c>
      <c r="K63" s="501">
        <v>0</v>
      </c>
      <c r="L63" s="501">
        <v>0</v>
      </c>
      <c r="M63" s="501">
        <v>11</v>
      </c>
      <c r="N63" s="501">
        <v>0</v>
      </c>
      <c r="O63" s="506">
        <v>0</v>
      </c>
    </row>
    <row r="64" spans="1:15" x14ac:dyDescent="0.35">
      <c r="A64" s="503" t="s">
        <v>1091</v>
      </c>
      <c r="B64" s="504" t="s">
        <v>3288</v>
      </c>
      <c r="C64" s="504" t="s">
        <v>1089</v>
      </c>
      <c r="D64" s="504" t="s">
        <v>3392</v>
      </c>
      <c r="E64" s="504" t="s">
        <v>3381</v>
      </c>
      <c r="F64" s="504" t="s">
        <v>428</v>
      </c>
      <c r="G64" s="504" t="s">
        <v>429</v>
      </c>
      <c r="H64" s="504" t="s">
        <v>3438</v>
      </c>
      <c r="I64" s="504">
        <v>6</v>
      </c>
      <c r="J64" s="504">
        <v>0</v>
      </c>
      <c r="K64" s="504">
        <v>0</v>
      </c>
      <c r="L64" s="504">
        <v>6</v>
      </c>
      <c r="M64" s="504">
        <v>0</v>
      </c>
      <c r="N64" s="504">
        <v>0</v>
      </c>
      <c r="O64" s="505">
        <v>0</v>
      </c>
    </row>
    <row r="65" spans="1:15" x14ac:dyDescent="0.35">
      <c r="A65" s="500" t="s">
        <v>1096</v>
      </c>
      <c r="B65" s="501" t="s">
        <v>3326</v>
      </c>
      <c r="C65" s="501" t="s">
        <v>1094</v>
      </c>
      <c r="D65" s="501" t="s">
        <v>3380</v>
      </c>
      <c r="E65" s="501" t="s">
        <v>3381</v>
      </c>
      <c r="F65" s="501" t="s">
        <v>428</v>
      </c>
      <c r="G65" s="501" t="s">
        <v>429</v>
      </c>
      <c r="H65" s="501" t="s">
        <v>3439</v>
      </c>
      <c r="I65" s="501">
        <v>33</v>
      </c>
      <c r="J65" s="501">
        <v>0</v>
      </c>
      <c r="K65" s="501">
        <v>0</v>
      </c>
      <c r="L65" s="501">
        <v>0</v>
      </c>
      <c r="M65" s="501">
        <v>33</v>
      </c>
      <c r="N65" s="501">
        <v>0</v>
      </c>
      <c r="O65" s="506">
        <v>0</v>
      </c>
    </row>
    <row r="66" spans="1:15" x14ac:dyDescent="0.35">
      <c r="A66" s="503" t="s">
        <v>1802</v>
      </c>
      <c r="B66" s="504">
        <v>4872</v>
      </c>
      <c r="C66" s="504" t="s">
        <v>1089</v>
      </c>
      <c r="D66" s="504" t="s">
        <v>3380</v>
      </c>
      <c r="E66" s="504" t="s">
        <v>3381</v>
      </c>
      <c r="F66" s="504" t="s">
        <v>428</v>
      </c>
      <c r="G66" s="504" t="s">
        <v>429</v>
      </c>
      <c r="H66" s="504" t="s">
        <v>14429</v>
      </c>
      <c r="I66" s="504">
        <v>28</v>
      </c>
      <c r="J66" s="504">
        <v>0</v>
      </c>
      <c r="K66" s="504">
        <v>0</v>
      </c>
      <c r="L66" s="504">
        <v>0</v>
      </c>
      <c r="M66" s="504">
        <v>0</v>
      </c>
      <c r="N66" s="504">
        <v>0</v>
      </c>
      <c r="O66" s="505">
        <v>28</v>
      </c>
    </row>
    <row r="67" spans="1:15" x14ac:dyDescent="0.35">
      <c r="A67" s="500" t="s">
        <v>1161</v>
      </c>
      <c r="B67" s="501" t="s">
        <v>3001</v>
      </c>
      <c r="C67" s="501" t="s">
        <v>1094</v>
      </c>
      <c r="D67" s="501" t="s">
        <v>3380</v>
      </c>
      <c r="E67" s="501" t="s">
        <v>3381</v>
      </c>
      <c r="F67" s="501" t="s">
        <v>428</v>
      </c>
      <c r="G67" s="501" t="s">
        <v>429</v>
      </c>
      <c r="H67" s="501" t="s">
        <v>3440</v>
      </c>
      <c r="I67" s="501">
        <v>1</v>
      </c>
      <c r="J67" s="501">
        <v>0</v>
      </c>
      <c r="K67" s="501">
        <v>0</v>
      </c>
      <c r="L67" s="501">
        <v>0</v>
      </c>
      <c r="M67" s="501">
        <v>0</v>
      </c>
      <c r="N67" s="501">
        <v>0</v>
      </c>
      <c r="O67" s="506">
        <v>1</v>
      </c>
    </row>
    <row r="68" spans="1:15" x14ac:dyDescent="0.35">
      <c r="A68" s="503" t="s">
        <v>1100</v>
      </c>
      <c r="B68" s="504">
        <v>4865</v>
      </c>
      <c r="C68" s="504" t="s">
        <v>1094</v>
      </c>
      <c r="D68" s="504" t="s">
        <v>3380</v>
      </c>
      <c r="E68" s="504" t="s">
        <v>3381</v>
      </c>
      <c r="F68" s="504" t="s">
        <v>428</v>
      </c>
      <c r="G68" s="504" t="s">
        <v>429</v>
      </c>
      <c r="H68" s="504" t="s">
        <v>3441</v>
      </c>
      <c r="I68" s="504">
        <v>514</v>
      </c>
      <c r="J68" s="504">
        <v>336</v>
      </c>
      <c r="K68" s="504">
        <v>0</v>
      </c>
      <c r="L68" s="504">
        <v>24</v>
      </c>
      <c r="M68" s="504">
        <v>18</v>
      </c>
      <c r="N68" s="504">
        <v>0</v>
      </c>
      <c r="O68" s="505">
        <v>136</v>
      </c>
    </row>
    <row r="69" spans="1:15" x14ac:dyDescent="0.35">
      <c r="A69" s="500" t="s">
        <v>14208</v>
      </c>
      <c r="B69" s="501">
        <v>4803</v>
      </c>
      <c r="C69" s="501" t="s">
        <v>1094</v>
      </c>
      <c r="D69" s="501" t="s">
        <v>3380</v>
      </c>
      <c r="E69" s="501" t="s">
        <v>3381</v>
      </c>
      <c r="F69" s="501" t="s">
        <v>428</v>
      </c>
      <c r="G69" s="501" t="s">
        <v>429</v>
      </c>
      <c r="H69" s="501" t="s">
        <v>14430</v>
      </c>
      <c r="I69" s="501">
        <v>6</v>
      </c>
      <c r="J69" s="501">
        <v>0</v>
      </c>
      <c r="K69" s="501">
        <v>0</v>
      </c>
      <c r="L69" s="501">
        <v>6</v>
      </c>
      <c r="M69" s="501">
        <v>0</v>
      </c>
      <c r="N69" s="501">
        <v>0</v>
      </c>
      <c r="O69" s="506">
        <v>0</v>
      </c>
    </row>
    <row r="70" spans="1:15" x14ac:dyDescent="0.35">
      <c r="A70" s="503" t="s">
        <v>1187</v>
      </c>
      <c r="B70" s="504" t="s">
        <v>2951</v>
      </c>
      <c r="C70" s="504" t="s">
        <v>1094</v>
      </c>
      <c r="D70" s="504" t="s">
        <v>3380</v>
      </c>
      <c r="E70" s="504" t="s">
        <v>3381</v>
      </c>
      <c r="F70" s="504" t="s">
        <v>428</v>
      </c>
      <c r="G70" s="504" t="s">
        <v>429</v>
      </c>
      <c r="H70" s="504" t="s">
        <v>3442</v>
      </c>
      <c r="I70" s="504">
        <v>38</v>
      </c>
      <c r="J70" s="504">
        <v>38</v>
      </c>
      <c r="K70" s="504">
        <v>0</v>
      </c>
      <c r="L70" s="504">
        <v>0</v>
      </c>
      <c r="M70" s="504">
        <v>0</v>
      </c>
      <c r="N70" s="504">
        <v>0</v>
      </c>
      <c r="O70" s="505">
        <v>0</v>
      </c>
    </row>
    <row r="71" spans="1:15" x14ac:dyDescent="0.35">
      <c r="A71" s="500" t="s">
        <v>1105</v>
      </c>
      <c r="B71" s="501">
        <v>4668</v>
      </c>
      <c r="C71" s="501" t="s">
        <v>1094</v>
      </c>
      <c r="D71" s="501" t="s">
        <v>3380</v>
      </c>
      <c r="E71" s="501" t="s">
        <v>3381</v>
      </c>
      <c r="F71" s="501" t="s">
        <v>428</v>
      </c>
      <c r="G71" s="501" t="s">
        <v>429</v>
      </c>
      <c r="H71" s="501" t="s">
        <v>3443</v>
      </c>
      <c r="I71" s="501">
        <v>30</v>
      </c>
      <c r="J71" s="501">
        <v>0</v>
      </c>
      <c r="K71" s="501">
        <v>0</v>
      </c>
      <c r="L71" s="501">
        <v>0</v>
      </c>
      <c r="M71" s="501">
        <v>0</v>
      </c>
      <c r="N71" s="501">
        <v>0</v>
      </c>
      <c r="O71" s="506">
        <v>30</v>
      </c>
    </row>
    <row r="72" spans="1:15" x14ac:dyDescent="0.35">
      <c r="A72" s="503" t="s">
        <v>1107</v>
      </c>
      <c r="B72" s="504" t="s">
        <v>3109</v>
      </c>
      <c r="C72" s="504" t="s">
        <v>1094</v>
      </c>
      <c r="D72" s="504" t="s">
        <v>3380</v>
      </c>
      <c r="E72" s="504" t="s">
        <v>3381</v>
      </c>
      <c r="F72" s="504" t="s">
        <v>428</v>
      </c>
      <c r="G72" s="504" t="s">
        <v>429</v>
      </c>
      <c r="H72" s="504" t="s">
        <v>3444</v>
      </c>
      <c r="I72" s="504">
        <v>144</v>
      </c>
      <c r="J72" s="504">
        <v>90</v>
      </c>
      <c r="K72" s="504">
        <v>0</v>
      </c>
      <c r="L72" s="504">
        <v>29</v>
      </c>
      <c r="M72" s="504">
        <v>0</v>
      </c>
      <c r="N72" s="504">
        <v>0</v>
      </c>
      <c r="O72" s="505">
        <v>25</v>
      </c>
    </row>
    <row r="73" spans="1:15" x14ac:dyDescent="0.35">
      <c r="A73" s="500" t="s">
        <v>1109</v>
      </c>
      <c r="B73" s="501" t="s">
        <v>2959</v>
      </c>
      <c r="C73" s="501" t="s">
        <v>1094</v>
      </c>
      <c r="D73" s="501" t="s">
        <v>3380</v>
      </c>
      <c r="E73" s="501" t="s">
        <v>3381</v>
      </c>
      <c r="F73" s="501" t="s">
        <v>428</v>
      </c>
      <c r="G73" s="501" t="s">
        <v>429</v>
      </c>
      <c r="H73" s="501" t="s">
        <v>11757</v>
      </c>
      <c r="I73" s="501">
        <v>60</v>
      </c>
      <c r="J73" s="501">
        <v>0</v>
      </c>
      <c r="K73" s="501">
        <v>0</v>
      </c>
      <c r="L73" s="501">
        <v>0</v>
      </c>
      <c r="M73" s="501">
        <v>31</v>
      </c>
      <c r="N73" s="501">
        <v>0</v>
      </c>
      <c r="O73" s="506">
        <v>29</v>
      </c>
    </row>
    <row r="74" spans="1:15" x14ac:dyDescent="0.35">
      <c r="A74" s="503" t="s">
        <v>1189</v>
      </c>
      <c r="B74" s="504" t="s">
        <v>3236</v>
      </c>
      <c r="C74" s="504" t="s">
        <v>1094</v>
      </c>
      <c r="D74" s="504" t="s">
        <v>3380</v>
      </c>
      <c r="E74" s="504" t="s">
        <v>3381</v>
      </c>
      <c r="F74" s="504" t="s">
        <v>428</v>
      </c>
      <c r="G74" s="504" t="s">
        <v>429</v>
      </c>
      <c r="H74" s="504" t="s">
        <v>3445</v>
      </c>
      <c r="I74" s="504">
        <v>307</v>
      </c>
      <c r="J74" s="504">
        <v>265</v>
      </c>
      <c r="K74" s="504">
        <v>1</v>
      </c>
      <c r="L74" s="504">
        <v>3</v>
      </c>
      <c r="M74" s="504">
        <v>0</v>
      </c>
      <c r="N74" s="504">
        <v>1</v>
      </c>
      <c r="O74" s="505">
        <v>38</v>
      </c>
    </row>
    <row r="75" spans="1:15" x14ac:dyDescent="0.35">
      <c r="A75" s="500" t="s">
        <v>1858</v>
      </c>
      <c r="B75" s="501" t="s">
        <v>3043</v>
      </c>
      <c r="C75" s="501" t="s">
        <v>1089</v>
      </c>
      <c r="D75" s="501" t="s">
        <v>3392</v>
      </c>
      <c r="E75" s="501" t="s">
        <v>3381</v>
      </c>
      <c r="F75" s="501" t="s">
        <v>428</v>
      </c>
      <c r="G75" s="501" t="s">
        <v>429</v>
      </c>
      <c r="H75" s="501" t="s">
        <v>3446</v>
      </c>
      <c r="I75" s="501">
        <v>93</v>
      </c>
      <c r="J75" s="501">
        <v>2</v>
      </c>
      <c r="K75" s="501">
        <v>0</v>
      </c>
      <c r="L75" s="501">
        <v>4</v>
      </c>
      <c r="M75" s="501">
        <v>87</v>
      </c>
      <c r="N75" s="501">
        <v>0</v>
      </c>
      <c r="O75" s="506">
        <v>0</v>
      </c>
    </row>
    <row r="76" spans="1:15" x14ac:dyDescent="0.35">
      <c r="A76" s="503" t="s">
        <v>1202</v>
      </c>
      <c r="B76" s="504" t="s">
        <v>3217</v>
      </c>
      <c r="C76" s="504" t="s">
        <v>1094</v>
      </c>
      <c r="D76" s="504" t="s">
        <v>3380</v>
      </c>
      <c r="E76" s="504" t="s">
        <v>3381</v>
      </c>
      <c r="F76" s="504" t="s">
        <v>428</v>
      </c>
      <c r="G76" s="504" t="s">
        <v>429</v>
      </c>
      <c r="H76" s="504" t="s">
        <v>11823</v>
      </c>
      <c r="I76" s="504">
        <v>3</v>
      </c>
      <c r="J76" s="504">
        <v>0</v>
      </c>
      <c r="K76" s="504">
        <v>0</v>
      </c>
      <c r="L76" s="504">
        <v>0</v>
      </c>
      <c r="M76" s="504">
        <v>0</v>
      </c>
      <c r="N76" s="504">
        <v>0</v>
      </c>
      <c r="O76" s="505">
        <v>3</v>
      </c>
    </row>
    <row r="77" spans="1:15" x14ac:dyDescent="0.35">
      <c r="A77" s="500" t="s">
        <v>1863</v>
      </c>
      <c r="B77" s="501" t="s">
        <v>3173</v>
      </c>
      <c r="C77" s="501" t="s">
        <v>1094</v>
      </c>
      <c r="D77" s="501" t="s">
        <v>3380</v>
      </c>
      <c r="E77" s="501" t="s">
        <v>3381</v>
      </c>
      <c r="F77" s="501" t="s">
        <v>428</v>
      </c>
      <c r="G77" s="501" t="s">
        <v>429</v>
      </c>
      <c r="H77" s="501" t="s">
        <v>3447</v>
      </c>
      <c r="I77" s="501">
        <v>117</v>
      </c>
      <c r="J77" s="501">
        <v>79</v>
      </c>
      <c r="K77" s="501">
        <v>0</v>
      </c>
      <c r="L77" s="501">
        <v>34</v>
      </c>
      <c r="M77" s="501">
        <v>0</v>
      </c>
      <c r="N77" s="501">
        <v>0</v>
      </c>
      <c r="O77" s="506">
        <v>4</v>
      </c>
    </row>
    <row r="78" spans="1:15" x14ac:dyDescent="0.35">
      <c r="A78" s="503" t="s">
        <v>1114</v>
      </c>
      <c r="B78" s="504" t="s">
        <v>2982</v>
      </c>
      <c r="C78" s="504" t="s">
        <v>1094</v>
      </c>
      <c r="D78" s="504" t="s">
        <v>3380</v>
      </c>
      <c r="E78" s="504" t="s">
        <v>3381</v>
      </c>
      <c r="F78" s="504" t="s">
        <v>428</v>
      </c>
      <c r="G78" s="504" t="s">
        <v>429</v>
      </c>
      <c r="H78" s="504" t="s">
        <v>3448</v>
      </c>
      <c r="I78" s="504">
        <v>1</v>
      </c>
      <c r="J78" s="504">
        <v>0</v>
      </c>
      <c r="K78" s="504">
        <v>0</v>
      </c>
      <c r="L78" s="504">
        <v>0</v>
      </c>
      <c r="M78" s="504">
        <v>0</v>
      </c>
      <c r="N78" s="504">
        <v>0</v>
      </c>
      <c r="O78" s="505">
        <v>1</v>
      </c>
    </row>
    <row r="79" spans="1:15" x14ac:dyDescent="0.35">
      <c r="A79" s="500" t="s">
        <v>1120</v>
      </c>
      <c r="B79" s="501" t="s">
        <v>3362</v>
      </c>
      <c r="C79" s="501" t="s">
        <v>1094</v>
      </c>
      <c r="D79" s="501" t="s">
        <v>3380</v>
      </c>
      <c r="E79" s="501" t="s">
        <v>3381</v>
      </c>
      <c r="F79" s="501" t="s">
        <v>428</v>
      </c>
      <c r="G79" s="501" t="s">
        <v>429</v>
      </c>
      <c r="H79" s="501" t="s">
        <v>3449</v>
      </c>
      <c r="I79" s="501">
        <v>1</v>
      </c>
      <c r="J79" s="501">
        <v>0</v>
      </c>
      <c r="K79" s="501">
        <v>0</v>
      </c>
      <c r="L79" s="501">
        <v>0</v>
      </c>
      <c r="M79" s="501">
        <v>0</v>
      </c>
      <c r="N79" s="501">
        <v>0</v>
      </c>
      <c r="O79" s="506">
        <v>1</v>
      </c>
    </row>
    <row r="80" spans="1:15" x14ac:dyDescent="0.35">
      <c r="A80" s="503" t="s">
        <v>1217</v>
      </c>
      <c r="B80" s="504">
        <v>4851</v>
      </c>
      <c r="C80" s="504" t="s">
        <v>1094</v>
      </c>
      <c r="D80" s="504" t="s">
        <v>3380</v>
      </c>
      <c r="E80" s="504" t="s">
        <v>3381</v>
      </c>
      <c r="F80" s="504" t="s">
        <v>428</v>
      </c>
      <c r="G80" s="504" t="s">
        <v>429</v>
      </c>
      <c r="H80" s="504" t="s">
        <v>3450</v>
      </c>
      <c r="I80" s="504">
        <v>900</v>
      </c>
      <c r="J80" s="504">
        <v>589</v>
      </c>
      <c r="K80" s="504">
        <v>0</v>
      </c>
      <c r="L80" s="504">
        <v>0</v>
      </c>
      <c r="M80" s="504">
        <v>72</v>
      </c>
      <c r="N80" s="504">
        <v>6</v>
      </c>
      <c r="O80" s="505">
        <v>239</v>
      </c>
    </row>
    <row r="81" spans="1:15" x14ac:dyDescent="0.35">
      <c r="A81" s="500" t="s">
        <v>1220</v>
      </c>
      <c r="B81" s="501">
        <v>4849</v>
      </c>
      <c r="C81" s="501" t="s">
        <v>1094</v>
      </c>
      <c r="D81" s="501" t="s">
        <v>3380</v>
      </c>
      <c r="E81" s="501" t="s">
        <v>3381</v>
      </c>
      <c r="F81" s="501" t="s">
        <v>428</v>
      </c>
      <c r="G81" s="501" t="s">
        <v>429</v>
      </c>
      <c r="H81" s="501" t="s">
        <v>3451</v>
      </c>
      <c r="I81" s="501">
        <v>18</v>
      </c>
      <c r="J81" s="501">
        <v>11</v>
      </c>
      <c r="K81" s="501">
        <v>0</v>
      </c>
      <c r="L81" s="501">
        <v>0</v>
      </c>
      <c r="M81" s="501">
        <v>0</v>
      </c>
      <c r="N81" s="501">
        <v>0</v>
      </c>
      <c r="O81" s="506">
        <v>7</v>
      </c>
    </row>
    <row r="82" spans="1:15" x14ac:dyDescent="0.35">
      <c r="A82" s="503" t="s">
        <v>1122</v>
      </c>
      <c r="B82" s="504" t="s">
        <v>2994</v>
      </c>
      <c r="C82" s="504" t="s">
        <v>1094</v>
      </c>
      <c r="D82" s="504" t="s">
        <v>3380</v>
      </c>
      <c r="E82" s="504" t="s">
        <v>3381</v>
      </c>
      <c r="F82" s="504" t="s">
        <v>428</v>
      </c>
      <c r="G82" s="504" t="s">
        <v>429</v>
      </c>
      <c r="H82" s="504" t="s">
        <v>3452</v>
      </c>
      <c r="I82" s="504">
        <v>397</v>
      </c>
      <c r="J82" s="504">
        <v>397</v>
      </c>
      <c r="K82" s="504">
        <v>0</v>
      </c>
      <c r="L82" s="504">
        <v>0</v>
      </c>
      <c r="M82" s="504">
        <v>0</v>
      </c>
      <c r="N82" s="504">
        <v>0</v>
      </c>
      <c r="O82" s="505">
        <v>0</v>
      </c>
    </row>
    <row r="83" spans="1:15" x14ac:dyDescent="0.35">
      <c r="A83" s="500" t="s">
        <v>1124</v>
      </c>
      <c r="B83" s="501">
        <v>4745</v>
      </c>
      <c r="C83" s="501" t="s">
        <v>1094</v>
      </c>
      <c r="D83" s="501" t="s">
        <v>3380</v>
      </c>
      <c r="E83" s="501" t="s">
        <v>3381</v>
      </c>
      <c r="F83" s="501" t="s">
        <v>428</v>
      </c>
      <c r="G83" s="501" t="s">
        <v>429</v>
      </c>
      <c r="H83" s="501" t="s">
        <v>3453</v>
      </c>
      <c r="I83" s="501">
        <v>6</v>
      </c>
      <c r="J83" s="501">
        <v>0</v>
      </c>
      <c r="K83" s="501">
        <v>0</v>
      </c>
      <c r="L83" s="501">
        <v>6</v>
      </c>
      <c r="M83" s="501">
        <v>0</v>
      </c>
      <c r="N83" s="501">
        <v>0</v>
      </c>
      <c r="O83" s="506">
        <v>0</v>
      </c>
    </row>
    <row r="84" spans="1:15" x14ac:dyDescent="0.35">
      <c r="A84" s="503" t="s">
        <v>1126</v>
      </c>
      <c r="B84" s="504" t="s">
        <v>2974</v>
      </c>
      <c r="C84" s="504" t="s">
        <v>1094</v>
      </c>
      <c r="D84" s="504" t="s">
        <v>3380</v>
      </c>
      <c r="E84" s="504" t="s">
        <v>3381</v>
      </c>
      <c r="F84" s="504" t="s">
        <v>428</v>
      </c>
      <c r="G84" s="504" t="s">
        <v>429</v>
      </c>
      <c r="H84" s="504" t="s">
        <v>3454</v>
      </c>
      <c r="I84" s="504">
        <v>174</v>
      </c>
      <c r="J84" s="504">
        <v>143</v>
      </c>
      <c r="K84" s="504">
        <v>0</v>
      </c>
      <c r="L84" s="504">
        <v>31</v>
      </c>
      <c r="M84" s="504">
        <v>0</v>
      </c>
      <c r="N84" s="504">
        <v>0</v>
      </c>
      <c r="O84" s="505">
        <v>0</v>
      </c>
    </row>
    <row r="85" spans="1:15" x14ac:dyDescent="0.35">
      <c r="A85" s="500" t="s">
        <v>1892</v>
      </c>
      <c r="B85" s="501" t="s">
        <v>3172</v>
      </c>
      <c r="C85" s="501" t="s">
        <v>1094</v>
      </c>
      <c r="D85" s="501" t="s">
        <v>3380</v>
      </c>
      <c r="E85" s="501" t="s">
        <v>3381</v>
      </c>
      <c r="F85" s="501" t="s">
        <v>428</v>
      </c>
      <c r="G85" s="501" t="s">
        <v>429</v>
      </c>
      <c r="H85" s="501" t="s">
        <v>3455</v>
      </c>
      <c r="I85" s="501">
        <v>187</v>
      </c>
      <c r="J85" s="501">
        <v>19</v>
      </c>
      <c r="K85" s="501">
        <v>0</v>
      </c>
      <c r="L85" s="501">
        <v>11</v>
      </c>
      <c r="M85" s="501">
        <v>100</v>
      </c>
      <c r="N85" s="501">
        <v>0</v>
      </c>
      <c r="O85" s="506">
        <v>57</v>
      </c>
    </row>
    <row r="86" spans="1:15" x14ac:dyDescent="0.35">
      <c r="A86" s="503" t="s">
        <v>1899</v>
      </c>
      <c r="B86" s="504" t="s">
        <v>3078</v>
      </c>
      <c r="C86" s="504" t="s">
        <v>1089</v>
      </c>
      <c r="D86" s="504" t="s">
        <v>3392</v>
      </c>
      <c r="E86" s="504" t="s">
        <v>3381</v>
      </c>
      <c r="F86" s="504" t="s">
        <v>428</v>
      </c>
      <c r="G86" s="504" t="s">
        <v>429</v>
      </c>
      <c r="H86" s="504" t="s">
        <v>3456</v>
      </c>
      <c r="I86" s="504">
        <v>2</v>
      </c>
      <c r="J86" s="504">
        <v>0</v>
      </c>
      <c r="K86" s="504">
        <v>0</v>
      </c>
      <c r="L86" s="504">
        <v>2</v>
      </c>
      <c r="M86" s="504">
        <v>0</v>
      </c>
      <c r="N86" s="504">
        <v>0</v>
      </c>
      <c r="O86" s="505">
        <v>0</v>
      </c>
    </row>
    <row r="87" spans="1:15" x14ac:dyDescent="0.35">
      <c r="A87" s="500" t="s">
        <v>1130</v>
      </c>
      <c r="B87" s="501" t="s">
        <v>3234</v>
      </c>
      <c r="C87" s="501" t="s">
        <v>1094</v>
      </c>
      <c r="D87" s="501" t="s">
        <v>3380</v>
      </c>
      <c r="E87" s="501" t="s">
        <v>3381</v>
      </c>
      <c r="F87" s="501" t="s">
        <v>428</v>
      </c>
      <c r="G87" s="501" t="s">
        <v>429</v>
      </c>
      <c r="H87" s="501" t="s">
        <v>3457</v>
      </c>
      <c r="I87" s="501">
        <v>485</v>
      </c>
      <c r="J87" s="501">
        <v>406</v>
      </c>
      <c r="K87" s="501">
        <v>0</v>
      </c>
      <c r="L87" s="501">
        <v>0</v>
      </c>
      <c r="M87" s="501">
        <v>26</v>
      </c>
      <c r="N87" s="501">
        <v>4</v>
      </c>
      <c r="O87" s="506">
        <v>53</v>
      </c>
    </row>
    <row r="88" spans="1:15" x14ac:dyDescent="0.35">
      <c r="A88" s="503" t="s">
        <v>11416</v>
      </c>
      <c r="B88" s="504">
        <v>4738</v>
      </c>
      <c r="C88" s="504" t="s">
        <v>1089</v>
      </c>
      <c r="D88" s="504" t="s">
        <v>3392</v>
      </c>
      <c r="E88" s="504" t="s">
        <v>3381</v>
      </c>
      <c r="F88" s="504" t="s">
        <v>428</v>
      </c>
      <c r="G88" s="504" t="s">
        <v>429</v>
      </c>
      <c r="H88" s="504" t="s">
        <v>12142</v>
      </c>
      <c r="I88" s="504">
        <v>64</v>
      </c>
      <c r="J88" s="504">
        <v>0</v>
      </c>
      <c r="K88" s="504">
        <v>0</v>
      </c>
      <c r="L88" s="504">
        <v>64</v>
      </c>
      <c r="M88" s="504">
        <v>0</v>
      </c>
      <c r="N88" s="504">
        <v>0</v>
      </c>
      <c r="O88" s="505">
        <v>0</v>
      </c>
    </row>
    <row r="89" spans="1:15" x14ac:dyDescent="0.35">
      <c r="A89" s="500" t="s">
        <v>1134</v>
      </c>
      <c r="B89" s="501" t="s">
        <v>3066</v>
      </c>
      <c r="C89" s="501" t="s">
        <v>1094</v>
      </c>
      <c r="D89" s="501" t="s">
        <v>3380</v>
      </c>
      <c r="E89" s="501" t="s">
        <v>3381</v>
      </c>
      <c r="F89" s="501" t="s">
        <v>428</v>
      </c>
      <c r="G89" s="501" t="s">
        <v>429</v>
      </c>
      <c r="H89" s="501" t="s">
        <v>3458</v>
      </c>
      <c r="I89" s="501">
        <v>202</v>
      </c>
      <c r="J89" s="501">
        <v>168</v>
      </c>
      <c r="K89" s="501">
        <v>0</v>
      </c>
      <c r="L89" s="501">
        <v>0</v>
      </c>
      <c r="M89" s="501">
        <v>0</v>
      </c>
      <c r="N89" s="501">
        <v>0</v>
      </c>
      <c r="O89" s="506">
        <v>34</v>
      </c>
    </row>
    <row r="90" spans="1:15" x14ac:dyDescent="0.35">
      <c r="A90" s="503" t="s">
        <v>1136</v>
      </c>
      <c r="B90" s="504">
        <v>4680</v>
      </c>
      <c r="C90" s="504" t="s">
        <v>1094</v>
      </c>
      <c r="D90" s="504" t="s">
        <v>3380</v>
      </c>
      <c r="E90" s="504" t="s">
        <v>3381</v>
      </c>
      <c r="F90" s="504" t="s">
        <v>428</v>
      </c>
      <c r="G90" s="504" t="s">
        <v>429</v>
      </c>
      <c r="H90" s="504" t="s">
        <v>14431</v>
      </c>
      <c r="I90" s="504">
        <v>6</v>
      </c>
      <c r="J90" s="504">
        <v>6</v>
      </c>
      <c r="K90" s="504">
        <v>0</v>
      </c>
      <c r="L90" s="504">
        <v>0</v>
      </c>
      <c r="M90" s="504">
        <v>0</v>
      </c>
      <c r="N90" s="504">
        <v>0</v>
      </c>
      <c r="O90" s="505">
        <v>0</v>
      </c>
    </row>
    <row r="91" spans="1:15" x14ac:dyDescent="0.35">
      <c r="A91" s="500" t="s">
        <v>1249</v>
      </c>
      <c r="B91" s="501">
        <v>4729</v>
      </c>
      <c r="C91" s="501" t="s">
        <v>1094</v>
      </c>
      <c r="D91" s="501" t="s">
        <v>3380</v>
      </c>
      <c r="E91" s="501" t="s">
        <v>3381</v>
      </c>
      <c r="F91" s="501" t="s">
        <v>428</v>
      </c>
      <c r="G91" s="501" t="s">
        <v>429</v>
      </c>
      <c r="H91" s="501" t="s">
        <v>3459</v>
      </c>
      <c r="I91" s="501">
        <v>163</v>
      </c>
      <c r="J91" s="501">
        <v>135</v>
      </c>
      <c r="K91" s="501">
        <v>0</v>
      </c>
      <c r="L91" s="501">
        <v>0</v>
      </c>
      <c r="M91" s="501">
        <v>0</v>
      </c>
      <c r="N91" s="501">
        <v>0</v>
      </c>
      <c r="O91" s="506">
        <v>28</v>
      </c>
    </row>
    <row r="92" spans="1:15" x14ac:dyDescent="0.35">
      <c r="A92" s="503" t="s">
        <v>1587</v>
      </c>
      <c r="B92" s="504" t="s">
        <v>2978</v>
      </c>
      <c r="C92" s="504" t="s">
        <v>1094</v>
      </c>
      <c r="D92" s="504" t="s">
        <v>3380</v>
      </c>
      <c r="E92" s="504" t="s">
        <v>3381</v>
      </c>
      <c r="F92" s="504" t="s">
        <v>428</v>
      </c>
      <c r="G92" s="504" t="s">
        <v>429</v>
      </c>
      <c r="H92" s="504" t="s">
        <v>3460</v>
      </c>
      <c r="I92" s="504">
        <v>1</v>
      </c>
      <c r="J92" s="504">
        <v>0</v>
      </c>
      <c r="K92" s="504">
        <v>0</v>
      </c>
      <c r="L92" s="504">
        <v>0</v>
      </c>
      <c r="M92" s="504">
        <v>0</v>
      </c>
      <c r="N92" s="504">
        <v>0</v>
      </c>
      <c r="O92" s="505">
        <v>1</v>
      </c>
    </row>
    <row r="93" spans="1:15" x14ac:dyDescent="0.35">
      <c r="A93" s="500" t="s">
        <v>1942</v>
      </c>
      <c r="B93" s="501" t="s">
        <v>3336</v>
      </c>
      <c r="C93" s="501" t="s">
        <v>1094</v>
      </c>
      <c r="D93" s="501" t="s">
        <v>3380</v>
      </c>
      <c r="E93" s="501" t="s">
        <v>3381</v>
      </c>
      <c r="F93" s="501" t="s">
        <v>428</v>
      </c>
      <c r="G93" s="501" t="s">
        <v>429</v>
      </c>
      <c r="H93" s="501" t="s">
        <v>3461</v>
      </c>
      <c r="I93" s="501">
        <v>489</v>
      </c>
      <c r="J93" s="501">
        <v>407</v>
      </c>
      <c r="K93" s="501">
        <v>0</v>
      </c>
      <c r="L93" s="501">
        <v>0</v>
      </c>
      <c r="M93" s="501">
        <v>0</v>
      </c>
      <c r="N93" s="501">
        <v>0</v>
      </c>
      <c r="O93" s="506">
        <v>82</v>
      </c>
    </row>
    <row r="94" spans="1:15" x14ac:dyDescent="0.35">
      <c r="A94" s="503" t="s">
        <v>1145</v>
      </c>
      <c r="B94" s="504" t="s">
        <v>3164</v>
      </c>
      <c r="C94" s="504" t="s">
        <v>1094</v>
      </c>
      <c r="D94" s="504" t="s">
        <v>3380</v>
      </c>
      <c r="E94" s="504" t="s">
        <v>3381</v>
      </c>
      <c r="F94" s="504" t="s">
        <v>430</v>
      </c>
      <c r="G94" s="504" t="s">
        <v>431</v>
      </c>
      <c r="H94" s="504" t="s">
        <v>3462</v>
      </c>
      <c r="I94" s="504">
        <v>64</v>
      </c>
      <c r="J94" s="504">
        <v>64</v>
      </c>
      <c r="K94" s="504">
        <v>0</v>
      </c>
      <c r="L94" s="504">
        <v>0</v>
      </c>
      <c r="M94" s="504">
        <v>0</v>
      </c>
      <c r="N94" s="504">
        <v>0</v>
      </c>
      <c r="O94" s="505">
        <v>0</v>
      </c>
    </row>
    <row r="95" spans="1:15" x14ac:dyDescent="0.35">
      <c r="A95" s="500" t="s">
        <v>1096</v>
      </c>
      <c r="B95" s="501" t="s">
        <v>3326</v>
      </c>
      <c r="C95" s="501" t="s">
        <v>1094</v>
      </c>
      <c r="D95" s="501" t="s">
        <v>3380</v>
      </c>
      <c r="E95" s="501" t="s">
        <v>3381</v>
      </c>
      <c r="F95" s="501" t="s">
        <v>430</v>
      </c>
      <c r="G95" s="501" t="s">
        <v>431</v>
      </c>
      <c r="H95" s="501" t="s">
        <v>3463</v>
      </c>
      <c r="I95" s="501">
        <v>37</v>
      </c>
      <c r="J95" s="501">
        <v>0</v>
      </c>
      <c r="K95" s="501">
        <v>0</v>
      </c>
      <c r="L95" s="501">
        <v>0</v>
      </c>
      <c r="M95" s="501">
        <v>37</v>
      </c>
      <c r="N95" s="501">
        <v>0</v>
      </c>
      <c r="O95" s="506">
        <v>0</v>
      </c>
    </row>
    <row r="96" spans="1:15" x14ac:dyDescent="0.35">
      <c r="A96" s="503" t="s">
        <v>11363</v>
      </c>
      <c r="B96" s="504">
        <v>4718</v>
      </c>
      <c r="C96" s="504" t="s">
        <v>1094</v>
      </c>
      <c r="D96" s="504" t="s">
        <v>3380</v>
      </c>
      <c r="E96" s="504" t="s">
        <v>3381</v>
      </c>
      <c r="F96" s="504" t="s">
        <v>430</v>
      </c>
      <c r="G96" s="504" t="s">
        <v>431</v>
      </c>
      <c r="H96" s="504" t="s">
        <v>11512</v>
      </c>
      <c r="I96" s="504">
        <v>4</v>
      </c>
      <c r="J96" s="504">
        <v>0</v>
      </c>
      <c r="K96" s="504">
        <v>0</v>
      </c>
      <c r="L96" s="504">
        <v>4</v>
      </c>
      <c r="M96" s="504">
        <v>0</v>
      </c>
      <c r="N96" s="504">
        <v>0</v>
      </c>
      <c r="O96" s="505">
        <v>0</v>
      </c>
    </row>
    <row r="97" spans="1:15" x14ac:dyDescent="0.35">
      <c r="A97" s="500" t="s">
        <v>1171</v>
      </c>
      <c r="B97" s="501" t="s">
        <v>3003</v>
      </c>
      <c r="C97" s="501" t="s">
        <v>1094</v>
      </c>
      <c r="D97" s="501" t="s">
        <v>3380</v>
      </c>
      <c r="E97" s="501" t="s">
        <v>3381</v>
      </c>
      <c r="F97" s="501" t="s">
        <v>430</v>
      </c>
      <c r="G97" s="501" t="s">
        <v>431</v>
      </c>
      <c r="H97" s="501" t="s">
        <v>3464</v>
      </c>
      <c r="I97" s="501">
        <v>491</v>
      </c>
      <c r="J97" s="501">
        <v>439</v>
      </c>
      <c r="K97" s="501">
        <v>0</v>
      </c>
      <c r="L97" s="501">
        <v>0</v>
      </c>
      <c r="M97" s="501">
        <v>0</v>
      </c>
      <c r="N97" s="501">
        <v>0</v>
      </c>
      <c r="O97" s="506">
        <v>52</v>
      </c>
    </row>
    <row r="98" spans="1:15" x14ac:dyDescent="0.35">
      <c r="A98" s="503" t="s">
        <v>1173</v>
      </c>
      <c r="B98" s="504">
        <v>4775</v>
      </c>
      <c r="C98" s="504" t="s">
        <v>1094</v>
      </c>
      <c r="D98" s="504" t="s">
        <v>3380</v>
      </c>
      <c r="E98" s="504" t="s">
        <v>3381</v>
      </c>
      <c r="F98" s="504" t="s">
        <v>430</v>
      </c>
      <c r="G98" s="504" t="s">
        <v>431</v>
      </c>
      <c r="H98" s="504" t="s">
        <v>3465</v>
      </c>
      <c r="I98" s="504">
        <v>780</v>
      </c>
      <c r="J98" s="504">
        <v>578</v>
      </c>
      <c r="K98" s="504">
        <v>0</v>
      </c>
      <c r="L98" s="504">
        <v>50</v>
      </c>
      <c r="M98" s="504">
        <v>17</v>
      </c>
      <c r="N98" s="504">
        <v>0</v>
      </c>
      <c r="O98" s="505">
        <v>135</v>
      </c>
    </row>
    <row r="99" spans="1:15" x14ac:dyDescent="0.35">
      <c r="A99" s="500" t="s">
        <v>1178</v>
      </c>
      <c r="B99" s="501" t="s">
        <v>3334</v>
      </c>
      <c r="C99" s="501" t="s">
        <v>1094</v>
      </c>
      <c r="D99" s="501" t="s">
        <v>3380</v>
      </c>
      <c r="E99" s="501" t="s">
        <v>3381</v>
      </c>
      <c r="F99" s="501" t="s">
        <v>430</v>
      </c>
      <c r="G99" s="501" t="s">
        <v>431</v>
      </c>
      <c r="H99" s="501" t="s">
        <v>3466</v>
      </c>
      <c r="I99" s="501">
        <v>59</v>
      </c>
      <c r="J99" s="501">
        <v>0</v>
      </c>
      <c r="K99" s="501">
        <v>0</v>
      </c>
      <c r="L99" s="501">
        <v>59</v>
      </c>
      <c r="M99" s="501">
        <v>0</v>
      </c>
      <c r="N99" s="501">
        <v>2</v>
      </c>
      <c r="O99" s="506">
        <v>0</v>
      </c>
    </row>
    <row r="100" spans="1:15" x14ac:dyDescent="0.35">
      <c r="A100" s="503" t="s">
        <v>1179</v>
      </c>
      <c r="B100" s="504">
        <v>4829</v>
      </c>
      <c r="C100" s="504" t="s">
        <v>1089</v>
      </c>
      <c r="D100" s="504" t="s">
        <v>3392</v>
      </c>
      <c r="E100" s="504" t="s">
        <v>3381</v>
      </c>
      <c r="F100" s="504" t="s">
        <v>430</v>
      </c>
      <c r="G100" s="504" t="s">
        <v>431</v>
      </c>
      <c r="H100" s="504" t="s">
        <v>3467</v>
      </c>
      <c r="I100" s="504">
        <v>1</v>
      </c>
      <c r="J100" s="504">
        <v>0</v>
      </c>
      <c r="K100" s="504">
        <v>0</v>
      </c>
      <c r="L100" s="504">
        <v>1</v>
      </c>
      <c r="M100" s="504">
        <v>0</v>
      </c>
      <c r="N100" s="504">
        <v>0</v>
      </c>
      <c r="O100" s="505">
        <v>0</v>
      </c>
    </row>
    <row r="101" spans="1:15" x14ac:dyDescent="0.35">
      <c r="A101" s="500" t="s">
        <v>1180</v>
      </c>
      <c r="B101" s="501" t="s">
        <v>3184</v>
      </c>
      <c r="C101" s="501" t="s">
        <v>1094</v>
      </c>
      <c r="D101" s="501" t="s">
        <v>3380</v>
      </c>
      <c r="E101" s="501" t="s">
        <v>3381</v>
      </c>
      <c r="F101" s="501" t="s">
        <v>430</v>
      </c>
      <c r="G101" s="501" t="s">
        <v>431</v>
      </c>
      <c r="H101" s="501" t="s">
        <v>3468</v>
      </c>
      <c r="I101" s="501">
        <v>5</v>
      </c>
      <c r="J101" s="501">
        <v>5</v>
      </c>
      <c r="K101" s="501">
        <v>0</v>
      </c>
      <c r="L101" s="501">
        <v>0</v>
      </c>
      <c r="M101" s="501">
        <v>0</v>
      </c>
      <c r="N101" s="501">
        <v>0</v>
      </c>
      <c r="O101" s="506">
        <v>0</v>
      </c>
    </row>
    <row r="102" spans="1:15" x14ac:dyDescent="0.35">
      <c r="A102" s="503" t="s">
        <v>14208</v>
      </c>
      <c r="B102" s="504">
        <v>4803</v>
      </c>
      <c r="C102" s="504" t="s">
        <v>1094</v>
      </c>
      <c r="D102" s="504" t="s">
        <v>3380</v>
      </c>
      <c r="E102" s="504" t="s">
        <v>3381</v>
      </c>
      <c r="F102" s="504" t="s">
        <v>430</v>
      </c>
      <c r="G102" s="504" t="s">
        <v>431</v>
      </c>
      <c r="H102" s="504" t="s">
        <v>14432</v>
      </c>
      <c r="I102" s="504">
        <v>19</v>
      </c>
      <c r="J102" s="504">
        <v>0</v>
      </c>
      <c r="K102" s="504">
        <v>0</v>
      </c>
      <c r="L102" s="504">
        <v>19</v>
      </c>
      <c r="M102" s="504">
        <v>0</v>
      </c>
      <c r="N102" s="504">
        <v>0</v>
      </c>
      <c r="O102" s="505">
        <v>0</v>
      </c>
    </row>
    <row r="103" spans="1:15" x14ac:dyDescent="0.35">
      <c r="A103" s="500" t="s">
        <v>1105</v>
      </c>
      <c r="B103" s="501">
        <v>4668</v>
      </c>
      <c r="C103" s="501" t="s">
        <v>1094</v>
      </c>
      <c r="D103" s="501" t="s">
        <v>3380</v>
      </c>
      <c r="E103" s="501" t="s">
        <v>3381</v>
      </c>
      <c r="F103" s="501" t="s">
        <v>430</v>
      </c>
      <c r="G103" s="501" t="s">
        <v>431</v>
      </c>
      <c r="H103" s="501" t="s">
        <v>3469</v>
      </c>
      <c r="I103" s="501">
        <v>1</v>
      </c>
      <c r="J103" s="501">
        <v>0</v>
      </c>
      <c r="K103" s="501">
        <v>0</v>
      </c>
      <c r="L103" s="501">
        <v>0</v>
      </c>
      <c r="M103" s="501">
        <v>0</v>
      </c>
      <c r="N103" s="501">
        <v>0</v>
      </c>
      <c r="O103" s="506">
        <v>1</v>
      </c>
    </row>
    <row r="104" spans="1:15" x14ac:dyDescent="0.35">
      <c r="A104" s="503" t="s">
        <v>1109</v>
      </c>
      <c r="B104" s="504" t="s">
        <v>2959</v>
      </c>
      <c r="C104" s="504" t="s">
        <v>1094</v>
      </c>
      <c r="D104" s="504" t="s">
        <v>3380</v>
      </c>
      <c r="E104" s="504" t="s">
        <v>3381</v>
      </c>
      <c r="F104" s="504" t="s">
        <v>430</v>
      </c>
      <c r="G104" s="504" t="s">
        <v>431</v>
      </c>
      <c r="H104" s="504" t="s">
        <v>3470</v>
      </c>
      <c r="I104" s="504">
        <v>69</v>
      </c>
      <c r="J104" s="504">
        <v>0</v>
      </c>
      <c r="K104" s="504">
        <v>0</v>
      </c>
      <c r="L104" s="504">
        <v>0</v>
      </c>
      <c r="M104" s="504">
        <v>69</v>
      </c>
      <c r="N104" s="504">
        <v>0</v>
      </c>
      <c r="O104" s="505">
        <v>0</v>
      </c>
    </row>
    <row r="105" spans="1:15" x14ac:dyDescent="0.35">
      <c r="A105" s="500" t="s">
        <v>1190</v>
      </c>
      <c r="B105" s="501">
        <v>4662</v>
      </c>
      <c r="C105" s="501" t="s">
        <v>1094</v>
      </c>
      <c r="D105" s="501" t="s">
        <v>3380</v>
      </c>
      <c r="E105" s="501" t="s">
        <v>3381</v>
      </c>
      <c r="F105" s="501" t="s">
        <v>430</v>
      </c>
      <c r="G105" s="501" t="s">
        <v>431</v>
      </c>
      <c r="H105" s="501" t="s">
        <v>14433</v>
      </c>
      <c r="I105" s="501">
        <v>14</v>
      </c>
      <c r="J105" s="501">
        <v>0</v>
      </c>
      <c r="K105" s="501">
        <v>0</v>
      </c>
      <c r="L105" s="501">
        <v>14</v>
      </c>
      <c r="M105" s="501">
        <v>0</v>
      </c>
      <c r="N105" s="501">
        <v>0</v>
      </c>
      <c r="O105" s="506">
        <v>0</v>
      </c>
    </row>
    <row r="106" spans="1:15" x14ac:dyDescent="0.35">
      <c r="A106" s="503" t="s">
        <v>1202</v>
      </c>
      <c r="B106" s="504" t="s">
        <v>3217</v>
      </c>
      <c r="C106" s="504" t="s">
        <v>1094</v>
      </c>
      <c r="D106" s="504" t="s">
        <v>3380</v>
      </c>
      <c r="E106" s="504" t="s">
        <v>3381</v>
      </c>
      <c r="F106" s="504" t="s">
        <v>430</v>
      </c>
      <c r="G106" s="504" t="s">
        <v>431</v>
      </c>
      <c r="H106" s="504" t="s">
        <v>11824</v>
      </c>
      <c r="I106" s="504">
        <v>1</v>
      </c>
      <c r="J106" s="504">
        <v>0</v>
      </c>
      <c r="K106" s="504">
        <v>0</v>
      </c>
      <c r="L106" s="504">
        <v>0</v>
      </c>
      <c r="M106" s="504">
        <v>0</v>
      </c>
      <c r="N106" s="504">
        <v>0</v>
      </c>
      <c r="O106" s="505">
        <v>1</v>
      </c>
    </row>
    <row r="107" spans="1:15" x14ac:dyDescent="0.35">
      <c r="A107" s="500" t="s">
        <v>1112</v>
      </c>
      <c r="B107" s="501" t="s">
        <v>3008</v>
      </c>
      <c r="C107" s="501" t="s">
        <v>1094</v>
      </c>
      <c r="D107" s="501" t="s">
        <v>3380</v>
      </c>
      <c r="E107" s="501" t="s">
        <v>3381</v>
      </c>
      <c r="F107" s="501" t="s">
        <v>430</v>
      </c>
      <c r="G107" s="501" t="s">
        <v>431</v>
      </c>
      <c r="H107" s="501" t="s">
        <v>3471</v>
      </c>
      <c r="I107" s="501">
        <v>232</v>
      </c>
      <c r="J107" s="501">
        <v>112</v>
      </c>
      <c r="K107" s="501">
        <v>0</v>
      </c>
      <c r="L107" s="501">
        <v>3</v>
      </c>
      <c r="M107" s="501">
        <v>105</v>
      </c>
      <c r="N107" s="501">
        <v>0</v>
      </c>
      <c r="O107" s="506">
        <v>12</v>
      </c>
    </row>
    <row r="108" spans="1:15" x14ac:dyDescent="0.35">
      <c r="A108" s="503" t="s">
        <v>1215</v>
      </c>
      <c r="B108" s="504">
        <v>4817</v>
      </c>
      <c r="C108" s="504" t="s">
        <v>1094</v>
      </c>
      <c r="D108" s="504" t="s">
        <v>3380</v>
      </c>
      <c r="E108" s="504" t="s">
        <v>3381</v>
      </c>
      <c r="F108" s="504" t="s">
        <v>430</v>
      </c>
      <c r="G108" s="504" t="s">
        <v>431</v>
      </c>
      <c r="H108" s="504" t="s">
        <v>3472</v>
      </c>
      <c r="I108" s="504">
        <v>20</v>
      </c>
      <c r="J108" s="504">
        <v>7</v>
      </c>
      <c r="K108" s="504">
        <v>0</v>
      </c>
      <c r="L108" s="504">
        <v>12</v>
      </c>
      <c r="M108" s="504">
        <v>0</v>
      </c>
      <c r="N108" s="504">
        <v>0</v>
      </c>
      <c r="O108" s="505">
        <v>1</v>
      </c>
    </row>
    <row r="109" spans="1:15" x14ac:dyDescent="0.35">
      <c r="A109" s="500" t="s">
        <v>1220</v>
      </c>
      <c r="B109" s="501">
        <v>4849</v>
      </c>
      <c r="C109" s="501" t="s">
        <v>1094</v>
      </c>
      <c r="D109" s="501" t="s">
        <v>3380</v>
      </c>
      <c r="E109" s="501" t="s">
        <v>3381</v>
      </c>
      <c r="F109" s="501" t="s">
        <v>430</v>
      </c>
      <c r="G109" s="501" t="s">
        <v>431</v>
      </c>
      <c r="H109" s="501" t="s">
        <v>14434</v>
      </c>
      <c r="I109" s="501">
        <v>8</v>
      </c>
      <c r="J109" s="501">
        <v>8</v>
      </c>
      <c r="K109" s="501">
        <v>0</v>
      </c>
      <c r="L109" s="501">
        <v>0</v>
      </c>
      <c r="M109" s="501">
        <v>0</v>
      </c>
      <c r="N109" s="501">
        <v>0</v>
      </c>
      <c r="O109" s="506">
        <v>0</v>
      </c>
    </row>
    <row r="110" spans="1:15" x14ac:dyDescent="0.35">
      <c r="A110" s="503" t="s">
        <v>1122</v>
      </c>
      <c r="B110" s="504" t="s">
        <v>2994</v>
      </c>
      <c r="C110" s="504" t="s">
        <v>1094</v>
      </c>
      <c r="D110" s="504" t="s">
        <v>3380</v>
      </c>
      <c r="E110" s="504" t="s">
        <v>3381</v>
      </c>
      <c r="F110" s="504" t="s">
        <v>430</v>
      </c>
      <c r="G110" s="504" t="s">
        <v>431</v>
      </c>
      <c r="H110" s="504" t="s">
        <v>3473</v>
      </c>
      <c r="I110" s="504">
        <v>220</v>
      </c>
      <c r="J110" s="504">
        <v>215</v>
      </c>
      <c r="K110" s="504">
        <v>0</v>
      </c>
      <c r="L110" s="504">
        <v>0</v>
      </c>
      <c r="M110" s="504">
        <v>0</v>
      </c>
      <c r="N110" s="504">
        <v>0</v>
      </c>
      <c r="O110" s="505">
        <v>5</v>
      </c>
    </row>
    <row r="111" spans="1:15" x14ac:dyDescent="0.35">
      <c r="A111" s="500" t="s">
        <v>1225</v>
      </c>
      <c r="B111" s="501" t="s">
        <v>3315</v>
      </c>
      <c r="C111" s="501" t="s">
        <v>1094</v>
      </c>
      <c r="D111" s="501" t="s">
        <v>3380</v>
      </c>
      <c r="E111" s="501" t="s">
        <v>3381</v>
      </c>
      <c r="F111" s="501" t="s">
        <v>430</v>
      </c>
      <c r="G111" s="501" t="s">
        <v>431</v>
      </c>
      <c r="H111" s="501" t="s">
        <v>3474</v>
      </c>
      <c r="I111" s="501">
        <v>3</v>
      </c>
      <c r="J111" s="501">
        <v>0</v>
      </c>
      <c r="K111" s="501">
        <v>0</v>
      </c>
      <c r="L111" s="501">
        <v>3</v>
      </c>
      <c r="M111" s="501">
        <v>0</v>
      </c>
      <c r="N111" s="501">
        <v>0</v>
      </c>
      <c r="O111" s="506">
        <v>0</v>
      </c>
    </row>
    <row r="112" spans="1:15" x14ac:dyDescent="0.35">
      <c r="A112" s="503" t="s">
        <v>1226</v>
      </c>
      <c r="B112" s="504">
        <v>5084</v>
      </c>
      <c r="C112" s="504" t="s">
        <v>1094</v>
      </c>
      <c r="D112" s="504" t="s">
        <v>3380</v>
      </c>
      <c r="E112" s="504" t="s">
        <v>3381</v>
      </c>
      <c r="F112" s="504" t="s">
        <v>430</v>
      </c>
      <c r="G112" s="504" t="s">
        <v>431</v>
      </c>
      <c r="H112" s="504" t="s">
        <v>3475</v>
      </c>
      <c r="I112" s="504">
        <v>125</v>
      </c>
      <c r="J112" s="504">
        <v>111</v>
      </c>
      <c r="K112" s="504">
        <v>0</v>
      </c>
      <c r="L112" s="504">
        <v>0</v>
      </c>
      <c r="M112" s="504">
        <v>0</v>
      </c>
      <c r="N112" s="504">
        <v>0</v>
      </c>
      <c r="O112" s="505">
        <v>14</v>
      </c>
    </row>
    <row r="113" spans="1:15" x14ac:dyDescent="0.35">
      <c r="A113" s="500" t="s">
        <v>1228</v>
      </c>
      <c r="B113" s="501" t="s">
        <v>3321</v>
      </c>
      <c r="C113" s="501" t="s">
        <v>1094</v>
      </c>
      <c r="D113" s="501" t="s">
        <v>3380</v>
      </c>
      <c r="E113" s="501" t="s">
        <v>3381</v>
      </c>
      <c r="F113" s="501" t="s">
        <v>430</v>
      </c>
      <c r="G113" s="501" t="s">
        <v>431</v>
      </c>
      <c r="H113" s="501" t="s">
        <v>3476</v>
      </c>
      <c r="I113" s="501">
        <v>26</v>
      </c>
      <c r="J113" s="501">
        <v>0</v>
      </c>
      <c r="K113" s="501">
        <v>0</v>
      </c>
      <c r="L113" s="501">
        <v>26</v>
      </c>
      <c r="M113" s="501">
        <v>0</v>
      </c>
      <c r="N113" s="501">
        <v>0</v>
      </c>
      <c r="O113" s="506">
        <v>0</v>
      </c>
    </row>
    <row r="114" spans="1:15" x14ac:dyDescent="0.35">
      <c r="A114" s="503" t="s">
        <v>1126</v>
      </c>
      <c r="B114" s="504" t="s">
        <v>2974</v>
      </c>
      <c r="C114" s="504" t="s">
        <v>1094</v>
      </c>
      <c r="D114" s="504" t="s">
        <v>3380</v>
      </c>
      <c r="E114" s="504" t="s">
        <v>3381</v>
      </c>
      <c r="F114" s="504" t="s">
        <v>430</v>
      </c>
      <c r="G114" s="504" t="s">
        <v>431</v>
      </c>
      <c r="H114" s="504" t="s">
        <v>3477</v>
      </c>
      <c r="I114" s="504">
        <v>84</v>
      </c>
      <c r="J114" s="504">
        <v>51</v>
      </c>
      <c r="K114" s="504">
        <v>0</v>
      </c>
      <c r="L114" s="504">
        <v>0</v>
      </c>
      <c r="M114" s="504">
        <v>33</v>
      </c>
      <c r="N114" s="504">
        <v>0</v>
      </c>
      <c r="O114" s="505">
        <v>0</v>
      </c>
    </row>
    <row r="115" spans="1:15" x14ac:dyDescent="0.35">
      <c r="A115" s="500" t="s">
        <v>1134</v>
      </c>
      <c r="B115" s="501" t="s">
        <v>3066</v>
      </c>
      <c r="C115" s="501" t="s">
        <v>1094</v>
      </c>
      <c r="D115" s="501" t="s">
        <v>3380</v>
      </c>
      <c r="E115" s="501" t="s">
        <v>3381</v>
      </c>
      <c r="F115" s="501" t="s">
        <v>430</v>
      </c>
      <c r="G115" s="501" t="s">
        <v>431</v>
      </c>
      <c r="H115" s="501" t="s">
        <v>3478</v>
      </c>
      <c r="I115" s="501">
        <v>38</v>
      </c>
      <c r="J115" s="501">
        <v>36</v>
      </c>
      <c r="K115" s="501">
        <v>0</v>
      </c>
      <c r="L115" s="501">
        <v>0</v>
      </c>
      <c r="M115" s="501">
        <v>0</v>
      </c>
      <c r="N115" s="501">
        <v>0</v>
      </c>
      <c r="O115" s="506">
        <v>2</v>
      </c>
    </row>
    <row r="116" spans="1:15" x14ac:dyDescent="0.35">
      <c r="A116" s="503" t="s">
        <v>1249</v>
      </c>
      <c r="B116" s="504">
        <v>4729</v>
      </c>
      <c r="C116" s="504" t="s">
        <v>1094</v>
      </c>
      <c r="D116" s="504" t="s">
        <v>3380</v>
      </c>
      <c r="E116" s="504" t="s">
        <v>3381</v>
      </c>
      <c r="F116" s="504" t="s">
        <v>430</v>
      </c>
      <c r="G116" s="504" t="s">
        <v>431</v>
      </c>
      <c r="H116" s="504" t="s">
        <v>3479</v>
      </c>
      <c r="I116" s="504">
        <v>7</v>
      </c>
      <c r="J116" s="504">
        <v>7</v>
      </c>
      <c r="K116" s="504">
        <v>0</v>
      </c>
      <c r="L116" s="504">
        <v>0</v>
      </c>
      <c r="M116" s="504">
        <v>0</v>
      </c>
      <c r="N116" s="504">
        <v>0</v>
      </c>
      <c r="O116" s="505">
        <v>0</v>
      </c>
    </row>
    <row r="117" spans="1:15" x14ac:dyDescent="0.35">
      <c r="A117" s="500" t="s">
        <v>1253</v>
      </c>
      <c r="B117" s="501" t="s">
        <v>3232</v>
      </c>
      <c r="C117" s="501" t="s">
        <v>1094</v>
      </c>
      <c r="D117" s="501" t="s">
        <v>3380</v>
      </c>
      <c r="E117" s="501" t="s">
        <v>3381</v>
      </c>
      <c r="F117" s="501" t="s">
        <v>430</v>
      </c>
      <c r="G117" s="501" t="s">
        <v>431</v>
      </c>
      <c r="H117" s="501" t="s">
        <v>3480</v>
      </c>
      <c r="I117" s="501">
        <v>25</v>
      </c>
      <c r="J117" s="501">
        <v>2</v>
      </c>
      <c r="K117" s="501">
        <v>0</v>
      </c>
      <c r="L117" s="501">
        <v>0</v>
      </c>
      <c r="M117" s="501">
        <v>23</v>
      </c>
      <c r="N117" s="501">
        <v>0</v>
      </c>
      <c r="O117" s="506">
        <v>0</v>
      </c>
    </row>
    <row r="118" spans="1:15" x14ac:dyDescent="0.35">
      <c r="A118" s="503" t="s">
        <v>1261</v>
      </c>
      <c r="B118" s="504" t="s">
        <v>3130</v>
      </c>
      <c r="C118" s="504" t="s">
        <v>1094</v>
      </c>
      <c r="D118" s="504" t="s">
        <v>3380</v>
      </c>
      <c r="E118" s="504" t="s">
        <v>3381</v>
      </c>
      <c r="F118" s="504" t="s">
        <v>430</v>
      </c>
      <c r="G118" s="504" t="s">
        <v>431</v>
      </c>
      <c r="H118" s="504" t="s">
        <v>3481</v>
      </c>
      <c r="I118" s="504">
        <v>34</v>
      </c>
      <c r="J118" s="504">
        <v>34</v>
      </c>
      <c r="K118" s="504">
        <v>0</v>
      </c>
      <c r="L118" s="504">
        <v>0</v>
      </c>
      <c r="M118" s="504">
        <v>0</v>
      </c>
      <c r="N118" s="504">
        <v>0</v>
      </c>
      <c r="O118" s="505">
        <v>0</v>
      </c>
    </row>
    <row r="119" spans="1:15" x14ac:dyDescent="0.35">
      <c r="A119" s="500" t="s">
        <v>1143</v>
      </c>
      <c r="B119" s="501" t="s">
        <v>3281</v>
      </c>
      <c r="C119" s="501" t="s">
        <v>1094</v>
      </c>
      <c r="D119" s="501" t="s">
        <v>3380</v>
      </c>
      <c r="E119" s="501" t="s">
        <v>3381</v>
      </c>
      <c r="F119" s="501" t="s">
        <v>432</v>
      </c>
      <c r="G119" s="501" t="s">
        <v>433</v>
      </c>
      <c r="H119" s="501" t="s">
        <v>3482</v>
      </c>
      <c r="I119" s="501">
        <v>179</v>
      </c>
      <c r="J119" s="501">
        <v>179</v>
      </c>
      <c r="K119" s="501">
        <v>0</v>
      </c>
      <c r="L119" s="501">
        <v>0</v>
      </c>
      <c r="M119" s="501">
        <v>0</v>
      </c>
      <c r="N119" s="501">
        <v>0</v>
      </c>
      <c r="O119" s="506">
        <v>0</v>
      </c>
    </row>
    <row r="120" spans="1:15" x14ac:dyDescent="0.35">
      <c r="A120" s="503" t="s">
        <v>1093</v>
      </c>
      <c r="B120" s="504" t="s">
        <v>3248</v>
      </c>
      <c r="C120" s="504" t="s">
        <v>1094</v>
      </c>
      <c r="D120" s="504" t="s">
        <v>3380</v>
      </c>
      <c r="E120" s="504" t="s">
        <v>3381</v>
      </c>
      <c r="F120" s="504" t="s">
        <v>432</v>
      </c>
      <c r="G120" s="504" t="s">
        <v>433</v>
      </c>
      <c r="H120" s="504" t="s">
        <v>3483</v>
      </c>
      <c r="I120" s="504">
        <v>3</v>
      </c>
      <c r="J120" s="504">
        <v>0</v>
      </c>
      <c r="K120" s="504">
        <v>0</v>
      </c>
      <c r="L120" s="504">
        <v>0</v>
      </c>
      <c r="M120" s="504">
        <v>0</v>
      </c>
      <c r="N120" s="504">
        <v>0</v>
      </c>
      <c r="O120" s="505">
        <v>3</v>
      </c>
    </row>
    <row r="121" spans="1:15" x14ac:dyDescent="0.35">
      <c r="A121" s="500" t="s">
        <v>1096</v>
      </c>
      <c r="B121" s="501" t="s">
        <v>3326</v>
      </c>
      <c r="C121" s="501" t="s">
        <v>1094</v>
      </c>
      <c r="D121" s="501" t="s">
        <v>3380</v>
      </c>
      <c r="E121" s="501" t="s">
        <v>3381</v>
      </c>
      <c r="F121" s="501" t="s">
        <v>432</v>
      </c>
      <c r="G121" s="501" t="s">
        <v>433</v>
      </c>
      <c r="H121" s="501" t="s">
        <v>14435</v>
      </c>
      <c r="I121" s="501">
        <v>12</v>
      </c>
      <c r="J121" s="501">
        <v>0</v>
      </c>
      <c r="K121" s="501">
        <v>0</v>
      </c>
      <c r="L121" s="501">
        <v>0</v>
      </c>
      <c r="M121" s="501">
        <v>0</v>
      </c>
      <c r="N121" s="501">
        <v>0</v>
      </c>
      <c r="O121" s="506">
        <v>12</v>
      </c>
    </row>
    <row r="122" spans="1:15" x14ac:dyDescent="0.35">
      <c r="A122" s="503" t="s">
        <v>1801</v>
      </c>
      <c r="B122" s="504" t="s">
        <v>2828</v>
      </c>
      <c r="C122" s="504" t="s">
        <v>1089</v>
      </c>
      <c r="D122" s="504" t="s">
        <v>3392</v>
      </c>
      <c r="E122" s="504" t="s">
        <v>3381</v>
      </c>
      <c r="F122" s="504" t="s">
        <v>432</v>
      </c>
      <c r="G122" s="504" t="s">
        <v>433</v>
      </c>
      <c r="H122" s="504" t="s">
        <v>3484</v>
      </c>
      <c r="I122" s="504">
        <v>40</v>
      </c>
      <c r="J122" s="504">
        <v>40</v>
      </c>
      <c r="K122" s="504">
        <v>0</v>
      </c>
      <c r="L122" s="504">
        <v>0</v>
      </c>
      <c r="M122" s="504">
        <v>0</v>
      </c>
      <c r="N122" s="504">
        <v>0</v>
      </c>
      <c r="O122" s="505">
        <v>0</v>
      </c>
    </row>
    <row r="123" spans="1:15" x14ac:dyDescent="0.35">
      <c r="A123" s="500" t="s">
        <v>1100</v>
      </c>
      <c r="B123" s="501">
        <v>4865</v>
      </c>
      <c r="C123" s="501" t="s">
        <v>1094</v>
      </c>
      <c r="D123" s="501" t="s">
        <v>3380</v>
      </c>
      <c r="E123" s="501" t="s">
        <v>3381</v>
      </c>
      <c r="F123" s="501" t="s">
        <v>432</v>
      </c>
      <c r="G123" s="501" t="s">
        <v>433</v>
      </c>
      <c r="H123" s="501" t="s">
        <v>3485</v>
      </c>
      <c r="I123" s="501">
        <v>393</v>
      </c>
      <c r="J123" s="501">
        <v>315</v>
      </c>
      <c r="K123" s="501">
        <v>0</v>
      </c>
      <c r="L123" s="501">
        <v>3</v>
      </c>
      <c r="M123" s="501">
        <v>28</v>
      </c>
      <c r="N123" s="501">
        <v>0</v>
      </c>
      <c r="O123" s="506">
        <v>47</v>
      </c>
    </row>
    <row r="124" spans="1:15" x14ac:dyDescent="0.35">
      <c r="A124" s="503" t="s">
        <v>1175</v>
      </c>
      <c r="B124" s="504" t="s">
        <v>3141</v>
      </c>
      <c r="C124" s="504" t="s">
        <v>1094</v>
      </c>
      <c r="D124" s="504" t="s">
        <v>3380</v>
      </c>
      <c r="E124" s="504" t="s">
        <v>3381</v>
      </c>
      <c r="F124" s="504" t="s">
        <v>432</v>
      </c>
      <c r="G124" s="504" t="s">
        <v>433</v>
      </c>
      <c r="H124" s="504" t="s">
        <v>3486</v>
      </c>
      <c r="I124" s="504">
        <v>186</v>
      </c>
      <c r="J124" s="504">
        <v>136</v>
      </c>
      <c r="K124" s="504">
        <v>0</v>
      </c>
      <c r="L124" s="504">
        <v>0</v>
      </c>
      <c r="M124" s="504">
        <v>0</v>
      </c>
      <c r="N124" s="504">
        <v>0</v>
      </c>
      <c r="O124" s="505">
        <v>50</v>
      </c>
    </row>
    <row r="125" spans="1:15" x14ac:dyDescent="0.35">
      <c r="A125" s="500" t="s">
        <v>1443</v>
      </c>
      <c r="B125" s="501" t="s">
        <v>3356</v>
      </c>
      <c r="C125" s="501" t="s">
        <v>1094</v>
      </c>
      <c r="D125" s="501" t="s">
        <v>3380</v>
      </c>
      <c r="E125" s="501" t="s">
        <v>3381</v>
      </c>
      <c r="F125" s="501" t="s">
        <v>432</v>
      </c>
      <c r="G125" s="501" t="s">
        <v>433</v>
      </c>
      <c r="H125" s="501" t="s">
        <v>3487</v>
      </c>
      <c r="I125" s="501">
        <v>143</v>
      </c>
      <c r="J125" s="501">
        <v>73</v>
      </c>
      <c r="K125" s="501">
        <v>0</v>
      </c>
      <c r="L125" s="501">
        <v>0</v>
      </c>
      <c r="M125" s="501">
        <v>0</v>
      </c>
      <c r="N125" s="501">
        <v>0</v>
      </c>
      <c r="O125" s="506">
        <v>70</v>
      </c>
    </row>
    <row r="126" spans="1:15" x14ac:dyDescent="0.35">
      <c r="A126" s="503" t="s">
        <v>1105</v>
      </c>
      <c r="B126" s="504">
        <v>4668</v>
      </c>
      <c r="C126" s="504" t="s">
        <v>1094</v>
      </c>
      <c r="D126" s="504" t="s">
        <v>3380</v>
      </c>
      <c r="E126" s="504" t="s">
        <v>3381</v>
      </c>
      <c r="F126" s="504" t="s">
        <v>432</v>
      </c>
      <c r="G126" s="504" t="s">
        <v>433</v>
      </c>
      <c r="H126" s="504" t="s">
        <v>3488</v>
      </c>
      <c r="I126" s="504">
        <v>23</v>
      </c>
      <c r="J126" s="504">
        <v>0</v>
      </c>
      <c r="K126" s="504">
        <v>0</v>
      </c>
      <c r="L126" s="504">
        <v>0</v>
      </c>
      <c r="M126" s="504">
        <v>0</v>
      </c>
      <c r="N126" s="504">
        <v>0</v>
      </c>
      <c r="O126" s="505">
        <v>23</v>
      </c>
    </row>
    <row r="127" spans="1:15" x14ac:dyDescent="0.35">
      <c r="A127" s="500" t="s">
        <v>1107</v>
      </c>
      <c r="B127" s="501" t="s">
        <v>3109</v>
      </c>
      <c r="C127" s="501" t="s">
        <v>1094</v>
      </c>
      <c r="D127" s="501" t="s">
        <v>3380</v>
      </c>
      <c r="E127" s="501" t="s">
        <v>3381</v>
      </c>
      <c r="F127" s="501" t="s">
        <v>432</v>
      </c>
      <c r="G127" s="501" t="s">
        <v>433</v>
      </c>
      <c r="H127" s="501" t="s">
        <v>3489</v>
      </c>
      <c r="I127" s="501">
        <v>29</v>
      </c>
      <c r="J127" s="501">
        <v>0</v>
      </c>
      <c r="K127" s="501">
        <v>0</v>
      </c>
      <c r="L127" s="501">
        <v>29</v>
      </c>
      <c r="M127" s="501">
        <v>0</v>
      </c>
      <c r="N127" s="501">
        <v>0</v>
      </c>
      <c r="O127" s="506">
        <v>0</v>
      </c>
    </row>
    <row r="128" spans="1:15" x14ac:dyDescent="0.35">
      <c r="A128" s="503" t="s">
        <v>1109</v>
      </c>
      <c r="B128" s="504" t="s">
        <v>2959</v>
      </c>
      <c r="C128" s="504" t="s">
        <v>1094</v>
      </c>
      <c r="D128" s="504" t="s">
        <v>3380</v>
      </c>
      <c r="E128" s="504" t="s">
        <v>3381</v>
      </c>
      <c r="F128" s="504" t="s">
        <v>432</v>
      </c>
      <c r="G128" s="504" t="s">
        <v>433</v>
      </c>
      <c r="H128" s="504" t="s">
        <v>3490</v>
      </c>
      <c r="I128" s="504">
        <v>131</v>
      </c>
      <c r="J128" s="504">
        <v>0</v>
      </c>
      <c r="K128" s="504">
        <v>0</v>
      </c>
      <c r="L128" s="504">
        <v>0</v>
      </c>
      <c r="M128" s="504">
        <v>82</v>
      </c>
      <c r="N128" s="504">
        <v>0</v>
      </c>
      <c r="O128" s="505">
        <v>49</v>
      </c>
    </row>
    <row r="129" spans="1:15" x14ac:dyDescent="0.35">
      <c r="A129" s="500" t="s">
        <v>1189</v>
      </c>
      <c r="B129" s="501" t="s">
        <v>3236</v>
      </c>
      <c r="C129" s="501" t="s">
        <v>1094</v>
      </c>
      <c r="D129" s="501" t="s">
        <v>3380</v>
      </c>
      <c r="E129" s="501" t="s">
        <v>3381</v>
      </c>
      <c r="F129" s="501" t="s">
        <v>432</v>
      </c>
      <c r="G129" s="501" t="s">
        <v>433</v>
      </c>
      <c r="H129" s="501" t="s">
        <v>3491</v>
      </c>
      <c r="I129" s="501">
        <v>170</v>
      </c>
      <c r="J129" s="501">
        <v>102</v>
      </c>
      <c r="K129" s="501">
        <v>0</v>
      </c>
      <c r="L129" s="501">
        <v>0</v>
      </c>
      <c r="M129" s="501">
        <v>0</v>
      </c>
      <c r="N129" s="501">
        <v>1</v>
      </c>
      <c r="O129" s="506">
        <v>68</v>
      </c>
    </row>
    <row r="130" spans="1:15" x14ac:dyDescent="0.35">
      <c r="A130" s="503" t="s">
        <v>1190</v>
      </c>
      <c r="B130" s="504">
        <v>4662</v>
      </c>
      <c r="C130" s="504" t="s">
        <v>1094</v>
      </c>
      <c r="D130" s="504" t="s">
        <v>3380</v>
      </c>
      <c r="E130" s="504" t="s">
        <v>3381</v>
      </c>
      <c r="F130" s="504" t="s">
        <v>432</v>
      </c>
      <c r="G130" s="504" t="s">
        <v>433</v>
      </c>
      <c r="H130" s="504" t="s">
        <v>14436</v>
      </c>
      <c r="I130" s="504">
        <v>4</v>
      </c>
      <c r="J130" s="504">
        <v>0</v>
      </c>
      <c r="K130" s="504">
        <v>0</v>
      </c>
      <c r="L130" s="504">
        <v>4</v>
      </c>
      <c r="M130" s="504">
        <v>0</v>
      </c>
      <c r="N130" s="504">
        <v>0</v>
      </c>
      <c r="O130" s="505">
        <v>0</v>
      </c>
    </row>
    <row r="131" spans="1:15" x14ac:dyDescent="0.35">
      <c r="A131" s="500" t="s">
        <v>1202</v>
      </c>
      <c r="B131" s="501" t="s">
        <v>3217</v>
      </c>
      <c r="C131" s="501" t="s">
        <v>1094</v>
      </c>
      <c r="D131" s="501" t="s">
        <v>3380</v>
      </c>
      <c r="E131" s="501" t="s">
        <v>3381</v>
      </c>
      <c r="F131" s="501" t="s">
        <v>432</v>
      </c>
      <c r="G131" s="501" t="s">
        <v>433</v>
      </c>
      <c r="H131" s="501" t="s">
        <v>11825</v>
      </c>
      <c r="I131" s="501">
        <v>6</v>
      </c>
      <c r="J131" s="501">
        <v>0</v>
      </c>
      <c r="K131" s="501">
        <v>0</v>
      </c>
      <c r="L131" s="501">
        <v>0</v>
      </c>
      <c r="M131" s="501">
        <v>0</v>
      </c>
      <c r="N131" s="501">
        <v>0</v>
      </c>
      <c r="O131" s="506">
        <v>6</v>
      </c>
    </row>
    <row r="132" spans="1:15" x14ac:dyDescent="0.35">
      <c r="A132" s="503" t="s">
        <v>1114</v>
      </c>
      <c r="B132" s="504" t="s">
        <v>2982</v>
      </c>
      <c r="C132" s="504" t="s">
        <v>1094</v>
      </c>
      <c r="D132" s="504" t="s">
        <v>3380</v>
      </c>
      <c r="E132" s="504" t="s">
        <v>3381</v>
      </c>
      <c r="F132" s="504" t="s">
        <v>432</v>
      </c>
      <c r="G132" s="504" t="s">
        <v>433</v>
      </c>
      <c r="H132" s="504" t="s">
        <v>3492</v>
      </c>
      <c r="I132" s="504">
        <v>640</v>
      </c>
      <c r="J132" s="504">
        <v>412</v>
      </c>
      <c r="K132" s="504">
        <v>0</v>
      </c>
      <c r="L132" s="504">
        <v>7</v>
      </c>
      <c r="M132" s="504">
        <v>0</v>
      </c>
      <c r="N132" s="504">
        <v>0</v>
      </c>
      <c r="O132" s="505">
        <v>221</v>
      </c>
    </row>
    <row r="133" spans="1:15" x14ac:dyDescent="0.35">
      <c r="A133" s="500" t="s">
        <v>1217</v>
      </c>
      <c r="B133" s="501">
        <v>4851</v>
      </c>
      <c r="C133" s="501" t="s">
        <v>1094</v>
      </c>
      <c r="D133" s="501" t="s">
        <v>3380</v>
      </c>
      <c r="E133" s="501" t="s">
        <v>3381</v>
      </c>
      <c r="F133" s="501" t="s">
        <v>432</v>
      </c>
      <c r="G133" s="501" t="s">
        <v>433</v>
      </c>
      <c r="H133" s="501" t="s">
        <v>3493</v>
      </c>
      <c r="I133" s="501">
        <v>50</v>
      </c>
      <c r="J133" s="501">
        <v>24</v>
      </c>
      <c r="K133" s="501">
        <v>0</v>
      </c>
      <c r="L133" s="501">
        <v>16</v>
      </c>
      <c r="M133" s="501">
        <v>0</v>
      </c>
      <c r="N133" s="501">
        <v>0</v>
      </c>
      <c r="O133" s="506">
        <v>10</v>
      </c>
    </row>
    <row r="134" spans="1:15" x14ac:dyDescent="0.35">
      <c r="A134" s="503" t="s">
        <v>1218</v>
      </c>
      <c r="B134" s="504" t="s">
        <v>3147</v>
      </c>
      <c r="C134" s="504" t="s">
        <v>1094</v>
      </c>
      <c r="D134" s="504" t="s">
        <v>3380</v>
      </c>
      <c r="E134" s="504" t="s">
        <v>3381</v>
      </c>
      <c r="F134" s="504" t="s">
        <v>432</v>
      </c>
      <c r="G134" s="504" t="s">
        <v>433</v>
      </c>
      <c r="H134" s="504" t="s">
        <v>3494</v>
      </c>
      <c r="I134" s="504">
        <v>82</v>
      </c>
      <c r="J134" s="504">
        <v>0</v>
      </c>
      <c r="K134" s="504">
        <v>0</v>
      </c>
      <c r="L134" s="504">
        <v>0</v>
      </c>
      <c r="M134" s="504">
        <v>0</v>
      </c>
      <c r="N134" s="504">
        <v>0</v>
      </c>
      <c r="O134" s="505">
        <v>82</v>
      </c>
    </row>
    <row r="135" spans="1:15" x14ac:dyDescent="0.35">
      <c r="A135" s="500" t="s">
        <v>11367</v>
      </c>
      <c r="B135" s="501" t="s">
        <v>3143</v>
      </c>
      <c r="C135" s="501" t="s">
        <v>1094</v>
      </c>
      <c r="D135" s="501" t="s">
        <v>3380</v>
      </c>
      <c r="E135" s="501" t="s">
        <v>3381</v>
      </c>
      <c r="F135" s="501" t="s">
        <v>432</v>
      </c>
      <c r="G135" s="501" t="s">
        <v>433</v>
      </c>
      <c r="H135" s="501" t="s">
        <v>11900</v>
      </c>
      <c r="I135" s="501">
        <v>131</v>
      </c>
      <c r="J135" s="501">
        <v>80</v>
      </c>
      <c r="K135" s="501">
        <v>0</v>
      </c>
      <c r="L135" s="501">
        <v>0</v>
      </c>
      <c r="M135" s="501">
        <v>51</v>
      </c>
      <c r="N135" s="501">
        <v>0</v>
      </c>
      <c r="O135" s="506">
        <v>0</v>
      </c>
    </row>
    <row r="136" spans="1:15" x14ac:dyDescent="0.35">
      <c r="A136" s="503" t="s">
        <v>1122</v>
      </c>
      <c r="B136" s="504" t="s">
        <v>2994</v>
      </c>
      <c r="C136" s="504" t="s">
        <v>1094</v>
      </c>
      <c r="D136" s="504" t="s">
        <v>3380</v>
      </c>
      <c r="E136" s="504" t="s">
        <v>3381</v>
      </c>
      <c r="F136" s="504" t="s">
        <v>432</v>
      </c>
      <c r="G136" s="504" t="s">
        <v>433</v>
      </c>
      <c r="H136" s="504" t="s">
        <v>3495</v>
      </c>
      <c r="I136" s="504">
        <v>121</v>
      </c>
      <c r="J136" s="504">
        <v>66</v>
      </c>
      <c r="K136" s="504">
        <v>0</v>
      </c>
      <c r="L136" s="504">
        <v>0</v>
      </c>
      <c r="M136" s="504">
        <v>0</v>
      </c>
      <c r="N136" s="504">
        <v>0</v>
      </c>
      <c r="O136" s="505">
        <v>55</v>
      </c>
    </row>
    <row r="137" spans="1:15" x14ac:dyDescent="0.35">
      <c r="A137" s="500" t="s">
        <v>1225</v>
      </c>
      <c r="B137" s="501" t="s">
        <v>3315</v>
      </c>
      <c r="C137" s="501" t="s">
        <v>1094</v>
      </c>
      <c r="D137" s="501" t="s">
        <v>3380</v>
      </c>
      <c r="E137" s="501" t="s">
        <v>3381</v>
      </c>
      <c r="F137" s="501" t="s">
        <v>432</v>
      </c>
      <c r="G137" s="501" t="s">
        <v>433</v>
      </c>
      <c r="H137" s="501" t="s">
        <v>3496</v>
      </c>
      <c r="I137" s="501">
        <v>11</v>
      </c>
      <c r="J137" s="501">
        <v>0</v>
      </c>
      <c r="K137" s="501">
        <v>0</v>
      </c>
      <c r="L137" s="501">
        <v>11</v>
      </c>
      <c r="M137" s="501">
        <v>0</v>
      </c>
      <c r="N137" s="501">
        <v>0</v>
      </c>
      <c r="O137" s="506">
        <v>0</v>
      </c>
    </row>
    <row r="138" spans="1:15" x14ac:dyDescent="0.35">
      <c r="A138" s="503" t="s">
        <v>1124</v>
      </c>
      <c r="B138" s="504">
        <v>4745</v>
      </c>
      <c r="C138" s="504" t="s">
        <v>1094</v>
      </c>
      <c r="D138" s="504" t="s">
        <v>3380</v>
      </c>
      <c r="E138" s="504" t="s">
        <v>3381</v>
      </c>
      <c r="F138" s="504" t="s">
        <v>432</v>
      </c>
      <c r="G138" s="504" t="s">
        <v>433</v>
      </c>
      <c r="H138" s="504" t="s">
        <v>3497</v>
      </c>
      <c r="I138" s="504">
        <v>2</v>
      </c>
      <c r="J138" s="504">
        <v>0</v>
      </c>
      <c r="K138" s="504">
        <v>0</v>
      </c>
      <c r="L138" s="504">
        <v>2</v>
      </c>
      <c r="M138" s="504">
        <v>0</v>
      </c>
      <c r="N138" s="504">
        <v>0</v>
      </c>
      <c r="O138" s="505">
        <v>0</v>
      </c>
    </row>
    <row r="139" spans="1:15" x14ac:dyDescent="0.35">
      <c r="A139" s="500" t="s">
        <v>1233</v>
      </c>
      <c r="B139" s="501">
        <v>4636</v>
      </c>
      <c r="C139" s="501" t="s">
        <v>1094</v>
      </c>
      <c r="D139" s="501" t="s">
        <v>3380</v>
      </c>
      <c r="E139" s="501" t="s">
        <v>3381</v>
      </c>
      <c r="F139" s="501" t="s">
        <v>432</v>
      </c>
      <c r="G139" s="501" t="s">
        <v>433</v>
      </c>
      <c r="H139" s="501" t="s">
        <v>14437</v>
      </c>
      <c r="I139" s="501">
        <v>37</v>
      </c>
      <c r="J139" s="501">
        <v>12</v>
      </c>
      <c r="K139" s="501">
        <v>0</v>
      </c>
      <c r="L139" s="501">
        <v>0</v>
      </c>
      <c r="M139" s="501">
        <v>0</v>
      </c>
      <c r="N139" s="501">
        <v>0</v>
      </c>
      <c r="O139" s="506">
        <v>25</v>
      </c>
    </row>
    <row r="140" spans="1:15" x14ac:dyDescent="0.35">
      <c r="A140" s="503" t="s">
        <v>11368</v>
      </c>
      <c r="B140" s="504">
        <v>5083</v>
      </c>
      <c r="C140" s="504" t="s">
        <v>1094</v>
      </c>
      <c r="D140" s="504" t="s">
        <v>3380</v>
      </c>
      <c r="E140" s="504" t="s">
        <v>3381</v>
      </c>
      <c r="F140" s="504" t="s">
        <v>432</v>
      </c>
      <c r="G140" s="504" t="s">
        <v>433</v>
      </c>
      <c r="H140" s="504" t="s">
        <v>14438</v>
      </c>
      <c r="I140" s="504">
        <v>16</v>
      </c>
      <c r="J140" s="504">
        <v>16</v>
      </c>
      <c r="K140" s="504">
        <v>0</v>
      </c>
      <c r="L140" s="504">
        <v>0</v>
      </c>
      <c r="M140" s="504">
        <v>0</v>
      </c>
      <c r="N140" s="504">
        <v>0</v>
      </c>
      <c r="O140" s="505">
        <v>0</v>
      </c>
    </row>
    <row r="141" spans="1:15" x14ac:dyDescent="0.35">
      <c r="A141" s="500" t="s">
        <v>1234</v>
      </c>
      <c r="B141" s="501" t="s">
        <v>3291</v>
      </c>
      <c r="C141" s="501" t="s">
        <v>1094</v>
      </c>
      <c r="D141" s="501" t="s">
        <v>3380</v>
      </c>
      <c r="E141" s="501" t="s">
        <v>3381</v>
      </c>
      <c r="F141" s="501" t="s">
        <v>432</v>
      </c>
      <c r="G141" s="501" t="s">
        <v>433</v>
      </c>
      <c r="H141" s="501" t="s">
        <v>3498</v>
      </c>
      <c r="I141" s="501">
        <v>71</v>
      </c>
      <c r="J141" s="501">
        <v>71</v>
      </c>
      <c r="K141" s="501">
        <v>0</v>
      </c>
      <c r="L141" s="501">
        <v>0</v>
      </c>
      <c r="M141" s="501">
        <v>0</v>
      </c>
      <c r="N141" s="501">
        <v>0</v>
      </c>
      <c r="O141" s="506">
        <v>0</v>
      </c>
    </row>
    <row r="142" spans="1:15" x14ac:dyDescent="0.35">
      <c r="A142" s="503" t="s">
        <v>1126</v>
      </c>
      <c r="B142" s="504" t="s">
        <v>2974</v>
      </c>
      <c r="C142" s="504" t="s">
        <v>1094</v>
      </c>
      <c r="D142" s="504" t="s">
        <v>3380</v>
      </c>
      <c r="E142" s="504" t="s">
        <v>3381</v>
      </c>
      <c r="F142" s="504" t="s">
        <v>432</v>
      </c>
      <c r="G142" s="504" t="s">
        <v>433</v>
      </c>
      <c r="H142" s="504" t="s">
        <v>3499</v>
      </c>
      <c r="I142" s="504">
        <v>98</v>
      </c>
      <c r="J142" s="504">
        <v>70</v>
      </c>
      <c r="K142" s="504">
        <v>0</v>
      </c>
      <c r="L142" s="504">
        <v>15</v>
      </c>
      <c r="M142" s="504">
        <v>0</v>
      </c>
      <c r="N142" s="504">
        <v>0</v>
      </c>
      <c r="O142" s="505">
        <v>13</v>
      </c>
    </row>
    <row r="143" spans="1:15" x14ac:dyDescent="0.35">
      <c r="A143" s="500" t="s">
        <v>1130</v>
      </c>
      <c r="B143" s="501" t="s">
        <v>3234</v>
      </c>
      <c r="C143" s="501" t="s">
        <v>1094</v>
      </c>
      <c r="D143" s="501" t="s">
        <v>3380</v>
      </c>
      <c r="E143" s="501" t="s">
        <v>3381</v>
      </c>
      <c r="F143" s="501" t="s">
        <v>432</v>
      </c>
      <c r="G143" s="501" t="s">
        <v>433</v>
      </c>
      <c r="H143" s="501" t="s">
        <v>3500</v>
      </c>
      <c r="I143" s="501">
        <v>486</v>
      </c>
      <c r="J143" s="501">
        <v>413</v>
      </c>
      <c r="K143" s="501">
        <v>0</v>
      </c>
      <c r="L143" s="501">
        <v>0</v>
      </c>
      <c r="M143" s="501">
        <v>34</v>
      </c>
      <c r="N143" s="501">
        <v>5</v>
      </c>
      <c r="O143" s="506">
        <v>39</v>
      </c>
    </row>
    <row r="144" spans="1:15" x14ac:dyDescent="0.35">
      <c r="A144" s="503" t="s">
        <v>1249</v>
      </c>
      <c r="B144" s="504">
        <v>4729</v>
      </c>
      <c r="C144" s="504" t="s">
        <v>1094</v>
      </c>
      <c r="D144" s="504" t="s">
        <v>3380</v>
      </c>
      <c r="E144" s="504" t="s">
        <v>3381</v>
      </c>
      <c r="F144" s="504" t="s">
        <v>432</v>
      </c>
      <c r="G144" s="504" t="s">
        <v>433</v>
      </c>
      <c r="H144" s="504" t="s">
        <v>3501</v>
      </c>
      <c r="I144" s="504">
        <v>1</v>
      </c>
      <c r="J144" s="504">
        <v>0</v>
      </c>
      <c r="K144" s="504">
        <v>0</v>
      </c>
      <c r="L144" s="504">
        <v>0</v>
      </c>
      <c r="M144" s="504">
        <v>0</v>
      </c>
      <c r="N144" s="504">
        <v>0</v>
      </c>
      <c r="O144" s="505">
        <v>1</v>
      </c>
    </row>
    <row r="145" spans="1:15" x14ac:dyDescent="0.35">
      <c r="A145" s="500" t="s">
        <v>1253</v>
      </c>
      <c r="B145" s="501" t="s">
        <v>3232</v>
      </c>
      <c r="C145" s="501" t="s">
        <v>1094</v>
      </c>
      <c r="D145" s="501" t="s">
        <v>3380</v>
      </c>
      <c r="E145" s="501" t="s">
        <v>3381</v>
      </c>
      <c r="F145" s="501" t="s">
        <v>432</v>
      </c>
      <c r="G145" s="501" t="s">
        <v>433</v>
      </c>
      <c r="H145" s="501" t="s">
        <v>3502</v>
      </c>
      <c r="I145" s="501">
        <v>15</v>
      </c>
      <c r="J145" s="501">
        <v>8</v>
      </c>
      <c r="K145" s="501">
        <v>0</v>
      </c>
      <c r="L145" s="501">
        <v>3</v>
      </c>
      <c r="M145" s="501">
        <v>0</v>
      </c>
      <c r="N145" s="501">
        <v>0</v>
      </c>
      <c r="O145" s="506">
        <v>4</v>
      </c>
    </row>
    <row r="146" spans="1:15" x14ac:dyDescent="0.35">
      <c r="A146" s="503" t="s">
        <v>1928</v>
      </c>
      <c r="B146" s="504" t="s">
        <v>3167</v>
      </c>
      <c r="C146" s="504" t="s">
        <v>1094</v>
      </c>
      <c r="D146" s="504" t="s">
        <v>3380</v>
      </c>
      <c r="E146" s="504" t="s">
        <v>3381</v>
      </c>
      <c r="F146" s="504" t="s">
        <v>432</v>
      </c>
      <c r="G146" s="504" t="s">
        <v>433</v>
      </c>
      <c r="H146" s="504" t="s">
        <v>3503</v>
      </c>
      <c r="I146" s="504">
        <v>86</v>
      </c>
      <c r="J146" s="504">
        <v>65</v>
      </c>
      <c r="K146" s="504">
        <v>0</v>
      </c>
      <c r="L146" s="504">
        <v>0</v>
      </c>
      <c r="M146" s="504">
        <v>0</v>
      </c>
      <c r="N146" s="504">
        <v>0</v>
      </c>
      <c r="O146" s="505">
        <v>21</v>
      </c>
    </row>
    <row r="147" spans="1:15" x14ac:dyDescent="0.35">
      <c r="A147" s="500" t="s">
        <v>1935</v>
      </c>
      <c r="B147" s="501" t="s">
        <v>3305</v>
      </c>
      <c r="C147" s="501" t="s">
        <v>1094</v>
      </c>
      <c r="D147" s="501" t="s">
        <v>3380</v>
      </c>
      <c r="E147" s="501" t="s">
        <v>3381</v>
      </c>
      <c r="F147" s="501" t="s">
        <v>432</v>
      </c>
      <c r="G147" s="501" t="s">
        <v>433</v>
      </c>
      <c r="H147" s="501" t="s">
        <v>3504</v>
      </c>
      <c r="I147" s="501">
        <v>550</v>
      </c>
      <c r="J147" s="501">
        <v>329</v>
      </c>
      <c r="K147" s="501">
        <v>0</v>
      </c>
      <c r="L147" s="501">
        <v>19</v>
      </c>
      <c r="M147" s="501">
        <v>81</v>
      </c>
      <c r="N147" s="501">
        <v>2</v>
      </c>
      <c r="O147" s="506">
        <v>121</v>
      </c>
    </row>
    <row r="148" spans="1:15" x14ac:dyDescent="0.35">
      <c r="A148" s="503" t="s">
        <v>1096</v>
      </c>
      <c r="B148" s="504" t="s">
        <v>3326</v>
      </c>
      <c r="C148" s="504" t="s">
        <v>1094</v>
      </c>
      <c r="D148" s="504" t="s">
        <v>3380</v>
      </c>
      <c r="E148" s="504" t="s">
        <v>3381</v>
      </c>
      <c r="F148" s="504" t="s">
        <v>434</v>
      </c>
      <c r="G148" s="504" t="s">
        <v>435</v>
      </c>
      <c r="H148" s="504" t="s">
        <v>3505</v>
      </c>
      <c r="I148" s="504">
        <v>40</v>
      </c>
      <c r="J148" s="504">
        <v>8</v>
      </c>
      <c r="K148" s="504">
        <v>0</v>
      </c>
      <c r="L148" s="504">
        <v>0</v>
      </c>
      <c r="M148" s="504">
        <v>32</v>
      </c>
      <c r="N148" s="504">
        <v>0</v>
      </c>
      <c r="O148" s="505">
        <v>0</v>
      </c>
    </row>
    <row r="149" spans="1:15" x14ac:dyDescent="0.35">
      <c r="A149" s="500" t="s">
        <v>1283</v>
      </c>
      <c r="B149" s="501" t="s">
        <v>3177</v>
      </c>
      <c r="C149" s="501" t="s">
        <v>1094</v>
      </c>
      <c r="D149" s="501" t="s">
        <v>3380</v>
      </c>
      <c r="E149" s="501" t="s">
        <v>3381</v>
      </c>
      <c r="F149" s="501" t="s">
        <v>434</v>
      </c>
      <c r="G149" s="501" t="s">
        <v>435</v>
      </c>
      <c r="H149" s="501" t="s">
        <v>14439</v>
      </c>
      <c r="I149" s="501">
        <v>10</v>
      </c>
      <c r="J149" s="501">
        <v>8</v>
      </c>
      <c r="K149" s="501">
        <v>0</v>
      </c>
      <c r="L149" s="501">
        <v>0</v>
      </c>
      <c r="M149" s="501">
        <v>0</v>
      </c>
      <c r="N149" s="501">
        <v>0</v>
      </c>
      <c r="O149" s="506">
        <v>2</v>
      </c>
    </row>
    <row r="150" spans="1:15" x14ac:dyDescent="0.35">
      <c r="A150" s="503" t="s">
        <v>1100</v>
      </c>
      <c r="B150" s="504">
        <v>4865</v>
      </c>
      <c r="C150" s="504" t="s">
        <v>1094</v>
      </c>
      <c r="D150" s="504" t="s">
        <v>3380</v>
      </c>
      <c r="E150" s="504" t="s">
        <v>3381</v>
      </c>
      <c r="F150" s="504" t="s">
        <v>434</v>
      </c>
      <c r="G150" s="504" t="s">
        <v>435</v>
      </c>
      <c r="H150" s="504" t="s">
        <v>3506</v>
      </c>
      <c r="I150" s="504">
        <v>1</v>
      </c>
      <c r="J150" s="504">
        <v>0</v>
      </c>
      <c r="K150" s="504">
        <v>0</v>
      </c>
      <c r="L150" s="504">
        <v>0</v>
      </c>
      <c r="M150" s="504">
        <v>0</v>
      </c>
      <c r="N150" s="504">
        <v>0</v>
      </c>
      <c r="O150" s="505">
        <v>1</v>
      </c>
    </row>
    <row r="151" spans="1:15" x14ac:dyDescent="0.35">
      <c r="A151" s="500" t="s">
        <v>1293</v>
      </c>
      <c r="B151" s="501" t="s">
        <v>3212</v>
      </c>
      <c r="C151" s="501" t="s">
        <v>1094</v>
      </c>
      <c r="D151" s="501" t="s">
        <v>3380</v>
      </c>
      <c r="E151" s="501" t="s">
        <v>3381</v>
      </c>
      <c r="F151" s="501" t="s">
        <v>434</v>
      </c>
      <c r="G151" s="501" t="s">
        <v>435</v>
      </c>
      <c r="H151" s="501" t="s">
        <v>3507</v>
      </c>
      <c r="I151" s="501">
        <v>235</v>
      </c>
      <c r="J151" s="501">
        <v>198</v>
      </c>
      <c r="K151" s="501">
        <v>0</v>
      </c>
      <c r="L151" s="501">
        <v>0</v>
      </c>
      <c r="M151" s="501">
        <v>0</v>
      </c>
      <c r="N151" s="501">
        <v>0</v>
      </c>
      <c r="O151" s="506">
        <v>37</v>
      </c>
    </row>
    <row r="152" spans="1:15" x14ac:dyDescent="0.35">
      <c r="A152" s="503" t="s">
        <v>1102</v>
      </c>
      <c r="B152" s="504">
        <v>4663</v>
      </c>
      <c r="C152" s="504" t="s">
        <v>1089</v>
      </c>
      <c r="D152" s="504" t="s">
        <v>3392</v>
      </c>
      <c r="E152" s="504" t="s">
        <v>3381</v>
      </c>
      <c r="F152" s="504" t="s">
        <v>434</v>
      </c>
      <c r="G152" s="504" t="s">
        <v>435</v>
      </c>
      <c r="H152" s="504" t="s">
        <v>3508</v>
      </c>
      <c r="I152" s="504">
        <v>1</v>
      </c>
      <c r="J152" s="504">
        <v>0</v>
      </c>
      <c r="K152" s="504">
        <v>0</v>
      </c>
      <c r="L152" s="504">
        <v>1</v>
      </c>
      <c r="M152" s="504">
        <v>0</v>
      </c>
      <c r="N152" s="504">
        <v>0</v>
      </c>
      <c r="O152" s="505">
        <v>0</v>
      </c>
    </row>
    <row r="153" spans="1:15" x14ac:dyDescent="0.35">
      <c r="A153" s="500" t="s">
        <v>1294</v>
      </c>
      <c r="B153" s="501" t="s">
        <v>3114</v>
      </c>
      <c r="C153" s="501" t="s">
        <v>1094</v>
      </c>
      <c r="D153" s="501" t="s">
        <v>3380</v>
      </c>
      <c r="E153" s="501" t="s">
        <v>3381</v>
      </c>
      <c r="F153" s="501" t="s">
        <v>434</v>
      </c>
      <c r="G153" s="501" t="s">
        <v>435</v>
      </c>
      <c r="H153" s="501" t="s">
        <v>3509</v>
      </c>
      <c r="I153" s="501">
        <v>1</v>
      </c>
      <c r="J153" s="501">
        <v>0</v>
      </c>
      <c r="K153" s="501">
        <v>0</v>
      </c>
      <c r="L153" s="501">
        <v>0</v>
      </c>
      <c r="M153" s="501">
        <v>0</v>
      </c>
      <c r="N153" s="501">
        <v>0</v>
      </c>
      <c r="O153" s="506">
        <v>1</v>
      </c>
    </row>
    <row r="154" spans="1:15" x14ac:dyDescent="0.35">
      <c r="A154" s="503" t="s">
        <v>1296</v>
      </c>
      <c r="B154" s="504">
        <v>4651</v>
      </c>
      <c r="C154" s="504" t="s">
        <v>1094</v>
      </c>
      <c r="D154" s="504" t="s">
        <v>3380</v>
      </c>
      <c r="E154" s="504" t="s">
        <v>3381</v>
      </c>
      <c r="F154" s="504" t="s">
        <v>434</v>
      </c>
      <c r="G154" s="504" t="s">
        <v>435</v>
      </c>
      <c r="H154" s="504" t="s">
        <v>3510</v>
      </c>
      <c r="I154" s="504">
        <v>896</v>
      </c>
      <c r="J154" s="504">
        <v>793</v>
      </c>
      <c r="K154" s="504">
        <v>0</v>
      </c>
      <c r="L154" s="504">
        <v>11</v>
      </c>
      <c r="M154" s="504">
        <v>16</v>
      </c>
      <c r="N154" s="504">
        <v>0</v>
      </c>
      <c r="O154" s="505">
        <v>76</v>
      </c>
    </row>
    <row r="155" spans="1:15" x14ac:dyDescent="0.35">
      <c r="A155" s="500" t="s">
        <v>14208</v>
      </c>
      <c r="B155" s="501">
        <v>4803</v>
      </c>
      <c r="C155" s="501" t="s">
        <v>1094</v>
      </c>
      <c r="D155" s="501" t="s">
        <v>3380</v>
      </c>
      <c r="E155" s="501" t="s">
        <v>3381</v>
      </c>
      <c r="F155" s="501" t="s">
        <v>434</v>
      </c>
      <c r="G155" s="501" t="s">
        <v>435</v>
      </c>
      <c r="H155" s="501" t="s">
        <v>14440</v>
      </c>
      <c r="I155" s="501">
        <v>10</v>
      </c>
      <c r="J155" s="501">
        <v>0</v>
      </c>
      <c r="K155" s="501">
        <v>0</v>
      </c>
      <c r="L155" s="501">
        <v>10</v>
      </c>
      <c r="M155" s="501">
        <v>0</v>
      </c>
      <c r="N155" s="501">
        <v>0</v>
      </c>
      <c r="O155" s="506">
        <v>0</v>
      </c>
    </row>
    <row r="156" spans="1:15" x14ac:dyDescent="0.35">
      <c r="A156" s="503" t="s">
        <v>14210</v>
      </c>
      <c r="B156" s="504" t="s">
        <v>14209</v>
      </c>
      <c r="C156" s="504" t="s">
        <v>1089</v>
      </c>
      <c r="D156" s="504" t="s">
        <v>3392</v>
      </c>
      <c r="E156" s="504" t="s">
        <v>3381</v>
      </c>
      <c r="F156" s="504" t="s">
        <v>434</v>
      </c>
      <c r="G156" s="504" t="s">
        <v>435</v>
      </c>
      <c r="H156" s="504" t="s">
        <v>14441</v>
      </c>
      <c r="I156" s="504">
        <v>31</v>
      </c>
      <c r="J156" s="504">
        <v>31</v>
      </c>
      <c r="K156" s="504">
        <v>0</v>
      </c>
      <c r="L156" s="504">
        <v>0</v>
      </c>
      <c r="M156" s="504">
        <v>0</v>
      </c>
      <c r="N156" s="504">
        <v>0</v>
      </c>
      <c r="O156" s="505">
        <v>0</v>
      </c>
    </row>
    <row r="157" spans="1:15" x14ac:dyDescent="0.35">
      <c r="A157" s="500" t="s">
        <v>1187</v>
      </c>
      <c r="B157" s="501" t="s">
        <v>2951</v>
      </c>
      <c r="C157" s="501" t="s">
        <v>1094</v>
      </c>
      <c r="D157" s="501" t="s">
        <v>3380</v>
      </c>
      <c r="E157" s="501" t="s">
        <v>3381</v>
      </c>
      <c r="F157" s="501" t="s">
        <v>434</v>
      </c>
      <c r="G157" s="501" t="s">
        <v>435</v>
      </c>
      <c r="H157" s="501" t="s">
        <v>3511</v>
      </c>
      <c r="I157" s="501">
        <v>99</v>
      </c>
      <c r="J157" s="501">
        <v>86</v>
      </c>
      <c r="K157" s="501">
        <v>0</v>
      </c>
      <c r="L157" s="501">
        <v>0</v>
      </c>
      <c r="M157" s="501">
        <v>0</v>
      </c>
      <c r="N157" s="501">
        <v>0</v>
      </c>
      <c r="O157" s="506">
        <v>13</v>
      </c>
    </row>
    <row r="158" spans="1:15" x14ac:dyDescent="0.35">
      <c r="A158" s="503" t="s">
        <v>1105</v>
      </c>
      <c r="B158" s="504">
        <v>4668</v>
      </c>
      <c r="C158" s="504" t="s">
        <v>1094</v>
      </c>
      <c r="D158" s="504" t="s">
        <v>3380</v>
      </c>
      <c r="E158" s="504" t="s">
        <v>3381</v>
      </c>
      <c r="F158" s="504" t="s">
        <v>434</v>
      </c>
      <c r="G158" s="504" t="s">
        <v>435</v>
      </c>
      <c r="H158" s="504" t="s">
        <v>3512</v>
      </c>
      <c r="I158" s="504">
        <v>9</v>
      </c>
      <c r="J158" s="504">
        <v>0</v>
      </c>
      <c r="K158" s="504">
        <v>0</v>
      </c>
      <c r="L158" s="504">
        <v>0</v>
      </c>
      <c r="M158" s="504">
        <v>0</v>
      </c>
      <c r="N158" s="504">
        <v>0</v>
      </c>
      <c r="O158" s="505">
        <v>9</v>
      </c>
    </row>
    <row r="159" spans="1:15" x14ac:dyDescent="0.35">
      <c r="A159" s="500" t="s">
        <v>1109</v>
      </c>
      <c r="B159" s="501" t="s">
        <v>2959</v>
      </c>
      <c r="C159" s="501" t="s">
        <v>1094</v>
      </c>
      <c r="D159" s="501" t="s">
        <v>3380</v>
      </c>
      <c r="E159" s="501" t="s">
        <v>3381</v>
      </c>
      <c r="F159" s="501" t="s">
        <v>434</v>
      </c>
      <c r="G159" s="501" t="s">
        <v>435</v>
      </c>
      <c r="H159" s="501" t="s">
        <v>3513</v>
      </c>
      <c r="I159" s="501">
        <v>38</v>
      </c>
      <c r="J159" s="501">
        <v>0</v>
      </c>
      <c r="K159" s="501">
        <v>0</v>
      </c>
      <c r="L159" s="501">
        <v>2</v>
      </c>
      <c r="M159" s="501">
        <v>36</v>
      </c>
      <c r="N159" s="501">
        <v>0</v>
      </c>
      <c r="O159" s="506">
        <v>0</v>
      </c>
    </row>
    <row r="160" spans="1:15" x14ac:dyDescent="0.35">
      <c r="A160" s="503" t="s">
        <v>1190</v>
      </c>
      <c r="B160" s="504">
        <v>4662</v>
      </c>
      <c r="C160" s="504" t="s">
        <v>1094</v>
      </c>
      <c r="D160" s="504" t="s">
        <v>3380</v>
      </c>
      <c r="E160" s="504" t="s">
        <v>3381</v>
      </c>
      <c r="F160" s="504" t="s">
        <v>434</v>
      </c>
      <c r="G160" s="504" t="s">
        <v>435</v>
      </c>
      <c r="H160" s="504" t="s">
        <v>14442</v>
      </c>
      <c r="I160" s="504">
        <v>20</v>
      </c>
      <c r="J160" s="504">
        <v>0</v>
      </c>
      <c r="K160" s="504">
        <v>0</v>
      </c>
      <c r="L160" s="504">
        <v>20</v>
      </c>
      <c r="M160" s="504">
        <v>0</v>
      </c>
      <c r="N160" s="504">
        <v>0</v>
      </c>
      <c r="O160" s="505">
        <v>0</v>
      </c>
    </row>
    <row r="161" spans="1:15" x14ac:dyDescent="0.35">
      <c r="A161" s="500" t="s">
        <v>1112</v>
      </c>
      <c r="B161" s="501" t="s">
        <v>3008</v>
      </c>
      <c r="C161" s="501" t="s">
        <v>1094</v>
      </c>
      <c r="D161" s="501" t="s">
        <v>3380</v>
      </c>
      <c r="E161" s="501" t="s">
        <v>3381</v>
      </c>
      <c r="F161" s="501" t="s">
        <v>434</v>
      </c>
      <c r="G161" s="501" t="s">
        <v>435</v>
      </c>
      <c r="H161" s="501" t="s">
        <v>3514</v>
      </c>
      <c r="I161" s="501">
        <v>6</v>
      </c>
      <c r="J161" s="501">
        <v>0</v>
      </c>
      <c r="K161" s="501">
        <v>0</v>
      </c>
      <c r="L161" s="501">
        <v>6</v>
      </c>
      <c r="M161" s="501">
        <v>0</v>
      </c>
      <c r="N161" s="501">
        <v>0</v>
      </c>
      <c r="O161" s="506">
        <v>0</v>
      </c>
    </row>
    <row r="162" spans="1:15" x14ac:dyDescent="0.35">
      <c r="A162" s="503" t="s">
        <v>1218</v>
      </c>
      <c r="B162" s="504" t="s">
        <v>3147</v>
      </c>
      <c r="C162" s="504" t="s">
        <v>1094</v>
      </c>
      <c r="D162" s="504" t="s">
        <v>3380</v>
      </c>
      <c r="E162" s="504" t="s">
        <v>3381</v>
      </c>
      <c r="F162" s="504" t="s">
        <v>434</v>
      </c>
      <c r="G162" s="504" t="s">
        <v>435</v>
      </c>
      <c r="H162" s="504" t="s">
        <v>3515</v>
      </c>
      <c r="I162" s="504">
        <v>1</v>
      </c>
      <c r="J162" s="504">
        <v>1</v>
      </c>
      <c r="K162" s="504">
        <v>0</v>
      </c>
      <c r="L162" s="504">
        <v>0</v>
      </c>
      <c r="M162" s="504">
        <v>0</v>
      </c>
      <c r="N162" s="504">
        <v>0</v>
      </c>
      <c r="O162" s="505">
        <v>0</v>
      </c>
    </row>
    <row r="163" spans="1:15" x14ac:dyDescent="0.35">
      <c r="A163" s="500" t="s">
        <v>11367</v>
      </c>
      <c r="B163" s="501" t="s">
        <v>3143</v>
      </c>
      <c r="C163" s="501" t="s">
        <v>1094</v>
      </c>
      <c r="D163" s="501" t="s">
        <v>3380</v>
      </c>
      <c r="E163" s="501" t="s">
        <v>3381</v>
      </c>
      <c r="F163" s="501" t="s">
        <v>434</v>
      </c>
      <c r="G163" s="501" t="s">
        <v>435</v>
      </c>
      <c r="H163" s="501" t="s">
        <v>11901</v>
      </c>
      <c r="I163" s="501">
        <v>212</v>
      </c>
      <c r="J163" s="501">
        <v>198</v>
      </c>
      <c r="K163" s="501">
        <v>0</v>
      </c>
      <c r="L163" s="501">
        <v>14</v>
      </c>
      <c r="M163" s="501">
        <v>0</v>
      </c>
      <c r="N163" s="501">
        <v>0</v>
      </c>
      <c r="O163" s="506">
        <v>0</v>
      </c>
    </row>
    <row r="164" spans="1:15" x14ac:dyDescent="0.35">
      <c r="A164" s="503" t="s">
        <v>1326</v>
      </c>
      <c r="B164" s="504" t="s">
        <v>2954</v>
      </c>
      <c r="C164" s="504" t="s">
        <v>1094</v>
      </c>
      <c r="D164" s="504" t="s">
        <v>3380</v>
      </c>
      <c r="E164" s="504" t="s">
        <v>3381</v>
      </c>
      <c r="F164" s="504" t="s">
        <v>434</v>
      </c>
      <c r="G164" s="504" t="s">
        <v>435</v>
      </c>
      <c r="H164" s="504" t="s">
        <v>3516</v>
      </c>
      <c r="I164" s="504">
        <v>480</v>
      </c>
      <c r="J164" s="504">
        <v>405</v>
      </c>
      <c r="K164" s="504">
        <v>0</v>
      </c>
      <c r="L164" s="504">
        <v>24</v>
      </c>
      <c r="M164" s="504">
        <v>6</v>
      </c>
      <c r="N164" s="504">
        <v>0</v>
      </c>
      <c r="O164" s="505">
        <v>45</v>
      </c>
    </row>
    <row r="165" spans="1:15" x14ac:dyDescent="0.35">
      <c r="A165" s="500" t="s">
        <v>1228</v>
      </c>
      <c r="B165" s="501" t="s">
        <v>3321</v>
      </c>
      <c r="C165" s="501" t="s">
        <v>1094</v>
      </c>
      <c r="D165" s="501" t="s">
        <v>3380</v>
      </c>
      <c r="E165" s="501" t="s">
        <v>3381</v>
      </c>
      <c r="F165" s="501" t="s">
        <v>434</v>
      </c>
      <c r="G165" s="501" t="s">
        <v>435</v>
      </c>
      <c r="H165" s="501" t="s">
        <v>3517</v>
      </c>
      <c r="I165" s="501">
        <v>3</v>
      </c>
      <c r="J165" s="501">
        <v>0</v>
      </c>
      <c r="K165" s="501">
        <v>0</v>
      </c>
      <c r="L165" s="501">
        <v>3</v>
      </c>
      <c r="M165" s="501">
        <v>0</v>
      </c>
      <c r="N165" s="501">
        <v>0</v>
      </c>
      <c r="O165" s="506">
        <v>0</v>
      </c>
    </row>
    <row r="166" spans="1:15" x14ac:dyDescent="0.35">
      <c r="A166" s="503" t="s">
        <v>1124</v>
      </c>
      <c r="B166" s="504">
        <v>4745</v>
      </c>
      <c r="C166" s="504" t="s">
        <v>1094</v>
      </c>
      <c r="D166" s="504" t="s">
        <v>3380</v>
      </c>
      <c r="E166" s="504" t="s">
        <v>3381</v>
      </c>
      <c r="F166" s="504" t="s">
        <v>434</v>
      </c>
      <c r="G166" s="504" t="s">
        <v>435</v>
      </c>
      <c r="H166" s="504" t="s">
        <v>3518</v>
      </c>
      <c r="I166" s="504">
        <v>5</v>
      </c>
      <c r="J166" s="504">
        <v>0</v>
      </c>
      <c r="K166" s="504">
        <v>0</v>
      </c>
      <c r="L166" s="504">
        <v>5</v>
      </c>
      <c r="M166" s="504">
        <v>0</v>
      </c>
      <c r="N166" s="504">
        <v>0</v>
      </c>
      <c r="O166" s="505">
        <v>0</v>
      </c>
    </row>
    <row r="167" spans="1:15" x14ac:dyDescent="0.35">
      <c r="A167" s="500" t="s">
        <v>1235</v>
      </c>
      <c r="B167" s="501">
        <v>4684</v>
      </c>
      <c r="C167" s="501" t="s">
        <v>1094</v>
      </c>
      <c r="D167" s="501" t="s">
        <v>3380</v>
      </c>
      <c r="E167" s="501" t="s">
        <v>3381</v>
      </c>
      <c r="F167" s="501" t="s">
        <v>434</v>
      </c>
      <c r="G167" s="501" t="s">
        <v>435</v>
      </c>
      <c r="H167" s="501" t="s">
        <v>3519</v>
      </c>
      <c r="I167" s="501">
        <v>26</v>
      </c>
      <c r="J167" s="501">
        <v>0</v>
      </c>
      <c r="K167" s="501">
        <v>0</v>
      </c>
      <c r="L167" s="501">
        <v>26</v>
      </c>
      <c r="M167" s="501">
        <v>0</v>
      </c>
      <c r="N167" s="501">
        <v>0</v>
      </c>
      <c r="O167" s="506">
        <v>0</v>
      </c>
    </row>
    <row r="168" spans="1:15" x14ac:dyDescent="0.35">
      <c r="A168" s="503" t="s">
        <v>1126</v>
      </c>
      <c r="B168" s="504" t="s">
        <v>2974</v>
      </c>
      <c r="C168" s="504" t="s">
        <v>1094</v>
      </c>
      <c r="D168" s="504" t="s">
        <v>3380</v>
      </c>
      <c r="E168" s="504" t="s">
        <v>3381</v>
      </c>
      <c r="F168" s="504" t="s">
        <v>434</v>
      </c>
      <c r="G168" s="504" t="s">
        <v>435</v>
      </c>
      <c r="H168" s="504" t="s">
        <v>3520</v>
      </c>
      <c r="I168" s="504">
        <v>161</v>
      </c>
      <c r="J168" s="504">
        <v>161</v>
      </c>
      <c r="K168" s="504">
        <v>0</v>
      </c>
      <c r="L168" s="504">
        <v>0</v>
      </c>
      <c r="M168" s="504">
        <v>0</v>
      </c>
      <c r="N168" s="504">
        <v>0</v>
      </c>
      <c r="O168" s="505">
        <v>0</v>
      </c>
    </row>
    <row r="169" spans="1:15" x14ac:dyDescent="0.35">
      <c r="A169" s="500" t="s">
        <v>11375</v>
      </c>
      <c r="B169" s="501">
        <v>4696</v>
      </c>
      <c r="C169" s="501" t="s">
        <v>1089</v>
      </c>
      <c r="D169" s="501" t="s">
        <v>3392</v>
      </c>
      <c r="E169" s="501" t="s">
        <v>3381</v>
      </c>
      <c r="F169" s="501" t="s">
        <v>434</v>
      </c>
      <c r="G169" s="501" t="s">
        <v>435</v>
      </c>
      <c r="H169" s="501" t="s">
        <v>12118</v>
      </c>
      <c r="I169" s="501">
        <v>10</v>
      </c>
      <c r="J169" s="501">
        <v>0</v>
      </c>
      <c r="K169" s="501">
        <v>0</v>
      </c>
      <c r="L169" s="501">
        <v>10</v>
      </c>
      <c r="M169" s="501">
        <v>0</v>
      </c>
      <c r="N169" s="501">
        <v>4</v>
      </c>
      <c r="O169" s="506">
        <v>0</v>
      </c>
    </row>
    <row r="170" spans="1:15" x14ac:dyDescent="0.35">
      <c r="A170" s="503" t="s">
        <v>1360</v>
      </c>
      <c r="B170" s="504" t="s">
        <v>3350</v>
      </c>
      <c r="C170" s="504" t="s">
        <v>1094</v>
      </c>
      <c r="D170" s="504" t="s">
        <v>3380</v>
      </c>
      <c r="E170" s="504" t="s">
        <v>3381</v>
      </c>
      <c r="F170" s="504" t="s">
        <v>434</v>
      </c>
      <c r="G170" s="504" t="s">
        <v>435</v>
      </c>
      <c r="H170" s="504" t="s">
        <v>3521</v>
      </c>
      <c r="I170" s="504">
        <v>58</v>
      </c>
      <c r="J170" s="504">
        <v>44</v>
      </c>
      <c r="K170" s="504">
        <v>0</v>
      </c>
      <c r="L170" s="504">
        <v>0</v>
      </c>
      <c r="M170" s="504">
        <v>0</v>
      </c>
      <c r="N170" s="504">
        <v>0</v>
      </c>
      <c r="O170" s="505">
        <v>14</v>
      </c>
    </row>
    <row r="171" spans="1:15" x14ac:dyDescent="0.35">
      <c r="A171" s="500" t="s">
        <v>1368</v>
      </c>
      <c r="B171" s="501" t="s">
        <v>3220</v>
      </c>
      <c r="C171" s="501" t="s">
        <v>1094</v>
      </c>
      <c r="D171" s="501" t="s">
        <v>3380</v>
      </c>
      <c r="E171" s="501" t="s">
        <v>3381</v>
      </c>
      <c r="F171" s="501" t="s">
        <v>434</v>
      </c>
      <c r="G171" s="501" t="s">
        <v>435</v>
      </c>
      <c r="H171" s="501" t="s">
        <v>3522</v>
      </c>
      <c r="I171" s="501">
        <v>1</v>
      </c>
      <c r="J171" s="501">
        <v>0</v>
      </c>
      <c r="K171" s="501">
        <v>0</v>
      </c>
      <c r="L171" s="501">
        <v>0</v>
      </c>
      <c r="M171" s="501">
        <v>0</v>
      </c>
      <c r="N171" s="501">
        <v>0</v>
      </c>
      <c r="O171" s="506">
        <v>1</v>
      </c>
    </row>
    <row r="172" spans="1:15" x14ac:dyDescent="0.35">
      <c r="A172" s="503" t="s">
        <v>1096</v>
      </c>
      <c r="B172" s="504" t="s">
        <v>3326</v>
      </c>
      <c r="C172" s="504" t="s">
        <v>1094</v>
      </c>
      <c r="D172" s="504" t="s">
        <v>3380</v>
      </c>
      <c r="E172" s="504" t="s">
        <v>3381</v>
      </c>
      <c r="F172" s="504" t="s">
        <v>436</v>
      </c>
      <c r="G172" s="504" t="s">
        <v>437</v>
      </c>
      <c r="H172" s="504" t="s">
        <v>3523</v>
      </c>
      <c r="I172" s="504">
        <v>176</v>
      </c>
      <c r="J172" s="504">
        <v>0</v>
      </c>
      <c r="K172" s="504">
        <v>0</v>
      </c>
      <c r="L172" s="504">
        <v>0</v>
      </c>
      <c r="M172" s="504">
        <v>176</v>
      </c>
      <c r="N172" s="504">
        <v>0</v>
      </c>
      <c r="O172" s="505">
        <v>0</v>
      </c>
    </row>
    <row r="173" spans="1:15" x14ac:dyDescent="0.35">
      <c r="A173" s="500" t="s">
        <v>1100</v>
      </c>
      <c r="B173" s="501">
        <v>4865</v>
      </c>
      <c r="C173" s="501" t="s">
        <v>1094</v>
      </c>
      <c r="D173" s="501" t="s">
        <v>3380</v>
      </c>
      <c r="E173" s="501" t="s">
        <v>3381</v>
      </c>
      <c r="F173" s="501" t="s">
        <v>436</v>
      </c>
      <c r="G173" s="501" t="s">
        <v>437</v>
      </c>
      <c r="H173" s="501" t="s">
        <v>3524</v>
      </c>
      <c r="I173" s="501">
        <v>909</v>
      </c>
      <c r="J173" s="501">
        <v>625</v>
      </c>
      <c r="K173" s="501">
        <v>0</v>
      </c>
      <c r="L173" s="501">
        <v>49</v>
      </c>
      <c r="M173" s="501">
        <v>0</v>
      </c>
      <c r="N173" s="501">
        <v>0</v>
      </c>
      <c r="O173" s="506">
        <v>235</v>
      </c>
    </row>
    <row r="174" spans="1:15" x14ac:dyDescent="0.35">
      <c r="A174" s="503" t="s">
        <v>1420</v>
      </c>
      <c r="B174" s="504">
        <v>4764</v>
      </c>
      <c r="C174" s="504" t="s">
        <v>1089</v>
      </c>
      <c r="D174" s="504" t="s">
        <v>3392</v>
      </c>
      <c r="E174" s="504" t="s">
        <v>3381</v>
      </c>
      <c r="F174" s="504" t="s">
        <v>436</v>
      </c>
      <c r="G174" s="504" t="s">
        <v>437</v>
      </c>
      <c r="H174" s="504" t="s">
        <v>11658</v>
      </c>
      <c r="I174" s="504">
        <v>33</v>
      </c>
      <c r="J174" s="504">
        <v>33</v>
      </c>
      <c r="K174" s="504">
        <v>0</v>
      </c>
      <c r="L174" s="504">
        <v>0</v>
      </c>
      <c r="M174" s="504">
        <v>0</v>
      </c>
      <c r="N174" s="504">
        <v>0</v>
      </c>
      <c r="O174" s="505">
        <v>0</v>
      </c>
    </row>
    <row r="175" spans="1:15" x14ac:dyDescent="0.35">
      <c r="A175" s="500" t="s">
        <v>1174</v>
      </c>
      <c r="B175" s="501">
        <v>4784</v>
      </c>
      <c r="C175" s="501" t="s">
        <v>1089</v>
      </c>
      <c r="D175" s="501" t="s">
        <v>3392</v>
      </c>
      <c r="E175" s="501" t="s">
        <v>3381</v>
      </c>
      <c r="F175" s="501" t="s">
        <v>436</v>
      </c>
      <c r="G175" s="501" t="s">
        <v>437</v>
      </c>
      <c r="H175" s="501" t="s">
        <v>11689</v>
      </c>
      <c r="I175" s="501">
        <v>11</v>
      </c>
      <c r="J175" s="501">
        <v>0</v>
      </c>
      <c r="K175" s="501">
        <v>0</v>
      </c>
      <c r="L175" s="501">
        <v>11</v>
      </c>
      <c r="M175" s="501">
        <v>0</v>
      </c>
      <c r="N175" s="501">
        <v>0</v>
      </c>
      <c r="O175" s="506">
        <v>0</v>
      </c>
    </row>
    <row r="176" spans="1:15" x14ac:dyDescent="0.35">
      <c r="A176" s="503" t="s">
        <v>1294</v>
      </c>
      <c r="B176" s="504" t="s">
        <v>3114</v>
      </c>
      <c r="C176" s="504" t="s">
        <v>1094</v>
      </c>
      <c r="D176" s="504" t="s">
        <v>3380</v>
      </c>
      <c r="E176" s="504" t="s">
        <v>3381</v>
      </c>
      <c r="F176" s="504" t="s">
        <v>436</v>
      </c>
      <c r="G176" s="504" t="s">
        <v>437</v>
      </c>
      <c r="H176" s="504" t="s">
        <v>3525</v>
      </c>
      <c r="I176" s="504">
        <v>163</v>
      </c>
      <c r="J176" s="504">
        <v>118</v>
      </c>
      <c r="K176" s="504">
        <v>0</v>
      </c>
      <c r="L176" s="504">
        <v>0</v>
      </c>
      <c r="M176" s="504">
        <v>0</v>
      </c>
      <c r="N176" s="504">
        <v>0</v>
      </c>
      <c r="O176" s="505">
        <v>45</v>
      </c>
    </row>
    <row r="177" spans="1:15" x14ac:dyDescent="0.35">
      <c r="A177" s="500" t="s">
        <v>1105</v>
      </c>
      <c r="B177" s="501">
        <v>4668</v>
      </c>
      <c r="C177" s="501" t="s">
        <v>1094</v>
      </c>
      <c r="D177" s="501" t="s">
        <v>3380</v>
      </c>
      <c r="E177" s="501" t="s">
        <v>3381</v>
      </c>
      <c r="F177" s="501" t="s">
        <v>436</v>
      </c>
      <c r="G177" s="501" t="s">
        <v>437</v>
      </c>
      <c r="H177" s="501" t="s">
        <v>3526</v>
      </c>
      <c r="I177" s="501">
        <v>5</v>
      </c>
      <c r="J177" s="501">
        <v>0</v>
      </c>
      <c r="K177" s="501">
        <v>0</v>
      </c>
      <c r="L177" s="501">
        <v>0</v>
      </c>
      <c r="M177" s="501">
        <v>0</v>
      </c>
      <c r="N177" s="501">
        <v>0</v>
      </c>
      <c r="O177" s="506">
        <v>5</v>
      </c>
    </row>
    <row r="178" spans="1:15" x14ac:dyDescent="0.35">
      <c r="A178" s="503" t="s">
        <v>1107</v>
      </c>
      <c r="B178" s="504" t="s">
        <v>3109</v>
      </c>
      <c r="C178" s="504" t="s">
        <v>1094</v>
      </c>
      <c r="D178" s="504" t="s">
        <v>3380</v>
      </c>
      <c r="E178" s="504" t="s">
        <v>3381</v>
      </c>
      <c r="F178" s="504" t="s">
        <v>436</v>
      </c>
      <c r="G178" s="504" t="s">
        <v>437</v>
      </c>
      <c r="H178" s="504" t="s">
        <v>3527</v>
      </c>
      <c r="I178" s="504">
        <v>247</v>
      </c>
      <c r="J178" s="504">
        <v>166</v>
      </c>
      <c r="K178" s="504">
        <v>0</v>
      </c>
      <c r="L178" s="504">
        <v>15</v>
      </c>
      <c r="M178" s="504">
        <v>0</v>
      </c>
      <c r="N178" s="504">
        <v>0</v>
      </c>
      <c r="O178" s="505">
        <v>66</v>
      </c>
    </row>
    <row r="179" spans="1:15" x14ac:dyDescent="0.35">
      <c r="A179" s="500" t="s">
        <v>1311</v>
      </c>
      <c r="B179" s="501" t="s">
        <v>3361</v>
      </c>
      <c r="C179" s="501" t="s">
        <v>1094</v>
      </c>
      <c r="D179" s="501" t="s">
        <v>3380</v>
      </c>
      <c r="E179" s="501" t="s">
        <v>3381</v>
      </c>
      <c r="F179" s="501" t="s">
        <v>436</v>
      </c>
      <c r="G179" s="501" t="s">
        <v>437</v>
      </c>
      <c r="H179" s="501" t="s">
        <v>3528</v>
      </c>
      <c r="I179" s="501">
        <v>183</v>
      </c>
      <c r="J179" s="501">
        <v>183</v>
      </c>
      <c r="K179" s="501">
        <v>0</v>
      </c>
      <c r="L179" s="501">
        <v>0</v>
      </c>
      <c r="M179" s="501">
        <v>0</v>
      </c>
      <c r="N179" s="501">
        <v>0</v>
      </c>
      <c r="O179" s="506">
        <v>0</v>
      </c>
    </row>
    <row r="180" spans="1:15" x14ac:dyDescent="0.35">
      <c r="A180" s="503" t="s">
        <v>1202</v>
      </c>
      <c r="B180" s="504" t="s">
        <v>3217</v>
      </c>
      <c r="C180" s="504" t="s">
        <v>1094</v>
      </c>
      <c r="D180" s="504" t="s">
        <v>3380</v>
      </c>
      <c r="E180" s="504" t="s">
        <v>3381</v>
      </c>
      <c r="F180" s="504" t="s">
        <v>436</v>
      </c>
      <c r="G180" s="504" t="s">
        <v>437</v>
      </c>
      <c r="H180" s="504" t="s">
        <v>3529</v>
      </c>
      <c r="I180" s="504">
        <v>2406</v>
      </c>
      <c r="J180" s="504">
        <v>1592</v>
      </c>
      <c r="K180" s="504">
        <v>0</v>
      </c>
      <c r="L180" s="504">
        <v>72</v>
      </c>
      <c r="M180" s="504">
        <v>139</v>
      </c>
      <c r="N180" s="504">
        <v>2</v>
      </c>
      <c r="O180" s="505">
        <v>603</v>
      </c>
    </row>
    <row r="181" spans="1:15" x14ac:dyDescent="0.35">
      <c r="A181" s="500" t="s">
        <v>1494</v>
      </c>
      <c r="B181" s="501" t="s">
        <v>3235</v>
      </c>
      <c r="C181" s="501" t="s">
        <v>1094</v>
      </c>
      <c r="D181" s="501" t="s">
        <v>3380</v>
      </c>
      <c r="E181" s="501" t="s">
        <v>3381</v>
      </c>
      <c r="F181" s="501" t="s">
        <v>436</v>
      </c>
      <c r="G181" s="501" t="s">
        <v>437</v>
      </c>
      <c r="H181" s="501" t="s">
        <v>3530</v>
      </c>
      <c r="I181" s="501">
        <v>71</v>
      </c>
      <c r="J181" s="501">
        <v>0</v>
      </c>
      <c r="K181" s="501">
        <v>0</v>
      </c>
      <c r="L181" s="501">
        <v>71</v>
      </c>
      <c r="M181" s="501">
        <v>0</v>
      </c>
      <c r="N181" s="501">
        <v>4</v>
      </c>
      <c r="O181" s="506">
        <v>0</v>
      </c>
    </row>
    <row r="182" spans="1:15" x14ac:dyDescent="0.35">
      <c r="A182" s="503" t="s">
        <v>1112</v>
      </c>
      <c r="B182" s="504" t="s">
        <v>3008</v>
      </c>
      <c r="C182" s="504" t="s">
        <v>1094</v>
      </c>
      <c r="D182" s="504" t="s">
        <v>3380</v>
      </c>
      <c r="E182" s="504" t="s">
        <v>3381</v>
      </c>
      <c r="F182" s="504" t="s">
        <v>436</v>
      </c>
      <c r="G182" s="504" t="s">
        <v>437</v>
      </c>
      <c r="H182" s="504" t="s">
        <v>3531</v>
      </c>
      <c r="I182" s="504">
        <v>253</v>
      </c>
      <c r="J182" s="504">
        <v>153</v>
      </c>
      <c r="K182" s="504">
        <v>0</v>
      </c>
      <c r="L182" s="504">
        <v>0</v>
      </c>
      <c r="M182" s="504">
        <v>0</v>
      </c>
      <c r="N182" s="504">
        <v>0</v>
      </c>
      <c r="O182" s="505">
        <v>100</v>
      </c>
    </row>
    <row r="183" spans="1:15" x14ac:dyDescent="0.35">
      <c r="A183" s="500" t="s">
        <v>1114</v>
      </c>
      <c r="B183" s="501" t="s">
        <v>2982</v>
      </c>
      <c r="C183" s="501" t="s">
        <v>1094</v>
      </c>
      <c r="D183" s="501" t="s">
        <v>3380</v>
      </c>
      <c r="E183" s="501" t="s">
        <v>3381</v>
      </c>
      <c r="F183" s="501" t="s">
        <v>436</v>
      </c>
      <c r="G183" s="501" t="s">
        <v>437</v>
      </c>
      <c r="H183" s="501" t="s">
        <v>3532</v>
      </c>
      <c r="I183" s="501">
        <v>3</v>
      </c>
      <c r="J183" s="501">
        <v>0</v>
      </c>
      <c r="K183" s="501">
        <v>0</v>
      </c>
      <c r="L183" s="501">
        <v>0</v>
      </c>
      <c r="M183" s="501">
        <v>0</v>
      </c>
      <c r="N183" s="501">
        <v>0</v>
      </c>
      <c r="O183" s="506">
        <v>3</v>
      </c>
    </row>
    <row r="184" spans="1:15" x14ac:dyDescent="0.35">
      <c r="A184" s="503" t="s">
        <v>1315</v>
      </c>
      <c r="B184" s="504">
        <v>4825</v>
      </c>
      <c r="C184" s="504" t="s">
        <v>1094</v>
      </c>
      <c r="D184" s="504" t="s">
        <v>3380</v>
      </c>
      <c r="E184" s="504" t="s">
        <v>3381</v>
      </c>
      <c r="F184" s="504" t="s">
        <v>436</v>
      </c>
      <c r="G184" s="504" t="s">
        <v>437</v>
      </c>
      <c r="H184" s="504" t="s">
        <v>3533</v>
      </c>
      <c r="I184" s="504">
        <v>17</v>
      </c>
      <c r="J184" s="504">
        <v>16</v>
      </c>
      <c r="K184" s="504">
        <v>0</v>
      </c>
      <c r="L184" s="504">
        <v>0</v>
      </c>
      <c r="M184" s="504">
        <v>0</v>
      </c>
      <c r="N184" s="504">
        <v>1</v>
      </c>
      <c r="O184" s="505">
        <v>1</v>
      </c>
    </row>
    <row r="185" spans="1:15" x14ac:dyDescent="0.35">
      <c r="A185" s="500" t="s">
        <v>1316</v>
      </c>
      <c r="B185" s="501" t="s">
        <v>2949</v>
      </c>
      <c r="C185" s="501" t="s">
        <v>1094</v>
      </c>
      <c r="D185" s="501" t="s">
        <v>3380</v>
      </c>
      <c r="E185" s="501" t="s">
        <v>3381</v>
      </c>
      <c r="F185" s="501" t="s">
        <v>436</v>
      </c>
      <c r="G185" s="501" t="s">
        <v>437</v>
      </c>
      <c r="H185" s="501" t="s">
        <v>3534</v>
      </c>
      <c r="I185" s="501">
        <v>9</v>
      </c>
      <c r="J185" s="501">
        <v>1</v>
      </c>
      <c r="K185" s="501">
        <v>0</v>
      </c>
      <c r="L185" s="501">
        <v>0</v>
      </c>
      <c r="M185" s="501">
        <v>0</v>
      </c>
      <c r="N185" s="501">
        <v>0</v>
      </c>
      <c r="O185" s="506">
        <v>8</v>
      </c>
    </row>
    <row r="186" spans="1:15" x14ac:dyDescent="0.35">
      <c r="A186" s="503" t="s">
        <v>1319</v>
      </c>
      <c r="B186" s="504">
        <v>4880</v>
      </c>
      <c r="C186" s="504" t="s">
        <v>1094</v>
      </c>
      <c r="D186" s="504" t="s">
        <v>3380</v>
      </c>
      <c r="E186" s="504" t="s">
        <v>3381</v>
      </c>
      <c r="F186" s="504" t="s">
        <v>436</v>
      </c>
      <c r="G186" s="504" t="s">
        <v>437</v>
      </c>
      <c r="H186" s="504" t="s">
        <v>3535</v>
      </c>
      <c r="I186" s="504">
        <v>870</v>
      </c>
      <c r="J186" s="504">
        <v>687</v>
      </c>
      <c r="K186" s="504">
        <v>0</v>
      </c>
      <c r="L186" s="504">
        <v>15</v>
      </c>
      <c r="M186" s="504">
        <v>96</v>
      </c>
      <c r="N186" s="504">
        <v>2</v>
      </c>
      <c r="O186" s="505">
        <v>72</v>
      </c>
    </row>
    <row r="187" spans="1:15" x14ac:dyDescent="0.35">
      <c r="A187" s="500" t="s">
        <v>1120</v>
      </c>
      <c r="B187" s="501" t="s">
        <v>3362</v>
      </c>
      <c r="C187" s="501" t="s">
        <v>1094</v>
      </c>
      <c r="D187" s="501" t="s">
        <v>3380</v>
      </c>
      <c r="E187" s="501" t="s">
        <v>3381</v>
      </c>
      <c r="F187" s="501" t="s">
        <v>436</v>
      </c>
      <c r="G187" s="501" t="s">
        <v>437</v>
      </c>
      <c r="H187" s="501" t="s">
        <v>3536</v>
      </c>
      <c r="I187" s="501">
        <v>10</v>
      </c>
      <c r="J187" s="501">
        <v>0</v>
      </c>
      <c r="K187" s="501">
        <v>0</v>
      </c>
      <c r="L187" s="501">
        <v>0</v>
      </c>
      <c r="M187" s="501">
        <v>0</v>
      </c>
      <c r="N187" s="501">
        <v>0</v>
      </c>
      <c r="O187" s="506">
        <v>10</v>
      </c>
    </row>
    <row r="188" spans="1:15" x14ac:dyDescent="0.35">
      <c r="A188" s="503" t="s">
        <v>1220</v>
      </c>
      <c r="B188" s="504">
        <v>4849</v>
      </c>
      <c r="C188" s="504" t="s">
        <v>1094</v>
      </c>
      <c r="D188" s="504" t="s">
        <v>3380</v>
      </c>
      <c r="E188" s="504" t="s">
        <v>3381</v>
      </c>
      <c r="F188" s="504" t="s">
        <v>436</v>
      </c>
      <c r="G188" s="504" t="s">
        <v>437</v>
      </c>
      <c r="H188" s="504" t="s">
        <v>3537</v>
      </c>
      <c r="I188" s="504">
        <v>15</v>
      </c>
      <c r="J188" s="504">
        <v>15</v>
      </c>
      <c r="K188" s="504">
        <v>0</v>
      </c>
      <c r="L188" s="504">
        <v>0</v>
      </c>
      <c r="M188" s="504">
        <v>0</v>
      </c>
      <c r="N188" s="504">
        <v>0</v>
      </c>
      <c r="O188" s="505">
        <v>0</v>
      </c>
    </row>
    <row r="189" spans="1:15" x14ac:dyDescent="0.35">
      <c r="A189" s="500" t="s">
        <v>1332</v>
      </c>
      <c r="B189" s="501">
        <v>4878</v>
      </c>
      <c r="C189" s="501" t="s">
        <v>1094</v>
      </c>
      <c r="D189" s="501" t="s">
        <v>3380</v>
      </c>
      <c r="E189" s="501" t="s">
        <v>3381</v>
      </c>
      <c r="F189" s="501" t="s">
        <v>436</v>
      </c>
      <c r="G189" s="501" t="s">
        <v>437</v>
      </c>
      <c r="H189" s="501" t="s">
        <v>3538</v>
      </c>
      <c r="I189" s="501">
        <v>142</v>
      </c>
      <c r="J189" s="501">
        <v>142</v>
      </c>
      <c r="K189" s="501">
        <v>0</v>
      </c>
      <c r="L189" s="501">
        <v>0</v>
      </c>
      <c r="M189" s="501">
        <v>0</v>
      </c>
      <c r="N189" s="501">
        <v>0</v>
      </c>
      <c r="O189" s="506">
        <v>0</v>
      </c>
    </row>
    <row r="190" spans="1:15" x14ac:dyDescent="0.35">
      <c r="A190" s="503" t="s">
        <v>1225</v>
      </c>
      <c r="B190" s="504" t="s">
        <v>3315</v>
      </c>
      <c r="C190" s="504" t="s">
        <v>1094</v>
      </c>
      <c r="D190" s="504" t="s">
        <v>3380</v>
      </c>
      <c r="E190" s="504" t="s">
        <v>3381</v>
      </c>
      <c r="F190" s="504" t="s">
        <v>436</v>
      </c>
      <c r="G190" s="504" t="s">
        <v>437</v>
      </c>
      <c r="H190" s="504" t="s">
        <v>3539</v>
      </c>
      <c r="I190" s="504">
        <v>1</v>
      </c>
      <c r="J190" s="504">
        <v>0</v>
      </c>
      <c r="K190" s="504">
        <v>0</v>
      </c>
      <c r="L190" s="504">
        <v>0</v>
      </c>
      <c r="M190" s="504">
        <v>0</v>
      </c>
      <c r="N190" s="504">
        <v>0</v>
      </c>
      <c r="O190" s="505">
        <v>1</v>
      </c>
    </row>
    <row r="191" spans="1:15" x14ac:dyDescent="0.35">
      <c r="A191" s="500" t="s">
        <v>1126</v>
      </c>
      <c r="B191" s="501" t="s">
        <v>2974</v>
      </c>
      <c r="C191" s="501" t="s">
        <v>1094</v>
      </c>
      <c r="D191" s="501" t="s">
        <v>3380</v>
      </c>
      <c r="E191" s="501" t="s">
        <v>3381</v>
      </c>
      <c r="F191" s="501" t="s">
        <v>436</v>
      </c>
      <c r="G191" s="501" t="s">
        <v>437</v>
      </c>
      <c r="H191" s="501" t="s">
        <v>3540</v>
      </c>
      <c r="I191" s="501">
        <v>8</v>
      </c>
      <c r="J191" s="501">
        <v>8</v>
      </c>
      <c r="K191" s="501">
        <v>0</v>
      </c>
      <c r="L191" s="501">
        <v>0</v>
      </c>
      <c r="M191" s="501">
        <v>0</v>
      </c>
      <c r="N191" s="501">
        <v>0</v>
      </c>
      <c r="O191" s="506">
        <v>0</v>
      </c>
    </row>
    <row r="192" spans="1:15" x14ac:dyDescent="0.35">
      <c r="A192" s="503" t="s">
        <v>1547</v>
      </c>
      <c r="B192" s="504" t="s">
        <v>3279</v>
      </c>
      <c r="C192" s="504" t="s">
        <v>1089</v>
      </c>
      <c r="D192" s="504" t="s">
        <v>3392</v>
      </c>
      <c r="E192" s="504" t="s">
        <v>3381</v>
      </c>
      <c r="F192" s="504" t="s">
        <v>436</v>
      </c>
      <c r="G192" s="504" t="s">
        <v>437</v>
      </c>
      <c r="H192" s="504" t="s">
        <v>3541</v>
      </c>
      <c r="I192" s="504">
        <v>9</v>
      </c>
      <c r="J192" s="504">
        <v>9</v>
      </c>
      <c r="K192" s="504">
        <v>0</v>
      </c>
      <c r="L192" s="504">
        <v>0</v>
      </c>
      <c r="M192" s="504">
        <v>0</v>
      </c>
      <c r="N192" s="504">
        <v>0</v>
      </c>
      <c r="O192" s="505">
        <v>0</v>
      </c>
    </row>
    <row r="193" spans="1:15" x14ac:dyDescent="0.35">
      <c r="A193" s="500" t="s">
        <v>1130</v>
      </c>
      <c r="B193" s="501" t="s">
        <v>3234</v>
      </c>
      <c r="C193" s="501" t="s">
        <v>1094</v>
      </c>
      <c r="D193" s="501" t="s">
        <v>3380</v>
      </c>
      <c r="E193" s="501" t="s">
        <v>3381</v>
      </c>
      <c r="F193" s="501" t="s">
        <v>436</v>
      </c>
      <c r="G193" s="501" t="s">
        <v>437</v>
      </c>
      <c r="H193" s="501" t="s">
        <v>3542</v>
      </c>
      <c r="I193" s="501">
        <v>897</v>
      </c>
      <c r="J193" s="501">
        <v>754</v>
      </c>
      <c r="K193" s="501">
        <v>0</v>
      </c>
      <c r="L193" s="501">
        <v>0</v>
      </c>
      <c r="M193" s="501">
        <v>0</v>
      </c>
      <c r="N193" s="501">
        <v>10</v>
      </c>
      <c r="O193" s="506">
        <v>143</v>
      </c>
    </row>
    <row r="194" spans="1:15" x14ac:dyDescent="0.35">
      <c r="A194" s="503" t="s">
        <v>1346</v>
      </c>
      <c r="B194" s="504" t="s">
        <v>3150</v>
      </c>
      <c r="C194" s="504" t="s">
        <v>1094</v>
      </c>
      <c r="D194" s="504" t="s">
        <v>3380</v>
      </c>
      <c r="E194" s="504" t="s">
        <v>3381</v>
      </c>
      <c r="F194" s="504" t="s">
        <v>436</v>
      </c>
      <c r="G194" s="504" t="s">
        <v>437</v>
      </c>
      <c r="H194" s="504" t="s">
        <v>3543</v>
      </c>
      <c r="I194" s="504">
        <v>9</v>
      </c>
      <c r="J194" s="504">
        <v>6</v>
      </c>
      <c r="K194" s="504">
        <v>0</v>
      </c>
      <c r="L194" s="504">
        <v>3</v>
      </c>
      <c r="M194" s="504">
        <v>0</v>
      </c>
      <c r="N194" s="504">
        <v>1</v>
      </c>
      <c r="O194" s="505">
        <v>0</v>
      </c>
    </row>
    <row r="195" spans="1:15" x14ac:dyDescent="0.35">
      <c r="A195" s="500" t="s">
        <v>1253</v>
      </c>
      <c r="B195" s="501" t="s">
        <v>3232</v>
      </c>
      <c r="C195" s="501" t="s">
        <v>1094</v>
      </c>
      <c r="D195" s="501" t="s">
        <v>3380</v>
      </c>
      <c r="E195" s="501" t="s">
        <v>3381</v>
      </c>
      <c r="F195" s="501" t="s">
        <v>436</v>
      </c>
      <c r="G195" s="501" t="s">
        <v>437</v>
      </c>
      <c r="H195" s="501" t="s">
        <v>3544</v>
      </c>
      <c r="I195" s="501">
        <v>28</v>
      </c>
      <c r="J195" s="501">
        <v>0</v>
      </c>
      <c r="K195" s="501">
        <v>0</v>
      </c>
      <c r="L195" s="501">
        <v>0</v>
      </c>
      <c r="M195" s="501">
        <v>28</v>
      </c>
      <c r="N195" s="501">
        <v>0</v>
      </c>
      <c r="O195" s="506">
        <v>0</v>
      </c>
    </row>
    <row r="196" spans="1:15" x14ac:dyDescent="0.35">
      <c r="A196" s="503" t="s">
        <v>1608</v>
      </c>
      <c r="B196" s="504" t="s">
        <v>3228</v>
      </c>
      <c r="C196" s="504" t="s">
        <v>1089</v>
      </c>
      <c r="D196" s="504" t="s">
        <v>3392</v>
      </c>
      <c r="E196" s="504" t="s">
        <v>3381</v>
      </c>
      <c r="F196" s="504" t="s">
        <v>436</v>
      </c>
      <c r="G196" s="504" t="s">
        <v>437</v>
      </c>
      <c r="H196" s="504" t="s">
        <v>3545</v>
      </c>
      <c r="I196" s="504">
        <v>191</v>
      </c>
      <c r="J196" s="504">
        <v>43</v>
      </c>
      <c r="K196" s="504">
        <v>0</v>
      </c>
      <c r="L196" s="504">
        <v>148</v>
      </c>
      <c r="M196" s="504">
        <v>0</v>
      </c>
      <c r="N196" s="504">
        <v>0</v>
      </c>
      <c r="O196" s="505">
        <v>0</v>
      </c>
    </row>
    <row r="197" spans="1:15" x14ac:dyDescent="0.35">
      <c r="A197" s="500" t="s">
        <v>1385</v>
      </c>
      <c r="B197" s="501" t="s">
        <v>3249</v>
      </c>
      <c r="C197" s="501" t="s">
        <v>1094</v>
      </c>
      <c r="D197" s="501" t="s">
        <v>3380</v>
      </c>
      <c r="E197" s="501" t="s">
        <v>3381</v>
      </c>
      <c r="F197" s="501" t="s">
        <v>438</v>
      </c>
      <c r="G197" s="501" t="s">
        <v>439</v>
      </c>
      <c r="H197" s="501" t="s">
        <v>3546</v>
      </c>
      <c r="I197" s="501">
        <v>61</v>
      </c>
      <c r="J197" s="501">
        <v>49</v>
      </c>
      <c r="K197" s="501">
        <v>0</v>
      </c>
      <c r="L197" s="501">
        <v>0</v>
      </c>
      <c r="M197" s="501">
        <v>0</v>
      </c>
      <c r="N197" s="501">
        <v>0</v>
      </c>
      <c r="O197" s="506">
        <v>12</v>
      </c>
    </row>
    <row r="198" spans="1:15" x14ac:dyDescent="0.35">
      <c r="A198" s="503" t="s">
        <v>1391</v>
      </c>
      <c r="B198" s="504" t="s">
        <v>3297</v>
      </c>
      <c r="C198" s="504" t="s">
        <v>1089</v>
      </c>
      <c r="D198" s="504" t="s">
        <v>3392</v>
      </c>
      <c r="E198" s="504" t="s">
        <v>3381</v>
      </c>
      <c r="F198" s="504" t="s">
        <v>438</v>
      </c>
      <c r="G198" s="504" t="s">
        <v>439</v>
      </c>
      <c r="H198" s="504" t="s">
        <v>3547</v>
      </c>
      <c r="I198" s="504">
        <v>25</v>
      </c>
      <c r="J198" s="504">
        <v>25</v>
      </c>
      <c r="K198" s="504">
        <v>0</v>
      </c>
      <c r="L198" s="504">
        <v>0</v>
      </c>
      <c r="M198" s="504">
        <v>0</v>
      </c>
      <c r="N198" s="504">
        <v>0</v>
      </c>
      <c r="O198" s="505">
        <v>0</v>
      </c>
    </row>
    <row r="199" spans="1:15" x14ac:dyDescent="0.35">
      <c r="A199" s="500" t="s">
        <v>1096</v>
      </c>
      <c r="B199" s="501" t="s">
        <v>3326</v>
      </c>
      <c r="C199" s="501" t="s">
        <v>1094</v>
      </c>
      <c r="D199" s="501" t="s">
        <v>3380</v>
      </c>
      <c r="E199" s="501" t="s">
        <v>3381</v>
      </c>
      <c r="F199" s="501" t="s">
        <v>438</v>
      </c>
      <c r="G199" s="501" t="s">
        <v>439</v>
      </c>
      <c r="H199" s="501" t="s">
        <v>3548</v>
      </c>
      <c r="I199" s="501">
        <v>83</v>
      </c>
      <c r="J199" s="501">
        <v>0</v>
      </c>
      <c r="K199" s="501">
        <v>0</v>
      </c>
      <c r="L199" s="501">
        <v>0</v>
      </c>
      <c r="M199" s="501">
        <v>83</v>
      </c>
      <c r="N199" s="501">
        <v>0</v>
      </c>
      <c r="O199" s="506">
        <v>0</v>
      </c>
    </row>
    <row r="200" spans="1:15" x14ac:dyDescent="0.35">
      <c r="A200" s="503" t="s">
        <v>1270</v>
      </c>
      <c r="B200" s="504" t="s">
        <v>3304</v>
      </c>
      <c r="C200" s="504" t="s">
        <v>1089</v>
      </c>
      <c r="D200" s="504" t="s">
        <v>3392</v>
      </c>
      <c r="E200" s="504" t="s">
        <v>3381</v>
      </c>
      <c r="F200" s="504" t="s">
        <v>438</v>
      </c>
      <c r="G200" s="504" t="s">
        <v>439</v>
      </c>
      <c r="H200" s="504" t="s">
        <v>3549</v>
      </c>
      <c r="I200" s="504">
        <v>46</v>
      </c>
      <c r="J200" s="504">
        <v>46</v>
      </c>
      <c r="K200" s="504">
        <v>0</v>
      </c>
      <c r="L200" s="504">
        <v>0</v>
      </c>
      <c r="M200" s="504">
        <v>0</v>
      </c>
      <c r="N200" s="504">
        <v>0</v>
      </c>
      <c r="O200" s="505">
        <v>0</v>
      </c>
    </row>
    <row r="201" spans="1:15" x14ac:dyDescent="0.35">
      <c r="A201" s="500" t="s">
        <v>1151</v>
      </c>
      <c r="B201" s="501">
        <v>4726</v>
      </c>
      <c r="C201" s="501" t="s">
        <v>1089</v>
      </c>
      <c r="D201" s="501" t="s">
        <v>3392</v>
      </c>
      <c r="E201" s="501" t="s">
        <v>3381</v>
      </c>
      <c r="F201" s="501" t="s">
        <v>438</v>
      </c>
      <c r="G201" s="501" t="s">
        <v>439</v>
      </c>
      <c r="H201" s="501" t="s">
        <v>14443</v>
      </c>
      <c r="I201" s="501">
        <v>33</v>
      </c>
      <c r="J201" s="501">
        <v>0</v>
      </c>
      <c r="K201" s="501">
        <v>0</v>
      </c>
      <c r="L201" s="501">
        <v>33</v>
      </c>
      <c r="M201" s="501">
        <v>0</v>
      </c>
      <c r="N201" s="501">
        <v>0</v>
      </c>
      <c r="O201" s="506">
        <v>0</v>
      </c>
    </row>
    <row r="202" spans="1:15" x14ac:dyDescent="0.35">
      <c r="A202" s="503" t="s">
        <v>1277</v>
      </c>
      <c r="B202" s="504" t="s">
        <v>3056</v>
      </c>
      <c r="C202" s="504" t="s">
        <v>1089</v>
      </c>
      <c r="D202" s="504" t="s">
        <v>3392</v>
      </c>
      <c r="E202" s="504" t="s">
        <v>3381</v>
      </c>
      <c r="F202" s="504" t="s">
        <v>438</v>
      </c>
      <c r="G202" s="504" t="s">
        <v>439</v>
      </c>
      <c r="H202" s="504" t="s">
        <v>3550</v>
      </c>
      <c r="I202" s="504">
        <v>57</v>
      </c>
      <c r="J202" s="504">
        <v>23</v>
      </c>
      <c r="K202" s="504">
        <v>0</v>
      </c>
      <c r="L202" s="504">
        <v>34</v>
      </c>
      <c r="M202" s="504">
        <v>0</v>
      </c>
      <c r="N202" s="504">
        <v>0</v>
      </c>
      <c r="O202" s="505">
        <v>0</v>
      </c>
    </row>
    <row r="203" spans="1:15" x14ac:dyDescent="0.35">
      <c r="A203" s="500" t="s">
        <v>1403</v>
      </c>
      <c r="B203" s="501">
        <v>4733</v>
      </c>
      <c r="C203" s="501" t="s">
        <v>1089</v>
      </c>
      <c r="D203" s="501" t="s">
        <v>3392</v>
      </c>
      <c r="E203" s="501" t="s">
        <v>3381</v>
      </c>
      <c r="F203" s="501" t="s">
        <v>438</v>
      </c>
      <c r="G203" s="501" t="s">
        <v>439</v>
      </c>
      <c r="H203" s="501" t="s">
        <v>3551</v>
      </c>
      <c r="I203" s="501">
        <v>13</v>
      </c>
      <c r="J203" s="501">
        <v>0</v>
      </c>
      <c r="K203" s="501">
        <v>0</v>
      </c>
      <c r="L203" s="501">
        <v>13</v>
      </c>
      <c r="M203" s="501">
        <v>0</v>
      </c>
      <c r="N203" s="501">
        <v>0</v>
      </c>
      <c r="O203" s="506">
        <v>0</v>
      </c>
    </row>
    <row r="204" spans="1:15" x14ac:dyDescent="0.35">
      <c r="A204" s="503" t="s">
        <v>1161</v>
      </c>
      <c r="B204" s="504" t="s">
        <v>3001</v>
      </c>
      <c r="C204" s="504" t="s">
        <v>1094</v>
      </c>
      <c r="D204" s="504" t="s">
        <v>3380</v>
      </c>
      <c r="E204" s="504" t="s">
        <v>3381</v>
      </c>
      <c r="F204" s="504" t="s">
        <v>438</v>
      </c>
      <c r="G204" s="504" t="s">
        <v>439</v>
      </c>
      <c r="H204" s="504" t="s">
        <v>3552</v>
      </c>
      <c r="I204" s="504">
        <v>489</v>
      </c>
      <c r="J204" s="504">
        <v>299</v>
      </c>
      <c r="K204" s="504">
        <v>0</v>
      </c>
      <c r="L204" s="504">
        <v>0</v>
      </c>
      <c r="M204" s="504">
        <v>39</v>
      </c>
      <c r="N204" s="504">
        <v>0</v>
      </c>
      <c r="O204" s="505">
        <v>151</v>
      </c>
    </row>
    <row r="205" spans="1:15" x14ac:dyDescent="0.35">
      <c r="A205" s="500" t="s">
        <v>1417</v>
      </c>
      <c r="B205" s="501" t="s">
        <v>3257</v>
      </c>
      <c r="C205" s="501" t="s">
        <v>1094</v>
      </c>
      <c r="D205" s="501" t="s">
        <v>3380</v>
      </c>
      <c r="E205" s="501" t="s">
        <v>3381</v>
      </c>
      <c r="F205" s="501" t="s">
        <v>438</v>
      </c>
      <c r="G205" s="501" t="s">
        <v>439</v>
      </c>
      <c r="H205" s="501" t="s">
        <v>3553</v>
      </c>
      <c r="I205" s="501">
        <v>180</v>
      </c>
      <c r="J205" s="501">
        <v>140</v>
      </c>
      <c r="K205" s="501">
        <v>3</v>
      </c>
      <c r="L205" s="501">
        <v>0</v>
      </c>
      <c r="M205" s="501">
        <v>37</v>
      </c>
      <c r="N205" s="501">
        <v>0</v>
      </c>
      <c r="O205" s="506">
        <v>0</v>
      </c>
    </row>
    <row r="206" spans="1:15" x14ac:dyDescent="0.35">
      <c r="A206" s="503" t="s">
        <v>1100</v>
      </c>
      <c r="B206" s="504">
        <v>4865</v>
      </c>
      <c r="C206" s="504" t="s">
        <v>1094</v>
      </c>
      <c r="D206" s="504" t="s">
        <v>3380</v>
      </c>
      <c r="E206" s="504" t="s">
        <v>3381</v>
      </c>
      <c r="F206" s="504" t="s">
        <v>438</v>
      </c>
      <c r="G206" s="504" t="s">
        <v>439</v>
      </c>
      <c r="H206" s="504" t="s">
        <v>3554</v>
      </c>
      <c r="I206" s="504">
        <v>314</v>
      </c>
      <c r="J206" s="504">
        <v>278</v>
      </c>
      <c r="K206" s="504">
        <v>0</v>
      </c>
      <c r="L206" s="504">
        <v>0</v>
      </c>
      <c r="M206" s="504">
        <v>0</v>
      </c>
      <c r="N206" s="504">
        <v>0</v>
      </c>
      <c r="O206" s="505">
        <v>36</v>
      </c>
    </row>
    <row r="207" spans="1:15" x14ac:dyDescent="0.35">
      <c r="A207" s="500" t="s">
        <v>1692</v>
      </c>
      <c r="B207" s="501">
        <v>4780</v>
      </c>
      <c r="C207" s="501" t="s">
        <v>1089</v>
      </c>
      <c r="D207" s="501" t="s">
        <v>3392</v>
      </c>
      <c r="E207" s="501" t="s">
        <v>3381</v>
      </c>
      <c r="F207" s="501" t="s">
        <v>438</v>
      </c>
      <c r="G207" s="501" t="s">
        <v>439</v>
      </c>
      <c r="H207" s="501" t="s">
        <v>11649</v>
      </c>
      <c r="I207" s="501">
        <v>11</v>
      </c>
      <c r="J207" s="501">
        <v>0</v>
      </c>
      <c r="K207" s="501">
        <v>11</v>
      </c>
      <c r="L207" s="501">
        <v>0</v>
      </c>
      <c r="M207" s="501">
        <v>0</v>
      </c>
      <c r="N207" s="501">
        <v>11</v>
      </c>
      <c r="O207" s="506">
        <v>0</v>
      </c>
    </row>
    <row r="208" spans="1:15" x14ac:dyDescent="0.35">
      <c r="A208" s="503" t="s">
        <v>14179</v>
      </c>
      <c r="B208" s="504" t="s">
        <v>2642</v>
      </c>
      <c r="C208" s="504" t="s">
        <v>1089</v>
      </c>
      <c r="D208" s="504" t="s">
        <v>3392</v>
      </c>
      <c r="E208" s="504" t="s">
        <v>3381</v>
      </c>
      <c r="F208" s="504" t="s">
        <v>438</v>
      </c>
      <c r="G208" s="504" t="s">
        <v>439</v>
      </c>
      <c r="H208" s="504" t="s">
        <v>14444</v>
      </c>
      <c r="I208" s="504">
        <v>23</v>
      </c>
      <c r="J208" s="504">
        <v>23</v>
      </c>
      <c r="K208" s="504">
        <v>0</v>
      </c>
      <c r="L208" s="504">
        <v>0</v>
      </c>
      <c r="M208" s="504">
        <v>0</v>
      </c>
      <c r="N208" s="504">
        <v>0</v>
      </c>
      <c r="O208" s="505">
        <v>0</v>
      </c>
    </row>
    <row r="209" spans="1:15" x14ac:dyDescent="0.35">
      <c r="A209" s="500" t="s">
        <v>1172</v>
      </c>
      <c r="B209" s="501">
        <v>4648</v>
      </c>
      <c r="C209" s="501" t="s">
        <v>1089</v>
      </c>
      <c r="D209" s="501" t="s">
        <v>3392</v>
      </c>
      <c r="E209" s="501" t="s">
        <v>3381</v>
      </c>
      <c r="F209" s="501" t="s">
        <v>438</v>
      </c>
      <c r="G209" s="501" t="s">
        <v>439</v>
      </c>
      <c r="H209" s="501" t="s">
        <v>3555</v>
      </c>
      <c r="I209" s="501">
        <v>18</v>
      </c>
      <c r="J209" s="501">
        <v>0</v>
      </c>
      <c r="K209" s="501">
        <v>0</v>
      </c>
      <c r="L209" s="501">
        <v>18</v>
      </c>
      <c r="M209" s="501">
        <v>0</v>
      </c>
      <c r="N209" s="501">
        <v>0</v>
      </c>
      <c r="O209" s="506">
        <v>0</v>
      </c>
    </row>
    <row r="210" spans="1:15" x14ac:dyDescent="0.35">
      <c r="A210" s="503" t="s">
        <v>11385</v>
      </c>
      <c r="B210" s="504">
        <v>4787</v>
      </c>
      <c r="C210" s="504" t="s">
        <v>1089</v>
      </c>
      <c r="D210" s="504" t="s">
        <v>3392</v>
      </c>
      <c r="E210" s="504" t="s">
        <v>3381</v>
      </c>
      <c r="F210" s="504" t="s">
        <v>438</v>
      </c>
      <c r="G210" s="504" t="s">
        <v>439</v>
      </c>
      <c r="H210" s="504" t="s">
        <v>11669</v>
      </c>
      <c r="I210" s="504">
        <v>34</v>
      </c>
      <c r="J210" s="504">
        <v>34</v>
      </c>
      <c r="K210" s="504">
        <v>0</v>
      </c>
      <c r="L210" s="504">
        <v>0</v>
      </c>
      <c r="M210" s="504">
        <v>0</v>
      </c>
      <c r="N210" s="504">
        <v>0</v>
      </c>
      <c r="O210" s="505">
        <v>0</v>
      </c>
    </row>
    <row r="211" spans="1:15" x14ac:dyDescent="0.35">
      <c r="A211" s="500" t="s">
        <v>1435</v>
      </c>
      <c r="B211" s="501" t="s">
        <v>2479</v>
      </c>
      <c r="C211" s="501" t="s">
        <v>1089</v>
      </c>
      <c r="D211" s="501" t="s">
        <v>3392</v>
      </c>
      <c r="E211" s="501" t="s">
        <v>3381</v>
      </c>
      <c r="F211" s="501" t="s">
        <v>438</v>
      </c>
      <c r="G211" s="501" t="s">
        <v>439</v>
      </c>
      <c r="H211" s="501" t="s">
        <v>3556</v>
      </c>
      <c r="I211" s="501">
        <v>78</v>
      </c>
      <c r="J211" s="501">
        <v>0</v>
      </c>
      <c r="K211" s="501">
        <v>0</v>
      </c>
      <c r="L211" s="501">
        <v>0</v>
      </c>
      <c r="M211" s="501">
        <v>78</v>
      </c>
      <c r="N211" s="501">
        <v>0</v>
      </c>
      <c r="O211" s="506">
        <v>0</v>
      </c>
    </row>
    <row r="212" spans="1:15" x14ac:dyDescent="0.35">
      <c r="A212" s="503" t="s">
        <v>1102</v>
      </c>
      <c r="B212" s="504">
        <v>4663</v>
      </c>
      <c r="C212" s="504" t="s">
        <v>1089</v>
      </c>
      <c r="D212" s="504" t="s">
        <v>3392</v>
      </c>
      <c r="E212" s="504" t="s">
        <v>3381</v>
      </c>
      <c r="F212" s="504" t="s">
        <v>438</v>
      </c>
      <c r="G212" s="504" t="s">
        <v>439</v>
      </c>
      <c r="H212" s="504" t="s">
        <v>3557</v>
      </c>
      <c r="I212" s="504">
        <v>1</v>
      </c>
      <c r="J212" s="504">
        <v>0</v>
      </c>
      <c r="K212" s="504">
        <v>0</v>
      </c>
      <c r="L212" s="504">
        <v>1</v>
      </c>
      <c r="M212" s="504">
        <v>0</v>
      </c>
      <c r="N212" s="504">
        <v>0</v>
      </c>
      <c r="O212" s="505">
        <v>0</v>
      </c>
    </row>
    <row r="213" spans="1:15" x14ac:dyDescent="0.35">
      <c r="A213" s="500" t="s">
        <v>1174</v>
      </c>
      <c r="B213" s="501">
        <v>4784</v>
      </c>
      <c r="C213" s="501" t="s">
        <v>1089</v>
      </c>
      <c r="D213" s="501" t="s">
        <v>3392</v>
      </c>
      <c r="E213" s="501" t="s">
        <v>3381</v>
      </c>
      <c r="F213" s="501" t="s">
        <v>438</v>
      </c>
      <c r="G213" s="501" t="s">
        <v>439</v>
      </c>
      <c r="H213" s="501" t="s">
        <v>14445</v>
      </c>
      <c r="I213" s="501">
        <v>38</v>
      </c>
      <c r="J213" s="501">
        <v>0</v>
      </c>
      <c r="K213" s="501">
        <v>0</v>
      </c>
      <c r="L213" s="501">
        <v>38</v>
      </c>
      <c r="M213" s="501">
        <v>0</v>
      </c>
      <c r="N213" s="501">
        <v>0</v>
      </c>
      <c r="O213" s="506">
        <v>0</v>
      </c>
    </row>
    <row r="214" spans="1:15" x14ac:dyDescent="0.35">
      <c r="A214" s="503" t="s">
        <v>1439</v>
      </c>
      <c r="B214" s="504">
        <v>4569</v>
      </c>
      <c r="C214" s="504" t="s">
        <v>1089</v>
      </c>
      <c r="D214" s="504" t="s">
        <v>3392</v>
      </c>
      <c r="E214" s="504" t="s">
        <v>3381</v>
      </c>
      <c r="F214" s="504" t="s">
        <v>438</v>
      </c>
      <c r="G214" s="504" t="s">
        <v>439</v>
      </c>
      <c r="H214" s="504" t="s">
        <v>3558</v>
      </c>
      <c r="I214" s="504">
        <v>10</v>
      </c>
      <c r="J214" s="504">
        <v>10</v>
      </c>
      <c r="K214" s="504">
        <v>0</v>
      </c>
      <c r="L214" s="504">
        <v>0</v>
      </c>
      <c r="M214" s="504">
        <v>0</v>
      </c>
      <c r="N214" s="504">
        <v>0</v>
      </c>
      <c r="O214" s="505">
        <v>0</v>
      </c>
    </row>
    <row r="215" spans="1:15" x14ac:dyDescent="0.35">
      <c r="A215" s="500" t="s">
        <v>14208</v>
      </c>
      <c r="B215" s="501">
        <v>4803</v>
      </c>
      <c r="C215" s="501" t="s">
        <v>1094</v>
      </c>
      <c r="D215" s="501" t="s">
        <v>3380</v>
      </c>
      <c r="E215" s="501" t="s">
        <v>3381</v>
      </c>
      <c r="F215" s="501" t="s">
        <v>438</v>
      </c>
      <c r="G215" s="501" t="s">
        <v>439</v>
      </c>
      <c r="H215" s="501" t="s">
        <v>14446</v>
      </c>
      <c r="I215" s="501">
        <v>1</v>
      </c>
      <c r="J215" s="501">
        <v>0</v>
      </c>
      <c r="K215" s="501">
        <v>0</v>
      </c>
      <c r="L215" s="501">
        <v>1</v>
      </c>
      <c r="M215" s="501">
        <v>0</v>
      </c>
      <c r="N215" s="501">
        <v>0</v>
      </c>
      <c r="O215" s="506">
        <v>0</v>
      </c>
    </row>
    <row r="216" spans="1:15" x14ac:dyDescent="0.35">
      <c r="A216" s="503" t="s">
        <v>1185</v>
      </c>
      <c r="B216" s="504" t="s">
        <v>3253</v>
      </c>
      <c r="C216" s="504" t="s">
        <v>1094</v>
      </c>
      <c r="D216" s="504" t="s">
        <v>3380</v>
      </c>
      <c r="E216" s="504" t="s">
        <v>3381</v>
      </c>
      <c r="F216" s="504" t="s">
        <v>438</v>
      </c>
      <c r="G216" s="504" t="s">
        <v>439</v>
      </c>
      <c r="H216" s="504" t="s">
        <v>3559</v>
      </c>
      <c r="I216" s="504">
        <v>154</v>
      </c>
      <c r="J216" s="504">
        <v>87</v>
      </c>
      <c r="K216" s="504">
        <v>0</v>
      </c>
      <c r="L216" s="504">
        <v>49</v>
      </c>
      <c r="M216" s="504">
        <v>18</v>
      </c>
      <c r="N216" s="504">
        <v>0</v>
      </c>
      <c r="O216" s="505">
        <v>0</v>
      </c>
    </row>
    <row r="217" spans="1:15" x14ac:dyDescent="0.35">
      <c r="A217" s="500" t="s">
        <v>1458</v>
      </c>
      <c r="B217" s="501" t="s">
        <v>3058</v>
      </c>
      <c r="C217" s="501" t="s">
        <v>1089</v>
      </c>
      <c r="D217" s="501" t="s">
        <v>3392</v>
      </c>
      <c r="E217" s="501" t="s">
        <v>3381</v>
      </c>
      <c r="F217" s="501" t="s">
        <v>438</v>
      </c>
      <c r="G217" s="501" t="s">
        <v>439</v>
      </c>
      <c r="H217" s="501" t="s">
        <v>3560</v>
      </c>
      <c r="I217" s="501">
        <v>133</v>
      </c>
      <c r="J217" s="501">
        <v>110</v>
      </c>
      <c r="K217" s="501">
        <v>6</v>
      </c>
      <c r="L217" s="501">
        <v>0</v>
      </c>
      <c r="M217" s="501">
        <v>17</v>
      </c>
      <c r="N217" s="501">
        <v>0</v>
      </c>
      <c r="O217" s="506">
        <v>0</v>
      </c>
    </row>
    <row r="218" spans="1:15" x14ac:dyDescent="0.35">
      <c r="A218" s="503" t="s">
        <v>1462</v>
      </c>
      <c r="B218" s="504" t="s">
        <v>3272</v>
      </c>
      <c r="C218" s="504" t="s">
        <v>1089</v>
      </c>
      <c r="D218" s="504" t="s">
        <v>3392</v>
      </c>
      <c r="E218" s="504" t="s">
        <v>3381</v>
      </c>
      <c r="F218" s="504" t="s">
        <v>438</v>
      </c>
      <c r="G218" s="504" t="s">
        <v>439</v>
      </c>
      <c r="H218" s="504" t="s">
        <v>3561</v>
      </c>
      <c r="I218" s="504">
        <v>1</v>
      </c>
      <c r="J218" s="504">
        <v>1</v>
      </c>
      <c r="K218" s="504">
        <v>0</v>
      </c>
      <c r="L218" s="504">
        <v>0</v>
      </c>
      <c r="M218" s="504">
        <v>0</v>
      </c>
      <c r="N218" s="504">
        <v>0</v>
      </c>
      <c r="O218" s="505">
        <v>0</v>
      </c>
    </row>
    <row r="219" spans="1:15" x14ac:dyDescent="0.35">
      <c r="A219" s="500" t="s">
        <v>1107</v>
      </c>
      <c r="B219" s="501" t="s">
        <v>3109</v>
      </c>
      <c r="C219" s="501" t="s">
        <v>1094</v>
      </c>
      <c r="D219" s="501" t="s">
        <v>3380</v>
      </c>
      <c r="E219" s="501" t="s">
        <v>3381</v>
      </c>
      <c r="F219" s="501" t="s">
        <v>438</v>
      </c>
      <c r="G219" s="501" t="s">
        <v>439</v>
      </c>
      <c r="H219" s="501" t="s">
        <v>3562</v>
      </c>
      <c r="I219" s="501">
        <v>627</v>
      </c>
      <c r="J219" s="501">
        <v>579</v>
      </c>
      <c r="K219" s="501">
        <v>0</v>
      </c>
      <c r="L219" s="501">
        <v>5</v>
      </c>
      <c r="M219" s="501">
        <v>36</v>
      </c>
      <c r="N219" s="501">
        <v>1</v>
      </c>
      <c r="O219" s="506">
        <v>7</v>
      </c>
    </row>
    <row r="220" spans="1:15" x14ac:dyDescent="0.35">
      <c r="A220" s="503" t="s">
        <v>1308</v>
      </c>
      <c r="B220" s="504" t="s">
        <v>3263</v>
      </c>
      <c r="C220" s="504" t="s">
        <v>1089</v>
      </c>
      <c r="D220" s="504" t="s">
        <v>3392</v>
      </c>
      <c r="E220" s="504" t="s">
        <v>3381</v>
      </c>
      <c r="F220" s="504" t="s">
        <v>438</v>
      </c>
      <c r="G220" s="504" t="s">
        <v>439</v>
      </c>
      <c r="H220" s="504" t="s">
        <v>3563</v>
      </c>
      <c r="I220" s="504">
        <v>219</v>
      </c>
      <c r="J220" s="504">
        <v>3</v>
      </c>
      <c r="K220" s="504">
        <v>0</v>
      </c>
      <c r="L220" s="504">
        <v>2</v>
      </c>
      <c r="M220" s="504">
        <v>214</v>
      </c>
      <c r="N220" s="504">
        <v>0</v>
      </c>
      <c r="O220" s="505">
        <v>0</v>
      </c>
    </row>
    <row r="221" spans="1:15" x14ac:dyDescent="0.35">
      <c r="A221" s="500" t="s">
        <v>1489</v>
      </c>
      <c r="B221" s="501" t="s">
        <v>2500</v>
      </c>
      <c r="C221" s="501" t="s">
        <v>1089</v>
      </c>
      <c r="D221" s="501" t="s">
        <v>3392</v>
      </c>
      <c r="E221" s="501" t="s">
        <v>3381</v>
      </c>
      <c r="F221" s="501" t="s">
        <v>438</v>
      </c>
      <c r="G221" s="501" t="s">
        <v>439</v>
      </c>
      <c r="H221" s="501" t="s">
        <v>3564</v>
      </c>
      <c r="I221" s="501">
        <v>19</v>
      </c>
      <c r="J221" s="501">
        <v>0</v>
      </c>
      <c r="K221" s="501">
        <v>0</v>
      </c>
      <c r="L221" s="501">
        <v>0</v>
      </c>
      <c r="M221" s="501">
        <v>19</v>
      </c>
      <c r="N221" s="501">
        <v>0</v>
      </c>
      <c r="O221" s="506">
        <v>0</v>
      </c>
    </row>
    <row r="222" spans="1:15" x14ac:dyDescent="0.35">
      <c r="A222" s="503" t="s">
        <v>1202</v>
      </c>
      <c r="B222" s="504" t="s">
        <v>3217</v>
      </c>
      <c r="C222" s="504" t="s">
        <v>1094</v>
      </c>
      <c r="D222" s="504" t="s">
        <v>3380</v>
      </c>
      <c r="E222" s="504" t="s">
        <v>3381</v>
      </c>
      <c r="F222" s="504" t="s">
        <v>438</v>
      </c>
      <c r="G222" s="504" t="s">
        <v>439</v>
      </c>
      <c r="H222" s="504" t="s">
        <v>3565</v>
      </c>
      <c r="I222" s="504">
        <v>351</v>
      </c>
      <c r="J222" s="504">
        <v>228</v>
      </c>
      <c r="K222" s="504">
        <v>0</v>
      </c>
      <c r="L222" s="504">
        <v>0</v>
      </c>
      <c r="M222" s="504">
        <v>0</v>
      </c>
      <c r="N222" s="504">
        <v>0</v>
      </c>
      <c r="O222" s="505">
        <v>123</v>
      </c>
    </row>
    <row r="223" spans="1:15" x14ac:dyDescent="0.35">
      <c r="A223" s="500" t="s">
        <v>1112</v>
      </c>
      <c r="B223" s="501" t="s">
        <v>3008</v>
      </c>
      <c r="C223" s="501" t="s">
        <v>1094</v>
      </c>
      <c r="D223" s="501" t="s">
        <v>3380</v>
      </c>
      <c r="E223" s="501" t="s">
        <v>3381</v>
      </c>
      <c r="F223" s="501" t="s">
        <v>438</v>
      </c>
      <c r="G223" s="501" t="s">
        <v>439</v>
      </c>
      <c r="H223" s="501" t="s">
        <v>3566</v>
      </c>
      <c r="I223" s="501">
        <v>954</v>
      </c>
      <c r="J223" s="501">
        <v>772</v>
      </c>
      <c r="K223" s="501">
        <v>0</v>
      </c>
      <c r="L223" s="501">
        <v>32</v>
      </c>
      <c r="M223" s="501">
        <v>42</v>
      </c>
      <c r="N223" s="501">
        <v>0</v>
      </c>
      <c r="O223" s="506">
        <v>108</v>
      </c>
    </row>
    <row r="224" spans="1:15" x14ac:dyDescent="0.35">
      <c r="A224" s="503" t="s">
        <v>1315</v>
      </c>
      <c r="B224" s="504">
        <v>4825</v>
      </c>
      <c r="C224" s="504" t="s">
        <v>1094</v>
      </c>
      <c r="D224" s="504" t="s">
        <v>3380</v>
      </c>
      <c r="E224" s="504" t="s">
        <v>3381</v>
      </c>
      <c r="F224" s="504" t="s">
        <v>438</v>
      </c>
      <c r="G224" s="504" t="s">
        <v>439</v>
      </c>
      <c r="H224" s="504" t="s">
        <v>3567</v>
      </c>
      <c r="I224" s="504">
        <v>635</v>
      </c>
      <c r="J224" s="504">
        <v>356</v>
      </c>
      <c r="K224" s="504">
        <v>0</v>
      </c>
      <c r="L224" s="504">
        <v>56</v>
      </c>
      <c r="M224" s="504">
        <v>72</v>
      </c>
      <c r="N224" s="504">
        <v>4</v>
      </c>
      <c r="O224" s="505">
        <v>151</v>
      </c>
    </row>
    <row r="225" spans="1:15" x14ac:dyDescent="0.35">
      <c r="A225" s="500" t="s">
        <v>1319</v>
      </c>
      <c r="B225" s="501">
        <v>4880</v>
      </c>
      <c r="C225" s="501" t="s">
        <v>1094</v>
      </c>
      <c r="D225" s="501" t="s">
        <v>3380</v>
      </c>
      <c r="E225" s="501" t="s">
        <v>3381</v>
      </c>
      <c r="F225" s="501" t="s">
        <v>438</v>
      </c>
      <c r="G225" s="501" t="s">
        <v>439</v>
      </c>
      <c r="H225" s="501" t="s">
        <v>3568</v>
      </c>
      <c r="I225" s="501">
        <v>2905</v>
      </c>
      <c r="J225" s="501">
        <v>2425</v>
      </c>
      <c r="K225" s="501">
        <v>0</v>
      </c>
      <c r="L225" s="501">
        <v>121</v>
      </c>
      <c r="M225" s="501">
        <v>0</v>
      </c>
      <c r="N225" s="501">
        <v>6</v>
      </c>
      <c r="O225" s="506">
        <v>359</v>
      </c>
    </row>
    <row r="226" spans="1:15" x14ac:dyDescent="0.35">
      <c r="A226" s="503" t="s">
        <v>1120</v>
      </c>
      <c r="B226" s="504" t="s">
        <v>3362</v>
      </c>
      <c r="C226" s="504" t="s">
        <v>1094</v>
      </c>
      <c r="D226" s="504" t="s">
        <v>3380</v>
      </c>
      <c r="E226" s="504" t="s">
        <v>3381</v>
      </c>
      <c r="F226" s="504" t="s">
        <v>438</v>
      </c>
      <c r="G226" s="504" t="s">
        <v>439</v>
      </c>
      <c r="H226" s="504" t="s">
        <v>3569</v>
      </c>
      <c r="I226" s="504">
        <v>271</v>
      </c>
      <c r="J226" s="504">
        <v>0</v>
      </c>
      <c r="K226" s="504">
        <v>0</v>
      </c>
      <c r="L226" s="504">
        <v>0</v>
      </c>
      <c r="M226" s="504">
        <v>0</v>
      </c>
      <c r="N226" s="504">
        <v>0</v>
      </c>
      <c r="O226" s="505">
        <v>271</v>
      </c>
    </row>
    <row r="227" spans="1:15" x14ac:dyDescent="0.35">
      <c r="A227" s="500" t="s">
        <v>1510</v>
      </c>
      <c r="B227" s="501" t="s">
        <v>3004</v>
      </c>
      <c r="C227" s="501" t="s">
        <v>1094</v>
      </c>
      <c r="D227" s="501" t="s">
        <v>3380</v>
      </c>
      <c r="E227" s="501" t="s">
        <v>3381</v>
      </c>
      <c r="F227" s="501" t="s">
        <v>438</v>
      </c>
      <c r="G227" s="501" t="s">
        <v>439</v>
      </c>
      <c r="H227" s="501" t="s">
        <v>3570</v>
      </c>
      <c r="I227" s="501">
        <v>7</v>
      </c>
      <c r="J227" s="501">
        <v>7</v>
      </c>
      <c r="K227" s="501">
        <v>0</v>
      </c>
      <c r="L227" s="501">
        <v>0</v>
      </c>
      <c r="M227" s="501">
        <v>0</v>
      </c>
      <c r="N227" s="501">
        <v>0</v>
      </c>
      <c r="O227" s="506">
        <v>0</v>
      </c>
    </row>
    <row r="228" spans="1:15" x14ac:dyDescent="0.35">
      <c r="A228" s="503" t="s">
        <v>1511</v>
      </c>
      <c r="B228" s="504" t="s">
        <v>3127</v>
      </c>
      <c r="C228" s="504" t="s">
        <v>1089</v>
      </c>
      <c r="D228" s="504" t="s">
        <v>3392</v>
      </c>
      <c r="E228" s="504" t="s">
        <v>3381</v>
      </c>
      <c r="F228" s="504" t="s">
        <v>438</v>
      </c>
      <c r="G228" s="504" t="s">
        <v>439</v>
      </c>
      <c r="H228" s="504" t="s">
        <v>3571</v>
      </c>
      <c r="I228" s="504">
        <v>32</v>
      </c>
      <c r="J228" s="504">
        <v>32</v>
      </c>
      <c r="K228" s="504">
        <v>0</v>
      </c>
      <c r="L228" s="504">
        <v>0</v>
      </c>
      <c r="M228" s="504">
        <v>0</v>
      </c>
      <c r="N228" s="504">
        <v>0</v>
      </c>
      <c r="O228" s="505">
        <v>0</v>
      </c>
    </row>
    <row r="229" spans="1:15" x14ac:dyDescent="0.35">
      <c r="A229" s="500" t="s">
        <v>1321</v>
      </c>
      <c r="B229" s="501">
        <v>4635</v>
      </c>
      <c r="C229" s="501" t="s">
        <v>1089</v>
      </c>
      <c r="D229" s="501" t="s">
        <v>3392</v>
      </c>
      <c r="E229" s="501" t="s">
        <v>3381</v>
      </c>
      <c r="F229" s="501" t="s">
        <v>438</v>
      </c>
      <c r="G229" s="501" t="s">
        <v>439</v>
      </c>
      <c r="H229" s="501" t="s">
        <v>14447</v>
      </c>
      <c r="I229" s="501">
        <v>1</v>
      </c>
      <c r="J229" s="501">
        <v>1</v>
      </c>
      <c r="K229" s="501">
        <v>0</v>
      </c>
      <c r="L229" s="501">
        <v>0</v>
      </c>
      <c r="M229" s="501">
        <v>0</v>
      </c>
      <c r="N229" s="501">
        <v>0</v>
      </c>
      <c r="O229" s="506">
        <v>0</v>
      </c>
    </row>
    <row r="230" spans="1:15" x14ac:dyDescent="0.35">
      <c r="A230" s="503" t="s">
        <v>1322</v>
      </c>
      <c r="B230" s="504" t="s">
        <v>3244</v>
      </c>
      <c r="C230" s="504" t="s">
        <v>1094</v>
      </c>
      <c r="D230" s="504" t="s">
        <v>3380</v>
      </c>
      <c r="E230" s="504" t="s">
        <v>3381</v>
      </c>
      <c r="F230" s="504" t="s">
        <v>438</v>
      </c>
      <c r="G230" s="504" t="s">
        <v>439</v>
      </c>
      <c r="H230" s="504" t="s">
        <v>3572</v>
      </c>
      <c r="I230" s="504">
        <v>134</v>
      </c>
      <c r="J230" s="504">
        <v>105</v>
      </c>
      <c r="K230" s="504">
        <v>0</v>
      </c>
      <c r="L230" s="504">
        <v>17</v>
      </c>
      <c r="M230" s="504">
        <v>0</v>
      </c>
      <c r="N230" s="504">
        <v>0</v>
      </c>
      <c r="O230" s="505">
        <v>12</v>
      </c>
    </row>
    <row r="231" spans="1:15" x14ac:dyDescent="0.35">
      <c r="A231" s="500" t="s">
        <v>1217</v>
      </c>
      <c r="B231" s="501">
        <v>4851</v>
      </c>
      <c r="C231" s="501" t="s">
        <v>1094</v>
      </c>
      <c r="D231" s="501" t="s">
        <v>3380</v>
      </c>
      <c r="E231" s="501" t="s">
        <v>3381</v>
      </c>
      <c r="F231" s="501" t="s">
        <v>438</v>
      </c>
      <c r="G231" s="501" t="s">
        <v>439</v>
      </c>
      <c r="H231" s="501" t="s">
        <v>3573</v>
      </c>
      <c r="I231" s="501">
        <v>338</v>
      </c>
      <c r="J231" s="501">
        <v>278</v>
      </c>
      <c r="K231" s="501">
        <v>0</v>
      </c>
      <c r="L231" s="501">
        <v>6</v>
      </c>
      <c r="M231" s="501">
        <v>26</v>
      </c>
      <c r="N231" s="501">
        <v>0</v>
      </c>
      <c r="O231" s="506">
        <v>28</v>
      </c>
    </row>
    <row r="232" spans="1:15" x14ac:dyDescent="0.35">
      <c r="A232" s="503" t="s">
        <v>11367</v>
      </c>
      <c r="B232" s="504" t="s">
        <v>3143</v>
      </c>
      <c r="C232" s="504" t="s">
        <v>1094</v>
      </c>
      <c r="D232" s="504" t="s">
        <v>3380</v>
      </c>
      <c r="E232" s="504" t="s">
        <v>3381</v>
      </c>
      <c r="F232" s="504" t="s">
        <v>438</v>
      </c>
      <c r="G232" s="504" t="s">
        <v>439</v>
      </c>
      <c r="H232" s="504" t="s">
        <v>11902</v>
      </c>
      <c r="I232" s="504">
        <v>11</v>
      </c>
      <c r="J232" s="504">
        <v>11</v>
      </c>
      <c r="K232" s="504">
        <v>0</v>
      </c>
      <c r="L232" s="504">
        <v>0</v>
      </c>
      <c r="M232" s="504">
        <v>0</v>
      </c>
      <c r="N232" s="504">
        <v>0</v>
      </c>
      <c r="O232" s="505">
        <v>0</v>
      </c>
    </row>
    <row r="233" spans="1:15" x14ac:dyDescent="0.35">
      <c r="A233" s="500" t="s">
        <v>1513</v>
      </c>
      <c r="B233" s="501" t="s">
        <v>3048</v>
      </c>
      <c r="C233" s="501" t="s">
        <v>1089</v>
      </c>
      <c r="D233" s="501" t="s">
        <v>3392</v>
      </c>
      <c r="E233" s="501" t="s">
        <v>3381</v>
      </c>
      <c r="F233" s="501" t="s">
        <v>438</v>
      </c>
      <c r="G233" s="501" t="s">
        <v>439</v>
      </c>
      <c r="H233" s="501" t="s">
        <v>3574</v>
      </c>
      <c r="I233" s="501">
        <v>61</v>
      </c>
      <c r="J233" s="501">
        <v>0</v>
      </c>
      <c r="K233" s="501">
        <v>0</v>
      </c>
      <c r="L233" s="501">
        <v>61</v>
      </c>
      <c r="M233" s="501">
        <v>0</v>
      </c>
      <c r="N233" s="501">
        <v>0</v>
      </c>
      <c r="O233" s="506">
        <v>0</v>
      </c>
    </row>
    <row r="234" spans="1:15" x14ac:dyDescent="0.35">
      <c r="A234" s="503" t="s">
        <v>1325</v>
      </c>
      <c r="B234" s="504" t="s">
        <v>3011</v>
      </c>
      <c r="C234" s="504" t="s">
        <v>1094</v>
      </c>
      <c r="D234" s="504" t="s">
        <v>3380</v>
      </c>
      <c r="E234" s="504" t="s">
        <v>3381</v>
      </c>
      <c r="F234" s="504" t="s">
        <v>438</v>
      </c>
      <c r="G234" s="504" t="s">
        <v>439</v>
      </c>
      <c r="H234" s="504" t="s">
        <v>3575</v>
      </c>
      <c r="I234" s="504">
        <v>240</v>
      </c>
      <c r="J234" s="504">
        <v>137</v>
      </c>
      <c r="K234" s="504">
        <v>0</v>
      </c>
      <c r="L234" s="504">
        <v>19</v>
      </c>
      <c r="M234" s="504">
        <v>25</v>
      </c>
      <c r="N234" s="504">
        <v>0</v>
      </c>
      <c r="O234" s="505">
        <v>59</v>
      </c>
    </row>
    <row r="235" spans="1:15" x14ac:dyDescent="0.35">
      <c r="A235" s="500" t="s">
        <v>1514</v>
      </c>
      <c r="B235" s="501" t="s">
        <v>3284</v>
      </c>
      <c r="C235" s="501" t="s">
        <v>1089</v>
      </c>
      <c r="D235" s="501" t="s">
        <v>3392</v>
      </c>
      <c r="E235" s="501" t="s">
        <v>3381</v>
      </c>
      <c r="F235" s="501" t="s">
        <v>438</v>
      </c>
      <c r="G235" s="501" t="s">
        <v>439</v>
      </c>
      <c r="H235" s="501" t="s">
        <v>3576</v>
      </c>
      <c r="I235" s="501">
        <v>11</v>
      </c>
      <c r="J235" s="501">
        <v>0</v>
      </c>
      <c r="K235" s="501">
        <v>0</v>
      </c>
      <c r="L235" s="501">
        <v>3</v>
      </c>
      <c r="M235" s="501">
        <v>8</v>
      </c>
      <c r="N235" s="501">
        <v>0</v>
      </c>
      <c r="O235" s="506">
        <v>0</v>
      </c>
    </row>
    <row r="236" spans="1:15" x14ac:dyDescent="0.35">
      <c r="A236" s="503" t="s">
        <v>1327</v>
      </c>
      <c r="B236" s="504" t="s">
        <v>3330</v>
      </c>
      <c r="C236" s="504" t="s">
        <v>1094</v>
      </c>
      <c r="D236" s="504" t="s">
        <v>3380</v>
      </c>
      <c r="E236" s="504" t="s">
        <v>3381</v>
      </c>
      <c r="F236" s="504" t="s">
        <v>438</v>
      </c>
      <c r="G236" s="504" t="s">
        <v>439</v>
      </c>
      <c r="H236" s="504" t="s">
        <v>3577</v>
      </c>
      <c r="I236" s="504">
        <v>25</v>
      </c>
      <c r="J236" s="504">
        <v>25</v>
      </c>
      <c r="K236" s="504">
        <v>0</v>
      </c>
      <c r="L236" s="504">
        <v>0</v>
      </c>
      <c r="M236" s="504">
        <v>0</v>
      </c>
      <c r="N236" s="504">
        <v>0</v>
      </c>
      <c r="O236" s="505">
        <v>0</v>
      </c>
    </row>
    <row r="237" spans="1:15" x14ac:dyDescent="0.35">
      <c r="A237" s="500" t="s">
        <v>1220</v>
      </c>
      <c r="B237" s="501">
        <v>4849</v>
      </c>
      <c r="C237" s="501" t="s">
        <v>1094</v>
      </c>
      <c r="D237" s="501" t="s">
        <v>3380</v>
      </c>
      <c r="E237" s="501" t="s">
        <v>3381</v>
      </c>
      <c r="F237" s="501" t="s">
        <v>438</v>
      </c>
      <c r="G237" s="501" t="s">
        <v>439</v>
      </c>
      <c r="H237" s="501" t="s">
        <v>3578</v>
      </c>
      <c r="I237" s="501">
        <v>52</v>
      </c>
      <c r="J237" s="501">
        <v>16</v>
      </c>
      <c r="K237" s="501">
        <v>0</v>
      </c>
      <c r="L237" s="501">
        <v>6</v>
      </c>
      <c r="M237" s="501">
        <v>30</v>
      </c>
      <c r="N237" s="501">
        <v>0</v>
      </c>
      <c r="O237" s="506">
        <v>0</v>
      </c>
    </row>
    <row r="238" spans="1:15" x14ac:dyDescent="0.35">
      <c r="A238" s="503" t="s">
        <v>1221</v>
      </c>
      <c r="B238" s="504">
        <v>4728</v>
      </c>
      <c r="C238" s="504" t="s">
        <v>1089</v>
      </c>
      <c r="D238" s="504" t="s">
        <v>3392</v>
      </c>
      <c r="E238" s="504" t="s">
        <v>3381</v>
      </c>
      <c r="F238" s="504" t="s">
        <v>438</v>
      </c>
      <c r="G238" s="504" t="s">
        <v>439</v>
      </c>
      <c r="H238" s="504" t="s">
        <v>3579</v>
      </c>
      <c r="I238" s="504">
        <v>19</v>
      </c>
      <c r="J238" s="504">
        <v>0</v>
      </c>
      <c r="K238" s="504">
        <v>0</v>
      </c>
      <c r="L238" s="504">
        <v>19</v>
      </c>
      <c r="M238" s="504">
        <v>0</v>
      </c>
      <c r="N238" s="504">
        <v>0</v>
      </c>
      <c r="O238" s="505">
        <v>0</v>
      </c>
    </row>
    <row r="239" spans="1:15" x14ac:dyDescent="0.35">
      <c r="A239" s="500" t="s">
        <v>1332</v>
      </c>
      <c r="B239" s="501">
        <v>4878</v>
      </c>
      <c r="C239" s="501" t="s">
        <v>1094</v>
      </c>
      <c r="D239" s="501" t="s">
        <v>3380</v>
      </c>
      <c r="E239" s="501" t="s">
        <v>3381</v>
      </c>
      <c r="F239" s="501" t="s">
        <v>438</v>
      </c>
      <c r="G239" s="501" t="s">
        <v>439</v>
      </c>
      <c r="H239" s="501" t="s">
        <v>3580</v>
      </c>
      <c r="I239" s="501">
        <v>1264</v>
      </c>
      <c r="J239" s="501">
        <v>1099</v>
      </c>
      <c r="K239" s="501">
        <v>0</v>
      </c>
      <c r="L239" s="501">
        <v>20</v>
      </c>
      <c r="M239" s="501">
        <v>0</v>
      </c>
      <c r="N239" s="501">
        <v>0</v>
      </c>
      <c r="O239" s="506">
        <v>145</v>
      </c>
    </row>
    <row r="240" spans="1:15" x14ac:dyDescent="0.35">
      <c r="A240" s="503" t="s">
        <v>1122</v>
      </c>
      <c r="B240" s="504" t="s">
        <v>2994</v>
      </c>
      <c r="C240" s="504" t="s">
        <v>1094</v>
      </c>
      <c r="D240" s="504" t="s">
        <v>3380</v>
      </c>
      <c r="E240" s="504" t="s">
        <v>3381</v>
      </c>
      <c r="F240" s="504" t="s">
        <v>438</v>
      </c>
      <c r="G240" s="504" t="s">
        <v>439</v>
      </c>
      <c r="H240" s="504" t="s">
        <v>3581</v>
      </c>
      <c r="I240" s="504">
        <v>15</v>
      </c>
      <c r="J240" s="504">
        <v>8</v>
      </c>
      <c r="K240" s="504">
        <v>0</v>
      </c>
      <c r="L240" s="504">
        <v>0</v>
      </c>
      <c r="M240" s="504">
        <v>0</v>
      </c>
      <c r="N240" s="504">
        <v>0</v>
      </c>
      <c r="O240" s="505">
        <v>7</v>
      </c>
    </row>
    <row r="241" spans="1:15" x14ac:dyDescent="0.35">
      <c r="A241" s="500" t="s">
        <v>1124</v>
      </c>
      <c r="B241" s="501">
        <v>4745</v>
      </c>
      <c r="C241" s="501" t="s">
        <v>1094</v>
      </c>
      <c r="D241" s="501" t="s">
        <v>3380</v>
      </c>
      <c r="E241" s="501" t="s">
        <v>3381</v>
      </c>
      <c r="F241" s="501" t="s">
        <v>438</v>
      </c>
      <c r="G241" s="501" t="s">
        <v>439</v>
      </c>
      <c r="H241" s="501" t="s">
        <v>3582</v>
      </c>
      <c r="I241" s="501">
        <v>7</v>
      </c>
      <c r="J241" s="501">
        <v>0</v>
      </c>
      <c r="K241" s="501">
        <v>0</v>
      </c>
      <c r="L241" s="501">
        <v>7</v>
      </c>
      <c r="M241" s="501">
        <v>0</v>
      </c>
      <c r="N241" s="501">
        <v>0</v>
      </c>
      <c r="O241" s="506">
        <v>0</v>
      </c>
    </row>
    <row r="242" spans="1:15" x14ac:dyDescent="0.35">
      <c r="A242" s="503" t="s">
        <v>1230</v>
      </c>
      <c r="B242" s="504" t="s">
        <v>3182</v>
      </c>
      <c r="C242" s="504" t="s">
        <v>1089</v>
      </c>
      <c r="D242" s="504" t="s">
        <v>3392</v>
      </c>
      <c r="E242" s="504" t="s">
        <v>3381</v>
      </c>
      <c r="F242" s="504" t="s">
        <v>438</v>
      </c>
      <c r="G242" s="504" t="s">
        <v>439</v>
      </c>
      <c r="H242" s="504" t="s">
        <v>3583</v>
      </c>
      <c r="I242" s="504">
        <v>72</v>
      </c>
      <c r="J242" s="504">
        <v>0</v>
      </c>
      <c r="K242" s="504">
        <v>0</v>
      </c>
      <c r="L242" s="504">
        <v>0</v>
      </c>
      <c r="M242" s="504">
        <v>72</v>
      </c>
      <c r="N242" s="504">
        <v>0</v>
      </c>
      <c r="O242" s="505">
        <v>0</v>
      </c>
    </row>
    <row r="243" spans="1:15" x14ac:dyDescent="0.35">
      <c r="A243" s="500" t="s">
        <v>1235</v>
      </c>
      <c r="B243" s="501">
        <v>4684</v>
      </c>
      <c r="C243" s="501" t="s">
        <v>1094</v>
      </c>
      <c r="D243" s="501" t="s">
        <v>3380</v>
      </c>
      <c r="E243" s="501" t="s">
        <v>3381</v>
      </c>
      <c r="F243" s="501" t="s">
        <v>438</v>
      </c>
      <c r="G243" s="501" t="s">
        <v>439</v>
      </c>
      <c r="H243" s="501" t="s">
        <v>3584</v>
      </c>
      <c r="I243" s="501">
        <v>70</v>
      </c>
      <c r="J243" s="501">
        <v>48</v>
      </c>
      <c r="K243" s="501">
        <v>0</v>
      </c>
      <c r="L243" s="501">
        <v>0</v>
      </c>
      <c r="M243" s="501">
        <v>0</v>
      </c>
      <c r="N243" s="501">
        <v>0</v>
      </c>
      <c r="O243" s="506">
        <v>22</v>
      </c>
    </row>
    <row r="244" spans="1:15" x14ac:dyDescent="0.35">
      <c r="A244" s="503" t="s">
        <v>1126</v>
      </c>
      <c r="B244" s="504" t="s">
        <v>2974</v>
      </c>
      <c r="C244" s="504" t="s">
        <v>1094</v>
      </c>
      <c r="D244" s="504" t="s">
        <v>3380</v>
      </c>
      <c r="E244" s="504" t="s">
        <v>3381</v>
      </c>
      <c r="F244" s="504" t="s">
        <v>438</v>
      </c>
      <c r="G244" s="504" t="s">
        <v>439</v>
      </c>
      <c r="H244" s="504" t="s">
        <v>3585</v>
      </c>
      <c r="I244" s="504">
        <v>260</v>
      </c>
      <c r="J244" s="504">
        <v>97</v>
      </c>
      <c r="K244" s="504">
        <v>0</v>
      </c>
      <c r="L244" s="504">
        <v>72</v>
      </c>
      <c r="M244" s="504">
        <v>87</v>
      </c>
      <c r="N244" s="504">
        <v>0</v>
      </c>
      <c r="O244" s="505">
        <v>4</v>
      </c>
    </row>
    <row r="245" spans="1:15" x14ac:dyDescent="0.35">
      <c r="A245" s="500" t="s">
        <v>1342</v>
      </c>
      <c r="B245" s="501" t="s">
        <v>3237</v>
      </c>
      <c r="C245" s="501" t="s">
        <v>1094</v>
      </c>
      <c r="D245" s="501" t="s">
        <v>3380</v>
      </c>
      <c r="E245" s="501" t="s">
        <v>3381</v>
      </c>
      <c r="F245" s="501" t="s">
        <v>438</v>
      </c>
      <c r="G245" s="501" t="s">
        <v>439</v>
      </c>
      <c r="H245" s="501" t="s">
        <v>3586</v>
      </c>
      <c r="I245" s="501">
        <v>1</v>
      </c>
      <c r="J245" s="501">
        <v>0</v>
      </c>
      <c r="K245" s="501">
        <v>0</v>
      </c>
      <c r="L245" s="501">
        <v>0</v>
      </c>
      <c r="M245" s="501">
        <v>0</v>
      </c>
      <c r="N245" s="501">
        <v>0</v>
      </c>
      <c r="O245" s="506">
        <v>1</v>
      </c>
    </row>
    <row r="246" spans="1:15" x14ac:dyDescent="0.35">
      <c r="A246" s="503" t="s">
        <v>1130</v>
      </c>
      <c r="B246" s="504" t="s">
        <v>3234</v>
      </c>
      <c r="C246" s="504" t="s">
        <v>1094</v>
      </c>
      <c r="D246" s="504" t="s">
        <v>3380</v>
      </c>
      <c r="E246" s="504" t="s">
        <v>3381</v>
      </c>
      <c r="F246" s="504" t="s">
        <v>438</v>
      </c>
      <c r="G246" s="504" t="s">
        <v>439</v>
      </c>
      <c r="H246" s="504" t="s">
        <v>3587</v>
      </c>
      <c r="I246" s="504">
        <v>8</v>
      </c>
      <c r="J246" s="504">
        <v>2</v>
      </c>
      <c r="K246" s="504">
        <v>0</v>
      </c>
      <c r="L246" s="504">
        <v>0</v>
      </c>
      <c r="M246" s="504">
        <v>0</v>
      </c>
      <c r="N246" s="504">
        <v>0</v>
      </c>
      <c r="O246" s="505">
        <v>6</v>
      </c>
    </row>
    <row r="247" spans="1:15" x14ac:dyDescent="0.35">
      <c r="A247" s="500" t="s">
        <v>1558</v>
      </c>
      <c r="B247" s="501">
        <v>4843</v>
      </c>
      <c r="C247" s="501" t="s">
        <v>1089</v>
      </c>
      <c r="D247" s="501" t="s">
        <v>3392</v>
      </c>
      <c r="E247" s="501" t="s">
        <v>3381</v>
      </c>
      <c r="F247" s="501" t="s">
        <v>438</v>
      </c>
      <c r="G247" s="501" t="s">
        <v>439</v>
      </c>
      <c r="H247" s="501" t="s">
        <v>3588</v>
      </c>
      <c r="I247" s="501">
        <v>306</v>
      </c>
      <c r="J247" s="501">
        <v>306</v>
      </c>
      <c r="K247" s="501">
        <v>0</v>
      </c>
      <c r="L247" s="501">
        <v>0</v>
      </c>
      <c r="M247" s="501">
        <v>0</v>
      </c>
      <c r="N247" s="501">
        <v>0</v>
      </c>
      <c r="O247" s="506">
        <v>0</v>
      </c>
    </row>
    <row r="248" spans="1:15" x14ac:dyDescent="0.35">
      <c r="A248" s="503" t="s">
        <v>1245</v>
      </c>
      <c r="B248" s="504" t="s">
        <v>2859</v>
      </c>
      <c r="C248" s="504" t="s">
        <v>1094</v>
      </c>
      <c r="D248" s="504" t="s">
        <v>3380</v>
      </c>
      <c r="E248" s="504" t="s">
        <v>3381</v>
      </c>
      <c r="F248" s="504" t="s">
        <v>438</v>
      </c>
      <c r="G248" s="504" t="s">
        <v>439</v>
      </c>
      <c r="H248" s="504" t="s">
        <v>3589</v>
      </c>
      <c r="I248" s="504">
        <v>11</v>
      </c>
      <c r="J248" s="504">
        <v>0</v>
      </c>
      <c r="K248" s="504">
        <v>0</v>
      </c>
      <c r="L248" s="504">
        <v>0</v>
      </c>
      <c r="M248" s="504">
        <v>11</v>
      </c>
      <c r="N248" s="504">
        <v>0</v>
      </c>
      <c r="O248" s="505">
        <v>0</v>
      </c>
    </row>
    <row r="249" spans="1:15" x14ac:dyDescent="0.35">
      <c r="A249" s="500" t="s">
        <v>1569</v>
      </c>
      <c r="B249" s="501" t="s">
        <v>2430</v>
      </c>
      <c r="C249" s="501" t="s">
        <v>1089</v>
      </c>
      <c r="D249" s="501" t="s">
        <v>3392</v>
      </c>
      <c r="E249" s="501" t="s">
        <v>3381</v>
      </c>
      <c r="F249" s="501" t="s">
        <v>438</v>
      </c>
      <c r="G249" s="501" t="s">
        <v>439</v>
      </c>
      <c r="H249" s="501" t="s">
        <v>3590</v>
      </c>
      <c r="I249" s="501">
        <v>172</v>
      </c>
      <c r="J249" s="501">
        <v>0</v>
      </c>
      <c r="K249" s="501">
        <v>0</v>
      </c>
      <c r="L249" s="501">
        <v>0</v>
      </c>
      <c r="M249" s="501">
        <v>172</v>
      </c>
      <c r="N249" s="501">
        <v>0</v>
      </c>
      <c r="O249" s="506">
        <v>0</v>
      </c>
    </row>
    <row r="250" spans="1:15" x14ac:dyDescent="0.35">
      <c r="A250" s="503" t="s">
        <v>1249</v>
      </c>
      <c r="B250" s="504">
        <v>4729</v>
      </c>
      <c r="C250" s="504" t="s">
        <v>1094</v>
      </c>
      <c r="D250" s="504" t="s">
        <v>3380</v>
      </c>
      <c r="E250" s="504" t="s">
        <v>3381</v>
      </c>
      <c r="F250" s="504" t="s">
        <v>438</v>
      </c>
      <c r="G250" s="504" t="s">
        <v>439</v>
      </c>
      <c r="H250" s="504" t="s">
        <v>3591</v>
      </c>
      <c r="I250" s="504">
        <v>2</v>
      </c>
      <c r="J250" s="504">
        <v>0</v>
      </c>
      <c r="K250" s="504">
        <v>0</v>
      </c>
      <c r="L250" s="504">
        <v>2</v>
      </c>
      <c r="M250" s="504">
        <v>0</v>
      </c>
      <c r="N250" s="504">
        <v>0</v>
      </c>
      <c r="O250" s="505">
        <v>0</v>
      </c>
    </row>
    <row r="251" spans="1:15" x14ac:dyDescent="0.35">
      <c r="A251" s="500" t="s">
        <v>1362</v>
      </c>
      <c r="B251" s="501" t="s">
        <v>2977</v>
      </c>
      <c r="C251" s="501" t="s">
        <v>1094</v>
      </c>
      <c r="D251" s="501" t="s">
        <v>3380</v>
      </c>
      <c r="E251" s="501" t="s">
        <v>3381</v>
      </c>
      <c r="F251" s="501" t="s">
        <v>438</v>
      </c>
      <c r="G251" s="501" t="s">
        <v>439</v>
      </c>
      <c r="H251" s="501" t="s">
        <v>3592</v>
      </c>
      <c r="I251" s="501">
        <v>22</v>
      </c>
      <c r="J251" s="501">
        <v>18</v>
      </c>
      <c r="K251" s="501">
        <v>0</v>
      </c>
      <c r="L251" s="501">
        <v>0</v>
      </c>
      <c r="M251" s="501">
        <v>0</v>
      </c>
      <c r="N251" s="501">
        <v>0</v>
      </c>
      <c r="O251" s="506">
        <v>4</v>
      </c>
    </row>
    <row r="252" spans="1:15" x14ac:dyDescent="0.35">
      <c r="A252" s="503" t="s">
        <v>1376</v>
      </c>
      <c r="B252" s="504" t="s">
        <v>3081</v>
      </c>
      <c r="C252" s="504" t="s">
        <v>1089</v>
      </c>
      <c r="D252" s="504" t="s">
        <v>3392</v>
      </c>
      <c r="E252" s="504" t="s">
        <v>3381</v>
      </c>
      <c r="F252" s="504" t="s">
        <v>438</v>
      </c>
      <c r="G252" s="504" t="s">
        <v>439</v>
      </c>
      <c r="H252" s="504" t="s">
        <v>3593</v>
      </c>
      <c r="I252" s="504">
        <v>13</v>
      </c>
      <c r="J252" s="504">
        <v>2</v>
      </c>
      <c r="K252" s="504">
        <v>0</v>
      </c>
      <c r="L252" s="504">
        <v>11</v>
      </c>
      <c r="M252" s="504">
        <v>0</v>
      </c>
      <c r="N252" s="504">
        <v>0</v>
      </c>
      <c r="O252" s="505">
        <v>0</v>
      </c>
    </row>
    <row r="253" spans="1:15" x14ac:dyDescent="0.35">
      <c r="A253" s="500" t="s">
        <v>1597</v>
      </c>
      <c r="B253" s="501" t="s">
        <v>3251</v>
      </c>
      <c r="C253" s="501" t="s">
        <v>1089</v>
      </c>
      <c r="D253" s="501" t="s">
        <v>3392</v>
      </c>
      <c r="E253" s="501" t="s">
        <v>3381</v>
      </c>
      <c r="F253" s="501" t="s">
        <v>438</v>
      </c>
      <c r="G253" s="501" t="s">
        <v>439</v>
      </c>
      <c r="H253" s="501" t="s">
        <v>3594</v>
      </c>
      <c r="I253" s="501">
        <v>65</v>
      </c>
      <c r="J253" s="501">
        <v>0</v>
      </c>
      <c r="K253" s="501">
        <v>0</v>
      </c>
      <c r="L253" s="501">
        <v>0</v>
      </c>
      <c r="M253" s="501">
        <v>65</v>
      </c>
      <c r="N253" s="501">
        <v>0</v>
      </c>
      <c r="O253" s="506">
        <v>0</v>
      </c>
    </row>
    <row r="254" spans="1:15" x14ac:dyDescent="0.35">
      <c r="A254" s="503" t="s">
        <v>1262</v>
      </c>
      <c r="B254" s="504">
        <v>4772</v>
      </c>
      <c r="C254" s="504" t="s">
        <v>1089</v>
      </c>
      <c r="D254" s="504" t="s">
        <v>3392</v>
      </c>
      <c r="E254" s="504" t="s">
        <v>3381</v>
      </c>
      <c r="F254" s="504" t="s">
        <v>438</v>
      </c>
      <c r="G254" s="504" t="s">
        <v>439</v>
      </c>
      <c r="H254" s="504" t="s">
        <v>3595</v>
      </c>
      <c r="I254" s="504">
        <v>9</v>
      </c>
      <c r="J254" s="504">
        <v>0</v>
      </c>
      <c r="K254" s="504">
        <v>0</v>
      </c>
      <c r="L254" s="504">
        <v>9</v>
      </c>
      <c r="M254" s="504">
        <v>0</v>
      </c>
      <c r="N254" s="504">
        <v>0</v>
      </c>
      <c r="O254" s="505">
        <v>0</v>
      </c>
    </row>
    <row r="255" spans="1:15" x14ac:dyDescent="0.35">
      <c r="A255" s="500" t="s">
        <v>1599</v>
      </c>
      <c r="B255" s="501" t="s">
        <v>3303</v>
      </c>
      <c r="C255" s="501" t="s">
        <v>1089</v>
      </c>
      <c r="D255" s="501" t="s">
        <v>3392</v>
      </c>
      <c r="E255" s="501" t="s">
        <v>3381</v>
      </c>
      <c r="F255" s="501" t="s">
        <v>438</v>
      </c>
      <c r="G255" s="501" t="s">
        <v>439</v>
      </c>
      <c r="H255" s="501" t="s">
        <v>3596</v>
      </c>
      <c r="I255" s="501">
        <v>9</v>
      </c>
      <c r="J255" s="501">
        <v>9</v>
      </c>
      <c r="K255" s="501">
        <v>0</v>
      </c>
      <c r="L255" s="501">
        <v>0</v>
      </c>
      <c r="M255" s="501">
        <v>0</v>
      </c>
      <c r="N255" s="501">
        <v>0</v>
      </c>
      <c r="O255" s="506">
        <v>0</v>
      </c>
    </row>
    <row r="256" spans="1:15" x14ac:dyDescent="0.35">
      <c r="A256" s="503" t="s">
        <v>1264</v>
      </c>
      <c r="B256" s="504">
        <v>4671</v>
      </c>
      <c r="C256" s="504" t="s">
        <v>1089</v>
      </c>
      <c r="D256" s="504" t="s">
        <v>3392</v>
      </c>
      <c r="E256" s="504" t="s">
        <v>3381</v>
      </c>
      <c r="F256" s="504" t="s">
        <v>438</v>
      </c>
      <c r="G256" s="504" t="s">
        <v>439</v>
      </c>
      <c r="H256" s="504" t="s">
        <v>14448</v>
      </c>
      <c r="I256" s="504">
        <v>19</v>
      </c>
      <c r="J256" s="504">
        <v>0</v>
      </c>
      <c r="K256" s="504">
        <v>0</v>
      </c>
      <c r="L256" s="504">
        <v>19</v>
      </c>
      <c r="M256" s="504">
        <v>0</v>
      </c>
      <c r="N256" s="504">
        <v>0</v>
      </c>
      <c r="O256" s="505">
        <v>0</v>
      </c>
    </row>
    <row r="257" spans="1:15" x14ac:dyDescent="0.35">
      <c r="A257" s="500" t="s">
        <v>1145</v>
      </c>
      <c r="B257" s="501" t="s">
        <v>3164</v>
      </c>
      <c r="C257" s="501" t="s">
        <v>1094</v>
      </c>
      <c r="D257" s="501" t="s">
        <v>3380</v>
      </c>
      <c r="E257" s="501" t="s">
        <v>3381</v>
      </c>
      <c r="F257" s="501" t="s">
        <v>440</v>
      </c>
      <c r="G257" s="501" t="s">
        <v>441</v>
      </c>
      <c r="H257" s="501" t="s">
        <v>3597</v>
      </c>
      <c r="I257" s="501">
        <v>40</v>
      </c>
      <c r="J257" s="501">
        <v>16</v>
      </c>
      <c r="K257" s="501">
        <v>0</v>
      </c>
      <c r="L257" s="501">
        <v>0</v>
      </c>
      <c r="M257" s="501">
        <v>0</v>
      </c>
      <c r="N257" s="501">
        <v>0</v>
      </c>
      <c r="O257" s="506">
        <v>24</v>
      </c>
    </row>
    <row r="258" spans="1:15" x14ac:dyDescent="0.35">
      <c r="A258" s="503" t="s">
        <v>1146</v>
      </c>
      <c r="B258" s="504">
        <v>4660</v>
      </c>
      <c r="C258" s="504" t="s">
        <v>1089</v>
      </c>
      <c r="D258" s="504" t="s">
        <v>3392</v>
      </c>
      <c r="E258" s="504" t="s">
        <v>3381</v>
      </c>
      <c r="F258" s="504" t="s">
        <v>440</v>
      </c>
      <c r="G258" s="504" t="s">
        <v>441</v>
      </c>
      <c r="H258" s="504" t="s">
        <v>3598</v>
      </c>
      <c r="I258" s="504">
        <v>2</v>
      </c>
      <c r="J258" s="504">
        <v>2</v>
      </c>
      <c r="K258" s="504">
        <v>0</v>
      </c>
      <c r="L258" s="504">
        <v>0</v>
      </c>
      <c r="M258" s="504">
        <v>0</v>
      </c>
      <c r="N258" s="504">
        <v>0</v>
      </c>
      <c r="O258" s="505">
        <v>0</v>
      </c>
    </row>
    <row r="259" spans="1:15" x14ac:dyDescent="0.35">
      <c r="A259" s="500" t="s">
        <v>1096</v>
      </c>
      <c r="B259" s="501" t="s">
        <v>3326</v>
      </c>
      <c r="C259" s="501" t="s">
        <v>1094</v>
      </c>
      <c r="D259" s="501" t="s">
        <v>3380</v>
      </c>
      <c r="E259" s="501" t="s">
        <v>3381</v>
      </c>
      <c r="F259" s="501" t="s">
        <v>440</v>
      </c>
      <c r="G259" s="501" t="s">
        <v>441</v>
      </c>
      <c r="H259" s="501" t="s">
        <v>3599</v>
      </c>
      <c r="I259" s="501">
        <v>30</v>
      </c>
      <c r="J259" s="501">
        <v>0</v>
      </c>
      <c r="K259" s="501">
        <v>0</v>
      </c>
      <c r="L259" s="501">
        <v>0</v>
      </c>
      <c r="M259" s="501">
        <v>30</v>
      </c>
      <c r="N259" s="501">
        <v>0</v>
      </c>
      <c r="O259" s="506">
        <v>0</v>
      </c>
    </row>
    <row r="260" spans="1:15" x14ac:dyDescent="0.35">
      <c r="A260" s="503" t="s">
        <v>11363</v>
      </c>
      <c r="B260" s="504">
        <v>4718</v>
      </c>
      <c r="C260" s="504" t="s">
        <v>1094</v>
      </c>
      <c r="D260" s="504" t="s">
        <v>3380</v>
      </c>
      <c r="E260" s="504" t="s">
        <v>3381</v>
      </c>
      <c r="F260" s="504" t="s">
        <v>440</v>
      </c>
      <c r="G260" s="504" t="s">
        <v>441</v>
      </c>
      <c r="H260" s="504" t="s">
        <v>11513</v>
      </c>
      <c r="I260" s="504">
        <v>3</v>
      </c>
      <c r="J260" s="504">
        <v>0</v>
      </c>
      <c r="K260" s="504">
        <v>0</v>
      </c>
      <c r="L260" s="504">
        <v>3</v>
      </c>
      <c r="M260" s="504">
        <v>0</v>
      </c>
      <c r="N260" s="504">
        <v>0</v>
      </c>
      <c r="O260" s="505">
        <v>0</v>
      </c>
    </row>
    <row r="261" spans="1:15" x14ac:dyDescent="0.35">
      <c r="A261" s="500" t="s">
        <v>14208</v>
      </c>
      <c r="B261" s="501">
        <v>4803</v>
      </c>
      <c r="C261" s="501" t="s">
        <v>1094</v>
      </c>
      <c r="D261" s="501" t="s">
        <v>3380</v>
      </c>
      <c r="E261" s="501" t="s">
        <v>3381</v>
      </c>
      <c r="F261" s="501" t="s">
        <v>440</v>
      </c>
      <c r="G261" s="501" t="s">
        <v>441</v>
      </c>
      <c r="H261" s="501" t="s">
        <v>14449</v>
      </c>
      <c r="I261" s="501">
        <v>3</v>
      </c>
      <c r="J261" s="501">
        <v>0</v>
      </c>
      <c r="K261" s="501">
        <v>0</v>
      </c>
      <c r="L261" s="501">
        <v>3</v>
      </c>
      <c r="M261" s="501">
        <v>0</v>
      </c>
      <c r="N261" s="501">
        <v>0</v>
      </c>
      <c r="O261" s="506">
        <v>0</v>
      </c>
    </row>
    <row r="262" spans="1:15" x14ac:dyDescent="0.35">
      <c r="A262" s="503" t="s">
        <v>1183</v>
      </c>
      <c r="B262" s="504" t="s">
        <v>3038</v>
      </c>
      <c r="C262" s="504" t="s">
        <v>1094</v>
      </c>
      <c r="D262" s="504" t="s">
        <v>3380</v>
      </c>
      <c r="E262" s="504" t="s">
        <v>3381</v>
      </c>
      <c r="F262" s="504" t="s">
        <v>440</v>
      </c>
      <c r="G262" s="504" t="s">
        <v>441</v>
      </c>
      <c r="H262" s="504" t="s">
        <v>11707</v>
      </c>
      <c r="I262" s="504">
        <v>347</v>
      </c>
      <c r="J262" s="504">
        <v>207</v>
      </c>
      <c r="K262" s="504">
        <v>0</v>
      </c>
      <c r="L262" s="504">
        <v>4</v>
      </c>
      <c r="M262" s="504">
        <v>30</v>
      </c>
      <c r="N262" s="504">
        <v>0</v>
      </c>
      <c r="O262" s="505">
        <v>106</v>
      </c>
    </row>
    <row r="263" spans="1:15" x14ac:dyDescent="0.35">
      <c r="A263" s="500" t="s">
        <v>1185</v>
      </c>
      <c r="B263" s="501" t="s">
        <v>3253</v>
      </c>
      <c r="C263" s="501" t="s">
        <v>1094</v>
      </c>
      <c r="D263" s="501" t="s">
        <v>3380</v>
      </c>
      <c r="E263" s="501" t="s">
        <v>3381</v>
      </c>
      <c r="F263" s="501" t="s">
        <v>440</v>
      </c>
      <c r="G263" s="501" t="s">
        <v>441</v>
      </c>
      <c r="H263" s="501" t="s">
        <v>3600</v>
      </c>
      <c r="I263" s="501">
        <v>59</v>
      </c>
      <c r="J263" s="501">
        <v>39</v>
      </c>
      <c r="K263" s="501">
        <v>0</v>
      </c>
      <c r="L263" s="501">
        <v>19</v>
      </c>
      <c r="M263" s="501">
        <v>1</v>
      </c>
      <c r="N263" s="501">
        <v>0</v>
      </c>
      <c r="O263" s="506">
        <v>0</v>
      </c>
    </row>
    <row r="264" spans="1:15" x14ac:dyDescent="0.35">
      <c r="A264" s="503" t="s">
        <v>1105</v>
      </c>
      <c r="B264" s="504">
        <v>4668</v>
      </c>
      <c r="C264" s="504" t="s">
        <v>1094</v>
      </c>
      <c r="D264" s="504" t="s">
        <v>3380</v>
      </c>
      <c r="E264" s="504" t="s">
        <v>3381</v>
      </c>
      <c r="F264" s="504" t="s">
        <v>440</v>
      </c>
      <c r="G264" s="504" t="s">
        <v>441</v>
      </c>
      <c r="H264" s="504" t="s">
        <v>3601</v>
      </c>
      <c r="I264" s="504">
        <v>33</v>
      </c>
      <c r="J264" s="504">
        <v>0</v>
      </c>
      <c r="K264" s="504">
        <v>0</v>
      </c>
      <c r="L264" s="504">
        <v>0</v>
      </c>
      <c r="M264" s="504">
        <v>0</v>
      </c>
      <c r="N264" s="504">
        <v>0</v>
      </c>
      <c r="O264" s="505">
        <v>33</v>
      </c>
    </row>
    <row r="265" spans="1:15" x14ac:dyDescent="0.35">
      <c r="A265" s="500" t="s">
        <v>2155</v>
      </c>
      <c r="B265" s="501">
        <v>4776</v>
      </c>
      <c r="C265" s="501" t="s">
        <v>1089</v>
      </c>
      <c r="D265" s="501" t="s">
        <v>3392</v>
      </c>
      <c r="E265" s="501" t="s">
        <v>3381</v>
      </c>
      <c r="F265" s="501" t="s">
        <v>440</v>
      </c>
      <c r="G265" s="501" t="s">
        <v>441</v>
      </c>
      <c r="H265" s="501" t="s">
        <v>3602</v>
      </c>
      <c r="I265" s="501">
        <v>14</v>
      </c>
      <c r="J265" s="501">
        <v>0</v>
      </c>
      <c r="K265" s="501">
        <v>0</v>
      </c>
      <c r="L265" s="501">
        <v>14</v>
      </c>
      <c r="M265" s="501">
        <v>0</v>
      </c>
      <c r="N265" s="501">
        <v>0</v>
      </c>
      <c r="O265" s="506">
        <v>0</v>
      </c>
    </row>
    <row r="266" spans="1:15" x14ac:dyDescent="0.35">
      <c r="A266" s="503" t="s">
        <v>1107</v>
      </c>
      <c r="B266" s="504" t="s">
        <v>3109</v>
      </c>
      <c r="C266" s="504" t="s">
        <v>1094</v>
      </c>
      <c r="D266" s="504" t="s">
        <v>3380</v>
      </c>
      <c r="E266" s="504" t="s">
        <v>3381</v>
      </c>
      <c r="F266" s="504" t="s">
        <v>440</v>
      </c>
      <c r="G266" s="504" t="s">
        <v>441</v>
      </c>
      <c r="H266" s="504" t="s">
        <v>3603</v>
      </c>
      <c r="I266" s="504">
        <v>6</v>
      </c>
      <c r="J266" s="504">
        <v>0</v>
      </c>
      <c r="K266" s="504">
        <v>0</v>
      </c>
      <c r="L266" s="504">
        <v>6</v>
      </c>
      <c r="M266" s="504">
        <v>0</v>
      </c>
      <c r="N266" s="504">
        <v>0</v>
      </c>
      <c r="O266" s="505">
        <v>0</v>
      </c>
    </row>
    <row r="267" spans="1:15" x14ac:dyDescent="0.35">
      <c r="A267" s="500" t="s">
        <v>1633</v>
      </c>
      <c r="B267" s="501">
        <v>4713</v>
      </c>
      <c r="C267" s="501" t="s">
        <v>1089</v>
      </c>
      <c r="D267" s="501" t="s">
        <v>3392</v>
      </c>
      <c r="E267" s="501" t="s">
        <v>3381</v>
      </c>
      <c r="F267" s="501" t="s">
        <v>440</v>
      </c>
      <c r="G267" s="501" t="s">
        <v>441</v>
      </c>
      <c r="H267" s="501" t="s">
        <v>3604</v>
      </c>
      <c r="I267" s="501">
        <v>9</v>
      </c>
      <c r="J267" s="501">
        <v>0</v>
      </c>
      <c r="K267" s="501">
        <v>0</v>
      </c>
      <c r="L267" s="501">
        <v>9</v>
      </c>
      <c r="M267" s="501">
        <v>0</v>
      </c>
      <c r="N267" s="501">
        <v>0</v>
      </c>
      <c r="O267" s="506">
        <v>0</v>
      </c>
    </row>
    <row r="268" spans="1:15" x14ac:dyDescent="0.35">
      <c r="A268" s="503" t="s">
        <v>1190</v>
      </c>
      <c r="B268" s="504">
        <v>4662</v>
      </c>
      <c r="C268" s="504" t="s">
        <v>1094</v>
      </c>
      <c r="D268" s="504" t="s">
        <v>3380</v>
      </c>
      <c r="E268" s="504" t="s">
        <v>3381</v>
      </c>
      <c r="F268" s="504" t="s">
        <v>440</v>
      </c>
      <c r="G268" s="504" t="s">
        <v>441</v>
      </c>
      <c r="H268" s="504" t="s">
        <v>3605</v>
      </c>
      <c r="I268" s="504">
        <v>16</v>
      </c>
      <c r="J268" s="504">
        <v>3</v>
      </c>
      <c r="K268" s="504">
        <v>0</v>
      </c>
      <c r="L268" s="504">
        <v>13</v>
      </c>
      <c r="M268" s="504">
        <v>0</v>
      </c>
      <c r="N268" s="504">
        <v>0</v>
      </c>
      <c r="O268" s="505">
        <v>0</v>
      </c>
    </row>
    <row r="269" spans="1:15" x14ac:dyDescent="0.35">
      <c r="A269" s="500" t="s">
        <v>1717</v>
      </c>
      <c r="B269" s="501">
        <v>4737</v>
      </c>
      <c r="C269" s="501" t="s">
        <v>1089</v>
      </c>
      <c r="D269" s="501" t="s">
        <v>3392</v>
      </c>
      <c r="E269" s="501" t="s">
        <v>3381</v>
      </c>
      <c r="F269" s="501" t="s">
        <v>440</v>
      </c>
      <c r="G269" s="501" t="s">
        <v>441</v>
      </c>
      <c r="H269" s="501" t="s">
        <v>3606</v>
      </c>
      <c r="I269" s="501">
        <v>3</v>
      </c>
      <c r="J269" s="501">
        <v>3</v>
      </c>
      <c r="K269" s="501">
        <v>0</v>
      </c>
      <c r="L269" s="501">
        <v>0</v>
      </c>
      <c r="M269" s="501">
        <v>0</v>
      </c>
      <c r="N269" s="501">
        <v>0</v>
      </c>
      <c r="O269" s="506">
        <v>0</v>
      </c>
    </row>
    <row r="270" spans="1:15" x14ac:dyDescent="0.35">
      <c r="A270" s="503" t="s">
        <v>1726</v>
      </c>
      <c r="B270" s="504" t="s">
        <v>3258</v>
      </c>
      <c r="C270" s="504" t="s">
        <v>1094</v>
      </c>
      <c r="D270" s="504" t="s">
        <v>3380</v>
      </c>
      <c r="E270" s="504" t="s">
        <v>3381</v>
      </c>
      <c r="F270" s="504" t="s">
        <v>440</v>
      </c>
      <c r="G270" s="504" t="s">
        <v>441</v>
      </c>
      <c r="H270" s="504" t="s">
        <v>3607</v>
      </c>
      <c r="I270" s="504">
        <v>217</v>
      </c>
      <c r="J270" s="504">
        <v>203</v>
      </c>
      <c r="K270" s="504">
        <v>0</v>
      </c>
      <c r="L270" s="504">
        <v>0</v>
      </c>
      <c r="M270" s="504">
        <v>0</v>
      </c>
      <c r="N270" s="504">
        <v>0</v>
      </c>
      <c r="O270" s="505">
        <v>14</v>
      </c>
    </row>
    <row r="271" spans="1:15" x14ac:dyDescent="0.35">
      <c r="A271" s="500" t="s">
        <v>1209</v>
      </c>
      <c r="B271" s="501">
        <v>4779</v>
      </c>
      <c r="C271" s="501" t="s">
        <v>1094</v>
      </c>
      <c r="D271" s="501" t="s">
        <v>3380</v>
      </c>
      <c r="E271" s="501" t="s">
        <v>3381</v>
      </c>
      <c r="F271" s="501" t="s">
        <v>440</v>
      </c>
      <c r="G271" s="501" t="s">
        <v>441</v>
      </c>
      <c r="H271" s="501" t="s">
        <v>3608</v>
      </c>
      <c r="I271" s="501">
        <v>34</v>
      </c>
      <c r="J271" s="501">
        <v>0</v>
      </c>
      <c r="K271" s="501">
        <v>0</v>
      </c>
      <c r="L271" s="501">
        <v>34</v>
      </c>
      <c r="M271" s="501">
        <v>0</v>
      </c>
      <c r="N271" s="501">
        <v>0</v>
      </c>
      <c r="O271" s="506">
        <v>0</v>
      </c>
    </row>
    <row r="272" spans="1:15" x14ac:dyDescent="0.35">
      <c r="A272" s="503" t="s">
        <v>1221</v>
      </c>
      <c r="B272" s="504">
        <v>4728</v>
      </c>
      <c r="C272" s="504" t="s">
        <v>1089</v>
      </c>
      <c r="D272" s="504" t="s">
        <v>3392</v>
      </c>
      <c r="E272" s="504" t="s">
        <v>3381</v>
      </c>
      <c r="F272" s="504" t="s">
        <v>440</v>
      </c>
      <c r="G272" s="504" t="s">
        <v>441</v>
      </c>
      <c r="H272" s="504" t="s">
        <v>3609</v>
      </c>
      <c r="I272" s="504">
        <v>12</v>
      </c>
      <c r="J272" s="504">
        <v>0</v>
      </c>
      <c r="K272" s="504">
        <v>0</v>
      </c>
      <c r="L272" s="504">
        <v>12</v>
      </c>
      <c r="M272" s="504">
        <v>0</v>
      </c>
      <c r="N272" s="504">
        <v>0</v>
      </c>
      <c r="O272" s="505">
        <v>0</v>
      </c>
    </row>
    <row r="273" spans="1:15" x14ac:dyDescent="0.35">
      <c r="A273" s="500" t="s">
        <v>1122</v>
      </c>
      <c r="B273" s="501" t="s">
        <v>2994</v>
      </c>
      <c r="C273" s="501" t="s">
        <v>1094</v>
      </c>
      <c r="D273" s="501" t="s">
        <v>3380</v>
      </c>
      <c r="E273" s="501" t="s">
        <v>3381</v>
      </c>
      <c r="F273" s="501" t="s">
        <v>440</v>
      </c>
      <c r="G273" s="501" t="s">
        <v>441</v>
      </c>
      <c r="H273" s="501" t="s">
        <v>3610</v>
      </c>
      <c r="I273" s="501">
        <v>21</v>
      </c>
      <c r="J273" s="501">
        <v>21</v>
      </c>
      <c r="K273" s="501">
        <v>0</v>
      </c>
      <c r="L273" s="501">
        <v>0</v>
      </c>
      <c r="M273" s="501">
        <v>0</v>
      </c>
      <c r="N273" s="501">
        <v>0</v>
      </c>
      <c r="O273" s="506">
        <v>0</v>
      </c>
    </row>
    <row r="274" spans="1:15" x14ac:dyDescent="0.35">
      <c r="A274" s="503" t="s">
        <v>1124</v>
      </c>
      <c r="B274" s="504">
        <v>4745</v>
      </c>
      <c r="C274" s="504" t="s">
        <v>1094</v>
      </c>
      <c r="D274" s="504" t="s">
        <v>3380</v>
      </c>
      <c r="E274" s="504" t="s">
        <v>3381</v>
      </c>
      <c r="F274" s="504" t="s">
        <v>440</v>
      </c>
      <c r="G274" s="504" t="s">
        <v>441</v>
      </c>
      <c r="H274" s="504" t="s">
        <v>3611</v>
      </c>
      <c r="I274" s="504">
        <v>7</v>
      </c>
      <c r="J274" s="504">
        <v>0</v>
      </c>
      <c r="K274" s="504">
        <v>0</v>
      </c>
      <c r="L274" s="504">
        <v>7</v>
      </c>
      <c r="M274" s="504">
        <v>0</v>
      </c>
      <c r="N274" s="504">
        <v>0</v>
      </c>
      <c r="O274" s="505">
        <v>0</v>
      </c>
    </row>
    <row r="275" spans="1:15" x14ac:dyDescent="0.35">
      <c r="A275" s="500" t="s">
        <v>1235</v>
      </c>
      <c r="B275" s="501">
        <v>4684</v>
      </c>
      <c r="C275" s="501" t="s">
        <v>1094</v>
      </c>
      <c r="D275" s="501" t="s">
        <v>3380</v>
      </c>
      <c r="E275" s="501" t="s">
        <v>3381</v>
      </c>
      <c r="F275" s="501" t="s">
        <v>440</v>
      </c>
      <c r="G275" s="501" t="s">
        <v>441</v>
      </c>
      <c r="H275" s="501" t="s">
        <v>3612</v>
      </c>
      <c r="I275" s="501">
        <v>56</v>
      </c>
      <c r="J275" s="501">
        <v>56</v>
      </c>
      <c r="K275" s="501">
        <v>0</v>
      </c>
      <c r="L275" s="501">
        <v>0</v>
      </c>
      <c r="M275" s="501">
        <v>0</v>
      </c>
      <c r="N275" s="501">
        <v>0</v>
      </c>
      <c r="O275" s="506">
        <v>0</v>
      </c>
    </row>
    <row r="276" spans="1:15" x14ac:dyDescent="0.35">
      <c r="A276" s="503" t="s">
        <v>1126</v>
      </c>
      <c r="B276" s="504" t="s">
        <v>2974</v>
      </c>
      <c r="C276" s="504" t="s">
        <v>1094</v>
      </c>
      <c r="D276" s="504" t="s">
        <v>3380</v>
      </c>
      <c r="E276" s="504" t="s">
        <v>3381</v>
      </c>
      <c r="F276" s="504" t="s">
        <v>440</v>
      </c>
      <c r="G276" s="504" t="s">
        <v>441</v>
      </c>
      <c r="H276" s="504" t="s">
        <v>3613</v>
      </c>
      <c r="I276" s="504">
        <v>44</v>
      </c>
      <c r="J276" s="504">
        <v>35</v>
      </c>
      <c r="K276" s="504">
        <v>0</v>
      </c>
      <c r="L276" s="504">
        <v>9</v>
      </c>
      <c r="M276" s="504">
        <v>0</v>
      </c>
      <c r="N276" s="504">
        <v>0</v>
      </c>
      <c r="O276" s="505">
        <v>0</v>
      </c>
    </row>
    <row r="277" spans="1:15" x14ac:dyDescent="0.35">
      <c r="A277" s="500" t="s">
        <v>1238</v>
      </c>
      <c r="B277" s="501" t="s">
        <v>2963</v>
      </c>
      <c r="C277" s="501" t="s">
        <v>1094</v>
      </c>
      <c r="D277" s="501" t="s">
        <v>3380</v>
      </c>
      <c r="E277" s="501" t="s">
        <v>3381</v>
      </c>
      <c r="F277" s="501" t="s">
        <v>440</v>
      </c>
      <c r="G277" s="501" t="s">
        <v>441</v>
      </c>
      <c r="H277" s="501" t="s">
        <v>3614</v>
      </c>
      <c r="I277" s="501">
        <v>430</v>
      </c>
      <c r="J277" s="501">
        <v>226</v>
      </c>
      <c r="K277" s="501">
        <v>0</v>
      </c>
      <c r="L277" s="501">
        <v>61</v>
      </c>
      <c r="M277" s="501">
        <v>99</v>
      </c>
      <c r="N277" s="501">
        <v>0</v>
      </c>
      <c r="O277" s="506">
        <v>44</v>
      </c>
    </row>
    <row r="278" spans="1:15" x14ac:dyDescent="0.35">
      <c r="A278" s="503" t="s">
        <v>1249</v>
      </c>
      <c r="B278" s="504">
        <v>4729</v>
      </c>
      <c r="C278" s="504" t="s">
        <v>1094</v>
      </c>
      <c r="D278" s="504" t="s">
        <v>3380</v>
      </c>
      <c r="E278" s="504" t="s">
        <v>3381</v>
      </c>
      <c r="F278" s="504" t="s">
        <v>440</v>
      </c>
      <c r="G278" s="504" t="s">
        <v>441</v>
      </c>
      <c r="H278" s="504" t="s">
        <v>3615</v>
      </c>
      <c r="I278" s="504">
        <v>512</v>
      </c>
      <c r="J278" s="504">
        <v>175</v>
      </c>
      <c r="K278" s="504">
        <v>0</v>
      </c>
      <c r="L278" s="504">
        <v>48</v>
      </c>
      <c r="M278" s="504">
        <v>273</v>
      </c>
      <c r="N278" s="504">
        <v>0</v>
      </c>
      <c r="O278" s="505">
        <v>16</v>
      </c>
    </row>
    <row r="279" spans="1:15" x14ac:dyDescent="0.35">
      <c r="A279" s="500" t="s">
        <v>1253</v>
      </c>
      <c r="B279" s="501" t="s">
        <v>3232</v>
      </c>
      <c r="C279" s="501" t="s">
        <v>1094</v>
      </c>
      <c r="D279" s="501" t="s">
        <v>3380</v>
      </c>
      <c r="E279" s="501" t="s">
        <v>3381</v>
      </c>
      <c r="F279" s="501" t="s">
        <v>440</v>
      </c>
      <c r="G279" s="501" t="s">
        <v>441</v>
      </c>
      <c r="H279" s="501" t="s">
        <v>3616</v>
      </c>
      <c r="I279" s="501">
        <v>74</v>
      </c>
      <c r="J279" s="501">
        <v>0</v>
      </c>
      <c r="K279" s="501">
        <v>0</v>
      </c>
      <c r="L279" s="501">
        <v>74</v>
      </c>
      <c r="M279" s="501">
        <v>0</v>
      </c>
      <c r="N279" s="501">
        <v>0</v>
      </c>
      <c r="O279" s="506">
        <v>0</v>
      </c>
    </row>
    <row r="280" spans="1:15" x14ac:dyDescent="0.35">
      <c r="A280" s="503" t="s">
        <v>1257</v>
      </c>
      <c r="B280" s="504" t="s">
        <v>3151</v>
      </c>
      <c r="C280" s="504" t="s">
        <v>1094</v>
      </c>
      <c r="D280" s="504" t="s">
        <v>3380</v>
      </c>
      <c r="E280" s="504" t="s">
        <v>3381</v>
      </c>
      <c r="F280" s="504" t="s">
        <v>440</v>
      </c>
      <c r="G280" s="504" t="s">
        <v>441</v>
      </c>
      <c r="H280" s="504" t="s">
        <v>3617</v>
      </c>
      <c r="I280" s="504">
        <v>1223</v>
      </c>
      <c r="J280" s="504">
        <v>986</v>
      </c>
      <c r="K280" s="504">
        <v>0</v>
      </c>
      <c r="L280" s="504">
        <v>0</v>
      </c>
      <c r="M280" s="504">
        <v>112</v>
      </c>
      <c r="N280" s="504">
        <v>0</v>
      </c>
      <c r="O280" s="505">
        <v>125</v>
      </c>
    </row>
    <row r="281" spans="1:15" x14ac:dyDescent="0.35">
      <c r="A281" s="500" t="s">
        <v>2187</v>
      </c>
      <c r="B281" s="501" t="s">
        <v>3193</v>
      </c>
      <c r="C281" s="501" t="s">
        <v>1094</v>
      </c>
      <c r="D281" s="501" t="s">
        <v>3380</v>
      </c>
      <c r="E281" s="501" t="s">
        <v>3381</v>
      </c>
      <c r="F281" s="501" t="s">
        <v>440</v>
      </c>
      <c r="G281" s="501" t="s">
        <v>441</v>
      </c>
      <c r="H281" s="501" t="s">
        <v>3618</v>
      </c>
      <c r="I281" s="501">
        <v>27</v>
      </c>
      <c r="J281" s="501">
        <v>22</v>
      </c>
      <c r="K281" s="501">
        <v>0</v>
      </c>
      <c r="L281" s="501">
        <v>0</v>
      </c>
      <c r="M281" s="501">
        <v>0</v>
      </c>
      <c r="N281" s="501">
        <v>0</v>
      </c>
      <c r="O281" s="506">
        <v>5</v>
      </c>
    </row>
    <row r="282" spans="1:15" x14ac:dyDescent="0.35">
      <c r="A282" s="503" t="s">
        <v>1789</v>
      </c>
      <c r="B282" s="504" t="s">
        <v>3219</v>
      </c>
      <c r="C282" s="504" t="s">
        <v>1094</v>
      </c>
      <c r="D282" s="504" t="s">
        <v>3380</v>
      </c>
      <c r="E282" s="504" t="s">
        <v>3381</v>
      </c>
      <c r="F282" s="504" t="s">
        <v>440</v>
      </c>
      <c r="G282" s="504" t="s">
        <v>441</v>
      </c>
      <c r="H282" s="504" t="s">
        <v>3619</v>
      </c>
      <c r="I282" s="504">
        <v>1333</v>
      </c>
      <c r="J282" s="504">
        <v>1133</v>
      </c>
      <c r="K282" s="504">
        <v>0</v>
      </c>
      <c r="L282" s="504">
        <v>27</v>
      </c>
      <c r="M282" s="504">
        <v>127</v>
      </c>
      <c r="N282" s="504">
        <v>0</v>
      </c>
      <c r="O282" s="505">
        <v>46</v>
      </c>
    </row>
    <row r="283" spans="1:15" x14ac:dyDescent="0.35">
      <c r="A283" s="500" t="s">
        <v>1143</v>
      </c>
      <c r="B283" s="501" t="s">
        <v>3281</v>
      </c>
      <c r="C283" s="501" t="s">
        <v>1094</v>
      </c>
      <c r="D283" s="501" t="s">
        <v>3380</v>
      </c>
      <c r="E283" s="501" t="s">
        <v>3381</v>
      </c>
      <c r="F283" s="501" t="s">
        <v>442</v>
      </c>
      <c r="G283" s="501" t="s">
        <v>443</v>
      </c>
      <c r="H283" s="501" t="s">
        <v>3620</v>
      </c>
      <c r="I283" s="501">
        <v>589</v>
      </c>
      <c r="J283" s="501">
        <v>491</v>
      </c>
      <c r="K283" s="501">
        <v>0</v>
      </c>
      <c r="L283" s="501">
        <v>0</v>
      </c>
      <c r="M283" s="501">
        <v>98</v>
      </c>
      <c r="N283" s="501">
        <v>3</v>
      </c>
      <c r="O283" s="506">
        <v>0</v>
      </c>
    </row>
    <row r="284" spans="1:15" x14ac:dyDescent="0.35">
      <c r="A284" s="503" t="s">
        <v>1096</v>
      </c>
      <c r="B284" s="504" t="s">
        <v>3326</v>
      </c>
      <c r="C284" s="504" t="s">
        <v>1094</v>
      </c>
      <c r="D284" s="504" t="s">
        <v>3380</v>
      </c>
      <c r="E284" s="504" t="s">
        <v>3381</v>
      </c>
      <c r="F284" s="504" t="s">
        <v>442</v>
      </c>
      <c r="G284" s="504" t="s">
        <v>443</v>
      </c>
      <c r="H284" s="504" t="s">
        <v>3621</v>
      </c>
      <c r="I284" s="504">
        <v>98</v>
      </c>
      <c r="J284" s="504">
        <v>0</v>
      </c>
      <c r="K284" s="504">
        <v>0</v>
      </c>
      <c r="L284" s="504">
        <v>0</v>
      </c>
      <c r="M284" s="504">
        <v>98</v>
      </c>
      <c r="N284" s="504">
        <v>0</v>
      </c>
      <c r="O284" s="505">
        <v>0</v>
      </c>
    </row>
    <row r="285" spans="1:15" x14ac:dyDescent="0.35">
      <c r="A285" s="500" t="s">
        <v>1167</v>
      </c>
      <c r="B285" s="501">
        <v>4689</v>
      </c>
      <c r="C285" s="501" t="s">
        <v>1089</v>
      </c>
      <c r="D285" s="501" t="s">
        <v>3392</v>
      </c>
      <c r="E285" s="501" t="s">
        <v>3381</v>
      </c>
      <c r="F285" s="501" t="s">
        <v>442</v>
      </c>
      <c r="G285" s="501" t="s">
        <v>443</v>
      </c>
      <c r="H285" s="501" t="s">
        <v>3622</v>
      </c>
      <c r="I285" s="501">
        <v>6</v>
      </c>
      <c r="J285" s="501">
        <v>0</v>
      </c>
      <c r="K285" s="501">
        <v>0</v>
      </c>
      <c r="L285" s="501">
        <v>6</v>
      </c>
      <c r="M285" s="501">
        <v>0</v>
      </c>
      <c r="N285" s="501">
        <v>0</v>
      </c>
      <c r="O285" s="506">
        <v>0</v>
      </c>
    </row>
    <row r="286" spans="1:15" x14ac:dyDescent="0.35">
      <c r="A286" s="503" t="s">
        <v>14178</v>
      </c>
      <c r="B286" s="504">
        <v>5058</v>
      </c>
      <c r="C286" s="504" t="s">
        <v>1089</v>
      </c>
      <c r="D286" s="504" t="s">
        <v>3392</v>
      </c>
      <c r="E286" s="504" t="s">
        <v>3381</v>
      </c>
      <c r="F286" s="504" t="s">
        <v>442</v>
      </c>
      <c r="G286" s="504" t="s">
        <v>443</v>
      </c>
      <c r="H286" s="504" t="s">
        <v>14450</v>
      </c>
      <c r="I286" s="504">
        <v>2</v>
      </c>
      <c r="J286" s="504">
        <v>2</v>
      </c>
      <c r="K286" s="504">
        <v>0</v>
      </c>
      <c r="L286" s="504">
        <v>0</v>
      </c>
      <c r="M286" s="504">
        <v>0</v>
      </c>
      <c r="N286" s="504">
        <v>0</v>
      </c>
      <c r="O286" s="505">
        <v>0</v>
      </c>
    </row>
    <row r="287" spans="1:15" x14ac:dyDescent="0.35">
      <c r="A287" s="500" t="s">
        <v>1174</v>
      </c>
      <c r="B287" s="501">
        <v>4784</v>
      </c>
      <c r="C287" s="501" t="s">
        <v>1089</v>
      </c>
      <c r="D287" s="501" t="s">
        <v>3392</v>
      </c>
      <c r="E287" s="501" t="s">
        <v>3381</v>
      </c>
      <c r="F287" s="501" t="s">
        <v>442</v>
      </c>
      <c r="G287" s="501" t="s">
        <v>443</v>
      </c>
      <c r="H287" s="501" t="s">
        <v>3623</v>
      </c>
      <c r="I287" s="501">
        <v>9</v>
      </c>
      <c r="J287" s="501">
        <v>0</v>
      </c>
      <c r="K287" s="501">
        <v>0</v>
      </c>
      <c r="L287" s="501">
        <v>9</v>
      </c>
      <c r="M287" s="501">
        <v>0</v>
      </c>
      <c r="N287" s="501">
        <v>0</v>
      </c>
      <c r="O287" s="506">
        <v>0</v>
      </c>
    </row>
    <row r="288" spans="1:15" x14ac:dyDescent="0.35">
      <c r="A288" s="503" t="s">
        <v>1107</v>
      </c>
      <c r="B288" s="504" t="s">
        <v>3109</v>
      </c>
      <c r="C288" s="504" t="s">
        <v>1094</v>
      </c>
      <c r="D288" s="504" t="s">
        <v>3380</v>
      </c>
      <c r="E288" s="504" t="s">
        <v>3381</v>
      </c>
      <c r="F288" s="504" t="s">
        <v>442</v>
      </c>
      <c r="G288" s="504" t="s">
        <v>443</v>
      </c>
      <c r="H288" s="504" t="s">
        <v>3624</v>
      </c>
      <c r="I288" s="504">
        <v>33</v>
      </c>
      <c r="J288" s="504">
        <v>25</v>
      </c>
      <c r="K288" s="504">
        <v>0</v>
      </c>
      <c r="L288" s="504">
        <v>8</v>
      </c>
      <c r="M288" s="504">
        <v>0</v>
      </c>
      <c r="N288" s="504">
        <v>0</v>
      </c>
      <c r="O288" s="505">
        <v>0</v>
      </c>
    </row>
    <row r="289" spans="1:15" x14ac:dyDescent="0.35">
      <c r="A289" s="500" t="s">
        <v>1190</v>
      </c>
      <c r="B289" s="501">
        <v>4662</v>
      </c>
      <c r="C289" s="501" t="s">
        <v>1094</v>
      </c>
      <c r="D289" s="501" t="s">
        <v>3380</v>
      </c>
      <c r="E289" s="501" t="s">
        <v>3381</v>
      </c>
      <c r="F289" s="501" t="s">
        <v>442</v>
      </c>
      <c r="G289" s="501" t="s">
        <v>443</v>
      </c>
      <c r="H289" s="501" t="s">
        <v>3625</v>
      </c>
      <c r="I289" s="501">
        <v>49</v>
      </c>
      <c r="J289" s="501">
        <v>0</v>
      </c>
      <c r="K289" s="501">
        <v>0</v>
      </c>
      <c r="L289" s="501">
        <v>49</v>
      </c>
      <c r="M289" s="501">
        <v>0</v>
      </c>
      <c r="N289" s="501">
        <v>0</v>
      </c>
      <c r="O289" s="506">
        <v>0</v>
      </c>
    </row>
    <row r="290" spans="1:15" x14ac:dyDescent="0.35">
      <c r="A290" s="503" t="s">
        <v>1209</v>
      </c>
      <c r="B290" s="504">
        <v>4779</v>
      </c>
      <c r="C290" s="504" t="s">
        <v>1094</v>
      </c>
      <c r="D290" s="504" t="s">
        <v>3380</v>
      </c>
      <c r="E290" s="504" t="s">
        <v>3381</v>
      </c>
      <c r="F290" s="504" t="s">
        <v>442</v>
      </c>
      <c r="G290" s="504" t="s">
        <v>443</v>
      </c>
      <c r="H290" s="504" t="s">
        <v>3626</v>
      </c>
      <c r="I290" s="504">
        <v>117</v>
      </c>
      <c r="J290" s="504">
        <v>0</v>
      </c>
      <c r="K290" s="504">
        <v>0</v>
      </c>
      <c r="L290" s="504">
        <v>117</v>
      </c>
      <c r="M290" s="504">
        <v>0</v>
      </c>
      <c r="N290" s="504">
        <v>0</v>
      </c>
      <c r="O290" s="505">
        <v>0</v>
      </c>
    </row>
    <row r="291" spans="1:15" x14ac:dyDescent="0.35">
      <c r="A291" s="500" t="s">
        <v>1122</v>
      </c>
      <c r="B291" s="501" t="s">
        <v>2994</v>
      </c>
      <c r="C291" s="501" t="s">
        <v>1094</v>
      </c>
      <c r="D291" s="501" t="s">
        <v>3380</v>
      </c>
      <c r="E291" s="501" t="s">
        <v>3381</v>
      </c>
      <c r="F291" s="501" t="s">
        <v>442</v>
      </c>
      <c r="G291" s="501" t="s">
        <v>443</v>
      </c>
      <c r="H291" s="501" t="s">
        <v>3627</v>
      </c>
      <c r="I291" s="501">
        <v>1</v>
      </c>
      <c r="J291" s="501">
        <v>0</v>
      </c>
      <c r="K291" s="501">
        <v>0</v>
      </c>
      <c r="L291" s="501">
        <v>0</v>
      </c>
      <c r="M291" s="501">
        <v>0</v>
      </c>
      <c r="N291" s="501">
        <v>0</v>
      </c>
      <c r="O291" s="506">
        <v>1</v>
      </c>
    </row>
    <row r="292" spans="1:15" x14ac:dyDescent="0.35">
      <c r="A292" s="503" t="s">
        <v>1228</v>
      </c>
      <c r="B292" s="504" t="s">
        <v>3321</v>
      </c>
      <c r="C292" s="504" t="s">
        <v>1094</v>
      </c>
      <c r="D292" s="504" t="s">
        <v>3380</v>
      </c>
      <c r="E292" s="504" t="s">
        <v>3381</v>
      </c>
      <c r="F292" s="504" t="s">
        <v>442</v>
      </c>
      <c r="G292" s="504" t="s">
        <v>443</v>
      </c>
      <c r="H292" s="504" t="s">
        <v>3628</v>
      </c>
      <c r="I292" s="504">
        <v>3</v>
      </c>
      <c r="J292" s="504">
        <v>0</v>
      </c>
      <c r="K292" s="504">
        <v>0</v>
      </c>
      <c r="L292" s="504">
        <v>3</v>
      </c>
      <c r="M292" s="504">
        <v>0</v>
      </c>
      <c r="N292" s="504">
        <v>0</v>
      </c>
      <c r="O292" s="505">
        <v>0</v>
      </c>
    </row>
    <row r="293" spans="1:15" x14ac:dyDescent="0.35">
      <c r="A293" s="500" t="s">
        <v>1235</v>
      </c>
      <c r="B293" s="501">
        <v>4684</v>
      </c>
      <c r="C293" s="501" t="s">
        <v>1094</v>
      </c>
      <c r="D293" s="501" t="s">
        <v>3380</v>
      </c>
      <c r="E293" s="501" t="s">
        <v>3381</v>
      </c>
      <c r="F293" s="501" t="s">
        <v>442</v>
      </c>
      <c r="G293" s="501" t="s">
        <v>443</v>
      </c>
      <c r="H293" s="501" t="s">
        <v>12095</v>
      </c>
      <c r="I293" s="501">
        <v>22</v>
      </c>
      <c r="J293" s="501">
        <v>0</v>
      </c>
      <c r="K293" s="501">
        <v>0</v>
      </c>
      <c r="L293" s="501">
        <v>22</v>
      </c>
      <c r="M293" s="501">
        <v>0</v>
      </c>
      <c r="N293" s="501">
        <v>0</v>
      </c>
      <c r="O293" s="506">
        <v>0</v>
      </c>
    </row>
    <row r="294" spans="1:15" x14ac:dyDescent="0.35">
      <c r="A294" s="503" t="s">
        <v>1126</v>
      </c>
      <c r="B294" s="504" t="s">
        <v>2974</v>
      </c>
      <c r="C294" s="504" t="s">
        <v>1094</v>
      </c>
      <c r="D294" s="504" t="s">
        <v>3380</v>
      </c>
      <c r="E294" s="504" t="s">
        <v>3381</v>
      </c>
      <c r="F294" s="504" t="s">
        <v>442</v>
      </c>
      <c r="G294" s="504" t="s">
        <v>443</v>
      </c>
      <c r="H294" s="504" t="s">
        <v>3629</v>
      </c>
      <c r="I294" s="504">
        <v>19</v>
      </c>
      <c r="J294" s="504">
        <v>0</v>
      </c>
      <c r="K294" s="504">
        <v>0</v>
      </c>
      <c r="L294" s="504">
        <v>19</v>
      </c>
      <c r="M294" s="504">
        <v>0</v>
      </c>
      <c r="N294" s="504">
        <v>0</v>
      </c>
      <c r="O294" s="505">
        <v>0</v>
      </c>
    </row>
    <row r="295" spans="1:15" x14ac:dyDescent="0.35">
      <c r="A295" s="500" t="s">
        <v>1760</v>
      </c>
      <c r="B295" s="501">
        <v>4686</v>
      </c>
      <c r="C295" s="501" t="s">
        <v>1094</v>
      </c>
      <c r="D295" s="501" t="s">
        <v>3380</v>
      </c>
      <c r="E295" s="501" t="s">
        <v>3381</v>
      </c>
      <c r="F295" s="501" t="s">
        <v>442</v>
      </c>
      <c r="G295" s="501" t="s">
        <v>443</v>
      </c>
      <c r="H295" s="501" t="s">
        <v>14451</v>
      </c>
      <c r="I295" s="501">
        <v>22</v>
      </c>
      <c r="J295" s="501">
        <v>8</v>
      </c>
      <c r="K295" s="501">
        <v>0</v>
      </c>
      <c r="L295" s="501">
        <v>0</v>
      </c>
      <c r="M295" s="501">
        <v>0</v>
      </c>
      <c r="N295" s="501">
        <v>0</v>
      </c>
      <c r="O295" s="506">
        <v>14</v>
      </c>
    </row>
    <row r="296" spans="1:15" x14ac:dyDescent="0.35">
      <c r="A296" s="503" t="s">
        <v>1769</v>
      </c>
      <c r="B296" s="504" t="s">
        <v>2847</v>
      </c>
      <c r="C296" s="504" t="s">
        <v>1089</v>
      </c>
      <c r="D296" s="504" t="s">
        <v>3392</v>
      </c>
      <c r="E296" s="504" t="s">
        <v>3381</v>
      </c>
      <c r="F296" s="504" t="s">
        <v>442</v>
      </c>
      <c r="G296" s="504" t="s">
        <v>443</v>
      </c>
      <c r="H296" s="504" t="s">
        <v>3630</v>
      </c>
      <c r="I296" s="504">
        <v>12</v>
      </c>
      <c r="J296" s="504">
        <v>0</v>
      </c>
      <c r="K296" s="504">
        <v>0</v>
      </c>
      <c r="L296" s="504">
        <v>12</v>
      </c>
      <c r="M296" s="504">
        <v>0</v>
      </c>
      <c r="N296" s="504">
        <v>0</v>
      </c>
      <c r="O296" s="505">
        <v>0</v>
      </c>
    </row>
    <row r="297" spans="1:15" x14ac:dyDescent="0.35">
      <c r="A297" s="500" t="s">
        <v>11398</v>
      </c>
      <c r="B297" s="501" t="s">
        <v>3224</v>
      </c>
      <c r="C297" s="501" t="s">
        <v>1089</v>
      </c>
      <c r="D297" s="501" t="s">
        <v>3392</v>
      </c>
      <c r="E297" s="501" t="s">
        <v>3381</v>
      </c>
      <c r="F297" s="501" t="s">
        <v>442</v>
      </c>
      <c r="G297" s="501" t="s">
        <v>443</v>
      </c>
      <c r="H297" s="501" t="s">
        <v>12203</v>
      </c>
      <c r="I297" s="501">
        <v>14</v>
      </c>
      <c r="J297" s="501">
        <v>0</v>
      </c>
      <c r="K297" s="501">
        <v>0</v>
      </c>
      <c r="L297" s="501">
        <v>14</v>
      </c>
      <c r="M297" s="501">
        <v>0</v>
      </c>
      <c r="N297" s="501">
        <v>0</v>
      </c>
      <c r="O297" s="506">
        <v>0</v>
      </c>
    </row>
    <row r="298" spans="1:15" x14ac:dyDescent="0.35">
      <c r="A298" s="503" t="s">
        <v>1253</v>
      </c>
      <c r="B298" s="504" t="s">
        <v>3232</v>
      </c>
      <c r="C298" s="504" t="s">
        <v>1094</v>
      </c>
      <c r="D298" s="504" t="s">
        <v>3380</v>
      </c>
      <c r="E298" s="504" t="s">
        <v>3381</v>
      </c>
      <c r="F298" s="504" t="s">
        <v>442</v>
      </c>
      <c r="G298" s="504" t="s">
        <v>443</v>
      </c>
      <c r="H298" s="504" t="s">
        <v>3631</v>
      </c>
      <c r="I298" s="504">
        <v>18</v>
      </c>
      <c r="J298" s="504">
        <v>0</v>
      </c>
      <c r="K298" s="504">
        <v>0</v>
      </c>
      <c r="L298" s="504">
        <v>8</v>
      </c>
      <c r="M298" s="504">
        <v>0</v>
      </c>
      <c r="N298" s="504">
        <v>0</v>
      </c>
      <c r="O298" s="505">
        <v>10</v>
      </c>
    </row>
    <row r="299" spans="1:15" x14ac:dyDescent="0.35">
      <c r="A299" s="500" t="s">
        <v>1093</v>
      </c>
      <c r="B299" s="501" t="s">
        <v>3248</v>
      </c>
      <c r="C299" s="501" t="s">
        <v>1094</v>
      </c>
      <c r="D299" s="501" t="s">
        <v>3380</v>
      </c>
      <c r="E299" s="501" t="s">
        <v>3381</v>
      </c>
      <c r="F299" s="501" t="s">
        <v>444</v>
      </c>
      <c r="G299" s="501" t="s">
        <v>445</v>
      </c>
      <c r="H299" s="501" t="s">
        <v>3632</v>
      </c>
      <c r="I299" s="501">
        <v>2</v>
      </c>
      <c r="J299" s="501">
        <v>0</v>
      </c>
      <c r="K299" s="501">
        <v>0</v>
      </c>
      <c r="L299" s="501">
        <v>0</v>
      </c>
      <c r="M299" s="501">
        <v>0</v>
      </c>
      <c r="N299" s="501">
        <v>0</v>
      </c>
      <c r="O299" s="506">
        <v>2</v>
      </c>
    </row>
    <row r="300" spans="1:15" x14ac:dyDescent="0.35">
      <c r="A300" s="503" t="s">
        <v>1096</v>
      </c>
      <c r="B300" s="504" t="s">
        <v>3326</v>
      </c>
      <c r="C300" s="504" t="s">
        <v>1094</v>
      </c>
      <c r="D300" s="504" t="s">
        <v>3380</v>
      </c>
      <c r="E300" s="504" t="s">
        <v>3381</v>
      </c>
      <c r="F300" s="504" t="s">
        <v>444</v>
      </c>
      <c r="G300" s="504" t="s">
        <v>445</v>
      </c>
      <c r="H300" s="504" t="s">
        <v>3633</v>
      </c>
      <c r="I300" s="504">
        <v>94</v>
      </c>
      <c r="J300" s="504">
        <v>15</v>
      </c>
      <c r="K300" s="504">
        <v>0</v>
      </c>
      <c r="L300" s="504">
        <v>0</v>
      </c>
      <c r="M300" s="504">
        <v>79</v>
      </c>
      <c r="N300" s="504">
        <v>0</v>
      </c>
      <c r="O300" s="505">
        <v>0</v>
      </c>
    </row>
    <row r="301" spans="1:15" x14ac:dyDescent="0.35">
      <c r="A301" s="500" t="s">
        <v>1276</v>
      </c>
      <c r="B301" s="501" t="s">
        <v>3051</v>
      </c>
      <c r="C301" s="501" t="s">
        <v>1089</v>
      </c>
      <c r="D301" s="501" t="s">
        <v>3392</v>
      </c>
      <c r="E301" s="501" t="s">
        <v>3381</v>
      </c>
      <c r="F301" s="501" t="s">
        <v>444</v>
      </c>
      <c r="G301" s="501" t="s">
        <v>445</v>
      </c>
      <c r="H301" s="501" t="s">
        <v>3634</v>
      </c>
      <c r="I301" s="501">
        <v>38</v>
      </c>
      <c r="J301" s="501">
        <v>0</v>
      </c>
      <c r="K301" s="501">
        <v>0</v>
      </c>
      <c r="L301" s="501">
        <v>0</v>
      </c>
      <c r="M301" s="501">
        <v>38</v>
      </c>
      <c r="N301" s="501">
        <v>0</v>
      </c>
      <c r="O301" s="506">
        <v>0</v>
      </c>
    </row>
    <row r="302" spans="1:15" x14ac:dyDescent="0.35">
      <c r="A302" s="503" t="s">
        <v>1283</v>
      </c>
      <c r="B302" s="504" t="s">
        <v>3177</v>
      </c>
      <c r="C302" s="504" t="s">
        <v>1094</v>
      </c>
      <c r="D302" s="504" t="s">
        <v>3380</v>
      </c>
      <c r="E302" s="504" t="s">
        <v>3381</v>
      </c>
      <c r="F302" s="504" t="s">
        <v>444</v>
      </c>
      <c r="G302" s="504" t="s">
        <v>445</v>
      </c>
      <c r="H302" s="504" t="s">
        <v>3635</v>
      </c>
      <c r="I302" s="504">
        <v>79</v>
      </c>
      <c r="J302" s="504">
        <v>68</v>
      </c>
      <c r="K302" s="504">
        <v>0</v>
      </c>
      <c r="L302" s="504">
        <v>0</v>
      </c>
      <c r="M302" s="504">
        <v>0</v>
      </c>
      <c r="N302" s="504">
        <v>0</v>
      </c>
      <c r="O302" s="505">
        <v>11</v>
      </c>
    </row>
    <row r="303" spans="1:15" x14ac:dyDescent="0.35">
      <c r="A303" s="500" t="s">
        <v>1164</v>
      </c>
      <c r="B303" s="501">
        <v>4751</v>
      </c>
      <c r="C303" s="501" t="s">
        <v>1089</v>
      </c>
      <c r="D303" s="501" t="s">
        <v>3392</v>
      </c>
      <c r="E303" s="501" t="s">
        <v>3381</v>
      </c>
      <c r="F303" s="501" t="s">
        <v>444</v>
      </c>
      <c r="G303" s="501" t="s">
        <v>445</v>
      </c>
      <c r="H303" s="501" t="s">
        <v>3636</v>
      </c>
      <c r="I303" s="501">
        <v>3</v>
      </c>
      <c r="J303" s="501">
        <v>0</v>
      </c>
      <c r="K303" s="501">
        <v>0</v>
      </c>
      <c r="L303" s="501">
        <v>3</v>
      </c>
      <c r="M303" s="501">
        <v>0</v>
      </c>
      <c r="N303" s="501">
        <v>0</v>
      </c>
      <c r="O303" s="506">
        <v>0</v>
      </c>
    </row>
    <row r="304" spans="1:15" x14ac:dyDescent="0.35">
      <c r="A304" s="503" t="s">
        <v>1100</v>
      </c>
      <c r="B304" s="504">
        <v>4865</v>
      </c>
      <c r="C304" s="504" t="s">
        <v>1094</v>
      </c>
      <c r="D304" s="504" t="s">
        <v>3380</v>
      </c>
      <c r="E304" s="504" t="s">
        <v>3381</v>
      </c>
      <c r="F304" s="504" t="s">
        <v>444</v>
      </c>
      <c r="G304" s="504" t="s">
        <v>445</v>
      </c>
      <c r="H304" s="504" t="s">
        <v>3637</v>
      </c>
      <c r="I304" s="504">
        <v>783</v>
      </c>
      <c r="J304" s="504">
        <v>706</v>
      </c>
      <c r="K304" s="504">
        <v>0</v>
      </c>
      <c r="L304" s="504">
        <v>0</v>
      </c>
      <c r="M304" s="504">
        <v>0</v>
      </c>
      <c r="N304" s="504">
        <v>0</v>
      </c>
      <c r="O304" s="505">
        <v>77</v>
      </c>
    </row>
    <row r="305" spans="1:15" x14ac:dyDescent="0.35">
      <c r="A305" s="500" t="s">
        <v>1102</v>
      </c>
      <c r="B305" s="501">
        <v>4663</v>
      </c>
      <c r="C305" s="501" t="s">
        <v>1089</v>
      </c>
      <c r="D305" s="501" t="s">
        <v>3392</v>
      </c>
      <c r="E305" s="501" t="s">
        <v>3381</v>
      </c>
      <c r="F305" s="501" t="s">
        <v>444</v>
      </c>
      <c r="G305" s="501" t="s">
        <v>445</v>
      </c>
      <c r="H305" s="501" t="s">
        <v>11686</v>
      </c>
      <c r="I305" s="501">
        <v>4</v>
      </c>
      <c r="J305" s="501">
        <v>0</v>
      </c>
      <c r="K305" s="501">
        <v>0</v>
      </c>
      <c r="L305" s="501">
        <v>4</v>
      </c>
      <c r="M305" s="501">
        <v>0</v>
      </c>
      <c r="N305" s="501">
        <v>0</v>
      </c>
      <c r="O305" s="506">
        <v>0</v>
      </c>
    </row>
    <row r="306" spans="1:15" x14ac:dyDescent="0.35">
      <c r="A306" s="503" t="s">
        <v>1294</v>
      </c>
      <c r="B306" s="504" t="s">
        <v>3114</v>
      </c>
      <c r="C306" s="504" t="s">
        <v>1094</v>
      </c>
      <c r="D306" s="504" t="s">
        <v>3380</v>
      </c>
      <c r="E306" s="504" t="s">
        <v>3381</v>
      </c>
      <c r="F306" s="504" t="s">
        <v>444</v>
      </c>
      <c r="G306" s="504" t="s">
        <v>445</v>
      </c>
      <c r="H306" s="504" t="s">
        <v>3638</v>
      </c>
      <c r="I306" s="504">
        <v>147</v>
      </c>
      <c r="J306" s="504">
        <v>138</v>
      </c>
      <c r="K306" s="504">
        <v>0</v>
      </c>
      <c r="L306" s="504">
        <v>8</v>
      </c>
      <c r="M306" s="504">
        <v>0</v>
      </c>
      <c r="N306" s="504">
        <v>2</v>
      </c>
      <c r="O306" s="505">
        <v>1</v>
      </c>
    </row>
    <row r="307" spans="1:15" x14ac:dyDescent="0.35">
      <c r="A307" s="500" t="s">
        <v>1296</v>
      </c>
      <c r="B307" s="501">
        <v>4651</v>
      </c>
      <c r="C307" s="501" t="s">
        <v>1094</v>
      </c>
      <c r="D307" s="501" t="s">
        <v>3380</v>
      </c>
      <c r="E307" s="501" t="s">
        <v>3381</v>
      </c>
      <c r="F307" s="501" t="s">
        <v>444</v>
      </c>
      <c r="G307" s="501" t="s">
        <v>445</v>
      </c>
      <c r="H307" s="501" t="s">
        <v>3639</v>
      </c>
      <c r="I307" s="501">
        <v>1</v>
      </c>
      <c r="J307" s="501">
        <v>1</v>
      </c>
      <c r="K307" s="501">
        <v>0</v>
      </c>
      <c r="L307" s="501">
        <v>0</v>
      </c>
      <c r="M307" s="501">
        <v>0</v>
      </c>
      <c r="N307" s="501">
        <v>0</v>
      </c>
      <c r="O307" s="506">
        <v>0</v>
      </c>
    </row>
    <row r="308" spans="1:15" x14ac:dyDescent="0.35">
      <c r="A308" s="503" t="s">
        <v>1188</v>
      </c>
      <c r="B308" s="504">
        <v>4760</v>
      </c>
      <c r="C308" s="504" t="s">
        <v>1089</v>
      </c>
      <c r="D308" s="504" t="s">
        <v>3392</v>
      </c>
      <c r="E308" s="504" t="s">
        <v>3381</v>
      </c>
      <c r="F308" s="504" t="s">
        <v>444</v>
      </c>
      <c r="G308" s="504" t="s">
        <v>445</v>
      </c>
      <c r="H308" s="504" t="s">
        <v>11745</v>
      </c>
      <c r="I308" s="504">
        <v>17</v>
      </c>
      <c r="J308" s="504">
        <v>0</v>
      </c>
      <c r="K308" s="504">
        <v>0</v>
      </c>
      <c r="L308" s="504">
        <v>17</v>
      </c>
      <c r="M308" s="504">
        <v>0</v>
      </c>
      <c r="N308" s="504">
        <v>0</v>
      </c>
      <c r="O308" s="505">
        <v>0</v>
      </c>
    </row>
    <row r="309" spans="1:15" x14ac:dyDescent="0.35">
      <c r="A309" s="500" t="s">
        <v>1107</v>
      </c>
      <c r="B309" s="501" t="s">
        <v>3109</v>
      </c>
      <c r="C309" s="501" t="s">
        <v>1094</v>
      </c>
      <c r="D309" s="501" t="s">
        <v>3380</v>
      </c>
      <c r="E309" s="501" t="s">
        <v>3381</v>
      </c>
      <c r="F309" s="501" t="s">
        <v>444</v>
      </c>
      <c r="G309" s="501" t="s">
        <v>445</v>
      </c>
      <c r="H309" s="501" t="s">
        <v>3640</v>
      </c>
      <c r="I309" s="501">
        <v>4</v>
      </c>
      <c r="J309" s="501">
        <v>0</v>
      </c>
      <c r="K309" s="501">
        <v>0</v>
      </c>
      <c r="L309" s="501">
        <v>4</v>
      </c>
      <c r="M309" s="501">
        <v>0</v>
      </c>
      <c r="N309" s="501">
        <v>0</v>
      </c>
      <c r="O309" s="506">
        <v>0</v>
      </c>
    </row>
    <row r="310" spans="1:15" x14ac:dyDescent="0.35">
      <c r="A310" s="503" t="s">
        <v>1109</v>
      </c>
      <c r="B310" s="504" t="s">
        <v>2959</v>
      </c>
      <c r="C310" s="504" t="s">
        <v>1094</v>
      </c>
      <c r="D310" s="504" t="s">
        <v>3380</v>
      </c>
      <c r="E310" s="504" t="s">
        <v>3381</v>
      </c>
      <c r="F310" s="504" t="s">
        <v>444</v>
      </c>
      <c r="G310" s="504" t="s">
        <v>445</v>
      </c>
      <c r="H310" s="504" t="s">
        <v>3641</v>
      </c>
      <c r="I310" s="504">
        <v>84</v>
      </c>
      <c r="J310" s="504">
        <v>0</v>
      </c>
      <c r="K310" s="504">
        <v>0</v>
      </c>
      <c r="L310" s="504">
        <v>0</v>
      </c>
      <c r="M310" s="504">
        <v>84</v>
      </c>
      <c r="N310" s="504">
        <v>0</v>
      </c>
      <c r="O310" s="505">
        <v>0</v>
      </c>
    </row>
    <row r="311" spans="1:15" x14ac:dyDescent="0.35">
      <c r="A311" s="500" t="s">
        <v>1311</v>
      </c>
      <c r="B311" s="501" t="s">
        <v>3361</v>
      </c>
      <c r="C311" s="501" t="s">
        <v>1094</v>
      </c>
      <c r="D311" s="501" t="s">
        <v>3380</v>
      </c>
      <c r="E311" s="501" t="s">
        <v>3381</v>
      </c>
      <c r="F311" s="501" t="s">
        <v>444</v>
      </c>
      <c r="G311" s="501" t="s">
        <v>445</v>
      </c>
      <c r="H311" s="501" t="s">
        <v>3642</v>
      </c>
      <c r="I311" s="501">
        <v>73</v>
      </c>
      <c r="J311" s="501">
        <v>73</v>
      </c>
      <c r="K311" s="501">
        <v>0</v>
      </c>
      <c r="L311" s="501">
        <v>0</v>
      </c>
      <c r="M311" s="501">
        <v>0</v>
      </c>
      <c r="N311" s="501">
        <v>0</v>
      </c>
      <c r="O311" s="506">
        <v>0</v>
      </c>
    </row>
    <row r="312" spans="1:15" x14ac:dyDescent="0.35">
      <c r="A312" s="503" t="s">
        <v>1202</v>
      </c>
      <c r="B312" s="504" t="s">
        <v>3217</v>
      </c>
      <c r="C312" s="504" t="s">
        <v>1094</v>
      </c>
      <c r="D312" s="504" t="s">
        <v>3380</v>
      </c>
      <c r="E312" s="504" t="s">
        <v>3381</v>
      </c>
      <c r="F312" s="504" t="s">
        <v>444</v>
      </c>
      <c r="G312" s="504" t="s">
        <v>445</v>
      </c>
      <c r="H312" s="504" t="s">
        <v>3643</v>
      </c>
      <c r="I312" s="504">
        <v>356</v>
      </c>
      <c r="J312" s="504">
        <v>313</v>
      </c>
      <c r="K312" s="504">
        <v>0</v>
      </c>
      <c r="L312" s="504">
        <v>0</v>
      </c>
      <c r="M312" s="504">
        <v>0</v>
      </c>
      <c r="N312" s="504">
        <v>0</v>
      </c>
      <c r="O312" s="505">
        <v>43</v>
      </c>
    </row>
    <row r="313" spans="1:15" x14ac:dyDescent="0.35">
      <c r="A313" s="500" t="s">
        <v>1112</v>
      </c>
      <c r="B313" s="501" t="s">
        <v>3008</v>
      </c>
      <c r="C313" s="501" t="s">
        <v>1094</v>
      </c>
      <c r="D313" s="501" t="s">
        <v>3380</v>
      </c>
      <c r="E313" s="501" t="s">
        <v>3381</v>
      </c>
      <c r="F313" s="501" t="s">
        <v>444</v>
      </c>
      <c r="G313" s="501" t="s">
        <v>445</v>
      </c>
      <c r="H313" s="501" t="s">
        <v>3644</v>
      </c>
      <c r="I313" s="501">
        <v>28</v>
      </c>
      <c r="J313" s="501">
        <v>1</v>
      </c>
      <c r="K313" s="501">
        <v>0</v>
      </c>
      <c r="L313" s="501">
        <v>26</v>
      </c>
      <c r="M313" s="501">
        <v>0</v>
      </c>
      <c r="N313" s="501">
        <v>0</v>
      </c>
      <c r="O313" s="506">
        <v>1</v>
      </c>
    </row>
    <row r="314" spans="1:15" x14ac:dyDescent="0.35">
      <c r="A314" s="503" t="s">
        <v>1114</v>
      </c>
      <c r="B314" s="504" t="s">
        <v>2982</v>
      </c>
      <c r="C314" s="504" t="s">
        <v>1094</v>
      </c>
      <c r="D314" s="504" t="s">
        <v>3380</v>
      </c>
      <c r="E314" s="504" t="s">
        <v>3381</v>
      </c>
      <c r="F314" s="504" t="s">
        <v>444</v>
      </c>
      <c r="G314" s="504" t="s">
        <v>445</v>
      </c>
      <c r="H314" s="504" t="s">
        <v>3645</v>
      </c>
      <c r="I314" s="504">
        <v>372</v>
      </c>
      <c r="J314" s="504">
        <v>225</v>
      </c>
      <c r="K314" s="504">
        <v>0</v>
      </c>
      <c r="L314" s="504">
        <v>4</v>
      </c>
      <c r="M314" s="504">
        <v>0</v>
      </c>
      <c r="N314" s="504">
        <v>0</v>
      </c>
      <c r="O314" s="505">
        <v>143</v>
      </c>
    </row>
    <row r="315" spans="1:15" x14ac:dyDescent="0.35">
      <c r="A315" s="500" t="s">
        <v>1210</v>
      </c>
      <c r="B315" s="501">
        <v>4781</v>
      </c>
      <c r="C315" s="501" t="s">
        <v>1089</v>
      </c>
      <c r="D315" s="501" t="s">
        <v>3392</v>
      </c>
      <c r="E315" s="501" t="s">
        <v>3381</v>
      </c>
      <c r="F315" s="501" t="s">
        <v>444</v>
      </c>
      <c r="G315" s="501" t="s">
        <v>445</v>
      </c>
      <c r="H315" s="501" t="s">
        <v>3646</v>
      </c>
      <c r="I315" s="501">
        <v>3</v>
      </c>
      <c r="J315" s="501">
        <v>0</v>
      </c>
      <c r="K315" s="501">
        <v>0</v>
      </c>
      <c r="L315" s="501">
        <v>3</v>
      </c>
      <c r="M315" s="501">
        <v>0</v>
      </c>
      <c r="N315" s="501">
        <v>0</v>
      </c>
      <c r="O315" s="506">
        <v>0</v>
      </c>
    </row>
    <row r="316" spans="1:15" x14ac:dyDescent="0.35">
      <c r="A316" s="503" t="s">
        <v>14400</v>
      </c>
      <c r="B316" s="504">
        <v>4727</v>
      </c>
      <c r="C316" s="504" t="s">
        <v>1089</v>
      </c>
      <c r="D316" s="504" t="s">
        <v>3392</v>
      </c>
      <c r="E316" s="504" t="s">
        <v>3381</v>
      </c>
      <c r="F316" s="504" t="s">
        <v>444</v>
      </c>
      <c r="G316" s="504" t="s">
        <v>445</v>
      </c>
      <c r="H316" s="504" t="s">
        <v>14452</v>
      </c>
      <c r="I316" s="504">
        <v>13</v>
      </c>
      <c r="J316" s="504">
        <v>0</v>
      </c>
      <c r="K316" s="504">
        <v>0</v>
      </c>
      <c r="L316" s="504">
        <v>13</v>
      </c>
      <c r="M316" s="504">
        <v>0</v>
      </c>
      <c r="N316" s="504">
        <v>0</v>
      </c>
      <c r="O316" s="505">
        <v>0</v>
      </c>
    </row>
    <row r="317" spans="1:15" x14ac:dyDescent="0.35">
      <c r="A317" s="500" t="s">
        <v>1319</v>
      </c>
      <c r="B317" s="501">
        <v>4880</v>
      </c>
      <c r="C317" s="501" t="s">
        <v>1094</v>
      </c>
      <c r="D317" s="501" t="s">
        <v>3380</v>
      </c>
      <c r="E317" s="501" t="s">
        <v>3381</v>
      </c>
      <c r="F317" s="501" t="s">
        <v>444</v>
      </c>
      <c r="G317" s="501" t="s">
        <v>445</v>
      </c>
      <c r="H317" s="501" t="s">
        <v>3647</v>
      </c>
      <c r="I317" s="501">
        <v>370</v>
      </c>
      <c r="J317" s="501">
        <v>153</v>
      </c>
      <c r="K317" s="501">
        <v>0</v>
      </c>
      <c r="L317" s="501">
        <v>0</v>
      </c>
      <c r="M317" s="501">
        <v>32</v>
      </c>
      <c r="N317" s="501">
        <v>0</v>
      </c>
      <c r="O317" s="506">
        <v>185</v>
      </c>
    </row>
    <row r="318" spans="1:15" x14ac:dyDescent="0.35">
      <c r="A318" s="503" t="s">
        <v>1218</v>
      </c>
      <c r="B318" s="504" t="s">
        <v>3147</v>
      </c>
      <c r="C318" s="504" t="s">
        <v>1094</v>
      </c>
      <c r="D318" s="504" t="s">
        <v>3380</v>
      </c>
      <c r="E318" s="504" t="s">
        <v>3381</v>
      </c>
      <c r="F318" s="504" t="s">
        <v>444</v>
      </c>
      <c r="G318" s="504" t="s">
        <v>445</v>
      </c>
      <c r="H318" s="504" t="s">
        <v>14453</v>
      </c>
      <c r="I318" s="504">
        <v>148</v>
      </c>
      <c r="J318" s="504">
        <v>0</v>
      </c>
      <c r="K318" s="504">
        <v>0</v>
      </c>
      <c r="L318" s="504">
        <v>0</v>
      </c>
      <c r="M318" s="504">
        <v>0</v>
      </c>
      <c r="N318" s="504">
        <v>0</v>
      </c>
      <c r="O318" s="505">
        <v>148</v>
      </c>
    </row>
    <row r="319" spans="1:15" x14ac:dyDescent="0.35">
      <c r="A319" s="500" t="s">
        <v>1332</v>
      </c>
      <c r="B319" s="501">
        <v>4878</v>
      </c>
      <c r="C319" s="501" t="s">
        <v>1094</v>
      </c>
      <c r="D319" s="501" t="s">
        <v>3380</v>
      </c>
      <c r="E319" s="501" t="s">
        <v>3381</v>
      </c>
      <c r="F319" s="501" t="s">
        <v>444</v>
      </c>
      <c r="G319" s="501" t="s">
        <v>445</v>
      </c>
      <c r="H319" s="501" t="s">
        <v>14454</v>
      </c>
      <c r="I319" s="501">
        <v>635</v>
      </c>
      <c r="J319" s="501">
        <v>518</v>
      </c>
      <c r="K319" s="501">
        <v>0</v>
      </c>
      <c r="L319" s="501">
        <v>51</v>
      </c>
      <c r="M319" s="501">
        <v>0</v>
      </c>
      <c r="N319" s="501">
        <v>0</v>
      </c>
      <c r="O319" s="506">
        <v>66</v>
      </c>
    </row>
    <row r="320" spans="1:15" x14ac:dyDescent="0.35">
      <c r="A320" s="503" t="s">
        <v>1122</v>
      </c>
      <c r="B320" s="504" t="s">
        <v>2994</v>
      </c>
      <c r="C320" s="504" t="s">
        <v>1094</v>
      </c>
      <c r="D320" s="504" t="s">
        <v>3380</v>
      </c>
      <c r="E320" s="504" t="s">
        <v>3381</v>
      </c>
      <c r="F320" s="504" t="s">
        <v>444</v>
      </c>
      <c r="G320" s="504" t="s">
        <v>445</v>
      </c>
      <c r="H320" s="504" t="s">
        <v>3648</v>
      </c>
      <c r="I320" s="504">
        <v>2</v>
      </c>
      <c r="J320" s="504">
        <v>2</v>
      </c>
      <c r="K320" s="504">
        <v>0</v>
      </c>
      <c r="L320" s="504">
        <v>0</v>
      </c>
      <c r="M320" s="504">
        <v>0</v>
      </c>
      <c r="N320" s="504">
        <v>0</v>
      </c>
      <c r="O320" s="505">
        <v>0</v>
      </c>
    </row>
    <row r="321" spans="1:15" x14ac:dyDescent="0.35">
      <c r="A321" s="500" t="s">
        <v>1234</v>
      </c>
      <c r="B321" s="501" t="s">
        <v>3291</v>
      </c>
      <c r="C321" s="501" t="s">
        <v>1094</v>
      </c>
      <c r="D321" s="501" t="s">
        <v>3380</v>
      </c>
      <c r="E321" s="501" t="s">
        <v>3381</v>
      </c>
      <c r="F321" s="501" t="s">
        <v>444</v>
      </c>
      <c r="G321" s="501" t="s">
        <v>445</v>
      </c>
      <c r="H321" s="501" t="s">
        <v>3649</v>
      </c>
      <c r="I321" s="501">
        <v>17</v>
      </c>
      <c r="J321" s="501">
        <v>17</v>
      </c>
      <c r="K321" s="501">
        <v>0</v>
      </c>
      <c r="L321" s="501">
        <v>0</v>
      </c>
      <c r="M321" s="501">
        <v>0</v>
      </c>
      <c r="N321" s="501">
        <v>0</v>
      </c>
      <c r="O321" s="506">
        <v>0</v>
      </c>
    </row>
    <row r="322" spans="1:15" x14ac:dyDescent="0.35">
      <c r="A322" s="503" t="s">
        <v>1126</v>
      </c>
      <c r="B322" s="504" t="s">
        <v>2974</v>
      </c>
      <c r="C322" s="504" t="s">
        <v>1094</v>
      </c>
      <c r="D322" s="504" t="s">
        <v>3380</v>
      </c>
      <c r="E322" s="504" t="s">
        <v>3381</v>
      </c>
      <c r="F322" s="504" t="s">
        <v>444</v>
      </c>
      <c r="G322" s="504" t="s">
        <v>445</v>
      </c>
      <c r="H322" s="504" t="s">
        <v>3650</v>
      </c>
      <c r="I322" s="504">
        <v>65</v>
      </c>
      <c r="J322" s="504">
        <v>0</v>
      </c>
      <c r="K322" s="504">
        <v>0</v>
      </c>
      <c r="L322" s="504">
        <v>0</v>
      </c>
      <c r="M322" s="504">
        <v>50</v>
      </c>
      <c r="N322" s="504">
        <v>0</v>
      </c>
      <c r="O322" s="505">
        <v>15</v>
      </c>
    </row>
    <row r="323" spans="1:15" x14ac:dyDescent="0.35">
      <c r="A323" s="500" t="s">
        <v>1346</v>
      </c>
      <c r="B323" s="501" t="s">
        <v>3150</v>
      </c>
      <c r="C323" s="501" t="s">
        <v>1094</v>
      </c>
      <c r="D323" s="501" t="s">
        <v>3380</v>
      </c>
      <c r="E323" s="501" t="s">
        <v>3381</v>
      </c>
      <c r="F323" s="501" t="s">
        <v>444</v>
      </c>
      <c r="G323" s="501" t="s">
        <v>445</v>
      </c>
      <c r="H323" s="501" t="s">
        <v>3651</v>
      </c>
      <c r="I323" s="501">
        <v>3069</v>
      </c>
      <c r="J323" s="501">
        <v>2921</v>
      </c>
      <c r="K323" s="501">
        <v>0</v>
      </c>
      <c r="L323" s="501">
        <v>125</v>
      </c>
      <c r="M323" s="501">
        <v>0</v>
      </c>
      <c r="N323" s="501">
        <v>40</v>
      </c>
      <c r="O323" s="506">
        <v>23</v>
      </c>
    </row>
    <row r="324" spans="1:15" x14ac:dyDescent="0.35">
      <c r="A324" s="503" t="s">
        <v>1349</v>
      </c>
      <c r="B324" s="504" t="s">
        <v>2849</v>
      </c>
      <c r="C324" s="504" t="s">
        <v>1089</v>
      </c>
      <c r="D324" s="504" t="s">
        <v>3392</v>
      </c>
      <c r="E324" s="504" t="s">
        <v>3381</v>
      </c>
      <c r="F324" s="504" t="s">
        <v>444</v>
      </c>
      <c r="G324" s="504" t="s">
        <v>445</v>
      </c>
      <c r="H324" s="504" t="s">
        <v>3652</v>
      </c>
      <c r="I324" s="504">
        <v>23</v>
      </c>
      <c r="J324" s="504">
        <v>0</v>
      </c>
      <c r="K324" s="504">
        <v>0</v>
      </c>
      <c r="L324" s="504">
        <v>23</v>
      </c>
      <c r="M324" s="504">
        <v>0</v>
      </c>
      <c r="N324" s="504">
        <v>0</v>
      </c>
      <c r="O324" s="505">
        <v>0</v>
      </c>
    </row>
    <row r="325" spans="1:15" x14ac:dyDescent="0.35">
      <c r="A325" s="500" t="s">
        <v>1249</v>
      </c>
      <c r="B325" s="501">
        <v>4729</v>
      </c>
      <c r="C325" s="501" t="s">
        <v>1094</v>
      </c>
      <c r="D325" s="501" t="s">
        <v>3380</v>
      </c>
      <c r="E325" s="501" t="s">
        <v>3381</v>
      </c>
      <c r="F325" s="501" t="s">
        <v>444</v>
      </c>
      <c r="G325" s="501" t="s">
        <v>445</v>
      </c>
      <c r="H325" s="501" t="s">
        <v>3653</v>
      </c>
      <c r="I325" s="501">
        <v>233</v>
      </c>
      <c r="J325" s="501">
        <v>185</v>
      </c>
      <c r="K325" s="501">
        <v>0</v>
      </c>
      <c r="L325" s="501">
        <v>0</v>
      </c>
      <c r="M325" s="501">
        <v>48</v>
      </c>
      <c r="N325" s="501">
        <v>0</v>
      </c>
      <c r="O325" s="506">
        <v>0</v>
      </c>
    </row>
    <row r="326" spans="1:15" x14ac:dyDescent="0.35">
      <c r="A326" s="503" t="s">
        <v>1364</v>
      </c>
      <c r="B326" s="504" t="s">
        <v>3277</v>
      </c>
      <c r="C326" s="504" t="s">
        <v>1089</v>
      </c>
      <c r="D326" s="504" t="s">
        <v>3392</v>
      </c>
      <c r="E326" s="504" t="s">
        <v>3381</v>
      </c>
      <c r="F326" s="504" t="s">
        <v>444</v>
      </c>
      <c r="G326" s="504" t="s">
        <v>445</v>
      </c>
      <c r="H326" s="504" t="s">
        <v>3654</v>
      </c>
      <c r="I326" s="504">
        <v>4</v>
      </c>
      <c r="J326" s="504">
        <v>0</v>
      </c>
      <c r="K326" s="504">
        <v>0</v>
      </c>
      <c r="L326" s="504">
        <v>4</v>
      </c>
      <c r="M326" s="504">
        <v>0</v>
      </c>
      <c r="N326" s="504">
        <v>0</v>
      </c>
      <c r="O326" s="505">
        <v>0</v>
      </c>
    </row>
    <row r="327" spans="1:15" x14ac:dyDescent="0.35">
      <c r="A327" s="500" t="s">
        <v>1386</v>
      </c>
      <c r="B327" s="501" t="s">
        <v>3331</v>
      </c>
      <c r="C327" s="501" t="s">
        <v>1094</v>
      </c>
      <c r="D327" s="501" t="s">
        <v>3380</v>
      </c>
      <c r="E327" s="501" t="s">
        <v>3381</v>
      </c>
      <c r="F327" s="501" t="s">
        <v>446</v>
      </c>
      <c r="G327" s="501" t="s">
        <v>447</v>
      </c>
      <c r="H327" s="501" t="s">
        <v>3655</v>
      </c>
      <c r="I327" s="501">
        <v>37</v>
      </c>
      <c r="J327" s="501">
        <v>37</v>
      </c>
      <c r="K327" s="501">
        <v>0</v>
      </c>
      <c r="L327" s="501">
        <v>0</v>
      </c>
      <c r="M327" s="501">
        <v>0</v>
      </c>
      <c r="N327" s="501">
        <v>0</v>
      </c>
      <c r="O327" s="506">
        <v>0</v>
      </c>
    </row>
    <row r="328" spans="1:15" x14ac:dyDescent="0.35">
      <c r="A328" s="503" t="s">
        <v>1091</v>
      </c>
      <c r="B328" s="504" t="s">
        <v>3288</v>
      </c>
      <c r="C328" s="504" t="s">
        <v>1089</v>
      </c>
      <c r="D328" s="504" t="s">
        <v>3392</v>
      </c>
      <c r="E328" s="504" t="s">
        <v>3381</v>
      </c>
      <c r="F328" s="504" t="s">
        <v>446</v>
      </c>
      <c r="G328" s="504" t="s">
        <v>447</v>
      </c>
      <c r="H328" s="504" t="s">
        <v>3656</v>
      </c>
      <c r="I328" s="504">
        <v>2</v>
      </c>
      <c r="J328" s="504">
        <v>0</v>
      </c>
      <c r="K328" s="504">
        <v>0</v>
      </c>
      <c r="L328" s="504">
        <v>2</v>
      </c>
      <c r="M328" s="504">
        <v>0</v>
      </c>
      <c r="N328" s="504">
        <v>0</v>
      </c>
      <c r="O328" s="505">
        <v>0</v>
      </c>
    </row>
    <row r="329" spans="1:15" x14ac:dyDescent="0.35">
      <c r="A329" s="500" t="s">
        <v>14127</v>
      </c>
      <c r="B329" s="501" t="s">
        <v>14126</v>
      </c>
      <c r="C329" s="501" t="s">
        <v>1094</v>
      </c>
      <c r="D329" s="501" t="s">
        <v>3380</v>
      </c>
      <c r="E329" s="501" t="s">
        <v>3381</v>
      </c>
      <c r="F329" s="501" t="s">
        <v>446</v>
      </c>
      <c r="G329" s="501" t="s">
        <v>447</v>
      </c>
      <c r="H329" s="501" t="s">
        <v>14455</v>
      </c>
      <c r="I329" s="501">
        <v>43</v>
      </c>
      <c r="J329" s="501">
        <v>43</v>
      </c>
      <c r="K329" s="501">
        <v>0</v>
      </c>
      <c r="L329" s="501">
        <v>0</v>
      </c>
      <c r="M329" s="501">
        <v>0</v>
      </c>
      <c r="N329" s="501">
        <v>0</v>
      </c>
      <c r="O329" s="506">
        <v>0</v>
      </c>
    </row>
    <row r="330" spans="1:15" x14ac:dyDescent="0.35">
      <c r="A330" s="503" t="s">
        <v>1093</v>
      </c>
      <c r="B330" s="504" t="s">
        <v>3248</v>
      </c>
      <c r="C330" s="504" t="s">
        <v>1094</v>
      </c>
      <c r="D330" s="504" t="s">
        <v>3380</v>
      </c>
      <c r="E330" s="504" t="s">
        <v>3381</v>
      </c>
      <c r="F330" s="504" t="s">
        <v>446</v>
      </c>
      <c r="G330" s="504" t="s">
        <v>447</v>
      </c>
      <c r="H330" s="504" t="s">
        <v>3657</v>
      </c>
      <c r="I330" s="504">
        <v>23</v>
      </c>
      <c r="J330" s="504">
        <v>3</v>
      </c>
      <c r="K330" s="504">
        <v>0</v>
      </c>
      <c r="L330" s="504">
        <v>10</v>
      </c>
      <c r="M330" s="504">
        <v>0</v>
      </c>
      <c r="N330" s="504">
        <v>0</v>
      </c>
      <c r="O330" s="505">
        <v>10</v>
      </c>
    </row>
    <row r="331" spans="1:15" x14ac:dyDescent="0.35">
      <c r="A331" s="500" t="s">
        <v>1096</v>
      </c>
      <c r="B331" s="501" t="s">
        <v>3326</v>
      </c>
      <c r="C331" s="501" t="s">
        <v>1094</v>
      </c>
      <c r="D331" s="501" t="s">
        <v>3380</v>
      </c>
      <c r="E331" s="501" t="s">
        <v>3381</v>
      </c>
      <c r="F331" s="501" t="s">
        <v>446</v>
      </c>
      <c r="G331" s="501" t="s">
        <v>447</v>
      </c>
      <c r="H331" s="501" t="s">
        <v>3658</v>
      </c>
      <c r="I331" s="501">
        <v>143</v>
      </c>
      <c r="J331" s="501">
        <v>0</v>
      </c>
      <c r="K331" s="501">
        <v>0</v>
      </c>
      <c r="L331" s="501">
        <v>0</v>
      </c>
      <c r="M331" s="501">
        <v>143</v>
      </c>
      <c r="N331" s="501">
        <v>0</v>
      </c>
      <c r="O331" s="506">
        <v>0</v>
      </c>
    </row>
    <row r="332" spans="1:15" x14ac:dyDescent="0.35">
      <c r="A332" s="503" t="s">
        <v>1098</v>
      </c>
      <c r="B332" s="504">
        <v>4691</v>
      </c>
      <c r="C332" s="504" t="s">
        <v>1094</v>
      </c>
      <c r="D332" s="504" t="s">
        <v>3380</v>
      </c>
      <c r="E332" s="504" t="s">
        <v>3381</v>
      </c>
      <c r="F332" s="504" t="s">
        <v>446</v>
      </c>
      <c r="G332" s="504" t="s">
        <v>447</v>
      </c>
      <c r="H332" s="504" t="s">
        <v>3659</v>
      </c>
      <c r="I332" s="504">
        <v>159</v>
      </c>
      <c r="J332" s="504">
        <v>87</v>
      </c>
      <c r="K332" s="504">
        <v>0</v>
      </c>
      <c r="L332" s="504">
        <v>0</v>
      </c>
      <c r="M332" s="504">
        <v>0</v>
      </c>
      <c r="N332" s="504">
        <v>0</v>
      </c>
      <c r="O332" s="505">
        <v>72</v>
      </c>
    </row>
    <row r="333" spans="1:15" x14ac:dyDescent="0.35">
      <c r="A333" s="500" t="s">
        <v>1100</v>
      </c>
      <c r="B333" s="501">
        <v>4865</v>
      </c>
      <c r="C333" s="501" t="s">
        <v>1094</v>
      </c>
      <c r="D333" s="501" t="s">
        <v>3380</v>
      </c>
      <c r="E333" s="501" t="s">
        <v>3381</v>
      </c>
      <c r="F333" s="501" t="s">
        <v>446</v>
      </c>
      <c r="G333" s="501" t="s">
        <v>447</v>
      </c>
      <c r="H333" s="501" t="s">
        <v>3660</v>
      </c>
      <c r="I333" s="501">
        <v>1039</v>
      </c>
      <c r="J333" s="501">
        <v>902</v>
      </c>
      <c r="K333" s="501">
        <v>0</v>
      </c>
      <c r="L333" s="501">
        <v>23</v>
      </c>
      <c r="M333" s="501">
        <v>31</v>
      </c>
      <c r="N333" s="501">
        <v>0</v>
      </c>
      <c r="O333" s="506">
        <v>83</v>
      </c>
    </row>
    <row r="334" spans="1:15" x14ac:dyDescent="0.35">
      <c r="A334" s="503" t="s">
        <v>1175</v>
      </c>
      <c r="B334" s="504" t="s">
        <v>3141</v>
      </c>
      <c r="C334" s="504" t="s">
        <v>1094</v>
      </c>
      <c r="D334" s="504" t="s">
        <v>3380</v>
      </c>
      <c r="E334" s="504" t="s">
        <v>3381</v>
      </c>
      <c r="F334" s="504" t="s">
        <v>446</v>
      </c>
      <c r="G334" s="504" t="s">
        <v>447</v>
      </c>
      <c r="H334" s="504" t="s">
        <v>3661</v>
      </c>
      <c r="I334" s="504">
        <v>32</v>
      </c>
      <c r="J334" s="504">
        <v>16</v>
      </c>
      <c r="K334" s="504">
        <v>0</v>
      </c>
      <c r="L334" s="504">
        <v>0</v>
      </c>
      <c r="M334" s="504">
        <v>0</v>
      </c>
      <c r="N334" s="504">
        <v>0</v>
      </c>
      <c r="O334" s="505">
        <v>16</v>
      </c>
    </row>
    <row r="335" spans="1:15" x14ac:dyDescent="0.35">
      <c r="A335" s="500" t="s">
        <v>1177</v>
      </c>
      <c r="B335" s="501">
        <v>4702</v>
      </c>
      <c r="C335" s="501" t="s">
        <v>1089</v>
      </c>
      <c r="D335" s="501" t="s">
        <v>3392</v>
      </c>
      <c r="E335" s="501" t="s">
        <v>3381</v>
      </c>
      <c r="F335" s="501" t="s">
        <v>446</v>
      </c>
      <c r="G335" s="501" t="s">
        <v>447</v>
      </c>
      <c r="H335" s="501" t="s">
        <v>3662</v>
      </c>
      <c r="I335" s="501">
        <v>1</v>
      </c>
      <c r="J335" s="501">
        <v>0</v>
      </c>
      <c r="K335" s="501">
        <v>0</v>
      </c>
      <c r="L335" s="501">
        <v>1</v>
      </c>
      <c r="M335" s="501">
        <v>0</v>
      </c>
      <c r="N335" s="501">
        <v>0</v>
      </c>
      <c r="O335" s="506">
        <v>0</v>
      </c>
    </row>
    <row r="336" spans="1:15" x14ac:dyDescent="0.35">
      <c r="A336" s="503" t="s">
        <v>14208</v>
      </c>
      <c r="B336" s="504">
        <v>4803</v>
      </c>
      <c r="C336" s="504" t="s">
        <v>1094</v>
      </c>
      <c r="D336" s="504" t="s">
        <v>3380</v>
      </c>
      <c r="E336" s="504" t="s">
        <v>3381</v>
      </c>
      <c r="F336" s="504" t="s">
        <v>446</v>
      </c>
      <c r="G336" s="504" t="s">
        <v>447</v>
      </c>
      <c r="H336" s="504" t="s">
        <v>14456</v>
      </c>
      <c r="I336" s="504">
        <v>43</v>
      </c>
      <c r="J336" s="504">
        <v>0</v>
      </c>
      <c r="K336" s="504">
        <v>0</v>
      </c>
      <c r="L336" s="504">
        <v>43</v>
      </c>
      <c r="M336" s="504">
        <v>0</v>
      </c>
      <c r="N336" s="504">
        <v>0</v>
      </c>
      <c r="O336" s="505">
        <v>0</v>
      </c>
    </row>
    <row r="337" spans="1:15" x14ac:dyDescent="0.35">
      <c r="A337" s="500" t="s">
        <v>1444</v>
      </c>
      <c r="B337" s="501">
        <v>4743</v>
      </c>
      <c r="C337" s="501" t="s">
        <v>1089</v>
      </c>
      <c r="D337" s="501" t="s">
        <v>3392</v>
      </c>
      <c r="E337" s="501" t="s">
        <v>3381</v>
      </c>
      <c r="F337" s="501" t="s">
        <v>446</v>
      </c>
      <c r="G337" s="501" t="s">
        <v>447</v>
      </c>
      <c r="H337" s="501" t="s">
        <v>3663</v>
      </c>
      <c r="I337" s="501">
        <v>29</v>
      </c>
      <c r="J337" s="501">
        <v>29</v>
      </c>
      <c r="K337" s="501">
        <v>0</v>
      </c>
      <c r="L337" s="501">
        <v>0</v>
      </c>
      <c r="M337" s="501">
        <v>0</v>
      </c>
      <c r="N337" s="501">
        <v>0</v>
      </c>
      <c r="O337" s="506">
        <v>0</v>
      </c>
    </row>
    <row r="338" spans="1:15" x14ac:dyDescent="0.35">
      <c r="A338" s="503" t="s">
        <v>1187</v>
      </c>
      <c r="B338" s="504" t="s">
        <v>2951</v>
      </c>
      <c r="C338" s="504" t="s">
        <v>1094</v>
      </c>
      <c r="D338" s="504" t="s">
        <v>3380</v>
      </c>
      <c r="E338" s="504" t="s">
        <v>3381</v>
      </c>
      <c r="F338" s="504" t="s">
        <v>446</v>
      </c>
      <c r="G338" s="504" t="s">
        <v>447</v>
      </c>
      <c r="H338" s="504" t="s">
        <v>3664</v>
      </c>
      <c r="I338" s="504">
        <v>18</v>
      </c>
      <c r="J338" s="504">
        <v>13</v>
      </c>
      <c r="K338" s="504">
        <v>0</v>
      </c>
      <c r="L338" s="504">
        <v>0</v>
      </c>
      <c r="M338" s="504">
        <v>0</v>
      </c>
      <c r="N338" s="504">
        <v>0</v>
      </c>
      <c r="O338" s="505">
        <v>5</v>
      </c>
    </row>
    <row r="339" spans="1:15" x14ac:dyDescent="0.35">
      <c r="A339" s="500" t="s">
        <v>1105</v>
      </c>
      <c r="B339" s="501">
        <v>4668</v>
      </c>
      <c r="C339" s="501" t="s">
        <v>1094</v>
      </c>
      <c r="D339" s="501" t="s">
        <v>3380</v>
      </c>
      <c r="E339" s="501" t="s">
        <v>3381</v>
      </c>
      <c r="F339" s="501" t="s">
        <v>446</v>
      </c>
      <c r="G339" s="501" t="s">
        <v>447</v>
      </c>
      <c r="H339" s="501" t="s">
        <v>3665</v>
      </c>
      <c r="I339" s="501">
        <v>17</v>
      </c>
      <c r="J339" s="501">
        <v>0</v>
      </c>
      <c r="K339" s="501">
        <v>0</v>
      </c>
      <c r="L339" s="501">
        <v>0</v>
      </c>
      <c r="M339" s="501">
        <v>0</v>
      </c>
      <c r="N339" s="501">
        <v>0</v>
      </c>
      <c r="O339" s="506">
        <v>17</v>
      </c>
    </row>
    <row r="340" spans="1:15" x14ac:dyDescent="0.35">
      <c r="A340" s="503" t="s">
        <v>1107</v>
      </c>
      <c r="B340" s="504" t="s">
        <v>3109</v>
      </c>
      <c r="C340" s="504" t="s">
        <v>1094</v>
      </c>
      <c r="D340" s="504" t="s">
        <v>3380</v>
      </c>
      <c r="E340" s="504" t="s">
        <v>3381</v>
      </c>
      <c r="F340" s="504" t="s">
        <v>446</v>
      </c>
      <c r="G340" s="504" t="s">
        <v>447</v>
      </c>
      <c r="H340" s="504" t="s">
        <v>3666</v>
      </c>
      <c r="I340" s="504">
        <v>265</v>
      </c>
      <c r="J340" s="504">
        <v>152</v>
      </c>
      <c r="K340" s="504">
        <v>0</v>
      </c>
      <c r="L340" s="504">
        <v>92</v>
      </c>
      <c r="M340" s="504">
        <v>0</v>
      </c>
      <c r="N340" s="504">
        <v>0</v>
      </c>
      <c r="O340" s="505">
        <v>21</v>
      </c>
    </row>
    <row r="341" spans="1:15" x14ac:dyDescent="0.35">
      <c r="A341" s="500" t="s">
        <v>1109</v>
      </c>
      <c r="B341" s="501" t="s">
        <v>2959</v>
      </c>
      <c r="C341" s="501" t="s">
        <v>1094</v>
      </c>
      <c r="D341" s="501" t="s">
        <v>3380</v>
      </c>
      <c r="E341" s="501" t="s">
        <v>3381</v>
      </c>
      <c r="F341" s="501" t="s">
        <v>446</v>
      </c>
      <c r="G341" s="501" t="s">
        <v>447</v>
      </c>
      <c r="H341" s="501" t="s">
        <v>3667</v>
      </c>
      <c r="I341" s="501">
        <v>42</v>
      </c>
      <c r="J341" s="501">
        <v>0</v>
      </c>
      <c r="K341" s="501">
        <v>0</v>
      </c>
      <c r="L341" s="501">
        <v>0</v>
      </c>
      <c r="M341" s="501">
        <v>42</v>
      </c>
      <c r="N341" s="501">
        <v>0</v>
      </c>
      <c r="O341" s="506">
        <v>0</v>
      </c>
    </row>
    <row r="342" spans="1:15" x14ac:dyDescent="0.35">
      <c r="A342" s="503" t="s">
        <v>1305</v>
      </c>
      <c r="B342" s="504" t="s">
        <v>3144</v>
      </c>
      <c r="C342" s="504" t="s">
        <v>1094</v>
      </c>
      <c r="D342" s="504" t="s">
        <v>3380</v>
      </c>
      <c r="E342" s="504" t="s">
        <v>3381</v>
      </c>
      <c r="F342" s="504" t="s">
        <v>446</v>
      </c>
      <c r="G342" s="504" t="s">
        <v>447</v>
      </c>
      <c r="H342" s="504" t="s">
        <v>3668</v>
      </c>
      <c r="I342" s="504">
        <v>41</v>
      </c>
      <c r="J342" s="504">
        <v>29</v>
      </c>
      <c r="K342" s="504">
        <v>0</v>
      </c>
      <c r="L342" s="504">
        <v>0</v>
      </c>
      <c r="M342" s="504">
        <v>0</v>
      </c>
      <c r="N342" s="504">
        <v>0</v>
      </c>
      <c r="O342" s="505">
        <v>12</v>
      </c>
    </row>
    <row r="343" spans="1:15" x14ac:dyDescent="0.35">
      <c r="A343" s="500" t="s">
        <v>1857</v>
      </c>
      <c r="B343" s="501" t="s">
        <v>2445</v>
      </c>
      <c r="C343" s="501" t="s">
        <v>1089</v>
      </c>
      <c r="D343" s="501" t="s">
        <v>3392</v>
      </c>
      <c r="E343" s="501" t="s">
        <v>3381</v>
      </c>
      <c r="F343" s="501" t="s">
        <v>446</v>
      </c>
      <c r="G343" s="501" t="s">
        <v>447</v>
      </c>
      <c r="H343" s="501" t="s">
        <v>3669</v>
      </c>
      <c r="I343" s="501">
        <v>12</v>
      </c>
      <c r="J343" s="501">
        <v>0</v>
      </c>
      <c r="K343" s="501">
        <v>0</v>
      </c>
      <c r="L343" s="501">
        <v>0</v>
      </c>
      <c r="M343" s="501">
        <v>12</v>
      </c>
      <c r="N343" s="501">
        <v>0</v>
      </c>
      <c r="O343" s="506">
        <v>0</v>
      </c>
    </row>
    <row r="344" spans="1:15" x14ac:dyDescent="0.35">
      <c r="A344" s="503" t="s">
        <v>1202</v>
      </c>
      <c r="B344" s="504" t="s">
        <v>3217</v>
      </c>
      <c r="C344" s="504" t="s">
        <v>1094</v>
      </c>
      <c r="D344" s="504" t="s">
        <v>3380</v>
      </c>
      <c r="E344" s="504" t="s">
        <v>3381</v>
      </c>
      <c r="F344" s="504" t="s">
        <v>446</v>
      </c>
      <c r="G344" s="504" t="s">
        <v>447</v>
      </c>
      <c r="H344" s="504" t="s">
        <v>3670</v>
      </c>
      <c r="I344" s="504">
        <v>325</v>
      </c>
      <c r="J344" s="504">
        <v>274</v>
      </c>
      <c r="K344" s="504">
        <v>0</v>
      </c>
      <c r="L344" s="504">
        <v>40</v>
      </c>
      <c r="M344" s="504">
        <v>0</v>
      </c>
      <c r="N344" s="504">
        <v>1</v>
      </c>
      <c r="O344" s="505">
        <v>11</v>
      </c>
    </row>
    <row r="345" spans="1:15" x14ac:dyDescent="0.35">
      <c r="A345" s="500" t="s">
        <v>1112</v>
      </c>
      <c r="B345" s="501" t="s">
        <v>3008</v>
      </c>
      <c r="C345" s="501" t="s">
        <v>1094</v>
      </c>
      <c r="D345" s="501" t="s">
        <v>3380</v>
      </c>
      <c r="E345" s="501" t="s">
        <v>3381</v>
      </c>
      <c r="F345" s="501" t="s">
        <v>446</v>
      </c>
      <c r="G345" s="501" t="s">
        <v>447</v>
      </c>
      <c r="H345" s="501" t="s">
        <v>3671</v>
      </c>
      <c r="I345" s="501">
        <v>28</v>
      </c>
      <c r="J345" s="501">
        <v>19</v>
      </c>
      <c r="K345" s="501">
        <v>0</v>
      </c>
      <c r="L345" s="501">
        <v>0</v>
      </c>
      <c r="M345" s="501">
        <v>0</v>
      </c>
      <c r="N345" s="501">
        <v>0</v>
      </c>
      <c r="O345" s="506">
        <v>9</v>
      </c>
    </row>
    <row r="346" spans="1:15" x14ac:dyDescent="0.35">
      <c r="A346" s="503" t="s">
        <v>1114</v>
      </c>
      <c r="B346" s="504" t="s">
        <v>2982</v>
      </c>
      <c r="C346" s="504" t="s">
        <v>1094</v>
      </c>
      <c r="D346" s="504" t="s">
        <v>3380</v>
      </c>
      <c r="E346" s="504" t="s">
        <v>3381</v>
      </c>
      <c r="F346" s="504" t="s">
        <v>446</v>
      </c>
      <c r="G346" s="504" t="s">
        <v>447</v>
      </c>
      <c r="H346" s="504" t="s">
        <v>3672</v>
      </c>
      <c r="I346" s="504">
        <v>7</v>
      </c>
      <c r="J346" s="504">
        <v>0</v>
      </c>
      <c r="K346" s="504">
        <v>0</v>
      </c>
      <c r="L346" s="504">
        <v>0</v>
      </c>
      <c r="M346" s="504">
        <v>0</v>
      </c>
      <c r="N346" s="504">
        <v>0</v>
      </c>
      <c r="O346" s="505">
        <v>7</v>
      </c>
    </row>
    <row r="347" spans="1:15" x14ac:dyDescent="0.35">
      <c r="A347" s="500" t="s">
        <v>1217</v>
      </c>
      <c r="B347" s="501">
        <v>4851</v>
      </c>
      <c r="C347" s="501" t="s">
        <v>1094</v>
      </c>
      <c r="D347" s="501" t="s">
        <v>3380</v>
      </c>
      <c r="E347" s="501" t="s">
        <v>3381</v>
      </c>
      <c r="F347" s="501" t="s">
        <v>446</v>
      </c>
      <c r="G347" s="501" t="s">
        <v>447</v>
      </c>
      <c r="H347" s="501" t="s">
        <v>3673</v>
      </c>
      <c r="I347" s="501">
        <v>316</v>
      </c>
      <c r="J347" s="501">
        <v>4</v>
      </c>
      <c r="K347" s="501">
        <v>312</v>
      </c>
      <c r="L347" s="501">
        <v>0</v>
      </c>
      <c r="M347" s="501">
        <v>0</v>
      </c>
      <c r="N347" s="501">
        <v>0</v>
      </c>
      <c r="O347" s="506">
        <v>0</v>
      </c>
    </row>
    <row r="348" spans="1:15" x14ac:dyDescent="0.35">
      <c r="A348" s="503" t="s">
        <v>1122</v>
      </c>
      <c r="B348" s="504" t="s">
        <v>2994</v>
      </c>
      <c r="C348" s="504" t="s">
        <v>1094</v>
      </c>
      <c r="D348" s="504" t="s">
        <v>3380</v>
      </c>
      <c r="E348" s="504" t="s">
        <v>3381</v>
      </c>
      <c r="F348" s="504" t="s">
        <v>446</v>
      </c>
      <c r="G348" s="504" t="s">
        <v>447</v>
      </c>
      <c r="H348" s="504" t="s">
        <v>3674</v>
      </c>
      <c r="I348" s="504">
        <v>41</v>
      </c>
      <c r="J348" s="504">
        <v>41</v>
      </c>
      <c r="K348" s="504">
        <v>0</v>
      </c>
      <c r="L348" s="504">
        <v>0</v>
      </c>
      <c r="M348" s="504">
        <v>0</v>
      </c>
      <c r="N348" s="504">
        <v>0</v>
      </c>
      <c r="O348" s="505">
        <v>0</v>
      </c>
    </row>
    <row r="349" spans="1:15" x14ac:dyDescent="0.35">
      <c r="A349" s="500" t="s">
        <v>1227</v>
      </c>
      <c r="B349" s="501">
        <v>4757</v>
      </c>
      <c r="C349" s="501" t="s">
        <v>1094</v>
      </c>
      <c r="D349" s="501" t="s">
        <v>3392</v>
      </c>
      <c r="E349" s="501" t="s">
        <v>3381</v>
      </c>
      <c r="F349" s="501" t="s">
        <v>446</v>
      </c>
      <c r="G349" s="501" t="s">
        <v>447</v>
      </c>
      <c r="H349" s="501" t="s">
        <v>3675</v>
      </c>
      <c r="I349" s="501">
        <v>10</v>
      </c>
      <c r="J349" s="501">
        <v>10</v>
      </c>
      <c r="K349" s="501">
        <v>0</v>
      </c>
      <c r="L349" s="501">
        <v>0</v>
      </c>
      <c r="M349" s="501">
        <v>0</v>
      </c>
      <c r="N349" s="501">
        <v>0</v>
      </c>
      <c r="O349" s="506">
        <v>0</v>
      </c>
    </row>
    <row r="350" spans="1:15" x14ac:dyDescent="0.35">
      <c r="A350" s="503" t="s">
        <v>1233</v>
      </c>
      <c r="B350" s="504">
        <v>4636</v>
      </c>
      <c r="C350" s="504" t="s">
        <v>1094</v>
      </c>
      <c r="D350" s="504" t="s">
        <v>3380</v>
      </c>
      <c r="E350" s="504" t="s">
        <v>3381</v>
      </c>
      <c r="F350" s="504" t="s">
        <v>446</v>
      </c>
      <c r="G350" s="504" t="s">
        <v>447</v>
      </c>
      <c r="H350" s="504" t="s">
        <v>3676</v>
      </c>
      <c r="I350" s="504">
        <v>35</v>
      </c>
      <c r="J350" s="504">
        <v>12</v>
      </c>
      <c r="K350" s="504">
        <v>0</v>
      </c>
      <c r="L350" s="504">
        <v>0</v>
      </c>
      <c r="M350" s="504">
        <v>0</v>
      </c>
      <c r="N350" s="504">
        <v>0</v>
      </c>
      <c r="O350" s="505">
        <v>23</v>
      </c>
    </row>
    <row r="351" spans="1:15" x14ac:dyDescent="0.35">
      <c r="A351" s="500" t="s">
        <v>11368</v>
      </c>
      <c r="B351" s="501">
        <v>5083</v>
      </c>
      <c r="C351" s="501" t="s">
        <v>1094</v>
      </c>
      <c r="D351" s="501" t="s">
        <v>3380</v>
      </c>
      <c r="E351" s="501" t="s">
        <v>3381</v>
      </c>
      <c r="F351" s="501" t="s">
        <v>446</v>
      </c>
      <c r="G351" s="501" t="s">
        <v>447</v>
      </c>
      <c r="H351" s="501" t="s">
        <v>12030</v>
      </c>
      <c r="I351" s="501">
        <v>62</v>
      </c>
      <c r="J351" s="501">
        <v>62</v>
      </c>
      <c r="K351" s="501">
        <v>0</v>
      </c>
      <c r="L351" s="501">
        <v>0</v>
      </c>
      <c r="M351" s="501">
        <v>0</v>
      </c>
      <c r="N351" s="501">
        <v>0</v>
      </c>
      <c r="O351" s="506">
        <v>0</v>
      </c>
    </row>
    <row r="352" spans="1:15" x14ac:dyDescent="0.35">
      <c r="A352" s="503" t="s">
        <v>1126</v>
      </c>
      <c r="B352" s="504" t="s">
        <v>2974</v>
      </c>
      <c r="C352" s="504" t="s">
        <v>1094</v>
      </c>
      <c r="D352" s="504" t="s">
        <v>3380</v>
      </c>
      <c r="E352" s="504" t="s">
        <v>3381</v>
      </c>
      <c r="F352" s="504" t="s">
        <v>446</v>
      </c>
      <c r="G352" s="504" t="s">
        <v>447</v>
      </c>
      <c r="H352" s="504" t="s">
        <v>3677</v>
      </c>
      <c r="I352" s="504">
        <v>141</v>
      </c>
      <c r="J352" s="504">
        <v>127</v>
      </c>
      <c r="K352" s="504">
        <v>0</v>
      </c>
      <c r="L352" s="504">
        <v>4</v>
      </c>
      <c r="M352" s="504">
        <v>0</v>
      </c>
      <c r="N352" s="504">
        <v>0</v>
      </c>
      <c r="O352" s="505">
        <v>10</v>
      </c>
    </row>
    <row r="353" spans="1:15" x14ac:dyDescent="0.35">
      <c r="A353" s="500" t="s">
        <v>1892</v>
      </c>
      <c r="B353" s="501" t="s">
        <v>3172</v>
      </c>
      <c r="C353" s="501" t="s">
        <v>1094</v>
      </c>
      <c r="D353" s="501" t="s">
        <v>3380</v>
      </c>
      <c r="E353" s="501" t="s">
        <v>3381</v>
      </c>
      <c r="F353" s="501" t="s">
        <v>446</v>
      </c>
      <c r="G353" s="501" t="s">
        <v>447</v>
      </c>
      <c r="H353" s="501" t="s">
        <v>3678</v>
      </c>
      <c r="I353" s="501">
        <v>64</v>
      </c>
      <c r="J353" s="501">
        <v>0</v>
      </c>
      <c r="K353" s="501">
        <v>0</v>
      </c>
      <c r="L353" s="501">
        <v>0</v>
      </c>
      <c r="M353" s="501">
        <v>34</v>
      </c>
      <c r="N353" s="501">
        <v>0</v>
      </c>
      <c r="O353" s="506">
        <v>30</v>
      </c>
    </row>
    <row r="354" spans="1:15" x14ac:dyDescent="0.35">
      <c r="A354" s="503" t="s">
        <v>1897</v>
      </c>
      <c r="B354" s="504" t="s">
        <v>2502</v>
      </c>
      <c r="C354" s="504" t="s">
        <v>1089</v>
      </c>
      <c r="D354" s="504" t="s">
        <v>3392</v>
      </c>
      <c r="E354" s="504" t="s">
        <v>3381</v>
      </c>
      <c r="F354" s="504" t="s">
        <v>446</v>
      </c>
      <c r="G354" s="504" t="s">
        <v>447</v>
      </c>
      <c r="H354" s="504" t="s">
        <v>3679</v>
      </c>
      <c r="I354" s="504">
        <v>49</v>
      </c>
      <c r="J354" s="504">
        <v>0</v>
      </c>
      <c r="K354" s="504">
        <v>0</v>
      </c>
      <c r="L354" s="504">
        <v>0</v>
      </c>
      <c r="M354" s="504">
        <v>49</v>
      </c>
      <c r="N354" s="504">
        <v>0</v>
      </c>
      <c r="O354" s="505">
        <v>0</v>
      </c>
    </row>
    <row r="355" spans="1:15" x14ac:dyDescent="0.35">
      <c r="A355" s="500" t="s">
        <v>1130</v>
      </c>
      <c r="B355" s="501" t="s">
        <v>3234</v>
      </c>
      <c r="C355" s="501" t="s">
        <v>1094</v>
      </c>
      <c r="D355" s="501" t="s">
        <v>3380</v>
      </c>
      <c r="E355" s="501" t="s">
        <v>3381</v>
      </c>
      <c r="F355" s="501" t="s">
        <v>446</v>
      </c>
      <c r="G355" s="501" t="s">
        <v>447</v>
      </c>
      <c r="H355" s="501" t="s">
        <v>3680</v>
      </c>
      <c r="I355" s="501">
        <v>136</v>
      </c>
      <c r="J355" s="501">
        <v>135</v>
      </c>
      <c r="K355" s="501">
        <v>0</v>
      </c>
      <c r="L355" s="501">
        <v>0</v>
      </c>
      <c r="M355" s="501">
        <v>0</v>
      </c>
      <c r="N355" s="501">
        <v>0</v>
      </c>
      <c r="O355" s="506">
        <v>1</v>
      </c>
    </row>
    <row r="356" spans="1:15" x14ac:dyDescent="0.35">
      <c r="A356" s="503" t="s">
        <v>1132</v>
      </c>
      <c r="B356" s="504">
        <v>4837</v>
      </c>
      <c r="C356" s="504" t="s">
        <v>1094</v>
      </c>
      <c r="D356" s="504" t="s">
        <v>3380</v>
      </c>
      <c r="E356" s="504" t="s">
        <v>3381</v>
      </c>
      <c r="F356" s="504" t="s">
        <v>446</v>
      </c>
      <c r="G356" s="504" t="s">
        <v>447</v>
      </c>
      <c r="H356" s="504" t="s">
        <v>3681</v>
      </c>
      <c r="I356" s="504">
        <v>6080</v>
      </c>
      <c r="J356" s="504">
        <v>5172</v>
      </c>
      <c r="K356" s="504">
        <v>0</v>
      </c>
      <c r="L356" s="504">
        <v>95</v>
      </c>
      <c r="M356" s="504">
        <v>280</v>
      </c>
      <c r="N356" s="504">
        <v>1</v>
      </c>
      <c r="O356" s="505">
        <v>533</v>
      </c>
    </row>
    <row r="357" spans="1:15" x14ac:dyDescent="0.35">
      <c r="A357" s="500" t="s">
        <v>1240</v>
      </c>
      <c r="B357" s="501" t="s">
        <v>2972</v>
      </c>
      <c r="C357" s="501" t="s">
        <v>1094</v>
      </c>
      <c r="D357" s="501" t="s">
        <v>3380</v>
      </c>
      <c r="E357" s="501" t="s">
        <v>3381</v>
      </c>
      <c r="F357" s="501" t="s">
        <v>446</v>
      </c>
      <c r="G357" s="501" t="s">
        <v>447</v>
      </c>
      <c r="H357" s="501" t="s">
        <v>3682</v>
      </c>
      <c r="I357" s="501">
        <v>247</v>
      </c>
      <c r="J357" s="501">
        <v>245</v>
      </c>
      <c r="K357" s="501">
        <v>0</v>
      </c>
      <c r="L357" s="501">
        <v>0</v>
      </c>
      <c r="M357" s="501">
        <v>0</v>
      </c>
      <c r="N357" s="501">
        <v>0</v>
      </c>
      <c r="O357" s="506">
        <v>2</v>
      </c>
    </row>
    <row r="358" spans="1:15" x14ac:dyDescent="0.35">
      <c r="A358" s="503" t="s">
        <v>1134</v>
      </c>
      <c r="B358" s="504" t="s">
        <v>3066</v>
      </c>
      <c r="C358" s="504" t="s">
        <v>1094</v>
      </c>
      <c r="D358" s="504" t="s">
        <v>3380</v>
      </c>
      <c r="E358" s="504" t="s">
        <v>3381</v>
      </c>
      <c r="F358" s="504" t="s">
        <v>446</v>
      </c>
      <c r="G358" s="504" t="s">
        <v>447</v>
      </c>
      <c r="H358" s="504" t="s">
        <v>3683</v>
      </c>
      <c r="I358" s="504">
        <v>146</v>
      </c>
      <c r="J358" s="504">
        <v>108</v>
      </c>
      <c r="K358" s="504">
        <v>0</v>
      </c>
      <c r="L358" s="504">
        <v>0</v>
      </c>
      <c r="M358" s="504">
        <v>38</v>
      </c>
      <c r="N358" s="504">
        <v>0</v>
      </c>
      <c r="O358" s="505">
        <v>0</v>
      </c>
    </row>
    <row r="359" spans="1:15" x14ac:dyDescent="0.35">
      <c r="A359" s="500" t="s">
        <v>1245</v>
      </c>
      <c r="B359" s="501" t="s">
        <v>2859</v>
      </c>
      <c r="C359" s="501" t="s">
        <v>1094</v>
      </c>
      <c r="D359" s="501" t="s">
        <v>3380</v>
      </c>
      <c r="E359" s="501" t="s">
        <v>3381</v>
      </c>
      <c r="F359" s="501" t="s">
        <v>446</v>
      </c>
      <c r="G359" s="501" t="s">
        <v>447</v>
      </c>
      <c r="H359" s="501" t="s">
        <v>3684</v>
      </c>
      <c r="I359" s="501">
        <v>10</v>
      </c>
      <c r="J359" s="501">
        <v>0</v>
      </c>
      <c r="K359" s="501">
        <v>0</v>
      </c>
      <c r="L359" s="501">
        <v>0</v>
      </c>
      <c r="M359" s="501">
        <v>10</v>
      </c>
      <c r="N359" s="501">
        <v>0</v>
      </c>
      <c r="O359" s="506">
        <v>0</v>
      </c>
    </row>
    <row r="360" spans="1:15" x14ac:dyDescent="0.35">
      <c r="A360" s="503" t="s">
        <v>1249</v>
      </c>
      <c r="B360" s="504">
        <v>4729</v>
      </c>
      <c r="C360" s="504" t="s">
        <v>1094</v>
      </c>
      <c r="D360" s="504" t="s">
        <v>3380</v>
      </c>
      <c r="E360" s="504" t="s">
        <v>3381</v>
      </c>
      <c r="F360" s="504" t="s">
        <v>446</v>
      </c>
      <c r="G360" s="504" t="s">
        <v>447</v>
      </c>
      <c r="H360" s="504" t="s">
        <v>3685</v>
      </c>
      <c r="I360" s="504">
        <v>463</v>
      </c>
      <c r="J360" s="504">
        <v>390</v>
      </c>
      <c r="K360" s="504">
        <v>0</v>
      </c>
      <c r="L360" s="504">
        <v>6</v>
      </c>
      <c r="M360" s="504">
        <v>0</v>
      </c>
      <c r="N360" s="504">
        <v>0</v>
      </c>
      <c r="O360" s="505">
        <v>67</v>
      </c>
    </row>
    <row r="361" spans="1:15" x14ac:dyDescent="0.35">
      <c r="A361" s="500" t="s">
        <v>1138</v>
      </c>
      <c r="B361" s="501" t="s">
        <v>2998</v>
      </c>
      <c r="C361" s="501" t="s">
        <v>1094</v>
      </c>
      <c r="D361" s="501" t="s">
        <v>3380</v>
      </c>
      <c r="E361" s="501" t="s">
        <v>3381</v>
      </c>
      <c r="F361" s="501" t="s">
        <v>446</v>
      </c>
      <c r="G361" s="501" t="s">
        <v>447</v>
      </c>
      <c r="H361" s="501" t="s">
        <v>3686</v>
      </c>
      <c r="I361" s="501">
        <v>196</v>
      </c>
      <c r="J361" s="501">
        <v>147</v>
      </c>
      <c r="K361" s="501">
        <v>0</v>
      </c>
      <c r="L361" s="501">
        <v>4</v>
      </c>
      <c r="M361" s="501">
        <v>0</v>
      </c>
      <c r="N361" s="501">
        <v>0</v>
      </c>
      <c r="O361" s="506">
        <v>45</v>
      </c>
    </row>
    <row r="362" spans="1:15" x14ac:dyDescent="0.35">
      <c r="A362" s="503" t="s">
        <v>1140</v>
      </c>
      <c r="B362" s="504">
        <v>4850</v>
      </c>
      <c r="C362" s="504" t="s">
        <v>1094</v>
      </c>
      <c r="D362" s="504" t="s">
        <v>3380</v>
      </c>
      <c r="E362" s="504" t="s">
        <v>3381</v>
      </c>
      <c r="F362" s="504" t="s">
        <v>446</v>
      </c>
      <c r="G362" s="504" t="s">
        <v>447</v>
      </c>
      <c r="H362" s="504" t="s">
        <v>3687</v>
      </c>
      <c r="I362" s="504">
        <v>5929</v>
      </c>
      <c r="J362" s="504">
        <v>5130</v>
      </c>
      <c r="K362" s="504">
        <v>0</v>
      </c>
      <c r="L362" s="504">
        <v>5</v>
      </c>
      <c r="M362" s="504">
        <v>223</v>
      </c>
      <c r="N362" s="504">
        <v>0</v>
      </c>
      <c r="O362" s="505">
        <v>571</v>
      </c>
    </row>
    <row r="363" spans="1:15" x14ac:dyDescent="0.35">
      <c r="A363" s="500" t="s">
        <v>1946</v>
      </c>
      <c r="B363" s="501">
        <v>4875</v>
      </c>
      <c r="C363" s="501" t="s">
        <v>1089</v>
      </c>
      <c r="D363" s="501" t="s">
        <v>3392</v>
      </c>
      <c r="E363" s="501" t="s">
        <v>3381</v>
      </c>
      <c r="F363" s="501" t="s">
        <v>446</v>
      </c>
      <c r="G363" s="501" t="s">
        <v>447</v>
      </c>
      <c r="H363" s="501" t="s">
        <v>3688</v>
      </c>
      <c r="I363" s="501">
        <v>83</v>
      </c>
      <c r="J363" s="501">
        <v>0</v>
      </c>
      <c r="K363" s="501">
        <v>0</v>
      </c>
      <c r="L363" s="501">
        <v>83</v>
      </c>
      <c r="M363" s="501">
        <v>0</v>
      </c>
      <c r="N363" s="501">
        <v>0</v>
      </c>
      <c r="O363" s="506">
        <v>0</v>
      </c>
    </row>
    <row r="364" spans="1:15" x14ac:dyDescent="0.35">
      <c r="A364" s="503" t="s">
        <v>1193</v>
      </c>
      <c r="B364" s="504" t="s">
        <v>3039</v>
      </c>
      <c r="C364" s="504" t="s">
        <v>1094</v>
      </c>
      <c r="D364" s="504" t="s">
        <v>3380</v>
      </c>
      <c r="E364" s="504" t="s">
        <v>3381</v>
      </c>
      <c r="F364" s="504" t="s">
        <v>448</v>
      </c>
      <c r="G364" s="504" t="s">
        <v>449</v>
      </c>
      <c r="H364" s="504" t="s">
        <v>3696</v>
      </c>
      <c r="I364" s="504">
        <v>11</v>
      </c>
      <c r="J364" s="504">
        <v>11</v>
      </c>
      <c r="K364" s="504">
        <v>0</v>
      </c>
      <c r="L364" s="504">
        <v>0</v>
      </c>
      <c r="M364" s="504">
        <v>0</v>
      </c>
      <c r="N364" s="504">
        <v>0</v>
      </c>
      <c r="O364" s="505">
        <v>0</v>
      </c>
    </row>
    <row r="365" spans="1:15" x14ac:dyDescent="0.35">
      <c r="A365" s="500" t="s">
        <v>1145</v>
      </c>
      <c r="B365" s="501" t="s">
        <v>3164</v>
      </c>
      <c r="C365" s="501" t="s">
        <v>1094</v>
      </c>
      <c r="D365" s="501" t="s">
        <v>3380</v>
      </c>
      <c r="E365" s="501" t="s">
        <v>3381</v>
      </c>
      <c r="F365" s="501" t="s">
        <v>448</v>
      </c>
      <c r="G365" s="501" t="s">
        <v>449</v>
      </c>
      <c r="H365" s="501" t="s">
        <v>3689</v>
      </c>
      <c r="I365" s="501">
        <v>251</v>
      </c>
      <c r="J365" s="501">
        <v>192</v>
      </c>
      <c r="K365" s="501">
        <v>0</v>
      </c>
      <c r="L365" s="501">
        <v>0</v>
      </c>
      <c r="M365" s="501">
        <v>0</v>
      </c>
      <c r="N365" s="501">
        <v>0</v>
      </c>
      <c r="O365" s="506">
        <v>59</v>
      </c>
    </row>
    <row r="366" spans="1:15" x14ac:dyDescent="0.35">
      <c r="A366" s="503" t="s">
        <v>1093</v>
      </c>
      <c r="B366" s="504" t="s">
        <v>3248</v>
      </c>
      <c r="C366" s="504" t="s">
        <v>1094</v>
      </c>
      <c r="D366" s="504" t="s">
        <v>3380</v>
      </c>
      <c r="E366" s="504" t="s">
        <v>3381</v>
      </c>
      <c r="F366" s="504" t="s">
        <v>448</v>
      </c>
      <c r="G366" s="504" t="s">
        <v>449</v>
      </c>
      <c r="H366" s="504" t="s">
        <v>3690</v>
      </c>
      <c r="I366" s="504">
        <v>4</v>
      </c>
      <c r="J366" s="504">
        <v>0</v>
      </c>
      <c r="K366" s="504">
        <v>0</v>
      </c>
      <c r="L366" s="504">
        <v>4</v>
      </c>
      <c r="M366" s="504">
        <v>0</v>
      </c>
      <c r="N366" s="504">
        <v>0</v>
      </c>
      <c r="O366" s="505">
        <v>0</v>
      </c>
    </row>
    <row r="367" spans="1:15" x14ac:dyDescent="0.35">
      <c r="A367" s="500" t="s">
        <v>1096</v>
      </c>
      <c r="B367" s="501" t="s">
        <v>3326</v>
      </c>
      <c r="C367" s="501" t="s">
        <v>1094</v>
      </c>
      <c r="D367" s="501" t="s">
        <v>3380</v>
      </c>
      <c r="E367" s="501" t="s">
        <v>3381</v>
      </c>
      <c r="F367" s="501" t="s">
        <v>448</v>
      </c>
      <c r="G367" s="501" t="s">
        <v>449</v>
      </c>
      <c r="H367" s="501" t="s">
        <v>3691</v>
      </c>
      <c r="I367" s="501">
        <v>100</v>
      </c>
      <c r="J367" s="501">
        <v>0</v>
      </c>
      <c r="K367" s="501">
        <v>0</v>
      </c>
      <c r="L367" s="501">
        <v>0</v>
      </c>
      <c r="M367" s="501">
        <v>100</v>
      </c>
      <c r="N367" s="501">
        <v>0</v>
      </c>
      <c r="O367" s="506">
        <v>0</v>
      </c>
    </row>
    <row r="368" spans="1:15" x14ac:dyDescent="0.35">
      <c r="A368" s="503" t="s">
        <v>11363</v>
      </c>
      <c r="B368" s="504">
        <v>4718</v>
      </c>
      <c r="C368" s="504" t="s">
        <v>1094</v>
      </c>
      <c r="D368" s="504" t="s">
        <v>3380</v>
      </c>
      <c r="E368" s="504" t="s">
        <v>3381</v>
      </c>
      <c r="F368" s="504" t="s">
        <v>448</v>
      </c>
      <c r="G368" s="504" t="s">
        <v>449</v>
      </c>
      <c r="H368" s="504" t="s">
        <v>11514</v>
      </c>
      <c r="I368" s="504">
        <v>6</v>
      </c>
      <c r="J368" s="504">
        <v>0</v>
      </c>
      <c r="K368" s="504">
        <v>0</v>
      </c>
      <c r="L368" s="504">
        <v>6</v>
      </c>
      <c r="M368" s="504">
        <v>0</v>
      </c>
      <c r="N368" s="504">
        <v>0</v>
      </c>
      <c r="O368" s="505">
        <v>0</v>
      </c>
    </row>
    <row r="369" spans="1:15" x14ac:dyDescent="0.35">
      <c r="A369" s="500" t="s">
        <v>1171</v>
      </c>
      <c r="B369" s="501" t="s">
        <v>3003</v>
      </c>
      <c r="C369" s="501" t="s">
        <v>1094</v>
      </c>
      <c r="D369" s="501" t="s">
        <v>3380</v>
      </c>
      <c r="E369" s="501" t="s">
        <v>3381</v>
      </c>
      <c r="F369" s="501" t="s">
        <v>448</v>
      </c>
      <c r="G369" s="501" t="s">
        <v>449</v>
      </c>
      <c r="H369" s="501" t="s">
        <v>3692</v>
      </c>
      <c r="I369" s="501">
        <v>169</v>
      </c>
      <c r="J369" s="501">
        <v>138</v>
      </c>
      <c r="K369" s="501">
        <v>0</v>
      </c>
      <c r="L369" s="501">
        <v>0</v>
      </c>
      <c r="M369" s="501">
        <v>0</v>
      </c>
      <c r="N369" s="501">
        <v>0</v>
      </c>
      <c r="O369" s="506">
        <v>31</v>
      </c>
    </row>
    <row r="370" spans="1:15" x14ac:dyDescent="0.35">
      <c r="A370" s="503" t="s">
        <v>1173</v>
      </c>
      <c r="B370" s="504">
        <v>4775</v>
      </c>
      <c r="C370" s="504" t="s">
        <v>1094</v>
      </c>
      <c r="D370" s="504" t="s">
        <v>3380</v>
      </c>
      <c r="E370" s="504" t="s">
        <v>3381</v>
      </c>
      <c r="F370" s="504" t="s">
        <v>448</v>
      </c>
      <c r="G370" s="504" t="s">
        <v>449</v>
      </c>
      <c r="H370" s="504" t="s">
        <v>3693</v>
      </c>
      <c r="I370" s="504">
        <v>28</v>
      </c>
      <c r="J370" s="504">
        <v>20</v>
      </c>
      <c r="K370" s="504">
        <v>0</v>
      </c>
      <c r="L370" s="504">
        <v>0</v>
      </c>
      <c r="M370" s="504">
        <v>0</v>
      </c>
      <c r="N370" s="504">
        <v>0</v>
      </c>
      <c r="O370" s="505">
        <v>8</v>
      </c>
    </row>
    <row r="371" spans="1:15" x14ac:dyDescent="0.35">
      <c r="A371" s="500" t="s">
        <v>1178</v>
      </c>
      <c r="B371" s="501" t="s">
        <v>3334</v>
      </c>
      <c r="C371" s="501" t="s">
        <v>1094</v>
      </c>
      <c r="D371" s="501" t="s">
        <v>3380</v>
      </c>
      <c r="E371" s="501" t="s">
        <v>3381</v>
      </c>
      <c r="F371" s="501" t="s">
        <v>448</v>
      </c>
      <c r="G371" s="501" t="s">
        <v>449</v>
      </c>
      <c r="H371" s="501" t="s">
        <v>3694</v>
      </c>
      <c r="I371" s="501">
        <v>54</v>
      </c>
      <c r="J371" s="501">
        <v>0</v>
      </c>
      <c r="K371" s="501">
        <v>0</v>
      </c>
      <c r="L371" s="501">
        <v>54</v>
      </c>
      <c r="M371" s="501">
        <v>0</v>
      </c>
      <c r="N371" s="501">
        <v>3</v>
      </c>
      <c r="O371" s="506">
        <v>0</v>
      </c>
    </row>
    <row r="372" spans="1:15" x14ac:dyDescent="0.35">
      <c r="A372" s="503" t="s">
        <v>14208</v>
      </c>
      <c r="B372" s="504">
        <v>4803</v>
      </c>
      <c r="C372" s="504" t="s">
        <v>1094</v>
      </c>
      <c r="D372" s="504" t="s">
        <v>3380</v>
      </c>
      <c r="E372" s="504" t="s">
        <v>3381</v>
      </c>
      <c r="F372" s="504" t="s">
        <v>448</v>
      </c>
      <c r="G372" s="504" t="s">
        <v>449</v>
      </c>
      <c r="H372" s="504" t="s">
        <v>14457</v>
      </c>
      <c r="I372" s="504">
        <v>18</v>
      </c>
      <c r="J372" s="504">
        <v>0</v>
      </c>
      <c r="K372" s="504">
        <v>0</v>
      </c>
      <c r="L372" s="504">
        <v>18</v>
      </c>
      <c r="M372" s="504">
        <v>0</v>
      </c>
      <c r="N372" s="504">
        <v>0</v>
      </c>
      <c r="O372" s="505">
        <v>0</v>
      </c>
    </row>
    <row r="373" spans="1:15" x14ac:dyDescent="0.35">
      <c r="A373" s="500" t="s">
        <v>1105</v>
      </c>
      <c r="B373" s="501">
        <v>4668</v>
      </c>
      <c r="C373" s="501" t="s">
        <v>1094</v>
      </c>
      <c r="D373" s="501" t="s">
        <v>3380</v>
      </c>
      <c r="E373" s="501" t="s">
        <v>3381</v>
      </c>
      <c r="F373" s="501" t="s">
        <v>448</v>
      </c>
      <c r="G373" s="501" t="s">
        <v>449</v>
      </c>
      <c r="H373" s="501" t="s">
        <v>3695</v>
      </c>
      <c r="I373" s="501">
        <v>27</v>
      </c>
      <c r="J373" s="501">
        <v>0</v>
      </c>
      <c r="K373" s="501">
        <v>0</v>
      </c>
      <c r="L373" s="501">
        <v>0</v>
      </c>
      <c r="M373" s="501">
        <v>0</v>
      </c>
      <c r="N373" s="501">
        <v>0</v>
      </c>
      <c r="O373" s="506">
        <v>27</v>
      </c>
    </row>
    <row r="374" spans="1:15" x14ac:dyDescent="0.35">
      <c r="A374" s="503" t="s">
        <v>1310</v>
      </c>
      <c r="B374" s="504">
        <v>5062</v>
      </c>
      <c r="C374" s="504" t="s">
        <v>1089</v>
      </c>
      <c r="D374" s="504" t="s">
        <v>3380</v>
      </c>
      <c r="E374" s="504" t="s">
        <v>3381</v>
      </c>
      <c r="F374" s="504" t="s">
        <v>448</v>
      </c>
      <c r="G374" s="504" t="s">
        <v>449</v>
      </c>
      <c r="H374" s="504" t="s">
        <v>14458</v>
      </c>
      <c r="I374" s="504">
        <v>3</v>
      </c>
      <c r="J374" s="504">
        <v>0</v>
      </c>
      <c r="K374" s="504">
        <v>0</v>
      </c>
      <c r="L374" s="504">
        <v>0</v>
      </c>
      <c r="M374" s="504">
        <v>0</v>
      </c>
      <c r="N374" s="504">
        <v>0</v>
      </c>
      <c r="O374" s="505">
        <v>3</v>
      </c>
    </row>
    <row r="375" spans="1:15" x14ac:dyDescent="0.35">
      <c r="A375" s="500" t="s">
        <v>1203</v>
      </c>
      <c r="B375" s="501" t="s">
        <v>3170</v>
      </c>
      <c r="C375" s="501" t="s">
        <v>1094</v>
      </c>
      <c r="D375" s="501" t="s">
        <v>3380</v>
      </c>
      <c r="E375" s="501" t="s">
        <v>3381</v>
      </c>
      <c r="F375" s="501" t="s">
        <v>448</v>
      </c>
      <c r="G375" s="501" t="s">
        <v>449</v>
      </c>
      <c r="H375" s="501" t="s">
        <v>3697</v>
      </c>
      <c r="I375" s="501">
        <v>278</v>
      </c>
      <c r="J375" s="501">
        <v>273</v>
      </c>
      <c r="K375" s="501">
        <v>0</v>
      </c>
      <c r="L375" s="501">
        <v>0</v>
      </c>
      <c r="M375" s="501">
        <v>0</v>
      </c>
      <c r="N375" s="501">
        <v>0</v>
      </c>
      <c r="O375" s="506">
        <v>5</v>
      </c>
    </row>
    <row r="376" spans="1:15" x14ac:dyDescent="0.35">
      <c r="A376" s="503" t="s">
        <v>1112</v>
      </c>
      <c r="B376" s="504" t="s">
        <v>3008</v>
      </c>
      <c r="C376" s="504" t="s">
        <v>1094</v>
      </c>
      <c r="D376" s="504" t="s">
        <v>3380</v>
      </c>
      <c r="E376" s="504" t="s">
        <v>3381</v>
      </c>
      <c r="F376" s="504" t="s">
        <v>448</v>
      </c>
      <c r="G376" s="504" t="s">
        <v>449</v>
      </c>
      <c r="H376" s="504" t="s">
        <v>3698</v>
      </c>
      <c r="I376" s="504">
        <v>21</v>
      </c>
      <c r="J376" s="504">
        <v>5</v>
      </c>
      <c r="K376" s="504">
        <v>0</v>
      </c>
      <c r="L376" s="504">
        <v>16</v>
      </c>
      <c r="M376" s="504">
        <v>0</v>
      </c>
      <c r="N376" s="504">
        <v>0</v>
      </c>
      <c r="O376" s="505">
        <v>0</v>
      </c>
    </row>
    <row r="377" spans="1:15" x14ac:dyDescent="0.35">
      <c r="A377" s="500" t="s">
        <v>1209</v>
      </c>
      <c r="B377" s="501">
        <v>4779</v>
      </c>
      <c r="C377" s="501" t="s">
        <v>1094</v>
      </c>
      <c r="D377" s="501" t="s">
        <v>3380</v>
      </c>
      <c r="E377" s="501" t="s">
        <v>3381</v>
      </c>
      <c r="F377" s="501" t="s">
        <v>448</v>
      </c>
      <c r="G377" s="501" t="s">
        <v>449</v>
      </c>
      <c r="H377" s="501" t="s">
        <v>14459</v>
      </c>
      <c r="I377" s="501">
        <v>3</v>
      </c>
      <c r="J377" s="501">
        <v>0</v>
      </c>
      <c r="K377" s="501">
        <v>0</v>
      </c>
      <c r="L377" s="501">
        <v>3</v>
      </c>
      <c r="M377" s="501">
        <v>0</v>
      </c>
      <c r="N377" s="501">
        <v>0</v>
      </c>
      <c r="O377" s="506">
        <v>0</v>
      </c>
    </row>
    <row r="378" spans="1:15" x14ac:dyDescent="0.35">
      <c r="A378" s="503" t="s">
        <v>1210</v>
      </c>
      <c r="B378" s="504">
        <v>4781</v>
      </c>
      <c r="C378" s="504" t="s">
        <v>1089</v>
      </c>
      <c r="D378" s="504" t="s">
        <v>3392</v>
      </c>
      <c r="E378" s="504" t="s">
        <v>3381</v>
      </c>
      <c r="F378" s="504" t="s">
        <v>448</v>
      </c>
      <c r="G378" s="504" t="s">
        <v>449</v>
      </c>
      <c r="H378" s="504" t="s">
        <v>3699</v>
      </c>
      <c r="I378" s="504">
        <v>1</v>
      </c>
      <c r="J378" s="504">
        <v>0</v>
      </c>
      <c r="K378" s="504">
        <v>0</v>
      </c>
      <c r="L378" s="504">
        <v>1</v>
      </c>
      <c r="M378" s="504">
        <v>0</v>
      </c>
      <c r="N378" s="504">
        <v>0</v>
      </c>
      <c r="O378" s="505">
        <v>0</v>
      </c>
    </row>
    <row r="379" spans="1:15" x14ac:dyDescent="0.35">
      <c r="A379" s="500" t="s">
        <v>1215</v>
      </c>
      <c r="B379" s="501">
        <v>4817</v>
      </c>
      <c r="C379" s="501" t="s">
        <v>1094</v>
      </c>
      <c r="D379" s="501" t="s">
        <v>3380</v>
      </c>
      <c r="E379" s="501" t="s">
        <v>3381</v>
      </c>
      <c r="F379" s="501" t="s">
        <v>448</v>
      </c>
      <c r="G379" s="501" t="s">
        <v>449</v>
      </c>
      <c r="H379" s="501" t="s">
        <v>3700</v>
      </c>
      <c r="I379" s="501">
        <v>358</v>
      </c>
      <c r="J379" s="501">
        <v>299</v>
      </c>
      <c r="K379" s="501">
        <v>0</v>
      </c>
      <c r="L379" s="501">
        <v>41</v>
      </c>
      <c r="M379" s="501">
        <v>17</v>
      </c>
      <c r="N379" s="501">
        <v>0</v>
      </c>
      <c r="O379" s="506">
        <v>1</v>
      </c>
    </row>
    <row r="380" spans="1:15" x14ac:dyDescent="0.35">
      <c r="A380" s="503" t="s">
        <v>1216</v>
      </c>
      <c r="B380" s="504" t="s">
        <v>3207</v>
      </c>
      <c r="C380" s="504" t="s">
        <v>1094</v>
      </c>
      <c r="D380" s="504" t="s">
        <v>3380</v>
      </c>
      <c r="E380" s="504" t="s">
        <v>3381</v>
      </c>
      <c r="F380" s="504" t="s">
        <v>448</v>
      </c>
      <c r="G380" s="504" t="s">
        <v>449</v>
      </c>
      <c r="H380" s="504" t="s">
        <v>3701</v>
      </c>
      <c r="I380" s="504">
        <v>44</v>
      </c>
      <c r="J380" s="504">
        <v>44</v>
      </c>
      <c r="K380" s="504">
        <v>0</v>
      </c>
      <c r="L380" s="504">
        <v>0</v>
      </c>
      <c r="M380" s="504">
        <v>0</v>
      </c>
      <c r="N380" s="504">
        <v>0</v>
      </c>
      <c r="O380" s="505">
        <v>0</v>
      </c>
    </row>
    <row r="381" spans="1:15" x14ac:dyDescent="0.35">
      <c r="A381" s="500" t="s">
        <v>1122</v>
      </c>
      <c r="B381" s="501" t="s">
        <v>2994</v>
      </c>
      <c r="C381" s="501" t="s">
        <v>1094</v>
      </c>
      <c r="D381" s="501" t="s">
        <v>3380</v>
      </c>
      <c r="E381" s="501" t="s">
        <v>3381</v>
      </c>
      <c r="F381" s="501" t="s">
        <v>448</v>
      </c>
      <c r="G381" s="501" t="s">
        <v>449</v>
      </c>
      <c r="H381" s="501" t="s">
        <v>3702</v>
      </c>
      <c r="I381" s="501">
        <v>7</v>
      </c>
      <c r="J381" s="501">
        <v>7</v>
      </c>
      <c r="K381" s="501">
        <v>0</v>
      </c>
      <c r="L381" s="501">
        <v>0</v>
      </c>
      <c r="M381" s="501">
        <v>0</v>
      </c>
      <c r="N381" s="501">
        <v>0</v>
      </c>
      <c r="O381" s="506">
        <v>0</v>
      </c>
    </row>
    <row r="382" spans="1:15" x14ac:dyDescent="0.35">
      <c r="A382" s="503" t="s">
        <v>1226</v>
      </c>
      <c r="B382" s="504">
        <v>5084</v>
      </c>
      <c r="C382" s="504" t="s">
        <v>1094</v>
      </c>
      <c r="D382" s="504" t="s">
        <v>3380</v>
      </c>
      <c r="E382" s="504" t="s">
        <v>3381</v>
      </c>
      <c r="F382" s="504" t="s">
        <v>448</v>
      </c>
      <c r="G382" s="504" t="s">
        <v>449</v>
      </c>
      <c r="H382" s="504" t="s">
        <v>3703</v>
      </c>
      <c r="I382" s="504">
        <v>30</v>
      </c>
      <c r="J382" s="504">
        <v>15</v>
      </c>
      <c r="K382" s="504">
        <v>0</v>
      </c>
      <c r="L382" s="504">
        <v>0</v>
      </c>
      <c r="M382" s="504">
        <v>0</v>
      </c>
      <c r="N382" s="504">
        <v>0</v>
      </c>
      <c r="O382" s="505">
        <v>15</v>
      </c>
    </row>
    <row r="383" spans="1:15" x14ac:dyDescent="0.35">
      <c r="A383" s="500" t="s">
        <v>1228</v>
      </c>
      <c r="B383" s="501" t="s">
        <v>3321</v>
      </c>
      <c r="C383" s="501" t="s">
        <v>1094</v>
      </c>
      <c r="D383" s="501" t="s">
        <v>3380</v>
      </c>
      <c r="E383" s="501" t="s">
        <v>3381</v>
      </c>
      <c r="F383" s="501" t="s">
        <v>448</v>
      </c>
      <c r="G383" s="501" t="s">
        <v>449</v>
      </c>
      <c r="H383" s="501" t="s">
        <v>3704</v>
      </c>
      <c r="I383" s="501">
        <v>104</v>
      </c>
      <c r="J383" s="501">
        <v>0</v>
      </c>
      <c r="K383" s="501">
        <v>0</v>
      </c>
      <c r="L383" s="501">
        <v>104</v>
      </c>
      <c r="M383" s="501">
        <v>0</v>
      </c>
      <c r="N383" s="501">
        <v>0</v>
      </c>
      <c r="O383" s="506">
        <v>0</v>
      </c>
    </row>
    <row r="384" spans="1:15" x14ac:dyDescent="0.35">
      <c r="A384" s="503" t="s">
        <v>1235</v>
      </c>
      <c r="B384" s="504">
        <v>4684</v>
      </c>
      <c r="C384" s="504" t="s">
        <v>1094</v>
      </c>
      <c r="D384" s="504" t="s">
        <v>3380</v>
      </c>
      <c r="E384" s="504" t="s">
        <v>3381</v>
      </c>
      <c r="F384" s="504" t="s">
        <v>448</v>
      </c>
      <c r="G384" s="504" t="s">
        <v>449</v>
      </c>
      <c r="H384" s="504" t="s">
        <v>14460</v>
      </c>
      <c r="I384" s="504">
        <v>20</v>
      </c>
      <c r="J384" s="504">
        <v>8</v>
      </c>
      <c r="K384" s="504">
        <v>0</v>
      </c>
      <c r="L384" s="504">
        <v>0</v>
      </c>
      <c r="M384" s="504">
        <v>0</v>
      </c>
      <c r="N384" s="504">
        <v>0</v>
      </c>
      <c r="O384" s="505">
        <v>12</v>
      </c>
    </row>
    <row r="385" spans="1:15" x14ac:dyDescent="0.35">
      <c r="A385" s="500" t="s">
        <v>1238</v>
      </c>
      <c r="B385" s="501" t="s">
        <v>2963</v>
      </c>
      <c r="C385" s="501" t="s">
        <v>1094</v>
      </c>
      <c r="D385" s="501" t="s">
        <v>3380</v>
      </c>
      <c r="E385" s="501" t="s">
        <v>3381</v>
      </c>
      <c r="F385" s="501" t="s">
        <v>448</v>
      </c>
      <c r="G385" s="501" t="s">
        <v>449</v>
      </c>
      <c r="H385" s="501" t="s">
        <v>3705</v>
      </c>
      <c r="I385" s="501">
        <v>20</v>
      </c>
      <c r="J385" s="501">
        <v>16</v>
      </c>
      <c r="K385" s="501">
        <v>0</v>
      </c>
      <c r="L385" s="501">
        <v>0</v>
      </c>
      <c r="M385" s="501">
        <v>0</v>
      </c>
      <c r="N385" s="501">
        <v>0</v>
      </c>
      <c r="O385" s="506">
        <v>4</v>
      </c>
    </row>
    <row r="386" spans="1:15" x14ac:dyDescent="0.35">
      <c r="A386" s="503" t="s">
        <v>1240</v>
      </c>
      <c r="B386" s="504" t="s">
        <v>2972</v>
      </c>
      <c r="C386" s="504" t="s">
        <v>1094</v>
      </c>
      <c r="D386" s="504" t="s">
        <v>3380</v>
      </c>
      <c r="E386" s="504" t="s">
        <v>3381</v>
      </c>
      <c r="F386" s="504" t="s">
        <v>448</v>
      </c>
      <c r="G386" s="504" t="s">
        <v>449</v>
      </c>
      <c r="H386" s="504" t="s">
        <v>3706</v>
      </c>
      <c r="I386" s="504">
        <v>19</v>
      </c>
      <c r="J386" s="504">
        <v>19</v>
      </c>
      <c r="K386" s="504">
        <v>0</v>
      </c>
      <c r="L386" s="504">
        <v>0</v>
      </c>
      <c r="M386" s="504">
        <v>0</v>
      </c>
      <c r="N386" s="504">
        <v>0</v>
      </c>
      <c r="O386" s="505">
        <v>0</v>
      </c>
    </row>
    <row r="387" spans="1:15" x14ac:dyDescent="0.35">
      <c r="A387" s="500" t="s">
        <v>1249</v>
      </c>
      <c r="B387" s="501">
        <v>4729</v>
      </c>
      <c r="C387" s="501" t="s">
        <v>1094</v>
      </c>
      <c r="D387" s="501" t="s">
        <v>3380</v>
      </c>
      <c r="E387" s="501" t="s">
        <v>3381</v>
      </c>
      <c r="F387" s="501" t="s">
        <v>448</v>
      </c>
      <c r="G387" s="501" t="s">
        <v>449</v>
      </c>
      <c r="H387" s="501" t="s">
        <v>3707</v>
      </c>
      <c r="I387" s="501">
        <v>72</v>
      </c>
      <c r="J387" s="501">
        <v>72</v>
      </c>
      <c r="K387" s="501">
        <v>0</v>
      </c>
      <c r="L387" s="501">
        <v>0</v>
      </c>
      <c r="M387" s="501">
        <v>0</v>
      </c>
      <c r="N387" s="501">
        <v>0</v>
      </c>
      <c r="O387" s="506">
        <v>0</v>
      </c>
    </row>
    <row r="388" spans="1:15" x14ac:dyDescent="0.35">
      <c r="A388" s="503" t="s">
        <v>1257</v>
      </c>
      <c r="B388" s="504" t="s">
        <v>3151</v>
      </c>
      <c r="C388" s="504" t="s">
        <v>1094</v>
      </c>
      <c r="D388" s="504" t="s">
        <v>3380</v>
      </c>
      <c r="E388" s="504" t="s">
        <v>3381</v>
      </c>
      <c r="F388" s="504" t="s">
        <v>448</v>
      </c>
      <c r="G388" s="504" t="s">
        <v>449</v>
      </c>
      <c r="H388" s="504" t="s">
        <v>3708</v>
      </c>
      <c r="I388" s="504">
        <v>111</v>
      </c>
      <c r="J388" s="504">
        <v>98</v>
      </c>
      <c r="K388" s="504">
        <v>0</v>
      </c>
      <c r="L388" s="504">
        <v>11</v>
      </c>
      <c r="M388" s="504">
        <v>0</v>
      </c>
      <c r="N388" s="504">
        <v>0</v>
      </c>
      <c r="O388" s="505">
        <v>2</v>
      </c>
    </row>
    <row r="389" spans="1:15" x14ac:dyDescent="0.35">
      <c r="A389" s="500" t="s">
        <v>1947</v>
      </c>
      <c r="B389" s="501" t="s">
        <v>2840</v>
      </c>
      <c r="C389" s="501" t="s">
        <v>1089</v>
      </c>
      <c r="D389" s="501" t="s">
        <v>3392</v>
      </c>
      <c r="E389" s="501" t="s">
        <v>3381</v>
      </c>
      <c r="F389" s="501" t="s">
        <v>450</v>
      </c>
      <c r="G389" s="501" t="s">
        <v>451</v>
      </c>
      <c r="H389" s="501" t="s">
        <v>3709</v>
      </c>
      <c r="I389" s="501">
        <v>14</v>
      </c>
      <c r="J389" s="501">
        <v>0</v>
      </c>
      <c r="K389" s="501">
        <v>0</v>
      </c>
      <c r="L389" s="501">
        <v>0</v>
      </c>
      <c r="M389" s="501">
        <v>14</v>
      </c>
      <c r="N389" s="501">
        <v>0</v>
      </c>
      <c r="O389" s="506">
        <v>0</v>
      </c>
    </row>
    <row r="390" spans="1:15" x14ac:dyDescent="0.35">
      <c r="A390" s="503" t="s">
        <v>1093</v>
      </c>
      <c r="B390" s="504" t="s">
        <v>3248</v>
      </c>
      <c r="C390" s="504" t="s">
        <v>1094</v>
      </c>
      <c r="D390" s="504" t="s">
        <v>3380</v>
      </c>
      <c r="E390" s="504" t="s">
        <v>3381</v>
      </c>
      <c r="F390" s="504" t="s">
        <v>450</v>
      </c>
      <c r="G390" s="504" t="s">
        <v>451</v>
      </c>
      <c r="H390" s="504" t="s">
        <v>3710</v>
      </c>
      <c r="I390" s="504">
        <v>21</v>
      </c>
      <c r="J390" s="504">
        <v>0</v>
      </c>
      <c r="K390" s="504">
        <v>0</v>
      </c>
      <c r="L390" s="504">
        <v>5</v>
      </c>
      <c r="M390" s="504">
        <v>0</v>
      </c>
      <c r="N390" s="504">
        <v>0</v>
      </c>
      <c r="O390" s="505">
        <v>16</v>
      </c>
    </row>
    <row r="391" spans="1:15" x14ac:dyDescent="0.35">
      <c r="A391" s="500" t="s">
        <v>1096</v>
      </c>
      <c r="B391" s="501" t="s">
        <v>3326</v>
      </c>
      <c r="C391" s="501" t="s">
        <v>1094</v>
      </c>
      <c r="D391" s="501" t="s">
        <v>3380</v>
      </c>
      <c r="E391" s="501" t="s">
        <v>3381</v>
      </c>
      <c r="F391" s="501" t="s">
        <v>450</v>
      </c>
      <c r="G391" s="501" t="s">
        <v>451</v>
      </c>
      <c r="H391" s="501" t="s">
        <v>3711</v>
      </c>
      <c r="I391" s="501">
        <v>67</v>
      </c>
      <c r="J391" s="501">
        <v>0</v>
      </c>
      <c r="K391" s="501">
        <v>0</v>
      </c>
      <c r="L391" s="501">
        <v>0</v>
      </c>
      <c r="M391" s="501">
        <v>67</v>
      </c>
      <c r="N391" s="501">
        <v>0</v>
      </c>
      <c r="O391" s="506">
        <v>0</v>
      </c>
    </row>
    <row r="392" spans="1:15" x14ac:dyDescent="0.35">
      <c r="A392" s="503" t="s">
        <v>1098</v>
      </c>
      <c r="B392" s="504">
        <v>4691</v>
      </c>
      <c r="C392" s="504" t="s">
        <v>1094</v>
      </c>
      <c r="D392" s="504" t="s">
        <v>3380</v>
      </c>
      <c r="E392" s="504" t="s">
        <v>3381</v>
      </c>
      <c r="F392" s="504" t="s">
        <v>450</v>
      </c>
      <c r="G392" s="504" t="s">
        <v>451</v>
      </c>
      <c r="H392" s="504" t="s">
        <v>3712</v>
      </c>
      <c r="I392" s="504">
        <v>197</v>
      </c>
      <c r="J392" s="504">
        <v>136</v>
      </c>
      <c r="K392" s="504">
        <v>0</v>
      </c>
      <c r="L392" s="504">
        <v>18</v>
      </c>
      <c r="M392" s="504">
        <v>0</v>
      </c>
      <c r="N392" s="504">
        <v>0</v>
      </c>
      <c r="O392" s="505">
        <v>43</v>
      </c>
    </row>
    <row r="393" spans="1:15" x14ac:dyDescent="0.35">
      <c r="A393" s="500" t="s">
        <v>11422</v>
      </c>
      <c r="B393" s="501" t="s">
        <v>2939</v>
      </c>
      <c r="C393" s="501" t="s">
        <v>1089</v>
      </c>
      <c r="D393" s="501" t="s">
        <v>3392</v>
      </c>
      <c r="E393" s="501" t="s">
        <v>3381</v>
      </c>
      <c r="F393" s="501" t="s">
        <v>450</v>
      </c>
      <c r="G393" s="501" t="s">
        <v>451</v>
      </c>
      <c r="H393" s="501" t="s">
        <v>11624</v>
      </c>
      <c r="I393" s="501">
        <v>16</v>
      </c>
      <c r="J393" s="501">
        <v>0</v>
      </c>
      <c r="K393" s="501">
        <v>0</v>
      </c>
      <c r="L393" s="501">
        <v>16</v>
      </c>
      <c r="M393" s="501">
        <v>0</v>
      </c>
      <c r="N393" s="501">
        <v>0</v>
      </c>
      <c r="O393" s="506">
        <v>0</v>
      </c>
    </row>
    <row r="394" spans="1:15" x14ac:dyDescent="0.35">
      <c r="A394" s="503" t="s">
        <v>11423</v>
      </c>
      <c r="B394" s="504" t="s">
        <v>3128</v>
      </c>
      <c r="C394" s="504" t="s">
        <v>1094</v>
      </c>
      <c r="D394" s="504" t="s">
        <v>3380</v>
      </c>
      <c r="E394" s="504" t="s">
        <v>3381</v>
      </c>
      <c r="F394" s="504" t="s">
        <v>450</v>
      </c>
      <c r="G394" s="504" t="s">
        <v>451</v>
      </c>
      <c r="H394" s="504" t="s">
        <v>11628</v>
      </c>
      <c r="I394" s="504">
        <v>34</v>
      </c>
      <c r="J394" s="504">
        <v>14</v>
      </c>
      <c r="K394" s="504">
        <v>0</v>
      </c>
      <c r="L394" s="504">
        <v>20</v>
      </c>
      <c r="M394" s="504">
        <v>0</v>
      </c>
      <c r="N394" s="504">
        <v>2</v>
      </c>
      <c r="O394" s="505">
        <v>0</v>
      </c>
    </row>
    <row r="395" spans="1:15" x14ac:dyDescent="0.35">
      <c r="A395" s="500" t="s">
        <v>1161</v>
      </c>
      <c r="B395" s="501" t="s">
        <v>3001</v>
      </c>
      <c r="C395" s="501" t="s">
        <v>1094</v>
      </c>
      <c r="D395" s="501" t="s">
        <v>3380</v>
      </c>
      <c r="E395" s="501" t="s">
        <v>3381</v>
      </c>
      <c r="F395" s="501" t="s">
        <v>450</v>
      </c>
      <c r="G395" s="501" t="s">
        <v>451</v>
      </c>
      <c r="H395" s="501" t="s">
        <v>3713</v>
      </c>
      <c r="I395" s="501">
        <v>1</v>
      </c>
      <c r="J395" s="501">
        <v>0</v>
      </c>
      <c r="K395" s="501">
        <v>0</v>
      </c>
      <c r="L395" s="501">
        <v>0</v>
      </c>
      <c r="M395" s="501">
        <v>0</v>
      </c>
      <c r="N395" s="501">
        <v>0</v>
      </c>
      <c r="O395" s="506">
        <v>1</v>
      </c>
    </row>
    <row r="396" spans="1:15" x14ac:dyDescent="0.35">
      <c r="A396" s="503" t="s">
        <v>1971</v>
      </c>
      <c r="B396" s="504" t="s">
        <v>3337</v>
      </c>
      <c r="C396" s="504" t="s">
        <v>1094</v>
      </c>
      <c r="D396" s="504" t="s">
        <v>3380</v>
      </c>
      <c r="E396" s="504" t="s">
        <v>3381</v>
      </c>
      <c r="F396" s="504" t="s">
        <v>450</v>
      </c>
      <c r="G396" s="504" t="s">
        <v>451</v>
      </c>
      <c r="H396" s="504" t="s">
        <v>3714</v>
      </c>
      <c r="I396" s="504">
        <v>9756</v>
      </c>
      <c r="J396" s="504">
        <v>7552</v>
      </c>
      <c r="K396" s="504">
        <v>0</v>
      </c>
      <c r="L396" s="504">
        <v>152</v>
      </c>
      <c r="M396" s="504">
        <v>1705</v>
      </c>
      <c r="N396" s="504">
        <v>10</v>
      </c>
      <c r="O396" s="505">
        <v>347</v>
      </c>
    </row>
    <row r="397" spans="1:15" x14ac:dyDescent="0.35">
      <c r="A397" s="500" t="s">
        <v>1172</v>
      </c>
      <c r="B397" s="501">
        <v>4648</v>
      </c>
      <c r="C397" s="501" t="s">
        <v>1089</v>
      </c>
      <c r="D397" s="501" t="s">
        <v>3392</v>
      </c>
      <c r="E397" s="501" t="s">
        <v>3381</v>
      </c>
      <c r="F397" s="501" t="s">
        <v>450</v>
      </c>
      <c r="G397" s="501" t="s">
        <v>451</v>
      </c>
      <c r="H397" s="501" t="s">
        <v>3715</v>
      </c>
      <c r="I397" s="501">
        <v>27</v>
      </c>
      <c r="J397" s="501">
        <v>0</v>
      </c>
      <c r="K397" s="501">
        <v>0</v>
      </c>
      <c r="L397" s="501">
        <v>27</v>
      </c>
      <c r="M397" s="501">
        <v>0</v>
      </c>
      <c r="N397" s="501">
        <v>0</v>
      </c>
      <c r="O397" s="506">
        <v>0</v>
      </c>
    </row>
    <row r="398" spans="1:15" x14ac:dyDescent="0.35">
      <c r="A398" s="503" t="s">
        <v>1975</v>
      </c>
      <c r="B398" s="504" t="s">
        <v>3268</v>
      </c>
      <c r="C398" s="504" t="s">
        <v>1089</v>
      </c>
      <c r="D398" s="504" t="s">
        <v>3392</v>
      </c>
      <c r="E398" s="504" t="s">
        <v>3381</v>
      </c>
      <c r="F398" s="504" t="s">
        <v>450</v>
      </c>
      <c r="G398" s="504" t="s">
        <v>451</v>
      </c>
      <c r="H398" s="504" t="s">
        <v>3716</v>
      </c>
      <c r="I398" s="504">
        <v>13</v>
      </c>
      <c r="J398" s="504">
        <v>13</v>
      </c>
      <c r="K398" s="504">
        <v>0</v>
      </c>
      <c r="L398" s="504">
        <v>0</v>
      </c>
      <c r="M398" s="504">
        <v>0</v>
      </c>
      <c r="N398" s="504">
        <v>0</v>
      </c>
      <c r="O398" s="505">
        <v>0</v>
      </c>
    </row>
    <row r="399" spans="1:15" x14ac:dyDescent="0.35">
      <c r="A399" s="500" t="s">
        <v>1175</v>
      </c>
      <c r="B399" s="501" t="s">
        <v>3141</v>
      </c>
      <c r="C399" s="501" t="s">
        <v>1094</v>
      </c>
      <c r="D399" s="501" t="s">
        <v>3380</v>
      </c>
      <c r="E399" s="501" t="s">
        <v>3381</v>
      </c>
      <c r="F399" s="501" t="s">
        <v>450</v>
      </c>
      <c r="G399" s="501" t="s">
        <v>451</v>
      </c>
      <c r="H399" s="501" t="s">
        <v>3717</v>
      </c>
      <c r="I399" s="501">
        <v>24</v>
      </c>
      <c r="J399" s="501">
        <v>17</v>
      </c>
      <c r="K399" s="501">
        <v>0</v>
      </c>
      <c r="L399" s="501">
        <v>0</v>
      </c>
      <c r="M399" s="501">
        <v>0</v>
      </c>
      <c r="N399" s="501">
        <v>0</v>
      </c>
      <c r="O399" s="506">
        <v>7</v>
      </c>
    </row>
    <row r="400" spans="1:15" x14ac:dyDescent="0.35">
      <c r="A400" s="503" t="s">
        <v>1982</v>
      </c>
      <c r="B400" s="504" t="s">
        <v>3116</v>
      </c>
      <c r="C400" s="504" t="s">
        <v>1089</v>
      </c>
      <c r="D400" s="504" t="s">
        <v>3392</v>
      </c>
      <c r="E400" s="504" t="s">
        <v>3381</v>
      </c>
      <c r="F400" s="504" t="s">
        <v>450</v>
      </c>
      <c r="G400" s="504" t="s">
        <v>451</v>
      </c>
      <c r="H400" s="504" t="s">
        <v>3718</v>
      </c>
      <c r="I400" s="504">
        <v>6</v>
      </c>
      <c r="J400" s="504">
        <v>0</v>
      </c>
      <c r="K400" s="504">
        <v>0</v>
      </c>
      <c r="L400" s="504">
        <v>0</v>
      </c>
      <c r="M400" s="504">
        <v>6</v>
      </c>
      <c r="N400" s="504">
        <v>0</v>
      </c>
      <c r="O400" s="505">
        <v>0</v>
      </c>
    </row>
    <row r="401" spans="1:15" x14ac:dyDescent="0.35">
      <c r="A401" s="500" t="s">
        <v>14208</v>
      </c>
      <c r="B401" s="501">
        <v>4803</v>
      </c>
      <c r="C401" s="501" t="s">
        <v>1094</v>
      </c>
      <c r="D401" s="501" t="s">
        <v>3380</v>
      </c>
      <c r="E401" s="501" t="s">
        <v>3381</v>
      </c>
      <c r="F401" s="501" t="s">
        <v>450</v>
      </c>
      <c r="G401" s="501" t="s">
        <v>451</v>
      </c>
      <c r="H401" s="501" t="s">
        <v>14461</v>
      </c>
      <c r="I401" s="501">
        <v>7</v>
      </c>
      <c r="J401" s="501">
        <v>0</v>
      </c>
      <c r="K401" s="501">
        <v>0</v>
      </c>
      <c r="L401" s="501">
        <v>7</v>
      </c>
      <c r="M401" s="501">
        <v>0</v>
      </c>
      <c r="N401" s="501">
        <v>0</v>
      </c>
      <c r="O401" s="506">
        <v>0</v>
      </c>
    </row>
    <row r="402" spans="1:15" x14ac:dyDescent="0.35">
      <c r="A402" s="503" t="s">
        <v>1986</v>
      </c>
      <c r="B402" s="504" t="s">
        <v>3103</v>
      </c>
      <c r="C402" s="504" t="s">
        <v>1089</v>
      </c>
      <c r="D402" s="504" t="s">
        <v>3392</v>
      </c>
      <c r="E402" s="504" t="s">
        <v>3381</v>
      </c>
      <c r="F402" s="504" t="s">
        <v>450</v>
      </c>
      <c r="G402" s="504" t="s">
        <v>451</v>
      </c>
      <c r="H402" s="504" t="s">
        <v>3719</v>
      </c>
      <c r="I402" s="504">
        <v>143</v>
      </c>
      <c r="J402" s="504">
        <v>36</v>
      </c>
      <c r="K402" s="504">
        <v>0</v>
      </c>
      <c r="L402" s="504">
        <v>0</v>
      </c>
      <c r="M402" s="504">
        <v>107</v>
      </c>
      <c r="N402" s="504">
        <v>0</v>
      </c>
      <c r="O402" s="505">
        <v>0</v>
      </c>
    </row>
    <row r="403" spans="1:15" x14ac:dyDescent="0.35">
      <c r="A403" s="500" t="s">
        <v>1105</v>
      </c>
      <c r="B403" s="501">
        <v>4668</v>
      </c>
      <c r="C403" s="501" t="s">
        <v>1094</v>
      </c>
      <c r="D403" s="501" t="s">
        <v>3380</v>
      </c>
      <c r="E403" s="501" t="s">
        <v>3381</v>
      </c>
      <c r="F403" s="501" t="s">
        <v>450</v>
      </c>
      <c r="G403" s="501" t="s">
        <v>451</v>
      </c>
      <c r="H403" s="501" t="s">
        <v>3720</v>
      </c>
      <c r="I403" s="501">
        <v>23</v>
      </c>
      <c r="J403" s="501">
        <v>0</v>
      </c>
      <c r="K403" s="501">
        <v>0</v>
      </c>
      <c r="L403" s="501">
        <v>0</v>
      </c>
      <c r="M403" s="501">
        <v>0</v>
      </c>
      <c r="N403" s="501">
        <v>0</v>
      </c>
      <c r="O403" s="506">
        <v>23</v>
      </c>
    </row>
    <row r="404" spans="1:15" x14ac:dyDescent="0.35">
      <c r="A404" s="503" t="s">
        <v>1107</v>
      </c>
      <c r="B404" s="504" t="s">
        <v>3109</v>
      </c>
      <c r="C404" s="504" t="s">
        <v>1094</v>
      </c>
      <c r="D404" s="504" t="s">
        <v>3380</v>
      </c>
      <c r="E404" s="504" t="s">
        <v>3381</v>
      </c>
      <c r="F404" s="504" t="s">
        <v>450</v>
      </c>
      <c r="G404" s="504" t="s">
        <v>451</v>
      </c>
      <c r="H404" s="504" t="s">
        <v>3721</v>
      </c>
      <c r="I404" s="504">
        <v>19</v>
      </c>
      <c r="J404" s="504">
        <v>0</v>
      </c>
      <c r="K404" s="504">
        <v>0</v>
      </c>
      <c r="L404" s="504">
        <v>19</v>
      </c>
      <c r="M404" s="504">
        <v>0</v>
      </c>
      <c r="N404" s="504">
        <v>0</v>
      </c>
      <c r="O404" s="505">
        <v>0</v>
      </c>
    </row>
    <row r="405" spans="1:15" x14ac:dyDescent="0.35">
      <c r="A405" s="500" t="s">
        <v>1988</v>
      </c>
      <c r="B405" s="501" t="s">
        <v>3229</v>
      </c>
      <c r="C405" s="501" t="s">
        <v>1089</v>
      </c>
      <c r="D405" s="501" t="s">
        <v>3392</v>
      </c>
      <c r="E405" s="501" t="s">
        <v>3381</v>
      </c>
      <c r="F405" s="501" t="s">
        <v>450</v>
      </c>
      <c r="G405" s="501" t="s">
        <v>451</v>
      </c>
      <c r="H405" s="501" t="s">
        <v>3722</v>
      </c>
      <c r="I405" s="501">
        <v>15</v>
      </c>
      <c r="J405" s="501">
        <v>0</v>
      </c>
      <c r="K405" s="501">
        <v>0</v>
      </c>
      <c r="L405" s="501">
        <v>15</v>
      </c>
      <c r="M405" s="501">
        <v>0</v>
      </c>
      <c r="N405" s="501">
        <v>0</v>
      </c>
      <c r="O405" s="506">
        <v>0</v>
      </c>
    </row>
    <row r="406" spans="1:15" x14ac:dyDescent="0.35">
      <c r="A406" s="503" t="s">
        <v>1111</v>
      </c>
      <c r="B406" s="504">
        <v>4873</v>
      </c>
      <c r="C406" s="504" t="s">
        <v>1094</v>
      </c>
      <c r="D406" s="504" t="s">
        <v>3380</v>
      </c>
      <c r="E406" s="504" t="s">
        <v>3381</v>
      </c>
      <c r="F406" s="504" t="s">
        <v>450</v>
      </c>
      <c r="G406" s="504" t="s">
        <v>451</v>
      </c>
      <c r="H406" s="504" t="s">
        <v>3723</v>
      </c>
      <c r="I406" s="504">
        <v>928</v>
      </c>
      <c r="J406" s="504">
        <v>724</v>
      </c>
      <c r="K406" s="504">
        <v>0</v>
      </c>
      <c r="L406" s="504">
        <v>60</v>
      </c>
      <c r="M406" s="504">
        <v>48</v>
      </c>
      <c r="N406" s="504">
        <v>0</v>
      </c>
      <c r="O406" s="505">
        <v>96</v>
      </c>
    </row>
    <row r="407" spans="1:15" x14ac:dyDescent="0.35">
      <c r="A407" s="500" t="s">
        <v>1994</v>
      </c>
      <c r="B407" s="501" t="s">
        <v>3206</v>
      </c>
      <c r="C407" s="501" t="s">
        <v>1094</v>
      </c>
      <c r="D407" s="501" t="s">
        <v>3380</v>
      </c>
      <c r="E407" s="501" t="s">
        <v>3381</v>
      </c>
      <c r="F407" s="501" t="s">
        <v>450</v>
      </c>
      <c r="G407" s="501" t="s">
        <v>451</v>
      </c>
      <c r="H407" s="501" t="s">
        <v>3724</v>
      </c>
      <c r="I407" s="501">
        <v>145</v>
      </c>
      <c r="J407" s="501">
        <v>111</v>
      </c>
      <c r="K407" s="501">
        <v>0</v>
      </c>
      <c r="L407" s="501">
        <v>0</v>
      </c>
      <c r="M407" s="501">
        <v>0</v>
      </c>
      <c r="N407" s="501">
        <v>0</v>
      </c>
      <c r="O407" s="506">
        <v>34</v>
      </c>
    </row>
    <row r="408" spans="1:15" x14ac:dyDescent="0.35">
      <c r="A408" s="503" t="s">
        <v>1497</v>
      </c>
      <c r="B408" s="504" t="s">
        <v>3290</v>
      </c>
      <c r="C408" s="504" t="s">
        <v>1089</v>
      </c>
      <c r="D408" s="504" t="s">
        <v>3392</v>
      </c>
      <c r="E408" s="504" t="s">
        <v>3381</v>
      </c>
      <c r="F408" s="504" t="s">
        <v>450</v>
      </c>
      <c r="G408" s="504" t="s">
        <v>451</v>
      </c>
      <c r="H408" s="504" t="s">
        <v>3725</v>
      </c>
      <c r="I408" s="504">
        <v>37</v>
      </c>
      <c r="J408" s="504">
        <v>0</v>
      </c>
      <c r="K408" s="504">
        <v>0</v>
      </c>
      <c r="L408" s="504">
        <v>0</v>
      </c>
      <c r="M408" s="504">
        <v>37</v>
      </c>
      <c r="N408" s="504">
        <v>0</v>
      </c>
      <c r="O408" s="505">
        <v>0</v>
      </c>
    </row>
    <row r="409" spans="1:15" x14ac:dyDescent="0.35">
      <c r="A409" s="500" t="s">
        <v>1998</v>
      </c>
      <c r="B409" s="501" t="s">
        <v>3200</v>
      </c>
      <c r="C409" s="501" t="s">
        <v>1094</v>
      </c>
      <c r="D409" s="501" t="s">
        <v>3380</v>
      </c>
      <c r="E409" s="501" t="s">
        <v>3381</v>
      </c>
      <c r="F409" s="501" t="s">
        <v>450</v>
      </c>
      <c r="G409" s="501" t="s">
        <v>451</v>
      </c>
      <c r="H409" s="501" t="s">
        <v>3726</v>
      </c>
      <c r="I409" s="501">
        <v>49</v>
      </c>
      <c r="J409" s="501">
        <v>32</v>
      </c>
      <c r="K409" s="501">
        <v>0</v>
      </c>
      <c r="L409" s="501">
        <v>0</v>
      </c>
      <c r="M409" s="501">
        <v>0</v>
      </c>
      <c r="N409" s="501">
        <v>0</v>
      </c>
      <c r="O409" s="506">
        <v>17</v>
      </c>
    </row>
    <row r="410" spans="1:15" x14ac:dyDescent="0.35">
      <c r="A410" s="503" t="s">
        <v>1122</v>
      </c>
      <c r="B410" s="504" t="s">
        <v>2994</v>
      </c>
      <c r="C410" s="504" t="s">
        <v>1094</v>
      </c>
      <c r="D410" s="504" t="s">
        <v>3380</v>
      </c>
      <c r="E410" s="504" t="s">
        <v>3381</v>
      </c>
      <c r="F410" s="504" t="s">
        <v>450</v>
      </c>
      <c r="G410" s="504" t="s">
        <v>451</v>
      </c>
      <c r="H410" s="504" t="s">
        <v>3727</v>
      </c>
      <c r="I410" s="504">
        <v>1</v>
      </c>
      <c r="J410" s="504">
        <v>1</v>
      </c>
      <c r="K410" s="504">
        <v>0</v>
      </c>
      <c r="L410" s="504">
        <v>0</v>
      </c>
      <c r="M410" s="504">
        <v>0</v>
      </c>
      <c r="N410" s="504">
        <v>0</v>
      </c>
      <c r="O410" s="505">
        <v>0</v>
      </c>
    </row>
    <row r="411" spans="1:15" x14ac:dyDescent="0.35">
      <c r="A411" s="500" t="s">
        <v>1225</v>
      </c>
      <c r="B411" s="501" t="s">
        <v>3315</v>
      </c>
      <c r="C411" s="501" t="s">
        <v>1094</v>
      </c>
      <c r="D411" s="501" t="s">
        <v>3380</v>
      </c>
      <c r="E411" s="501" t="s">
        <v>3381</v>
      </c>
      <c r="F411" s="501" t="s">
        <v>450</v>
      </c>
      <c r="G411" s="501" t="s">
        <v>451</v>
      </c>
      <c r="H411" s="501" t="s">
        <v>3728</v>
      </c>
      <c r="I411" s="501">
        <v>82</v>
      </c>
      <c r="J411" s="501">
        <v>39</v>
      </c>
      <c r="K411" s="501">
        <v>0</v>
      </c>
      <c r="L411" s="501">
        <v>41</v>
      </c>
      <c r="M411" s="501">
        <v>2</v>
      </c>
      <c r="N411" s="501">
        <v>0</v>
      </c>
      <c r="O411" s="506">
        <v>0</v>
      </c>
    </row>
    <row r="412" spans="1:15" x14ac:dyDescent="0.35">
      <c r="A412" s="503" t="s">
        <v>1124</v>
      </c>
      <c r="B412" s="504">
        <v>4745</v>
      </c>
      <c r="C412" s="504" t="s">
        <v>1094</v>
      </c>
      <c r="D412" s="504" t="s">
        <v>3380</v>
      </c>
      <c r="E412" s="504" t="s">
        <v>3381</v>
      </c>
      <c r="F412" s="504" t="s">
        <v>450</v>
      </c>
      <c r="G412" s="504" t="s">
        <v>451</v>
      </c>
      <c r="H412" s="504" t="s">
        <v>3729</v>
      </c>
      <c r="I412" s="504">
        <v>2</v>
      </c>
      <c r="J412" s="504">
        <v>0</v>
      </c>
      <c r="K412" s="504">
        <v>0</v>
      </c>
      <c r="L412" s="504">
        <v>2</v>
      </c>
      <c r="M412" s="504">
        <v>0</v>
      </c>
      <c r="N412" s="504">
        <v>0</v>
      </c>
      <c r="O412" s="505">
        <v>0</v>
      </c>
    </row>
    <row r="413" spans="1:15" x14ac:dyDescent="0.35">
      <c r="A413" s="500" t="s">
        <v>1126</v>
      </c>
      <c r="B413" s="501" t="s">
        <v>2974</v>
      </c>
      <c r="C413" s="501" t="s">
        <v>1094</v>
      </c>
      <c r="D413" s="501" t="s">
        <v>3380</v>
      </c>
      <c r="E413" s="501" t="s">
        <v>3381</v>
      </c>
      <c r="F413" s="501" t="s">
        <v>450</v>
      </c>
      <c r="G413" s="501" t="s">
        <v>451</v>
      </c>
      <c r="H413" s="501" t="s">
        <v>3730</v>
      </c>
      <c r="I413" s="501">
        <v>92</v>
      </c>
      <c r="J413" s="501">
        <v>70</v>
      </c>
      <c r="K413" s="501">
        <v>0</v>
      </c>
      <c r="L413" s="501">
        <v>13</v>
      </c>
      <c r="M413" s="501">
        <v>9</v>
      </c>
      <c r="N413" s="501">
        <v>0</v>
      </c>
      <c r="O413" s="506">
        <v>0</v>
      </c>
    </row>
    <row r="414" spans="1:15" x14ac:dyDescent="0.35">
      <c r="A414" s="503" t="s">
        <v>2010</v>
      </c>
      <c r="B414" s="504" t="s">
        <v>3327</v>
      </c>
      <c r="C414" s="504" t="s">
        <v>1094</v>
      </c>
      <c r="D414" s="504" t="s">
        <v>3380</v>
      </c>
      <c r="E414" s="504" t="s">
        <v>3381</v>
      </c>
      <c r="F414" s="504" t="s">
        <v>450</v>
      </c>
      <c r="G414" s="504" t="s">
        <v>451</v>
      </c>
      <c r="H414" s="504" t="s">
        <v>3731</v>
      </c>
      <c r="I414" s="504">
        <v>108</v>
      </c>
      <c r="J414" s="504">
        <v>79</v>
      </c>
      <c r="K414" s="504">
        <v>0</v>
      </c>
      <c r="L414" s="504">
        <v>0</v>
      </c>
      <c r="M414" s="504">
        <v>0</v>
      </c>
      <c r="N414" s="504">
        <v>0</v>
      </c>
      <c r="O414" s="505">
        <v>29</v>
      </c>
    </row>
    <row r="415" spans="1:15" x14ac:dyDescent="0.35">
      <c r="A415" s="500" t="s">
        <v>1342</v>
      </c>
      <c r="B415" s="501" t="s">
        <v>3237</v>
      </c>
      <c r="C415" s="501" t="s">
        <v>1094</v>
      </c>
      <c r="D415" s="501" t="s">
        <v>3380</v>
      </c>
      <c r="E415" s="501" t="s">
        <v>3381</v>
      </c>
      <c r="F415" s="501" t="s">
        <v>450</v>
      </c>
      <c r="G415" s="501" t="s">
        <v>451</v>
      </c>
      <c r="H415" s="501" t="s">
        <v>3732</v>
      </c>
      <c r="I415" s="501">
        <v>1</v>
      </c>
      <c r="J415" s="501">
        <v>0</v>
      </c>
      <c r="K415" s="501">
        <v>0</v>
      </c>
      <c r="L415" s="501">
        <v>0</v>
      </c>
      <c r="M415" s="501">
        <v>0</v>
      </c>
      <c r="N415" s="501">
        <v>0</v>
      </c>
      <c r="O415" s="506">
        <v>1</v>
      </c>
    </row>
    <row r="416" spans="1:15" x14ac:dyDescent="0.35">
      <c r="A416" s="503" t="s">
        <v>1132</v>
      </c>
      <c r="B416" s="504">
        <v>4837</v>
      </c>
      <c r="C416" s="504" t="s">
        <v>1094</v>
      </c>
      <c r="D416" s="504" t="s">
        <v>3380</v>
      </c>
      <c r="E416" s="504" t="s">
        <v>3381</v>
      </c>
      <c r="F416" s="504" t="s">
        <v>450</v>
      </c>
      <c r="G416" s="504" t="s">
        <v>451</v>
      </c>
      <c r="H416" s="504" t="s">
        <v>3733</v>
      </c>
      <c r="I416" s="504">
        <v>327</v>
      </c>
      <c r="J416" s="504">
        <v>260</v>
      </c>
      <c r="K416" s="504">
        <v>0</v>
      </c>
      <c r="L416" s="504">
        <v>0</v>
      </c>
      <c r="M416" s="504">
        <v>0</v>
      </c>
      <c r="N416" s="504">
        <v>0</v>
      </c>
      <c r="O416" s="505">
        <v>67</v>
      </c>
    </row>
    <row r="417" spans="1:15" x14ac:dyDescent="0.35">
      <c r="A417" s="500" t="s">
        <v>1249</v>
      </c>
      <c r="B417" s="501">
        <v>4729</v>
      </c>
      <c r="C417" s="501" t="s">
        <v>1094</v>
      </c>
      <c r="D417" s="501" t="s">
        <v>3380</v>
      </c>
      <c r="E417" s="501" t="s">
        <v>3381</v>
      </c>
      <c r="F417" s="501" t="s">
        <v>450</v>
      </c>
      <c r="G417" s="501" t="s">
        <v>451</v>
      </c>
      <c r="H417" s="501" t="s">
        <v>3734</v>
      </c>
      <c r="I417" s="501">
        <v>305</v>
      </c>
      <c r="J417" s="501">
        <v>179</v>
      </c>
      <c r="K417" s="501">
        <v>0</v>
      </c>
      <c r="L417" s="501">
        <v>0</v>
      </c>
      <c r="M417" s="501">
        <v>107</v>
      </c>
      <c r="N417" s="501">
        <v>0</v>
      </c>
      <c r="O417" s="506">
        <v>19</v>
      </c>
    </row>
    <row r="418" spans="1:15" x14ac:dyDescent="0.35">
      <c r="A418" s="503" t="s">
        <v>1253</v>
      </c>
      <c r="B418" s="504" t="s">
        <v>3232</v>
      </c>
      <c r="C418" s="504" t="s">
        <v>1094</v>
      </c>
      <c r="D418" s="504" t="s">
        <v>3380</v>
      </c>
      <c r="E418" s="504" t="s">
        <v>3381</v>
      </c>
      <c r="F418" s="504" t="s">
        <v>450</v>
      </c>
      <c r="G418" s="504" t="s">
        <v>451</v>
      </c>
      <c r="H418" s="504" t="s">
        <v>3735</v>
      </c>
      <c r="I418" s="504">
        <v>19</v>
      </c>
      <c r="J418" s="504">
        <v>0</v>
      </c>
      <c r="K418" s="504">
        <v>0</v>
      </c>
      <c r="L418" s="504">
        <v>11</v>
      </c>
      <c r="M418" s="504">
        <v>8</v>
      </c>
      <c r="N418" s="504">
        <v>0</v>
      </c>
      <c r="O418" s="505">
        <v>0</v>
      </c>
    </row>
    <row r="419" spans="1:15" x14ac:dyDescent="0.35">
      <c r="A419" s="500" t="s">
        <v>2051</v>
      </c>
      <c r="B419" s="501" t="s">
        <v>3115</v>
      </c>
      <c r="C419" s="501" t="s">
        <v>1089</v>
      </c>
      <c r="D419" s="501" t="s">
        <v>3392</v>
      </c>
      <c r="E419" s="501" t="s">
        <v>3381</v>
      </c>
      <c r="F419" s="501" t="s">
        <v>450</v>
      </c>
      <c r="G419" s="501" t="s">
        <v>451</v>
      </c>
      <c r="H419" s="501" t="s">
        <v>3736</v>
      </c>
      <c r="I419" s="501">
        <v>17</v>
      </c>
      <c r="J419" s="501">
        <v>17</v>
      </c>
      <c r="K419" s="501">
        <v>0</v>
      </c>
      <c r="L419" s="501">
        <v>0</v>
      </c>
      <c r="M419" s="501">
        <v>0</v>
      </c>
      <c r="N419" s="501">
        <v>0</v>
      </c>
      <c r="O419" s="506">
        <v>0</v>
      </c>
    </row>
    <row r="420" spans="1:15" x14ac:dyDescent="0.35">
      <c r="A420" s="503" t="s">
        <v>1143</v>
      </c>
      <c r="B420" s="504" t="s">
        <v>3281</v>
      </c>
      <c r="C420" s="504" t="s">
        <v>1094</v>
      </c>
      <c r="D420" s="504" t="s">
        <v>3380</v>
      </c>
      <c r="E420" s="504" t="s">
        <v>3381</v>
      </c>
      <c r="F420" s="504" t="s">
        <v>452</v>
      </c>
      <c r="G420" s="504" t="s">
        <v>453</v>
      </c>
      <c r="H420" s="504" t="s">
        <v>3737</v>
      </c>
      <c r="I420" s="504">
        <v>46</v>
      </c>
      <c r="J420" s="504">
        <v>0</v>
      </c>
      <c r="K420" s="504">
        <v>0</v>
      </c>
      <c r="L420" s="504">
        <v>0</v>
      </c>
      <c r="M420" s="504">
        <v>0</v>
      </c>
      <c r="N420" s="504">
        <v>0</v>
      </c>
      <c r="O420" s="505">
        <v>46</v>
      </c>
    </row>
    <row r="421" spans="1:15" x14ac:dyDescent="0.35">
      <c r="A421" s="500" t="s">
        <v>1096</v>
      </c>
      <c r="B421" s="501" t="s">
        <v>3326</v>
      </c>
      <c r="C421" s="501" t="s">
        <v>1094</v>
      </c>
      <c r="D421" s="501" t="s">
        <v>3380</v>
      </c>
      <c r="E421" s="501" t="s">
        <v>3381</v>
      </c>
      <c r="F421" s="501" t="s">
        <v>452</v>
      </c>
      <c r="G421" s="501" t="s">
        <v>453</v>
      </c>
      <c r="H421" s="501" t="s">
        <v>3738</v>
      </c>
      <c r="I421" s="501">
        <v>144</v>
      </c>
      <c r="J421" s="501">
        <v>0</v>
      </c>
      <c r="K421" s="501">
        <v>0</v>
      </c>
      <c r="L421" s="501">
        <v>0</v>
      </c>
      <c r="M421" s="501">
        <v>144</v>
      </c>
      <c r="N421" s="501">
        <v>0</v>
      </c>
      <c r="O421" s="506">
        <v>0</v>
      </c>
    </row>
    <row r="422" spans="1:15" x14ac:dyDescent="0.35">
      <c r="A422" s="503" t="s">
        <v>1275</v>
      </c>
      <c r="B422" s="504" t="s">
        <v>3278</v>
      </c>
      <c r="C422" s="504" t="s">
        <v>1089</v>
      </c>
      <c r="D422" s="504" t="s">
        <v>3392</v>
      </c>
      <c r="E422" s="504" t="s">
        <v>3381</v>
      </c>
      <c r="F422" s="504" t="s">
        <v>452</v>
      </c>
      <c r="G422" s="504" t="s">
        <v>453</v>
      </c>
      <c r="H422" s="504" t="s">
        <v>3739</v>
      </c>
      <c r="I422" s="504">
        <v>166</v>
      </c>
      <c r="J422" s="504">
        <v>63</v>
      </c>
      <c r="K422" s="504">
        <v>0</v>
      </c>
      <c r="L422" s="504">
        <v>0</v>
      </c>
      <c r="M422" s="504">
        <v>103</v>
      </c>
      <c r="N422" s="504">
        <v>0</v>
      </c>
      <c r="O422" s="505">
        <v>0</v>
      </c>
    </row>
    <row r="423" spans="1:15" x14ac:dyDescent="0.35">
      <c r="A423" s="500" t="s">
        <v>11363</v>
      </c>
      <c r="B423" s="501">
        <v>4718</v>
      </c>
      <c r="C423" s="501" t="s">
        <v>1094</v>
      </c>
      <c r="D423" s="501" t="s">
        <v>3380</v>
      </c>
      <c r="E423" s="501" t="s">
        <v>3381</v>
      </c>
      <c r="F423" s="501" t="s">
        <v>452</v>
      </c>
      <c r="G423" s="501" t="s">
        <v>453</v>
      </c>
      <c r="H423" s="501" t="s">
        <v>11515</v>
      </c>
      <c r="I423" s="501">
        <v>7</v>
      </c>
      <c r="J423" s="501">
        <v>0</v>
      </c>
      <c r="K423" s="501">
        <v>0</v>
      </c>
      <c r="L423" s="501">
        <v>7</v>
      </c>
      <c r="M423" s="501">
        <v>0</v>
      </c>
      <c r="N423" s="501">
        <v>0</v>
      </c>
      <c r="O423" s="506">
        <v>0</v>
      </c>
    </row>
    <row r="424" spans="1:15" x14ac:dyDescent="0.35">
      <c r="A424" s="503" t="s">
        <v>1161</v>
      </c>
      <c r="B424" s="504" t="s">
        <v>3001</v>
      </c>
      <c r="C424" s="504" t="s">
        <v>1094</v>
      </c>
      <c r="D424" s="504" t="s">
        <v>3380</v>
      </c>
      <c r="E424" s="504" t="s">
        <v>3381</v>
      </c>
      <c r="F424" s="504" t="s">
        <v>452</v>
      </c>
      <c r="G424" s="504" t="s">
        <v>453</v>
      </c>
      <c r="H424" s="504" t="s">
        <v>3741</v>
      </c>
      <c r="I424" s="504">
        <v>930</v>
      </c>
      <c r="J424" s="504">
        <v>656</v>
      </c>
      <c r="K424" s="504">
        <v>0</v>
      </c>
      <c r="L424" s="504">
        <v>42</v>
      </c>
      <c r="M424" s="504">
        <v>59</v>
      </c>
      <c r="N424" s="504">
        <v>0</v>
      </c>
      <c r="O424" s="505">
        <v>173</v>
      </c>
    </row>
    <row r="425" spans="1:15" x14ac:dyDescent="0.35">
      <c r="A425" s="500" t="s">
        <v>1100</v>
      </c>
      <c r="B425" s="501">
        <v>4865</v>
      </c>
      <c r="C425" s="501" t="s">
        <v>1094</v>
      </c>
      <c r="D425" s="501" t="s">
        <v>3380</v>
      </c>
      <c r="E425" s="501" t="s">
        <v>3381</v>
      </c>
      <c r="F425" s="501" t="s">
        <v>452</v>
      </c>
      <c r="G425" s="501" t="s">
        <v>453</v>
      </c>
      <c r="H425" s="501" t="s">
        <v>3742</v>
      </c>
      <c r="I425" s="501">
        <v>167</v>
      </c>
      <c r="J425" s="501">
        <v>166</v>
      </c>
      <c r="K425" s="501">
        <v>0</v>
      </c>
      <c r="L425" s="501">
        <v>0</v>
      </c>
      <c r="M425" s="501">
        <v>0</v>
      </c>
      <c r="N425" s="501">
        <v>0</v>
      </c>
      <c r="O425" s="506">
        <v>1</v>
      </c>
    </row>
    <row r="426" spans="1:15" x14ac:dyDescent="0.35">
      <c r="A426" s="503" t="s">
        <v>1168</v>
      </c>
      <c r="B426" s="504" t="s">
        <v>3360</v>
      </c>
      <c r="C426" s="504" t="s">
        <v>1094</v>
      </c>
      <c r="D426" s="504" t="s">
        <v>3380</v>
      </c>
      <c r="E426" s="504" t="s">
        <v>3381</v>
      </c>
      <c r="F426" s="504" t="s">
        <v>452</v>
      </c>
      <c r="G426" s="504" t="s">
        <v>453</v>
      </c>
      <c r="H426" s="504" t="s">
        <v>3743</v>
      </c>
      <c r="I426" s="504">
        <v>242</v>
      </c>
      <c r="J426" s="504">
        <v>160</v>
      </c>
      <c r="K426" s="504">
        <v>0</v>
      </c>
      <c r="L426" s="504">
        <v>0</v>
      </c>
      <c r="M426" s="504">
        <v>0</v>
      </c>
      <c r="N426" s="504">
        <v>0</v>
      </c>
      <c r="O426" s="505">
        <v>82</v>
      </c>
    </row>
    <row r="427" spans="1:15" x14ac:dyDescent="0.35">
      <c r="A427" s="500" t="s">
        <v>1172</v>
      </c>
      <c r="B427" s="501">
        <v>4648</v>
      </c>
      <c r="C427" s="501" t="s">
        <v>1089</v>
      </c>
      <c r="D427" s="501" t="s">
        <v>3392</v>
      </c>
      <c r="E427" s="501" t="s">
        <v>3381</v>
      </c>
      <c r="F427" s="501" t="s">
        <v>452</v>
      </c>
      <c r="G427" s="501" t="s">
        <v>453</v>
      </c>
      <c r="H427" s="501" t="s">
        <v>3744</v>
      </c>
      <c r="I427" s="501">
        <v>23</v>
      </c>
      <c r="J427" s="501">
        <v>0</v>
      </c>
      <c r="K427" s="501">
        <v>0</v>
      </c>
      <c r="L427" s="501">
        <v>23</v>
      </c>
      <c r="M427" s="501">
        <v>0</v>
      </c>
      <c r="N427" s="501">
        <v>0</v>
      </c>
      <c r="O427" s="506">
        <v>0</v>
      </c>
    </row>
    <row r="428" spans="1:15" x14ac:dyDescent="0.35">
      <c r="A428" s="503" t="s">
        <v>14208</v>
      </c>
      <c r="B428" s="504">
        <v>4803</v>
      </c>
      <c r="C428" s="504" t="s">
        <v>1094</v>
      </c>
      <c r="D428" s="504" t="s">
        <v>3380</v>
      </c>
      <c r="E428" s="504" t="s">
        <v>3381</v>
      </c>
      <c r="F428" s="504" t="s">
        <v>452</v>
      </c>
      <c r="G428" s="504" t="s">
        <v>453</v>
      </c>
      <c r="H428" s="504" t="s">
        <v>14462</v>
      </c>
      <c r="I428" s="504">
        <v>14</v>
      </c>
      <c r="J428" s="504">
        <v>0</v>
      </c>
      <c r="K428" s="504">
        <v>0</v>
      </c>
      <c r="L428" s="504">
        <v>14</v>
      </c>
      <c r="M428" s="504">
        <v>0</v>
      </c>
      <c r="N428" s="504">
        <v>0</v>
      </c>
      <c r="O428" s="505">
        <v>0</v>
      </c>
    </row>
    <row r="429" spans="1:15" x14ac:dyDescent="0.35">
      <c r="A429" s="500" t="s">
        <v>1182</v>
      </c>
      <c r="B429" s="501">
        <v>5060</v>
      </c>
      <c r="C429" s="501" t="s">
        <v>1094</v>
      </c>
      <c r="D429" s="501" t="s">
        <v>3380</v>
      </c>
      <c r="E429" s="501" t="s">
        <v>3381</v>
      </c>
      <c r="F429" s="501" t="s">
        <v>452</v>
      </c>
      <c r="G429" s="501" t="s">
        <v>453</v>
      </c>
      <c r="H429" s="501" t="s">
        <v>3745</v>
      </c>
      <c r="I429" s="501">
        <v>211</v>
      </c>
      <c r="J429" s="501">
        <v>77</v>
      </c>
      <c r="K429" s="501">
        <v>0</v>
      </c>
      <c r="L429" s="501">
        <v>56</v>
      </c>
      <c r="M429" s="501">
        <v>0</v>
      </c>
      <c r="N429" s="501">
        <v>0</v>
      </c>
      <c r="O429" s="506">
        <v>78</v>
      </c>
    </row>
    <row r="430" spans="1:15" x14ac:dyDescent="0.35">
      <c r="A430" s="503" t="s">
        <v>1187</v>
      </c>
      <c r="B430" s="504" t="s">
        <v>2951</v>
      </c>
      <c r="C430" s="504" t="s">
        <v>1094</v>
      </c>
      <c r="D430" s="504" t="s">
        <v>3380</v>
      </c>
      <c r="E430" s="504" t="s">
        <v>3381</v>
      </c>
      <c r="F430" s="504" t="s">
        <v>452</v>
      </c>
      <c r="G430" s="504" t="s">
        <v>453</v>
      </c>
      <c r="H430" s="504" t="s">
        <v>3746</v>
      </c>
      <c r="I430" s="504">
        <v>58</v>
      </c>
      <c r="J430" s="504">
        <v>53</v>
      </c>
      <c r="K430" s="504">
        <v>0</v>
      </c>
      <c r="L430" s="504">
        <v>0</v>
      </c>
      <c r="M430" s="504">
        <v>0</v>
      </c>
      <c r="N430" s="504">
        <v>0</v>
      </c>
      <c r="O430" s="505">
        <v>5</v>
      </c>
    </row>
    <row r="431" spans="1:15" x14ac:dyDescent="0.35">
      <c r="A431" s="500" t="s">
        <v>1105</v>
      </c>
      <c r="B431" s="501">
        <v>4668</v>
      </c>
      <c r="C431" s="501" t="s">
        <v>1094</v>
      </c>
      <c r="D431" s="501" t="s">
        <v>3380</v>
      </c>
      <c r="E431" s="501" t="s">
        <v>3381</v>
      </c>
      <c r="F431" s="501" t="s">
        <v>452</v>
      </c>
      <c r="G431" s="501" t="s">
        <v>453</v>
      </c>
      <c r="H431" s="501" t="s">
        <v>3747</v>
      </c>
      <c r="I431" s="501">
        <v>40</v>
      </c>
      <c r="J431" s="501">
        <v>0</v>
      </c>
      <c r="K431" s="501">
        <v>0</v>
      </c>
      <c r="L431" s="501">
        <v>0</v>
      </c>
      <c r="M431" s="501">
        <v>0</v>
      </c>
      <c r="N431" s="501">
        <v>0</v>
      </c>
      <c r="O431" s="506">
        <v>40</v>
      </c>
    </row>
    <row r="432" spans="1:15" x14ac:dyDescent="0.35">
      <c r="A432" s="503" t="s">
        <v>1109</v>
      </c>
      <c r="B432" s="504" t="s">
        <v>2959</v>
      </c>
      <c r="C432" s="504" t="s">
        <v>1094</v>
      </c>
      <c r="D432" s="504" t="s">
        <v>3380</v>
      </c>
      <c r="E432" s="504" t="s">
        <v>3381</v>
      </c>
      <c r="F432" s="504" t="s">
        <v>452</v>
      </c>
      <c r="G432" s="504" t="s">
        <v>453</v>
      </c>
      <c r="H432" s="504" t="s">
        <v>3748</v>
      </c>
      <c r="I432" s="504">
        <v>62</v>
      </c>
      <c r="J432" s="504">
        <v>0</v>
      </c>
      <c r="K432" s="504">
        <v>0</v>
      </c>
      <c r="L432" s="504">
        <v>0</v>
      </c>
      <c r="M432" s="504">
        <v>62</v>
      </c>
      <c r="N432" s="504">
        <v>0</v>
      </c>
      <c r="O432" s="505">
        <v>0</v>
      </c>
    </row>
    <row r="433" spans="1:15" x14ac:dyDescent="0.35">
      <c r="A433" s="500" t="s">
        <v>11373</v>
      </c>
      <c r="B433" s="501" t="s">
        <v>2926</v>
      </c>
      <c r="C433" s="501" t="s">
        <v>1089</v>
      </c>
      <c r="D433" s="501" t="s">
        <v>3392</v>
      </c>
      <c r="E433" s="501" t="s">
        <v>3381</v>
      </c>
      <c r="F433" s="501" t="s">
        <v>452</v>
      </c>
      <c r="G433" s="501" t="s">
        <v>453</v>
      </c>
      <c r="H433" s="501" t="s">
        <v>11762</v>
      </c>
      <c r="I433" s="501">
        <v>51</v>
      </c>
      <c r="J433" s="501">
        <v>0</v>
      </c>
      <c r="K433" s="501">
        <v>0</v>
      </c>
      <c r="L433" s="501">
        <v>51</v>
      </c>
      <c r="M433" s="501">
        <v>0</v>
      </c>
      <c r="N433" s="501">
        <v>0</v>
      </c>
      <c r="O433" s="506">
        <v>0</v>
      </c>
    </row>
    <row r="434" spans="1:15" x14ac:dyDescent="0.35">
      <c r="A434" s="503" t="s">
        <v>1190</v>
      </c>
      <c r="B434" s="504">
        <v>4662</v>
      </c>
      <c r="C434" s="504" t="s">
        <v>1094</v>
      </c>
      <c r="D434" s="504" t="s">
        <v>3380</v>
      </c>
      <c r="E434" s="504" t="s">
        <v>3381</v>
      </c>
      <c r="F434" s="504" t="s">
        <v>452</v>
      </c>
      <c r="G434" s="504" t="s">
        <v>453</v>
      </c>
      <c r="H434" s="504" t="s">
        <v>3749</v>
      </c>
      <c r="I434" s="504">
        <v>16</v>
      </c>
      <c r="J434" s="504">
        <v>0</v>
      </c>
      <c r="K434" s="504">
        <v>0</v>
      </c>
      <c r="L434" s="504">
        <v>16</v>
      </c>
      <c r="M434" s="504">
        <v>0</v>
      </c>
      <c r="N434" s="504">
        <v>0</v>
      </c>
      <c r="O434" s="505">
        <v>0</v>
      </c>
    </row>
    <row r="435" spans="1:15" x14ac:dyDescent="0.35">
      <c r="A435" s="500" t="s">
        <v>1195</v>
      </c>
      <c r="B435" s="501">
        <v>4693</v>
      </c>
      <c r="C435" s="501" t="s">
        <v>1089</v>
      </c>
      <c r="D435" s="501" t="s">
        <v>3392</v>
      </c>
      <c r="E435" s="501" t="s">
        <v>3381</v>
      </c>
      <c r="F435" s="501" t="s">
        <v>452</v>
      </c>
      <c r="G435" s="501" t="s">
        <v>453</v>
      </c>
      <c r="H435" s="501" t="s">
        <v>3750</v>
      </c>
      <c r="I435" s="501">
        <v>13</v>
      </c>
      <c r="J435" s="501">
        <v>0</v>
      </c>
      <c r="K435" s="501">
        <v>0</v>
      </c>
      <c r="L435" s="501">
        <v>13</v>
      </c>
      <c r="M435" s="501">
        <v>0</v>
      </c>
      <c r="N435" s="501">
        <v>0</v>
      </c>
      <c r="O435" s="506">
        <v>0</v>
      </c>
    </row>
    <row r="436" spans="1:15" x14ac:dyDescent="0.35">
      <c r="A436" s="503" t="s">
        <v>1202</v>
      </c>
      <c r="B436" s="504" t="s">
        <v>3217</v>
      </c>
      <c r="C436" s="504" t="s">
        <v>1094</v>
      </c>
      <c r="D436" s="504" t="s">
        <v>3380</v>
      </c>
      <c r="E436" s="504" t="s">
        <v>3381</v>
      </c>
      <c r="F436" s="504" t="s">
        <v>452</v>
      </c>
      <c r="G436" s="504" t="s">
        <v>453</v>
      </c>
      <c r="H436" s="504" t="s">
        <v>3751</v>
      </c>
      <c r="I436" s="504">
        <v>160</v>
      </c>
      <c r="J436" s="504">
        <v>99</v>
      </c>
      <c r="K436" s="504">
        <v>0</v>
      </c>
      <c r="L436" s="504">
        <v>0</v>
      </c>
      <c r="M436" s="504">
        <v>0</v>
      </c>
      <c r="N436" s="504">
        <v>0</v>
      </c>
      <c r="O436" s="505">
        <v>61</v>
      </c>
    </row>
    <row r="437" spans="1:15" x14ac:dyDescent="0.35">
      <c r="A437" s="500" t="s">
        <v>11374</v>
      </c>
      <c r="B437" s="501" t="s">
        <v>3059</v>
      </c>
      <c r="C437" s="501" t="s">
        <v>1089</v>
      </c>
      <c r="D437" s="501" t="s">
        <v>3392</v>
      </c>
      <c r="E437" s="501" t="s">
        <v>3381</v>
      </c>
      <c r="F437" s="501" t="s">
        <v>452</v>
      </c>
      <c r="G437" s="501" t="s">
        <v>453</v>
      </c>
      <c r="H437" s="501" t="s">
        <v>14463</v>
      </c>
      <c r="I437" s="501">
        <v>102</v>
      </c>
      <c r="J437" s="501">
        <v>76</v>
      </c>
      <c r="K437" s="501">
        <v>0</v>
      </c>
      <c r="L437" s="501">
        <v>26</v>
      </c>
      <c r="M437" s="501">
        <v>0</v>
      </c>
      <c r="N437" s="501">
        <v>0</v>
      </c>
      <c r="O437" s="506">
        <v>0</v>
      </c>
    </row>
    <row r="438" spans="1:15" x14ac:dyDescent="0.35">
      <c r="A438" s="503" t="s">
        <v>1112</v>
      </c>
      <c r="B438" s="504" t="s">
        <v>3008</v>
      </c>
      <c r="C438" s="504" t="s">
        <v>1094</v>
      </c>
      <c r="D438" s="504" t="s">
        <v>3380</v>
      </c>
      <c r="E438" s="504" t="s">
        <v>3381</v>
      </c>
      <c r="F438" s="504" t="s">
        <v>452</v>
      </c>
      <c r="G438" s="504" t="s">
        <v>453</v>
      </c>
      <c r="H438" s="504" t="s">
        <v>3752</v>
      </c>
      <c r="I438" s="504">
        <v>42</v>
      </c>
      <c r="J438" s="504">
        <v>24</v>
      </c>
      <c r="K438" s="504">
        <v>0</v>
      </c>
      <c r="L438" s="504">
        <v>18</v>
      </c>
      <c r="M438" s="504">
        <v>0</v>
      </c>
      <c r="N438" s="504">
        <v>0</v>
      </c>
      <c r="O438" s="505">
        <v>0</v>
      </c>
    </row>
    <row r="439" spans="1:15" x14ac:dyDescent="0.35">
      <c r="A439" s="500" t="s">
        <v>1114</v>
      </c>
      <c r="B439" s="501" t="s">
        <v>2982</v>
      </c>
      <c r="C439" s="501" t="s">
        <v>1094</v>
      </c>
      <c r="D439" s="501" t="s">
        <v>3380</v>
      </c>
      <c r="E439" s="501" t="s">
        <v>3381</v>
      </c>
      <c r="F439" s="501" t="s">
        <v>452</v>
      </c>
      <c r="G439" s="501" t="s">
        <v>453</v>
      </c>
      <c r="H439" s="501" t="s">
        <v>3753</v>
      </c>
      <c r="I439" s="501">
        <v>1</v>
      </c>
      <c r="J439" s="501">
        <v>0</v>
      </c>
      <c r="K439" s="501">
        <v>0</v>
      </c>
      <c r="L439" s="501">
        <v>0</v>
      </c>
      <c r="M439" s="501">
        <v>0</v>
      </c>
      <c r="N439" s="501">
        <v>0</v>
      </c>
      <c r="O439" s="506">
        <v>1</v>
      </c>
    </row>
    <row r="440" spans="1:15" x14ac:dyDescent="0.35">
      <c r="A440" s="503" t="s">
        <v>1319</v>
      </c>
      <c r="B440" s="504">
        <v>4880</v>
      </c>
      <c r="C440" s="504" t="s">
        <v>1094</v>
      </c>
      <c r="D440" s="504" t="s">
        <v>3380</v>
      </c>
      <c r="E440" s="504" t="s">
        <v>3381</v>
      </c>
      <c r="F440" s="504" t="s">
        <v>452</v>
      </c>
      <c r="G440" s="504" t="s">
        <v>453</v>
      </c>
      <c r="H440" s="504" t="s">
        <v>14464</v>
      </c>
      <c r="I440" s="504">
        <v>116</v>
      </c>
      <c r="J440" s="504">
        <v>93</v>
      </c>
      <c r="K440" s="504">
        <v>0</v>
      </c>
      <c r="L440" s="504">
        <v>0</v>
      </c>
      <c r="M440" s="504">
        <v>0</v>
      </c>
      <c r="N440" s="504">
        <v>0</v>
      </c>
      <c r="O440" s="505">
        <v>23</v>
      </c>
    </row>
    <row r="441" spans="1:15" x14ac:dyDescent="0.35">
      <c r="A441" s="500" t="s">
        <v>1322</v>
      </c>
      <c r="B441" s="501" t="s">
        <v>3244</v>
      </c>
      <c r="C441" s="501" t="s">
        <v>1094</v>
      </c>
      <c r="D441" s="501" t="s">
        <v>3380</v>
      </c>
      <c r="E441" s="501" t="s">
        <v>3381</v>
      </c>
      <c r="F441" s="501" t="s">
        <v>452</v>
      </c>
      <c r="G441" s="501" t="s">
        <v>453</v>
      </c>
      <c r="H441" s="501" t="s">
        <v>3754</v>
      </c>
      <c r="I441" s="501">
        <v>29</v>
      </c>
      <c r="J441" s="501">
        <v>0</v>
      </c>
      <c r="K441" s="501">
        <v>0</v>
      </c>
      <c r="L441" s="501">
        <v>29</v>
      </c>
      <c r="M441" s="501">
        <v>0</v>
      </c>
      <c r="N441" s="501">
        <v>0</v>
      </c>
      <c r="O441" s="506">
        <v>0</v>
      </c>
    </row>
    <row r="442" spans="1:15" x14ac:dyDescent="0.35">
      <c r="A442" s="503" t="s">
        <v>1218</v>
      </c>
      <c r="B442" s="504" t="s">
        <v>3147</v>
      </c>
      <c r="C442" s="504" t="s">
        <v>1094</v>
      </c>
      <c r="D442" s="504" t="s">
        <v>3380</v>
      </c>
      <c r="E442" s="504" t="s">
        <v>3381</v>
      </c>
      <c r="F442" s="504" t="s">
        <v>452</v>
      </c>
      <c r="G442" s="504" t="s">
        <v>453</v>
      </c>
      <c r="H442" s="504" t="s">
        <v>3755</v>
      </c>
      <c r="I442" s="504">
        <v>122</v>
      </c>
      <c r="J442" s="504">
        <v>0</v>
      </c>
      <c r="K442" s="504">
        <v>0</v>
      </c>
      <c r="L442" s="504">
        <v>0</v>
      </c>
      <c r="M442" s="504">
        <v>0</v>
      </c>
      <c r="N442" s="504">
        <v>0</v>
      </c>
      <c r="O442" s="505">
        <v>122</v>
      </c>
    </row>
    <row r="443" spans="1:15" x14ac:dyDescent="0.35">
      <c r="A443" s="500" t="s">
        <v>11367</v>
      </c>
      <c r="B443" s="501" t="s">
        <v>3143</v>
      </c>
      <c r="C443" s="501" t="s">
        <v>1094</v>
      </c>
      <c r="D443" s="501" t="s">
        <v>3380</v>
      </c>
      <c r="E443" s="501" t="s">
        <v>3381</v>
      </c>
      <c r="F443" s="501" t="s">
        <v>452</v>
      </c>
      <c r="G443" s="501" t="s">
        <v>453</v>
      </c>
      <c r="H443" s="501" t="s">
        <v>11903</v>
      </c>
      <c r="I443" s="501">
        <v>270</v>
      </c>
      <c r="J443" s="501">
        <v>219</v>
      </c>
      <c r="K443" s="501">
        <v>0</v>
      </c>
      <c r="L443" s="501">
        <v>0</v>
      </c>
      <c r="M443" s="501">
        <v>51</v>
      </c>
      <c r="N443" s="501">
        <v>0</v>
      </c>
      <c r="O443" s="506">
        <v>0</v>
      </c>
    </row>
    <row r="444" spans="1:15" x14ac:dyDescent="0.35">
      <c r="A444" s="503" t="s">
        <v>1327</v>
      </c>
      <c r="B444" s="504" t="s">
        <v>3330</v>
      </c>
      <c r="C444" s="504" t="s">
        <v>1094</v>
      </c>
      <c r="D444" s="504" t="s">
        <v>3380</v>
      </c>
      <c r="E444" s="504" t="s">
        <v>3381</v>
      </c>
      <c r="F444" s="504" t="s">
        <v>452</v>
      </c>
      <c r="G444" s="504" t="s">
        <v>453</v>
      </c>
      <c r="H444" s="504" t="s">
        <v>3756</v>
      </c>
      <c r="I444" s="504">
        <v>186</v>
      </c>
      <c r="J444" s="504">
        <v>97</v>
      </c>
      <c r="K444" s="504">
        <v>0</v>
      </c>
      <c r="L444" s="504">
        <v>0</v>
      </c>
      <c r="M444" s="504">
        <v>0</v>
      </c>
      <c r="N444" s="504">
        <v>0</v>
      </c>
      <c r="O444" s="505">
        <v>89</v>
      </c>
    </row>
    <row r="445" spans="1:15" x14ac:dyDescent="0.35">
      <c r="A445" s="500" t="s">
        <v>1122</v>
      </c>
      <c r="B445" s="501" t="s">
        <v>2994</v>
      </c>
      <c r="C445" s="501" t="s">
        <v>1094</v>
      </c>
      <c r="D445" s="501" t="s">
        <v>3380</v>
      </c>
      <c r="E445" s="501" t="s">
        <v>3381</v>
      </c>
      <c r="F445" s="501" t="s">
        <v>452</v>
      </c>
      <c r="G445" s="501" t="s">
        <v>453</v>
      </c>
      <c r="H445" s="501" t="s">
        <v>3757</v>
      </c>
      <c r="I445" s="501">
        <v>479</v>
      </c>
      <c r="J445" s="501">
        <v>470</v>
      </c>
      <c r="K445" s="501">
        <v>0</v>
      </c>
      <c r="L445" s="501">
        <v>9</v>
      </c>
      <c r="M445" s="501">
        <v>0</v>
      </c>
      <c r="N445" s="501">
        <v>0</v>
      </c>
      <c r="O445" s="506">
        <v>0</v>
      </c>
    </row>
    <row r="446" spans="1:15" x14ac:dyDescent="0.35">
      <c r="A446" s="503" t="s">
        <v>1225</v>
      </c>
      <c r="B446" s="504" t="s">
        <v>3315</v>
      </c>
      <c r="C446" s="504" t="s">
        <v>1094</v>
      </c>
      <c r="D446" s="504" t="s">
        <v>3380</v>
      </c>
      <c r="E446" s="504" t="s">
        <v>3381</v>
      </c>
      <c r="F446" s="504" t="s">
        <v>452</v>
      </c>
      <c r="G446" s="504" t="s">
        <v>453</v>
      </c>
      <c r="H446" s="504" t="s">
        <v>3758</v>
      </c>
      <c r="I446" s="504">
        <v>14</v>
      </c>
      <c r="J446" s="504">
        <v>0</v>
      </c>
      <c r="K446" s="504">
        <v>0</v>
      </c>
      <c r="L446" s="504">
        <v>14</v>
      </c>
      <c r="M446" s="504">
        <v>0</v>
      </c>
      <c r="N446" s="504">
        <v>0</v>
      </c>
      <c r="O446" s="505">
        <v>0</v>
      </c>
    </row>
    <row r="447" spans="1:15" x14ac:dyDescent="0.35">
      <c r="A447" s="500" t="s">
        <v>1233</v>
      </c>
      <c r="B447" s="501">
        <v>4636</v>
      </c>
      <c r="C447" s="501" t="s">
        <v>1094</v>
      </c>
      <c r="D447" s="501" t="s">
        <v>3380</v>
      </c>
      <c r="E447" s="501" t="s">
        <v>3381</v>
      </c>
      <c r="F447" s="501" t="s">
        <v>452</v>
      </c>
      <c r="G447" s="501" t="s">
        <v>453</v>
      </c>
      <c r="H447" s="501" t="s">
        <v>3759</v>
      </c>
      <c r="I447" s="501">
        <v>48</v>
      </c>
      <c r="J447" s="501">
        <v>6</v>
      </c>
      <c r="K447" s="501">
        <v>0</v>
      </c>
      <c r="L447" s="501">
        <v>0</v>
      </c>
      <c r="M447" s="501">
        <v>0</v>
      </c>
      <c r="N447" s="501">
        <v>0</v>
      </c>
      <c r="O447" s="506">
        <v>42</v>
      </c>
    </row>
    <row r="448" spans="1:15" x14ac:dyDescent="0.35">
      <c r="A448" s="503" t="s">
        <v>11368</v>
      </c>
      <c r="B448" s="504">
        <v>5083</v>
      </c>
      <c r="C448" s="504" t="s">
        <v>1094</v>
      </c>
      <c r="D448" s="504" t="s">
        <v>3380</v>
      </c>
      <c r="E448" s="504" t="s">
        <v>3381</v>
      </c>
      <c r="F448" s="504" t="s">
        <v>452</v>
      </c>
      <c r="G448" s="504" t="s">
        <v>453</v>
      </c>
      <c r="H448" s="504" t="s">
        <v>12031</v>
      </c>
      <c r="I448" s="504">
        <v>26</v>
      </c>
      <c r="J448" s="504">
        <v>26</v>
      </c>
      <c r="K448" s="504">
        <v>0</v>
      </c>
      <c r="L448" s="504">
        <v>0</v>
      </c>
      <c r="M448" s="504">
        <v>0</v>
      </c>
      <c r="N448" s="504">
        <v>0</v>
      </c>
      <c r="O448" s="505">
        <v>0</v>
      </c>
    </row>
    <row r="449" spans="1:15" x14ac:dyDescent="0.35">
      <c r="A449" s="500" t="s">
        <v>1126</v>
      </c>
      <c r="B449" s="501" t="s">
        <v>2974</v>
      </c>
      <c r="C449" s="501" t="s">
        <v>1094</v>
      </c>
      <c r="D449" s="501" t="s">
        <v>3380</v>
      </c>
      <c r="E449" s="501" t="s">
        <v>3381</v>
      </c>
      <c r="F449" s="501" t="s">
        <v>452</v>
      </c>
      <c r="G449" s="501" t="s">
        <v>453</v>
      </c>
      <c r="H449" s="501" t="s">
        <v>3760</v>
      </c>
      <c r="I449" s="501">
        <v>3</v>
      </c>
      <c r="J449" s="501">
        <v>3</v>
      </c>
      <c r="K449" s="501">
        <v>0</v>
      </c>
      <c r="L449" s="501">
        <v>0</v>
      </c>
      <c r="M449" s="501">
        <v>0</v>
      </c>
      <c r="N449" s="501">
        <v>2</v>
      </c>
      <c r="O449" s="506">
        <v>0</v>
      </c>
    </row>
    <row r="450" spans="1:15" x14ac:dyDescent="0.35">
      <c r="A450" s="503" t="s">
        <v>1341</v>
      </c>
      <c r="B450" s="504" t="s">
        <v>3183</v>
      </c>
      <c r="C450" s="504" t="s">
        <v>1094</v>
      </c>
      <c r="D450" s="504" t="s">
        <v>3380</v>
      </c>
      <c r="E450" s="504" t="s">
        <v>3381</v>
      </c>
      <c r="F450" s="504" t="s">
        <v>452</v>
      </c>
      <c r="G450" s="504" t="s">
        <v>453</v>
      </c>
      <c r="H450" s="504" t="s">
        <v>3761</v>
      </c>
      <c r="I450" s="504">
        <v>79</v>
      </c>
      <c r="J450" s="504">
        <v>56</v>
      </c>
      <c r="K450" s="504">
        <v>0</v>
      </c>
      <c r="L450" s="504">
        <v>0</v>
      </c>
      <c r="M450" s="504">
        <v>0</v>
      </c>
      <c r="N450" s="504">
        <v>0</v>
      </c>
      <c r="O450" s="505">
        <v>23</v>
      </c>
    </row>
    <row r="451" spans="1:15" x14ac:dyDescent="0.35">
      <c r="A451" s="500" t="s">
        <v>1344</v>
      </c>
      <c r="B451" s="501" t="s">
        <v>2547</v>
      </c>
      <c r="C451" s="501" t="s">
        <v>1089</v>
      </c>
      <c r="D451" s="501" t="s">
        <v>3392</v>
      </c>
      <c r="E451" s="501" t="s">
        <v>3381</v>
      </c>
      <c r="F451" s="501" t="s">
        <v>452</v>
      </c>
      <c r="G451" s="501" t="s">
        <v>453</v>
      </c>
      <c r="H451" s="501" t="s">
        <v>3762</v>
      </c>
      <c r="I451" s="501">
        <v>20</v>
      </c>
      <c r="J451" s="501">
        <v>20</v>
      </c>
      <c r="K451" s="501">
        <v>0</v>
      </c>
      <c r="L451" s="501">
        <v>0</v>
      </c>
      <c r="M451" s="501">
        <v>0</v>
      </c>
      <c r="N451" s="501">
        <v>0</v>
      </c>
      <c r="O451" s="506">
        <v>0</v>
      </c>
    </row>
    <row r="452" spans="1:15" x14ac:dyDescent="0.35">
      <c r="A452" s="503" t="s">
        <v>1240</v>
      </c>
      <c r="B452" s="504" t="s">
        <v>2972</v>
      </c>
      <c r="C452" s="504" t="s">
        <v>1094</v>
      </c>
      <c r="D452" s="504" t="s">
        <v>3380</v>
      </c>
      <c r="E452" s="504" t="s">
        <v>3381</v>
      </c>
      <c r="F452" s="504" t="s">
        <v>452</v>
      </c>
      <c r="G452" s="504" t="s">
        <v>453</v>
      </c>
      <c r="H452" s="504" t="s">
        <v>3763</v>
      </c>
      <c r="I452" s="504">
        <v>450</v>
      </c>
      <c r="J452" s="504">
        <v>411</v>
      </c>
      <c r="K452" s="504">
        <v>0</v>
      </c>
      <c r="L452" s="504">
        <v>0</v>
      </c>
      <c r="M452" s="504">
        <v>0</v>
      </c>
      <c r="N452" s="504">
        <v>0</v>
      </c>
      <c r="O452" s="505">
        <v>39</v>
      </c>
    </row>
    <row r="453" spans="1:15" x14ac:dyDescent="0.35">
      <c r="A453" s="500" t="s">
        <v>1241</v>
      </c>
      <c r="B453" s="501">
        <v>4717</v>
      </c>
      <c r="C453" s="501" t="s">
        <v>1094</v>
      </c>
      <c r="D453" s="501" t="s">
        <v>3380</v>
      </c>
      <c r="E453" s="501" t="s">
        <v>3381</v>
      </c>
      <c r="F453" s="501" t="s">
        <v>452</v>
      </c>
      <c r="G453" s="501" t="s">
        <v>453</v>
      </c>
      <c r="H453" s="501" t="s">
        <v>3764</v>
      </c>
      <c r="I453" s="501">
        <v>81</v>
      </c>
      <c r="J453" s="501">
        <v>76</v>
      </c>
      <c r="K453" s="501">
        <v>0</v>
      </c>
      <c r="L453" s="501">
        <v>0</v>
      </c>
      <c r="M453" s="501">
        <v>0</v>
      </c>
      <c r="N453" s="501">
        <v>0</v>
      </c>
      <c r="O453" s="506">
        <v>5</v>
      </c>
    </row>
    <row r="454" spans="1:15" x14ac:dyDescent="0.35">
      <c r="A454" s="503" t="s">
        <v>1134</v>
      </c>
      <c r="B454" s="504" t="s">
        <v>3066</v>
      </c>
      <c r="C454" s="504" t="s">
        <v>1094</v>
      </c>
      <c r="D454" s="504" t="s">
        <v>3380</v>
      </c>
      <c r="E454" s="504" t="s">
        <v>3381</v>
      </c>
      <c r="F454" s="504" t="s">
        <v>452</v>
      </c>
      <c r="G454" s="504" t="s">
        <v>453</v>
      </c>
      <c r="H454" s="504" t="s">
        <v>3765</v>
      </c>
      <c r="I454" s="504">
        <v>940</v>
      </c>
      <c r="J454" s="504">
        <v>705</v>
      </c>
      <c r="K454" s="504">
        <v>0</v>
      </c>
      <c r="L454" s="504">
        <v>66</v>
      </c>
      <c r="M454" s="504">
        <v>141</v>
      </c>
      <c r="N454" s="504">
        <v>0</v>
      </c>
      <c r="O454" s="505">
        <v>28</v>
      </c>
    </row>
    <row r="455" spans="1:15" x14ac:dyDescent="0.35">
      <c r="A455" s="500" t="s">
        <v>1558</v>
      </c>
      <c r="B455" s="501">
        <v>4843</v>
      </c>
      <c r="C455" s="501" t="s">
        <v>1089</v>
      </c>
      <c r="D455" s="501" t="s">
        <v>3392</v>
      </c>
      <c r="E455" s="501" t="s">
        <v>3381</v>
      </c>
      <c r="F455" s="501" t="s">
        <v>452</v>
      </c>
      <c r="G455" s="501" t="s">
        <v>453</v>
      </c>
      <c r="H455" s="501" t="s">
        <v>14465</v>
      </c>
      <c r="I455" s="501">
        <v>4</v>
      </c>
      <c r="J455" s="501">
        <v>4</v>
      </c>
      <c r="K455" s="501">
        <v>0</v>
      </c>
      <c r="L455" s="501">
        <v>0</v>
      </c>
      <c r="M455" s="501">
        <v>0</v>
      </c>
      <c r="N455" s="501">
        <v>0</v>
      </c>
      <c r="O455" s="506">
        <v>0</v>
      </c>
    </row>
    <row r="456" spans="1:15" x14ac:dyDescent="0.35">
      <c r="A456" s="503" t="s">
        <v>1248</v>
      </c>
      <c r="B456" s="504">
        <v>4706</v>
      </c>
      <c r="C456" s="504" t="s">
        <v>1089</v>
      </c>
      <c r="D456" s="504" t="s">
        <v>3392</v>
      </c>
      <c r="E456" s="504" t="s">
        <v>3381</v>
      </c>
      <c r="F456" s="504" t="s">
        <v>452</v>
      </c>
      <c r="G456" s="504" t="s">
        <v>453</v>
      </c>
      <c r="H456" s="504" t="s">
        <v>3766</v>
      </c>
      <c r="I456" s="504">
        <v>46</v>
      </c>
      <c r="J456" s="504">
        <v>0</v>
      </c>
      <c r="K456" s="504">
        <v>0</v>
      </c>
      <c r="L456" s="504">
        <v>0</v>
      </c>
      <c r="M456" s="504">
        <v>46</v>
      </c>
      <c r="N456" s="504">
        <v>0</v>
      </c>
      <c r="O456" s="505">
        <v>0</v>
      </c>
    </row>
    <row r="457" spans="1:15" x14ac:dyDescent="0.35">
      <c r="A457" s="500" t="s">
        <v>1249</v>
      </c>
      <c r="B457" s="501">
        <v>4729</v>
      </c>
      <c r="C457" s="501" t="s">
        <v>1094</v>
      </c>
      <c r="D457" s="501" t="s">
        <v>3380</v>
      </c>
      <c r="E457" s="501" t="s">
        <v>3381</v>
      </c>
      <c r="F457" s="501" t="s">
        <v>452</v>
      </c>
      <c r="G457" s="501" t="s">
        <v>453</v>
      </c>
      <c r="H457" s="501" t="s">
        <v>3767</v>
      </c>
      <c r="I457" s="501">
        <v>212</v>
      </c>
      <c r="J457" s="501">
        <v>173</v>
      </c>
      <c r="K457" s="501">
        <v>0</v>
      </c>
      <c r="L457" s="501">
        <v>0</v>
      </c>
      <c r="M457" s="501">
        <v>0</v>
      </c>
      <c r="N457" s="501">
        <v>1</v>
      </c>
      <c r="O457" s="506">
        <v>39</v>
      </c>
    </row>
    <row r="458" spans="1:15" x14ac:dyDescent="0.35">
      <c r="A458" s="503" t="s">
        <v>1364</v>
      </c>
      <c r="B458" s="504" t="s">
        <v>3277</v>
      </c>
      <c r="C458" s="504" t="s">
        <v>1089</v>
      </c>
      <c r="D458" s="504" t="s">
        <v>3392</v>
      </c>
      <c r="E458" s="504" t="s">
        <v>3381</v>
      </c>
      <c r="F458" s="504" t="s">
        <v>452</v>
      </c>
      <c r="G458" s="504" t="s">
        <v>453</v>
      </c>
      <c r="H458" s="504" t="s">
        <v>3768</v>
      </c>
      <c r="I458" s="504">
        <v>14</v>
      </c>
      <c r="J458" s="504">
        <v>0</v>
      </c>
      <c r="K458" s="504">
        <v>0</v>
      </c>
      <c r="L458" s="504">
        <v>14</v>
      </c>
      <c r="M458" s="504">
        <v>0</v>
      </c>
      <c r="N458" s="504">
        <v>0</v>
      </c>
      <c r="O458" s="505">
        <v>0</v>
      </c>
    </row>
    <row r="459" spans="1:15" x14ac:dyDescent="0.35">
      <c r="A459" s="500" t="s">
        <v>1156</v>
      </c>
      <c r="B459" s="501" t="s">
        <v>3310</v>
      </c>
      <c r="C459" s="501" t="s">
        <v>1094</v>
      </c>
      <c r="D459" s="501" t="s">
        <v>3380</v>
      </c>
      <c r="E459" s="501" t="s">
        <v>3381</v>
      </c>
      <c r="F459" s="501" t="s">
        <v>452</v>
      </c>
      <c r="G459" s="501" t="s">
        <v>453</v>
      </c>
      <c r="H459" s="501" t="s">
        <v>3740</v>
      </c>
      <c r="I459" s="501">
        <v>8576</v>
      </c>
      <c r="J459" s="501">
        <v>7373</v>
      </c>
      <c r="K459" s="501">
        <v>66</v>
      </c>
      <c r="L459" s="501">
        <v>68</v>
      </c>
      <c r="M459" s="501">
        <v>493</v>
      </c>
      <c r="N459" s="501">
        <v>0</v>
      </c>
      <c r="O459" s="506">
        <v>576</v>
      </c>
    </row>
    <row r="460" spans="1:15" x14ac:dyDescent="0.35">
      <c r="A460" s="503" t="s">
        <v>1385</v>
      </c>
      <c r="B460" s="504" t="s">
        <v>3249</v>
      </c>
      <c r="C460" s="504" t="s">
        <v>1094</v>
      </c>
      <c r="D460" s="504" t="s">
        <v>3380</v>
      </c>
      <c r="E460" s="504" t="s">
        <v>3381</v>
      </c>
      <c r="F460" s="504" t="s">
        <v>454</v>
      </c>
      <c r="G460" s="504" t="s">
        <v>455</v>
      </c>
      <c r="H460" s="504" t="s">
        <v>3769</v>
      </c>
      <c r="I460" s="504">
        <v>75</v>
      </c>
      <c r="J460" s="504">
        <v>43</v>
      </c>
      <c r="K460" s="504">
        <v>0</v>
      </c>
      <c r="L460" s="504">
        <v>12</v>
      </c>
      <c r="M460" s="504">
        <v>0</v>
      </c>
      <c r="N460" s="504">
        <v>0</v>
      </c>
      <c r="O460" s="505">
        <v>20</v>
      </c>
    </row>
    <row r="461" spans="1:15" x14ac:dyDescent="0.35">
      <c r="A461" s="500" t="s">
        <v>1093</v>
      </c>
      <c r="B461" s="501" t="s">
        <v>3248</v>
      </c>
      <c r="C461" s="501" t="s">
        <v>1094</v>
      </c>
      <c r="D461" s="501" t="s">
        <v>3380</v>
      </c>
      <c r="E461" s="501" t="s">
        <v>3381</v>
      </c>
      <c r="F461" s="501" t="s">
        <v>454</v>
      </c>
      <c r="G461" s="501" t="s">
        <v>455</v>
      </c>
      <c r="H461" s="501" t="s">
        <v>3770</v>
      </c>
      <c r="I461" s="501">
        <v>2</v>
      </c>
      <c r="J461" s="501">
        <v>0</v>
      </c>
      <c r="K461" s="501">
        <v>0</v>
      </c>
      <c r="L461" s="501">
        <v>2</v>
      </c>
      <c r="M461" s="501">
        <v>0</v>
      </c>
      <c r="N461" s="501">
        <v>0</v>
      </c>
      <c r="O461" s="506">
        <v>0</v>
      </c>
    </row>
    <row r="462" spans="1:15" x14ac:dyDescent="0.35">
      <c r="A462" s="503" t="s">
        <v>1096</v>
      </c>
      <c r="B462" s="504" t="s">
        <v>3326</v>
      </c>
      <c r="C462" s="504" t="s">
        <v>1094</v>
      </c>
      <c r="D462" s="504" t="s">
        <v>3380</v>
      </c>
      <c r="E462" s="504" t="s">
        <v>3381</v>
      </c>
      <c r="F462" s="504" t="s">
        <v>454</v>
      </c>
      <c r="G462" s="504" t="s">
        <v>455</v>
      </c>
      <c r="H462" s="504" t="s">
        <v>3771</v>
      </c>
      <c r="I462" s="504">
        <v>96</v>
      </c>
      <c r="J462" s="504">
        <v>0</v>
      </c>
      <c r="K462" s="504">
        <v>0</v>
      </c>
      <c r="L462" s="504">
        <v>0</v>
      </c>
      <c r="M462" s="504">
        <v>96</v>
      </c>
      <c r="N462" s="504">
        <v>0</v>
      </c>
      <c r="O462" s="505">
        <v>0</v>
      </c>
    </row>
    <row r="463" spans="1:15" x14ac:dyDescent="0.35">
      <c r="A463" s="500" t="s">
        <v>11383</v>
      </c>
      <c r="B463" s="501" t="s">
        <v>3024</v>
      </c>
      <c r="C463" s="501" t="s">
        <v>1089</v>
      </c>
      <c r="D463" s="501" t="s">
        <v>3392</v>
      </c>
      <c r="E463" s="501" t="s">
        <v>3381</v>
      </c>
      <c r="F463" s="501" t="s">
        <v>454</v>
      </c>
      <c r="G463" s="501" t="s">
        <v>455</v>
      </c>
      <c r="H463" s="501" t="s">
        <v>11610</v>
      </c>
      <c r="I463" s="501">
        <v>136</v>
      </c>
      <c r="J463" s="501">
        <v>136</v>
      </c>
      <c r="K463" s="501">
        <v>0</v>
      </c>
      <c r="L463" s="501">
        <v>0</v>
      </c>
      <c r="M463" s="501">
        <v>0</v>
      </c>
      <c r="N463" s="501">
        <v>1</v>
      </c>
      <c r="O463" s="506">
        <v>0</v>
      </c>
    </row>
    <row r="464" spans="1:15" x14ac:dyDescent="0.35">
      <c r="A464" s="503" t="s">
        <v>1402</v>
      </c>
      <c r="B464" s="504" t="s">
        <v>2560</v>
      </c>
      <c r="C464" s="504" t="s">
        <v>1089</v>
      </c>
      <c r="D464" s="504" t="s">
        <v>3392</v>
      </c>
      <c r="E464" s="504" t="s">
        <v>3381</v>
      </c>
      <c r="F464" s="504" t="s">
        <v>454</v>
      </c>
      <c r="G464" s="504" t="s">
        <v>455</v>
      </c>
      <c r="H464" s="504" t="s">
        <v>3772</v>
      </c>
      <c r="I464" s="504">
        <v>12</v>
      </c>
      <c r="J464" s="504">
        <v>12</v>
      </c>
      <c r="K464" s="504">
        <v>0</v>
      </c>
      <c r="L464" s="504">
        <v>0</v>
      </c>
      <c r="M464" s="504">
        <v>0</v>
      </c>
      <c r="N464" s="504">
        <v>0</v>
      </c>
      <c r="O464" s="505">
        <v>0</v>
      </c>
    </row>
    <row r="465" spans="1:15" x14ac:dyDescent="0.35">
      <c r="A465" s="500" t="s">
        <v>1412</v>
      </c>
      <c r="B465" s="501">
        <v>4641</v>
      </c>
      <c r="C465" s="501" t="s">
        <v>1089</v>
      </c>
      <c r="D465" s="501" t="s">
        <v>3392</v>
      </c>
      <c r="E465" s="501" t="s">
        <v>3381</v>
      </c>
      <c r="F465" s="501" t="s">
        <v>454</v>
      </c>
      <c r="G465" s="501" t="s">
        <v>455</v>
      </c>
      <c r="H465" s="501" t="s">
        <v>3773</v>
      </c>
      <c r="I465" s="501">
        <v>64</v>
      </c>
      <c r="J465" s="501">
        <v>0</v>
      </c>
      <c r="K465" s="501">
        <v>64</v>
      </c>
      <c r="L465" s="501">
        <v>0</v>
      </c>
      <c r="M465" s="501">
        <v>0</v>
      </c>
      <c r="N465" s="501">
        <v>0</v>
      </c>
      <c r="O465" s="506">
        <v>0</v>
      </c>
    </row>
    <row r="466" spans="1:15" x14ac:dyDescent="0.35">
      <c r="A466" s="503" t="s">
        <v>1415</v>
      </c>
      <c r="B466" s="504" t="s">
        <v>3070</v>
      </c>
      <c r="C466" s="504" t="s">
        <v>1089</v>
      </c>
      <c r="D466" s="504" t="s">
        <v>3392</v>
      </c>
      <c r="E466" s="504" t="s">
        <v>3381</v>
      </c>
      <c r="F466" s="504" t="s">
        <v>454</v>
      </c>
      <c r="G466" s="504" t="s">
        <v>455</v>
      </c>
      <c r="H466" s="504" t="s">
        <v>3774</v>
      </c>
      <c r="I466" s="504">
        <v>104</v>
      </c>
      <c r="J466" s="504">
        <v>2</v>
      </c>
      <c r="K466" s="504">
        <v>0</v>
      </c>
      <c r="L466" s="504">
        <v>0</v>
      </c>
      <c r="M466" s="504">
        <v>102</v>
      </c>
      <c r="N466" s="504">
        <v>0</v>
      </c>
      <c r="O466" s="505">
        <v>0</v>
      </c>
    </row>
    <row r="467" spans="1:15" x14ac:dyDescent="0.35">
      <c r="A467" s="500" t="s">
        <v>1164</v>
      </c>
      <c r="B467" s="501">
        <v>4751</v>
      </c>
      <c r="C467" s="501" t="s">
        <v>1089</v>
      </c>
      <c r="D467" s="501" t="s">
        <v>3392</v>
      </c>
      <c r="E467" s="501" t="s">
        <v>3381</v>
      </c>
      <c r="F467" s="501" t="s">
        <v>454</v>
      </c>
      <c r="G467" s="501" t="s">
        <v>455</v>
      </c>
      <c r="H467" s="501" t="s">
        <v>3775</v>
      </c>
      <c r="I467" s="501">
        <v>5</v>
      </c>
      <c r="J467" s="501">
        <v>0</v>
      </c>
      <c r="K467" s="501">
        <v>0</v>
      </c>
      <c r="L467" s="501">
        <v>5</v>
      </c>
      <c r="M467" s="501">
        <v>0</v>
      </c>
      <c r="N467" s="501">
        <v>0</v>
      </c>
      <c r="O467" s="506">
        <v>0</v>
      </c>
    </row>
    <row r="468" spans="1:15" x14ac:dyDescent="0.35">
      <c r="A468" s="503" t="s">
        <v>1100</v>
      </c>
      <c r="B468" s="504">
        <v>4865</v>
      </c>
      <c r="C468" s="504" t="s">
        <v>1094</v>
      </c>
      <c r="D468" s="504" t="s">
        <v>3380</v>
      </c>
      <c r="E468" s="504" t="s">
        <v>3381</v>
      </c>
      <c r="F468" s="504" t="s">
        <v>454</v>
      </c>
      <c r="G468" s="504" t="s">
        <v>455</v>
      </c>
      <c r="H468" s="504" t="s">
        <v>3776</v>
      </c>
      <c r="I468" s="504">
        <v>12</v>
      </c>
      <c r="J468" s="504">
        <v>12</v>
      </c>
      <c r="K468" s="504">
        <v>0</v>
      </c>
      <c r="L468" s="504">
        <v>0</v>
      </c>
      <c r="M468" s="504">
        <v>0</v>
      </c>
      <c r="N468" s="504">
        <v>0</v>
      </c>
      <c r="O468" s="505">
        <v>0</v>
      </c>
    </row>
    <row r="469" spans="1:15" x14ac:dyDescent="0.35">
      <c r="A469" s="500" t="s">
        <v>1288</v>
      </c>
      <c r="B469" s="501" t="s">
        <v>3243</v>
      </c>
      <c r="C469" s="501" t="s">
        <v>1089</v>
      </c>
      <c r="D469" s="501" t="s">
        <v>3392</v>
      </c>
      <c r="E469" s="501" t="s">
        <v>3381</v>
      </c>
      <c r="F469" s="501" t="s">
        <v>454</v>
      </c>
      <c r="G469" s="501" t="s">
        <v>455</v>
      </c>
      <c r="H469" s="501" t="s">
        <v>3777</v>
      </c>
      <c r="I469" s="501">
        <v>138</v>
      </c>
      <c r="J469" s="501">
        <v>138</v>
      </c>
      <c r="K469" s="501">
        <v>0</v>
      </c>
      <c r="L469" s="501">
        <v>0</v>
      </c>
      <c r="M469" s="501">
        <v>0</v>
      </c>
      <c r="N469" s="501">
        <v>0</v>
      </c>
      <c r="O469" s="506">
        <v>0</v>
      </c>
    </row>
    <row r="470" spans="1:15" x14ac:dyDescent="0.35">
      <c r="A470" s="503" t="s">
        <v>1419</v>
      </c>
      <c r="B470" s="504" t="s">
        <v>2720</v>
      </c>
      <c r="C470" s="504" t="s">
        <v>1089</v>
      </c>
      <c r="D470" s="504" t="s">
        <v>3392</v>
      </c>
      <c r="E470" s="504" t="s">
        <v>3381</v>
      </c>
      <c r="F470" s="504" t="s">
        <v>454</v>
      </c>
      <c r="G470" s="504" t="s">
        <v>455</v>
      </c>
      <c r="H470" s="504" t="s">
        <v>3778</v>
      </c>
      <c r="I470" s="504">
        <v>90</v>
      </c>
      <c r="J470" s="504">
        <v>90</v>
      </c>
      <c r="K470" s="504">
        <v>0</v>
      </c>
      <c r="L470" s="504">
        <v>0</v>
      </c>
      <c r="M470" s="504">
        <v>0</v>
      </c>
      <c r="N470" s="504">
        <v>0</v>
      </c>
      <c r="O470" s="505">
        <v>0</v>
      </c>
    </row>
    <row r="471" spans="1:15" x14ac:dyDescent="0.35">
      <c r="A471" s="500" t="s">
        <v>1420</v>
      </c>
      <c r="B471" s="501">
        <v>4764</v>
      </c>
      <c r="C471" s="501" t="s">
        <v>1089</v>
      </c>
      <c r="D471" s="501" t="s">
        <v>3392</v>
      </c>
      <c r="E471" s="501" t="s">
        <v>3381</v>
      </c>
      <c r="F471" s="501" t="s">
        <v>454</v>
      </c>
      <c r="G471" s="501" t="s">
        <v>455</v>
      </c>
      <c r="H471" s="501" t="s">
        <v>3779</v>
      </c>
      <c r="I471" s="501">
        <v>23</v>
      </c>
      <c r="J471" s="501">
        <v>23</v>
      </c>
      <c r="K471" s="501">
        <v>0</v>
      </c>
      <c r="L471" s="501">
        <v>0</v>
      </c>
      <c r="M471" s="501">
        <v>0</v>
      </c>
      <c r="N471" s="501">
        <v>0</v>
      </c>
      <c r="O471" s="506">
        <v>0</v>
      </c>
    </row>
    <row r="472" spans="1:15" x14ac:dyDescent="0.35">
      <c r="A472" s="503" t="s">
        <v>11385</v>
      </c>
      <c r="B472" s="504">
        <v>4787</v>
      </c>
      <c r="C472" s="504" t="s">
        <v>1089</v>
      </c>
      <c r="D472" s="504" t="s">
        <v>3392</v>
      </c>
      <c r="E472" s="504" t="s">
        <v>3381</v>
      </c>
      <c r="F472" s="504" t="s">
        <v>454</v>
      </c>
      <c r="G472" s="504" t="s">
        <v>455</v>
      </c>
      <c r="H472" s="504" t="s">
        <v>11670</v>
      </c>
      <c r="I472" s="504">
        <v>139</v>
      </c>
      <c r="J472" s="504">
        <v>139</v>
      </c>
      <c r="K472" s="504">
        <v>0</v>
      </c>
      <c r="L472" s="504">
        <v>0</v>
      </c>
      <c r="M472" s="504">
        <v>0</v>
      </c>
      <c r="N472" s="504">
        <v>0</v>
      </c>
      <c r="O472" s="505">
        <v>0</v>
      </c>
    </row>
    <row r="473" spans="1:15" x14ac:dyDescent="0.35">
      <c r="A473" s="500" t="s">
        <v>14208</v>
      </c>
      <c r="B473" s="501">
        <v>4803</v>
      </c>
      <c r="C473" s="501" t="s">
        <v>1094</v>
      </c>
      <c r="D473" s="501" t="s">
        <v>3380</v>
      </c>
      <c r="E473" s="501" t="s">
        <v>3381</v>
      </c>
      <c r="F473" s="501" t="s">
        <v>454</v>
      </c>
      <c r="G473" s="501" t="s">
        <v>455</v>
      </c>
      <c r="H473" s="501" t="s">
        <v>14466</v>
      </c>
      <c r="I473" s="501">
        <v>1</v>
      </c>
      <c r="J473" s="501">
        <v>0</v>
      </c>
      <c r="K473" s="501">
        <v>0</v>
      </c>
      <c r="L473" s="501">
        <v>1</v>
      </c>
      <c r="M473" s="501">
        <v>0</v>
      </c>
      <c r="N473" s="501">
        <v>0</v>
      </c>
      <c r="O473" s="506">
        <v>0</v>
      </c>
    </row>
    <row r="474" spans="1:15" x14ac:dyDescent="0.35">
      <c r="A474" s="503" t="s">
        <v>1443</v>
      </c>
      <c r="B474" s="504" t="s">
        <v>3356</v>
      </c>
      <c r="C474" s="504" t="s">
        <v>1094</v>
      </c>
      <c r="D474" s="504" t="s">
        <v>3380</v>
      </c>
      <c r="E474" s="504" t="s">
        <v>3381</v>
      </c>
      <c r="F474" s="504" t="s">
        <v>454</v>
      </c>
      <c r="G474" s="504" t="s">
        <v>455</v>
      </c>
      <c r="H474" s="504" t="s">
        <v>3780</v>
      </c>
      <c r="I474" s="504">
        <v>14</v>
      </c>
      <c r="J474" s="504">
        <v>8</v>
      </c>
      <c r="K474" s="504">
        <v>0</v>
      </c>
      <c r="L474" s="504">
        <v>0</v>
      </c>
      <c r="M474" s="504">
        <v>0</v>
      </c>
      <c r="N474" s="504">
        <v>0</v>
      </c>
      <c r="O474" s="505">
        <v>6</v>
      </c>
    </row>
    <row r="475" spans="1:15" x14ac:dyDescent="0.35">
      <c r="A475" s="500" t="s">
        <v>1185</v>
      </c>
      <c r="B475" s="501" t="s">
        <v>3253</v>
      </c>
      <c r="C475" s="501" t="s">
        <v>1094</v>
      </c>
      <c r="D475" s="501" t="s">
        <v>3380</v>
      </c>
      <c r="E475" s="501" t="s">
        <v>3381</v>
      </c>
      <c r="F475" s="501" t="s">
        <v>454</v>
      </c>
      <c r="G475" s="501" t="s">
        <v>455</v>
      </c>
      <c r="H475" s="501" t="s">
        <v>3781</v>
      </c>
      <c r="I475" s="501">
        <v>5</v>
      </c>
      <c r="J475" s="501">
        <v>2</v>
      </c>
      <c r="K475" s="501">
        <v>0</v>
      </c>
      <c r="L475" s="501">
        <v>3</v>
      </c>
      <c r="M475" s="501">
        <v>0</v>
      </c>
      <c r="N475" s="501">
        <v>0</v>
      </c>
      <c r="O475" s="506">
        <v>0</v>
      </c>
    </row>
    <row r="476" spans="1:15" x14ac:dyDescent="0.35">
      <c r="A476" s="503" t="s">
        <v>1455</v>
      </c>
      <c r="B476" s="504" t="s">
        <v>2811</v>
      </c>
      <c r="C476" s="504" t="s">
        <v>1089</v>
      </c>
      <c r="D476" s="504" t="s">
        <v>3392</v>
      </c>
      <c r="E476" s="504" t="s">
        <v>3381</v>
      </c>
      <c r="F476" s="504" t="s">
        <v>454</v>
      </c>
      <c r="G476" s="504" t="s">
        <v>455</v>
      </c>
      <c r="H476" s="504" t="s">
        <v>3782</v>
      </c>
      <c r="I476" s="504">
        <v>76</v>
      </c>
      <c r="J476" s="504">
        <v>76</v>
      </c>
      <c r="K476" s="504">
        <v>0</v>
      </c>
      <c r="L476" s="504">
        <v>0</v>
      </c>
      <c r="M476" s="504">
        <v>0</v>
      </c>
      <c r="N476" s="504">
        <v>0</v>
      </c>
      <c r="O476" s="505">
        <v>0</v>
      </c>
    </row>
    <row r="477" spans="1:15" x14ac:dyDescent="0.35">
      <c r="A477" s="500" t="s">
        <v>1459</v>
      </c>
      <c r="B477" s="501" t="s">
        <v>3063</v>
      </c>
      <c r="C477" s="501" t="s">
        <v>1094</v>
      </c>
      <c r="D477" s="501" t="s">
        <v>3380</v>
      </c>
      <c r="E477" s="501" t="s">
        <v>3381</v>
      </c>
      <c r="F477" s="501" t="s">
        <v>454</v>
      </c>
      <c r="G477" s="501" t="s">
        <v>455</v>
      </c>
      <c r="H477" s="501" t="s">
        <v>3783</v>
      </c>
      <c r="I477" s="501">
        <v>469</v>
      </c>
      <c r="J477" s="501">
        <v>355</v>
      </c>
      <c r="K477" s="501">
        <v>0</v>
      </c>
      <c r="L477" s="501">
        <v>12</v>
      </c>
      <c r="M477" s="501">
        <v>0</v>
      </c>
      <c r="N477" s="501">
        <v>0</v>
      </c>
      <c r="O477" s="506">
        <v>102</v>
      </c>
    </row>
    <row r="478" spans="1:15" x14ac:dyDescent="0.35">
      <c r="A478" s="503" t="s">
        <v>1105</v>
      </c>
      <c r="B478" s="504">
        <v>4668</v>
      </c>
      <c r="C478" s="504" t="s">
        <v>1094</v>
      </c>
      <c r="D478" s="504" t="s">
        <v>3380</v>
      </c>
      <c r="E478" s="504" t="s">
        <v>3381</v>
      </c>
      <c r="F478" s="504" t="s">
        <v>454</v>
      </c>
      <c r="G478" s="504" t="s">
        <v>455</v>
      </c>
      <c r="H478" s="504" t="s">
        <v>3784</v>
      </c>
      <c r="I478" s="504">
        <v>3</v>
      </c>
      <c r="J478" s="504">
        <v>0</v>
      </c>
      <c r="K478" s="504">
        <v>0</v>
      </c>
      <c r="L478" s="504">
        <v>0</v>
      </c>
      <c r="M478" s="504">
        <v>0</v>
      </c>
      <c r="N478" s="504">
        <v>0</v>
      </c>
      <c r="O478" s="505">
        <v>3</v>
      </c>
    </row>
    <row r="479" spans="1:15" x14ac:dyDescent="0.35">
      <c r="A479" s="500" t="s">
        <v>1109</v>
      </c>
      <c r="B479" s="501" t="s">
        <v>2959</v>
      </c>
      <c r="C479" s="501" t="s">
        <v>1094</v>
      </c>
      <c r="D479" s="501" t="s">
        <v>3380</v>
      </c>
      <c r="E479" s="501" t="s">
        <v>3381</v>
      </c>
      <c r="F479" s="501" t="s">
        <v>454</v>
      </c>
      <c r="G479" s="501" t="s">
        <v>455</v>
      </c>
      <c r="H479" s="501" t="s">
        <v>3785</v>
      </c>
      <c r="I479" s="501">
        <v>139</v>
      </c>
      <c r="J479" s="501">
        <v>0</v>
      </c>
      <c r="K479" s="501">
        <v>0</v>
      </c>
      <c r="L479" s="501">
        <v>0</v>
      </c>
      <c r="M479" s="501">
        <v>139</v>
      </c>
      <c r="N479" s="501">
        <v>0</v>
      </c>
      <c r="O479" s="506">
        <v>0</v>
      </c>
    </row>
    <row r="480" spans="1:15" x14ac:dyDescent="0.35">
      <c r="A480" s="503" t="s">
        <v>1189</v>
      </c>
      <c r="B480" s="504" t="s">
        <v>3236</v>
      </c>
      <c r="C480" s="504" t="s">
        <v>1094</v>
      </c>
      <c r="D480" s="504" t="s">
        <v>3380</v>
      </c>
      <c r="E480" s="504" t="s">
        <v>3381</v>
      </c>
      <c r="F480" s="504" t="s">
        <v>454</v>
      </c>
      <c r="G480" s="504" t="s">
        <v>455</v>
      </c>
      <c r="H480" s="504" t="s">
        <v>3786</v>
      </c>
      <c r="I480" s="504">
        <v>657</v>
      </c>
      <c r="J480" s="504">
        <v>462</v>
      </c>
      <c r="K480" s="504">
        <v>3</v>
      </c>
      <c r="L480" s="504">
        <v>22</v>
      </c>
      <c r="M480" s="504">
        <v>46</v>
      </c>
      <c r="N480" s="504">
        <v>7</v>
      </c>
      <c r="O480" s="505">
        <v>124</v>
      </c>
    </row>
    <row r="481" spans="1:15" x14ac:dyDescent="0.35">
      <c r="A481" s="500" t="s">
        <v>1481</v>
      </c>
      <c r="B481" s="501" t="s">
        <v>3083</v>
      </c>
      <c r="C481" s="501" t="s">
        <v>1089</v>
      </c>
      <c r="D481" s="501" t="s">
        <v>3392</v>
      </c>
      <c r="E481" s="501" t="s">
        <v>3381</v>
      </c>
      <c r="F481" s="501" t="s">
        <v>454</v>
      </c>
      <c r="G481" s="501" t="s">
        <v>455</v>
      </c>
      <c r="H481" s="501" t="s">
        <v>3787</v>
      </c>
      <c r="I481" s="501">
        <v>99</v>
      </c>
      <c r="J481" s="501">
        <v>48</v>
      </c>
      <c r="K481" s="501">
        <v>0</v>
      </c>
      <c r="L481" s="501">
        <v>0</v>
      </c>
      <c r="M481" s="501">
        <v>51</v>
      </c>
      <c r="N481" s="501">
        <v>0</v>
      </c>
      <c r="O481" s="506">
        <v>0</v>
      </c>
    </row>
    <row r="482" spans="1:15" x14ac:dyDescent="0.35">
      <c r="A482" s="503" t="s">
        <v>1202</v>
      </c>
      <c r="B482" s="504" t="s">
        <v>3217</v>
      </c>
      <c r="C482" s="504" t="s">
        <v>1094</v>
      </c>
      <c r="D482" s="504" t="s">
        <v>3380</v>
      </c>
      <c r="E482" s="504" t="s">
        <v>3381</v>
      </c>
      <c r="F482" s="504" t="s">
        <v>454</v>
      </c>
      <c r="G482" s="504" t="s">
        <v>455</v>
      </c>
      <c r="H482" s="504" t="s">
        <v>3788</v>
      </c>
      <c r="I482" s="504">
        <v>5031</v>
      </c>
      <c r="J482" s="504">
        <v>4011</v>
      </c>
      <c r="K482" s="504">
        <v>2</v>
      </c>
      <c r="L482" s="504">
        <v>32</v>
      </c>
      <c r="M482" s="504">
        <v>457</v>
      </c>
      <c r="N482" s="504">
        <v>30</v>
      </c>
      <c r="O482" s="505">
        <v>529</v>
      </c>
    </row>
    <row r="483" spans="1:15" x14ac:dyDescent="0.35">
      <c r="A483" s="500" t="s">
        <v>1114</v>
      </c>
      <c r="B483" s="501" t="s">
        <v>2982</v>
      </c>
      <c r="C483" s="501" t="s">
        <v>1094</v>
      </c>
      <c r="D483" s="501" t="s">
        <v>3380</v>
      </c>
      <c r="E483" s="501" t="s">
        <v>3381</v>
      </c>
      <c r="F483" s="501" t="s">
        <v>454</v>
      </c>
      <c r="G483" s="501" t="s">
        <v>455</v>
      </c>
      <c r="H483" s="501" t="s">
        <v>3789</v>
      </c>
      <c r="I483" s="501">
        <v>589</v>
      </c>
      <c r="J483" s="501">
        <v>234</v>
      </c>
      <c r="K483" s="501">
        <v>0</v>
      </c>
      <c r="L483" s="501">
        <v>23</v>
      </c>
      <c r="M483" s="501">
        <v>217</v>
      </c>
      <c r="N483" s="501">
        <v>0</v>
      </c>
      <c r="O483" s="506">
        <v>115</v>
      </c>
    </row>
    <row r="484" spans="1:15" x14ac:dyDescent="0.35">
      <c r="A484" s="503" t="s">
        <v>1319</v>
      </c>
      <c r="B484" s="504">
        <v>4880</v>
      </c>
      <c r="C484" s="504" t="s">
        <v>1094</v>
      </c>
      <c r="D484" s="504" t="s">
        <v>3380</v>
      </c>
      <c r="E484" s="504" t="s">
        <v>3381</v>
      </c>
      <c r="F484" s="504" t="s">
        <v>454</v>
      </c>
      <c r="G484" s="504" t="s">
        <v>455</v>
      </c>
      <c r="H484" s="504" t="s">
        <v>3790</v>
      </c>
      <c r="I484" s="504">
        <v>108</v>
      </c>
      <c r="J484" s="504">
        <v>108</v>
      </c>
      <c r="K484" s="504">
        <v>0</v>
      </c>
      <c r="L484" s="504">
        <v>0</v>
      </c>
      <c r="M484" s="504">
        <v>0</v>
      </c>
      <c r="N484" s="504">
        <v>0</v>
      </c>
      <c r="O484" s="505">
        <v>0</v>
      </c>
    </row>
    <row r="485" spans="1:15" x14ac:dyDescent="0.35">
      <c r="A485" s="500" t="s">
        <v>1322</v>
      </c>
      <c r="B485" s="501" t="s">
        <v>3244</v>
      </c>
      <c r="C485" s="501" t="s">
        <v>1094</v>
      </c>
      <c r="D485" s="501" t="s">
        <v>3380</v>
      </c>
      <c r="E485" s="501" t="s">
        <v>3381</v>
      </c>
      <c r="F485" s="501" t="s">
        <v>454</v>
      </c>
      <c r="G485" s="501" t="s">
        <v>455</v>
      </c>
      <c r="H485" s="501" t="s">
        <v>3791</v>
      </c>
      <c r="I485" s="501">
        <v>2</v>
      </c>
      <c r="J485" s="501">
        <v>1</v>
      </c>
      <c r="K485" s="501">
        <v>0</v>
      </c>
      <c r="L485" s="501">
        <v>0</v>
      </c>
      <c r="M485" s="501">
        <v>0</v>
      </c>
      <c r="N485" s="501">
        <v>0</v>
      </c>
      <c r="O485" s="506">
        <v>1</v>
      </c>
    </row>
    <row r="486" spans="1:15" x14ac:dyDescent="0.35">
      <c r="A486" s="503" t="s">
        <v>1217</v>
      </c>
      <c r="B486" s="504">
        <v>4851</v>
      </c>
      <c r="C486" s="504" t="s">
        <v>1094</v>
      </c>
      <c r="D486" s="504" t="s">
        <v>3380</v>
      </c>
      <c r="E486" s="504" t="s">
        <v>3381</v>
      </c>
      <c r="F486" s="504" t="s">
        <v>454</v>
      </c>
      <c r="G486" s="504" t="s">
        <v>455</v>
      </c>
      <c r="H486" s="504" t="s">
        <v>3792</v>
      </c>
      <c r="I486" s="504">
        <v>6</v>
      </c>
      <c r="J486" s="504">
        <v>0</v>
      </c>
      <c r="K486" s="504">
        <v>0</v>
      </c>
      <c r="L486" s="504">
        <v>6</v>
      </c>
      <c r="M486" s="504">
        <v>0</v>
      </c>
      <c r="N486" s="504">
        <v>0</v>
      </c>
      <c r="O486" s="505">
        <v>0</v>
      </c>
    </row>
    <row r="487" spans="1:15" x14ac:dyDescent="0.35">
      <c r="A487" s="500" t="s">
        <v>1218</v>
      </c>
      <c r="B487" s="501" t="s">
        <v>3147</v>
      </c>
      <c r="C487" s="501" t="s">
        <v>1094</v>
      </c>
      <c r="D487" s="501" t="s">
        <v>3380</v>
      </c>
      <c r="E487" s="501" t="s">
        <v>3381</v>
      </c>
      <c r="F487" s="501" t="s">
        <v>454</v>
      </c>
      <c r="G487" s="501" t="s">
        <v>455</v>
      </c>
      <c r="H487" s="501" t="s">
        <v>3793</v>
      </c>
      <c r="I487" s="501">
        <v>296</v>
      </c>
      <c r="J487" s="501">
        <v>0</v>
      </c>
      <c r="K487" s="501">
        <v>0</v>
      </c>
      <c r="L487" s="501">
        <v>0</v>
      </c>
      <c r="M487" s="501">
        <v>0</v>
      </c>
      <c r="N487" s="501">
        <v>0</v>
      </c>
      <c r="O487" s="506">
        <v>296</v>
      </c>
    </row>
    <row r="488" spans="1:15" x14ac:dyDescent="0.35">
      <c r="A488" s="503" t="s">
        <v>11367</v>
      </c>
      <c r="B488" s="504" t="s">
        <v>3143</v>
      </c>
      <c r="C488" s="504" t="s">
        <v>1094</v>
      </c>
      <c r="D488" s="504" t="s">
        <v>3380</v>
      </c>
      <c r="E488" s="504" t="s">
        <v>3381</v>
      </c>
      <c r="F488" s="504" t="s">
        <v>454</v>
      </c>
      <c r="G488" s="504" t="s">
        <v>455</v>
      </c>
      <c r="H488" s="504" t="s">
        <v>11904</v>
      </c>
      <c r="I488" s="504">
        <v>3871</v>
      </c>
      <c r="J488" s="504">
        <v>3628</v>
      </c>
      <c r="K488" s="504">
        <v>0</v>
      </c>
      <c r="L488" s="504">
        <v>18</v>
      </c>
      <c r="M488" s="504">
        <v>224</v>
      </c>
      <c r="N488" s="504">
        <v>3</v>
      </c>
      <c r="O488" s="505">
        <v>1</v>
      </c>
    </row>
    <row r="489" spans="1:15" x14ac:dyDescent="0.35">
      <c r="A489" s="500" t="s">
        <v>1220</v>
      </c>
      <c r="B489" s="501">
        <v>4849</v>
      </c>
      <c r="C489" s="501" t="s">
        <v>1094</v>
      </c>
      <c r="D489" s="501" t="s">
        <v>3380</v>
      </c>
      <c r="E489" s="501" t="s">
        <v>3381</v>
      </c>
      <c r="F489" s="501" t="s">
        <v>454</v>
      </c>
      <c r="G489" s="501" t="s">
        <v>455</v>
      </c>
      <c r="H489" s="501" t="s">
        <v>3794</v>
      </c>
      <c r="I489" s="501">
        <v>12</v>
      </c>
      <c r="J489" s="501">
        <v>7</v>
      </c>
      <c r="K489" s="501">
        <v>0</v>
      </c>
      <c r="L489" s="501">
        <v>0</v>
      </c>
      <c r="M489" s="501">
        <v>0</v>
      </c>
      <c r="N489" s="501">
        <v>0</v>
      </c>
      <c r="O489" s="506">
        <v>5</v>
      </c>
    </row>
    <row r="490" spans="1:15" x14ac:dyDescent="0.35">
      <c r="A490" s="503" t="s">
        <v>1332</v>
      </c>
      <c r="B490" s="504">
        <v>4878</v>
      </c>
      <c r="C490" s="504" t="s">
        <v>1094</v>
      </c>
      <c r="D490" s="504" t="s">
        <v>3380</v>
      </c>
      <c r="E490" s="504" t="s">
        <v>3381</v>
      </c>
      <c r="F490" s="504" t="s">
        <v>454</v>
      </c>
      <c r="G490" s="504" t="s">
        <v>455</v>
      </c>
      <c r="H490" s="504" t="s">
        <v>3795</v>
      </c>
      <c r="I490" s="504">
        <v>2558</v>
      </c>
      <c r="J490" s="504">
        <v>2400</v>
      </c>
      <c r="K490" s="504">
        <v>0</v>
      </c>
      <c r="L490" s="504">
        <v>0</v>
      </c>
      <c r="M490" s="504">
        <v>0</v>
      </c>
      <c r="N490" s="504">
        <v>0</v>
      </c>
      <c r="O490" s="505">
        <v>158</v>
      </c>
    </row>
    <row r="491" spans="1:15" x14ac:dyDescent="0.35">
      <c r="A491" s="500" t="s">
        <v>1521</v>
      </c>
      <c r="B491" s="501" t="s">
        <v>2797</v>
      </c>
      <c r="C491" s="501" t="s">
        <v>1089</v>
      </c>
      <c r="D491" s="501" t="s">
        <v>3392</v>
      </c>
      <c r="E491" s="501" t="s">
        <v>3381</v>
      </c>
      <c r="F491" s="501" t="s">
        <v>454</v>
      </c>
      <c r="G491" s="501" t="s">
        <v>455</v>
      </c>
      <c r="H491" s="501" t="s">
        <v>3796</v>
      </c>
      <c r="I491" s="501">
        <v>24</v>
      </c>
      <c r="J491" s="501">
        <v>24</v>
      </c>
      <c r="K491" s="501">
        <v>0</v>
      </c>
      <c r="L491" s="501">
        <v>0</v>
      </c>
      <c r="M491" s="501">
        <v>0</v>
      </c>
      <c r="N491" s="501">
        <v>0</v>
      </c>
      <c r="O491" s="506">
        <v>0</v>
      </c>
    </row>
    <row r="492" spans="1:15" x14ac:dyDescent="0.35">
      <c r="A492" s="503" t="s">
        <v>1122</v>
      </c>
      <c r="B492" s="504" t="s">
        <v>2994</v>
      </c>
      <c r="C492" s="504" t="s">
        <v>1094</v>
      </c>
      <c r="D492" s="504" t="s">
        <v>3380</v>
      </c>
      <c r="E492" s="504" t="s">
        <v>3381</v>
      </c>
      <c r="F492" s="504" t="s">
        <v>454</v>
      </c>
      <c r="G492" s="504" t="s">
        <v>455</v>
      </c>
      <c r="H492" s="504" t="s">
        <v>3797</v>
      </c>
      <c r="I492" s="504">
        <v>1</v>
      </c>
      <c r="J492" s="504">
        <v>1</v>
      </c>
      <c r="K492" s="504">
        <v>0</v>
      </c>
      <c r="L492" s="504">
        <v>0</v>
      </c>
      <c r="M492" s="504">
        <v>0</v>
      </c>
      <c r="N492" s="504">
        <v>0</v>
      </c>
      <c r="O492" s="505">
        <v>0</v>
      </c>
    </row>
    <row r="493" spans="1:15" x14ac:dyDescent="0.35">
      <c r="A493" s="500" t="s">
        <v>1124</v>
      </c>
      <c r="B493" s="501">
        <v>4745</v>
      </c>
      <c r="C493" s="501" t="s">
        <v>1094</v>
      </c>
      <c r="D493" s="501" t="s">
        <v>3380</v>
      </c>
      <c r="E493" s="501" t="s">
        <v>3381</v>
      </c>
      <c r="F493" s="501" t="s">
        <v>454</v>
      </c>
      <c r="G493" s="501" t="s">
        <v>455</v>
      </c>
      <c r="H493" s="501" t="s">
        <v>3798</v>
      </c>
      <c r="I493" s="501">
        <v>10</v>
      </c>
      <c r="J493" s="501">
        <v>0</v>
      </c>
      <c r="K493" s="501">
        <v>0</v>
      </c>
      <c r="L493" s="501">
        <v>10</v>
      </c>
      <c r="M493" s="501">
        <v>0</v>
      </c>
      <c r="N493" s="501">
        <v>0</v>
      </c>
      <c r="O493" s="506">
        <v>0</v>
      </c>
    </row>
    <row r="494" spans="1:15" x14ac:dyDescent="0.35">
      <c r="A494" s="503" t="s">
        <v>1126</v>
      </c>
      <c r="B494" s="504" t="s">
        <v>2974</v>
      </c>
      <c r="C494" s="504" t="s">
        <v>1094</v>
      </c>
      <c r="D494" s="504" t="s">
        <v>3380</v>
      </c>
      <c r="E494" s="504" t="s">
        <v>3381</v>
      </c>
      <c r="F494" s="504" t="s">
        <v>454</v>
      </c>
      <c r="G494" s="504" t="s">
        <v>455</v>
      </c>
      <c r="H494" s="504" t="s">
        <v>3799</v>
      </c>
      <c r="I494" s="504">
        <v>1</v>
      </c>
      <c r="J494" s="504">
        <v>0</v>
      </c>
      <c r="K494" s="504">
        <v>0</v>
      </c>
      <c r="L494" s="504">
        <v>0</v>
      </c>
      <c r="M494" s="504">
        <v>0</v>
      </c>
      <c r="N494" s="504">
        <v>0</v>
      </c>
      <c r="O494" s="505">
        <v>1</v>
      </c>
    </row>
    <row r="495" spans="1:15" x14ac:dyDescent="0.35">
      <c r="A495" s="500" t="s">
        <v>1130</v>
      </c>
      <c r="B495" s="501" t="s">
        <v>3234</v>
      </c>
      <c r="C495" s="501" t="s">
        <v>1094</v>
      </c>
      <c r="D495" s="501" t="s">
        <v>3380</v>
      </c>
      <c r="E495" s="501" t="s">
        <v>3381</v>
      </c>
      <c r="F495" s="501" t="s">
        <v>454</v>
      </c>
      <c r="G495" s="501" t="s">
        <v>455</v>
      </c>
      <c r="H495" s="501" t="s">
        <v>3800</v>
      </c>
      <c r="I495" s="501">
        <v>14</v>
      </c>
      <c r="J495" s="501">
        <v>5</v>
      </c>
      <c r="K495" s="501">
        <v>0</v>
      </c>
      <c r="L495" s="501">
        <v>0</v>
      </c>
      <c r="M495" s="501">
        <v>0</v>
      </c>
      <c r="N495" s="501">
        <v>0</v>
      </c>
      <c r="O495" s="506">
        <v>9</v>
      </c>
    </row>
    <row r="496" spans="1:15" x14ac:dyDescent="0.35">
      <c r="A496" s="503" t="s">
        <v>1559</v>
      </c>
      <c r="B496" s="504" t="s">
        <v>3252</v>
      </c>
      <c r="C496" s="504" t="s">
        <v>1089</v>
      </c>
      <c r="D496" s="504" t="s">
        <v>3392</v>
      </c>
      <c r="E496" s="504" t="s">
        <v>3381</v>
      </c>
      <c r="F496" s="504" t="s">
        <v>454</v>
      </c>
      <c r="G496" s="504" t="s">
        <v>455</v>
      </c>
      <c r="H496" s="504" t="s">
        <v>3801</v>
      </c>
      <c r="I496" s="504">
        <v>22</v>
      </c>
      <c r="J496" s="504">
        <v>22</v>
      </c>
      <c r="K496" s="504">
        <v>0</v>
      </c>
      <c r="L496" s="504">
        <v>0</v>
      </c>
      <c r="M496" s="504">
        <v>0</v>
      </c>
      <c r="N496" s="504">
        <v>0</v>
      </c>
      <c r="O496" s="505">
        <v>0</v>
      </c>
    </row>
    <row r="497" spans="1:15" x14ac:dyDescent="0.35">
      <c r="A497" s="500" t="s">
        <v>1253</v>
      </c>
      <c r="B497" s="501" t="s">
        <v>3232</v>
      </c>
      <c r="C497" s="501" t="s">
        <v>1094</v>
      </c>
      <c r="D497" s="501" t="s">
        <v>3380</v>
      </c>
      <c r="E497" s="501" t="s">
        <v>3381</v>
      </c>
      <c r="F497" s="501" t="s">
        <v>454</v>
      </c>
      <c r="G497" s="501" t="s">
        <v>455</v>
      </c>
      <c r="H497" s="501" t="s">
        <v>3802</v>
      </c>
      <c r="I497" s="501">
        <v>135</v>
      </c>
      <c r="J497" s="501">
        <v>135</v>
      </c>
      <c r="K497" s="501">
        <v>0</v>
      </c>
      <c r="L497" s="501">
        <v>0</v>
      </c>
      <c r="M497" s="501">
        <v>0</v>
      </c>
      <c r="N497" s="501">
        <v>0</v>
      </c>
      <c r="O497" s="506">
        <v>0</v>
      </c>
    </row>
    <row r="498" spans="1:15" x14ac:dyDescent="0.35">
      <c r="A498" s="503" t="s">
        <v>1580</v>
      </c>
      <c r="B498" s="504" t="s">
        <v>2812</v>
      </c>
      <c r="C498" s="504" t="s">
        <v>1089</v>
      </c>
      <c r="D498" s="504" t="s">
        <v>3392</v>
      </c>
      <c r="E498" s="504" t="s">
        <v>3381</v>
      </c>
      <c r="F498" s="504" t="s">
        <v>454</v>
      </c>
      <c r="G498" s="504" t="s">
        <v>455</v>
      </c>
      <c r="H498" s="504" t="s">
        <v>3803</v>
      </c>
      <c r="I498" s="504">
        <v>32</v>
      </c>
      <c r="J498" s="504">
        <v>32</v>
      </c>
      <c r="K498" s="504">
        <v>0</v>
      </c>
      <c r="L498" s="504">
        <v>0</v>
      </c>
      <c r="M498" s="504">
        <v>0</v>
      </c>
      <c r="N498" s="504">
        <v>0</v>
      </c>
      <c r="O498" s="505">
        <v>0</v>
      </c>
    </row>
    <row r="499" spans="1:15" x14ac:dyDescent="0.35">
      <c r="A499" s="500" t="s">
        <v>1260</v>
      </c>
      <c r="B499" s="501">
        <v>4645</v>
      </c>
      <c r="C499" s="501" t="s">
        <v>1089</v>
      </c>
      <c r="D499" s="501" t="s">
        <v>3392</v>
      </c>
      <c r="E499" s="501" t="s">
        <v>3381</v>
      </c>
      <c r="F499" s="501" t="s">
        <v>454</v>
      </c>
      <c r="G499" s="501" t="s">
        <v>455</v>
      </c>
      <c r="H499" s="501" t="s">
        <v>3804</v>
      </c>
      <c r="I499" s="501">
        <v>11</v>
      </c>
      <c r="J499" s="501">
        <v>0</v>
      </c>
      <c r="K499" s="501">
        <v>0</v>
      </c>
      <c r="L499" s="501">
        <v>11</v>
      </c>
      <c r="M499" s="501">
        <v>0</v>
      </c>
      <c r="N499" s="501">
        <v>0</v>
      </c>
      <c r="O499" s="506">
        <v>0</v>
      </c>
    </row>
    <row r="500" spans="1:15" x14ac:dyDescent="0.35">
      <c r="A500" s="503" t="s">
        <v>1587</v>
      </c>
      <c r="B500" s="504" t="s">
        <v>2978</v>
      </c>
      <c r="C500" s="504" t="s">
        <v>1094</v>
      </c>
      <c r="D500" s="504" t="s">
        <v>3380</v>
      </c>
      <c r="E500" s="504" t="s">
        <v>3381</v>
      </c>
      <c r="F500" s="504" t="s">
        <v>454</v>
      </c>
      <c r="G500" s="504" t="s">
        <v>455</v>
      </c>
      <c r="H500" s="504" t="s">
        <v>3805</v>
      </c>
      <c r="I500" s="504">
        <v>1</v>
      </c>
      <c r="J500" s="504">
        <v>0</v>
      </c>
      <c r="K500" s="504">
        <v>0</v>
      </c>
      <c r="L500" s="504">
        <v>0</v>
      </c>
      <c r="M500" s="504">
        <v>0</v>
      </c>
      <c r="N500" s="504">
        <v>0</v>
      </c>
      <c r="O500" s="505">
        <v>1</v>
      </c>
    </row>
    <row r="501" spans="1:15" x14ac:dyDescent="0.35">
      <c r="A501" s="500" t="s">
        <v>1600</v>
      </c>
      <c r="B501" s="501" t="s">
        <v>2721</v>
      </c>
      <c r="C501" s="501" t="s">
        <v>1089</v>
      </c>
      <c r="D501" s="501" t="s">
        <v>3392</v>
      </c>
      <c r="E501" s="501" t="s">
        <v>3381</v>
      </c>
      <c r="F501" s="501" t="s">
        <v>454</v>
      </c>
      <c r="G501" s="501" t="s">
        <v>455</v>
      </c>
      <c r="H501" s="501" t="s">
        <v>3806</v>
      </c>
      <c r="I501" s="501">
        <v>83</v>
      </c>
      <c r="J501" s="501">
        <v>83</v>
      </c>
      <c r="K501" s="501">
        <v>0</v>
      </c>
      <c r="L501" s="501">
        <v>0</v>
      </c>
      <c r="M501" s="501">
        <v>0</v>
      </c>
      <c r="N501" s="501">
        <v>0</v>
      </c>
      <c r="O501" s="506">
        <v>0</v>
      </c>
    </row>
    <row r="502" spans="1:15" x14ac:dyDescent="0.35">
      <c r="A502" s="503" t="s">
        <v>2054</v>
      </c>
      <c r="B502" s="504" t="s">
        <v>2758</v>
      </c>
      <c r="C502" s="504" t="s">
        <v>1089</v>
      </c>
      <c r="D502" s="504" t="s">
        <v>3392</v>
      </c>
      <c r="E502" s="504" t="s">
        <v>3381</v>
      </c>
      <c r="F502" s="504" t="s">
        <v>456</v>
      </c>
      <c r="G502" s="504" t="s">
        <v>457</v>
      </c>
      <c r="H502" s="504" t="s">
        <v>3807</v>
      </c>
      <c r="I502" s="504">
        <v>49</v>
      </c>
      <c r="J502" s="504">
        <v>49</v>
      </c>
      <c r="K502" s="504">
        <v>0</v>
      </c>
      <c r="L502" s="504">
        <v>0</v>
      </c>
      <c r="M502" s="504">
        <v>0</v>
      </c>
      <c r="N502" s="504">
        <v>0</v>
      </c>
      <c r="O502" s="505">
        <v>0</v>
      </c>
    </row>
    <row r="503" spans="1:15" x14ac:dyDescent="0.35">
      <c r="A503" s="500" t="s">
        <v>1609</v>
      </c>
      <c r="B503" s="501">
        <v>4758</v>
      </c>
      <c r="C503" s="501" t="s">
        <v>1089</v>
      </c>
      <c r="D503" s="501" t="s">
        <v>3392</v>
      </c>
      <c r="E503" s="501" t="s">
        <v>3381</v>
      </c>
      <c r="F503" s="501" t="s">
        <v>456</v>
      </c>
      <c r="G503" s="501" t="s">
        <v>457</v>
      </c>
      <c r="H503" s="501" t="s">
        <v>3808</v>
      </c>
      <c r="I503" s="501">
        <v>644</v>
      </c>
      <c r="J503" s="501">
        <v>0</v>
      </c>
      <c r="K503" s="501">
        <v>0</v>
      </c>
      <c r="L503" s="501">
        <v>644</v>
      </c>
      <c r="M503" s="501">
        <v>0</v>
      </c>
      <c r="N503" s="501">
        <v>0</v>
      </c>
      <c r="O503" s="506">
        <v>0</v>
      </c>
    </row>
    <row r="504" spans="1:15" x14ac:dyDescent="0.35">
      <c r="A504" s="503" t="s">
        <v>1147</v>
      </c>
      <c r="B504" s="504" t="s">
        <v>3274</v>
      </c>
      <c r="C504" s="504" t="s">
        <v>1089</v>
      </c>
      <c r="D504" s="504" t="s">
        <v>3392</v>
      </c>
      <c r="E504" s="504" t="s">
        <v>3381</v>
      </c>
      <c r="F504" s="504" t="s">
        <v>456</v>
      </c>
      <c r="G504" s="504" t="s">
        <v>457</v>
      </c>
      <c r="H504" s="504" t="s">
        <v>3809</v>
      </c>
      <c r="I504" s="504">
        <v>254</v>
      </c>
      <c r="J504" s="504">
        <v>0</v>
      </c>
      <c r="K504" s="504">
        <v>1</v>
      </c>
      <c r="L504" s="504">
        <v>253</v>
      </c>
      <c r="M504" s="504">
        <v>0</v>
      </c>
      <c r="N504" s="504">
        <v>0</v>
      </c>
      <c r="O504" s="505">
        <v>0</v>
      </c>
    </row>
    <row r="505" spans="1:15" x14ac:dyDescent="0.35">
      <c r="A505" s="500" t="s">
        <v>1093</v>
      </c>
      <c r="B505" s="501" t="s">
        <v>3248</v>
      </c>
      <c r="C505" s="501" t="s">
        <v>1094</v>
      </c>
      <c r="D505" s="501" t="s">
        <v>3380</v>
      </c>
      <c r="E505" s="501" t="s">
        <v>3381</v>
      </c>
      <c r="F505" s="501" t="s">
        <v>456</v>
      </c>
      <c r="G505" s="501" t="s">
        <v>457</v>
      </c>
      <c r="H505" s="501" t="s">
        <v>3810</v>
      </c>
      <c r="I505" s="501">
        <v>35</v>
      </c>
      <c r="J505" s="501">
        <v>0</v>
      </c>
      <c r="K505" s="501">
        <v>0</v>
      </c>
      <c r="L505" s="501">
        <v>22</v>
      </c>
      <c r="M505" s="501">
        <v>0</v>
      </c>
      <c r="N505" s="501">
        <v>0</v>
      </c>
      <c r="O505" s="506">
        <v>13</v>
      </c>
    </row>
    <row r="506" spans="1:15" x14ac:dyDescent="0.35">
      <c r="A506" s="503" t="s">
        <v>2055</v>
      </c>
      <c r="B506" s="504" t="s">
        <v>2729</v>
      </c>
      <c r="C506" s="504" t="s">
        <v>1089</v>
      </c>
      <c r="D506" s="504" t="s">
        <v>3392</v>
      </c>
      <c r="E506" s="504" t="s">
        <v>3381</v>
      </c>
      <c r="F506" s="504" t="s">
        <v>456</v>
      </c>
      <c r="G506" s="504" t="s">
        <v>457</v>
      </c>
      <c r="H506" s="504" t="s">
        <v>3811</v>
      </c>
      <c r="I506" s="504">
        <v>33</v>
      </c>
      <c r="J506" s="504">
        <v>33</v>
      </c>
      <c r="K506" s="504">
        <v>0</v>
      </c>
      <c r="L506" s="504">
        <v>0</v>
      </c>
      <c r="M506" s="504">
        <v>0</v>
      </c>
      <c r="N506" s="504">
        <v>0</v>
      </c>
      <c r="O506" s="505">
        <v>0</v>
      </c>
    </row>
    <row r="507" spans="1:15" x14ac:dyDescent="0.35">
      <c r="A507" s="500" t="s">
        <v>1096</v>
      </c>
      <c r="B507" s="501" t="s">
        <v>3326</v>
      </c>
      <c r="C507" s="501" t="s">
        <v>1094</v>
      </c>
      <c r="D507" s="501" t="s">
        <v>3380</v>
      </c>
      <c r="E507" s="501" t="s">
        <v>3381</v>
      </c>
      <c r="F507" s="501" t="s">
        <v>456</v>
      </c>
      <c r="G507" s="501" t="s">
        <v>457</v>
      </c>
      <c r="H507" s="501" t="s">
        <v>3812</v>
      </c>
      <c r="I507" s="501">
        <v>1005</v>
      </c>
      <c r="J507" s="501">
        <v>0</v>
      </c>
      <c r="K507" s="501">
        <v>0</v>
      </c>
      <c r="L507" s="501">
        <v>0</v>
      </c>
      <c r="M507" s="501">
        <v>898</v>
      </c>
      <c r="N507" s="501">
        <v>22</v>
      </c>
      <c r="O507" s="506">
        <v>107</v>
      </c>
    </row>
    <row r="508" spans="1:15" x14ac:dyDescent="0.35">
      <c r="A508" s="503" t="s">
        <v>1151</v>
      </c>
      <c r="B508" s="504">
        <v>4726</v>
      </c>
      <c r="C508" s="504" t="s">
        <v>1089</v>
      </c>
      <c r="D508" s="504" t="s">
        <v>3392</v>
      </c>
      <c r="E508" s="504" t="s">
        <v>3381</v>
      </c>
      <c r="F508" s="504" t="s">
        <v>456</v>
      </c>
      <c r="G508" s="504" t="s">
        <v>457</v>
      </c>
      <c r="H508" s="504" t="s">
        <v>14467</v>
      </c>
      <c r="I508" s="504">
        <v>64</v>
      </c>
      <c r="J508" s="504">
        <v>0</v>
      </c>
      <c r="K508" s="504">
        <v>0</v>
      </c>
      <c r="L508" s="504">
        <v>64</v>
      </c>
      <c r="M508" s="504">
        <v>0</v>
      </c>
      <c r="N508" s="504">
        <v>0</v>
      </c>
      <c r="O508" s="505">
        <v>0</v>
      </c>
    </row>
    <row r="509" spans="1:15" x14ac:dyDescent="0.35">
      <c r="A509" s="500" t="s">
        <v>1948</v>
      </c>
      <c r="B509" s="501">
        <v>4716</v>
      </c>
      <c r="C509" s="501" t="s">
        <v>1089</v>
      </c>
      <c r="D509" s="501" t="s">
        <v>3392</v>
      </c>
      <c r="E509" s="501" t="s">
        <v>3381</v>
      </c>
      <c r="F509" s="501" t="s">
        <v>456</v>
      </c>
      <c r="G509" s="501" t="s">
        <v>457</v>
      </c>
      <c r="H509" s="501" t="s">
        <v>3813</v>
      </c>
      <c r="I509" s="501">
        <v>228</v>
      </c>
      <c r="J509" s="501">
        <v>0</v>
      </c>
      <c r="K509" s="501">
        <v>0</v>
      </c>
      <c r="L509" s="501">
        <v>228</v>
      </c>
      <c r="M509" s="501">
        <v>0</v>
      </c>
      <c r="N509" s="501">
        <v>0</v>
      </c>
      <c r="O509" s="506">
        <v>0</v>
      </c>
    </row>
    <row r="510" spans="1:15" x14ac:dyDescent="0.35">
      <c r="A510" s="503" t="s">
        <v>2057</v>
      </c>
      <c r="B510" s="504" t="s">
        <v>2673</v>
      </c>
      <c r="C510" s="504" t="s">
        <v>1089</v>
      </c>
      <c r="D510" s="504" t="s">
        <v>3392</v>
      </c>
      <c r="E510" s="504" t="s">
        <v>3381</v>
      </c>
      <c r="F510" s="504" t="s">
        <v>456</v>
      </c>
      <c r="G510" s="504" t="s">
        <v>457</v>
      </c>
      <c r="H510" s="504" t="s">
        <v>3814</v>
      </c>
      <c r="I510" s="504">
        <v>78</v>
      </c>
      <c r="J510" s="504">
        <v>78</v>
      </c>
      <c r="K510" s="504">
        <v>0</v>
      </c>
      <c r="L510" s="504">
        <v>0</v>
      </c>
      <c r="M510" s="504">
        <v>0</v>
      </c>
      <c r="N510" s="504">
        <v>0</v>
      </c>
      <c r="O510" s="505">
        <v>0</v>
      </c>
    </row>
    <row r="511" spans="1:15" x14ac:dyDescent="0.35">
      <c r="A511" s="500" t="s">
        <v>11363</v>
      </c>
      <c r="B511" s="501">
        <v>4718</v>
      </c>
      <c r="C511" s="501" t="s">
        <v>1094</v>
      </c>
      <c r="D511" s="501" t="s">
        <v>3380</v>
      </c>
      <c r="E511" s="501" t="s">
        <v>3381</v>
      </c>
      <c r="F511" s="501" t="s">
        <v>456</v>
      </c>
      <c r="G511" s="501" t="s">
        <v>457</v>
      </c>
      <c r="H511" s="501" t="s">
        <v>11516</v>
      </c>
      <c r="I511" s="501">
        <v>2</v>
      </c>
      <c r="J511" s="501">
        <v>0</v>
      </c>
      <c r="K511" s="501">
        <v>0</v>
      </c>
      <c r="L511" s="501">
        <v>2</v>
      </c>
      <c r="M511" s="501">
        <v>0</v>
      </c>
      <c r="N511" s="501">
        <v>0</v>
      </c>
      <c r="O511" s="506">
        <v>0</v>
      </c>
    </row>
    <row r="512" spans="1:15" x14ac:dyDescent="0.35">
      <c r="A512" s="503" t="s">
        <v>2058</v>
      </c>
      <c r="B512" s="504" t="s">
        <v>3049</v>
      </c>
      <c r="C512" s="504" t="s">
        <v>1089</v>
      </c>
      <c r="D512" s="504" t="s">
        <v>3392</v>
      </c>
      <c r="E512" s="504" t="s">
        <v>3381</v>
      </c>
      <c r="F512" s="504" t="s">
        <v>456</v>
      </c>
      <c r="G512" s="504" t="s">
        <v>457</v>
      </c>
      <c r="H512" s="504" t="s">
        <v>3815</v>
      </c>
      <c r="I512" s="504">
        <v>215</v>
      </c>
      <c r="J512" s="504">
        <v>215</v>
      </c>
      <c r="K512" s="504">
        <v>0</v>
      </c>
      <c r="L512" s="504">
        <v>0</v>
      </c>
      <c r="M512" s="504">
        <v>0</v>
      </c>
      <c r="N512" s="504">
        <v>0</v>
      </c>
      <c r="O512" s="505">
        <v>0</v>
      </c>
    </row>
    <row r="513" spans="1:15" x14ac:dyDescent="0.35">
      <c r="A513" s="500" t="s">
        <v>2059</v>
      </c>
      <c r="B513" s="501" t="s">
        <v>3108</v>
      </c>
      <c r="C513" s="501" t="s">
        <v>1089</v>
      </c>
      <c r="D513" s="501" t="s">
        <v>3392</v>
      </c>
      <c r="E513" s="501" t="s">
        <v>3381</v>
      </c>
      <c r="F513" s="501" t="s">
        <v>456</v>
      </c>
      <c r="G513" s="501" t="s">
        <v>457</v>
      </c>
      <c r="H513" s="501" t="s">
        <v>3816</v>
      </c>
      <c r="I513" s="501">
        <v>42</v>
      </c>
      <c r="J513" s="501">
        <v>8</v>
      </c>
      <c r="K513" s="501">
        <v>0</v>
      </c>
      <c r="L513" s="501">
        <v>0</v>
      </c>
      <c r="M513" s="501">
        <v>34</v>
      </c>
      <c r="N513" s="501">
        <v>0</v>
      </c>
      <c r="O513" s="506">
        <v>0</v>
      </c>
    </row>
    <row r="514" spans="1:15" x14ac:dyDescent="0.35">
      <c r="A514" s="503" t="s">
        <v>1277</v>
      </c>
      <c r="B514" s="504" t="s">
        <v>3056</v>
      </c>
      <c r="C514" s="504" t="s">
        <v>1089</v>
      </c>
      <c r="D514" s="504" t="s">
        <v>3392</v>
      </c>
      <c r="E514" s="504" t="s">
        <v>3381</v>
      </c>
      <c r="F514" s="504" t="s">
        <v>456</v>
      </c>
      <c r="G514" s="504" t="s">
        <v>457</v>
      </c>
      <c r="H514" s="504" t="s">
        <v>3817</v>
      </c>
      <c r="I514" s="504">
        <v>17</v>
      </c>
      <c r="J514" s="504">
        <v>0</v>
      </c>
      <c r="K514" s="504">
        <v>0</v>
      </c>
      <c r="L514" s="504">
        <v>17</v>
      </c>
      <c r="M514" s="504">
        <v>0</v>
      </c>
      <c r="N514" s="504">
        <v>0</v>
      </c>
      <c r="O514" s="505">
        <v>0</v>
      </c>
    </row>
    <row r="515" spans="1:15" x14ac:dyDescent="0.35">
      <c r="A515" s="500" t="s">
        <v>2060</v>
      </c>
      <c r="B515" s="501" t="s">
        <v>3068</v>
      </c>
      <c r="C515" s="501" t="s">
        <v>1094</v>
      </c>
      <c r="D515" s="501" t="s">
        <v>3380</v>
      </c>
      <c r="E515" s="501" t="s">
        <v>3381</v>
      </c>
      <c r="F515" s="501" t="s">
        <v>456</v>
      </c>
      <c r="G515" s="501" t="s">
        <v>457</v>
      </c>
      <c r="H515" s="501" t="s">
        <v>3818</v>
      </c>
      <c r="I515" s="501">
        <v>88</v>
      </c>
      <c r="J515" s="501">
        <v>55</v>
      </c>
      <c r="K515" s="501">
        <v>0</v>
      </c>
      <c r="L515" s="501">
        <v>0</v>
      </c>
      <c r="M515" s="501">
        <v>0</v>
      </c>
      <c r="N515" s="501">
        <v>0</v>
      </c>
      <c r="O515" s="506">
        <v>33</v>
      </c>
    </row>
    <row r="516" spans="1:15" x14ac:dyDescent="0.35">
      <c r="A516" s="503" t="s">
        <v>2061</v>
      </c>
      <c r="B516" s="504" t="s">
        <v>2754</v>
      </c>
      <c r="C516" s="504" t="s">
        <v>1089</v>
      </c>
      <c r="D516" s="504" t="s">
        <v>3392</v>
      </c>
      <c r="E516" s="504" t="s">
        <v>3381</v>
      </c>
      <c r="F516" s="504" t="s">
        <v>456</v>
      </c>
      <c r="G516" s="504" t="s">
        <v>457</v>
      </c>
      <c r="H516" s="504" t="s">
        <v>3819</v>
      </c>
      <c r="I516" s="504">
        <v>34</v>
      </c>
      <c r="J516" s="504">
        <v>34</v>
      </c>
      <c r="K516" s="504">
        <v>0</v>
      </c>
      <c r="L516" s="504">
        <v>0</v>
      </c>
      <c r="M516" s="504">
        <v>0</v>
      </c>
      <c r="N516" s="504">
        <v>0</v>
      </c>
      <c r="O516" s="505">
        <v>0</v>
      </c>
    </row>
    <row r="517" spans="1:15" x14ac:dyDescent="0.35">
      <c r="A517" s="500" t="s">
        <v>2062</v>
      </c>
      <c r="B517" s="501" t="s">
        <v>3002</v>
      </c>
      <c r="C517" s="501" t="s">
        <v>1094</v>
      </c>
      <c r="D517" s="501" t="s">
        <v>3380</v>
      </c>
      <c r="E517" s="501" t="s">
        <v>3381</v>
      </c>
      <c r="F517" s="501" t="s">
        <v>456</v>
      </c>
      <c r="G517" s="501" t="s">
        <v>457</v>
      </c>
      <c r="H517" s="501" t="s">
        <v>3820</v>
      </c>
      <c r="I517" s="501">
        <v>2602</v>
      </c>
      <c r="J517" s="501">
        <v>2309</v>
      </c>
      <c r="K517" s="501">
        <v>0</v>
      </c>
      <c r="L517" s="501">
        <v>9</v>
      </c>
      <c r="M517" s="501">
        <v>203</v>
      </c>
      <c r="N517" s="501">
        <v>0</v>
      </c>
      <c r="O517" s="506">
        <v>81</v>
      </c>
    </row>
    <row r="518" spans="1:15" x14ac:dyDescent="0.35">
      <c r="A518" s="503" t="s">
        <v>2063</v>
      </c>
      <c r="B518" s="504" t="s">
        <v>2656</v>
      </c>
      <c r="C518" s="504" t="s">
        <v>1089</v>
      </c>
      <c r="D518" s="504" t="s">
        <v>3392</v>
      </c>
      <c r="E518" s="504" t="s">
        <v>3381</v>
      </c>
      <c r="F518" s="504" t="s">
        <v>456</v>
      </c>
      <c r="G518" s="504" t="s">
        <v>457</v>
      </c>
      <c r="H518" s="504" t="s">
        <v>3821</v>
      </c>
      <c r="I518" s="504">
        <v>313</v>
      </c>
      <c r="J518" s="504">
        <v>313</v>
      </c>
      <c r="K518" s="504">
        <v>0</v>
      </c>
      <c r="L518" s="504">
        <v>0</v>
      </c>
      <c r="M518" s="504">
        <v>0</v>
      </c>
      <c r="N518" s="504">
        <v>0</v>
      </c>
      <c r="O518" s="505">
        <v>0</v>
      </c>
    </row>
    <row r="519" spans="1:15" x14ac:dyDescent="0.35">
      <c r="A519" s="500" t="s">
        <v>2065</v>
      </c>
      <c r="B519" s="501" t="s">
        <v>3161</v>
      </c>
      <c r="C519" s="501" t="s">
        <v>1089</v>
      </c>
      <c r="D519" s="501" t="s">
        <v>3392</v>
      </c>
      <c r="E519" s="501" t="s">
        <v>3381</v>
      </c>
      <c r="F519" s="501" t="s">
        <v>456</v>
      </c>
      <c r="G519" s="501" t="s">
        <v>457</v>
      </c>
      <c r="H519" s="501" t="s">
        <v>3822</v>
      </c>
      <c r="I519" s="501">
        <v>148</v>
      </c>
      <c r="J519" s="501">
        <v>0</v>
      </c>
      <c r="K519" s="501">
        <v>0</v>
      </c>
      <c r="L519" s="501">
        <v>0</v>
      </c>
      <c r="M519" s="501">
        <v>148</v>
      </c>
      <c r="N519" s="501">
        <v>0</v>
      </c>
      <c r="O519" s="506">
        <v>0</v>
      </c>
    </row>
    <row r="520" spans="1:15" x14ac:dyDescent="0.35">
      <c r="A520" s="503" t="s">
        <v>1158</v>
      </c>
      <c r="B520" s="504">
        <v>4819</v>
      </c>
      <c r="C520" s="504" t="s">
        <v>1094</v>
      </c>
      <c r="D520" s="504" t="s">
        <v>3380</v>
      </c>
      <c r="E520" s="504" t="s">
        <v>3381</v>
      </c>
      <c r="F520" s="504" t="s">
        <v>456</v>
      </c>
      <c r="G520" s="504" t="s">
        <v>457</v>
      </c>
      <c r="H520" s="504" t="s">
        <v>3823</v>
      </c>
      <c r="I520" s="504">
        <v>2248</v>
      </c>
      <c r="J520" s="504">
        <v>1851</v>
      </c>
      <c r="K520" s="504">
        <v>0</v>
      </c>
      <c r="L520" s="504">
        <v>19</v>
      </c>
      <c r="M520" s="504">
        <v>28</v>
      </c>
      <c r="N520" s="504">
        <v>0</v>
      </c>
      <c r="O520" s="505">
        <v>350</v>
      </c>
    </row>
    <row r="521" spans="1:15" x14ac:dyDescent="0.35">
      <c r="A521" s="500" t="s">
        <v>2066</v>
      </c>
      <c r="B521" s="501" t="s">
        <v>3359</v>
      </c>
      <c r="C521" s="501" t="s">
        <v>1094</v>
      </c>
      <c r="D521" s="501" t="s">
        <v>3380</v>
      </c>
      <c r="E521" s="501" t="s">
        <v>3381</v>
      </c>
      <c r="F521" s="501" t="s">
        <v>456</v>
      </c>
      <c r="G521" s="501" t="s">
        <v>457</v>
      </c>
      <c r="H521" s="501" t="s">
        <v>3824</v>
      </c>
      <c r="I521" s="501">
        <v>16</v>
      </c>
      <c r="J521" s="501">
        <v>9</v>
      </c>
      <c r="K521" s="501">
        <v>0</v>
      </c>
      <c r="L521" s="501">
        <v>0</v>
      </c>
      <c r="M521" s="501">
        <v>0</v>
      </c>
      <c r="N521" s="501">
        <v>0</v>
      </c>
      <c r="O521" s="506">
        <v>7</v>
      </c>
    </row>
    <row r="522" spans="1:15" x14ac:dyDescent="0.35">
      <c r="A522" s="503" t="s">
        <v>1961</v>
      </c>
      <c r="B522" s="504">
        <v>5075</v>
      </c>
      <c r="C522" s="504" t="s">
        <v>1094</v>
      </c>
      <c r="D522" s="504" t="s">
        <v>3380</v>
      </c>
      <c r="E522" s="504" t="s">
        <v>3381</v>
      </c>
      <c r="F522" s="504" t="s">
        <v>456</v>
      </c>
      <c r="G522" s="504" t="s">
        <v>457</v>
      </c>
      <c r="H522" s="504" t="s">
        <v>3825</v>
      </c>
      <c r="I522" s="504">
        <v>5678</v>
      </c>
      <c r="J522" s="504">
        <v>5044</v>
      </c>
      <c r="K522" s="504">
        <v>0</v>
      </c>
      <c r="L522" s="504">
        <v>100</v>
      </c>
      <c r="M522" s="504">
        <v>113</v>
      </c>
      <c r="N522" s="504">
        <v>0</v>
      </c>
      <c r="O522" s="505">
        <v>421</v>
      </c>
    </row>
    <row r="523" spans="1:15" x14ac:dyDescent="0.35">
      <c r="A523" s="500" t="s">
        <v>1100</v>
      </c>
      <c r="B523" s="501">
        <v>4865</v>
      </c>
      <c r="C523" s="501" t="s">
        <v>1094</v>
      </c>
      <c r="D523" s="501" t="s">
        <v>3380</v>
      </c>
      <c r="E523" s="501" t="s">
        <v>3381</v>
      </c>
      <c r="F523" s="501" t="s">
        <v>456</v>
      </c>
      <c r="G523" s="501" t="s">
        <v>457</v>
      </c>
      <c r="H523" s="501" t="s">
        <v>3826</v>
      </c>
      <c r="I523" s="501">
        <v>2210</v>
      </c>
      <c r="J523" s="501">
        <v>1565</v>
      </c>
      <c r="K523" s="501">
        <v>0</v>
      </c>
      <c r="L523" s="501">
        <v>87</v>
      </c>
      <c r="M523" s="501">
        <v>178</v>
      </c>
      <c r="N523" s="501">
        <v>0</v>
      </c>
      <c r="O523" s="506">
        <v>380</v>
      </c>
    </row>
    <row r="524" spans="1:15" x14ac:dyDescent="0.35">
      <c r="A524" s="503" t="s">
        <v>2074</v>
      </c>
      <c r="B524" s="504" t="s">
        <v>2653</v>
      </c>
      <c r="C524" s="504" t="s">
        <v>1089</v>
      </c>
      <c r="D524" s="504" t="s">
        <v>3392</v>
      </c>
      <c r="E524" s="504" t="s">
        <v>3381</v>
      </c>
      <c r="F524" s="504" t="s">
        <v>456</v>
      </c>
      <c r="G524" s="504" t="s">
        <v>457</v>
      </c>
      <c r="H524" s="504" t="s">
        <v>3827</v>
      </c>
      <c r="I524" s="504">
        <v>50</v>
      </c>
      <c r="J524" s="504">
        <v>50</v>
      </c>
      <c r="K524" s="504">
        <v>0</v>
      </c>
      <c r="L524" s="504">
        <v>0</v>
      </c>
      <c r="M524" s="504">
        <v>0</v>
      </c>
      <c r="N524" s="504">
        <v>0</v>
      </c>
      <c r="O524" s="505">
        <v>0</v>
      </c>
    </row>
    <row r="525" spans="1:15" x14ac:dyDescent="0.35">
      <c r="A525" s="500" t="s">
        <v>1167</v>
      </c>
      <c r="B525" s="501">
        <v>4689</v>
      </c>
      <c r="C525" s="501" t="s">
        <v>1089</v>
      </c>
      <c r="D525" s="501" t="s">
        <v>3392</v>
      </c>
      <c r="E525" s="501" t="s">
        <v>3381</v>
      </c>
      <c r="F525" s="501" t="s">
        <v>456</v>
      </c>
      <c r="G525" s="501" t="s">
        <v>457</v>
      </c>
      <c r="H525" s="501" t="s">
        <v>3828</v>
      </c>
      <c r="I525" s="501">
        <v>12</v>
      </c>
      <c r="J525" s="501">
        <v>0</v>
      </c>
      <c r="K525" s="501">
        <v>0</v>
      </c>
      <c r="L525" s="501">
        <v>12</v>
      </c>
      <c r="M525" s="501">
        <v>0</v>
      </c>
      <c r="N525" s="501">
        <v>0</v>
      </c>
      <c r="O525" s="506">
        <v>0</v>
      </c>
    </row>
    <row r="526" spans="1:15" x14ac:dyDescent="0.35">
      <c r="A526" s="503" t="s">
        <v>1172</v>
      </c>
      <c r="B526" s="504">
        <v>4648</v>
      </c>
      <c r="C526" s="504" t="s">
        <v>1089</v>
      </c>
      <c r="D526" s="504" t="s">
        <v>3392</v>
      </c>
      <c r="E526" s="504" t="s">
        <v>3381</v>
      </c>
      <c r="F526" s="504" t="s">
        <v>456</v>
      </c>
      <c r="G526" s="504" t="s">
        <v>457</v>
      </c>
      <c r="H526" s="504" t="s">
        <v>3829</v>
      </c>
      <c r="I526" s="504">
        <v>6</v>
      </c>
      <c r="J526" s="504">
        <v>0</v>
      </c>
      <c r="K526" s="504">
        <v>0</v>
      </c>
      <c r="L526" s="504">
        <v>6</v>
      </c>
      <c r="M526" s="504">
        <v>0</v>
      </c>
      <c r="N526" s="504">
        <v>0</v>
      </c>
      <c r="O526" s="505">
        <v>0</v>
      </c>
    </row>
    <row r="527" spans="1:15" x14ac:dyDescent="0.35">
      <c r="A527" s="500" t="s">
        <v>14189</v>
      </c>
      <c r="B527" s="501">
        <v>4670</v>
      </c>
      <c r="C527" s="501" t="s">
        <v>1089</v>
      </c>
      <c r="D527" s="501" t="s">
        <v>3392</v>
      </c>
      <c r="E527" s="501" t="s">
        <v>3381</v>
      </c>
      <c r="F527" s="501" t="s">
        <v>456</v>
      </c>
      <c r="G527" s="501" t="s">
        <v>457</v>
      </c>
      <c r="H527" s="501" t="s">
        <v>14468</v>
      </c>
      <c r="I527" s="501">
        <v>213</v>
      </c>
      <c r="J527" s="501">
        <v>0</v>
      </c>
      <c r="K527" s="501">
        <v>213</v>
      </c>
      <c r="L527" s="501">
        <v>0</v>
      </c>
      <c r="M527" s="501">
        <v>0</v>
      </c>
      <c r="N527" s="501">
        <v>0</v>
      </c>
      <c r="O527" s="506">
        <v>0</v>
      </c>
    </row>
    <row r="528" spans="1:15" x14ac:dyDescent="0.35">
      <c r="A528" s="503" t="s">
        <v>1975</v>
      </c>
      <c r="B528" s="504" t="s">
        <v>3268</v>
      </c>
      <c r="C528" s="504" t="s">
        <v>1089</v>
      </c>
      <c r="D528" s="504" t="s">
        <v>3392</v>
      </c>
      <c r="E528" s="504" t="s">
        <v>3381</v>
      </c>
      <c r="F528" s="504" t="s">
        <v>456</v>
      </c>
      <c r="G528" s="504" t="s">
        <v>457</v>
      </c>
      <c r="H528" s="504" t="s">
        <v>3830</v>
      </c>
      <c r="I528" s="504">
        <v>54</v>
      </c>
      <c r="J528" s="504">
        <v>54</v>
      </c>
      <c r="K528" s="504">
        <v>0</v>
      </c>
      <c r="L528" s="504">
        <v>0</v>
      </c>
      <c r="M528" s="504">
        <v>0</v>
      </c>
      <c r="N528" s="504">
        <v>0</v>
      </c>
      <c r="O528" s="505">
        <v>0</v>
      </c>
    </row>
    <row r="529" spans="1:15" x14ac:dyDescent="0.35">
      <c r="A529" s="500" t="s">
        <v>2077</v>
      </c>
      <c r="B529" s="501" t="s">
        <v>2540</v>
      </c>
      <c r="C529" s="501" t="s">
        <v>1089</v>
      </c>
      <c r="D529" s="501" t="s">
        <v>3392</v>
      </c>
      <c r="E529" s="501" t="s">
        <v>3381</v>
      </c>
      <c r="F529" s="501" t="s">
        <v>456</v>
      </c>
      <c r="G529" s="501" t="s">
        <v>457</v>
      </c>
      <c r="H529" s="501" t="s">
        <v>3831</v>
      </c>
      <c r="I529" s="501">
        <v>30</v>
      </c>
      <c r="J529" s="501">
        <v>0</v>
      </c>
      <c r="K529" s="501">
        <v>0</v>
      </c>
      <c r="L529" s="501">
        <v>0</v>
      </c>
      <c r="M529" s="501">
        <v>30</v>
      </c>
      <c r="N529" s="501">
        <v>0</v>
      </c>
      <c r="O529" s="506">
        <v>0</v>
      </c>
    </row>
    <row r="530" spans="1:15" x14ac:dyDescent="0.35">
      <c r="A530" s="503" t="s">
        <v>1174</v>
      </c>
      <c r="B530" s="504">
        <v>4784</v>
      </c>
      <c r="C530" s="504" t="s">
        <v>1089</v>
      </c>
      <c r="D530" s="504" t="s">
        <v>3392</v>
      </c>
      <c r="E530" s="504" t="s">
        <v>3381</v>
      </c>
      <c r="F530" s="504" t="s">
        <v>456</v>
      </c>
      <c r="G530" s="504" t="s">
        <v>457</v>
      </c>
      <c r="H530" s="504" t="s">
        <v>3832</v>
      </c>
      <c r="I530" s="504">
        <v>6</v>
      </c>
      <c r="J530" s="504">
        <v>0</v>
      </c>
      <c r="K530" s="504">
        <v>0</v>
      </c>
      <c r="L530" s="504">
        <v>6</v>
      </c>
      <c r="M530" s="504">
        <v>0</v>
      </c>
      <c r="N530" s="504">
        <v>0</v>
      </c>
      <c r="O530" s="505">
        <v>0</v>
      </c>
    </row>
    <row r="531" spans="1:15" x14ac:dyDescent="0.35">
      <c r="A531" s="500" t="s">
        <v>2079</v>
      </c>
      <c r="B531" s="501">
        <v>4774</v>
      </c>
      <c r="C531" s="501" t="s">
        <v>1089</v>
      </c>
      <c r="D531" s="501" t="s">
        <v>3392</v>
      </c>
      <c r="E531" s="501" t="s">
        <v>3381</v>
      </c>
      <c r="F531" s="501" t="s">
        <v>456</v>
      </c>
      <c r="G531" s="501" t="s">
        <v>457</v>
      </c>
      <c r="H531" s="501" t="s">
        <v>3833</v>
      </c>
      <c r="I531" s="501">
        <v>64</v>
      </c>
      <c r="J531" s="501">
        <v>0</v>
      </c>
      <c r="K531" s="501">
        <v>0</v>
      </c>
      <c r="L531" s="501">
        <v>64</v>
      </c>
      <c r="M531" s="501">
        <v>0</v>
      </c>
      <c r="N531" s="501">
        <v>0</v>
      </c>
      <c r="O531" s="506">
        <v>0</v>
      </c>
    </row>
    <row r="532" spans="1:15" x14ac:dyDescent="0.35">
      <c r="A532" s="503" t="s">
        <v>1177</v>
      </c>
      <c r="B532" s="504">
        <v>4702</v>
      </c>
      <c r="C532" s="504" t="s">
        <v>1089</v>
      </c>
      <c r="D532" s="504" t="s">
        <v>3392</v>
      </c>
      <c r="E532" s="504" t="s">
        <v>3381</v>
      </c>
      <c r="F532" s="504" t="s">
        <v>456</v>
      </c>
      <c r="G532" s="504" t="s">
        <v>457</v>
      </c>
      <c r="H532" s="504" t="s">
        <v>3834</v>
      </c>
      <c r="I532" s="504">
        <v>1</v>
      </c>
      <c r="J532" s="504">
        <v>0</v>
      </c>
      <c r="K532" s="504">
        <v>0</v>
      </c>
      <c r="L532" s="504">
        <v>1</v>
      </c>
      <c r="M532" s="504">
        <v>0</v>
      </c>
      <c r="N532" s="504">
        <v>0</v>
      </c>
      <c r="O532" s="505">
        <v>0</v>
      </c>
    </row>
    <row r="533" spans="1:15" x14ac:dyDescent="0.35">
      <c r="A533" s="500" t="s">
        <v>2080</v>
      </c>
      <c r="B533" s="501" t="s">
        <v>2567</v>
      </c>
      <c r="C533" s="501" t="s">
        <v>1089</v>
      </c>
      <c r="D533" s="501" t="s">
        <v>3392</v>
      </c>
      <c r="E533" s="501" t="s">
        <v>3381</v>
      </c>
      <c r="F533" s="501" t="s">
        <v>456</v>
      </c>
      <c r="G533" s="501" t="s">
        <v>457</v>
      </c>
      <c r="H533" s="501" t="s">
        <v>3835</v>
      </c>
      <c r="I533" s="501">
        <v>33</v>
      </c>
      <c r="J533" s="501">
        <v>0</v>
      </c>
      <c r="K533" s="501">
        <v>0</v>
      </c>
      <c r="L533" s="501">
        <v>0</v>
      </c>
      <c r="M533" s="501">
        <v>33</v>
      </c>
      <c r="N533" s="501">
        <v>0</v>
      </c>
      <c r="O533" s="506">
        <v>0</v>
      </c>
    </row>
    <row r="534" spans="1:15" x14ac:dyDescent="0.35">
      <c r="A534" s="503" t="s">
        <v>14208</v>
      </c>
      <c r="B534" s="504">
        <v>4803</v>
      </c>
      <c r="C534" s="504" t="s">
        <v>1094</v>
      </c>
      <c r="D534" s="504" t="s">
        <v>3380</v>
      </c>
      <c r="E534" s="504" t="s">
        <v>3381</v>
      </c>
      <c r="F534" s="504" t="s">
        <v>456</v>
      </c>
      <c r="G534" s="504" t="s">
        <v>457</v>
      </c>
      <c r="H534" s="504" t="s">
        <v>14469</v>
      </c>
      <c r="I534" s="504">
        <v>43</v>
      </c>
      <c r="J534" s="504">
        <v>0</v>
      </c>
      <c r="K534" s="504">
        <v>0</v>
      </c>
      <c r="L534" s="504">
        <v>43</v>
      </c>
      <c r="M534" s="504">
        <v>0</v>
      </c>
      <c r="N534" s="504">
        <v>0</v>
      </c>
      <c r="O534" s="505">
        <v>0</v>
      </c>
    </row>
    <row r="535" spans="1:15" x14ac:dyDescent="0.35">
      <c r="A535" s="500" t="s">
        <v>14213</v>
      </c>
      <c r="B535" s="501" t="s">
        <v>3312</v>
      </c>
      <c r="C535" s="501" t="s">
        <v>1094</v>
      </c>
      <c r="D535" s="501" t="s">
        <v>3380</v>
      </c>
      <c r="E535" s="501" t="s">
        <v>3381</v>
      </c>
      <c r="F535" s="501" t="s">
        <v>456</v>
      </c>
      <c r="G535" s="501" t="s">
        <v>457</v>
      </c>
      <c r="H535" s="501" t="s">
        <v>14470</v>
      </c>
      <c r="I535" s="501">
        <v>2112</v>
      </c>
      <c r="J535" s="501">
        <v>1692</v>
      </c>
      <c r="K535" s="501">
        <v>0</v>
      </c>
      <c r="L535" s="501">
        <v>183</v>
      </c>
      <c r="M535" s="501">
        <v>166</v>
      </c>
      <c r="N535" s="501">
        <v>14</v>
      </c>
      <c r="O535" s="506">
        <v>71</v>
      </c>
    </row>
    <row r="536" spans="1:15" x14ac:dyDescent="0.35">
      <c r="A536" s="503" t="s">
        <v>1185</v>
      </c>
      <c r="B536" s="504" t="s">
        <v>3253</v>
      </c>
      <c r="C536" s="504" t="s">
        <v>1094</v>
      </c>
      <c r="D536" s="504" t="s">
        <v>3380</v>
      </c>
      <c r="E536" s="504" t="s">
        <v>3381</v>
      </c>
      <c r="F536" s="504" t="s">
        <v>456</v>
      </c>
      <c r="G536" s="504" t="s">
        <v>457</v>
      </c>
      <c r="H536" s="504" t="s">
        <v>3836</v>
      </c>
      <c r="I536" s="504">
        <v>52</v>
      </c>
      <c r="J536" s="504">
        <v>12</v>
      </c>
      <c r="K536" s="504">
        <v>0</v>
      </c>
      <c r="L536" s="504">
        <v>40</v>
      </c>
      <c r="M536" s="504">
        <v>0</v>
      </c>
      <c r="N536" s="504">
        <v>0</v>
      </c>
      <c r="O536" s="505">
        <v>0</v>
      </c>
    </row>
    <row r="537" spans="1:15" x14ac:dyDescent="0.35">
      <c r="A537" s="500" t="s">
        <v>1186</v>
      </c>
      <c r="B537" s="501">
        <v>4661</v>
      </c>
      <c r="C537" s="501" t="s">
        <v>1089</v>
      </c>
      <c r="D537" s="501" t="s">
        <v>3392</v>
      </c>
      <c r="E537" s="501" t="s">
        <v>3381</v>
      </c>
      <c r="F537" s="501" t="s">
        <v>456</v>
      </c>
      <c r="G537" s="501" t="s">
        <v>457</v>
      </c>
      <c r="H537" s="501" t="s">
        <v>11721</v>
      </c>
      <c r="I537" s="501">
        <v>16</v>
      </c>
      <c r="J537" s="501">
        <v>0</v>
      </c>
      <c r="K537" s="501">
        <v>0</v>
      </c>
      <c r="L537" s="501">
        <v>16</v>
      </c>
      <c r="M537" s="501">
        <v>0</v>
      </c>
      <c r="N537" s="501">
        <v>0</v>
      </c>
      <c r="O537" s="506">
        <v>0</v>
      </c>
    </row>
    <row r="538" spans="1:15" x14ac:dyDescent="0.35">
      <c r="A538" s="503" t="s">
        <v>2083</v>
      </c>
      <c r="B538" s="504">
        <v>4783</v>
      </c>
      <c r="C538" s="504" t="s">
        <v>1089</v>
      </c>
      <c r="D538" s="504" t="s">
        <v>3392</v>
      </c>
      <c r="E538" s="504" t="s">
        <v>3381</v>
      </c>
      <c r="F538" s="504" t="s">
        <v>456</v>
      </c>
      <c r="G538" s="504" t="s">
        <v>457</v>
      </c>
      <c r="H538" s="504" t="s">
        <v>3837</v>
      </c>
      <c r="I538" s="504">
        <v>268</v>
      </c>
      <c r="J538" s="504">
        <v>58</v>
      </c>
      <c r="K538" s="504">
        <v>0</v>
      </c>
      <c r="L538" s="504">
        <v>210</v>
      </c>
      <c r="M538" s="504">
        <v>0</v>
      </c>
      <c r="N538" s="504">
        <v>0</v>
      </c>
      <c r="O538" s="505">
        <v>0</v>
      </c>
    </row>
    <row r="539" spans="1:15" x14ac:dyDescent="0.35">
      <c r="A539" s="500" t="s">
        <v>2084</v>
      </c>
      <c r="B539" s="501">
        <v>4658</v>
      </c>
      <c r="C539" s="501" t="s">
        <v>1089</v>
      </c>
      <c r="D539" s="501" t="s">
        <v>3392</v>
      </c>
      <c r="E539" s="501" t="s">
        <v>3381</v>
      </c>
      <c r="F539" s="501" t="s">
        <v>456</v>
      </c>
      <c r="G539" s="501" t="s">
        <v>457</v>
      </c>
      <c r="H539" s="501" t="s">
        <v>3838</v>
      </c>
      <c r="I539" s="501">
        <v>557</v>
      </c>
      <c r="J539" s="501">
        <v>0</v>
      </c>
      <c r="K539" s="501">
        <v>4</v>
      </c>
      <c r="L539" s="501">
        <v>553</v>
      </c>
      <c r="M539" s="501">
        <v>0</v>
      </c>
      <c r="N539" s="501">
        <v>0</v>
      </c>
      <c r="O539" s="506">
        <v>0</v>
      </c>
    </row>
    <row r="540" spans="1:15" x14ac:dyDescent="0.35">
      <c r="A540" s="503" t="s">
        <v>1105</v>
      </c>
      <c r="B540" s="504">
        <v>4668</v>
      </c>
      <c r="C540" s="504" t="s">
        <v>1094</v>
      </c>
      <c r="D540" s="504" t="s">
        <v>3380</v>
      </c>
      <c r="E540" s="504" t="s">
        <v>3381</v>
      </c>
      <c r="F540" s="504" t="s">
        <v>456</v>
      </c>
      <c r="G540" s="504" t="s">
        <v>457</v>
      </c>
      <c r="H540" s="504" t="s">
        <v>3839</v>
      </c>
      <c r="I540" s="504">
        <v>19</v>
      </c>
      <c r="J540" s="504">
        <v>0</v>
      </c>
      <c r="K540" s="504">
        <v>0</v>
      </c>
      <c r="L540" s="504">
        <v>0</v>
      </c>
      <c r="M540" s="504">
        <v>0</v>
      </c>
      <c r="N540" s="504">
        <v>0</v>
      </c>
      <c r="O540" s="505">
        <v>19</v>
      </c>
    </row>
    <row r="541" spans="1:15" x14ac:dyDescent="0.35">
      <c r="A541" s="500" t="s">
        <v>2086</v>
      </c>
      <c r="B541" s="501" t="s">
        <v>2661</v>
      </c>
      <c r="C541" s="501" t="s">
        <v>1089</v>
      </c>
      <c r="D541" s="501" t="s">
        <v>3392</v>
      </c>
      <c r="E541" s="501" t="s">
        <v>3381</v>
      </c>
      <c r="F541" s="501" t="s">
        <v>456</v>
      </c>
      <c r="G541" s="501" t="s">
        <v>457</v>
      </c>
      <c r="H541" s="501" t="s">
        <v>3840</v>
      </c>
      <c r="I541" s="501">
        <v>58</v>
      </c>
      <c r="J541" s="501">
        <v>58</v>
      </c>
      <c r="K541" s="501">
        <v>0</v>
      </c>
      <c r="L541" s="501">
        <v>0</v>
      </c>
      <c r="M541" s="501">
        <v>0</v>
      </c>
      <c r="N541" s="501">
        <v>0</v>
      </c>
      <c r="O541" s="506">
        <v>0</v>
      </c>
    </row>
    <row r="542" spans="1:15" x14ac:dyDescent="0.35">
      <c r="A542" s="503" t="s">
        <v>1107</v>
      </c>
      <c r="B542" s="504" t="s">
        <v>3109</v>
      </c>
      <c r="C542" s="504" t="s">
        <v>1094</v>
      </c>
      <c r="D542" s="504" t="s">
        <v>3380</v>
      </c>
      <c r="E542" s="504" t="s">
        <v>3381</v>
      </c>
      <c r="F542" s="504" t="s">
        <v>456</v>
      </c>
      <c r="G542" s="504" t="s">
        <v>457</v>
      </c>
      <c r="H542" s="504" t="s">
        <v>3841</v>
      </c>
      <c r="I542" s="504">
        <v>53</v>
      </c>
      <c r="J542" s="504">
        <v>1</v>
      </c>
      <c r="K542" s="504">
        <v>0</v>
      </c>
      <c r="L542" s="504">
        <v>52</v>
      </c>
      <c r="M542" s="504">
        <v>0</v>
      </c>
      <c r="N542" s="504">
        <v>0</v>
      </c>
      <c r="O542" s="505">
        <v>0</v>
      </c>
    </row>
    <row r="543" spans="1:15" x14ac:dyDescent="0.35">
      <c r="A543" s="500" t="s">
        <v>1109</v>
      </c>
      <c r="B543" s="501" t="s">
        <v>2959</v>
      </c>
      <c r="C543" s="501" t="s">
        <v>1094</v>
      </c>
      <c r="D543" s="501" t="s">
        <v>3380</v>
      </c>
      <c r="E543" s="501" t="s">
        <v>3381</v>
      </c>
      <c r="F543" s="501" t="s">
        <v>456</v>
      </c>
      <c r="G543" s="501" t="s">
        <v>457</v>
      </c>
      <c r="H543" s="501" t="s">
        <v>3842</v>
      </c>
      <c r="I543" s="501">
        <v>288</v>
      </c>
      <c r="J543" s="501">
        <v>0</v>
      </c>
      <c r="K543" s="501">
        <v>0</v>
      </c>
      <c r="L543" s="501">
        <v>0</v>
      </c>
      <c r="M543" s="501">
        <v>226</v>
      </c>
      <c r="N543" s="501">
        <v>0</v>
      </c>
      <c r="O543" s="506">
        <v>62</v>
      </c>
    </row>
    <row r="544" spans="1:15" x14ac:dyDescent="0.35">
      <c r="A544" s="503" t="s">
        <v>1190</v>
      </c>
      <c r="B544" s="504">
        <v>4662</v>
      </c>
      <c r="C544" s="504" t="s">
        <v>1094</v>
      </c>
      <c r="D544" s="504" t="s">
        <v>3380</v>
      </c>
      <c r="E544" s="504" t="s">
        <v>3381</v>
      </c>
      <c r="F544" s="504" t="s">
        <v>456</v>
      </c>
      <c r="G544" s="504" t="s">
        <v>457</v>
      </c>
      <c r="H544" s="504" t="s">
        <v>3843</v>
      </c>
      <c r="I544" s="504">
        <v>68</v>
      </c>
      <c r="J544" s="504">
        <v>0</v>
      </c>
      <c r="K544" s="504">
        <v>0</v>
      </c>
      <c r="L544" s="504">
        <v>68</v>
      </c>
      <c r="M544" s="504">
        <v>0</v>
      </c>
      <c r="N544" s="504">
        <v>0</v>
      </c>
      <c r="O544" s="505">
        <v>0</v>
      </c>
    </row>
    <row r="545" spans="1:15" x14ac:dyDescent="0.35">
      <c r="A545" s="500" t="s">
        <v>2087</v>
      </c>
      <c r="B545" s="501" t="s">
        <v>2504</v>
      </c>
      <c r="C545" s="501" t="s">
        <v>1089</v>
      </c>
      <c r="D545" s="501" t="s">
        <v>3392</v>
      </c>
      <c r="E545" s="501" t="s">
        <v>3381</v>
      </c>
      <c r="F545" s="501" t="s">
        <v>456</v>
      </c>
      <c r="G545" s="501" t="s">
        <v>457</v>
      </c>
      <c r="H545" s="501" t="s">
        <v>3844</v>
      </c>
      <c r="I545" s="501">
        <v>183</v>
      </c>
      <c r="J545" s="501">
        <v>0</v>
      </c>
      <c r="K545" s="501">
        <v>0</v>
      </c>
      <c r="L545" s="501">
        <v>0</v>
      </c>
      <c r="M545" s="501">
        <v>183</v>
      </c>
      <c r="N545" s="501">
        <v>0</v>
      </c>
      <c r="O545" s="506">
        <v>0</v>
      </c>
    </row>
    <row r="546" spans="1:15" x14ac:dyDescent="0.35">
      <c r="A546" s="503" t="s">
        <v>1203</v>
      </c>
      <c r="B546" s="504" t="s">
        <v>3170</v>
      </c>
      <c r="C546" s="504" t="s">
        <v>1094</v>
      </c>
      <c r="D546" s="504" t="s">
        <v>3380</v>
      </c>
      <c r="E546" s="504" t="s">
        <v>3381</v>
      </c>
      <c r="F546" s="504" t="s">
        <v>456</v>
      </c>
      <c r="G546" s="504" t="s">
        <v>457</v>
      </c>
      <c r="H546" s="504" t="s">
        <v>3845</v>
      </c>
      <c r="I546" s="504">
        <v>1454</v>
      </c>
      <c r="J546" s="504">
        <v>1285</v>
      </c>
      <c r="K546" s="504">
        <v>0</v>
      </c>
      <c r="L546" s="504">
        <v>79</v>
      </c>
      <c r="M546" s="504">
        <v>20</v>
      </c>
      <c r="N546" s="504">
        <v>6</v>
      </c>
      <c r="O546" s="505">
        <v>70</v>
      </c>
    </row>
    <row r="547" spans="1:15" x14ac:dyDescent="0.35">
      <c r="A547" s="500" t="s">
        <v>1207</v>
      </c>
      <c r="B547" s="501" t="s">
        <v>3202</v>
      </c>
      <c r="C547" s="501" t="s">
        <v>1094</v>
      </c>
      <c r="D547" s="501" t="s">
        <v>3380</v>
      </c>
      <c r="E547" s="501" t="s">
        <v>3381</v>
      </c>
      <c r="F547" s="501" t="s">
        <v>456</v>
      </c>
      <c r="G547" s="501" t="s">
        <v>457</v>
      </c>
      <c r="H547" s="501" t="s">
        <v>3846</v>
      </c>
      <c r="I547" s="501">
        <v>11889</v>
      </c>
      <c r="J547" s="501">
        <v>10797</v>
      </c>
      <c r="K547" s="501">
        <v>0</v>
      </c>
      <c r="L547" s="501">
        <v>371</v>
      </c>
      <c r="M547" s="501">
        <v>248</v>
      </c>
      <c r="N547" s="501">
        <v>27</v>
      </c>
      <c r="O547" s="506">
        <v>473</v>
      </c>
    </row>
    <row r="548" spans="1:15" x14ac:dyDescent="0.35">
      <c r="A548" s="503" t="s">
        <v>1739</v>
      </c>
      <c r="B548" s="504">
        <v>4857</v>
      </c>
      <c r="C548" s="504" t="s">
        <v>1094</v>
      </c>
      <c r="D548" s="504" t="s">
        <v>3380</v>
      </c>
      <c r="E548" s="504" t="s">
        <v>3381</v>
      </c>
      <c r="F548" s="504" t="s">
        <v>456</v>
      </c>
      <c r="G548" s="504" t="s">
        <v>457</v>
      </c>
      <c r="H548" s="504" t="s">
        <v>3847</v>
      </c>
      <c r="I548" s="504">
        <v>2</v>
      </c>
      <c r="J548" s="504">
        <v>2</v>
      </c>
      <c r="K548" s="504">
        <v>0</v>
      </c>
      <c r="L548" s="504">
        <v>0</v>
      </c>
      <c r="M548" s="504">
        <v>0</v>
      </c>
      <c r="N548" s="504">
        <v>0</v>
      </c>
      <c r="O548" s="505">
        <v>0</v>
      </c>
    </row>
    <row r="549" spans="1:15" x14ac:dyDescent="0.35">
      <c r="A549" s="500" t="s">
        <v>2090</v>
      </c>
      <c r="B549" s="501" t="s">
        <v>3131</v>
      </c>
      <c r="C549" s="501" t="s">
        <v>1094</v>
      </c>
      <c r="D549" s="501" t="s">
        <v>3380</v>
      </c>
      <c r="E549" s="501" t="s">
        <v>3381</v>
      </c>
      <c r="F549" s="501" t="s">
        <v>456</v>
      </c>
      <c r="G549" s="501" t="s">
        <v>457</v>
      </c>
      <c r="H549" s="501" t="s">
        <v>3848</v>
      </c>
      <c r="I549" s="501">
        <v>536</v>
      </c>
      <c r="J549" s="501">
        <v>426</v>
      </c>
      <c r="K549" s="501">
        <v>0</v>
      </c>
      <c r="L549" s="501">
        <v>20</v>
      </c>
      <c r="M549" s="501">
        <v>86</v>
      </c>
      <c r="N549" s="501">
        <v>0</v>
      </c>
      <c r="O549" s="506">
        <v>4</v>
      </c>
    </row>
    <row r="550" spans="1:15" x14ac:dyDescent="0.35">
      <c r="A550" s="503" t="s">
        <v>2091</v>
      </c>
      <c r="B550" s="504" t="s">
        <v>2858</v>
      </c>
      <c r="C550" s="504" t="s">
        <v>1089</v>
      </c>
      <c r="D550" s="504" t="s">
        <v>3392</v>
      </c>
      <c r="E550" s="504" t="s">
        <v>3381</v>
      </c>
      <c r="F550" s="504" t="s">
        <v>456</v>
      </c>
      <c r="G550" s="504" t="s">
        <v>457</v>
      </c>
      <c r="H550" s="504" t="s">
        <v>3849</v>
      </c>
      <c r="I550" s="504">
        <v>55</v>
      </c>
      <c r="J550" s="504">
        <v>1</v>
      </c>
      <c r="K550" s="504">
        <v>0</v>
      </c>
      <c r="L550" s="504">
        <v>4</v>
      </c>
      <c r="M550" s="504">
        <v>50</v>
      </c>
      <c r="N550" s="504">
        <v>0</v>
      </c>
      <c r="O550" s="505">
        <v>0</v>
      </c>
    </row>
    <row r="551" spans="1:15" x14ac:dyDescent="0.35">
      <c r="A551" s="500" t="s">
        <v>1321</v>
      </c>
      <c r="B551" s="501">
        <v>4635</v>
      </c>
      <c r="C551" s="501" t="s">
        <v>1089</v>
      </c>
      <c r="D551" s="501" t="s">
        <v>3392</v>
      </c>
      <c r="E551" s="501" t="s">
        <v>3381</v>
      </c>
      <c r="F551" s="501" t="s">
        <v>456</v>
      </c>
      <c r="G551" s="501" t="s">
        <v>457</v>
      </c>
      <c r="H551" s="501" t="s">
        <v>14471</v>
      </c>
      <c r="I551" s="501">
        <v>7</v>
      </c>
      <c r="J551" s="501">
        <v>7</v>
      </c>
      <c r="K551" s="501">
        <v>0</v>
      </c>
      <c r="L551" s="501">
        <v>0</v>
      </c>
      <c r="M551" s="501">
        <v>0</v>
      </c>
      <c r="N551" s="501">
        <v>0</v>
      </c>
      <c r="O551" s="506">
        <v>0</v>
      </c>
    </row>
    <row r="552" spans="1:15" x14ac:dyDescent="0.35">
      <c r="A552" s="503" t="s">
        <v>1217</v>
      </c>
      <c r="B552" s="504">
        <v>4851</v>
      </c>
      <c r="C552" s="504" t="s">
        <v>1094</v>
      </c>
      <c r="D552" s="504" t="s">
        <v>3380</v>
      </c>
      <c r="E552" s="504" t="s">
        <v>3381</v>
      </c>
      <c r="F552" s="504" t="s">
        <v>456</v>
      </c>
      <c r="G552" s="504" t="s">
        <v>457</v>
      </c>
      <c r="H552" s="504" t="s">
        <v>3850</v>
      </c>
      <c r="I552" s="504">
        <v>1115</v>
      </c>
      <c r="J552" s="504">
        <v>395</v>
      </c>
      <c r="K552" s="504">
        <v>0</v>
      </c>
      <c r="L552" s="504">
        <v>0</v>
      </c>
      <c r="M552" s="504">
        <v>694</v>
      </c>
      <c r="N552" s="504">
        <v>0</v>
      </c>
      <c r="O552" s="505">
        <v>26</v>
      </c>
    </row>
    <row r="553" spans="1:15" x14ac:dyDescent="0.35">
      <c r="A553" s="500" t="s">
        <v>1122</v>
      </c>
      <c r="B553" s="501" t="s">
        <v>2994</v>
      </c>
      <c r="C553" s="501" t="s">
        <v>1094</v>
      </c>
      <c r="D553" s="501" t="s">
        <v>3380</v>
      </c>
      <c r="E553" s="501" t="s">
        <v>3381</v>
      </c>
      <c r="F553" s="501" t="s">
        <v>456</v>
      </c>
      <c r="G553" s="501" t="s">
        <v>457</v>
      </c>
      <c r="H553" s="501" t="s">
        <v>3851</v>
      </c>
      <c r="I553" s="501">
        <v>76</v>
      </c>
      <c r="J553" s="501">
        <v>72</v>
      </c>
      <c r="K553" s="501">
        <v>0</v>
      </c>
      <c r="L553" s="501">
        <v>0</v>
      </c>
      <c r="M553" s="501">
        <v>0</v>
      </c>
      <c r="N553" s="501">
        <v>0</v>
      </c>
      <c r="O553" s="506">
        <v>4</v>
      </c>
    </row>
    <row r="554" spans="1:15" x14ac:dyDescent="0.35">
      <c r="A554" s="503" t="s">
        <v>1226</v>
      </c>
      <c r="B554" s="504">
        <v>5084</v>
      </c>
      <c r="C554" s="504" t="s">
        <v>1094</v>
      </c>
      <c r="D554" s="504" t="s">
        <v>3380</v>
      </c>
      <c r="E554" s="504" t="s">
        <v>3381</v>
      </c>
      <c r="F554" s="504" t="s">
        <v>456</v>
      </c>
      <c r="G554" s="504" t="s">
        <v>457</v>
      </c>
      <c r="H554" s="504" t="s">
        <v>3852</v>
      </c>
      <c r="I554" s="504">
        <v>2715</v>
      </c>
      <c r="J554" s="504">
        <v>1896</v>
      </c>
      <c r="K554" s="504">
        <v>0</v>
      </c>
      <c r="L554" s="504">
        <v>40</v>
      </c>
      <c r="M554" s="504">
        <v>177</v>
      </c>
      <c r="N554" s="504">
        <v>0</v>
      </c>
      <c r="O554" s="505">
        <v>602</v>
      </c>
    </row>
    <row r="555" spans="1:15" x14ac:dyDescent="0.35">
      <c r="A555" s="500" t="s">
        <v>1228</v>
      </c>
      <c r="B555" s="501" t="s">
        <v>3321</v>
      </c>
      <c r="C555" s="501" t="s">
        <v>1094</v>
      </c>
      <c r="D555" s="501" t="s">
        <v>3380</v>
      </c>
      <c r="E555" s="501" t="s">
        <v>3381</v>
      </c>
      <c r="F555" s="501" t="s">
        <v>456</v>
      </c>
      <c r="G555" s="501" t="s">
        <v>457</v>
      </c>
      <c r="H555" s="501" t="s">
        <v>3853</v>
      </c>
      <c r="I555" s="501">
        <v>10</v>
      </c>
      <c r="J555" s="501">
        <v>0</v>
      </c>
      <c r="K555" s="501">
        <v>0</v>
      </c>
      <c r="L555" s="501">
        <v>9</v>
      </c>
      <c r="M555" s="501">
        <v>0</v>
      </c>
      <c r="N555" s="501">
        <v>0</v>
      </c>
      <c r="O555" s="506">
        <v>1</v>
      </c>
    </row>
    <row r="556" spans="1:15" x14ac:dyDescent="0.35">
      <c r="A556" s="503" t="s">
        <v>2095</v>
      </c>
      <c r="B556" s="504">
        <v>4778</v>
      </c>
      <c r="C556" s="504" t="s">
        <v>1089</v>
      </c>
      <c r="D556" s="504" t="s">
        <v>3392</v>
      </c>
      <c r="E556" s="504" t="s">
        <v>3381</v>
      </c>
      <c r="F556" s="504" t="s">
        <v>456</v>
      </c>
      <c r="G556" s="504" t="s">
        <v>457</v>
      </c>
      <c r="H556" s="504" t="s">
        <v>3854</v>
      </c>
      <c r="I556" s="504">
        <v>4</v>
      </c>
      <c r="J556" s="504">
        <v>0</v>
      </c>
      <c r="K556" s="504">
        <v>4</v>
      </c>
      <c r="L556" s="504">
        <v>0</v>
      </c>
      <c r="M556" s="504">
        <v>0</v>
      </c>
      <c r="N556" s="504">
        <v>0</v>
      </c>
      <c r="O556" s="505">
        <v>0</v>
      </c>
    </row>
    <row r="557" spans="1:15" x14ac:dyDescent="0.35">
      <c r="A557" s="500" t="s">
        <v>1233</v>
      </c>
      <c r="B557" s="501">
        <v>4636</v>
      </c>
      <c r="C557" s="501" t="s">
        <v>1094</v>
      </c>
      <c r="D557" s="501" t="s">
        <v>3380</v>
      </c>
      <c r="E557" s="501" t="s">
        <v>3381</v>
      </c>
      <c r="F557" s="501" t="s">
        <v>456</v>
      </c>
      <c r="G557" s="501" t="s">
        <v>457</v>
      </c>
      <c r="H557" s="501" t="s">
        <v>14472</v>
      </c>
      <c r="I557" s="501">
        <v>11</v>
      </c>
      <c r="J557" s="501">
        <v>11</v>
      </c>
      <c r="K557" s="501">
        <v>0</v>
      </c>
      <c r="L557" s="501">
        <v>0</v>
      </c>
      <c r="M557" s="501">
        <v>0</v>
      </c>
      <c r="N557" s="501">
        <v>0</v>
      </c>
      <c r="O557" s="506">
        <v>0</v>
      </c>
    </row>
    <row r="558" spans="1:15" x14ac:dyDescent="0.35">
      <c r="A558" s="503" t="s">
        <v>1234</v>
      </c>
      <c r="B558" s="504" t="s">
        <v>3291</v>
      </c>
      <c r="C558" s="504" t="s">
        <v>1094</v>
      </c>
      <c r="D558" s="504" t="s">
        <v>3380</v>
      </c>
      <c r="E558" s="504" t="s">
        <v>3381</v>
      </c>
      <c r="F558" s="504" t="s">
        <v>456</v>
      </c>
      <c r="G558" s="504" t="s">
        <v>457</v>
      </c>
      <c r="H558" s="504" t="s">
        <v>3855</v>
      </c>
      <c r="I558" s="504">
        <v>94</v>
      </c>
      <c r="J558" s="504">
        <v>0</v>
      </c>
      <c r="K558" s="504">
        <v>0</v>
      </c>
      <c r="L558" s="504">
        <v>94</v>
      </c>
      <c r="M558" s="504">
        <v>0</v>
      </c>
      <c r="N558" s="504">
        <v>0</v>
      </c>
      <c r="O558" s="505">
        <v>0</v>
      </c>
    </row>
    <row r="559" spans="1:15" x14ac:dyDescent="0.35">
      <c r="A559" s="500" t="s">
        <v>1235</v>
      </c>
      <c r="B559" s="501">
        <v>4684</v>
      </c>
      <c r="C559" s="501" t="s">
        <v>1094</v>
      </c>
      <c r="D559" s="501" t="s">
        <v>3380</v>
      </c>
      <c r="E559" s="501" t="s">
        <v>3381</v>
      </c>
      <c r="F559" s="501" t="s">
        <v>456</v>
      </c>
      <c r="G559" s="501" t="s">
        <v>457</v>
      </c>
      <c r="H559" s="501" t="s">
        <v>3856</v>
      </c>
      <c r="I559" s="501">
        <v>45</v>
      </c>
      <c r="J559" s="501">
        <v>30</v>
      </c>
      <c r="K559" s="501">
        <v>0</v>
      </c>
      <c r="L559" s="501">
        <v>0</v>
      </c>
      <c r="M559" s="501">
        <v>0</v>
      </c>
      <c r="N559" s="501">
        <v>0</v>
      </c>
      <c r="O559" s="506">
        <v>15</v>
      </c>
    </row>
    <row r="560" spans="1:15" x14ac:dyDescent="0.35">
      <c r="A560" s="503" t="s">
        <v>1126</v>
      </c>
      <c r="B560" s="504" t="s">
        <v>2974</v>
      </c>
      <c r="C560" s="504" t="s">
        <v>1094</v>
      </c>
      <c r="D560" s="504" t="s">
        <v>3380</v>
      </c>
      <c r="E560" s="504" t="s">
        <v>3381</v>
      </c>
      <c r="F560" s="504" t="s">
        <v>456</v>
      </c>
      <c r="G560" s="504" t="s">
        <v>457</v>
      </c>
      <c r="H560" s="504" t="s">
        <v>3857</v>
      </c>
      <c r="I560" s="504">
        <v>1835</v>
      </c>
      <c r="J560" s="504">
        <v>1167</v>
      </c>
      <c r="K560" s="504">
        <v>0</v>
      </c>
      <c r="L560" s="504">
        <v>151</v>
      </c>
      <c r="M560" s="504">
        <v>189</v>
      </c>
      <c r="N560" s="504">
        <v>0</v>
      </c>
      <c r="O560" s="505">
        <v>328</v>
      </c>
    </row>
    <row r="561" spans="1:15" x14ac:dyDescent="0.35">
      <c r="A561" s="500" t="s">
        <v>2099</v>
      </c>
      <c r="B561" s="501" t="s">
        <v>2701</v>
      </c>
      <c r="C561" s="501" t="s">
        <v>1089</v>
      </c>
      <c r="D561" s="501" t="s">
        <v>3392</v>
      </c>
      <c r="E561" s="501" t="s">
        <v>3381</v>
      </c>
      <c r="F561" s="501" t="s">
        <v>456</v>
      </c>
      <c r="G561" s="501" t="s">
        <v>457</v>
      </c>
      <c r="H561" s="501" t="s">
        <v>3858</v>
      </c>
      <c r="I561" s="501">
        <v>76</v>
      </c>
      <c r="J561" s="501">
        <v>76</v>
      </c>
      <c r="K561" s="501">
        <v>0</v>
      </c>
      <c r="L561" s="501">
        <v>0</v>
      </c>
      <c r="M561" s="501">
        <v>0</v>
      </c>
      <c r="N561" s="501">
        <v>0</v>
      </c>
      <c r="O561" s="506">
        <v>0</v>
      </c>
    </row>
    <row r="562" spans="1:15" x14ac:dyDescent="0.35">
      <c r="A562" s="503" t="s">
        <v>2103</v>
      </c>
      <c r="B562" s="504" t="s">
        <v>2458</v>
      </c>
      <c r="C562" s="504" t="s">
        <v>1089</v>
      </c>
      <c r="D562" s="504" t="s">
        <v>3392</v>
      </c>
      <c r="E562" s="504" t="s">
        <v>3381</v>
      </c>
      <c r="F562" s="504" t="s">
        <v>456</v>
      </c>
      <c r="G562" s="504" t="s">
        <v>457</v>
      </c>
      <c r="H562" s="504" t="s">
        <v>3859</v>
      </c>
      <c r="I562" s="504">
        <v>36</v>
      </c>
      <c r="J562" s="504">
        <v>0</v>
      </c>
      <c r="K562" s="504">
        <v>0</v>
      </c>
      <c r="L562" s="504">
        <v>0</v>
      </c>
      <c r="M562" s="504">
        <v>36</v>
      </c>
      <c r="N562" s="504">
        <v>0</v>
      </c>
      <c r="O562" s="505">
        <v>0</v>
      </c>
    </row>
    <row r="563" spans="1:15" x14ac:dyDescent="0.35">
      <c r="A563" s="500" t="s">
        <v>2105</v>
      </c>
      <c r="B563" s="501" t="s">
        <v>2679</v>
      </c>
      <c r="C563" s="501" t="s">
        <v>1089</v>
      </c>
      <c r="D563" s="501" t="s">
        <v>3392</v>
      </c>
      <c r="E563" s="501" t="s">
        <v>3381</v>
      </c>
      <c r="F563" s="501" t="s">
        <v>456</v>
      </c>
      <c r="G563" s="501" t="s">
        <v>457</v>
      </c>
      <c r="H563" s="501" t="s">
        <v>3860</v>
      </c>
      <c r="I563" s="501">
        <v>47</v>
      </c>
      <c r="J563" s="501">
        <v>47</v>
      </c>
      <c r="K563" s="501">
        <v>0</v>
      </c>
      <c r="L563" s="501">
        <v>0</v>
      </c>
      <c r="M563" s="501">
        <v>0</v>
      </c>
      <c r="N563" s="501">
        <v>0</v>
      </c>
      <c r="O563" s="506">
        <v>0</v>
      </c>
    </row>
    <row r="564" spans="1:15" x14ac:dyDescent="0.35">
      <c r="A564" s="503" t="s">
        <v>2107</v>
      </c>
      <c r="B564" s="504" t="s">
        <v>2727</v>
      </c>
      <c r="C564" s="504" t="s">
        <v>1089</v>
      </c>
      <c r="D564" s="504" t="s">
        <v>3392</v>
      </c>
      <c r="E564" s="504" t="s">
        <v>3381</v>
      </c>
      <c r="F564" s="504" t="s">
        <v>456</v>
      </c>
      <c r="G564" s="504" t="s">
        <v>457</v>
      </c>
      <c r="H564" s="504" t="s">
        <v>3861</v>
      </c>
      <c r="I564" s="504">
        <v>33</v>
      </c>
      <c r="J564" s="504">
        <v>33</v>
      </c>
      <c r="K564" s="504">
        <v>0</v>
      </c>
      <c r="L564" s="504">
        <v>0</v>
      </c>
      <c r="M564" s="504">
        <v>0</v>
      </c>
      <c r="N564" s="504">
        <v>0</v>
      </c>
      <c r="O564" s="505">
        <v>0</v>
      </c>
    </row>
    <row r="565" spans="1:15" x14ac:dyDescent="0.35">
      <c r="A565" s="500" t="s">
        <v>2108</v>
      </c>
      <c r="B565" s="501" t="s">
        <v>2942</v>
      </c>
      <c r="C565" s="501" t="s">
        <v>1089</v>
      </c>
      <c r="D565" s="501" t="s">
        <v>3392</v>
      </c>
      <c r="E565" s="501" t="s">
        <v>3381</v>
      </c>
      <c r="F565" s="501" t="s">
        <v>456</v>
      </c>
      <c r="G565" s="501" t="s">
        <v>457</v>
      </c>
      <c r="H565" s="501" t="s">
        <v>3862</v>
      </c>
      <c r="I565" s="501">
        <v>51</v>
      </c>
      <c r="J565" s="501">
        <v>0</v>
      </c>
      <c r="K565" s="501">
        <v>0</v>
      </c>
      <c r="L565" s="501">
        <v>51</v>
      </c>
      <c r="M565" s="501">
        <v>0</v>
      </c>
      <c r="N565" s="501">
        <v>0</v>
      </c>
      <c r="O565" s="506">
        <v>0</v>
      </c>
    </row>
    <row r="566" spans="1:15" x14ac:dyDescent="0.35">
      <c r="A566" s="503" t="s">
        <v>2109</v>
      </c>
      <c r="B566" s="504" t="s">
        <v>2931</v>
      </c>
      <c r="C566" s="504" t="s">
        <v>1089</v>
      </c>
      <c r="D566" s="504" t="s">
        <v>3392</v>
      </c>
      <c r="E566" s="504" t="s">
        <v>3381</v>
      </c>
      <c r="F566" s="504" t="s">
        <v>456</v>
      </c>
      <c r="G566" s="504" t="s">
        <v>457</v>
      </c>
      <c r="H566" s="504" t="s">
        <v>3863</v>
      </c>
      <c r="I566" s="504">
        <v>361</v>
      </c>
      <c r="J566" s="504">
        <v>0</v>
      </c>
      <c r="K566" s="504">
        <v>0</v>
      </c>
      <c r="L566" s="504">
        <v>361</v>
      </c>
      <c r="M566" s="504">
        <v>0</v>
      </c>
      <c r="N566" s="504">
        <v>0</v>
      </c>
      <c r="O566" s="505">
        <v>0</v>
      </c>
    </row>
    <row r="567" spans="1:15" x14ac:dyDescent="0.35">
      <c r="A567" s="500" t="s">
        <v>2110</v>
      </c>
      <c r="B567" s="501" t="s">
        <v>3113</v>
      </c>
      <c r="C567" s="501" t="s">
        <v>1089</v>
      </c>
      <c r="D567" s="501" t="s">
        <v>3392</v>
      </c>
      <c r="E567" s="501" t="s">
        <v>3381</v>
      </c>
      <c r="F567" s="501" t="s">
        <v>456</v>
      </c>
      <c r="G567" s="501" t="s">
        <v>457</v>
      </c>
      <c r="H567" s="501" t="s">
        <v>3864</v>
      </c>
      <c r="I567" s="501">
        <v>589</v>
      </c>
      <c r="J567" s="501">
        <v>64</v>
      </c>
      <c r="K567" s="501">
        <v>0</v>
      </c>
      <c r="L567" s="501">
        <v>484</v>
      </c>
      <c r="M567" s="501">
        <v>41</v>
      </c>
      <c r="N567" s="501">
        <v>0</v>
      </c>
      <c r="O567" s="506">
        <v>0</v>
      </c>
    </row>
    <row r="568" spans="1:15" x14ac:dyDescent="0.35">
      <c r="A568" s="503" t="s">
        <v>1242</v>
      </c>
      <c r="B568" s="504">
        <v>4687</v>
      </c>
      <c r="C568" s="504" t="s">
        <v>1094</v>
      </c>
      <c r="D568" s="504" t="s">
        <v>3380</v>
      </c>
      <c r="E568" s="504" t="s">
        <v>3381</v>
      </c>
      <c r="F568" s="504" t="s">
        <v>456</v>
      </c>
      <c r="G568" s="504" t="s">
        <v>457</v>
      </c>
      <c r="H568" s="504" t="s">
        <v>3865</v>
      </c>
      <c r="I568" s="504">
        <v>2158</v>
      </c>
      <c r="J568" s="504">
        <v>0</v>
      </c>
      <c r="K568" s="504">
        <v>0</v>
      </c>
      <c r="L568" s="504">
        <v>2158</v>
      </c>
      <c r="M568" s="504">
        <v>0</v>
      </c>
      <c r="N568" s="504">
        <v>0</v>
      </c>
      <c r="O568" s="505">
        <v>0</v>
      </c>
    </row>
    <row r="569" spans="1:15" x14ac:dyDescent="0.35">
      <c r="A569" s="500" t="s">
        <v>1559</v>
      </c>
      <c r="B569" s="501" t="s">
        <v>3252</v>
      </c>
      <c r="C569" s="501" t="s">
        <v>1089</v>
      </c>
      <c r="D569" s="501" t="s">
        <v>3392</v>
      </c>
      <c r="E569" s="501" t="s">
        <v>3381</v>
      </c>
      <c r="F569" s="501" t="s">
        <v>456</v>
      </c>
      <c r="G569" s="501" t="s">
        <v>457</v>
      </c>
      <c r="H569" s="501" t="s">
        <v>3866</v>
      </c>
      <c r="I569" s="501">
        <v>41</v>
      </c>
      <c r="J569" s="501">
        <v>0</v>
      </c>
      <c r="K569" s="501">
        <v>0</v>
      </c>
      <c r="L569" s="501">
        <v>0</v>
      </c>
      <c r="M569" s="501">
        <v>41</v>
      </c>
      <c r="N569" s="501">
        <v>0</v>
      </c>
      <c r="O569" s="506">
        <v>0</v>
      </c>
    </row>
    <row r="570" spans="1:15" x14ac:dyDescent="0.35">
      <c r="A570" s="503" t="s">
        <v>1248</v>
      </c>
      <c r="B570" s="504">
        <v>4706</v>
      </c>
      <c r="C570" s="504" t="s">
        <v>1089</v>
      </c>
      <c r="D570" s="504" t="s">
        <v>3392</v>
      </c>
      <c r="E570" s="504" t="s">
        <v>3381</v>
      </c>
      <c r="F570" s="504" t="s">
        <v>456</v>
      </c>
      <c r="G570" s="504" t="s">
        <v>457</v>
      </c>
      <c r="H570" s="504" t="s">
        <v>3867</v>
      </c>
      <c r="I570" s="504">
        <v>244</v>
      </c>
      <c r="J570" s="504">
        <v>0</v>
      </c>
      <c r="K570" s="504">
        <v>0</v>
      </c>
      <c r="L570" s="504">
        <v>0</v>
      </c>
      <c r="M570" s="504">
        <v>244</v>
      </c>
      <c r="N570" s="504">
        <v>0</v>
      </c>
      <c r="O570" s="505">
        <v>0</v>
      </c>
    </row>
    <row r="571" spans="1:15" x14ac:dyDescent="0.35">
      <c r="A571" s="500" t="s">
        <v>2119</v>
      </c>
      <c r="B571" s="501" t="s">
        <v>2558</v>
      </c>
      <c r="C571" s="501" t="s">
        <v>1089</v>
      </c>
      <c r="D571" s="501" t="s">
        <v>3392</v>
      </c>
      <c r="E571" s="501" t="s">
        <v>3381</v>
      </c>
      <c r="F571" s="501" t="s">
        <v>456</v>
      </c>
      <c r="G571" s="501" t="s">
        <v>457</v>
      </c>
      <c r="H571" s="501" t="s">
        <v>3868</v>
      </c>
      <c r="I571" s="501">
        <v>38</v>
      </c>
      <c r="J571" s="501">
        <v>0</v>
      </c>
      <c r="K571" s="501">
        <v>0</v>
      </c>
      <c r="L571" s="501">
        <v>0</v>
      </c>
      <c r="M571" s="501">
        <v>38</v>
      </c>
      <c r="N571" s="501">
        <v>0</v>
      </c>
      <c r="O571" s="506">
        <v>0</v>
      </c>
    </row>
    <row r="572" spans="1:15" x14ac:dyDescent="0.35">
      <c r="A572" s="503" t="s">
        <v>2120</v>
      </c>
      <c r="B572" s="504" t="s">
        <v>2509</v>
      </c>
      <c r="C572" s="504" t="s">
        <v>1089</v>
      </c>
      <c r="D572" s="504" t="s">
        <v>3392</v>
      </c>
      <c r="E572" s="504" t="s">
        <v>3381</v>
      </c>
      <c r="F572" s="504" t="s">
        <v>456</v>
      </c>
      <c r="G572" s="504" t="s">
        <v>457</v>
      </c>
      <c r="H572" s="504" t="s">
        <v>3869</v>
      </c>
      <c r="I572" s="504">
        <v>31</v>
      </c>
      <c r="J572" s="504">
        <v>0</v>
      </c>
      <c r="K572" s="504">
        <v>0</v>
      </c>
      <c r="L572" s="504">
        <v>0</v>
      </c>
      <c r="M572" s="504">
        <v>31</v>
      </c>
      <c r="N572" s="504">
        <v>0</v>
      </c>
      <c r="O572" s="505">
        <v>0</v>
      </c>
    </row>
    <row r="573" spans="1:15" x14ac:dyDescent="0.35">
      <c r="A573" s="500" t="s">
        <v>2122</v>
      </c>
      <c r="B573" s="501" t="s">
        <v>3146</v>
      </c>
      <c r="C573" s="501" t="s">
        <v>1094</v>
      </c>
      <c r="D573" s="501" t="s">
        <v>3380</v>
      </c>
      <c r="E573" s="501" t="s">
        <v>3381</v>
      </c>
      <c r="F573" s="501" t="s">
        <v>456</v>
      </c>
      <c r="G573" s="501" t="s">
        <v>457</v>
      </c>
      <c r="H573" s="501" t="s">
        <v>3870</v>
      </c>
      <c r="I573" s="501">
        <v>2387</v>
      </c>
      <c r="J573" s="501">
        <v>2228</v>
      </c>
      <c r="K573" s="501">
        <v>0</v>
      </c>
      <c r="L573" s="501">
        <v>0</v>
      </c>
      <c r="M573" s="501">
        <v>128</v>
      </c>
      <c r="N573" s="501">
        <v>0</v>
      </c>
      <c r="O573" s="506">
        <v>31</v>
      </c>
    </row>
    <row r="574" spans="1:15" x14ac:dyDescent="0.35">
      <c r="A574" s="503" t="s">
        <v>1253</v>
      </c>
      <c r="B574" s="504" t="s">
        <v>3232</v>
      </c>
      <c r="C574" s="504" t="s">
        <v>1094</v>
      </c>
      <c r="D574" s="504" t="s">
        <v>3380</v>
      </c>
      <c r="E574" s="504" t="s">
        <v>3381</v>
      </c>
      <c r="F574" s="504" t="s">
        <v>456</v>
      </c>
      <c r="G574" s="504" t="s">
        <v>457</v>
      </c>
      <c r="H574" s="504" t="s">
        <v>3871</v>
      </c>
      <c r="I574" s="504">
        <v>123</v>
      </c>
      <c r="J574" s="504">
        <v>0</v>
      </c>
      <c r="K574" s="504">
        <v>25</v>
      </c>
      <c r="L574" s="504">
        <v>47</v>
      </c>
      <c r="M574" s="504">
        <v>51</v>
      </c>
      <c r="N574" s="504">
        <v>0</v>
      </c>
      <c r="O574" s="505">
        <v>0</v>
      </c>
    </row>
    <row r="575" spans="1:15" x14ac:dyDescent="0.35">
      <c r="A575" s="500" t="s">
        <v>2124</v>
      </c>
      <c r="B575" s="501" t="s">
        <v>2685</v>
      </c>
      <c r="C575" s="501" t="s">
        <v>1089</v>
      </c>
      <c r="D575" s="501" t="s">
        <v>3392</v>
      </c>
      <c r="E575" s="501" t="s">
        <v>3381</v>
      </c>
      <c r="F575" s="501" t="s">
        <v>456</v>
      </c>
      <c r="G575" s="501" t="s">
        <v>457</v>
      </c>
      <c r="H575" s="501" t="s">
        <v>3872</v>
      </c>
      <c r="I575" s="501">
        <v>90</v>
      </c>
      <c r="J575" s="501">
        <v>90</v>
      </c>
      <c r="K575" s="501">
        <v>0</v>
      </c>
      <c r="L575" s="501">
        <v>0</v>
      </c>
      <c r="M575" s="501">
        <v>0</v>
      </c>
      <c r="N575" s="501">
        <v>0</v>
      </c>
      <c r="O575" s="506">
        <v>0</v>
      </c>
    </row>
    <row r="576" spans="1:15" x14ac:dyDescent="0.35">
      <c r="A576" s="503" t="s">
        <v>1259</v>
      </c>
      <c r="B576" s="504" t="s">
        <v>3025</v>
      </c>
      <c r="C576" s="504" t="s">
        <v>1094</v>
      </c>
      <c r="D576" s="504" t="s">
        <v>3380</v>
      </c>
      <c r="E576" s="504" t="s">
        <v>3381</v>
      </c>
      <c r="F576" s="504" t="s">
        <v>456</v>
      </c>
      <c r="G576" s="504" t="s">
        <v>457</v>
      </c>
      <c r="H576" s="504" t="s">
        <v>3873</v>
      </c>
      <c r="I576" s="504">
        <v>2163</v>
      </c>
      <c r="J576" s="504">
        <v>1207</v>
      </c>
      <c r="K576" s="504">
        <v>0</v>
      </c>
      <c r="L576" s="504">
        <v>531</v>
      </c>
      <c r="M576" s="504">
        <v>369</v>
      </c>
      <c r="N576" s="504">
        <v>0</v>
      </c>
      <c r="O576" s="505">
        <v>56</v>
      </c>
    </row>
    <row r="577" spans="1:15" x14ac:dyDescent="0.35">
      <c r="A577" s="500" t="s">
        <v>1260</v>
      </c>
      <c r="B577" s="501">
        <v>4645</v>
      </c>
      <c r="C577" s="501" t="s">
        <v>1089</v>
      </c>
      <c r="D577" s="501" t="s">
        <v>3392</v>
      </c>
      <c r="E577" s="501" t="s">
        <v>3381</v>
      </c>
      <c r="F577" s="501" t="s">
        <v>456</v>
      </c>
      <c r="G577" s="501" t="s">
        <v>457</v>
      </c>
      <c r="H577" s="501" t="s">
        <v>3874</v>
      </c>
      <c r="I577" s="501">
        <v>148</v>
      </c>
      <c r="J577" s="501">
        <v>0</v>
      </c>
      <c r="K577" s="501">
        <v>0</v>
      </c>
      <c r="L577" s="501">
        <v>148</v>
      </c>
      <c r="M577" s="501">
        <v>0</v>
      </c>
      <c r="N577" s="501">
        <v>0</v>
      </c>
      <c r="O577" s="506">
        <v>0</v>
      </c>
    </row>
    <row r="578" spans="1:15" x14ac:dyDescent="0.35">
      <c r="A578" s="503" t="s">
        <v>2126</v>
      </c>
      <c r="B578" s="504" t="s">
        <v>2678</v>
      </c>
      <c r="C578" s="504" t="s">
        <v>1089</v>
      </c>
      <c r="D578" s="504" t="s">
        <v>3392</v>
      </c>
      <c r="E578" s="504" t="s">
        <v>3381</v>
      </c>
      <c r="F578" s="504" t="s">
        <v>456</v>
      </c>
      <c r="G578" s="504" t="s">
        <v>457</v>
      </c>
      <c r="H578" s="504" t="s">
        <v>3875</v>
      </c>
      <c r="I578" s="504">
        <v>136</v>
      </c>
      <c r="J578" s="504">
        <v>136</v>
      </c>
      <c r="K578" s="504">
        <v>0</v>
      </c>
      <c r="L578" s="504">
        <v>0</v>
      </c>
      <c r="M578" s="504">
        <v>0</v>
      </c>
      <c r="N578" s="504">
        <v>0</v>
      </c>
      <c r="O578" s="505">
        <v>0</v>
      </c>
    </row>
    <row r="579" spans="1:15" x14ac:dyDescent="0.35">
      <c r="A579" s="500" t="s">
        <v>2127</v>
      </c>
      <c r="B579" s="501" t="s">
        <v>3188</v>
      </c>
      <c r="C579" s="501" t="s">
        <v>1094</v>
      </c>
      <c r="D579" s="501" t="s">
        <v>3380</v>
      </c>
      <c r="E579" s="501" t="s">
        <v>3381</v>
      </c>
      <c r="F579" s="501" t="s">
        <v>456</v>
      </c>
      <c r="G579" s="501" t="s">
        <v>457</v>
      </c>
      <c r="H579" s="501" t="s">
        <v>3876</v>
      </c>
      <c r="I579" s="501">
        <v>59</v>
      </c>
      <c r="J579" s="501">
        <v>37</v>
      </c>
      <c r="K579" s="501">
        <v>0</v>
      </c>
      <c r="L579" s="501">
        <v>0</v>
      </c>
      <c r="M579" s="501">
        <v>0</v>
      </c>
      <c r="N579" s="501">
        <v>0</v>
      </c>
      <c r="O579" s="506">
        <v>22</v>
      </c>
    </row>
    <row r="580" spans="1:15" x14ac:dyDescent="0.35">
      <c r="A580" s="503" t="s">
        <v>1262</v>
      </c>
      <c r="B580" s="504">
        <v>4772</v>
      </c>
      <c r="C580" s="504" t="s">
        <v>1089</v>
      </c>
      <c r="D580" s="504" t="s">
        <v>3392</v>
      </c>
      <c r="E580" s="504" t="s">
        <v>3381</v>
      </c>
      <c r="F580" s="504" t="s">
        <v>456</v>
      </c>
      <c r="G580" s="504" t="s">
        <v>457</v>
      </c>
      <c r="H580" s="504" t="s">
        <v>3877</v>
      </c>
      <c r="I580" s="504">
        <v>14</v>
      </c>
      <c r="J580" s="504">
        <v>0</v>
      </c>
      <c r="K580" s="504">
        <v>0</v>
      </c>
      <c r="L580" s="504">
        <v>14</v>
      </c>
      <c r="M580" s="504">
        <v>0</v>
      </c>
      <c r="N580" s="504">
        <v>0</v>
      </c>
      <c r="O580" s="505">
        <v>0</v>
      </c>
    </row>
    <row r="581" spans="1:15" x14ac:dyDescent="0.35">
      <c r="A581" s="500" t="s">
        <v>1264</v>
      </c>
      <c r="B581" s="501">
        <v>4671</v>
      </c>
      <c r="C581" s="501" t="s">
        <v>1089</v>
      </c>
      <c r="D581" s="501" t="s">
        <v>3392</v>
      </c>
      <c r="E581" s="501" t="s">
        <v>3381</v>
      </c>
      <c r="F581" s="501" t="s">
        <v>456</v>
      </c>
      <c r="G581" s="501" t="s">
        <v>457</v>
      </c>
      <c r="H581" s="501" t="s">
        <v>14473</v>
      </c>
      <c r="I581" s="501">
        <v>4</v>
      </c>
      <c r="J581" s="501">
        <v>0</v>
      </c>
      <c r="K581" s="501">
        <v>0</v>
      </c>
      <c r="L581" s="501">
        <v>4</v>
      </c>
      <c r="M581" s="501">
        <v>0</v>
      </c>
      <c r="N581" s="501">
        <v>0</v>
      </c>
      <c r="O581" s="506">
        <v>0</v>
      </c>
    </row>
    <row r="582" spans="1:15" x14ac:dyDescent="0.35">
      <c r="A582" s="503" t="s">
        <v>14385</v>
      </c>
      <c r="B582" s="504">
        <v>5138</v>
      </c>
      <c r="C582" s="504" t="s">
        <v>1089</v>
      </c>
      <c r="D582" s="504" t="s">
        <v>3392</v>
      </c>
      <c r="E582" s="504" t="s">
        <v>3381</v>
      </c>
      <c r="F582" s="504" t="s">
        <v>456</v>
      </c>
      <c r="G582" s="504" t="s">
        <v>457</v>
      </c>
      <c r="H582" s="504" t="s">
        <v>14474</v>
      </c>
      <c r="I582" s="504">
        <v>5</v>
      </c>
      <c r="J582" s="504">
        <v>0</v>
      </c>
      <c r="K582" s="504">
        <v>5</v>
      </c>
      <c r="L582" s="504">
        <v>0</v>
      </c>
      <c r="M582" s="504">
        <v>0</v>
      </c>
      <c r="N582" s="504">
        <v>0</v>
      </c>
      <c r="O582" s="505">
        <v>0</v>
      </c>
    </row>
    <row r="583" spans="1:15" x14ac:dyDescent="0.35">
      <c r="A583" s="500" t="s">
        <v>2132</v>
      </c>
      <c r="B583" s="501" t="s">
        <v>2512</v>
      </c>
      <c r="C583" s="501" t="s">
        <v>1089</v>
      </c>
      <c r="D583" s="501" t="s">
        <v>3392</v>
      </c>
      <c r="E583" s="501" t="s">
        <v>3381</v>
      </c>
      <c r="F583" s="501" t="s">
        <v>456</v>
      </c>
      <c r="G583" s="501" t="s">
        <v>457</v>
      </c>
      <c r="H583" s="501" t="s">
        <v>3878</v>
      </c>
      <c r="I583" s="501">
        <v>195</v>
      </c>
      <c r="J583" s="501">
        <v>0</v>
      </c>
      <c r="K583" s="501">
        <v>0</v>
      </c>
      <c r="L583" s="501">
        <v>0</v>
      </c>
      <c r="M583" s="501">
        <v>195</v>
      </c>
      <c r="N583" s="501">
        <v>0</v>
      </c>
      <c r="O583" s="506">
        <v>0</v>
      </c>
    </row>
    <row r="584" spans="1:15" x14ac:dyDescent="0.35">
      <c r="A584" s="503" t="s">
        <v>1093</v>
      </c>
      <c r="B584" s="504" t="s">
        <v>3248</v>
      </c>
      <c r="C584" s="504" t="s">
        <v>1094</v>
      </c>
      <c r="D584" s="504" t="s">
        <v>3380</v>
      </c>
      <c r="E584" s="504" t="s">
        <v>3381</v>
      </c>
      <c r="F584" s="504" t="s">
        <v>458</v>
      </c>
      <c r="G584" s="504" t="s">
        <v>459</v>
      </c>
      <c r="H584" s="504" t="s">
        <v>3879</v>
      </c>
      <c r="I584" s="504">
        <v>43</v>
      </c>
      <c r="J584" s="504">
        <v>0</v>
      </c>
      <c r="K584" s="504">
        <v>0</v>
      </c>
      <c r="L584" s="504">
        <v>36</v>
      </c>
      <c r="M584" s="504">
        <v>0</v>
      </c>
      <c r="N584" s="504">
        <v>0</v>
      </c>
      <c r="O584" s="505">
        <v>7</v>
      </c>
    </row>
    <row r="585" spans="1:15" x14ac:dyDescent="0.35">
      <c r="A585" s="500" t="s">
        <v>1096</v>
      </c>
      <c r="B585" s="501" t="s">
        <v>3326</v>
      </c>
      <c r="C585" s="501" t="s">
        <v>1094</v>
      </c>
      <c r="D585" s="501" t="s">
        <v>3380</v>
      </c>
      <c r="E585" s="501" t="s">
        <v>3381</v>
      </c>
      <c r="F585" s="501" t="s">
        <v>458</v>
      </c>
      <c r="G585" s="501" t="s">
        <v>459</v>
      </c>
      <c r="H585" s="501" t="s">
        <v>3880</v>
      </c>
      <c r="I585" s="501">
        <v>90</v>
      </c>
      <c r="J585" s="501">
        <v>0</v>
      </c>
      <c r="K585" s="501">
        <v>0</v>
      </c>
      <c r="L585" s="501">
        <v>0</v>
      </c>
      <c r="M585" s="501">
        <v>90</v>
      </c>
      <c r="N585" s="501">
        <v>0</v>
      </c>
      <c r="O585" s="506">
        <v>0</v>
      </c>
    </row>
    <row r="586" spans="1:15" x14ac:dyDescent="0.35">
      <c r="A586" s="503" t="s">
        <v>1167</v>
      </c>
      <c r="B586" s="504">
        <v>4689</v>
      </c>
      <c r="C586" s="504" t="s">
        <v>1089</v>
      </c>
      <c r="D586" s="504" t="s">
        <v>3392</v>
      </c>
      <c r="E586" s="504" t="s">
        <v>3381</v>
      </c>
      <c r="F586" s="504" t="s">
        <v>458</v>
      </c>
      <c r="G586" s="504" t="s">
        <v>459</v>
      </c>
      <c r="H586" s="504" t="s">
        <v>3881</v>
      </c>
      <c r="I586" s="504">
        <v>5</v>
      </c>
      <c r="J586" s="504">
        <v>0</v>
      </c>
      <c r="K586" s="504">
        <v>0</v>
      </c>
      <c r="L586" s="504">
        <v>5</v>
      </c>
      <c r="M586" s="504">
        <v>0</v>
      </c>
      <c r="N586" s="504">
        <v>0</v>
      </c>
      <c r="O586" s="505">
        <v>0</v>
      </c>
    </row>
    <row r="587" spans="1:15" x14ac:dyDescent="0.35">
      <c r="A587" s="500" t="s">
        <v>1171</v>
      </c>
      <c r="B587" s="501" t="s">
        <v>3003</v>
      </c>
      <c r="C587" s="501" t="s">
        <v>1094</v>
      </c>
      <c r="D587" s="501" t="s">
        <v>3380</v>
      </c>
      <c r="E587" s="501" t="s">
        <v>3381</v>
      </c>
      <c r="F587" s="501" t="s">
        <v>458</v>
      </c>
      <c r="G587" s="501" t="s">
        <v>459</v>
      </c>
      <c r="H587" s="501" t="s">
        <v>3882</v>
      </c>
      <c r="I587" s="501">
        <v>88</v>
      </c>
      <c r="J587" s="501">
        <v>67</v>
      </c>
      <c r="K587" s="501">
        <v>0</v>
      </c>
      <c r="L587" s="501">
        <v>0</v>
      </c>
      <c r="M587" s="501">
        <v>0</v>
      </c>
      <c r="N587" s="501">
        <v>0</v>
      </c>
      <c r="O587" s="506">
        <v>21</v>
      </c>
    </row>
    <row r="588" spans="1:15" x14ac:dyDescent="0.35">
      <c r="A588" s="503" t="s">
        <v>1173</v>
      </c>
      <c r="B588" s="504">
        <v>4775</v>
      </c>
      <c r="C588" s="504" t="s">
        <v>1094</v>
      </c>
      <c r="D588" s="504" t="s">
        <v>3380</v>
      </c>
      <c r="E588" s="504" t="s">
        <v>3381</v>
      </c>
      <c r="F588" s="504" t="s">
        <v>458</v>
      </c>
      <c r="G588" s="504" t="s">
        <v>459</v>
      </c>
      <c r="H588" s="504" t="s">
        <v>3883</v>
      </c>
      <c r="I588" s="504">
        <v>2690</v>
      </c>
      <c r="J588" s="504">
        <v>1184</v>
      </c>
      <c r="K588" s="504">
        <v>0</v>
      </c>
      <c r="L588" s="504">
        <v>69</v>
      </c>
      <c r="M588" s="504">
        <v>1274</v>
      </c>
      <c r="N588" s="504">
        <v>0</v>
      </c>
      <c r="O588" s="505">
        <v>163</v>
      </c>
    </row>
    <row r="589" spans="1:15" x14ac:dyDescent="0.35">
      <c r="A589" s="500" t="s">
        <v>1175</v>
      </c>
      <c r="B589" s="501" t="s">
        <v>3141</v>
      </c>
      <c r="C589" s="501" t="s">
        <v>1094</v>
      </c>
      <c r="D589" s="501" t="s">
        <v>3380</v>
      </c>
      <c r="E589" s="501" t="s">
        <v>3381</v>
      </c>
      <c r="F589" s="501" t="s">
        <v>458</v>
      </c>
      <c r="G589" s="501" t="s">
        <v>459</v>
      </c>
      <c r="H589" s="501" t="s">
        <v>3884</v>
      </c>
      <c r="I589" s="501">
        <v>9</v>
      </c>
      <c r="J589" s="501">
        <v>9</v>
      </c>
      <c r="K589" s="501">
        <v>0</v>
      </c>
      <c r="L589" s="501">
        <v>0</v>
      </c>
      <c r="M589" s="501">
        <v>0</v>
      </c>
      <c r="N589" s="501">
        <v>0</v>
      </c>
      <c r="O589" s="506">
        <v>0</v>
      </c>
    </row>
    <row r="590" spans="1:15" x14ac:dyDescent="0.35">
      <c r="A590" s="503" t="s">
        <v>1180</v>
      </c>
      <c r="B590" s="504" t="s">
        <v>3184</v>
      </c>
      <c r="C590" s="504" t="s">
        <v>1094</v>
      </c>
      <c r="D590" s="504" t="s">
        <v>3380</v>
      </c>
      <c r="E590" s="504" t="s">
        <v>3381</v>
      </c>
      <c r="F590" s="504" t="s">
        <v>458</v>
      </c>
      <c r="G590" s="504" t="s">
        <v>459</v>
      </c>
      <c r="H590" s="504" t="s">
        <v>3885</v>
      </c>
      <c r="I590" s="504">
        <v>6</v>
      </c>
      <c r="J590" s="504">
        <v>5</v>
      </c>
      <c r="K590" s="504">
        <v>0</v>
      </c>
      <c r="L590" s="504">
        <v>0</v>
      </c>
      <c r="M590" s="504">
        <v>0</v>
      </c>
      <c r="N590" s="504">
        <v>0</v>
      </c>
      <c r="O590" s="505">
        <v>1</v>
      </c>
    </row>
    <row r="591" spans="1:15" x14ac:dyDescent="0.35">
      <c r="A591" s="500" t="s">
        <v>1105</v>
      </c>
      <c r="B591" s="501">
        <v>4668</v>
      </c>
      <c r="C591" s="501" t="s">
        <v>1094</v>
      </c>
      <c r="D591" s="501" t="s">
        <v>3380</v>
      </c>
      <c r="E591" s="501" t="s">
        <v>3381</v>
      </c>
      <c r="F591" s="501" t="s">
        <v>458</v>
      </c>
      <c r="G591" s="501" t="s">
        <v>459</v>
      </c>
      <c r="H591" s="501" t="s">
        <v>3886</v>
      </c>
      <c r="I591" s="501">
        <v>1</v>
      </c>
      <c r="J591" s="501">
        <v>0</v>
      </c>
      <c r="K591" s="501">
        <v>0</v>
      </c>
      <c r="L591" s="501">
        <v>0</v>
      </c>
      <c r="M591" s="501">
        <v>0</v>
      </c>
      <c r="N591" s="501">
        <v>0</v>
      </c>
      <c r="O591" s="506">
        <v>1</v>
      </c>
    </row>
    <row r="592" spans="1:15" x14ac:dyDescent="0.35">
      <c r="A592" s="503" t="s">
        <v>1203</v>
      </c>
      <c r="B592" s="504" t="s">
        <v>3170</v>
      </c>
      <c r="C592" s="504" t="s">
        <v>1094</v>
      </c>
      <c r="D592" s="504" t="s">
        <v>3380</v>
      </c>
      <c r="E592" s="504" t="s">
        <v>3381</v>
      </c>
      <c r="F592" s="504" t="s">
        <v>458</v>
      </c>
      <c r="G592" s="504" t="s">
        <v>459</v>
      </c>
      <c r="H592" s="504" t="s">
        <v>3887</v>
      </c>
      <c r="I592" s="504">
        <v>53</v>
      </c>
      <c r="J592" s="504">
        <v>51</v>
      </c>
      <c r="K592" s="504">
        <v>0</v>
      </c>
      <c r="L592" s="504">
        <v>0</v>
      </c>
      <c r="M592" s="504">
        <v>0</v>
      </c>
      <c r="N592" s="504">
        <v>0</v>
      </c>
      <c r="O592" s="505">
        <v>2</v>
      </c>
    </row>
    <row r="593" spans="1:15" x14ac:dyDescent="0.35">
      <c r="A593" s="500" t="s">
        <v>1207</v>
      </c>
      <c r="B593" s="501" t="s">
        <v>3202</v>
      </c>
      <c r="C593" s="501" t="s">
        <v>1094</v>
      </c>
      <c r="D593" s="501" t="s">
        <v>3380</v>
      </c>
      <c r="E593" s="501" t="s">
        <v>3381</v>
      </c>
      <c r="F593" s="501" t="s">
        <v>458</v>
      </c>
      <c r="G593" s="501" t="s">
        <v>459</v>
      </c>
      <c r="H593" s="501" t="s">
        <v>3888</v>
      </c>
      <c r="I593" s="501">
        <v>144</v>
      </c>
      <c r="J593" s="501">
        <v>107</v>
      </c>
      <c r="K593" s="501">
        <v>0</v>
      </c>
      <c r="L593" s="501">
        <v>0</v>
      </c>
      <c r="M593" s="501">
        <v>0</v>
      </c>
      <c r="N593" s="501">
        <v>0</v>
      </c>
      <c r="O593" s="506">
        <v>37</v>
      </c>
    </row>
    <row r="594" spans="1:15" x14ac:dyDescent="0.35">
      <c r="A594" s="503" t="s">
        <v>1215</v>
      </c>
      <c r="B594" s="504">
        <v>4817</v>
      </c>
      <c r="C594" s="504" t="s">
        <v>1094</v>
      </c>
      <c r="D594" s="504" t="s">
        <v>3380</v>
      </c>
      <c r="E594" s="504" t="s">
        <v>3381</v>
      </c>
      <c r="F594" s="504" t="s">
        <v>458</v>
      </c>
      <c r="G594" s="504" t="s">
        <v>459</v>
      </c>
      <c r="H594" s="504" t="s">
        <v>3889</v>
      </c>
      <c r="I594" s="504">
        <v>147</v>
      </c>
      <c r="J594" s="504">
        <v>121</v>
      </c>
      <c r="K594" s="504">
        <v>0</v>
      </c>
      <c r="L594" s="504">
        <v>0</v>
      </c>
      <c r="M594" s="504">
        <v>0</v>
      </c>
      <c r="N594" s="504">
        <v>0</v>
      </c>
      <c r="O594" s="505">
        <v>26</v>
      </c>
    </row>
    <row r="595" spans="1:15" x14ac:dyDescent="0.35">
      <c r="A595" s="500" t="s">
        <v>11367</v>
      </c>
      <c r="B595" s="501" t="s">
        <v>3143</v>
      </c>
      <c r="C595" s="501" t="s">
        <v>1094</v>
      </c>
      <c r="D595" s="501" t="s">
        <v>3380</v>
      </c>
      <c r="E595" s="501" t="s">
        <v>3381</v>
      </c>
      <c r="F595" s="501" t="s">
        <v>458</v>
      </c>
      <c r="G595" s="501" t="s">
        <v>459</v>
      </c>
      <c r="H595" s="501" t="s">
        <v>11905</v>
      </c>
      <c r="I595" s="501">
        <v>151</v>
      </c>
      <c r="J595" s="501">
        <v>151</v>
      </c>
      <c r="K595" s="501">
        <v>0</v>
      </c>
      <c r="L595" s="501">
        <v>0</v>
      </c>
      <c r="M595" s="501">
        <v>0</v>
      </c>
      <c r="N595" s="501">
        <v>0</v>
      </c>
      <c r="O595" s="506">
        <v>0</v>
      </c>
    </row>
    <row r="596" spans="1:15" x14ac:dyDescent="0.35">
      <c r="A596" s="503" t="s">
        <v>1220</v>
      </c>
      <c r="B596" s="504">
        <v>4849</v>
      </c>
      <c r="C596" s="504" t="s">
        <v>1094</v>
      </c>
      <c r="D596" s="504" t="s">
        <v>3380</v>
      </c>
      <c r="E596" s="504" t="s">
        <v>3381</v>
      </c>
      <c r="F596" s="504" t="s">
        <v>458</v>
      </c>
      <c r="G596" s="504" t="s">
        <v>459</v>
      </c>
      <c r="H596" s="504" t="s">
        <v>3890</v>
      </c>
      <c r="I596" s="504">
        <v>90</v>
      </c>
      <c r="J596" s="504">
        <v>82</v>
      </c>
      <c r="K596" s="504">
        <v>0</v>
      </c>
      <c r="L596" s="504">
        <v>0</v>
      </c>
      <c r="M596" s="504">
        <v>0</v>
      </c>
      <c r="N596" s="504">
        <v>0</v>
      </c>
      <c r="O596" s="505">
        <v>8</v>
      </c>
    </row>
    <row r="597" spans="1:15" x14ac:dyDescent="0.35">
      <c r="A597" s="500" t="s">
        <v>1122</v>
      </c>
      <c r="B597" s="501" t="s">
        <v>2994</v>
      </c>
      <c r="C597" s="501" t="s">
        <v>1094</v>
      </c>
      <c r="D597" s="501" t="s">
        <v>3380</v>
      </c>
      <c r="E597" s="501" t="s">
        <v>3381</v>
      </c>
      <c r="F597" s="501" t="s">
        <v>458</v>
      </c>
      <c r="G597" s="501" t="s">
        <v>459</v>
      </c>
      <c r="H597" s="501" t="s">
        <v>3891</v>
      </c>
      <c r="I597" s="501">
        <v>1</v>
      </c>
      <c r="J597" s="501">
        <v>1</v>
      </c>
      <c r="K597" s="501">
        <v>0</v>
      </c>
      <c r="L597" s="501">
        <v>0</v>
      </c>
      <c r="M597" s="501">
        <v>0</v>
      </c>
      <c r="N597" s="501">
        <v>0</v>
      </c>
      <c r="O597" s="506">
        <v>0</v>
      </c>
    </row>
    <row r="598" spans="1:15" x14ac:dyDescent="0.35">
      <c r="A598" s="503" t="s">
        <v>1226</v>
      </c>
      <c r="B598" s="504">
        <v>5084</v>
      </c>
      <c r="C598" s="504" t="s">
        <v>1094</v>
      </c>
      <c r="D598" s="504" t="s">
        <v>3380</v>
      </c>
      <c r="E598" s="504" t="s">
        <v>3381</v>
      </c>
      <c r="F598" s="504" t="s">
        <v>458</v>
      </c>
      <c r="G598" s="504" t="s">
        <v>459</v>
      </c>
      <c r="H598" s="504" t="s">
        <v>3892</v>
      </c>
      <c r="I598" s="504">
        <v>439</v>
      </c>
      <c r="J598" s="504">
        <v>347</v>
      </c>
      <c r="K598" s="504">
        <v>0</v>
      </c>
      <c r="L598" s="504">
        <v>0</v>
      </c>
      <c r="M598" s="504">
        <v>0</v>
      </c>
      <c r="N598" s="504">
        <v>0</v>
      </c>
      <c r="O598" s="505">
        <v>92</v>
      </c>
    </row>
    <row r="599" spans="1:15" x14ac:dyDescent="0.35">
      <c r="A599" s="500" t="s">
        <v>1228</v>
      </c>
      <c r="B599" s="501" t="s">
        <v>3321</v>
      </c>
      <c r="C599" s="501" t="s">
        <v>1094</v>
      </c>
      <c r="D599" s="501" t="s">
        <v>3380</v>
      </c>
      <c r="E599" s="501" t="s">
        <v>3381</v>
      </c>
      <c r="F599" s="501" t="s">
        <v>458</v>
      </c>
      <c r="G599" s="501" t="s">
        <v>459</v>
      </c>
      <c r="H599" s="501" t="s">
        <v>3893</v>
      </c>
      <c r="I599" s="501">
        <v>8</v>
      </c>
      <c r="J599" s="501">
        <v>0</v>
      </c>
      <c r="K599" s="501">
        <v>0</v>
      </c>
      <c r="L599" s="501">
        <v>8</v>
      </c>
      <c r="M599" s="501">
        <v>0</v>
      </c>
      <c r="N599" s="501">
        <v>0</v>
      </c>
      <c r="O599" s="506">
        <v>0</v>
      </c>
    </row>
    <row r="600" spans="1:15" x14ac:dyDescent="0.35">
      <c r="A600" s="503" t="s">
        <v>1126</v>
      </c>
      <c r="B600" s="504" t="s">
        <v>2974</v>
      </c>
      <c r="C600" s="504" t="s">
        <v>1094</v>
      </c>
      <c r="D600" s="504" t="s">
        <v>3380</v>
      </c>
      <c r="E600" s="504" t="s">
        <v>3381</v>
      </c>
      <c r="F600" s="504" t="s">
        <v>458</v>
      </c>
      <c r="G600" s="504" t="s">
        <v>459</v>
      </c>
      <c r="H600" s="504" t="s">
        <v>3894</v>
      </c>
      <c r="I600" s="504">
        <v>3</v>
      </c>
      <c r="J600" s="504">
        <v>2</v>
      </c>
      <c r="K600" s="504">
        <v>0</v>
      </c>
      <c r="L600" s="504">
        <v>0</v>
      </c>
      <c r="M600" s="504">
        <v>0</v>
      </c>
      <c r="N600" s="504">
        <v>0</v>
      </c>
      <c r="O600" s="505">
        <v>1</v>
      </c>
    </row>
    <row r="601" spans="1:15" x14ac:dyDescent="0.35">
      <c r="A601" s="500" t="s">
        <v>1240</v>
      </c>
      <c r="B601" s="501" t="s">
        <v>2972</v>
      </c>
      <c r="C601" s="501" t="s">
        <v>1094</v>
      </c>
      <c r="D601" s="501" t="s">
        <v>3380</v>
      </c>
      <c r="E601" s="501" t="s">
        <v>3381</v>
      </c>
      <c r="F601" s="501" t="s">
        <v>458</v>
      </c>
      <c r="G601" s="501" t="s">
        <v>459</v>
      </c>
      <c r="H601" s="501" t="s">
        <v>14475</v>
      </c>
      <c r="I601" s="501">
        <v>24</v>
      </c>
      <c r="J601" s="501">
        <v>20</v>
      </c>
      <c r="K601" s="501">
        <v>0</v>
      </c>
      <c r="L601" s="501">
        <v>0</v>
      </c>
      <c r="M601" s="501">
        <v>0</v>
      </c>
      <c r="N601" s="501">
        <v>0</v>
      </c>
      <c r="O601" s="506">
        <v>4</v>
      </c>
    </row>
    <row r="602" spans="1:15" x14ac:dyDescent="0.35">
      <c r="A602" s="503" t="s">
        <v>1134</v>
      </c>
      <c r="B602" s="504" t="s">
        <v>3066</v>
      </c>
      <c r="C602" s="504" t="s">
        <v>1094</v>
      </c>
      <c r="D602" s="504" t="s">
        <v>3380</v>
      </c>
      <c r="E602" s="504" t="s">
        <v>3381</v>
      </c>
      <c r="F602" s="504" t="s">
        <v>458</v>
      </c>
      <c r="G602" s="504" t="s">
        <v>459</v>
      </c>
      <c r="H602" s="504" t="s">
        <v>3895</v>
      </c>
      <c r="I602" s="504">
        <v>88</v>
      </c>
      <c r="J602" s="504">
        <v>79</v>
      </c>
      <c r="K602" s="504">
        <v>0</v>
      </c>
      <c r="L602" s="504">
        <v>0</v>
      </c>
      <c r="M602" s="504">
        <v>0</v>
      </c>
      <c r="N602" s="504">
        <v>0</v>
      </c>
      <c r="O602" s="505">
        <v>9</v>
      </c>
    </row>
    <row r="603" spans="1:15" x14ac:dyDescent="0.35">
      <c r="A603" s="500" t="s">
        <v>1253</v>
      </c>
      <c r="B603" s="501" t="s">
        <v>3232</v>
      </c>
      <c r="C603" s="501" t="s">
        <v>1094</v>
      </c>
      <c r="D603" s="501" t="s">
        <v>3380</v>
      </c>
      <c r="E603" s="501" t="s">
        <v>3381</v>
      </c>
      <c r="F603" s="501" t="s">
        <v>458</v>
      </c>
      <c r="G603" s="501" t="s">
        <v>459</v>
      </c>
      <c r="H603" s="501" t="s">
        <v>3896</v>
      </c>
      <c r="I603" s="501">
        <v>62</v>
      </c>
      <c r="J603" s="501">
        <v>39</v>
      </c>
      <c r="K603" s="501">
        <v>0</v>
      </c>
      <c r="L603" s="501">
        <v>0</v>
      </c>
      <c r="M603" s="501">
        <v>0</v>
      </c>
      <c r="N603" s="501">
        <v>0</v>
      </c>
      <c r="O603" s="506">
        <v>23</v>
      </c>
    </row>
    <row r="604" spans="1:15" x14ac:dyDescent="0.35">
      <c r="A604" s="503" t="s">
        <v>1147</v>
      </c>
      <c r="B604" s="504" t="s">
        <v>3274</v>
      </c>
      <c r="C604" s="504" t="s">
        <v>1089</v>
      </c>
      <c r="D604" s="504" t="s">
        <v>3392</v>
      </c>
      <c r="E604" s="504" t="s">
        <v>3381</v>
      </c>
      <c r="F604" s="504" t="s">
        <v>460</v>
      </c>
      <c r="G604" s="504" t="s">
        <v>461</v>
      </c>
      <c r="H604" s="504" t="s">
        <v>3897</v>
      </c>
      <c r="I604" s="504">
        <v>10</v>
      </c>
      <c r="J604" s="504">
        <v>0</v>
      </c>
      <c r="K604" s="504">
        <v>0</v>
      </c>
      <c r="L604" s="504">
        <v>10</v>
      </c>
      <c r="M604" s="504">
        <v>0</v>
      </c>
      <c r="N604" s="504">
        <v>0</v>
      </c>
      <c r="O604" s="505">
        <v>0</v>
      </c>
    </row>
    <row r="605" spans="1:15" x14ac:dyDescent="0.35">
      <c r="A605" s="500" t="s">
        <v>1096</v>
      </c>
      <c r="B605" s="501" t="s">
        <v>3326</v>
      </c>
      <c r="C605" s="501" t="s">
        <v>1094</v>
      </c>
      <c r="D605" s="501" t="s">
        <v>3380</v>
      </c>
      <c r="E605" s="501" t="s">
        <v>3381</v>
      </c>
      <c r="F605" s="501" t="s">
        <v>460</v>
      </c>
      <c r="G605" s="501" t="s">
        <v>461</v>
      </c>
      <c r="H605" s="501" t="s">
        <v>3898</v>
      </c>
      <c r="I605" s="501">
        <v>244</v>
      </c>
      <c r="J605" s="501">
        <v>0</v>
      </c>
      <c r="K605" s="501">
        <v>0</v>
      </c>
      <c r="L605" s="501">
        <v>0</v>
      </c>
      <c r="M605" s="501">
        <v>232</v>
      </c>
      <c r="N605" s="501">
        <v>0</v>
      </c>
      <c r="O605" s="506">
        <v>12</v>
      </c>
    </row>
    <row r="606" spans="1:15" x14ac:dyDescent="0.35">
      <c r="A606" s="503" t="s">
        <v>1151</v>
      </c>
      <c r="B606" s="504">
        <v>4726</v>
      </c>
      <c r="C606" s="504" t="s">
        <v>1089</v>
      </c>
      <c r="D606" s="504" t="s">
        <v>3392</v>
      </c>
      <c r="E606" s="504" t="s">
        <v>3381</v>
      </c>
      <c r="F606" s="504" t="s">
        <v>460</v>
      </c>
      <c r="G606" s="504" t="s">
        <v>461</v>
      </c>
      <c r="H606" s="504" t="s">
        <v>3899</v>
      </c>
      <c r="I606" s="504">
        <v>8</v>
      </c>
      <c r="J606" s="504">
        <v>8</v>
      </c>
      <c r="K606" s="504">
        <v>0</v>
      </c>
      <c r="L606" s="504">
        <v>0</v>
      </c>
      <c r="M606" s="504">
        <v>0</v>
      </c>
      <c r="N606" s="504">
        <v>0</v>
      </c>
      <c r="O606" s="505">
        <v>0</v>
      </c>
    </row>
    <row r="607" spans="1:15" x14ac:dyDescent="0.35">
      <c r="A607" s="500" t="s">
        <v>1673</v>
      </c>
      <c r="B607" s="501">
        <v>4731</v>
      </c>
      <c r="C607" s="501" t="s">
        <v>1089</v>
      </c>
      <c r="D607" s="501" t="s">
        <v>3392</v>
      </c>
      <c r="E607" s="501" t="s">
        <v>3381</v>
      </c>
      <c r="F607" s="501" t="s">
        <v>460</v>
      </c>
      <c r="G607" s="501" t="s">
        <v>461</v>
      </c>
      <c r="H607" s="501" t="s">
        <v>3900</v>
      </c>
      <c r="I607" s="501">
        <v>1</v>
      </c>
      <c r="J607" s="501">
        <v>0</v>
      </c>
      <c r="K607" s="501">
        <v>0</v>
      </c>
      <c r="L607" s="501">
        <v>1</v>
      </c>
      <c r="M607" s="501">
        <v>0</v>
      </c>
      <c r="N607" s="501">
        <v>0</v>
      </c>
      <c r="O607" s="506">
        <v>0</v>
      </c>
    </row>
    <row r="608" spans="1:15" x14ac:dyDescent="0.35">
      <c r="A608" s="503" t="s">
        <v>1278</v>
      </c>
      <c r="B608" s="504">
        <v>4639</v>
      </c>
      <c r="C608" s="504" t="s">
        <v>1089</v>
      </c>
      <c r="D608" s="504" t="s">
        <v>3392</v>
      </c>
      <c r="E608" s="504" t="s">
        <v>3381</v>
      </c>
      <c r="F608" s="504" t="s">
        <v>460</v>
      </c>
      <c r="G608" s="504" t="s">
        <v>461</v>
      </c>
      <c r="H608" s="504" t="s">
        <v>3901</v>
      </c>
      <c r="I608" s="504">
        <v>17</v>
      </c>
      <c r="J608" s="504">
        <v>0</v>
      </c>
      <c r="K608" s="504">
        <v>0</v>
      </c>
      <c r="L608" s="504">
        <v>17</v>
      </c>
      <c r="M608" s="504">
        <v>0</v>
      </c>
      <c r="N608" s="504">
        <v>0</v>
      </c>
      <c r="O608" s="505">
        <v>0</v>
      </c>
    </row>
    <row r="609" spans="1:15" x14ac:dyDescent="0.35">
      <c r="A609" s="500" t="s">
        <v>1160</v>
      </c>
      <c r="B609" s="501">
        <v>4672</v>
      </c>
      <c r="C609" s="501" t="s">
        <v>1089</v>
      </c>
      <c r="D609" s="501" t="s">
        <v>3392</v>
      </c>
      <c r="E609" s="501" t="s">
        <v>3381</v>
      </c>
      <c r="F609" s="501" t="s">
        <v>460</v>
      </c>
      <c r="G609" s="501" t="s">
        <v>461</v>
      </c>
      <c r="H609" s="501" t="s">
        <v>3902</v>
      </c>
      <c r="I609" s="501">
        <v>4</v>
      </c>
      <c r="J609" s="501">
        <v>0</v>
      </c>
      <c r="K609" s="501">
        <v>0</v>
      </c>
      <c r="L609" s="501">
        <v>4</v>
      </c>
      <c r="M609" s="501">
        <v>0</v>
      </c>
      <c r="N609" s="501">
        <v>0</v>
      </c>
      <c r="O609" s="506">
        <v>0</v>
      </c>
    </row>
    <row r="610" spans="1:15" x14ac:dyDescent="0.35">
      <c r="A610" s="503" t="s">
        <v>1102</v>
      </c>
      <c r="B610" s="504">
        <v>4663</v>
      </c>
      <c r="C610" s="504" t="s">
        <v>1089</v>
      </c>
      <c r="D610" s="504" t="s">
        <v>3392</v>
      </c>
      <c r="E610" s="504" t="s">
        <v>3381</v>
      </c>
      <c r="F610" s="504" t="s">
        <v>460</v>
      </c>
      <c r="G610" s="504" t="s">
        <v>461</v>
      </c>
      <c r="H610" s="504" t="s">
        <v>3903</v>
      </c>
      <c r="I610" s="504">
        <v>8</v>
      </c>
      <c r="J610" s="504">
        <v>0</v>
      </c>
      <c r="K610" s="504">
        <v>0</v>
      </c>
      <c r="L610" s="504">
        <v>8</v>
      </c>
      <c r="M610" s="504">
        <v>0</v>
      </c>
      <c r="N610" s="504">
        <v>0</v>
      </c>
      <c r="O610" s="505">
        <v>0</v>
      </c>
    </row>
    <row r="611" spans="1:15" x14ac:dyDescent="0.35">
      <c r="A611" s="500" t="s">
        <v>1183</v>
      </c>
      <c r="B611" s="501" t="s">
        <v>3038</v>
      </c>
      <c r="C611" s="501" t="s">
        <v>1094</v>
      </c>
      <c r="D611" s="501" t="s">
        <v>3380</v>
      </c>
      <c r="E611" s="501" t="s">
        <v>3381</v>
      </c>
      <c r="F611" s="501" t="s">
        <v>460</v>
      </c>
      <c r="G611" s="501" t="s">
        <v>461</v>
      </c>
      <c r="H611" s="501" t="s">
        <v>3904</v>
      </c>
      <c r="I611" s="501">
        <v>1041</v>
      </c>
      <c r="J611" s="501">
        <v>993</v>
      </c>
      <c r="K611" s="501">
        <v>0</v>
      </c>
      <c r="L611" s="501">
        <v>22</v>
      </c>
      <c r="M611" s="501">
        <v>0</v>
      </c>
      <c r="N611" s="501">
        <v>0</v>
      </c>
      <c r="O611" s="506">
        <v>26</v>
      </c>
    </row>
    <row r="612" spans="1:15" x14ac:dyDescent="0.35">
      <c r="A612" s="503" t="s">
        <v>1186</v>
      </c>
      <c r="B612" s="504">
        <v>4661</v>
      </c>
      <c r="C612" s="504" t="s">
        <v>1089</v>
      </c>
      <c r="D612" s="504" t="s">
        <v>3392</v>
      </c>
      <c r="E612" s="504" t="s">
        <v>3381</v>
      </c>
      <c r="F612" s="504" t="s">
        <v>460</v>
      </c>
      <c r="G612" s="504" t="s">
        <v>461</v>
      </c>
      <c r="H612" s="504" t="s">
        <v>3905</v>
      </c>
      <c r="I612" s="504">
        <v>15</v>
      </c>
      <c r="J612" s="504">
        <v>0</v>
      </c>
      <c r="K612" s="504">
        <v>0</v>
      </c>
      <c r="L612" s="504">
        <v>15</v>
      </c>
      <c r="M612" s="504">
        <v>0</v>
      </c>
      <c r="N612" s="504">
        <v>0</v>
      </c>
      <c r="O612" s="505">
        <v>0</v>
      </c>
    </row>
    <row r="613" spans="1:15" x14ac:dyDescent="0.35">
      <c r="A613" s="500" t="s">
        <v>1107</v>
      </c>
      <c r="B613" s="501" t="s">
        <v>3109</v>
      </c>
      <c r="C613" s="501" t="s">
        <v>1094</v>
      </c>
      <c r="D613" s="501" t="s">
        <v>3380</v>
      </c>
      <c r="E613" s="501" t="s">
        <v>3381</v>
      </c>
      <c r="F613" s="501" t="s">
        <v>460</v>
      </c>
      <c r="G613" s="501" t="s">
        <v>461</v>
      </c>
      <c r="H613" s="501" t="s">
        <v>3906</v>
      </c>
      <c r="I613" s="501">
        <v>7</v>
      </c>
      <c r="J613" s="501">
        <v>0</v>
      </c>
      <c r="K613" s="501">
        <v>0</v>
      </c>
      <c r="L613" s="501">
        <v>7</v>
      </c>
      <c r="M613" s="501">
        <v>0</v>
      </c>
      <c r="N613" s="501">
        <v>0</v>
      </c>
      <c r="O613" s="506">
        <v>0</v>
      </c>
    </row>
    <row r="614" spans="1:15" x14ac:dyDescent="0.35">
      <c r="A614" s="503" t="s">
        <v>1109</v>
      </c>
      <c r="B614" s="504" t="s">
        <v>2959</v>
      </c>
      <c r="C614" s="504" t="s">
        <v>1094</v>
      </c>
      <c r="D614" s="504" t="s">
        <v>3380</v>
      </c>
      <c r="E614" s="504" t="s">
        <v>3381</v>
      </c>
      <c r="F614" s="504" t="s">
        <v>460</v>
      </c>
      <c r="G614" s="504" t="s">
        <v>461</v>
      </c>
      <c r="H614" s="504" t="s">
        <v>3907</v>
      </c>
      <c r="I614" s="504">
        <v>181</v>
      </c>
      <c r="J614" s="504">
        <v>0</v>
      </c>
      <c r="K614" s="504">
        <v>0</v>
      </c>
      <c r="L614" s="504">
        <v>0</v>
      </c>
      <c r="M614" s="504">
        <v>169</v>
      </c>
      <c r="N614" s="504">
        <v>0</v>
      </c>
      <c r="O614" s="505">
        <v>12</v>
      </c>
    </row>
    <row r="615" spans="1:15" x14ac:dyDescent="0.35">
      <c r="A615" s="500" t="s">
        <v>1190</v>
      </c>
      <c r="B615" s="501">
        <v>4662</v>
      </c>
      <c r="C615" s="501" t="s">
        <v>1094</v>
      </c>
      <c r="D615" s="501" t="s">
        <v>3380</v>
      </c>
      <c r="E615" s="501" t="s">
        <v>3381</v>
      </c>
      <c r="F615" s="501" t="s">
        <v>460</v>
      </c>
      <c r="G615" s="501" t="s">
        <v>461</v>
      </c>
      <c r="H615" s="501" t="s">
        <v>3908</v>
      </c>
      <c r="I615" s="501">
        <v>106</v>
      </c>
      <c r="J615" s="501">
        <v>0</v>
      </c>
      <c r="K615" s="501">
        <v>0</v>
      </c>
      <c r="L615" s="501">
        <v>106</v>
      </c>
      <c r="M615" s="501">
        <v>0</v>
      </c>
      <c r="N615" s="501">
        <v>0</v>
      </c>
      <c r="O615" s="506">
        <v>0</v>
      </c>
    </row>
    <row r="616" spans="1:15" x14ac:dyDescent="0.35">
      <c r="A616" s="503" t="s">
        <v>1727</v>
      </c>
      <c r="B616" s="504" t="s">
        <v>2570</v>
      </c>
      <c r="C616" s="504" t="s">
        <v>1089</v>
      </c>
      <c r="D616" s="504" t="s">
        <v>3392</v>
      </c>
      <c r="E616" s="504" t="s">
        <v>3381</v>
      </c>
      <c r="F616" s="504" t="s">
        <v>460</v>
      </c>
      <c r="G616" s="504" t="s">
        <v>461</v>
      </c>
      <c r="H616" s="504" t="s">
        <v>3909</v>
      </c>
      <c r="I616" s="504">
        <v>8</v>
      </c>
      <c r="J616" s="504">
        <v>0</v>
      </c>
      <c r="K616" s="504">
        <v>0</v>
      </c>
      <c r="L616" s="504">
        <v>0</v>
      </c>
      <c r="M616" s="504">
        <v>8</v>
      </c>
      <c r="N616" s="504">
        <v>0</v>
      </c>
      <c r="O616" s="505">
        <v>0</v>
      </c>
    </row>
    <row r="617" spans="1:15" x14ac:dyDescent="0.35">
      <c r="A617" s="500" t="s">
        <v>1739</v>
      </c>
      <c r="B617" s="501">
        <v>4857</v>
      </c>
      <c r="C617" s="501" t="s">
        <v>1094</v>
      </c>
      <c r="D617" s="501" t="s">
        <v>3380</v>
      </c>
      <c r="E617" s="501" t="s">
        <v>3381</v>
      </c>
      <c r="F617" s="501" t="s">
        <v>460</v>
      </c>
      <c r="G617" s="501" t="s">
        <v>461</v>
      </c>
      <c r="H617" s="501" t="s">
        <v>3910</v>
      </c>
      <c r="I617" s="501">
        <v>65</v>
      </c>
      <c r="J617" s="501">
        <v>16</v>
      </c>
      <c r="K617" s="501">
        <v>0</v>
      </c>
      <c r="L617" s="501">
        <v>46</v>
      </c>
      <c r="M617" s="501">
        <v>0</v>
      </c>
      <c r="N617" s="501">
        <v>0</v>
      </c>
      <c r="O617" s="506">
        <v>3</v>
      </c>
    </row>
    <row r="618" spans="1:15" x14ac:dyDescent="0.35">
      <c r="A618" s="503" t="s">
        <v>1209</v>
      </c>
      <c r="B618" s="504">
        <v>4779</v>
      </c>
      <c r="C618" s="504" t="s">
        <v>1094</v>
      </c>
      <c r="D618" s="504" t="s">
        <v>3380</v>
      </c>
      <c r="E618" s="504" t="s">
        <v>3381</v>
      </c>
      <c r="F618" s="504" t="s">
        <v>460</v>
      </c>
      <c r="G618" s="504" t="s">
        <v>461</v>
      </c>
      <c r="H618" s="504" t="s">
        <v>3911</v>
      </c>
      <c r="I618" s="504">
        <v>39</v>
      </c>
      <c r="J618" s="504">
        <v>0</v>
      </c>
      <c r="K618" s="504">
        <v>0</v>
      </c>
      <c r="L618" s="504">
        <v>39</v>
      </c>
      <c r="M618" s="504">
        <v>0</v>
      </c>
      <c r="N618" s="504">
        <v>0</v>
      </c>
      <c r="O618" s="505">
        <v>0</v>
      </c>
    </row>
    <row r="619" spans="1:15" x14ac:dyDescent="0.35">
      <c r="A619" s="500" t="s">
        <v>1744</v>
      </c>
      <c r="B619" s="501" t="s">
        <v>3245</v>
      </c>
      <c r="C619" s="501" t="s">
        <v>1094</v>
      </c>
      <c r="D619" s="501" t="s">
        <v>3380</v>
      </c>
      <c r="E619" s="501" t="s">
        <v>3381</v>
      </c>
      <c r="F619" s="501" t="s">
        <v>460</v>
      </c>
      <c r="G619" s="501" t="s">
        <v>461</v>
      </c>
      <c r="H619" s="501" t="s">
        <v>3912</v>
      </c>
      <c r="I619" s="501">
        <v>299</v>
      </c>
      <c r="J619" s="501">
        <v>222</v>
      </c>
      <c r="K619" s="501">
        <v>0</v>
      </c>
      <c r="L619" s="501">
        <v>45</v>
      </c>
      <c r="M619" s="501">
        <v>32</v>
      </c>
      <c r="N619" s="501">
        <v>0</v>
      </c>
      <c r="O619" s="506">
        <v>0</v>
      </c>
    </row>
    <row r="620" spans="1:15" x14ac:dyDescent="0.35">
      <c r="A620" s="503" t="s">
        <v>1223</v>
      </c>
      <c r="B620" s="504">
        <v>4768</v>
      </c>
      <c r="C620" s="504" t="s">
        <v>1089</v>
      </c>
      <c r="D620" s="504" t="s">
        <v>3392</v>
      </c>
      <c r="E620" s="504" t="s">
        <v>3381</v>
      </c>
      <c r="F620" s="504" t="s">
        <v>460</v>
      </c>
      <c r="G620" s="504" t="s">
        <v>461</v>
      </c>
      <c r="H620" s="504" t="s">
        <v>3913</v>
      </c>
      <c r="I620" s="504">
        <v>4</v>
      </c>
      <c r="J620" s="504">
        <v>1</v>
      </c>
      <c r="K620" s="504">
        <v>0</v>
      </c>
      <c r="L620" s="504">
        <v>3</v>
      </c>
      <c r="M620" s="504">
        <v>0</v>
      </c>
      <c r="N620" s="504">
        <v>0</v>
      </c>
      <c r="O620" s="505">
        <v>0</v>
      </c>
    </row>
    <row r="621" spans="1:15" x14ac:dyDescent="0.35">
      <c r="A621" s="500" t="s">
        <v>1122</v>
      </c>
      <c r="B621" s="501" t="s">
        <v>2994</v>
      </c>
      <c r="C621" s="501" t="s">
        <v>1094</v>
      </c>
      <c r="D621" s="501" t="s">
        <v>3380</v>
      </c>
      <c r="E621" s="501" t="s">
        <v>3381</v>
      </c>
      <c r="F621" s="501" t="s">
        <v>460</v>
      </c>
      <c r="G621" s="501" t="s">
        <v>461</v>
      </c>
      <c r="H621" s="501" t="s">
        <v>3914</v>
      </c>
      <c r="I621" s="501">
        <v>1054</v>
      </c>
      <c r="J621" s="501">
        <v>735</v>
      </c>
      <c r="K621" s="501">
        <v>0</v>
      </c>
      <c r="L621" s="501">
        <v>4</v>
      </c>
      <c r="M621" s="501">
        <v>264</v>
      </c>
      <c r="N621" s="501">
        <v>0</v>
      </c>
      <c r="O621" s="506">
        <v>51</v>
      </c>
    </row>
    <row r="622" spans="1:15" x14ac:dyDescent="0.35">
      <c r="A622" s="503" t="s">
        <v>1225</v>
      </c>
      <c r="B622" s="504" t="s">
        <v>3315</v>
      </c>
      <c r="C622" s="504" t="s">
        <v>1094</v>
      </c>
      <c r="D622" s="504" t="s">
        <v>3380</v>
      </c>
      <c r="E622" s="504" t="s">
        <v>3381</v>
      </c>
      <c r="F622" s="504" t="s">
        <v>460</v>
      </c>
      <c r="G622" s="504" t="s">
        <v>461</v>
      </c>
      <c r="H622" s="504" t="s">
        <v>3915</v>
      </c>
      <c r="I622" s="504">
        <v>80</v>
      </c>
      <c r="J622" s="504">
        <v>0</v>
      </c>
      <c r="K622" s="504">
        <v>0</v>
      </c>
      <c r="L622" s="504">
        <v>38</v>
      </c>
      <c r="M622" s="504">
        <v>42</v>
      </c>
      <c r="N622" s="504">
        <v>0</v>
      </c>
      <c r="O622" s="505">
        <v>0</v>
      </c>
    </row>
    <row r="623" spans="1:15" x14ac:dyDescent="0.35">
      <c r="A623" s="500" t="s">
        <v>1228</v>
      </c>
      <c r="B623" s="501" t="s">
        <v>3321</v>
      </c>
      <c r="C623" s="501" t="s">
        <v>1094</v>
      </c>
      <c r="D623" s="501" t="s">
        <v>3380</v>
      </c>
      <c r="E623" s="501" t="s">
        <v>3381</v>
      </c>
      <c r="F623" s="501" t="s">
        <v>460</v>
      </c>
      <c r="G623" s="501" t="s">
        <v>461</v>
      </c>
      <c r="H623" s="501" t="s">
        <v>3916</v>
      </c>
      <c r="I623" s="501">
        <v>77</v>
      </c>
      <c r="J623" s="501">
        <v>0</v>
      </c>
      <c r="K623" s="501">
        <v>0</v>
      </c>
      <c r="L623" s="501">
        <v>77</v>
      </c>
      <c r="M623" s="501">
        <v>0</v>
      </c>
      <c r="N623" s="501">
        <v>0</v>
      </c>
      <c r="O623" s="506">
        <v>0</v>
      </c>
    </row>
    <row r="624" spans="1:15" x14ac:dyDescent="0.35">
      <c r="A624" s="503" t="s">
        <v>1752</v>
      </c>
      <c r="B624" s="504">
        <v>4653</v>
      </c>
      <c r="C624" s="504" t="s">
        <v>1094</v>
      </c>
      <c r="D624" s="504" t="s">
        <v>3380</v>
      </c>
      <c r="E624" s="504" t="s">
        <v>3381</v>
      </c>
      <c r="F624" s="504" t="s">
        <v>460</v>
      </c>
      <c r="G624" s="504" t="s">
        <v>461</v>
      </c>
      <c r="H624" s="504" t="s">
        <v>3917</v>
      </c>
      <c r="I624" s="504">
        <v>9</v>
      </c>
      <c r="J624" s="504">
        <v>0</v>
      </c>
      <c r="K624" s="504">
        <v>0</v>
      </c>
      <c r="L624" s="504">
        <v>9</v>
      </c>
      <c r="M624" s="504">
        <v>0</v>
      </c>
      <c r="N624" s="504">
        <v>0</v>
      </c>
      <c r="O624" s="505">
        <v>0</v>
      </c>
    </row>
    <row r="625" spans="1:15" x14ac:dyDescent="0.35">
      <c r="A625" s="500" t="s">
        <v>1234</v>
      </c>
      <c r="B625" s="501" t="s">
        <v>3291</v>
      </c>
      <c r="C625" s="501" t="s">
        <v>1094</v>
      </c>
      <c r="D625" s="501" t="s">
        <v>3380</v>
      </c>
      <c r="E625" s="501" t="s">
        <v>3381</v>
      </c>
      <c r="F625" s="501" t="s">
        <v>460</v>
      </c>
      <c r="G625" s="501" t="s">
        <v>461</v>
      </c>
      <c r="H625" s="501" t="s">
        <v>3918</v>
      </c>
      <c r="I625" s="501">
        <v>80</v>
      </c>
      <c r="J625" s="501">
        <v>25</v>
      </c>
      <c r="K625" s="501">
        <v>0</v>
      </c>
      <c r="L625" s="501">
        <v>55</v>
      </c>
      <c r="M625" s="501">
        <v>0</v>
      </c>
      <c r="N625" s="501">
        <v>0</v>
      </c>
      <c r="O625" s="506">
        <v>0</v>
      </c>
    </row>
    <row r="626" spans="1:15" x14ac:dyDescent="0.35">
      <c r="A626" s="503" t="s">
        <v>1126</v>
      </c>
      <c r="B626" s="504" t="s">
        <v>2974</v>
      </c>
      <c r="C626" s="504" t="s">
        <v>1094</v>
      </c>
      <c r="D626" s="504" t="s">
        <v>3380</v>
      </c>
      <c r="E626" s="504" t="s">
        <v>3381</v>
      </c>
      <c r="F626" s="504" t="s">
        <v>460</v>
      </c>
      <c r="G626" s="504" t="s">
        <v>461</v>
      </c>
      <c r="H626" s="504" t="s">
        <v>3919</v>
      </c>
      <c r="I626" s="504">
        <v>10</v>
      </c>
      <c r="J626" s="504">
        <v>0</v>
      </c>
      <c r="K626" s="504">
        <v>0</v>
      </c>
      <c r="L626" s="504">
        <v>10</v>
      </c>
      <c r="M626" s="504">
        <v>0</v>
      </c>
      <c r="N626" s="504">
        <v>0</v>
      </c>
      <c r="O626" s="505">
        <v>0</v>
      </c>
    </row>
    <row r="627" spans="1:15" x14ac:dyDescent="0.35">
      <c r="A627" s="500" t="s">
        <v>1249</v>
      </c>
      <c r="B627" s="501">
        <v>4729</v>
      </c>
      <c r="C627" s="501" t="s">
        <v>1094</v>
      </c>
      <c r="D627" s="501" t="s">
        <v>3380</v>
      </c>
      <c r="E627" s="501" t="s">
        <v>3381</v>
      </c>
      <c r="F627" s="501" t="s">
        <v>460</v>
      </c>
      <c r="G627" s="501" t="s">
        <v>461</v>
      </c>
      <c r="H627" s="501" t="s">
        <v>3920</v>
      </c>
      <c r="I627" s="501">
        <v>752</v>
      </c>
      <c r="J627" s="501">
        <v>609</v>
      </c>
      <c r="K627" s="501">
        <v>0</v>
      </c>
      <c r="L627" s="501">
        <v>23</v>
      </c>
      <c r="M627" s="501">
        <v>101</v>
      </c>
      <c r="N627" s="501">
        <v>0</v>
      </c>
      <c r="O627" s="506">
        <v>19</v>
      </c>
    </row>
    <row r="628" spans="1:15" x14ac:dyDescent="0.35">
      <c r="A628" s="503" t="s">
        <v>1257</v>
      </c>
      <c r="B628" s="504" t="s">
        <v>3151</v>
      </c>
      <c r="C628" s="504" t="s">
        <v>1094</v>
      </c>
      <c r="D628" s="504" t="s">
        <v>3380</v>
      </c>
      <c r="E628" s="504" t="s">
        <v>3381</v>
      </c>
      <c r="F628" s="504" t="s">
        <v>460</v>
      </c>
      <c r="G628" s="504" t="s">
        <v>461</v>
      </c>
      <c r="H628" s="504" t="s">
        <v>3921</v>
      </c>
      <c r="I628" s="504">
        <v>7764</v>
      </c>
      <c r="J628" s="504">
        <v>7397</v>
      </c>
      <c r="K628" s="504">
        <v>0</v>
      </c>
      <c r="L628" s="504">
        <v>40</v>
      </c>
      <c r="M628" s="504">
        <v>236</v>
      </c>
      <c r="N628" s="504">
        <v>0</v>
      </c>
      <c r="O628" s="505">
        <v>91</v>
      </c>
    </row>
    <row r="629" spans="1:15" x14ac:dyDescent="0.35">
      <c r="A629" s="500" t="s">
        <v>1260</v>
      </c>
      <c r="B629" s="501">
        <v>4645</v>
      </c>
      <c r="C629" s="501" t="s">
        <v>1089</v>
      </c>
      <c r="D629" s="501" t="s">
        <v>3392</v>
      </c>
      <c r="E629" s="501" t="s">
        <v>3381</v>
      </c>
      <c r="F629" s="501" t="s">
        <v>460</v>
      </c>
      <c r="G629" s="501" t="s">
        <v>461</v>
      </c>
      <c r="H629" s="501" t="s">
        <v>3922</v>
      </c>
      <c r="I629" s="501">
        <v>6</v>
      </c>
      <c r="J629" s="501">
        <v>0</v>
      </c>
      <c r="K629" s="501">
        <v>0</v>
      </c>
      <c r="L629" s="501">
        <v>6</v>
      </c>
      <c r="M629" s="501">
        <v>0</v>
      </c>
      <c r="N629" s="501">
        <v>0</v>
      </c>
      <c r="O629" s="506">
        <v>0</v>
      </c>
    </row>
    <row r="630" spans="1:15" x14ac:dyDescent="0.35">
      <c r="A630" s="503" t="s">
        <v>1096</v>
      </c>
      <c r="B630" s="504" t="s">
        <v>3326</v>
      </c>
      <c r="C630" s="504" t="s">
        <v>1094</v>
      </c>
      <c r="D630" s="504" t="s">
        <v>3380</v>
      </c>
      <c r="E630" s="504" t="s">
        <v>3381</v>
      </c>
      <c r="F630" s="504" t="s">
        <v>462</v>
      </c>
      <c r="G630" s="504" t="s">
        <v>463</v>
      </c>
      <c r="H630" s="504" t="s">
        <v>3923</v>
      </c>
      <c r="I630" s="504">
        <v>31</v>
      </c>
      <c r="J630" s="504">
        <v>0</v>
      </c>
      <c r="K630" s="504">
        <v>0</v>
      </c>
      <c r="L630" s="504">
        <v>0</v>
      </c>
      <c r="M630" s="504">
        <v>31</v>
      </c>
      <c r="N630" s="504">
        <v>0</v>
      </c>
      <c r="O630" s="505">
        <v>0</v>
      </c>
    </row>
    <row r="631" spans="1:15" x14ac:dyDescent="0.35">
      <c r="A631" s="500" t="s">
        <v>1151</v>
      </c>
      <c r="B631" s="501">
        <v>4726</v>
      </c>
      <c r="C631" s="501" t="s">
        <v>1089</v>
      </c>
      <c r="D631" s="501" t="s">
        <v>3392</v>
      </c>
      <c r="E631" s="501" t="s">
        <v>3381</v>
      </c>
      <c r="F631" s="501" t="s">
        <v>462</v>
      </c>
      <c r="G631" s="501" t="s">
        <v>463</v>
      </c>
      <c r="H631" s="501" t="s">
        <v>3924</v>
      </c>
      <c r="I631" s="501">
        <v>6</v>
      </c>
      <c r="J631" s="501">
        <v>6</v>
      </c>
      <c r="K631" s="501">
        <v>0</v>
      </c>
      <c r="L631" s="501">
        <v>0</v>
      </c>
      <c r="M631" s="501">
        <v>0</v>
      </c>
      <c r="N631" s="501">
        <v>0</v>
      </c>
      <c r="O631" s="506">
        <v>0</v>
      </c>
    </row>
    <row r="632" spans="1:15" x14ac:dyDescent="0.35">
      <c r="A632" s="503" t="s">
        <v>1673</v>
      </c>
      <c r="B632" s="504">
        <v>4731</v>
      </c>
      <c r="C632" s="504" t="s">
        <v>1089</v>
      </c>
      <c r="D632" s="504" t="s">
        <v>3392</v>
      </c>
      <c r="E632" s="504" t="s">
        <v>3381</v>
      </c>
      <c r="F632" s="504" t="s">
        <v>462</v>
      </c>
      <c r="G632" s="504" t="s">
        <v>463</v>
      </c>
      <c r="H632" s="504" t="s">
        <v>3925</v>
      </c>
      <c r="I632" s="504">
        <v>22</v>
      </c>
      <c r="J632" s="504">
        <v>0</v>
      </c>
      <c r="K632" s="504">
        <v>0</v>
      </c>
      <c r="L632" s="504">
        <v>22</v>
      </c>
      <c r="M632" s="504">
        <v>0</v>
      </c>
      <c r="N632" s="504">
        <v>0</v>
      </c>
      <c r="O632" s="505">
        <v>0</v>
      </c>
    </row>
    <row r="633" spans="1:15" x14ac:dyDescent="0.35">
      <c r="A633" s="500" t="s">
        <v>11363</v>
      </c>
      <c r="B633" s="501">
        <v>4718</v>
      </c>
      <c r="C633" s="501" t="s">
        <v>1094</v>
      </c>
      <c r="D633" s="501" t="s">
        <v>3380</v>
      </c>
      <c r="E633" s="501" t="s">
        <v>3381</v>
      </c>
      <c r="F633" s="501" t="s">
        <v>462</v>
      </c>
      <c r="G633" s="501" t="s">
        <v>463</v>
      </c>
      <c r="H633" s="501" t="s">
        <v>11517</v>
      </c>
      <c r="I633" s="501">
        <v>31</v>
      </c>
      <c r="J633" s="501">
        <v>0</v>
      </c>
      <c r="K633" s="501">
        <v>0</v>
      </c>
      <c r="L633" s="501">
        <v>31</v>
      </c>
      <c r="M633" s="501">
        <v>0</v>
      </c>
      <c r="N633" s="501">
        <v>0</v>
      </c>
      <c r="O633" s="506">
        <v>0</v>
      </c>
    </row>
    <row r="634" spans="1:15" x14ac:dyDescent="0.35">
      <c r="A634" s="503" t="s">
        <v>1403</v>
      </c>
      <c r="B634" s="504">
        <v>4733</v>
      </c>
      <c r="C634" s="504" t="s">
        <v>1089</v>
      </c>
      <c r="D634" s="504" t="s">
        <v>3392</v>
      </c>
      <c r="E634" s="504" t="s">
        <v>3381</v>
      </c>
      <c r="F634" s="504" t="s">
        <v>462</v>
      </c>
      <c r="G634" s="504" t="s">
        <v>463</v>
      </c>
      <c r="H634" s="504" t="s">
        <v>11611</v>
      </c>
      <c r="I634" s="504">
        <v>8</v>
      </c>
      <c r="J634" s="504">
        <v>0</v>
      </c>
      <c r="K634" s="504">
        <v>0</v>
      </c>
      <c r="L634" s="504">
        <v>8</v>
      </c>
      <c r="M634" s="504">
        <v>0</v>
      </c>
      <c r="N634" s="504">
        <v>0</v>
      </c>
      <c r="O634" s="505">
        <v>0</v>
      </c>
    </row>
    <row r="635" spans="1:15" x14ac:dyDescent="0.35">
      <c r="A635" s="500" t="s">
        <v>1691</v>
      </c>
      <c r="B635" s="501" t="s">
        <v>3199</v>
      </c>
      <c r="C635" s="501" t="s">
        <v>1094</v>
      </c>
      <c r="D635" s="501" t="s">
        <v>3380</v>
      </c>
      <c r="E635" s="501" t="s">
        <v>3381</v>
      </c>
      <c r="F635" s="501" t="s">
        <v>462</v>
      </c>
      <c r="G635" s="501" t="s">
        <v>463</v>
      </c>
      <c r="H635" s="501" t="s">
        <v>3926</v>
      </c>
      <c r="I635" s="501">
        <v>78</v>
      </c>
      <c r="J635" s="501">
        <v>72</v>
      </c>
      <c r="K635" s="501">
        <v>0</v>
      </c>
      <c r="L635" s="501">
        <v>6</v>
      </c>
      <c r="M635" s="501">
        <v>0</v>
      </c>
      <c r="N635" s="501">
        <v>0</v>
      </c>
      <c r="O635" s="506">
        <v>0</v>
      </c>
    </row>
    <row r="636" spans="1:15" x14ac:dyDescent="0.35">
      <c r="A636" s="503" t="s">
        <v>1167</v>
      </c>
      <c r="B636" s="504">
        <v>4689</v>
      </c>
      <c r="C636" s="504" t="s">
        <v>1089</v>
      </c>
      <c r="D636" s="504" t="s">
        <v>3392</v>
      </c>
      <c r="E636" s="504" t="s">
        <v>3381</v>
      </c>
      <c r="F636" s="504" t="s">
        <v>462</v>
      </c>
      <c r="G636" s="504" t="s">
        <v>463</v>
      </c>
      <c r="H636" s="504" t="s">
        <v>3927</v>
      </c>
      <c r="I636" s="504">
        <v>8</v>
      </c>
      <c r="J636" s="504">
        <v>0</v>
      </c>
      <c r="K636" s="504">
        <v>0</v>
      </c>
      <c r="L636" s="504">
        <v>8</v>
      </c>
      <c r="M636" s="504">
        <v>0</v>
      </c>
      <c r="N636" s="504">
        <v>0</v>
      </c>
      <c r="O636" s="505">
        <v>0</v>
      </c>
    </row>
    <row r="637" spans="1:15" x14ac:dyDescent="0.35">
      <c r="A637" s="500" t="s">
        <v>14178</v>
      </c>
      <c r="B637" s="501">
        <v>5058</v>
      </c>
      <c r="C637" s="501" t="s">
        <v>1089</v>
      </c>
      <c r="D637" s="501" t="s">
        <v>3392</v>
      </c>
      <c r="E637" s="501" t="s">
        <v>3381</v>
      </c>
      <c r="F637" s="501" t="s">
        <v>462</v>
      </c>
      <c r="G637" s="501" t="s">
        <v>463</v>
      </c>
      <c r="H637" s="501" t="s">
        <v>14476</v>
      </c>
      <c r="I637" s="501">
        <v>13</v>
      </c>
      <c r="J637" s="501">
        <v>13</v>
      </c>
      <c r="K637" s="501">
        <v>0</v>
      </c>
      <c r="L637" s="501">
        <v>0</v>
      </c>
      <c r="M637" s="501">
        <v>0</v>
      </c>
      <c r="N637" s="501">
        <v>0</v>
      </c>
      <c r="O637" s="506">
        <v>0</v>
      </c>
    </row>
    <row r="638" spans="1:15" x14ac:dyDescent="0.35">
      <c r="A638" s="503" t="s">
        <v>1102</v>
      </c>
      <c r="B638" s="504">
        <v>4663</v>
      </c>
      <c r="C638" s="504" t="s">
        <v>1089</v>
      </c>
      <c r="D638" s="504" t="s">
        <v>3392</v>
      </c>
      <c r="E638" s="504" t="s">
        <v>3381</v>
      </c>
      <c r="F638" s="504" t="s">
        <v>462</v>
      </c>
      <c r="G638" s="504" t="s">
        <v>463</v>
      </c>
      <c r="H638" s="504" t="s">
        <v>3928</v>
      </c>
      <c r="I638" s="504">
        <v>2</v>
      </c>
      <c r="J638" s="504">
        <v>0</v>
      </c>
      <c r="K638" s="504">
        <v>0</v>
      </c>
      <c r="L638" s="504">
        <v>2</v>
      </c>
      <c r="M638" s="504">
        <v>0</v>
      </c>
      <c r="N638" s="504">
        <v>0</v>
      </c>
      <c r="O638" s="505">
        <v>0</v>
      </c>
    </row>
    <row r="639" spans="1:15" x14ac:dyDescent="0.35">
      <c r="A639" s="500" t="s">
        <v>1179</v>
      </c>
      <c r="B639" s="501">
        <v>4829</v>
      </c>
      <c r="C639" s="501" t="s">
        <v>1089</v>
      </c>
      <c r="D639" s="501" t="s">
        <v>3392</v>
      </c>
      <c r="E639" s="501" t="s">
        <v>3381</v>
      </c>
      <c r="F639" s="501" t="s">
        <v>462</v>
      </c>
      <c r="G639" s="501" t="s">
        <v>463</v>
      </c>
      <c r="H639" s="501" t="s">
        <v>3929</v>
      </c>
      <c r="I639" s="501">
        <v>3</v>
      </c>
      <c r="J639" s="501">
        <v>0</v>
      </c>
      <c r="K639" s="501">
        <v>0</v>
      </c>
      <c r="L639" s="501">
        <v>3</v>
      </c>
      <c r="M639" s="501">
        <v>0</v>
      </c>
      <c r="N639" s="501">
        <v>0</v>
      </c>
      <c r="O639" s="506">
        <v>0</v>
      </c>
    </row>
    <row r="640" spans="1:15" x14ac:dyDescent="0.35">
      <c r="A640" s="503" t="s">
        <v>1183</v>
      </c>
      <c r="B640" s="504" t="s">
        <v>3038</v>
      </c>
      <c r="C640" s="504" t="s">
        <v>1094</v>
      </c>
      <c r="D640" s="504" t="s">
        <v>3380</v>
      </c>
      <c r="E640" s="504" t="s">
        <v>3381</v>
      </c>
      <c r="F640" s="504" t="s">
        <v>462</v>
      </c>
      <c r="G640" s="504" t="s">
        <v>463</v>
      </c>
      <c r="H640" s="504" t="s">
        <v>3930</v>
      </c>
      <c r="I640" s="504">
        <v>1195</v>
      </c>
      <c r="J640" s="504">
        <v>878</v>
      </c>
      <c r="K640" s="504">
        <v>0</v>
      </c>
      <c r="L640" s="504">
        <v>144</v>
      </c>
      <c r="M640" s="504">
        <v>114</v>
      </c>
      <c r="N640" s="504">
        <v>0</v>
      </c>
      <c r="O640" s="505">
        <v>59</v>
      </c>
    </row>
    <row r="641" spans="1:15" x14ac:dyDescent="0.35">
      <c r="A641" s="500" t="s">
        <v>1186</v>
      </c>
      <c r="B641" s="501">
        <v>4661</v>
      </c>
      <c r="C641" s="501" t="s">
        <v>1089</v>
      </c>
      <c r="D641" s="501" t="s">
        <v>3392</v>
      </c>
      <c r="E641" s="501" t="s">
        <v>3381</v>
      </c>
      <c r="F641" s="501" t="s">
        <v>462</v>
      </c>
      <c r="G641" s="501" t="s">
        <v>463</v>
      </c>
      <c r="H641" s="501" t="s">
        <v>3931</v>
      </c>
      <c r="I641" s="501">
        <v>36</v>
      </c>
      <c r="J641" s="501">
        <v>0</v>
      </c>
      <c r="K641" s="501">
        <v>0</v>
      </c>
      <c r="L641" s="501">
        <v>36</v>
      </c>
      <c r="M641" s="501">
        <v>0</v>
      </c>
      <c r="N641" s="501">
        <v>0</v>
      </c>
      <c r="O641" s="506">
        <v>0</v>
      </c>
    </row>
    <row r="642" spans="1:15" x14ac:dyDescent="0.35">
      <c r="A642" s="503" t="s">
        <v>1105</v>
      </c>
      <c r="B642" s="504">
        <v>4668</v>
      </c>
      <c r="C642" s="504" t="s">
        <v>1094</v>
      </c>
      <c r="D642" s="504" t="s">
        <v>3380</v>
      </c>
      <c r="E642" s="504" t="s">
        <v>3381</v>
      </c>
      <c r="F642" s="504" t="s">
        <v>462</v>
      </c>
      <c r="G642" s="504" t="s">
        <v>463</v>
      </c>
      <c r="H642" s="504" t="s">
        <v>3932</v>
      </c>
      <c r="I642" s="504">
        <v>29</v>
      </c>
      <c r="J642" s="504">
        <v>0</v>
      </c>
      <c r="K642" s="504">
        <v>0</v>
      </c>
      <c r="L642" s="504">
        <v>0</v>
      </c>
      <c r="M642" s="504">
        <v>0</v>
      </c>
      <c r="N642" s="504">
        <v>0</v>
      </c>
      <c r="O642" s="505">
        <v>29</v>
      </c>
    </row>
    <row r="643" spans="1:15" x14ac:dyDescent="0.35">
      <c r="A643" s="500" t="s">
        <v>1107</v>
      </c>
      <c r="B643" s="501" t="s">
        <v>3109</v>
      </c>
      <c r="C643" s="501" t="s">
        <v>1094</v>
      </c>
      <c r="D643" s="501" t="s">
        <v>3380</v>
      </c>
      <c r="E643" s="501" t="s">
        <v>3381</v>
      </c>
      <c r="F643" s="501" t="s">
        <v>462</v>
      </c>
      <c r="G643" s="501" t="s">
        <v>463</v>
      </c>
      <c r="H643" s="501" t="s">
        <v>3933</v>
      </c>
      <c r="I643" s="501">
        <v>12</v>
      </c>
      <c r="J643" s="501">
        <v>0</v>
      </c>
      <c r="K643" s="501">
        <v>0</v>
      </c>
      <c r="L643" s="501">
        <v>12</v>
      </c>
      <c r="M643" s="501">
        <v>0</v>
      </c>
      <c r="N643" s="501">
        <v>0</v>
      </c>
      <c r="O643" s="506">
        <v>0</v>
      </c>
    </row>
    <row r="644" spans="1:15" x14ac:dyDescent="0.35">
      <c r="A644" s="503" t="s">
        <v>1109</v>
      </c>
      <c r="B644" s="504" t="s">
        <v>2959</v>
      </c>
      <c r="C644" s="504" t="s">
        <v>1094</v>
      </c>
      <c r="D644" s="504" t="s">
        <v>3380</v>
      </c>
      <c r="E644" s="504" t="s">
        <v>3381</v>
      </c>
      <c r="F644" s="504" t="s">
        <v>462</v>
      </c>
      <c r="G644" s="504" t="s">
        <v>463</v>
      </c>
      <c r="H644" s="504" t="s">
        <v>3934</v>
      </c>
      <c r="I644" s="504">
        <v>34</v>
      </c>
      <c r="J644" s="504">
        <v>0</v>
      </c>
      <c r="K644" s="504">
        <v>0</v>
      </c>
      <c r="L644" s="504">
        <v>0</v>
      </c>
      <c r="M644" s="504">
        <v>34</v>
      </c>
      <c r="N644" s="504">
        <v>0</v>
      </c>
      <c r="O644" s="505">
        <v>0</v>
      </c>
    </row>
    <row r="645" spans="1:15" x14ac:dyDescent="0.35">
      <c r="A645" s="500" t="s">
        <v>1190</v>
      </c>
      <c r="B645" s="501">
        <v>4662</v>
      </c>
      <c r="C645" s="501" t="s">
        <v>1094</v>
      </c>
      <c r="D645" s="501" t="s">
        <v>3380</v>
      </c>
      <c r="E645" s="501" t="s">
        <v>3381</v>
      </c>
      <c r="F645" s="501" t="s">
        <v>462</v>
      </c>
      <c r="G645" s="501" t="s">
        <v>463</v>
      </c>
      <c r="H645" s="501" t="s">
        <v>3935</v>
      </c>
      <c r="I645" s="501">
        <v>18</v>
      </c>
      <c r="J645" s="501">
        <v>0</v>
      </c>
      <c r="K645" s="501">
        <v>0</v>
      </c>
      <c r="L645" s="501">
        <v>18</v>
      </c>
      <c r="M645" s="501">
        <v>0</v>
      </c>
      <c r="N645" s="501">
        <v>0</v>
      </c>
      <c r="O645" s="506">
        <v>0</v>
      </c>
    </row>
    <row r="646" spans="1:15" x14ac:dyDescent="0.35">
      <c r="A646" s="503" t="s">
        <v>11404</v>
      </c>
      <c r="B646" s="504">
        <v>5106</v>
      </c>
      <c r="C646" s="504" t="s">
        <v>1089</v>
      </c>
      <c r="D646" s="504" t="s">
        <v>3392</v>
      </c>
      <c r="E646" s="504" t="s">
        <v>3381</v>
      </c>
      <c r="F646" s="504" t="s">
        <v>462</v>
      </c>
      <c r="G646" s="504" t="s">
        <v>463</v>
      </c>
      <c r="H646" s="504" t="s">
        <v>11853</v>
      </c>
      <c r="I646" s="504">
        <v>27</v>
      </c>
      <c r="J646" s="504">
        <v>27</v>
      </c>
      <c r="K646" s="504">
        <v>0</v>
      </c>
      <c r="L646" s="504">
        <v>0</v>
      </c>
      <c r="M646" s="504">
        <v>0</v>
      </c>
      <c r="N646" s="504">
        <v>0</v>
      </c>
      <c r="O646" s="505">
        <v>0</v>
      </c>
    </row>
    <row r="647" spans="1:15" x14ac:dyDescent="0.35">
      <c r="A647" s="500" t="s">
        <v>1736</v>
      </c>
      <c r="B647" s="501" t="s">
        <v>2984</v>
      </c>
      <c r="C647" s="501" t="s">
        <v>1089</v>
      </c>
      <c r="D647" s="501" t="s">
        <v>3392</v>
      </c>
      <c r="E647" s="501" t="s">
        <v>3381</v>
      </c>
      <c r="F647" s="501" t="s">
        <v>462</v>
      </c>
      <c r="G647" s="501" t="s">
        <v>463</v>
      </c>
      <c r="H647" s="501" t="s">
        <v>3936</v>
      </c>
      <c r="I647" s="501">
        <v>51</v>
      </c>
      <c r="J647" s="501">
        <v>51</v>
      </c>
      <c r="K647" s="501">
        <v>0</v>
      </c>
      <c r="L647" s="501">
        <v>0</v>
      </c>
      <c r="M647" s="501">
        <v>0</v>
      </c>
      <c r="N647" s="501">
        <v>0</v>
      </c>
      <c r="O647" s="506">
        <v>0</v>
      </c>
    </row>
    <row r="648" spans="1:15" x14ac:dyDescent="0.35">
      <c r="A648" s="503" t="s">
        <v>1208</v>
      </c>
      <c r="B648" s="504" t="s">
        <v>3096</v>
      </c>
      <c r="C648" s="504" t="s">
        <v>1094</v>
      </c>
      <c r="D648" s="504" t="s">
        <v>3380</v>
      </c>
      <c r="E648" s="504" t="s">
        <v>3381</v>
      </c>
      <c r="F648" s="504" t="s">
        <v>462</v>
      </c>
      <c r="G648" s="504" t="s">
        <v>463</v>
      </c>
      <c r="H648" s="504" t="s">
        <v>3937</v>
      </c>
      <c r="I648" s="504">
        <v>414</v>
      </c>
      <c r="J648" s="504">
        <v>390</v>
      </c>
      <c r="K648" s="504">
        <v>0</v>
      </c>
      <c r="L648" s="504">
        <v>13</v>
      </c>
      <c r="M648" s="504">
        <v>0</v>
      </c>
      <c r="N648" s="504">
        <v>0</v>
      </c>
      <c r="O648" s="505">
        <v>11</v>
      </c>
    </row>
    <row r="649" spans="1:15" x14ac:dyDescent="0.35">
      <c r="A649" s="500" t="s">
        <v>1209</v>
      </c>
      <c r="B649" s="501">
        <v>4779</v>
      </c>
      <c r="C649" s="501" t="s">
        <v>1094</v>
      </c>
      <c r="D649" s="501" t="s">
        <v>3380</v>
      </c>
      <c r="E649" s="501" t="s">
        <v>3381</v>
      </c>
      <c r="F649" s="501" t="s">
        <v>462</v>
      </c>
      <c r="G649" s="501" t="s">
        <v>463</v>
      </c>
      <c r="H649" s="501" t="s">
        <v>3938</v>
      </c>
      <c r="I649" s="501">
        <v>51</v>
      </c>
      <c r="J649" s="501">
        <v>0</v>
      </c>
      <c r="K649" s="501">
        <v>0</v>
      </c>
      <c r="L649" s="501">
        <v>51</v>
      </c>
      <c r="M649" s="501">
        <v>0</v>
      </c>
      <c r="N649" s="501">
        <v>0</v>
      </c>
      <c r="O649" s="506">
        <v>0</v>
      </c>
    </row>
    <row r="650" spans="1:15" x14ac:dyDescent="0.35">
      <c r="A650" s="503" t="s">
        <v>1122</v>
      </c>
      <c r="B650" s="504" t="s">
        <v>2994</v>
      </c>
      <c r="C650" s="504" t="s">
        <v>1094</v>
      </c>
      <c r="D650" s="504" t="s">
        <v>3380</v>
      </c>
      <c r="E650" s="504" t="s">
        <v>3381</v>
      </c>
      <c r="F650" s="504" t="s">
        <v>462</v>
      </c>
      <c r="G650" s="504" t="s">
        <v>463</v>
      </c>
      <c r="H650" s="504" t="s">
        <v>3939</v>
      </c>
      <c r="I650" s="504">
        <v>333</v>
      </c>
      <c r="J650" s="504">
        <v>280</v>
      </c>
      <c r="K650" s="504">
        <v>0</v>
      </c>
      <c r="L650" s="504">
        <v>11</v>
      </c>
      <c r="M650" s="504">
        <v>0</v>
      </c>
      <c r="N650" s="504">
        <v>0</v>
      </c>
      <c r="O650" s="505">
        <v>42</v>
      </c>
    </row>
    <row r="651" spans="1:15" x14ac:dyDescent="0.35">
      <c r="A651" s="500" t="s">
        <v>1225</v>
      </c>
      <c r="B651" s="501" t="s">
        <v>3315</v>
      </c>
      <c r="C651" s="501" t="s">
        <v>1094</v>
      </c>
      <c r="D651" s="501" t="s">
        <v>3380</v>
      </c>
      <c r="E651" s="501" t="s">
        <v>3381</v>
      </c>
      <c r="F651" s="501" t="s">
        <v>462</v>
      </c>
      <c r="G651" s="501" t="s">
        <v>463</v>
      </c>
      <c r="H651" s="501" t="s">
        <v>3940</v>
      </c>
      <c r="I651" s="501">
        <v>36</v>
      </c>
      <c r="J651" s="501">
        <v>0</v>
      </c>
      <c r="K651" s="501">
        <v>0</v>
      </c>
      <c r="L651" s="501">
        <v>36</v>
      </c>
      <c r="M651" s="501">
        <v>0</v>
      </c>
      <c r="N651" s="501">
        <v>0</v>
      </c>
      <c r="O651" s="506">
        <v>0</v>
      </c>
    </row>
    <row r="652" spans="1:15" x14ac:dyDescent="0.35">
      <c r="A652" s="503" t="s">
        <v>1228</v>
      </c>
      <c r="B652" s="504" t="s">
        <v>3321</v>
      </c>
      <c r="C652" s="504" t="s">
        <v>1094</v>
      </c>
      <c r="D652" s="504" t="s">
        <v>3380</v>
      </c>
      <c r="E652" s="504" t="s">
        <v>3381</v>
      </c>
      <c r="F652" s="504" t="s">
        <v>462</v>
      </c>
      <c r="G652" s="504" t="s">
        <v>463</v>
      </c>
      <c r="H652" s="504" t="s">
        <v>3941</v>
      </c>
      <c r="I652" s="504">
        <v>94</v>
      </c>
      <c r="J652" s="504">
        <v>38</v>
      </c>
      <c r="K652" s="504">
        <v>0</v>
      </c>
      <c r="L652" s="504">
        <v>49</v>
      </c>
      <c r="M652" s="504">
        <v>0</v>
      </c>
      <c r="N652" s="504">
        <v>0</v>
      </c>
      <c r="O652" s="505">
        <v>7</v>
      </c>
    </row>
    <row r="653" spans="1:15" x14ac:dyDescent="0.35">
      <c r="A653" s="500" t="s">
        <v>1752</v>
      </c>
      <c r="B653" s="501">
        <v>4653</v>
      </c>
      <c r="C653" s="501" t="s">
        <v>1094</v>
      </c>
      <c r="D653" s="501" t="s">
        <v>3380</v>
      </c>
      <c r="E653" s="501" t="s">
        <v>3381</v>
      </c>
      <c r="F653" s="501" t="s">
        <v>462</v>
      </c>
      <c r="G653" s="501" t="s">
        <v>463</v>
      </c>
      <c r="H653" s="501" t="s">
        <v>3942</v>
      </c>
      <c r="I653" s="501">
        <v>26</v>
      </c>
      <c r="J653" s="501">
        <v>0</v>
      </c>
      <c r="K653" s="501">
        <v>0</v>
      </c>
      <c r="L653" s="501">
        <v>26</v>
      </c>
      <c r="M653" s="501">
        <v>0</v>
      </c>
      <c r="N653" s="501">
        <v>0</v>
      </c>
      <c r="O653" s="506">
        <v>0</v>
      </c>
    </row>
    <row r="654" spans="1:15" x14ac:dyDescent="0.35">
      <c r="A654" s="503" t="s">
        <v>1234</v>
      </c>
      <c r="B654" s="504" t="s">
        <v>3291</v>
      </c>
      <c r="C654" s="504" t="s">
        <v>1094</v>
      </c>
      <c r="D654" s="504" t="s">
        <v>3380</v>
      </c>
      <c r="E654" s="504" t="s">
        <v>3381</v>
      </c>
      <c r="F654" s="504" t="s">
        <v>462</v>
      </c>
      <c r="G654" s="504" t="s">
        <v>463</v>
      </c>
      <c r="H654" s="504" t="s">
        <v>3943</v>
      </c>
      <c r="I654" s="504">
        <v>24</v>
      </c>
      <c r="J654" s="504">
        <v>24</v>
      </c>
      <c r="K654" s="504">
        <v>0</v>
      </c>
      <c r="L654" s="504">
        <v>0</v>
      </c>
      <c r="M654" s="504">
        <v>0</v>
      </c>
      <c r="N654" s="504">
        <v>0</v>
      </c>
      <c r="O654" s="505">
        <v>0</v>
      </c>
    </row>
    <row r="655" spans="1:15" x14ac:dyDescent="0.35">
      <c r="A655" s="500" t="s">
        <v>1245</v>
      </c>
      <c r="B655" s="501" t="s">
        <v>2859</v>
      </c>
      <c r="C655" s="501" t="s">
        <v>1094</v>
      </c>
      <c r="D655" s="501" t="s">
        <v>3380</v>
      </c>
      <c r="E655" s="501" t="s">
        <v>3381</v>
      </c>
      <c r="F655" s="501" t="s">
        <v>462</v>
      </c>
      <c r="G655" s="501" t="s">
        <v>463</v>
      </c>
      <c r="H655" s="501" t="s">
        <v>3944</v>
      </c>
      <c r="I655" s="501">
        <v>22</v>
      </c>
      <c r="J655" s="501">
        <v>0</v>
      </c>
      <c r="K655" s="501">
        <v>0</v>
      </c>
      <c r="L655" s="501">
        <v>0</v>
      </c>
      <c r="M655" s="501">
        <v>22</v>
      </c>
      <c r="N655" s="501">
        <v>0</v>
      </c>
      <c r="O655" s="506">
        <v>0</v>
      </c>
    </row>
    <row r="656" spans="1:15" x14ac:dyDescent="0.35">
      <c r="A656" s="503" t="s">
        <v>1249</v>
      </c>
      <c r="B656" s="504">
        <v>4729</v>
      </c>
      <c r="C656" s="504" t="s">
        <v>1094</v>
      </c>
      <c r="D656" s="504" t="s">
        <v>3380</v>
      </c>
      <c r="E656" s="504" t="s">
        <v>3381</v>
      </c>
      <c r="F656" s="504" t="s">
        <v>462</v>
      </c>
      <c r="G656" s="504" t="s">
        <v>463</v>
      </c>
      <c r="H656" s="504" t="s">
        <v>3945</v>
      </c>
      <c r="I656" s="504">
        <v>1</v>
      </c>
      <c r="J656" s="504">
        <v>0</v>
      </c>
      <c r="K656" s="504">
        <v>0</v>
      </c>
      <c r="L656" s="504">
        <v>0</v>
      </c>
      <c r="M656" s="504">
        <v>0</v>
      </c>
      <c r="N656" s="504">
        <v>0</v>
      </c>
      <c r="O656" s="505">
        <v>1</v>
      </c>
    </row>
    <row r="657" spans="1:15" x14ac:dyDescent="0.35">
      <c r="A657" s="500" t="s">
        <v>1252</v>
      </c>
      <c r="B657" s="501" t="s">
        <v>2875</v>
      </c>
      <c r="C657" s="501" t="s">
        <v>1089</v>
      </c>
      <c r="D657" s="501" t="s">
        <v>3392</v>
      </c>
      <c r="E657" s="501" t="s">
        <v>3381</v>
      </c>
      <c r="F657" s="501" t="s">
        <v>462</v>
      </c>
      <c r="G657" s="501" t="s">
        <v>463</v>
      </c>
      <c r="H657" s="501" t="s">
        <v>14477</v>
      </c>
      <c r="I657" s="501">
        <v>6</v>
      </c>
      <c r="J657" s="501">
        <v>0</v>
      </c>
      <c r="K657" s="501">
        <v>0</v>
      </c>
      <c r="L657" s="501">
        <v>6</v>
      </c>
      <c r="M657" s="501">
        <v>0</v>
      </c>
      <c r="N657" s="501">
        <v>0</v>
      </c>
      <c r="O657" s="506">
        <v>0</v>
      </c>
    </row>
    <row r="658" spans="1:15" x14ac:dyDescent="0.35">
      <c r="A658" s="503" t="s">
        <v>1266</v>
      </c>
      <c r="B658" s="504" t="s">
        <v>3071</v>
      </c>
      <c r="C658" s="504" t="s">
        <v>1094</v>
      </c>
      <c r="D658" s="504" t="s">
        <v>3380</v>
      </c>
      <c r="E658" s="504" t="s">
        <v>3381</v>
      </c>
      <c r="F658" s="504" t="s">
        <v>462</v>
      </c>
      <c r="G658" s="504" t="s">
        <v>463</v>
      </c>
      <c r="H658" s="504" t="s">
        <v>3946</v>
      </c>
      <c r="I658" s="504">
        <v>4</v>
      </c>
      <c r="J658" s="504">
        <v>0</v>
      </c>
      <c r="K658" s="504">
        <v>0</v>
      </c>
      <c r="L658" s="504">
        <v>4</v>
      </c>
      <c r="M658" s="504">
        <v>0</v>
      </c>
      <c r="N658" s="504">
        <v>0</v>
      </c>
      <c r="O658" s="505">
        <v>0</v>
      </c>
    </row>
    <row r="659" spans="1:15" x14ac:dyDescent="0.35">
      <c r="A659" s="500" t="s">
        <v>1145</v>
      </c>
      <c r="B659" s="501" t="s">
        <v>3164</v>
      </c>
      <c r="C659" s="501" t="s">
        <v>1094</v>
      </c>
      <c r="D659" s="501" t="s">
        <v>3380</v>
      </c>
      <c r="E659" s="501" t="s">
        <v>3381</v>
      </c>
      <c r="F659" s="501" t="s">
        <v>464</v>
      </c>
      <c r="G659" s="501" t="s">
        <v>465</v>
      </c>
      <c r="H659" s="501" t="s">
        <v>3947</v>
      </c>
      <c r="I659" s="501">
        <v>122</v>
      </c>
      <c r="J659" s="501">
        <v>119</v>
      </c>
      <c r="K659" s="501">
        <v>0</v>
      </c>
      <c r="L659" s="501">
        <v>0</v>
      </c>
      <c r="M659" s="501">
        <v>0</v>
      </c>
      <c r="N659" s="501">
        <v>0</v>
      </c>
      <c r="O659" s="506">
        <v>3</v>
      </c>
    </row>
    <row r="660" spans="1:15" x14ac:dyDescent="0.35">
      <c r="A660" s="503" t="s">
        <v>1146</v>
      </c>
      <c r="B660" s="504">
        <v>4660</v>
      </c>
      <c r="C660" s="504" t="s">
        <v>1089</v>
      </c>
      <c r="D660" s="504" t="s">
        <v>3392</v>
      </c>
      <c r="E660" s="504" t="s">
        <v>3381</v>
      </c>
      <c r="F660" s="504" t="s">
        <v>464</v>
      </c>
      <c r="G660" s="504" t="s">
        <v>465</v>
      </c>
      <c r="H660" s="504" t="s">
        <v>3948</v>
      </c>
      <c r="I660" s="504">
        <v>45</v>
      </c>
      <c r="J660" s="504">
        <v>45</v>
      </c>
      <c r="K660" s="504">
        <v>0</v>
      </c>
      <c r="L660" s="504">
        <v>0</v>
      </c>
      <c r="M660" s="504">
        <v>0</v>
      </c>
      <c r="N660" s="504">
        <v>0</v>
      </c>
      <c r="O660" s="505">
        <v>0</v>
      </c>
    </row>
    <row r="661" spans="1:15" x14ac:dyDescent="0.35">
      <c r="A661" s="500" t="s">
        <v>11363</v>
      </c>
      <c r="B661" s="501">
        <v>4718</v>
      </c>
      <c r="C661" s="501" t="s">
        <v>1094</v>
      </c>
      <c r="D661" s="501" t="s">
        <v>3380</v>
      </c>
      <c r="E661" s="501" t="s">
        <v>3381</v>
      </c>
      <c r="F661" s="501" t="s">
        <v>464</v>
      </c>
      <c r="G661" s="501" t="s">
        <v>465</v>
      </c>
      <c r="H661" s="501" t="s">
        <v>11518</v>
      </c>
      <c r="I661" s="501">
        <v>17</v>
      </c>
      <c r="J661" s="501">
        <v>0</v>
      </c>
      <c r="K661" s="501">
        <v>0</v>
      </c>
      <c r="L661" s="501">
        <v>17</v>
      </c>
      <c r="M661" s="501">
        <v>0</v>
      </c>
      <c r="N661" s="501">
        <v>0</v>
      </c>
      <c r="O661" s="506">
        <v>0</v>
      </c>
    </row>
    <row r="662" spans="1:15" x14ac:dyDescent="0.35">
      <c r="A662" s="503" t="s">
        <v>1160</v>
      </c>
      <c r="B662" s="504">
        <v>4672</v>
      </c>
      <c r="C662" s="504" t="s">
        <v>1089</v>
      </c>
      <c r="D662" s="504" t="s">
        <v>3392</v>
      </c>
      <c r="E662" s="504" t="s">
        <v>3381</v>
      </c>
      <c r="F662" s="504" t="s">
        <v>464</v>
      </c>
      <c r="G662" s="504" t="s">
        <v>465</v>
      </c>
      <c r="H662" s="504" t="s">
        <v>3949</v>
      </c>
      <c r="I662" s="504">
        <v>16</v>
      </c>
      <c r="J662" s="504">
        <v>0</v>
      </c>
      <c r="K662" s="504">
        <v>0</v>
      </c>
      <c r="L662" s="504">
        <v>16</v>
      </c>
      <c r="M662" s="504">
        <v>0</v>
      </c>
      <c r="N662" s="504">
        <v>0</v>
      </c>
      <c r="O662" s="505">
        <v>0</v>
      </c>
    </row>
    <row r="663" spans="1:15" x14ac:dyDescent="0.35">
      <c r="A663" s="500" t="s">
        <v>1171</v>
      </c>
      <c r="B663" s="501" t="s">
        <v>3003</v>
      </c>
      <c r="C663" s="501" t="s">
        <v>1094</v>
      </c>
      <c r="D663" s="501" t="s">
        <v>3380</v>
      </c>
      <c r="E663" s="501" t="s">
        <v>3381</v>
      </c>
      <c r="F663" s="501" t="s">
        <v>464</v>
      </c>
      <c r="G663" s="501" t="s">
        <v>465</v>
      </c>
      <c r="H663" s="501" t="s">
        <v>3950</v>
      </c>
      <c r="I663" s="501">
        <v>228</v>
      </c>
      <c r="J663" s="501">
        <v>157</v>
      </c>
      <c r="K663" s="501">
        <v>0</v>
      </c>
      <c r="L663" s="501">
        <v>0</v>
      </c>
      <c r="M663" s="501">
        <v>50</v>
      </c>
      <c r="N663" s="501">
        <v>0</v>
      </c>
      <c r="O663" s="506">
        <v>21</v>
      </c>
    </row>
    <row r="664" spans="1:15" x14ac:dyDescent="0.35">
      <c r="A664" s="503" t="s">
        <v>1173</v>
      </c>
      <c r="B664" s="504">
        <v>4775</v>
      </c>
      <c r="C664" s="504" t="s">
        <v>1094</v>
      </c>
      <c r="D664" s="504" t="s">
        <v>3380</v>
      </c>
      <c r="E664" s="504" t="s">
        <v>3381</v>
      </c>
      <c r="F664" s="504" t="s">
        <v>464</v>
      </c>
      <c r="G664" s="504" t="s">
        <v>465</v>
      </c>
      <c r="H664" s="504" t="s">
        <v>3951</v>
      </c>
      <c r="I664" s="504">
        <v>53</v>
      </c>
      <c r="J664" s="504">
        <v>35</v>
      </c>
      <c r="K664" s="504">
        <v>0</v>
      </c>
      <c r="L664" s="504">
        <v>10</v>
      </c>
      <c r="M664" s="504">
        <v>0</v>
      </c>
      <c r="N664" s="504">
        <v>0</v>
      </c>
      <c r="O664" s="505">
        <v>8</v>
      </c>
    </row>
    <row r="665" spans="1:15" x14ac:dyDescent="0.35">
      <c r="A665" s="500" t="s">
        <v>1178</v>
      </c>
      <c r="B665" s="501" t="s">
        <v>3334</v>
      </c>
      <c r="C665" s="501" t="s">
        <v>1094</v>
      </c>
      <c r="D665" s="501" t="s">
        <v>3380</v>
      </c>
      <c r="E665" s="501" t="s">
        <v>3381</v>
      </c>
      <c r="F665" s="501" t="s">
        <v>464</v>
      </c>
      <c r="G665" s="501" t="s">
        <v>465</v>
      </c>
      <c r="H665" s="501" t="s">
        <v>14478</v>
      </c>
      <c r="I665" s="501">
        <v>2</v>
      </c>
      <c r="J665" s="501">
        <v>0</v>
      </c>
      <c r="K665" s="501">
        <v>0</v>
      </c>
      <c r="L665" s="501">
        <v>2</v>
      </c>
      <c r="M665" s="501">
        <v>0</v>
      </c>
      <c r="N665" s="501">
        <v>0</v>
      </c>
      <c r="O665" s="506">
        <v>0</v>
      </c>
    </row>
    <row r="666" spans="1:15" x14ac:dyDescent="0.35">
      <c r="A666" s="503" t="s">
        <v>1180</v>
      </c>
      <c r="B666" s="504" t="s">
        <v>3184</v>
      </c>
      <c r="C666" s="504" t="s">
        <v>1094</v>
      </c>
      <c r="D666" s="504" t="s">
        <v>3380</v>
      </c>
      <c r="E666" s="504" t="s">
        <v>3381</v>
      </c>
      <c r="F666" s="504" t="s">
        <v>464</v>
      </c>
      <c r="G666" s="504" t="s">
        <v>465</v>
      </c>
      <c r="H666" s="504" t="s">
        <v>3952</v>
      </c>
      <c r="I666" s="504">
        <v>54</v>
      </c>
      <c r="J666" s="504">
        <v>46</v>
      </c>
      <c r="K666" s="504">
        <v>0</v>
      </c>
      <c r="L666" s="504">
        <v>5</v>
      </c>
      <c r="M666" s="504">
        <v>0</v>
      </c>
      <c r="N666" s="504">
        <v>0</v>
      </c>
      <c r="O666" s="505">
        <v>3</v>
      </c>
    </row>
    <row r="667" spans="1:15" x14ac:dyDescent="0.35">
      <c r="A667" s="500" t="s">
        <v>14208</v>
      </c>
      <c r="B667" s="501">
        <v>4803</v>
      </c>
      <c r="C667" s="501" t="s">
        <v>1094</v>
      </c>
      <c r="D667" s="501" t="s">
        <v>3380</v>
      </c>
      <c r="E667" s="501" t="s">
        <v>3381</v>
      </c>
      <c r="F667" s="501" t="s">
        <v>464</v>
      </c>
      <c r="G667" s="501" t="s">
        <v>465</v>
      </c>
      <c r="H667" s="501" t="s">
        <v>14479</v>
      </c>
      <c r="I667" s="501">
        <v>1</v>
      </c>
      <c r="J667" s="501">
        <v>0</v>
      </c>
      <c r="K667" s="501">
        <v>0</v>
      </c>
      <c r="L667" s="501">
        <v>1</v>
      </c>
      <c r="M667" s="501">
        <v>0</v>
      </c>
      <c r="N667" s="501">
        <v>0</v>
      </c>
      <c r="O667" s="506">
        <v>0</v>
      </c>
    </row>
    <row r="668" spans="1:15" x14ac:dyDescent="0.35">
      <c r="A668" s="503" t="s">
        <v>1105</v>
      </c>
      <c r="B668" s="504">
        <v>4668</v>
      </c>
      <c r="C668" s="504" t="s">
        <v>1094</v>
      </c>
      <c r="D668" s="504" t="s">
        <v>3380</v>
      </c>
      <c r="E668" s="504" t="s">
        <v>3381</v>
      </c>
      <c r="F668" s="504" t="s">
        <v>464</v>
      </c>
      <c r="G668" s="504" t="s">
        <v>465</v>
      </c>
      <c r="H668" s="504" t="s">
        <v>3953</v>
      </c>
      <c r="I668" s="504">
        <v>32</v>
      </c>
      <c r="J668" s="504">
        <v>0</v>
      </c>
      <c r="K668" s="504">
        <v>0</v>
      </c>
      <c r="L668" s="504">
        <v>0</v>
      </c>
      <c r="M668" s="504">
        <v>0</v>
      </c>
      <c r="N668" s="504">
        <v>0</v>
      </c>
      <c r="O668" s="505">
        <v>32</v>
      </c>
    </row>
    <row r="669" spans="1:15" x14ac:dyDescent="0.35">
      <c r="A669" s="500" t="s">
        <v>1107</v>
      </c>
      <c r="B669" s="501" t="s">
        <v>3109</v>
      </c>
      <c r="C669" s="501" t="s">
        <v>1094</v>
      </c>
      <c r="D669" s="501" t="s">
        <v>3380</v>
      </c>
      <c r="E669" s="501" t="s">
        <v>3381</v>
      </c>
      <c r="F669" s="501" t="s">
        <v>464</v>
      </c>
      <c r="G669" s="501" t="s">
        <v>465</v>
      </c>
      <c r="H669" s="501" t="s">
        <v>3954</v>
      </c>
      <c r="I669" s="501">
        <v>13</v>
      </c>
      <c r="J669" s="501">
        <v>13</v>
      </c>
      <c r="K669" s="501">
        <v>0</v>
      </c>
      <c r="L669" s="501">
        <v>0</v>
      </c>
      <c r="M669" s="501">
        <v>0</v>
      </c>
      <c r="N669" s="501">
        <v>0</v>
      </c>
      <c r="O669" s="506">
        <v>0</v>
      </c>
    </row>
    <row r="670" spans="1:15" x14ac:dyDescent="0.35">
      <c r="A670" s="503" t="s">
        <v>1109</v>
      </c>
      <c r="B670" s="504" t="s">
        <v>2959</v>
      </c>
      <c r="C670" s="504" t="s">
        <v>1094</v>
      </c>
      <c r="D670" s="504" t="s">
        <v>3380</v>
      </c>
      <c r="E670" s="504" t="s">
        <v>3381</v>
      </c>
      <c r="F670" s="504" t="s">
        <v>464</v>
      </c>
      <c r="G670" s="504" t="s">
        <v>465</v>
      </c>
      <c r="H670" s="504" t="s">
        <v>3955</v>
      </c>
      <c r="I670" s="504">
        <v>40</v>
      </c>
      <c r="J670" s="504">
        <v>0</v>
      </c>
      <c r="K670" s="504">
        <v>0</v>
      </c>
      <c r="L670" s="504">
        <v>0</v>
      </c>
      <c r="M670" s="504">
        <v>40</v>
      </c>
      <c r="N670" s="504">
        <v>0</v>
      </c>
      <c r="O670" s="505">
        <v>0</v>
      </c>
    </row>
    <row r="671" spans="1:15" x14ac:dyDescent="0.35">
      <c r="A671" s="500" t="s">
        <v>1190</v>
      </c>
      <c r="B671" s="501">
        <v>4662</v>
      </c>
      <c r="C671" s="501" t="s">
        <v>1094</v>
      </c>
      <c r="D671" s="501" t="s">
        <v>3380</v>
      </c>
      <c r="E671" s="501" t="s">
        <v>3381</v>
      </c>
      <c r="F671" s="501" t="s">
        <v>464</v>
      </c>
      <c r="G671" s="501" t="s">
        <v>465</v>
      </c>
      <c r="H671" s="501" t="s">
        <v>3956</v>
      </c>
      <c r="I671" s="501">
        <v>16</v>
      </c>
      <c r="J671" s="501">
        <v>0</v>
      </c>
      <c r="K671" s="501">
        <v>0</v>
      </c>
      <c r="L671" s="501">
        <v>16</v>
      </c>
      <c r="M671" s="501">
        <v>0</v>
      </c>
      <c r="N671" s="501">
        <v>0</v>
      </c>
      <c r="O671" s="506">
        <v>0</v>
      </c>
    </row>
    <row r="672" spans="1:15" x14ac:dyDescent="0.35">
      <c r="A672" s="503" t="s">
        <v>1209</v>
      </c>
      <c r="B672" s="504">
        <v>4779</v>
      </c>
      <c r="C672" s="504" t="s">
        <v>1094</v>
      </c>
      <c r="D672" s="504" t="s">
        <v>3380</v>
      </c>
      <c r="E672" s="504" t="s">
        <v>3381</v>
      </c>
      <c r="F672" s="504" t="s">
        <v>464</v>
      </c>
      <c r="G672" s="504" t="s">
        <v>465</v>
      </c>
      <c r="H672" s="504" t="s">
        <v>3957</v>
      </c>
      <c r="I672" s="504">
        <v>18</v>
      </c>
      <c r="J672" s="504">
        <v>0</v>
      </c>
      <c r="K672" s="504">
        <v>0</v>
      </c>
      <c r="L672" s="504">
        <v>18</v>
      </c>
      <c r="M672" s="504">
        <v>0</v>
      </c>
      <c r="N672" s="504">
        <v>0</v>
      </c>
      <c r="O672" s="505">
        <v>0</v>
      </c>
    </row>
    <row r="673" spans="1:15" x14ac:dyDescent="0.35">
      <c r="A673" s="500" t="s">
        <v>1220</v>
      </c>
      <c r="B673" s="501">
        <v>4849</v>
      </c>
      <c r="C673" s="501" t="s">
        <v>1094</v>
      </c>
      <c r="D673" s="501" t="s">
        <v>3380</v>
      </c>
      <c r="E673" s="501" t="s">
        <v>3381</v>
      </c>
      <c r="F673" s="501" t="s">
        <v>464</v>
      </c>
      <c r="G673" s="501" t="s">
        <v>465</v>
      </c>
      <c r="H673" s="501" t="s">
        <v>3958</v>
      </c>
      <c r="I673" s="501">
        <v>1</v>
      </c>
      <c r="J673" s="501">
        <v>1</v>
      </c>
      <c r="K673" s="501">
        <v>0</v>
      </c>
      <c r="L673" s="501">
        <v>0</v>
      </c>
      <c r="M673" s="501">
        <v>0</v>
      </c>
      <c r="N673" s="501">
        <v>0</v>
      </c>
      <c r="O673" s="506">
        <v>0</v>
      </c>
    </row>
    <row r="674" spans="1:15" x14ac:dyDescent="0.35">
      <c r="A674" s="503" t="s">
        <v>1225</v>
      </c>
      <c r="B674" s="504" t="s">
        <v>3315</v>
      </c>
      <c r="C674" s="504" t="s">
        <v>1094</v>
      </c>
      <c r="D674" s="504" t="s">
        <v>3380</v>
      </c>
      <c r="E674" s="504" t="s">
        <v>3381</v>
      </c>
      <c r="F674" s="504" t="s">
        <v>464</v>
      </c>
      <c r="G674" s="504" t="s">
        <v>465</v>
      </c>
      <c r="H674" s="504" t="s">
        <v>3959</v>
      </c>
      <c r="I674" s="504">
        <v>2</v>
      </c>
      <c r="J674" s="504">
        <v>0</v>
      </c>
      <c r="K674" s="504">
        <v>0</v>
      </c>
      <c r="L674" s="504">
        <v>2</v>
      </c>
      <c r="M674" s="504">
        <v>0</v>
      </c>
      <c r="N674" s="504">
        <v>0</v>
      </c>
      <c r="O674" s="505">
        <v>0</v>
      </c>
    </row>
    <row r="675" spans="1:15" x14ac:dyDescent="0.35">
      <c r="A675" s="500" t="s">
        <v>1228</v>
      </c>
      <c r="B675" s="501" t="s">
        <v>3321</v>
      </c>
      <c r="C675" s="501" t="s">
        <v>1094</v>
      </c>
      <c r="D675" s="501" t="s">
        <v>3380</v>
      </c>
      <c r="E675" s="501" t="s">
        <v>3381</v>
      </c>
      <c r="F675" s="501" t="s">
        <v>464</v>
      </c>
      <c r="G675" s="501" t="s">
        <v>465</v>
      </c>
      <c r="H675" s="501" t="s">
        <v>3960</v>
      </c>
      <c r="I675" s="501">
        <v>8</v>
      </c>
      <c r="J675" s="501">
        <v>0</v>
      </c>
      <c r="K675" s="501">
        <v>0</v>
      </c>
      <c r="L675" s="501">
        <v>8</v>
      </c>
      <c r="M675" s="501">
        <v>0</v>
      </c>
      <c r="N675" s="501">
        <v>0</v>
      </c>
      <c r="O675" s="506">
        <v>0</v>
      </c>
    </row>
    <row r="676" spans="1:15" x14ac:dyDescent="0.35">
      <c r="A676" s="503" t="s">
        <v>1238</v>
      </c>
      <c r="B676" s="504" t="s">
        <v>2963</v>
      </c>
      <c r="C676" s="504" t="s">
        <v>1094</v>
      </c>
      <c r="D676" s="504" t="s">
        <v>3380</v>
      </c>
      <c r="E676" s="504" t="s">
        <v>3381</v>
      </c>
      <c r="F676" s="504" t="s">
        <v>464</v>
      </c>
      <c r="G676" s="504" t="s">
        <v>465</v>
      </c>
      <c r="H676" s="504" t="s">
        <v>3961</v>
      </c>
      <c r="I676" s="504">
        <v>23</v>
      </c>
      <c r="J676" s="504">
        <v>23</v>
      </c>
      <c r="K676" s="504">
        <v>0</v>
      </c>
      <c r="L676" s="504">
        <v>0</v>
      </c>
      <c r="M676" s="504">
        <v>0</v>
      </c>
      <c r="N676" s="504">
        <v>0</v>
      </c>
      <c r="O676" s="505">
        <v>0</v>
      </c>
    </row>
    <row r="677" spans="1:15" x14ac:dyDescent="0.35">
      <c r="A677" s="500" t="s">
        <v>1249</v>
      </c>
      <c r="B677" s="501">
        <v>4729</v>
      </c>
      <c r="C677" s="501" t="s">
        <v>1094</v>
      </c>
      <c r="D677" s="501" t="s">
        <v>3380</v>
      </c>
      <c r="E677" s="501" t="s">
        <v>3381</v>
      </c>
      <c r="F677" s="501" t="s">
        <v>464</v>
      </c>
      <c r="G677" s="501" t="s">
        <v>465</v>
      </c>
      <c r="H677" s="501" t="s">
        <v>3962</v>
      </c>
      <c r="I677" s="501">
        <v>497</v>
      </c>
      <c r="J677" s="501">
        <v>315</v>
      </c>
      <c r="K677" s="501">
        <v>0</v>
      </c>
      <c r="L677" s="501">
        <v>1</v>
      </c>
      <c r="M677" s="501">
        <v>171</v>
      </c>
      <c r="N677" s="501">
        <v>0</v>
      </c>
      <c r="O677" s="506">
        <v>10</v>
      </c>
    </row>
    <row r="678" spans="1:15" x14ac:dyDescent="0.35">
      <c r="A678" s="503" t="s">
        <v>1253</v>
      </c>
      <c r="B678" s="504" t="s">
        <v>3232</v>
      </c>
      <c r="C678" s="504" t="s">
        <v>1094</v>
      </c>
      <c r="D678" s="504" t="s">
        <v>3380</v>
      </c>
      <c r="E678" s="504" t="s">
        <v>3381</v>
      </c>
      <c r="F678" s="504" t="s">
        <v>464</v>
      </c>
      <c r="G678" s="504" t="s">
        <v>465</v>
      </c>
      <c r="H678" s="504" t="s">
        <v>3963</v>
      </c>
      <c r="I678" s="504">
        <v>13</v>
      </c>
      <c r="J678" s="504">
        <v>1</v>
      </c>
      <c r="K678" s="504">
        <v>0</v>
      </c>
      <c r="L678" s="504">
        <v>12</v>
      </c>
      <c r="M678" s="504">
        <v>0</v>
      </c>
      <c r="N678" s="504">
        <v>0</v>
      </c>
      <c r="O678" s="505">
        <v>0</v>
      </c>
    </row>
    <row r="679" spans="1:15" x14ac:dyDescent="0.35">
      <c r="A679" s="500" t="s">
        <v>1257</v>
      </c>
      <c r="B679" s="501" t="s">
        <v>3151</v>
      </c>
      <c r="C679" s="501" t="s">
        <v>1094</v>
      </c>
      <c r="D679" s="501" t="s">
        <v>3380</v>
      </c>
      <c r="E679" s="501" t="s">
        <v>3381</v>
      </c>
      <c r="F679" s="501" t="s">
        <v>464</v>
      </c>
      <c r="G679" s="501" t="s">
        <v>465</v>
      </c>
      <c r="H679" s="501" t="s">
        <v>12235</v>
      </c>
      <c r="I679" s="501">
        <v>8</v>
      </c>
      <c r="J679" s="501">
        <v>8</v>
      </c>
      <c r="K679" s="501">
        <v>0</v>
      </c>
      <c r="L679" s="501">
        <v>0</v>
      </c>
      <c r="M679" s="501">
        <v>0</v>
      </c>
      <c r="N679" s="501">
        <v>0</v>
      </c>
      <c r="O679" s="506">
        <v>0</v>
      </c>
    </row>
    <row r="680" spans="1:15" x14ac:dyDescent="0.35">
      <c r="A680" s="503" t="s">
        <v>1259</v>
      </c>
      <c r="B680" s="504" t="s">
        <v>3025</v>
      </c>
      <c r="C680" s="504" t="s">
        <v>1094</v>
      </c>
      <c r="D680" s="504" t="s">
        <v>3380</v>
      </c>
      <c r="E680" s="504" t="s">
        <v>3381</v>
      </c>
      <c r="F680" s="504" t="s">
        <v>464</v>
      </c>
      <c r="G680" s="504" t="s">
        <v>465</v>
      </c>
      <c r="H680" s="504" t="s">
        <v>3964</v>
      </c>
      <c r="I680" s="504">
        <v>39</v>
      </c>
      <c r="J680" s="504">
        <v>39</v>
      </c>
      <c r="K680" s="504">
        <v>0</v>
      </c>
      <c r="L680" s="504">
        <v>0</v>
      </c>
      <c r="M680" s="504">
        <v>0</v>
      </c>
      <c r="N680" s="504">
        <v>0</v>
      </c>
      <c r="O680" s="505">
        <v>0</v>
      </c>
    </row>
    <row r="681" spans="1:15" x14ac:dyDescent="0.35">
      <c r="A681" s="500" t="s">
        <v>1147</v>
      </c>
      <c r="B681" s="501" t="s">
        <v>3274</v>
      </c>
      <c r="C681" s="501" t="s">
        <v>1089</v>
      </c>
      <c r="D681" s="501" t="s">
        <v>3392</v>
      </c>
      <c r="E681" s="501" t="s">
        <v>3381</v>
      </c>
      <c r="F681" s="501" t="s">
        <v>466</v>
      </c>
      <c r="G681" s="501" t="s">
        <v>467</v>
      </c>
      <c r="H681" s="501" t="s">
        <v>11488</v>
      </c>
      <c r="I681" s="501">
        <v>8</v>
      </c>
      <c r="J681" s="501">
        <v>0</v>
      </c>
      <c r="K681" s="501">
        <v>0</v>
      </c>
      <c r="L681" s="501">
        <v>8</v>
      </c>
      <c r="M681" s="501">
        <v>0</v>
      </c>
      <c r="N681" s="501">
        <v>0</v>
      </c>
      <c r="O681" s="506">
        <v>0</v>
      </c>
    </row>
    <row r="682" spans="1:15" x14ac:dyDescent="0.35">
      <c r="A682" s="503" t="s">
        <v>1096</v>
      </c>
      <c r="B682" s="504" t="s">
        <v>3326</v>
      </c>
      <c r="C682" s="504" t="s">
        <v>1094</v>
      </c>
      <c r="D682" s="504" t="s">
        <v>3380</v>
      </c>
      <c r="E682" s="504" t="s">
        <v>3381</v>
      </c>
      <c r="F682" s="504" t="s">
        <v>466</v>
      </c>
      <c r="G682" s="504" t="s">
        <v>467</v>
      </c>
      <c r="H682" s="504" t="s">
        <v>3965</v>
      </c>
      <c r="I682" s="504">
        <v>732</v>
      </c>
      <c r="J682" s="504">
        <v>0</v>
      </c>
      <c r="K682" s="504">
        <v>0</v>
      </c>
      <c r="L682" s="504">
        <v>0</v>
      </c>
      <c r="M682" s="504">
        <v>726</v>
      </c>
      <c r="N682" s="504">
        <v>0</v>
      </c>
      <c r="O682" s="505">
        <v>6</v>
      </c>
    </row>
    <row r="683" spans="1:15" x14ac:dyDescent="0.35">
      <c r="A683" s="500" t="s">
        <v>1150</v>
      </c>
      <c r="B683" s="501" t="s">
        <v>2975</v>
      </c>
      <c r="C683" s="501" t="s">
        <v>1094</v>
      </c>
      <c r="D683" s="501" t="s">
        <v>3380</v>
      </c>
      <c r="E683" s="501" t="s">
        <v>3381</v>
      </c>
      <c r="F683" s="501" t="s">
        <v>466</v>
      </c>
      <c r="G683" s="501" t="s">
        <v>467</v>
      </c>
      <c r="H683" s="501" t="s">
        <v>3966</v>
      </c>
      <c r="I683" s="501">
        <v>9</v>
      </c>
      <c r="J683" s="501">
        <v>8</v>
      </c>
      <c r="K683" s="501">
        <v>0</v>
      </c>
      <c r="L683" s="501">
        <v>0</v>
      </c>
      <c r="M683" s="501">
        <v>0</v>
      </c>
      <c r="N683" s="501">
        <v>0</v>
      </c>
      <c r="O683" s="506">
        <v>1</v>
      </c>
    </row>
    <row r="684" spans="1:15" x14ac:dyDescent="0.35">
      <c r="A684" s="503" t="s">
        <v>1151</v>
      </c>
      <c r="B684" s="504">
        <v>4726</v>
      </c>
      <c r="C684" s="504" t="s">
        <v>1089</v>
      </c>
      <c r="D684" s="504" t="s">
        <v>3392</v>
      </c>
      <c r="E684" s="504" t="s">
        <v>3381</v>
      </c>
      <c r="F684" s="504" t="s">
        <v>466</v>
      </c>
      <c r="G684" s="504" t="s">
        <v>467</v>
      </c>
      <c r="H684" s="504" t="s">
        <v>3967</v>
      </c>
      <c r="I684" s="504">
        <v>7</v>
      </c>
      <c r="J684" s="504">
        <v>7</v>
      </c>
      <c r="K684" s="504">
        <v>0</v>
      </c>
      <c r="L684" s="504">
        <v>0</v>
      </c>
      <c r="M684" s="504">
        <v>0</v>
      </c>
      <c r="N684" s="504">
        <v>0</v>
      </c>
      <c r="O684" s="505">
        <v>0</v>
      </c>
    </row>
    <row r="685" spans="1:15" x14ac:dyDescent="0.35">
      <c r="A685" s="500" t="s">
        <v>1278</v>
      </c>
      <c r="B685" s="501">
        <v>4639</v>
      </c>
      <c r="C685" s="501" t="s">
        <v>1089</v>
      </c>
      <c r="D685" s="501" t="s">
        <v>3392</v>
      </c>
      <c r="E685" s="501" t="s">
        <v>3381</v>
      </c>
      <c r="F685" s="501" t="s">
        <v>466</v>
      </c>
      <c r="G685" s="501" t="s">
        <v>467</v>
      </c>
      <c r="H685" s="501" t="s">
        <v>14480</v>
      </c>
      <c r="I685" s="501">
        <v>40</v>
      </c>
      <c r="J685" s="501">
        <v>40</v>
      </c>
      <c r="K685" s="501">
        <v>0</v>
      </c>
      <c r="L685" s="501">
        <v>0</v>
      </c>
      <c r="M685" s="501">
        <v>0</v>
      </c>
      <c r="N685" s="501">
        <v>0</v>
      </c>
      <c r="O685" s="506">
        <v>0</v>
      </c>
    </row>
    <row r="686" spans="1:15" x14ac:dyDescent="0.35">
      <c r="A686" s="503" t="s">
        <v>1678</v>
      </c>
      <c r="B686" s="504">
        <v>4568</v>
      </c>
      <c r="C686" s="504" t="s">
        <v>1094</v>
      </c>
      <c r="D686" s="504" t="s">
        <v>3380</v>
      </c>
      <c r="E686" s="504" t="s">
        <v>3381</v>
      </c>
      <c r="F686" s="504" t="s">
        <v>466</v>
      </c>
      <c r="G686" s="504" t="s">
        <v>467</v>
      </c>
      <c r="H686" s="504" t="s">
        <v>3968</v>
      </c>
      <c r="I686" s="504">
        <v>17442</v>
      </c>
      <c r="J686" s="504">
        <v>15046</v>
      </c>
      <c r="K686" s="504">
        <v>12</v>
      </c>
      <c r="L686" s="504">
        <v>107</v>
      </c>
      <c r="M686" s="504">
        <v>2221</v>
      </c>
      <c r="N686" s="504">
        <v>1</v>
      </c>
      <c r="O686" s="505">
        <v>56</v>
      </c>
    </row>
    <row r="687" spans="1:15" x14ac:dyDescent="0.35">
      <c r="A687" s="500" t="s">
        <v>1160</v>
      </c>
      <c r="B687" s="501">
        <v>4672</v>
      </c>
      <c r="C687" s="501" t="s">
        <v>1089</v>
      </c>
      <c r="D687" s="501" t="s">
        <v>3392</v>
      </c>
      <c r="E687" s="501" t="s">
        <v>3381</v>
      </c>
      <c r="F687" s="501" t="s">
        <v>466</v>
      </c>
      <c r="G687" s="501" t="s">
        <v>467</v>
      </c>
      <c r="H687" s="501" t="s">
        <v>3969</v>
      </c>
      <c r="I687" s="501">
        <v>1</v>
      </c>
      <c r="J687" s="501">
        <v>0</v>
      </c>
      <c r="K687" s="501">
        <v>0</v>
      </c>
      <c r="L687" s="501">
        <v>1</v>
      </c>
      <c r="M687" s="501">
        <v>0</v>
      </c>
      <c r="N687" s="501">
        <v>0</v>
      </c>
      <c r="O687" s="506">
        <v>0</v>
      </c>
    </row>
    <row r="688" spans="1:15" x14ac:dyDescent="0.35">
      <c r="A688" s="503" t="s">
        <v>1100</v>
      </c>
      <c r="B688" s="504">
        <v>4865</v>
      </c>
      <c r="C688" s="504" t="s">
        <v>1094</v>
      </c>
      <c r="D688" s="504" t="s">
        <v>3380</v>
      </c>
      <c r="E688" s="504" t="s">
        <v>3381</v>
      </c>
      <c r="F688" s="504" t="s">
        <v>466</v>
      </c>
      <c r="G688" s="504" t="s">
        <v>467</v>
      </c>
      <c r="H688" s="504" t="s">
        <v>3970</v>
      </c>
      <c r="I688" s="504">
        <v>576</v>
      </c>
      <c r="J688" s="504">
        <v>576</v>
      </c>
      <c r="K688" s="504">
        <v>0</v>
      </c>
      <c r="L688" s="504">
        <v>0</v>
      </c>
      <c r="M688" s="504">
        <v>0</v>
      </c>
      <c r="N688" s="504">
        <v>0</v>
      </c>
      <c r="O688" s="505">
        <v>0</v>
      </c>
    </row>
    <row r="689" spans="1:15" x14ac:dyDescent="0.35">
      <c r="A689" s="500" t="s">
        <v>14208</v>
      </c>
      <c r="B689" s="501">
        <v>4803</v>
      </c>
      <c r="C689" s="501" t="s">
        <v>1094</v>
      </c>
      <c r="D689" s="501" t="s">
        <v>3380</v>
      </c>
      <c r="E689" s="501" t="s">
        <v>3381</v>
      </c>
      <c r="F689" s="501" t="s">
        <v>466</v>
      </c>
      <c r="G689" s="501" t="s">
        <v>467</v>
      </c>
      <c r="H689" s="501" t="s">
        <v>14481</v>
      </c>
      <c r="I689" s="501">
        <v>1</v>
      </c>
      <c r="J689" s="501">
        <v>0</v>
      </c>
      <c r="K689" s="501">
        <v>0</v>
      </c>
      <c r="L689" s="501">
        <v>1</v>
      </c>
      <c r="M689" s="501">
        <v>0</v>
      </c>
      <c r="N689" s="501">
        <v>0</v>
      </c>
      <c r="O689" s="506">
        <v>0</v>
      </c>
    </row>
    <row r="690" spans="1:15" x14ac:dyDescent="0.35">
      <c r="A690" s="503" t="s">
        <v>1183</v>
      </c>
      <c r="B690" s="504" t="s">
        <v>3038</v>
      </c>
      <c r="C690" s="504" t="s">
        <v>1094</v>
      </c>
      <c r="D690" s="504" t="s">
        <v>3380</v>
      </c>
      <c r="E690" s="504" t="s">
        <v>3381</v>
      </c>
      <c r="F690" s="504" t="s">
        <v>466</v>
      </c>
      <c r="G690" s="504" t="s">
        <v>467</v>
      </c>
      <c r="H690" s="504" t="s">
        <v>3971</v>
      </c>
      <c r="I690" s="504">
        <v>851</v>
      </c>
      <c r="J690" s="504">
        <v>665</v>
      </c>
      <c r="K690" s="504">
        <v>0</v>
      </c>
      <c r="L690" s="504">
        <v>155</v>
      </c>
      <c r="M690" s="504">
        <v>0</v>
      </c>
      <c r="N690" s="504">
        <v>0</v>
      </c>
      <c r="O690" s="505">
        <v>31</v>
      </c>
    </row>
    <row r="691" spans="1:15" x14ac:dyDescent="0.35">
      <c r="A691" s="500" t="s">
        <v>1186</v>
      </c>
      <c r="B691" s="501">
        <v>4661</v>
      </c>
      <c r="C691" s="501" t="s">
        <v>1089</v>
      </c>
      <c r="D691" s="501" t="s">
        <v>3392</v>
      </c>
      <c r="E691" s="501" t="s">
        <v>3381</v>
      </c>
      <c r="F691" s="501" t="s">
        <v>466</v>
      </c>
      <c r="G691" s="501" t="s">
        <v>467</v>
      </c>
      <c r="H691" s="501" t="s">
        <v>3972</v>
      </c>
      <c r="I691" s="501">
        <v>16</v>
      </c>
      <c r="J691" s="501">
        <v>0</v>
      </c>
      <c r="K691" s="501">
        <v>0</v>
      </c>
      <c r="L691" s="501">
        <v>16</v>
      </c>
      <c r="M691" s="501">
        <v>0</v>
      </c>
      <c r="N691" s="501">
        <v>0</v>
      </c>
      <c r="O691" s="506">
        <v>0</v>
      </c>
    </row>
    <row r="692" spans="1:15" x14ac:dyDescent="0.35">
      <c r="A692" s="503" t="s">
        <v>1188</v>
      </c>
      <c r="B692" s="504">
        <v>4760</v>
      </c>
      <c r="C692" s="504" t="s">
        <v>1089</v>
      </c>
      <c r="D692" s="504" t="s">
        <v>3392</v>
      </c>
      <c r="E692" s="504" t="s">
        <v>3381</v>
      </c>
      <c r="F692" s="504" t="s">
        <v>466</v>
      </c>
      <c r="G692" s="504" t="s">
        <v>467</v>
      </c>
      <c r="H692" s="504" t="s">
        <v>3973</v>
      </c>
      <c r="I692" s="504">
        <v>32</v>
      </c>
      <c r="J692" s="504">
        <v>0</v>
      </c>
      <c r="K692" s="504">
        <v>0</v>
      </c>
      <c r="L692" s="504">
        <v>32</v>
      </c>
      <c r="M692" s="504">
        <v>0</v>
      </c>
      <c r="N692" s="504">
        <v>0</v>
      </c>
      <c r="O692" s="505">
        <v>0</v>
      </c>
    </row>
    <row r="693" spans="1:15" x14ac:dyDescent="0.35">
      <c r="A693" s="500" t="s">
        <v>1190</v>
      </c>
      <c r="B693" s="501">
        <v>4662</v>
      </c>
      <c r="C693" s="501" t="s">
        <v>1094</v>
      </c>
      <c r="D693" s="501" t="s">
        <v>3380</v>
      </c>
      <c r="E693" s="501" t="s">
        <v>3381</v>
      </c>
      <c r="F693" s="501" t="s">
        <v>466</v>
      </c>
      <c r="G693" s="501" t="s">
        <v>467</v>
      </c>
      <c r="H693" s="501" t="s">
        <v>3974</v>
      </c>
      <c r="I693" s="501">
        <v>63</v>
      </c>
      <c r="J693" s="501">
        <v>0</v>
      </c>
      <c r="K693" s="501">
        <v>0</v>
      </c>
      <c r="L693" s="501">
        <v>63</v>
      </c>
      <c r="M693" s="501">
        <v>0</v>
      </c>
      <c r="N693" s="501">
        <v>0</v>
      </c>
      <c r="O693" s="506">
        <v>0</v>
      </c>
    </row>
    <row r="694" spans="1:15" x14ac:dyDescent="0.35">
      <c r="A694" s="503" t="s">
        <v>1716</v>
      </c>
      <c r="B694" s="504" t="s">
        <v>2960</v>
      </c>
      <c r="C694" s="504" t="s">
        <v>1094</v>
      </c>
      <c r="D694" s="504" t="s">
        <v>3380</v>
      </c>
      <c r="E694" s="504" t="s">
        <v>3381</v>
      </c>
      <c r="F694" s="504" t="s">
        <v>466</v>
      </c>
      <c r="G694" s="504" t="s">
        <v>467</v>
      </c>
      <c r="H694" s="504" t="s">
        <v>3975</v>
      </c>
      <c r="I694" s="504">
        <v>1337</v>
      </c>
      <c r="J694" s="504">
        <v>1188</v>
      </c>
      <c r="K694" s="504">
        <v>0</v>
      </c>
      <c r="L694" s="504">
        <v>68</v>
      </c>
      <c r="M694" s="504">
        <v>33</v>
      </c>
      <c r="N694" s="504">
        <v>0</v>
      </c>
      <c r="O694" s="505">
        <v>48</v>
      </c>
    </row>
    <row r="695" spans="1:15" x14ac:dyDescent="0.35">
      <c r="A695" s="500" t="s">
        <v>11401</v>
      </c>
      <c r="B695" s="501" t="s">
        <v>3241</v>
      </c>
      <c r="C695" s="501" t="s">
        <v>1094</v>
      </c>
      <c r="D695" s="501" t="s">
        <v>3380</v>
      </c>
      <c r="E695" s="501" t="s">
        <v>3381</v>
      </c>
      <c r="F695" s="501" t="s">
        <v>466</v>
      </c>
      <c r="G695" s="501" t="s">
        <v>467</v>
      </c>
      <c r="H695" s="501" t="s">
        <v>14482</v>
      </c>
      <c r="I695" s="501">
        <v>19</v>
      </c>
      <c r="J695" s="501">
        <v>0</v>
      </c>
      <c r="K695" s="501">
        <v>0</v>
      </c>
      <c r="L695" s="501">
        <v>0</v>
      </c>
      <c r="M695" s="501">
        <v>0</v>
      </c>
      <c r="N695" s="501">
        <v>0</v>
      </c>
      <c r="O695" s="506">
        <v>19</v>
      </c>
    </row>
    <row r="696" spans="1:15" x14ac:dyDescent="0.35">
      <c r="A696" s="503" t="s">
        <v>1739</v>
      </c>
      <c r="B696" s="504">
        <v>4857</v>
      </c>
      <c r="C696" s="504" t="s">
        <v>1094</v>
      </c>
      <c r="D696" s="504" t="s">
        <v>3380</v>
      </c>
      <c r="E696" s="504" t="s">
        <v>3381</v>
      </c>
      <c r="F696" s="504" t="s">
        <v>466</v>
      </c>
      <c r="G696" s="504" t="s">
        <v>467</v>
      </c>
      <c r="H696" s="504" t="s">
        <v>3976</v>
      </c>
      <c r="I696" s="504">
        <v>715</v>
      </c>
      <c r="J696" s="504">
        <v>557</v>
      </c>
      <c r="K696" s="504">
        <v>0</v>
      </c>
      <c r="L696" s="504">
        <v>31</v>
      </c>
      <c r="M696" s="504">
        <v>108</v>
      </c>
      <c r="N696" s="504">
        <v>0</v>
      </c>
      <c r="O696" s="505">
        <v>19</v>
      </c>
    </row>
    <row r="697" spans="1:15" x14ac:dyDescent="0.35">
      <c r="A697" s="500" t="s">
        <v>1209</v>
      </c>
      <c r="B697" s="501">
        <v>4779</v>
      </c>
      <c r="C697" s="501" t="s">
        <v>1094</v>
      </c>
      <c r="D697" s="501" t="s">
        <v>3380</v>
      </c>
      <c r="E697" s="501" t="s">
        <v>3381</v>
      </c>
      <c r="F697" s="501" t="s">
        <v>466</v>
      </c>
      <c r="G697" s="501" t="s">
        <v>467</v>
      </c>
      <c r="H697" s="501" t="s">
        <v>3977</v>
      </c>
      <c r="I697" s="501">
        <v>119</v>
      </c>
      <c r="J697" s="501">
        <v>0</v>
      </c>
      <c r="K697" s="501">
        <v>0</v>
      </c>
      <c r="L697" s="501">
        <v>119</v>
      </c>
      <c r="M697" s="501">
        <v>0</v>
      </c>
      <c r="N697" s="501">
        <v>0</v>
      </c>
      <c r="O697" s="506">
        <v>0</v>
      </c>
    </row>
    <row r="698" spans="1:15" x14ac:dyDescent="0.35">
      <c r="A698" s="503" t="s">
        <v>1744</v>
      </c>
      <c r="B698" s="504" t="s">
        <v>3245</v>
      </c>
      <c r="C698" s="504" t="s">
        <v>1094</v>
      </c>
      <c r="D698" s="504" t="s">
        <v>3380</v>
      </c>
      <c r="E698" s="504" t="s">
        <v>3381</v>
      </c>
      <c r="F698" s="504" t="s">
        <v>466</v>
      </c>
      <c r="G698" s="504" t="s">
        <v>467</v>
      </c>
      <c r="H698" s="504" t="s">
        <v>3978</v>
      </c>
      <c r="I698" s="504">
        <v>2046</v>
      </c>
      <c r="J698" s="504">
        <v>1519</v>
      </c>
      <c r="K698" s="504">
        <v>0</v>
      </c>
      <c r="L698" s="504">
        <v>77</v>
      </c>
      <c r="M698" s="504">
        <v>315</v>
      </c>
      <c r="N698" s="504">
        <v>1</v>
      </c>
      <c r="O698" s="505">
        <v>135</v>
      </c>
    </row>
    <row r="699" spans="1:15" x14ac:dyDescent="0.35">
      <c r="A699" s="500" t="s">
        <v>1122</v>
      </c>
      <c r="B699" s="501" t="s">
        <v>2994</v>
      </c>
      <c r="C699" s="501" t="s">
        <v>1094</v>
      </c>
      <c r="D699" s="501" t="s">
        <v>3380</v>
      </c>
      <c r="E699" s="501" t="s">
        <v>3381</v>
      </c>
      <c r="F699" s="501" t="s">
        <v>466</v>
      </c>
      <c r="G699" s="501" t="s">
        <v>467</v>
      </c>
      <c r="H699" s="501" t="s">
        <v>3979</v>
      </c>
      <c r="I699" s="501">
        <v>1245</v>
      </c>
      <c r="J699" s="501">
        <v>1033</v>
      </c>
      <c r="K699" s="501">
        <v>1</v>
      </c>
      <c r="L699" s="501">
        <v>0</v>
      </c>
      <c r="M699" s="501">
        <v>150</v>
      </c>
      <c r="N699" s="501">
        <v>0</v>
      </c>
      <c r="O699" s="506">
        <v>61</v>
      </c>
    </row>
    <row r="700" spans="1:15" x14ac:dyDescent="0.35">
      <c r="A700" s="503" t="s">
        <v>1225</v>
      </c>
      <c r="B700" s="504" t="s">
        <v>3315</v>
      </c>
      <c r="C700" s="504" t="s">
        <v>1094</v>
      </c>
      <c r="D700" s="504" t="s">
        <v>3380</v>
      </c>
      <c r="E700" s="504" t="s">
        <v>3381</v>
      </c>
      <c r="F700" s="504" t="s">
        <v>466</v>
      </c>
      <c r="G700" s="504" t="s">
        <v>467</v>
      </c>
      <c r="H700" s="504" t="s">
        <v>3980</v>
      </c>
      <c r="I700" s="504">
        <v>129</v>
      </c>
      <c r="J700" s="504">
        <v>6</v>
      </c>
      <c r="K700" s="504">
        <v>0</v>
      </c>
      <c r="L700" s="504">
        <v>65</v>
      </c>
      <c r="M700" s="504">
        <v>54</v>
      </c>
      <c r="N700" s="504">
        <v>0</v>
      </c>
      <c r="O700" s="505">
        <v>4</v>
      </c>
    </row>
    <row r="701" spans="1:15" x14ac:dyDescent="0.35">
      <c r="A701" s="500" t="s">
        <v>1227</v>
      </c>
      <c r="B701" s="501">
        <v>4757</v>
      </c>
      <c r="C701" s="501" t="s">
        <v>1094</v>
      </c>
      <c r="D701" s="501" t="s">
        <v>3392</v>
      </c>
      <c r="E701" s="501" t="s">
        <v>3381</v>
      </c>
      <c r="F701" s="501" t="s">
        <v>466</v>
      </c>
      <c r="G701" s="501" t="s">
        <v>467</v>
      </c>
      <c r="H701" s="501" t="s">
        <v>3981</v>
      </c>
      <c r="I701" s="501">
        <v>24</v>
      </c>
      <c r="J701" s="501">
        <v>0</v>
      </c>
      <c r="K701" s="501">
        <v>0</v>
      </c>
      <c r="L701" s="501">
        <v>24</v>
      </c>
      <c r="M701" s="501">
        <v>0</v>
      </c>
      <c r="N701" s="501">
        <v>0</v>
      </c>
      <c r="O701" s="506">
        <v>0</v>
      </c>
    </row>
    <row r="702" spans="1:15" x14ac:dyDescent="0.35">
      <c r="A702" s="503" t="s">
        <v>1228</v>
      </c>
      <c r="B702" s="504" t="s">
        <v>3321</v>
      </c>
      <c r="C702" s="504" t="s">
        <v>1094</v>
      </c>
      <c r="D702" s="504" t="s">
        <v>3380</v>
      </c>
      <c r="E702" s="504" t="s">
        <v>3381</v>
      </c>
      <c r="F702" s="504" t="s">
        <v>466</v>
      </c>
      <c r="G702" s="504" t="s">
        <v>467</v>
      </c>
      <c r="H702" s="504" t="s">
        <v>3982</v>
      </c>
      <c r="I702" s="504">
        <v>14</v>
      </c>
      <c r="J702" s="504">
        <v>0</v>
      </c>
      <c r="K702" s="504">
        <v>0</v>
      </c>
      <c r="L702" s="504">
        <v>14</v>
      </c>
      <c r="M702" s="504">
        <v>0</v>
      </c>
      <c r="N702" s="504">
        <v>0</v>
      </c>
      <c r="O702" s="505">
        <v>0</v>
      </c>
    </row>
    <row r="703" spans="1:15" x14ac:dyDescent="0.35">
      <c r="A703" s="500" t="s">
        <v>1234</v>
      </c>
      <c r="B703" s="501" t="s">
        <v>3291</v>
      </c>
      <c r="C703" s="501" t="s">
        <v>1094</v>
      </c>
      <c r="D703" s="501" t="s">
        <v>3380</v>
      </c>
      <c r="E703" s="501" t="s">
        <v>3381</v>
      </c>
      <c r="F703" s="501" t="s">
        <v>466</v>
      </c>
      <c r="G703" s="501" t="s">
        <v>467</v>
      </c>
      <c r="H703" s="501" t="s">
        <v>3983</v>
      </c>
      <c r="I703" s="501">
        <v>93</v>
      </c>
      <c r="J703" s="501">
        <v>57</v>
      </c>
      <c r="K703" s="501">
        <v>0</v>
      </c>
      <c r="L703" s="501">
        <v>36</v>
      </c>
      <c r="M703" s="501">
        <v>0</v>
      </c>
      <c r="N703" s="501">
        <v>0</v>
      </c>
      <c r="O703" s="506">
        <v>0</v>
      </c>
    </row>
    <row r="704" spans="1:15" x14ac:dyDescent="0.35">
      <c r="A704" s="503" t="s">
        <v>1126</v>
      </c>
      <c r="B704" s="504" t="s">
        <v>2974</v>
      </c>
      <c r="C704" s="504" t="s">
        <v>1094</v>
      </c>
      <c r="D704" s="504" t="s">
        <v>3380</v>
      </c>
      <c r="E704" s="504" t="s">
        <v>3381</v>
      </c>
      <c r="F704" s="504" t="s">
        <v>466</v>
      </c>
      <c r="G704" s="504" t="s">
        <v>467</v>
      </c>
      <c r="H704" s="504" t="s">
        <v>3984</v>
      </c>
      <c r="I704" s="504">
        <v>68</v>
      </c>
      <c r="J704" s="504">
        <v>50</v>
      </c>
      <c r="K704" s="504">
        <v>0</v>
      </c>
      <c r="L704" s="504">
        <v>18</v>
      </c>
      <c r="M704" s="504">
        <v>0</v>
      </c>
      <c r="N704" s="504">
        <v>0</v>
      </c>
      <c r="O704" s="505">
        <v>0</v>
      </c>
    </row>
    <row r="705" spans="1:15" x14ac:dyDescent="0.35">
      <c r="A705" s="500" t="s">
        <v>1756</v>
      </c>
      <c r="B705" s="501" t="s">
        <v>2757</v>
      </c>
      <c r="C705" s="501" t="s">
        <v>1089</v>
      </c>
      <c r="D705" s="501" t="s">
        <v>3392</v>
      </c>
      <c r="E705" s="501" t="s">
        <v>3381</v>
      </c>
      <c r="F705" s="501" t="s">
        <v>466</v>
      </c>
      <c r="G705" s="501" t="s">
        <v>467</v>
      </c>
      <c r="H705" s="501" t="s">
        <v>3985</v>
      </c>
      <c r="I705" s="501">
        <v>28</v>
      </c>
      <c r="J705" s="501">
        <v>28</v>
      </c>
      <c r="K705" s="501">
        <v>0</v>
      </c>
      <c r="L705" s="501">
        <v>0</v>
      </c>
      <c r="M705" s="501">
        <v>0</v>
      </c>
      <c r="N705" s="501">
        <v>0</v>
      </c>
      <c r="O705" s="506">
        <v>0</v>
      </c>
    </row>
    <row r="706" spans="1:15" x14ac:dyDescent="0.35">
      <c r="A706" s="503" t="s">
        <v>1249</v>
      </c>
      <c r="B706" s="504">
        <v>4729</v>
      </c>
      <c r="C706" s="504" t="s">
        <v>1094</v>
      </c>
      <c r="D706" s="504" t="s">
        <v>3380</v>
      </c>
      <c r="E706" s="504" t="s">
        <v>3381</v>
      </c>
      <c r="F706" s="504" t="s">
        <v>466</v>
      </c>
      <c r="G706" s="504" t="s">
        <v>467</v>
      </c>
      <c r="H706" s="504" t="s">
        <v>3986</v>
      </c>
      <c r="I706" s="504">
        <v>199</v>
      </c>
      <c r="J706" s="504">
        <v>156</v>
      </c>
      <c r="K706" s="504">
        <v>0</v>
      </c>
      <c r="L706" s="504">
        <v>0</v>
      </c>
      <c r="M706" s="504">
        <v>28</v>
      </c>
      <c r="N706" s="504">
        <v>0</v>
      </c>
      <c r="O706" s="505">
        <v>15</v>
      </c>
    </row>
    <row r="707" spans="1:15" x14ac:dyDescent="0.35">
      <c r="A707" s="500" t="s">
        <v>1253</v>
      </c>
      <c r="B707" s="501" t="s">
        <v>3232</v>
      </c>
      <c r="C707" s="501" t="s">
        <v>1094</v>
      </c>
      <c r="D707" s="501" t="s">
        <v>3380</v>
      </c>
      <c r="E707" s="501" t="s">
        <v>3381</v>
      </c>
      <c r="F707" s="501" t="s">
        <v>466</v>
      </c>
      <c r="G707" s="501" t="s">
        <v>467</v>
      </c>
      <c r="H707" s="501" t="s">
        <v>3987</v>
      </c>
      <c r="I707" s="501">
        <v>16</v>
      </c>
      <c r="J707" s="501">
        <v>0</v>
      </c>
      <c r="K707" s="501">
        <v>0</v>
      </c>
      <c r="L707" s="501">
        <v>16</v>
      </c>
      <c r="M707" s="501">
        <v>0</v>
      </c>
      <c r="N707" s="501">
        <v>0</v>
      </c>
      <c r="O707" s="506">
        <v>0</v>
      </c>
    </row>
    <row r="708" spans="1:15" x14ac:dyDescent="0.35">
      <c r="A708" s="503" t="s">
        <v>1266</v>
      </c>
      <c r="B708" s="504" t="s">
        <v>3071</v>
      </c>
      <c r="C708" s="504" t="s">
        <v>1094</v>
      </c>
      <c r="D708" s="504" t="s">
        <v>3380</v>
      </c>
      <c r="E708" s="504" t="s">
        <v>3381</v>
      </c>
      <c r="F708" s="504" t="s">
        <v>466</v>
      </c>
      <c r="G708" s="504" t="s">
        <v>467</v>
      </c>
      <c r="H708" s="504" t="s">
        <v>3988</v>
      </c>
      <c r="I708" s="504">
        <v>51</v>
      </c>
      <c r="J708" s="504">
        <v>51</v>
      </c>
      <c r="K708" s="504">
        <v>0</v>
      </c>
      <c r="L708" s="504">
        <v>0</v>
      </c>
      <c r="M708" s="504">
        <v>0</v>
      </c>
      <c r="N708" s="504">
        <v>0</v>
      </c>
      <c r="O708" s="505">
        <v>0</v>
      </c>
    </row>
    <row r="709" spans="1:15" x14ac:dyDescent="0.35">
      <c r="A709" s="500" t="s">
        <v>1143</v>
      </c>
      <c r="B709" s="501" t="s">
        <v>3281</v>
      </c>
      <c r="C709" s="501" t="s">
        <v>1094</v>
      </c>
      <c r="D709" s="501" t="s">
        <v>3380</v>
      </c>
      <c r="E709" s="501" t="s">
        <v>3381</v>
      </c>
      <c r="F709" s="501" t="s">
        <v>468</v>
      </c>
      <c r="G709" s="501" t="s">
        <v>469</v>
      </c>
      <c r="H709" s="501" t="s">
        <v>3989</v>
      </c>
      <c r="I709" s="501">
        <v>14</v>
      </c>
      <c r="J709" s="501">
        <v>14</v>
      </c>
      <c r="K709" s="501">
        <v>0</v>
      </c>
      <c r="L709" s="501">
        <v>0</v>
      </c>
      <c r="M709" s="501">
        <v>0</v>
      </c>
      <c r="N709" s="501">
        <v>0</v>
      </c>
      <c r="O709" s="506">
        <v>0</v>
      </c>
    </row>
    <row r="710" spans="1:15" x14ac:dyDescent="0.35">
      <c r="A710" s="503" t="s">
        <v>1093</v>
      </c>
      <c r="B710" s="504" t="s">
        <v>3248</v>
      </c>
      <c r="C710" s="504" t="s">
        <v>1094</v>
      </c>
      <c r="D710" s="504" t="s">
        <v>3380</v>
      </c>
      <c r="E710" s="504" t="s">
        <v>3381</v>
      </c>
      <c r="F710" s="504" t="s">
        <v>468</v>
      </c>
      <c r="G710" s="504" t="s">
        <v>469</v>
      </c>
      <c r="H710" s="504" t="s">
        <v>3990</v>
      </c>
      <c r="I710" s="504">
        <v>50</v>
      </c>
      <c r="J710" s="504">
        <v>0</v>
      </c>
      <c r="K710" s="504">
        <v>0</v>
      </c>
      <c r="L710" s="504">
        <v>48</v>
      </c>
      <c r="M710" s="504">
        <v>0</v>
      </c>
      <c r="N710" s="504">
        <v>0</v>
      </c>
      <c r="O710" s="505">
        <v>2</v>
      </c>
    </row>
    <row r="711" spans="1:15" x14ac:dyDescent="0.35">
      <c r="A711" s="500" t="s">
        <v>1100</v>
      </c>
      <c r="B711" s="501">
        <v>4865</v>
      </c>
      <c r="C711" s="501" t="s">
        <v>1094</v>
      </c>
      <c r="D711" s="501" t="s">
        <v>3380</v>
      </c>
      <c r="E711" s="501" t="s">
        <v>3381</v>
      </c>
      <c r="F711" s="501" t="s">
        <v>468</v>
      </c>
      <c r="G711" s="501" t="s">
        <v>469</v>
      </c>
      <c r="H711" s="501" t="s">
        <v>3991</v>
      </c>
      <c r="I711" s="501">
        <v>8</v>
      </c>
      <c r="J711" s="501">
        <v>0</v>
      </c>
      <c r="K711" s="501">
        <v>0</v>
      </c>
      <c r="L711" s="501">
        <v>0</v>
      </c>
      <c r="M711" s="501">
        <v>0</v>
      </c>
      <c r="N711" s="501">
        <v>0</v>
      </c>
      <c r="O711" s="506">
        <v>8</v>
      </c>
    </row>
    <row r="712" spans="1:15" x14ac:dyDescent="0.35">
      <c r="A712" s="503" t="s">
        <v>1102</v>
      </c>
      <c r="B712" s="504">
        <v>4663</v>
      </c>
      <c r="C712" s="504" t="s">
        <v>1089</v>
      </c>
      <c r="D712" s="504" t="s">
        <v>3392</v>
      </c>
      <c r="E712" s="504" t="s">
        <v>3381</v>
      </c>
      <c r="F712" s="504" t="s">
        <v>468</v>
      </c>
      <c r="G712" s="504" t="s">
        <v>469</v>
      </c>
      <c r="H712" s="504" t="s">
        <v>3992</v>
      </c>
      <c r="I712" s="504">
        <v>9</v>
      </c>
      <c r="J712" s="504">
        <v>0</v>
      </c>
      <c r="K712" s="504">
        <v>0</v>
      </c>
      <c r="L712" s="504">
        <v>9</v>
      </c>
      <c r="M712" s="504">
        <v>0</v>
      </c>
      <c r="N712" s="504">
        <v>0</v>
      </c>
      <c r="O712" s="505">
        <v>0</v>
      </c>
    </row>
    <row r="713" spans="1:15" x14ac:dyDescent="0.35">
      <c r="A713" s="500" t="s">
        <v>1178</v>
      </c>
      <c r="B713" s="501" t="s">
        <v>3334</v>
      </c>
      <c r="C713" s="501" t="s">
        <v>1094</v>
      </c>
      <c r="D713" s="501" t="s">
        <v>3380</v>
      </c>
      <c r="E713" s="501" t="s">
        <v>3381</v>
      </c>
      <c r="F713" s="501" t="s">
        <v>468</v>
      </c>
      <c r="G713" s="501" t="s">
        <v>469</v>
      </c>
      <c r="H713" s="501" t="s">
        <v>3993</v>
      </c>
      <c r="I713" s="501">
        <v>40</v>
      </c>
      <c r="J713" s="501">
        <v>0</v>
      </c>
      <c r="K713" s="501">
        <v>0</v>
      </c>
      <c r="L713" s="501">
        <v>40</v>
      </c>
      <c r="M713" s="501">
        <v>0</v>
      </c>
      <c r="N713" s="501">
        <v>0</v>
      </c>
      <c r="O713" s="506">
        <v>0</v>
      </c>
    </row>
    <row r="714" spans="1:15" x14ac:dyDescent="0.35">
      <c r="A714" s="503" t="s">
        <v>14208</v>
      </c>
      <c r="B714" s="504">
        <v>4803</v>
      </c>
      <c r="C714" s="504" t="s">
        <v>1094</v>
      </c>
      <c r="D714" s="504" t="s">
        <v>3380</v>
      </c>
      <c r="E714" s="504" t="s">
        <v>3381</v>
      </c>
      <c r="F714" s="504" t="s">
        <v>468</v>
      </c>
      <c r="G714" s="504" t="s">
        <v>469</v>
      </c>
      <c r="H714" s="504" t="s">
        <v>14483</v>
      </c>
      <c r="I714" s="504">
        <v>12</v>
      </c>
      <c r="J714" s="504">
        <v>0</v>
      </c>
      <c r="K714" s="504">
        <v>0</v>
      </c>
      <c r="L714" s="504">
        <v>12</v>
      </c>
      <c r="M714" s="504">
        <v>0</v>
      </c>
      <c r="N714" s="504">
        <v>0</v>
      </c>
      <c r="O714" s="505">
        <v>0</v>
      </c>
    </row>
    <row r="715" spans="1:15" x14ac:dyDescent="0.35">
      <c r="A715" s="500" t="s">
        <v>1105</v>
      </c>
      <c r="B715" s="501">
        <v>4668</v>
      </c>
      <c r="C715" s="501" t="s">
        <v>1094</v>
      </c>
      <c r="D715" s="501" t="s">
        <v>3380</v>
      </c>
      <c r="E715" s="501" t="s">
        <v>3381</v>
      </c>
      <c r="F715" s="501" t="s">
        <v>468</v>
      </c>
      <c r="G715" s="501" t="s">
        <v>469</v>
      </c>
      <c r="H715" s="501" t="s">
        <v>11732</v>
      </c>
      <c r="I715" s="501">
        <v>20</v>
      </c>
      <c r="J715" s="501">
        <v>0</v>
      </c>
      <c r="K715" s="501">
        <v>0</v>
      </c>
      <c r="L715" s="501">
        <v>0</v>
      </c>
      <c r="M715" s="501">
        <v>0</v>
      </c>
      <c r="N715" s="501">
        <v>0</v>
      </c>
      <c r="O715" s="506">
        <v>20</v>
      </c>
    </row>
    <row r="716" spans="1:15" x14ac:dyDescent="0.35">
      <c r="A716" s="503" t="s">
        <v>1109</v>
      </c>
      <c r="B716" s="504" t="s">
        <v>2959</v>
      </c>
      <c r="C716" s="504" t="s">
        <v>1094</v>
      </c>
      <c r="D716" s="504" t="s">
        <v>3380</v>
      </c>
      <c r="E716" s="504" t="s">
        <v>3381</v>
      </c>
      <c r="F716" s="504" t="s">
        <v>468</v>
      </c>
      <c r="G716" s="504" t="s">
        <v>469</v>
      </c>
      <c r="H716" s="504" t="s">
        <v>3994</v>
      </c>
      <c r="I716" s="504">
        <v>74</v>
      </c>
      <c r="J716" s="504">
        <v>0</v>
      </c>
      <c r="K716" s="504">
        <v>0</v>
      </c>
      <c r="L716" s="504">
        <v>0</v>
      </c>
      <c r="M716" s="504">
        <v>74</v>
      </c>
      <c r="N716" s="504">
        <v>0</v>
      </c>
      <c r="O716" s="505">
        <v>0</v>
      </c>
    </row>
    <row r="717" spans="1:15" x14ac:dyDescent="0.35">
      <c r="A717" s="500" t="s">
        <v>1199</v>
      </c>
      <c r="B717" s="501">
        <v>4877</v>
      </c>
      <c r="C717" s="501" t="s">
        <v>1094</v>
      </c>
      <c r="D717" s="501" t="s">
        <v>3380</v>
      </c>
      <c r="E717" s="501" t="s">
        <v>3381</v>
      </c>
      <c r="F717" s="501" t="s">
        <v>468</v>
      </c>
      <c r="G717" s="501" t="s">
        <v>469</v>
      </c>
      <c r="H717" s="501" t="s">
        <v>3995</v>
      </c>
      <c r="I717" s="501">
        <v>4609</v>
      </c>
      <c r="J717" s="501">
        <v>3694</v>
      </c>
      <c r="K717" s="501">
        <v>0</v>
      </c>
      <c r="L717" s="501">
        <v>0</v>
      </c>
      <c r="M717" s="501">
        <v>821</v>
      </c>
      <c r="N717" s="501">
        <v>0</v>
      </c>
      <c r="O717" s="506">
        <v>94</v>
      </c>
    </row>
    <row r="718" spans="1:15" x14ac:dyDescent="0.35">
      <c r="A718" s="503" t="s">
        <v>1200</v>
      </c>
      <c r="B718" s="504" t="s">
        <v>3122</v>
      </c>
      <c r="C718" s="504" t="s">
        <v>1089</v>
      </c>
      <c r="D718" s="504" t="s">
        <v>3392</v>
      </c>
      <c r="E718" s="504" t="s">
        <v>3381</v>
      </c>
      <c r="F718" s="504" t="s">
        <v>468</v>
      </c>
      <c r="G718" s="504" t="s">
        <v>469</v>
      </c>
      <c r="H718" s="504" t="s">
        <v>3996</v>
      </c>
      <c r="I718" s="504">
        <v>37</v>
      </c>
      <c r="J718" s="504">
        <v>37</v>
      </c>
      <c r="K718" s="504">
        <v>0</v>
      </c>
      <c r="L718" s="504">
        <v>0</v>
      </c>
      <c r="M718" s="504">
        <v>0</v>
      </c>
      <c r="N718" s="504">
        <v>0</v>
      </c>
      <c r="O718" s="505">
        <v>0</v>
      </c>
    </row>
    <row r="719" spans="1:15" x14ac:dyDescent="0.35">
      <c r="A719" s="500" t="s">
        <v>1203</v>
      </c>
      <c r="B719" s="501" t="s">
        <v>3170</v>
      </c>
      <c r="C719" s="501" t="s">
        <v>1094</v>
      </c>
      <c r="D719" s="501" t="s">
        <v>3380</v>
      </c>
      <c r="E719" s="501" t="s">
        <v>3381</v>
      </c>
      <c r="F719" s="501" t="s">
        <v>468</v>
      </c>
      <c r="G719" s="501" t="s">
        <v>469</v>
      </c>
      <c r="H719" s="501" t="s">
        <v>3997</v>
      </c>
      <c r="I719" s="501">
        <v>631</v>
      </c>
      <c r="J719" s="501">
        <v>491</v>
      </c>
      <c r="K719" s="501">
        <v>0</v>
      </c>
      <c r="L719" s="501">
        <v>8</v>
      </c>
      <c r="M719" s="501">
        <v>0</v>
      </c>
      <c r="N719" s="501">
        <v>1</v>
      </c>
      <c r="O719" s="506">
        <v>132</v>
      </c>
    </row>
    <row r="720" spans="1:15" x14ac:dyDescent="0.35">
      <c r="A720" s="503" t="s">
        <v>1210</v>
      </c>
      <c r="B720" s="504">
        <v>4781</v>
      </c>
      <c r="C720" s="504" t="s">
        <v>1089</v>
      </c>
      <c r="D720" s="504" t="s">
        <v>3392</v>
      </c>
      <c r="E720" s="504" t="s">
        <v>3381</v>
      </c>
      <c r="F720" s="504" t="s">
        <v>468</v>
      </c>
      <c r="G720" s="504" t="s">
        <v>469</v>
      </c>
      <c r="H720" s="504" t="s">
        <v>3998</v>
      </c>
      <c r="I720" s="504">
        <v>23</v>
      </c>
      <c r="J720" s="504">
        <v>0</v>
      </c>
      <c r="K720" s="504">
        <v>0</v>
      </c>
      <c r="L720" s="504">
        <v>23</v>
      </c>
      <c r="M720" s="504">
        <v>0</v>
      </c>
      <c r="N720" s="504">
        <v>0</v>
      </c>
      <c r="O720" s="505">
        <v>0</v>
      </c>
    </row>
    <row r="721" spans="1:15" x14ac:dyDescent="0.35">
      <c r="A721" s="500" t="s">
        <v>1226</v>
      </c>
      <c r="B721" s="501">
        <v>5084</v>
      </c>
      <c r="C721" s="501" t="s">
        <v>1094</v>
      </c>
      <c r="D721" s="501" t="s">
        <v>3380</v>
      </c>
      <c r="E721" s="501" t="s">
        <v>3381</v>
      </c>
      <c r="F721" s="501" t="s">
        <v>468</v>
      </c>
      <c r="G721" s="501" t="s">
        <v>469</v>
      </c>
      <c r="H721" s="501" t="s">
        <v>3999</v>
      </c>
      <c r="I721" s="501">
        <v>757</v>
      </c>
      <c r="J721" s="501">
        <v>599</v>
      </c>
      <c r="K721" s="501">
        <v>0</v>
      </c>
      <c r="L721" s="501">
        <v>12</v>
      </c>
      <c r="M721" s="501">
        <v>0</v>
      </c>
      <c r="N721" s="501">
        <v>0</v>
      </c>
      <c r="O721" s="506">
        <v>146</v>
      </c>
    </row>
    <row r="722" spans="1:15" x14ac:dyDescent="0.35">
      <c r="A722" s="503" t="s">
        <v>1228</v>
      </c>
      <c r="B722" s="504" t="s">
        <v>3321</v>
      </c>
      <c r="C722" s="504" t="s">
        <v>1094</v>
      </c>
      <c r="D722" s="504" t="s">
        <v>3380</v>
      </c>
      <c r="E722" s="504" t="s">
        <v>3381</v>
      </c>
      <c r="F722" s="504" t="s">
        <v>468</v>
      </c>
      <c r="G722" s="504" t="s">
        <v>469</v>
      </c>
      <c r="H722" s="504" t="s">
        <v>4000</v>
      </c>
      <c r="I722" s="504">
        <v>28</v>
      </c>
      <c r="J722" s="504">
        <v>0</v>
      </c>
      <c r="K722" s="504">
        <v>0</v>
      </c>
      <c r="L722" s="504">
        <v>28</v>
      </c>
      <c r="M722" s="504">
        <v>0</v>
      </c>
      <c r="N722" s="504">
        <v>0</v>
      </c>
      <c r="O722" s="505">
        <v>0</v>
      </c>
    </row>
    <row r="723" spans="1:15" x14ac:dyDescent="0.35">
      <c r="A723" s="500" t="s">
        <v>1239</v>
      </c>
      <c r="B723" s="501" t="s">
        <v>2485</v>
      </c>
      <c r="C723" s="501" t="s">
        <v>1089</v>
      </c>
      <c r="D723" s="501" t="s">
        <v>3392</v>
      </c>
      <c r="E723" s="501" t="s">
        <v>3381</v>
      </c>
      <c r="F723" s="501" t="s">
        <v>468</v>
      </c>
      <c r="G723" s="501" t="s">
        <v>469</v>
      </c>
      <c r="H723" s="501" t="s">
        <v>4001</v>
      </c>
      <c r="I723" s="501">
        <v>10</v>
      </c>
      <c r="J723" s="501">
        <v>0</v>
      </c>
      <c r="K723" s="501">
        <v>0</v>
      </c>
      <c r="L723" s="501">
        <v>0</v>
      </c>
      <c r="M723" s="501">
        <v>10</v>
      </c>
      <c r="N723" s="501">
        <v>0</v>
      </c>
      <c r="O723" s="506">
        <v>0</v>
      </c>
    </row>
    <row r="724" spans="1:15" x14ac:dyDescent="0.35">
      <c r="A724" s="503" t="s">
        <v>1088</v>
      </c>
      <c r="B724" s="504" t="s">
        <v>2879</v>
      </c>
      <c r="C724" s="504" t="s">
        <v>1089</v>
      </c>
      <c r="D724" s="504" t="s">
        <v>3392</v>
      </c>
      <c r="E724" s="504" t="s">
        <v>3381</v>
      </c>
      <c r="F724" s="504" t="s">
        <v>14114</v>
      </c>
      <c r="G724" s="504" t="s">
        <v>470</v>
      </c>
      <c r="H724" s="504" t="s">
        <v>15565</v>
      </c>
      <c r="I724" s="504">
        <v>39</v>
      </c>
      <c r="J724" s="504">
        <v>0</v>
      </c>
      <c r="K724" s="504">
        <v>0</v>
      </c>
      <c r="L724" s="504">
        <v>0</v>
      </c>
      <c r="M724" s="504">
        <v>39</v>
      </c>
      <c r="N724" s="504">
        <v>0</v>
      </c>
      <c r="O724" s="505">
        <v>0</v>
      </c>
    </row>
    <row r="725" spans="1:15" x14ac:dyDescent="0.35">
      <c r="A725" s="500" t="s">
        <v>1091</v>
      </c>
      <c r="B725" s="501" t="s">
        <v>3288</v>
      </c>
      <c r="C725" s="501" t="s">
        <v>1089</v>
      </c>
      <c r="D725" s="501" t="s">
        <v>3392</v>
      </c>
      <c r="E725" s="501" t="s">
        <v>3381</v>
      </c>
      <c r="F725" s="501" t="s">
        <v>14114</v>
      </c>
      <c r="G725" s="501" t="s">
        <v>470</v>
      </c>
      <c r="H725" s="501" t="s">
        <v>15566</v>
      </c>
      <c r="I725" s="501">
        <v>100</v>
      </c>
      <c r="J725" s="501">
        <v>79</v>
      </c>
      <c r="K725" s="501">
        <v>0</v>
      </c>
      <c r="L725" s="501">
        <v>21</v>
      </c>
      <c r="M725" s="501">
        <v>0</v>
      </c>
      <c r="N725" s="501">
        <v>0</v>
      </c>
      <c r="O725" s="506">
        <v>0</v>
      </c>
    </row>
    <row r="726" spans="1:15" x14ac:dyDescent="0.35">
      <c r="A726" s="503" t="s">
        <v>14127</v>
      </c>
      <c r="B726" s="504" t="s">
        <v>14126</v>
      </c>
      <c r="C726" s="504" t="s">
        <v>1094</v>
      </c>
      <c r="D726" s="504" t="s">
        <v>3380</v>
      </c>
      <c r="E726" s="504" t="s">
        <v>3381</v>
      </c>
      <c r="F726" s="504" t="s">
        <v>14114</v>
      </c>
      <c r="G726" s="504" t="s">
        <v>470</v>
      </c>
      <c r="H726" s="504" t="s">
        <v>15567</v>
      </c>
      <c r="I726" s="504">
        <v>153</v>
      </c>
      <c r="J726" s="504">
        <v>111</v>
      </c>
      <c r="K726" s="504">
        <v>0</v>
      </c>
      <c r="L726" s="504">
        <v>26</v>
      </c>
      <c r="M726" s="504">
        <v>11</v>
      </c>
      <c r="N726" s="504">
        <v>0</v>
      </c>
      <c r="O726" s="505">
        <v>5</v>
      </c>
    </row>
    <row r="727" spans="1:15" x14ac:dyDescent="0.35">
      <c r="A727" s="500" t="s">
        <v>1093</v>
      </c>
      <c r="B727" s="501" t="s">
        <v>3248</v>
      </c>
      <c r="C727" s="501" t="s">
        <v>1094</v>
      </c>
      <c r="D727" s="501" t="s">
        <v>3380</v>
      </c>
      <c r="E727" s="501" t="s">
        <v>3381</v>
      </c>
      <c r="F727" s="501" t="s">
        <v>14114</v>
      </c>
      <c r="G727" s="501" t="s">
        <v>470</v>
      </c>
      <c r="H727" s="501" t="s">
        <v>15568</v>
      </c>
      <c r="I727" s="501">
        <v>46</v>
      </c>
      <c r="J727" s="501">
        <v>0</v>
      </c>
      <c r="K727" s="501">
        <v>0</v>
      </c>
      <c r="L727" s="501">
        <v>22</v>
      </c>
      <c r="M727" s="501">
        <v>0</v>
      </c>
      <c r="N727" s="501">
        <v>0</v>
      </c>
      <c r="O727" s="506">
        <v>24</v>
      </c>
    </row>
    <row r="728" spans="1:15" x14ac:dyDescent="0.35">
      <c r="A728" s="503" t="s">
        <v>1096</v>
      </c>
      <c r="B728" s="504" t="s">
        <v>3326</v>
      </c>
      <c r="C728" s="504" t="s">
        <v>1094</v>
      </c>
      <c r="D728" s="504" t="s">
        <v>3380</v>
      </c>
      <c r="E728" s="504" t="s">
        <v>3381</v>
      </c>
      <c r="F728" s="504" t="s">
        <v>14114</v>
      </c>
      <c r="G728" s="504" t="s">
        <v>470</v>
      </c>
      <c r="H728" s="504" t="s">
        <v>15569</v>
      </c>
      <c r="I728" s="504">
        <v>255</v>
      </c>
      <c r="J728" s="504">
        <v>0</v>
      </c>
      <c r="K728" s="504">
        <v>0</v>
      </c>
      <c r="L728" s="504">
        <v>0</v>
      </c>
      <c r="M728" s="504">
        <v>219</v>
      </c>
      <c r="N728" s="504">
        <v>0</v>
      </c>
      <c r="O728" s="505">
        <v>36</v>
      </c>
    </row>
    <row r="729" spans="1:15" x14ac:dyDescent="0.35">
      <c r="A729" s="500" t="s">
        <v>1098</v>
      </c>
      <c r="B729" s="501">
        <v>4691</v>
      </c>
      <c r="C729" s="501" t="s">
        <v>1094</v>
      </c>
      <c r="D729" s="501" t="s">
        <v>3380</v>
      </c>
      <c r="E729" s="501" t="s">
        <v>3381</v>
      </c>
      <c r="F729" s="501" t="s">
        <v>14114</v>
      </c>
      <c r="G729" s="501" t="s">
        <v>470</v>
      </c>
      <c r="H729" s="501" t="s">
        <v>15570</v>
      </c>
      <c r="I729" s="501">
        <v>22</v>
      </c>
      <c r="J729" s="501">
        <v>20</v>
      </c>
      <c r="K729" s="501">
        <v>0</v>
      </c>
      <c r="L729" s="501">
        <v>0</v>
      </c>
      <c r="M729" s="501">
        <v>0</v>
      </c>
      <c r="N729" s="501">
        <v>0</v>
      </c>
      <c r="O729" s="506">
        <v>2</v>
      </c>
    </row>
    <row r="730" spans="1:15" x14ac:dyDescent="0.35">
      <c r="A730" s="503" t="s">
        <v>11363</v>
      </c>
      <c r="B730" s="504">
        <v>4718</v>
      </c>
      <c r="C730" s="504" t="s">
        <v>1094</v>
      </c>
      <c r="D730" s="504" t="s">
        <v>3380</v>
      </c>
      <c r="E730" s="504" t="s">
        <v>3381</v>
      </c>
      <c r="F730" s="504" t="s">
        <v>14114</v>
      </c>
      <c r="G730" s="504" t="s">
        <v>470</v>
      </c>
      <c r="H730" s="504" t="s">
        <v>15571</v>
      </c>
      <c r="I730" s="504">
        <v>36</v>
      </c>
      <c r="J730" s="504">
        <v>0</v>
      </c>
      <c r="K730" s="504">
        <v>0</v>
      </c>
      <c r="L730" s="504">
        <v>36</v>
      </c>
      <c r="M730" s="504">
        <v>0</v>
      </c>
      <c r="N730" s="504">
        <v>0</v>
      </c>
      <c r="O730" s="505">
        <v>0</v>
      </c>
    </row>
    <row r="731" spans="1:15" x14ac:dyDescent="0.35">
      <c r="A731" s="500" t="s">
        <v>1950</v>
      </c>
      <c r="B731" s="501" t="s">
        <v>3029</v>
      </c>
      <c r="C731" s="501" t="s">
        <v>1089</v>
      </c>
      <c r="D731" s="501" t="s">
        <v>3392</v>
      </c>
      <c r="E731" s="501" t="s">
        <v>3381</v>
      </c>
      <c r="F731" s="501" t="s">
        <v>14114</v>
      </c>
      <c r="G731" s="501" t="s">
        <v>470</v>
      </c>
      <c r="H731" s="501" t="s">
        <v>15572</v>
      </c>
      <c r="I731" s="501">
        <v>21</v>
      </c>
      <c r="J731" s="501">
        <v>10</v>
      </c>
      <c r="K731" s="501">
        <v>0</v>
      </c>
      <c r="L731" s="501">
        <v>0</v>
      </c>
      <c r="M731" s="501">
        <v>11</v>
      </c>
      <c r="N731" s="501">
        <v>0</v>
      </c>
      <c r="O731" s="506">
        <v>0</v>
      </c>
    </row>
    <row r="732" spans="1:15" x14ac:dyDescent="0.35">
      <c r="A732" s="503" t="s">
        <v>1808</v>
      </c>
      <c r="B732" s="504" t="s">
        <v>3242</v>
      </c>
      <c r="C732" s="504" t="s">
        <v>1094</v>
      </c>
      <c r="D732" s="504" t="s">
        <v>3380</v>
      </c>
      <c r="E732" s="504" t="s">
        <v>3381</v>
      </c>
      <c r="F732" s="504" t="s">
        <v>14114</v>
      </c>
      <c r="G732" s="504" t="s">
        <v>470</v>
      </c>
      <c r="H732" s="504" t="s">
        <v>15602</v>
      </c>
      <c r="I732" s="504">
        <v>592</v>
      </c>
      <c r="J732" s="504">
        <v>246</v>
      </c>
      <c r="K732" s="504">
        <v>12</v>
      </c>
      <c r="L732" s="504">
        <v>333</v>
      </c>
      <c r="M732" s="504">
        <v>0</v>
      </c>
      <c r="N732" s="504">
        <v>4</v>
      </c>
      <c r="O732" s="505">
        <v>1</v>
      </c>
    </row>
    <row r="733" spans="1:15" x14ac:dyDescent="0.35">
      <c r="A733" s="500" t="s">
        <v>1951</v>
      </c>
      <c r="B733" s="501" t="s">
        <v>2940</v>
      </c>
      <c r="C733" s="501" t="s">
        <v>1089</v>
      </c>
      <c r="D733" s="501" t="s">
        <v>3392</v>
      </c>
      <c r="E733" s="501" t="s">
        <v>3381</v>
      </c>
      <c r="F733" s="501" t="s">
        <v>14114</v>
      </c>
      <c r="G733" s="501" t="s">
        <v>470</v>
      </c>
      <c r="H733" s="501" t="s">
        <v>15603</v>
      </c>
      <c r="I733" s="501">
        <v>114</v>
      </c>
      <c r="J733" s="501">
        <v>0</v>
      </c>
      <c r="K733" s="501">
        <v>0</v>
      </c>
      <c r="L733" s="501">
        <v>114</v>
      </c>
      <c r="M733" s="501">
        <v>0</v>
      </c>
      <c r="N733" s="501">
        <v>0</v>
      </c>
      <c r="O733" s="506">
        <v>0</v>
      </c>
    </row>
    <row r="734" spans="1:15" x14ac:dyDescent="0.35">
      <c r="A734" s="503" t="s">
        <v>1161</v>
      </c>
      <c r="B734" s="504" t="s">
        <v>3001</v>
      </c>
      <c r="C734" s="504" t="s">
        <v>1094</v>
      </c>
      <c r="D734" s="504" t="s">
        <v>3380</v>
      </c>
      <c r="E734" s="504" t="s">
        <v>3381</v>
      </c>
      <c r="F734" s="504" t="s">
        <v>14114</v>
      </c>
      <c r="G734" s="504" t="s">
        <v>470</v>
      </c>
      <c r="H734" s="504" t="s">
        <v>15573</v>
      </c>
      <c r="I734" s="504">
        <v>2</v>
      </c>
      <c r="J734" s="504">
        <v>0</v>
      </c>
      <c r="K734" s="504">
        <v>0</v>
      </c>
      <c r="L734" s="504">
        <v>0</v>
      </c>
      <c r="M734" s="504">
        <v>0</v>
      </c>
      <c r="N734" s="504">
        <v>0</v>
      </c>
      <c r="O734" s="505">
        <v>2</v>
      </c>
    </row>
    <row r="735" spans="1:15" x14ac:dyDescent="0.35">
      <c r="A735" s="500" t="s">
        <v>1100</v>
      </c>
      <c r="B735" s="501">
        <v>4865</v>
      </c>
      <c r="C735" s="501" t="s">
        <v>1094</v>
      </c>
      <c r="D735" s="501" t="s">
        <v>3380</v>
      </c>
      <c r="E735" s="501" t="s">
        <v>3381</v>
      </c>
      <c r="F735" s="501" t="s">
        <v>14114</v>
      </c>
      <c r="G735" s="501" t="s">
        <v>470</v>
      </c>
      <c r="H735" s="501" t="s">
        <v>15574</v>
      </c>
      <c r="I735" s="501">
        <v>14</v>
      </c>
      <c r="J735" s="501">
        <v>14</v>
      </c>
      <c r="K735" s="501">
        <v>0</v>
      </c>
      <c r="L735" s="501">
        <v>0</v>
      </c>
      <c r="M735" s="501">
        <v>0</v>
      </c>
      <c r="N735" s="501">
        <v>0</v>
      </c>
      <c r="O735" s="506">
        <v>0</v>
      </c>
    </row>
    <row r="736" spans="1:15" x14ac:dyDescent="0.35">
      <c r="A736" s="503" t="s">
        <v>1974</v>
      </c>
      <c r="B736" s="504" t="s">
        <v>2993</v>
      </c>
      <c r="C736" s="504" t="s">
        <v>1089</v>
      </c>
      <c r="D736" s="504" t="s">
        <v>3392</v>
      </c>
      <c r="E736" s="504" t="s">
        <v>3381</v>
      </c>
      <c r="F736" s="504" t="s">
        <v>14114</v>
      </c>
      <c r="G736" s="504" t="s">
        <v>470</v>
      </c>
      <c r="H736" s="504" t="s">
        <v>15575</v>
      </c>
      <c r="I736" s="504">
        <v>136</v>
      </c>
      <c r="J736" s="504">
        <v>1</v>
      </c>
      <c r="K736" s="504">
        <v>0</v>
      </c>
      <c r="L736" s="504">
        <v>91</v>
      </c>
      <c r="M736" s="504">
        <v>44</v>
      </c>
      <c r="N736" s="504">
        <v>6</v>
      </c>
      <c r="O736" s="505">
        <v>0</v>
      </c>
    </row>
    <row r="737" spans="1:15" x14ac:dyDescent="0.35">
      <c r="A737" s="500" t="s">
        <v>1179</v>
      </c>
      <c r="B737" s="501">
        <v>4829</v>
      </c>
      <c r="C737" s="501" t="s">
        <v>1089</v>
      </c>
      <c r="D737" s="501" t="s">
        <v>3392</v>
      </c>
      <c r="E737" s="501" t="s">
        <v>3381</v>
      </c>
      <c r="F737" s="501" t="s">
        <v>14114</v>
      </c>
      <c r="G737" s="501" t="s">
        <v>470</v>
      </c>
      <c r="H737" s="501" t="s">
        <v>15576</v>
      </c>
      <c r="I737" s="501">
        <v>1</v>
      </c>
      <c r="J737" s="501">
        <v>0</v>
      </c>
      <c r="K737" s="501">
        <v>0</v>
      </c>
      <c r="L737" s="501">
        <v>1</v>
      </c>
      <c r="M737" s="501">
        <v>0</v>
      </c>
      <c r="N737" s="501">
        <v>0</v>
      </c>
      <c r="O737" s="506">
        <v>0</v>
      </c>
    </row>
    <row r="738" spans="1:15" x14ac:dyDescent="0.35">
      <c r="A738" s="503" t="s">
        <v>1105</v>
      </c>
      <c r="B738" s="504">
        <v>4668</v>
      </c>
      <c r="C738" s="504" t="s">
        <v>1094</v>
      </c>
      <c r="D738" s="504" t="s">
        <v>3380</v>
      </c>
      <c r="E738" s="504" t="s">
        <v>3381</v>
      </c>
      <c r="F738" s="504" t="s">
        <v>14114</v>
      </c>
      <c r="G738" s="504" t="s">
        <v>470</v>
      </c>
      <c r="H738" s="504" t="s">
        <v>15577</v>
      </c>
      <c r="I738" s="504">
        <v>56</v>
      </c>
      <c r="J738" s="504">
        <v>0</v>
      </c>
      <c r="K738" s="504">
        <v>0</v>
      </c>
      <c r="L738" s="504">
        <v>0</v>
      </c>
      <c r="M738" s="504">
        <v>0</v>
      </c>
      <c r="N738" s="504">
        <v>0</v>
      </c>
      <c r="O738" s="505">
        <v>56</v>
      </c>
    </row>
    <row r="739" spans="1:15" x14ac:dyDescent="0.35">
      <c r="A739" s="500" t="s">
        <v>1109</v>
      </c>
      <c r="B739" s="501" t="s">
        <v>2959</v>
      </c>
      <c r="C739" s="501" t="s">
        <v>1094</v>
      </c>
      <c r="D739" s="501" t="s">
        <v>3380</v>
      </c>
      <c r="E739" s="501" t="s">
        <v>3381</v>
      </c>
      <c r="F739" s="501" t="s">
        <v>14114</v>
      </c>
      <c r="G739" s="501" t="s">
        <v>470</v>
      </c>
      <c r="H739" s="501" t="s">
        <v>15578</v>
      </c>
      <c r="I739" s="501">
        <v>60</v>
      </c>
      <c r="J739" s="501">
        <v>0</v>
      </c>
      <c r="K739" s="501">
        <v>0</v>
      </c>
      <c r="L739" s="501">
        <v>0</v>
      </c>
      <c r="M739" s="501">
        <v>60</v>
      </c>
      <c r="N739" s="501">
        <v>0</v>
      </c>
      <c r="O739" s="506">
        <v>0</v>
      </c>
    </row>
    <row r="740" spans="1:15" x14ac:dyDescent="0.35">
      <c r="A740" s="503" t="s">
        <v>1190</v>
      </c>
      <c r="B740" s="504">
        <v>4662</v>
      </c>
      <c r="C740" s="504" t="s">
        <v>1094</v>
      </c>
      <c r="D740" s="504" t="s">
        <v>3380</v>
      </c>
      <c r="E740" s="504" t="s">
        <v>3381</v>
      </c>
      <c r="F740" s="504" t="s">
        <v>14114</v>
      </c>
      <c r="G740" s="504" t="s">
        <v>470</v>
      </c>
      <c r="H740" s="504" t="s">
        <v>15579</v>
      </c>
      <c r="I740" s="504">
        <v>41</v>
      </c>
      <c r="J740" s="504">
        <v>0</v>
      </c>
      <c r="K740" s="504">
        <v>0</v>
      </c>
      <c r="L740" s="504">
        <v>41</v>
      </c>
      <c r="M740" s="504">
        <v>0</v>
      </c>
      <c r="N740" s="504">
        <v>0</v>
      </c>
      <c r="O740" s="505">
        <v>0</v>
      </c>
    </row>
    <row r="741" spans="1:15" x14ac:dyDescent="0.35">
      <c r="A741" s="500" t="s">
        <v>1195</v>
      </c>
      <c r="B741" s="501">
        <v>4693</v>
      </c>
      <c r="C741" s="501" t="s">
        <v>1089</v>
      </c>
      <c r="D741" s="501" t="s">
        <v>3392</v>
      </c>
      <c r="E741" s="501" t="s">
        <v>3381</v>
      </c>
      <c r="F741" s="501" t="s">
        <v>14114</v>
      </c>
      <c r="G741" s="501" t="s">
        <v>470</v>
      </c>
      <c r="H741" s="501" t="s">
        <v>15580</v>
      </c>
      <c r="I741" s="501">
        <v>13</v>
      </c>
      <c r="J741" s="501">
        <v>0</v>
      </c>
      <c r="K741" s="501">
        <v>0</v>
      </c>
      <c r="L741" s="501">
        <v>13</v>
      </c>
      <c r="M741" s="501">
        <v>0</v>
      </c>
      <c r="N741" s="501">
        <v>0</v>
      </c>
      <c r="O741" s="506">
        <v>0</v>
      </c>
    </row>
    <row r="742" spans="1:15" x14ac:dyDescent="0.35">
      <c r="A742" s="503" t="s">
        <v>1114</v>
      </c>
      <c r="B742" s="504" t="s">
        <v>2982</v>
      </c>
      <c r="C742" s="504" t="s">
        <v>1094</v>
      </c>
      <c r="D742" s="504" t="s">
        <v>3380</v>
      </c>
      <c r="E742" s="504" t="s">
        <v>3381</v>
      </c>
      <c r="F742" s="504" t="s">
        <v>14114</v>
      </c>
      <c r="G742" s="504" t="s">
        <v>470</v>
      </c>
      <c r="H742" s="504" t="s">
        <v>15581</v>
      </c>
      <c r="I742" s="504">
        <v>5</v>
      </c>
      <c r="J742" s="504">
        <v>0</v>
      </c>
      <c r="K742" s="504">
        <v>0</v>
      </c>
      <c r="L742" s="504">
        <v>0</v>
      </c>
      <c r="M742" s="504">
        <v>0</v>
      </c>
      <c r="N742" s="504">
        <v>0</v>
      </c>
      <c r="O742" s="505">
        <v>5</v>
      </c>
    </row>
    <row r="743" spans="1:15" x14ac:dyDescent="0.35">
      <c r="A743" s="500" t="s">
        <v>1120</v>
      </c>
      <c r="B743" s="501" t="s">
        <v>3362</v>
      </c>
      <c r="C743" s="501" t="s">
        <v>1094</v>
      </c>
      <c r="D743" s="501" t="s">
        <v>3380</v>
      </c>
      <c r="E743" s="501" t="s">
        <v>3381</v>
      </c>
      <c r="F743" s="501" t="s">
        <v>14114</v>
      </c>
      <c r="G743" s="501" t="s">
        <v>470</v>
      </c>
      <c r="H743" s="501" t="s">
        <v>15582</v>
      </c>
      <c r="I743" s="501">
        <v>2</v>
      </c>
      <c r="J743" s="501">
        <v>0</v>
      </c>
      <c r="K743" s="501">
        <v>0</v>
      </c>
      <c r="L743" s="501">
        <v>0</v>
      </c>
      <c r="M743" s="501">
        <v>0</v>
      </c>
      <c r="N743" s="501">
        <v>0</v>
      </c>
      <c r="O743" s="506">
        <v>2</v>
      </c>
    </row>
    <row r="744" spans="1:15" x14ac:dyDescent="0.35">
      <c r="A744" s="503" t="s">
        <v>2002</v>
      </c>
      <c r="B744" s="504">
        <v>4747</v>
      </c>
      <c r="C744" s="504" t="s">
        <v>1089</v>
      </c>
      <c r="D744" s="504" t="s">
        <v>3392</v>
      </c>
      <c r="E744" s="504" t="s">
        <v>3381</v>
      </c>
      <c r="F744" s="504" t="s">
        <v>14114</v>
      </c>
      <c r="G744" s="504" t="s">
        <v>470</v>
      </c>
      <c r="H744" s="504" t="s">
        <v>15583</v>
      </c>
      <c r="I744" s="504">
        <v>19</v>
      </c>
      <c r="J744" s="504">
        <v>0</v>
      </c>
      <c r="K744" s="504">
        <v>0</v>
      </c>
      <c r="L744" s="504">
        <v>19</v>
      </c>
      <c r="M744" s="504">
        <v>0</v>
      </c>
      <c r="N744" s="504">
        <v>0</v>
      </c>
      <c r="O744" s="505">
        <v>0</v>
      </c>
    </row>
    <row r="745" spans="1:15" x14ac:dyDescent="0.35">
      <c r="A745" s="500" t="s">
        <v>1122</v>
      </c>
      <c r="B745" s="501" t="s">
        <v>2994</v>
      </c>
      <c r="C745" s="501" t="s">
        <v>1094</v>
      </c>
      <c r="D745" s="501" t="s">
        <v>3380</v>
      </c>
      <c r="E745" s="501" t="s">
        <v>3381</v>
      </c>
      <c r="F745" s="501" t="s">
        <v>14114</v>
      </c>
      <c r="G745" s="501" t="s">
        <v>470</v>
      </c>
      <c r="H745" s="501" t="s">
        <v>15584</v>
      </c>
      <c r="I745" s="501">
        <v>87</v>
      </c>
      <c r="J745" s="501">
        <v>83</v>
      </c>
      <c r="K745" s="501">
        <v>0</v>
      </c>
      <c r="L745" s="501">
        <v>0</v>
      </c>
      <c r="M745" s="501">
        <v>0</v>
      </c>
      <c r="N745" s="501">
        <v>0</v>
      </c>
      <c r="O745" s="506">
        <v>4</v>
      </c>
    </row>
    <row r="746" spans="1:15" x14ac:dyDescent="0.35">
      <c r="A746" s="503" t="s">
        <v>2005</v>
      </c>
      <c r="B746" s="504" t="s">
        <v>3098</v>
      </c>
      <c r="C746" s="504" t="s">
        <v>1089</v>
      </c>
      <c r="D746" s="504" t="s">
        <v>3392</v>
      </c>
      <c r="E746" s="504" t="s">
        <v>3381</v>
      </c>
      <c r="F746" s="504" t="s">
        <v>14114</v>
      </c>
      <c r="G746" s="504" t="s">
        <v>470</v>
      </c>
      <c r="H746" s="504" t="s">
        <v>15585</v>
      </c>
      <c r="I746" s="504">
        <v>11</v>
      </c>
      <c r="J746" s="504">
        <v>11</v>
      </c>
      <c r="K746" s="504">
        <v>0</v>
      </c>
      <c r="L746" s="504">
        <v>0</v>
      </c>
      <c r="M746" s="504">
        <v>0</v>
      </c>
      <c r="N746" s="504">
        <v>0</v>
      </c>
      <c r="O746" s="505">
        <v>0</v>
      </c>
    </row>
    <row r="747" spans="1:15" x14ac:dyDescent="0.35">
      <c r="A747" s="500" t="s">
        <v>1124</v>
      </c>
      <c r="B747" s="501">
        <v>4745</v>
      </c>
      <c r="C747" s="501" t="s">
        <v>1094</v>
      </c>
      <c r="D747" s="501" t="s">
        <v>3380</v>
      </c>
      <c r="E747" s="501" t="s">
        <v>3381</v>
      </c>
      <c r="F747" s="501" t="s">
        <v>14114</v>
      </c>
      <c r="G747" s="501" t="s">
        <v>470</v>
      </c>
      <c r="H747" s="501" t="s">
        <v>15586</v>
      </c>
      <c r="I747" s="501">
        <v>8</v>
      </c>
      <c r="J747" s="501">
        <v>0</v>
      </c>
      <c r="K747" s="501">
        <v>0</v>
      </c>
      <c r="L747" s="501">
        <v>8</v>
      </c>
      <c r="M747" s="501">
        <v>0</v>
      </c>
      <c r="N747" s="501">
        <v>0</v>
      </c>
      <c r="O747" s="506">
        <v>0</v>
      </c>
    </row>
    <row r="748" spans="1:15" x14ac:dyDescent="0.35">
      <c r="A748" s="503" t="s">
        <v>1233</v>
      </c>
      <c r="B748" s="504">
        <v>4636</v>
      </c>
      <c r="C748" s="504" t="s">
        <v>1094</v>
      </c>
      <c r="D748" s="504" t="s">
        <v>3380</v>
      </c>
      <c r="E748" s="504" t="s">
        <v>3381</v>
      </c>
      <c r="F748" s="504" t="s">
        <v>14114</v>
      </c>
      <c r="G748" s="504" t="s">
        <v>470</v>
      </c>
      <c r="H748" s="504" t="s">
        <v>15587</v>
      </c>
      <c r="I748" s="504">
        <v>27</v>
      </c>
      <c r="J748" s="504">
        <v>6</v>
      </c>
      <c r="K748" s="504">
        <v>0</v>
      </c>
      <c r="L748" s="504">
        <v>0</v>
      </c>
      <c r="M748" s="504">
        <v>0</v>
      </c>
      <c r="N748" s="504">
        <v>0</v>
      </c>
      <c r="O748" s="505">
        <v>21</v>
      </c>
    </row>
    <row r="749" spans="1:15" x14ac:dyDescent="0.35">
      <c r="A749" s="500" t="s">
        <v>11368</v>
      </c>
      <c r="B749" s="501">
        <v>5083</v>
      </c>
      <c r="C749" s="501" t="s">
        <v>1094</v>
      </c>
      <c r="D749" s="501" t="s">
        <v>3380</v>
      </c>
      <c r="E749" s="501" t="s">
        <v>3381</v>
      </c>
      <c r="F749" s="501" t="s">
        <v>14114</v>
      </c>
      <c r="G749" s="501" t="s">
        <v>470</v>
      </c>
      <c r="H749" s="501" t="s">
        <v>15588</v>
      </c>
      <c r="I749" s="501">
        <v>38</v>
      </c>
      <c r="J749" s="501">
        <v>38</v>
      </c>
      <c r="K749" s="501">
        <v>0</v>
      </c>
      <c r="L749" s="501">
        <v>0</v>
      </c>
      <c r="M749" s="501">
        <v>0</v>
      </c>
      <c r="N749" s="501">
        <v>0</v>
      </c>
      <c r="O749" s="506">
        <v>0</v>
      </c>
    </row>
    <row r="750" spans="1:15" x14ac:dyDescent="0.35">
      <c r="A750" s="503" t="s">
        <v>1234</v>
      </c>
      <c r="B750" s="504" t="s">
        <v>3291</v>
      </c>
      <c r="C750" s="504" t="s">
        <v>1094</v>
      </c>
      <c r="D750" s="504" t="s">
        <v>3380</v>
      </c>
      <c r="E750" s="504" t="s">
        <v>3381</v>
      </c>
      <c r="F750" s="504" t="s">
        <v>14114</v>
      </c>
      <c r="G750" s="504" t="s">
        <v>470</v>
      </c>
      <c r="H750" s="504" t="s">
        <v>15589</v>
      </c>
      <c r="I750" s="504">
        <v>11</v>
      </c>
      <c r="J750" s="504">
        <v>11</v>
      </c>
      <c r="K750" s="504">
        <v>0</v>
      </c>
      <c r="L750" s="504">
        <v>0</v>
      </c>
      <c r="M750" s="504">
        <v>0</v>
      </c>
      <c r="N750" s="504">
        <v>0</v>
      </c>
      <c r="O750" s="505">
        <v>0</v>
      </c>
    </row>
    <row r="751" spans="1:15" x14ac:dyDescent="0.35">
      <c r="A751" s="500" t="s">
        <v>1126</v>
      </c>
      <c r="B751" s="501" t="s">
        <v>2974</v>
      </c>
      <c r="C751" s="501" t="s">
        <v>1094</v>
      </c>
      <c r="D751" s="501" t="s">
        <v>3380</v>
      </c>
      <c r="E751" s="501" t="s">
        <v>3381</v>
      </c>
      <c r="F751" s="501" t="s">
        <v>14114</v>
      </c>
      <c r="G751" s="501" t="s">
        <v>470</v>
      </c>
      <c r="H751" s="501" t="s">
        <v>15590</v>
      </c>
      <c r="I751" s="501">
        <v>178</v>
      </c>
      <c r="J751" s="501">
        <v>13</v>
      </c>
      <c r="K751" s="501">
        <v>0</v>
      </c>
      <c r="L751" s="501">
        <v>29</v>
      </c>
      <c r="M751" s="501">
        <v>136</v>
      </c>
      <c r="N751" s="501">
        <v>0</v>
      </c>
      <c r="O751" s="506">
        <v>0</v>
      </c>
    </row>
    <row r="752" spans="1:15" x14ac:dyDescent="0.35">
      <c r="A752" s="503" t="s">
        <v>1128</v>
      </c>
      <c r="B752" s="504" t="s">
        <v>3250</v>
      </c>
      <c r="C752" s="504" t="s">
        <v>1089</v>
      </c>
      <c r="D752" s="504" t="s">
        <v>3392</v>
      </c>
      <c r="E752" s="504" t="s">
        <v>3381</v>
      </c>
      <c r="F752" s="504" t="s">
        <v>14114</v>
      </c>
      <c r="G752" s="504" t="s">
        <v>470</v>
      </c>
      <c r="H752" s="504" t="s">
        <v>15591</v>
      </c>
      <c r="I752" s="504">
        <v>363</v>
      </c>
      <c r="J752" s="504">
        <v>331</v>
      </c>
      <c r="K752" s="504">
        <v>0</v>
      </c>
      <c r="L752" s="504">
        <v>0</v>
      </c>
      <c r="M752" s="504">
        <v>32</v>
      </c>
      <c r="N752" s="504">
        <v>3</v>
      </c>
      <c r="O752" s="505">
        <v>0</v>
      </c>
    </row>
    <row r="753" spans="1:15" x14ac:dyDescent="0.35">
      <c r="A753" s="500" t="s">
        <v>1342</v>
      </c>
      <c r="B753" s="501" t="s">
        <v>3237</v>
      </c>
      <c r="C753" s="501" t="s">
        <v>1094</v>
      </c>
      <c r="D753" s="501" t="s">
        <v>3380</v>
      </c>
      <c r="E753" s="501" t="s">
        <v>3381</v>
      </c>
      <c r="F753" s="501" t="s">
        <v>14114</v>
      </c>
      <c r="G753" s="501" t="s">
        <v>470</v>
      </c>
      <c r="H753" s="501" t="s">
        <v>15592</v>
      </c>
      <c r="I753" s="501">
        <v>1</v>
      </c>
      <c r="J753" s="501">
        <v>0</v>
      </c>
      <c r="K753" s="501">
        <v>0</v>
      </c>
      <c r="L753" s="501">
        <v>0</v>
      </c>
      <c r="M753" s="501">
        <v>0</v>
      </c>
      <c r="N753" s="501">
        <v>0</v>
      </c>
      <c r="O753" s="506">
        <v>1</v>
      </c>
    </row>
    <row r="754" spans="1:15" x14ac:dyDescent="0.35">
      <c r="A754" s="503" t="s">
        <v>1132</v>
      </c>
      <c r="B754" s="504">
        <v>4837</v>
      </c>
      <c r="C754" s="504" t="s">
        <v>1094</v>
      </c>
      <c r="D754" s="504" t="s">
        <v>3380</v>
      </c>
      <c r="E754" s="504" t="s">
        <v>3381</v>
      </c>
      <c r="F754" s="504" t="s">
        <v>14114</v>
      </c>
      <c r="G754" s="504" t="s">
        <v>470</v>
      </c>
      <c r="H754" s="504" t="s">
        <v>15593</v>
      </c>
      <c r="I754" s="504">
        <v>5241</v>
      </c>
      <c r="J754" s="504">
        <v>4368</v>
      </c>
      <c r="K754" s="504">
        <v>1</v>
      </c>
      <c r="L754" s="504">
        <v>169</v>
      </c>
      <c r="M754" s="504">
        <v>162</v>
      </c>
      <c r="N754" s="504">
        <v>1</v>
      </c>
      <c r="O754" s="505">
        <v>541</v>
      </c>
    </row>
    <row r="755" spans="1:15" x14ac:dyDescent="0.35">
      <c r="A755" s="500" t="s">
        <v>1345</v>
      </c>
      <c r="B755" s="501" t="s">
        <v>3247</v>
      </c>
      <c r="C755" s="501" t="s">
        <v>1094</v>
      </c>
      <c r="D755" s="501" t="s">
        <v>3380</v>
      </c>
      <c r="E755" s="501" t="s">
        <v>3381</v>
      </c>
      <c r="F755" s="501" t="s">
        <v>14114</v>
      </c>
      <c r="G755" s="501" t="s">
        <v>470</v>
      </c>
      <c r="H755" s="501" t="s">
        <v>15594</v>
      </c>
      <c r="I755" s="501">
        <v>8</v>
      </c>
      <c r="J755" s="501">
        <v>0</v>
      </c>
      <c r="K755" s="501">
        <v>0</v>
      </c>
      <c r="L755" s="501">
        <v>8</v>
      </c>
      <c r="M755" s="501">
        <v>0</v>
      </c>
      <c r="N755" s="501">
        <v>0</v>
      </c>
      <c r="O755" s="506">
        <v>0</v>
      </c>
    </row>
    <row r="756" spans="1:15" x14ac:dyDescent="0.35">
      <c r="A756" s="503" t="s">
        <v>1241</v>
      </c>
      <c r="B756" s="504">
        <v>4717</v>
      </c>
      <c r="C756" s="504" t="s">
        <v>1094</v>
      </c>
      <c r="D756" s="504" t="s">
        <v>3380</v>
      </c>
      <c r="E756" s="504" t="s">
        <v>3381</v>
      </c>
      <c r="F756" s="504" t="s">
        <v>14114</v>
      </c>
      <c r="G756" s="504" t="s">
        <v>470</v>
      </c>
      <c r="H756" s="504" t="s">
        <v>15595</v>
      </c>
      <c r="I756" s="504">
        <v>181</v>
      </c>
      <c r="J756" s="504">
        <v>108</v>
      </c>
      <c r="K756" s="504">
        <v>0</v>
      </c>
      <c r="L756" s="504">
        <v>0</v>
      </c>
      <c r="M756" s="504">
        <v>66</v>
      </c>
      <c r="N756" s="504">
        <v>0</v>
      </c>
      <c r="O756" s="505">
        <v>7</v>
      </c>
    </row>
    <row r="757" spans="1:15" x14ac:dyDescent="0.35">
      <c r="A757" s="500" t="s">
        <v>1134</v>
      </c>
      <c r="B757" s="501" t="s">
        <v>3066</v>
      </c>
      <c r="C757" s="501" t="s">
        <v>1094</v>
      </c>
      <c r="D757" s="501" t="s">
        <v>3380</v>
      </c>
      <c r="E757" s="501" t="s">
        <v>3381</v>
      </c>
      <c r="F757" s="501" t="s">
        <v>14114</v>
      </c>
      <c r="G757" s="501" t="s">
        <v>470</v>
      </c>
      <c r="H757" s="501" t="s">
        <v>15596</v>
      </c>
      <c r="I757" s="501">
        <v>1012</v>
      </c>
      <c r="J757" s="501">
        <v>683</v>
      </c>
      <c r="K757" s="501">
        <v>0</v>
      </c>
      <c r="L757" s="501">
        <v>76</v>
      </c>
      <c r="M757" s="501">
        <v>152</v>
      </c>
      <c r="N757" s="501">
        <v>0</v>
      </c>
      <c r="O757" s="506">
        <v>101</v>
      </c>
    </row>
    <row r="758" spans="1:15" x14ac:dyDescent="0.35">
      <c r="A758" s="503" t="s">
        <v>1136</v>
      </c>
      <c r="B758" s="504">
        <v>4680</v>
      </c>
      <c r="C758" s="504" t="s">
        <v>1094</v>
      </c>
      <c r="D758" s="504" t="s">
        <v>3380</v>
      </c>
      <c r="E758" s="504" t="s">
        <v>3381</v>
      </c>
      <c r="F758" s="504" t="s">
        <v>14114</v>
      </c>
      <c r="G758" s="504" t="s">
        <v>470</v>
      </c>
      <c r="H758" s="504" t="s">
        <v>15597</v>
      </c>
      <c r="I758" s="504">
        <v>543</v>
      </c>
      <c r="J758" s="504">
        <v>304</v>
      </c>
      <c r="K758" s="504">
        <v>0</v>
      </c>
      <c r="L758" s="504">
        <v>197</v>
      </c>
      <c r="M758" s="504">
        <v>27</v>
      </c>
      <c r="N758" s="504">
        <v>0</v>
      </c>
      <c r="O758" s="505">
        <v>15</v>
      </c>
    </row>
    <row r="759" spans="1:15" x14ac:dyDescent="0.35">
      <c r="A759" s="500" t="s">
        <v>1138</v>
      </c>
      <c r="B759" s="501" t="s">
        <v>2998</v>
      </c>
      <c r="C759" s="501" t="s">
        <v>1094</v>
      </c>
      <c r="D759" s="501" t="s">
        <v>3380</v>
      </c>
      <c r="E759" s="501" t="s">
        <v>3381</v>
      </c>
      <c r="F759" s="501" t="s">
        <v>14114</v>
      </c>
      <c r="G759" s="501" t="s">
        <v>470</v>
      </c>
      <c r="H759" s="501" t="s">
        <v>15598</v>
      </c>
      <c r="I759" s="501">
        <v>559</v>
      </c>
      <c r="J759" s="501">
        <v>423</v>
      </c>
      <c r="K759" s="501">
        <v>0</v>
      </c>
      <c r="L759" s="501">
        <v>0</v>
      </c>
      <c r="M759" s="501">
        <v>0</v>
      </c>
      <c r="N759" s="501">
        <v>0</v>
      </c>
      <c r="O759" s="506">
        <v>136</v>
      </c>
    </row>
    <row r="760" spans="1:15" x14ac:dyDescent="0.35">
      <c r="A760" s="503" t="s">
        <v>14422</v>
      </c>
      <c r="B760" s="504" t="s">
        <v>2448</v>
      </c>
      <c r="C760" s="504" t="s">
        <v>1089</v>
      </c>
      <c r="D760" s="504" t="s">
        <v>3392</v>
      </c>
      <c r="E760" s="504" t="s">
        <v>3381</v>
      </c>
      <c r="F760" s="504" t="s">
        <v>14114</v>
      </c>
      <c r="G760" s="504" t="s">
        <v>470</v>
      </c>
      <c r="H760" s="504" t="s">
        <v>15599</v>
      </c>
      <c r="I760" s="504">
        <v>21</v>
      </c>
      <c r="J760" s="504">
        <v>0</v>
      </c>
      <c r="K760" s="504">
        <v>0</v>
      </c>
      <c r="L760" s="504">
        <v>0</v>
      </c>
      <c r="M760" s="504">
        <v>21</v>
      </c>
      <c r="N760" s="504">
        <v>0</v>
      </c>
      <c r="O760" s="505">
        <v>0</v>
      </c>
    </row>
    <row r="761" spans="1:15" x14ac:dyDescent="0.35">
      <c r="A761" s="500" t="s">
        <v>1262</v>
      </c>
      <c r="B761" s="501">
        <v>4772</v>
      </c>
      <c r="C761" s="501" t="s">
        <v>1089</v>
      </c>
      <c r="D761" s="501" t="s">
        <v>3392</v>
      </c>
      <c r="E761" s="501" t="s">
        <v>3381</v>
      </c>
      <c r="F761" s="501" t="s">
        <v>14114</v>
      </c>
      <c r="G761" s="501" t="s">
        <v>470</v>
      </c>
      <c r="H761" s="501" t="s">
        <v>15600</v>
      </c>
      <c r="I761" s="501">
        <v>26</v>
      </c>
      <c r="J761" s="501">
        <v>0</v>
      </c>
      <c r="K761" s="501">
        <v>0</v>
      </c>
      <c r="L761" s="501">
        <v>26</v>
      </c>
      <c r="M761" s="501">
        <v>0</v>
      </c>
      <c r="N761" s="501">
        <v>0</v>
      </c>
      <c r="O761" s="506">
        <v>0</v>
      </c>
    </row>
    <row r="762" spans="1:15" x14ac:dyDescent="0.35">
      <c r="A762" s="503" t="s">
        <v>1264</v>
      </c>
      <c r="B762" s="504">
        <v>4671</v>
      </c>
      <c r="C762" s="504" t="s">
        <v>1089</v>
      </c>
      <c r="D762" s="504" t="s">
        <v>3392</v>
      </c>
      <c r="E762" s="504" t="s">
        <v>3381</v>
      </c>
      <c r="F762" s="504" t="s">
        <v>14114</v>
      </c>
      <c r="G762" s="504" t="s">
        <v>470</v>
      </c>
      <c r="H762" s="504" t="s">
        <v>15601</v>
      </c>
      <c r="I762" s="504">
        <v>6</v>
      </c>
      <c r="J762" s="504">
        <v>0</v>
      </c>
      <c r="K762" s="504">
        <v>0</v>
      </c>
      <c r="L762" s="504">
        <v>6</v>
      </c>
      <c r="M762" s="504">
        <v>0</v>
      </c>
      <c r="N762" s="504">
        <v>0</v>
      </c>
      <c r="O762" s="505">
        <v>0</v>
      </c>
    </row>
    <row r="763" spans="1:15" x14ac:dyDescent="0.35">
      <c r="A763" s="500" t="s">
        <v>1386</v>
      </c>
      <c r="B763" s="501" t="s">
        <v>3331</v>
      </c>
      <c r="C763" s="501" t="s">
        <v>1094</v>
      </c>
      <c r="D763" s="501" t="s">
        <v>3380</v>
      </c>
      <c r="E763" s="501" t="s">
        <v>3381</v>
      </c>
      <c r="F763" s="501" t="s">
        <v>471</v>
      </c>
      <c r="G763" s="501" t="s">
        <v>472</v>
      </c>
      <c r="H763" s="501" t="s">
        <v>4002</v>
      </c>
      <c r="I763" s="501">
        <v>59</v>
      </c>
      <c r="J763" s="501">
        <v>59</v>
      </c>
      <c r="K763" s="501">
        <v>0</v>
      </c>
      <c r="L763" s="501">
        <v>0</v>
      </c>
      <c r="M763" s="501">
        <v>0</v>
      </c>
      <c r="N763" s="501">
        <v>0</v>
      </c>
      <c r="O763" s="506">
        <v>0</v>
      </c>
    </row>
    <row r="764" spans="1:15" x14ac:dyDescent="0.35">
      <c r="A764" s="503" t="s">
        <v>1091</v>
      </c>
      <c r="B764" s="504" t="s">
        <v>3288</v>
      </c>
      <c r="C764" s="504" t="s">
        <v>1089</v>
      </c>
      <c r="D764" s="504" t="s">
        <v>3392</v>
      </c>
      <c r="E764" s="504" t="s">
        <v>3381</v>
      </c>
      <c r="F764" s="504" t="s">
        <v>471</v>
      </c>
      <c r="G764" s="504" t="s">
        <v>472</v>
      </c>
      <c r="H764" s="504" t="s">
        <v>4003</v>
      </c>
      <c r="I764" s="504">
        <v>32</v>
      </c>
      <c r="J764" s="504">
        <v>8</v>
      </c>
      <c r="K764" s="504">
        <v>0</v>
      </c>
      <c r="L764" s="504">
        <v>24</v>
      </c>
      <c r="M764" s="504">
        <v>0</v>
      </c>
      <c r="N764" s="504">
        <v>0</v>
      </c>
      <c r="O764" s="505">
        <v>0</v>
      </c>
    </row>
    <row r="765" spans="1:15" x14ac:dyDescent="0.35">
      <c r="A765" s="500" t="s">
        <v>14127</v>
      </c>
      <c r="B765" s="501" t="s">
        <v>14126</v>
      </c>
      <c r="C765" s="501" t="s">
        <v>1094</v>
      </c>
      <c r="D765" s="501" t="s">
        <v>3380</v>
      </c>
      <c r="E765" s="501" t="s">
        <v>3381</v>
      </c>
      <c r="F765" s="501" t="s">
        <v>471</v>
      </c>
      <c r="G765" s="501" t="s">
        <v>472</v>
      </c>
      <c r="H765" s="501" t="s">
        <v>14484</v>
      </c>
      <c r="I765" s="501">
        <v>235</v>
      </c>
      <c r="J765" s="501">
        <v>148</v>
      </c>
      <c r="K765" s="501">
        <v>0</v>
      </c>
      <c r="L765" s="501">
        <v>54</v>
      </c>
      <c r="M765" s="501">
        <v>0</v>
      </c>
      <c r="N765" s="501">
        <v>0</v>
      </c>
      <c r="O765" s="506">
        <v>33</v>
      </c>
    </row>
    <row r="766" spans="1:15" x14ac:dyDescent="0.35">
      <c r="A766" s="503" t="s">
        <v>1143</v>
      </c>
      <c r="B766" s="504" t="s">
        <v>3281</v>
      </c>
      <c r="C766" s="504" t="s">
        <v>1094</v>
      </c>
      <c r="D766" s="504" t="s">
        <v>3380</v>
      </c>
      <c r="E766" s="504" t="s">
        <v>3381</v>
      </c>
      <c r="F766" s="504" t="s">
        <v>471</v>
      </c>
      <c r="G766" s="504" t="s">
        <v>472</v>
      </c>
      <c r="H766" s="504" t="s">
        <v>4004</v>
      </c>
      <c r="I766" s="504">
        <v>21</v>
      </c>
      <c r="J766" s="504">
        <v>20</v>
      </c>
      <c r="K766" s="504">
        <v>0</v>
      </c>
      <c r="L766" s="504">
        <v>0</v>
      </c>
      <c r="M766" s="504">
        <v>0</v>
      </c>
      <c r="N766" s="504">
        <v>0</v>
      </c>
      <c r="O766" s="505">
        <v>1</v>
      </c>
    </row>
    <row r="767" spans="1:15" x14ac:dyDescent="0.35">
      <c r="A767" s="500" t="s">
        <v>1093</v>
      </c>
      <c r="B767" s="501" t="s">
        <v>3248</v>
      </c>
      <c r="C767" s="501" t="s">
        <v>1094</v>
      </c>
      <c r="D767" s="501" t="s">
        <v>3380</v>
      </c>
      <c r="E767" s="501" t="s">
        <v>3381</v>
      </c>
      <c r="F767" s="501" t="s">
        <v>471</v>
      </c>
      <c r="G767" s="501" t="s">
        <v>472</v>
      </c>
      <c r="H767" s="501" t="s">
        <v>4005</v>
      </c>
      <c r="I767" s="501">
        <v>14</v>
      </c>
      <c r="J767" s="501">
        <v>0</v>
      </c>
      <c r="K767" s="501">
        <v>0</v>
      </c>
      <c r="L767" s="501">
        <v>12</v>
      </c>
      <c r="M767" s="501">
        <v>0</v>
      </c>
      <c r="N767" s="501">
        <v>0</v>
      </c>
      <c r="O767" s="506">
        <v>2</v>
      </c>
    </row>
    <row r="768" spans="1:15" x14ac:dyDescent="0.35">
      <c r="A768" s="503" t="s">
        <v>1096</v>
      </c>
      <c r="B768" s="504" t="s">
        <v>3326</v>
      </c>
      <c r="C768" s="504" t="s">
        <v>1094</v>
      </c>
      <c r="D768" s="504" t="s">
        <v>3380</v>
      </c>
      <c r="E768" s="504" t="s">
        <v>3381</v>
      </c>
      <c r="F768" s="504" t="s">
        <v>471</v>
      </c>
      <c r="G768" s="504" t="s">
        <v>472</v>
      </c>
      <c r="H768" s="504" t="s">
        <v>4006</v>
      </c>
      <c r="I768" s="504">
        <v>41</v>
      </c>
      <c r="J768" s="504">
        <v>0</v>
      </c>
      <c r="K768" s="504">
        <v>0</v>
      </c>
      <c r="L768" s="504">
        <v>0</v>
      </c>
      <c r="M768" s="504">
        <v>41</v>
      </c>
      <c r="N768" s="504">
        <v>0</v>
      </c>
      <c r="O768" s="505">
        <v>0</v>
      </c>
    </row>
    <row r="769" spans="1:15" x14ac:dyDescent="0.35">
      <c r="A769" s="500" t="s">
        <v>1161</v>
      </c>
      <c r="B769" s="501" t="s">
        <v>3001</v>
      </c>
      <c r="C769" s="501" t="s">
        <v>1094</v>
      </c>
      <c r="D769" s="501" t="s">
        <v>3380</v>
      </c>
      <c r="E769" s="501" t="s">
        <v>3381</v>
      </c>
      <c r="F769" s="501" t="s">
        <v>471</v>
      </c>
      <c r="G769" s="501" t="s">
        <v>472</v>
      </c>
      <c r="H769" s="501" t="s">
        <v>4007</v>
      </c>
      <c r="I769" s="501">
        <v>5</v>
      </c>
      <c r="J769" s="501">
        <v>0</v>
      </c>
      <c r="K769" s="501">
        <v>0</v>
      </c>
      <c r="L769" s="501">
        <v>0</v>
      </c>
      <c r="M769" s="501">
        <v>0</v>
      </c>
      <c r="N769" s="501">
        <v>0</v>
      </c>
      <c r="O769" s="506">
        <v>5</v>
      </c>
    </row>
    <row r="770" spans="1:15" x14ac:dyDescent="0.35">
      <c r="A770" s="503" t="s">
        <v>1100</v>
      </c>
      <c r="B770" s="504">
        <v>4865</v>
      </c>
      <c r="C770" s="504" t="s">
        <v>1094</v>
      </c>
      <c r="D770" s="504" t="s">
        <v>3380</v>
      </c>
      <c r="E770" s="504" t="s">
        <v>3381</v>
      </c>
      <c r="F770" s="504" t="s">
        <v>471</v>
      </c>
      <c r="G770" s="504" t="s">
        <v>472</v>
      </c>
      <c r="H770" s="504" t="s">
        <v>4008</v>
      </c>
      <c r="I770" s="504">
        <v>261</v>
      </c>
      <c r="J770" s="504">
        <v>211</v>
      </c>
      <c r="K770" s="504">
        <v>0</v>
      </c>
      <c r="L770" s="504">
        <v>0</v>
      </c>
      <c r="M770" s="504">
        <v>0</v>
      </c>
      <c r="N770" s="504">
        <v>0</v>
      </c>
      <c r="O770" s="505">
        <v>50</v>
      </c>
    </row>
    <row r="771" spans="1:15" x14ac:dyDescent="0.35">
      <c r="A771" s="500" t="s">
        <v>1428</v>
      </c>
      <c r="B771" s="501">
        <v>4852</v>
      </c>
      <c r="C771" s="501" t="s">
        <v>1089</v>
      </c>
      <c r="D771" s="501" t="s">
        <v>3392</v>
      </c>
      <c r="E771" s="501" t="s">
        <v>3381</v>
      </c>
      <c r="F771" s="501" t="s">
        <v>471</v>
      </c>
      <c r="G771" s="501" t="s">
        <v>472</v>
      </c>
      <c r="H771" s="501" t="s">
        <v>11679</v>
      </c>
      <c r="I771" s="501">
        <v>4</v>
      </c>
      <c r="J771" s="501">
        <v>4</v>
      </c>
      <c r="K771" s="501">
        <v>0</v>
      </c>
      <c r="L771" s="501">
        <v>0</v>
      </c>
      <c r="M771" s="501">
        <v>0</v>
      </c>
      <c r="N771" s="501">
        <v>0</v>
      </c>
      <c r="O771" s="506">
        <v>0</v>
      </c>
    </row>
    <row r="772" spans="1:15" x14ac:dyDescent="0.35">
      <c r="A772" s="503" t="s">
        <v>1832</v>
      </c>
      <c r="B772" s="504">
        <v>4797</v>
      </c>
      <c r="C772" s="504" t="s">
        <v>1089</v>
      </c>
      <c r="D772" s="504" t="s">
        <v>3392</v>
      </c>
      <c r="E772" s="504" t="s">
        <v>3381</v>
      </c>
      <c r="F772" s="504" t="s">
        <v>471</v>
      </c>
      <c r="G772" s="504" t="s">
        <v>472</v>
      </c>
      <c r="H772" s="504" t="s">
        <v>11698</v>
      </c>
      <c r="I772" s="504">
        <v>5</v>
      </c>
      <c r="J772" s="504">
        <v>0</v>
      </c>
      <c r="K772" s="504">
        <v>0</v>
      </c>
      <c r="L772" s="504">
        <v>5</v>
      </c>
      <c r="M772" s="504">
        <v>0</v>
      </c>
      <c r="N772" s="504">
        <v>0</v>
      </c>
      <c r="O772" s="505">
        <v>0</v>
      </c>
    </row>
    <row r="773" spans="1:15" x14ac:dyDescent="0.35">
      <c r="A773" s="500" t="s">
        <v>1177</v>
      </c>
      <c r="B773" s="501">
        <v>4702</v>
      </c>
      <c r="C773" s="501" t="s">
        <v>1089</v>
      </c>
      <c r="D773" s="501" t="s">
        <v>3392</v>
      </c>
      <c r="E773" s="501" t="s">
        <v>3381</v>
      </c>
      <c r="F773" s="501" t="s">
        <v>471</v>
      </c>
      <c r="G773" s="501" t="s">
        <v>472</v>
      </c>
      <c r="H773" s="501" t="s">
        <v>4009</v>
      </c>
      <c r="I773" s="501">
        <v>2</v>
      </c>
      <c r="J773" s="501">
        <v>0</v>
      </c>
      <c r="K773" s="501">
        <v>0</v>
      </c>
      <c r="L773" s="501">
        <v>2</v>
      </c>
      <c r="M773" s="501">
        <v>0</v>
      </c>
      <c r="N773" s="501">
        <v>0</v>
      </c>
      <c r="O773" s="506">
        <v>0</v>
      </c>
    </row>
    <row r="774" spans="1:15" x14ac:dyDescent="0.35">
      <c r="A774" s="503" t="s">
        <v>1105</v>
      </c>
      <c r="B774" s="504">
        <v>4668</v>
      </c>
      <c r="C774" s="504" t="s">
        <v>1094</v>
      </c>
      <c r="D774" s="504" t="s">
        <v>3380</v>
      </c>
      <c r="E774" s="504" t="s">
        <v>3381</v>
      </c>
      <c r="F774" s="504" t="s">
        <v>471</v>
      </c>
      <c r="G774" s="504" t="s">
        <v>472</v>
      </c>
      <c r="H774" s="504" t="s">
        <v>4010</v>
      </c>
      <c r="I774" s="504">
        <v>38</v>
      </c>
      <c r="J774" s="504">
        <v>0</v>
      </c>
      <c r="K774" s="504">
        <v>0</v>
      </c>
      <c r="L774" s="504">
        <v>0</v>
      </c>
      <c r="M774" s="504">
        <v>0</v>
      </c>
      <c r="N774" s="504">
        <v>0</v>
      </c>
      <c r="O774" s="505">
        <v>38</v>
      </c>
    </row>
    <row r="775" spans="1:15" x14ac:dyDescent="0.35">
      <c r="A775" s="500" t="s">
        <v>1107</v>
      </c>
      <c r="B775" s="501" t="s">
        <v>3109</v>
      </c>
      <c r="C775" s="501" t="s">
        <v>1094</v>
      </c>
      <c r="D775" s="501" t="s">
        <v>3380</v>
      </c>
      <c r="E775" s="501" t="s">
        <v>3381</v>
      </c>
      <c r="F775" s="501" t="s">
        <v>471</v>
      </c>
      <c r="G775" s="501" t="s">
        <v>472</v>
      </c>
      <c r="H775" s="501" t="s">
        <v>4011</v>
      </c>
      <c r="I775" s="501">
        <v>273</v>
      </c>
      <c r="J775" s="501">
        <v>160</v>
      </c>
      <c r="K775" s="501">
        <v>0</v>
      </c>
      <c r="L775" s="501">
        <v>6</v>
      </c>
      <c r="M775" s="501">
        <v>0</v>
      </c>
      <c r="N775" s="501">
        <v>0</v>
      </c>
      <c r="O775" s="506">
        <v>107</v>
      </c>
    </row>
    <row r="776" spans="1:15" x14ac:dyDescent="0.35">
      <c r="A776" s="503" t="s">
        <v>1109</v>
      </c>
      <c r="B776" s="504" t="s">
        <v>2959</v>
      </c>
      <c r="C776" s="504" t="s">
        <v>1094</v>
      </c>
      <c r="D776" s="504" t="s">
        <v>3380</v>
      </c>
      <c r="E776" s="504" t="s">
        <v>3381</v>
      </c>
      <c r="F776" s="504" t="s">
        <v>471</v>
      </c>
      <c r="G776" s="504" t="s">
        <v>472</v>
      </c>
      <c r="H776" s="504" t="s">
        <v>4012</v>
      </c>
      <c r="I776" s="504">
        <v>69</v>
      </c>
      <c r="J776" s="504">
        <v>0</v>
      </c>
      <c r="K776" s="504">
        <v>0</v>
      </c>
      <c r="L776" s="504">
        <v>0</v>
      </c>
      <c r="M776" s="504">
        <v>69</v>
      </c>
      <c r="N776" s="504">
        <v>0</v>
      </c>
      <c r="O776" s="505">
        <v>0</v>
      </c>
    </row>
    <row r="777" spans="1:15" x14ac:dyDescent="0.35">
      <c r="A777" s="500" t="s">
        <v>1305</v>
      </c>
      <c r="B777" s="501" t="s">
        <v>3144</v>
      </c>
      <c r="C777" s="501" t="s">
        <v>1094</v>
      </c>
      <c r="D777" s="501" t="s">
        <v>3380</v>
      </c>
      <c r="E777" s="501" t="s">
        <v>3381</v>
      </c>
      <c r="F777" s="501" t="s">
        <v>471</v>
      </c>
      <c r="G777" s="501" t="s">
        <v>472</v>
      </c>
      <c r="H777" s="501" t="s">
        <v>4013</v>
      </c>
      <c r="I777" s="501">
        <v>35</v>
      </c>
      <c r="J777" s="501">
        <v>19</v>
      </c>
      <c r="K777" s="501">
        <v>0</v>
      </c>
      <c r="L777" s="501">
        <v>0</v>
      </c>
      <c r="M777" s="501">
        <v>0</v>
      </c>
      <c r="N777" s="501">
        <v>0</v>
      </c>
      <c r="O777" s="506">
        <v>16</v>
      </c>
    </row>
    <row r="778" spans="1:15" x14ac:dyDescent="0.35">
      <c r="A778" s="503" t="s">
        <v>1202</v>
      </c>
      <c r="B778" s="504" t="s">
        <v>3217</v>
      </c>
      <c r="C778" s="504" t="s">
        <v>1094</v>
      </c>
      <c r="D778" s="504" t="s">
        <v>3380</v>
      </c>
      <c r="E778" s="504" t="s">
        <v>3381</v>
      </c>
      <c r="F778" s="504" t="s">
        <v>471</v>
      </c>
      <c r="G778" s="504" t="s">
        <v>472</v>
      </c>
      <c r="H778" s="504" t="s">
        <v>4014</v>
      </c>
      <c r="I778" s="504">
        <v>351</v>
      </c>
      <c r="J778" s="504">
        <v>338</v>
      </c>
      <c r="K778" s="504">
        <v>0</v>
      </c>
      <c r="L778" s="504">
        <v>0</v>
      </c>
      <c r="M778" s="504">
        <v>0</v>
      </c>
      <c r="N778" s="504">
        <v>97</v>
      </c>
      <c r="O778" s="505">
        <v>13</v>
      </c>
    </row>
    <row r="779" spans="1:15" x14ac:dyDescent="0.35">
      <c r="A779" s="500" t="s">
        <v>1494</v>
      </c>
      <c r="B779" s="501" t="s">
        <v>3235</v>
      </c>
      <c r="C779" s="501" t="s">
        <v>1094</v>
      </c>
      <c r="D779" s="501" t="s">
        <v>3380</v>
      </c>
      <c r="E779" s="501" t="s">
        <v>3381</v>
      </c>
      <c r="F779" s="501" t="s">
        <v>471</v>
      </c>
      <c r="G779" s="501" t="s">
        <v>472</v>
      </c>
      <c r="H779" s="501" t="s">
        <v>4015</v>
      </c>
      <c r="I779" s="501">
        <v>83</v>
      </c>
      <c r="J779" s="501">
        <v>0</v>
      </c>
      <c r="K779" s="501">
        <v>0</v>
      </c>
      <c r="L779" s="501">
        <v>83</v>
      </c>
      <c r="M779" s="501">
        <v>0</v>
      </c>
      <c r="N779" s="501">
        <v>2</v>
      </c>
      <c r="O779" s="506">
        <v>0</v>
      </c>
    </row>
    <row r="780" spans="1:15" x14ac:dyDescent="0.35">
      <c r="A780" s="503" t="s">
        <v>1112</v>
      </c>
      <c r="B780" s="504" t="s">
        <v>3008</v>
      </c>
      <c r="C780" s="504" t="s">
        <v>1094</v>
      </c>
      <c r="D780" s="504" t="s">
        <v>3380</v>
      </c>
      <c r="E780" s="504" t="s">
        <v>3381</v>
      </c>
      <c r="F780" s="504" t="s">
        <v>471</v>
      </c>
      <c r="G780" s="504" t="s">
        <v>472</v>
      </c>
      <c r="H780" s="504" t="s">
        <v>4016</v>
      </c>
      <c r="I780" s="504">
        <v>646</v>
      </c>
      <c r="J780" s="504">
        <v>321</v>
      </c>
      <c r="K780" s="504">
        <v>0</v>
      </c>
      <c r="L780" s="504">
        <v>0</v>
      </c>
      <c r="M780" s="504">
        <v>0</v>
      </c>
      <c r="N780" s="504">
        <v>0</v>
      </c>
      <c r="O780" s="505">
        <v>325</v>
      </c>
    </row>
    <row r="781" spans="1:15" x14ac:dyDescent="0.35">
      <c r="A781" s="500" t="s">
        <v>1114</v>
      </c>
      <c r="B781" s="501" t="s">
        <v>2982</v>
      </c>
      <c r="C781" s="501" t="s">
        <v>1094</v>
      </c>
      <c r="D781" s="501" t="s">
        <v>3380</v>
      </c>
      <c r="E781" s="501" t="s">
        <v>3381</v>
      </c>
      <c r="F781" s="501" t="s">
        <v>471</v>
      </c>
      <c r="G781" s="501" t="s">
        <v>472</v>
      </c>
      <c r="H781" s="501" t="s">
        <v>4017</v>
      </c>
      <c r="I781" s="501">
        <v>2</v>
      </c>
      <c r="J781" s="501">
        <v>0</v>
      </c>
      <c r="K781" s="501">
        <v>0</v>
      </c>
      <c r="L781" s="501">
        <v>0</v>
      </c>
      <c r="M781" s="501">
        <v>0</v>
      </c>
      <c r="N781" s="501">
        <v>0</v>
      </c>
      <c r="O781" s="506">
        <v>2</v>
      </c>
    </row>
    <row r="782" spans="1:15" x14ac:dyDescent="0.35">
      <c r="A782" s="503" t="s">
        <v>1120</v>
      </c>
      <c r="B782" s="504" t="s">
        <v>3362</v>
      </c>
      <c r="C782" s="504" t="s">
        <v>1094</v>
      </c>
      <c r="D782" s="504" t="s">
        <v>3380</v>
      </c>
      <c r="E782" s="504" t="s">
        <v>3381</v>
      </c>
      <c r="F782" s="504" t="s">
        <v>471</v>
      </c>
      <c r="G782" s="504" t="s">
        <v>472</v>
      </c>
      <c r="H782" s="504" t="s">
        <v>4018</v>
      </c>
      <c r="I782" s="504">
        <v>2</v>
      </c>
      <c r="J782" s="504">
        <v>0</v>
      </c>
      <c r="K782" s="504">
        <v>0</v>
      </c>
      <c r="L782" s="504">
        <v>0</v>
      </c>
      <c r="M782" s="504">
        <v>0</v>
      </c>
      <c r="N782" s="504">
        <v>0</v>
      </c>
      <c r="O782" s="505">
        <v>2</v>
      </c>
    </row>
    <row r="783" spans="1:15" x14ac:dyDescent="0.35">
      <c r="A783" s="500" t="s">
        <v>1322</v>
      </c>
      <c r="B783" s="501" t="s">
        <v>3244</v>
      </c>
      <c r="C783" s="501" t="s">
        <v>1094</v>
      </c>
      <c r="D783" s="501" t="s">
        <v>3380</v>
      </c>
      <c r="E783" s="501" t="s">
        <v>3381</v>
      </c>
      <c r="F783" s="501" t="s">
        <v>471</v>
      </c>
      <c r="G783" s="501" t="s">
        <v>472</v>
      </c>
      <c r="H783" s="501" t="s">
        <v>4019</v>
      </c>
      <c r="I783" s="501">
        <v>32</v>
      </c>
      <c r="J783" s="501">
        <v>32</v>
      </c>
      <c r="K783" s="501">
        <v>0</v>
      </c>
      <c r="L783" s="501">
        <v>0</v>
      </c>
      <c r="M783" s="501">
        <v>0</v>
      </c>
      <c r="N783" s="501">
        <v>0</v>
      </c>
      <c r="O783" s="506">
        <v>0</v>
      </c>
    </row>
    <row r="784" spans="1:15" x14ac:dyDescent="0.35">
      <c r="A784" s="503" t="s">
        <v>1122</v>
      </c>
      <c r="B784" s="504" t="s">
        <v>2994</v>
      </c>
      <c r="C784" s="504" t="s">
        <v>1094</v>
      </c>
      <c r="D784" s="504" t="s">
        <v>3380</v>
      </c>
      <c r="E784" s="504" t="s">
        <v>3381</v>
      </c>
      <c r="F784" s="504" t="s">
        <v>471</v>
      </c>
      <c r="G784" s="504" t="s">
        <v>472</v>
      </c>
      <c r="H784" s="504" t="s">
        <v>4020</v>
      </c>
      <c r="I784" s="504">
        <v>1</v>
      </c>
      <c r="J784" s="504">
        <v>1</v>
      </c>
      <c r="K784" s="504">
        <v>0</v>
      </c>
      <c r="L784" s="504">
        <v>0</v>
      </c>
      <c r="M784" s="504">
        <v>0</v>
      </c>
      <c r="N784" s="504">
        <v>0</v>
      </c>
      <c r="O784" s="505">
        <v>0</v>
      </c>
    </row>
    <row r="785" spans="1:15" x14ac:dyDescent="0.35">
      <c r="A785" s="500" t="s">
        <v>1225</v>
      </c>
      <c r="B785" s="501" t="s">
        <v>3315</v>
      </c>
      <c r="C785" s="501" t="s">
        <v>1094</v>
      </c>
      <c r="D785" s="501" t="s">
        <v>3380</v>
      </c>
      <c r="E785" s="501" t="s">
        <v>3381</v>
      </c>
      <c r="F785" s="501" t="s">
        <v>471</v>
      </c>
      <c r="G785" s="501" t="s">
        <v>472</v>
      </c>
      <c r="H785" s="501" t="s">
        <v>4021</v>
      </c>
      <c r="I785" s="501">
        <v>7</v>
      </c>
      <c r="J785" s="501">
        <v>0</v>
      </c>
      <c r="K785" s="501">
        <v>0</v>
      </c>
      <c r="L785" s="501">
        <v>7</v>
      </c>
      <c r="M785" s="501">
        <v>0</v>
      </c>
      <c r="N785" s="501">
        <v>0</v>
      </c>
      <c r="O785" s="506">
        <v>0</v>
      </c>
    </row>
    <row r="786" spans="1:15" x14ac:dyDescent="0.35">
      <c r="A786" s="503" t="s">
        <v>1233</v>
      </c>
      <c r="B786" s="504">
        <v>4636</v>
      </c>
      <c r="C786" s="504" t="s">
        <v>1094</v>
      </c>
      <c r="D786" s="504" t="s">
        <v>3380</v>
      </c>
      <c r="E786" s="504" t="s">
        <v>3381</v>
      </c>
      <c r="F786" s="504" t="s">
        <v>471</v>
      </c>
      <c r="G786" s="504" t="s">
        <v>472</v>
      </c>
      <c r="H786" s="504" t="s">
        <v>4022</v>
      </c>
      <c r="I786" s="504">
        <v>8</v>
      </c>
      <c r="J786" s="504">
        <v>0</v>
      </c>
      <c r="K786" s="504">
        <v>0</v>
      </c>
      <c r="L786" s="504">
        <v>0</v>
      </c>
      <c r="M786" s="504">
        <v>0</v>
      </c>
      <c r="N786" s="504">
        <v>0</v>
      </c>
      <c r="O786" s="505">
        <v>8</v>
      </c>
    </row>
    <row r="787" spans="1:15" x14ac:dyDescent="0.35">
      <c r="A787" s="500" t="s">
        <v>11368</v>
      </c>
      <c r="B787" s="501">
        <v>5083</v>
      </c>
      <c r="C787" s="501" t="s">
        <v>1094</v>
      </c>
      <c r="D787" s="501" t="s">
        <v>3380</v>
      </c>
      <c r="E787" s="501" t="s">
        <v>3381</v>
      </c>
      <c r="F787" s="501" t="s">
        <v>471</v>
      </c>
      <c r="G787" s="501" t="s">
        <v>472</v>
      </c>
      <c r="H787" s="501" t="s">
        <v>12032</v>
      </c>
      <c r="I787" s="501">
        <v>21</v>
      </c>
      <c r="J787" s="501">
        <v>21</v>
      </c>
      <c r="K787" s="501">
        <v>0</v>
      </c>
      <c r="L787" s="501">
        <v>0</v>
      </c>
      <c r="M787" s="501">
        <v>0</v>
      </c>
      <c r="N787" s="501">
        <v>0</v>
      </c>
      <c r="O787" s="506">
        <v>0</v>
      </c>
    </row>
    <row r="788" spans="1:15" x14ac:dyDescent="0.35">
      <c r="A788" s="503" t="s">
        <v>1342</v>
      </c>
      <c r="B788" s="504" t="s">
        <v>3237</v>
      </c>
      <c r="C788" s="504" t="s">
        <v>1094</v>
      </c>
      <c r="D788" s="504" t="s">
        <v>3380</v>
      </c>
      <c r="E788" s="504" t="s">
        <v>3381</v>
      </c>
      <c r="F788" s="504" t="s">
        <v>471</v>
      </c>
      <c r="G788" s="504" t="s">
        <v>472</v>
      </c>
      <c r="H788" s="504" t="s">
        <v>4023</v>
      </c>
      <c r="I788" s="504">
        <v>1</v>
      </c>
      <c r="J788" s="504">
        <v>0</v>
      </c>
      <c r="K788" s="504">
        <v>0</v>
      </c>
      <c r="L788" s="504">
        <v>0</v>
      </c>
      <c r="M788" s="504">
        <v>0</v>
      </c>
      <c r="N788" s="504">
        <v>0</v>
      </c>
      <c r="O788" s="505">
        <v>1</v>
      </c>
    </row>
    <row r="789" spans="1:15" x14ac:dyDescent="0.35">
      <c r="A789" s="500" t="s">
        <v>1896</v>
      </c>
      <c r="B789" s="501" t="s">
        <v>3216</v>
      </c>
      <c r="C789" s="501" t="s">
        <v>1094</v>
      </c>
      <c r="D789" s="501" t="s">
        <v>3380</v>
      </c>
      <c r="E789" s="501" t="s">
        <v>3381</v>
      </c>
      <c r="F789" s="501" t="s">
        <v>471</v>
      </c>
      <c r="G789" s="501" t="s">
        <v>472</v>
      </c>
      <c r="H789" s="501" t="s">
        <v>4024</v>
      </c>
      <c r="I789" s="501">
        <v>6196</v>
      </c>
      <c r="J789" s="501">
        <v>5629</v>
      </c>
      <c r="K789" s="501">
        <v>0</v>
      </c>
      <c r="L789" s="501">
        <v>47</v>
      </c>
      <c r="M789" s="501">
        <v>350</v>
      </c>
      <c r="N789" s="501">
        <v>0</v>
      </c>
      <c r="O789" s="506">
        <v>170</v>
      </c>
    </row>
    <row r="790" spans="1:15" x14ac:dyDescent="0.35">
      <c r="A790" s="503" t="s">
        <v>1130</v>
      </c>
      <c r="B790" s="504" t="s">
        <v>3234</v>
      </c>
      <c r="C790" s="504" t="s">
        <v>1094</v>
      </c>
      <c r="D790" s="504" t="s">
        <v>3380</v>
      </c>
      <c r="E790" s="504" t="s">
        <v>3381</v>
      </c>
      <c r="F790" s="504" t="s">
        <v>471</v>
      </c>
      <c r="G790" s="504" t="s">
        <v>472</v>
      </c>
      <c r="H790" s="504" t="s">
        <v>4025</v>
      </c>
      <c r="I790" s="504">
        <v>422</v>
      </c>
      <c r="J790" s="504">
        <v>373</v>
      </c>
      <c r="K790" s="504">
        <v>0</v>
      </c>
      <c r="L790" s="504">
        <v>0</v>
      </c>
      <c r="M790" s="504">
        <v>39</v>
      </c>
      <c r="N790" s="504">
        <v>16</v>
      </c>
      <c r="O790" s="505">
        <v>10</v>
      </c>
    </row>
    <row r="791" spans="1:15" x14ac:dyDescent="0.35">
      <c r="A791" s="500" t="s">
        <v>1132</v>
      </c>
      <c r="B791" s="501">
        <v>4837</v>
      </c>
      <c r="C791" s="501" t="s">
        <v>1094</v>
      </c>
      <c r="D791" s="501" t="s">
        <v>3380</v>
      </c>
      <c r="E791" s="501" t="s">
        <v>3381</v>
      </c>
      <c r="F791" s="501" t="s">
        <v>471</v>
      </c>
      <c r="G791" s="501" t="s">
        <v>472</v>
      </c>
      <c r="H791" s="501" t="s">
        <v>4026</v>
      </c>
      <c r="I791" s="501">
        <v>67</v>
      </c>
      <c r="J791" s="501">
        <v>48</v>
      </c>
      <c r="K791" s="501">
        <v>0</v>
      </c>
      <c r="L791" s="501">
        <v>8</v>
      </c>
      <c r="M791" s="501">
        <v>0</v>
      </c>
      <c r="N791" s="501">
        <v>0</v>
      </c>
      <c r="O791" s="506">
        <v>11</v>
      </c>
    </row>
    <row r="792" spans="1:15" x14ac:dyDescent="0.35">
      <c r="A792" s="503" t="s">
        <v>1134</v>
      </c>
      <c r="B792" s="504" t="s">
        <v>3066</v>
      </c>
      <c r="C792" s="504" t="s">
        <v>1094</v>
      </c>
      <c r="D792" s="504" t="s">
        <v>3380</v>
      </c>
      <c r="E792" s="504" t="s">
        <v>3381</v>
      </c>
      <c r="F792" s="504" t="s">
        <v>471</v>
      </c>
      <c r="G792" s="504" t="s">
        <v>472</v>
      </c>
      <c r="H792" s="504" t="s">
        <v>4027</v>
      </c>
      <c r="I792" s="504">
        <v>48</v>
      </c>
      <c r="J792" s="504">
        <v>35</v>
      </c>
      <c r="K792" s="504">
        <v>0</v>
      </c>
      <c r="L792" s="504">
        <v>0</v>
      </c>
      <c r="M792" s="504">
        <v>0</v>
      </c>
      <c r="N792" s="504">
        <v>0</v>
      </c>
      <c r="O792" s="505">
        <v>13</v>
      </c>
    </row>
    <row r="793" spans="1:15" x14ac:dyDescent="0.35">
      <c r="A793" s="500" t="s">
        <v>1138</v>
      </c>
      <c r="B793" s="501" t="s">
        <v>2998</v>
      </c>
      <c r="C793" s="501" t="s">
        <v>1094</v>
      </c>
      <c r="D793" s="501" t="s">
        <v>3380</v>
      </c>
      <c r="E793" s="501" t="s">
        <v>3381</v>
      </c>
      <c r="F793" s="501" t="s">
        <v>471</v>
      </c>
      <c r="G793" s="501" t="s">
        <v>472</v>
      </c>
      <c r="H793" s="501" t="s">
        <v>4028</v>
      </c>
      <c r="I793" s="501">
        <v>26</v>
      </c>
      <c r="J793" s="501">
        <v>25</v>
      </c>
      <c r="K793" s="501">
        <v>0</v>
      </c>
      <c r="L793" s="501">
        <v>0</v>
      </c>
      <c r="M793" s="501">
        <v>0</v>
      </c>
      <c r="N793" s="501">
        <v>0</v>
      </c>
      <c r="O793" s="506">
        <v>1</v>
      </c>
    </row>
    <row r="794" spans="1:15" x14ac:dyDescent="0.35">
      <c r="A794" s="503" t="s">
        <v>1140</v>
      </c>
      <c r="B794" s="504">
        <v>4850</v>
      </c>
      <c r="C794" s="504" t="s">
        <v>1094</v>
      </c>
      <c r="D794" s="504" t="s">
        <v>3380</v>
      </c>
      <c r="E794" s="504" t="s">
        <v>3381</v>
      </c>
      <c r="F794" s="504" t="s">
        <v>471</v>
      </c>
      <c r="G794" s="504" t="s">
        <v>472</v>
      </c>
      <c r="H794" s="504" t="s">
        <v>4029</v>
      </c>
      <c r="I794" s="504">
        <v>21</v>
      </c>
      <c r="J794" s="504">
        <v>16</v>
      </c>
      <c r="K794" s="504">
        <v>0</v>
      </c>
      <c r="L794" s="504">
        <v>0</v>
      </c>
      <c r="M794" s="504">
        <v>0</v>
      </c>
      <c r="N794" s="504">
        <v>0</v>
      </c>
      <c r="O794" s="505">
        <v>5</v>
      </c>
    </row>
    <row r="795" spans="1:15" x14ac:dyDescent="0.35">
      <c r="A795" s="500" t="s">
        <v>1193</v>
      </c>
      <c r="B795" s="501" t="s">
        <v>3039</v>
      </c>
      <c r="C795" s="501" t="s">
        <v>1094</v>
      </c>
      <c r="D795" s="501" t="s">
        <v>3380</v>
      </c>
      <c r="E795" s="501" t="s">
        <v>3381</v>
      </c>
      <c r="F795" s="501" t="s">
        <v>473</v>
      </c>
      <c r="G795" s="501" t="s">
        <v>474</v>
      </c>
      <c r="H795" s="501" t="s">
        <v>4051</v>
      </c>
      <c r="I795" s="501">
        <v>42</v>
      </c>
      <c r="J795" s="501">
        <v>0</v>
      </c>
      <c r="K795" s="501">
        <v>0</v>
      </c>
      <c r="L795" s="501">
        <v>0</v>
      </c>
      <c r="M795" s="501">
        <v>42</v>
      </c>
      <c r="N795" s="501">
        <v>0</v>
      </c>
      <c r="O795" s="506">
        <v>0</v>
      </c>
    </row>
    <row r="796" spans="1:15" x14ac:dyDescent="0.35">
      <c r="A796" s="503" t="s">
        <v>2134</v>
      </c>
      <c r="B796" s="504">
        <v>5066</v>
      </c>
      <c r="C796" s="504" t="s">
        <v>1089</v>
      </c>
      <c r="D796" s="504" t="s">
        <v>3392</v>
      </c>
      <c r="E796" s="504" t="s">
        <v>3381</v>
      </c>
      <c r="F796" s="504" t="s">
        <v>473</v>
      </c>
      <c r="G796" s="504" t="s">
        <v>474</v>
      </c>
      <c r="H796" s="504" t="s">
        <v>4030</v>
      </c>
      <c r="I796" s="504">
        <v>131</v>
      </c>
      <c r="J796" s="504">
        <v>0</v>
      </c>
      <c r="K796" s="504">
        <v>0</v>
      </c>
      <c r="L796" s="504">
        <v>119</v>
      </c>
      <c r="M796" s="504">
        <v>12</v>
      </c>
      <c r="N796" s="504">
        <v>0</v>
      </c>
      <c r="O796" s="505">
        <v>0</v>
      </c>
    </row>
    <row r="797" spans="1:15" x14ac:dyDescent="0.35">
      <c r="A797" s="500" t="s">
        <v>1143</v>
      </c>
      <c r="B797" s="501" t="s">
        <v>3281</v>
      </c>
      <c r="C797" s="501" t="s">
        <v>1094</v>
      </c>
      <c r="D797" s="501" t="s">
        <v>3380</v>
      </c>
      <c r="E797" s="501" t="s">
        <v>3381</v>
      </c>
      <c r="F797" s="501" t="s">
        <v>473</v>
      </c>
      <c r="G797" s="501" t="s">
        <v>474</v>
      </c>
      <c r="H797" s="501" t="s">
        <v>4031</v>
      </c>
      <c r="I797" s="501">
        <v>2225</v>
      </c>
      <c r="J797" s="501">
        <v>1956</v>
      </c>
      <c r="K797" s="501">
        <v>0</v>
      </c>
      <c r="L797" s="501">
        <v>8</v>
      </c>
      <c r="M797" s="501">
        <v>191</v>
      </c>
      <c r="N797" s="501">
        <v>1</v>
      </c>
      <c r="O797" s="506">
        <v>70</v>
      </c>
    </row>
    <row r="798" spans="1:15" x14ac:dyDescent="0.35">
      <c r="A798" s="503" t="s">
        <v>1096</v>
      </c>
      <c r="B798" s="504" t="s">
        <v>3326</v>
      </c>
      <c r="C798" s="504" t="s">
        <v>1094</v>
      </c>
      <c r="D798" s="504" t="s">
        <v>3380</v>
      </c>
      <c r="E798" s="504" t="s">
        <v>3381</v>
      </c>
      <c r="F798" s="504" t="s">
        <v>473</v>
      </c>
      <c r="G798" s="504" t="s">
        <v>474</v>
      </c>
      <c r="H798" s="504" t="s">
        <v>4032</v>
      </c>
      <c r="I798" s="504">
        <v>1295</v>
      </c>
      <c r="J798" s="504">
        <v>0</v>
      </c>
      <c r="K798" s="504">
        <v>0</v>
      </c>
      <c r="L798" s="504">
        <v>0</v>
      </c>
      <c r="M798" s="504">
        <v>1197</v>
      </c>
      <c r="N798" s="504">
        <v>0</v>
      </c>
      <c r="O798" s="505">
        <v>98</v>
      </c>
    </row>
    <row r="799" spans="1:15" x14ac:dyDescent="0.35">
      <c r="A799" s="500" t="s">
        <v>1151</v>
      </c>
      <c r="B799" s="501">
        <v>4726</v>
      </c>
      <c r="C799" s="501" t="s">
        <v>1089</v>
      </c>
      <c r="D799" s="501" t="s">
        <v>3392</v>
      </c>
      <c r="E799" s="501" t="s">
        <v>3381</v>
      </c>
      <c r="F799" s="501" t="s">
        <v>473</v>
      </c>
      <c r="G799" s="501" t="s">
        <v>474</v>
      </c>
      <c r="H799" s="501" t="s">
        <v>4033</v>
      </c>
      <c r="I799" s="501">
        <v>8</v>
      </c>
      <c r="J799" s="501">
        <v>8</v>
      </c>
      <c r="K799" s="501">
        <v>0</v>
      </c>
      <c r="L799" s="501">
        <v>0</v>
      </c>
      <c r="M799" s="501">
        <v>0</v>
      </c>
      <c r="N799" s="501">
        <v>0</v>
      </c>
      <c r="O799" s="506">
        <v>0</v>
      </c>
    </row>
    <row r="800" spans="1:15" x14ac:dyDescent="0.35">
      <c r="A800" s="503" t="s">
        <v>11363</v>
      </c>
      <c r="B800" s="504">
        <v>4718</v>
      </c>
      <c r="C800" s="504" t="s">
        <v>1094</v>
      </c>
      <c r="D800" s="504" t="s">
        <v>3380</v>
      </c>
      <c r="E800" s="504" t="s">
        <v>3381</v>
      </c>
      <c r="F800" s="504" t="s">
        <v>473</v>
      </c>
      <c r="G800" s="504" t="s">
        <v>474</v>
      </c>
      <c r="H800" s="504" t="s">
        <v>11519</v>
      </c>
      <c r="I800" s="504">
        <v>106</v>
      </c>
      <c r="J800" s="504">
        <v>0</v>
      </c>
      <c r="K800" s="504">
        <v>0</v>
      </c>
      <c r="L800" s="504">
        <v>106</v>
      </c>
      <c r="M800" s="504">
        <v>0</v>
      </c>
      <c r="N800" s="504">
        <v>0</v>
      </c>
      <c r="O800" s="505">
        <v>0</v>
      </c>
    </row>
    <row r="801" spans="1:15" x14ac:dyDescent="0.35">
      <c r="A801" s="500" t="s">
        <v>2136</v>
      </c>
      <c r="B801" s="501">
        <v>4860</v>
      </c>
      <c r="C801" s="501" t="s">
        <v>1089</v>
      </c>
      <c r="D801" s="501" t="s">
        <v>3392</v>
      </c>
      <c r="E801" s="501" t="s">
        <v>3381</v>
      </c>
      <c r="F801" s="501" t="s">
        <v>473</v>
      </c>
      <c r="G801" s="501" t="s">
        <v>474</v>
      </c>
      <c r="H801" s="501" t="s">
        <v>4034</v>
      </c>
      <c r="I801" s="501">
        <v>75</v>
      </c>
      <c r="J801" s="501">
        <v>0</v>
      </c>
      <c r="K801" s="501">
        <v>0</v>
      </c>
      <c r="L801" s="501">
        <v>75</v>
      </c>
      <c r="M801" s="501">
        <v>0</v>
      </c>
      <c r="N801" s="501">
        <v>0</v>
      </c>
      <c r="O801" s="506">
        <v>0</v>
      </c>
    </row>
    <row r="802" spans="1:15" x14ac:dyDescent="0.35">
      <c r="A802" s="503" t="s">
        <v>14146</v>
      </c>
      <c r="B802" s="504">
        <v>5132</v>
      </c>
      <c r="C802" s="504" t="s">
        <v>1089</v>
      </c>
      <c r="D802" s="504" t="s">
        <v>3392</v>
      </c>
      <c r="E802" s="504" t="s">
        <v>3381</v>
      </c>
      <c r="F802" s="504" t="s">
        <v>473</v>
      </c>
      <c r="G802" s="504" t="s">
        <v>474</v>
      </c>
      <c r="H802" s="504" t="s">
        <v>14485</v>
      </c>
      <c r="I802" s="504">
        <v>10</v>
      </c>
      <c r="J802" s="504">
        <v>0</v>
      </c>
      <c r="K802" s="504">
        <v>0</v>
      </c>
      <c r="L802" s="504">
        <v>0</v>
      </c>
      <c r="M802" s="504">
        <v>10</v>
      </c>
      <c r="N802" s="504">
        <v>0</v>
      </c>
      <c r="O802" s="505">
        <v>0</v>
      </c>
    </row>
    <row r="803" spans="1:15" x14ac:dyDescent="0.35">
      <c r="A803" s="500" t="s">
        <v>2137</v>
      </c>
      <c r="B803" s="501">
        <v>4736</v>
      </c>
      <c r="C803" s="501" t="s">
        <v>1089</v>
      </c>
      <c r="D803" s="501" t="s">
        <v>3392</v>
      </c>
      <c r="E803" s="501" t="s">
        <v>3381</v>
      </c>
      <c r="F803" s="501" t="s">
        <v>473</v>
      </c>
      <c r="G803" s="501" t="s">
        <v>474</v>
      </c>
      <c r="H803" s="501" t="s">
        <v>14486</v>
      </c>
      <c r="I803" s="501">
        <v>1</v>
      </c>
      <c r="J803" s="501">
        <v>0</v>
      </c>
      <c r="K803" s="501">
        <v>1</v>
      </c>
      <c r="L803" s="501">
        <v>0</v>
      </c>
      <c r="M803" s="501">
        <v>0</v>
      </c>
      <c r="N803" s="501">
        <v>0</v>
      </c>
      <c r="O803" s="506">
        <v>0</v>
      </c>
    </row>
    <row r="804" spans="1:15" x14ac:dyDescent="0.35">
      <c r="A804" s="503" t="s">
        <v>1160</v>
      </c>
      <c r="B804" s="504">
        <v>4672</v>
      </c>
      <c r="C804" s="504" t="s">
        <v>1089</v>
      </c>
      <c r="D804" s="504" t="s">
        <v>3392</v>
      </c>
      <c r="E804" s="504" t="s">
        <v>3381</v>
      </c>
      <c r="F804" s="504" t="s">
        <v>473</v>
      </c>
      <c r="G804" s="504" t="s">
        <v>474</v>
      </c>
      <c r="H804" s="504" t="s">
        <v>4035</v>
      </c>
      <c r="I804" s="504">
        <v>51</v>
      </c>
      <c r="J804" s="504">
        <v>0</v>
      </c>
      <c r="K804" s="504">
        <v>0</v>
      </c>
      <c r="L804" s="504">
        <v>51</v>
      </c>
      <c r="M804" s="504">
        <v>0</v>
      </c>
      <c r="N804" s="504">
        <v>0</v>
      </c>
      <c r="O804" s="505">
        <v>0</v>
      </c>
    </row>
    <row r="805" spans="1:15" x14ac:dyDescent="0.35">
      <c r="A805" s="500" t="s">
        <v>1411</v>
      </c>
      <c r="B805" s="501" t="s">
        <v>2873</v>
      </c>
      <c r="C805" s="501" t="s">
        <v>1089</v>
      </c>
      <c r="D805" s="501" t="s">
        <v>3392</v>
      </c>
      <c r="E805" s="501" t="s">
        <v>3381</v>
      </c>
      <c r="F805" s="501" t="s">
        <v>473</v>
      </c>
      <c r="G805" s="501" t="s">
        <v>474</v>
      </c>
      <c r="H805" s="501" t="s">
        <v>4036</v>
      </c>
      <c r="I805" s="501">
        <v>25</v>
      </c>
      <c r="J805" s="501">
        <v>0</v>
      </c>
      <c r="K805" s="501">
        <v>0</v>
      </c>
      <c r="L805" s="501">
        <v>25</v>
      </c>
      <c r="M805" s="501">
        <v>0</v>
      </c>
      <c r="N805" s="501">
        <v>0</v>
      </c>
      <c r="O805" s="506">
        <v>0</v>
      </c>
    </row>
    <row r="806" spans="1:15" x14ac:dyDescent="0.35">
      <c r="A806" s="503" t="s">
        <v>11438</v>
      </c>
      <c r="B806" s="504" t="s">
        <v>2617</v>
      </c>
      <c r="C806" s="504" t="s">
        <v>1089</v>
      </c>
      <c r="D806" s="504" t="s">
        <v>3392</v>
      </c>
      <c r="E806" s="504" t="s">
        <v>3381</v>
      </c>
      <c r="F806" s="504" t="s">
        <v>473</v>
      </c>
      <c r="G806" s="504" t="s">
        <v>474</v>
      </c>
      <c r="H806" s="504" t="s">
        <v>11640</v>
      </c>
      <c r="I806" s="504">
        <v>7</v>
      </c>
      <c r="J806" s="504">
        <v>0</v>
      </c>
      <c r="K806" s="504">
        <v>0</v>
      </c>
      <c r="L806" s="504">
        <v>0</v>
      </c>
      <c r="M806" s="504">
        <v>7</v>
      </c>
      <c r="N806" s="504">
        <v>0</v>
      </c>
      <c r="O806" s="505">
        <v>0</v>
      </c>
    </row>
    <row r="807" spans="1:15" x14ac:dyDescent="0.35">
      <c r="A807" s="500" t="s">
        <v>2140</v>
      </c>
      <c r="B807" s="501">
        <v>4821</v>
      </c>
      <c r="C807" s="501" t="s">
        <v>1089</v>
      </c>
      <c r="D807" s="501" t="s">
        <v>3392</v>
      </c>
      <c r="E807" s="501" t="s">
        <v>3381</v>
      </c>
      <c r="F807" s="501" t="s">
        <v>473</v>
      </c>
      <c r="G807" s="501" t="s">
        <v>474</v>
      </c>
      <c r="H807" s="501" t="s">
        <v>4037</v>
      </c>
      <c r="I807" s="501">
        <v>352</v>
      </c>
      <c r="J807" s="501">
        <v>0</v>
      </c>
      <c r="K807" s="501">
        <v>0</v>
      </c>
      <c r="L807" s="501">
        <v>352</v>
      </c>
      <c r="M807" s="501">
        <v>0</v>
      </c>
      <c r="N807" s="501">
        <v>0</v>
      </c>
      <c r="O807" s="506">
        <v>0</v>
      </c>
    </row>
    <row r="808" spans="1:15" x14ac:dyDescent="0.35">
      <c r="A808" s="503" t="s">
        <v>1100</v>
      </c>
      <c r="B808" s="504">
        <v>4865</v>
      </c>
      <c r="C808" s="504" t="s">
        <v>1094</v>
      </c>
      <c r="D808" s="504" t="s">
        <v>3380</v>
      </c>
      <c r="E808" s="504" t="s">
        <v>3381</v>
      </c>
      <c r="F808" s="504" t="s">
        <v>473</v>
      </c>
      <c r="G808" s="504" t="s">
        <v>474</v>
      </c>
      <c r="H808" s="504" t="s">
        <v>4038</v>
      </c>
      <c r="I808" s="504">
        <v>628</v>
      </c>
      <c r="J808" s="504">
        <v>621</v>
      </c>
      <c r="K808" s="504">
        <v>0</v>
      </c>
      <c r="L808" s="504">
        <v>0</v>
      </c>
      <c r="M808" s="504">
        <v>0</v>
      </c>
      <c r="N808" s="504">
        <v>0</v>
      </c>
      <c r="O808" s="505">
        <v>7</v>
      </c>
    </row>
    <row r="809" spans="1:15" x14ac:dyDescent="0.35">
      <c r="A809" s="500" t="s">
        <v>2142</v>
      </c>
      <c r="B809" s="501" t="s">
        <v>3100</v>
      </c>
      <c r="C809" s="501" t="s">
        <v>1094</v>
      </c>
      <c r="D809" s="501" t="s">
        <v>3380</v>
      </c>
      <c r="E809" s="501" t="s">
        <v>3381</v>
      </c>
      <c r="F809" s="501" t="s">
        <v>473</v>
      </c>
      <c r="G809" s="501" t="s">
        <v>474</v>
      </c>
      <c r="H809" s="501" t="s">
        <v>14487</v>
      </c>
      <c r="I809" s="501">
        <v>20</v>
      </c>
      <c r="J809" s="501">
        <v>8</v>
      </c>
      <c r="K809" s="501">
        <v>0</v>
      </c>
      <c r="L809" s="501">
        <v>0</v>
      </c>
      <c r="M809" s="501">
        <v>0</v>
      </c>
      <c r="N809" s="501">
        <v>0</v>
      </c>
      <c r="O809" s="506">
        <v>12</v>
      </c>
    </row>
    <row r="810" spans="1:15" x14ac:dyDescent="0.35">
      <c r="A810" s="503" t="s">
        <v>1167</v>
      </c>
      <c r="B810" s="504">
        <v>4689</v>
      </c>
      <c r="C810" s="504" t="s">
        <v>1089</v>
      </c>
      <c r="D810" s="504" t="s">
        <v>3392</v>
      </c>
      <c r="E810" s="504" t="s">
        <v>3381</v>
      </c>
      <c r="F810" s="504" t="s">
        <v>473</v>
      </c>
      <c r="G810" s="504" t="s">
        <v>474</v>
      </c>
      <c r="H810" s="504" t="s">
        <v>4039</v>
      </c>
      <c r="I810" s="504">
        <v>14</v>
      </c>
      <c r="J810" s="504">
        <v>0</v>
      </c>
      <c r="K810" s="504">
        <v>0</v>
      </c>
      <c r="L810" s="504">
        <v>14</v>
      </c>
      <c r="M810" s="504">
        <v>0</v>
      </c>
      <c r="N810" s="504">
        <v>0</v>
      </c>
      <c r="O810" s="505">
        <v>0</v>
      </c>
    </row>
    <row r="811" spans="1:15" x14ac:dyDescent="0.35">
      <c r="A811" s="500" t="s">
        <v>1174</v>
      </c>
      <c r="B811" s="501">
        <v>4784</v>
      </c>
      <c r="C811" s="501" t="s">
        <v>1089</v>
      </c>
      <c r="D811" s="501" t="s">
        <v>3392</v>
      </c>
      <c r="E811" s="501" t="s">
        <v>3381</v>
      </c>
      <c r="F811" s="501" t="s">
        <v>473</v>
      </c>
      <c r="G811" s="501" t="s">
        <v>474</v>
      </c>
      <c r="H811" s="501" t="s">
        <v>4040</v>
      </c>
      <c r="I811" s="501">
        <v>25</v>
      </c>
      <c r="J811" s="501">
        <v>0</v>
      </c>
      <c r="K811" s="501">
        <v>0</v>
      </c>
      <c r="L811" s="501">
        <v>25</v>
      </c>
      <c r="M811" s="501">
        <v>0</v>
      </c>
      <c r="N811" s="501">
        <v>0</v>
      </c>
      <c r="O811" s="506">
        <v>0</v>
      </c>
    </row>
    <row r="812" spans="1:15" x14ac:dyDescent="0.35">
      <c r="A812" s="503" t="s">
        <v>2148</v>
      </c>
      <c r="B812" s="504" t="s">
        <v>2633</v>
      </c>
      <c r="C812" s="504" t="s">
        <v>1089</v>
      </c>
      <c r="D812" s="504" t="s">
        <v>3392</v>
      </c>
      <c r="E812" s="504" t="s">
        <v>3381</v>
      </c>
      <c r="F812" s="504" t="s">
        <v>473</v>
      </c>
      <c r="G812" s="504" t="s">
        <v>474</v>
      </c>
      <c r="H812" s="504" t="s">
        <v>4041</v>
      </c>
      <c r="I812" s="504">
        <v>8</v>
      </c>
      <c r="J812" s="504">
        <v>8</v>
      </c>
      <c r="K812" s="504">
        <v>0</v>
      </c>
      <c r="L812" s="504">
        <v>0</v>
      </c>
      <c r="M812" s="504">
        <v>0</v>
      </c>
      <c r="N812" s="504">
        <v>0</v>
      </c>
      <c r="O812" s="505">
        <v>0</v>
      </c>
    </row>
    <row r="813" spans="1:15" x14ac:dyDescent="0.35">
      <c r="A813" s="500" t="s">
        <v>1183</v>
      </c>
      <c r="B813" s="501" t="s">
        <v>3038</v>
      </c>
      <c r="C813" s="501" t="s">
        <v>1094</v>
      </c>
      <c r="D813" s="501" t="s">
        <v>3380</v>
      </c>
      <c r="E813" s="501" t="s">
        <v>3381</v>
      </c>
      <c r="F813" s="501" t="s">
        <v>473</v>
      </c>
      <c r="G813" s="501" t="s">
        <v>474</v>
      </c>
      <c r="H813" s="501" t="s">
        <v>4042</v>
      </c>
      <c r="I813" s="501">
        <v>30</v>
      </c>
      <c r="J813" s="501">
        <v>30</v>
      </c>
      <c r="K813" s="501">
        <v>0</v>
      </c>
      <c r="L813" s="501">
        <v>0</v>
      </c>
      <c r="M813" s="501">
        <v>0</v>
      </c>
      <c r="N813" s="501">
        <v>0</v>
      </c>
      <c r="O813" s="506">
        <v>0</v>
      </c>
    </row>
    <row r="814" spans="1:15" x14ac:dyDescent="0.35">
      <c r="A814" s="503" t="s">
        <v>1185</v>
      </c>
      <c r="B814" s="504" t="s">
        <v>3253</v>
      </c>
      <c r="C814" s="504" t="s">
        <v>1094</v>
      </c>
      <c r="D814" s="504" t="s">
        <v>3380</v>
      </c>
      <c r="E814" s="504" t="s">
        <v>3381</v>
      </c>
      <c r="F814" s="504" t="s">
        <v>473</v>
      </c>
      <c r="G814" s="504" t="s">
        <v>474</v>
      </c>
      <c r="H814" s="504" t="s">
        <v>4043</v>
      </c>
      <c r="I814" s="504">
        <v>104</v>
      </c>
      <c r="J814" s="504">
        <v>39</v>
      </c>
      <c r="K814" s="504">
        <v>0</v>
      </c>
      <c r="L814" s="504">
        <v>56</v>
      </c>
      <c r="M814" s="504">
        <v>9</v>
      </c>
      <c r="N814" s="504">
        <v>0</v>
      </c>
      <c r="O814" s="505">
        <v>0</v>
      </c>
    </row>
    <row r="815" spans="1:15" x14ac:dyDescent="0.35">
      <c r="A815" s="500" t="s">
        <v>1186</v>
      </c>
      <c r="B815" s="501">
        <v>4661</v>
      </c>
      <c r="C815" s="501" t="s">
        <v>1089</v>
      </c>
      <c r="D815" s="501" t="s">
        <v>3392</v>
      </c>
      <c r="E815" s="501" t="s">
        <v>3381</v>
      </c>
      <c r="F815" s="501" t="s">
        <v>473</v>
      </c>
      <c r="G815" s="501" t="s">
        <v>474</v>
      </c>
      <c r="H815" s="501" t="s">
        <v>4044</v>
      </c>
      <c r="I815" s="501">
        <v>5</v>
      </c>
      <c r="J815" s="501">
        <v>0</v>
      </c>
      <c r="K815" s="501">
        <v>0</v>
      </c>
      <c r="L815" s="501">
        <v>5</v>
      </c>
      <c r="M815" s="501">
        <v>0</v>
      </c>
      <c r="N815" s="501">
        <v>0</v>
      </c>
      <c r="O815" s="506">
        <v>0</v>
      </c>
    </row>
    <row r="816" spans="1:15" x14ac:dyDescent="0.35">
      <c r="A816" s="503" t="s">
        <v>1105</v>
      </c>
      <c r="B816" s="504">
        <v>4668</v>
      </c>
      <c r="C816" s="504" t="s">
        <v>1094</v>
      </c>
      <c r="D816" s="504" t="s">
        <v>3380</v>
      </c>
      <c r="E816" s="504" t="s">
        <v>3381</v>
      </c>
      <c r="F816" s="504" t="s">
        <v>473</v>
      </c>
      <c r="G816" s="504" t="s">
        <v>474</v>
      </c>
      <c r="H816" s="504" t="s">
        <v>4045</v>
      </c>
      <c r="I816" s="504">
        <v>14</v>
      </c>
      <c r="J816" s="504">
        <v>0</v>
      </c>
      <c r="K816" s="504">
        <v>0</v>
      </c>
      <c r="L816" s="504">
        <v>0</v>
      </c>
      <c r="M816" s="504">
        <v>0</v>
      </c>
      <c r="N816" s="504">
        <v>0</v>
      </c>
      <c r="O816" s="505">
        <v>14</v>
      </c>
    </row>
    <row r="817" spans="1:15" x14ac:dyDescent="0.35">
      <c r="A817" s="500" t="s">
        <v>1188</v>
      </c>
      <c r="B817" s="501">
        <v>4760</v>
      </c>
      <c r="C817" s="501" t="s">
        <v>1089</v>
      </c>
      <c r="D817" s="501" t="s">
        <v>3392</v>
      </c>
      <c r="E817" s="501" t="s">
        <v>3381</v>
      </c>
      <c r="F817" s="501" t="s">
        <v>473</v>
      </c>
      <c r="G817" s="501" t="s">
        <v>474</v>
      </c>
      <c r="H817" s="501" t="s">
        <v>11746</v>
      </c>
      <c r="I817" s="501">
        <v>56</v>
      </c>
      <c r="J817" s="501">
        <v>0</v>
      </c>
      <c r="K817" s="501">
        <v>0</v>
      </c>
      <c r="L817" s="501">
        <v>56</v>
      </c>
      <c r="M817" s="501">
        <v>0</v>
      </c>
      <c r="N817" s="501">
        <v>0</v>
      </c>
      <c r="O817" s="506">
        <v>0</v>
      </c>
    </row>
    <row r="818" spans="1:15" x14ac:dyDescent="0.35">
      <c r="A818" s="503" t="s">
        <v>1107</v>
      </c>
      <c r="B818" s="504" t="s">
        <v>3109</v>
      </c>
      <c r="C818" s="504" t="s">
        <v>1094</v>
      </c>
      <c r="D818" s="504" t="s">
        <v>3380</v>
      </c>
      <c r="E818" s="504" t="s">
        <v>3381</v>
      </c>
      <c r="F818" s="504" t="s">
        <v>473</v>
      </c>
      <c r="G818" s="504" t="s">
        <v>474</v>
      </c>
      <c r="H818" s="504" t="s">
        <v>4046</v>
      </c>
      <c r="I818" s="504">
        <v>817</v>
      </c>
      <c r="J818" s="504">
        <v>768</v>
      </c>
      <c r="K818" s="504">
        <v>0</v>
      </c>
      <c r="L818" s="504">
        <v>24</v>
      </c>
      <c r="M818" s="504">
        <v>0</v>
      </c>
      <c r="N818" s="504">
        <v>0</v>
      </c>
      <c r="O818" s="505">
        <v>25</v>
      </c>
    </row>
    <row r="819" spans="1:15" x14ac:dyDescent="0.35">
      <c r="A819" s="500" t="s">
        <v>1109</v>
      </c>
      <c r="B819" s="501" t="s">
        <v>2959</v>
      </c>
      <c r="C819" s="501" t="s">
        <v>1094</v>
      </c>
      <c r="D819" s="501" t="s">
        <v>3380</v>
      </c>
      <c r="E819" s="501" t="s">
        <v>3381</v>
      </c>
      <c r="F819" s="501" t="s">
        <v>473</v>
      </c>
      <c r="G819" s="501" t="s">
        <v>474</v>
      </c>
      <c r="H819" s="501" t="s">
        <v>4047</v>
      </c>
      <c r="I819" s="501">
        <v>471</v>
      </c>
      <c r="J819" s="501">
        <v>0</v>
      </c>
      <c r="K819" s="501">
        <v>0</v>
      </c>
      <c r="L819" s="501">
        <v>0</v>
      </c>
      <c r="M819" s="501">
        <v>465</v>
      </c>
      <c r="N819" s="501">
        <v>0</v>
      </c>
      <c r="O819" s="506">
        <v>6</v>
      </c>
    </row>
    <row r="820" spans="1:15" x14ac:dyDescent="0.35">
      <c r="A820" s="503" t="s">
        <v>1633</v>
      </c>
      <c r="B820" s="504">
        <v>4713</v>
      </c>
      <c r="C820" s="504" t="s">
        <v>1089</v>
      </c>
      <c r="D820" s="504" t="s">
        <v>3392</v>
      </c>
      <c r="E820" s="504" t="s">
        <v>3381</v>
      </c>
      <c r="F820" s="504" t="s">
        <v>473</v>
      </c>
      <c r="G820" s="504" t="s">
        <v>474</v>
      </c>
      <c r="H820" s="504" t="s">
        <v>4048</v>
      </c>
      <c r="I820" s="504">
        <v>14</v>
      </c>
      <c r="J820" s="504">
        <v>0</v>
      </c>
      <c r="K820" s="504">
        <v>0</v>
      </c>
      <c r="L820" s="504">
        <v>14</v>
      </c>
      <c r="M820" s="504">
        <v>0</v>
      </c>
      <c r="N820" s="504">
        <v>0</v>
      </c>
      <c r="O820" s="505">
        <v>0</v>
      </c>
    </row>
    <row r="821" spans="1:15" x14ac:dyDescent="0.35">
      <c r="A821" s="500" t="s">
        <v>1190</v>
      </c>
      <c r="B821" s="501">
        <v>4662</v>
      </c>
      <c r="C821" s="501" t="s">
        <v>1094</v>
      </c>
      <c r="D821" s="501" t="s">
        <v>3380</v>
      </c>
      <c r="E821" s="501" t="s">
        <v>3381</v>
      </c>
      <c r="F821" s="501" t="s">
        <v>473</v>
      </c>
      <c r="G821" s="501" t="s">
        <v>474</v>
      </c>
      <c r="H821" s="501" t="s">
        <v>4049</v>
      </c>
      <c r="I821" s="501">
        <v>43</v>
      </c>
      <c r="J821" s="501">
        <v>0</v>
      </c>
      <c r="K821" s="501">
        <v>0</v>
      </c>
      <c r="L821" s="501">
        <v>43</v>
      </c>
      <c r="M821" s="501">
        <v>0</v>
      </c>
      <c r="N821" s="501">
        <v>0</v>
      </c>
      <c r="O821" s="506">
        <v>0</v>
      </c>
    </row>
    <row r="822" spans="1:15" x14ac:dyDescent="0.35">
      <c r="A822" s="503" t="s">
        <v>2161</v>
      </c>
      <c r="B822" s="504" t="s">
        <v>3205</v>
      </c>
      <c r="C822" s="504" t="s">
        <v>1094</v>
      </c>
      <c r="D822" s="504" t="s">
        <v>3380</v>
      </c>
      <c r="E822" s="504" t="s">
        <v>3381</v>
      </c>
      <c r="F822" s="504" t="s">
        <v>473</v>
      </c>
      <c r="G822" s="504" t="s">
        <v>474</v>
      </c>
      <c r="H822" s="504" t="s">
        <v>4050</v>
      </c>
      <c r="I822" s="504">
        <v>19905</v>
      </c>
      <c r="J822" s="504">
        <v>19117</v>
      </c>
      <c r="K822" s="504">
        <v>0</v>
      </c>
      <c r="L822" s="504">
        <v>31</v>
      </c>
      <c r="M822" s="504">
        <v>670</v>
      </c>
      <c r="N822" s="504">
        <v>2</v>
      </c>
      <c r="O822" s="505">
        <v>87</v>
      </c>
    </row>
    <row r="823" spans="1:15" x14ac:dyDescent="0.35">
      <c r="A823" s="500" t="s">
        <v>1195</v>
      </c>
      <c r="B823" s="501">
        <v>4693</v>
      </c>
      <c r="C823" s="501" t="s">
        <v>1089</v>
      </c>
      <c r="D823" s="501" t="s">
        <v>3392</v>
      </c>
      <c r="E823" s="501" t="s">
        <v>3381</v>
      </c>
      <c r="F823" s="501" t="s">
        <v>473</v>
      </c>
      <c r="G823" s="501" t="s">
        <v>474</v>
      </c>
      <c r="H823" s="501" t="s">
        <v>4052</v>
      </c>
      <c r="I823" s="501">
        <v>41</v>
      </c>
      <c r="J823" s="501">
        <v>0</v>
      </c>
      <c r="K823" s="501">
        <v>0</v>
      </c>
      <c r="L823" s="501">
        <v>41</v>
      </c>
      <c r="M823" s="501">
        <v>0</v>
      </c>
      <c r="N823" s="501">
        <v>0</v>
      </c>
      <c r="O823" s="506">
        <v>0</v>
      </c>
    </row>
    <row r="824" spans="1:15" x14ac:dyDescent="0.35">
      <c r="A824" s="503" t="s">
        <v>1196</v>
      </c>
      <c r="B824" s="504" t="s">
        <v>3269</v>
      </c>
      <c r="C824" s="504" t="s">
        <v>1094</v>
      </c>
      <c r="D824" s="504" t="s">
        <v>3380</v>
      </c>
      <c r="E824" s="504" t="s">
        <v>3381</v>
      </c>
      <c r="F824" s="504" t="s">
        <v>473</v>
      </c>
      <c r="G824" s="504" t="s">
        <v>474</v>
      </c>
      <c r="H824" s="504" t="s">
        <v>14488</v>
      </c>
      <c r="I824" s="504">
        <v>12</v>
      </c>
      <c r="J824" s="504">
        <v>6</v>
      </c>
      <c r="K824" s="504">
        <v>0</v>
      </c>
      <c r="L824" s="504">
        <v>0</v>
      </c>
      <c r="M824" s="504">
        <v>0</v>
      </c>
      <c r="N824" s="504">
        <v>0</v>
      </c>
      <c r="O824" s="505">
        <v>6</v>
      </c>
    </row>
    <row r="825" spans="1:15" x14ac:dyDescent="0.35">
      <c r="A825" s="500" t="s">
        <v>2167</v>
      </c>
      <c r="B825" s="501" t="s">
        <v>3126</v>
      </c>
      <c r="C825" s="501" t="s">
        <v>1094</v>
      </c>
      <c r="D825" s="501" t="s">
        <v>3380</v>
      </c>
      <c r="E825" s="501" t="s">
        <v>3381</v>
      </c>
      <c r="F825" s="501" t="s">
        <v>473</v>
      </c>
      <c r="G825" s="501" t="s">
        <v>474</v>
      </c>
      <c r="H825" s="501" t="s">
        <v>4053</v>
      </c>
      <c r="I825" s="501">
        <v>1390</v>
      </c>
      <c r="J825" s="501">
        <v>1344</v>
      </c>
      <c r="K825" s="501">
        <v>0</v>
      </c>
      <c r="L825" s="501">
        <v>0</v>
      </c>
      <c r="M825" s="501">
        <v>0</v>
      </c>
      <c r="N825" s="501">
        <v>0</v>
      </c>
      <c r="O825" s="506">
        <v>46</v>
      </c>
    </row>
    <row r="826" spans="1:15" x14ac:dyDescent="0.35">
      <c r="A826" s="503" t="s">
        <v>1497</v>
      </c>
      <c r="B826" s="504" t="s">
        <v>3290</v>
      </c>
      <c r="C826" s="504" t="s">
        <v>1089</v>
      </c>
      <c r="D826" s="504" t="s">
        <v>3392</v>
      </c>
      <c r="E826" s="504" t="s">
        <v>3381</v>
      </c>
      <c r="F826" s="504" t="s">
        <v>473</v>
      </c>
      <c r="G826" s="504" t="s">
        <v>474</v>
      </c>
      <c r="H826" s="504" t="s">
        <v>4054</v>
      </c>
      <c r="I826" s="504">
        <v>46</v>
      </c>
      <c r="J826" s="504">
        <v>0</v>
      </c>
      <c r="K826" s="504">
        <v>0</v>
      </c>
      <c r="L826" s="504">
        <v>0</v>
      </c>
      <c r="M826" s="504">
        <v>46</v>
      </c>
      <c r="N826" s="504">
        <v>0</v>
      </c>
      <c r="O826" s="505">
        <v>0</v>
      </c>
    </row>
    <row r="827" spans="1:15" x14ac:dyDescent="0.35">
      <c r="A827" s="500" t="s">
        <v>1208</v>
      </c>
      <c r="B827" s="501" t="s">
        <v>3096</v>
      </c>
      <c r="C827" s="501" t="s">
        <v>1094</v>
      </c>
      <c r="D827" s="501" t="s">
        <v>3380</v>
      </c>
      <c r="E827" s="501" t="s">
        <v>3381</v>
      </c>
      <c r="F827" s="501" t="s">
        <v>473</v>
      </c>
      <c r="G827" s="501" t="s">
        <v>474</v>
      </c>
      <c r="H827" s="501" t="s">
        <v>4055</v>
      </c>
      <c r="I827" s="501">
        <v>48</v>
      </c>
      <c r="J827" s="501">
        <v>48</v>
      </c>
      <c r="K827" s="501">
        <v>0</v>
      </c>
      <c r="L827" s="501">
        <v>0</v>
      </c>
      <c r="M827" s="501">
        <v>0</v>
      </c>
      <c r="N827" s="501">
        <v>0</v>
      </c>
      <c r="O827" s="506">
        <v>0</v>
      </c>
    </row>
    <row r="828" spans="1:15" x14ac:dyDescent="0.35">
      <c r="A828" s="503" t="s">
        <v>1209</v>
      </c>
      <c r="B828" s="504">
        <v>4779</v>
      </c>
      <c r="C828" s="504" t="s">
        <v>1094</v>
      </c>
      <c r="D828" s="504" t="s">
        <v>3380</v>
      </c>
      <c r="E828" s="504" t="s">
        <v>3381</v>
      </c>
      <c r="F828" s="504" t="s">
        <v>473</v>
      </c>
      <c r="G828" s="504" t="s">
        <v>474</v>
      </c>
      <c r="H828" s="504" t="s">
        <v>4056</v>
      </c>
      <c r="I828" s="504">
        <v>39</v>
      </c>
      <c r="J828" s="504">
        <v>0</v>
      </c>
      <c r="K828" s="504">
        <v>0</v>
      </c>
      <c r="L828" s="504">
        <v>39</v>
      </c>
      <c r="M828" s="504">
        <v>0</v>
      </c>
      <c r="N828" s="504">
        <v>0</v>
      </c>
      <c r="O828" s="505">
        <v>0</v>
      </c>
    </row>
    <row r="829" spans="1:15" x14ac:dyDescent="0.35">
      <c r="A829" s="500" t="s">
        <v>1120</v>
      </c>
      <c r="B829" s="501" t="s">
        <v>3362</v>
      </c>
      <c r="C829" s="501" t="s">
        <v>1094</v>
      </c>
      <c r="D829" s="501" t="s">
        <v>3380</v>
      </c>
      <c r="E829" s="501" t="s">
        <v>3381</v>
      </c>
      <c r="F829" s="501" t="s">
        <v>473</v>
      </c>
      <c r="G829" s="501" t="s">
        <v>474</v>
      </c>
      <c r="H829" s="501" t="s">
        <v>4057</v>
      </c>
      <c r="I829" s="501">
        <v>1</v>
      </c>
      <c r="J829" s="501">
        <v>0</v>
      </c>
      <c r="K829" s="501">
        <v>0</v>
      </c>
      <c r="L829" s="501">
        <v>0</v>
      </c>
      <c r="M829" s="501">
        <v>0</v>
      </c>
      <c r="N829" s="501">
        <v>0</v>
      </c>
      <c r="O829" s="506">
        <v>1</v>
      </c>
    </row>
    <row r="830" spans="1:15" x14ac:dyDescent="0.35">
      <c r="A830" s="503" t="s">
        <v>1122</v>
      </c>
      <c r="B830" s="504" t="s">
        <v>2994</v>
      </c>
      <c r="C830" s="504" t="s">
        <v>1094</v>
      </c>
      <c r="D830" s="504" t="s">
        <v>3380</v>
      </c>
      <c r="E830" s="504" t="s">
        <v>3381</v>
      </c>
      <c r="F830" s="504" t="s">
        <v>473</v>
      </c>
      <c r="G830" s="504" t="s">
        <v>474</v>
      </c>
      <c r="H830" s="504" t="s">
        <v>4058</v>
      </c>
      <c r="I830" s="504">
        <v>1420</v>
      </c>
      <c r="J830" s="504">
        <v>1095</v>
      </c>
      <c r="K830" s="504">
        <v>0</v>
      </c>
      <c r="L830" s="504">
        <v>19</v>
      </c>
      <c r="M830" s="504">
        <v>30</v>
      </c>
      <c r="N830" s="504">
        <v>0</v>
      </c>
      <c r="O830" s="505">
        <v>276</v>
      </c>
    </row>
    <row r="831" spans="1:15" x14ac:dyDescent="0.35">
      <c r="A831" s="500" t="s">
        <v>1225</v>
      </c>
      <c r="B831" s="501" t="s">
        <v>3315</v>
      </c>
      <c r="C831" s="501" t="s">
        <v>1094</v>
      </c>
      <c r="D831" s="501" t="s">
        <v>3380</v>
      </c>
      <c r="E831" s="501" t="s">
        <v>3381</v>
      </c>
      <c r="F831" s="501" t="s">
        <v>473</v>
      </c>
      <c r="G831" s="501" t="s">
        <v>474</v>
      </c>
      <c r="H831" s="501" t="s">
        <v>4059</v>
      </c>
      <c r="I831" s="501">
        <v>66</v>
      </c>
      <c r="J831" s="501">
        <v>2</v>
      </c>
      <c r="K831" s="501">
        <v>0</v>
      </c>
      <c r="L831" s="501">
        <v>64</v>
      </c>
      <c r="M831" s="501">
        <v>0</v>
      </c>
      <c r="N831" s="501">
        <v>0</v>
      </c>
      <c r="O831" s="506">
        <v>0</v>
      </c>
    </row>
    <row r="832" spans="1:15" x14ac:dyDescent="0.35">
      <c r="A832" s="503" t="s">
        <v>1227</v>
      </c>
      <c r="B832" s="504">
        <v>4757</v>
      </c>
      <c r="C832" s="504" t="s">
        <v>1094</v>
      </c>
      <c r="D832" s="504" t="s">
        <v>3392</v>
      </c>
      <c r="E832" s="504" t="s">
        <v>3381</v>
      </c>
      <c r="F832" s="504" t="s">
        <v>473</v>
      </c>
      <c r="G832" s="504" t="s">
        <v>474</v>
      </c>
      <c r="H832" s="504" t="s">
        <v>4060</v>
      </c>
      <c r="I832" s="504">
        <v>69</v>
      </c>
      <c r="J832" s="504">
        <v>0</v>
      </c>
      <c r="K832" s="504">
        <v>0</v>
      </c>
      <c r="L832" s="504">
        <v>0</v>
      </c>
      <c r="M832" s="504">
        <v>69</v>
      </c>
      <c r="N832" s="504">
        <v>0</v>
      </c>
      <c r="O832" s="505">
        <v>0</v>
      </c>
    </row>
    <row r="833" spans="1:15" x14ac:dyDescent="0.35">
      <c r="A833" s="500" t="s">
        <v>1228</v>
      </c>
      <c r="B833" s="501" t="s">
        <v>3321</v>
      </c>
      <c r="C833" s="501" t="s">
        <v>1094</v>
      </c>
      <c r="D833" s="501" t="s">
        <v>3380</v>
      </c>
      <c r="E833" s="501" t="s">
        <v>3381</v>
      </c>
      <c r="F833" s="501" t="s">
        <v>473</v>
      </c>
      <c r="G833" s="501" t="s">
        <v>474</v>
      </c>
      <c r="H833" s="501" t="s">
        <v>4061</v>
      </c>
      <c r="I833" s="501">
        <v>23</v>
      </c>
      <c r="J833" s="501">
        <v>0</v>
      </c>
      <c r="K833" s="501">
        <v>0</v>
      </c>
      <c r="L833" s="501">
        <v>23</v>
      </c>
      <c r="M833" s="501">
        <v>0</v>
      </c>
      <c r="N833" s="501">
        <v>0</v>
      </c>
      <c r="O833" s="506">
        <v>0</v>
      </c>
    </row>
    <row r="834" spans="1:15" x14ac:dyDescent="0.35">
      <c r="A834" s="503" t="s">
        <v>1235</v>
      </c>
      <c r="B834" s="504">
        <v>4684</v>
      </c>
      <c r="C834" s="504" t="s">
        <v>1094</v>
      </c>
      <c r="D834" s="504" t="s">
        <v>3380</v>
      </c>
      <c r="E834" s="504" t="s">
        <v>3381</v>
      </c>
      <c r="F834" s="504" t="s">
        <v>473</v>
      </c>
      <c r="G834" s="504" t="s">
        <v>474</v>
      </c>
      <c r="H834" s="504" t="s">
        <v>12096</v>
      </c>
      <c r="I834" s="504">
        <v>86</v>
      </c>
      <c r="J834" s="504">
        <v>0</v>
      </c>
      <c r="K834" s="504">
        <v>0</v>
      </c>
      <c r="L834" s="504">
        <v>86</v>
      </c>
      <c r="M834" s="504">
        <v>0</v>
      </c>
      <c r="N834" s="504">
        <v>0</v>
      </c>
      <c r="O834" s="505">
        <v>0</v>
      </c>
    </row>
    <row r="835" spans="1:15" x14ac:dyDescent="0.35">
      <c r="A835" s="500" t="s">
        <v>1126</v>
      </c>
      <c r="B835" s="501" t="s">
        <v>2974</v>
      </c>
      <c r="C835" s="501" t="s">
        <v>1094</v>
      </c>
      <c r="D835" s="501" t="s">
        <v>3380</v>
      </c>
      <c r="E835" s="501" t="s">
        <v>3381</v>
      </c>
      <c r="F835" s="501" t="s">
        <v>473</v>
      </c>
      <c r="G835" s="501" t="s">
        <v>474</v>
      </c>
      <c r="H835" s="501" t="s">
        <v>4062</v>
      </c>
      <c r="I835" s="501">
        <v>75</v>
      </c>
      <c r="J835" s="501">
        <v>36</v>
      </c>
      <c r="K835" s="501">
        <v>0</v>
      </c>
      <c r="L835" s="501">
        <v>8</v>
      </c>
      <c r="M835" s="501">
        <v>0</v>
      </c>
      <c r="N835" s="501">
        <v>0</v>
      </c>
      <c r="O835" s="506">
        <v>31</v>
      </c>
    </row>
    <row r="836" spans="1:15" x14ac:dyDescent="0.35">
      <c r="A836" s="503" t="s">
        <v>1240</v>
      </c>
      <c r="B836" s="504" t="s">
        <v>2972</v>
      </c>
      <c r="C836" s="504" t="s">
        <v>1094</v>
      </c>
      <c r="D836" s="504" t="s">
        <v>3380</v>
      </c>
      <c r="E836" s="504" t="s">
        <v>3381</v>
      </c>
      <c r="F836" s="504" t="s">
        <v>473</v>
      </c>
      <c r="G836" s="504" t="s">
        <v>474</v>
      </c>
      <c r="H836" s="504" t="s">
        <v>4063</v>
      </c>
      <c r="I836" s="504">
        <v>5</v>
      </c>
      <c r="J836" s="504">
        <v>5</v>
      </c>
      <c r="K836" s="504">
        <v>0</v>
      </c>
      <c r="L836" s="504">
        <v>0</v>
      </c>
      <c r="M836" s="504">
        <v>0</v>
      </c>
      <c r="N836" s="504">
        <v>0</v>
      </c>
      <c r="O836" s="505">
        <v>0</v>
      </c>
    </row>
    <row r="837" spans="1:15" x14ac:dyDescent="0.35">
      <c r="A837" s="500" t="s">
        <v>1134</v>
      </c>
      <c r="B837" s="501" t="s">
        <v>3066</v>
      </c>
      <c r="C837" s="501" t="s">
        <v>1094</v>
      </c>
      <c r="D837" s="501" t="s">
        <v>3380</v>
      </c>
      <c r="E837" s="501" t="s">
        <v>3381</v>
      </c>
      <c r="F837" s="501" t="s">
        <v>473</v>
      </c>
      <c r="G837" s="501" t="s">
        <v>474</v>
      </c>
      <c r="H837" s="501" t="s">
        <v>12150</v>
      </c>
      <c r="I837" s="501">
        <v>49</v>
      </c>
      <c r="J837" s="501">
        <v>49</v>
      </c>
      <c r="K837" s="501">
        <v>0</v>
      </c>
      <c r="L837" s="501">
        <v>0</v>
      </c>
      <c r="M837" s="501">
        <v>0</v>
      </c>
      <c r="N837" s="501">
        <v>0</v>
      </c>
      <c r="O837" s="506">
        <v>0</v>
      </c>
    </row>
    <row r="838" spans="1:15" x14ac:dyDescent="0.35">
      <c r="A838" s="503" t="s">
        <v>1249</v>
      </c>
      <c r="B838" s="504">
        <v>4729</v>
      </c>
      <c r="C838" s="504" t="s">
        <v>1094</v>
      </c>
      <c r="D838" s="504" t="s">
        <v>3380</v>
      </c>
      <c r="E838" s="504" t="s">
        <v>3381</v>
      </c>
      <c r="F838" s="504" t="s">
        <v>473</v>
      </c>
      <c r="G838" s="504" t="s">
        <v>474</v>
      </c>
      <c r="H838" s="504" t="s">
        <v>4064</v>
      </c>
      <c r="I838" s="504">
        <v>1</v>
      </c>
      <c r="J838" s="504">
        <v>0</v>
      </c>
      <c r="K838" s="504">
        <v>0</v>
      </c>
      <c r="L838" s="504">
        <v>0</v>
      </c>
      <c r="M838" s="504">
        <v>0</v>
      </c>
      <c r="N838" s="504">
        <v>0</v>
      </c>
      <c r="O838" s="505">
        <v>1</v>
      </c>
    </row>
    <row r="839" spans="1:15" x14ac:dyDescent="0.35">
      <c r="A839" s="500" t="s">
        <v>1253</v>
      </c>
      <c r="B839" s="501" t="s">
        <v>3232</v>
      </c>
      <c r="C839" s="501" t="s">
        <v>1094</v>
      </c>
      <c r="D839" s="501" t="s">
        <v>3380</v>
      </c>
      <c r="E839" s="501" t="s">
        <v>3381</v>
      </c>
      <c r="F839" s="501" t="s">
        <v>473</v>
      </c>
      <c r="G839" s="501" t="s">
        <v>474</v>
      </c>
      <c r="H839" s="501" t="s">
        <v>4065</v>
      </c>
      <c r="I839" s="501">
        <v>83</v>
      </c>
      <c r="J839" s="501">
        <v>21</v>
      </c>
      <c r="K839" s="501">
        <v>0</v>
      </c>
      <c r="L839" s="501">
        <v>62</v>
      </c>
      <c r="M839" s="501">
        <v>0</v>
      </c>
      <c r="N839" s="501">
        <v>0</v>
      </c>
      <c r="O839" s="506">
        <v>0</v>
      </c>
    </row>
    <row r="840" spans="1:15" x14ac:dyDescent="0.35">
      <c r="A840" s="503" t="s">
        <v>1368</v>
      </c>
      <c r="B840" s="504" t="s">
        <v>3220</v>
      </c>
      <c r="C840" s="504" t="s">
        <v>1094</v>
      </c>
      <c r="D840" s="504" t="s">
        <v>3380</v>
      </c>
      <c r="E840" s="504" t="s">
        <v>3381</v>
      </c>
      <c r="F840" s="504" t="s">
        <v>473</v>
      </c>
      <c r="G840" s="504" t="s">
        <v>474</v>
      </c>
      <c r="H840" s="504" t="s">
        <v>14489</v>
      </c>
      <c r="I840" s="504">
        <v>2</v>
      </c>
      <c r="J840" s="504">
        <v>2</v>
      </c>
      <c r="K840" s="504">
        <v>0</v>
      </c>
      <c r="L840" s="504">
        <v>0</v>
      </c>
      <c r="M840" s="504">
        <v>0</v>
      </c>
      <c r="N840" s="504">
        <v>0</v>
      </c>
      <c r="O840" s="505">
        <v>0</v>
      </c>
    </row>
    <row r="841" spans="1:15" x14ac:dyDescent="0.35">
      <c r="A841" s="500" t="s">
        <v>1257</v>
      </c>
      <c r="B841" s="501" t="s">
        <v>3151</v>
      </c>
      <c r="C841" s="501" t="s">
        <v>1094</v>
      </c>
      <c r="D841" s="501" t="s">
        <v>3380</v>
      </c>
      <c r="E841" s="501" t="s">
        <v>3381</v>
      </c>
      <c r="F841" s="501" t="s">
        <v>473</v>
      </c>
      <c r="G841" s="501" t="s">
        <v>474</v>
      </c>
      <c r="H841" s="501" t="s">
        <v>4066</v>
      </c>
      <c r="I841" s="501">
        <v>12</v>
      </c>
      <c r="J841" s="501">
        <v>0</v>
      </c>
      <c r="K841" s="501">
        <v>0</v>
      </c>
      <c r="L841" s="501">
        <v>0</v>
      </c>
      <c r="M841" s="501">
        <v>0</v>
      </c>
      <c r="N841" s="501">
        <v>0</v>
      </c>
      <c r="O841" s="506">
        <v>12</v>
      </c>
    </row>
    <row r="842" spans="1:15" x14ac:dyDescent="0.35">
      <c r="A842" s="503" t="s">
        <v>2187</v>
      </c>
      <c r="B842" s="504" t="s">
        <v>3193</v>
      </c>
      <c r="C842" s="504" t="s">
        <v>1094</v>
      </c>
      <c r="D842" s="504" t="s">
        <v>3380</v>
      </c>
      <c r="E842" s="504" t="s">
        <v>3381</v>
      </c>
      <c r="F842" s="504" t="s">
        <v>473</v>
      </c>
      <c r="G842" s="504" t="s">
        <v>474</v>
      </c>
      <c r="H842" s="504" t="s">
        <v>4067</v>
      </c>
      <c r="I842" s="504">
        <v>15</v>
      </c>
      <c r="J842" s="504">
        <v>6</v>
      </c>
      <c r="K842" s="504">
        <v>0</v>
      </c>
      <c r="L842" s="504">
        <v>0</v>
      </c>
      <c r="M842" s="504">
        <v>0</v>
      </c>
      <c r="N842" s="504">
        <v>0</v>
      </c>
      <c r="O842" s="505">
        <v>9</v>
      </c>
    </row>
    <row r="843" spans="1:15" x14ac:dyDescent="0.35">
      <c r="A843" s="500" t="s">
        <v>1262</v>
      </c>
      <c r="B843" s="501">
        <v>4772</v>
      </c>
      <c r="C843" s="501" t="s">
        <v>1089</v>
      </c>
      <c r="D843" s="501" t="s">
        <v>3392</v>
      </c>
      <c r="E843" s="501" t="s">
        <v>3381</v>
      </c>
      <c r="F843" s="501" t="s">
        <v>473</v>
      </c>
      <c r="G843" s="501" t="s">
        <v>474</v>
      </c>
      <c r="H843" s="501" t="s">
        <v>4068</v>
      </c>
      <c r="I843" s="501">
        <v>38</v>
      </c>
      <c r="J843" s="501">
        <v>0</v>
      </c>
      <c r="K843" s="501">
        <v>0</v>
      </c>
      <c r="L843" s="501">
        <v>38</v>
      </c>
      <c r="M843" s="501">
        <v>0</v>
      </c>
      <c r="N843" s="501">
        <v>0</v>
      </c>
      <c r="O843" s="506">
        <v>0</v>
      </c>
    </row>
    <row r="844" spans="1:15" x14ac:dyDescent="0.35">
      <c r="A844" s="503" t="s">
        <v>1789</v>
      </c>
      <c r="B844" s="504" t="s">
        <v>3219</v>
      </c>
      <c r="C844" s="504" t="s">
        <v>1094</v>
      </c>
      <c r="D844" s="504" t="s">
        <v>3380</v>
      </c>
      <c r="E844" s="504" t="s">
        <v>3381</v>
      </c>
      <c r="F844" s="504" t="s">
        <v>473</v>
      </c>
      <c r="G844" s="504" t="s">
        <v>474</v>
      </c>
      <c r="H844" s="504" t="s">
        <v>4069</v>
      </c>
      <c r="I844" s="504">
        <v>2174</v>
      </c>
      <c r="J844" s="504">
        <v>1866</v>
      </c>
      <c r="K844" s="504">
        <v>0</v>
      </c>
      <c r="L844" s="504">
        <v>177</v>
      </c>
      <c r="M844" s="504">
        <v>70</v>
      </c>
      <c r="N844" s="504">
        <v>0</v>
      </c>
      <c r="O844" s="505">
        <v>61</v>
      </c>
    </row>
    <row r="845" spans="1:15" x14ac:dyDescent="0.35">
      <c r="A845" s="500" t="s">
        <v>1266</v>
      </c>
      <c r="B845" s="501" t="s">
        <v>3071</v>
      </c>
      <c r="C845" s="501" t="s">
        <v>1094</v>
      </c>
      <c r="D845" s="501" t="s">
        <v>3380</v>
      </c>
      <c r="E845" s="501" t="s">
        <v>3381</v>
      </c>
      <c r="F845" s="501" t="s">
        <v>473</v>
      </c>
      <c r="G845" s="501" t="s">
        <v>474</v>
      </c>
      <c r="H845" s="501" t="s">
        <v>4070</v>
      </c>
      <c r="I845" s="501">
        <v>159</v>
      </c>
      <c r="J845" s="501">
        <v>93</v>
      </c>
      <c r="K845" s="501">
        <v>0</v>
      </c>
      <c r="L845" s="501">
        <v>0</v>
      </c>
      <c r="M845" s="501">
        <v>33</v>
      </c>
      <c r="N845" s="501">
        <v>0</v>
      </c>
      <c r="O845" s="506">
        <v>33</v>
      </c>
    </row>
    <row r="846" spans="1:15" x14ac:dyDescent="0.35">
      <c r="A846" s="503" t="s">
        <v>1267</v>
      </c>
      <c r="B846" s="504" t="s">
        <v>2842</v>
      </c>
      <c r="C846" s="504" t="s">
        <v>1089</v>
      </c>
      <c r="D846" s="504" t="s">
        <v>3392</v>
      </c>
      <c r="E846" s="504" t="s">
        <v>3381</v>
      </c>
      <c r="F846" s="504" t="s">
        <v>475</v>
      </c>
      <c r="G846" s="504" t="s">
        <v>476</v>
      </c>
      <c r="H846" s="504" t="s">
        <v>4071</v>
      </c>
      <c r="I846" s="504">
        <v>103</v>
      </c>
      <c r="J846" s="504">
        <v>0</v>
      </c>
      <c r="K846" s="504">
        <v>0</v>
      </c>
      <c r="L846" s="504">
        <v>0</v>
      </c>
      <c r="M846" s="504">
        <v>103</v>
      </c>
      <c r="N846" s="504">
        <v>0</v>
      </c>
      <c r="O846" s="505">
        <v>0</v>
      </c>
    </row>
    <row r="847" spans="1:15" x14ac:dyDescent="0.35">
      <c r="A847" s="500" t="s">
        <v>1096</v>
      </c>
      <c r="B847" s="501" t="s">
        <v>3326</v>
      </c>
      <c r="C847" s="501" t="s">
        <v>1094</v>
      </c>
      <c r="D847" s="501" t="s">
        <v>3380</v>
      </c>
      <c r="E847" s="501" t="s">
        <v>3381</v>
      </c>
      <c r="F847" s="501" t="s">
        <v>475</v>
      </c>
      <c r="G847" s="501" t="s">
        <v>476</v>
      </c>
      <c r="H847" s="501" t="s">
        <v>4072</v>
      </c>
      <c r="I847" s="501">
        <v>136</v>
      </c>
      <c r="J847" s="501">
        <v>0</v>
      </c>
      <c r="K847" s="501">
        <v>0</v>
      </c>
      <c r="L847" s="501">
        <v>0</v>
      </c>
      <c r="M847" s="501">
        <v>136</v>
      </c>
      <c r="N847" s="501">
        <v>0</v>
      </c>
      <c r="O847" s="506">
        <v>0</v>
      </c>
    </row>
    <row r="848" spans="1:15" x14ac:dyDescent="0.35">
      <c r="A848" s="503" t="s">
        <v>1279</v>
      </c>
      <c r="B848" s="504" t="s">
        <v>2627</v>
      </c>
      <c r="C848" s="504" t="s">
        <v>1089</v>
      </c>
      <c r="D848" s="504" t="s">
        <v>3392</v>
      </c>
      <c r="E848" s="504" t="s">
        <v>3381</v>
      </c>
      <c r="F848" s="504" t="s">
        <v>475</v>
      </c>
      <c r="G848" s="504" t="s">
        <v>476</v>
      </c>
      <c r="H848" s="504" t="s">
        <v>4073</v>
      </c>
      <c r="I848" s="504">
        <v>28</v>
      </c>
      <c r="J848" s="504">
        <v>0</v>
      </c>
      <c r="K848" s="504">
        <v>0</v>
      </c>
      <c r="L848" s="504">
        <v>28</v>
      </c>
      <c r="M848" s="504">
        <v>0</v>
      </c>
      <c r="N848" s="504">
        <v>0</v>
      </c>
      <c r="O848" s="505">
        <v>0</v>
      </c>
    </row>
    <row r="849" spans="1:15" x14ac:dyDescent="0.35">
      <c r="A849" s="500" t="s">
        <v>1283</v>
      </c>
      <c r="B849" s="501" t="s">
        <v>3177</v>
      </c>
      <c r="C849" s="501" t="s">
        <v>1094</v>
      </c>
      <c r="D849" s="501" t="s">
        <v>3380</v>
      </c>
      <c r="E849" s="501" t="s">
        <v>3381</v>
      </c>
      <c r="F849" s="501" t="s">
        <v>475</v>
      </c>
      <c r="G849" s="501" t="s">
        <v>476</v>
      </c>
      <c r="H849" s="501" t="s">
        <v>4074</v>
      </c>
      <c r="I849" s="501">
        <v>323</v>
      </c>
      <c r="J849" s="501">
        <v>271</v>
      </c>
      <c r="K849" s="501">
        <v>0</v>
      </c>
      <c r="L849" s="501">
        <v>0</v>
      </c>
      <c r="M849" s="501">
        <v>0</v>
      </c>
      <c r="N849" s="501">
        <v>0</v>
      </c>
      <c r="O849" s="506">
        <v>52</v>
      </c>
    </row>
    <row r="850" spans="1:15" x14ac:dyDescent="0.35">
      <c r="A850" s="503" t="s">
        <v>1100</v>
      </c>
      <c r="B850" s="504">
        <v>4865</v>
      </c>
      <c r="C850" s="504" t="s">
        <v>1094</v>
      </c>
      <c r="D850" s="504" t="s">
        <v>3380</v>
      </c>
      <c r="E850" s="504" t="s">
        <v>3381</v>
      </c>
      <c r="F850" s="504" t="s">
        <v>475</v>
      </c>
      <c r="G850" s="504" t="s">
        <v>476</v>
      </c>
      <c r="H850" s="504" t="s">
        <v>4075</v>
      </c>
      <c r="I850" s="504">
        <v>658</v>
      </c>
      <c r="J850" s="504">
        <v>551</v>
      </c>
      <c r="K850" s="504">
        <v>0</v>
      </c>
      <c r="L850" s="504">
        <v>14</v>
      </c>
      <c r="M850" s="504">
        <v>11</v>
      </c>
      <c r="N850" s="504">
        <v>0</v>
      </c>
      <c r="O850" s="505">
        <v>82</v>
      </c>
    </row>
    <row r="851" spans="1:15" x14ac:dyDescent="0.35">
      <c r="A851" s="500" t="s">
        <v>1292</v>
      </c>
      <c r="B851" s="501" t="s">
        <v>2536</v>
      </c>
      <c r="C851" s="501" t="s">
        <v>1089</v>
      </c>
      <c r="D851" s="501" t="s">
        <v>3392</v>
      </c>
      <c r="E851" s="501" t="s">
        <v>3381</v>
      </c>
      <c r="F851" s="501" t="s">
        <v>475</v>
      </c>
      <c r="G851" s="501" t="s">
        <v>476</v>
      </c>
      <c r="H851" s="501" t="s">
        <v>4076</v>
      </c>
      <c r="I851" s="501">
        <v>8</v>
      </c>
      <c r="J851" s="501">
        <v>8</v>
      </c>
      <c r="K851" s="501">
        <v>0</v>
      </c>
      <c r="L851" s="501">
        <v>0</v>
      </c>
      <c r="M851" s="501">
        <v>0</v>
      </c>
      <c r="N851" s="501">
        <v>0</v>
      </c>
      <c r="O851" s="506">
        <v>0</v>
      </c>
    </row>
    <row r="852" spans="1:15" x14ac:dyDescent="0.35">
      <c r="A852" s="503" t="s">
        <v>1293</v>
      </c>
      <c r="B852" s="504" t="s">
        <v>3212</v>
      </c>
      <c r="C852" s="504" t="s">
        <v>1094</v>
      </c>
      <c r="D852" s="504" t="s">
        <v>3380</v>
      </c>
      <c r="E852" s="504" t="s">
        <v>3381</v>
      </c>
      <c r="F852" s="504" t="s">
        <v>475</v>
      </c>
      <c r="G852" s="504" t="s">
        <v>476</v>
      </c>
      <c r="H852" s="504" t="s">
        <v>4077</v>
      </c>
      <c r="I852" s="504">
        <v>8504</v>
      </c>
      <c r="J852" s="504">
        <v>7869</v>
      </c>
      <c r="K852" s="504">
        <v>0</v>
      </c>
      <c r="L852" s="504">
        <v>19</v>
      </c>
      <c r="M852" s="504">
        <v>410</v>
      </c>
      <c r="N852" s="504">
        <v>0</v>
      </c>
      <c r="O852" s="505">
        <v>206</v>
      </c>
    </row>
    <row r="853" spans="1:15" x14ac:dyDescent="0.35">
      <c r="A853" s="500" t="s">
        <v>1175</v>
      </c>
      <c r="B853" s="501" t="s">
        <v>3141</v>
      </c>
      <c r="C853" s="501" t="s">
        <v>1094</v>
      </c>
      <c r="D853" s="501" t="s">
        <v>3380</v>
      </c>
      <c r="E853" s="501" t="s">
        <v>3381</v>
      </c>
      <c r="F853" s="501" t="s">
        <v>475</v>
      </c>
      <c r="G853" s="501" t="s">
        <v>476</v>
      </c>
      <c r="H853" s="501" t="s">
        <v>4078</v>
      </c>
      <c r="I853" s="501">
        <v>12</v>
      </c>
      <c r="J853" s="501">
        <v>11</v>
      </c>
      <c r="K853" s="501">
        <v>0</v>
      </c>
      <c r="L853" s="501">
        <v>0</v>
      </c>
      <c r="M853" s="501">
        <v>0</v>
      </c>
      <c r="N853" s="501">
        <v>0</v>
      </c>
      <c r="O853" s="506">
        <v>1</v>
      </c>
    </row>
    <row r="854" spans="1:15" x14ac:dyDescent="0.35">
      <c r="A854" s="503" t="s">
        <v>1294</v>
      </c>
      <c r="B854" s="504" t="s">
        <v>3114</v>
      </c>
      <c r="C854" s="504" t="s">
        <v>1094</v>
      </c>
      <c r="D854" s="504" t="s">
        <v>3380</v>
      </c>
      <c r="E854" s="504" t="s">
        <v>3381</v>
      </c>
      <c r="F854" s="504" t="s">
        <v>475</v>
      </c>
      <c r="G854" s="504" t="s">
        <v>476</v>
      </c>
      <c r="H854" s="504" t="s">
        <v>4079</v>
      </c>
      <c r="I854" s="504">
        <v>33</v>
      </c>
      <c r="J854" s="504">
        <v>29</v>
      </c>
      <c r="K854" s="504">
        <v>0</v>
      </c>
      <c r="L854" s="504">
        <v>0</v>
      </c>
      <c r="M854" s="504">
        <v>0</v>
      </c>
      <c r="N854" s="504">
        <v>0</v>
      </c>
      <c r="O854" s="505">
        <v>4</v>
      </c>
    </row>
    <row r="855" spans="1:15" x14ac:dyDescent="0.35">
      <c r="A855" s="500" t="s">
        <v>1296</v>
      </c>
      <c r="B855" s="501">
        <v>4651</v>
      </c>
      <c r="C855" s="501" t="s">
        <v>1094</v>
      </c>
      <c r="D855" s="501" t="s">
        <v>3380</v>
      </c>
      <c r="E855" s="501" t="s">
        <v>3381</v>
      </c>
      <c r="F855" s="501" t="s">
        <v>475</v>
      </c>
      <c r="G855" s="501" t="s">
        <v>476</v>
      </c>
      <c r="H855" s="501" t="s">
        <v>4080</v>
      </c>
      <c r="I855" s="501">
        <v>458</v>
      </c>
      <c r="J855" s="501">
        <v>395</v>
      </c>
      <c r="K855" s="501">
        <v>0</v>
      </c>
      <c r="L855" s="501">
        <v>8</v>
      </c>
      <c r="M855" s="501">
        <v>0</v>
      </c>
      <c r="N855" s="501">
        <v>0</v>
      </c>
      <c r="O855" s="506">
        <v>55</v>
      </c>
    </row>
    <row r="856" spans="1:15" x14ac:dyDescent="0.35">
      <c r="A856" s="503" t="s">
        <v>14208</v>
      </c>
      <c r="B856" s="504">
        <v>4803</v>
      </c>
      <c r="C856" s="504" t="s">
        <v>1094</v>
      </c>
      <c r="D856" s="504" t="s">
        <v>3380</v>
      </c>
      <c r="E856" s="504" t="s">
        <v>3381</v>
      </c>
      <c r="F856" s="504" t="s">
        <v>475</v>
      </c>
      <c r="G856" s="504" t="s">
        <v>476</v>
      </c>
      <c r="H856" s="504" t="s">
        <v>14490</v>
      </c>
      <c r="I856" s="504">
        <v>1</v>
      </c>
      <c r="J856" s="504">
        <v>0</v>
      </c>
      <c r="K856" s="504">
        <v>0</v>
      </c>
      <c r="L856" s="504">
        <v>1</v>
      </c>
      <c r="M856" s="504">
        <v>0</v>
      </c>
      <c r="N856" s="504">
        <v>0</v>
      </c>
      <c r="O856" s="505">
        <v>0</v>
      </c>
    </row>
    <row r="857" spans="1:15" x14ac:dyDescent="0.35">
      <c r="A857" s="500" t="s">
        <v>1185</v>
      </c>
      <c r="B857" s="501" t="s">
        <v>3253</v>
      </c>
      <c r="C857" s="501" t="s">
        <v>1094</v>
      </c>
      <c r="D857" s="501" t="s">
        <v>3380</v>
      </c>
      <c r="E857" s="501" t="s">
        <v>3381</v>
      </c>
      <c r="F857" s="501" t="s">
        <v>475</v>
      </c>
      <c r="G857" s="501" t="s">
        <v>476</v>
      </c>
      <c r="H857" s="501" t="s">
        <v>4081</v>
      </c>
      <c r="I857" s="501">
        <v>22</v>
      </c>
      <c r="J857" s="501">
        <v>6</v>
      </c>
      <c r="K857" s="501">
        <v>0</v>
      </c>
      <c r="L857" s="501">
        <v>8</v>
      </c>
      <c r="M857" s="501">
        <v>8</v>
      </c>
      <c r="N857" s="501">
        <v>0</v>
      </c>
      <c r="O857" s="506">
        <v>0</v>
      </c>
    </row>
    <row r="858" spans="1:15" x14ac:dyDescent="0.35">
      <c r="A858" s="503" t="s">
        <v>1187</v>
      </c>
      <c r="B858" s="504" t="s">
        <v>2951</v>
      </c>
      <c r="C858" s="504" t="s">
        <v>1094</v>
      </c>
      <c r="D858" s="504" t="s">
        <v>3380</v>
      </c>
      <c r="E858" s="504" t="s">
        <v>3381</v>
      </c>
      <c r="F858" s="504" t="s">
        <v>475</v>
      </c>
      <c r="G858" s="504" t="s">
        <v>476</v>
      </c>
      <c r="H858" s="504" t="s">
        <v>4082</v>
      </c>
      <c r="I858" s="504">
        <v>47</v>
      </c>
      <c r="J858" s="504">
        <v>42</v>
      </c>
      <c r="K858" s="504">
        <v>0</v>
      </c>
      <c r="L858" s="504">
        <v>0</v>
      </c>
      <c r="M858" s="504">
        <v>0</v>
      </c>
      <c r="N858" s="504">
        <v>0</v>
      </c>
      <c r="O858" s="505">
        <v>5</v>
      </c>
    </row>
    <row r="859" spans="1:15" x14ac:dyDescent="0.35">
      <c r="A859" s="500" t="s">
        <v>1105</v>
      </c>
      <c r="B859" s="501">
        <v>4668</v>
      </c>
      <c r="C859" s="501" t="s">
        <v>1094</v>
      </c>
      <c r="D859" s="501" t="s">
        <v>3380</v>
      </c>
      <c r="E859" s="501" t="s">
        <v>3381</v>
      </c>
      <c r="F859" s="501" t="s">
        <v>475</v>
      </c>
      <c r="G859" s="501" t="s">
        <v>476</v>
      </c>
      <c r="H859" s="501" t="s">
        <v>4083</v>
      </c>
      <c r="I859" s="501">
        <v>8</v>
      </c>
      <c r="J859" s="501">
        <v>0</v>
      </c>
      <c r="K859" s="501">
        <v>0</v>
      </c>
      <c r="L859" s="501">
        <v>0</v>
      </c>
      <c r="M859" s="501">
        <v>0</v>
      </c>
      <c r="N859" s="501">
        <v>0</v>
      </c>
      <c r="O859" s="506">
        <v>8</v>
      </c>
    </row>
    <row r="860" spans="1:15" x14ac:dyDescent="0.35">
      <c r="A860" s="503" t="s">
        <v>1107</v>
      </c>
      <c r="B860" s="504" t="s">
        <v>3109</v>
      </c>
      <c r="C860" s="504" t="s">
        <v>1094</v>
      </c>
      <c r="D860" s="504" t="s">
        <v>3380</v>
      </c>
      <c r="E860" s="504" t="s">
        <v>3381</v>
      </c>
      <c r="F860" s="504" t="s">
        <v>475</v>
      </c>
      <c r="G860" s="504" t="s">
        <v>476</v>
      </c>
      <c r="H860" s="504" t="s">
        <v>4084</v>
      </c>
      <c r="I860" s="504">
        <v>356</v>
      </c>
      <c r="J860" s="504">
        <v>309</v>
      </c>
      <c r="K860" s="504">
        <v>0</v>
      </c>
      <c r="L860" s="504">
        <v>0</v>
      </c>
      <c r="M860" s="504">
        <v>0</v>
      </c>
      <c r="N860" s="504">
        <v>0</v>
      </c>
      <c r="O860" s="505">
        <v>47</v>
      </c>
    </row>
    <row r="861" spans="1:15" x14ac:dyDescent="0.35">
      <c r="A861" s="500" t="s">
        <v>1109</v>
      </c>
      <c r="B861" s="501" t="s">
        <v>2959</v>
      </c>
      <c r="C861" s="501" t="s">
        <v>1094</v>
      </c>
      <c r="D861" s="501" t="s">
        <v>3380</v>
      </c>
      <c r="E861" s="501" t="s">
        <v>3381</v>
      </c>
      <c r="F861" s="501" t="s">
        <v>475</v>
      </c>
      <c r="G861" s="501" t="s">
        <v>476</v>
      </c>
      <c r="H861" s="501" t="s">
        <v>4085</v>
      </c>
      <c r="I861" s="501">
        <v>26</v>
      </c>
      <c r="J861" s="501">
        <v>0</v>
      </c>
      <c r="K861" s="501">
        <v>0</v>
      </c>
      <c r="L861" s="501">
        <v>0</v>
      </c>
      <c r="M861" s="501">
        <v>26</v>
      </c>
      <c r="N861" s="501">
        <v>0</v>
      </c>
      <c r="O861" s="506">
        <v>0</v>
      </c>
    </row>
    <row r="862" spans="1:15" x14ac:dyDescent="0.35">
      <c r="A862" s="503" t="s">
        <v>1310</v>
      </c>
      <c r="B862" s="504">
        <v>5062</v>
      </c>
      <c r="C862" s="504" t="s">
        <v>1089</v>
      </c>
      <c r="D862" s="504" t="s">
        <v>3380</v>
      </c>
      <c r="E862" s="504" t="s">
        <v>3381</v>
      </c>
      <c r="F862" s="504" t="s">
        <v>475</v>
      </c>
      <c r="G862" s="504" t="s">
        <v>476</v>
      </c>
      <c r="H862" s="504" t="s">
        <v>14491</v>
      </c>
      <c r="I862" s="504">
        <v>4</v>
      </c>
      <c r="J862" s="504">
        <v>0</v>
      </c>
      <c r="K862" s="504">
        <v>0</v>
      </c>
      <c r="L862" s="504">
        <v>0</v>
      </c>
      <c r="M862" s="504">
        <v>0</v>
      </c>
      <c r="N862" s="504">
        <v>0</v>
      </c>
      <c r="O862" s="505">
        <v>4</v>
      </c>
    </row>
    <row r="863" spans="1:15" x14ac:dyDescent="0.35">
      <c r="A863" s="500" t="s">
        <v>1311</v>
      </c>
      <c r="B863" s="501" t="s">
        <v>3361</v>
      </c>
      <c r="C863" s="501" t="s">
        <v>1094</v>
      </c>
      <c r="D863" s="501" t="s">
        <v>3380</v>
      </c>
      <c r="E863" s="501" t="s">
        <v>3381</v>
      </c>
      <c r="F863" s="501" t="s">
        <v>475</v>
      </c>
      <c r="G863" s="501" t="s">
        <v>476</v>
      </c>
      <c r="H863" s="501" t="s">
        <v>4086</v>
      </c>
      <c r="I863" s="501">
        <v>6</v>
      </c>
      <c r="J863" s="501">
        <v>6</v>
      </c>
      <c r="K863" s="501">
        <v>0</v>
      </c>
      <c r="L863" s="501">
        <v>0</v>
      </c>
      <c r="M863" s="501">
        <v>0</v>
      </c>
      <c r="N863" s="501">
        <v>0</v>
      </c>
      <c r="O863" s="506">
        <v>0</v>
      </c>
    </row>
    <row r="864" spans="1:15" x14ac:dyDescent="0.35">
      <c r="A864" s="503" t="s">
        <v>1202</v>
      </c>
      <c r="B864" s="504" t="s">
        <v>3217</v>
      </c>
      <c r="C864" s="504" t="s">
        <v>1094</v>
      </c>
      <c r="D864" s="504" t="s">
        <v>3380</v>
      </c>
      <c r="E864" s="504" t="s">
        <v>3381</v>
      </c>
      <c r="F864" s="504" t="s">
        <v>475</v>
      </c>
      <c r="G864" s="504" t="s">
        <v>476</v>
      </c>
      <c r="H864" s="504" t="s">
        <v>4087</v>
      </c>
      <c r="I864" s="504">
        <v>9</v>
      </c>
      <c r="J864" s="504">
        <v>0</v>
      </c>
      <c r="K864" s="504">
        <v>0</v>
      </c>
      <c r="L864" s="504">
        <v>0</v>
      </c>
      <c r="M864" s="504">
        <v>0</v>
      </c>
      <c r="N864" s="504">
        <v>0</v>
      </c>
      <c r="O864" s="505">
        <v>9</v>
      </c>
    </row>
    <row r="865" spans="1:15" x14ac:dyDescent="0.35">
      <c r="A865" s="500" t="s">
        <v>1112</v>
      </c>
      <c r="B865" s="501" t="s">
        <v>3008</v>
      </c>
      <c r="C865" s="501" t="s">
        <v>1094</v>
      </c>
      <c r="D865" s="501" t="s">
        <v>3380</v>
      </c>
      <c r="E865" s="501" t="s">
        <v>3381</v>
      </c>
      <c r="F865" s="501" t="s">
        <v>475</v>
      </c>
      <c r="G865" s="501" t="s">
        <v>476</v>
      </c>
      <c r="H865" s="501" t="s">
        <v>4088</v>
      </c>
      <c r="I865" s="501">
        <v>5</v>
      </c>
      <c r="J865" s="501">
        <v>0</v>
      </c>
      <c r="K865" s="501">
        <v>0</v>
      </c>
      <c r="L865" s="501">
        <v>5</v>
      </c>
      <c r="M865" s="501">
        <v>0</v>
      </c>
      <c r="N865" s="501">
        <v>0</v>
      </c>
      <c r="O865" s="506">
        <v>0</v>
      </c>
    </row>
    <row r="866" spans="1:15" x14ac:dyDescent="0.35">
      <c r="A866" s="503" t="s">
        <v>1210</v>
      </c>
      <c r="B866" s="504">
        <v>4781</v>
      </c>
      <c r="C866" s="504" t="s">
        <v>1089</v>
      </c>
      <c r="D866" s="504" t="s">
        <v>3392</v>
      </c>
      <c r="E866" s="504" t="s">
        <v>3381</v>
      </c>
      <c r="F866" s="504" t="s">
        <v>475</v>
      </c>
      <c r="G866" s="504" t="s">
        <v>476</v>
      </c>
      <c r="H866" s="504" t="s">
        <v>4089</v>
      </c>
      <c r="I866" s="504">
        <v>6</v>
      </c>
      <c r="J866" s="504">
        <v>0</v>
      </c>
      <c r="K866" s="504">
        <v>0</v>
      </c>
      <c r="L866" s="504">
        <v>6</v>
      </c>
      <c r="M866" s="504">
        <v>0</v>
      </c>
      <c r="N866" s="504">
        <v>0</v>
      </c>
      <c r="O866" s="505">
        <v>0</v>
      </c>
    </row>
    <row r="867" spans="1:15" x14ac:dyDescent="0.35">
      <c r="A867" s="500" t="s">
        <v>1218</v>
      </c>
      <c r="B867" s="501" t="s">
        <v>3147</v>
      </c>
      <c r="C867" s="501" t="s">
        <v>1094</v>
      </c>
      <c r="D867" s="501" t="s">
        <v>3380</v>
      </c>
      <c r="E867" s="501" t="s">
        <v>3381</v>
      </c>
      <c r="F867" s="501" t="s">
        <v>475</v>
      </c>
      <c r="G867" s="501" t="s">
        <v>476</v>
      </c>
      <c r="H867" s="501" t="s">
        <v>14492</v>
      </c>
      <c r="I867" s="501">
        <v>15</v>
      </c>
      <c r="J867" s="501">
        <v>0</v>
      </c>
      <c r="K867" s="501">
        <v>0</v>
      </c>
      <c r="L867" s="501">
        <v>0</v>
      </c>
      <c r="M867" s="501">
        <v>0</v>
      </c>
      <c r="N867" s="501">
        <v>0</v>
      </c>
      <c r="O867" s="506">
        <v>15</v>
      </c>
    </row>
    <row r="868" spans="1:15" x14ac:dyDescent="0.35">
      <c r="A868" s="503" t="s">
        <v>1332</v>
      </c>
      <c r="B868" s="504">
        <v>4878</v>
      </c>
      <c r="C868" s="504" t="s">
        <v>1094</v>
      </c>
      <c r="D868" s="504" t="s">
        <v>3380</v>
      </c>
      <c r="E868" s="504" t="s">
        <v>3381</v>
      </c>
      <c r="F868" s="504" t="s">
        <v>475</v>
      </c>
      <c r="G868" s="504" t="s">
        <v>476</v>
      </c>
      <c r="H868" s="504" t="s">
        <v>14493</v>
      </c>
      <c r="I868" s="504">
        <v>165</v>
      </c>
      <c r="J868" s="504">
        <v>46</v>
      </c>
      <c r="K868" s="504">
        <v>0</v>
      </c>
      <c r="L868" s="504">
        <v>119</v>
      </c>
      <c r="M868" s="504">
        <v>0</v>
      </c>
      <c r="N868" s="504">
        <v>0</v>
      </c>
      <c r="O868" s="505">
        <v>0</v>
      </c>
    </row>
    <row r="869" spans="1:15" x14ac:dyDescent="0.35">
      <c r="A869" s="500" t="s">
        <v>1122</v>
      </c>
      <c r="B869" s="501" t="s">
        <v>2994</v>
      </c>
      <c r="C869" s="501" t="s">
        <v>1094</v>
      </c>
      <c r="D869" s="501" t="s">
        <v>3380</v>
      </c>
      <c r="E869" s="501" t="s">
        <v>3381</v>
      </c>
      <c r="F869" s="501" t="s">
        <v>475</v>
      </c>
      <c r="G869" s="501" t="s">
        <v>476</v>
      </c>
      <c r="H869" s="501" t="s">
        <v>4090</v>
      </c>
      <c r="I869" s="501">
        <v>1</v>
      </c>
      <c r="J869" s="501">
        <v>1</v>
      </c>
      <c r="K869" s="501">
        <v>0</v>
      </c>
      <c r="L869" s="501">
        <v>0</v>
      </c>
      <c r="M869" s="501">
        <v>0</v>
      </c>
      <c r="N869" s="501">
        <v>0</v>
      </c>
      <c r="O869" s="506">
        <v>0</v>
      </c>
    </row>
    <row r="870" spans="1:15" x14ac:dyDescent="0.35">
      <c r="A870" s="503" t="s">
        <v>1124</v>
      </c>
      <c r="B870" s="504">
        <v>4745</v>
      </c>
      <c r="C870" s="504" t="s">
        <v>1094</v>
      </c>
      <c r="D870" s="504" t="s">
        <v>3380</v>
      </c>
      <c r="E870" s="504" t="s">
        <v>3381</v>
      </c>
      <c r="F870" s="504" t="s">
        <v>475</v>
      </c>
      <c r="G870" s="504" t="s">
        <v>476</v>
      </c>
      <c r="H870" s="504" t="s">
        <v>4091</v>
      </c>
      <c r="I870" s="504">
        <v>8</v>
      </c>
      <c r="J870" s="504">
        <v>0</v>
      </c>
      <c r="K870" s="504">
        <v>0</v>
      </c>
      <c r="L870" s="504">
        <v>8</v>
      </c>
      <c r="M870" s="504">
        <v>0</v>
      </c>
      <c r="N870" s="504">
        <v>0</v>
      </c>
      <c r="O870" s="505">
        <v>0</v>
      </c>
    </row>
    <row r="871" spans="1:15" x14ac:dyDescent="0.35">
      <c r="A871" s="500" t="s">
        <v>1339</v>
      </c>
      <c r="B871" s="501" t="s">
        <v>3358</v>
      </c>
      <c r="C871" s="501" t="s">
        <v>1094</v>
      </c>
      <c r="D871" s="501" t="s">
        <v>3380</v>
      </c>
      <c r="E871" s="501" t="s">
        <v>3381</v>
      </c>
      <c r="F871" s="501" t="s">
        <v>475</v>
      </c>
      <c r="G871" s="501" t="s">
        <v>476</v>
      </c>
      <c r="H871" s="501" t="s">
        <v>4092</v>
      </c>
      <c r="I871" s="501">
        <v>2</v>
      </c>
      <c r="J871" s="501">
        <v>0</v>
      </c>
      <c r="K871" s="501">
        <v>0</v>
      </c>
      <c r="L871" s="501">
        <v>0</v>
      </c>
      <c r="M871" s="501">
        <v>0</v>
      </c>
      <c r="N871" s="501">
        <v>0</v>
      </c>
      <c r="O871" s="506">
        <v>2</v>
      </c>
    </row>
    <row r="872" spans="1:15" x14ac:dyDescent="0.35">
      <c r="A872" s="503" t="s">
        <v>1233</v>
      </c>
      <c r="B872" s="504">
        <v>4636</v>
      </c>
      <c r="C872" s="504" t="s">
        <v>1094</v>
      </c>
      <c r="D872" s="504" t="s">
        <v>3380</v>
      </c>
      <c r="E872" s="504" t="s">
        <v>3381</v>
      </c>
      <c r="F872" s="504" t="s">
        <v>475</v>
      </c>
      <c r="G872" s="504" t="s">
        <v>476</v>
      </c>
      <c r="H872" s="504" t="s">
        <v>4093</v>
      </c>
      <c r="I872" s="504">
        <v>51</v>
      </c>
      <c r="J872" s="504">
        <v>29</v>
      </c>
      <c r="K872" s="504">
        <v>0</v>
      </c>
      <c r="L872" s="504">
        <v>0</v>
      </c>
      <c r="M872" s="504">
        <v>0</v>
      </c>
      <c r="N872" s="504">
        <v>0</v>
      </c>
      <c r="O872" s="505">
        <v>22</v>
      </c>
    </row>
    <row r="873" spans="1:15" x14ac:dyDescent="0.35">
      <c r="A873" s="500" t="s">
        <v>11368</v>
      </c>
      <c r="B873" s="501">
        <v>5083</v>
      </c>
      <c r="C873" s="501" t="s">
        <v>1094</v>
      </c>
      <c r="D873" s="501" t="s">
        <v>3380</v>
      </c>
      <c r="E873" s="501" t="s">
        <v>3381</v>
      </c>
      <c r="F873" s="501" t="s">
        <v>475</v>
      </c>
      <c r="G873" s="501" t="s">
        <v>476</v>
      </c>
      <c r="H873" s="501" t="s">
        <v>12033</v>
      </c>
      <c r="I873" s="501">
        <v>37</v>
      </c>
      <c r="J873" s="501">
        <v>37</v>
      </c>
      <c r="K873" s="501">
        <v>0</v>
      </c>
      <c r="L873" s="501">
        <v>0</v>
      </c>
      <c r="M873" s="501">
        <v>0</v>
      </c>
      <c r="N873" s="501">
        <v>0</v>
      </c>
      <c r="O873" s="506">
        <v>0</v>
      </c>
    </row>
    <row r="874" spans="1:15" x14ac:dyDescent="0.35">
      <c r="A874" s="503" t="s">
        <v>1234</v>
      </c>
      <c r="B874" s="504" t="s">
        <v>3291</v>
      </c>
      <c r="C874" s="504" t="s">
        <v>1094</v>
      </c>
      <c r="D874" s="504" t="s">
        <v>3380</v>
      </c>
      <c r="E874" s="504" t="s">
        <v>3381</v>
      </c>
      <c r="F874" s="504" t="s">
        <v>475</v>
      </c>
      <c r="G874" s="504" t="s">
        <v>476</v>
      </c>
      <c r="H874" s="504" t="s">
        <v>4094</v>
      </c>
      <c r="I874" s="504">
        <v>92</v>
      </c>
      <c r="J874" s="504">
        <v>44</v>
      </c>
      <c r="K874" s="504">
        <v>0</v>
      </c>
      <c r="L874" s="504">
        <v>48</v>
      </c>
      <c r="M874" s="504">
        <v>0</v>
      </c>
      <c r="N874" s="504">
        <v>0</v>
      </c>
      <c r="O874" s="505">
        <v>0</v>
      </c>
    </row>
    <row r="875" spans="1:15" x14ac:dyDescent="0.35">
      <c r="A875" s="500" t="s">
        <v>1235</v>
      </c>
      <c r="B875" s="501">
        <v>4684</v>
      </c>
      <c r="C875" s="501" t="s">
        <v>1094</v>
      </c>
      <c r="D875" s="501" t="s">
        <v>3380</v>
      </c>
      <c r="E875" s="501" t="s">
        <v>3381</v>
      </c>
      <c r="F875" s="501" t="s">
        <v>475</v>
      </c>
      <c r="G875" s="501" t="s">
        <v>476</v>
      </c>
      <c r="H875" s="501" t="s">
        <v>4095</v>
      </c>
      <c r="I875" s="501">
        <v>86</v>
      </c>
      <c r="J875" s="501">
        <v>71</v>
      </c>
      <c r="K875" s="501">
        <v>0</v>
      </c>
      <c r="L875" s="501">
        <v>10</v>
      </c>
      <c r="M875" s="501">
        <v>4</v>
      </c>
      <c r="N875" s="501">
        <v>0</v>
      </c>
      <c r="O875" s="506">
        <v>1</v>
      </c>
    </row>
    <row r="876" spans="1:15" x14ac:dyDescent="0.35">
      <c r="A876" s="503" t="s">
        <v>1126</v>
      </c>
      <c r="B876" s="504" t="s">
        <v>2974</v>
      </c>
      <c r="C876" s="504" t="s">
        <v>1094</v>
      </c>
      <c r="D876" s="504" t="s">
        <v>3380</v>
      </c>
      <c r="E876" s="504" t="s">
        <v>3381</v>
      </c>
      <c r="F876" s="504" t="s">
        <v>475</v>
      </c>
      <c r="G876" s="504" t="s">
        <v>476</v>
      </c>
      <c r="H876" s="504" t="s">
        <v>4096</v>
      </c>
      <c r="I876" s="504">
        <v>170</v>
      </c>
      <c r="J876" s="504">
        <v>138</v>
      </c>
      <c r="K876" s="504">
        <v>0</v>
      </c>
      <c r="L876" s="504">
        <v>31</v>
      </c>
      <c r="M876" s="504">
        <v>0</v>
      </c>
      <c r="N876" s="504">
        <v>0</v>
      </c>
      <c r="O876" s="505">
        <v>1</v>
      </c>
    </row>
    <row r="877" spans="1:15" x14ac:dyDescent="0.35">
      <c r="A877" s="500" t="s">
        <v>1346</v>
      </c>
      <c r="B877" s="501" t="s">
        <v>3150</v>
      </c>
      <c r="C877" s="501" t="s">
        <v>1094</v>
      </c>
      <c r="D877" s="501" t="s">
        <v>3380</v>
      </c>
      <c r="E877" s="501" t="s">
        <v>3381</v>
      </c>
      <c r="F877" s="501" t="s">
        <v>475</v>
      </c>
      <c r="G877" s="501" t="s">
        <v>476</v>
      </c>
      <c r="H877" s="501" t="s">
        <v>4097</v>
      </c>
      <c r="I877" s="501">
        <v>203</v>
      </c>
      <c r="J877" s="501">
        <v>202</v>
      </c>
      <c r="K877" s="501">
        <v>0</v>
      </c>
      <c r="L877" s="501">
        <v>0</v>
      </c>
      <c r="M877" s="501">
        <v>0</v>
      </c>
      <c r="N877" s="501">
        <v>0</v>
      </c>
      <c r="O877" s="506">
        <v>1</v>
      </c>
    </row>
    <row r="878" spans="1:15" x14ac:dyDescent="0.35">
      <c r="A878" s="503" t="s">
        <v>1249</v>
      </c>
      <c r="B878" s="504">
        <v>4729</v>
      </c>
      <c r="C878" s="504" t="s">
        <v>1094</v>
      </c>
      <c r="D878" s="504" t="s">
        <v>3380</v>
      </c>
      <c r="E878" s="504" t="s">
        <v>3381</v>
      </c>
      <c r="F878" s="504" t="s">
        <v>475</v>
      </c>
      <c r="G878" s="504" t="s">
        <v>476</v>
      </c>
      <c r="H878" s="504" t="s">
        <v>4098</v>
      </c>
      <c r="I878" s="504">
        <v>6</v>
      </c>
      <c r="J878" s="504">
        <v>6</v>
      </c>
      <c r="K878" s="504">
        <v>0</v>
      </c>
      <c r="L878" s="504">
        <v>0</v>
      </c>
      <c r="M878" s="504">
        <v>0</v>
      </c>
      <c r="N878" s="504">
        <v>0</v>
      </c>
      <c r="O878" s="505">
        <v>0</v>
      </c>
    </row>
    <row r="879" spans="1:15" x14ac:dyDescent="0.35">
      <c r="A879" s="500" t="s">
        <v>1360</v>
      </c>
      <c r="B879" s="501" t="s">
        <v>3350</v>
      </c>
      <c r="C879" s="501" t="s">
        <v>1094</v>
      </c>
      <c r="D879" s="501" t="s">
        <v>3380</v>
      </c>
      <c r="E879" s="501" t="s">
        <v>3381</v>
      </c>
      <c r="F879" s="501" t="s">
        <v>475</v>
      </c>
      <c r="G879" s="501" t="s">
        <v>476</v>
      </c>
      <c r="H879" s="501" t="s">
        <v>4099</v>
      </c>
      <c r="I879" s="501">
        <v>12</v>
      </c>
      <c r="J879" s="501">
        <v>10</v>
      </c>
      <c r="K879" s="501">
        <v>0</v>
      </c>
      <c r="L879" s="501">
        <v>0</v>
      </c>
      <c r="M879" s="501">
        <v>0</v>
      </c>
      <c r="N879" s="501">
        <v>0</v>
      </c>
      <c r="O879" s="506">
        <v>2</v>
      </c>
    </row>
    <row r="880" spans="1:15" x14ac:dyDescent="0.35">
      <c r="A880" s="503" t="s">
        <v>1375</v>
      </c>
      <c r="B880" s="504" t="s">
        <v>2447</v>
      </c>
      <c r="C880" s="504" t="s">
        <v>1089</v>
      </c>
      <c r="D880" s="504" t="s">
        <v>3392</v>
      </c>
      <c r="E880" s="504" t="s">
        <v>3381</v>
      </c>
      <c r="F880" s="504" t="s">
        <v>475</v>
      </c>
      <c r="G880" s="504" t="s">
        <v>476</v>
      </c>
      <c r="H880" s="504" t="s">
        <v>4100</v>
      </c>
      <c r="I880" s="504">
        <v>4</v>
      </c>
      <c r="J880" s="504">
        <v>4</v>
      </c>
      <c r="K880" s="504">
        <v>0</v>
      </c>
      <c r="L880" s="504">
        <v>0</v>
      </c>
      <c r="M880" s="504">
        <v>0</v>
      </c>
      <c r="N880" s="504">
        <v>0</v>
      </c>
      <c r="O880" s="505">
        <v>0</v>
      </c>
    </row>
    <row r="881" spans="1:15" x14ac:dyDescent="0.35">
      <c r="A881" s="500" t="s">
        <v>1382</v>
      </c>
      <c r="B881" s="501" t="s">
        <v>3027</v>
      </c>
      <c r="C881" s="501" t="s">
        <v>1089</v>
      </c>
      <c r="D881" s="501" t="s">
        <v>3392</v>
      </c>
      <c r="E881" s="501" t="s">
        <v>3381</v>
      </c>
      <c r="F881" s="501" t="s">
        <v>475</v>
      </c>
      <c r="G881" s="501" t="s">
        <v>476</v>
      </c>
      <c r="H881" s="501" t="s">
        <v>4101</v>
      </c>
      <c r="I881" s="501">
        <v>41</v>
      </c>
      <c r="J881" s="501">
        <v>0</v>
      </c>
      <c r="K881" s="501">
        <v>0</v>
      </c>
      <c r="L881" s="501">
        <v>0</v>
      </c>
      <c r="M881" s="501">
        <v>41</v>
      </c>
      <c r="N881" s="501">
        <v>0</v>
      </c>
      <c r="O881" s="506">
        <v>0</v>
      </c>
    </row>
    <row r="882" spans="1:15" x14ac:dyDescent="0.35">
      <c r="A882" s="503" t="s">
        <v>1096</v>
      </c>
      <c r="B882" s="504" t="s">
        <v>3326</v>
      </c>
      <c r="C882" s="504" t="s">
        <v>1094</v>
      </c>
      <c r="D882" s="504" t="s">
        <v>3380</v>
      </c>
      <c r="E882" s="504" t="s">
        <v>3381</v>
      </c>
      <c r="F882" s="504" t="s">
        <v>477</v>
      </c>
      <c r="G882" s="504" t="s">
        <v>478</v>
      </c>
      <c r="H882" s="504" t="s">
        <v>4102</v>
      </c>
      <c r="I882" s="504">
        <v>83</v>
      </c>
      <c r="J882" s="504">
        <v>0</v>
      </c>
      <c r="K882" s="504">
        <v>0</v>
      </c>
      <c r="L882" s="504">
        <v>0</v>
      </c>
      <c r="M882" s="504">
        <v>83</v>
      </c>
      <c r="N882" s="504">
        <v>0</v>
      </c>
      <c r="O882" s="505">
        <v>0</v>
      </c>
    </row>
    <row r="883" spans="1:15" x14ac:dyDescent="0.35">
      <c r="A883" s="500" t="s">
        <v>1282</v>
      </c>
      <c r="B883" s="501" t="s">
        <v>2953</v>
      </c>
      <c r="C883" s="501" t="s">
        <v>1094</v>
      </c>
      <c r="D883" s="501" t="s">
        <v>3380</v>
      </c>
      <c r="E883" s="501" t="s">
        <v>3381</v>
      </c>
      <c r="F883" s="501" t="s">
        <v>477</v>
      </c>
      <c r="G883" s="501" t="s">
        <v>478</v>
      </c>
      <c r="H883" s="501" t="s">
        <v>4103</v>
      </c>
      <c r="I883" s="501">
        <v>602</v>
      </c>
      <c r="J883" s="501">
        <v>493</v>
      </c>
      <c r="K883" s="501">
        <v>0</v>
      </c>
      <c r="L883" s="501">
        <v>0</v>
      </c>
      <c r="M883" s="501">
        <v>48</v>
      </c>
      <c r="N883" s="501">
        <v>0</v>
      </c>
      <c r="O883" s="506">
        <v>61</v>
      </c>
    </row>
    <row r="884" spans="1:15" x14ac:dyDescent="0.35">
      <c r="A884" s="503" t="s">
        <v>1100</v>
      </c>
      <c r="B884" s="504">
        <v>4865</v>
      </c>
      <c r="C884" s="504" t="s">
        <v>1094</v>
      </c>
      <c r="D884" s="504" t="s">
        <v>3380</v>
      </c>
      <c r="E884" s="504" t="s">
        <v>3381</v>
      </c>
      <c r="F884" s="504" t="s">
        <v>477</v>
      </c>
      <c r="G884" s="504" t="s">
        <v>478</v>
      </c>
      <c r="H884" s="504" t="s">
        <v>4104</v>
      </c>
      <c r="I884" s="504">
        <v>140</v>
      </c>
      <c r="J884" s="504">
        <v>102</v>
      </c>
      <c r="K884" s="504">
        <v>0</v>
      </c>
      <c r="L884" s="504">
        <v>24</v>
      </c>
      <c r="M884" s="504">
        <v>0</v>
      </c>
      <c r="N884" s="504">
        <v>0</v>
      </c>
      <c r="O884" s="505">
        <v>14</v>
      </c>
    </row>
    <row r="885" spans="1:15" x14ac:dyDescent="0.35">
      <c r="A885" s="500" t="s">
        <v>1290</v>
      </c>
      <c r="B885" s="501" t="s">
        <v>2979</v>
      </c>
      <c r="C885" s="501" t="s">
        <v>1094</v>
      </c>
      <c r="D885" s="501" t="s">
        <v>3380</v>
      </c>
      <c r="E885" s="501" t="s">
        <v>3381</v>
      </c>
      <c r="F885" s="501" t="s">
        <v>477</v>
      </c>
      <c r="G885" s="501" t="s">
        <v>478</v>
      </c>
      <c r="H885" s="501" t="s">
        <v>4105</v>
      </c>
      <c r="I885" s="501">
        <v>151</v>
      </c>
      <c r="J885" s="501">
        <v>135</v>
      </c>
      <c r="K885" s="501">
        <v>0</v>
      </c>
      <c r="L885" s="501">
        <v>0</v>
      </c>
      <c r="M885" s="501">
        <v>0</v>
      </c>
      <c r="N885" s="501">
        <v>0</v>
      </c>
      <c r="O885" s="506">
        <v>16</v>
      </c>
    </row>
    <row r="886" spans="1:15" x14ac:dyDescent="0.35">
      <c r="A886" s="503" t="s">
        <v>1102</v>
      </c>
      <c r="B886" s="504">
        <v>4663</v>
      </c>
      <c r="C886" s="504" t="s">
        <v>1089</v>
      </c>
      <c r="D886" s="504" t="s">
        <v>3392</v>
      </c>
      <c r="E886" s="504" t="s">
        <v>3381</v>
      </c>
      <c r="F886" s="504" t="s">
        <v>477</v>
      </c>
      <c r="G886" s="504" t="s">
        <v>478</v>
      </c>
      <c r="H886" s="504" t="s">
        <v>4106</v>
      </c>
      <c r="I886" s="504">
        <v>1</v>
      </c>
      <c r="J886" s="504">
        <v>0</v>
      </c>
      <c r="K886" s="504">
        <v>0</v>
      </c>
      <c r="L886" s="504">
        <v>1</v>
      </c>
      <c r="M886" s="504">
        <v>0</v>
      </c>
      <c r="N886" s="504">
        <v>0</v>
      </c>
      <c r="O886" s="505">
        <v>0</v>
      </c>
    </row>
    <row r="887" spans="1:15" x14ac:dyDescent="0.35">
      <c r="A887" s="500" t="s">
        <v>1296</v>
      </c>
      <c r="B887" s="501">
        <v>4651</v>
      </c>
      <c r="C887" s="501" t="s">
        <v>1094</v>
      </c>
      <c r="D887" s="501" t="s">
        <v>3380</v>
      </c>
      <c r="E887" s="501" t="s">
        <v>3381</v>
      </c>
      <c r="F887" s="501" t="s">
        <v>477</v>
      </c>
      <c r="G887" s="501" t="s">
        <v>478</v>
      </c>
      <c r="H887" s="501" t="s">
        <v>4107</v>
      </c>
      <c r="I887" s="501">
        <v>6623</v>
      </c>
      <c r="J887" s="501">
        <v>5819</v>
      </c>
      <c r="K887" s="501">
        <v>0</v>
      </c>
      <c r="L887" s="501">
        <v>47</v>
      </c>
      <c r="M887" s="501">
        <v>660</v>
      </c>
      <c r="N887" s="501">
        <v>0</v>
      </c>
      <c r="O887" s="506">
        <v>97</v>
      </c>
    </row>
    <row r="888" spans="1:15" x14ac:dyDescent="0.35">
      <c r="A888" s="503" t="s">
        <v>1185</v>
      </c>
      <c r="B888" s="504" t="s">
        <v>3253</v>
      </c>
      <c r="C888" s="504" t="s">
        <v>1094</v>
      </c>
      <c r="D888" s="504" t="s">
        <v>3380</v>
      </c>
      <c r="E888" s="504" t="s">
        <v>3381</v>
      </c>
      <c r="F888" s="504" t="s">
        <v>477</v>
      </c>
      <c r="G888" s="504" t="s">
        <v>478</v>
      </c>
      <c r="H888" s="504" t="s">
        <v>4108</v>
      </c>
      <c r="I888" s="504">
        <v>11</v>
      </c>
      <c r="J888" s="504">
        <v>6</v>
      </c>
      <c r="K888" s="504">
        <v>0</v>
      </c>
      <c r="L888" s="504">
        <v>5</v>
      </c>
      <c r="M888" s="504">
        <v>0</v>
      </c>
      <c r="N888" s="504">
        <v>0</v>
      </c>
      <c r="O888" s="505">
        <v>0</v>
      </c>
    </row>
    <row r="889" spans="1:15" x14ac:dyDescent="0.35">
      <c r="A889" s="500" t="s">
        <v>1187</v>
      </c>
      <c r="B889" s="501" t="s">
        <v>2951</v>
      </c>
      <c r="C889" s="501" t="s">
        <v>1094</v>
      </c>
      <c r="D889" s="501" t="s">
        <v>3380</v>
      </c>
      <c r="E889" s="501" t="s">
        <v>3381</v>
      </c>
      <c r="F889" s="501" t="s">
        <v>477</v>
      </c>
      <c r="G889" s="501" t="s">
        <v>478</v>
      </c>
      <c r="H889" s="501" t="s">
        <v>4109</v>
      </c>
      <c r="I889" s="501">
        <v>120</v>
      </c>
      <c r="J889" s="501">
        <v>105</v>
      </c>
      <c r="K889" s="501">
        <v>0</v>
      </c>
      <c r="L889" s="501">
        <v>0</v>
      </c>
      <c r="M889" s="501">
        <v>0</v>
      </c>
      <c r="N889" s="501">
        <v>0</v>
      </c>
      <c r="O889" s="506">
        <v>15</v>
      </c>
    </row>
    <row r="890" spans="1:15" x14ac:dyDescent="0.35">
      <c r="A890" s="503" t="s">
        <v>1105</v>
      </c>
      <c r="B890" s="504">
        <v>4668</v>
      </c>
      <c r="C890" s="504" t="s">
        <v>1094</v>
      </c>
      <c r="D890" s="504" t="s">
        <v>3380</v>
      </c>
      <c r="E890" s="504" t="s">
        <v>3381</v>
      </c>
      <c r="F890" s="504" t="s">
        <v>477</v>
      </c>
      <c r="G890" s="504" t="s">
        <v>478</v>
      </c>
      <c r="H890" s="504" t="s">
        <v>4110</v>
      </c>
      <c r="I890" s="504">
        <v>1</v>
      </c>
      <c r="J890" s="504">
        <v>0</v>
      </c>
      <c r="K890" s="504">
        <v>0</v>
      </c>
      <c r="L890" s="504">
        <v>0</v>
      </c>
      <c r="M890" s="504">
        <v>0</v>
      </c>
      <c r="N890" s="504">
        <v>0</v>
      </c>
      <c r="O890" s="505">
        <v>1</v>
      </c>
    </row>
    <row r="891" spans="1:15" x14ac:dyDescent="0.35">
      <c r="A891" s="500" t="s">
        <v>1109</v>
      </c>
      <c r="B891" s="501" t="s">
        <v>2959</v>
      </c>
      <c r="C891" s="501" t="s">
        <v>1094</v>
      </c>
      <c r="D891" s="501" t="s">
        <v>3380</v>
      </c>
      <c r="E891" s="501" t="s">
        <v>3381</v>
      </c>
      <c r="F891" s="501" t="s">
        <v>477</v>
      </c>
      <c r="G891" s="501" t="s">
        <v>478</v>
      </c>
      <c r="H891" s="501" t="s">
        <v>4111</v>
      </c>
      <c r="I891" s="501">
        <v>114</v>
      </c>
      <c r="J891" s="501">
        <v>0</v>
      </c>
      <c r="K891" s="501">
        <v>0</v>
      </c>
      <c r="L891" s="501">
        <v>0</v>
      </c>
      <c r="M891" s="501">
        <v>114</v>
      </c>
      <c r="N891" s="501">
        <v>0</v>
      </c>
      <c r="O891" s="506">
        <v>0</v>
      </c>
    </row>
    <row r="892" spans="1:15" x14ac:dyDescent="0.35">
      <c r="A892" s="503" t="s">
        <v>1310</v>
      </c>
      <c r="B892" s="504">
        <v>5062</v>
      </c>
      <c r="C892" s="504" t="s">
        <v>1089</v>
      </c>
      <c r="D892" s="504" t="s">
        <v>3380</v>
      </c>
      <c r="E892" s="504" t="s">
        <v>3381</v>
      </c>
      <c r="F892" s="504" t="s">
        <v>477</v>
      </c>
      <c r="G892" s="504" t="s">
        <v>478</v>
      </c>
      <c r="H892" s="504" t="s">
        <v>14494</v>
      </c>
      <c r="I892" s="504">
        <v>6</v>
      </c>
      <c r="J892" s="504">
        <v>0</v>
      </c>
      <c r="K892" s="504">
        <v>0</v>
      </c>
      <c r="L892" s="504">
        <v>0</v>
      </c>
      <c r="M892" s="504">
        <v>0</v>
      </c>
      <c r="N892" s="504">
        <v>0</v>
      </c>
      <c r="O892" s="505">
        <v>6</v>
      </c>
    </row>
    <row r="893" spans="1:15" x14ac:dyDescent="0.35">
      <c r="A893" s="500" t="s">
        <v>1112</v>
      </c>
      <c r="B893" s="501" t="s">
        <v>3008</v>
      </c>
      <c r="C893" s="501" t="s">
        <v>1094</v>
      </c>
      <c r="D893" s="501" t="s">
        <v>3380</v>
      </c>
      <c r="E893" s="501" t="s">
        <v>3381</v>
      </c>
      <c r="F893" s="501" t="s">
        <v>477</v>
      </c>
      <c r="G893" s="501" t="s">
        <v>478</v>
      </c>
      <c r="H893" s="501" t="s">
        <v>4112</v>
      </c>
      <c r="I893" s="501">
        <v>34</v>
      </c>
      <c r="J893" s="501">
        <v>18</v>
      </c>
      <c r="K893" s="501">
        <v>0</v>
      </c>
      <c r="L893" s="501">
        <v>15</v>
      </c>
      <c r="M893" s="501">
        <v>0</v>
      </c>
      <c r="N893" s="501">
        <v>0</v>
      </c>
      <c r="O893" s="506">
        <v>1</v>
      </c>
    </row>
    <row r="894" spans="1:15" x14ac:dyDescent="0.35">
      <c r="A894" s="503" t="s">
        <v>1208</v>
      </c>
      <c r="B894" s="504" t="s">
        <v>3096</v>
      </c>
      <c r="C894" s="504" t="s">
        <v>1094</v>
      </c>
      <c r="D894" s="504" t="s">
        <v>3380</v>
      </c>
      <c r="E894" s="504" t="s">
        <v>3381</v>
      </c>
      <c r="F894" s="504" t="s">
        <v>477</v>
      </c>
      <c r="G894" s="504" t="s">
        <v>478</v>
      </c>
      <c r="H894" s="504" t="s">
        <v>4113</v>
      </c>
      <c r="I894" s="504">
        <v>9</v>
      </c>
      <c r="J894" s="504">
        <v>0</v>
      </c>
      <c r="K894" s="504">
        <v>0</v>
      </c>
      <c r="L894" s="504">
        <v>9</v>
      </c>
      <c r="M894" s="504">
        <v>0</v>
      </c>
      <c r="N894" s="504">
        <v>0</v>
      </c>
      <c r="O894" s="505">
        <v>0</v>
      </c>
    </row>
    <row r="895" spans="1:15" x14ac:dyDescent="0.35">
      <c r="A895" s="500" t="s">
        <v>1218</v>
      </c>
      <c r="B895" s="501" t="s">
        <v>3147</v>
      </c>
      <c r="C895" s="501" t="s">
        <v>1094</v>
      </c>
      <c r="D895" s="501" t="s">
        <v>3380</v>
      </c>
      <c r="E895" s="501" t="s">
        <v>3381</v>
      </c>
      <c r="F895" s="501" t="s">
        <v>477</v>
      </c>
      <c r="G895" s="501" t="s">
        <v>478</v>
      </c>
      <c r="H895" s="501" t="s">
        <v>4114</v>
      </c>
      <c r="I895" s="501">
        <v>122</v>
      </c>
      <c r="J895" s="501">
        <v>0</v>
      </c>
      <c r="K895" s="501">
        <v>0</v>
      </c>
      <c r="L895" s="501">
        <v>0</v>
      </c>
      <c r="M895" s="501">
        <v>0</v>
      </c>
      <c r="N895" s="501">
        <v>0</v>
      </c>
      <c r="O895" s="506">
        <v>122</v>
      </c>
    </row>
    <row r="896" spans="1:15" x14ac:dyDescent="0.35">
      <c r="A896" s="503" t="s">
        <v>11367</v>
      </c>
      <c r="B896" s="504" t="s">
        <v>3143</v>
      </c>
      <c r="C896" s="504" t="s">
        <v>1094</v>
      </c>
      <c r="D896" s="504" t="s">
        <v>3380</v>
      </c>
      <c r="E896" s="504" t="s">
        <v>3381</v>
      </c>
      <c r="F896" s="504" t="s">
        <v>477</v>
      </c>
      <c r="G896" s="504" t="s">
        <v>478</v>
      </c>
      <c r="H896" s="504" t="s">
        <v>11906</v>
      </c>
      <c r="I896" s="504">
        <v>407</v>
      </c>
      <c r="J896" s="504">
        <v>338</v>
      </c>
      <c r="K896" s="504">
        <v>0</v>
      </c>
      <c r="L896" s="504">
        <v>2</v>
      </c>
      <c r="M896" s="504">
        <v>66</v>
      </c>
      <c r="N896" s="504">
        <v>1</v>
      </c>
      <c r="O896" s="505">
        <v>1</v>
      </c>
    </row>
    <row r="897" spans="1:15" x14ac:dyDescent="0.35">
      <c r="A897" s="500" t="s">
        <v>1326</v>
      </c>
      <c r="B897" s="501" t="s">
        <v>2954</v>
      </c>
      <c r="C897" s="501" t="s">
        <v>1094</v>
      </c>
      <c r="D897" s="501" t="s">
        <v>3380</v>
      </c>
      <c r="E897" s="501" t="s">
        <v>3381</v>
      </c>
      <c r="F897" s="501" t="s">
        <v>477</v>
      </c>
      <c r="G897" s="501" t="s">
        <v>478</v>
      </c>
      <c r="H897" s="501" t="s">
        <v>4115</v>
      </c>
      <c r="I897" s="501">
        <v>32</v>
      </c>
      <c r="J897" s="501">
        <v>32</v>
      </c>
      <c r="K897" s="501">
        <v>0</v>
      </c>
      <c r="L897" s="501">
        <v>0</v>
      </c>
      <c r="M897" s="501">
        <v>0</v>
      </c>
      <c r="N897" s="501">
        <v>0</v>
      </c>
      <c r="O897" s="506">
        <v>0</v>
      </c>
    </row>
    <row r="898" spans="1:15" x14ac:dyDescent="0.35">
      <c r="A898" s="503" t="s">
        <v>1228</v>
      </c>
      <c r="B898" s="504" t="s">
        <v>3321</v>
      </c>
      <c r="C898" s="504" t="s">
        <v>1094</v>
      </c>
      <c r="D898" s="504" t="s">
        <v>3380</v>
      </c>
      <c r="E898" s="504" t="s">
        <v>3381</v>
      </c>
      <c r="F898" s="504" t="s">
        <v>477</v>
      </c>
      <c r="G898" s="504" t="s">
        <v>478</v>
      </c>
      <c r="H898" s="504" t="s">
        <v>4116</v>
      </c>
      <c r="I898" s="504">
        <v>6</v>
      </c>
      <c r="J898" s="504">
        <v>0</v>
      </c>
      <c r="K898" s="504">
        <v>0</v>
      </c>
      <c r="L898" s="504">
        <v>6</v>
      </c>
      <c r="M898" s="504">
        <v>0</v>
      </c>
      <c r="N898" s="504">
        <v>0</v>
      </c>
      <c r="O898" s="505">
        <v>0</v>
      </c>
    </row>
    <row r="899" spans="1:15" x14ac:dyDescent="0.35">
      <c r="A899" s="500" t="s">
        <v>1339</v>
      </c>
      <c r="B899" s="501" t="s">
        <v>3358</v>
      </c>
      <c r="C899" s="501" t="s">
        <v>1094</v>
      </c>
      <c r="D899" s="501" t="s">
        <v>3380</v>
      </c>
      <c r="E899" s="501" t="s">
        <v>3381</v>
      </c>
      <c r="F899" s="501" t="s">
        <v>477</v>
      </c>
      <c r="G899" s="501" t="s">
        <v>478</v>
      </c>
      <c r="H899" s="501" t="s">
        <v>4117</v>
      </c>
      <c r="I899" s="501">
        <v>302</v>
      </c>
      <c r="J899" s="501">
        <v>300</v>
      </c>
      <c r="K899" s="501">
        <v>0</v>
      </c>
      <c r="L899" s="501">
        <v>0</v>
      </c>
      <c r="M899" s="501">
        <v>0</v>
      </c>
      <c r="N899" s="501">
        <v>0</v>
      </c>
      <c r="O899" s="506">
        <v>2</v>
      </c>
    </row>
    <row r="900" spans="1:15" x14ac:dyDescent="0.35">
      <c r="A900" s="503" t="s">
        <v>1233</v>
      </c>
      <c r="B900" s="504">
        <v>4636</v>
      </c>
      <c r="C900" s="504" t="s">
        <v>1094</v>
      </c>
      <c r="D900" s="504" t="s">
        <v>3380</v>
      </c>
      <c r="E900" s="504" t="s">
        <v>3381</v>
      </c>
      <c r="F900" s="504" t="s">
        <v>477</v>
      </c>
      <c r="G900" s="504" t="s">
        <v>478</v>
      </c>
      <c r="H900" s="504" t="s">
        <v>4118</v>
      </c>
      <c r="I900" s="504">
        <v>18</v>
      </c>
      <c r="J900" s="504">
        <v>6</v>
      </c>
      <c r="K900" s="504">
        <v>0</v>
      </c>
      <c r="L900" s="504">
        <v>0</v>
      </c>
      <c r="M900" s="504">
        <v>0</v>
      </c>
      <c r="N900" s="504">
        <v>0</v>
      </c>
      <c r="O900" s="505">
        <v>12</v>
      </c>
    </row>
    <row r="901" spans="1:15" x14ac:dyDescent="0.35">
      <c r="A901" s="500" t="s">
        <v>11368</v>
      </c>
      <c r="B901" s="501">
        <v>5083</v>
      </c>
      <c r="C901" s="501" t="s">
        <v>1094</v>
      </c>
      <c r="D901" s="501" t="s">
        <v>3380</v>
      </c>
      <c r="E901" s="501" t="s">
        <v>3381</v>
      </c>
      <c r="F901" s="501" t="s">
        <v>477</v>
      </c>
      <c r="G901" s="501" t="s">
        <v>478</v>
      </c>
      <c r="H901" s="501" t="s">
        <v>12034</v>
      </c>
      <c r="I901" s="501">
        <v>45</v>
      </c>
      <c r="J901" s="501">
        <v>45</v>
      </c>
      <c r="K901" s="501">
        <v>0</v>
      </c>
      <c r="L901" s="501">
        <v>0</v>
      </c>
      <c r="M901" s="501">
        <v>0</v>
      </c>
      <c r="N901" s="501">
        <v>0</v>
      </c>
      <c r="O901" s="506">
        <v>0</v>
      </c>
    </row>
    <row r="902" spans="1:15" x14ac:dyDescent="0.35">
      <c r="A902" s="503" t="s">
        <v>1235</v>
      </c>
      <c r="B902" s="504">
        <v>4684</v>
      </c>
      <c r="C902" s="504" t="s">
        <v>1094</v>
      </c>
      <c r="D902" s="504" t="s">
        <v>3380</v>
      </c>
      <c r="E902" s="504" t="s">
        <v>3381</v>
      </c>
      <c r="F902" s="504" t="s">
        <v>477</v>
      </c>
      <c r="G902" s="504" t="s">
        <v>478</v>
      </c>
      <c r="H902" s="504" t="s">
        <v>4119</v>
      </c>
      <c r="I902" s="504">
        <v>48</v>
      </c>
      <c r="J902" s="504">
        <v>0</v>
      </c>
      <c r="K902" s="504">
        <v>0</v>
      </c>
      <c r="L902" s="504">
        <v>48</v>
      </c>
      <c r="M902" s="504">
        <v>0</v>
      </c>
      <c r="N902" s="504">
        <v>0</v>
      </c>
      <c r="O902" s="505">
        <v>0</v>
      </c>
    </row>
    <row r="903" spans="1:15" x14ac:dyDescent="0.35">
      <c r="A903" s="500" t="s">
        <v>1126</v>
      </c>
      <c r="B903" s="501" t="s">
        <v>2974</v>
      </c>
      <c r="C903" s="501" t="s">
        <v>1094</v>
      </c>
      <c r="D903" s="501" t="s">
        <v>3380</v>
      </c>
      <c r="E903" s="501" t="s">
        <v>3381</v>
      </c>
      <c r="F903" s="501" t="s">
        <v>477</v>
      </c>
      <c r="G903" s="501" t="s">
        <v>478</v>
      </c>
      <c r="H903" s="501" t="s">
        <v>4120</v>
      </c>
      <c r="I903" s="501">
        <v>10</v>
      </c>
      <c r="J903" s="501">
        <v>10</v>
      </c>
      <c r="K903" s="501">
        <v>0</v>
      </c>
      <c r="L903" s="501">
        <v>0</v>
      </c>
      <c r="M903" s="501">
        <v>0</v>
      </c>
      <c r="N903" s="501">
        <v>0</v>
      </c>
      <c r="O903" s="506">
        <v>0</v>
      </c>
    </row>
    <row r="904" spans="1:15" x14ac:dyDescent="0.35">
      <c r="A904" s="503" t="s">
        <v>11375</v>
      </c>
      <c r="B904" s="504">
        <v>4696</v>
      </c>
      <c r="C904" s="504" t="s">
        <v>1089</v>
      </c>
      <c r="D904" s="504" t="s">
        <v>3392</v>
      </c>
      <c r="E904" s="504" t="s">
        <v>3381</v>
      </c>
      <c r="F904" s="504" t="s">
        <v>477</v>
      </c>
      <c r="G904" s="504" t="s">
        <v>478</v>
      </c>
      <c r="H904" s="504" t="s">
        <v>12119</v>
      </c>
      <c r="I904" s="504">
        <v>24</v>
      </c>
      <c r="J904" s="504">
        <v>0</v>
      </c>
      <c r="K904" s="504">
        <v>0</v>
      </c>
      <c r="L904" s="504">
        <v>24</v>
      </c>
      <c r="M904" s="504">
        <v>0</v>
      </c>
      <c r="N904" s="504">
        <v>3</v>
      </c>
      <c r="O904" s="505">
        <v>0</v>
      </c>
    </row>
    <row r="905" spans="1:15" x14ac:dyDescent="0.35">
      <c r="A905" s="500" t="s">
        <v>1360</v>
      </c>
      <c r="B905" s="501" t="s">
        <v>3350</v>
      </c>
      <c r="C905" s="501" t="s">
        <v>1094</v>
      </c>
      <c r="D905" s="501" t="s">
        <v>3380</v>
      </c>
      <c r="E905" s="501" t="s">
        <v>3381</v>
      </c>
      <c r="F905" s="501" t="s">
        <v>477</v>
      </c>
      <c r="G905" s="501" t="s">
        <v>478</v>
      </c>
      <c r="H905" s="501" t="s">
        <v>4121</v>
      </c>
      <c r="I905" s="501">
        <v>144</v>
      </c>
      <c r="J905" s="501">
        <v>131</v>
      </c>
      <c r="K905" s="501">
        <v>0</v>
      </c>
      <c r="L905" s="501">
        <v>0</v>
      </c>
      <c r="M905" s="501">
        <v>0</v>
      </c>
      <c r="N905" s="501">
        <v>0</v>
      </c>
      <c r="O905" s="506">
        <v>13</v>
      </c>
    </row>
    <row r="906" spans="1:15" x14ac:dyDescent="0.35">
      <c r="A906" s="503" t="s">
        <v>1364</v>
      </c>
      <c r="B906" s="504" t="s">
        <v>3277</v>
      </c>
      <c r="C906" s="504" t="s">
        <v>1089</v>
      </c>
      <c r="D906" s="504" t="s">
        <v>3392</v>
      </c>
      <c r="E906" s="504" t="s">
        <v>3381</v>
      </c>
      <c r="F906" s="504" t="s">
        <v>477</v>
      </c>
      <c r="G906" s="504" t="s">
        <v>478</v>
      </c>
      <c r="H906" s="504" t="s">
        <v>4122</v>
      </c>
      <c r="I906" s="504">
        <v>13</v>
      </c>
      <c r="J906" s="504">
        <v>0</v>
      </c>
      <c r="K906" s="504">
        <v>0</v>
      </c>
      <c r="L906" s="504">
        <v>13</v>
      </c>
      <c r="M906" s="504">
        <v>0</v>
      </c>
      <c r="N906" s="504">
        <v>0</v>
      </c>
      <c r="O906" s="505">
        <v>0</v>
      </c>
    </row>
    <row r="907" spans="1:15" x14ac:dyDescent="0.35">
      <c r="A907" s="500" t="s">
        <v>1372</v>
      </c>
      <c r="B907" s="501">
        <v>4867</v>
      </c>
      <c r="C907" s="501" t="s">
        <v>1089</v>
      </c>
      <c r="D907" s="501" t="s">
        <v>3392</v>
      </c>
      <c r="E907" s="501" t="s">
        <v>3381</v>
      </c>
      <c r="F907" s="501" t="s">
        <v>477</v>
      </c>
      <c r="G907" s="501" t="s">
        <v>478</v>
      </c>
      <c r="H907" s="501" t="s">
        <v>14495</v>
      </c>
      <c r="I907" s="501">
        <v>2</v>
      </c>
      <c r="J907" s="501">
        <v>2</v>
      </c>
      <c r="K907" s="501">
        <v>0</v>
      </c>
      <c r="L907" s="501">
        <v>0</v>
      </c>
      <c r="M907" s="501">
        <v>0</v>
      </c>
      <c r="N907" s="501">
        <v>0</v>
      </c>
      <c r="O907" s="506">
        <v>0</v>
      </c>
    </row>
    <row r="908" spans="1:15" x14ac:dyDescent="0.35">
      <c r="A908" s="503" t="s">
        <v>1385</v>
      </c>
      <c r="B908" s="504" t="s">
        <v>3249</v>
      </c>
      <c r="C908" s="504" t="s">
        <v>1094</v>
      </c>
      <c r="D908" s="504" t="s">
        <v>3380</v>
      </c>
      <c r="E908" s="504" t="s">
        <v>3381</v>
      </c>
      <c r="F908" s="504" t="s">
        <v>479</v>
      </c>
      <c r="G908" s="504" t="s">
        <v>480</v>
      </c>
      <c r="H908" s="504" t="s">
        <v>4123</v>
      </c>
      <c r="I908" s="504">
        <v>170</v>
      </c>
      <c r="J908" s="504">
        <v>128</v>
      </c>
      <c r="K908" s="504">
        <v>0</v>
      </c>
      <c r="L908" s="504">
        <v>31</v>
      </c>
      <c r="M908" s="504">
        <v>0</v>
      </c>
      <c r="N908" s="504">
        <v>0</v>
      </c>
      <c r="O908" s="505">
        <v>11</v>
      </c>
    </row>
    <row r="909" spans="1:15" x14ac:dyDescent="0.35">
      <c r="A909" s="500" t="s">
        <v>1393</v>
      </c>
      <c r="B909" s="501" t="s">
        <v>3194</v>
      </c>
      <c r="C909" s="501" t="s">
        <v>1089</v>
      </c>
      <c r="D909" s="501" t="s">
        <v>3392</v>
      </c>
      <c r="E909" s="501" t="s">
        <v>3381</v>
      </c>
      <c r="F909" s="501" t="s">
        <v>479</v>
      </c>
      <c r="G909" s="501" t="s">
        <v>480</v>
      </c>
      <c r="H909" s="501" t="s">
        <v>4124</v>
      </c>
      <c r="I909" s="501">
        <v>56</v>
      </c>
      <c r="J909" s="501">
        <v>56</v>
      </c>
      <c r="K909" s="501">
        <v>0</v>
      </c>
      <c r="L909" s="501">
        <v>0</v>
      </c>
      <c r="M909" s="501">
        <v>0</v>
      </c>
      <c r="N909" s="501">
        <v>0</v>
      </c>
      <c r="O909" s="506">
        <v>0</v>
      </c>
    </row>
    <row r="910" spans="1:15" x14ac:dyDescent="0.35">
      <c r="A910" s="503" t="s">
        <v>1270</v>
      </c>
      <c r="B910" s="504" t="s">
        <v>3304</v>
      </c>
      <c r="C910" s="504" t="s">
        <v>1089</v>
      </c>
      <c r="D910" s="504" t="s">
        <v>3392</v>
      </c>
      <c r="E910" s="504" t="s">
        <v>3381</v>
      </c>
      <c r="F910" s="504" t="s">
        <v>479</v>
      </c>
      <c r="G910" s="504" t="s">
        <v>480</v>
      </c>
      <c r="H910" s="504" t="s">
        <v>4125</v>
      </c>
      <c r="I910" s="504">
        <v>21</v>
      </c>
      <c r="J910" s="504">
        <v>21</v>
      </c>
      <c r="K910" s="504">
        <v>0</v>
      </c>
      <c r="L910" s="504">
        <v>0</v>
      </c>
      <c r="M910" s="504">
        <v>0</v>
      </c>
      <c r="N910" s="504">
        <v>0</v>
      </c>
      <c r="O910" s="505">
        <v>0</v>
      </c>
    </row>
    <row r="911" spans="1:15" x14ac:dyDescent="0.35">
      <c r="A911" s="500" t="s">
        <v>11381</v>
      </c>
      <c r="B911" s="501" t="s">
        <v>11449</v>
      </c>
      <c r="C911" s="501" t="s">
        <v>1089</v>
      </c>
      <c r="D911" s="501" t="s">
        <v>3392</v>
      </c>
      <c r="E911" s="501" t="s">
        <v>3381</v>
      </c>
      <c r="F911" s="501" t="s">
        <v>479</v>
      </c>
      <c r="G911" s="501" t="s">
        <v>480</v>
      </c>
      <c r="H911" s="501" t="s">
        <v>11496</v>
      </c>
      <c r="I911" s="501">
        <v>65</v>
      </c>
      <c r="J911" s="501">
        <v>61</v>
      </c>
      <c r="K911" s="501">
        <v>4</v>
      </c>
      <c r="L911" s="501">
        <v>0</v>
      </c>
      <c r="M911" s="501">
        <v>0</v>
      </c>
      <c r="N911" s="501">
        <v>0</v>
      </c>
      <c r="O911" s="506">
        <v>0</v>
      </c>
    </row>
    <row r="912" spans="1:15" x14ac:dyDescent="0.35">
      <c r="A912" s="503" t="s">
        <v>1403</v>
      </c>
      <c r="B912" s="504">
        <v>4733</v>
      </c>
      <c r="C912" s="504" t="s">
        <v>1089</v>
      </c>
      <c r="D912" s="504" t="s">
        <v>3392</v>
      </c>
      <c r="E912" s="504" t="s">
        <v>3381</v>
      </c>
      <c r="F912" s="504" t="s">
        <v>479</v>
      </c>
      <c r="G912" s="504" t="s">
        <v>480</v>
      </c>
      <c r="H912" s="504" t="s">
        <v>4126</v>
      </c>
      <c r="I912" s="504">
        <v>6</v>
      </c>
      <c r="J912" s="504">
        <v>0</v>
      </c>
      <c r="K912" s="504">
        <v>0</v>
      </c>
      <c r="L912" s="504">
        <v>6</v>
      </c>
      <c r="M912" s="504">
        <v>0</v>
      </c>
      <c r="N912" s="504">
        <v>0</v>
      </c>
      <c r="O912" s="505">
        <v>0</v>
      </c>
    </row>
    <row r="913" spans="1:15" x14ac:dyDescent="0.35">
      <c r="A913" s="500" t="s">
        <v>1161</v>
      </c>
      <c r="B913" s="501" t="s">
        <v>3001</v>
      </c>
      <c r="C913" s="501" t="s">
        <v>1094</v>
      </c>
      <c r="D913" s="501" t="s">
        <v>3380</v>
      </c>
      <c r="E913" s="501" t="s">
        <v>3381</v>
      </c>
      <c r="F913" s="501" t="s">
        <v>479</v>
      </c>
      <c r="G913" s="501" t="s">
        <v>480</v>
      </c>
      <c r="H913" s="501" t="s">
        <v>4127</v>
      </c>
      <c r="I913" s="501">
        <v>2186</v>
      </c>
      <c r="J913" s="501">
        <v>1813</v>
      </c>
      <c r="K913" s="501">
        <v>89</v>
      </c>
      <c r="L913" s="501">
        <v>0</v>
      </c>
      <c r="M913" s="501">
        <v>0</v>
      </c>
      <c r="N913" s="501">
        <v>0</v>
      </c>
      <c r="O913" s="506">
        <v>284</v>
      </c>
    </row>
    <row r="914" spans="1:15" x14ac:dyDescent="0.35">
      <c r="A914" s="503" t="s">
        <v>1411</v>
      </c>
      <c r="B914" s="504" t="s">
        <v>2873</v>
      </c>
      <c r="C914" s="504" t="s">
        <v>1089</v>
      </c>
      <c r="D914" s="504" t="s">
        <v>3392</v>
      </c>
      <c r="E914" s="504" t="s">
        <v>3381</v>
      </c>
      <c r="F914" s="504" t="s">
        <v>479</v>
      </c>
      <c r="G914" s="504" t="s">
        <v>480</v>
      </c>
      <c r="H914" s="504" t="s">
        <v>4128</v>
      </c>
      <c r="I914" s="504">
        <v>5</v>
      </c>
      <c r="J914" s="504">
        <v>1</v>
      </c>
      <c r="K914" s="504">
        <v>4</v>
      </c>
      <c r="L914" s="504">
        <v>0</v>
      </c>
      <c r="M914" s="504">
        <v>0</v>
      </c>
      <c r="N914" s="504">
        <v>0</v>
      </c>
      <c r="O914" s="505">
        <v>0</v>
      </c>
    </row>
    <row r="915" spans="1:15" x14ac:dyDescent="0.35">
      <c r="A915" s="500" t="s">
        <v>1100</v>
      </c>
      <c r="B915" s="501">
        <v>4865</v>
      </c>
      <c r="C915" s="501" t="s">
        <v>1094</v>
      </c>
      <c r="D915" s="501" t="s">
        <v>3380</v>
      </c>
      <c r="E915" s="501" t="s">
        <v>3381</v>
      </c>
      <c r="F915" s="501" t="s">
        <v>479</v>
      </c>
      <c r="G915" s="501" t="s">
        <v>480</v>
      </c>
      <c r="H915" s="501" t="s">
        <v>4129</v>
      </c>
      <c r="I915" s="501">
        <v>160</v>
      </c>
      <c r="J915" s="501">
        <v>48</v>
      </c>
      <c r="K915" s="501">
        <v>0</v>
      </c>
      <c r="L915" s="501">
        <v>0</v>
      </c>
      <c r="M915" s="501">
        <v>0</v>
      </c>
      <c r="N915" s="501">
        <v>0</v>
      </c>
      <c r="O915" s="506">
        <v>112</v>
      </c>
    </row>
    <row r="916" spans="1:15" x14ac:dyDescent="0.35">
      <c r="A916" s="503" t="s">
        <v>1692</v>
      </c>
      <c r="B916" s="504">
        <v>4780</v>
      </c>
      <c r="C916" s="504" t="s">
        <v>1089</v>
      </c>
      <c r="D916" s="504" t="s">
        <v>3392</v>
      </c>
      <c r="E916" s="504" t="s">
        <v>3381</v>
      </c>
      <c r="F916" s="504" t="s">
        <v>479</v>
      </c>
      <c r="G916" s="504" t="s">
        <v>480</v>
      </c>
      <c r="H916" s="504" t="s">
        <v>11650</v>
      </c>
      <c r="I916" s="504">
        <v>11</v>
      </c>
      <c r="J916" s="504">
        <v>0</v>
      </c>
      <c r="K916" s="504">
        <v>11</v>
      </c>
      <c r="L916" s="504">
        <v>0</v>
      </c>
      <c r="M916" s="504">
        <v>0</v>
      </c>
      <c r="N916" s="504">
        <v>11</v>
      </c>
      <c r="O916" s="505">
        <v>0</v>
      </c>
    </row>
    <row r="917" spans="1:15" x14ac:dyDescent="0.35">
      <c r="A917" s="500" t="s">
        <v>1423</v>
      </c>
      <c r="B917" s="501" t="s">
        <v>2692</v>
      </c>
      <c r="C917" s="501" t="s">
        <v>1089</v>
      </c>
      <c r="D917" s="501" t="s">
        <v>3392</v>
      </c>
      <c r="E917" s="501" t="s">
        <v>3381</v>
      </c>
      <c r="F917" s="501" t="s">
        <v>479</v>
      </c>
      <c r="G917" s="501" t="s">
        <v>480</v>
      </c>
      <c r="H917" s="501" t="s">
        <v>4130</v>
      </c>
      <c r="I917" s="501">
        <v>54</v>
      </c>
      <c r="J917" s="501">
        <v>54</v>
      </c>
      <c r="K917" s="501">
        <v>0</v>
      </c>
      <c r="L917" s="501">
        <v>0</v>
      </c>
      <c r="M917" s="501">
        <v>0</v>
      </c>
      <c r="N917" s="501">
        <v>0</v>
      </c>
      <c r="O917" s="506">
        <v>0</v>
      </c>
    </row>
    <row r="918" spans="1:15" x14ac:dyDescent="0.35">
      <c r="A918" s="503" t="s">
        <v>1172</v>
      </c>
      <c r="B918" s="504">
        <v>4648</v>
      </c>
      <c r="C918" s="504" t="s">
        <v>1089</v>
      </c>
      <c r="D918" s="504" t="s">
        <v>3392</v>
      </c>
      <c r="E918" s="504" t="s">
        <v>3381</v>
      </c>
      <c r="F918" s="504" t="s">
        <v>479</v>
      </c>
      <c r="G918" s="504" t="s">
        <v>480</v>
      </c>
      <c r="H918" s="504" t="s">
        <v>4131</v>
      </c>
      <c r="I918" s="504">
        <v>14</v>
      </c>
      <c r="J918" s="504">
        <v>0</v>
      </c>
      <c r="K918" s="504">
        <v>0</v>
      </c>
      <c r="L918" s="504">
        <v>14</v>
      </c>
      <c r="M918" s="504">
        <v>0</v>
      </c>
      <c r="N918" s="504">
        <v>0</v>
      </c>
      <c r="O918" s="505">
        <v>0</v>
      </c>
    </row>
    <row r="919" spans="1:15" x14ac:dyDescent="0.35">
      <c r="A919" s="500" t="s">
        <v>11385</v>
      </c>
      <c r="B919" s="501">
        <v>4787</v>
      </c>
      <c r="C919" s="501" t="s">
        <v>1089</v>
      </c>
      <c r="D919" s="501" t="s">
        <v>3392</v>
      </c>
      <c r="E919" s="501" t="s">
        <v>3381</v>
      </c>
      <c r="F919" s="501" t="s">
        <v>479</v>
      </c>
      <c r="G919" s="501" t="s">
        <v>480</v>
      </c>
      <c r="H919" s="501" t="s">
        <v>11671</v>
      </c>
      <c r="I919" s="501">
        <v>12</v>
      </c>
      <c r="J919" s="501">
        <v>12</v>
      </c>
      <c r="K919" s="501">
        <v>0</v>
      </c>
      <c r="L919" s="501">
        <v>0</v>
      </c>
      <c r="M919" s="501">
        <v>0</v>
      </c>
      <c r="N919" s="501">
        <v>0</v>
      </c>
      <c r="O919" s="506">
        <v>0</v>
      </c>
    </row>
    <row r="920" spans="1:15" x14ac:dyDescent="0.35">
      <c r="A920" s="503" t="s">
        <v>1439</v>
      </c>
      <c r="B920" s="504">
        <v>4569</v>
      </c>
      <c r="C920" s="504" t="s">
        <v>1089</v>
      </c>
      <c r="D920" s="504" t="s">
        <v>3392</v>
      </c>
      <c r="E920" s="504" t="s">
        <v>3381</v>
      </c>
      <c r="F920" s="504" t="s">
        <v>479</v>
      </c>
      <c r="G920" s="504" t="s">
        <v>480</v>
      </c>
      <c r="H920" s="504" t="s">
        <v>4132</v>
      </c>
      <c r="I920" s="504">
        <v>152</v>
      </c>
      <c r="J920" s="504">
        <v>152</v>
      </c>
      <c r="K920" s="504">
        <v>0</v>
      </c>
      <c r="L920" s="504">
        <v>0</v>
      </c>
      <c r="M920" s="504">
        <v>0</v>
      </c>
      <c r="N920" s="504">
        <v>8</v>
      </c>
      <c r="O920" s="505">
        <v>0</v>
      </c>
    </row>
    <row r="921" spans="1:15" x14ac:dyDescent="0.35">
      <c r="A921" s="500" t="s">
        <v>14208</v>
      </c>
      <c r="B921" s="501">
        <v>4803</v>
      </c>
      <c r="C921" s="501" t="s">
        <v>1094</v>
      </c>
      <c r="D921" s="501" t="s">
        <v>3380</v>
      </c>
      <c r="E921" s="501" t="s">
        <v>3381</v>
      </c>
      <c r="F921" s="501" t="s">
        <v>479</v>
      </c>
      <c r="G921" s="501" t="s">
        <v>480</v>
      </c>
      <c r="H921" s="501" t="s">
        <v>14496</v>
      </c>
      <c r="I921" s="501">
        <v>21</v>
      </c>
      <c r="J921" s="501">
        <v>0</v>
      </c>
      <c r="K921" s="501">
        <v>0</v>
      </c>
      <c r="L921" s="501">
        <v>21</v>
      </c>
      <c r="M921" s="501">
        <v>0</v>
      </c>
      <c r="N921" s="501">
        <v>0</v>
      </c>
      <c r="O921" s="506">
        <v>0</v>
      </c>
    </row>
    <row r="922" spans="1:15" x14ac:dyDescent="0.35">
      <c r="A922" s="503" t="s">
        <v>1185</v>
      </c>
      <c r="B922" s="504" t="s">
        <v>3253</v>
      </c>
      <c r="C922" s="504" t="s">
        <v>1094</v>
      </c>
      <c r="D922" s="504" t="s">
        <v>3380</v>
      </c>
      <c r="E922" s="504" t="s">
        <v>3381</v>
      </c>
      <c r="F922" s="504" t="s">
        <v>479</v>
      </c>
      <c r="G922" s="504" t="s">
        <v>480</v>
      </c>
      <c r="H922" s="504" t="s">
        <v>4133</v>
      </c>
      <c r="I922" s="504">
        <v>4</v>
      </c>
      <c r="J922" s="504">
        <v>0</v>
      </c>
      <c r="K922" s="504">
        <v>0</v>
      </c>
      <c r="L922" s="504">
        <v>4</v>
      </c>
      <c r="M922" s="504">
        <v>0</v>
      </c>
      <c r="N922" s="504">
        <v>0</v>
      </c>
      <c r="O922" s="505">
        <v>0</v>
      </c>
    </row>
    <row r="923" spans="1:15" x14ac:dyDescent="0.35">
      <c r="A923" s="500" t="s">
        <v>1187</v>
      </c>
      <c r="B923" s="501" t="s">
        <v>2951</v>
      </c>
      <c r="C923" s="501" t="s">
        <v>1094</v>
      </c>
      <c r="D923" s="501" t="s">
        <v>3380</v>
      </c>
      <c r="E923" s="501" t="s">
        <v>3381</v>
      </c>
      <c r="F923" s="501" t="s">
        <v>479</v>
      </c>
      <c r="G923" s="501" t="s">
        <v>480</v>
      </c>
      <c r="H923" s="501" t="s">
        <v>4134</v>
      </c>
      <c r="I923" s="501">
        <v>17</v>
      </c>
      <c r="J923" s="501">
        <v>17</v>
      </c>
      <c r="K923" s="501">
        <v>0</v>
      </c>
      <c r="L923" s="501">
        <v>0</v>
      </c>
      <c r="M923" s="501">
        <v>0</v>
      </c>
      <c r="N923" s="501">
        <v>0</v>
      </c>
      <c r="O923" s="506">
        <v>0</v>
      </c>
    </row>
    <row r="924" spans="1:15" x14ac:dyDescent="0.35">
      <c r="A924" s="503" t="s">
        <v>1463</v>
      </c>
      <c r="B924" s="504" t="s">
        <v>3195</v>
      </c>
      <c r="C924" s="504" t="s">
        <v>1094</v>
      </c>
      <c r="D924" s="504" t="s">
        <v>3392</v>
      </c>
      <c r="E924" s="504" t="s">
        <v>3381</v>
      </c>
      <c r="F924" s="504" t="s">
        <v>479</v>
      </c>
      <c r="G924" s="504" t="s">
        <v>480</v>
      </c>
      <c r="H924" s="504" t="s">
        <v>4135</v>
      </c>
      <c r="I924" s="504">
        <v>713</v>
      </c>
      <c r="J924" s="504">
        <v>713</v>
      </c>
      <c r="K924" s="504">
        <v>0</v>
      </c>
      <c r="L924" s="504">
        <v>0</v>
      </c>
      <c r="M924" s="504">
        <v>0</v>
      </c>
      <c r="N924" s="504">
        <v>5</v>
      </c>
      <c r="O924" s="505">
        <v>0</v>
      </c>
    </row>
    <row r="925" spans="1:15" x14ac:dyDescent="0.35">
      <c r="A925" s="500" t="s">
        <v>1107</v>
      </c>
      <c r="B925" s="501" t="s">
        <v>3109</v>
      </c>
      <c r="C925" s="501" t="s">
        <v>1094</v>
      </c>
      <c r="D925" s="501" t="s">
        <v>3380</v>
      </c>
      <c r="E925" s="501" t="s">
        <v>3381</v>
      </c>
      <c r="F925" s="501" t="s">
        <v>479</v>
      </c>
      <c r="G925" s="501" t="s">
        <v>480</v>
      </c>
      <c r="H925" s="501" t="s">
        <v>4136</v>
      </c>
      <c r="I925" s="501">
        <v>145</v>
      </c>
      <c r="J925" s="501">
        <v>85</v>
      </c>
      <c r="K925" s="501">
        <v>0</v>
      </c>
      <c r="L925" s="501">
        <v>0</v>
      </c>
      <c r="M925" s="501">
        <v>0</v>
      </c>
      <c r="N925" s="501">
        <v>0</v>
      </c>
      <c r="O925" s="506">
        <v>60</v>
      </c>
    </row>
    <row r="926" spans="1:15" x14ac:dyDescent="0.35">
      <c r="A926" s="503" t="s">
        <v>1469</v>
      </c>
      <c r="B926" s="504" t="s">
        <v>3023</v>
      </c>
      <c r="C926" s="504" t="s">
        <v>1089</v>
      </c>
      <c r="D926" s="504" t="s">
        <v>3392</v>
      </c>
      <c r="E926" s="504" t="s">
        <v>3381</v>
      </c>
      <c r="F926" s="504" t="s">
        <v>479</v>
      </c>
      <c r="G926" s="504" t="s">
        <v>480</v>
      </c>
      <c r="H926" s="504" t="s">
        <v>14497</v>
      </c>
      <c r="I926" s="504">
        <v>8</v>
      </c>
      <c r="J926" s="504">
        <v>8</v>
      </c>
      <c r="K926" s="504">
        <v>0</v>
      </c>
      <c r="L926" s="504">
        <v>0</v>
      </c>
      <c r="M926" s="504">
        <v>0</v>
      </c>
      <c r="N926" s="504">
        <v>0</v>
      </c>
      <c r="O926" s="505">
        <v>0</v>
      </c>
    </row>
    <row r="927" spans="1:15" x14ac:dyDescent="0.35">
      <c r="A927" s="500" t="s">
        <v>1189</v>
      </c>
      <c r="B927" s="501" t="s">
        <v>3236</v>
      </c>
      <c r="C927" s="501" t="s">
        <v>1094</v>
      </c>
      <c r="D927" s="501" t="s">
        <v>3380</v>
      </c>
      <c r="E927" s="501" t="s">
        <v>3381</v>
      </c>
      <c r="F927" s="501" t="s">
        <v>479</v>
      </c>
      <c r="G927" s="501" t="s">
        <v>480</v>
      </c>
      <c r="H927" s="501" t="s">
        <v>4137</v>
      </c>
      <c r="I927" s="501">
        <v>700</v>
      </c>
      <c r="J927" s="501">
        <v>573</v>
      </c>
      <c r="K927" s="501">
        <v>0</v>
      </c>
      <c r="L927" s="501">
        <v>0</v>
      </c>
      <c r="M927" s="501">
        <v>0</v>
      </c>
      <c r="N927" s="501">
        <v>0</v>
      </c>
      <c r="O927" s="506">
        <v>127</v>
      </c>
    </row>
    <row r="928" spans="1:15" x14ac:dyDescent="0.35">
      <c r="A928" s="503" t="s">
        <v>1307</v>
      </c>
      <c r="B928" s="504" t="s">
        <v>3306</v>
      </c>
      <c r="C928" s="504" t="s">
        <v>1089</v>
      </c>
      <c r="D928" s="504" t="s">
        <v>3392</v>
      </c>
      <c r="E928" s="504" t="s">
        <v>3381</v>
      </c>
      <c r="F928" s="504" t="s">
        <v>479</v>
      </c>
      <c r="G928" s="504" t="s">
        <v>480</v>
      </c>
      <c r="H928" s="504" t="s">
        <v>4138</v>
      </c>
      <c r="I928" s="504">
        <v>304</v>
      </c>
      <c r="J928" s="504">
        <v>253</v>
      </c>
      <c r="K928" s="504">
        <v>0</v>
      </c>
      <c r="L928" s="504">
        <v>26</v>
      </c>
      <c r="M928" s="504">
        <v>25</v>
      </c>
      <c r="N928" s="504">
        <v>0</v>
      </c>
      <c r="O928" s="505">
        <v>0</v>
      </c>
    </row>
    <row r="929" spans="1:15" x14ac:dyDescent="0.35">
      <c r="A929" s="500" t="s">
        <v>1474</v>
      </c>
      <c r="B929" s="501" t="s">
        <v>3300</v>
      </c>
      <c r="C929" s="501" t="s">
        <v>1094</v>
      </c>
      <c r="D929" s="501" t="s">
        <v>3380</v>
      </c>
      <c r="E929" s="501" t="s">
        <v>3381</v>
      </c>
      <c r="F929" s="501" t="s">
        <v>479</v>
      </c>
      <c r="G929" s="501" t="s">
        <v>480</v>
      </c>
      <c r="H929" s="501" t="s">
        <v>4139</v>
      </c>
      <c r="I929" s="501">
        <v>128</v>
      </c>
      <c r="J929" s="501">
        <v>118</v>
      </c>
      <c r="K929" s="501">
        <v>0</v>
      </c>
      <c r="L929" s="501">
        <v>0</v>
      </c>
      <c r="M929" s="501">
        <v>0</v>
      </c>
      <c r="N929" s="501">
        <v>0</v>
      </c>
      <c r="O929" s="506">
        <v>10</v>
      </c>
    </row>
    <row r="930" spans="1:15" x14ac:dyDescent="0.35">
      <c r="A930" s="503" t="s">
        <v>1308</v>
      </c>
      <c r="B930" s="504" t="s">
        <v>3263</v>
      </c>
      <c r="C930" s="504" t="s">
        <v>1089</v>
      </c>
      <c r="D930" s="504" t="s">
        <v>3392</v>
      </c>
      <c r="E930" s="504" t="s">
        <v>3381</v>
      </c>
      <c r="F930" s="504" t="s">
        <v>479</v>
      </c>
      <c r="G930" s="504" t="s">
        <v>480</v>
      </c>
      <c r="H930" s="504" t="s">
        <v>4140</v>
      </c>
      <c r="I930" s="504">
        <v>63</v>
      </c>
      <c r="J930" s="504">
        <v>0</v>
      </c>
      <c r="K930" s="504">
        <v>0</v>
      </c>
      <c r="L930" s="504">
        <v>0</v>
      </c>
      <c r="M930" s="504">
        <v>63</v>
      </c>
      <c r="N930" s="504">
        <v>0</v>
      </c>
      <c r="O930" s="505">
        <v>0</v>
      </c>
    </row>
    <row r="931" spans="1:15" x14ac:dyDescent="0.35">
      <c r="A931" s="500" t="s">
        <v>14239</v>
      </c>
      <c r="B931" s="501" t="s">
        <v>14238</v>
      </c>
      <c r="C931" s="501" t="s">
        <v>1089</v>
      </c>
      <c r="D931" s="501" t="s">
        <v>3392</v>
      </c>
      <c r="E931" s="501" t="s">
        <v>3381</v>
      </c>
      <c r="F931" s="501" t="s">
        <v>479</v>
      </c>
      <c r="G931" s="501" t="s">
        <v>480</v>
      </c>
      <c r="H931" s="501" t="s">
        <v>14498</v>
      </c>
      <c r="I931" s="501">
        <v>37</v>
      </c>
      <c r="J931" s="501">
        <v>37</v>
      </c>
      <c r="K931" s="501">
        <v>0</v>
      </c>
      <c r="L931" s="501">
        <v>0</v>
      </c>
      <c r="M931" s="501">
        <v>0</v>
      </c>
      <c r="N931" s="501">
        <v>0</v>
      </c>
      <c r="O931" s="506">
        <v>0</v>
      </c>
    </row>
    <row r="932" spans="1:15" x14ac:dyDescent="0.35">
      <c r="A932" s="503" t="s">
        <v>1195</v>
      </c>
      <c r="B932" s="504">
        <v>4693</v>
      </c>
      <c r="C932" s="504" t="s">
        <v>1089</v>
      </c>
      <c r="D932" s="504" t="s">
        <v>3392</v>
      </c>
      <c r="E932" s="504" t="s">
        <v>3381</v>
      </c>
      <c r="F932" s="504" t="s">
        <v>479</v>
      </c>
      <c r="G932" s="504" t="s">
        <v>480</v>
      </c>
      <c r="H932" s="504" t="s">
        <v>4141</v>
      </c>
      <c r="I932" s="504">
        <v>30</v>
      </c>
      <c r="J932" s="504">
        <v>0</v>
      </c>
      <c r="K932" s="504">
        <v>0</v>
      </c>
      <c r="L932" s="504">
        <v>30</v>
      </c>
      <c r="M932" s="504">
        <v>0</v>
      </c>
      <c r="N932" s="504">
        <v>0</v>
      </c>
      <c r="O932" s="505">
        <v>0</v>
      </c>
    </row>
    <row r="933" spans="1:15" x14ac:dyDescent="0.35">
      <c r="A933" s="500" t="s">
        <v>14243</v>
      </c>
      <c r="B933" s="501">
        <v>5149</v>
      </c>
      <c r="C933" s="501" t="s">
        <v>1089</v>
      </c>
      <c r="D933" s="501" t="s">
        <v>3392</v>
      </c>
      <c r="E933" s="501" t="s">
        <v>3381</v>
      </c>
      <c r="F933" s="501" t="s">
        <v>479</v>
      </c>
      <c r="G933" s="501" t="s">
        <v>480</v>
      </c>
      <c r="H933" s="501" t="s">
        <v>14499</v>
      </c>
      <c r="I933" s="501">
        <v>62</v>
      </c>
      <c r="J933" s="501">
        <v>62</v>
      </c>
      <c r="K933" s="501">
        <v>0</v>
      </c>
      <c r="L933" s="501">
        <v>0</v>
      </c>
      <c r="M933" s="501">
        <v>0</v>
      </c>
      <c r="N933" s="501">
        <v>0</v>
      </c>
      <c r="O933" s="506">
        <v>0</v>
      </c>
    </row>
    <row r="934" spans="1:15" x14ac:dyDescent="0.35">
      <c r="A934" s="503" t="s">
        <v>1310</v>
      </c>
      <c r="B934" s="504">
        <v>5062</v>
      </c>
      <c r="C934" s="504" t="s">
        <v>1089</v>
      </c>
      <c r="D934" s="504" t="s">
        <v>3380</v>
      </c>
      <c r="E934" s="504" t="s">
        <v>3381</v>
      </c>
      <c r="F934" s="504" t="s">
        <v>479</v>
      </c>
      <c r="G934" s="504" t="s">
        <v>480</v>
      </c>
      <c r="H934" s="504" t="s">
        <v>11805</v>
      </c>
      <c r="I934" s="504">
        <v>151</v>
      </c>
      <c r="J934" s="504">
        <v>151</v>
      </c>
      <c r="K934" s="504">
        <v>0</v>
      </c>
      <c r="L934" s="504">
        <v>0</v>
      </c>
      <c r="M934" s="504">
        <v>0</v>
      </c>
      <c r="N934" s="504">
        <v>0</v>
      </c>
      <c r="O934" s="505">
        <v>0</v>
      </c>
    </row>
    <row r="935" spans="1:15" x14ac:dyDescent="0.35">
      <c r="A935" s="500" t="s">
        <v>1202</v>
      </c>
      <c r="B935" s="501" t="s">
        <v>3217</v>
      </c>
      <c r="C935" s="501" t="s">
        <v>1094</v>
      </c>
      <c r="D935" s="501" t="s">
        <v>3380</v>
      </c>
      <c r="E935" s="501" t="s">
        <v>3381</v>
      </c>
      <c r="F935" s="501" t="s">
        <v>479</v>
      </c>
      <c r="G935" s="501" t="s">
        <v>480</v>
      </c>
      <c r="H935" s="501" t="s">
        <v>4142</v>
      </c>
      <c r="I935" s="501">
        <v>1306</v>
      </c>
      <c r="J935" s="501">
        <v>1159</v>
      </c>
      <c r="K935" s="501">
        <v>7</v>
      </c>
      <c r="L935" s="501">
        <v>17</v>
      </c>
      <c r="M935" s="501">
        <v>0</v>
      </c>
      <c r="N935" s="501">
        <v>1</v>
      </c>
      <c r="O935" s="506">
        <v>123</v>
      </c>
    </row>
    <row r="936" spans="1:15" x14ac:dyDescent="0.35">
      <c r="A936" s="503" t="s">
        <v>1497</v>
      </c>
      <c r="B936" s="504" t="s">
        <v>3290</v>
      </c>
      <c r="C936" s="504" t="s">
        <v>1089</v>
      </c>
      <c r="D936" s="504" t="s">
        <v>3392</v>
      </c>
      <c r="E936" s="504" t="s">
        <v>3381</v>
      </c>
      <c r="F936" s="504" t="s">
        <v>479</v>
      </c>
      <c r="G936" s="504" t="s">
        <v>480</v>
      </c>
      <c r="H936" s="504" t="s">
        <v>4143</v>
      </c>
      <c r="I936" s="504">
        <v>17</v>
      </c>
      <c r="J936" s="504">
        <v>0</v>
      </c>
      <c r="K936" s="504">
        <v>0</v>
      </c>
      <c r="L936" s="504">
        <v>0</v>
      </c>
      <c r="M936" s="504">
        <v>17</v>
      </c>
      <c r="N936" s="504">
        <v>0</v>
      </c>
      <c r="O936" s="505">
        <v>0</v>
      </c>
    </row>
    <row r="937" spans="1:15" x14ac:dyDescent="0.35">
      <c r="A937" s="500" t="s">
        <v>1112</v>
      </c>
      <c r="B937" s="501" t="s">
        <v>3008</v>
      </c>
      <c r="C937" s="501" t="s">
        <v>1094</v>
      </c>
      <c r="D937" s="501" t="s">
        <v>3380</v>
      </c>
      <c r="E937" s="501" t="s">
        <v>3381</v>
      </c>
      <c r="F937" s="501" t="s">
        <v>479</v>
      </c>
      <c r="G937" s="501" t="s">
        <v>480</v>
      </c>
      <c r="H937" s="501" t="s">
        <v>4144</v>
      </c>
      <c r="I937" s="501">
        <v>1949</v>
      </c>
      <c r="J937" s="501">
        <v>1698</v>
      </c>
      <c r="K937" s="501">
        <v>0</v>
      </c>
      <c r="L937" s="501">
        <v>27</v>
      </c>
      <c r="M937" s="501">
        <v>0</v>
      </c>
      <c r="N937" s="501">
        <v>0</v>
      </c>
      <c r="O937" s="506">
        <v>224</v>
      </c>
    </row>
    <row r="938" spans="1:15" x14ac:dyDescent="0.35">
      <c r="A938" s="503" t="s">
        <v>1315</v>
      </c>
      <c r="B938" s="504">
        <v>4825</v>
      </c>
      <c r="C938" s="504" t="s">
        <v>1094</v>
      </c>
      <c r="D938" s="504" t="s">
        <v>3380</v>
      </c>
      <c r="E938" s="504" t="s">
        <v>3381</v>
      </c>
      <c r="F938" s="504" t="s">
        <v>479</v>
      </c>
      <c r="G938" s="504" t="s">
        <v>480</v>
      </c>
      <c r="H938" s="504" t="s">
        <v>4145</v>
      </c>
      <c r="I938" s="504">
        <v>5581</v>
      </c>
      <c r="J938" s="504">
        <v>4072</v>
      </c>
      <c r="K938" s="504">
        <v>0</v>
      </c>
      <c r="L938" s="504">
        <v>205</v>
      </c>
      <c r="M938" s="504">
        <v>744</v>
      </c>
      <c r="N938" s="504">
        <v>41</v>
      </c>
      <c r="O938" s="505">
        <v>560</v>
      </c>
    </row>
    <row r="939" spans="1:15" x14ac:dyDescent="0.35">
      <c r="A939" s="500" t="s">
        <v>1319</v>
      </c>
      <c r="B939" s="501">
        <v>4880</v>
      </c>
      <c r="C939" s="501" t="s">
        <v>1094</v>
      </c>
      <c r="D939" s="501" t="s">
        <v>3380</v>
      </c>
      <c r="E939" s="501" t="s">
        <v>3381</v>
      </c>
      <c r="F939" s="501" t="s">
        <v>479</v>
      </c>
      <c r="G939" s="501" t="s">
        <v>480</v>
      </c>
      <c r="H939" s="501" t="s">
        <v>4146</v>
      </c>
      <c r="I939" s="501">
        <v>4192</v>
      </c>
      <c r="J939" s="501">
        <v>3501</v>
      </c>
      <c r="K939" s="501">
        <v>42</v>
      </c>
      <c r="L939" s="501">
        <v>243</v>
      </c>
      <c r="M939" s="501">
        <v>72</v>
      </c>
      <c r="N939" s="501">
        <v>22</v>
      </c>
      <c r="O939" s="506">
        <v>334</v>
      </c>
    </row>
    <row r="940" spans="1:15" x14ac:dyDescent="0.35">
      <c r="A940" s="503" t="s">
        <v>1120</v>
      </c>
      <c r="B940" s="504" t="s">
        <v>3362</v>
      </c>
      <c r="C940" s="504" t="s">
        <v>1094</v>
      </c>
      <c r="D940" s="504" t="s">
        <v>3380</v>
      </c>
      <c r="E940" s="504" t="s">
        <v>3381</v>
      </c>
      <c r="F940" s="504" t="s">
        <v>479</v>
      </c>
      <c r="G940" s="504" t="s">
        <v>480</v>
      </c>
      <c r="H940" s="504" t="s">
        <v>4147</v>
      </c>
      <c r="I940" s="504">
        <v>116</v>
      </c>
      <c r="J940" s="504">
        <v>0</v>
      </c>
      <c r="K940" s="504">
        <v>0</v>
      </c>
      <c r="L940" s="504">
        <v>0</v>
      </c>
      <c r="M940" s="504">
        <v>0</v>
      </c>
      <c r="N940" s="504">
        <v>0</v>
      </c>
      <c r="O940" s="505">
        <v>116</v>
      </c>
    </row>
    <row r="941" spans="1:15" x14ac:dyDescent="0.35">
      <c r="A941" s="500" t="s">
        <v>1320</v>
      </c>
      <c r="B941" s="501">
        <v>4720</v>
      </c>
      <c r="C941" s="501" t="s">
        <v>1089</v>
      </c>
      <c r="D941" s="501" t="s">
        <v>3392</v>
      </c>
      <c r="E941" s="501" t="s">
        <v>3381</v>
      </c>
      <c r="F941" s="501" t="s">
        <v>479</v>
      </c>
      <c r="G941" s="501" t="s">
        <v>480</v>
      </c>
      <c r="H941" s="501" t="s">
        <v>11874</v>
      </c>
      <c r="I941" s="501">
        <v>1</v>
      </c>
      <c r="J941" s="501">
        <v>1</v>
      </c>
      <c r="K941" s="501">
        <v>0</v>
      </c>
      <c r="L941" s="501">
        <v>0</v>
      </c>
      <c r="M941" s="501">
        <v>0</v>
      </c>
      <c r="N941" s="501">
        <v>0</v>
      </c>
      <c r="O941" s="506">
        <v>0</v>
      </c>
    </row>
    <row r="942" spans="1:15" x14ac:dyDescent="0.35">
      <c r="A942" s="503" t="s">
        <v>1510</v>
      </c>
      <c r="B942" s="504" t="s">
        <v>3004</v>
      </c>
      <c r="C942" s="504" t="s">
        <v>1094</v>
      </c>
      <c r="D942" s="504" t="s">
        <v>3380</v>
      </c>
      <c r="E942" s="504" t="s">
        <v>3381</v>
      </c>
      <c r="F942" s="504" t="s">
        <v>479</v>
      </c>
      <c r="G942" s="504" t="s">
        <v>480</v>
      </c>
      <c r="H942" s="504" t="s">
        <v>4148</v>
      </c>
      <c r="I942" s="504">
        <v>567</v>
      </c>
      <c r="J942" s="504">
        <v>388</v>
      </c>
      <c r="K942" s="504">
        <v>0</v>
      </c>
      <c r="L942" s="504">
        <v>23</v>
      </c>
      <c r="M942" s="504">
        <v>0</v>
      </c>
      <c r="N942" s="504">
        <v>0</v>
      </c>
      <c r="O942" s="505">
        <v>156</v>
      </c>
    </row>
    <row r="943" spans="1:15" x14ac:dyDescent="0.35">
      <c r="A943" s="500" t="s">
        <v>1511</v>
      </c>
      <c r="B943" s="501" t="s">
        <v>3127</v>
      </c>
      <c r="C943" s="501" t="s">
        <v>1089</v>
      </c>
      <c r="D943" s="501" t="s">
        <v>3392</v>
      </c>
      <c r="E943" s="501" t="s">
        <v>3381</v>
      </c>
      <c r="F943" s="501" t="s">
        <v>479</v>
      </c>
      <c r="G943" s="501" t="s">
        <v>480</v>
      </c>
      <c r="H943" s="501" t="s">
        <v>4149</v>
      </c>
      <c r="I943" s="501">
        <v>15</v>
      </c>
      <c r="J943" s="501">
        <v>15</v>
      </c>
      <c r="K943" s="501">
        <v>0</v>
      </c>
      <c r="L943" s="501">
        <v>0</v>
      </c>
      <c r="M943" s="501">
        <v>0</v>
      </c>
      <c r="N943" s="501">
        <v>0</v>
      </c>
      <c r="O943" s="506">
        <v>0</v>
      </c>
    </row>
    <row r="944" spans="1:15" x14ac:dyDescent="0.35">
      <c r="A944" s="503" t="s">
        <v>1322</v>
      </c>
      <c r="B944" s="504" t="s">
        <v>3244</v>
      </c>
      <c r="C944" s="504" t="s">
        <v>1094</v>
      </c>
      <c r="D944" s="504" t="s">
        <v>3380</v>
      </c>
      <c r="E944" s="504" t="s">
        <v>3381</v>
      </c>
      <c r="F944" s="504" t="s">
        <v>479</v>
      </c>
      <c r="G944" s="504" t="s">
        <v>480</v>
      </c>
      <c r="H944" s="504" t="s">
        <v>4150</v>
      </c>
      <c r="I944" s="504">
        <v>1</v>
      </c>
      <c r="J944" s="504">
        <v>1</v>
      </c>
      <c r="K944" s="504">
        <v>0</v>
      </c>
      <c r="L944" s="504">
        <v>0</v>
      </c>
      <c r="M944" s="504">
        <v>0</v>
      </c>
      <c r="N944" s="504">
        <v>0</v>
      </c>
      <c r="O944" s="505">
        <v>0</v>
      </c>
    </row>
    <row r="945" spans="1:15" x14ac:dyDescent="0.35">
      <c r="A945" s="500" t="s">
        <v>1324</v>
      </c>
      <c r="B945" s="501">
        <v>4766</v>
      </c>
      <c r="C945" s="501" t="s">
        <v>1089</v>
      </c>
      <c r="D945" s="501" t="s">
        <v>3392</v>
      </c>
      <c r="E945" s="501" t="s">
        <v>3381</v>
      </c>
      <c r="F945" s="501" t="s">
        <v>479</v>
      </c>
      <c r="G945" s="501" t="s">
        <v>480</v>
      </c>
      <c r="H945" s="501" t="s">
        <v>4151</v>
      </c>
      <c r="I945" s="501">
        <v>2</v>
      </c>
      <c r="J945" s="501">
        <v>2</v>
      </c>
      <c r="K945" s="501">
        <v>0</v>
      </c>
      <c r="L945" s="501">
        <v>0</v>
      </c>
      <c r="M945" s="501">
        <v>0</v>
      </c>
      <c r="N945" s="501">
        <v>0</v>
      </c>
      <c r="O945" s="506">
        <v>0</v>
      </c>
    </row>
    <row r="946" spans="1:15" x14ac:dyDescent="0.35">
      <c r="A946" s="503" t="s">
        <v>1325</v>
      </c>
      <c r="B946" s="504" t="s">
        <v>3011</v>
      </c>
      <c r="C946" s="504" t="s">
        <v>1094</v>
      </c>
      <c r="D946" s="504" t="s">
        <v>3380</v>
      </c>
      <c r="E946" s="504" t="s">
        <v>3381</v>
      </c>
      <c r="F946" s="504" t="s">
        <v>479</v>
      </c>
      <c r="G946" s="504" t="s">
        <v>480</v>
      </c>
      <c r="H946" s="504" t="s">
        <v>4152</v>
      </c>
      <c r="I946" s="504">
        <v>349</v>
      </c>
      <c r="J946" s="504">
        <v>322</v>
      </c>
      <c r="K946" s="504">
        <v>0</v>
      </c>
      <c r="L946" s="504">
        <v>0</v>
      </c>
      <c r="M946" s="504">
        <v>0</v>
      </c>
      <c r="N946" s="504">
        <v>0</v>
      </c>
      <c r="O946" s="505">
        <v>27</v>
      </c>
    </row>
    <row r="947" spans="1:15" x14ac:dyDescent="0.35">
      <c r="A947" s="500" t="s">
        <v>1327</v>
      </c>
      <c r="B947" s="501" t="s">
        <v>3330</v>
      </c>
      <c r="C947" s="501" t="s">
        <v>1094</v>
      </c>
      <c r="D947" s="501" t="s">
        <v>3380</v>
      </c>
      <c r="E947" s="501" t="s">
        <v>3381</v>
      </c>
      <c r="F947" s="501" t="s">
        <v>479</v>
      </c>
      <c r="G947" s="501" t="s">
        <v>480</v>
      </c>
      <c r="H947" s="501" t="s">
        <v>4153</v>
      </c>
      <c r="I947" s="501">
        <v>72</v>
      </c>
      <c r="J947" s="501">
        <v>40</v>
      </c>
      <c r="K947" s="501">
        <v>0</v>
      </c>
      <c r="L947" s="501">
        <v>0</v>
      </c>
      <c r="M947" s="501">
        <v>0</v>
      </c>
      <c r="N947" s="501">
        <v>0</v>
      </c>
      <c r="O947" s="506">
        <v>32</v>
      </c>
    </row>
    <row r="948" spans="1:15" x14ac:dyDescent="0.35">
      <c r="A948" s="503" t="s">
        <v>1220</v>
      </c>
      <c r="B948" s="504">
        <v>4849</v>
      </c>
      <c r="C948" s="504" t="s">
        <v>1094</v>
      </c>
      <c r="D948" s="504" t="s">
        <v>3380</v>
      </c>
      <c r="E948" s="504" t="s">
        <v>3381</v>
      </c>
      <c r="F948" s="504" t="s">
        <v>479</v>
      </c>
      <c r="G948" s="504" t="s">
        <v>480</v>
      </c>
      <c r="H948" s="504" t="s">
        <v>4154</v>
      </c>
      <c r="I948" s="504">
        <v>430</v>
      </c>
      <c r="J948" s="504">
        <v>297</v>
      </c>
      <c r="K948" s="504">
        <v>0</v>
      </c>
      <c r="L948" s="504">
        <v>0</v>
      </c>
      <c r="M948" s="504">
        <v>112</v>
      </c>
      <c r="N948" s="504">
        <v>0</v>
      </c>
      <c r="O948" s="505">
        <v>21</v>
      </c>
    </row>
    <row r="949" spans="1:15" x14ac:dyDescent="0.35">
      <c r="A949" s="500" t="s">
        <v>1221</v>
      </c>
      <c r="B949" s="501">
        <v>4728</v>
      </c>
      <c r="C949" s="501" t="s">
        <v>1089</v>
      </c>
      <c r="D949" s="501" t="s">
        <v>3392</v>
      </c>
      <c r="E949" s="501" t="s">
        <v>3381</v>
      </c>
      <c r="F949" s="501" t="s">
        <v>479</v>
      </c>
      <c r="G949" s="501" t="s">
        <v>480</v>
      </c>
      <c r="H949" s="501" t="s">
        <v>4155</v>
      </c>
      <c r="I949" s="501">
        <v>18</v>
      </c>
      <c r="J949" s="501">
        <v>0</v>
      </c>
      <c r="K949" s="501">
        <v>0</v>
      </c>
      <c r="L949" s="501">
        <v>18</v>
      </c>
      <c r="M949" s="501">
        <v>0</v>
      </c>
      <c r="N949" s="501">
        <v>0</v>
      </c>
      <c r="O949" s="506">
        <v>0</v>
      </c>
    </row>
    <row r="950" spans="1:15" x14ac:dyDescent="0.35">
      <c r="A950" s="503" t="s">
        <v>1330</v>
      </c>
      <c r="B950" s="504" t="s">
        <v>3134</v>
      </c>
      <c r="C950" s="504" t="s">
        <v>1089</v>
      </c>
      <c r="D950" s="504" t="s">
        <v>3392</v>
      </c>
      <c r="E950" s="504" t="s">
        <v>3381</v>
      </c>
      <c r="F950" s="504" t="s">
        <v>479</v>
      </c>
      <c r="G950" s="504" t="s">
        <v>480</v>
      </c>
      <c r="H950" s="504" t="s">
        <v>11976</v>
      </c>
      <c r="I950" s="504">
        <v>99</v>
      </c>
      <c r="J950" s="504">
        <v>99</v>
      </c>
      <c r="K950" s="504">
        <v>0</v>
      </c>
      <c r="L950" s="504">
        <v>0</v>
      </c>
      <c r="M950" s="504">
        <v>0</v>
      </c>
      <c r="N950" s="504">
        <v>0</v>
      </c>
      <c r="O950" s="505">
        <v>0</v>
      </c>
    </row>
    <row r="951" spans="1:15" x14ac:dyDescent="0.35">
      <c r="A951" s="500" t="s">
        <v>1332</v>
      </c>
      <c r="B951" s="501">
        <v>4878</v>
      </c>
      <c r="C951" s="501" t="s">
        <v>1094</v>
      </c>
      <c r="D951" s="501" t="s">
        <v>3380</v>
      </c>
      <c r="E951" s="501" t="s">
        <v>3381</v>
      </c>
      <c r="F951" s="501" t="s">
        <v>479</v>
      </c>
      <c r="G951" s="501" t="s">
        <v>480</v>
      </c>
      <c r="H951" s="501" t="s">
        <v>4156</v>
      </c>
      <c r="I951" s="501">
        <v>750</v>
      </c>
      <c r="J951" s="501">
        <v>622</v>
      </c>
      <c r="K951" s="501">
        <v>0</v>
      </c>
      <c r="L951" s="501">
        <v>64</v>
      </c>
      <c r="M951" s="501">
        <v>0</v>
      </c>
      <c r="N951" s="501">
        <v>0</v>
      </c>
      <c r="O951" s="506">
        <v>64</v>
      </c>
    </row>
    <row r="952" spans="1:15" x14ac:dyDescent="0.35">
      <c r="A952" s="503" t="s">
        <v>1530</v>
      </c>
      <c r="B952" s="504" t="s">
        <v>2744</v>
      </c>
      <c r="C952" s="504" t="s">
        <v>1089</v>
      </c>
      <c r="D952" s="504" t="s">
        <v>3392</v>
      </c>
      <c r="E952" s="504" t="s">
        <v>3381</v>
      </c>
      <c r="F952" s="504" t="s">
        <v>479</v>
      </c>
      <c r="G952" s="504" t="s">
        <v>480</v>
      </c>
      <c r="H952" s="504" t="s">
        <v>4157</v>
      </c>
      <c r="I952" s="504">
        <v>2</v>
      </c>
      <c r="J952" s="504">
        <v>2</v>
      </c>
      <c r="K952" s="504">
        <v>0</v>
      </c>
      <c r="L952" s="504">
        <v>0</v>
      </c>
      <c r="M952" s="504">
        <v>0</v>
      </c>
      <c r="N952" s="504">
        <v>0</v>
      </c>
      <c r="O952" s="505">
        <v>0</v>
      </c>
    </row>
    <row r="953" spans="1:15" x14ac:dyDescent="0.35">
      <c r="A953" s="500" t="s">
        <v>1124</v>
      </c>
      <c r="B953" s="501">
        <v>4745</v>
      </c>
      <c r="C953" s="501" t="s">
        <v>1094</v>
      </c>
      <c r="D953" s="501" t="s">
        <v>3380</v>
      </c>
      <c r="E953" s="501" t="s">
        <v>3381</v>
      </c>
      <c r="F953" s="501" t="s">
        <v>479</v>
      </c>
      <c r="G953" s="501" t="s">
        <v>480</v>
      </c>
      <c r="H953" s="501" t="s">
        <v>4158</v>
      </c>
      <c r="I953" s="501">
        <v>6</v>
      </c>
      <c r="J953" s="501">
        <v>0</v>
      </c>
      <c r="K953" s="501">
        <v>0</v>
      </c>
      <c r="L953" s="501">
        <v>6</v>
      </c>
      <c r="M953" s="501">
        <v>0</v>
      </c>
      <c r="N953" s="501">
        <v>0</v>
      </c>
      <c r="O953" s="506">
        <v>0</v>
      </c>
    </row>
    <row r="954" spans="1:15" x14ac:dyDescent="0.35">
      <c r="A954" s="503" t="s">
        <v>1234</v>
      </c>
      <c r="B954" s="504" t="s">
        <v>3291</v>
      </c>
      <c r="C954" s="504" t="s">
        <v>1094</v>
      </c>
      <c r="D954" s="504" t="s">
        <v>3380</v>
      </c>
      <c r="E954" s="504" t="s">
        <v>3381</v>
      </c>
      <c r="F954" s="504" t="s">
        <v>479</v>
      </c>
      <c r="G954" s="504" t="s">
        <v>480</v>
      </c>
      <c r="H954" s="504" t="s">
        <v>4159</v>
      </c>
      <c r="I954" s="504">
        <v>108</v>
      </c>
      <c r="J954" s="504">
        <v>60</v>
      </c>
      <c r="K954" s="504">
        <v>0</v>
      </c>
      <c r="L954" s="504">
        <v>8</v>
      </c>
      <c r="M954" s="504">
        <v>40</v>
      </c>
      <c r="N954" s="504">
        <v>0</v>
      </c>
      <c r="O954" s="505">
        <v>0</v>
      </c>
    </row>
    <row r="955" spans="1:15" x14ac:dyDescent="0.35">
      <c r="A955" s="500" t="s">
        <v>1126</v>
      </c>
      <c r="B955" s="501" t="s">
        <v>2974</v>
      </c>
      <c r="C955" s="501" t="s">
        <v>1094</v>
      </c>
      <c r="D955" s="501" t="s">
        <v>3380</v>
      </c>
      <c r="E955" s="501" t="s">
        <v>3381</v>
      </c>
      <c r="F955" s="501" t="s">
        <v>479</v>
      </c>
      <c r="G955" s="501" t="s">
        <v>480</v>
      </c>
      <c r="H955" s="501" t="s">
        <v>4160</v>
      </c>
      <c r="I955" s="501">
        <v>25</v>
      </c>
      <c r="J955" s="501">
        <v>0</v>
      </c>
      <c r="K955" s="501">
        <v>0</v>
      </c>
      <c r="L955" s="501">
        <v>25</v>
      </c>
      <c r="M955" s="501">
        <v>0</v>
      </c>
      <c r="N955" s="501">
        <v>0</v>
      </c>
      <c r="O955" s="506">
        <v>0</v>
      </c>
    </row>
    <row r="956" spans="1:15" x14ac:dyDescent="0.35">
      <c r="A956" s="503" t="s">
        <v>1340</v>
      </c>
      <c r="B956" s="504" t="s">
        <v>2862</v>
      </c>
      <c r="C956" s="504" t="s">
        <v>1089</v>
      </c>
      <c r="D956" s="504" t="s">
        <v>3392</v>
      </c>
      <c r="E956" s="504" t="s">
        <v>3381</v>
      </c>
      <c r="F956" s="504" t="s">
        <v>479</v>
      </c>
      <c r="G956" s="504" t="s">
        <v>480</v>
      </c>
      <c r="H956" s="504" t="s">
        <v>4161</v>
      </c>
      <c r="I956" s="504">
        <v>25</v>
      </c>
      <c r="J956" s="504">
        <v>25</v>
      </c>
      <c r="K956" s="504">
        <v>0</v>
      </c>
      <c r="L956" s="504">
        <v>0</v>
      </c>
      <c r="M956" s="504">
        <v>0</v>
      </c>
      <c r="N956" s="504">
        <v>0</v>
      </c>
      <c r="O956" s="505">
        <v>0</v>
      </c>
    </row>
    <row r="957" spans="1:15" x14ac:dyDescent="0.35">
      <c r="A957" s="500" t="s">
        <v>1342</v>
      </c>
      <c r="B957" s="501" t="s">
        <v>3237</v>
      </c>
      <c r="C957" s="501" t="s">
        <v>1094</v>
      </c>
      <c r="D957" s="501" t="s">
        <v>3380</v>
      </c>
      <c r="E957" s="501" t="s">
        <v>3381</v>
      </c>
      <c r="F957" s="501" t="s">
        <v>479</v>
      </c>
      <c r="G957" s="501" t="s">
        <v>480</v>
      </c>
      <c r="H957" s="501" t="s">
        <v>4162</v>
      </c>
      <c r="I957" s="501">
        <v>40</v>
      </c>
      <c r="J957" s="501">
        <v>34</v>
      </c>
      <c r="K957" s="501">
        <v>0</v>
      </c>
      <c r="L957" s="501">
        <v>0</v>
      </c>
      <c r="M957" s="501">
        <v>0</v>
      </c>
      <c r="N957" s="501">
        <v>1</v>
      </c>
      <c r="O957" s="506">
        <v>6</v>
      </c>
    </row>
    <row r="958" spans="1:15" x14ac:dyDescent="0.35">
      <c r="A958" s="503" t="s">
        <v>1130</v>
      </c>
      <c r="B958" s="504" t="s">
        <v>3234</v>
      </c>
      <c r="C958" s="504" t="s">
        <v>1094</v>
      </c>
      <c r="D958" s="504" t="s">
        <v>3380</v>
      </c>
      <c r="E958" s="504" t="s">
        <v>3381</v>
      </c>
      <c r="F958" s="504" t="s">
        <v>479</v>
      </c>
      <c r="G958" s="504" t="s">
        <v>480</v>
      </c>
      <c r="H958" s="504" t="s">
        <v>4163</v>
      </c>
      <c r="I958" s="504">
        <v>4</v>
      </c>
      <c r="J958" s="504">
        <v>2</v>
      </c>
      <c r="K958" s="504">
        <v>0</v>
      </c>
      <c r="L958" s="504">
        <v>0</v>
      </c>
      <c r="M958" s="504">
        <v>0</v>
      </c>
      <c r="N958" s="504">
        <v>1</v>
      </c>
      <c r="O958" s="505">
        <v>2</v>
      </c>
    </row>
    <row r="959" spans="1:15" x14ac:dyDescent="0.35">
      <c r="A959" s="500" t="s">
        <v>1345</v>
      </c>
      <c r="B959" s="501" t="s">
        <v>3247</v>
      </c>
      <c r="C959" s="501" t="s">
        <v>1094</v>
      </c>
      <c r="D959" s="501" t="s">
        <v>3380</v>
      </c>
      <c r="E959" s="501" t="s">
        <v>3381</v>
      </c>
      <c r="F959" s="501" t="s">
        <v>479</v>
      </c>
      <c r="G959" s="501" t="s">
        <v>480</v>
      </c>
      <c r="H959" s="501" t="s">
        <v>4164</v>
      </c>
      <c r="I959" s="501">
        <v>149</v>
      </c>
      <c r="J959" s="501">
        <v>0</v>
      </c>
      <c r="K959" s="501">
        <v>0</v>
      </c>
      <c r="L959" s="501">
        <v>149</v>
      </c>
      <c r="M959" s="501">
        <v>0</v>
      </c>
      <c r="N959" s="501">
        <v>0</v>
      </c>
      <c r="O959" s="506">
        <v>0</v>
      </c>
    </row>
    <row r="960" spans="1:15" x14ac:dyDescent="0.35">
      <c r="A960" s="503" t="s">
        <v>1558</v>
      </c>
      <c r="B960" s="504">
        <v>4843</v>
      </c>
      <c r="C960" s="504" t="s">
        <v>1089</v>
      </c>
      <c r="D960" s="504" t="s">
        <v>3392</v>
      </c>
      <c r="E960" s="504" t="s">
        <v>3381</v>
      </c>
      <c r="F960" s="504" t="s">
        <v>479</v>
      </c>
      <c r="G960" s="504" t="s">
        <v>480</v>
      </c>
      <c r="H960" s="504" t="s">
        <v>14500</v>
      </c>
      <c r="I960" s="504">
        <v>4</v>
      </c>
      <c r="J960" s="504">
        <v>4</v>
      </c>
      <c r="K960" s="504">
        <v>0</v>
      </c>
      <c r="L960" s="504">
        <v>0</v>
      </c>
      <c r="M960" s="504">
        <v>0</v>
      </c>
      <c r="N960" s="504">
        <v>0</v>
      </c>
      <c r="O960" s="505">
        <v>0</v>
      </c>
    </row>
    <row r="961" spans="1:15" x14ac:dyDescent="0.35">
      <c r="A961" s="500" t="s">
        <v>1347</v>
      </c>
      <c r="B961" s="501" t="s">
        <v>3185</v>
      </c>
      <c r="C961" s="501" t="s">
        <v>1089</v>
      </c>
      <c r="D961" s="501" t="s">
        <v>3392</v>
      </c>
      <c r="E961" s="501" t="s">
        <v>3381</v>
      </c>
      <c r="F961" s="501" t="s">
        <v>479</v>
      </c>
      <c r="G961" s="501" t="s">
        <v>480</v>
      </c>
      <c r="H961" s="501" t="s">
        <v>4165</v>
      </c>
      <c r="I961" s="501">
        <v>34</v>
      </c>
      <c r="J961" s="501">
        <v>34</v>
      </c>
      <c r="K961" s="501">
        <v>0</v>
      </c>
      <c r="L961" s="501">
        <v>0</v>
      </c>
      <c r="M961" s="501">
        <v>0</v>
      </c>
      <c r="N961" s="501">
        <v>0</v>
      </c>
      <c r="O961" s="506">
        <v>0</v>
      </c>
    </row>
    <row r="962" spans="1:15" x14ac:dyDescent="0.35">
      <c r="A962" s="503" t="s">
        <v>1559</v>
      </c>
      <c r="B962" s="504" t="s">
        <v>3252</v>
      </c>
      <c r="C962" s="504" t="s">
        <v>1089</v>
      </c>
      <c r="D962" s="504" t="s">
        <v>3392</v>
      </c>
      <c r="E962" s="504" t="s">
        <v>3381</v>
      </c>
      <c r="F962" s="504" t="s">
        <v>479</v>
      </c>
      <c r="G962" s="504" t="s">
        <v>480</v>
      </c>
      <c r="H962" s="504" t="s">
        <v>4166</v>
      </c>
      <c r="I962" s="504">
        <v>49</v>
      </c>
      <c r="J962" s="504">
        <v>49</v>
      </c>
      <c r="K962" s="504">
        <v>0</v>
      </c>
      <c r="L962" s="504">
        <v>0</v>
      </c>
      <c r="M962" s="504">
        <v>0</v>
      </c>
      <c r="N962" s="504">
        <v>0</v>
      </c>
      <c r="O962" s="505">
        <v>0</v>
      </c>
    </row>
    <row r="963" spans="1:15" x14ac:dyDescent="0.35">
      <c r="A963" s="500" t="s">
        <v>1253</v>
      </c>
      <c r="B963" s="501" t="s">
        <v>3232</v>
      </c>
      <c r="C963" s="501" t="s">
        <v>1094</v>
      </c>
      <c r="D963" s="501" t="s">
        <v>3380</v>
      </c>
      <c r="E963" s="501" t="s">
        <v>3381</v>
      </c>
      <c r="F963" s="501" t="s">
        <v>479</v>
      </c>
      <c r="G963" s="501" t="s">
        <v>480</v>
      </c>
      <c r="H963" s="501" t="s">
        <v>4167</v>
      </c>
      <c r="I963" s="501">
        <v>161</v>
      </c>
      <c r="J963" s="501">
        <v>0</v>
      </c>
      <c r="K963" s="501">
        <v>0</v>
      </c>
      <c r="L963" s="501">
        <v>161</v>
      </c>
      <c r="M963" s="501">
        <v>0</v>
      </c>
      <c r="N963" s="501">
        <v>0</v>
      </c>
      <c r="O963" s="506">
        <v>0</v>
      </c>
    </row>
    <row r="964" spans="1:15" x14ac:dyDescent="0.35">
      <c r="A964" s="503" t="s">
        <v>1595</v>
      </c>
      <c r="B964" s="504" t="s">
        <v>2669</v>
      </c>
      <c r="C964" s="504" t="s">
        <v>1089</v>
      </c>
      <c r="D964" s="504" t="s">
        <v>3392</v>
      </c>
      <c r="E964" s="504" t="s">
        <v>3381</v>
      </c>
      <c r="F964" s="504" t="s">
        <v>479</v>
      </c>
      <c r="G964" s="504" t="s">
        <v>480</v>
      </c>
      <c r="H964" s="504" t="s">
        <v>4168</v>
      </c>
      <c r="I964" s="504">
        <v>4</v>
      </c>
      <c r="J964" s="504">
        <v>4</v>
      </c>
      <c r="K964" s="504">
        <v>0</v>
      </c>
      <c r="L964" s="504">
        <v>0</v>
      </c>
      <c r="M964" s="504">
        <v>0</v>
      </c>
      <c r="N964" s="504">
        <v>0</v>
      </c>
      <c r="O964" s="505">
        <v>0</v>
      </c>
    </row>
    <row r="965" spans="1:15" x14ac:dyDescent="0.35">
      <c r="A965" s="500" t="s">
        <v>1599</v>
      </c>
      <c r="B965" s="501" t="s">
        <v>3303</v>
      </c>
      <c r="C965" s="501" t="s">
        <v>1089</v>
      </c>
      <c r="D965" s="501" t="s">
        <v>3392</v>
      </c>
      <c r="E965" s="501" t="s">
        <v>3381</v>
      </c>
      <c r="F965" s="501" t="s">
        <v>479</v>
      </c>
      <c r="G965" s="501" t="s">
        <v>480</v>
      </c>
      <c r="H965" s="501" t="s">
        <v>4169</v>
      </c>
      <c r="I965" s="501">
        <v>63</v>
      </c>
      <c r="J965" s="501">
        <v>63</v>
      </c>
      <c r="K965" s="501">
        <v>0</v>
      </c>
      <c r="L965" s="501">
        <v>0</v>
      </c>
      <c r="M965" s="501">
        <v>0</v>
      </c>
      <c r="N965" s="501">
        <v>0</v>
      </c>
      <c r="O965" s="506">
        <v>0</v>
      </c>
    </row>
    <row r="966" spans="1:15" x14ac:dyDescent="0.35">
      <c r="A966" s="503" t="s">
        <v>1601</v>
      </c>
      <c r="B966" s="504" t="s">
        <v>2750</v>
      </c>
      <c r="C966" s="504" t="s">
        <v>1089</v>
      </c>
      <c r="D966" s="504" t="s">
        <v>3392</v>
      </c>
      <c r="E966" s="504" t="s">
        <v>3381</v>
      </c>
      <c r="F966" s="504" t="s">
        <v>479</v>
      </c>
      <c r="G966" s="504" t="s">
        <v>480</v>
      </c>
      <c r="H966" s="504" t="s">
        <v>4170</v>
      </c>
      <c r="I966" s="504">
        <v>18</v>
      </c>
      <c r="J966" s="504">
        <v>18</v>
      </c>
      <c r="K966" s="504">
        <v>0</v>
      </c>
      <c r="L966" s="504">
        <v>0</v>
      </c>
      <c r="M966" s="504">
        <v>0</v>
      </c>
      <c r="N966" s="504">
        <v>0</v>
      </c>
      <c r="O966" s="505">
        <v>0</v>
      </c>
    </row>
    <row r="967" spans="1:15" x14ac:dyDescent="0.35">
      <c r="A967" s="500" t="s">
        <v>1264</v>
      </c>
      <c r="B967" s="501">
        <v>4671</v>
      </c>
      <c r="C967" s="501" t="s">
        <v>1089</v>
      </c>
      <c r="D967" s="501" t="s">
        <v>3392</v>
      </c>
      <c r="E967" s="501" t="s">
        <v>3381</v>
      </c>
      <c r="F967" s="501" t="s">
        <v>479</v>
      </c>
      <c r="G967" s="501" t="s">
        <v>480</v>
      </c>
      <c r="H967" s="501" t="s">
        <v>14501</v>
      </c>
      <c r="I967" s="501">
        <v>89</v>
      </c>
      <c r="J967" s="501">
        <v>0</v>
      </c>
      <c r="K967" s="501">
        <v>0</v>
      </c>
      <c r="L967" s="501">
        <v>89</v>
      </c>
      <c r="M967" s="501">
        <v>0</v>
      </c>
      <c r="N967" s="501">
        <v>0</v>
      </c>
      <c r="O967" s="506">
        <v>0</v>
      </c>
    </row>
    <row r="968" spans="1:15" x14ac:dyDescent="0.35">
      <c r="A968" s="503" t="s">
        <v>1266</v>
      </c>
      <c r="B968" s="504" t="s">
        <v>3071</v>
      </c>
      <c r="C968" s="504" t="s">
        <v>1094</v>
      </c>
      <c r="D968" s="504" t="s">
        <v>3380</v>
      </c>
      <c r="E968" s="504" t="s">
        <v>3381</v>
      </c>
      <c r="F968" s="504" t="s">
        <v>479</v>
      </c>
      <c r="G968" s="504" t="s">
        <v>480</v>
      </c>
      <c r="H968" s="504" t="s">
        <v>4171</v>
      </c>
      <c r="I968" s="504">
        <v>1</v>
      </c>
      <c r="J968" s="504">
        <v>0</v>
      </c>
      <c r="K968" s="504">
        <v>0</v>
      </c>
      <c r="L968" s="504">
        <v>0</v>
      </c>
      <c r="M968" s="504">
        <v>0</v>
      </c>
      <c r="N968" s="504">
        <v>0</v>
      </c>
      <c r="O968" s="505">
        <v>1</v>
      </c>
    </row>
    <row r="969" spans="1:15" x14ac:dyDescent="0.35">
      <c r="A969" s="500" t="s">
        <v>1096</v>
      </c>
      <c r="B969" s="501" t="s">
        <v>3326</v>
      </c>
      <c r="C969" s="501" t="s">
        <v>1094</v>
      </c>
      <c r="D969" s="501" t="s">
        <v>3380</v>
      </c>
      <c r="E969" s="501" t="s">
        <v>3381</v>
      </c>
      <c r="F969" s="501" t="s">
        <v>481</v>
      </c>
      <c r="G969" s="501" t="s">
        <v>482</v>
      </c>
      <c r="H969" s="501" t="s">
        <v>4172</v>
      </c>
      <c r="I969" s="501">
        <v>96</v>
      </c>
      <c r="J969" s="501">
        <v>0</v>
      </c>
      <c r="K969" s="501">
        <v>0</v>
      </c>
      <c r="L969" s="501">
        <v>0</v>
      </c>
      <c r="M969" s="501">
        <v>96</v>
      </c>
      <c r="N969" s="501">
        <v>0</v>
      </c>
      <c r="O969" s="506">
        <v>0</v>
      </c>
    </row>
    <row r="970" spans="1:15" x14ac:dyDescent="0.35">
      <c r="A970" s="503" t="s">
        <v>1273</v>
      </c>
      <c r="B970" s="504" t="s">
        <v>3197</v>
      </c>
      <c r="C970" s="504" t="s">
        <v>1094</v>
      </c>
      <c r="D970" s="504" t="s">
        <v>3380</v>
      </c>
      <c r="E970" s="504" t="s">
        <v>3381</v>
      </c>
      <c r="F970" s="504" t="s">
        <v>481</v>
      </c>
      <c r="G970" s="504" t="s">
        <v>482</v>
      </c>
      <c r="H970" s="504" t="s">
        <v>4173</v>
      </c>
      <c r="I970" s="504">
        <v>24</v>
      </c>
      <c r="J970" s="504">
        <v>6</v>
      </c>
      <c r="K970" s="504">
        <v>0</v>
      </c>
      <c r="L970" s="504">
        <v>0</v>
      </c>
      <c r="M970" s="504">
        <v>0</v>
      </c>
      <c r="N970" s="504">
        <v>0</v>
      </c>
      <c r="O970" s="505">
        <v>18</v>
      </c>
    </row>
    <row r="971" spans="1:15" x14ac:dyDescent="0.35">
      <c r="A971" s="500" t="s">
        <v>1281</v>
      </c>
      <c r="B971" s="501" t="s">
        <v>3044</v>
      </c>
      <c r="C971" s="501" t="s">
        <v>1089</v>
      </c>
      <c r="D971" s="501" t="s">
        <v>3392</v>
      </c>
      <c r="E971" s="501" t="s">
        <v>3381</v>
      </c>
      <c r="F971" s="501" t="s">
        <v>481</v>
      </c>
      <c r="G971" s="501" t="s">
        <v>482</v>
      </c>
      <c r="H971" s="501" t="s">
        <v>4174</v>
      </c>
      <c r="I971" s="501">
        <v>142</v>
      </c>
      <c r="J971" s="501">
        <v>135</v>
      </c>
      <c r="K971" s="501">
        <v>7</v>
      </c>
      <c r="L971" s="501">
        <v>0</v>
      </c>
      <c r="M971" s="501">
        <v>0</v>
      </c>
      <c r="N971" s="501">
        <v>0</v>
      </c>
      <c r="O971" s="506">
        <v>0</v>
      </c>
    </row>
    <row r="972" spans="1:15" x14ac:dyDescent="0.35">
      <c r="A972" s="503" t="s">
        <v>1283</v>
      </c>
      <c r="B972" s="504" t="s">
        <v>3177</v>
      </c>
      <c r="C972" s="504" t="s">
        <v>1094</v>
      </c>
      <c r="D972" s="504" t="s">
        <v>3380</v>
      </c>
      <c r="E972" s="504" t="s">
        <v>3381</v>
      </c>
      <c r="F972" s="504" t="s">
        <v>481</v>
      </c>
      <c r="G972" s="504" t="s">
        <v>482</v>
      </c>
      <c r="H972" s="504" t="s">
        <v>4175</v>
      </c>
      <c r="I972" s="504">
        <v>155</v>
      </c>
      <c r="J972" s="504">
        <v>123</v>
      </c>
      <c r="K972" s="504">
        <v>0</v>
      </c>
      <c r="L972" s="504">
        <v>0</v>
      </c>
      <c r="M972" s="504">
        <v>0</v>
      </c>
      <c r="N972" s="504">
        <v>0</v>
      </c>
      <c r="O972" s="505">
        <v>32</v>
      </c>
    </row>
    <row r="973" spans="1:15" x14ac:dyDescent="0.35">
      <c r="A973" s="500" t="s">
        <v>1100</v>
      </c>
      <c r="B973" s="501">
        <v>4865</v>
      </c>
      <c r="C973" s="501" t="s">
        <v>1094</v>
      </c>
      <c r="D973" s="501" t="s">
        <v>3380</v>
      </c>
      <c r="E973" s="501" t="s">
        <v>3381</v>
      </c>
      <c r="F973" s="501" t="s">
        <v>481</v>
      </c>
      <c r="G973" s="501" t="s">
        <v>482</v>
      </c>
      <c r="H973" s="501" t="s">
        <v>4176</v>
      </c>
      <c r="I973" s="501">
        <v>202</v>
      </c>
      <c r="J973" s="501">
        <v>124</v>
      </c>
      <c r="K973" s="501">
        <v>0</v>
      </c>
      <c r="L973" s="501">
        <v>0</v>
      </c>
      <c r="M973" s="501">
        <v>0</v>
      </c>
      <c r="N973" s="501">
        <v>0</v>
      </c>
      <c r="O973" s="506">
        <v>78</v>
      </c>
    </row>
    <row r="974" spans="1:15" x14ac:dyDescent="0.35">
      <c r="A974" s="503" t="s">
        <v>1294</v>
      </c>
      <c r="B974" s="504" t="s">
        <v>3114</v>
      </c>
      <c r="C974" s="504" t="s">
        <v>1094</v>
      </c>
      <c r="D974" s="504" t="s">
        <v>3380</v>
      </c>
      <c r="E974" s="504" t="s">
        <v>3381</v>
      </c>
      <c r="F974" s="504" t="s">
        <v>481</v>
      </c>
      <c r="G974" s="504" t="s">
        <v>482</v>
      </c>
      <c r="H974" s="504" t="s">
        <v>4177</v>
      </c>
      <c r="I974" s="504">
        <v>121</v>
      </c>
      <c r="J974" s="504">
        <v>111</v>
      </c>
      <c r="K974" s="504">
        <v>0</v>
      </c>
      <c r="L974" s="504">
        <v>6</v>
      </c>
      <c r="M974" s="504">
        <v>0</v>
      </c>
      <c r="N974" s="504">
        <v>0</v>
      </c>
      <c r="O974" s="505">
        <v>4</v>
      </c>
    </row>
    <row r="975" spans="1:15" x14ac:dyDescent="0.35">
      <c r="A975" s="500" t="s">
        <v>1298</v>
      </c>
      <c r="B975" s="501" t="s">
        <v>2991</v>
      </c>
      <c r="C975" s="501" t="s">
        <v>1094</v>
      </c>
      <c r="D975" s="501" t="s">
        <v>3380</v>
      </c>
      <c r="E975" s="501" t="s">
        <v>3381</v>
      </c>
      <c r="F975" s="501" t="s">
        <v>481</v>
      </c>
      <c r="G975" s="501" t="s">
        <v>482</v>
      </c>
      <c r="H975" s="501" t="s">
        <v>4178</v>
      </c>
      <c r="I975" s="501">
        <v>1</v>
      </c>
      <c r="J975" s="501">
        <v>0</v>
      </c>
      <c r="K975" s="501">
        <v>0</v>
      </c>
      <c r="L975" s="501">
        <v>0</v>
      </c>
      <c r="M975" s="501">
        <v>0</v>
      </c>
      <c r="N975" s="501">
        <v>0</v>
      </c>
      <c r="O975" s="506">
        <v>1</v>
      </c>
    </row>
    <row r="976" spans="1:15" x14ac:dyDescent="0.35">
      <c r="A976" s="503" t="s">
        <v>1105</v>
      </c>
      <c r="B976" s="504">
        <v>4668</v>
      </c>
      <c r="C976" s="504" t="s">
        <v>1094</v>
      </c>
      <c r="D976" s="504" t="s">
        <v>3380</v>
      </c>
      <c r="E976" s="504" t="s">
        <v>3381</v>
      </c>
      <c r="F976" s="504" t="s">
        <v>481</v>
      </c>
      <c r="G976" s="504" t="s">
        <v>482</v>
      </c>
      <c r="H976" s="504" t="s">
        <v>4179</v>
      </c>
      <c r="I976" s="504">
        <v>18</v>
      </c>
      <c r="J976" s="504">
        <v>0</v>
      </c>
      <c r="K976" s="504">
        <v>0</v>
      </c>
      <c r="L976" s="504">
        <v>0</v>
      </c>
      <c r="M976" s="504">
        <v>0</v>
      </c>
      <c r="N976" s="504">
        <v>0</v>
      </c>
      <c r="O976" s="505">
        <v>18</v>
      </c>
    </row>
    <row r="977" spans="1:15" x14ac:dyDescent="0.35">
      <c r="A977" s="500" t="s">
        <v>1107</v>
      </c>
      <c r="B977" s="501" t="s">
        <v>3109</v>
      </c>
      <c r="C977" s="501" t="s">
        <v>1094</v>
      </c>
      <c r="D977" s="501" t="s">
        <v>3380</v>
      </c>
      <c r="E977" s="501" t="s">
        <v>3381</v>
      </c>
      <c r="F977" s="501" t="s">
        <v>481</v>
      </c>
      <c r="G977" s="501" t="s">
        <v>482</v>
      </c>
      <c r="H977" s="501" t="s">
        <v>4180</v>
      </c>
      <c r="I977" s="501">
        <v>7</v>
      </c>
      <c r="J977" s="501">
        <v>7</v>
      </c>
      <c r="K977" s="501">
        <v>0</v>
      </c>
      <c r="L977" s="501">
        <v>0</v>
      </c>
      <c r="M977" s="501">
        <v>0</v>
      </c>
      <c r="N977" s="501">
        <v>0</v>
      </c>
      <c r="O977" s="506">
        <v>0</v>
      </c>
    </row>
    <row r="978" spans="1:15" x14ac:dyDescent="0.35">
      <c r="A978" s="503" t="s">
        <v>1202</v>
      </c>
      <c r="B978" s="504" t="s">
        <v>3217</v>
      </c>
      <c r="C978" s="504" t="s">
        <v>1094</v>
      </c>
      <c r="D978" s="504" t="s">
        <v>3380</v>
      </c>
      <c r="E978" s="504" t="s">
        <v>3381</v>
      </c>
      <c r="F978" s="504" t="s">
        <v>481</v>
      </c>
      <c r="G978" s="504" t="s">
        <v>482</v>
      </c>
      <c r="H978" s="504" t="s">
        <v>4181</v>
      </c>
      <c r="I978" s="504">
        <v>221</v>
      </c>
      <c r="J978" s="504">
        <v>159</v>
      </c>
      <c r="K978" s="504">
        <v>0</v>
      </c>
      <c r="L978" s="504">
        <v>0</v>
      </c>
      <c r="M978" s="504">
        <v>36</v>
      </c>
      <c r="N978" s="504">
        <v>0</v>
      </c>
      <c r="O978" s="505">
        <v>26</v>
      </c>
    </row>
    <row r="979" spans="1:15" x14ac:dyDescent="0.35">
      <c r="A979" s="500" t="s">
        <v>1112</v>
      </c>
      <c r="B979" s="501" t="s">
        <v>3008</v>
      </c>
      <c r="C979" s="501" t="s">
        <v>1094</v>
      </c>
      <c r="D979" s="501" t="s">
        <v>3380</v>
      </c>
      <c r="E979" s="501" t="s">
        <v>3381</v>
      </c>
      <c r="F979" s="501" t="s">
        <v>481</v>
      </c>
      <c r="G979" s="501" t="s">
        <v>482</v>
      </c>
      <c r="H979" s="501" t="s">
        <v>14502</v>
      </c>
      <c r="I979" s="501">
        <v>1</v>
      </c>
      <c r="J979" s="501">
        <v>0</v>
      </c>
      <c r="K979" s="501">
        <v>0</v>
      </c>
      <c r="L979" s="501">
        <v>0</v>
      </c>
      <c r="M979" s="501">
        <v>0</v>
      </c>
      <c r="N979" s="501">
        <v>0</v>
      </c>
      <c r="O979" s="506">
        <v>1</v>
      </c>
    </row>
    <row r="980" spans="1:15" x14ac:dyDescent="0.35">
      <c r="A980" s="503" t="s">
        <v>1114</v>
      </c>
      <c r="B980" s="504" t="s">
        <v>2982</v>
      </c>
      <c r="C980" s="504" t="s">
        <v>1094</v>
      </c>
      <c r="D980" s="504" t="s">
        <v>3380</v>
      </c>
      <c r="E980" s="504" t="s">
        <v>3381</v>
      </c>
      <c r="F980" s="504" t="s">
        <v>481</v>
      </c>
      <c r="G980" s="504" t="s">
        <v>482</v>
      </c>
      <c r="H980" s="504" t="s">
        <v>4182</v>
      </c>
      <c r="I980" s="504">
        <v>21</v>
      </c>
      <c r="J980" s="504">
        <v>10</v>
      </c>
      <c r="K980" s="504">
        <v>0</v>
      </c>
      <c r="L980" s="504">
        <v>0</v>
      </c>
      <c r="M980" s="504">
        <v>0</v>
      </c>
      <c r="N980" s="504">
        <v>0</v>
      </c>
      <c r="O980" s="505">
        <v>11</v>
      </c>
    </row>
    <row r="981" spans="1:15" x14ac:dyDescent="0.35">
      <c r="A981" s="500" t="s">
        <v>14400</v>
      </c>
      <c r="B981" s="501">
        <v>4727</v>
      </c>
      <c r="C981" s="501" t="s">
        <v>1089</v>
      </c>
      <c r="D981" s="501" t="s">
        <v>3392</v>
      </c>
      <c r="E981" s="501" t="s">
        <v>3381</v>
      </c>
      <c r="F981" s="501" t="s">
        <v>481</v>
      </c>
      <c r="G981" s="501" t="s">
        <v>482</v>
      </c>
      <c r="H981" s="501" t="s">
        <v>14503</v>
      </c>
      <c r="I981" s="501">
        <v>5</v>
      </c>
      <c r="J981" s="501">
        <v>0</v>
      </c>
      <c r="K981" s="501">
        <v>0</v>
      </c>
      <c r="L981" s="501">
        <v>5</v>
      </c>
      <c r="M981" s="501">
        <v>0</v>
      </c>
      <c r="N981" s="501">
        <v>0</v>
      </c>
      <c r="O981" s="506">
        <v>0</v>
      </c>
    </row>
    <row r="982" spans="1:15" x14ac:dyDescent="0.35">
      <c r="A982" s="503" t="s">
        <v>1319</v>
      </c>
      <c r="B982" s="504">
        <v>4880</v>
      </c>
      <c r="C982" s="504" t="s">
        <v>1094</v>
      </c>
      <c r="D982" s="504" t="s">
        <v>3380</v>
      </c>
      <c r="E982" s="504" t="s">
        <v>3381</v>
      </c>
      <c r="F982" s="504" t="s">
        <v>481</v>
      </c>
      <c r="G982" s="504" t="s">
        <v>482</v>
      </c>
      <c r="H982" s="504" t="s">
        <v>4183</v>
      </c>
      <c r="I982" s="504">
        <v>73</v>
      </c>
      <c r="J982" s="504">
        <v>41</v>
      </c>
      <c r="K982" s="504">
        <v>0</v>
      </c>
      <c r="L982" s="504">
        <v>0</v>
      </c>
      <c r="M982" s="504">
        <v>30</v>
      </c>
      <c r="N982" s="504">
        <v>0</v>
      </c>
      <c r="O982" s="505">
        <v>2</v>
      </c>
    </row>
    <row r="983" spans="1:15" x14ac:dyDescent="0.35">
      <c r="A983" s="500" t="s">
        <v>1218</v>
      </c>
      <c r="B983" s="501" t="s">
        <v>3147</v>
      </c>
      <c r="C983" s="501" t="s">
        <v>1094</v>
      </c>
      <c r="D983" s="501" t="s">
        <v>3380</v>
      </c>
      <c r="E983" s="501" t="s">
        <v>3381</v>
      </c>
      <c r="F983" s="501" t="s">
        <v>481</v>
      </c>
      <c r="G983" s="501" t="s">
        <v>482</v>
      </c>
      <c r="H983" s="501" t="s">
        <v>14504</v>
      </c>
      <c r="I983" s="501">
        <v>7</v>
      </c>
      <c r="J983" s="501">
        <v>0</v>
      </c>
      <c r="K983" s="501">
        <v>0</v>
      </c>
      <c r="L983" s="501">
        <v>0</v>
      </c>
      <c r="M983" s="501">
        <v>0</v>
      </c>
      <c r="N983" s="501">
        <v>0</v>
      </c>
      <c r="O983" s="506">
        <v>7</v>
      </c>
    </row>
    <row r="984" spans="1:15" x14ac:dyDescent="0.35">
      <c r="A984" s="503" t="s">
        <v>1332</v>
      </c>
      <c r="B984" s="504">
        <v>4878</v>
      </c>
      <c r="C984" s="504" t="s">
        <v>1094</v>
      </c>
      <c r="D984" s="504" t="s">
        <v>3380</v>
      </c>
      <c r="E984" s="504" t="s">
        <v>3381</v>
      </c>
      <c r="F984" s="504" t="s">
        <v>481</v>
      </c>
      <c r="G984" s="504" t="s">
        <v>482</v>
      </c>
      <c r="H984" s="504" t="s">
        <v>11977</v>
      </c>
      <c r="I984" s="504">
        <v>9</v>
      </c>
      <c r="J984" s="504">
        <v>0</v>
      </c>
      <c r="K984" s="504">
        <v>0</v>
      </c>
      <c r="L984" s="504">
        <v>8</v>
      </c>
      <c r="M984" s="504">
        <v>0</v>
      </c>
      <c r="N984" s="504">
        <v>0</v>
      </c>
      <c r="O984" s="505">
        <v>1</v>
      </c>
    </row>
    <row r="985" spans="1:15" x14ac:dyDescent="0.35">
      <c r="A985" s="500" t="s">
        <v>1339</v>
      </c>
      <c r="B985" s="501" t="s">
        <v>3358</v>
      </c>
      <c r="C985" s="501" t="s">
        <v>1094</v>
      </c>
      <c r="D985" s="501" t="s">
        <v>3380</v>
      </c>
      <c r="E985" s="501" t="s">
        <v>3381</v>
      </c>
      <c r="F985" s="501" t="s">
        <v>481</v>
      </c>
      <c r="G985" s="501" t="s">
        <v>482</v>
      </c>
      <c r="H985" s="501" t="s">
        <v>4184</v>
      </c>
      <c r="I985" s="501">
        <v>2</v>
      </c>
      <c r="J985" s="501">
        <v>0</v>
      </c>
      <c r="K985" s="501">
        <v>0</v>
      </c>
      <c r="L985" s="501">
        <v>0</v>
      </c>
      <c r="M985" s="501">
        <v>0</v>
      </c>
      <c r="N985" s="501">
        <v>0</v>
      </c>
      <c r="O985" s="506">
        <v>2</v>
      </c>
    </row>
    <row r="986" spans="1:15" x14ac:dyDescent="0.35">
      <c r="A986" s="503" t="s">
        <v>1233</v>
      </c>
      <c r="B986" s="504">
        <v>4636</v>
      </c>
      <c r="C986" s="504" t="s">
        <v>1094</v>
      </c>
      <c r="D986" s="504" t="s">
        <v>3380</v>
      </c>
      <c r="E986" s="504" t="s">
        <v>3381</v>
      </c>
      <c r="F986" s="504" t="s">
        <v>481</v>
      </c>
      <c r="G986" s="504" t="s">
        <v>482</v>
      </c>
      <c r="H986" s="504" t="s">
        <v>4185</v>
      </c>
      <c r="I986" s="504">
        <v>14</v>
      </c>
      <c r="J986" s="504">
        <v>12</v>
      </c>
      <c r="K986" s="504">
        <v>0</v>
      </c>
      <c r="L986" s="504">
        <v>0</v>
      </c>
      <c r="M986" s="504">
        <v>0</v>
      </c>
      <c r="N986" s="504">
        <v>0</v>
      </c>
      <c r="O986" s="505">
        <v>2</v>
      </c>
    </row>
    <row r="987" spans="1:15" x14ac:dyDescent="0.35">
      <c r="A987" s="500" t="s">
        <v>11368</v>
      </c>
      <c r="B987" s="501">
        <v>5083</v>
      </c>
      <c r="C987" s="501" t="s">
        <v>1094</v>
      </c>
      <c r="D987" s="501" t="s">
        <v>3380</v>
      </c>
      <c r="E987" s="501" t="s">
        <v>3381</v>
      </c>
      <c r="F987" s="501" t="s">
        <v>481</v>
      </c>
      <c r="G987" s="501" t="s">
        <v>482</v>
      </c>
      <c r="H987" s="501" t="s">
        <v>12035</v>
      </c>
      <c r="I987" s="501">
        <v>3</v>
      </c>
      <c r="J987" s="501">
        <v>3</v>
      </c>
      <c r="K987" s="501">
        <v>0</v>
      </c>
      <c r="L987" s="501">
        <v>0</v>
      </c>
      <c r="M987" s="501">
        <v>0</v>
      </c>
      <c r="N987" s="501">
        <v>0</v>
      </c>
      <c r="O987" s="506">
        <v>0</v>
      </c>
    </row>
    <row r="988" spans="1:15" x14ac:dyDescent="0.35">
      <c r="A988" s="503" t="s">
        <v>1234</v>
      </c>
      <c r="B988" s="504" t="s">
        <v>3291</v>
      </c>
      <c r="C988" s="504" t="s">
        <v>1094</v>
      </c>
      <c r="D988" s="504" t="s">
        <v>3380</v>
      </c>
      <c r="E988" s="504" t="s">
        <v>3381</v>
      </c>
      <c r="F988" s="504" t="s">
        <v>481</v>
      </c>
      <c r="G988" s="504" t="s">
        <v>482</v>
      </c>
      <c r="H988" s="504" t="s">
        <v>4186</v>
      </c>
      <c r="I988" s="504">
        <v>22</v>
      </c>
      <c r="J988" s="504">
        <v>22</v>
      </c>
      <c r="K988" s="504">
        <v>0</v>
      </c>
      <c r="L988" s="504">
        <v>0</v>
      </c>
      <c r="M988" s="504">
        <v>0</v>
      </c>
      <c r="N988" s="504">
        <v>0</v>
      </c>
      <c r="O988" s="505">
        <v>0</v>
      </c>
    </row>
    <row r="989" spans="1:15" x14ac:dyDescent="0.35">
      <c r="A989" s="500" t="s">
        <v>1126</v>
      </c>
      <c r="B989" s="501" t="s">
        <v>2974</v>
      </c>
      <c r="C989" s="501" t="s">
        <v>1094</v>
      </c>
      <c r="D989" s="501" t="s">
        <v>3380</v>
      </c>
      <c r="E989" s="501" t="s">
        <v>3381</v>
      </c>
      <c r="F989" s="501" t="s">
        <v>481</v>
      </c>
      <c r="G989" s="501" t="s">
        <v>482</v>
      </c>
      <c r="H989" s="501" t="s">
        <v>4187</v>
      </c>
      <c r="I989" s="501">
        <v>17</v>
      </c>
      <c r="J989" s="501">
        <v>6</v>
      </c>
      <c r="K989" s="501">
        <v>0</v>
      </c>
      <c r="L989" s="501">
        <v>11</v>
      </c>
      <c r="M989" s="501">
        <v>0</v>
      </c>
      <c r="N989" s="501">
        <v>0</v>
      </c>
      <c r="O989" s="506">
        <v>0</v>
      </c>
    </row>
    <row r="990" spans="1:15" x14ac:dyDescent="0.35">
      <c r="A990" s="503" t="s">
        <v>1346</v>
      </c>
      <c r="B990" s="504" t="s">
        <v>3150</v>
      </c>
      <c r="C990" s="504" t="s">
        <v>1094</v>
      </c>
      <c r="D990" s="504" t="s">
        <v>3380</v>
      </c>
      <c r="E990" s="504" t="s">
        <v>3381</v>
      </c>
      <c r="F990" s="504" t="s">
        <v>481</v>
      </c>
      <c r="G990" s="504" t="s">
        <v>482</v>
      </c>
      <c r="H990" s="504" t="s">
        <v>4188</v>
      </c>
      <c r="I990" s="504">
        <v>63</v>
      </c>
      <c r="J990" s="504">
        <v>15</v>
      </c>
      <c r="K990" s="504">
        <v>0</v>
      </c>
      <c r="L990" s="504">
        <v>48</v>
      </c>
      <c r="M990" s="504">
        <v>0</v>
      </c>
      <c r="N990" s="504">
        <v>0</v>
      </c>
      <c r="O990" s="505">
        <v>0</v>
      </c>
    </row>
    <row r="991" spans="1:15" x14ac:dyDescent="0.35">
      <c r="A991" s="500" t="s">
        <v>1366</v>
      </c>
      <c r="B991" s="501" t="s">
        <v>2594</v>
      </c>
      <c r="C991" s="501" t="s">
        <v>1089</v>
      </c>
      <c r="D991" s="501" t="s">
        <v>3392</v>
      </c>
      <c r="E991" s="501" t="s">
        <v>3381</v>
      </c>
      <c r="F991" s="501" t="s">
        <v>481</v>
      </c>
      <c r="G991" s="501" t="s">
        <v>482</v>
      </c>
      <c r="H991" s="501" t="s">
        <v>4189</v>
      </c>
      <c r="I991" s="501">
        <v>6</v>
      </c>
      <c r="J991" s="501">
        <v>6</v>
      </c>
      <c r="K991" s="501">
        <v>0</v>
      </c>
      <c r="L991" s="501">
        <v>0</v>
      </c>
      <c r="M991" s="501">
        <v>0</v>
      </c>
      <c r="N991" s="501">
        <v>0</v>
      </c>
      <c r="O991" s="506">
        <v>0</v>
      </c>
    </row>
    <row r="992" spans="1:15" x14ac:dyDescent="0.35">
      <c r="A992" s="503" t="s">
        <v>1792</v>
      </c>
      <c r="B992" s="504" t="s">
        <v>2845</v>
      </c>
      <c r="C992" s="504" t="s">
        <v>1089</v>
      </c>
      <c r="D992" s="504" t="s">
        <v>3392</v>
      </c>
      <c r="E992" s="504" t="s">
        <v>3381</v>
      </c>
      <c r="F992" s="504" t="s">
        <v>483</v>
      </c>
      <c r="G992" s="504" t="s">
        <v>484</v>
      </c>
      <c r="H992" s="504" t="s">
        <v>4190</v>
      </c>
      <c r="I992" s="504">
        <v>18</v>
      </c>
      <c r="J992" s="504">
        <v>0</v>
      </c>
      <c r="K992" s="504">
        <v>0</v>
      </c>
      <c r="L992" s="504">
        <v>18</v>
      </c>
      <c r="M992" s="504">
        <v>0</v>
      </c>
      <c r="N992" s="504">
        <v>0</v>
      </c>
      <c r="O992" s="505">
        <v>0</v>
      </c>
    </row>
    <row r="993" spans="1:15" x14ac:dyDescent="0.35">
      <c r="A993" s="500" t="s">
        <v>1096</v>
      </c>
      <c r="B993" s="501" t="s">
        <v>3326</v>
      </c>
      <c r="C993" s="501" t="s">
        <v>1094</v>
      </c>
      <c r="D993" s="501" t="s">
        <v>3380</v>
      </c>
      <c r="E993" s="501" t="s">
        <v>3381</v>
      </c>
      <c r="F993" s="501" t="s">
        <v>483</v>
      </c>
      <c r="G993" s="501" t="s">
        <v>484</v>
      </c>
      <c r="H993" s="501" t="s">
        <v>4191</v>
      </c>
      <c r="I993" s="501">
        <v>321</v>
      </c>
      <c r="J993" s="501">
        <v>0</v>
      </c>
      <c r="K993" s="501">
        <v>0</v>
      </c>
      <c r="L993" s="501">
        <v>0</v>
      </c>
      <c r="M993" s="501">
        <v>296</v>
      </c>
      <c r="N993" s="501">
        <v>0</v>
      </c>
      <c r="O993" s="506">
        <v>25</v>
      </c>
    </row>
    <row r="994" spans="1:15" x14ac:dyDescent="0.35">
      <c r="A994" s="503" t="s">
        <v>12382</v>
      </c>
      <c r="B994" s="504" t="s">
        <v>2871</v>
      </c>
      <c r="C994" s="504" t="s">
        <v>1089</v>
      </c>
      <c r="D994" s="504" t="s">
        <v>3392</v>
      </c>
      <c r="E994" s="504" t="s">
        <v>3381</v>
      </c>
      <c r="F994" s="504" t="s">
        <v>483</v>
      </c>
      <c r="G994" s="504" t="s">
        <v>484</v>
      </c>
      <c r="H994" s="504" t="s">
        <v>14505</v>
      </c>
      <c r="I994" s="504">
        <v>326</v>
      </c>
      <c r="J994" s="504">
        <v>236</v>
      </c>
      <c r="K994" s="504">
        <v>0</v>
      </c>
      <c r="L994" s="504">
        <v>90</v>
      </c>
      <c r="M994" s="504">
        <v>0</v>
      </c>
      <c r="N994" s="504">
        <v>0</v>
      </c>
      <c r="O994" s="505">
        <v>0</v>
      </c>
    </row>
    <row r="995" spans="1:15" x14ac:dyDescent="0.35">
      <c r="A995" s="500" t="s">
        <v>11363</v>
      </c>
      <c r="B995" s="501">
        <v>4718</v>
      </c>
      <c r="C995" s="501" t="s">
        <v>1094</v>
      </c>
      <c r="D995" s="501" t="s">
        <v>3380</v>
      </c>
      <c r="E995" s="501" t="s">
        <v>3381</v>
      </c>
      <c r="F995" s="501" t="s">
        <v>483</v>
      </c>
      <c r="G995" s="501" t="s">
        <v>484</v>
      </c>
      <c r="H995" s="501" t="s">
        <v>11520</v>
      </c>
      <c r="I995" s="501">
        <v>25</v>
      </c>
      <c r="J995" s="501">
        <v>0</v>
      </c>
      <c r="K995" s="501">
        <v>0</v>
      </c>
      <c r="L995" s="501">
        <v>25</v>
      </c>
      <c r="M995" s="501">
        <v>0</v>
      </c>
      <c r="N995" s="501">
        <v>0</v>
      </c>
      <c r="O995" s="506">
        <v>0</v>
      </c>
    </row>
    <row r="996" spans="1:15" x14ac:dyDescent="0.35">
      <c r="A996" s="503" t="s">
        <v>1811</v>
      </c>
      <c r="B996" s="504" t="s">
        <v>2999</v>
      </c>
      <c r="C996" s="504" t="s">
        <v>1089</v>
      </c>
      <c r="D996" s="504" t="s">
        <v>3392</v>
      </c>
      <c r="E996" s="504" t="s">
        <v>3381</v>
      </c>
      <c r="F996" s="504" t="s">
        <v>483</v>
      </c>
      <c r="G996" s="504" t="s">
        <v>484</v>
      </c>
      <c r="H996" s="504" t="s">
        <v>4194</v>
      </c>
      <c r="I996" s="504">
        <v>136</v>
      </c>
      <c r="J996" s="504">
        <v>26</v>
      </c>
      <c r="K996" s="504">
        <v>0</v>
      </c>
      <c r="L996" s="504">
        <v>0</v>
      </c>
      <c r="M996" s="504">
        <v>110</v>
      </c>
      <c r="N996" s="504">
        <v>0</v>
      </c>
      <c r="O996" s="505">
        <v>0</v>
      </c>
    </row>
    <row r="997" spans="1:15" x14ac:dyDescent="0.35">
      <c r="A997" s="500" t="s">
        <v>1812</v>
      </c>
      <c r="B997" s="501" t="s">
        <v>2924</v>
      </c>
      <c r="C997" s="501" t="s">
        <v>1089</v>
      </c>
      <c r="D997" s="501" t="s">
        <v>3392</v>
      </c>
      <c r="E997" s="501" t="s">
        <v>3381</v>
      </c>
      <c r="F997" s="501" t="s">
        <v>483</v>
      </c>
      <c r="G997" s="501" t="s">
        <v>484</v>
      </c>
      <c r="H997" s="501" t="s">
        <v>4195</v>
      </c>
      <c r="I997" s="501">
        <v>301</v>
      </c>
      <c r="J997" s="501">
        <v>0</v>
      </c>
      <c r="K997" s="501">
        <v>0</v>
      </c>
      <c r="L997" s="501">
        <v>301</v>
      </c>
      <c r="M997" s="501">
        <v>0</v>
      </c>
      <c r="N997" s="501">
        <v>0</v>
      </c>
      <c r="O997" s="506">
        <v>0</v>
      </c>
    </row>
    <row r="998" spans="1:15" x14ac:dyDescent="0.35">
      <c r="A998" s="503" t="s">
        <v>1809</v>
      </c>
      <c r="B998" s="504" t="s">
        <v>2492</v>
      </c>
      <c r="C998" s="504" t="s">
        <v>1089</v>
      </c>
      <c r="D998" s="504" t="s">
        <v>3392</v>
      </c>
      <c r="E998" s="504" t="s">
        <v>3381</v>
      </c>
      <c r="F998" s="504" t="s">
        <v>483</v>
      </c>
      <c r="G998" s="504" t="s">
        <v>484</v>
      </c>
      <c r="H998" s="504" t="s">
        <v>4192</v>
      </c>
      <c r="I998" s="504">
        <v>12</v>
      </c>
      <c r="J998" s="504">
        <v>0</v>
      </c>
      <c r="K998" s="504">
        <v>0</v>
      </c>
      <c r="L998" s="504">
        <v>0</v>
      </c>
      <c r="M998" s="504">
        <v>12</v>
      </c>
      <c r="N998" s="504">
        <v>0</v>
      </c>
      <c r="O998" s="505">
        <v>0</v>
      </c>
    </row>
    <row r="999" spans="1:15" x14ac:dyDescent="0.35">
      <c r="A999" s="500" t="s">
        <v>1810</v>
      </c>
      <c r="B999" s="501" t="s">
        <v>2987</v>
      </c>
      <c r="C999" s="501" t="s">
        <v>1089</v>
      </c>
      <c r="D999" s="501" t="s">
        <v>3392</v>
      </c>
      <c r="E999" s="501" t="s">
        <v>3381</v>
      </c>
      <c r="F999" s="501" t="s">
        <v>483</v>
      </c>
      <c r="G999" s="501" t="s">
        <v>484</v>
      </c>
      <c r="H999" s="501" t="s">
        <v>4193</v>
      </c>
      <c r="I999" s="501">
        <v>19</v>
      </c>
      <c r="J999" s="501">
        <v>0</v>
      </c>
      <c r="K999" s="501">
        <v>0</v>
      </c>
      <c r="L999" s="501">
        <v>19</v>
      </c>
      <c r="M999" s="501">
        <v>0</v>
      </c>
      <c r="N999" s="501">
        <v>0</v>
      </c>
      <c r="O999" s="506">
        <v>0</v>
      </c>
    </row>
    <row r="1000" spans="1:15" x14ac:dyDescent="0.35">
      <c r="A1000" s="503" t="s">
        <v>1285</v>
      </c>
      <c r="B1000" s="504" t="s">
        <v>3120</v>
      </c>
      <c r="C1000" s="504" t="s">
        <v>1089</v>
      </c>
      <c r="D1000" s="504" t="s">
        <v>3392</v>
      </c>
      <c r="E1000" s="504" t="s">
        <v>3381</v>
      </c>
      <c r="F1000" s="504" t="s">
        <v>483</v>
      </c>
      <c r="G1000" s="504" t="s">
        <v>484</v>
      </c>
      <c r="H1000" s="504" t="s">
        <v>4196</v>
      </c>
      <c r="I1000" s="504">
        <v>33</v>
      </c>
      <c r="J1000" s="504">
        <v>21</v>
      </c>
      <c r="K1000" s="504">
        <v>12</v>
      </c>
      <c r="L1000" s="504">
        <v>0</v>
      </c>
      <c r="M1000" s="504">
        <v>0</v>
      </c>
      <c r="N1000" s="504">
        <v>0</v>
      </c>
      <c r="O1000" s="505">
        <v>0</v>
      </c>
    </row>
    <row r="1001" spans="1:15" x14ac:dyDescent="0.35">
      <c r="A1001" s="500" t="s">
        <v>1100</v>
      </c>
      <c r="B1001" s="501">
        <v>4865</v>
      </c>
      <c r="C1001" s="501" t="s">
        <v>1094</v>
      </c>
      <c r="D1001" s="501" t="s">
        <v>3380</v>
      </c>
      <c r="E1001" s="501" t="s">
        <v>3381</v>
      </c>
      <c r="F1001" s="501" t="s">
        <v>483</v>
      </c>
      <c r="G1001" s="501" t="s">
        <v>484</v>
      </c>
      <c r="H1001" s="501" t="s">
        <v>4197</v>
      </c>
      <c r="I1001" s="501">
        <v>1295</v>
      </c>
      <c r="J1001" s="501">
        <v>956</v>
      </c>
      <c r="K1001" s="501">
        <v>0</v>
      </c>
      <c r="L1001" s="501">
        <v>73</v>
      </c>
      <c r="M1001" s="501">
        <v>18</v>
      </c>
      <c r="N1001" s="501">
        <v>0</v>
      </c>
      <c r="O1001" s="506">
        <v>248</v>
      </c>
    </row>
    <row r="1002" spans="1:15" x14ac:dyDescent="0.35">
      <c r="A1002" s="503" t="s">
        <v>1172</v>
      </c>
      <c r="B1002" s="504">
        <v>4648</v>
      </c>
      <c r="C1002" s="504" t="s">
        <v>1089</v>
      </c>
      <c r="D1002" s="504" t="s">
        <v>3392</v>
      </c>
      <c r="E1002" s="504" t="s">
        <v>3381</v>
      </c>
      <c r="F1002" s="504" t="s">
        <v>483</v>
      </c>
      <c r="G1002" s="504" t="s">
        <v>484</v>
      </c>
      <c r="H1002" s="504" t="s">
        <v>4198</v>
      </c>
      <c r="I1002" s="504">
        <v>14</v>
      </c>
      <c r="J1002" s="504">
        <v>0</v>
      </c>
      <c r="K1002" s="504">
        <v>0</v>
      </c>
      <c r="L1002" s="504">
        <v>14</v>
      </c>
      <c r="M1002" s="504">
        <v>0</v>
      </c>
      <c r="N1002" s="504">
        <v>0</v>
      </c>
      <c r="O1002" s="505">
        <v>0</v>
      </c>
    </row>
    <row r="1003" spans="1:15" x14ac:dyDescent="0.35">
      <c r="A1003" s="500" t="s">
        <v>14208</v>
      </c>
      <c r="B1003" s="501">
        <v>4803</v>
      </c>
      <c r="C1003" s="501" t="s">
        <v>1094</v>
      </c>
      <c r="D1003" s="501" t="s">
        <v>3380</v>
      </c>
      <c r="E1003" s="501" t="s">
        <v>3381</v>
      </c>
      <c r="F1003" s="501" t="s">
        <v>483</v>
      </c>
      <c r="G1003" s="501" t="s">
        <v>484</v>
      </c>
      <c r="H1003" s="501" t="s">
        <v>14506</v>
      </c>
      <c r="I1003" s="501">
        <v>14</v>
      </c>
      <c r="J1003" s="501">
        <v>0</v>
      </c>
      <c r="K1003" s="501">
        <v>0</v>
      </c>
      <c r="L1003" s="501">
        <v>14</v>
      </c>
      <c r="M1003" s="501">
        <v>0</v>
      </c>
      <c r="N1003" s="501">
        <v>0</v>
      </c>
      <c r="O1003" s="506">
        <v>0</v>
      </c>
    </row>
    <row r="1004" spans="1:15" x14ac:dyDescent="0.35">
      <c r="A1004" s="503" t="s">
        <v>1105</v>
      </c>
      <c r="B1004" s="504">
        <v>4668</v>
      </c>
      <c r="C1004" s="504" t="s">
        <v>1094</v>
      </c>
      <c r="D1004" s="504" t="s">
        <v>3380</v>
      </c>
      <c r="E1004" s="504" t="s">
        <v>3381</v>
      </c>
      <c r="F1004" s="504" t="s">
        <v>483</v>
      </c>
      <c r="G1004" s="504" t="s">
        <v>484</v>
      </c>
      <c r="H1004" s="504" t="s">
        <v>4199</v>
      </c>
      <c r="I1004" s="504">
        <v>1</v>
      </c>
      <c r="J1004" s="504">
        <v>0</v>
      </c>
      <c r="K1004" s="504">
        <v>0</v>
      </c>
      <c r="L1004" s="504">
        <v>0</v>
      </c>
      <c r="M1004" s="504">
        <v>0</v>
      </c>
      <c r="N1004" s="504">
        <v>0</v>
      </c>
      <c r="O1004" s="505">
        <v>1</v>
      </c>
    </row>
    <row r="1005" spans="1:15" x14ac:dyDescent="0.35">
      <c r="A1005" s="500" t="s">
        <v>1107</v>
      </c>
      <c r="B1005" s="501" t="s">
        <v>3109</v>
      </c>
      <c r="C1005" s="501" t="s">
        <v>1094</v>
      </c>
      <c r="D1005" s="501" t="s">
        <v>3380</v>
      </c>
      <c r="E1005" s="501" t="s">
        <v>3381</v>
      </c>
      <c r="F1005" s="501" t="s">
        <v>483</v>
      </c>
      <c r="G1005" s="501" t="s">
        <v>484</v>
      </c>
      <c r="H1005" s="501" t="s">
        <v>4200</v>
      </c>
      <c r="I1005" s="501">
        <v>6</v>
      </c>
      <c r="J1005" s="501">
        <v>0</v>
      </c>
      <c r="K1005" s="501">
        <v>0</v>
      </c>
      <c r="L1005" s="501">
        <v>6</v>
      </c>
      <c r="M1005" s="501">
        <v>0</v>
      </c>
      <c r="N1005" s="501">
        <v>0</v>
      </c>
      <c r="O1005" s="506">
        <v>0</v>
      </c>
    </row>
    <row r="1006" spans="1:15" x14ac:dyDescent="0.35">
      <c r="A1006" s="503" t="s">
        <v>1189</v>
      </c>
      <c r="B1006" s="504" t="s">
        <v>3236</v>
      </c>
      <c r="C1006" s="504" t="s">
        <v>1094</v>
      </c>
      <c r="D1006" s="504" t="s">
        <v>3380</v>
      </c>
      <c r="E1006" s="504" t="s">
        <v>3381</v>
      </c>
      <c r="F1006" s="504" t="s">
        <v>483</v>
      </c>
      <c r="G1006" s="504" t="s">
        <v>484</v>
      </c>
      <c r="H1006" s="504" t="s">
        <v>4201</v>
      </c>
      <c r="I1006" s="504">
        <v>1173</v>
      </c>
      <c r="J1006" s="504">
        <v>810</v>
      </c>
      <c r="K1006" s="504">
        <v>0</v>
      </c>
      <c r="L1006" s="504">
        <v>53</v>
      </c>
      <c r="M1006" s="504">
        <v>56</v>
      </c>
      <c r="N1006" s="504">
        <v>5</v>
      </c>
      <c r="O1006" s="505">
        <v>254</v>
      </c>
    </row>
    <row r="1007" spans="1:15" x14ac:dyDescent="0.35">
      <c r="A1007" s="500" t="s">
        <v>1202</v>
      </c>
      <c r="B1007" s="501" t="s">
        <v>3217</v>
      </c>
      <c r="C1007" s="501" t="s">
        <v>1094</v>
      </c>
      <c r="D1007" s="501" t="s">
        <v>3380</v>
      </c>
      <c r="E1007" s="501" t="s">
        <v>3381</v>
      </c>
      <c r="F1007" s="501" t="s">
        <v>483</v>
      </c>
      <c r="G1007" s="501" t="s">
        <v>484</v>
      </c>
      <c r="H1007" s="501" t="s">
        <v>11826</v>
      </c>
      <c r="I1007" s="501">
        <v>8</v>
      </c>
      <c r="J1007" s="501">
        <v>0</v>
      </c>
      <c r="K1007" s="501">
        <v>0</v>
      </c>
      <c r="L1007" s="501">
        <v>0</v>
      </c>
      <c r="M1007" s="501">
        <v>0</v>
      </c>
      <c r="N1007" s="501">
        <v>0</v>
      </c>
      <c r="O1007" s="506">
        <v>8</v>
      </c>
    </row>
    <row r="1008" spans="1:15" x14ac:dyDescent="0.35">
      <c r="A1008" s="503" t="s">
        <v>1114</v>
      </c>
      <c r="B1008" s="504" t="s">
        <v>2982</v>
      </c>
      <c r="C1008" s="504" t="s">
        <v>1094</v>
      </c>
      <c r="D1008" s="504" t="s">
        <v>3380</v>
      </c>
      <c r="E1008" s="504" t="s">
        <v>3381</v>
      </c>
      <c r="F1008" s="504" t="s">
        <v>483</v>
      </c>
      <c r="G1008" s="504" t="s">
        <v>484</v>
      </c>
      <c r="H1008" s="504" t="s">
        <v>4202</v>
      </c>
      <c r="I1008" s="504">
        <v>358</v>
      </c>
      <c r="J1008" s="504">
        <v>200</v>
      </c>
      <c r="K1008" s="504">
        <v>0</v>
      </c>
      <c r="L1008" s="504">
        <v>0</v>
      </c>
      <c r="M1008" s="504">
        <v>55</v>
      </c>
      <c r="N1008" s="504">
        <v>0</v>
      </c>
      <c r="O1008" s="505">
        <v>103</v>
      </c>
    </row>
    <row r="1009" spans="1:15" x14ac:dyDescent="0.35">
      <c r="A1009" s="500" t="s">
        <v>1120</v>
      </c>
      <c r="B1009" s="501" t="s">
        <v>3362</v>
      </c>
      <c r="C1009" s="501" t="s">
        <v>1094</v>
      </c>
      <c r="D1009" s="501" t="s">
        <v>3380</v>
      </c>
      <c r="E1009" s="501" t="s">
        <v>3381</v>
      </c>
      <c r="F1009" s="501" t="s">
        <v>483</v>
      </c>
      <c r="G1009" s="501" t="s">
        <v>484</v>
      </c>
      <c r="H1009" s="501" t="s">
        <v>4203</v>
      </c>
      <c r="I1009" s="501">
        <v>1</v>
      </c>
      <c r="J1009" s="501">
        <v>0</v>
      </c>
      <c r="K1009" s="501">
        <v>0</v>
      </c>
      <c r="L1009" s="501">
        <v>0</v>
      </c>
      <c r="M1009" s="501">
        <v>0</v>
      </c>
      <c r="N1009" s="501">
        <v>0</v>
      </c>
      <c r="O1009" s="506">
        <v>1</v>
      </c>
    </row>
    <row r="1010" spans="1:15" x14ac:dyDescent="0.35">
      <c r="A1010" s="503" t="s">
        <v>1217</v>
      </c>
      <c r="B1010" s="504">
        <v>4851</v>
      </c>
      <c r="C1010" s="504" t="s">
        <v>1094</v>
      </c>
      <c r="D1010" s="504" t="s">
        <v>3380</v>
      </c>
      <c r="E1010" s="504" t="s">
        <v>3381</v>
      </c>
      <c r="F1010" s="504" t="s">
        <v>483</v>
      </c>
      <c r="G1010" s="504" t="s">
        <v>484</v>
      </c>
      <c r="H1010" s="504" t="s">
        <v>4204</v>
      </c>
      <c r="I1010" s="504">
        <v>102</v>
      </c>
      <c r="J1010" s="504">
        <v>94</v>
      </c>
      <c r="K1010" s="504">
        <v>4</v>
      </c>
      <c r="L1010" s="504">
        <v>0</v>
      </c>
      <c r="M1010" s="504">
        <v>0</v>
      </c>
      <c r="N1010" s="504">
        <v>1</v>
      </c>
      <c r="O1010" s="505">
        <v>4</v>
      </c>
    </row>
    <row r="1011" spans="1:15" x14ac:dyDescent="0.35">
      <c r="A1011" s="500" t="s">
        <v>1218</v>
      </c>
      <c r="B1011" s="501" t="s">
        <v>3147</v>
      </c>
      <c r="C1011" s="501" t="s">
        <v>1094</v>
      </c>
      <c r="D1011" s="501" t="s">
        <v>3380</v>
      </c>
      <c r="E1011" s="501" t="s">
        <v>3381</v>
      </c>
      <c r="F1011" s="501" t="s">
        <v>483</v>
      </c>
      <c r="G1011" s="501" t="s">
        <v>484</v>
      </c>
      <c r="H1011" s="501" t="s">
        <v>4205</v>
      </c>
      <c r="I1011" s="501">
        <v>47</v>
      </c>
      <c r="J1011" s="501">
        <v>0</v>
      </c>
      <c r="K1011" s="501">
        <v>0</v>
      </c>
      <c r="L1011" s="501">
        <v>0</v>
      </c>
      <c r="M1011" s="501">
        <v>0</v>
      </c>
      <c r="N1011" s="501">
        <v>0</v>
      </c>
      <c r="O1011" s="506">
        <v>47</v>
      </c>
    </row>
    <row r="1012" spans="1:15" x14ac:dyDescent="0.35">
      <c r="A1012" s="503" t="s">
        <v>11367</v>
      </c>
      <c r="B1012" s="504" t="s">
        <v>3143</v>
      </c>
      <c r="C1012" s="504" t="s">
        <v>1094</v>
      </c>
      <c r="D1012" s="504" t="s">
        <v>3380</v>
      </c>
      <c r="E1012" s="504" t="s">
        <v>3381</v>
      </c>
      <c r="F1012" s="504" t="s">
        <v>483</v>
      </c>
      <c r="G1012" s="504" t="s">
        <v>484</v>
      </c>
      <c r="H1012" s="504" t="s">
        <v>11907</v>
      </c>
      <c r="I1012" s="504">
        <v>218</v>
      </c>
      <c r="J1012" s="504">
        <v>214</v>
      </c>
      <c r="K1012" s="504">
        <v>0</v>
      </c>
      <c r="L1012" s="504">
        <v>4</v>
      </c>
      <c r="M1012" s="504">
        <v>0</v>
      </c>
      <c r="N1012" s="504">
        <v>0</v>
      </c>
      <c r="O1012" s="505">
        <v>0</v>
      </c>
    </row>
    <row r="1013" spans="1:15" x14ac:dyDescent="0.35">
      <c r="A1013" s="500" t="s">
        <v>1325</v>
      </c>
      <c r="B1013" s="501" t="s">
        <v>3011</v>
      </c>
      <c r="C1013" s="501" t="s">
        <v>1094</v>
      </c>
      <c r="D1013" s="501" t="s">
        <v>3380</v>
      </c>
      <c r="E1013" s="501" t="s">
        <v>3381</v>
      </c>
      <c r="F1013" s="501" t="s">
        <v>483</v>
      </c>
      <c r="G1013" s="501" t="s">
        <v>484</v>
      </c>
      <c r="H1013" s="501" t="s">
        <v>4206</v>
      </c>
      <c r="I1013" s="501">
        <v>1</v>
      </c>
      <c r="J1013" s="501">
        <v>0</v>
      </c>
      <c r="K1013" s="501">
        <v>0</v>
      </c>
      <c r="L1013" s="501">
        <v>0</v>
      </c>
      <c r="M1013" s="501">
        <v>0</v>
      </c>
      <c r="N1013" s="501">
        <v>0</v>
      </c>
      <c r="O1013" s="506">
        <v>1</v>
      </c>
    </row>
    <row r="1014" spans="1:15" x14ac:dyDescent="0.35">
      <c r="A1014" s="503" t="s">
        <v>1332</v>
      </c>
      <c r="B1014" s="504">
        <v>4878</v>
      </c>
      <c r="C1014" s="504" t="s">
        <v>1094</v>
      </c>
      <c r="D1014" s="504" t="s">
        <v>3380</v>
      </c>
      <c r="E1014" s="504" t="s">
        <v>3381</v>
      </c>
      <c r="F1014" s="504" t="s">
        <v>483</v>
      </c>
      <c r="G1014" s="504" t="s">
        <v>484</v>
      </c>
      <c r="H1014" s="504" t="s">
        <v>14507</v>
      </c>
      <c r="I1014" s="504">
        <v>8</v>
      </c>
      <c r="J1014" s="504">
        <v>0</v>
      </c>
      <c r="K1014" s="504">
        <v>0</v>
      </c>
      <c r="L1014" s="504">
        <v>8</v>
      </c>
      <c r="M1014" s="504">
        <v>0</v>
      </c>
      <c r="N1014" s="504">
        <v>0</v>
      </c>
      <c r="O1014" s="505">
        <v>0</v>
      </c>
    </row>
    <row r="1015" spans="1:15" x14ac:dyDescent="0.35">
      <c r="A1015" s="500" t="s">
        <v>1122</v>
      </c>
      <c r="B1015" s="501" t="s">
        <v>2994</v>
      </c>
      <c r="C1015" s="501" t="s">
        <v>1094</v>
      </c>
      <c r="D1015" s="501" t="s">
        <v>3380</v>
      </c>
      <c r="E1015" s="501" t="s">
        <v>3381</v>
      </c>
      <c r="F1015" s="501" t="s">
        <v>483</v>
      </c>
      <c r="G1015" s="501" t="s">
        <v>484</v>
      </c>
      <c r="H1015" s="501" t="s">
        <v>4207</v>
      </c>
      <c r="I1015" s="501">
        <v>71</v>
      </c>
      <c r="J1015" s="501">
        <v>71</v>
      </c>
      <c r="K1015" s="501">
        <v>0</v>
      </c>
      <c r="L1015" s="501">
        <v>0</v>
      </c>
      <c r="M1015" s="501">
        <v>0</v>
      </c>
      <c r="N1015" s="501">
        <v>0</v>
      </c>
      <c r="O1015" s="506">
        <v>0</v>
      </c>
    </row>
    <row r="1016" spans="1:15" x14ac:dyDescent="0.35">
      <c r="A1016" s="503" t="s">
        <v>1878</v>
      </c>
      <c r="B1016" s="504" t="s">
        <v>2950</v>
      </c>
      <c r="C1016" s="504" t="s">
        <v>1089</v>
      </c>
      <c r="D1016" s="504" t="s">
        <v>3392</v>
      </c>
      <c r="E1016" s="504" t="s">
        <v>3381</v>
      </c>
      <c r="F1016" s="504" t="s">
        <v>483</v>
      </c>
      <c r="G1016" s="504" t="s">
        <v>484</v>
      </c>
      <c r="H1016" s="504" t="s">
        <v>4208</v>
      </c>
      <c r="I1016" s="504">
        <v>44</v>
      </c>
      <c r="J1016" s="504">
        <v>0</v>
      </c>
      <c r="K1016" s="504">
        <v>0</v>
      </c>
      <c r="L1016" s="504">
        <v>0</v>
      </c>
      <c r="M1016" s="504">
        <v>44</v>
      </c>
      <c r="N1016" s="504">
        <v>0</v>
      </c>
      <c r="O1016" s="505">
        <v>0</v>
      </c>
    </row>
    <row r="1017" spans="1:15" x14ac:dyDescent="0.35">
      <c r="A1017" s="500" t="s">
        <v>1124</v>
      </c>
      <c r="B1017" s="501">
        <v>4745</v>
      </c>
      <c r="C1017" s="501" t="s">
        <v>1094</v>
      </c>
      <c r="D1017" s="501" t="s">
        <v>3380</v>
      </c>
      <c r="E1017" s="501" t="s">
        <v>3381</v>
      </c>
      <c r="F1017" s="501" t="s">
        <v>483</v>
      </c>
      <c r="G1017" s="501" t="s">
        <v>484</v>
      </c>
      <c r="H1017" s="501" t="s">
        <v>4209</v>
      </c>
      <c r="I1017" s="501">
        <v>16</v>
      </c>
      <c r="J1017" s="501">
        <v>0</v>
      </c>
      <c r="K1017" s="501">
        <v>0</v>
      </c>
      <c r="L1017" s="501">
        <v>16</v>
      </c>
      <c r="M1017" s="501">
        <v>0</v>
      </c>
      <c r="N1017" s="501">
        <v>0</v>
      </c>
      <c r="O1017" s="506">
        <v>0</v>
      </c>
    </row>
    <row r="1018" spans="1:15" x14ac:dyDescent="0.35">
      <c r="A1018" s="503" t="s">
        <v>1233</v>
      </c>
      <c r="B1018" s="504">
        <v>4636</v>
      </c>
      <c r="C1018" s="504" t="s">
        <v>1094</v>
      </c>
      <c r="D1018" s="504" t="s">
        <v>3380</v>
      </c>
      <c r="E1018" s="504" t="s">
        <v>3381</v>
      </c>
      <c r="F1018" s="504" t="s">
        <v>483</v>
      </c>
      <c r="G1018" s="504" t="s">
        <v>484</v>
      </c>
      <c r="H1018" s="504" t="s">
        <v>4210</v>
      </c>
      <c r="I1018" s="504">
        <v>8</v>
      </c>
      <c r="J1018" s="504">
        <v>0</v>
      </c>
      <c r="K1018" s="504">
        <v>0</v>
      </c>
      <c r="L1018" s="504">
        <v>0</v>
      </c>
      <c r="M1018" s="504">
        <v>0</v>
      </c>
      <c r="N1018" s="504">
        <v>0</v>
      </c>
      <c r="O1018" s="505">
        <v>8</v>
      </c>
    </row>
    <row r="1019" spans="1:15" x14ac:dyDescent="0.35">
      <c r="A1019" s="500" t="s">
        <v>1126</v>
      </c>
      <c r="B1019" s="501" t="s">
        <v>2974</v>
      </c>
      <c r="C1019" s="501" t="s">
        <v>1094</v>
      </c>
      <c r="D1019" s="501" t="s">
        <v>3380</v>
      </c>
      <c r="E1019" s="501" t="s">
        <v>3381</v>
      </c>
      <c r="F1019" s="501" t="s">
        <v>483</v>
      </c>
      <c r="G1019" s="501" t="s">
        <v>484</v>
      </c>
      <c r="H1019" s="501" t="s">
        <v>4211</v>
      </c>
      <c r="I1019" s="501">
        <v>654</v>
      </c>
      <c r="J1019" s="501">
        <v>383</v>
      </c>
      <c r="K1019" s="501">
        <v>0</v>
      </c>
      <c r="L1019" s="501">
        <v>135</v>
      </c>
      <c r="M1019" s="501">
        <v>119</v>
      </c>
      <c r="N1019" s="501">
        <v>1</v>
      </c>
      <c r="O1019" s="506">
        <v>17</v>
      </c>
    </row>
    <row r="1020" spans="1:15" x14ac:dyDescent="0.35">
      <c r="A1020" s="503" t="s">
        <v>1892</v>
      </c>
      <c r="B1020" s="504" t="s">
        <v>3172</v>
      </c>
      <c r="C1020" s="504" t="s">
        <v>1094</v>
      </c>
      <c r="D1020" s="504" t="s">
        <v>3380</v>
      </c>
      <c r="E1020" s="504" t="s">
        <v>3381</v>
      </c>
      <c r="F1020" s="504" t="s">
        <v>483</v>
      </c>
      <c r="G1020" s="504" t="s">
        <v>484</v>
      </c>
      <c r="H1020" s="504" t="s">
        <v>4212</v>
      </c>
      <c r="I1020" s="504">
        <v>30</v>
      </c>
      <c r="J1020" s="504">
        <v>17</v>
      </c>
      <c r="K1020" s="504">
        <v>0</v>
      </c>
      <c r="L1020" s="504">
        <v>0</v>
      </c>
      <c r="M1020" s="504">
        <v>13</v>
      </c>
      <c r="N1020" s="504">
        <v>0</v>
      </c>
      <c r="O1020" s="505">
        <v>0</v>
      </c>
    </row>
    <row r="1021" spans="1:15" x14ac:dyDescent="0.35">
      <c r="A1021" s="500" t="s">
        <v>1342</v>
      </c>
      <c r="B1021" s="501" t="s">
        <v>3237</v>
      </c>
      <c r="C1021" s="501" t="s">
        <v>1094</v>
      </c>
      <c r="D1021" s="501" t="s">
        <v>3380</v>
      </c>
      <c r="E1021" s="501" t="s">
        <v>3381</v>
      </c>
      <c r="F1021" s="501" t="s">
        <v>483</v>
      </c>
      <c r="G1021" s="501" t="s">
        <v>484</v>
      </c>
      <c r="H1021" s="501" t="s">
        <v>4213</v>
      </c>
      <c r="I1021" s="501">
        <v>1</v>
      </c>
      <c r="J1021" s="501">
        <v>0</v>
      </c>
      <c r="K1021" s="501">
        <v>0</v>
      </c>
      <c r="L1021" s="501">
        <v>0</v>
      </c>
      <c r="M1021" s="501">
        <v>0</v>
      </c>
      <c r="N1021" s="501">
        <v>0</v>
      </c>
      <c r="O1021" s="506">
        <v>1</v>
      </c>
    </row>
    <row r="1022" spans="1:15" x14ac:dyDescent="0.35">
      <c r="A1022" s="503" t="s">
        <v>1899</v>
      </c>
      <c r="B1022" s="504" t="s">
        <v>3078</v>
      </c>
      <c r="C1022" s="504" t="s">
        <v>1089</v>
      </c>
      <c r="D1022" s="504" t="s">
        <v>3392</v>
      </c>
      <c r="E1022" s="504" t="s">
        <v>3381</v>
      </c>
      <c r="F1022" s="504" t="s">
        <v>483</v>
      </c>
      <c r="G1022" s="504" t="s">
        <v>484</v>
      </c>
      <c r="H1022" s="504" t="s">
        <v>4214</v>
      </c>
      <c r="I1022" s="504">
        <v>163</v>
      </c>
      <c r="J1022" s="504">
        <v>0</v>
      </c>
      <c r="K1022" s="504">
        <v>0</v>
      </c>
      <c r="L1022" s="504">
        <v>163</v>
      </c>
      <c r="M1022" s="504">
        <v>0</v>
      </c>
      <c r="N1022" s="504">
        <v>0</v>
      </c>
      <c r="O1022" s="505">
        <v>0</v>
      </c>
    </row>
    <row r="1023" spans="1:15" x14ac:dyDescent="0.35">
      <c r="A1023" s="500" t="s">
        <v>1130</v>
      </c>
      <c r="B1023" s="501" t="s">
        <v>3234</v>
      </c>
      <c r="C1023" s="501" t="s">
        <v>1094</v>
      </c>
      <c r="D1023" s="501" t="s">
        <v>3380</v>
      </c>
      <c r="E1023" s="501" t="s">
        <v>3381</v>
      </c>
      <c r="F1023" s="501" t="s">
        <v>483</v>
      </c>
      <c r="G1023" s="501" t="s">
        <v>484</v>
      </c>
      <c r="H1023" s="501" t="s">
        <v>4215</v>
      </c>
      <c r="I1023" s="501">
        <v>1374</v>
      </c>
      <c r="J1023" s="501">
        <v>977</v>
      </c>
      <c r="K1023" s="501">
        <v>0</v>
      </c>
      <c r="L1023" s="501">
        <v>0</v>
      </c>
      <c r="M1023" s="501">
        <v>180</v>
      </c>
      <c r="N1023" s="501">
        <v>59</v>
      </c>
      <c r="O1023" s="506">
        <v>217</v>
      </c>
    </row>
    <row r="1024" spans="1:15" x14ac:dyDescent="0.35">
      <c r="A1024" s="503" t="s">
        <v>1132</v>
      </c>
      <c r="B1024" s="504">
        <v>4837</v>
      </c>
      <c r="C1024" s="504" t="s">
        <v>1094</v>
      </c>
      <c r="D1024" s="504" t="s">
        <v>3380</v>
      </c>
      <c r="E1024" s="504" t="s">
        <v>3381</v>
      </c>
      <c r="F1024" s="504" t="s">
        <v>483</v>
      </c>
      <c r="G1024" s="504" t="s">
        <v>484</v>
      </c>
      <c r="H1024" s="504" t="s">
        <v>4216</v>
      </c>
      <c r="I1024" s="504">
        <v>1</v>
      </c>
      <c r="J1024" s="504">
        <v>0</v>
      </c>
      <c r="K1024" s="504">
        <v>0</v>
      </c>
      <c r="L1024" s="504">
        <v>0</v>
      </c>
      <c r="M1024" s="504">
        <v>0</v>
      </c>
      <c r="N1024" s="504">
        <v>0</v>
      </c>
      <c r="O1024" s="505">
        <v>1</v>
      </c>
    </row>
    <row r="1025" spans="1:15" x14ac:dyDescent="0.35">
      <c r="A1025" s="500" t="s">
        <v>1345</v>
      </c>
      <c r="B1025" s="501" t="s">
        <v>3247</v>
      </c>
      <c r="C1025" s="501" t="s">
        <v>1094</v>
      </c>
      <c r="D1025" s="501" t="s">
        <v>3380</v>
      </c>
      <c r="E1025" s="501" t="s">
        <v>3381</v>
      </c>
      <c r="F1025" s="501" t="s">
        <v>483</v>
      </c>
      <c r="G1025" s="501" t="s">
        <v>484</v>
      </c>
      <c r="H1025" s="501" t="s">
        <v>4217</v>
      </c>
      <c r="I1025" s="501">
        <v>75</v>
      </c>
      <c r="J1025" s="501">
        <v>75</v>
      </c>
      <c r="K1025" s="501">
        <v>0</v>
      </c>
      <c r="L1025" s="501">
        <v>0</v>
      </c>
      <c r="M1025" s="501">
        <v>0</v>
      </c>
      <c r="N1025" s="501">
        <v>0</v>
      </c>
      <c r="O1025" s="506">
        <v>0</v>
      </c>
    </row>
    <row r="1026" spans="1:15" x14ac:dyDescent="0.35">
      <c r="A1026" s="503" t="s">
        <v>1240</v>
      </c>
      <c r="B1026" s="504" t="s">
        <v>2972</v>
      </c>
      <c r="C1026" s="504" t="s">
        <v>1094</v>
      </c>
      <c r="D1026" s="504" t="s">
        <v>3380</v>
      </c>
      <c r="E1026" s="504" t="s">
        <v>3381</v>
      </c>
      <c r="F1026" s="504" t="s">
        <v>483</v>
      </c>
      <c r="G1026" s="504" t="s">
        <v>484</v>
      </c>
      <c r="H1026" s="504" t="s">
        <v>4218</v>
      </c>
      <c r="I1026" s="504">
        <v>1</v>
      </c>
      <c r="J1026" s="504">
        <v>0</v>
      </c>
      <c r="K1026" s="504">
        <v>0</v>
      </c>
      <c r="L1026" s="504">
        <v>0</v>
      </c>
      <c r="M1026" s="504">
        <v>0</v>
      </c>
      <c r="N1026" s="504">
        <v>0</v>
      </c>
      <c r="O1026" s="505">
        <v>1</v>
      </c>
    </row>
    <row r="1027" spans="1:15" x14ac:dyDescent="0.35">
      <c r="A1027" s="500" t="s">
        <v>1134</v>
      </c>
      <c r="B1027" s="501" t="s">
        <v>3066</v>
      </c>
      <c r="C1027" s="501" t="s">
        <v>1094</v>
      </c>
      <c r="D1027" s="501" t="s">
        <v>3380</v>
      </c>
      <c r="E1027" s="501" t="s">
        <v>3381</v>
      </c>
      <c r="F1027" s="501" t="s">
        <v>483</v>
      </c>
      <c r="G1027" s="501" t="s">
        <v>484</v>
      </c>
      <c r="H1027" s="501" t="s">
        <v>4219</v>
      </c>
      <c r="I1027" s="501">
        <v>65</v>
      </c>
      <c r="J1027" s="501">
        <v>28</v>
      </c>
      <c r="K1027" s="501">
        <v>0</v>
      </c>
      <c r="L1027" s="501">
        <v>0</v>
      </c>
      <c r="M1027" s="501">
        <v>37</v>
      </c>
      <c r="N1027" s="501">
        <v>0</v>
      </c>
      <c r="O1027" s="506">
        <v>0</v>
      </c>
    </row>
    <row r="1028" spans="1:15" x14ac:dyDescent="0.35">
      <c r="A1028" s="503" t="s">
        <v>1904</v>
      </c>
      <c r="B1028" s="504" t="s">
        <v>3238</v>
      </c>
      <c r="C1028" s="504" t="s">
        <v>1089</v>
      </c>
      <c r="D1028" s="504" t="s">
        <v>3392</v>
      </c>
      <c r="E1028" s="504" t="s">
        <v>3381</v>
      </c>
      <c r="F1028" s="504" t="s">
        <v>483</v>
      </c>
      <c r="G1028" s="504" t="s">
        <v>484</v>
      </c>
      <c r="H1028" s="504" t="s">
        <v>4220</v>
      </c>
      <c r="I1028" s="504">
        <v>60</v>
      </c>
      <c r="J1028" s="504">
        <v>0</v>
      </c>
      <c r="K1028" s="504">
        <v>0</v>
      </c>
      <c r="L1028" s="504">
        <v>0</v>
      </c>
      <c r="M1028" s="504">
        <v>60</v>
      </c>
      <c r="N1028" s="504">
        <v>0</v>
      </c>
      <c r="O1028" s="505">
        <v>0</v>
      </c>
    </row>
    <row r="1029" spans="1:15" x14ac:dyDescent="0.35">
      <c r="A1029" s="500" t="s">
        <v>1905</v>
      </c>
      <c r="B1029" s="501" t="s">
        <v>3283</v>
      </c>
      <c r="C1029" s="501" t="s">
        <v>1089</v>
      </c>
      <c r="D1029" s="501" t="s">
        <v>3392</v>
      </c>
      <c r="E1029" s="501" t="s">
        <v>3381</v>
      </c>
      <c r="F1029" s="501" t="s">
        <v>483</v>
      </c>
      <c r="G1029" s="501" t="s">
        <v>484</v>
      </c>
      <c r="H1029" s="501" t="s">
        <v>4221</v>
      </c>
      <c r="I1029" s="501">
        <v>14</v>
      </c>
      <c r="J1029" s="501">
        <v>14</v>
      </c>
      <c r="K1029" s="501">
        <v>0</v>
      </c>
      <c r="L1029" s="501">
        <v>0</v>
      </c>
      <c r="M1029" s="501">
        <v>0</v>
      </c>
      <c r="N1029" s="501">
        <v>0</v>
      </c>
      <c r="O1029" s="506">
        <v>0</v>
      </c>
    </row>
    <row r="1030" spans="1:15" x14ac:dyDescent="0.35">
      <c r="A1030" s="503" t="s">
        <v>1559</v>
      </c>
      <c r="B1030" s="504" t="s">
        <v>3252</v>
      </c>
      <c r="C1030" s="504" t="s">
        <v>1089</v>
      </c>
      <c r="D1030" s="504" t="s">
        <v>3392</v>
      </c>
      <c r="E1030" s="504" t="s">
        <v>3381</v>
      </c>
      <c r="F1030" s="504" t="s">
        <v>483</v>
      </c>
      <c r="G1030" s="504" t="s">
        <v>484</v>
      </c>
      <c r="H1030" s="504" t="s">
        <v>4222</v>
      </c>
      <c r="I1030" s="504">
        <v>27</v>
      </c>
      <c r="J1030" s="504">
        <v>0</v>
      </c>
      <c r="K1030" s="504">
        <v>0</v>
      </c>
      <c r="L1030" s="504">
        <v>0</v>
      </c>
      <c r="M1030" s="504">
        <v>27</v>
      </c>
      <c r="N1030" s="504">
        <v>0</v>
      </c>
      <c r="O1030" s="505">
        <v>0</v>
      </c>
    </row>
    <row r="1031" spans="1:15" x14ac:dyDescent="0.35">
      <c r="A1031" s="500" t="s">
        <v>1919</v>
      </c>
      <c r="B1031" s="501" t="s">
        <v>3076</v>
      </c>
      <c r="C1031" s="501" t="s">
        <v>1089</v>
      </c>
      <c r="D1031" s="501" t="s">
        <v>3392</v>
      </c>
      <c r="E1031" s="501" t="s">
        <v>3381</v>
      </c>
      <c r="F1031" s="501" t="s">
        <v>483</v>
      </c>
      <c r="G1031" s="501" t="s">
        <v>484</v>
      </c>
      <c r="H1031" s="501" t="s">
        <v>4223</v>
      </c>
      <c r="I1031" s="501">
        <v>15</v>
      </c>
      <c r="J1031" s="501">
        <v>15</v>
      </c>
      <c r="K1031" s="501">
        <v>0</v>
      </c>
      <c r="L1031" s="501">
        <v>0</v>
      </c>
      <c r="M1031" s="501">
        <v>0</v>
      </c>
      <c r="N1031" s="501">
        <v>2</v>
      </c>
      <c r="O1031" s="506">
        <v>0</v>
      </c>
    </row>
    <row r="1032" spans="1:15" x14ac:dyDescent="0.35">
      <c r="A1032" s="503" t="s">
        <v>1249</v>
      </c>
      <c r="B1032" s="504">
        <v>4729</v>
      </c>
      <c r="C1032" s="504" t="s">
        <v>1094</v>
      </c>
      <c r="D1032" s="504" t="s">
        <v>3380</v>
      </c>
      <c r="E1032" s="504" t="s">
        <v>3381</v>
      </c>
      <c r="F1032" s="504" t="s">
        <v>483</v>
      </c>
      <c r="G1032" s="504" t="s">
        <v>484</v>
      </c>
      <c r="H1032" s="504" t="s">
        <v>4224</v>
      </c>
      <c r="I1032" s="504">
        <v>589</v>
      </c>
      <c r="J1032" s="504">
        <v>553</v>
      </c>
      <c r="K1032" s="504">
        <v>0</v>
      </c>
      <c r="L1032" s="504">
        <v>1</v>
      </c>
      <c r="M1032" s="504">
        <v>18</v>
      </c>
      <c r="N1032" s="504">
        <v>0</v>
      </c>
      <c r="O1032" s="505">
        <v>17</v>
      </c>
    </row>
    <row r="1033" spans="1:15" x14ac:dyDescent="0.35">
      <c r="A1033" s="500" t="s">
        <v>1253</v>
      </c>
      <c r="B1033" s="501" t="s">
        <v>3232</v>
      </c>
      <c r="C1033" s="501" t="s">
        <v>1094</v>
      </c>
      <c r="D1033" s="501" t="s">
        <v>3380</v>
      </c>
      <c r="E1033" s="501" t="s">
        <v>3381</v>
      </c>
      <c r="F1033" s="501" t="s">
        <v>483</v>
      </c>
      <c r="G1033" s="501" t="s">
        <v>484</v>
      </c>
      <c r="H1033" s="501" t="s">
        <v>4225</v>
      </c>
      <c r="I1033" s="501">
        <v>33</v>
      </c>
      <c r="J1033" s="501">
        <v>0</v>
      </c>
      <c r="K1033" s="501">
        <v>0</v>
      </c>
      <c r="L1033" s="501">
        <v>33</v>
      </c>
      <c r="M1033" s="501">
        <v>0</v>
      </c>
      <c r="N1033" s="501">
        <v>0</v>
      </c>
      <c r="O1033" s="506">
        <v>0</v>
      </c>
    </row>
    <row r="1034" spans="1:15" x14ac:dyDescent="0.35">
      <c r="A1034" s="503" t="s">
        <v>14375</v>
      </c>
      <c r="B1034" s="504" t="s">
        <v>14374</v>
      </c>
      <c r="C1034" s="504" t="s">
        <v>1089</v>
      </c>
      <c r="D1034" s="504" t="s">
        <v>3392</v>
      </c>
      <c r="E1034" s="504" t="s">
        <v>3381</v>
      </c>
      <c r="F1034" s="504" t="s">
        <v>483</v>
      </c>
      <c r="G1034" s="504" t="s">
        <v>484</v>
      </c>
      <c r="H1034" s="504" t="s">
        <v>14508</v>
      </c>
      <c r="I1034" s="504">
        <v>67</v>
      </c>
      <c r="J1034" s="504">
        <v>12</v>
      </c>
      <c r="K1034" s="504">
        <v>55</v>
      </c>
      <c r="L1034" s="504">
        <v>0</v>
      </c>
      <c r="M1034" s="504">
        <v>0</v>
      </c>
      <c r="N1034" s="504">
        <v>0</v>
      </c>
      <c r="O1034" s="505">
        <v>0</v>
      </c>
    </row>
    <row r="1035" spans="1:15" x14ac:dyDescent="0.35">
      <c r="A1035" s="500" t="s">
        <v>1262</v>
      </c>
      <c r="B1035" s="501">
        <v>4772</v>
      </c>
      <c r="C1035" s="501" t="s">
        <v>1089</v>
      </c>
      <c r="D1035" s="501" t="s">
        <v>3392</v>
      </c>
      <c r="E1035" s="501" t="s">
        <v>3381</v>
      </c>
      <c r="F1035" s="501" t="s">
        <v>483</v>
      </c>
      <c r="G1035" s="501" t="s">
        <v>484</v>
      </c>
      <c r="H1035" s="501" t="s">
        <v>4226</v>
      </c>
      <c r="I1035" s="501">
        <v>8</v>
      </c>
      <c r="J1035" s="501">
        <v>0</v>
      </c>
      <c r="K1035" s="501">
        <v>0</v>
      </c>
      <c r="L1035" s="501">
        <v>8</v>
      </c>
      <c r="M1035" s="501">
        <v>0</v>
      </c>
      <c r="N1035" s="501">
        <v>0</v>
      </c>
      <c r="O1035" s="506">
        <v>0</v>
      </c>
    </row>
    <row r="1036" spans="1:15" x14ac:dyDescent="0.35">
      <c r="A1036" s="503" t="s">
        <v>1942</v>
      </c>
      <c r="B1036" s="504" t="s">
        <v>3336</v>
      </c>
      <c r="C1036" s="504" t="s">
        <v>1094</v>
      </c>
      <c r="D1036" s="504" t="s">
        <v>3380</v>
      </c>
      <c r="E1036" s="504" t="s">
        <v>3381</v>
      </c>
      <c r="F1036" s="504" t="s">
        <v>483</v>
      </c>
      <c r="G1036" s="504" t="s">
        <v>484</v>
      </c>
      <c r="H1036" s="504" t="s">
        <v>4227</v>
      </c>
      <c r="I1036" s="504">
        <v>28</v>
      </c>
      <c r="J1036" s="504">
        <v>28</v>
      </c>
      <c r="K1036" s="504">
        <v>0</v>
      </c>
      <c r="L1036" s="504">
        <v>0</v>
      </c>
      <c r="M1036" s="504">
        <v>0</v>
      </c>
      <c r="N1036" s="504">
        <v>0</v>
      </c>
      <c r="O1036" s="505">
        <v>0</v>
      </c>
    </row>
    <row r="1037" spans="1:15" x14ac:dyDescent="0.35">
      <c r="A1037" s="500" t="s">
        <v>1944</v>
      </c>
      <c r="B1037" s="501">
        <v>4644</v>
      </c>
      <c r="C1037" s="501" t="s">
        <v>1089</v>
      </c>
      <c r="D1037" s="501" t="s">
        <v>3392</v>
      </c>
      <c r="E1037" s="501" t="s">
        <v>3381</v>
      </c>
      <c r="F1037" s="501" t="s">
        <v>483</v>
      </c>
      <c r="G1037" s="501" t="s">
        <v>484</v>
      </c>
      <c r="H1037" s="501" t="s">
        <v>4228</v>
      </c>
      <c r="I1037" s="501">
        <v>4</v>
      </c>
      <c r="J1037" s="501">
        <v>0</v>
      </c>
      <c r="K1037" s="501">
        <v>0</v>
      </c>
      <c r="L1037" s="501">
        <v>4</v>
      </c>
      <c r="M1037" s="501">
        <v>0</v>
      </c>
      <c r="N1037" s="501">
        <v>0</v>
      </c>
      <c r="O1037" s="506">
        <v>0</v>
      </c>
    </row>
    <row r="1038" spans="1:15" x14ac:dyDescent="0.35">
      <c r="A1038" s="503" t="s">
        <v>1947</v>
      </c>
      <c r="B1038" s="504" t="s">
        <v>2840</v>
      </c>
      <c r="C1038" s="504" t="s">
        <v>1089</v>
      </c>
      <c r="D1038" s="504" t="s">
        <v>3392</v>
      </c>
      <c r="E1038" s="504" t="s">
        <v>3381</v>
      </c>
      <c r="F1038" s="504" t="s">
        <v>485</v>
      </c>
      <c r="G1038" s="504" t="s">
        <v>486</v>
      </c>
      <c r="H1038" s="504" t="s">
        <v>15456</v>
      </c>
      <c r="I1038" s="504">
        <v>42</v>
      </c>
      <c r="J1038" s="504">
        <v>0</v>
      </c>
      <c r="K1038" s="504">
        <v>0</v>
      </c>
      <c r="L1038" s="504">
        <v>0</v>
      </c>
      <c r="M1038" s="504">
        <v>42</v>
      </c>
      <c r="N1038" s="504">
        <v>0</v>
      </c>
      <c r="O1038" s="505">
        <v>0</v>
      </c>
    </row>
    <row r="1039" spans="1:15" x14ac:dyDescent="0.35">
      <c r="A1039" s="500" t="s">
        <v>14127</v>
      </c>
      <c r="B1039" s="501" t="s">
        <v>14126</v>
      </c>
      <c r="C1039" s="501" t="s">
        <v>1094</v>
      </c>
      <c r="D1039" s="501" t="s">
        <v>3380</v>
      </c>
      <c r="E1039" s="501" t="s">
        <v>3381</v>
      </c>
      <c r="F1039" s="501" t="s">
        <v>485</v>
      </c>
      <c r="G1039" s="501" t="s">
        <v>486</v>
      </c>
      <c r="H1039" s="501" t="s">
        <v>15457</v>
      </c>
      <c r="I1039" s="501">
        <v>211</v>
      </c>
      <c r="J1039" s="501">
        <v>115</v>
      </c>
      <c r="K1039" s="501">
        <v>0</v>
      </c>
      <c r="L1039" s="501">
        <v>0</v>
      </c>
      <c r="M1039" s="501">
        <v>0</v>
      </c>
      <c r="N1039" s="501">
        <v>0</v>
      </c>
      <c r="O1039" s="506">
        <v>96</v>
      </c>
    </row>
    <row r="1040" spans="1:15" x14ac:dyDescent="0.35">
      <c r="A1040" s="503" t="s">
        <v>1093</v>
      </c>
      <c r="B1040" s="504" t="s">
        <v>3248</v>
      </c>
      <c r="C1040" s="504" t="s">
        <v>1094</v>
      </c>
      <c r="D1040" s="504" t="s">
        <v>3380</v>
      </c>
      <c r="E1040" s="504" t="s">
        <v>3381</v>
      </c>
      <c r="F1040" s="504" t="s">
        <v>485</v>
      </c>
      <c r="G1040" s="504" t="s">
        <v>486</v>
      </c>
      <c r="H1040" s="504" t="s">
        <v>15458</v>
      </c>
      <c r="I1040" s="504">
        <v>41</v>
      </c>
      <c r="J1040" s="504">
        <v>0</v>
      </c>
      <c r="K1040" s="504">
        <v>0</v>
      </c>
      <c r="L1040" s="504">
        <v>29</v>
      </c>
      <c r="M1040" s="504">
        <v>0</v>
      </c>
      <c r="N1040" s="504">
        <v>0</v>
      </c>
      <c r="O1040" s="505">
        <v>12</v>
      </c>
    </row>
    <row r="1041" spans="1:15" x14ac:dyDescent="0.35">
      <c r="A1041" s="500" t="s">
        <v>1096</v>
      </c>
      <c r="B1041" s="501" t="s">
        <v>3326</v>
      </c>
      <c r="C1041" s="501" t="s">
        <v>1094</v>
      </c>
      <c r="D1041" s="501" t="s">
        <v>3380</v>
      </c>
      <c r="E1041" s="501" t="s">
        <v>3381</v>
      </c>
      <c r="F1041" s="501" t="s">
        <v>485</v>
      </c>
      <c r="G1041" s="501" t="s">
        <v>486</v>
      </c>
      <c r="H1041" s="501" t="s">
        <v>15459</v>
      </c>
      <c r="I1041" s="501">
        <v>163</v>
      </c>
      <c r="J1041" s="501">
        <v>0</v>
      </c>
      <c r="K1041" s="501">
        <v>0</v>
      </c>
      <c r="L1041" s="501">
        <v>0</v>
      </c>
      <c r="M1041" s="501">
        <v>122</v>
      </c>
      <c r="N1041" s="501">
        <v>0</v>
      </c>
      <c r="O1041" s="506">
        <v>41</v>
      </c>
    </row>
    <row r="1042" spans="1:15" x14ac:dyDescent="0.35">
      <c r="A1042" s="503" t="s">
        <v>1948</v>
      </c>
      <c r="B1042" s="504">
        <v>4716</v>
      </c>
      <c r="C1042" s="504" t="s">
        <v>1089</v>
      </c>
      <c r="D1042" s="504" t="s">
        <v>3392</v>
      </c>
      <c r="E1042" s="504" t="s">
        <v>3381</v>
      </c>
      <c r="F1042" s="504" t="s">
        <v>485</v>
      </c>
      <c r="G1042" s="504" t="s">
        <v>486</v>
      </c>
      <c r="H1042" s="504" t="s">
        <v>15460</v>
      </c>
      <c r="I1042" s="504">
        <v>130</v>
      </c>
      <c r="J1042" s="504">
        <v>12</v>
      </c>
      <c r="K1042" s="504">
        <v>0</v>
      </c>
      <c r="L1042" s="504">
        <v>118</v>
      </c>
      <c r="M1042" s="504">
        <v>0</v>
      </c>
      <c r="N1042" s="504">
        <v>0</v>
      </c>
      <c r="O1042" s="505">
        <v>0</v>
      </c>
    </row>
    <row r="1043" spans="1:15" x14ac:dyDescent="0.35">
      <c r="A1043" s="500" t="s">
        <v>1098</v>
      </c>
      <c r="B1043" s="501">
        <v>4691</v>
      </c>
      <c r="C1043" s="501" t="s">
        <v>1094</v>
      </c>
      <c r="D1043" s="501" t="s">
        <v>3380</v>
      </c>
      <c r="E1043" s="501" t="s">
        <v>3381</v>
      </c>
      <c r="F1043" s="501" t="s">
        <v>485</v>
      </c>
      <c r="G1043" s="501" t="s">
        <v>486</v>
      </c>
      <c r="H1043" s="501" t="s">
        <v>15461</v>
      </c>
      <c r="I1043" s="501">
        <v>88</v>
      </c>
      <c r="J1043" s="501">
        <v>22</v>
      </c>
      <c r="K1043" s="501">
        <v>0</v>
      </c>
      <c r="L1043" s="501">
        <v>0</v>
      </c>
      <c r="M1043" s="501">
        <v>0</v>
      </c>
      <c r="N1043" s="501">
        <v>0</v>
      </c>
      <c r="O1043" s="506">
        <v>66</v>
      </c>
    </row>
    <row r="1044" spans="1:15" x14ac:dyDescent="0.35">
      <c r="A1044" s="503" t="s">
        <v>11363</v>
      </c>
      <c r="B1044" s="504">
        <v>4718</v>
      </c>
      <c r="C1044" s="504" t="s">
        <v>1094</v>
      </c>
      <c r="D1044" s="504" t="s">
        <v>3380</v>
      </c>
      <c r="E1044" s="504" t="s">
        <v>3381</v>
      </c>
      <c r="F1044" s="504" t="s">
        <v>485</v>
      </c>
      <c r="G1044" s="504" t="s">
        <v>486</v>
      </c>
      <c r="H1044" s="504" t="s">
        <v>15462</v>
      </c>
      <c r="I1044" s="504">
        <v>4</v>
      </c>
      <c r="J1044" s="504">
        <v>0</v>
      </c>
      <c r="K1044" s="504">
        <v>0</v>
      </c>
      <c r="L1044" s="504">
        <v>4</v>
      </c>
      <c r="M1044" s="504">
        <v>0</v>
      </c>
      <c r="N1044" s="504">
        <v>0</v>
      </c>
      <c r="O1044" s="505">
        <v>0</v>
      </c>
    </row>
    <row r="1045" spans="1:15" x14ac:dyDescent="0.35">
      <c r="A1045" s="500" t="s">
        <v>11423</v>
      </c>
      <c r="B1045" s="501" t="s">
        <v>3128</v>
      </c>
      <c r="C1045" s="501" t="s">
        <v>1094</v>
      </c>
      <c r="D1045" s="501" t="s">
        <v>3380</v>
      </c>
      <c r="E1045" s="501" t="s">
        <v>3381</v>
      </c>
      <c r="F1045" s="501" t="s">
        <v>485</v>
      </c>
      <c r="G1045" s="501" t="s">
        <v>486</v>
      </c>
      <c r="H1045" s="501" t="s">
        <v>15463</v>
      </c>
      <c r="I1045" s="501">
        <v>2528</v>
      </c>
      <c r="J1045" s="501">
        <v>2302</v>
      </c>
      <c r="K1045" s="501">
        <v>0</v>
      </c>
      <c r="L1045" s="501">
        <v>120</v>
      </c>
      <c r="M1045" s="501">
        <v>26</v>
      </c>
      <c r="N1045" s="501">
        <v>36</v>
      </c>
      <c r="O1045" s="506">
        <v>80</v>
      </c>
    </row>
    <row r="1046" spans="1:15" x14ac:dyDescent="0.35">
      <c r="A1046" s="503" t="s">
        <v>1953</v>
      </c>
      <c r="B1046" s="504">
        <v>4801</v>
      </c>
      <c r="C1046" s="504" t="s">
        <v>1089</v>
      </c>
      <c r="D1046" s="504" t="s">
        <v>3392</v>
      </c>
      <c r="E1046" s="504" t="s">
        <v>3381</v>
      </c>
      <c r="F1046" s="504" t="s">
        <v>485</v>
      </c>
      <c r="G1046" s="504" t="s">
        <v>486</v>
      </c>
      <c r="H1046" s="504" t="s">
        <v>15464</v>
      </c>
      <c r="I1046" s="504">
        <v>5</v>
      </c>
      <c r="J1046" s="504">
        <v>5</v>
      </c>
      <c r="K1046" s="504">
        <v>0</v>
      </c>
      <c r="L1046" s="504">
        <v>0</v>
      </c>
      <c r="M1046" s="504">
        <v>0</v>
      </c>
      <c r="N1046" s="504">
        <v>0</v>
      </c>
      <c r="O1046" s="505">
        <v>0</v>
      </c>
    </row>
    <row r="1047" spans="1:15" x14ac:dyDescent="0.35">
      <c r="A1047" s="500" t="s">
        <v>1952</v>
      </c>
      <c r="B1047" s="501" t="s">
        <v>2640</v>
      </c>
      <c r="C1047" s="501" t="s">
        <v>1089</v>
      </c>
      <c r="D1047" s="501" t="s">
        <v>3392</v>
      </c>
      <c r="E1047" s="501" t="s">
        <v>3381</v>
      </c>
      <c r="F1047" s="501" t="s">
        <v>485</v>
      </c>
      <c r="G1047" s="501" t="s">
        <v>486</v>
      </c>
      <c r="H1047" s="501" t="s">
        <v>15465</v>
      </c>
      <c r="I1047" s="501">
        <v>22</v>
      </c>
      <c r="J1047" s="501">
        <v>0</v>
      </c>
      <c r="K1047" s="501">
        <v>0</v>
      </c>
      <c r="L1047" s="501">
        <v>22</v>
      </c>
      <c r="M1047" s="501">
        <v>0</v>
      </c>
      <c r="N1047" s="501">
        <v>0</v>
      </c>
      <c r="O1047" s="506">
        <v>0</v>
      </c>
    </row>
    <row r="1048" spans="1:15" x14ac:dyDescent="0.35">
      <c r="A1048" s="503" t="s">
        <v>1954</v>
      </c>
      <c r="B1048" s="504" t="s">
        <v>3084</v>
      </c>
      <c r="C1048" s="504" t="s">
        <v>1089</v>
      </c>
      <c r="D1048" s="504" t="s">
        <v>3392</v>
      </c>
      <c r="E1048" s="504" t="s">
        <v>3381</v>
      </c>
      <c r="F1048" s="504" t="s">
        <v>485</v>
      </c>
      <c r="G1048" s="504" t="s">
        <v>486</v>
      </c>
      <c r="H1048" s="504" t="s">
        <v>15466</v>
      </c>
      <c r="I1048" s="504">
        <v>45</v>
      </c>
      <c r="J1048" s="504">
        <v>45</v>
      </c>
      <c r="K1048" s="504">
        <v>0</v>
      </c>
      <c r="L1048" s="504">
        <v>0</v>
      </c>
      <c r="M1048" s="504">
        <v>0</v>
      </c>
      <c r="N1048" s="504">
        <v>0</v>
      </c>
      <c r="O1048" s="505">
        <v>0</v>
      </c>
    </row>
    <row r="1049" spans="1:15" x14ac:dyDescent="0.35">
      <c r="A1049" s="500" t="s">
        <v>1955</v>
      </c>
      <c r="B1049" s="501" t="s">
        <v>3246</v>
      </c>
      <c r="C1049" s="501" t="s">
        <v>1094</v>
      </c>
      <c r="D1049" s="501" t="s">
        <v>3380</v>
      </c>
      <c r="E1049" s="501" t="s">
        <v>3381</v>
      </c>
      <c r="F1049" s="501" t="s">
        <v>485</v>
      </c>
      <c r="G1049" s="501" t="s">
        <v>486</v>
      </c>
      <c r="H1049" s="501" t="s">
        <v>15467</v>
      </c>
      <c r="I1049" s="501">
        <v>1134</v>
      </c>
      <c r="J1049" s="501">
        <v>4</v>
      </c>
      <c r="K1049" s="501">
        <v>0</v>
      </c>
      <c r="L1049" s="501">
        <v>1106</v>
      </c>
      <c r="M1049" s="501">
        <v>0</v>
      </c>
      <c r="N1049" s="501">
        <v>2</v>
      </c>
      <c r="O1049" s="506">
        <v>24</v>
      </c>
    </row>
    <row r="1050" spans="1:15" x14ac:dyDescent="0.35">
      <c r="A1050" s="503" t="s">
        <v>1100</v>
      </c>
      <c r="B1050" s="504">
        <v>4865</v>
      </c>
      <c r="C1050" s="504" t="s">
        <v>1094</v>
      </c>
      <c r="D1050" s="504" t="s">
        <v>3380</v>
      </c>
      <c r="E1050" s="504" t="s">
        <v>3381</v>
      </c>
      <c r="F1050" s="504" t="s">
        <v>485</v>
      </c>
      <c r="G1050" s="504" t="s">
        <v>486</v>
      </c>
      <c r="H1050" s="504" t="s">
        <v>15468</v>
      </c>
      <c r="I1050" s="504">
        <v>372</v>
      </c>
      <c r="J1050" s="504">
        <v>308</v>
      </c>
      <c r="K1050" s="504">
        <v>0</v>
      </c>
      <c r="L1050" s="504">
        <v>0</v>
      </c>
      <c r="M1050" s="504">
        <v>47</v>
      </c>
      <c r="N1050" s="504">
        <v>0</v>
      </c>
      <c r="O1050" s="505">
        <v>17</v>
      </c>
    </row>
    <row r="1051" spans="1:15" x14ac:dyDescent="0.35">
      <c r="A1051" s="500" t="s">
        <v>1970</v>
      </c>
      <c r="B1051" s="501" t="s">
        <v>3347</v>
      </c>
      <c r="C1051" s="501" t="s">
        <v>1094</v>
      </c>
      <c r="D1051" s="501" t="s">
        <v>3392</v>
      </c>
      <c r="E1051" s="501" t="s">
        <v>3381</v>
      </c>
      <c r="F1051" s="501" t="s">
        <v>485</v>
      </c>
      <c r="G1051" s="501" t="s">
        <v>486</v>
      </c>
      <c r="H1051" s="501" t="s">
        <v>15469</v>
      </c>
      <c r="I1051" s="501">
        <v>1</v>
      </c>
      <c r="J1051" s="501">
        <v>1</v>
      </c>
      <c r="K1051" s="501">
        <v>0</v>
      </c>
      <c r="L1051" s="501">
        <v>0</v>
      </c>
      <c r="M1051" s="501">
        <v>0</v>
      </c>
      <c r="N1051" s="501">
        <v>0</v>
      </c>
      <c r="O1051" s="506">
        <v>0</v>
      </c>
    </row>
    <row r="1052" spans="1:15" x14ac:dyDescent="0.35">
      <c r="A1052" s="503" t="s">
        <v>1971</v>
      </c>
      <c r="B1052" s="504" t="s">
        <v>3337</v>
      </c>
      <c r="C1052" s="504" t="s">
        <v>1094</v>
      </c>
      <c r="D1052" s="504" t="s">
        <v>3380</v>
      </c>
      <c r="E1052" s="504" t="s">
        <v>3381</v>
      </c>
      <c r="F1052" s="504" t="s">
        <v>485</v>
      </c>
      <c r="G1052" s="504" t="s">
        <v>486</v>
      </c>
      <c r="H1052" s="504" t="s">
        <v>15470</v>
      </c>
      <c r="I1052" s="504">
        <v>1009</v>
      </c>
      <c r="J1052" s="504">
        <v>815</v>
      </c>
      <c r="K1052" s="504">
        <v>0</v>
      </c>
      <c r="L1052" s="504">
        <v>7</v>
      </c>
      <c r="M1052" s="504">
        <v>83</v>
      </c>
      <c r="N1052" s="504">
        <v>3</v>
      </c>
      <c r="O1052" s="505">
        <v>104</v>
      </c>
    </row>
    <row r="1053" spans="1:15" x14ac:dyDescent="0.35">
      <c r="A1053" s="500" t="s">
        <v>1172</v>
      </c>
      <c r="B1053" s="501">
        <v>4648</v>
      </c>
      <c r="C1053" s="501" t="s">
        <v>1089</v>
      </c>
      <c r="D1053" s="501" t="s">
        <v>3392</v>
      </c>
      <c r="E1053" s="501" t="s">
        <v>3381</v>
      </c>
      <c r="F1053" s="501" t="s">
        <v>485</v>
      </c>
      <c r="G1053" s="501" t="s">
        <v>486</v>
      </c>
      <c r="H1053" s="501" t="s">
        <v>15471</v>
      </c>
      <c r="I1053" s="501">
        <v>8</v>
      </c>
      <c r="J1053" s="501">
        <v>0</v>
      </c>
      <c r="K1053" s="501">
        <v>0</v>
      </c>
      <c r="L1053" s="501">
        <v>8</v>
      </c>
      <c r="M1053" s="501">
        <v>0</v>
      </c>
      <c r="N1053" s="501">
        <v>0</v>
      </c>
      <c r="O1053" s="506">
        <v>0</v>
      </c>
    </row>
    <row r="1054" spans="1:15" x14ac:dyDescent="0.35">
      <c r="A1054" s="503" t="s">
        <v>1975</v>
      </c>
      <c r="B1054" s="504" t="s">
        <v>3268</v>
      </c>
      <c r="C1054" s="504" t="s">
        <v>1089</v>
      </c>
      <c r="D1054" s="504" t="s">
        <v>3392</v>
      </c>
      <c r="E1054" s="504" t="s">
        <v>3381</v>
      </c>
      <c r="F1054" s="504" t="s">
        <v>485</v>
      </c>
      <c r="G1054" s="504" t="s">
        <v>486</v>
      </c>
      <c r="H1054" s="504" t="s">
        <v>15472</v>
      </c>
      <c r="I1054" s="504">
        <v>375</v>
      </c>
      <c r="J1054" s="504">
        <v>214</v>
      </c>
      <c r="K1054" s="504">
        <v>25</v>
      </c>
      <c r="L1054" s="504">
        <v>136</v>
      </c>
      <c r="M1054" s="504">
        <v>0</v>
      </c>
      <c r="N1054" s="504">
        <v>0</v>
      </c>
      <c r="O1054" s="505">
        <v>0</v>
      </c>
    </row>
    <row r="1055" spans="1:15" x14ac:dyDescent="0.35">
      <c r="A1055" s="500" t="s">
        <v>1177</v>
      </c>
      <c r="B1055" s="501">
        <v>4702</v>
      </c>
      <c r="C1055" s="501" t="s">
        <v>1089</v>
      </c>
      <c r="D1055" s="501" t="s">
        <v>3392</v>
      </c>
      <c r="E1055" s="501" t="s">
        <v>3381</v>
      </c>
      <c r="F1055" s="501" t="s">
        <v>485</v>
      </c>
      <c r="G1055" s="501" t="s">
        <v>486</v>
      </c>
      <c r="H1055" s="501" t="s">
        <v>15473</v>
      </c>
      <c r="I1055" s="501">
        <v>5</v>
      </c>
      <c r="J1055" s="501">
        <v>0</v>
      </c>
      <c r="K1055" s="501">
        <v>0</v>
      </c>
      <c r="L1055" s="501">
        <v>5</v>
      </c>
      <c r="M1055" s="501">
        <v>0</v>
      </c>
      <c r="N1055" s="501">
        <v>0</v>
      </c>
      <c r="O1055" s="506">
        <v>0</v>
      </c>
    </row>
    <row r="1056" spans="1:15" x14ac:dyDescent="0.35">
      <c r="A1056" s="503" t="s">
        <v>14208</v>
      </c>
      <c r="B1056" s="504">
        <v>4803</v>
      </c>
      <c r="C1056" s="504" t="s">
        <v>1094</v>
      </c>
      <c r="D1056" s="504" t="s">
        <v>3380</v>
      </c>
      <c r="E1056" s="504" t="s">
        <v>3381</v>
      </c>
      <c r="F1056" s="504" t="s">
        <v>485</v>
      </c>
      <c r="G1056" s="504" t="s">
        <v>486</v>
      </c>
      <c r="H1056" s="504" t="s">
        <v>15474</v>
      </c>
      <c r="I1056" s="504">
        <v>2</v>
      </c>
      <c r="J1056" s="504">
        <v>0</v>
      </c>
      <c r="K1056" s="504">
        <v>0</v>
      </c>
      <c r="L1056" s="504">
        <v>2</v>
      </c>
      <c r="M1056" s="504">
        <v>0</v>
      </c>
      <c r="N1056" s="504">
        <v>0</v>
      </c>
      <c r="O1056" s="505">
        <v>0</v>
      </c>
    </row>
    <row r="1057" spans="1:15" x14ac:dyDescent="0.35">
      <c r="A1057" s="500" t="s">
        <v>1986</v>
      </c>
      <c r="B1057" s="501" t="s">
        <v>3103</v>
      </c>
      <c r="C1057" s="501" t="s">
        <v>1089</v>
      </c>
      <c r="D1057" s="501" t="s">
        <v>3392</v>
      </c>
      <c r="E1057" s="501" t="s">
        <v>3381</v>
      </c>
      <c r="F1057" s="501" t="s">
        <v>485</v>
      </c>
      <c r="G1057" s="501" t="s">
        <v>486</v>
      </c>
      <c r="H1057" s="501" t="s">
        <v>15475</v>
      </c>
      <c r="I1057" s="501">
        <v>203</v>
      </c>
      <c r="J1057" s="501">
        <v>48</v>
      </c>
      <c r="K1057" s="501">
        <v>0</v>
      </c>
      <c r="L1057" s="501">
        <v>6</v>
      </c>
      <c r="M1057" s="501">
        <v>149</v>
      </c>
      <c r="N1057" s="501">
        <v>0</v>
      </c>
      <c r="O1057" s="506">
        <v>0</v>
      </c>
    </row>
    <row r="1058" spans="1:15" x14ac:dyDescent="0.35">
      <c r="A1058" s="503" t="s">
        <v>1185</v>
      </c>
      <c r="B1058" s="504" t="s">
        <v>3253</v>
      </c>
      <c r="C1058" s="504" t="s">
        <v>1094</v>
      </c>
      <c r="D1058" s="504" t="s">
        <v>3380</v>
      </c>
      <c r="E1058" s="504" t="s">
        <v>3381</v>
      </c>
      <c r="F1058" s="504" t="s">
        <v>485</v>
      </c>
      <c r="G1058" s="504" t="s">
        <v>486</v>
      </c>
      <c r="H1058" s="504" t="s">
        <v>15476</v>
      </c>
      <c r="I1058" s="504">
        <v>154</v>
      </c>
      <c r="J1058" s="504">
        <v>75</v>
      </c>
      <c r="K1058" s="504">
        <v>0</v>
      </c>
      <c r="L1058" s="504">
        <v>70</v>
      </c>
      <c r="M1058" s="504">
        <v>9</v>
      </c>
      <c r="N1058" s="504">
        <v>0</v>
      </c>
      <c r="O1058" s="505">
        <v>0</v>
      </c>
    </row>
    <row r="1059" spans="1:15" x14ac:dyDescent="0.35">
      <c r="A1059" s="500" t="s">
        <v>1105</v>
      </c>
      <c r="B1059" s="501">
        <v>4668</v>
      </c>
      <c r="C1059" s="501" t="s">
        <v>1094</v>
      </c>
      <c r="D1059" s="501" t="s">
        <v>3380</v>
      </c>
      <c r="E1059" s="501" t="s">
        <v>3381</v>
      </c>
      <c r="F1059" s="501" t="s">
        <v>485</v>
      </c>
      <c r="G1059" s="501" t="s">
        <v>486</v>
      </c>
      <c r="H1059" s="501" t="s">
        <v>15477</v>
      </c>
      <c r="I1059" s="501">
        <v>66</v>
      </c>
      <c r="J1059" s="501">
        <v>0</v>
      </c>
      <c r="K1059" s="501">
        <v>0</v>
      </c>
      <c r="L1059" s="501">
        <v>0</v>
      </c>
      <c r="M1059" s="501">
        <v>0</v>
      </c>
      <c r="N1059" s="501">
        <v>0</v>
      </c>
      <c r="O1059" s="506">
        <v>66</v>
      </c>
    </row>
    <row r="1060" spans="1:15" x14ac:dyDescent="0.35">
      <c r="A1060" s="503" t="s">
        <v>1107</v>
      </c>
      <c r="B1060" s="504" t="s">
        <v>3109</v>
      </c>
      <c r="C1060" s="504" t="s">
        <v>1094</v>
      </c>
      <c r="D1060" s="504" t="s">
        <v>3380</v>
      </c>
      <c r="E1060" s="504" t="s">
        <v>3381</v>
      </c>
      <c r="F1060" s="504" t="s">
        <v>485</v>
      </c>
      <c r="G1060" s="504" t="s">
        <v>486</v>
      </c>
      <c r="H1060" s="504" t="s">
        <v>15478</v>
      </c>
      <c r="I1060" s="504">
        <v>18</v>
      </c>
      <c r="J1060" s="504">
        <v>0</v>
      </c>
      <c r="K1060" s="504">
        <v>0</v>
      </c>
      <c r="L1060" s="504">
        <v>18</v>
      </c>
      <c r="M1060" s="504">
        <v>0</v>
      </c>
      <c r="N1060" s="504">
        <v>0</v>
      </c>
      <c r="O1060" s="505">
        <v>0</v>
      </c>
    </row>
    <row r="1061" spans="1:15" x14ac:dyDescent="0.35">
      <c r="A1061" s="500" t="s">
        <v>1109</v>
      </c>
      <c r="B1061" s="501" t="s">
        <v>2959</v>
      </c>
      <c r="C1061" s="501" t="s">
        <v>1094</v>
      </c>
      <c r="D1061" s="501" t="s">
        <v>3380</v>
      </c>
      <c r="E1061" s="501" t="s">
        <v>3381</v>
      </c>
      <c r="F1061" s="501" t="s">
        <v>485</v>
      </c>
      <c r="G1061" s="501" t="s">
        <v>486</v>
      </c>
      <c r="H1061" s="501" t="s">
        <v>15479</v>
      </c>
      <c r="I1061" s="501">
        <v>212</v>
      </c>
      <c r="J1061" s="501">
        <v>0</v>
      </c>
      <c r="K1061" s="501">
        <v>0</v>
      </c>
      <c r="L1061" s="501">
        <v>3</v>
      </c>
      <c r="M1061" s="501">
        <v>199</v>
      </c>
      <c r="N1061" s="501">
        <v>0</v>
      </c>
      <c r="O1061" s="506">
        <v>10</v>
      </c>
    </row>
    <row r="1062" spans="1:15" x14ac:dyDescent="0.35">
      <c r="A1062" s="503" t="s">
        <v>1190</v>
      </c>
      <c r="B1062" s="504">
        <v>4662</v>
      </c>
      <c r="C1062" s="504" t="s">
        <v>1094</v>
      </c>
      <c r="D1062" s="504" t="s">
        <v>3380</v>
      </c>
      <c r="E1062" s="504" t="s">
        <v>3381</v>
      </c>
      <c r="F1062" s="504" t="s">
        <v>485</v>
      </c>
      <c r="G1062" s="504" t="s">
        <v>486</v>
      </c>
      <c r="H1062" s="504" t="s">
        <v>15480</v>
      </c>
      <c r="I1062" s="504">
        <v>7</v>
      </c>
      <c r="J1062" s="504">
        <v>0</v>
      </c>
      <c r="K1062" s="504">
        <v>0</v>
      </c>
      <c r="L1062" s="504">
        <v>7</v>
      </c>
      <c r="M1062" s="504">
        <v>0</v>
      </c>
      <c r="N1062" s="504">
        <v>0</v>
      </c>
      <c r="O1062" s="505">
        <v>0</v>
      </c>
    </row>
    <row r="1063" spans="1:15" x14ac:dyDescent="0.35">
      <c r="A1063" s="500" t="s">
        <v>1989</v>
      </c>
      <c r="B1063" s="501" t="s">
        <v>3073</v>
      </c>
      <c r="C1063" s="501" t="s">
        <v>1089</v>
      </c>
      <c r="D1063" s="501" t="s">
        <v>3392</v>
      </c>
      <c r="E1063" s="501" t="s">
        <v>3381</v>
      </c>
      <c r="F1063" s="501" t="s">
        <v>485</v>
      </c>
      <c r="G1063" s="501" t="s">
        <v>486</v>
      </c>
      <c r="H1063" s="501" t="s">
        <v>15481</v>
      </c>
      <c r="I1063" s="501">
        <v>28</v>
      </c>
      <c r="J1063" s="501">
        <v>28</v>
      </c>
      <c r="K1063" s="501">
        <v>0</v>
      </c>
      <c r="L1063" s="501">
        <v>0</v>
      </c>
      <c r="M1063" s="501">
        <v>0</v>
      </c>
      <c r="N1063" s="501">
        <v>0</v>
      </c>
      <c r="O1063" s="506">
        <v>0</v>
      </c>
    </row>
    <row r="1064" spans="1:15" x14ac:dyDescent="0.35">
      <c r="A1064" s="503" t="s">
        <v>1111</v>
      </c>
      <c r="B1064" s="504">
        <v>4873</v>
      </c>
      <c r="C1064" s="504" t="s">
        <v>1094</v>
      </c>
      <c r="D1064" s="504" t="s">
        <v>3380</v>
      </c>
      <c r="E1064" s="504" t="s">
        <v>3381</v>
      </c>
      <c r="F1064" s="504" t="s">
        <v>485</v>
      </c>
      <c r="G1064" s="504" t="s">
        <v>486</v>
      </c>
      <c r="H1064" s="504" t="s">
        <v>15482</v>
      </c>
      <c r="I1064" s="504">
        <v>2440</v>
      </c>
      <c r="J1064" s="504">
        <v>1680</v>
      </c>
      <c r="K1064" s="504">
        <v>0</v>
      </c>
      <c r="L1064" s="504">
        <v>389</v>
      </c>
      <c r="M1064" s="504">
        <v>49</v>
      </c>
      <c r="N1064" s="504">
        <v>0</v>
      </c>
      <c r="O1064" s="505">
        <v>322</v>
      </c>
    </row>
    <row r="1065" spans="1:15" x14ac:dyDescent="0.35">
      <c r="A1065" s="500" t="s">
        <v>1994</v>
      </c>
      <c r="B1065" s="501" t="s">
        <v>3206</v>
      </c>
      <c r="C1065" s="501" t="s">
        <v>1094</v>
      </c>
      <c r="D1065" s="501" t="s">
        <v>3380</v>
      </c>
      <c r="E1065" s="501" t="s">
        <v>3381</v>
      </c>
      <c r="F1065" s="501" t="s">
        <v>485</v>
      </c>
      <c r="G1065" s="501" t="s">
        <v>486</v>
      </c>
      <c r="H1065" s="501" t="s">
        <v>15483</v>
      </c>
      <c r="I1065" s="501">
        <v>135</v>
      </c>
      <c r="J1065" s="501">
        <v>116</v>
      </c>
      <c r="K1065" s="501">
        <v>0</v>
      </c>
      <c r="L1065" s="501">
        <v>0</v>
      </c>
      <c r="M1065" s="501">
        <v>0</v>
      </c>
      <c r="N1065" s="501">
        <v>0</v>
      </c>
      <c r="O1065" s="506">
        <v>19</v>
      </c>
    </row>
    <row r="1066" spans="1:15" x14ac:dyDescent="0.35">
      <c r="A1066" s="503" t="s">
        <v>1114</v>
      </c>
      <c r="B1066" s="504" t="s">
        <v>2982</v>
      </c>
      <c r="C1066" s="504" t="s">
        <v>1094</v>
      </c>
      <c r="D1066" s="504" t="s">
        <v>3380</v>
      </c>
      <c r="E1066" s="504" t="s">
        <v>3381</v>
      </c>
      <c r="F1066" s="504" t="s">
        <v>485</v>
      </c>
      <c r="G1066" s="504" t="s">
        <v>486</v>
      </c>
      <c r="H1066" s="504" t="s">
        <v>15484</v>
      </c>
      <c r="I1066" s="504">
        <v>3</v>
      </c>
      <c r="J1066" s="504">
        <v>0</v>
      </c>
      <c r="K1066" s="504">
        <v>0</v>
      </c>
      <c r="L1066" s="504">
        <v>0</v>
      </c>
      <c r="M1066" s="504">
        <v>0</v>
      </c>
      <c r="N1066" s="504">
        <v>0</v>
      </c>
      <c r="O1066" s="505">
        <v>3</v>
      </c>
    </row>
    <row r="1067" spans="1:15" x14ac:dyDescent="0.35">
      <c r="A1067" s="500" t="s">
        <v>1998</v>
      </c>
      <c r="B1067" s="501" t="s">
        <v>3200</v>
      </c>
      <c r="C1067" s="501" t="s">
        <v>1094</v>
      </c>
      <c r="D1067" s="501" t="s">
        <v>3380</v>
      </c>
      <c r="E1067" s="501" t="s">
        <v>3381</v>
      </c>
      <c r="F1067" s="501" t="s">
        <v>485</v>
      </c>
      <c r="G1067" s="501" t="s">
        <v>486</v>
      </c>
      <c r="H1067" s="501" t="s">
        <v>15485</v>
      </c>
      <c r="I1067" s="501">
        <v>42</v>
      </c>
      <c r="J1067" s="501">
        <v>40</v>
      </c>
      <c r="K1067" s="501">
        <v>0</v>
      </c>
      <c r="L1067" s="501">
        <v>0</v>
      </c>
      <c r="M1067" s="501">
        <v>0</v>
      </c>
      <c r="N1067" s="501">
        <v>0</v>
      </c>
      <c r="O1067" s="506">
        <v>2</v>
      </c>
    </row>
    <row r="1068" spans="1:15" x14ac:dyDescent="0.35">
      <c r="A1068" s="503" t="s">
        <v>2001</v>
      </c>
      <c r="B1068" s="504" t="s">
        <v>2426</v>
      </c>
      <c r="C1068" s="504" t="s">
        <v>1089</v>
      </c>
      <c r="D1068" s="504" t="s">
        <v>3392</v>
      </c>
      <c r="E1068" s="504" t="s">
        <v>3381</v>
      </c>
      <c r="F1068" s="504" t="s">
        <v>485</v>
      </c>
      <c r="G1068" s="504" t="s">
        <v>486</v>
      </c>
      <c r="H1068" s="504" t="s">
        <v>15486</v>
      </c>
      <c r="I1068" s="504">
        <v>117</v>
      </c>
      <c r="J1068" s="504">
        <v>5</v>
      </c>
      <c r="K1068" s="504">
        <v>0</v>
      </c>
      <c r="L1068" s="504">
        <v>0</v>
      </c>
      <c r="M1068" s="504">
        <v>112</v>
      </c>
      <c r="N1068" s="504">
        <v>0</v>
      </c>
      <c r="O1068" s="505">
        <v>0</v>
      </c>
    </row>
    <row r="1069" spans="1:15" x14ac:dyDescent="0.35">
      <c r="A1069" s="500" t="s">
        <v>1122</v>
      </c>
      <c r="B1069" s="501" t="s">
        <v>2994</v>
      </c>
      <c r="C1069" s="501" t="s">
        <v>1094</v>
      </c>
      <c r="D1069" s="501" t="s">
        <v>3380</v>
      </c>
      <c r="E1069" s="501" t="s">
        <v>3381</v>
      </c>
      <c r="F1069" s="501" t="s">
        <v>485</v>
      </c>
      <c r="G1069" s="501" t="s">
        <v>486</v>
      </c>
      <c r="H1069" s="501" t="s">
        <v>15487</v>
      </c>
      <c r="I1069" s="501">
        <v>299</v>
      </c>
      <c r="J1069" s="501">
        <v>132</v>
      </c>
      <c r="K1069" s="501">
        <v>0</v>
      </c>
      <c r="L1069" s="501">
        <v>8</v>
      </c>
      <c r="M1069" s="501">
        <v>28</v>
      </c>
      <c r="N1069" s="501">
        <v>0</v>
      </c>
      <c r="O1069" s="506">
        <v>131</v>
      </c>
    </row>
    <row r="1070" spans="1:15" x14ac:dyDescent="0.35">
      <c r="A1070" s="503" t="s">
        <v>1225</v>
      </c>
      <c r="B1070" s="504" t="s">
        <v>3315</v>
      </c>
      <c r="C1070" s="504" t="s">
        <v>1094</v>
      </c>
      <c r="D1070" s="504" t="s">
        <v>3380</v>
      </c>
      <c r="E1070" s="504" t="s">
        <v>3381</v>
      </c>
      <c r="F1070" s="504" t="s">
        <v>485</v>
      </c>
      <c r="G1070" s="504" t="s">
        <v>486</v>
      </c>
      <c r="H1070" s="504" t="s">
        <v>15488</v>
      </c>
      <c r="I1070" s="504">
        <v>1881</v>
      </c>
      <c r="J1070" s="504">
        <v>1502</v>
      </c>
      <c r="K1070" s="504">
        <v>0</v>
      </c>
      <c r="L1070" s="504">
        <v>331</v>
      </c>
      <c r="M1070" s="504">
        <v>14</v>
      </c>
      <c r="N1070" s="504">
        <v>0</v>
      </c>
      <c r="O1070" s="505">
        <v>34</v>
      </c>
    </row>
    <row r="1071" spans="1:15" x14ac:dyDescent="0.35">
      <c r="A1071" s="500" t="s">
        <v>1234</v>
      </c>
      <c r="B1071" s="501" t="s">
        <v>3291</v>
      </c>
      <c r="C1071" s="501" t="s">
        <v>1094</v>
      </c>
      <c r="D1071" s="501" t="s">
        <v>3380</v>
      </c>
      <c r="E1071" s="501" t="s">
        <v>3381</v>
      </c>
      <c r="F1071" s="501" t="s">
        <v>485</v>
      </c>
      <c r="G1071" s="501" t="s">
        <v>486</v>
      </c>
      <c r="H1071" s="501" t="s">
        <v>15489</v>
      </c>
      <c r="I1071" s="501">
        <v>93</v>
      </c>
      <c r="J1071" s="501">
        <v>0</v>
      </c>
      <c r="K1071" s="501">
        <v>0</v>
      </c>
      <c r="L1071" s="501">
        <v>93</v>
      </c>
      <c r="M1071" s="501">
        <v>0</v>
      </c>
      <c r="N1071" s="501">
        <v>0</v>
      </c>
      <c r="O1071" s="506">
        <v>0</v>
      </c>
    </row>
    <row r="1072" spans="1:15" x14ac:dyDescent="0.35">
      <c r="A1072" s="503" t="s">
        <v>1126</v>
      </c>
      <c r="B1072" s="504" t="s">
        <v>2974</v>
      </c>
      <c r="C1072" s="504" t="s">
        <v>1094</v>
      </c>
      <c r="D1072" s="504" t="s">
        <v>3380</v>
      </c>
      <c r="E1072" s="504" t="s">
        <v>3381</v>
      </c>
      <c r="F1072" s="504" t="s">
        <v>485</v>
      </c>
      <c r="G1072" s="504" t="s">
        <v>486</v>
      </c>
      <c r="H1072" s="504" t="s">
        <v>15490</v>
      </c>
      <c r="I1072" s="504">
        <v>53</v>
      </c>
      <c r="J1072" s="504">
        <v>31</v>
      </c>
      <c r="K1072" s="504">
        <v>0</v>
      </c>
      <c r="L1072" s="504">
        <v>22</v>
      </c>
      <c r="M1072" s="504">
        <v>0</v>
      </c>
      <c r="N1072" s="504">
        <v>0</v>
      </c>
      <c r="O1072" s="505">
        <v>0</v>
      </c>
    </row>
    <row r="1073" spans="1:15" x14ac:dyDescent="0.35">
      <c r="A1073" s="500" t="s">
        <v>2015</v>
      </c>
      <c r="B1073" s="501" t="s">
        <v>2714</v>
      </c>
      <c r="C1073" s="501" t="s">
        <v>1089</v>
      </c>
      <c r="D1073" s="501" t="s">
        <v>3392</v>
      </c>
      <c r="E1073" s="501" t="s">
        <v>3381</v>
      </c>
      <c r="F1073" s="501" t="s">
        <v>485</v>
      </c>
      <c r="G1073" s="501" t="s">
        <v>486</v>
      </c>
      <c r="H1073" s="501" t="s">
        <v>15491</v>
      </c>
      <c r="I1073" s="501">
        <v>17</v>
      </c>
      <c r="J1073" s="501">
        <v>13</v>
      </c>
      <c r="K1073" s="501">
        <v>4</v>
      </c>
      <c r="L1073" s="501">
        <v>0</v>
      </c>
      <c r="M1073" s="501">
        <v>0</v>
      </c>
      <c r="N1073" s="501">
        <v>0</v>
      </c>
      <c r="O1073" s="506">
        <v>0</v>
      </c>
    </row>
    <row r="1074" spans="1:15" x14ac:dyDescent="0.35">
      <c r="A1074" s="503" t="s">
        <v>1132</v>
      </c>
      <c r="B1074" s="504">
        <v>4837</v>
      </c>
      <c r="C1074" s="504" t="s">
        <v>1094</v>
      </c>
      <c r="D1074" s="504" t="s">
        <v>3380</v>
      </c>
      <c r="E1074" s="504" t="s">
        <v>3381</v>
      </c>
      <c r="F1074" s="504" t="s">
        <v>485</v>
      </c>
      <c r="G1074" s="504" t="s">
        <v>486</v>
      </c>
      <c r="H1074" s="504" t="s">
        <v>15492</v>
      </c>
      <c r="I1074" s="504">
        <v>1514</v>
      </c>
      <c r="J1074" s="504">
        <v>981</v>
      </c>
      <c r="K1074" s="504">
        <v>0</v>
      </c>
      <c r="L1074" s="504">
        <v>27</v>
      </c>
      <c r="M1074" s="504">
        <v>0</v>
      </c>
      <c r="N1074" s="504">
        <v>0</v>
      </c>
      <c r="O1074" s="505">
        <v>506</v>
      </c>
    </row>
    <row r="1075" spans="1:15" x14ac:dyDescent="0.35">
      <c r="A1075" s="500" t="s">
        <v>2018</v>
      </c>
      <c r="B1075" s="501" t="s">
        <v>3136</v>
      </c>
      <c r="C1075" s="501" t="s">
        <v>1089</v>
      </c>
      <c r="D1075" s="501" t="s">
        <v>3392</v>
      </c>
      <c r="E1075" s="501" t="s">
        <v>3381</v>
      </c>
      <c r="F1075" s="501" t="s">
        <v>485</v>
      </c>
      <c r="G1075" s="501" t="s">
        <v>486</v>
      </c>
      <c r="H1075" s="501" t="s">
        <v>15493</v>
      </c>
      <c r="I1075" s="501">
        <v>2</v>
      </c>
      <c r="J1075" s="501">
        <v>2</v>
      </c>
      <c r="K1075" s="501">
        <v>0</v>
      </c>
      <c r="L1075" s="501">
        <v>0</v>
      </c>
      <c r="M1075" s="501">
        <v>0</v>
      </c>
      <c r="N1075" s="501">
        <v>0</v>
      </c>
      <c r="O1075" s="506">
        <v>0</v>
      </c>
    </row>
    <row r="1076" spans="1:15" x14ac:dyDescent="0.35">
      <c r="A1076" s="503" t="s">
        <v>1345</v>
      </c>
      <c r="B1076" s="504" t="s">
        <v>3247</v>
      </c>
      <c r="C1076" s="504" t="s">
        <v>1094</v>
      </c>
      <c r="D1076" s="504" t="s">
        <v>3380</v>
      </c>
      <c r="E1076" s="504" t="s">
        <v>3381</v>
      </c>
      <c r="F1076" s="504" t="s">
        <v>485</v>
      </c>
      <c r="G1076" s="504" t="s">
        <v>486</v>
      </c>
      <c r="H1076" s="504" t="s">
        <v>15494</v>
      </c>
      <c r="I1076" s="504">
        <v>86</v>
      </c>
      <c r="J1076" s="504">
        <v>1</v>
      </c>
      <c r="K1076" s="504">
        <v>2</v>
      </c>
      <c r="L1076" s="504">
        <v>83</v>
      </c>
      <c r="M1076" s="504">
        <v>0</v>
      </c>
      <c r="N1076" s="504">
        <v>0</v>
      </c>
      <c r="O1076" s="505">
        <v>0</v>
      </c>
    </row>
    <row r="1077" spans="1:15" x14ac:dyDescent="0.35">
      <c r="A1077" s="500" t="s">
        <v>1240</v>
      </c>
      <c r="B1077" s="501" t="s">
        <v>2972</v>
      </c>
      <c r="C1077" s="501" t="s">
        <v>1094</v>
      </c>
      <c r="D1077" s="501" t="s">
        <v>3380</v>
      </c>
      <c r="E1077" s="501" t="s">
        <v>3381</v>
      </c>
      <c r="F1077" s="501" t="s">
        <v>485</v>
      </c>
      <c r="G1077" s="501" t="s">
        <v>486</v>
      </c>
      <c r="H1077" s="501" t="s">
        <v>15495</v>
      </c>
      <c r="I1077" s="501">
        <v>183</v>
      </c>
      <c r="J1077" s="501">
        <v>109</v>
      </c>
      <c r="K1077" s="501">
        <v>0</v>
      </c>
      <c r="L1077" s="501">
        <v>46</v>
      </c>
      <c r="M1077" s="501">
        <v>0</v>
      </c>
      <c r="N1077" s="501">
        <v>0</v>
      </c>
      <c r="O1077" s="506">
        <v>28</v>
      </c>
    </row>
    <row r="1078" spans="1:15" x14ac:dyDescent="0.35">
      <c r="A1078" s="503" t="s">
        <v>1134</v>
      </c>
      <c r="B1078" s="504" t="s">
        <v>3066</v>
      </c>
      <c r="C1078" s="504" t="s">
        <v>1094</v>
      </c>
      <c r="D1078" s="504" t="s">
        <v>3380</v>
      </c>
      <c r="E1078" s="504" t="s">
        <v>3381</v>
      </c>
      <c r="F1078" s="504" t="s">
        <v>485</v>
      </c>
      <c r="G1078" s="504" t="s">
        <v>486</v>
      </c>
      <c r="H1078" s="504" t="s">
        <v>15496</v>
      </c>
      <c r="I1078" s="504">
        <v>32</v>
      </c>
      <c r="J1078" s="504">
        <v>29</v>
      </c>
      <c r="K1078" s="504">
        <v>0</v>
      </c>
      <c r="L1078" s="504">
        <v>1</v>
      </c>
      <c r="M1078" s="504">
        <v>0</v>
      </c>
      <c r="N1078" s="504">
        <v>0</v>
      </c>
      <c r="O1078" s="505">
        <v>2</v>
      </c>
    </row>
    <row r="1079" spans="1:15" x14ac:dyDescent="0.35">
      <c r="A1079" s="500" t="s">
        <v>1248</v>
      </c>
      <c r="B1079" s="501">
        <v>4706</v>
      </c>
      <c r="C1079" s="501" t="s">
        <v>1089</v>
      </c>
      <c r="D1079" s="501" t="s">
        <v>3392</v>
      </c>
      <c r="E1079" s="501" t="s">
        <v>3381</v>
      </c>
      <c r="F1079" s="501" t="s">
        <v>485</v>
      </c>
      <c r="G1079" s="501" t="s">
        <v>486</v>
      </c>
      <c r="H1079" s="501" t="s">
        <v>15497</v>
      </c>
      <c r="I1079" s="501">
        <v>40</v>
      </c>
      <c r="J1079" s="501">
        <v>0</v>
      </c>
      <c r="K1079" s="501">
        <v>0</v>
      </c>
      <c r="L1079" s="501">
        <v>0</v>
      </c>
      <c r="M1079" s="501">
        <v>40</v>
      </c>
      <c r="N1079" s="501">
        <v>0</v>
      </c>
      <c r="O1079" s="506">
        <v>0</v>
      </c>
    </row>
    <row r="1080" spans="1:15" x14ac:dyDescent="0.35">
      <c r="A1080" s="503" t="s">
        <v>1249</v>
      </c>
      <c r="B1080" s="504">
        <v>4729</v>
      </c>
      <c r="C1080" s="504" t="s">
        <v>1094</v>
      </c>
      <c r="D1080" s="504" t="s">
        <v>3380</v>
      </c>
      <c r="E1080" s="504" t="s">
        <v>3381</v>
      </c>
      <c r="F1080" s="504" t="s">
        <v>485</v>
      </c>
      <c r="G1080" s="504" t="s">
        <v>486</v>
      </c>
      <c r="H1080" s="504" t="s">
        <v>15498</v>
      </c>
      <c r="I1080" s="504">
        <v>508</v>
      </c>
      <c r="J1080" s="504">
        <v>365</v>
      </c>
      <c r="K1080" s="504">
        <v>0</v>
      </c>
      <c r="L1080" s="504">
        <v>26</v>
      </c>
      <c r="M1080" s="504">
        <v>117</v>
      </c>
      <c r="N1080" s="504">
        <v>0</v>
      </c>
      <c r="O1080" s="505">
        <v>0</v>
      </c>
    </row>
    <row r="1081" spans="1:15" x14ac:dyDescent="0.35">
      <c r="A1081" s="500" t="s">
        <v>1253</v>
      </c>
      <c r="B1081" s="501" t="s">
        <v>3232</v>
      </c>
      <c r="C1081" s="501" t="s">
        <v>1094</v>
      </c>
      <c r="D1081" s="501" t="s">
        <v>3380</v>
      </c>
      <c r="E1081" s="501" t="s">
        <v>3381</v>
      </c>
      <c r="F1081" s="501" t="s">
        <v>485</v>
      </c>
      <c r="G1081" s="501" t="s">
        <v>486</v>
      </c>
      <c r="H1081" s="501" t="s">
        <v>15499</v>
      </c>
      <c r="I1081" s="501">
        <v>75</v>
      </c>
      <c r="J1081" s="501">
        <v>0</v>
      </c>
      <c r="K1081" s="501">
        <v>0</v>
      </c>
      <c r="L1081" s="501">
        <v>65</v>
      </c>
      <c r="M1081" s="501">
        <v>10</v>
      </c>
      <c r="N1081" s="501">
        <v>0</v>
      </c>
      <c r="O1081" s="506">
        <v>0</v>
      </c>
    </row>
    <row r="1082" spans="1:15" x14ac:dyDescent="0.35">
      <c r="A1082" s="503" t="s">
        <v>2044</v>
      </c>
      <c r="B1082" s="504" t="s">
        <v>2590</v>
      </c>
      <c r="C1082" s="504" t="s">
        <v>1089</v>
      </c>
      <c r="D1082" s="504" t="s">
        <v>3392</v>
      </c>
      <c r="E1082" s="504" t="s">
        <v>3381</v>
      </c>
      <c r="F1082" s="504" t="s">
        <v>485</v>
      </c>
      <c r="G1082" s="504" t="s">
        <v>486</v>
      </c>
      <c r="H1082" s="504" t="s">
        <v>15500</v>
      </c>
      <c r="I1082" s="504">
        <v>12</v>
      </c>
      <c r="J1082" s="504">
        <v>12</v>
      </c>
      <c r="K1082" s="504">
        <v>0</v>
      </c>
      <c r="L1082" s="504">
        <v>0</v>
      </c>
      <c r="M1082" s="504">
        <v>0</v>
      </c>
      <c r="N1082" s="504">
        <v>0</v>
      </c>
      <c r="O1082" s="505">
        <v>0</v>
      </c>
    </row>
    <row r="1083" spans="1:15" x14ac:dyDescent="0.35">
      <c r="A1083" s="500" t="s">
        <v>2049</v>
      </c>
      <c r="B1083" s="501" t="s">
        <v>3289</v>
      </c>
      <c r="C1083" s="501" t="s">
        <v>1089</v>
      </c>
      <c r="D1083" s="501" t="s">
        <v>3392</v>
      </c>
      <c r="E1083" s="501" t="s">
        <v>3381</v>
      </c>
      <c r="F1083" s="501" t="s">
        <v>485</v>
      </c>
      <c r="G1083" s="501" t="s">
        <v>486</v>
      </c>
      <c r="H1083" s="501" t="s">
        <v>15501</v>
      </c>
      <c r="I1083" s="501">
        <v>18</v>
      </c>
      <c r="J1083" s="501">
        <v>0</v>
      </c>
      <c r="K1083" s="501">
        <v>0</v>
      </c>
      <c r="L1083" s="501">
        <v>0</v>
      </c>
      <c r="M1083" s="501">
        <v>18</v>
      </c>
      <c r="N1083" s="501">
        <v>0</v>
      </c>
      <c r="O1083" s="506">
        <v>0</v>
      </c>
    </row>
    <row r="1084" spans="1:15" x14ac:dyDescent="0.35">
      <c r="A1084" s="503" t="s">
        <v>1093</v>
      </c>
      <c r="B1084" s="504" t="s">
        <v>3248</v>
      </c>
      <c r="C1084" s="504" t="s">
        <v>1094</v>
      </c>
      <c r="D1084" s="504" t="s">
        <v>3380</v>
      </c>
      <c r="E1084" s="504" t="s">
        <v>3381</v>
      </c>
      <c r="F1084" s="504" t="s">
        <v>487</v>
      </c>
      <c r="G1084" s="504" t="s">
        <v>488</v>
      </c>
      <c r="H1084" s="504" t="s">
        <v>4229</v>
      </c>
      <c r="I1084" s="504">
        <v>1</v>
      </c>
      <c r="J1084" s="504">
        <v>0</v>
      </c>
      <c r="K1084" s="504">
        <v>0</v>
      </c>
      <c r="L1084" s="504">
        <v>0</v>
      </c>
      <c r="M1084" s="504">
        <v>0</v>
      </c>
      <c r="N1084" s="504">
        <v>0</v>
      </c>
      <c r="O1084" s="505">
        <v>1</v>
      </c>
    </row>
    <row r="1085" spans="1:15" x14ac:dyDescent="0.35">
      <c r="A1085" s="500" t="s">
        <v>1282</v>
      </c>
      <c r="B1085" s="501" t="s">
        <v>2953</v>
      </c>
      <c r="C1085" s="501" t="s">
        <v>1094</v>
      </c>
      <c r="D1085" s="501" t="s">
        <v>3380</v>
      </c>
      <c r="E1085" s="501" t="s">
        <v>3381</v>
      </c>
      <c r="F1085" s="501" t="s">
        <v>487</v>
      </c>
      <c r="G1085" s="501" t="s">
        <v>488</v>
      </c>
      <c r="H1085" s="501" t="s">
        <v>4230</v>
      </c>
      <c r="I1085" s="501">
        <v>348</v>
      </c>
      <c r="J1085" s="501">
        <v>286</v>
      </c>
      <c r="K1085" s="501">
        <v>0</v>
      </c>
      <c r="L1085" s="501">
        <v>5</v>
      </c>
      <c r="M1085" s="501">
        <v>0</v>
      </c>
      <c r="N1085" s="501">
        <v>0</v>
      </c>
      <c r="O1085" s="506">
        <v>57</v>
      </c>
    </row>
    <row r="1086" spans="1:15" x14ac:dyDescent="0.35">
      <c r="A1086" s="503" t="s">
        <v>1100</v>
      </c>
      <c r="B1086" s="504">
        <v>4865</v>
      </c>
      <c r="C1086" s="504" t="s">
        <v>1094</v>
      </c>
      <c r="D1086" s="504" t="s">
        <v>3380</v>
      </c>
      <c r="E1086" s="504" t="s">
        <v>3381</v>
      </c>
      <c r="F1086" s="504" t="s">
        <v>487</v>
      </c>
      <c r="G1086" s="504" t="s">
        <v>488</v>
      </c>
      <c r="H1086" s="504" t="s">
        <v>4231</v>
      </c>
      <c r="I1086" s="504">
        <v>4042</v>
      </c>
      <c r="J1086" s="504">
        <v>3311</v>
      </c>
      <c r="K1086" s="504">
        <v>0</v>
      </c>
      <c r="L1086" s="504">
        <v>53</v>
      </c>
      <c r="M1086" s="504">
        <v>559</v>
      </c>
      <c r="N1086" s="504">
        <v>0</v>
      </c>
      <c r="O1086" s="505">
        <v>119</v>
      </c>
    </row>
    <row r="1087" spans="1:15" x14ac:dyDescent="0.35">
      <c r="A1087" s="500" t="s">
        <v>1290</v>
      </c>
      <c r="B1087" s="501" t="s">
        <v>2979</v>
      </c>
      <c r="C1087" s="501" t="s">
        <v>1094</v>
      </c>
      <c r="D1087" s="501" t="s">
        <v>3380</v>
      </c>
      <c r="E1087" s="501" t="s">
        <v>3381</v>
      </c>
      <c r="F1087" s="501" t="s">
        <v>487</v>
      </c>
      <c r="G1087" s="501" t="s">
        <v>488</v>
      </c>
      <c r="H1087" s="501" t="s">
        <v>4232</v>
      </c>
      <c r="I1087" s="501">
        <v>50</v>
      </c>
      <c r="J1087" s="501">
        <v>42</v>
      </c>
      <c r="K1087" s="501">
        <v>0</v>
      </c>
      <c r="L1087" s="501">
        <v>0</v>
      </c>
      <c r="M1087" s="501">
        <v>0</v>
      </c>
      <c r="N1087" s="501">
        <v>0</v>
      </c>
      <c r="O1087" s="506">
        <v>8</v>
      </c>
    </row>
    <row r="1088" spans="1:15" x14ac:dyDescent="0.35">
      <c r="A1088" s="503" t="s">
        <v>1296</v>
      </c>
      <c r="B1088" s="504">
        <v>4651</v>
      </c>
      <c r="C1088" s="504" t="s">
        <v>1094</v>
      </c>
      <c r="D1088" s="504" t="s">
        <v>3380</v>
      </c>
      <c r="E1088" s="504" t="s">
        <v>3381</v>
      </c>
      <c r="F1088" s="504" t="s">
        <v>487</v>
      </c>
      <c r="G1088" s="504" t="s">
        <v>488</v>
      </c>
      <c r="H1088" s="504" t="s">
        <v>4233</v>
      </c>
      <c r="I1088" s="504">
        <v>879</v>
      </c>
      <c r="J1088" s="504">
        <v>728</v>
      </c>
      <c r="K1088" s="504">
        <v>0</v>
      </c>
      <c r="L1088" s="504">
        <v>8</v>
      </c>
      <c r="M1088" s="504">
        <v>0</v>
      </c>
      <c r="N1088" s="504">
        <v>0</v>
      </c>
      <c r="O1088" s="505">
        <v>143</v>
      </c>
    </row>
    <row r="1089" spans="1:15" x14ac:dyDescent="0.35">
      <c r="A1089" s="500" t="s">
        <v>1310</v>
      </c>
      <c r="B1089" s="501">
        <v>5062</v>
      </c>
      <c r="C1089" s="501" t="s">
        <v>1089</v>
      </c>
      <c r="D1089" s="501" t="s">
        <v>3380</v>
      </c>
      <c r="E1089" s="501" t="s">
        <v>3381</v>
      </c>
      <c r="F1089" s="501" t="s">
        <v>487</v>
      </c>
      <c r="G1089" s="501" t="s">
        <v>488</v>
      </c>
      <c r="H1089" s="501" t="s">
        <v>14509</v>
      </c>
      <c r="I1089" s="501">
        <v>22</v>
      </c>
      <c r="J1089" s="501">
        <v>12</v>
      </c>
      <c r="K1089" s="501">
        <v>0</v>
      </c>
      <c r="L1089" s="501">
        <v>0</v>
      </c>
      <c r="M1089" s="501">
        <v>0</v>
      </c>
      <c r="N1089" s="501">
        <v>0</v>
      </c>
      <c r="O1089" s="506">
        <v>10</v>
      </c>
    </row>
    <row r="1090" spans="1:15" x14ac:dyDescent="0.35">
      <c r="A1090" s="503" t="s">
        <v>1218</v>
      </c>
      <c r="B1090" s="504" t="s">
        <v>3147</v>
      </c>
      <c r="C1090" s="504" t="s">
        <v>1094</v>
      </c>
      <c r="D1090" s="504" t="s">
        <v>3380</v>
      </c>
      <c r="E1090" s="504" t="s">
        <v>3381</v>
      </c>
      <c r="F1090" s="504" t="s">
        <v>487</v>
      </c>
      <c r="G1090" s="504" t="s">
        <v>488</v>
      </c>
      <c r="H1090" s="504" t="s">
        <v>4234</v>
      </c>
      <c r="I1090" s="504">
        <v>126</v>
      </c>
      <c r="J1090" s="504">
        <v>0</v>
      </c>
      <c r="K1090" s="504">
        <v>0</v>
      </c>
      <c r="L1090" s="504">
        <v>0</v>
      </c>
      <c r="M1090" s="504">
        <v>0</v>
      </c>
      <c r="N1090" s="504">
        <v>0</v>
      </c>
      <c r="O1090" s="505">
        <v>126</v>
      </c>
    </row>
    <row r="1091" spans="1:15" x14ac:dyDescent="0.35">
      <c r="A1091" s="500" t="s">
        <v>11367</v>
      </c>
      <c r="B1091" s="501" t="s">
        <v>3143</v>
      </c>
      <c r="C1091" s="501" t="s">
        <v>1094</v>
      </c>
      <c r="D1091" s="501" t="s">
        <v>3380</v>
      </c>
      <c r="E1091" s="501" t="s">
        <v>3381</v>
      </c>
      <c r="F1091" s="501" t="s">
        <v>487</v>
      </c>
      <c r="G1091" s="501" t="s">
        <v>488</v>
      </c>
      <c r="H1091" s="501" t="s">
        <v>11908</v>
      </c>
      <c r="I1091" s="501">
        <v>304</v>
      </c>
      <c r="J1091" s="501">
        <v>303</v>
      </c>
      <c r="K1091" s="501">
        <v>0</v>
      </c>
      <c r="L1091" s="501">
        <v>1</v>
      </c>
      <c r="M1091" s="501">
        <v>0</v>
      </c>
      <c r="N1091" s="501">
        <v>0</v>
      </c>
      <c r="O1091" s="506">
        <v>0</v>
      </c>
    </row>
    <row r="1092" spans="1:15" x14ac:dyDescent="0.35">
      <c r="A1092" s="503" t="s">
        <v>1122</v>
      </c>
      <c r="B1092" s="504" t="s">
        <v>2994</v>
      </c>
      <c r="C1092" s="504" t="s">
        <v>1094</v>
      </c>
      <c r="D1092" s="504" t="s">
        <v>3380</v>
      </c>
      <c r="E1092" s="504" t="s">
        <v>3381</v>
      </c>
      <c r="F1092" s="504" t="s">
        <v>487</v>
      </c>
      <c r="G1092" s="504" t="s">
        <v>488</v>
      </c>
      <c r="H1092" s="504" t="s">
        <v>4235</v>
      </c>
      <c r="I1092" s="504">
        <v>3</v>
      </c>
      <c r="J1092" s="504">
        <v>0</v>
      </c>
      <c r="K1092" s="504">
        <v>0</v>
      </c>
      <c r="L1092" s="504">
        <v>3</v>
      </c>
      <c r="M1092" s="504">
        <v>0</v>
      </c>
      <c r="N1092" s="504">
        <v>0</v>
      </c>
      <c r="O1092" s="505">
        <v>0</v>
      </c>
    </row>
    <row r="1093" spans="1:15" x14ac:dyDescent="0.35">
      <c r="A1093" s="500" t="s">
        <v>1228</v>
      </c>
      <c r="B1093" s="501" t="s">
        <v>3321</v>
      </c>
      <c r="C1093" s="501" t="s">
        <v>1094</v>
      </c>
      <c r="D1093" s="501" t="s">
        <v>3380</v>
      </c>
      <c r="E1093" s="501" t="s">
        <v>3381</v>
      </c>
      <c r="F1093" s="501" t="s">
        <v>487</v>
      </c>
      <c r="G1093" s="501" t="s">
        <v>488</v>
      </c>
      <c r="H1093" s="501" t="s">
        <v>4236</v>
      </c>
      <c r="I1093" s="501">
        <v>25</v>
      </c>
      <c r="J1093" s="501">
        <v>0</v>
      </c>
      <c r="K1093" s="501">
        <v>0</v>
      </c>
      <c r="L1093" s="501">
        <v>25</v>
      </c>
      <c r="M1093" s="501">
        <v>0</v>
      </c>
      <c r="N1093" s="501">
        <v>0</v>
      </c>
      <c r="O1093" s="506">
        <v>0</v>
      </c>
    </row>
    <row r="1094" spans="1:15" x14ac:dyDescent="0.35">
      <c r="A1094" s="503" t="s">
        <v>1124</v>
      </c>
      <c r="B1094" s="504">
        <v>4745</v>
      </c>
      <c r="C1094" s="504" t="s">
        <v>1094</v>
      </c>
      <c r="D1094" s="504" t="s">
        <v>3380</v>
      </c>
      <c r="E1094" s="504" t="s">
        <v>3381</v>
      </c>
      <c r="F1094" s="504" t="s">
        <v>487</v>
      </c>
      <c r="G1094" s="504" t="s">
        <v>488</v>
      </c>
      <c r="H1094" s="504" t="s">
        <v>4237</v>
      </c>
      <c r="I1094" s="504">
        <v>2</v>
      </c>
      <c r="J1094" s="504">
        <v>0</v>
      </c>
      <c r="K1094" s="504">
        <v>0</v>
      </c>
      <c r="L1094" s="504">
        <v>2</v>
      </c>
      <c r="M1094" s="504">
        <v>0</v>
      </c>
      <c r="N1094" s="504">
        <v>0</v>
      </c>
      <c r="O1094" s="505">
        <v>0</v>
      </c>
    </row>
    <row r="1095" spans="1:15" x14ac:dyDescent="0.35">
      <c r="A1095" s="500" t="s">
        <v>1339</v>
      </c>
      <c r="B1095" s="501" t="s">
        <v>3358</v>
      </c>
      <c r="C1095" s="501" t="s">
        <v>1094</v>
      </c>
      <c r="D1095" s="501" t="s">
        <v>3380</v>
      </c>
      <c r="E1095" s="501" t="s">
        <v>3381</v>
      </c>
      <c r="F1095" s="501" t="s">
        <v>487</v>
      </c>
      <c r="G1095" s="501" t="s">
        <v>488</v>
      </c>
      <c r="H1095" s="501" t="s">
        <v>4238</v>
      </c>
      <c r="I1095" s="501">
        <v>342</v>
      </c>
      <c r="J1095" s="501">
        <v>315</v>
      </c>
      <c r="K1095" s="501">
        <v>0</v>
      </c>
      <c r="L1095" s="501">
        <v>26</v>
      </c>
      <c r="M1095" s="501">
        <v>0</v>
      </c>
      <c r="N1095" s="501">
        <v>0</v>
      </c>
      <c r="O1095" s="506">
        <v>1</v>
      </c>
    </row>
    <row r="1096" spans="1:15" x14ac:dyDescent="0.35">
      <c r="A1096" s="503" t="s">
        <v>1233</v>
      </c>
      <c r="B1096" s="504">
        <v>4636</v>
      </c>
      <c r="C1096" s="504" t="s">
        <v>1094</v>
      </c>
      <c r="D1096" s="504" t="s">
        <v>3380</v>
      </c>
      <c r="E1096" s="504" t="s">
        <v>3381</v>
      </c>
      <c r="F1096" s="504" t="s">
        <v>487</v>
      </c>
      <c r="G1096" s="504" t="s">
        <v>488</v>
      </c>
      <c r="H1096" s="504" t="s">
        <v>4239</v>
      </c>
      <c r="I1096" s="504">
        <v>32</v>
      </c>
      <c r="J1096" s="504">
        <v>13</v>
      </c>
      <c r="K1096" s="504">
        <v>0</v>
      </c>
      <c r="L1096" s="504">
        <v>0</v>
      </c>
      <c r="M1096" s="504">
        <v>0</v>
      </c>
      <c r="N1096" s="504">
        <v>0</v>
      </c>
      <c r="O1096" s="505">
        <v>19</v>
      </c>
    </row>
    <row r="1097" spans="1:15" x14ac:dyDescent="0.35">
      <c r="A1097" s="500" t="s">
        <v>11368</v>
      </c>
      <c r="B1097" s="501">
        <v>5083</v>
      </c>
      <c r="C1097" s="501" t="s">
        <v>1094</v>
      </c>
      <c r="D1097" s="501" t="s">
        <v>3380</v>
      </c>
      <c r="E1097" s="501" t="s">
        <v>3381</v>
      </c>
      <c r="F1097" s="501" t="s">
        <v>487</v>
      </c>
      <c r="G1097" s="501" t="s">
        <v>488</v>
      </c>
      <c r="H1097" s="501" t="s">
        <v>12036</v>
      </c>
      <c r="I1097" s="501">
        <v>57</v>
      </c>
      <c r="J1097" s="501">
        <v>57</v>
      </c>
      <c r="K1097" s="501">
        <v>0</v>
      </c>
      <c r="L1097" s="501">
        <v>0</v>
      </c>
      <c r="M1097" s="501">
        <v>0</v>
      </c>
      <c r="N1097" s="501">
        <v>0</v>
      </c>
      <c r="O1097" s="506">
        <v>0</v>
      </c>
    </row>
    <row r="1098" spans="1:15" x14ac:dyDescent="0.35">
      <c r="A1098" s="503" t="s">
        <v>1235</v>
      </c>
      <c r="B1098" s="504">
        <v>4684</v>
      </c>
      <c r="C1098" s="504" t="s">
        <v>1094</v>
      </c>
      <c r="D1098" s="504" t="s">
        <v>3380</v>
      </c>
      <c r="E1098" s="504" t="s">
        <v>3381</v>
      </c>
      <c r="F1098" s="504" t="s">
        <v>487</v>
      </c>
      <c r="G1098" s="504" t="s">
        <v>488</v>
      </c>
      <c r="H1098" s="504" t="s">
        <v>4240</v>
      </c>
      <c r="I1098" s="504">
        <v>24</v>
      </c>
      <c r="J1098" s="504">
        <v>0</v>
      </c>
      <c r="K1098" s="504">
        <v>0</v>
      </c>
      <c r="L1098" s="504">
        <v>24</v>
      </c>
      <c r="M1098" s="504">
        <v>0</v>
      </c>
      <c r="N1098" s="504">
        <v>0</v>
      </c>
      <c r="O1098" s="505">
        <v>0</v>
      </c>
    </row>
    <row r="1099" spans="1:15" x14ac:dyDescent="0.35">
      <c r="A1099" s="500" t="s">
        <v>1342</v>
      </c>
      <c r="B1099" s="501" t="s">
        <v>3237</v>
      </c>
      <c r="C1099" s="501" t="s">
        <v>1094</v>
      </c>
      <c r="D1099" s="501" t="s">
        <v>3380</v>
      </c>
      <c r="E1099" s="501" t="s">
        <v>3381</v>
      </c>
      <c r="F1099" s="501" t="s">
        <v>487</v>
      </c>
      <c r="G1099" s="501" t="s">
        <v>488</v>
      </c>
      <c r="H1099" s="501" t="s">
        <v>4241</v>
      </c>
      <c r="I1099" s="501">
        <v>1</v>
      </c>
      <c r="J1099" s="501">
        <v>0</v>
      </c>
      <c r="K1099" s="501">
        <v>0</v>
      </c>
      <c r="L1099" s="501">
        <v>0</v>
      </c>
      <c r="M1099" s="501">
        <v>0</v>
      </c>
      <c r="N1099" s="501">
        <v>0</v>
      </c>
      <c r="O1099" s="506">
        <v>1</v>
      </c>
    </row>
    <row r="1100" spans="1:15" x14ac:dyDescent="0.35">
      <c r="A1100" s="503" t="s">
        <v>1364</v>
      </c>
      <c r="B1100" s="504" t="s">
        <v>3277</v>
      </c>
      <c r="C1100" s="504" t="s">
        <v>1089</v>
      </c>
      <c r="D1100" s="504" t="s">
        <v>3392</v>
      </c>
      <c r="E1100" s="504" t="s">
        <v>3381</v>
      </c>
      <c r="F1100" s="504" t="s">
        <v>487</v>
      </c>
      <c r="G1100" s="504" t="s">
        <v>488</v>
      </c>
      <c r="H1100" s="504" t="s">
        <v>4242</v>
      </c>
      <c r="I1100" s="504">
        <v>2</v>
      </c>
      <c r="J1100" s="504">
        <v>0</v>
      </c>
      <c r="K1100" s="504">
        <v>0</v>
      </c>
      <c r="L1100" s="504">
        <v>2</v>
      </c>
      <c r="M1100" s="504">
        <v>0</v>
      </c>
      <c r="N1100" s="504">
        <v>0</v>
      </c>
      <c r="O1100" s="505">
        <v>0</v>
      </c>
    </row>
    <row r="1101" spans="1:15" x14ac:dyDescent="0.35">
      <c r="A1101" s="500" t="s">
        <v>1372</v>
      </c>
      <c r="B1101" s="501">
        <v>4867</v>
      </c>
      <c r="C1101" s="501" t="s">
        <v>1089</v>
      </c>
      <c r="D1101" s="501" t="s">
        <v>3392</v>
      </c>
      <c r="E1101" s="501" t="s">
        <v>3381</v>
      </c>
      <c r="F1101" s="501" t="s">
        <v>487</v>
      </c>
      <c r="G1101" s="501" t="s">
        <v>488</v>
      </c>
      <c r="H1101" s="501" t="s">
        <v>14510</v>
      </c>
      <c r="I1101" s="501">
        <v>3</v>
      </c>
      <c r="J1101" s="501">
        <v>3</v>
      </c>
      <c r="K1101" s="501">
        <v>0</v>
      </c>
      <c r="L1101" s="501">
        <v>0</v>
      </c>
      <c r="M1101" s="501">
        <v>0</v>
      </c>
      <c r="N1101" s="501">
        <v>0</v>
      </c>
      <c r="O1101" s="506">
        <v>0</v>
      </c>
    </row>
    <row r="1102" spans="1:15" x14ac:dyDescent="0.35">
      <c r="A1102" s="503" t="s">
        <v>1385</v>
      </c>
      <c r="B1102" s="504" t="s">
        <v>3249</v>
      </c>
      <c r="C1102" s="504" t="s">
        <v>1094</v>
      </c>
      <c r="D1102" s="504" t="s">
        <v>3380</v>
      </c>
      <c r="E1102" s="504" t="s">
        <v>3381</v>
      </c>
      <c r="F1102" s="504" t="s">
        <v>489</v>
      </c>
      <c r="G1102" s="504" t="s">
        <v>490</v>
      </c>
      <c r="H1102" s="504" t="s">
        <v>4243</v>
      </c>
      <c r="I1102" s="504">
        <v>1143</v>
      </c>
      <c r="J1102" s="504">
        <v>906</v>
      </c>
      <c r="K1102" s="504">
        <v>0</v>
      </c>
      <c r="L1102" s="504">
        <v>67</v>
      </c>
      <c r="M1102" s="504">
        <v>115</v>
      </c>
      <c r="N1102" s="504">
        <v>1</v>
      </c>
      <c r="O1102" s="505">
        <v>55</v>
      </c>
    </row>
    <row r="1103" spans="1:15" x14ac:dyDescent="0.35">
      <c r="A1103" s="500" t="s">
        <v>1143</v>
      </c>
      <c r="B1103" s="501" t="s">
        <v>3281</v>
      </c>
      <c r="C1103" s="501" t="s">
        <v>1094</v>
      </c>
      <c r="D1103" s="501" t="s">
        <v>3380</v>
      </c>
      <c r="E1103" s="501" t="s">
        <v>3381</v>
      </c>
      <c r="F1103" s="501" t="s">
        <v>489</v>
      </c>
      <c r="G1103" s="501" t="s">
        <v>490</v>
      </c>
      <c r="H1103" s="501" t="s">
        <v>4244</v>
      </c>
      <c r="I1103" s="501">
        <v>39</v>
      </c>
      <c r="J1103" s="501">
        <v>0</v>
      </c>
      <c r="K1103" s="501">
        <v>0</v>
      </c>
      <c r="L1103" s="501">
        <v>0</v>
      </c>
      <c r="M1103" s="501">
        <v>0</v>
      </c>
      <c r="N1103" s="501">
        <v>0</v>
      </c>
      <c r="O1103" s="506">
        <v>39</v>
      </c>
    </row>
    <row r="1104" spans="1:15" x14ac:dyDescent="0.35">
      <c r="A1104" s="503" t="s">
        <v>1093</v>
      </c>
      <c r="B1104" s="504" t="s">
        <v>3248</v>
      </c>
      <c r="C1104" s="504" t="s">
        <v>1094</v>
      </c>
      <c r="D1104" s="504" t="s">
        <v>3380</v>
      </c>
      <c r="E1104" s="504" t="s">
        <v>3381</v>
      </c>
      <c r="F1104" s="504" t="s">
        <v>489</v>
      </c>
      <c r="G1104" s="504" t="s">
        <v>490</v>
      </c>
      <c r="H1104" s="504" t="s">
        <v>4245</v>
      </c>
      <c r="I1104" s="504">
        <v>4</v>
      </c>
      <c r="J1104" s="504">
        <v>0</v>
      </c>
      <c r="K1104" s="504">
        <v>0</v>
      </c>
      <c r="L1104" s="504">
        <v>3</v>
      </c>
      <c r="M1104" s="504">
        <v>0</v>
      </c>
      <c r="N1104" s="504">
        <v>0</v>
      </c>
      <c r="O1104" s="505">
        <v>1</v>
      </c>
    </row>
    <row r="1105" spans="1:15" x14ac:dyDescent="0.35">
      <c r="A1105" s="500" t="s">
        <v>11380</v>
      </c>
      <c r="B1105" s="501" t="s">
        <v>11447</v>
      </c>
      <c r="C1105" s="501" t="s">
        <v>1089</v>
      </c>
      <c r="D1105" s="501" t="s">
        <v>3392</v>
      </c>
      <c r="E1105" s="501" t="s">
        <v>3381</v>
      </c>
      <c r="F1105" s="501" t="s">
        <v>489</v>
      </c>
      <c r="G1105" s="501" t="s">
        <v>490</v>
      </c>
      <c r="H1105" s="501" t="s">
        <v>11492</v>
      </c>
      <c r="I1105" s="501">
        <v>1</v>
      </c>
      <c r="J1105" s="501">
        <v>1</v>
      </c>
      <c r="K1105" s="501">
        <v>0</v>
      </c>
      <c r="L1105" s="501">
        <v>0</v>
      </c>
      <c r="M1105" s="501">
        <v>0</v>
      </c>
      <c r="N1105" s="501">
        <v>0</v>
      </c>
      <c r="O1105" s="506">
        <v>0</v>
      </c>
    </row>
    <row r="1106" spans="1:15" x14ac:dyDescent="0.35">
      <c r="A1106" s="503" t="s">
        <v>1096</v>
      </c>
      <c r="B1106" s="504" t="s">
        <v>3326</v>
      </c>
      <c r="C1106" s="504" t="s">
        <v>1094</v>
      </c>
      <c r="D1106" s="504" t="s">
        <v>3380</v>
      </c>
      <c r="E1106" s="504" t="s">
        <v>3381</v>
      </c>
      <c r="F1106" s="504" t="s">
        <v>489</v>
      </c>
      <c r="G1106" s="504" t="s">
        <v>490</v>
      </c>
      <c r="H1106" s="504" t="s">
        <v>4246</v>
      </c>
      <c r="I1106" s="504">
        <v>221</v>
      </c>
      <c r="J1106" s="504">
        <v>0</v>
      </c>
      <c r="K1106" s="504">
        <v>0</v>
      </c>
      <c r="L1106" s="504">
        <v>0</v>
      </c>
      <c r="M1106" s="504">
        <v>221</v>
      </c>
      <c r="N1106" s="504">
        <v>0</v>
      </c>
      <c r="O1106" s="505">
        <v>0</v>
      </c>
    </row>
    <row r="1107" spans="1:15" x14ac:dyDescent="0.35">
      <c r="A1107" s="500" t="s">
        <v>11448</v>
      </c>
      <c r="B1107" s="501" t="s">
        <v>2682</v>
      </c>
      <c r="C1107" s="501" t="s">
        <v>1089</v>
      </c>
      <c r="D1107" s="501" t="s">
        <v>3392</v>
      </c>
      <c r="E1107" s="501" t="s">
        <v>3381</v>
      </c>
      <c r="F1107" s="501" t="s">
        <v>489</v>
      </c>
      <c r="G1107" s="501" t="s">
        <v>490</v>
      </c>
      <c r="H1107" s="501" t="s">
        <v>11494</v>
      </c>
      <c r="I1107" s="501">
        <v>49</v>
      </c>
      <c r="J1107" s="501">
        <v>49</v>
      </c>
      <c r="K1107" s="501">
        <v>0</v>
      </c>
      <c r="L1107" s="501">
        <v>0</v>
      </c>
      <c r="M1107" s="501">
        <v>0</v>
      </c>
      <c r="N1107" s="501">
        <v>0</v>
      </c>
      <c r="O1107" s="506">
        <v>0</v>
      </c>
    </row>
    <row r="1108" spans="1:15" x14ac:dyDescent="0.35">
      <c r="A1108" s="503" t="s">
        <v>11363</v>
      </c>
      <c r="B1108" s="504">
        <v>4718</v>
      </c>
      <c r="C1108" s="504" t="s">
        <v>1094</v>
      </c>
      <c r="D1108" s="504" t="s">
        <v>3380</v>
      </c>
      <c r="E1108" s="504" t="s">
        <v>3381</v>
      </c>
      <c r="F1108" s="504" t="s">
        <v>489</v>
      </c>
      <c r="G1108" s="504" t="s">
        <v>490</v>
      </c>
      <c r="H1108" s="504" t="s">
        <v>11521</v>
      </c>
      <c r="I1108" s="504">
        <v>9</v>
      </c>
      <c r="J1108" s="504">
        <v>0</v>
      </c>
      <c r="K1108" s="504">
        <v>0</v>
      </c>
      <c r="L1108" s="504">
        <v>9</v>
      </c>
      <c r="M1108" s="504">
        <v>0</v>
      </c>
      <c r="N1108" s="504">
        <v>0</v>
      </c>
      <c r="O1108" s="505">
        <v>0</v>
      </c>
    </row>
    <row r="1109" spans="1:15" x14ac:dyDescent="0.35">
      <c r="A1109" s="500" t="s">
        <v>1277</v>
      </c>
      <c r="B1109" s="501" t="s">
        <v>3056</v>
      </c>
      <c r="C1109" s="501" t="s">
        <v>1089</v>
      </c>
      <c r="D1109" s="501" t="s">
        <v>3392</v>
      </c>
      <c r="E1109" s="501" t="s">
        <v>3381</v>
      </c>
      <c r="F1109" s="501" t="s">
        <v>489</v>
      </c>
      <c r="G1109" s="501" t="s">
        <v>490</v>
      </c>
      <c r="H1109" s="501" t="s">
        <v>4247</v>
      </c>
      <c r="I1109" s="501">
        <v>4</v>
      </c>
      <c r="J1109" s="501">
        <v>0</v>
      </c>
      <c r="K1109" s="501">
        <v>0</v>
      </c>
      <c r="L1109" s="501">
        <v>4</v>
      </c>
      <c r="M1109" s="501">
        <v>0</v>
      </c>
      <c r="N1109" s="501">
        <v>0</v>
      </c>
      <c r="O1109" s="506">
        <v>0</v>
      </c>
    </row>
    <row r="1110" spans="1:15" x14ac:dyDescent="0.35">
      <c r="A1110" s="503" t="s">
        <v>14158</v>
      </c>
      <c r="B1110" s="504">
        <v>5139</v>
      </c>
      <c r="C1110" s="504" t="s">
        <v>1089</v>
      </c>
      <c r="D1110" s="504" t="s">
        <v>3392</v>
      </c>
      <c r="E1110" s="504" t="s">
        <v>3381</v>
      </c>
      <c r="F1110" s="504" t="s">
        <v>489</v>
      </c>
      <c r="G1110" s="504" t="s">
        <v>490</v>
      </c>
      <c r="H1110" s="504" t="s">
        <v>14511</v>
      </c>
      <c r="I1110" s="504">
        <v>5</v>
      </c>
      <c r="J1110" s="504">
        <v>0</v>
      </c>
      <c r="K1110" s="504">
        <v>0</v>
      </c>
      <c r="L1110" s="504">
        <v>5</v>
      </c>
      <c r="M1110" s="504">
        <v>0</v>
      </c>
      <c r="N1110" s="504">
        <v>0</v>
      </c>
      <c r="O1110" s="505">
        <v>0</v>
      </c>
    </row>
    <row r="1111" spans="1:15" x14ac:dyDescent="0.35">
      <c r="A1111" s="500" t="s">
        <v>14160</v>
      </c>
      <c r="B1111" s="501" t="s">
        <v>14159</v>
      </c>
      <c r="C1111" s="501" t="s">
        <v>1089</v>
      </c>
      <c r="D1111" s="501" t="s">
        <v>3392</v>
      </c>
      <c r="E1111" s="501" t="s">
        <v>3381</v>
      </c>
      <c r="F1111" s="501" t="s">
        <v>489</v>
      </c>
      <c r="G1111" s="501" t="s">
        <v>490</v>
      </c>
      <c r="H1111" s="501" t="s">
        <v>14512</v>
      </c>
      <c r="I1111" s="501">
        <v>39</v>
      </c>
      <c r="J1111" s="501">
        <v>0</v>
      </c>
      <c r="K1111" s="501">
        <v>0</v>
      </c>
      <c r="L1111" s="501">
        <v>0</v>
      </c>
      <c r="M1111" s="501">
        <v>39</v>
      </c>
      <c r="N1111" s="501">
        <v>0</v>
      </c>
      <c r="O1111" s="506">
        <v>0</v>
      </c>
    </row>
    <row r="1112" spans="1:15" x14ac:dyDescent="0.35">
      <c r="A1112" s="503" t="s">
        <v>1409</v>
      </c>
      <c r="B1112" s="504" t="s">
        <v>2957</v>
      </c>
      <c r="C1112" s="504" t="s">
        <v>1089</v>
      </c>
      <c r="D1112" s="504" t="s">
        <v>3392</v>
      </c>
      <c r="E1112" s="504" t="s">
        <v>3381</v>
      </c>
      <c r="F1112" s="504" t="s">
        <v>489</v>
      </c>
      <c r="G1112" s="504" t="s">
        <v>490</v>
      </c>
      <c r="H1112" s="504" t="s">
        <v>4248</v>
      </c>
      <c r="I1112" s="504">
        <v>49</v>
      </c>
      <c r="J1112" s="504">
        <v>0</v>
      </c>
      <c r="K1112" s="504">
        <v>0</v>
      </c>
      <c r="L1112" s="504">
        <v>0</v>
      </c>
      <c r="M1112" s="504">
        <v>49</v>
      </c>
      <c r="N1112" s="504">
        <v>0</v>
      </c>
      <c r="O1112" s="505">
        <v>0</v>
      </c>
    </row>
    <row r="1113" spans="1:15" x14ac:dyDescent="0.35">
      <c r="A1113" s="500" t="s">
        <v>1285</v>
      </c>
      <c r="B1113" s="501" t="s">
        <v>3120</v>
      </c>
      <c r="C1113" s="501" t="s">
        <v>1089</v>
      </c>
      <c r="D1113" s="501" t="s">
        <v>3392</v>
      </c>
      <c r="E1113" s="501" t="s">
        <v>3381</v>
      </c>
      <c r="F1113" s="501" t="s">
        <v>489</v>
      </c>
      <c r="G1113" s="501" t="s">
        <v>490</v>
      </c>
      <c r="H1113" s="501" t="s">
        <v>4249</v>
      </c>
      <c r="I1113" s="501">
        <v>19</v>
      </c>
      <c r="J1113" s="501">
        <v>12</v>
      </c>
      <c r="K1113" s="501">
        <v>7</v>
      </c>
      <c r="L1113" s="501">
        <v>0</v>
      </c>
      <c r="M1113" s="501">
        <v>0</v>
      </c>
      <c r="N1113" s="501">
        <v>0</v>
      </c>
      <c r="O1113" s="506">
        <v>0</v>
      </c>
    </row>
    <row r="1114" spans="1:15" x14ac:dyDescent="0.35">
      <c r="A1114" s="503" t="s">
        <v>1415</v>
      </c>
      <c r="B1114" s="504" t="s">
        <v>3070</v>
      </c>
      <c r="C1114" s="504" t="s">
        <v>1089</v>
      </c>
      <c r="D1114" s="504" t="s">
        <v>3392</v>
      </c>
      <c r="E1114" s="504" t="s">
        <v>3381</v>
      </c>
      <c r="F1114" s="504" t="s">
        <v>489</v>
      </c>
      <c r="G1114" s="504" t="s">
        <v>490</v>
      </c>
      <c r="H1114" s="504" t="s">
        <v>4250</v>
      </c>
      <c r="I1114" s="504">
        <v>77</v>
      </c>
      <c r="J1114" s="504">
        <v>3</v>
      </c>
      <c r="K1114" s="504">
        <v>0</v>
      </c>
      <c r="L1114" s="504">
        <v>0</v>
      </c>
      <c r="M1114" s="504">
        <v>74</v>
      </c>
      <c r="N1114" s="504">
        <v>0</v>
      </c>
      <c r="O1114" s="505">
        <v>0</v>
      </c>
    </row>
    <row r="1115" spans="1:15" x14ac:dyDescent="0.35">
      <c r="A1115" s="500" t="s">
        <v>1100</v>
      </c>
      <c r="B1115" s="501">
        <v>4865</v>
      </c>
      <c r="C1115" s="501" t="s">
        <v>1094</v>
      </c>
      <c r="D1115" s="501" t="s">
        <v>3380</v>
      </c>
      <c r="E1115" s="501" t="s">
        <v>3381</v>
      </c>
      <c r="F1115" s="501" t="s">
        <v>489</v>
      </c>
      <c r="G1115" s="501" t="s">
        <v>490</v>
      </c>
      <c r="H1115" s="501" t="s">
        <v>4251</v>
      </c>
      <c r="I1115" s="501">
        <v>11648</v>
      </c>
      <c r="J1115" s="501">
        <v>10384</v>
      </c>
      <c r="K1115" s="501">
        <v>98</v>
      </c>
      <c r="L1115" s="501">
        <v>96</v>
      </c>
      <c r="M1115" s="501">
        <v>863</v>
      </c>
      <c r="N1115" s="501">
        <v>0</v>
      </c>
      <c r="O1115" s="506">
        <v>207</v>
      </c>
    </row>
    <row r="1116" spans="1:15" x14ac:dyDescent="0.35">
      <c r="A1116" s="503" t="s">
        <v>1420</v>
      </c>
      <c r="B1116" s="504">
        <v>4764</v>
      </c>
      <c r="C1116" s="504" t="s">
        <v>1089</v>
      </c>
      <c r="D1116" s="504" t="s">
        <v>3392</v>
      </c>
      <c r="E1116" s="504" t="s">
        <v>3381</v>
      </c>
      <c r="F1116" s="504" t="s">
        <v>489</v>
      </c>
      <c r="G1116" s="504" t="s">
        <v>490</v>
      </c>
      <c r="H1116" s="504" t="s">
        <v>14513</v>
      </c>
      <c r="I1116" s="504">
        <v>7</v>
      </c>
      <c r="J1116" s="504">
        <v>7</v>
      </c>
      <c r="K1116" s="504">
        <v>0</v>
      </c>
      <c r="L1116" s="504">
        <v>0</v>
      </c>
      <c r="M1116" s="504">
        <v>0</v>
      </c>
      <c r="N1116" s="504">
        <v>0</v>
      </c>
      <c r="O1116" s="505">
        <v>0</v>
      </c>
    </row>
    <row r="1117" spans="1:15" x14ac:dyDescent="0.35">
      <c r="A1117" s="500" t="s">
        <v>1422</v>
      </c>
      <c r="B1117" s="501" t="s">
        <v>3254</v>
      </c>
      <c r="C1117" s="501" t="s">
        <v>1094</v>
      </c>
      <c r="D1117" s="501" t="s">
        <v>3380</v>
      </c>
      <c r="E1117" s="501" t="s">
        <v>3381</v>
      </c>
      <c r="F1117" s="501" t="s">
        <v>489</v>
      </c>
      <c r="G1117" s="501" t="s">
        <v>490</v>
      </c>
      <c r="H1117" s="501" t="s">
        <v>4252</v>
      </c>
      <c r="I1117" s="501">
        <v>48</v>
      </c>
      <c r="J1117" s="501">
        <v>40</v>
      </c>
      <c r="K1117" s="501">
        <v>0</v>
      </c>
      <c r="L1117" s="501">
        <v>0</v>
      </c>
      <c r="M1117" s="501">
        <v>0</v>
      </c>
      <c r="N1117" s="501">
        <v>0</v>
      </c>
      <c r="O1117" s="506">
        <v>8</v>
      </c>
    </row>
    <row r="1118" spans="1:15" x14ac:dyDescent="0.35">
      <c r="A1118" s="503" t="s">
        <v>1433</v>
      </c>
      <c r="B1118" s="504" t="s">
        <v>3316</v>
      </c>
      <c r="C1118" s="504" t="s">
        <v>1089</v>
      </c>
      <c r="D1118" s="504" t="s">
        <v>3392</v>
      </c>
      <c r="E1118" s="504" t="s">
        <v>3381</v>
      </c>
      <c r="F1118" s="504" t="s">
        <v>489</v>
      </c>
      <c r="G1118" s="504" t="s">
        <v>490</v>
      </c>
      <c r="H1118" s="504" t="s">
        <v>4253</v>
      </c>
      <c r="I1118" s="504">
        <v>34</v>
      </c>
      <c r="J1118" s="504">
        <v>34</v>
      </c>
      <c r="K1118" s="504">
        <v>0</v>
      </c>
      <c r="L1118" s="504">
        <v>0</v>
      </c>
      <c r="M1118" s="504">
        <v>0</v>
      </c>
      <c r="N1118" s="504">
        <v>0</v>
      </c>
      <c r="O1118" s="505">
        <v>0</v>
      </c>
    </row>
    <row r="1119" spans="1:15" x14ac:dyDescent="0.35">
      <c r="A1119" s="500" t="s">
        <v>1442</v>
      </c>
      <c r="B1119" s="501" t="s">
        <v>2995</v>
      </c>
      <c r="C1119" s="501" t="s">
        <v>1089</v>
      </c>
      <c r="D1119" s="501" t="s">
        <v>3392</v>
      </c>
      <c r="E1119" s="501" t="s">
        <v>3381</v>
      </c>
      <c r="F1119" s="501" t="s">
        <v>489</v>
      </c>
      <c r="G1119" s="501" t="s">
        <v>490</v>
      </c>
      <c r="H1119" s="501" t="s">
        <v>4254</v>
      </c>
      <c r="I1119" s="501">
        <v>138</v>
      </c>
      <c r="J1119" s="501">
        <v>0</v>
      </c>
      <c r="K1119" s="501">
        <v>0</v>
      </c>
      <c r="L1119" s="501">
        <v>0</v>
      </c>
      <c r="M1119" s="501">
        <v>138</v>
      </c>
      <c r="N1119" s="501">
        <v>0</v>
      </c>
      <c r="O1119" s="506">
        <v>0</v>
      </c>
    </row>
    <row r="1120" spans="1:15" x14ac:dyDescent="0.35">
      <c r="A1120" s="503" t="s">
        <v>14208</v>
      </c>
      <c r="B1120" s="504">
        <v>4803</v>
      </c>
      <c r="C1120" s="504" t="s">
        <v>1094</v>
      </c>
      <c r="D1120" s="504" t="s">
        <v>3380</v>
      </c>
      <c r="E1120" s="504" t="s">
        <v>3381</v>
      </c>
      <c r="F1120" s="504" t="s">
        <v>489</v>
      </c>
      <c r="G1120" s="504" t="s">
        <v>490</v>
      </c>
      <c r="H1120" s="504" t="s">
        <v>14514</v>
      </c>
      <c r="I1120" s="504">
        <v>12</v>
      </c>
      <c r="J1120" s="504">
        <v>0</v>
      </c>
      <c r="K1120" s="504">
        <v>0</v>
      </c>
      <c r="L1120" s="504">
        <v>12</v>
      </c>
      <c r="M1120" s="504">
        <v>0</v>
      </c>
      <c r="N1120" s="504">
        <v>0</v>
      </c>
      <c r="O1120" s="505">
        <v>0</v>
      </c>
    </row>
    <row r="1121" spans="1:15" x14ac:dyDescent="0.35">
      <c r="A1121" s="500" t="s">
        <v>1185</v>
      </c>
      <c r="B1121" s="501" t="s">
        <v>3253</v>
      </c>
      <c r="C1121" s="501" t="s">
        <v>1094</v>
      </c>
      <c r="D1121" s="501" t="s">
        <v>3380</v>
      </c>
      <c r="E1121" s="501" t="s">
        <v>3381</v>
      </c>
      <c r="F1121" s="501" t="s">
        <v>489</v>
      </c>
      <c r="G1121" s="501" t="s">
        <v>490</v>
      </c>
      <c r="H1121" s="501" t="s">
        <v>4255</v>
      </c>
      <c r="I1121" s="501">
        <v>3</v>
      </c>
      <c r="J1121" s="501">
        <v>1</v>
      </c>
      <c r="K1121" s="501">
        <v>0</v>
      </c>
      <c r="L1121" s="501">
        <v>2</v>
      </c>
      <c r="M1121" s="501">
        <v>0</v>
      </c>
      <c r="N1121" s="501">
        <v>0</v>
      </c>
      <c r="O1121" s="506">
        <v>0</v>
      </c>
    </row>
    <row r="1122" spans="1:15" x14ac:dyDescent="0.35">
      <c r="A1122" s="503" t="s">
        <v>1459</v>
      </c>
      <c r="B1122" s="504" t="s">
        <v>3063</v>
      </c>
      <c r="C1122" s="504" t="s">
        <v>1094</v>
      </c>
      <c r="D1122" s="504" t="s">
        <v>3380</v>
      </c>
      <c r="E1122" s="504" t="s">
        <v>3381</v>
      </c>
      <c r="F1122" s="504" t="s">
        <v>489</v>
      </c>
      <c r="G1122" s="504" t="s">
        <v>490</v>
      </c>
      <c r="H1122" s="504" t="s">
        <v>4256</v>
      </c>
      <c r="I1122" s="504">
        <v>10</v>
      </c>
      <c r="J1122" s="504">
        <v>6</v>
      </c>
      <c r="K1122" s="504">
        <v>0</v>
      </c>
      <c r="L1122" s="504">
        <v>4</v>
      </c>
      <c r="M1122" s="504">
        <v>0</v>
      </c>
      <c r="N1122" s="504">
        <v>0</v>
      </c>
      <c r="O1122" s="505">
        <v>0</v>
      </c>
    </row>
    <row r="1123" spans="1:15" x14ac:dyDescent="0.35">
      <c r="A1123" s="500" t="s">
        <v>1105</v>
      </c>
      <c r="B1123" s="501">
        <v>4668</v>
      </c>
      <c r="C1123" s="501" t="s">
        <v>1094</v>
      </c>
      <c r="D1123" s="501" t="s">
        <v>3380</v>
      </c>
      <c r="E1123" s="501" t="s">
        <v>3381</v>
      </c>
      <c r="F1123" s="501" t="s">
        <v>489</v>
      </c>
      <c r="G1123" s="501" t="s">
        <v>490</v>
      </c>
      <c r="H1123" s="501" t="s">
        <v>4257</v>
      </c>
      <c r="I1123" s="501">
        <v>1</v>
      </c>
      <c r="J1123" s="501">
        <v>0</v>
      </c>
      <c r="K1123" s="501">
        <v>0</v>
      </c>
      <c r="L1123" s="501">
        <v>0</v>
      </c>
      <c r="M1123" s="501">
        <v>0</v>
      </c>
      <c r="N1123" s="501">
        <v>0</v>
      </c>
      <c r="O1123" s="506">
        <v>1</v>
      </c>
    </row>
    <row r="1124" spans="1:15" x14ac:dyDescent="0.35">
      <c r="A1124" s="503" t="s">
        <v>1107</v>
      </c>
      <c r="B1124" s="504" t="s">
        <v>3109</v>
      </c>
      <c r="C1124" s="504" t="s">
        <v>1094</v>
      </c>
      <c r="D1124" s="504" t="s">
        <v>3380</v>
      </c>
      <c r="E1124" s="504" t="s">
        <v>3381</v>
      </c>
      <c r="F1124" s="504" t="s">
        <v>489</v>
      </c>
      <c r="G1124" s="504" t="s">
        <v>490</v>
      </c>
      <c r="H1124" s="504" t="s">
        <v>4258</v>
      </c>
      <c r="I1124" s="504">
        <v>69</v>
      </c>
      <c r="J1124" s="504">
        <v>42</v>
      </c>
      <c r="K1124" s="504">
        <v>0</v>
      </c>
      <c r="L1124" s="504">
        <v>27</v>
      </c>
      <c r="M1124" s="504">
        <v>0</v>
      </c>
      <c r="N1124" s="504">
        <v>0</v>
      </c>
      <c r="O1124" s="505">
        <v>0</v>
      </c>
    </row>
    <row r="1125" spans="1:15" x14ac:dyDescent="0.35">
      <c r="A1125" s="500" t="s">
        <v>1189</v>
      </c>
      <c r="B1125" s="501" t="s">
        <v>3236</v>
      </c>
      <c r="C1125" s="501" t="s">
        <v>1094</v>
      </c>
      <c r="D1125" s="501" t="s">
        <v>3380</v>
      </c>
      <c r="E1125" s="501" t="s">
        <v>3381</v>
      </c>
      <c r="F1125" s="501" t="s">
        <v>489</v>
      </c>
      <c r="G1125" s="501" t="s">
        <v>490</v>
      </c>
      <c r="H1125" s="501" t="s">
        <v>4259</v>
      </c>
      <c r="I1125" s="501">
        <v>1392</v>
      </c>
      <c r="J1125" s="501">
        <v>1130</v>
      </c>
      <c r="K1125" s="501">
        <v>3</v>
      </c>
      <c r="L1125" s="501">
        <v>114</v>
      </c>
      <c r="M1125" s="501">
        <v>38</v>
      </c>
      <c r="N1125" s="501">
        <v>14</v>
      </c>
      <c r="O1125" s="506">
        <v>107</v>
      </c>
    </row>
    <row r="1126" spans="1:15" x14ac:dyDescent="0.35">
      <c r="A1126" s="503" t="s">
        <v>1481</v>
      </c>
      <c r="B1126" s="504" t="s">
        <v>3083</v>
      </c>
      <c r="C1126" s="504" t="s">
        <v>1089</v>
      </c>
      <c r="D1126" s="504" t="s">
        <v>3392</v>
      </c>
      <c r="E1126" s="504" t="s">
        <v>3381</v>
      </c>
      <c r="F1126" s="504" t="s">
        <v>489</v>
      </c>
      <c r="G1126" s="504" t="s">
        <v>490</v>
      </c>
      <c r="H1126" s="504" t="s">
        <v>4260</v>
      </c>
      <c r="I1126" s="504">
        <v>489</v>
      </c>
      <c r="J1126" s="504">
        <v>359</v>
      </c>
      <c r="K1126" s="504">
        <v>0</v>
      </c>
      <c r="L1126" s="504">
        <v>35</v>
      </c>
      <c r="M1126" s="504">
        <v>95</v>
      </c>
      <c r="N1126" s="504">
        <v>0</v>
      </c>
      <c r="O1126" s="505">
        <v>0</v>
      </c>
    </row>
    <row r="1127" spans="1:15" x14ac:dyDescent="0.35">
      <c r="A1127" s="500" t="s">
        <v>14243</v>
      </c>
      <c r="B1127" s="501">
        <v>5149</v>
      </c>
      <c r="C1127" s="501" t="s">
        <v>1089</v>
      </c>
      <c r="D1127" s="501" t="s">
        <v>3392</v>
      </c>
      <c r="E1127" s="501" t="s">
        <v>3381</v>
      </c>
      <c r="F1127" s="501" t="s">
        <v>489</v>
      </c>
      <c r="G1127" s="501" t="s">
        <v>490</v>
      </c>
      <c r="H1127" s="501" t="s">
        <v>14515</v>
      </c>
      <c r="I1127" s="501">
        <v>7</v>
      </c>
      <c r="J1127" s="501">
        <v>7</v>
      </c>
      <c r="K1127" s="501">
        <v>0</v>
      </c>
      <c r="L1127" s="501">
        <v>0</v>
      </c>
      <c r="M1127" s="501">
        <v>0</v>
      </c>
      <c r="N1127" s="501">
        <v>0</v>
      </c>
      <c r="O1127" s="506">
        <v>0</v>
      </c>
    </row>
    <row r="1128" spans="1:15" x14ac:dyDescent="0.35">
      <c r="A1128" s="503" t="s">
        <v>1310</v>
      </c>
      <c r="B1128" s="504">
        <v>5062</v>
      </c>
      <c r="C1128" s="504" t="s">
        <v>1089</v>
      </c>
      <c r="D1128" s="504" t="s">
        <v>3380</v>
      </c>
      <c r="E1128" s="504" t="s">
        <v>3381</v>
      </c>
      <c r="F1128" s="504" t="s">
        <v>489</v>
      </c>
      <c r="G1128" s="504" t="s">
        <v>490</v>
      </c>
      <c r="H1128" s="504" t="s">
        <v>14516</v>
      </c>
      <c r="I1128" s="504">
        <v>5</v>
      </c>
      <c r="J1128" s="504">
        <v>0</v>
      </c>
      <c r="K1128" s="504">
        <v>0</v>
      </c>
      <c r="L1128" s="504">
        <v>0</v>
      </c>
      <c r="M1128" s="504">
        <v>0</v>
      </c>
      <c r="N1128" s="504">
        <v>0</v>
      </c>
      <c r="O1128" s="505">
        <v>5</v>
      </c>
    </row>
    <row r="1129" spans="1:15" x14ac:dyDescent="0.35">
      <c r="A1129" s="500" t="s">
        <v>1202</v>
      </c>
      <c r="B1129" s="501" t="s">
        <v>3217</v>
      </c>
      <c r="C1129" s="501" t="s">
        <v>1094</v>
      </c>
      <c r="D1129" s="501" t="s">
        <v>3380</v>
      </c>
      <c r="E1129" s="501" t="s">
        <v>3381</v>
      </c>
      <c r="F1129" s="501" t="s">
        <v>489</v>
      </c>
      <c r="G1129" s="501" t="s">
        <v>490</v>
      </c>
      <c r="H1129" s="501" t="s">
        <v>4261</v>
      </c>
      <c r="I1129" s="501">
        <v>1088</v>
      </c>
      <c r="J1129" s="501">
        <v>678</v>
      </c>
      <c r="K1129" s="501">
        <v>0</v>
      </c>
      <c r="L1129" s="501">
        <v>8</v>
      </c>
      <c r="M1129" s="501">
        <v>0</v>
      </c>
      <c r="N1129" s="501">
        <v>1</v>
      </c>
      <c r="O1129" s="506">
        <v>402</v>
      </c>
    </row>
    <row r="1130" spans="1:15" x14ac:dyDescent="0.35">
      <c r="A1130" s="503" t="s">
        <v>1494</v>
      </c>
      <c r="B1130" s="504" t="s">
        <v>3235</v>
      </c>
      <c r="C1130" s="504" t="s">
        <v>1094</v>
      </c>
      <c r="D1130" s="504" t="s">
        <v>3380</v>
      </c>
      <c r="E1130" s="504" t="s">
        <v>3381</v>
      </c>
      <c r="F1130" s="504" t="s">
        <v>489</v>
      </c>
      <c r="G1130" s="504" t="s">
        <v>490</v>
      </c>
      <c r="H1130" s="504" t="s">
        <v>4262</v>
      </c>
      <c r="I1130" s="504">
        <v>32</v>
      </c>
      <c r="J1130" s="504">
        <v>0</v>
      </c>
      <c r="K1130" s="504">
        <v>0</v>
      </c>
      <c r="L1130" s="504">
        <v>32</v>
      </c>
      <c r="M1130" s="504">
        <v>0</v>
      </c>
      <c r="N1130" s="504">
        <v>2</v>
      </c>
      <c r="O1130" s="505">
        <v>0</v>
      </c>
    </row>
    <row r="1131" spans="1:15" x14ac:dyDescent="0.35">
      <c r="A1131" s="500" t="s">
        <v>1112</v>
      </c>
      <c r="B1131" s="501" t="s">
        <v>3008</v>
      </c>
      <c r="C1131" s="501" t="s">
        <v>1094</v>
      </c>
      <c r="D1131" s="501" t="s">
        <v>3380</v>
      </c>
      <c r="E1131" s="501" t="s">
        <v>3381</v>
      </c>
      <c r="F1131" s="501" t="s">
        <v>489</v>
      </c>
      <c r="G1131" s="501" t="s">
        <v>490</v>
      </c>
      <c r="H1131" s="501" t="s">
        <v>4263</v>
      </c>
      <c r="I1131" s="501">
        <v>71</v>
      </c>
      <c r="J1131" s="501">
        <v>0</v>
      </c>
      <c r="K1131" s="501">
        <v>0</v>
      </c>
      <c r="L1131" s="501">
        <v>0</v>
      </c>
      <c r="M1131" s="501">
        <v>0</v>
      </c>
      <c r="N1131" s="501">
        <v>0</v>
      </c>
      <c r="O1131" s="506">
        <v>71</v>
      </c>
    </row>
    <row r="1132" spans="1:15" x14ac:dyDescent="0.35">
      <c r="A1132" s="503" t="s">
        <v>1114</v>
      </c>
      <c r="B1132" s="504" t="s">
        <v>2982</v>
      </c>
      <c r="C1132" s="504" t="s">
        <v>1094</v>
      </c>
      <c r="D1132" s="504" t="s">
        <v>3380</v>
      </c>
      <c r="E1132" s="504" t="s">
        <v>3381</v>
      </c>
      <c r="F1132" s="504" t="s">
        <v>489</v>
      </c>
      <c r="G1132" s="504" t="s">
        <v>490</v>
      </c>
      <c r="H1132" s="504" t="s">
        <v>4264</v>
      </c>
      <c r="I1132" s="504">
        <v>459</v>
      </c>
      <c r="J1132" s="504">
        <v>265</v>
      </c>
      <c r="K1132" s="504">
        <v>0</v>
      </c>
      <c r="L1132" s="504">
        <v>5</v>
      </c>
      <c r="M1132" s="504">
        <v>55</v>
      </c>
      <c r="N1132" s="504">
        <v>0</v>
      </c>
      <c r="O1132" s="505">
        <v>134</v>
      </c>
    </row>
    <row r="1133" spans="1:15" x14ac:dyDescent="0.35">
      <c r="A1133" s="500" t="s">
        <v>1319</v>
      </c>
      <c r="B1133" s="501">
        <v>4880</v>
      </c>
      <c r="C1133" s="501" t="s">
        <v>1094</v>
      </c>
      <c r="D1133" s="501" t="s">
        <v>3380</v>
      </c>
      <c r="E1133" s="501" t="s">
        <v>3381</v>
      </c>
      <c r="F1133" s="501" t="s">
        <v>489</v>
      </c>
      <c r="G1133" s="501" t="s">
        <v>490</v>
      </c>
      <c r="H1133" s="501" t="s">
        <v>4265</v>
      </c>
      <c r="I1133" s="501">
        <v>26</v>
      </c>
      <c r="J1133" s="501">
        <v>26</v>
      </c>
      <c r="K1133" s="501">
        <v>0</v>
      </c>
      <c r="L1133" s="501">
        <v>0</v>
      </c>
      <c r="M1133" s="501">
        <v>0</v>
      </c>
      <c r="N1133" s="501">
        <v>0</v>
      </c>
      <c r="O1133" s="506">
        <v>0</v>
      </c>
    </row>
    <row r="1134" spans="1:15" x14ac:dyDescent="0.35">
      <c r="A1134" s="503" t="s">
        <v>1120</v>
      </c>
      <c r="B1134" s="504" t="s">
        <v>3362</v>
      </c>
      <c r="C1134" s="504" t="s">
        <v>1094</v>
      </c>
      <c r="D1134" s="504" t="s">
        <v>3380</v>
      </c>
      <c r="E1134" s="504" t="s">
        <v>3381</v>
      </c>
      <c r="F1134" s="504" t="s">
        <v>489</v>
      </c>
      <c r="G1134" s="504" t="s">
        <v>490</v>
      </c>
      <c r="H1134" s="504" t="s">
        <v>4266</v>
      </c>
      <c r="I1134" s="504">
        <v>3</v>
      </c>
      <c r="J1134" s="504">
        <v>0</v>
      </c>
      <c r="K1134" s="504">
        <v>0</v>
      </c>
      <c r="L1134" s="504">
        <v>0</v>
      </c>
      <c r="M1134" s="504">
        <v>0</v>
      </c>
      <c r="N1134" s="504">
        <v>0</v>
      </c>
      <c r="O1134" s="505">
        <v>3</v>
      </c>
    </row>
    <row r="1135" spans="1:15" x14ac:dyDescent="0.35">
      <c r="A1135" s="500" t="s">
        <v>1320</v>
      </c>
      <c r="B1135" s="501">
        <v>4720</v>
      </c>
      <c r="C1135" s="501" t="s">
        <v>1089</v>
      </c>
      <c r="D1135" s="501" t="s">
        <v>3392</v>
      </c>
      <c r="E1135" s="501" t="s">
        <v>3381</v>
      </c>
      <c r="F1135" s="501" t="s">
        <v>489</v>
      </c>
      <c r="G1135" s="501" t="s">
        <v>490</v>
      </c>
      <c r="H1135" s="501" t="s">
        <v>11875</v>
      </c>
      <c r="I1135" s="501">
        <v>4</v>
      </c>
      <c r="J1135" s="501">
        <v>4</v>
      </c>
      <c r="K1135" s="501">
        <v>0</v>
      </c>
      <c r="L1135" s="501">
        <v>0</v>
      </c>
      <c r="M1135" s="501">
        <v>0</v>
      </c>
      <c r="N1135" s="501">
        <v>0</v>
      </c>
      <c r="O1135" s="506">
        <v>0</v>
      </c>
    </row>
    <row r="1136" spans="1:15" x14ac:dyDescent="0.35">
      <c r="A1136" s="503" t="s">
        <v>1322</v>
      </c>
      <c r="B1136" s="504" t="s">
        <v>3244</v>
      </c>
      <c r="C1136" s="504" t="s">
        <v>1094</v>
      </c>
      <c r="D1136" s="504" t="s">
        <v>3380</v>
      </c>
      <c r="E1136" s="504" t="s">
        <v>3381</v>
      </c>
      <c r="F1136" s="504" t="s">
        <v>489</v>
      </c>
      <c r="G1136" s="504" t="s">
        <v>490</v>
      </c>
      <c r="H1136" s="504" t="s">
        <v>4267</v>
      </c>
      <c r="I1136" s="504">
        <v>9</v>
      </c>
      <c r="J1136" s="504">
        <v>0</v>
      </c>
      <c r="K1136" s="504">
        <v>0</v>
      </c>
      <c r="L1136" s="504">
        <v>0</v>
      </c>
      <c r="M1136" s="504">
        <v>0</v>
      </c>
      <c r="N1136" s="504">
        <v>0</v>
      </c>
      <c r="O1136" s="505">
        <v>9</v>
      </c>
    </row>
    <row r="1137" spans="1:15" x14ac:dyDescent="0.35">
      <c r="A1137" s="500" t="s">
        <v>1217</v>
      </c>
      <c r="B1137" s="501">
        <v>4851</v>
      </c>
      <c r="C1137" s="501" t="s">
        <v>1094</v>
      </c>
      <c r="D1137" s="501" t="s">
        <v>3380</v>
      </c>
      <c r="E1137" s="501" t="s">
        <v>3381</v>
      </c>
      <c r="F1137" s="501" t="s">
        <v>489</v>
      </c>
      <c r="G1137" s="501" t="s">
        <v>490</v>
      </c>
      <c r="H1137" s="501" t="s">
        <v>4268</v>
      </c>
      <c r="I1137" s="501">
        <v>1296</v>
      </c>
      <c r="J1137" s="501">
        <v>1066</v>
      </c>
      <c r="K1137" s="501">
        <v>0</v>
      </c>
      <c r="L1137" s="501">
        <v>54</v>
      </c>
      <c r="M1137" s="501">
        <v>116</v>
      </c>
      <c r="N1137" s="501">
        <v>11</v>
      </c>
      <c r="O1137" s="506">
        <v>60</v>
      </c>
    </row>
    <row r="1138" spans="1:15" x14ac:dyDescent="0.35">
      <c r="A1138" s="503" t="s">
        <v>1218</v>
      </c>
      <c r="B1138" s="504" t="s">
        <v>3147</v>
      </c>
      <c r="C1138" s="504" t="s">
        <v>1094</v>
      </c>
      <c r="D1138" s="504" t="s">
        <v>3380</v>
      </c>
      <c r="E1138" s="504" t="s">
        <v>3381</v>
      </c>
      <c r="F1138" s="504" t="s">
        <v>489</v>
      </c>
      <c r="G1138" s="504" t="s">
        <v>490</v>
      </c>
      <c r="H1138" s="504" t="s">
        <v>4269</v>
      </c>
      <c r="I1138" s="504">
        <v>14</v>
      </c>
      <c r="J1138" s="504">
        <v>0</v>
      </c>
      <c r="K1138" s="504">
        <v>0</v>
      </c>
      <c r="L1138" s="504">
        <v>0</v>
      </c>
      <c r="M1138" s="504">
        <v>0</v>
      </c>
      <c r="N1138" s="504">
        <v>0</v>
      </c>
      <c r="O1138" s="505">
        <v>14</v>
      </c>
    </row>
    <row r="1139" spans="1:15" x14ac:dyDescent="0.35">
      <c r="A1139" s="500" t="s">
        <v>11367</v>
      </c>
      <c r="B1139" s="501" t="s">
        <v>3143</v>
      </c>
      <c r="C1139" s="501" t="s">
        <v>1094</v>
      </c>
      <c r="D1139" s="501" t="s">
        <v>3380</v>
      </c>
      <c r="E1139" s="501" t="s">
        <v>3381</v>
      </c>
      <c r="F1139" s="501" t="s">
        <v>489</v>
      </c>
      <c r="G1139" s="501" t="s">
        <v>490</v>
      </c>
      <c r="H1139" s="501" t="s">
        <v>11909</v>
      </c>
      <c r="I1139" s="501">
        <v>38</v>
      </c>
      <c r="J1139" s="501">
        <v>0</v>
      </c>
      <c r="K1139" s="501">
        <v>0</v>
      </c>
      <c r="L1139" s="501">
        <v>0</v>
      </c>
      <c r="M1139" s="501">
        <v>0</v>
      </c>
      <c r="N1139" s="501">
        <v>0</v>
      </c>
      <c r="O1139" s="506">
        <v>38</v>
      </c>
    </row>
    <row r="1140" spans="1:15" x14ac:dyDescent="0.35">
      <c r="A1140" s="503" t="s">
        <v>14267</v>
      </c>
      <c r="B1140" s="504">
        <v>4699</v>
      </c>
      <c r="C1140" s="504" t="s">
        <v>1089</v>
      </c>
      <c r="D1140" s="504" t="s">
        <v>3392</v>
      </c>
      <c r="E1140" s="504" t="s">
        <v>3381</v>
      </c>
      <c r="F1140" s="504" t="s">
        <v>489</v>
      </c>
      <c r="G1140" s="504" t="s">
        <v>490</v>
      </c>
      <c r="H1140" s="504" t="s">
        <v>14517</v>
      </c>
      <c r="I1140" s="504">
        <v>38</v>
      </c>
      <c r="J1140" s="504">
        <v>38</v>
      </c>
      <c r="K1140" s="504">
        <v>0</v>
      </c>
      <c r="L1140" s="504">
        <v>0</v>
      </c>
      <c r="M1140" s="504">
        <v>0</v>
      </c>
      <c r="N1140" s="504">
        <v>0</v>
      </c>
      <c r="O1140" s="505">
        <v>0</v>
      </c>
    </row>
    <row r="1141" spans="1:15" x14ac:dyDescent="0.35">
      <c r="A1141" s="500" t="s">
        <v>1332</v>
      </c>
      <c r="B1141" s="501">
        <v>4878</v>
      </c>
      <c r="C1141" s="501" t="s">
        <v>1094</v>
      </c>
      <c r="D1141" s="501" t="s">
        <v>3380</v>
      </c>
      <c r="E1141" s="501" t="s">
        <v>3381</v>
      </c>
      <c r="F1141" s="501" t="s">
        <v>489</v>
      </c>
      <c r="G1141" s="501" t="s">
        <v>490</v>
      </c>
      <c r="H1141" s="501" t="s">
        <v>4270</v>
      </c>
      <c r="I1141" s="501">
        <v>109</v>
      </c>
      <c r="J1141" s="501">
        <v>101</v>
      </c>
      <c r="K1141" s="501">
        <v>0</v>
      </c>
      <c r="L1141" s="501">
        <v>0</v>
      </c>
      <c r="M1141" s="501">
        <v>0</v>
      </c>
      <c r="N1141" s="501">
        <v>0</v>
      </c>
      <c r="O1141" s="506">
        <v>8</v>
      </c>
    </row>
    <row r="1142" spans="1:15" x14ac:dyDescent="0.35">
      <c r="A1142" s="503" t="s">
        <v>1519</v>
      </c>
      <c r="B1142" s="504" t="s">
        <v>3041</v>
      </c>
      <c r="C1142" s="504" t="s">
        <v>1089</v>
      </c>
      <c r="D1142" s="504" t="s">
        <v>3392</v>
      </c>
      <c r="E1142" s="504" t="s">
        <v>3381</v>
      </c>
      <c r="F1142" s="504" t="s">
        <v>489</v>
      </c>
      <c r="G1142" s="504" t="s">
        <v>490</v>
      </c>
      <c r="H1142" s="504" t="s">
        <v>4271</v>
      </c>
      <c r="I1142" s="504">
        <v>263</v>
      </c>
      <c r="J1142" s="504">
        <v>250</v>
      </c>
      <c r="K1142" s="504">
        <v>0</v>
      </c>
      <c r="L1142" s="504">
        <v>13</v>
      </c>
      <c r="M1142" s="504">
        <v>0</v>
      </c>
      <c r="N1142" s="504">
        <v>0</v>
      </c>
      <c r="O1142" s="505">
        <v>0</v>
      </c>
    </row>
    <row r="1143" spans="1:15" x14ac:dyDescent="0.35">
      <c r="A1143" s="500" t="s">
        <v>1523</v>
      </c>
      <c r="B1143" s="501" t="s">
        <v>3213</v>
      </c>
      <c r="C1143" s="501" t="s">
        <v>1094</v>
      </c>
      <c r="D1143" s="501" t="s">
        <v>3380</v>
      </c>
      <c r="E1143" s="501" t="s">
        <v>3381</v>
      </c>
      <c r="F1143" s="501" t="s">
        <v>489</v>
      </c>
      <c r="G1143" s="501" t="s">
        <v>490</v>
      </c>
      <c r="H1143" s="501" t="s">
        <v>4272</v>
      </c>
      <c r="I1143" s="501">
        <v>33</v>
      </c>
      <c r="J1143" s="501">
        <v>25</v>
      </c>
      <c r="K1143" s="501">
        <v>0</v>
      </c>
      <c r="L1143" s="501">
        <v>0</v>
      </c>
      <c r="M1143" s="501">
        <v>0</v>
      </c>
      <c r="N1143" s="501">
        <v>0</v>
      </c>
      <c r="O1143" s="506">
        <v>8</v>
      </c>
    </row>
    <row r="1144" spans="1:15" x14ac:dyDescent="0.35">
      <c r="A1144" s="503" t="s">
        <v>1525</v>
      </c>
      <c r="B1144" s="504" t="s">
        <v>2923</v>
      </c>
      <c r="C1144" s="504" t="s">
        <v>1089</v>
      </c>
      <c r="D1144" s="504" t="s">
        <v>3392</v>
      </c>
      <c r="E1144" s="504" t="s">
        <v>3381</v>
      </c>
      <c r="F1144" s="504" t="s">
        <v>489</v>
      </c>
      <c r="G1144" s="504" t="s">
        <v>490</v>
      </c>
      <c r="H1144" s="504" t="s">
        <v>4273</v>
      </c>
      <c r="I1144" s="504">
        <v>8</v>
      </c>
      <c r="J1144" s="504">
        <v>0</v>
      </c>
      <c r="K1144" s="504">
        <v>0</v>
      </c>
      <c r="L1144" s="504">
        <v>8</v>
      </c>
      <c r="M1144" s="504">
        <v>0</v>
      </c>
      <c r="N1144" s="504">
        <v>0</v>
      </c>
      <c r="O1144" s="505">
        <v>0</v>
      </c>
    </row>
    <row r="1145" spans="1:15" x14ac:dyDescent="0.35">
      <c r="A1145" s="500" t="s">
        <v>1534</v>
      </c>
      <c r="B1145" s="501" t="s">
        <v>3092</v>
      </c>
      <c r="C1145" s="501" t="s">
        <v>1089</v>
      </c>
      <c r="D1145" s="501" t="s">
        <v>3392</v>
      </c>
      <c r="E1145" s="501" t="s">
        <v>3381</v>
      </c>
      <c r="F1145" s="501" t="s">
        <v>489</v>
      </c>
      <c r="G1145" s="501" t="s">
        <v>490</v>
      </c>
      <c r="H1145" s="501" t="s">
        <v>4274</v>
      </c>
      <c r="I1145" s="501">
        <v>189</v>
      </c>
      <c r="J1145" s="501">
        <v>128</v>
      </c>
      <c r="K1145" s="501">
        <v>0</v>
      </c>
      <c r="L1145" s="501">
        <v>0</v>
      </c>
      <c r="M1145" s="501">
        <v>61</v>
      </c>
      <c r="N1145" s="501">
        <v>0</v>
      </c>
      <c r="O1145" s="506">
        <v>0</v>
      </c>
    </row>
    <row r="1146" spans="1:15" x14ac:dyDescent="0.35">
      <c r="A1146" s="503" t="s">
        <v>1535</v>
      </c>
      <c r="B1146" s="504" t="s">
        <v>2885</v>
      </c>
      <c r="C1146" s="504" t="s">
        <v>1089</v>
      </c>
      <c r="D1146" s="504" t="s">
        <v>3392</v>
      </c>
      <c r="E1146" s="504" t="s">
        <v>3381</v>
      </c>
      <c r="F1146" s="504" t="s">
        <v>489</v>
      </c>
      <c r="G1146" s="504" t="s">
        <v>490</v>
      </c>
      <c r="H1146" s="504" t="s">
        <v>4275</v>
      </c>
      <c r="I1146" s="504">
        <v>12</v>
      </c>
      <c r="J1146" s="504">
        <v>0</v>
      </c>
      <c r="K1146" s="504">
        <v>0</v>
      </c>
      <c r="L1146" s="504">
        <v>12</v>
      </c>
      <c r="M1146" s="504">
        <v>0</v>
      </c>
      <c r="N1146" s="504">
        <v>0</v>
      </c>
      <c r="O1146" s="505">
        <v>0</v>
      </c>
    </row>
    <row r="1147" spans="1:15" x14ac:dyDescent="0.35">
      <c r="A1147" s="500" t="s">
        <v>1124</v>
      </c>
      <c r="B1147" s="501">
        <v>4745</v>
      </c>
      <c r="C1147" s="501" t="s">
        <v>1094</v>
      </c>
      <c r="D1147" s="501" t="s">
        <v>3380</v>
      </c>
      <c r="E1147" s="501" t="s">
        <v>3381</v>
      </c>
      <c r="F1147" s="501" t="s">
        <v>489</v>
      </c>
      <c r="G1147" s="501" t="s">
        <v>490</v>
      </c>
      <c r="H1147" s="501" t="s">
        <v>4276</v>
      </c>
      <c r="I1147" s="501">
        <v>18</v>
      </c>
      <c r="J1147" s="501">
        <v>0</v>
      </c>
      <c r="K1147" s="501">
        <v>0</v>
      </c>
      <c r="L1147" s="501">
        <v>18</v>
      </c>
      <c r="M1147" s="501">
        <v>0</v>
      </c>
      <c r="N1147" s="501">
        <v>0</v>
      </c>
      <c r="O1147" s="506">
        <v>0</v>
      </c>
    </row>
    <row r="1148" spans="1:15" x14ac:dyDescent="0.35">
      <c r="A1148" s="503" t="s">
        <v>1233</v>
      </c>
      <c r="B1148" s="504">
        <v>4636</v>
      </c>
      <c r="C1148" s="504" t="s">
        <v>1094</v>
      </c>
      <c r="D1148" s="504" t="s">
        <v>3380</v>
      </c>
      <c r="E1148" s="504" t="s">
        <v>3381</v>
      </c>
      <c r="F1148" s="504" t="s">
        <v>489</v>
      </c>
      <c r="G1148" s="504" t="s">
        <v>490</v>
      </c>
      <c r="H1148" s="504" t="s">
        <v>14518</v>
      </c>
      <c r="I1148" s="504">
        <v>51</v>
      </c>
      <c r="J1148" s="504">
        <v>40</v>
      </c>
      <c r="K1148" s="504">
        <v>0</v>
      </c>
      <c r="L1148" s="504">
        <v>0</v>
      </c>
      <c r="M1148" s="504">
        <v>0</v>
      </c>
      <c r="N1148" s="504">
        <v>0</v>
      </c>
      <c r="O1148" s="505">
        <v>11</v>
      </c>
    </row>
    <row r="1149" spans="1:15" x14ac:dyDescent="0.35">
      <c r="A1149" s="500" t="s">
        <v>1126</v>
      </c>
      <c r="B1149" s="501" t="s">
        <v>2974</v>
      </c>
      <c r="C1149" s="501" t="s">
        <v>1094</v>
      </c>
      <c r="D1149" s="501" t="s">
        <v>3380</v>
      </c>
      <c r="E1149" s="501" t="s">
        <v>3381</v>
      </c>
      <c r="F1149" s="501" t="s">
        <v>489</v>
      </c>
      <c r="G1149" s="501" t="s">
        <v>490</v>
      </c>
      <c r="H1149" s="501" t="s">
        <v>4277</v>
      </c>
      <c r="I1149" s="501">
        <v>265</v>
      </c>
      <c r="J1149" s="501">
        <v>140</v>
      </c>
      <c r="K1149" s="501">
        <v>0</v>
      </c>
      <c r="L1149" s="501">
        <v>17</v>
      </c>
      <c r="M1149" s="501">
        <v>103</v>
      </c>
      <c r="N1149" s="501">
        <v>0</v>
      </c>
      <c r="O1149" s="506">
        <v>5</v>
      </c>
    </row>
    <row r="1150" spans="1:15" x14ac:dyDescent="0.35">
      <c r="A1150" s="503" t="s">
        <v>1130</v>
      </c>
      <c r="B1150" s="504" t="s">
        <v>3234</v>
      </c>
      <c r="C1150" s="504" t="s">
        <v>1094</v>
      </c>
      <c r="D1150" s="504" t="s">
        <v>3380</v>
      </c>
      <c r="E1150" s="504" t="s">
        <v>3381</v>
      </c>
      <c r="F1150" s="504" t="s">
        <v>489</v>
      </c>
      <c r="G1150" s="504" t="s">
        <v>490</v>
      </c>
      <c r="H1150" s="504" t="s">
        <v>4278</v>
      </c>
      <c r="I1150" s="504">
        <v>4</v>
      </c>
      <c r="J1150" s="504">
        <v>0</v>
      </c>
      <c r="K1150" s="504">
        <v>0</v>
      </c>
      <c r="L1150" s="504">
        <v>0</v>
      </c>
      <c r="M1150" s="504">
        <v>0</v>
      </c>
      <c r="N1150" s="504">
        <v>0</v>
      </c>
      <c r="O1150" s="505">
        <v>4</v>
      </c>
    </row>
    <row r="1151" spans="1:15" x14ac:dyDescent="0.35">
      <c r="A1151" s="500" t="s">
        <v>1563</v>
      </c>
      <c r="B1151" s="501" t="s">
        <v>2917</v>
      </c>
      <c r="C1151" s="501" t="s">
        <v>1089</v>
      </c>
      <c r="D1151" s="501" t="s">
        <v>3392</v>
      </c>
      <c r="E1151" s="501" t="s">
        <v>3381</v>
      </c>
      <c r="F1151" s="501" t="s">
        <v>489</v>
      </c>
      <c r="G1151" s="501" t="s">
        <v>490</v>
      </c>
      <c r="H1151" s="501" t="s">
        <v>4279</v>
      </c>
      <c r="I1151" s="501">
        <v>7</v>
      </c>
      <c r="J1151" s="501">
        <v>0</v>
      </c>
      <c r="K1151" s="501">
        <v>0</v>
      </c>
      <c r="L1151" s="501">
        <v>7</v>
      </c>
      <c r="M1151" s="501">
        <v>0</v>
      </c>
      <c r="N1151" s="501">
        <v>0</v>
      </c>
      <c r="O1151" s="506">
        <v>0</v>
      </c>
    </row>
    <row r="1152" spans="1:15" x14ac:dyDescent="0.35">
      <c r="A1152" s="503" t="s">
        <v>1249</v>
      </c>
      <c r="B1152" s="504">
        <v>4729</v>
      </c>
      <c r="C1152" s="504" t="s">
        <v>1094</v>
      </c>
      <c r="D1152" s="504" t="s">
        <v>3380</v>
      </c>
      <c r="E1152" s="504" t="s">
        <v>3381</v>
      </c>
      <c r="F1152" s="504" t="s">
        <v>489</v>
      </c>
      <c r="G1152" s="504" t="s">
        <v>490</v>
      </c>
      <c r="H1152" s="504" t="s">
        <v>4280</v>
      </c>
      <c r="I1152" s="504">
        <v>18</v>
      </c>
      <c r="J1152" s="504">
        <v>0</v>
      </c>
      <c r="K1152" s="504">
        <v>0</v>
      </c>
      <c r="L1152" s="504">
        <v>0</v>
      </c>
      <c r="M1152" s="504">
        <v>18</v>
      </c>
      <c r="N1152" s="504">
        <v>0</v>
      </c>
      <c r="O1152" s="505">
        <v>0</v>
      </c>
    </row>
    <row r="1153" spans="1:15" x14ac:dyDescent="0.35">
      <c r="A1153" s="500" t="s">
        <v>1253</v>
      </c>
      <c r="B1153" s="501" t="s">
        <v>3232</v>
      </c>
      <c r="C1153" s="501" t="s">
        <v>1094</v>
      </c>
      <c r="D1153" s="501" t="s">
        <v>3380</v>
      </c>
      <c r="E1153" s="501" t="s">
        <v>3381</v>
      </c>
      <c r="F1153" s="501" t="s">
        <v>489</v>
      </c>
      <c r="G1153" s="501" t="s">
        <v>490</v>
      </c>
      <c r="H1153" s="501" t="s">
        <v>4281</v>
      </c>
      <c r="I1153" s="501">
        <v>542</v>
      </c>
      <c r="J1153" s="501">
        <v>459</v>
      </c>
      <c r="K1153" s="501">
        <v>0</v>
      </c>
      <c r="L1153" s="501">
        <v>45</v>
      </c>
      <c r="M1153" s="501">
        <v>38</v>
      </c>
      <c r="N1153" s="501">
        <v>1</v>
      </c>
      <c r="O1153" s="506">
        <v>0</v>
      </c>
    </row>
    <row r="1154" spans="1:15" x14ac:dyDescent="0.35">
      <c r="A1154" s="503" t="s">
        <v>1587</v>
      </c>
      <c r="B1154" s="504" t="s">
        <v>2978</v>
      </c>
      <c r="C1154" s="504" t="s">
        <v>1094</v>
      </c>
      <c r="D1154" s="504" t="s">
        <v>3380</v>
      </c>
      <c r="E1154" s="504" t="s">
        <v>3381</v>
      </c>
      <c r="F1154" s="504" t="s">
        <v>489</v>
      </c>
      <c r="G1154" s="504" t="s">
        <v>490</v>
      </c>
      <c r="H1154" s="504" t="s">
        <v>4282</v>
      </c>
      <c r="I1154" s="504">
        <v>79</v>
      </c>
      <c r="J1154" s="504">
        <v>77</v>
      </c>
      <c r="K1154" s="504">
        <v>0</v>
      </c>
      <c r="L1154" s="504">
        <v>0</v>
      </c>
      <c r="M1154" s="504">
        <v>0</v>
      </c>
      <c r="N1154" s="504">
        <v>13</v>
      </c>
      <c r="O1154" s="505">
        <v>2</v>
      </c>
    </row>
    <row r="1155" spans="1:15" x14ac:dyDescent="0.35">
      <c r="A1155" s="500" t="s">
        <v>1598</v>
      </c>
      <c r="B1155" s="501">
        <v>4638</v>
      </c>
      <c r="C1155" s="501" t="s">
        <v>1089</v>
      </c>
      <c r="D1155" s="501" t="s">
        <v>3392</v>
      </c>
      <c r="E1155" s="501" t="s">
        <v>3381</v>
      </c>
      <c r="F1155" s="501" t="s">
        <v>489</v>
      </c>
      <c r="G1155" s="501" t="s">
        <v>490</v>
      </c>
      <c r="H1155" s="501" t="s">
        <v>4283</v>
      </c>
      <c r="I1155" s="501">
        <v>1</v>
      </c>
      <c r="J1155" s="501">
        <v>1</v>
      </c>
      <c r="K1155" s="501">
        <v>0</v>
      </c>
      <c r="L1155" s="501">
        <v>0</v>
      </c>
      <c r="M1155" s="501">
        <v>0</v>
      </c>
      <c r="N1155" s="501">
        <v>0</v>
      </c>
      <c r="O1155" s="506">
        <v>0</v>
      </c>
    </row>
    <row r="1156" spans="1:15" x14ac:dyDescent="0.35">
      <c r="A1156" s="503" t="s">
        <v>1158</v>
      </c>
      <c r="B1156" s="504">
        <v>4819</v>
      </c>
      <c r="C1156" s="504" t="s">
        <v>1094</v>
      </c>
      <c r="D1156" s="504" t="s">
        <v>3380</v>
      </c>
      <c r="E1156" s="504" t="s">
        <v>3381</v>
      </c>
      <c r="F1156" s="504" t="s">
        <v>491</v>
      </c>
      <c r="G1156" s="504" t="s">
        <v>492</v>
      </c>
      <c r="H1156" s="504" t="s">
        <v>4284</v>
      </c>
      <c r="I1156" s="504">
        <v>359</v>
      </c>
      <c r="J1156" s="504">
        <v>276</v>
      </c>
      <c r="K1156" s="504">
        <v>0</v>
      </c>
      <c r="L1156" s="504">
        <v>21</v>
      </c>
      <c r="M1156" s="504">
        <v>0</v>
      </c>
      <c r="N1156" s="504">
        <v>0</v>
      </c>
      <c r="O1156" s="505">
        <v>62</v>
      </c>
    </row>
    <row r="1157" spans="1:15" x14ac:dyDescent="0.35">
      <c r="A1157" s="500" t="s">
        <v>2066</v>
      </c>
      <c r="B1157" s="501" t="s">
        <v>3359</v>
      </c>
      <c r="C1157" s="501" t="s">
        <v>1094</v>
      </c>
      <c r="D1157" s="501" t="s">
        <v>3380</v>
      </c>
      <c r="E1157" s="501" t="s">
        <v>3381</v>
      </c>
      <c r="F1157" s="501" t="s">
        <v>491</v>
      </c>
      <c r="G1157" s="501" t="s">
        <v>492</v>
      </c>
      <c r="H1157" s="501" t="s">
        <v>4285</v>
      </c>
      <c r="I1157" s="501">
        <v>3725</v>
      </c>
      <c r="J1157" s="501">
        <v>2621</v>
      </c>
      <c r="K1157" s="501">
        <v>0</v>
      </c>
      <c r="L1157" s="501">
        <v>3</v>
      </c>
      <c r="M1157" s="501">
        <v>913</v>
      </c>
      <c r="N1157" s="501">
        <v>0</v>
      </c>
      <c r="O1157" s="506">
        <v>188</v>
      </c>
    </row>
    <row r="1158" spans="1:15" x14ac:dyDescent="0.35">
      <c r="A1158" s="503" t="s">
        <v>2067</v>
      </c>
      <c r="B1158" s="504" t="s">
        <v>2472</v>
      </c>
      <c r="C1158" s="504" t="s">
        <v>1089</v>
      </c>
      <c r="D1158" s="504" t="s">
        <v>3392</v>
      </c>
      <c r="E1158" s="504" t="s">
        <v>3381</v>
      </c>
      <c r="F1158" s="504" t="s">
        <v>491</v>
      </c>
      <c r="G1158" s="504" t="s">
        <v>492</v>
      </c>
      <c r="H1158" s="504" t="s">
        <v>4286</v>
      </c>
      <c r="I1158" s="504">
        <v>42</v>
      </c>
      <c r="J1158" s="504">
        <v>0</v>
      </c>
      <c r="K1158" s="504">
        <v>0</v>
      </c>
      <c r="L1158" s="504">
        <v>0</v>
      </c>
      <c r="M1158" s="504">
        <v>42</v>
      </c>
      <c r="N1158" s="504">
        <v>0</v>
      </c>
      <c r="O1158" s="505">
        <v>0</v>
      </c>
    </row>
    <row r="1159" spans="1:15" x14ac:dyDescent="0.35">
      <c r="A1159" s="500" t="s">
        <v>1961</v>
      </c>
      <c r="B1159" s="501">
        <v>5075</v>
      </c>
      <c r="C1159" s="501" t="s">
        <v>1094</v>
      </c>
      <c r="D1159" s="501" t="s">
        <v>3380</v>
      </c>
      <c r="E1159" s="501" t="s">
        <v>3381</v>
      </c>
      <c r="F1159" s="501" t="s">
        <v>491</v>
      </c>
      <c r="G1159" s="501" t="s">
        <v>492</v>
      </c>
      <c r="H1159" s="501" t="s">
        <v>4287</v>
      </c>
      <c r="I1159" s="501">
        <v>262</v>
      </c>
      <c r="J1159" s="501">
        <v>170</v>
      </c>
      <c r="K1159" s="501">
        <v>0</v>
      </c>
      <c r="L1159" s="501">
        <v>26</v>
      </c>
      <c r="M1159" s="501">
        <v>0</v>
      </c>
      <c r="N1159" s="501">
        <v>0</v>
      </c>
      <c r="O1159" s="506">
        <v>66</v>
      </c>
    </row>
    <row r="1160" spans="1:15" x14ac:dyDescent="0.35">
      <c r="A1160" s="503" t="s">
        <v>1100</v>
      </c>
      <c r="B1160" s="504">
        <v>4865</v>
      </c>
      <c r="C1160" s="504" t="s">
        <v>1094</v>
      </c>
      <c r="D1160" s="504" t="s">
        <v>3380</v>
      </c>
      <c r="E1160" s="504" t="s">
        <v>3381</v>
      </c>
      <c r="F1160" s="504" t="s">
        <v>491</v>
      </c>
      <c r="G1160" s="504" t="s">
        <v>492</v>
      </c>
      <c r="H1160" s="504" t="s">
        <v>4288</v>
      </c>
      <c r="I1160" s="504">
        <v>2</v>
      </c>
      <c r="J1160" s="504">
        <v>1</v>
      </c>
      <c r="K1160" s="504">
        <v>0</v>
      </c>
      <c r="L1160" s="504">
        <v>0</v>
      </c>
      <c r="M1160" s="504">
        <v>0</v>
      </c>
      <c r="N1160" s="504">
        <v>0</v>
      </c>
      <c r="O1160" s="505">
        <v>1</v>
      </c>
    </row>
    <row r="1161" spans="1:15" x14ac:dyDescent="0.35">
      <c r="A1161" s="500" t="s">
        <v>14213</v>
      </c>
      <c r="B1161" s="501" t="s">
        <v>3312</v>
      </c>
      <c r="C1161" s="501" t="s">
        <v>1094</v>
      </c>
      <c r="D1161" s="501" t="s">
        <v>3380</v>
      </c>
      <c r="E1161" s="501" t="s">
        <v>3381</v>
      </c>
      <c r="F1161" s="501" t="s">
        <v>491</v>
      </c>
      <c r="G1161" s="501" t="s">
        <v>492</v>
      </c>
      <c r="H1161" s="501" t="s">
        <v>14519</v>
      </c>
      <c r="I1161" s="501">
        <v>43</v>
      </c>
      <c r="J1161" s="501">
        <v>0</v>
      </c>
      <c r="K1161" s="501">
        <v>0</v>
      </c>
      <c r="L1161" s="501">
        <v>18</v>
      </c>
      <c r="M1161" s="501">
        <v>0</v>
      </c>
      <c r="N1161" s="501">
        <v>0</v>
      </c>
      <c r="O1161" s="506">
        <v>25</v>
      </c>
    </row>
    <row r="1162" spans="1:15" x14ac:dyDescent="0.35">
      <c r="A1162" s="503" t="s">
        <v>1109</v>
      </c>
      <c r="B1162" s="504" t="s">
        <v>2959</v>
      </c>
      <c r="C1162" s="504" t="s">
        <v>1094</v>
      </c>
      <c r="D1162" s="504" t="s">
        <v>3380</v>
      </c>
      <c r="E1162" s="504" t="s">
        <v>3381</v>
      </c>
      <c r="F1162" s="504" t="s">
        <v>491</v>
      </c>
      <c r="G1162" s="504" t="s">
        <v>492</v>
      </c>
      <c r="H1162" s="504" t="s">
        <v>4289</v>
      </c>
      <c r="I1162" s="504">
        <v>51</v>
      </c>
      <c r="J1162" s="504">
        <v>0</v>
      </c>
      <c r="K1162" s="504">
        <v>0</v>
      </c>
      <c r="L1162" s="504">
        <v>0</v>
      </c>
      <c r="M1162" s="504">
        <v>51</v>
      </c>
      <c r="N1162" s="504">
        <v>0</v>
      </c>
      <c r="O1162" s="505">
        <v>0</v>
      </c>
    </row>
    <row r="1163" spans="1:15" x14ac:dyDescent="0.35">
      <c r="A1163" s="500" t="s">
        <v>1190</v>
      </c>
      <c r="B1163" s="501">
        <v>4662</v>
      </c>
      <c r="C1163" s="501" t="s">
        <v>1094</v>
      </c>
      <c r="D1163" s="501" t="s">
        <v>3380</v>
      </c>
      <c r="E1163" s="501" t="s">
        <v>3381</v>
      </c>
      <c r="F1163" s="501" t="s">
        <v>491</v>
      </c>
      <c r="G1163" s="501" t="s">
        <v>492</v>
      </c>
      <c r="H1163" s="501" t="s">
        <v>11763</v>
      </c>
      <c r="I1163" s="501">
        <v>2</v>
      </c>
      <c r="J1163" s="501">
        <v>0</v>
      </c>
      <c r="K1163" s="501">
        <v>0</v>
      </c>
      <c r="L1163" s="501">
        <v>2</v>
      </c>
      <c r="M1163" s="501">
        <v>0</v>
      </c>
      <c r="N1163" s="501">
        <v>0</v>
      </c>
      <c r="O1163" s="506">
        <v>0</v>
      </c>
    </row>
    <row r="1164" spans="1:15" x14ac:dyDescent="0.35">
      <c r="A1164" s="503" t="s">
        <v>1203</v>
      </c>
      <c r="B1164" s="504" t="s">
        <v>3170</v>
      </c>
      <c r="C1164" s="504" t="s">
        <v>1094</v>
      </c>
      <c r="D1164" s="504" t="s">
        <v>3380</v>
      </c>
      <c r="E1164" s="504" t="s">
        <v>3381</v>
      </c>
      <c r="F1164" s="504" t="s">
        <v>491</v>
      </c>
      <c r="G1164" s="504" t="s">
        <v>492</v>
      </c>
      <c r="H1164" s="504" t="s">
        <v>4290</v>
      </c>
      <c r="I1164" s="504">
        <v>6</v>
      </c>
      <c r="J1164" s="504">
        <v>0</v>
      </c>
      <c r="K1164" s="504">
        <v>0</v>
      </c>
      <c r="L1164" s="504">
        <v>6</v>
      </c>
      <c r="M1164" s="504">
        <v>0</v>
      </c>
      <c r="N1164" s="504">
        <v>0</v>
      </c>
      <c r="O1164" s="505">
        <v>0</v>
      </c>
    </row>
    <row r="1165" spans="1:15" x14ac:dyDescent="0.35">
      <c r="A1165" s="500" t="s">
        <v>1207</v>
      </c>
      <c r="B1165" s="501" t="s">
        <v>3202</v>
      </c>
      <c r="C1165" s="501" t="s">
        <v>1094</v>
      </c>
      <c r="D1165" s="501" t="s">
        <v>3380</v>
      </c>
      <c r="E1165" s="501" t="s">
        <v>3381</v>
      </c>
      <c r="F1165" s="501" t="s">
        <v>491</v>
      </c>
      <c r="G1165" s="501" t="s">
        <v>492</v>
      </c>
      <c r="H1165" s="501" t="s">
        <v>4291</v>
      </c>
      <c r="I1165" s="501">
        <v>129</v>
      </c>
      <c r="J1165" s="501">
        <v>119</v>
      </c>
      <c r="K1165" s="501">
        <v>0</v>
      </c>
      <c r="L1165" s="501">
        <v>0</v>
      </c>
      <c r="M1165" s="501">
        <v>0</v>
      </c>
      <c r="N1165" s="501">
        <v>0</v>
      </c>
      <c r="O1165" s="506">
        <v>10</v>
      </c>
    </row>
    <row r="1166" spans="1:15" x14ac:dyDescent="0.35">
      <c r="A1166" s="503" t="s">
        <v>1217</v>
      </c>
      <c r="B1166" s="504">
        <v>4851</v>
      </c>
      <c r="C1166" s="504" t="s">
        <v>1094</v>
      </c>
      <c r="D1166" s="504" t="s">
        <v>3380</v>
      </c>
      <c r="E1166" s="504" t="s">
        <v>3381</v>
      </c>
      <c r="F1166" s="504" t="s">
        <v>491</v>
      </c>
      <c r="G1166" s="504" t="s">
        <v>492</v>
      </c>
      <c r="H1166" s="504" t="s">
        <v>4292</v>
      </c>
      <c r="I1166" s="504">
        <v>51</v>
      </c>
      <c r="J1166" s="504">
        <v>51</v>
      </c>
      <c r="K1166" s="504">
        <v>0</v>
      </c>
      <c r="L1166" s="504">
        <v>0</v>
      </c>
      <c r="M1166" s="504">
        <v>0</v>
      </c>
      <c r="N1166" s="504">
        <v>0</v>
      </c>
      <c r="O1166" s="505">
        <v>0</v>
      </c>
    </row>
    <row r="1167" spans="1:15" x14ac:dyDescent="0.35">
      <c r="A1167" s="500" t="s">
        <v>1226</v>
      </c>
      <c r="B1167" s="501">
        <v>5084</v>
      </c>
      <c r="C1167" s="501" t="s">
        <v>1094</v>
      </c>
      <c r="D1167" s="501" t="s">
        <v>3380</v>
      </c>
      <c r="E1167" s="501" t="s">
        <v>3381</v>
      </c>
      <c r="F1167" s="501" t="s">
        <v>491</v>
      </c>
      <c r="G1167" s="501" t="s">
        <v>492</v>
      </c>
      <c r="H1167" s="501" t="s">
        <v>4293</v>
      </c>
      <c r="I1167" s="501">
        <v>272</v>
      </c>
      <c r="J1167" s="501">
        <v>185</v>
      </c>
      <c r="K1167" s="501">
        <v>0</v>
      </c>
      <c r="L1167" s="501">
        <v>0</v>
      </c>
      <c r="M1167" s="501">
        <v>0</v>
      </c>
      <c r="N1167" s="501">
        <v>0</v>
      </c>
      <c r="O1167" s="506">
        <v>87</v>
      </c>
    </row>
    <row r="1168" spans="1:15" x14ac:dyDescent="0.35">
      <c r="A1168" s="503" t="s">
        <v>2008</v>
      </c>
      <c r="B1168" s="504" t="s">
        <v>3323</v>
      </c>
      <c r="C1168" s="504" t="s">
        <v>1094</v>
      </c>
      <c r="D1168" s="504" t="s">
        <v>3380</v>
      </c>
      <c r="E1168" s="504" t="s">
        <v>3381</v>
      </c>
      <c r="F1168" s="504" t="s">
        <v>491</v>
      </c>
      <c r="G1168" s="504" t="s">
        <v>492</v>
      </c>
      <c r="H1168" s="504" t="s">
        <v>4294</v>
      </c>
      <c r="I1168" s="504">
        <v>17</v>
      </c>
      <c r="J1168" s="504">
        <v>14</v>
      </c>
      <c r="K1168" s="504">
        <v>0</v>
      </c>
      <c r="L1168" s="504">
        <v>3</v>
      </c>
      <c r="M1168" s="504">
        <v>0</v>
      </c>
      <c r="N1168" s="504">
        <v>0</v>
      </c>
      <c r="O1168" s="505">
        <v>0</v>
      </c>
    </row>
    <row r="1169" spans="1:15" x14ac:dyDescent="0.35">
      <c r="A1169" s="500" t="s">
        <v>1134</v>
      </c>
      <c r="B1169" s="501" t="s">
        <v>3066</v>
      </c>
      <c r="C1169" s="501" t="s">
        <v>1094</v>
      </c>
      <c r="D1169" s="501" t="s">
        <v>3380</v>
      </c>
      <c r="E1169" s="501" t="s">
        <v>3381</v>
      </c>
      <c r="F1169" s="501" t="s">
        <v>491</v>
      </c>
      <c r="G1169" s="501" t="s">
        <v>492</v>
      </c>
      <c r="H1169" s="501" t="s">
        <v>4295</v>
      </c>
      <c r="I1169" s="501">
        <v>33</v>
      </c>
      <c r="J1169" s="501">
        <v>22</v>
      </c>
      <c r="K1169" s="501">
        <v>0</v>
      </c>
      <c r="L1169" s="501">
        <v>0</v>
      </c>
      <c r="M1169" s="501">
        <v>0</v>
      </c>
      <c r="N1169" s="501">
        <v>0</v>
      </c>
      <c r="O1169" s="506">
        <v>11</v>
      </c>
    </row>
    <row r="1170" spans="1:15" x14ac:dyDescent="0.35">
      <c r="A1170" s="503" t="s">
        <v>2127</v>
      </c>
      <c r="B1170" s="504" t="s">
        <v>3188</v>
      </c>
      <c r="C1170" s="504" t="s">
        <v>1094</v>
      </c>
      <c r="D1170" s="504" t="s">
        <v>3380</v>
      </c>
      <c r="E1170" s="504" t="s">
        <v>3381</v>
      </c>
      <c r="F1170" s="504" t="s">
        <v>491</v>
      </c>
      <c r="G1170" s="504" t="s">
        <v>492</v>
      </c>
      <c r="H1170" s="504" t="s">
        <v>4296</v>
      </c>
      <c r="I1170" s="504">
        <v>21</v>
      </c>
      <c r="J1170" s="504">
        <v>21</v>
      </c>
      <c r="K1170" s="504">
        <v>0</v>
      </c>
      <c r="L1170" s="504">
        <v>0</v>
      </c>
      <c r="M1170" s="504">
        <v>0</v>
      </c>
      <c r="N1170" s="504">
        <v>0</v>
      </c>
      <c r="O1170" s="505">
        <v>0</v>
      </c>
    </row>
    <row r="1171" spans="1:15" x14ac:dyDescent="0.35">
      <c r="A1171" s="500" t="s">
        <v>1096</v>
      </c>
      <c r="B1171" s="501" t="s">
        <v>3326</v>
      </c>
      <c r="C1171" s="501" t="s">
        <v>1094</v>
      </c>
      <c r="D1171" s="501" t="s">
        <v>3380</v>
      </c>
      <c r="E1171" s="501" t="s">
        <v>3381</v>
      </c>
      <c r="F1171" s="501" t="s">
        <v>493</v>
      </c>
      <c r="G1171" s="501" t="s">
        <v>494</v>
      </c>
      <c r="H1171" s="501" t="s">
        <v>4297</v>
      </c>
      <c r="I1171" s="501">
        <v>88</v>
      </c>
      <c r="J1171" s="501">
        <v>0</v>
      </c>
      <c r="K1171" s="501">
        <v>0</v>
      </c>
      <c r="L1171" s="501">
        <v>0</v>
      </c>
      <c r="M1171" s="501">
        <v>88</v>
      </c>
      <c r="N1171" s="501">
        <v>0</v>
      </c>
      <c r="O1171" s="506">
        <v>0</v>
      </c>
    </row>
    <row r="1172" spans="1:15" x14ac:dyDescent="0.35">
      <c r="A1172" s="503" t="s">
        <v>1273</v>
      </c>
      <c r="B1172" s="504" t="s">
        <v>3197</v>
      </c>
      <c r="C1172" s="504" t="s">
        <v>1094</v>
      </c>
      <c r="D1172" s="504" t="s">
        <v>3380</v>
      </c>
      <c r="E1172" s="504" t="s">
        <v>3381</v>
      </c>
      <c r="F1172" s="504" t="s">
        <v>493</v>
      </c>
      <c r="G1172" s="504" t="s">
        <v>494</v>
      </c>
      <c r="H1172" s="504" t="s">
        <v>4298</v>
      </c>
      <c r="I1172" s="504">
        <v>3905</v>
      </c>
      <c r="J1172" s="504">
        <v>3425</v>
      </c>
      <c r="K1172" s="504">
        <v>0</v>
      </c>
      <c r="L1172" s="504">
        <v>0</v>
      </c>
      <c r="M1172" s="504">
        <v>284</v>
      </c>
      <c r="N1172" s="504">
        <v>0</v>
      </c>
      <c r="O1172" s="505">
        <v>196</v>
      </c>
    </row>
    <row r="1173" spans="1:15" x14ac:dyDescent="0.35">
      <c r="A1173" s="500" t="s">
        <v>1161</v>
      </c>
      <c r="B1173" s="501" t="s">
        <v>3001</v>
      </c>
      <c r="C1173" s="501" t="s">
        <v>1094</v>
      </c>
      <c r="D1173" s="501" t="s">
        <v>3380</v>
      </c>
      <c r="E1173" s="501" t="s">
        <v>3381</v>
      </c>
      <c r="F1173" s="501" t="s">
        <v>493</v>
      </c>
      <c r="G1173" s="501" t="s">
        <v>494</v>
      </c>
      <c r="H1173" s="501" t="s">
        <v>4300</v>
      </c>
      <c r="I1173" s="501">
        <v>831</v>
      </c>
      <c r="J1173" s="501">
        <v>652</v>
      </c>
      <c r="K1173" s="501">
        <v>0</v>
      </c>
      <c r="L1173" s="501">
        <v>83</v>
      </c>
      <c r="M1173" s="501">
        <v>0</v>
      </c>
      <c r="N1173" s="501">
        <v>0</v>
      </c>
      <c r="O1173" s="506">
        <v>96</v>
      </c>
    </row>
    <row r="1174" spans="1:15" x14ac:dyDescent="0.35">
      <c r="A1174" s="503" t="s">
        <v>1100</v>
      </c>
      <c r="B1174" s="504">
        <v>4865</v>
      </c>
      <c r="C1174" s="504" t="s">
        <v>1094</v>
      </c>
      <c r="D1174" s="504" t="s">
        <v>3380</v>
      </c>
      <c r="E1174" s="504" t="s">
        <v>3381</v>
      </c>
      <c r="F1174" s="504" t="s">
        <v>493</v>
      </c>
      <c r="G1174" s="504" t="s">
        <v>494</v>
      </c>
      <c r="H1174" s="504" t="s">
        <v>4301</v>
      </c>
      <c r="I1174" s="504">
        <v>1</v>
      </c>
      <c r="J1174" s="504">
        <v>0</v>
      </c>
      <c r="K1174" s="504">
        <v>0</v>
      </c>
      <c r="L1174" s="504">
        <v>0</v>
      </c>
      <c r="M1174" s="504">
        <v>0</v>
      </c>
      <c r="N1174" s="504">
        <v>0</v>
      </c>
      <c r="O1174" s="505">
        <v>1</v>
      </c>
    </row>
    <row r="1175" spans="1:15" x14ac:dyDescent="0.35">
      <c r="A1175" s="500" t="s">
        <v>1187</v>
      </c>
      <c r="B1175" s="501" t="s">
        <v>2951</v>
      </c>
      <c r="C1175" s="501" t="s">
        <v>1094</v>
      </c>
      <c r="D1175" s="501" t="s">
        <v>3380</v>
      </c>
      <c r="E1175" s="501" t="s">
        <v>3381</v>
      </c>
      <c r="F1175" s="501" t="s">
        <v>493</v>
      </c>
      <c r="G1175" s="501" t="s">
        <v>494</v>
      </c>
      <c r="H1175" s="501" t="s">
        <v>4302</v>
      </c>
      <c r="I1175" s="501">
        <v>58</v>
      </c>
      <c r="J1175" s="501">
        <v>58</v>
      </c>
      <c r="K1175" s="501">
        <v>0</v>
      </c>
      <c r="L1175" s="501">
        <v>0</v>
      </c>
      <c r="M1175" s="501">
        <v>0</v>
      </c>
      <c r="N1175" s="501">
        <v>0</v>
      </c>
      <c r="O1175" s="506">
        <v>0</v>
      </c>
    </row>
    <row r="1176" spans="1:15" x14ac:dyDescent="0.35">
      <c r="A1176" s="503" t="s">
        <v>1302</v>
      </c>
      <c r="B1176" s="504" t="s">
        <v>3094</v>
      </c>
      <c r="C1176" s="504" t="s">
        <v>1094</v>
      </c>
      <c r="D1176" s="504" t="s">
        <v>3380</v>
      </c>
      <c r="E1176" s="504" t="s">
        <v>3381</v>
      </c>
      <c r="F1176" s="504" t="s">
        <v>493</v>
      </c>
      <c r="G1176" s="504" t="s">
        <v>494</v>
      </c>
      <c r="H1176" s="504" t="s">
        <v>4303</v>
      </c>
      <c r="I1176" s="504">
        <v>37</v>
      </c>
      <c r="J1176" s="504">
        <v>25</v>
      </c>
      <c r="K1176" s="504">
        <v>0</v>
      </c>
      <c r="L1176" s="504">
        <v>4</v>
      </c>
      <c r="M1176" s="504">
        <v>6</v>
      </c>
      <c r="N1176" s="504">
        <v>0</v>
      </c>
      <c r="O1176" s="505">
        <v>2</v>
      </c>
    </row>
    <row r="1177" spans="1:15" x14ac:dyDescent="0.35">
      <c r="A1177" s="500" t="s">
        <v>1107</v>
      </c>
      <c r="B1177" s="501" t="s">
        <v>3109</v>
      </c>
      <c r="C1177" s="501" t="s">
        <v>1094</v>
      </c>
      <c r="D1177" s="501" t="s">
        <v>3380</v>
      </c>
      <c r="E1177" s="501" t="s">
        <v>3381</v>
      </c>
      <c r="F1177" s="501" t="s">
        <v>493</v>
      </c>
      <c r="G1177" s="501" t="s">
        <v>494</v>
      </c>
      <c r="H1177" s="501" t="s">
        <v>4304</v>
      </c>
      <c r="I1177" s="501">
        <v>43</v>
      </c>
      <c r="J1177" s="501">
        <v>39</v>
      </c>
      <c r="K1177" s="501">
        <v>0</v>
      </c>
      <c r="L1177" s="501">
        <v>0</v>
      </c>
      <c r="M1177" s="501">
        <v>0</v>
      </c>
      <c r="N1177" s="501">
        <v>0</v>
      </c>
      <c r="O1177" s="506">
        <v>4</v>
      </c>
    </row>
    <row r="1178" spans="1:15" x14ac:dyDescent="0.35">
      <c r="A1178" s="503" t="s">
        <v>1305</v>
      </c>
      <c r="B1178" s="504" t="s">
        <v>3144</v>
      </c>
      <c r="C1178" s="504" t="s">
        <v>1094</v>
      </c>
      <c r="D1178" s="504" t="s">
        <v>3380</v>
      </c>
      <c r="E1178" s="504" t="s">
        <v>3381</v>
      </c>
      <c r="F1178" s="504" t="s">
        <v>493</v>
      </c>
      <c r="G1178" s="504" t="s">
        <v>494</v>
      </c>
      <c r="H1178" s="504" t="s">
        <v>4305</v>
      </c>
      <c r="I1178" s="504">
        <v>11</v>
      </c>
      <c r="J1178" s="504">
        <v>0</v>
      </c>
      <c r="K1178" s="504">
        <v>0</v>
      </c>
      <c r="L1178" s="504">
        <v>0</v>
      </c>
      <c r="M1178" s="504">
        <v>0</v>
      </c>
      <c r="N1178" s="504">
        <v>0</v>
      </c>
      <c r="O1178" s="505">
        <v>11</v>
      </c>
    </row>
    <row r="1179" spans="1:15" x14ac:dyDescent="0.35">
      <c r="A1179" s="500" t="s">
        <v>1202</v>
      </c>
      <c r="B1179" s="501" t="s">
        <v>3217</v>
      </c>
      <c r="C1179" s="501" t="s">
        <v>1094</v>
      </c>
      <c r="D1179" s="501" t="s">
        <v>3380</v>
      </c>
      <c r="E1179" s="501" t="s">
        <v>3381</v>
      </c>
      <c r="F1179" s="501" t="s">
        <v>493</v>
      </c>
      <c r="G1179" s="501" t="s">
        <v>494</v>
      </c>
      <c r="H1179" s="501" t="s">
        <v>11827</v>
      </c>
      <c r="I1179" s="501">
        <v>1</v>
      </c>
      <c r="J1179" s="501">
        <v>0</v>
      </c>
      <c r="K1179" s="501">
        <v>0</v>
      </c>
      <c r="L1179" s="501">
        <v>0</v>
      </c>
      <c r="M1179" s="501">
        <v>0</v>
      </c>
      <c r="N1179" s="501">
        <v>0</v>
      </c>
      <c r="O1179" s="506">
        <v>1</v>
      </c>
    </row>
    <row r="1180" spans="1:15" x14ac:dyDescent="0.35">
      <c r="A1180" s="503" t="s">
        <v>1112</v>
      </c>
      <c r="B1180" s="504" t="s">
        <v>3008</v>
      </c>
      <c r="C1180" s="504" t="s">
        <v>1094</v>
      </c>
      <c r="D1180" s="504" t="s">
        <v>3380</v>
      </c>
      <c r="E1180" s="504" t="s">
        <v>3381</v>
      </c>
      <c r="F1180" s="504" t="s">
        <v>493</v>
      </c>
      <c r="G1180" s="504" t="s">
        <v>494</v>
      </c>
      <c r="H1180" s="504" t="s">
        <v>4306</v>
      </c>
      <c r="I1180" s="504">
        <v>270</v>
      </c>
      <c r="J1180" s="504">
        <v>208</v>
      </c>
      <c r="K1180" s="504">
        <v>0</v>
      </c>
      <c r="L1180" s="504">
        <v>8</v>
      </c>
      <c r="M1180" s="504">
        <v>0</v>
      </c>
      <c r="N1180" s="504">
        <v>0</v>
      </c>
      <c r="O1180" s="505">
        <v>54</v>
      </c>
    </row>
    <row r="1181" spans="1:15" x14ac:dyDescent="0.35">
      <c r="A1181" s="500" t="s">
        <v>1319</v>
      </c>
      <c r="B1181" s="501">
        <v>4880</v>
      </c>
      <c r="C1181" s="501" t="s">
        <v>1094</v>
      </c>
      <c r="D1181" s="501" t="s">
        <v>3380</v>
      </c>
      <c r="E1181" s="501" t="s">
        <v>3381</v>
      </c>
      <c r="F1181" s="501" t="s">
        <v>493</v>
      </c>
      <c r="G1181" s="501" t="s">
        <v>494</v>
      </c>
      <c r="H1181" s="501" t="s">
        <v>4307</v>
      </c>
      <c r="I1181" s="501">
        <v>8</v>
      </c>
      <c r="J1181" s="501">
        <v>0</v>
      </c>
      <c r="K1181" s="501">
        <v>0</v>
      </c>
      <c r="L1181" s="501">
        <v>0</v>
      </c>
      <c r="M1181" s="501">
        <v>0</v>
      </c>
      <c r="N1181" s="501">
        <v>0</v>
      </c>
      <c r="O1181" s="506">
        <v>8</v>
      </c>
    </row>
    <row r="1182" spans="1:15" x14ac:dyDescent="0.35">
      <c r="A1182" s="503" t="s">
        <v>1120</v>
      </c>
      <c r="B1182" s="504" t="s">
        <v>3362</v>
      </c>
      <c r="C1182" s="504" t="s">
        <v>1094</v>
      </c>
      <c r="D1182" s="504" t="s">
        <v>3380</v>
      </c>
      <c r="E1182" s="504" t="s">
        <v>3381</v>
      </c>
      <c r="F1182" s="504" t="s">
        <v>493</v>
      </c>
      <c r="G1182" s="504" t="s">
        <v>494</v>
      </c>
      <c r="H1182" s="504" t="s">
        <v>4308</v>
      </c>
      <c r="I1182" s="504">
        <v>2</v>
      </c>
      <c r="J1182" s="504">
        <v>0</v>
      </c>
      <c r="K1182" s="504">
        <v>0</v>
      </c>
      <c r="L1182" s="504">
        <v>0</v>
      </c>
      <c r="M1182" s="504">
        <v>0</v>
      </c>
      <c r="N1182" s="504">
        <v>0</v>
      </c>
      <c r="O1182" s="505">
        <v>2</v>
      </c>
    </row>
    <row r="1183" spans="1:15" x14ac:dyDescent="0.35">
      <c r="A1183" s="500" t="s">
        <v>1323</v>
      </c>
      <c r="B1183" s="501" t="s">
        <v>2946</v>
      </c>
      <c r="C1183" s="501" t="s">
        <v>1089</v>
      </c>
      <c r="D1183" s="501" t="s">
        <v>3392</v>
      </c>
      <c r="E1183" s="501" t="s">
        <v>3381</v>
      </c>
      <c r="F1183" s="501" t="s">
        <v>493</v>
      </c>
      <c r="G1183" s="501" t="s">
        <v>494</v>
      </c>
      <c r="H1183" s="501" t="s">
        <v>14520</v>
      </c>
      <c r="I1183" s="501">
        <v>4</v>
      </c>
      <c r="J1183" s="501">
        <v>0</v>
      </c>
      <c r="K1183" s="501">
        <v>0</v>
      </c>
      <c r="L1183" s="501">
        <v>4</v>
      </c>
      <c r="M1183" s="501">
        <v>0</v>
      </c>
      <c r="N1183" s="501">
        <v>0</v>
      </c>
      <c r="O1183" s="506">
        <v>0</v>
      </c>
    </row>
    <row r="1184" spans="1:15" x14ac:dyDescent="0.35">
      <c r="A1184" s="503" t="s">
        <v>1327</v>
      </c>
      <c r="B1184" s="504" t="s">
        <v>3330</v>
      </c>
      <c r="C1184" s="504" t="s">
        <v>1094</v>
      </c>
      <c r="D1184" s="504" t="s">
        <v>3380</v>
      </c>
      <c r="E1184" s="504" t="s">
        <v>3381</v>
      </c>
      <c r="F1184" s="504" t="s">
        <v>493</v>
      </c>
      <c r="G1184" s="504" t="s">
        <v>494</v>
      </c>
      <c r="H1184" s="504" t="s">
        <v>4309</v>
      </c>
      <c r="I1184" s="504">
        <v>303</v>
      </c>
      <c r="J1184" s="504">
        <v>288</v>
      </c>
      <c r="K1184" s="504">
        <v>0</v>
      </c>
      <c r="L1184" s="504">
        <v>0</v>
      </c>
      <c r="M1184" s="504">
        <v>0</v>
      </c>
      <c r="N1184" s="504">
        <v>0</v>
      </c>
      <c r="O1184" s="505">
        <v>15</v>
      </c>
    </row>
    <row r="1185" spans="1:15" x14ac:dyDescent="0.35">
      <c r="A1185" s="500" t="s">
        <v>1126</v>
      </c>
      <c r="B1185" s="501" t="s">
        <v>2974</v>
      </c>
      <c r="C1185" s="501" t="s">
        <v>1094</v>
      </c>
      <c r="D1185" s="501" t="s">
        <v>3380</v>
      </c>
      <c r="E1185" s="501" t="s">
        <v>3381</v>
      </c>
      <c r="F1185" s="501" t="s">
        <v>493</v>
      </c>
      <c r="G1185" s="501" t="s">
        <v>494</v>
      </c>
      <c r="H1185" s="501" t="s">
        <v>4310</v>
      </c>
      <c r="I1185" s="501">
        <v>146</v>
      </c>
      <c r="J1185" s="501">
        <v>135</v>
      </c>
      <c r="K1185" s="501">
        <v>0</v>
      </c>
      <c r="L1185" s="501">
        <v>8</v>
      </c>
      <c r="M1185" s="501">
        <v>0</v>
      </c>
      <c r="N1185" s="501">
        <v>0</v>
      </c>
      <c r="O1185" s="506">
        <v>3</v>
      </c>
    </row>
    <row r="1186" spans="1:15" x14ac:dyDescent="0.35">
      <c r="A1186" s="503" t="s">
        <v>1130</v>
      </c>
      <c r="B1186" s="504" t="s">
        <v>3234</v>
      </c>
      <c r="C1186" s="504" t="s">
        <v>1094</v>
      </c>
      <c r="D1186" s="504" t="s">
        <v>3380</v>
      </c>
      <c r="E1186" s="504" t="s">
        <v>3381</v>
      </c>
      <c r="F1186" s="504" t="s">
        <v>493</v>
      </c>
      <c r="G1186" s="504" t="s">
        <v>494</v>
      </c>
      <c r="H1186" s="504" t="s">
        <v>4311</v>
      </c>
      <c r="I1186" s="504">
        <v>2</v>
      </c>
      <c r="J1186" s="504">
        <v>0</v>
      </c>
      <c r="K1186" s="504">
        <v>0</v>
      </c>
      <c r="L1186" s="504">
        <v>0</v>
      </c>
      <c r="M1186" s="504">
        <v>0</v>
      </c>
      <c r="N1186" s="504">
        <v>0</v>
      </c>
      <c r="O1186" s="505">
        <v>2</v>
      </c>
    </row>
    <row r="1187" spans="1:15" x14ac:dyDescent="0.35">
      <c r="A1187" s="500" t="s">
        <v>1369</v>
      </c>
      <c r="B1187" s="501" t="s">
        <v>3218</v>
      </c>
      <c r="C1187" s="501" t="s">
        <v>1094</v>
      </c>
      <c r="D1187" s="501" t="s">
        <v>3380</v>
      </c>
      <c r="E1187" s="501" t="s">
        <v>3381</v>
      </c>
      <c r="F1187" s="501" t="s">
        <v>493</v>
      </c>
      <c r="G1187" s="501" t="s">
        <v>494</v>
      </c>
      <c r="H1187" s="501" t="s">
        <v>4312</v>
      </c>
      <c r="I1187" s="501">
        <v>4</v>
      </c>
      <c r="J1187" s="501">
        <v>0</v>
      </c>
      <c r="K1187" s="501">
        <v>0</v>
      </c>
      <c r="L1187" s="501">
        <v>0</v>
      </c>
      <c r="M1187" s="501">
        <v>0</v>
      </c>
      <c r="N1187" s="501">
        <v>0</v>
      </c>
      <c r="O1187" s="506">
        <v>4</v>
      </c>
    </row>
    <row r="1188" spans="1:15" x14ac:dyDescent="0.35">
      <c r="A1188" s="503" t="s">
        <v>1156</v>
      </c>
      <c r="B1188" s="504" t="s">
        <v>3310</v>
      </c>
      <c r="C1188" s="504" t="s">
        <v>1094</v>
      </c>
      <c r="D1188" s="504" t="s">
        <v>3380</v>
      </c>
      <c r="E1188" s="504" t="s">
        <v>3381</v>
      </c>
      <c r="F1188" s="504" t="s">
        <v>493</v>
      </c>
      <c r="G1188" s="504" t="s">
        <v>494</v>
      </c>
      <c r="H1188" s="504" t="s">
        <v>4299</v>
      </c>
      <c r="I1188" s="504">
        <v>1</v>
      </c>
      <c r="J1188" s="504">
        <v>1</v>
      </c>
      <c r="K1188" s="504">
        <v>0</v>
      </c>
      <c r="L1188" s="504">
        <v>0</v>
      </c>
      <c r="M1188" s="504">
        <v>0</v>
      </c>
      <c r="N1188" s="504">
        <v>0</v>
      </c>
      <c r="O1188" s="505">
        <v>0</v>
      </c>
    </row>
    <row r="1189" spans="1:15" x14ac:dyDescent="0.35">
      <c r="A1189" s="500" t="s">
        <v>1143</v>
      </c>
      <c r="B1189" s="501" t="s">
        <v>3281</v>
      </c>
      <c r="C1189" s="501" t="s">
        <v>1094</v>
      </c>
      <c r="D1189" s="501" t="s">
        <v>3380</v>
      </c>
      <c r="E1189" s="501" t="s">
        <v>3381</v>
      </c>
      <c r="F1189" s="501" t="s">
        <v>495</v>
      </c>
      <c r="G1189" s="501" t="s">
        <v>496</v>
      </c>
      <c r="H1189" s="501" t="s">
        <v>4313</v>
      </c>
      <c r="I1189" s="501">
        <v>55</v>
      </c>
      <c r="J1189" s="501">
        <v>55</v>
      </c>
      <c r="K1189" s="501">
        <v>0</v>
      </c>
      <c r="L1189" s="501">
        <v>0</v>
      </c>
      <c r="M1189" s="501">
        <v>0</v>
      </c>
      <c r="N1189" s="501">
        <v>0</v>
      </c>
      <c r="O1189" s="506">
        <v>0</v>
      </c>
    </row>
    <row r="1190" spans="1:15" x14ac:dyDescent="0.35">
      <c r="A1190" s="503" t="s">
        <v>1093</v>
      </c>
      <c r="B1190" s="504" t="s">
        <v>3248</v>
      </c>
      <c r="C1190" s="504" t="s">
        <v>1094</v>
      </c>
      <c r="D1190" s="504" t="s">
        <v>3380</v>
      </c>
      <c r="E1190" s="504" t="s">
        <v>3381</v>
      </c>
      <c r="F1190" s="504" t="s">
        <v>495</v>
      </c>
      <c r="G1190" s="504" t="s">
        <v>496</v>
      </c>
      <c r="H1190" s="504" t="s">
        <v>4314</v>
      </c>
      <c r="I1190" s="504">
        <v>1</v>
      </c>
      <c r="J1190" s="504">
        <v>0</v>
      </c>
      <c r="K1190" s="504">
        <v>0</v>
      </c>
      <c r="L1190" s="504">
        <v>0</v>
      </c>
      <c r="M1190" s="504">
        <v>0</v>
      </c>
      <c r="N1190" s="504">
        <v>0</v>
      </c>
      <c r="O1190" s="505">
        <v>1</v>
      </c>
    </row>
    <row r="1191" spans="1:15" x14ac:dyDescent="0.35">
      <c r="A1191" s="500" t="s">
        <v>1096</v>
      </c>
      <c r="B1191" s="501" t="s">
        <v>3326</v>
      </c>
      <c r="C1191" s="501" t="s">
        <v>1094</v>
      </c>
      <c r="D1191" s="501" t="s">
        <v>3380</v>
      </c>
      <c r="E1191" s="501" t="s">
        <v>3381</v>
      </c>
      <c r="F1191" s="501" t="s">
        <v>495</v>
      </c>
      <c r="G1191" s="501" t="s">
        <v>496</v>
      </c>
      <c r="H1191" s="501" t="s">
        <v>4315</v>
      </c>
      <c r="I1191" s="501">
        <v>37</v>
      </c>
      <c r="J1191" s="501">
        <v>0</v>
      </c>
      <c r="K1191" s="501">
        <v>0</v>
      </c>
      <c r="L1191" s="501">
        <v>0</v>
      </c>
      <c r="M1191" s="501">
        <v>37</v>
      </c>
      <c r="N1191" s="501">
        <v>0</v>
      </c>
      <c r="O1191" s="506">
        <v>0</v>
      </c>
    </row>
    <row r="1192" spans="1:15" x14ac:dyDescent="0.35">
      <c r="A1192" s="503" t="s">
        <v>1171</v>
      </c>
      <c r="B1192" s="504" t="s">
        <v>3003</v>
      </c>
      <c r="C1192" s="504" t="s">
        <v>1094</v>
      </c>
      <c r="D1192" s="504" t="s">
        <v>3380</v>
      </c>
      <c r="E1192" s="504" t="s">
        <v>3381</v>
      </c>
      <c r="F1192" s="504" t="s">
        <v>495</v>
      </c>
      <c r="G1192" s="504" t="s">
        <v>496</v>
      </c>
      <c r="H1192" s="504" t="s">
        <v>4316</v>
      </c>
      <c r="I1192" s="504">
        <v>442</v>
      </c>
      <c r="J1192" s="504">
        <v>432</v>
      </c>
      <c r="K1192" s="504">
        <v>0</v>
      </c>
      <c r="L1192" s="504">
        <v>0</v>
      </c>
      <c r="M1192" s="504">
        <v>0</v>
      </c>
      <c r="N1192" s="504">
        <v>0</v>
      </c>
      <c r="O1192" s="505">
        <v>10</v>
      </c>
    </row>
    <row r="1193" spans="1:15" x14ac:dyDescent="0.35">
      <c r="A1193" s="500" t="s">
        <v>1173</v>
      </c>
      <c r="B1193" s="501">
        <v>4775</v>
      </c>
      <c r="C1193" s="501" t="s">
        <v>1094</v>
      </c>
      <c r="D1193" s="501" t="s">
        <v>3380</v>
      </c>
      <c r="E1193" s="501" t="s">
        <v>3381</v>
      </c>
      <c r="F1193" s="501" t="s">
        <v>495</v>
      </c>
      <c r="G1193" s="501" t="s">
        <v>496</v>
      </c>
      <c r="H1193" s="501" t="s">
        <v>4317</v>
      </c>
      <c r="I1193" s="501">
        <v>85</v>
      </c>
      <c r="J1193" s="501">
        <v>58</v>
      </c>
      <c r="K1193" s="501">
        <v>0</v>
      </c>
      <c r="L1193" s="501">
        <v>0</v>
      </c>
      <c r="M1193" s="501">
        <v>0</v>
      </c>
      <c r="N1193" s="501">
        <v>0</v>
      </c>
      <c r="O1193" s="506">
        <v>27</v>
      </c>
    </row>
    <row r="1194" spans="1:15" x14ac:dyDescent="0.35">
      <c r="A1194" s="503" t="s">
        <v>1178</v>
      </c>
      <c r="B1194" s="504" t="s">
        <v>3334</v>
      </c>
      <c r="C1194" s="504" t="s">
        <v>1094</v>
      </c>
      <c r="D1194" s="504" t="s">
        <v>3380</v>
      </c>
      <c r="E1194" s="504" t="s">
        <v>3381</v>
      </c>
      <c r="F1194" s="504" t="s">
        <v>495</v>
      </c>
      <c r="G1194" s="504" t="s">
        <v>496</v>
      </c>
      <c r="H1194" s="504" t="s">
        <v>4318</v>
      </c>
      <c r="I1194" s="504">
        <v>50</v>
      </c>
      <c r="J1194" s="504">
        <v>0</v>
      </c>
      <c r="K1194" s="504">
        <v>0</v>
      </c>
      <c r="L1194" s="504">
        <v>50</v>
      </c>
      <c r="M1194" s="504">
        <v>0</v>
      </c>
      <c r="N1194" s="504">
        <v>5</v>
      </c>
      <c r="O1194" s="505">
        <v>0</v>
      </c>
    </row>
    <row r="1195" spans="1:15" x14ac:dyDescent="0.35">
      <c r="A1195" s="500" t="s">
        <v>1180</v>
      </c>
      <c r="B1195" s="501" t="s">
        <v>3184</v>
      </c>
      <c r="C1195" s="501" t="s">
        <v>1094</v>
      </c>
      <c r="D1195" s="501" t="s">
        <v>3380</v>
      </c>
      <c r="E1195" s="501" t="s">
        <v>3381</v>
      </c>
      <c r="F1195" s="501" t="s">
        <v>495</v>
      </c>
      <c r="G1195" s="501" t="s">
        <v>496</v>
      </c>
      <c r="H1195" s="501" t="s">
        <v>4319</v>
      </c>
      <c r="I1195" s="501">
        <v>61</v>
      </c>
      <c r="J1195" s="501">
        <v>39</v>
      </c>
      <c r="K1195" s="501">
        <v>0</v>
      </c>
      <c r="L1195" s="501">
        <v>0</v>
      </c>
      <c r="M1195" s="501">
        <v>0</v>
      </c>
      <c r="N1195" s="501">
        <v>0</v>
      </c>
      <c r="O1195" s="506">
        <v>22</v>
      </c>
    </row>
    <row r="1196" spans="1:15" x14ac:dyDescent="0.35">
      <c r="A1196" s="503" t="s">
        <v>1181</v>
      </c>
      <c r="B1196" s="504" t="s">
        <v>3211</v>
      </c>
      <c r="C1196" s="504" t="s">
        <v>1094</v>
      </c>
      <c r="D1196" s="504" t="s">
        <v>3380</v>
      </c>
      <c r="E1196" s="504" t="s">
        <v>3381</v>
      </c>
      <c r="F1196" s="504" t="s">
        <v>495</v>
      </c>
      <c r="G1196" s="504" t="s">
        <v>496</v>
      </c>
      <c r="H1196" s="504" t="s">
        <v>11703</v>
      </c>
      <c r="I1196" s="504">
        <v>17</v>
      </c>
      <c r="J1196" s="504">
        <v>15</v>
      </c>
      <c r="K1196" s="504">
        <v>0</v>
      </c>
      <c r="L1196" s="504">
        <v>0</v>
      </c>
      <c r="M1196" s="504">
        <v>0</v>
      </c>
      <c r="N1196" s="504">
        <v>0</v>
      </c>
      <c r="O1196" s="505">
        <v>2</v>
      </c>
    </row>
    <row r="1197" spans="1:15" x14ac:dyDescent="0.35">
      <c r="A1197" s="500" t="s">
        <v>14208</v>
      </c>
      <c r="B1197" s="501">
        <v>4803</v>
      </c>
      <c r="C1197" s="501" t="s">
        <v>1094</v>
      </c>
      <c r="D1197" s="501" t="s">
        <v>3380</v>
      </c>
      <c r="E1197" s="501" t="s">
        <v>3381</v>
      </c>
      <c r="F1197" s="501" t="s">
        <v>495</v>
      </c>
      <c r="G1197" s="501" t="s">
        <v>496</v>
      </c>
      <c r="H1197" s="501" t="s">
        <v>14521</v>
      </c>
      <c r="I1197" s="501">
        <v>9</v>
      </c>
      <c r="J1197" s="501">
        <v>0</v>
      </c>
      <c r="K1197" s="501">
        <v>0</v>
      </c>
      <c r="L1197" s="501">
        <v>9</v>
      </c>
      <c r="M1197" s="501">
        <v>0</v>
      </c>
      <c r="N1197" s="501">
        <v>0</v>
      </c>
      <c r="O1197" s="506">
        <v>0</v>
      </c>
    </row>
    <row r="1198" spans="1:15" x14ac:dyDescent="0.35">
      <c r="A1198" s="503" t="s">
        <v>1105</v>
      </c>
      <c r="B1198" s="504">
        <v>4668</v>
      </c>
      <c r="C1198" s="504" t="s">
        <v>1094</v>
      </c>
      <c r="D1198" s="504" t="s">
        <v>3380</v>
      </c>
      <c r="E1198" s="504" t="s">
        <v>3381</v>
      </c>
      <c r="F1198" s="504" t="s">
        <v>495</v>
      </c>
      <c r="G1198" s="504" t="s">
        <v>496</v>
      </c>
      <c r="H1198" s="504" t="s">
        <v>4320</v>
      </c>
      <c r="I1198" s="504">
        <v>1</v>
      </c>
      <c r="J1198" s="504">
        <v>0</v>
      </c>
      <c r="K1198" s="504">
        <v>0</v>
      </c>
      <c r="L1198" s="504">
        <v>0</v>
      </c>
      <c r="M1198" s="504">
        <v>0</v>
      </c>
      <c r="N1198" s="504">
        <v>0</v>
      </c>
      <c r="O1198" s="505">
        <v>1</v>
      </c>
    </row>
    <row r="1199" spans="1:15" x14ac:dyDescent="0.35">
      <c r="A1199" s="500" t="s">
        <v>1203</v>
      </c>
      <c r="B1199" s="501" t="s">
        <v>3170</v>
      </c>
      <c r="C1199" s="501" t="s">
        <v>1094</v>
      </c>
      <c r="D1199" s="501" t="s">
        <v>3380</v>
      </c>
      <c r="E1199" s="501" t="s">
        <v>3381</v>
      </c>
      <c r="F1199" s="501" t="s">
        <v>495</v>
      </c>
      <c r="G1199" s="501" t="s">
        <v>496</v>
      </c>
      <c r="H1199" s="501" t="s">
        <v>4321</v>
      </c>
      <c r="I1199" s="501">
        <v>95</v>
      </c>
      <c r="J1199" s="501">
        <v>92</v>
      </c>
      <c r="K1199" s="501">
        <v>0</v>
      </c>
      <c r="L1199" s="501">
        <v>0</v>
      </c>
      <c r="M1199" s="501">
        <v>0</v>
      </c>
      <c r="N1199" s="501">
        <v>0</v>
      </c>
      <c r="O1199" s="506">
        <v>3</v>
      </c>
    </row>
    <row r="1200" spans="1:15" x14ac:dyDescent="0.35">
      <c r="A1200" s="503" t="s">
        <v>1112</v>
      </c>
      <c r="B1200" s="504" t="s">
        <v>3008</v>
      </c>
      <c r="C1200" s="504" t="s">
        <v>1094</v>
      </c>
      <c r="D1200" s="504" t="s">
        <v>3380</v>
      </c>
      <c r="E1200" s="504" t="s">
        <v>3381</v>
      </c>
      <c r="F1200" s="504" t="s">
        <v>495</v>
      </c>
      <c r="G1200" s="504" t="s">
        <v>496</v>
      </c>
      <c r="H1200" s="504" t="s">
        <v>4322</v>
      </c>
      <c r="I1200" s="504">
        <v>21</v>
      </c>
      <c r="J1200" s="504">
        <v>11</v>
      </c>
      <c r="K1200" s="504">
        <v>0</v>
      </c>
      <c r="L1200" s="504">
        <v>8</v>
      </c>
      <c r="M1200" s="504">
        <v>0</v>
      </c>
      <c r="N1200" s="504">
        <v>0</v>
      </c>
      <c r="O1200" s="505">
        <v>2</v>
      </c>
    </row>
    <row r="1201" spans="1:15" x14ac:dyDescent="0.35">
      <c r="A1201" s="500" t="s">
        <v>1207</v>
      </c>
      <c r="B1201" s="501" t="s">
        <v>3202</v>
      </c>
      <c r="C1201" s="501" t="s">
        <v>1094</v>
      </c>
      <c r="D1201" s="501" t="s">
        <v>3380</v>
      </c>
      <c r="E1201" s="501" t="s">
        <v>3381</v>
      </c>
      <c r="F1201" s="501" t="s">
        <v>495</v>
      </c>
      <c r="G1201" s="501" t="s">
        <v>496</v>
      </c>
      <c r="H1201" s="501" t="s">
        <v>4323</v>
      </c>
      <c r="I1201" s="501">
        <v>4</v>
      </c>
      <c r="J1201" s="501">
        <v>0</v>
      </c>
      <c r="K1201" s="501">
        <v>0</v>
      </c>
      <c r="L1201" s="501">
        <v>0</v>
      </c>
      <c r="M1201" s="501">
        <v>0</v>
      </c>
      <c r="N1201" s="501">
        <v>0</v>
      </c>
      <c r="O1201" s="506">
        <v>4</v>
      </c>
    </row>
    <row r="1202" spans="1:15" x14ac:dyDescent="0.35">
      <c r="A1202" s="503" t="s">
        <v>1215</v>
      </c>
      <c r="B1202" s="504">
        <v>4817</v>
      </c>
      <c r="C1202" s="504" t="s">
        <v>1094</v>
      </c>
      <c r="D1202" s="504" t="s">
        <v>3380</v>
      </c>
      <c r="E1202" s="504" t="s">
        <v>3381</v>
      </c>
      <c r="F1202" s="504" t="s">
        <v>495</v>
      </c>
      <c r="G1202" s="504" t="s">
        <v>496</v>
      </c>
      <c r="H1202" s="504" t="s">
        <v>4324</v>
      </c>
      <c r="I1202" s="504">
        <v>240</v>
      </c>
      <c r="J1202" s="504">
        <v>191</v>
      </c>
      <c r="K1202" s="504">
        <v>0</v>
      </c>
      <c r="L1202" s="504">
        <v>26</v>
      </c>
      <c r="M1202" s="504">
        <v>0</v>
      </c>
      <c r="N1202" s="504">
        <v>0</v>
      </c>
      <c r="O1202" s="505">
        <v>23</v>
      </c>
    </row>
    <row r="1203" spans="1:15" x14ac:dyDescent="0.35">
      <c r="A1203" s="500" t="s">
        <v>1220</v>
      </c>
      <c r="B1203" s="501">
        <v>4849</v>
      </c>
      <c r="C1203" s="501" t="s">
        <v>1094</v>
      </c>
      <c r="D1203" s="501" t="s">
        <v>3380</v>
      </c>
      <c r="E1203" s="501" t="s">
        <v>3381</v>
      </c>
      <c r="F1203" s="501" t="s">
        <v>495</v>
      </c>
      <c r="G1203" s="501" t="s">
        <v>496</v>
      </c>
      <c r="H1203" s="501" t="s">
        <v>4325</v>
      </c>
      <c r="I1203" s="501">
        <v>213</v>
      </c>
      <c r="J1203" s="501">
        <v>140</v>
      </c>
      <c r="K1203" s="501">
        <v>0</v>
      </c>
      <c r="L1203" s="501">
        <v>0</v>
      </c>
      <c r="M1203" s="501">
        <v>71</v>
      </c>
      <c r="N1203" s="501">
        <v>0</v>
      </c>
      <c r="O1203" s="506">
        <v>2</v>
      </c>
    </row>
    <row r="1204" spans="1:15" x14ac:dyDescent="0.35">
      <c r="A1204" s="503" t="s">
        <v>1122</v>
      </c>
      <c r="B1204" s="504" t="s">
        <v>2994</v>
      </c>
      <c r="C1204" s="504" t="s">
        <v>1094</v>
      </c>
      <c r="D1204" s="504" t="s">
        <v>3380</v>
      </c>
      <c r="E1204" s="504" t="s">
        <v>3381</v>
      </c>
      <c r="F1204" s="504" t="s">
        <v>495</v>
      </c>
      <c r="G1204" s="504" t="s">
        <v>496</v>
      </c>
      <c r="H1204" s="504" t="s">
        <v>4326</v>
      </c>
      <c r="I1204" s="504">
        <v>76</v>
      </c>
      <c r="J1204" s="504">
        <v>70</v>
      </c>
      <c r="K1204" s="504">
        <v>0</v>
      </c>
      <c r="L1204" s="504">
        <v>0</v>
      </c>
      <c r="M1204" s="504">
        <v>0</v>
      </c>
      <c r="N1204" s="504">
        <v>0</v>
      </c>
      <c r="O1204" s="505">
        <v>6</v>
      </c>
    </row>
    <row r="1205" spans="1:15" x14ac:dyDescent="0.35">
      <c r="A1205" s="500" t="s">
        <v>1226</v>
      </c>
      <c r="B1205" s="501">
        <v>5084</v>
      </c>
      <c r="C1205" s="501" t="s">
        <v>1094</v>
      </c>
      <c r="D1205" s="501" t="s">
        <v>3380</v>
      </c>
      <c r="E1205" s="501" t="s">
        <v>3381</v>
      </c>
      <c r="F1205" s="501" t="s">
        <v>495</v>
      </c>
      <c r="G1205" s="501" t="s">
        <v>496</v>
      </c>
      <c r="H1205" s="501" t="s">
        <v>4327</v>
      </c>
      <c r="I1205" s="501">
        <v>28</v>
      </c>
      <c r="J1205" s="501">
        <v>28</v>
      </c>
      <c r="K1205" s="501">
        <v>0</v>
      </c>
      <c r="L1205" s="501">
        <v>0</v>
      </c>
      <c r="M1205" s="501">
        <v>0</v>
      </c>
      <c r="N1205" s="501">
        <v>0</v>
      </c>
      <c r="O1205" s="506">
        <v>0</v>
      </c>
    </row>
    <row r="1206" spans="1:15" x14ac:dyDescent="0.35">
      <c r="A1206" s="503" t="s">
        <v>1228</v>
      </c>
      <c r="B1206" s="504" t="s">
        <v>3321</v>
      </c>
      <c r="C1206" s="504" t="s">
        <v>1094</v>
      </c>
      <c r="D1206" s="504" t="s">
        <v>3380</v>
      </c>
      <c r="E1206" s="504" t="s">
        <v>3381</v>
      </c>
      <c r="F1206" s="504" t="s">
        <v>495</v>
      </c>
      <c r="G1206" s="504" t="s">
        <v>496</v>
      </c>
      <c r="H1206" s="504" t="s">
        <v>4328</v>
      </c>
      <c r="I1206" s="504">
        <v>30</v>
      </c>
      <c r="J1206" s="504">
        <v>0</v>
      </c>
      <c r="K1206" s="504">
        <v>0</v>
      </c>
      <c r="L1206" s="504">
        <v>30</v>
      </c>
      <c r="M1206" s="504">
        <v>0</v>
      </c>
      <c r="N1206" s="504">
        <v>0</v>
      </c>
      <c r="O1206" s="505">
        <v>0</v>
      </c>
    </row>
    <row r="1207" spans="1:15" x14ac:dyDescent="0.35">
      <c r="A1207" s="500" t="s">
        <v>1261</v>
      </c>
      <c r="B1207" s="501" t="s">
        <v>3130</v>
      </c>
      <c r="C1207" s="501" t="s">
        <v>1094</v>
      </c>
      <c r="D1207" s="501" t="s">
        <v>3380</v>
      </c>
      <c r="E1207" s="501" t="s">
        <v>3381</v>
      </c>
      <c r="F1207" s="501" t="s">
        <v>495</v>
      </c>
      <c r="G1207" s="501" t="s">
        <v>496</v>
      </c>
      <c r="H1207" s="501" t="s">
        <v>4329</v>
      </c>
      <c r="I1207" s="501">
        <v>4</v>
      </c>
      <c r="J1207" s="501">
        <v>4</v>
      </c>
      <c r="K1207" s="501">
        <v>0</v>
      </c>
      <c r="L1207" s="501">
        <v>0</v>
      </c>
      <c r="M1207" s="501">
        <v>0</v>
      </c>
      <c r="N1207" s="501">
        <v>0</v>
      </c>
      <c r="O1207" s="506">
        <v>0</v>
      </c>
    </row>
    <row r="1208" spans="1:15" x14ac:dyDescent="0.35">
      <c r="A1208" s="503" t="s">
        <v>1386</v>
      </c>
      <c r="B1208" s="504" t="s">
        <v>3331</v>
      </c>
      <c r="C1208" s="504" t="s">
        <v>1094</v>
      </c>
      <c r="D1208" s="504" t="s">
        <v>3380</v>
      </c>
      <c r="E1208" s="504" t="s">
        <v>3381</v>
      </c>
      <c r="F1208" s="504" t="s">
        <v>11441</v>
      </c>
      <c r="G1208" s="504" t="s">
        <v>11440</v>
      </c>
      <c r="H1208" s="504" t="s">
        <v>11481</v>
      </c>
      <c r="I1208" s="504">
        <v>7</v>
      </c>
      <c r="J1208" s="504">
        <v>7</v>
      </c>
      <c r="K1208" s="504">
        <v>0</v>
      </c>
      <c r="L1208" s="504">
        <v>0</v>
      </c>
      <c r="M1208" s="504">
        <v>0</v>
      </c>
      <c r="N1208" s="504">
        <v>0</v>
      </c>
      <c r="O1208" s="505">
        <v>0</v>
      </c>
    </row>
    <row r="1209" spans="1:15" x14ac:dyDescent="0.35">
      <c r="A1209" s="500" t="s">
        <v>1091</v>
      </c>
      <c r="B1209" s="501" t="s">
        <v>3288</v>
      </c>
      <c r="C1209" s="501" t="s">
        <v>1089</v>
      </c>
      <c r="D1209" s="501" t="s">
        <v>3392</v>
      </c>
      <c r="E1209" s="501" t="s">
        <v>3381</v>
      </c>
      <c r="F1209" s="501" t="s">
        <v>11441</v>
      </c>
      <c r="G1209" s="501" t="s">
        <v>11440</v>
      </c>
      <c r="H1209" s="501" t="s">
        <v>11485</v>
      </c>
      <c r="I1209" s="501">
        <v>6</v>
      </c>
      <c r="J1209" s="501">
        <v>0</v>
      </c>
      <c r="K1209" s="501">
        <v>0</v>
      </c>
      <c r="L1209" s="501">
        <v>6</v>
      </c>
      <c r="M1209" s="501">
        <v>0</v>
      </c>
      <c r="N1209" s="501">
        <v>0</v>
      </c>
      <c r="O1209" s="506">
        <v>0</v>
      </c>
    </row>
    <row r="1210" spans="1:15" x14ac:dyDescent="0.35">
      <c r="A1210" s="503" t="s">
        <v>14127</v>
      </c>
      <c r="B1210" s="504" t="s">
        <v>14126</v>
      </c>
      <c r="C1210" s="504" t="s">
        <v>1094</v>
      </c>
      <c r="D1210" s="504" t="s">
        <v>3380</v>
      </c>
      <c r="E1210" s="504" t="s">
        <v>3381</v>
      </c>
      <c r="F1210" s="504" t="s">
        <v>11441</v>
      </c>
      <c r="G1210" s="504" t="s">
        <v>11440</v>
      </c>
      <c r="H1210" s="504" t="s">
        <v>14522</v>
      </c>
      <c r="I1210" s="504">
        <v>64</v>
      </c>
      <c r="J1210" s="504">
        <v>44</v>
      </c>
      <c r="K1210" s="504">
        <v>0</v>
      </c>
      <c r="L1210" s="504">
        <v>7</v>
      </c>
      <c r="M1210" s="504">
        <v>0</v>
      </c>
      <c r="N1210" s="504">
        <v>0</v>
      </c>
      <c r="O1210" s="505">
        <v>13</v>
      </c>
    </row>
    <row r="1211" spans="1:15" x14ac:dyDescent="0.35">
      <c r="A1211" s="500" t="s">
        <v>1093</v>
      </c>
      <c r="B1211" s="501" t="s">
        <v>3248</v>
      </c>
      <c r="C1211" s="501" t="s">
        <v>1094</v>
      </c>
      <c r="D1211" s="501" t="s">
        <v>3380</v>
      </c>
      <c r="E1211" s="501" t="s">
        <v>3381</v>
      </c>
      <c r="F1211" s="501" t="s">
        <v>11441</v>
      </c>
      <c r="G1211" s="501" t="s">
        <v>11440</v>
      </c>
      <c r="H1211" s="501" t="s">
        <v>11489</v>
      </c>
      <c r="I1211" s="501">
        <v>42</v>
      </c>
      <c r="J1211" s="501">
        <v>0</v>
      </c>
      <c r="K1211" s="501">
        <v>0</v>
      </c>
      <c r="L1211" s="501">
        <v>31</v>
      </c>
      <c r="M1211" s="501">
        <v>0</v>
      </c>
      <c r="N1211" s="501">
        <v>0</v>
      </c>
      <c r="O1211" s="506">
        <v>11</v>
      </c>
    </row>
    <row r="1212" spans="1:15" x14ac:dyDescent="0.35">
      <c r="A1212" s="503" t="s">
        <v>1096</v>
      </c>
      <c r="B1212" s="504" t="s">
        <v>3326</v>
      </c>
      <c r="C1212" s="504" t="s">
        <v>1094</v>
      </c>
      <c r="D1212" s="504" t="s">
        <v>3380</v>
      </c>
      <c r="E1212" s="504" t="s">
        <v>3381</v>
      </c>
      <c r="F1212" s="504" t="s">
        <v>11441</v>
      </c>
      <c r="G1212" s="504" t="s">
        <v>11440</v>
      </c>
      <c r="H1212" s="504" t="s">
        <v>11493</v>
      </c>
      <c r="I1212" s="504">
        <v>270</v>
      </c>
      <c r="J1212" s="504">
        <v>0</v>
      </c>
      <c r="K1212" s="504">
        <v>0</v>
      </c>
      <c r="L1212" s="504">
        <v>0</v>
      </c>
      <c r="M1212" s="504">
        <v>270</v>
      </c>
      <c r="N1212" s="504">
        <v>0</v>
      </c>
      <c r="O1212" s="505">
        <v>0</v>
      </c>
    </row>
    <row r="1213" spans="1:15" x14ac:dyDescent="0.35">
      <c r="A1213" s="500" t="s">
        <v>1158</v>
      </c>
      <c r="B1213" s="501">
        <v>4819</v>
      </c>
      <c r="C1213" s="501" t="s">
        <v>1094</v>
      </c>
      <c r="D1213" s="501" t="s">
        <v>3380</v>
      </c>
      <c r="E1213" s="501" t="s">
        <v>3381</v>
      </c>
      <c r="F1213" s="501" t="s">
        <v>11441</v>
      </c>
      <c r="G1213" s="501" t="s">
        <v>11440</v>
      </c>
      <c r="H1213" s="501" t="s">
        <v>11633</v>
      </c>
      <c r="I1213" s="501">
        <v>363</v>
      </c>
      <c r="J1213" s="501">
        <v>186</v>
      </c>
      <c r="K1213" s="501">
        <v>0</v>
      </c>
      <c r="L1213" s="501">
        <v>105</v>
      </c>
      <c r="M1213" s="501">
        <v>0</v>
      </c>
      <c r="N1213" s="501">
        <v>0</v>
      </c>
      <c r="O1213" s="506">
        <v>72</v>
      </c>
    </row>
    <row r="1214" spans="1:15" x14ac:dyDescent="0.35">
      <c r="A1214" s="503" t="s">
        <v>1813</v>
      </c>
      <c r="B1214" s="504" t="s">
        <v>3088</v>
      </c>
      <c r="C1214" s="504" t="s">
        <v>1089</v>
      </c>
      <c r="D1214" s="504" t="s">
        <v>3392</v>
      </c>
      <c r="E1214" s="504" t="s">
        <v>3381</v>
      </c>
      <c r="F1214" s="504" t="s">
        <v>11441</v>
      </c>
      <c r="G1214" s="504" t="s">
        <v>11440</v>
      </c>
      <c r="H1214" s="504" t="s">
        <v>11634</v>
      </c>
      <c r="I1214" s="504">
        <v>351</v>
      </c>
      <c r="J1214" s="504">
        <v>313</v>
      </c>
      <c r="K1214" s="504">
        <v>0</v>
      </c>
      <c r="L1214" s="504">
        <v>4</v>
      </c>
      <c r="M1214" s="504">
        <v>34</v>
      </c>
      <c r="N1214" s="504">
        <v>4</v>
      </c>
      <c r="O1214" s="505">
        <v>0</v>
      </c>
    </row>
    <row r="1215" spans="1:15" x14ac:dyDescent="0.35">
      <c r="A1215" s="500" t="s">
        <v>1161</v>
      </c>
      <c r="B1215" s="501" t="s">
        <v>3001</v>
      </c>
      <c r="C1215" s="501" t="s">
        <v>1094</v>
      </c>
      <c r="D1215" s="501" t="s">
        <v>3380</v>
      </c>
      <c r="E1215" s="501" t="s">
        <v>3381</v>
      </c>
      <c r="F1215" s="501" t="s">
        <v>11441</v>
      </c>
      <c r="G1215" s="501" t="s">
        <v>11440</v>
      </c>
      <c r="H1215" s="501" t="s">
        <v>11638</v>
      </c>
      <c r="I1215" s="501">
        <v>1163</v>
      </c>
      <c r="J1215" s="501">
        <v>809</v>
      </c>
      <c r="K1215" s="501">
        <v>0</v>
      </c>
      <c r="L1215" s="501">
        <v>0</v>
      </c>
      <c r="M1215" s="501">
        <v>0</v>
      </c>
      <c r="N1215" s="501">
        <v>0</v>
      </c>
      <c r="O1215" s="506">
        <v>354</v>
      </c>
    </row>
    <row r="1216" spans="1:15" x14ac:dyDescent="0.35">
      <c r="A1216" s="503" t="s">
        <v>1100</v>
      </c>
      <c r="B1216" s="504">
        <v>4865</v>
      </c>
      <c r="C1216" s="504" t="s">
        <v>1094</v>
      </c>
      <c r="D1216" s="504" t="s">
        <v>3380</v>
      </c>
      <c r="E1216" s="504" t="s">
        <v>3381</v>
      </c>
      <c r="F1216" s="504" t="s">
        <v>11441</v>
      </c>
      <c r="G1216" s="504" t="s">
        <v>11440</v>
      </c>
      <c r="H1216" s="504" t="s">
        <v>11646</v>
      </c>
      <c r="I1216" s="504">
        <v>84</v>
      </c>
      <c r="J1216" s="504">
        <v>17</v>
      </c>
      <c r="K1216" s="504">
        <v>0</v>
      </c>
      <c r="L1216" s="504">
        <v>0</v>
      </c>
      <c r="M1216" s="504">
        <v>0</v>
      </c>
      <c r="N1216" s="504">
        <v>0</v>
      </c>
      <c r="O1216" s="505">
        <v>67</v>
      </c>
    </row>
    <row r="1217" spans="1:15" x14ac:dyDescent="0.35">
      <c r="A1217" s="500" t="s">
        <v>1825</v>
      </c>
      <c r="B1217" s="501" t="s">
        <v>2549</v>
      </c>
      <c r="C1217" s="501" t="s">
        <v>1089</v>
      </c>
      <c r="D1217" s="501" t="s">
        <v>3392</v>
      </c>
      <c r="E1217" s="501" t="s">
        <v>3381</v>
      </c>
      <c r="F1217" s="501" t="s">
        <v>11441</v>
      </c>
      <c r="G1217" s="501" t="s">
        <v>11440</v>
      </c>
      <c r="H1217" s="501" t="s">
        <v>11678</v>
      </c>
      <c r="I1217" s="501">
        <v>4</v>
      </c>
      <c r="J1217" s="501">
        <v>0</v>
      </c>
      <c r="K1217" s="501">
        <v>0</v>
      </c>
      <c r="L1217" s="501">
        <v>0</v>
      </c>
      <c r="M1217" s="501">
        <v>4</v>
      </c>
      <c r="N1217" s="501">
        <v>0</v>
      </c>
      <c r="O1217" s="506">
        <v>0</v>
      </c>
    </row>
    <row r="1218" spans="1:15" x14ac:dyDescent="0.35">
      <c r="A1218" s="503" t="s">
        <v>1175</v>
      </c>
      <c r="B1218" s="504" t="s">
        <v>3141</v>
      </c>
      <c r="C1218" s="504" t="s">
        <v>1094</v>
      </c>
      <c r="D1218" s="504" t="s">
        <v>3380</v>
      </c>
      <c r="E1218" s="504" t="s">
        <v>3381</v>
      </c>
      <c r="F1218" s="504" t="s">
        <v>11441</v>
      </c>
      <c r="G1218" s="504" t="s">
        <v>11440</v>
      </c>
      <c r="H1218" s="504" t="s">
        <v>11697</v>
      </c>
      <c r="I1218" s="504">
        <v>37</v>
      </c>
      <c r="J1218" s="504">
        <v>28</v>
      </c>
      <c r="K1218" s="504">
        <v>0</v>
      </c>
      <c r="L1218" s="504">
        <v>0</v>
      </c>
      <c r="M1218" s="504">
        <v>0</v>
      </c>
      <c r="N1218" s="504">
        <v>0</v>
      </c>
      <c r="O1218" s="505">
        <v>9</v>
      </c>
    </row>
    <row r="1219" spans="1:15" x14ac:dyDescent="0.35">
      <c r="A1219" s="500" t="s">
        <v>14190</v>
      </c>
      <c r="B1219" s="501" t="s">
        <v>3204</v>
      </c>
      <c r="C1219" s="501" t="s">
        <v>1094</v>
      </c>
      <c r="D1219" s="501" t="s">
        <v>3380</v>
      </c>
      <c r="E1219" s="501" t="s">
        <v>3381</v>
      </c>
      <c r="F1219" s="501" t="s">
        <v>11441</v>
      </c>
      <c r="G1219" s="501" t="s">
        <v>11440</v>
      </c>
      <c r="H1219" s="501" t="s">
        <v>14523</v>
      </c>
      <c r="I1219" s="501">
        <v>7845</v>
      </c>
      <c r="J1219" s="501">
        <v>6999</v>
      </c>
      <c r="K1219" s="501">
        <v>0</v>
      </c>
      <c r="L1219" s="501">
        <v>11</v>
      </c>
      <c r="M1219" s="501">
        <v>582</v>
      </c>
      <c r="N1219" s="501">
        <v>0</v>
      </c>
      <c r="O1219" s="506">
        <v>253</v>
      </c>
    </row>
    <row r="1220" spans="1:15" x14ac:dyDescent="0.35">
      <c r="A1220" s="503" t="s">
        <v>1832</v>
      </c>
      <c r="B1220" s="504">
        <v>4797</v>
      </c>
      <c r="C1220" s="504" t="s">
        <v>1089</v>
      </c>
      <c r="D1220" s="504" t="s">
        <v>3392</v>
      </c>
      <c r="E1220" s="504" t="s">
        <v>3381</v>
      </c>
      <c r="F1220" s="504" t="s">
        <v>11441</v>
      </c>
      <c r="G1220" s="504" t="s">
        <v>11440</v>
      </c>
      <c r="H1220" s="504" t="s">
        <v>11699</v>
      </c>
      <c r="I1220" s="504">
        <v>4</v>
      </c>
      <c r="J1220" s="504">
        <v>0</v>
      </c>
      <c r="K1220" s="504">
        <v>0</v>
      </c>
      <c r="L1220" s="504">
        <v>4</v>
      </c>
      <c r="M1220" s="504">
        <v>0</v>
      </c>
      <c r="N1220" s="504">
        <v>0</v>
      </c>
      <c r="O1220" s="505">
        <v>0</v>
      </c>
    </row>
    <row r="1221" spans="1:15" x14ac:dyDescent="0.35">
      <c r="A1221" s="500" t="s">
        <v>14208</v>
      </c>
      <c r="B1221" s="501">
        <v>4803</v>
      </c>
      <c r="C1221" s="501" t="s">
        <v>1094</v>
      </c>
      <c r="D1221" s="501" t="s">
        <v>3380</v>
      </c>
      <c r="E1221" s="501" t="s">
        <v>3381</v>
      </c>
      <c r="F1221" s="501" t="s">
        <v>11441</v>
      </c>
      <c r="G1221" s="501" t="s">
        <v>11440</v>
      </c>
      <c r="H1221" s="501" t="s">
        <v>14524</v>
      </c>
      <c r="I1221" s="501">
        <v>44</v>
      </c>
      <c r="J1221" s="501">
        <v>0</v>
      </c>
      <c r="K1221" s="501">
        <v>0</v>
      </c>
      <c r="L1221" s="501">
        <v>44</v>
      </c>
      <c r="M1221" s="501">
        <v>0</v>
      </c>
      <c r="N1221" s="501">
        <v>0</v>
      </c>
      <c r="O1221" s="506">
        <v>0</v>
      </c>
    </row>
    <row r="1222" spans="1:15" x14ac:dyDescent="0.35">
      <c r="A1222" s="503" t="s">
        <v>1182</v>
      </c>
      <c r="B1222" s="504">
        <v>5060</v>
      </c>
      <c r="C1222" s="504" t="s">
        <v>1094</v>
      </c>
      <c r="D1222" s="504" t="s">
        <v>3380</v>
      </c>
      <c r="E1222" s="504" t="s">
        <v>3381</v>
      </c>
      <c r="F1222" s="504" t="s">
        <v>11441</v>
      </c>
      <c r="G1222" s="504" t="s">
        <v>11440</v>
      </c>
      <c r="H1222" s="504" t="s">
        <v>11705</v>
      </c>
      <c r="I1222" s="504">
        <v>67</v>
      </c>
      <c r="J1222" s="504">
        <v>0</v>
      </c>
      <c r="K1222" s="504">
        <v>0</v>
      </c>
      <c r="L1222" s="504">
        <v>67</v>
      </c>
      <c r="M1222" s="504">
        <v>0</v>
      </c>
      <c r="N1222" s="504">
        <v>0</v>
      </c>
      <c r="O1222" s="505">
        <v>0</v>
      </c>
    </row>
    <row r="1223" spans="1:15" x14ac:dyDescent="0.35">
      <c r="A1223" s="500" t="s">
        <v>14213</v>
      </c>
      <c r="B1223" s="501" t="s">
        <v>3312</v>
      </c>
      <c r="C1223" s="501" t="s">
        <v>1094</v>
      </c>
      <c r="D1223" s="501" t="s">
        <v>3380</v>
      </c>
      <c r="E1223" s="501" t="s">
        <v>3381</v>
      </c>
      <c r="F1223" s="501" t="s">
        <v>11441</v>
      </c>
      <c r="G1223" s="501" t="s">
        <v>11440</v>
      </c>
      <c r="H1223" s="501" t="s">
        <v>14525</v>
      </c>
      <c r="I1223" s="501">
        <v>2</v>
      </c>
      <c r="J1223" s="501">
        <v>2</v>
      </c>
      <c r="K1223" s="501">
        <v>0</v>
      </c>
      <c r="L1223" s="501">
        <v>0</v>
      </c>
      <c r="M1223" s="501">
        <v>0</v>
      </c>
      <c r="N1223" s="501">
        <v>0</v>
      </c>
      <c r="O1223" s="506">
        <v>0</v>
      </c>
    </row>
    <row r="1224" spans="1:15" x14ac:dyDescent="0.35">
      <c r="A1224" s="503" t="s">
        <v>1454</v>
      </c>
      <c r="B1224" s="504" t="s">
        <v>3019</v>
      </c>
      <c r="C1224" s="504" t="s">
        <v>1089</v>
      </c>
      <c r="D1224" s="504" t="s">
        <v>3392</v>
      </c>
      <c r="E1224" s="504" t="s">
        <v>3381</v>
      </c>
      <c r="F1224" s="504" t="s">
        <v>11441</v>
      </c>
      <c r="G1224" s="504" t="s">
        <v>11440</v>
      </c>
      <c r="H1224" s="504" t="s">
        <v>11725</v>
      </c>
      <c r="I1224" s="504">
        <v>15</v>
      </c>
      <c r="J1224" s="504">
        <v>15</v>
      </c>
      <c r="K1224" s="504">
        <v>0</v>
      </c>
      <c r="L1224" s="504">
        <v>0</v>
      </c>
      <c r="M1224" s="504">
        <v>0</v>
      </c>
      <c r="N1224" s="504">
        <v>0</v>
      </c>
      <c r="O1224" s="505">
        <v>0</v>
      </c>
    </row>
    <row r="1225" spans="1:15" x14ac:dyDescent="0.35">
      <c r="A1225" s="500" t="s">
        <v>1187</v>
      </c>
      <c r="B1225" s="501" t="s">
        <v>2951</v>
      </c>
      <c r="C1225" s="501" t="s">
        <v>1094</v>
      </c>
      <c r="D1225" s="501" t="s">
        <v>3380</v>
      </c>
      <c r="E1225" s="501" t="s">
        <v>3381</v>
      </c>
      <c r="F1225" s="501" t="s">
        <v>11441</v>
      </c>
      <c r="G1225" s="501" t="s">
        <v>11440</v>
      </c>
      <c r="H1225" s="501" t="s">
        <v>11726</v>
      </c>
      <c r="I1225" s="501">
        <v>312</v>
      </c>
      <c r="J1225" s="501">
        <v>238</v>
      </c>
      <c r="K1225" s="501">
        <v>0</v>
      </c>
      <c r="L1225" s="501">
        <v>0</v>
      </c>
      <c r="M1225" s="501">
        <v>0</v>
      </c>
      <c r="N1225" s="501">
        <v>0</v>
      </c>
      <c r="O1225" s="506">
        <v>74</v>
      </c>
    </row>
    <row r="1226" spans="1:15" x14ac:dyDescent="0.35">
      <c r="A1226" s="503" t="s">
        <v>1105</v>
      </c>
      <c r="B1226" s="504">
        <v>4668</v>
      </c>
      <c r="C1226" s="504" t="s">
        <v>1094</v>
      </c>
      <c r="D1226" s="504" t="s">
        <v>3380</v>
      </c>
      <c r="E1226" s="504" t="s">
        <v>3381</v>
      </c>
      <c r="F1226" s="504" t="s">
        <v>11441</v>
      </c>
      <c r="G1226" s="504" t="s">
        <v>11440</v>
      </c>
      <c r="H1226" s="504" t="s">
        <v>14526</v>
      </c>
      <c r="I1226" s="504">
        <v>15</v>
      </c>
      <c r="J1226" s="504">
        <v>0</v>
      </c>
      <c r="K1226" s="504">
        <v>0</v>
      </c>
      <c r="L1226" s="504">
        <v>0</v>
      </c>
      <c r="M1226" s="504">
        <v>0</v>
      </c>
      <c r="N1226" s="504">
        <v>0</v>
      </c>
      <c r="O1226" s="505">
        <v>15</v>
      </c>
    </row>
    <row r="1227" spans="1:15" x14ac:dyDescent="0.35">
      <c r="A1227" s="500" t="s">
        <v>1302</v>
      </c>
      <c r="B1227" s="501" t="s">
        <v>3094</v>
      </c>
      <c r="C1227" s="501" t="s">
        <v>1094</v>
      </c>
      <c r="D1227" s="501" t="s">
        <v>3380</v>
      </c>
      <c r="E1227" s="501" t="s">
        <v>3381</v>
      </c>
      <c r="F1227" s="501" t="s">
        <v>11441</v>
      </c>
      <c r="G1227" s="501" t="s">
        <v>11440</v>
      </c>
      <c r="H1227" s="501" t="s">
        <v>11744</v>
      </c>
      <c r="I1227" s="501">
        <v>1442</v>
      </c>
      <c r="J1227" s="501">
        <v>1015</v>
      </c>
      <c r="K1227" s="501">
        <v>0</v>
      </c>
      <c r="L1227" s="501">
        <v>143</v>
      </c>
      <c r="M1227" s="501">
        <v>0</v>
      </c>
      <c r="N1227" s="501">
        <v>0</v>
      </c>
      <c r="O1227" s="506">
        <v>284</v>
      </c>
    </row>
    <row r="1228" spans="1:15" x14ac:dyDescent="0.35">
      <c r="A1228" s="503" t="s">
        <v>1851</v>
      </c>
      <c r="B1228" s="504" t="s">
        <v>3140</v>
      </c>
      <c r="C1228" s="504" t="s">
        <v>1089</v>
      </c>
      <c r="D1228" s="504" t="s">
        <v>3392</v>
      </c>
      <c r="E1228" s="504" t="s">
        <v>3381</v>
      </c>
      <c r="F1228" s="504" t="s">
        <v>11441</v>
      </c>
      <c r="G1228" s="504" t="s">
        <v>11440</v>
      </c>
      <c r="H1228" s="504" t="s">
        <v>11755</v>
      </c>
      <c r="I1228" s="504">
        <v>29</v>
      </c>
      <c r="J1228" s="504">
        <v>29</v>
      </c>
      <c r="K1228" s="504">
        <v>0</v>
      </c>
      <c r="L1228" s="504">
        <v>0</v>
      </c>
      <c r="M1228" s="504">
        <v>0</v>
      </c>
      <c r="N1228" s="504">
        <v>0</v>
      </c>
      <c r="O1228" s="505">
        <v>0</v>
      </c>
    </row>
    <row r="1229" spans="1:15" x14ac:dyDescent="0.35">
      <c r="A1229" s="500" t="s">
        <v>1107</v>
      </c>
      <c r="B1229" s="501" t="s">
        <v>3109</v>
      </c>
      <c r="C1229" s="501" t="s">
        <v>1094</v>
      </c>
      <c r="D1229" s="501" t="s">
        <v>3380</v>
      </c>
      <c r="E1229" s="501" t="s">
        <v>3381</v>
      </c>
      <c r="F1229" s="501" t="s">
        <v>11441</v>
      </c>
      <c r="G1229" s="501" t="s">
        <v>11440</v>
      </c>
      <c r="H1229" s="501" t="s">
        <v>11756</v>
      </c>
      <c r="I1229" s="501">
        <v>370</v>
      </c>
      <c r="J1229" s="501">
        <v>322</v>
      </c>
      <c r="K1229" s="501">
        <v>0</v>
      </c>
      <c r="L1229" s="501">
        <v>9</v>
      </c>
      <c r="M1229" s="501">
        <v>0</v>
      </c>
      <c r="N1229" s="501">
        <v>1</v>
      </c>
      <c r="O1229" s="506">
        <v>39</v>
      </c>
    </row>
    <row r="1230" spans="1:15" x14ac:dyDescent="0.35">
      <c r="A1230" s="503" t="s">
        <v>1109</v>
      </c>
      <c r="B1230" s="504" t="s">
        <v>2959</v>
      </c>
      <c r="C1230" s="504" t="s">
        <v>1094</v>
      </c>
      <c r="D1230" s="504" t="s">
        <v>3380</v>
      </c>
      <c r="E1230" s="504" t="s">
        <v>3381</v>
      </c>
      <c r="F1230" s="504" t="s">
        <v>11441</v>
      </c>
      <c r="G1230" s="504" t="s">
        <v>11440</v>
      </c>
      <c r="H1230" s="504" t="s">
        <v>11758</v>
      </c>
      <c r="I1230" s="504">
        <v>67</v>
      </c>
      <c r="J1230" s="504">
        <v>0</v>
      </c>
      <c r="K1230" s="504">
        <v>0</v>
      </c>
      <c r="L1230" s="504">
        <v>0</v>
      </c>
      <c r="M1230" s="504">
        <v>67</v>
      </c>
      <c r="N1230" s="504">
        <v>0</v>
      </c>
      <c r="O1230" s="505">
        <v>0</v>
      </c>
    </row>
    <row r="1231" spans="1:15" x14ac:dyDescent="0.35">
      <c r="A1231" s="500" t="s">
        <v>1305</v>
      </c>
      <c r="B1231" s="501" t="s">
        <v>3144</v>
      </c>
      <c r="C1231" s="501" t="s">
        <v>1094</v>
      </c>
      <c r="D1231" s="501" t="s">
        <v>3380</v>
      </c>
      <c r="E1231" s="501" t="s">
        <v>3381</v>
      </c>
      <c r="F1231" s="501" t="s">
        <v>11441</v>
      </c>
      <c r="G1231" s="501" t="s">
        <v>11440</v>
      </c>
      <c r="H1231" s="501" t="s">
        <v>11759</v>
      </c>
      <c r="I1231" s="501">
        <v>632</v>
      </c>
      <c r="J1231" s="501">
        <v>372</v>
      </c>
      <c r="K1231" s="501">
        <v>0</v>
      </c>
      <c r="L1231" s="501">
        <v>135</v>
      </c>
      <c r="M1231" s="501">
        <v>0</v>
      </c>
      <c r="N1231" s="501">
        <v>0</v>
      </c>
      <c r="O1231" s="506">
        <v>125</v>
      </c>
    </row>
    <row r="1232" spans="1:15" x14ac:dyDescent="0.35">
      <c r="A1232" s="503" t="s">
        <v>1202</v>
      </c>
      <c r="B1232" s="504" t="s">
        <v>3217</v>
      </c>
      <c r="C1232" s="504" t="s">
        <v>1094</v>
      </c>
      <c r="D1232" s="504" t="s">
        <v>3380</v>
      </c>
      <c r="E1232" s="504" t="s">
        <v>3381</v>
      </c>
      <c r="F1232" s="504" t="s">
        <v>11441</v>
      </c>
      <c r="G1232" s="504" t="s">
        <v>11440</v>
      </c>
      <c r="H1232" s="504" t="s">
        <v>11828</v>
      </c>
      <c r="I1232" s="504">
        <v>3625</v>
      </c>
      <c r="J1232" s="504">
        <v>3098</v>
      </c>
      <c r="K1232" s="504">
        <v>0</v>
      </c>
      <c r="L1232" s="504">
        <v>16</v>
      </c>
      <c r="M1232" s="504">
        <v>309</v>
      </c>
      <c r="N1232" s="504">
        <v>123</v>
      </c>
      <c r="O1232" s="505">
        <v>202</v>
      </c>
    </row>
    <row r="1233" spans="1:15" x14ac:dyDescent="0.35">
      <c r="A1233" s="500" t="s">
        <v>1205</v>
      </c>
      <c r="B1233" s="501" t="s">
        <v>2996</v>
      </c>
      <c r="C1233" s="501" t="s">
        <v>1089</v>
      </c>
      <c r="D1233" s="501" t="s">
        <v>3392</v>
      </c>
      <c r="E1233" s="501" t="s">
        <v>3381</v>
      </c>
      <c r="F1233" s="501" t="s">
        <v>11441</v>
      </c>
      <c r="G1233" s="501" t="s">
        <v>11440</v>
      </c>
      <c r="H1233" s="501" t="s">
        <v>11856</v>
      </c>
      <c r="I1233" s="501">
        <v>31</v>
      </c>
      <c r="J1233" s="501">
        <v>0</v>
      </c>
      <c r="K1233" s="501">
        <v>0</v>
      </c>
      <c r="L1233" s="501">
        <v>0</v>
      </c>
      <c r="M1233" s="501">
        <v>31</v>
      </c>
      <c r="N1233" s="501">
        <v>0</v>
      </c>
      <c r="O1233" s="506">
        <v>0</v>
      </c>
    </row>
    <row r="1234" spans="1:15" x14ac:dyDescent="0.35">
      <c r="A1234" s="503" t="s">
        <v>1112</v>
      </c>
      <c r="B1234" s="504" t="s">
        <v>3008</v>
      </c>
      <c r="C1234" s="504" t="s">
        <v>1094</v>
      </c>
      <c r="D1234" s="504" t="s">
        <v>3380</v>
      </c>
      <c r="E1234" s="504" t="s">
        <v>3381</v>
      </c>
      <c r="F1234" s="504" t="s">
        <v>11441</v>
      </c>
      <c r="G1234" s="504" t="s">
        <v>11440</v>
      </c>
      <c r="H1234" s="504" t="s">
        <v>11858</v>
      </c>
      <c r="I1234" s="504">
        <v>1024</v>
      </c>
      <c r="J1234" s="504">
        <v>803</v>
      </c>
      <c r="K1234" s="504">
        <v>0</v>
      </c>
      <c r="L1234" s="504">
        <v>0</v>
      </c>
      <c r="M1234" s="504">
        <v>0</v>
      </c>
      <c r="N1234" s="504">
        <v>0</v>
      </c>
      <c r="O1234" s="505">
        <v>221</v>
      </c>
    </row>
    <row r="1235" spans="1:15" x14ac:dyDescent="0.35">
      <c r="A1235" s="500" t="s">
        <v>1114</v>
      </c>
      <c r="B1235" s="501" t="s">
        <v>2982</v>
      </c>
      <c r="C1235" s="501" t="s">
        <v>1094</v>
      </c>
      <c r="D1235" s="501" t="s">
        <v>3380</v>
      </c>
      <c r="E1235" s="501" t="s">
        <v>3381</v>
      </c>
      <c r="F1235" s="501" t="s">
        <v>11441</v>
      </c>
      <c r="G1235" s="501" t="s">
        <v>11440</v>
      </c>
      <c r="H1235" s="501" t="s">
        <v>11860</v>
      </c>
      <c r="I1235" s="501">
        <v>5</v>
      </c>
      <c r="J1235" s="501">
        <v>0</v>
      </c>
      <c r="K1235" s="501">
        <v>0</v>
      </c>
      <c r="L1235" s="501">
        <v>0</v>
      </c>
      <c r="M1235" s="501">
        <v>0</v>
      </c>
      <c r="N1235" s="501">
        <v>0</v>
      </c>
      <c r="O1235" s="506">
        <v>5</v>
      </c>
    </row>
    <row r="1236" spans="1:15" x14ac:dyDescent="0.35">
      <c r="A1236" s="503" t="s">
        <v>1315</v>
      </c>
      <c r="B1236" s="504">
        <v>4825</v>
      </c>
      <c r="C1236" s="504" t="s">
        <v>1094</v>
      </c>
      <c r="D1236" s="504" t="s">
        <v>3380</v>
      </c>
      <c r="E1236" s="504" t="s">
        <v>3381</v>
      </c>
      <c r="F1236" s="504" t="s">
        <v>11441</v>
      </c>
      <c r="G1236" s="504" t="s">
        <v>11440</v>
      </c>
      <c r="H1236" s="504" t="s">
        <v>11866</v>
      </c>
      <c r="I1236" s="504">
        <v>96</v>
      </c>
      <c r="J1236" s="504">
        <v>0</v>
      </c>
      <c r="K1236" s="504">
        <v>0</v>
      </c>
      <c r="L1236" s="504">
        <v>0</v>
      </c>
      <c r="M1236" s="504">
        <v>0</v>
      </c>
      <c r="N1236" s="504">
        <v>0</v>
      </c>
      <c r="O1236" s="505">
        <v>96</v>
      </c>
    </row>
    <row r="1237" spans="1:15" x14ac:dyDescent="0.35">
      <c r="A1237" s="500" t="s">
        <v>1120</v>
      </c>
      <c r="B1237" s="501" t="s">
        <v>3362</v>
      </c>
      <c r="C1237" s="501" t="s">
        <v>1094</v>
      </c>
      <c r="D1237" s="501" t="s">
        <v>3380</v>
      </c>
      <c r="E1237" s="501" t="s">
        <v>3381</v>
      </c>
      <c r="F1237" s="501" t="s">
        <v>11441</v>
      </c>
      <c r="G1237" s="501" t="s">
        <v>11440</v>
      </c>
      <c r="H1237" s="501" t="s">
        <v>11872</v>
      </c>
      <c r="I1237" s="501">
        <v>98</v>
      </c>
      <c r="J1237" s="501">
        <v>0</v>
      </c>
      <c r="K1237" s="501">
        <v>0</v>
      </c>
      <c r="L1237" s="501">
        <v>0</v>
      </c>
      <c r="M1237" s="501">
        <v>0</v>
      </c>
      <c r="N1237" s="501">
        <v>0</v>
      </c>
      <c r="O1237" s="506">
        <v>98</v>
      </c>
    </row>
    <row r="1238" spans="1:15" x14ac:dyDescent="0.35">
      <c r="A1238" s="503" t="s">
        <v>1322</v>
      </c>
      <c r="B1238" s="504" t="s">
        <v>3244</v>
      </c>
      <c r="C1238" s="504" t="s">
        <v>1094</v>
      </c>
      <c r="D1238" s="504" t="s">
        <v>3380</v>
      </c>
      <c r="E1238" s="504" t="s">
        <v>3381</v>
      </c>
      <c r="F1238" s="504" t="s">
        <v>11441</v>
      </c>
      <c r="G1238" s="504" t="s">
        <v>11440</v>
      </c>
      <c r="H1238" s="504" t="s">
        <v>11895</v>
      </c>
      <c r="I1238" s="504">
        <v>13</v>
      </c>
      <c r="J1238" s="504">
        <v>0</v>
      </c>
      <c r="K1238" s="504">
        <v>0</v>
      </c>
      <c r="L1238" s="504">
        <v>0</v>
      </c>
      <c r="M1238" s="504">
        <v>0</v>
      </c>
      <c r="N1238" s="504">
        <v>0</v>
      </c>
      <c r="O1238" s="505">
        <v>13</v>
      </c>
    </row>
    <row r="1239" spans="1:15" x14ac:dyDescent="0.35">
      <c r="A1239" s="500" t="s">
        <v>1323</v>
      </c>
      <c r="B1239" s="501" t="s">
        <v>2946</v>
      </c>
      <c r="C1239" s="501" t="s">
        <v>1089</v>
      </c>
      <c r="D1239" s="501" t="s">
        <v>3392</v>
      </c>
      <c r="E1239" s="501" t="s">
        <v>3381</v>
      </c>
      <c r="F1239" s="501" t="s">
        <v>11441</v>
      </c>
      <c r="G1239" s="501" t="s">
        <v>11440</v>
      </c>
      <c r="H1239" s="501" t="s">
        <v>11896</v>
      </c>
      <c r="I1239" s="501">
        <v>141</v>
      </c>
      <c r="J1239" s="501">
        <v>0</v>
      </c>
      <c r="K1239" s="501">
        <v>0</v>
      </c>
      <c r="L1239" s="501">
        <v>141</v>
      </c>
      <c r="M1239" s="501">
        <v>0</v>
      </c>
      <c r="N1239" s="501">
        <v>0</v>
      </c>
      <c r="O1239" s="506">
        <v>0</v>
      </c>
    </row>
    <row r="1240" spans="1:15" x14ac:dyDescent="0.35">
      <c r="A1240" s="503" t="s">
        <v>1218</v>
      </c>
      <c r="B1240" s="504" t="s">
        <v>3147</v>
      </c>
      <c r="C1240" s="504" t="s">
        <v>1094</v>
      </c>
      <c r="D1240" s="504" t="s">
        <v>3380</v>
      </c>
      <c r="E1240" s="504" t="s">
        <v>3381</v>
      </c>
      <c r="F1240" s="504" t="s">
        <v>11441</v>
      </c>
      <c r="G1240" s="504" t="s">
        <v>11440</v>
      </c>
      <c r="H1240" s="504" t="s">
        <v>11898</v>
      </c>
      <c r="I1240" s="504">
        <v>4</v>
      </c>
      <c r="J1240" s="504">
        <v>0</v>
      </c>
      <c r="K1240" s="504">
        <v>0</v>
      </c>
      <c r="L1240" s="504">
        <v>0</v>
      </c>
      <c r="M1240" s="504">
        <v>0</v>
      </c>
      <c r="N1240" s="504">
        <v>0</v>
      </c>
      <c r="O1240" s="505">
        <v>4</v>
      </c>
    </row>
    <row r="1241" spans="1:15" x14ac:dyDescent="0.35">
      <c r="A1241" s="500" t="s">
        <v>1327</v>
      </c>
      <c r="B1241" s="501" t="s">
        <v>3330</v>
      </c>
      <c r="C1241" s="501" t="s">
        <v>1094</v>
      </c>
      <c r="D1241" s="501" t="s">
        <v>3380</v>
      </c>
      <c r="E1241" s="501" t="s">
        <v>3381</v>
      </c>
      <c r="F1241" s="501" t="s">
        <v>11441</v>
      </c>
      <c r="G1241" s="501" t="s">
        <v>11440</v>
      </c>
      <c r="H1241" s="501" t="s">
        <v>11969</v>
      </c>
      <c r="I1241" s="501">
        <v>6895</v>
      </c>
      <c r="J1241" s="501">
        <v>6373</v>
      </c>
      <c r="K1241" s="501">
        <v>3</v>
      </c>
      <c r="L1241" s="501">
        <v>62</v>
      </c>
      <c r="M1241" s="501">
        <v>25</v>
      </c>
      <c r="N1241" s="501">
        <v>14</v>
      </c>
      <c r="O1241" s="506">
        <v>432</v>
      </c>
    </row>
    <row r="1242" spans="1:15" x14ac:dyDescent="0.35">
      <c r="A1242" s="503" t="s">
        <v>1220</v>
      </c>
      <c r="B1242" s="504">
        <v>4849</v>
      </c>
      <c r="C1242" s="504" t="s">
        <v>1094</v>
      </c>
      <c r="D1242" s="504" t="s">
        <v>3380</v>
      </c>
      <c r="E1242" s="504" t="s">
        <v>3381</v>
      </c>
      <c r="F1242" s="504" t="s">
        <v>11441</v>
      </c>
      <c r="G1242" s="504" t="s">
        <v>11440</v>
      </c>
      <c r="H1242" s="504" t="s">
        <v>11970</v>
      </c>
      <c r="I1242" s="504">
        <v>24</v>
      </c>
      <c r="J1242" s="504">
        <v>24</v>
      </c>
      <c r="K1242" s="504">
        <v>0</v>
      </c>
      <c r="L1242" s="504">
        <v>0</v>
      </c>
      <c r="M1242" s="504">
        <v>0</v>
      </c>
      <c r="N1242" s="504">
        <v>0</v>
      </c>
      <c r="O1242" s="505">
        <v>0</v>
      </c>
    </row>
    <row r="1243" spans="1:15" x14ac:dyDescent="0.35">
      <c r="A1243" s="500" t="s">
        <v>1122</v>
      </c>
      <c r="B1243" s="501" t="s">
        <v>2994</v>
      </c>
      <c r="C1243" s="501" t="s">
        <v>1094</v>
      </c>
      <c r="D1243" s="501" t="s">
        <v>3380</v>
      </c>
      <c r="E1243" s="501" t="s">
        <v>3381</v>
      </c>
      <c r="F1243" s="501" t="s">
        <v>11441</v>
      </c>
      <c r="G1243" s="501" t="s">
        <v>11440</v>
      </c>
      <c r="H1243" s="501" t="s">
        <v>11981</v>
      </c>
      <c r="I1243" s="501">
        <v>98</v>
      </c>
      <c r="J1243" s="501">
        <v>76</v>
      </c>
      <c r="K1243" s="501">
        <v>0</v>
      </c>
      <c r="L1243" s="501">
        <v>0</v>
      </c>
      <c r="M1243" s="501">
        <v>0</v>
      </c>
      <c r="N1243" s="501">
        <v>0</v>
      </c>
      <c r="O1243" s="506">
        <v>22</v>
      </c>
    </row>
    <row r="1244" spans="1:15" x14ac:dyDescent="0.35">
      <c r="A1244" s="503" t="s">
        <v>1225</v>
      </c>
      <c r="B1244" s="504" t="s">
        <v>3315</v>
      </c>
      <c r="C1244" s="504" t="s">
        <v>1094</v>
      </c>
      <c r="D1244" s="504" t="s">
        <v>3380</v>
      </c>
      <c r="E1244" s="504" t="s">
        <v>3381</v>
      </c>
      <c r="F1244" s="504" t="s">
        <v>11441</v>
      </c>
      <c r="G1244" s="504" t="s">
        <v>11440</v>
      </c>
      <c r="H1244" s="504" t="s">
        <v>11984</v>
      </c>
      <c r="I1244" s="504">
        <v>10</v>
      </c>
      <c r="J1244" s="504">
        <v>0</v>
      </c>
      <c r="K1244" s="504">
        <v>0</v>
      </c>
      <c r="L1244" s="504">
        <v>10</v>
      </c>
      <c r="M1244" s="504">
        <v>0</v>
      </c>
      <c r="N1244" s="504">
        <v>0</v>
      </c>
      <c r="O1244" s="505">
        <v>0</v>
      </c>
    </row>
    <row r="1245" spans="1:15" x14ac:dyDescent="0.35">
      <c r="A1245" s="500" t="s">
        <v>1228</v>
      </c>
      <c r="B1245" s="501" t="s">
        <v>3321</v>
      </c>
      <c r="C1245" s="501" t="s">
        <v>1094</v>
      </c>
      <c r="D1245" s="501" t="s">
        <v>3380</v>
      </c>
      <c r="E1245" s="501" t="s">
        <v>3381</v>
      </c>
      <c r="F1245" s="501" t="s">
        <v>11441</v>
      </c>
      <c r="G1245" s="501" t="s">
        <v>11440</v>
      </c>
      <c r="H1245" s="501" t="s">
        <v>11994</v>
      </c>
      <c r="I1245" s="501">
        <v>21</v>
      </c>
      <c r="J1245" s="501">
        <v>0</v>
      </c>
      <c r="K1245" s="501">
        <v>0</v>
      </c>
      <c r="L1245" s="501">
        <v>21</v>
      </c>
      <c r="M1245" s="501">
        <v>0</v>
      </c>
      <c r="N1245" s="501">
        <v>0</v>
      </c>
      <c r="O1245" s="506">
        <v>0</v>
      </c>
    </row>
    <row r="1246" spans="1:15" x14ac:dyDescent="0.35">
      <c r="A1246" s="503" t="s">
        <v>1883</v>
      </c>
      <c r="B1246" s="504">
        <v>4682</v>
      </c>
      <c r="C1246" s="504" t="s">
        <v>1094</v>
      </c>
      <c r="D1246" s="504" t="s">
        <v>3380</v>
      </c>
      <c r="E1246" s="504" t="s">
        <v>3381</v>
      </c>
      <c r="F1246" s="504" t="s">
        <v>11441</v>
      </c>
      <c r="G1246" s="504" t="s">
        <v>11440</v>
      </c>
      <c r="H1246" s="504" t="s">
        <v>11996</v>
      </c>
      <c r="I1246" s="504">
        <v>5554</v>
      </c>
      <c r="J1246" s="504">
        <v>3796</v>
      </c>
      <c r="K1246" s="504">
        <v>0</v>
      </c>
      <c r="L1246" s="504">
        <v>0</v>
      </c>
      <c r="M1246" s="504">
        <v>1734</v>
      </c>
      <c r="N1246" s="504">
        <v>0</v>
      </c>
      <c r="O1246" s="505">
        <v>24</v>
      </c>
    </row>
    <row r="1247" spans="1:15" x14ac:dyDescent="0.35">
      <c r="A1247" s="500" t="s">
        <v>1124</v>
      </c>
      <c r="B1247" s="501">
        <v>4745</v>
      </c>
      <c r="C1247" s="501" t="s">
        <v>1094</v>
      </c>
      <c r="D1247" s="501" t="s">
        <v>3380</v>
      </c>
      <c r="E1247" s="501" t="s">
        <v>3381</v>
      </c>
      <c r="F1247" s="501" t="s">
        <v>11441</v>
      </c>
      <c r="G1247" s="501" t="s">
        <v>11440</v>
      </c>
      <c r="H1247" s="501" t="s">
        <v>11999</v>
      </c>
      <c r="I1247" s="501">
        <v>8</v>
      </c>
      <c r="J1247" s="501">
        <v>0</v>
      </c>
      <c r="K1247" s="501">
        <v>0</v>
      </c>
      <c r="L1247" s="501">
        <v>8</v>
      </c>
      <c r="M1247" s="501">
        <v>0</v>
      </c>
      <c r="N1247" s="501">
        <v>0</v>
      </c>
      <c r="O1247" s="506">
        <v>0</v>
      </c>
    </row>
    <row r="1248" spans="1:15" x14ac:dyDescent="0.35">
      <c r="A1248" s="503" t="s">
        <v>1888</v>
      </c>
      <c r="B1248" s="504">
        <v>5055</v>
      </c>
      <c r="C1248" s="504" t="s">
        <v>1089</v>
      </c>
      <c r="D1248" s="504" t="s">
        <v>3392</v>
      </c>
      <c r="E1248" s="504" t="s">
        <v>3381</v>
      </c>
      <c r="F1248" s="504" t="s">
        <v>11441</v>
      </c>
      <c r="G1248" s="504" t="s">
        <v>11440</v>
      </c>
      <c r="H1248" s="504" t="s">
        <v>12004</v>
      </c>
      <c r="I1248" s="504">
        <v>1</v>
      </c>
      <c r="J1248" s="504">
        <v>1</v>
      </c>
      <c r="K1248" s="504">
        <v>0</v>
      </c>
      <c r="L1248" s="504">
        <v>0</v>
      </c>
      <c r="M1248" s="504">
        <v>0</v>
      </c>
      <c r="N1248" s="504">
        <v>0</v>
      </c>
      <c r="O1248" s="505">
        <v>0</v>
      </c>
    </row>
    <row r="1249" spans="1:15" x14ac:dyDescent="0.35">
      <c r="A1249" s="500" t="s">
        <v>1233</v>
      </c>
      <c r="B1249" s="501">
        <v>4636</v>
      </c>
      <c r="C1249" s="501" t="s">
        <v>1094</v>
      </c>
      <c r="D1249" s="501" t="s">
        <v>3380</v>
      </c>
      <c r="E1249" s="501" t="s">
        <v>3381</v>
      </c>
      <c r="F1249" s="501" t="s">
        <v>11441</v>
      </c>
      <c r="G1249" s="501" t="s">
        <v>11440</v>
      </c>
      <c r="H1249" s="501" t="s">
        <v>12007</v>
      </c>
      <c r="I1249" s="501">
        <v>69</v>
      </c>
      <c r="J1249" s="501">
        <v>40</v>
      </c>
      <c r="K1249" s="501">
        <v>0</v>
      </c>
      <c r="L1249" s="501">
        <v>0</v>
      </c>
      <c r="M1249" s="501">
        <v>0</v>
      </c>
      <c r="N1249" s="501">
        <v>0</v>
      </c>
      <c r="O1249" s="506">
        <v>29</v>
      </c>
    </row>
    <row r="1250" spans="1:15" x14ac:dyDescent="0.35">
      <c r="A1250" s="503" t="s">
        <v>11368</v>
      </c>
      <c r="B1250" s="504">
        <v>5083</v>
      </c>
      <c r="C1250" s="504" t="s">
        <v>1094</v>
      </c>
      <c r="D1250" s="504" t="s">
        <v>3380</v>
      </c>
      <c r="E1250" s="504" t="s">
        <v>3381</v>
      </c>
      <c r="F1250" s="504" t="s">
        <v>11441</v>
      </c>
      <c r="G1250" s="504" t="s">
        <v>11440</v>
      </c>
      <c r="H1250" s="504" t="s">
        <v>12037</v>
      </c>
      <c r="I1250" s="504">
        <v>45</v>
      </c>
      <c r="J1250" s="504">
        <v>45</v>
      </c>
      <c r="K1250" s="504">
        <v>0</v>
      </c>
      <c r="L1250" s="504">
        <v>0</v>
      </c>
      <c r="M1250" s="504">
        <v>0</v>
      </c>
      <c r="N1250" s="504">
        <v>0</v>
      </c>
      <c r="O1250" s="505">
        <v>0</v>
      </c>
    </row>
    <row r="1251" spans="1:15" x14ac:dyDescent="0.35">
      <c r="A1251" s="500" t="s">
        <v>1234</v>
      </c>
      <c r="B1251" s="501" t="s">
        <v>3291</v>
      </c>
      <c r="C1251" s="501" t="s">
        <v>1094</v>
      </c>
      <c r="D1251" s="501" t="s">
        <v>3380</v>
      </c>
      <c r="E1251" s="501" t="s">
        <v>3381</v>
      </c>
      <c r="F1251" s="501" t="s">
        <v>11441</v>
      </c>
      <c r="G1251" s="501" t="s">
        <v>11440</v>
      </c>
      <c r="H1251" s="501" t="s">
        <v>12094</v>
      </c>
      <c r="I1251" s="501">
        <v>7</v>
      </c>
      <c r="J1251" s="501">
        <v>0</v>
      </c>
      <c r="K1251" s="501">
        <v>0</v>
      </c>
      <c r="L1251" s="501">
        <v>7</v>
      </c>
      <c r="M1251" s="501">
        <v>0</v>
      </c>
      <c r="N1251" s="501">
        <v>0</v>
      </c>
      <c r="O1251" s="506">
        <v>0</v>
      </c>
    </row>
    <row r="1252" spans="1:15" x14ac:dyDescent="0.35">
      <c r="A1252" s="503" t="s">
        <v>1235</v>
      </c>
      <c r="B1252" s="504">
        <v>4684</v>
      </c>
      <c r="C1252" s="504" t="s">
        <v>1094</v>
      </c>
      <c r="D1252" s="504" t="s">
        <v>3380</v>
      </c>
      <c r="E1252" s="504" t="s">
        <v>3381</v>
      </c>
      <c r="F1252" s="504" t="s">
        <v>11441</v>
      </c>
      <c r="G1252" s="504" t="s">
        <v>11440</v>
      </c>
      <c r="H1252" s="504" t="s">
        <v>12097</v>
      </c>
      <c r="I1252" s="504">
        <v>24</v>
      </c>
      <c r="J1252" s="504">
        <v>18</v>
      </c>
      <c r="K1252" s="504">
        <v>0</v>
      </c>
      <c r="L1252" s="504">
        <v>0</v>
      </c>
      <c r="M1252" s="504">
        <v>0</v>
      </c>
      <c r="N1252" s="504">
        <v>0</v>
      </c>
      <c r="O1252" s="505">
        <v>6</v>
      </c>
    </row>
    <row r="1253" spans="1:15" x14ac:dyDescent="0.35">
      <c r="A1253" s="500" t="s">
        <v>1126</v>
      </c>
      <c r="B1253" s="501" t="s">
        <v>2974</v>
      </c>
      <c r="C1253" s="501" t="s">
        <v>1094</v>
      </c>
      <c r="D1253" s="501" t="s">
        <v>3380</v>
      </c>
      <c r="E1253" s="501" t="s">
        <v>3381</v>
      </c>
      <c r="F1253" s="501" t="s">
        <v>11441</v>
      </c>
      <c r="G1253" s="501" t="s">
        <v>11440</v>
      </c>
      <c r="H1253" s="501" t="s">
        <v>12111</v>
      </c>
      <c r="I1253" s="501">
        <v>135</v>
      </c>
      <c r="J1253" s="501">
        <v>68</v>
      </c>
      <c r="K1253" s="501">
        <v>0</v>
      </c>
      <c r="L1253" s="501">
        <v>18</v>
      </c>
      <c r="M1253" s="501">
        <v>49</v>
      </c>
      <c r="N1253" s="501">
        <v>0</v>
      </c>
      <c r="O1253" s="506">
        <v>0</v>
      </c>
    </row>
    <row r="1254" spans="1:15" x14ac:dyDescent="0.35">
      <c r="A1254" s="503" t="s">
        <v>1898</v>
      </c>
      <c r="B1254" s="504" t="s">
        <v>3148</v>
      </c>
      <c r="C1254" s="504" t="s">
        <v>1094</v>
      </c>
      <c r="D1254" s="504" t="s">
        <v>3380</v>
      </c>
      <c r="E1254" s="504" t="s">
        <v>3381</v>
      </c>
      <c r="F1254" s="504" t="s">
        <v>11441</v>
      </c>
      <c r="G1254" s="504" t="s">
        <v>11440</v>
      </c>
      <c r="H1254" s="504" t="s">
        <v>12117</v>
      </c>
      <c r="I1254" s="504">
        <v>43</v>
      </c>
      <c r="J1254" s="504">
        <v>27</v>
      </c>
      <c r="K1254" s="504">
        <v>0</v>
      </c>
      <c r="L1254" s="504">
        <v>0</v>
      </c>
      <c r="M1254" s="504">
        <v>0</v>
      </c>
      <c r="N1254" s="504">
        <v>0</v>
      </c>
      <c r="O1254" s="505">
        <v>16</v>
      </c>
    </row>
    <row r="1255" spans="1:15" x14ac:dyDescent="0.35">
      <c r="A1255" s="500" t="s">
        <v>1130</v>
      </c>
      <c r="B1255" s="501" t="s">
        <v>3234</v>
      </c>
      <c r="C1255" s="501" t="s">
        <v>1094</v>
      </c>
      <c r="D1255" s="501" t="s">
        <v>3380</v>
      </c>
      <c r="E1255" s="501" t="s">
        <v>3381</v>
      </c>
      <c r="F1255" s="501" t="s">
        <v>11441</v>
      </c>
      <c r="G1255" s="501" t="s">
        <v>11440</v>
      </c>
      <c r="H1255" s="501" t="s">
        <v>12125</v>
      </c>
      <c r="I1255" s="501">
        <v>1</v>
      </c>
      <c r="J1255" s="501">
        <v>0</v>
      </c>
      <c r="K1255" s="501">
        <v>0</v>
      </c>
      <c r="L1255" s="501">
        <v>0</v>
      </c>
      <c r="M1255" s="501">
        <v>0</v>
      </c>
      <c r="N1255" s="501">
        <v>0</v>
      </c>
      <c r="O1255" s="506">
        <v>1</v>
      </c>
    </row>
    <row r="1256" spans="1:15" x14ac:dyDescent="0.35">
      <c r="A1256" s="503" t="s">
        <v>1240</v>
      </c>
      <c r="B1256" s="504" t="s">
        <v>2972</v>
      </c>
      <c r="C1256" s="504" t="s">
        <v>1094</v>
      </c>
      <c r="D1256" s="504" t="s">
        <v>3380</v>
      </c>
      <c r="E1256" s="504" t="s">
        <v>3381</v>
      </c>
      <c r="F1256" s="504" t="s">
        <v>11441</v>
      </c>
      <c r="G1256" s="504" t="s">
        <v>11440</v>
      </c>
      <c r="H1256" s="504" t="s">
        <v>12144</v>
      </c>
      <c r="I1256" s="504">
        <v>1</v>
      </c>
      <c r="J1256" s="504">
        <v>0</v>
      </c>
      <c r="K1256" s="504">
        <v>0</v>
      </c>
      <c r="L1256" s="504">
        <v>0</v>
      </c>
      <c r="M1256" s="504">
        <v>0</v>
      </c>
      <c r="N1256" s="504">
        <v>0</v>
      </c>
      <c r="O1256" s="505">
        <v>1</v>
      </c>
    </row>
    <row r="1257" spans="1:15" x14ac:dyDescent="0.35">
      <c r="A1257" s="500" t="s">
        <v>1134</v>
      </c>
      <c r="B1257" s="501" t="s">
        <v>3066</v>
      </c>
      <c r="C1257" s="501" t="s">
        <v>1094</v>
      </c>
      <c r="D1257" s="501" t="s">
        <v>3380</v>
      </c>
      <c r="E1257" s="501" t="s">
        <v>3381</v>
      </c>
      <c r="F1257" s="501" t="s">
        <v>11441</v>
      </c>
      <c r="G1257" s="501" t="s">
        <v>11440</v>
      </c>
      <c r="H1257" s="501" t="s">
        <v>12151</v>
      </c>
      <c r="I1257" s="501">
        <v>1</v>
      </c>
      <c r="J1257" s="501">
        <v>0</v>
      </c>
      <c r="K1257" s="501">
        <v>0</v>
      </c>
      <c r="L1257" s="501">
        <v>0</v>
      </c>
      <c r="M1257" s="501">
        <v>0</v>
      </c>
      <c r="N1257" s="501">
        <v>0</v>
      </c>
      <c r="O1257" s="506">
        <v>1</v>
      </c>
    </row>
    <row r="1258" spans="1:15" x14ac:dyDescent="0.35">
      <c r="A1258" s="503" t="s">
        <v>1906</v>
      </c>
      <c r="B1258" s="504" t="s">
        <v>3062</v>
      </c>
      <c r="C1258" s="504" t="s">
        <v>1089</v>
      </c>
      <c r="D1258" s="504" t="s">
        <v>3392</v>
      </c>
      <c r="E1258" s="504" t="s">
        <v>3381</v>
      </c>
      <c r="F1258" s="504" t="s">
        <v>11441</v>
      </c>
      <c r="G1258" s="504" t="s">
        <v>11440</v>
      </c>
      <c r="H1258" s="504" t="s">
        <v>12186</v>
      </c>
      <c r="I1258" s="504">
        <v>24</v>
      </c>
      <c r="J1258" s="504">
        <v>0</v>
      </c>
      <c r="K1258" s="504">
        <v>0</v>
      </c>
      <c r="L1258" s="504">
        <v>0</v>
      </c>
      <c r="M1258" s="504">
        <v>24</v>
      </c>
      <c r="N1258" s="504">
        <v>0</v>
      </c>
      <c r="O1258" s="505">
        <v>0</v>
      </c>
    </row>
    <row r="1259" spans="1:15" x14ac:dyDescent="0.35">
      <c r="A1259" s="500" t="s">
        <v>1909</v>
      </c>
      <c r="B1259" s="501" t="s">
        <v>2867</v>
      </c>
      <c r="C1259" s="501" t="s">
        <v>1089</v>
      </c>
      <c r="D1259" s="501" t="s">
        <v>3392</v>
      </c>
      <c r="E1259" s="501" t="s">
        <v>3381</v>
      </c>
      <c r="F1259" s="501" t="s">
        <v>11441</v>
      </c>
      <c r="G1259" s="501" t="s">
        <v>11440</v>
      </c>
      <c r="H1259" s="501" t="s">
        <v>12192</v>
      </c>
      <c r="I1259" s="501">
        <v>11</v>
      </c>
      <c r="J1259" s="501">
        <v>0</v>
      </c>
      <c r="K1259" s="501">
        <v>0</v>
      </c>
      <c r="L1259" s="501">
        <v>11</v>
      </c>
      <c r="M1259" s="501">
        <v>0</v>
      </c>
      <c r="N1259" s="501">
        <v>0</v>
      </c>
      <c r="O1259" s="506">
        <v>0</v>
      </c>
    </row>
    <row r="1260" spans="1:15" x14ac:dyDescent="0.35">
      <c r="A1260" s="503" t="s">
        <v>1912</v>
      </c>
      <c r="B1260" s="504" t="s">
        <v>2869</v>
      </c>
      <c r="C1260" s="504" t="s">
        <v>1089</v>
      </c>
      <c r="D1260" s="504" t="s">
        <v>3392</v>
      </c>
      <c r="E1260" s="504" t="s">
        <v>3381</v>
      </c>
      <c r="F1260" s="504" t="s">
        <v>11441</v>
      </c>
      <c r="G1260" s="504" t="s">
        <v>11440</v>
      </c>
      <c r="H1260" s="504" t="s">
        <v>12195</v>
      </c>
      <c r="I1260" s="504">
        <v>13</v>
      </c>
      <c r="J1260" s="504">
        <v>0</v>
      </c>
      <c r="K1260" s="504">
        <v>0</v>
      </c>
      <c r="L1260" s="504">
        <v>0</v>
      </c>
      <c r="M1260" s="504">
        <v>13</v>
      </c>
      <c r="N1260" s="504">
        <v>0</v>
      </c>
      <c r="O1260" s="505">
        <v>0</v>
      </c>
    </row>
    <row r="1261" spans="1:15" x14ac:dyDescent="0.35">
      <c r="A1261" s="500" t="s">
        <v>1913</v>
      </c>
      <c r="B1261" s="501" t="s">
        <v>2850</v>
      </c>
      <c r="C1261" s="501" t="s">
        <v>1089</v>
      </c>
      <c r="D1261" s="501" t="s">
        <v>3392</v>
      </c>
      <c r="E1261" s="501" t="s">
        <v>3381</v>
      </c>
      <c r="F1261" s="501" t="s">
        <v>11441</v>
      </c>
      <c r="G1261" s="501" t="s">
        <v>11440</v>
      </c>
      <c r="H1261" s="501" t="s">
        <v>12196</v>
      </c>
      <c r="I1261" s="501">
        <v>15</v>
      </c>
      <c r="J1261" s="501">
        <v>0</v>
      </c>
      <c r="K1261" s="501">
        <v>0</v>
      </c>
      <c r="L1261" s="501">
        <v>0</v>
      </c>
      <c r="M1261" s="501">
        <v>15</v>
      </c>
      <c r="N1261" s="501">
        <v>0</v>
      </c>
      <c r="O1261" s="506">
        <v>0</v>
      </c>
    </row>
    <row r="1262" spans="1:15" x14ac:dyDescent="0.35">
      <c r="A1262" s="503" t="s">
        <v>1245</v>
      </c>
      <c r="B1262" s="504" t="s">
        <v>2859</v>
      </c>
      <c r="C1262" s="504" t="s">
        <v>1094</v>
      </c>
      <c r="D1262" s="504" t="s">
        <v>3380</v>
      </c>
      <c r="E1262" s="504" t="s">
        <v>3381</v>
      </c>
      <c r="F1262" s="504" t="s">
        <v>11441</v>
      </c>
      <c r="G1262" s="504" t="s">
        <v>11440</v>
      </c>
      <c r="H1262" s="504" t="s">
        <v>12198</v>
      </c>
      <c r="I1262" s="504">
        <v>42</v>
      </c>
      <c r="J1262" s="504">
        <v>0</v>
      </c>
      <c r="K1262" s="504">
        <v>0</v>
      </c>
      <c r="L1262" s="504">
        <v>0</v>
      </c>
      <c r="M1262" s="504">
        <v>42</v>
      </c>
      <c r="N1262" s="504">
        <v>0</v>
      </c>
      <c r="O1262" s="505">
        <v>0</v>
      </c>
    </row>
    <row r="1263" spans="1:15" x14ac:dyDescent="0.35">
      <c r="A1263" s="500" t="s">
        <v>1248</v>
      </c>
      <c r="B1263" s="501">
        <v>4706</v>
      </c>
      <c r="C1263" s="501" t="s">
        <v>1089</v>
      </c>
      <c r="D1263" s="501" t="s">
        <v>3392</v>
      </c>
      <c r="E1263" s="501" t="s">
        <v>3381</v>
      </c>
      <c r="F1263" s="501" t="s">
        <v>11441</v>
      </c>
      <c r="G1263" s="501" t="s">
        <v>11440</v>
      </c>
      <c r="H1263" s="501" t="s">
        <v>12200</v>
      </c>
      <c r="I1263" s="501">
        <v>56</v>
      </c>
      <c r="J1263" s="501">
        <v>0</v>
      </c>
      <c r="K1263" s="501">
        <v>0</v>
      </c>
      <c r="L1263" s="501">
        <v>0</v>
      </c>
      <c r="M1263" s="501">
        <v>56</v>
      </c>
      <c r="N1263" s="501">
        <v>0</v>
      </c>
      <c r="O1263" s="506">
        <v>0</v>
      </c>
    </row>
    <row r="1264" spans="1:15" x14ac:dyDescent="0.35">
      <c r="A1264" s="503" t="s">
        <v>1249</v>
      </c>
      <c r="B1264" s="504">
        <v>4729</v>
      </c>
      <c r="C1264" s="504" t="s">
        <v>1094</v>
      </c>
      <c r="D1264" s="504" t="s">
        <v>3380</v>
      </c>
      <c r="E1264" s="504" t="s">
        <v>3381</v>
      </c>
      <c r="F1264" s="504" t="s">
        <v>11441</v>
      </c>
      <c r="G1264" s="504" t="s">
        <v>11440</v>
      </c>
      <c r="H1264" s="504" t="s">
        <v>12208</v>
      </c>
      <c r="I1264" s="504">
        <v>703</v>
      </c>
      <c r="J1264" s="504">
        <v>593</v>
      </c>
      <c r="K1264" s="504">
        <v>0</v>
      </c>
      <c r="L1264" s="504">
        <v>39</v>
      </c>
      <c r="M1264" s="504">
        <v>0</v>
      </c>
      <c r="N1264" s="504">
        <v>0</v>
      </c>
      <c r="O1264" s="505">
        <v>71</v>
      </c>
    </row>
    <row r="1265" spans="1:15" x14ac:dyDescent="0.35">
      <c r="A1265" s="500" t="s">
        <v>1253</v>
      </c>
      <c r="B1265" s="501" t="s">
        <v>3232</v>
      </c>
      <c r="C1265" s="501" t="s">
        <v>1094</v>
      </c>
      <c r="D1265" s="501" t="s">
        <v>3380</v>
      </c>
      <c r="E1265" s="501" t="s">
        <v>3381</v>
      </c>
      <c r="F1265" s="501" t="s">
        <v>11441</v>
      </c>
      <c r="G1265" s="501" t="s">
        <v>11440</v>
      </c>
      <c r="H1265" s="501" t="s">
        <v>12229</v>
      </c>
      <c r="I1265" s="501">
        <v>71</v>
      </c>
      <c r="J1265" s="501">
        <v>1</v>
      </c>
      <c r="K1265" s="501">
        <v>0</v>
      </c>
      <c r="L1265" s="501">
        <v>60</v>
      </c>
      <c r="M1265" s="501">
        <v>10</v>
      </c>
      <c r="N1265" s="501">
        <v>0</v>
      </c>
      <c r="O1265" s="506">
        <v>0</v>
      </c>
    </row>
    <row r="1266" spans="1:15" x14ac:dyDescent="0.35">
      <c r="A1266" s="503" t="s">
        <v>1138</v>
      </c>
      <c r="B1266" s="504" t="s">
        <v>2998</v>
      </c>
      <c r="C1266" s="504" t="s">
        <v>1094</v>
      </c>
      <c r="D1266" s="504" t="s">
        <v>3380</v>
      </c>
      <c r="E1266" s="504" t="s">
        <v>3381</v>
      </c>
      <c r="F1266" s="504" t="s">
        <v>11441</v>
      </c>
      <c r="G1266" s="504" t="s">
        <v>11440</v>
      </c>
      <c r="H1266" s="504" t="s">
        <v>12230</v>
      </c>
      <c r="I1266" s="504">
        <v>105</v>
      </c>
      <c r="J1266" s="504">
        <v>74</v>
      </c>
      <c r="K1266" s="504">
        <v>0</v>
      </c>
      <c r="L1266" s="504">
        <v>0</v>
      </c>
      <c r="M1266" s="504">
        <v>0</v>
      </c>
      <c r="N1266" s="504">
        <v>0</v>
      </c>
      <c r="O1266" s="505">
        <v>31</v>
      </c>
    </row>
    <row r="1267" spans="1:15" x14ac:dyDescent="0.35">
      <c r="A1267" s="500" t="s">
        <v>1369</v>
      </c>
      <c r="B1267" s="501" t="s">
        <v>3218</v>
      </c>
      <c r="C1267" s="501" t="s">
        <v>1094</v>
      </c>
      <c r="D1267" s="501" t="s">
        <v>3380</v>
      </c>
      <c r="E1267" s="501" t="s">
        <v>3381</v>
      </c>
      <c r="F1267" s="501" t="s">
        <v>11441</v>
      </c>
      <c r="G1267" s="501" t="s">
        <v>11440</v>
      </c>
      <c r="H1267" s="501" t="s">
        <v>12234</v>
      </c>
      <c r="I1267" s="501">
        <v>140</v>
      </c>
      <c r="J1267" s="501">
        <v>116</v>
      </c>
      <c r="K1267" s="501">
        <v>0</v>
      </c>
      <c r="L1267" s="501">
        <v>0</v>
      </c>
      <c r="M1267" s="501">
        <v>0</v>
      </c>
      <c r="N1267" s="501">
        <v>0</v>
      </c>
      <c r="O1267" s="506">
        <v>24</v>
      </c>
    </row>
    <row r="1268" spans="1:15" x14ac:dyDescent="0.35">
      <c r="A1268" s="503" t="s">
        <v>1260</v>
      </c>
      <c r="B1268" s="504">
        <v>4645</v>
      </c>
      <c r="C1268" s="504" t="s">
        <v>1089</v>
      </c>
      <c r="D1268" s="504" t="s">
        <v>3392</v>
      </c>
      <c r="E1268" s="504" t="s">
        <v>3381</v>
      </c>
      <c r="F1268" s="504" t="s">
        <v>11441</v>
      </c>
      <c r="G1268" s="504" t="s">
        <v>11440</v>
      </c>
      <c r="H1268" s="504" t="s">
        <v>12240</v>
      </c>
      <c r="I1268" s="504">
        <v>6</v>
      </c>
      <c r="J1268" s="504">
        <v>0</v>
      </c>
      <c r="K1268" s="504">
        <v>0</v>
      </c>
      <c r="L1268" s="504">
        <v>6</v>
      </c>
      <c r="M1268" s="504">
        <v>0</v>
      </c>
      <c r="N1268" s="504">
        <v>0</v>
      </c>
      <c r="O1268" s="505">
        <v>0</v>
      </c>
    </row>
    <row r="1269" spans="1:15" x14ac:dyDescent="0.35">
      <c r="A1269" s="500" t="s">
        <v>1262</v>
      </c>
      <c r="B1269" s="501">
        <v>4772</v>
      </c>
      <c r="C1269" s="501" t="s">
        <v>1089</v>
      </c>
      <c r="D1269" s="501" t="s">
        <v>3392</v>
      </c>
      <c r="E1269" s="501" t="s">
        <v>3381</v>
      </c>
      <c r="F1269" s="501" t="s">
        <v>11441</v>
      </c>
      <c r="G1269" s="501" t="s">
        <v>11440</v>
      </c>
      <c r="H1269" s="501" t="s">
        <v>12248</v>
      </c>
      <c r="I1269" s="501">
        <v>9</v>
      </c>
      <c r="J1269" s="501">
        <v>0</v>
      </c>
      <c r="K1269" s="501">
        <v>0</v>
      </c>
      <c r="L1269" s="501">
        <v>9</v>
      </c>
      <c r="M1269" s="501">
        <v>0</v>
      </c>
      <c r="N1269" s="501">
        <v>0</v>
      </c>
      <c r="O1269" s="506">
        <v>0</v>
      </c>
    </row>
    <row r="1270" spans="1:15" x14ac:dyDescent="0.35">
      <c r="A1270" s="503" t="s">
        <v>1156</v>
      </c>
      <c r="B1270" s="504" t="s">
        <v>3310</v>
      </c>
      <c r="C1270" s="504" t="s">
        <v>1094</v>
      </c>
      <c r="D1270" s="504" t="s">
        <v>3380</v>
      </c>
      <c r="E1270" s="504" t="s">
        <v>3381</v>
      </c>
      <c r="F1270" s="504" t="s">
        <v>11441</v>
      </c>
      <c r="G1270" s="504" t="s">
        <v>11440</v>
      </c>
      <c r="H1270" s="504" t="s">
        <v>11623</v>
      </c>
      <c r="I1270" s="504">
        <v>87</v>
      </c>
      <c r="J1270" s="504">
        <v>66</v>
      </c>
      <c r="K1270" s="504">
        <v>0</v>
      </c>
      <c r="L1270" s="504">
        <v>0</v>
      </c>
      <c r="M1270" s="504">
        <v>0</v>
      </c>
      <c r="N1270" s="504">
        <v>0</v>
      </c>
      <c r="O1270" s="505">
        <v>21</v>
      </c>
    </row>
    <row r="1271" spans="1:15" x14ac:dyDescent="0.35">
      <c r="A1271" s="500" t="s">
        <v>1143</v>
      </c>
      <c r="B1271" s="501" t="s">
        <v>3281</v>
      </c>
      <c r="C1271" s="501" t="s">
        <v>1094</v>
      </c>
      <c r="D1271" s="501" t="s">
        <v>3380</v>
      </c>
      <c r="E1271" s="501" t="s">
        <v>3381</v>
      </c>
      <c r="F1271" s="501" t="s">
        <v>497</v>
      </c>
      <c r="G1271" s="501" t="s">
        <v>498</v>
      </c>
      <c r="H1271" s="501" t="s">
        <v>4330</v>
      </c>
      <c r="I1271" s="501">
        <v>581</v>
      </c>
      <c r="J1271" s="501">
        <v>473</v>
      </c>
      <c r="K1271" s="501">
        <v>0</v>
      </c>
      <c r="L1271" s="501">
        <v>0</v>
      </c>
      <c r="M1271" s="501">
        <v>71</v>
      </c>
      <c r="N1271" s="501">
        <v>3</v>
      </c>
      <c r="O1271" s="506">
        <v>37</v>
      </c>
    </row>
    <row r="1272" spans="1:15" x14ac:dyDescent="0.35">
      <c r="A1272" s="503" t="s">
        <v>1096</v>
      </c>
      <c r="B1272" s="504" t="s">
        <v>3326</v>
      </c>
      <c r="C1272" s="504" t="s">
        <v>1094</v>
      </c>
      <c r="D1272" s="504" t="s">
        <v>3380</v>
      </c>
      <c r="E1272" s="504" t="s">
        <v>3381</v>
      </c>
      <c r="F1272" s="504" t="s">
        <v>497</v>
      </c>
      <c r="G1272" s="504" t="s">
        <v>498</v>
      </c>
      <c r="H1272" s="504" t="s">
        <v>4331</v>
      </c>
      <c r="I1272" s="504">
        <v>165</v>
      </c>
      <c r="J1272" s="504">
        <v>0</v>
      </c>
      <c r="K1272" s="504">
        <v>0</v>
      </c>
      <c r="L1272" s="504">
        <v>0</v>
      </c>
      <c r="M1272" s="504">
        <v>165</v>
      </c>
      <c r="N1272" s="504">
        <v>0</v>
      </c>
      <c r="O1272" s="505">
        <v>0</v>
      </c>
    </row>
    <row r="1273" spans="1:15" x14ac:dyDescent="0.35">
      <c r="A1273" s="500" t="s">
        <v>1680</v>
      </c>
      <c r="B1273" s="501" t="s">
        <v>3168</v>
      </c>
      <c r="C1273" s="501" t="s">
        <v>1094</v>
      </c>
      <c r="D1273" s="501" t="s">
        <v>3380</v>
      </c>
      <c r="E1273" s="501" t="s">
        <v>3381</v>
      </c>
      <c r="F1273" s="501" t="s">
        <v>497</v>
      </c>
      <c r="G1273" s="501" t="s">
        <v>498</v>
      </c>
      <c r="H1273" s="501" t="s">
        <v>4332</v>
      </c>
      <c r="I1273" s="501">
        <v>4892</v>
      </c>
      <c r="J1273" s="501">
        <v>3586</v>
      </c>
      <c r="K1273" s="501">
        <v>0</v>
      </c>
      <c r="L1273" s="501">
        <v>179</v>
      </c>
      <c r="M1273" s="501">
        <v>1127</v>
      </c>
      <c r="N1273" s="501">
        <v>0</v>
      </c>
      <c r="O1273" s="506">
        <v>0</v>
      </c>
    </row>
    <row r="1274" spans="1:15" x14ac:dyDescent="0.35">
      <c r="A1274" s="503" t="s">
        <v>1160</v>
      </c>
      <c r="B1274" s="504">
        <v>4672</v>
      </c>
      <c r="C1274" s="504" t="s">
        <v>1089</v>
      </c>
      <c r="D1274" s="504" t="s">
        <v>3392</v>
      </c>
      <c r="E1274" s="504" t="s">
        <v>3381</v>
      </c>
      <c r="F1274" s="504" t="s">
        <v>497</v>
      </c>
      <c r="G1274" s="504" t="s">
        <v>498</v>
      </c>
      <c r="H1274" s="504" t="s">
        <v>4333</v>
      </c>
      <c r="I1274" s="504">
        <v>12</v>
      </c>
      <c r="J1274" s="504">
        <v>0</v>
      </c>
      <c r="K1274" s="504">
        <v>0</v>
      </c>
      <c r="L1274" s="504">
        <v>12</v>
      </c>
      <c r="M1274" s="504">
        <v>0</v>
      </c>
      <c r="N1274" s="504">
        <v>0</v>
      </c>
      <c r="O1274" s="505">
        <v>0</v>
      </c>
    </row>
    <row r="1275" spans="1:15" x14ac:dyDescent="0.35">
      <c r="A1275" s="500" t="s">
        <v>1689</v>
      </c>
      <c r="B1275" s="501" t="s">
        <v>2569</v>
      </c>
      <c r="C1275" s="501" t="s">
        <v>1089</v>
      </c>
      <c r="D1275" s="501" t="s">
        <v>3392</v>
      </c>
      <c r="E1275" s="501" t="s">
        <v>3381</v>
      </c>
      <c r="F1275" s="501" t="s">
        <v>497</v>
      </c>
      <c r="G1275" s="501" t="s">
        <v>498</v>
      </c>
      <c r="H1275" s="501" t="s">
        <v>4334</v>
      </c>
      <c r="I1275" s="501">
        <v>11</v>
      </c>
      <c r="J1275" s="501">
        <v>11</v>
      </c>
      <c r="K1275" s="501">
        <v>0</v>
      </c>
      <c r="L1275" s="501">
        <v>0</v>
      </c>
      <c r="M1275" s="501">
        <v>0</v>
      </c>
      <c r="N1275" s="501">
        <v>0</v>
      </c>
      <c r="O1275" s="506">
        <v>0</v>
      </c>
    </row>
    <row r="1276" spans="1:15" x14ac:dyDescent="0.35">
      <c r="A1276" s="503" t="s">
        <v>1167</v>
      </c>
      <c r="B1276" s="504">
        <v>4689</v>
      </c>
      <c r="C1276" s="504" t="s">
        <v>1089</v>
      </c>
      <c r="D1276" s="504" t="s">
        <v>3392</v>
      </c>
      <c r="E1276" s="504" t="s">
        <v>3381</v>
      </c>
      <c r="F1276" s="504" t="s">
        <v>497</v>
      </c>
      <c r="G1276" s="504" t="s">
        <v>498</v>
      </c>
      <c r="H1276" s="504" t="s">
        <v>4335</v>
      </c>
      <c r="I1276" s="504">
        <v>24</v>
      </c>
      <c r="J1276" s="504">
        <v>0</v>
      </c>
      <c r="K1276" s="504">
        <v>0</v>
      </c>
      <c r="L1276" s="504">
        <v>24</v>
      </c>
      <c r="M1276" s="504">
        <v>0</v>
      </c>
      <c r="N1276" s="504">
        <v>0</v>
      </c>
      <c r="O1276" s="505">
        <v>0</v>
      </c>
    </row>
    <row r="1277" spans="1:15" x14ac:dyDescent="0.35">
      <c r="A1277" s="500" t="s">
        <v>1102</v>
      </c>
      <c r="B1277" s="501">
        <v>4663</v>
      </c>
      <c r="C1277" s="501" t="s">
        <v>1089</v>
      </c>
      <c r="D1277" s="501" t="s">
        <v>3392</v>
      </c>
      <c r="E1277" s="501" t="s">
        <v>3381</v>
      </c>
      <c r="F1277" s="501" t="s">
        <v>497</v>
      </c>
      <c r="G1277" s="501" t="s">
        <v>498</v>
      </c>
      <c r="H1277" s="501" t="s">
        <v>4336</v>
      </c>
      <c r="I1277" s="501">
        <v>34</v>
      </c>
      <c r="J1277" s="501">
        <v>0</v>
      </c>
      <c r="K1277" s="501">
        <v>0</v>
      </c>
      <c r="L1277" s="501">
        <v>34</v>
      </c>
      <c r="M1277" s="501">
        <v>0</v>
      </c>
      <c r="N1277" s="501">
        <v>0</v>
      </c>
      <c r="O1277" s="506">
        <v>0</v>
      </c>
    </row>
    <row r="1278" spans="1:15" x14ac:dyDescent="0.35">
      <c r="A1278" s="503" t="s">
        <v>1183</v>
      </c>
      <c r="B1278" s="504" t="s">
        <v>3038</v>
      </c>
      <c r="C1278" s="504" t="s">
        <v>1094</v>
      </c>
      <c r="D1278" s="504" t="s">
        <v>3380</v>
      </c>
      <c r="E1278" s="504" t="s">
        <v>3381</v>
      </c>
      <c r="F1278" s="504" t="s">
        <v>497</v>
      </c>
      <c r="G1278" s="504" t="s">
        <v>498</v>
      </c>
      <c r="H1278" s="504" t="s">
        <v>4337</v>
      </c>
      <c r="I1278" s="504">
        <v>122</v>
      </c>
      <c r="J1278" s="504">
        <v>120</v>
      </c>
      <c r="K1278" s="504">
        <v>0</v>
      </c>
      <c r="L1278" s="504">
        <v>0</v>
      </c>
      <c r="M1278" s="504">
        <v>0</v>
      </c>
      <c r="N1278" s="504">
        <v>0</v>
      </c>
      <c r="O1278" s="505">
        <v>2</v>
      </c>
    </row>
    <row r="1279" spans="1:15" x14ac:dyDescent="0.35">
      <c r="A1279" s="500" t="s">
        <v>1105</v>
      </c>
      <c r="B1279" s="501">
        <v>4668</v>
      </c>
      <c r="C1279" s="501" t="s">
        <v>1094</v>
      </c>
      <c r="D1279" s="501" t="s">
        <v>3380</v>
      </c>
      <c r="E1279" s="501" t="s">
        <v>3381</v>
      </c>
      <c r="F1279" s="501" t="s">
        <v>497</v>
      </c>
      <c r="G1279" s="501" t="s">
        <v>498</v>
      </c>
      <c r="H1279" s="501" t="s">
        <v>14527</v>
      </c>
      <c r="I1279" s="501">
        <v>9</v>
      </c>
      <c r="J1279" s="501">
        <v>0</v>
      </c>
      <c r="K1279" s="501">
        <v>0</v>
      </c>
      <c r="L1279" s="501">
        <v>0</v>
      </c>
      <c r="M1279" s="501">
        <v>0</v>
      </c>
      <c r="N1279" s="501">
        <v>0</v>
      </c>
      <c r="O1279" s="506">
        <v>9</v>
      </c>
    </row>
    <row r="1280" spans="1:15" x14ac:dyDescent="0.35">
      <c r="A1280" s="503" t="s">
        <v>1109</v>
      </c>
      <c r="B1280" s="504" t="s">
        <v>2959</v>
      </c>
      <c r="C1280" s="504" t="s">
        <v>1094</v>
      </c>
      <c r="D1280" s="504" t="s">
        <v>3380</v>
      </c>
      <c r="E1280" s="504" t="s">
        <v>3381</v>
      </c>
      <c r="F1280" s="504" t="s">
        <v>497</v>
      </c>
      <c r="G1280" s="504" t="s">
        <v>498</v>
      </c>
      <c r="H1280" s="504" t="s">
        <v>4338</v>
      </c>
      <c r="I1280" s="504">
        <v>115</v>
      </c>
      <c r="J1280" s="504">
        <v>36</v>
      </c>
      <c r="K1280" s="504">
        <v>0</v>
      </c>
      <c r="L1280" s="504">
        <v>0</v>
      </c>
      <c r="M1280" s="504">
        <v>79</v>
      </c>
      <c r="N1280" s="504">
        <v>0</v>
      </c>
      <c r="O1280" s="505">
        <v>0</v>
      </c>
    </row>
    <row r="1281" spans="1:15" x14ac:dyDescent="0.35">
      <c r="A1281" s="500" t="s">
        <v>1190</v>
      </c>
      <c r="B1281" s="501">
        <v>4662</v>
      </c>
      <c r="C1281" s="501" t="s">
        <v>1094</v>
      </c>
      <c r="D1281" s="501" t="s">
        <v>3380</v>
      </c>
      <c r="E1281" s="501" t="s">
        <v>3381</v>
      </c>
      <c r="F1281" s="501" t="s">
        <v>497</v>
      </c>
      <c r="G1281" s="501" t="s">
        <v>498</v>
      </c>
      <c r="H1281" s="501" t="s">
        <v>4339</v>
      </c>
      <c r="I1281" s="501">
        <v>12</v>
      </c>
      <c r="J1281" s="501">
        <v>0</v>
      </c>
      <c r="K1281" s="501">
        <v>0</v>
      </c>
      <c r="L1281" s="501">
        <v>12</v>
      </c>
      <c r="M1281" s="501">
        <v>0</v>
      </c>
      <c r="N1281" s="501">
        <v>0</v>
      </c>
      <c r="O1281" s="506">
        <v>0</v>
      </c>
    </row>
    <row r="1282" spans="1:15" x14ac:dyDescent="0.35">
      <c r="A1282" s="503" t="s">
        <v>1208</v>
      </c>
      <c r="B1282" s="504" t="s">
        <v>3096</v>
      </c>
      <c r="C1282" s="504" t="s">
        <v>1094</v>
      </c>
      <c r="D1282" s="504" t="s">
        <v>3380</v>
      </c>
      <c r="E1282" s="504" t="s">
        <v>3381</v>
      </c>
      <c r="F1282" s="504" t="s">
        <v>497</v>
      </c>
      <c r="G1282" s="504" t="s">
        <v>498</v>
      </c>
      <c r="H1282" s="504" t="s">
        <v>4340</v>
      </c>
      <c r="I1282" s="504">
        <v>99</v>
      </c>
      <c r="J1282" s="504">
        <v>99</v>
      </c>
      <c r="K1282" s="504">
        <v>0</v>
      </c>
      <c r="L1282" s="504">
        <v>0</v>
      </c>
      <c r="M1282" s="504">
        <v>0</v>
      </c>
      <c r="N1282" s="504">
        <v>0</v>
      </c>
      <c r="O1282" s="505">
        <v>0</v>
      </c>
    </row>
    <row r="1283" spans="1:15" x14ac:dyDescent="0.35">
      <c r="A1283" s="500" t="s">
        <v>1209</v>
      </c>
      <c r="B1283" s="501">
        <v>4779</v>
      </c>
      <c r="C1283" s="501" t="s">
        <v>1094</v>
      </c>
      <c r="D1283" s="501" t="s">
        <v>3380</v>
      </c>
      <c r="E1283" s="501" t="s">
        <v>3381</v>
      </c>
      <c r="F1283" s="501" t="s">
        <v>497</v>
      </c>
      <c r="G1283" s="501" t="s">
        <v>498</v>
      </c>
      <c r="H1283" s="501" t="s">
        <v>4341</v>
      </c>
      <c r="I1283" s="501">
        <v>44</v>
      </c>
      <c r="J1283" s="501">
        <v>0</v>
      </c>
      <c r="K1283" s="501">
        <v>0</v>
      </c>
      <c r="L1283" s="501">
        <v>44</v>
      </c>
      <c r="M1283" s="501">
        <v>0</v>
      </c>
      <c r="N1283" s="501">
        <v>0</v>
      </c>
      <c r="O1283" s="506">
        <v>0</v>
      </c>
    </row>
    <row r="1284" spans="1:15" x14ac:dyDescent="0.35">
      <c r="A1284" s="503" t="s">
        <v>1744</v>
      </c>
      <c r="B1284" s="504" t="s">
        <v>3245</v>
      </c>
      <c r="C1284" s="504" t="s">
        <v>1094</v>
      </c>
      <c r="D1284" s="504" t="s">
        <v>3380</v>
      </c>
      <c r="E1284" s="504" t="s">
        <v>3381</v>
      </c>
      <c r="F1284" s="504" t="s">
        <v>497</v>
      </c>
      <c r="G1284" s="504" t="s">
        <v>498</v>
      </c>
      <c r="H1284" s="504" t="s">
        <v>4342</v>
      </c>
      <c r="I1284" s="504">
        <v>2</v>
      </c>
      <c r="J1284" s="504">
        <v>0</v>
      </c>
      <c r="K1284" s="504">
        <v>0</v>
      </c>
      <c r="L1284" s="504">
        <v>2</v>
      </c>
      <c r="M1284" s="504">
        <v>0</v>
      </c>
      <c r="N1284" s="504">
        <v>0</v>
      </c>
      <c r="O1284" s="505">
        <v>0</v>
      </c>
    </row>
    <row r="1285" spans="1:15" x14ac:dyDescent="0.35">
      <c r="A1285" s="500" t="s">
        <v>1122</v>
      </c>
      <c r="B1285" s="501" t="s">
        <v>2994</v>
      </c>
      <c r="C1285" s="501" t="s">
        <v>1094</v>
      </c>
      <c r="D1285" s="501" t="s">
        <v>3380</v>
      </c>
      <c r="E1285" s="501" t="s">
        <v>3381</v>
      </c>
      <c r="F1285" s="501" t="s">
        <v>497</v>
      </c>
      <c r="G1285" s="501" t="s">
        <v>498</v>
      </c>
      <c r="H1285" s="501" t="s">
        <v>4343</v>
      </c>
      <c r="I1285" s="501">
        <v>132</v>
      </c>
      <c r="J1285" s="501">
        <v>122</v>
      </c>
      <c r="K1285" s="501">
        <v>0</v>
      </c>
      <c r="L1285" s="501">
        <v>0</v>
      </c>
      <c r="M1285" s="501">
        <v>10</v>
      </c>
      <c r="N1285" s="501">
        <v>0</v>
      </c>
      <c r="O1285" s="506">
        <v>0</v>
      </c>
    </row>
    <row r="1286" spans="1:15" x14ac:dyDescent="0.35">
      <c r="A1286" s="503" t="s">
        <v>1228</v>
      </c>
      <c r="B1286" s="504" t="s">
        <v>3321</v>
      </c>
      <c r="C1286" s="504" t="s">
        <v>1094</v>
      </c>
      <c r="D1286" s="504" t="s">
        <v>3380</v>
      </c>
      <c r="E1286" s="504" t="s">
        <v>3381</v>
      </c>
      <c r="F1286" s="504" t="s">
        <v>497</v>
      </c>
      <c r="G1286" s="504" t="s">
        <v>498</v>
      </c>
      <c r="H1286" s="504" t="s">
        <v>4344</v>
      </c>
      <c r="I1286" s="504">
        <v>13</v>
      </c>
      <c r="J1286" s="504">
        <v>1</v>
      </c>
      <c r="K1286" s="504">
        <v>0</v>
      </c>
      <c r="L1286" s="504">
        <v>11</v>
      </c>
      <c r="M1286" s="504">
        <v>0</v>
      </c>
      <c r="N1286" s="504">
        <v>0</v>
      </c>
      <c r="O1286" s="505">
        <v>1</v>
      </c>
    </row>
    <row r="1287" spans="1:15" x14ac:dyDescent="0.35">
      <c r="A1287" s="500" t="s">
        <v>1752</v>
      </c>
      <c r="B1287" s="501">
        <v>4653</v>
      </c>
      <c r="C1287" s="501" t="s">
        <v>1094</v>
      </c>
      <c r="D1287" s="501" t="s">
        <v>3380</v>
      </c>
      <c r="E1287" s="501" t="s">
        <v>3381</v>
      </c>
      <c r="F1287" s="501" t="s">
        <v>497</v>
      </c>
      <c r="G1287" s="501" t="s">
        <v>498</v>
      </c>
      <c r="H1287" s="501" t="s">
        <v>4345</v>
      </c>
      <c r="I1287" s="501">
        <v>32</v>
      </c>
      <c r="J1287" s="501">
        <v>0</v>
      </c>
      <c r="K1287" s="501">
        <v>0</v>
      </c>
      <c r="L1287" s="501">
        <v>32</v>
      </c>
      <c r="M1287" s="501">
        <v>0</v>
      </c>
      <c r="N1287" s="501">
        <v>0</v>
      </c>
      <c r="O1287" s="506">
        <v>0</v>
      </c>
    </row>
    <row r="1288" spans="1:15" x14ac:dyDescent="0.35">
      <c r="A1288" s="503" t="s">
        <v>11408</v>
      </c>
      <c r="B1288" s="504" t="s">
        <v>11465</v>
      </c>
      <c r="C1288" s="504" t="s">
        <v>1089</v>
      </c>
      <c r="D1288" s="504" t="s">
        <v>3392</v>
      </c>
      <c r="E1288" s="504" t="s">
        <v>3381</v>
      </c>
      <c r="F1288" s="504" t="s">
        <v>497</v>
      </c>
      <c r="G1288" s="504" t="s">
        <v>498</v>
      </c>
      <c r="H1288" s="504" t="s">
        <v>12190</v>
      </c>
      <c r="I1288" s="504">
        <v>22</v>
      </c>
      <c r="J1288" s="504">
        <v>22</v>
      </c>
      <c r="K1288" s="504">
        <v>0</v>
      </c>
      <c r="L1288" s="504">
        <v>0</v>
      </c>
      <c r="M1288" s="504">
        <v>0</v>
      </c>
      <c r="N1288" s="504">
        <v>0</v>
      </c>
      <c r="O1288" s="505">
        <v>0</v>
      </c>
    </row>
    <row r="1289" spans="1:15" x14ac:dyDescent="0.35">
      <c r="A1289" s="500" t="s">
        <v>1257</v>
      </c>
      <c r="B1289" s="501" t="s">
        <v>3151</v>
      </c>
      <c r="C1289" s="501" t="s">
        <v>1094</v>
      </c>
      <c r="D1289" s="501" t="s">
        <v>3380</v>
      </c>
      <c r="E1289" s="501" t="s">
        <v>3381</v>
      </c>
      <c r="F1289" s="501" t="s">
        <v>497</v>
      </c>
      <c r="G1289" s="501" t="s">
        <v>498</v>
      </c>
      <c r="H1289" s="501" t="s">
        <v>4346</v>
      </c>
      <c r="I1289" s="501">
        <v>9</v>
      </c>
      <c r="J1289" s="501">
        <v>0</v>
      </c>
      <c r="K1289" s="501">
        <v>0</v>
      </c>
      <c r="L1289" s="501">
        <v>0</v>
      </c>
      <c r="M1289" s="501">
        <v>0</v>
      </c>
      <c r="N1289" s="501">
        <v>0</v>
      </c>
      <c r="O1289" s="506">
        <v>9</v>
      </c>
    </row>
    <row r="1290" spans="1:15" x14ac:dyDescent="0.35">
      <c r="A1290" s="503" t="s">
        <v>1266</v>
      </c>
      <c r="B1290" s="504" t="s">
        <v>3071</v>
      </c>
      <c r="C1290" s="504" t="s">
        <v>1094</v>
      </c>
      <c r="D1290" s="504" t="s">
        <v>3380</v>
      </c>
      <c r="E1290" s="504" t="s">
        <v>3381</v>
      </c>
      <c r="F1290" s="504" t="s">
        <v>497</v>
      </c>
      <c r="G1290" s="504" t="s">
        <v>498</v>
      </c>
      <c r="H1290" s="504" t="s">
        <v>4347</v>
      </c>
      <c r="I1290" s="504">
        <v>195</v>
      </c>
      <c r="J1290" s="504">
        <v>181</v>
      </c>
      <c r="K1290" s="504">
        <v>0</v>
      </c>
      <c r="L1290" s="504">
        <v>10</v>
      </c>
      <c r="M1290" s="504">
        <v>0</v>
      </c>
      <c r="N1290" s="504">
        <v>0</v>
      </c>
      <c r="O1290" s="505">
        <v>4</v>
      </c>
    </row>
    <row r="1291" spans="1:15" x14ac:dyDescent="0.35">
      <c r="A1291" s="500" t="s">
        <v>1193</v>
      </c>
      <c r="B1291" s="501" t="s">
        <v>3039</v>
      </c>
      <c r="C1291" s="501" t="s">
        <v>1094</v>
      </c>
      <c r="D1291" s="501" t="s">
        <v>3380</v>
      </c>
      <c r="E1291" s="501" t="s">
        <v>3381</v>
      </c>
      <c r="F1291" s="501" t="s">
        <v>499</v>
      </c>
      <c r="G1291" s="501" t="s">
        <v>500</v>
      </c>
      <c r="H1291" s="501" t="s">
        <v>4360</v>
      </c>
      <c r="I1291" s="501">
        <v>83</v>
      </c>
      <c r="J1291" s="501">
        <v>0</v>
      </c>
      <c r="K1291" s="501">
        <v>0</v>
      </c>
      <c r="L1291" s="501">
        <v>0</v>
      </c>
      <c r="M1291" s="501">
        <v>83</v>
      </c>
      <c r="N1291" s="501">
        <v>0</v>
      </c>
      <c r="O1291" s="506">
        <v>0</v>
      </c>
    </row>
    <row r="1292" spans="1:15" x14ac:dyDescent="0.35">
      <c r="A1292" s="503" t="s">
        <v>1147</v>
      </c>
      <c r="B1292" s="504" t="s">
        <v>3274</v>
      </c>
      <c r="C1292" s="504" t="s">
        <v>1089</v>
      </c>
      <c r="D1292" s="504" t="s">
        <v>3392</v>
      </c>
      <c r="E1292" s="504" t="s">
        <v>3381</v>
      </c>
      <c r="F1292" s="504" t="s">
        <v>499</v>
      </c>
      <c r="G1292" s="504" t="s">
        <v>500</v>
      </c>
      <c r="H1292" s="504" t="s">
        <v>4348</v>
      </c>
      <c r="I1292" s="504">
        <v>60</v>
      </c>
      <c r="J1292" s="504">
        <v>0</v>
      </c>
      <c r="K1292" s="504">
        <v>0</v>
      </c>
      <c r="L1292" s="504">
        <v>60</v>
      </c>
      <c r="M1292" s="504">
        <v>0</v>
      </c>
      <c r="N1292" s="504">
        <v>0</v>
      </c>
      <c r="O1292" s="505">
        <v>0</v>
      </c>
    </row>
    <row r="1293" spans="1:15" x14ac:dyDescent="0.35">
      <c r="A1293" s="500" t="s">
        <v>1668</v>
      </c>
      <c r="B1293" s="501" t="s">
        <v>3035</v>
      </c>
      <c r="C1293" s="501" t="s">
        <v>1089</v>
      </c>
      <c r="D1293" s="501" t="s">
        <v>3392</v>
      </c>
      <c r="E1293" s="501" t="s">
        <v>3381</v>
      </c>
      <c r="F1293" s="501" t="s">
        <v>499</v>
      </c>
      <c r="G1293" s="501" t="s">
        <v>500</v>
      </c>
      <c r="H1293" s="501" t="s">
        <v>4349</v>
      </c>
      <c r="I1293" s="501">
        <v>32</v>
      </c>
      <c r="J1293" s="501">
        <v>0</v>
      </c>
      <c r="K1293" s="501">
        <v>0</v>
      </c>
      <c r="L1293" s="501">
        <v>0</v>
      </c>
      <c r="M1293" s="501">
        <v>32</v>
      </c>
      <c r="N1293" s="501">
        <v>0</v>
      </c>
      <c r="O1293" s="506">
        <v>0</v>
      </c>
    </row>
    <row r="1294" spans="1:15" x14ac:dyDescent="0.35">
      <c r="A1294" s="503" t="s">
        <v>1096</v>
      </c>
      <c r="B1294" s="504" t="s">
        <v>3326</v>
      </c>
      <c r="C1294" s="504" t="s">
        <v>1094</v>
      </c>
      <c r="D1294" s="504" t="s">
        <v>3380</v>
      </c>
      <c r="E1294" s="504" t="s">
        <v>3381</v>
      </c>
      <c r="F1294" s="504" t="s">
        <v>499</v>
      </c>
      <c r="G1294" s="504" t="s">
        <v>500</v>
      </c>
      <c r="H1294" s="504" t="s">
        <v>4350</v>
      </c>
      <c r="I1294" s="504">
        <v>67</v>
      </c>
      <c r="J1294" s="504">
        <v>0</v>
      </c>
      <c r="K1294" s="504">
        <v>0</v>
      </c>
      <c r="L1294" s="504">
        <v>0</v>
      </c>
      <c r="M1294" s="504">
        <v>67</v>
      </c>
      <c r="N1294" s="504">
        <v>0</v>
      </c>
      <c r="O1294" s="505">
        <v>0</v>
      </c>
    </row>
    <row r="1295" spans="1:15" x14ac:dyDescent="0.35">
      <c r="A1295" s="500" t="s">
        <v>1150</v>
      </c>
      <c r="B1295" s="501" t="s">
        <v>2975</v>
      </c>
      <c r="C1295" s="501" t="s">
        <v>1094</v>
      </c>
      <c r="D1295" s="501" t="s">
        <v>3380</v>
      </c>
      <c r="E1295" s="501" t="s">
        <v>3381</v>
      </c>
      <c r="F1295" s="501" t="s">
        <v>499</v>
      </c>
      <c r="G1295" s="501" t="s">
        <v>500</v>
      </c>
      <c r="H1295" s="501" t="s">
        <v>4351</v>
      </c>
      <c r="I1295" s="501">
        <v>57</v>
      </c>
      <c r="J1295" s="501">
        <v>57</v>
      </c>
      <c r="K1295" s="501">
        <v>0</v>
      </c>
      <c r="L1295" s="501">
        <v>0</v>
      </c>
      <c r="M1295" s="501">
        <v>0</v>
      </c>
      <c r="N1295" s="501">
        <v>0</v>
      </c>
      <c r="O1295" s="506">
        <v>0</v>
      </c>
    </row>
    <row r="1296" spans="1:15" x14ac:dyDescent="0.35">
      <c r="A1296" s="503" t="s">
        <v>1167</v>
      </c>
      <c r="B1296" s="504">
        <v>4689</v>
      </c>
      <c r="C1296" s="504" t="s">
        <v>1089</v>
      </c>
      <c r="D1296" s="504" t="s">
        <v>3392</v>
      </c>
      <c r="E1296" s="504" t="s">
        <v>3381</v>
      </c>
      <c r="F1296" s="504" t="s">
        <v>499</v>
      </c>
      <c r="G1296" s="504" t="s">
        <v>500</v>
      </c>
      <c r="H1296" s="504" t="s">
        <v>4352</v>
      </c>
      <c r="I1296" s="504">
        <v>43</v>
      </c>
      <c r="J1296" s="504">
        <v>0</v>
      </c>
      <c r="K1296" s="504">
        <v>0</v>
      </c>
      <c r="L1296" s="504">
        <v>43</v>
      </c>
      <c r="M1296" s="504">
        <v>0</v>
      </c>
      <c r="N1296" s="504">
        <v>0</v>
      </c>
      <c r="O1296" s="505">
        <v>0</v>
      </c>
    </row>
    <row r="1297" spans="1:15" x14ac:dyDescent="0.35">
      <c r="A1297" s="500" t="s">
        <v>1102</v>
      </c>
      <c r="B1297" s="501">
        <v>4663</v>
      </c>
      <c r="C1297" s="501" t="s">
        <v>1089</v>
      </c>
      <c r="D1297" s="501" t="s">
        <v>3392</v>
      </c>
      <c r="E1297" s="501" t="s">
        <v>3381</v>
      </c>
      <c r="F1297" s="501" t="s">
        <v>499</v>
      </c>
      <c r="G1297" s="501" t="s">
        <v>500</v>
      </c>
      <c r="H1297" s="501" t="s">
        <v>4353</v>
      </c>
      <c r="I1297" s="501">
        <v>17</v>
      </c>
      <c r="J1297" s="501">
        <v>0</v>
      </c>
      <c r="K1297" s="501">
        <v>0</v>
      </c>
      <c r="L1297" s="501">
        <v>17</v>
      </c>
      <c r="M1297" s="501">
        <v>0</v>
      </c>
      <c r="N1297" s="501">
        <v>0</v>
      </c>
      <c r="O1297" s="506">
        <v>0</v>
      </c>
    </row>
    <row r="1298" spans="1:15" x14ac:dyDescent="0.35">
      <c r="A1298" s="503" t="s">
        <v>1174</v>
      </c>
      <c r="B1298" s="504">
        <v>4784</v>
      </c>
      <c r="C1298" s="504" t="s">
        <v>1089</v>
      </c>
      <c r="D1298" s="504" t="s">
        <v>3392</v>
      </c>
      <c r="E1298" s="504" t="s">
        <v>3381</v>
      </c>
      <c r="F1298" s="504" t="s">
        <v>499</v>
      </c>
      <c r="G1298" s="504" t="s">
        <v>500</v>
      </c>
      <c r="H1298" s="504" t="s">
        <v>4354</v>
      </c>
      <c r="I1298" s="504">
        <v>25</v>
      </c>
      <c r="J1298" s="504">
        <v>0</v>
      </c>
      <c r="K1298" s="504">
        <v>0</v>
      </c>
      <c r="L1298" s="504">
        <v>25</v>
      </c>
      <c r="M1298" s="504">
        <v>0</v>
      </c>
      <c r="N1298" s="504">
        <v>0</v>
      </c>
      <c r="O1298" s="505">
        <v>0</v>
      </c>
    </row>
    <row r="1299" spans="1:15" x14ac:dyDescent="0.35">
      <c r="A1299" s="500" t="s">
        <v>14208</v>
      </c>
      <c r="B1299" s="501">
        <v>4803</v>
      </c>
      <c r="C1299" s="501" t="s">
        <v>1094</v>
      </c>
      <c r="D1299" s="501" t="s">
        <v>3380</v>
      </c>
      <c r="E1299" s="501" t="s">
        <v>3381</v>
      </c>
      <c r="F1299" s="501" t="s">
        <v>499</v>
      </c>
      <c r="G1299" s="501" t="s">
        <v>500</v>
      </c>
      <c r="H1299" s="501" t="s">
        <v>14528</v>
      </c>
      <c r="I1299" s="501">
        <v>6</v>
      </c>
      <c r="J1299" s="501">
        <v>0</v>
      </c>
      <c r="K1299" s="501">
        <v>0</v>
      </c>
      <c r="L1299" s="501">
        <v>6</v>
      </c>
      <c r="M1299" s="501">
        <v>0</v>
      </c>
      <c r="N1299" s="501">
        <v>0</v>
      </c>
      <c r="O1299" s="506">
        <v>0</v>
      </c>
    </row>
    <row r="1300" spans="1:15" x14ac:dyDescent="0.35">
      <c r="A1300" s="503" t="s">
        <v>1183</v>
      </c>
      <c r="B1300" s="504" t="s">
        <v>3038</v>
      </c>
      <c r="C1300" s="504" t="s">
        <v>1094</v>
      </c>
      <c r="D1300" s="504" t="s">
        <v>3380</v>
      </c>
      <c r="E1300" s="504" t="s">
        <v>3381</v>
      </c>
      <c r="F1300" s="504" t="s">
        <v>499</v>
      </c>
      <c r="G1300" s="504" t="s">
        <v>500</v>
      </c>
      <c r="H1300" s="504" t="s">
        <v>4355</v>
      </c>
      <c r="I1300" s="504">
        <v>666</v>
      </c>
      <c r="J1300" s="504">
        <v>525</v>
      </c>
      <c r="K1300" s="504">
        <v>0</v>
      </c>
      <c r="L1300" s="504">
        <v>73</v>
      </c>
      <c r="M1300" s="504">
        <v>0</v>
      </c>
      <c r="N1300" s="504">
        <v>0</v>
      </c>
      <c r="O1300" s="505">
        <v>68</v>
      </c>
    </row>
    <row r="1301" spans="1:15" x14ac:dyDescent="0.35">
      <c r="A1301" s="500" t="s">
        <v>1186</v>
      </c>
      <c r="B1301" s="501">
        <v>4661</v>
      </c>
      <c r="C1301" s="501" t="s">
        <v>1089</v>
      </c>
      <c r="D1301" s="501" t="s">
        <v>3392</v>
      </c>
      <c r="E1301" s="501" t="s">
        <v>3381</v>
      </c>
      <c r="F1301" s="501" t="s">
        <v>499</v>
      </c>
      <c r="G1301" s="501" t="s">
        <v>500</v>
      </c>
      <c r="H1301" s="501" t="s">
        <v>4356</v>
      </c>
      <c r="I1301" s="501">
        <v>5</v>
      </c>
      <c r="J1301" s="501">
        <v>0</v>
      </c>
      <c r="K1301" s="501">
        <v>0</v>
      </c>
      <c r="L1301" s="501">
        <v>5</v>
      </c>
      <c r="M1301" s="501">
        <v>0</v>
      </c>
      <c r="N1301" s="501">
        <v>0</v>
      </c>
      <c r="O1301" s="506">
        <v>0</v>
      </c>
    </row>
    <row r="1302" spans="1:15" x14ac:dyDescent="0.35">
      <c r="A1302" s="503" t="s">
        <v>1109</v>
      </c>
      <c r="B1302" s="504" t="s">
        <v>2959</v>
      </c>
      <c r="C1302" s="504" t="s">
        <v>1094</v>
      </c>
      <c r="D1302" s="504" t="s">
        <v>3380</v>
      </c>
      <c r="E1302" s="504" t="s">
        <v>3381</v>
      </c>
      <c r="F1302" s="504" t="s">
        <v>499</v>
      </c>
      <c r="G1302" s="504" t="s">
        <v>500</v>
      </c>
      <c r="H1302" s="504" t="s">
        <v>4357</v>
      </c>
      <c r="I1302" s="504">
        <v>33</v>
      </c>
      <c r="J1302" s="504">
        <v>0</v>
      </c>
      <c r="K1302" s="504">
        <v>0</v>
      </c>
      <c r="L1302" s="504">
        <v>0</v>
      </c>
      <c r="M1302" s="504">
        <v>33</v>
      </c>
      <c r="N1302" s="504">
        <v>0</v>
      </c>
      <c r="O1302" s="505">
        <v>0</v>
      </c>
    </row>
    <row r="1303" spans="1:15" x14ac:dyDescent="0.35">
      <c r="A1303" s="500" t="s">
        <v>1190</v>
      </c>
      <c r="B1303" s="501">
        <v>4662</v>
      </c>
      <c r="C1303" s="501" t="s">
        <v>1094</v>
      </c>
      <c r="D1303" s="501" t="s">
        <v>3380</v>
      </c>
      <c r="E1303" s="501" t="s">
        <v>3381</v>
      </c>
      <c r="F1303" s="501" t="s">
        <v>499</v>
      </c>
      <c r="G1303" s="501" t="s">
        <v>500</v>
      </c>
      <c r="H1303" s="501" t="s">
        <v>4358</v>
      </c>
      <c r="I1303" s="501">
        <v>20</v>
      </c>
      <c r="J1303" s="501">
        <v>0</v>
      </c>
      <c r="K1303" s="501">
        <v>0</v>
      </c>
      <c r="L1303" s="501">
        <v>20</v>
      </c>
      <c r="M1303" s="501">
        <v>0</v>
      </c>
      <c r="N1303" s="501">
        <v>0</v>
      </c>
      <c r="O1303" s="506">
        <v>0</v>
      </c>
    </row>
    <row r="1304" spans="1:15" x14ac:dyDescent="0.35">
      <c r="A1304" s="503" t="s">
        <v>1716</v>
      </c>
      <c r="B1304" s="504" t="s">
        <v>2960</v>
      </c>
      <c r="C1304" s="504" t="s">
        <v>1094</v>
      </c>
      <c r="D1304" s="504" t="s">
        <v>3380</v>
      </c>
      <c r="E1304" s="504" t="s">
        <v>3381</v>
      </c>
      <c r="F1304" s="504" t="s">
        <v>499</v>
      </c>
      <c r="G1304" s="504" t="s">
        <v>500</v>
      </c>
      <c r="H1304" s="504" t="s">
        <v>4359</v>
      </c>
      <c r="I1304" s="504">
        <v>1037</v>
      </c>
      <c r="J1304" s="504">
        <v>850</v>
      </c>
      <c r="K1304" s="504">
        <v>0</v>
      </c>
      <c r="L1304" s="504">
        <v>30</v>
      </c>
      <c r="M1304" s="504">
        <v>134</v>
      </c>
      <c r="N1304" s="504">
        <v>0</v>
      </c>
      <c r="O1304" s="505">
        <v>23</v>
      </c>
    </row>
    <row r="1305" spans="1:15" x14ac:dyDescent="0.35">
      <c r="A1305" s="500" t="s">
        <v>11401</v>
      </c>
      <c r="B1305" s="501" t="s">
        <v>3241</v>
      </c>
      <c r="C1305" s="501" t="s">
        <v>1094</v>
      </c>
      <c r="D1305" s="501" t="s">
        <v>3380</v>
      </c>
      <c r="E1305" s="501" t="s">
        <v>3381</v>
      </c>
      <c r="F1305" s="501" t="s">
        <v>499</v>
      </c>
      <c r="G1305" s="501" t="s">
        <v>500</v>
      </c>
      <c r="H1305" s="501" t="s">
        <v>11775</v>
      </c>
      <c r="I1305" s="501">
        <v>158</v>
      </c>
      <c r="J1305" s="501">
        <v>125</v>
      </c>
      <c r="K1305" s="501">
        <v>0</v>
      </c>
      <c r="L1305" s="501">
        <v>20</v>
      </c>
      <c r="M1305" s="501">
        <v>0</v>
      </c>
      <c r="N1305" s="501">
        <v>0</v>
      </c>
      <c r="O1305" s="506">
        <v>13</v>
      </c>
    </row>
    <row r="1306" spans="1:15" x14ac:dyDescent="0.35">
      <c r="A1306" s="503" t="s">
        <v>11402</v>
      </c>
      <c r="B1306" s="504" t="s">
        <v>3344</v>
      </c>
      <c r="C1306" s="504" t="s">
        <v>1094</v>
      </c>
      <c r="D1306" s="504" t="s">
        <v>3380</v>
      </c>
      <c r="E1306" s="504" t="s">
        <v>3381</v>
      </c>
      <c r="F1306" s="504" t="s">
        <v>499</v>
      </c>
      <c r="G1306" s="504" t="s">
        <v>500</v>
      </c>
      <c r="H1306" s="504" t="s">
        <v>14529</v>
      </c>
      <c r="I1306" s="504">
        <v>36</v>
      </c>
      <c r="J1306" s="504">
        <v>36</v>
      </c>
      <c r="K1306" s="504">
        <v>0</v>
      </c>
      <c r="L1306" s="504">
        <v>0</v>
      </c>
      <c r="M1306" s="504">
        <v>0</v>
      </c>
      <c r="N1306" s="504">
        <v>0</v>
      </c>
      <c r="O1306" s="505">
        <v>0</v>
      </c>
    </row>
    <row r="1307" spans="1:15" x14ac:dyDescent="0.35">
      <c r="A1307" s="500" t="s">
        <v>1735</v>
      </c>
      <c r="B1307" s="501" t="s">
        <v>3072</v>
      </c>
      <c r="C1307" s="501" t="s">
        <v>1089</v>
      </c>
      <c r="D1307" s="501" t="s">
        <v>3392</v>
      </c>
      <c r="E1307" s="501" t="s">
        <v>3381</v>
      </c>
      <c r="F1307" s="501" t="s">
        <v>499</v>
      </c>
      <c r="G1307" s="501" t="s">
        <v>500</v>
      </c>
      <c r="H1307" s="501" t="s">
        <v>14530</v>
      </c>
      <c r="I1307" s="501">
        <v>3</v>
      </c>
      <c r="J1307" s="501">
        <v>3</v>
      </c>
      <c r="K1307" s="501">
        <v>0</v>
      </c>
      <c r="L1307" s="501">
        <v>0</v>
      </c>
      <c r="M1307" s="501">
        <v>0</v>
      </c>
      <c r="N1307" s="501">
        <v>0</v>
      </c>
      <c r="O1307" s="506">
        <v>0</v>
      </c>
    </row>
    <row r="1308" spans="1:15" x14ac:dyDescent="0.35">
      <c r="A1308" s="503" t="s">
        <v>1739</v>
      </c>
      <c r="B1308" s="504">
        <v>4857</v>
      </c>
      <c r="C1308" s="504" t="s">
        <v>1094</v>
      </c>
      <c r="D1308" s="504" t="s">
        <v>3380</v>
      </c>
      <c r="E1308" s="504" t="s">
        <v>3381</v>
      </c>
      <c r="F1308" s="504" t="s">
        <v>499</v>
      </c>
      <c r="G1308" s="504" t="s">
        <v>500</v>
      </c>
      <c r="H1308" s="504" t="s">
        <v>4361</v>
      </c>
      <c r="I1308" s="504">
        <v>167</v>
      </c>
      <c r="J1308" s="504">
        <v>117</v>
      </c>
      <c r="K1308" s="504">
        <v>0</v>
      </c>
      <c r="L1308" s="504">
        <v>11</v>
      </c>
      <c r="M1308" s="504">
        <v>16</v>
      </c>
      <c r="N1308" s="504">
        <v>0</v>
      </c>
      <c r="O1308" s="505">
        <v>23</v>
      </c>
    </row>
    <row r="1309" spans="1:15" x14ac:dyDescent="0.35">
      <c r="A1309" s="500" t="s">
        <v>1208</v>
      </c>
      <c r="B1309" s="501" t="s">
        <v>3096</v>
      </c>
      <c r="C1309" s="501" t="s">
        <v>1094</v>
      </c>
      <c r="D1309" s="501" t="s">
        <v>3380</v>
      </c>
      <c r="E1309" s="501" t="s">
        <v>3381</v>
      </c>
      <c r="F1309" s="501" t="s">
        <v>499</v>
      </c>
      <c r="G1309" s="501" t="s">
        <v>500</v>
      </c>
      <c r="H1309" s="501" t="s">
        <v>4362</v>
      </c>
      <c r="I1309" s="501">
        <v>66</v>
      </c>
      <c r="J1309" s="501">
        <v>0</v>
      </c>
      <c r="K1309" s="501">
        <v>0</v>
      </c>
      <c r="L1309" s="501">
        <v>0</v>
      </c>
      <c r="M1309" s="501">
        <v>66</v>
      </c>
      <c r="N1309" s="501">
        <v>0</v>
      </c>
      <c r="O1309" s="506">
        <v>0</v>
      </c>
    </row>
    <row r="1310" spans="1:15" x14ac:dyDescent="0.35">
      <c r="A1310" s="503" t="s">
        <v>1209</v>
      </c>
      <c r="B1310" s="504">
        <v>4779</v>
      </c>
      <c r="C1310" s="504" t="s">
        <v>1094</v>
      </c>
      <c r="D1310" s="504" t="s">
        <v>3380</v>
      </c>
      <c r="E1310" s="504" t="s">
        <v>3381</v>
      </c>
      <c r="F1310" s="504" t="s">
        <v>499</v>
      </c>
      <c r="G1310" s="504" t="s">
        <v>500</v>
      </c>
      <c r="H1310" s="504" t="s">
        <v>4363</v>
      </c>
      <c r="I1310" s="504">
        <v>39</v>
      </c>
      <c r="J1310" s="504">
        <v>0</v>
      </c>
      <c r="K1310" s="504">
        <v>0</v>
      </c>
      <c r="L1310" s="504">
        <v>39</v>
      </c>
      <c r="M1310" s="504">
        <v>0</v>
      </c>
      <c r="N1310" s="504">
        <v>0</v>
      </c>
      <c r="O1310" s="505">
        <v>0</v>
      </c>
    </row>
    <row r="1311" spans="1:15" x14ac:dyDescent="0.35">
      <c r="A1311" s="500" t="s">
        <v>1744</v>
      </c>
      <c r="B1311" s="501" t="s">
        <v>3245</v>
      </c>
      <c r="C1311" s="501" t="s">
        <v>1094</v>
      </c>
      <c r="D1311" s="501" t="s">
        <v>3380</v>
      </c>
      <c r="E1311" s="501" t="s">
        <v>3381</v>
      </c>
      <c r="F1311" s="501" t="s">
        <v>499</v>
      </c>
      <c r="G1311" s="501" t="s">
        <v>500</v>
      </c>
      <c r="H1311" s="501" t="s">
        <v>4364</v>
      </c>
      <c r="I1311" s="501">
        <v>1266</v>
      </c>
      <c r="J1311" s="501">
        <v>1196</v>
      </c>
      <c r="K1311" s="501">
        <v>0</v>
      </c>
      <c r="L1311" s="501">
        <v>2</v>
      </c>
      <c r="M1311" s="501">
        <v>29</v>
      </c>
      <c r="N1311" s="501">
        <v>1</v>
      </c>
      <c r="O1311" s="506">
        <v>39</v>
      </c>
    </row>
    <row r="1312" spans="1:15" x14ac:dyDescent="0.35">
      <c r="A1312" s="503" t="s">
        <v>1223</v>
      </c>
      <c r="B1312" s="504">
        <v>4768</v>
      </c>
      <c r="C1312" s="504" t="s">
        <v>1089</v>
      </c>
      <c r="D1312" s="504" t="s">
        <v>3392</v>
      </c>
      <c r="E1312" s="504" t="s">
        <v>3381</v>
      </c>
      <c r="F1312" s="504" t="s">
        <v>499</v>
      </c>
      <c r="G1312" s="504" t="s">
        <v>500</v>
      </c>
      <c r="H1312" s="504" t="s">
        <v>4365</v>
      </c>
      <c r="I1312" s="504">
        <v>5</v>
      </c>
      <c r="J1312" s="504">
        <v>0</v>
      </c>
      <c r="K1312" s="504">
        <v>0</v>
      </c>
      <c r="L1312" s="504">
        <v>5</v>
      </c>
      <c r="M1312" s="504">
        <v>0</v>
      </c>
      <c r="N1312" s="504">
        <v>0</v>
      </c>
      <c r="O1312" s="505">
        <v>0</v>
      </c>
    </row>
    <row r="1313" spans="1:15" x14ac:dyDescent="0.35">
      <c r="A1313" s="500" t="s">
        <v>1122</v>
      </c>
      <c r="B1313" s="501" t="s">
        <v>2994</v>
      </c>
      <c r="C1313" s="501" t="s">
        <v>1094</v>
      </c>
      <c r="D1313" s="501" t="s">
        <v>3380</v>
      </c>
      <c r="E1313" s="501" t="s">
        <v>3381</v>
      </c>
      <c r="F1313" s="501" t="s">
        <v>499</v>
      </c>
      <c r="G1313" s="501" t="s">
        <v>500</v>
      </c>
      <c r="H1313" s="501" t="s">
        <v>4366</v>
      </c>
      <c r="I1313" s="501">
        <v>429</v>
      </c>
      <c r="J1313" s="501">
        <v>357</v>
      </c>
      <c r="K1313" s="501">
        <v>0</v>
      </c>
      <c r="L1313" s="501">
        <v>4</v>
      </c>
      <c r="M1313" s="501">
        <v>58</v>
      </c>
      <c r="N1313" s="501">
        <v>0</v>
      </c>
      <c r="O1313" s="506">
        <v>10</v>
      </c>
    </row>
    <row r="1314" spans="1:15" x14ac:dyDescent="0.35">
      <c r="A1314" s="503" t="s">
        <v>1225</v>
      </c>
      <c r="B1314" s="504" t="s">
        <v>3315</v>
      </c>
      <c r="C1314" s="504" t="s">
        <v>1094</v>
      </c>
      <c r="D1314" s="504" t="s">
        <v>3380</v>
      </c>
      <c r="E1314" s="504" t="s">
        <v>3381</v>
      </c>
      <c r="F1314" s="504" t="s">
        <v>499</v>
      </c>
      <c r="G1314" s="504" t="s">
        <v>500</v>
      </c>
      <c r="H1314" s="504" t="s">
        <v>4367</v>
      </c>
      <c r="I1314" s="504">
        <v>28</v>
      </c>
      <c r="J1314" s="504">
        <v>0</v>
      </c>
      <c r="K1314" s="504">
        <v>0</v>
      </c>
      <c r="L1314" s="504">
        <v>28</v>
      </c>
      <c r="M1314" s="504">
        <v>0</v>
      </c>
      <c r="N1314" s="504">
        <v>0</v>
      </c>
      <c r="O1314" s="505">
        <v>0</v>
      </c>
    </row>
    <row r="1315" spans="1:15" x14ac:dyDescent="0.35">
      <c r="A1315" s="500" t="s">
        <v>11406</v>
      </c>
      <c r="B1315" s="501" t="s">
        <v>3091</v>
      </c>
      <c r="C1315" s="501" t="s">
        <v>1089</v>
      </c>
      <c r="D1315" s="501" t="s">
        <v>3392</v>
      </c>
      <c r="E1315" s="501" t="s">
        <v>3381</v>
      </c>
      <c r="F1315" s="501" t="s">
        <v>499</v>
      </c>
      <c r="G1315" s="501" t="s">
        <v>500</v>
      </c>
      <c r="H1315" s="501" t="s">
        <v>11992</v>
      </c>
      <c r="I1315" s="501">
        <v>188</v>
      </c>
      <c r="J1315" s="501">
        <v>188</v>
      </c>
      <c r="K1315" s="501">
        <v>0</v>
      </c>
      <c r="L1315" s="501">
        <v>0</v>
      </c>
      <c r="M1315" s="501">
        <v>0</v>
      </c>
      <c r="N1315" s="501">
        <v>0</v>
      </c>
      <c r="O1315" s="506">
        <v>0</v>
      </c>
    </row>
    <row r="1316" spans="1:15" x14ac:dyDescent="0.35">
      <c r="A1316" s="503" t="s">
        <v>1228</v>
      </c>
      <c r="B1316" s="504" t="s">
        <v>3321</v>
      </c>
      <c r="C1316" s="504" t="s">
        <v>1094</v>
      </c>
      <c r="D1316" s="504" t="s">
        <v>3380</v>
      </c>
      <c r="E1316" s="504" t="s">
        <v>3381</v>
      </c>
      <c r="F1316" s="504" t="s">
        <v>499</v>
      </c>
      <c r="G1316" s="504" t="s">
        <v>500</v>
      </c>
      <c r="H1316" s="504" t="s">
        <v>4368</v>
      </c>
      <c r="I1316" s="504">
        <v>3</v>
      </c>
      <c r="J1316" s="504">
        <v>0</v>
      </c>
      <c r="K1316" s="504">
        <v>0</v>
      </c>
      <c r="L1316" s="504">
        <v>3</v>
      </c>
      <c r="M1316" s="504">
        <v>0</v>
      </c>
      <c r="N1316" s="504">
        <v>0</v>
      </c>
      <c r="O1316" s="505">
        <v>0</v>
      </c>
    </row>
    <row r="1317" spans="1:15" x14ac:dyDescent="0.35">
      <c r="A1317" s="500" t="s">
        <v>1752</v>
      </c>
      <c r="B1317" s="501">
        <v>4653</v>
      </c>
      <c r="C1317" s="501" t="s">
        <v>1094</v>
      </c>
      <c r="D1317" s="501" t="s">
        <v>3380</v>
      </c>
      <c r="E1317" s="501" t="s">
        <v>3381</v>
      </c>
      <c r="F1317" s="501" t="s">
        <v>499</v>
      </c>
      <c r="G1317" s="501" t="s">
        <v>500</v>
      </c>
      <c r="H1317" s="501" t="s">
        <v>4369</v>
      </c>
      <c r="I1317" s="501">
        <v>65</v>
      </c>
      <c r="J1317" s="501">
        <v>0</v>
      </c>
      <c r="K1317" s="501">
        <v>0</v>
      </c>
      <c r="L1317" s="501">
        <v>65</v>
      </c>
      <c r="M1317" s="501">
        <v>0</v>
      </c>
      <c r="N1317" s="501">
        <v>0</v>
      </c>
      <c r="O1317" s="506">
        <v>0</v>
      </c>
    </row>
    <row r="1318" spans="1:15" x14ac:dyDescent="0.35">
      <c r="A1318" s="503" t="s">
        <v>1126</v>
      </c>
      <c r="B1318" s="504" t="s">
        <v>2974</v>
      </c>
      <c r="C1318" s="504" t="s">
        <v>1094</v>
      </c>
      <c r="D1318" s="504" t="s">
        <v>3380</v>
      </c>
      <c r="E1318" s="504" t="s">
        <v>3381</v>
      </c>
      <c r="F1318" s="504" t="s">
        <v>499</v>
      </c>
      <c r="G1318" s="504" t="s">
        <v>500</v>
      </c>
      <c r="H1318" s="504" t="s">
        <v>4370</v>
      </c>
      <c r="I1318" s="504">
        <v>116</v>
      </c>
      <c r="J1318" s="504">
        <v>116</v>
      </c>
      <c r="K1318" s="504">
        <v>0</v>
      </c>
      <c r="L1318" s="504">
        <v>0</v>
      </c>
      <c r="M1318" s="504">
        <v>0</v>
      </c>
      <c r="N1318" s="504">
        <v>0</v>
      </c>
      <c r="O1318" s="505">
        <v>0</v>
      </c>
    </row>
    <row r="1319" spans="1:15" x14ac:dyDescent="0.35">
      <c r="A1319" s="500" t="s">
        <v>1758</v>
      </c>
      <c r="B1319" s="501">
        <v>4612</v>
      </c>
      <c r="C1319" s="501" t="s">
        <v>1089</v>
      </c>
      <c r="D1319" s="501" t="s">
        <v>3392</v>
      </c>
      <c r="E1319" s="501" t="s">
        <v>3381</v>
      </c>
      <c r="F1319" s="501" t="s">
        <v>499</v>
      </c>
      <c r="G1319" s="501" t="s">
        <v>500</v>
      </c>
      <c r="H1319" s="501" t="s">
        <v>4371</v>
      </c>
      <c r="I1319" s="501">
        <v>149</v>
      </c>
      <c r="J1319" s="501">
        <v>97</v>
      </c>
      <c r="K1319" s="501">
        <v>12</v>
      </c>
      <c r="L1319" s="501">
        <v>40</v>
      </c>
      <c r="M1319" s="501">
        <v>0</v>
      </c>
      <c r="N1319" s="501">
        <v>0</v>
      </c>
      <c r="O1319" s="506">
        <v>0</v>
      </c>
    </row>
    <row r="1320" spans="1:15" x14ac:dyDescent="0.35">
      <c r="A1320" s="503" t="s">
        <v>1770</v>
      </c>
      <c r="B1320" s="504" t="s">
        <v>2890</v>
      </c>
      <c r="C1320" s="504" t="s">
        <v>1089</v>
      </c>
      <c r="D1320" s="504" t="s">
        <v>3392</v>
      </c>
      <c r="E1320" s="504" t="s">
        <v>3381</v>
      </c>
      <c r="F1320" s="504" t="s">
        <v>499</v>
      </c>
      <c r="G1320" s="504" t="s">
        <v>500</v>
      </c>
      <c r="H1320" s="504" t="s">
        <v>4372</v>
      </c>
      <c r="I1320" s="504">
        <v>33</v>
      </c>
      <c r="J1320" s="504">
        <v>0</v>
      </c>
      <c r="K1320" s="504">
        <v>0</v>
      </c>
      <c r="L1320" s="504">
        <v>0</v>
      </c>
      <c r="M1320" s="504">
        <v>33</v>
      </c>
      <c r="N1320" s="504">
        <v>0</v>
      </c>
      <c r="O1320" s="505">
        <v>0</v>
      </c>
    </row>
    <row r="1321" spans="1:15" x14ac:dyDescent="0.35">
      <c r="A1321" s="500" t="s">
        <v>1249</v>
      </c>
      <c r="B1321" s="501">
        <v>4729</v>
      </c>
      <c r="C1321" s="501" t="s">
        <v>1094</v>
      </c>
      <c r="D1321" s="501" t="s">
        <v>3380</v>
      </c>
      <c r="E1321" s="501" t="s">
        <v>3381</v>
      </c>
      <c r="F1321" s="501" t="s">
        <v>499</v>
      </c>
      <c r="G1321" s="501" t="s">
        <v>500</v>
      </c>
      <c r="H1321" s="501" t="s">
        <v>4373</v>
      </c>
      <c r="I1321" s="501">
        <v>243</v>
      </c>
      <c r="J1321" s="501">
        <v>196</v>
      </c>
      <c r="K1321" s="501">
        <v>0</v>
      </c>
      <c r="L1321" s="501">
        <v>0</v>
      </c>
      <c r="M1321" s="501">
        <v>37</v>
      </c>
      <c r="N1321" s="501">
        <v>0</v>
      </c>
      <c r="O1321" s="506">
        <v>10</v>
      </c>
    </row>
    <row r="1322" spans="1:15" x14ac:dyDescent="0.35">
      <c r="A1322" s="503" t="s">
        <v>1253</v>
      </c>
      <c r="B1322" s="504" t="s">
        <v>3232</v>
      </c>
      <c r="C1322" s="504" t="s">
        <v>1094</v>
      </c>
      <c r="D1322" s="504" t="s">
        <v>3380</v>
      </c>
      <c r="E1322" s="504" t="s">
        <v>3381</v>
      </c>
      <c r="F1322" s="504" t="s">
        <v>499</v>
      </c>
      <c r="G1322" s="504" t="s">
        <v>500</v>
      </c>
      <c r="H1322" s="504" t="s">
        <v>4374</v>
      </c>
      <c r="I1322" s="504">
        <v>1</v>
      </c>
      <c r="J1322" s="504">
        <v>1</v>
      </c>
      <c r="K1322" s="504">
        <v>0</v>
      </c>
      <c r="L1322" s="504">
        <v>0</v>
      </c>
      <c r="M1322" s="504">
        <v>0</v>
      </c>
      <c r="N1322" s="504">
        <v>0</v>
      </c>
      <c r="O1322" s="505">
        <v>0</v>
      </c>
    </row>
    <row r="1323" spans="1:15" x14ac:dyDescent="0.35">
      <c r="A1323" s="500" t="s">
        <v>1384</v>
      </c>
      <c r="B1323" s="501" t="s">
        <v>2938</v>
      </c>
      <c r="C1323" s="501" t="s">
        <v>1089</v>
      </c>
      <c r="D1323" s="501" t="s">
        <v>3392</v>
      </c>
      <c r="E1323" s="501" t="s">
        <v>3381</v>
      </c>
      <c r="F1323" s="501" t="s">
        <v>499</v>
      </c>
      <c r="G1323" s="501" t="s">
        <v>500</v>
      </c>
      <c r="H1323" s="501" t="s">
        <v>4375</v>
      </c>
      <c r="I1323" s="501">
        <v>26</v>
      </c>
      <c r="J1323" s="501">
        <v>0</v>
      </c>
      <c r="K1323" s="501">
        <v>0</v>
      </c>
      <c r="L1323" s="501">
        <v>26</v>
      </c>
      <c r="M1323" s="501">
        <v>0</v>
      </c>
      <c r="N1323" s="501">
        <v>0</v>
      </c>
      <c r="O1323" s="506">
        <v>0</v>
      </c>
    </row>
    <row r="1324" spans="1:15" x14ac:dyDescent="0.35">
      <c r="A1324" s="503" t="s">
        <v>1266</v>
      </c>
      <c r="B1324" s="504" t="s">
        <v>3071</v>
      </c>
      <c r="C1324" s="504" t="s">
        <v>1094</v>
      </c>
      <c r="D1324" s="504" t="s">
        <v>3380</v>
      </c>
      <c r="E1324" s="504" t="s">
        <v>3381</v>
      </c>
      <c r="F1324" s="504" t="s">
        <v>499</v>
      </c>
      <c r="G1324" s="504" t="s">
        <v>500</v>
      </c>
      <c r="H1324" s="504" t="s">
        <v>4376</v>
      </c>
      <c r="I1324" s="504">
        <v>64</v>
      </c>
      <c r="J1324" s="504">
        <v>58</v>
      </c>
      <c r="K1324" s="504">
        <v>0</v>
      </c>
      <c r="L1324" s="504">
        <v>6</v>
      </c>
      <c r="M1324" s="504">
        <v>0</v>
      </c>
      <c r="N1324" s="504">
        <v>0</v>
      </c>
      <c r="O1324" s="505">
        <v>0</v>
      </c>
    </row>
    <row r="1325" spans="1:15" x14ac:dyDescent="0.35">
      <c r="A1325" s="500" t="s">
        <v>1143</v>
      </c>
      <c r="B1325" s="501" t="s">
        <v>3281</v>
      </c>
      <c r="C1325" s="501" t="s">
        <v>1094</v>
      </c>
      <c r="D1325" s="501" t="s">
        <v>3380</v>
      </c>
      <c r="E1325" s="501" t="s">
        <v>3381</v>
      </c>
      <c r="F1325" s="501" t="s">
        <v>501</v>
      </c>
      <c r="G1325" s="501" t="s">
        <v>502</v>
      </c>
      <c r="H1325" s="501" t="s">
        <v>4377</v>
      </c>
      <c r="I1325" s="501">
        <v>210</v>
      </c>
      <c r="J1325" s="501">
        <v>202</v>
      </c>
      <c r="K1325" s="501">
        <v>0</v>
      </c>
      <c r="L1325" s="501">
        <v>0</v>
      </c>
      <c r="M1325" s="501">
        <v>0</v>
      </c>
      <c r="N1325" s="501">
        <v>24</v>
      </c>
      <c r="O1325" s="506">
        <v>8</v>
      </c>
    </row>
    <row r="1326" spans="1:15" x14ac:dyDescent="0.35">
      <c r="A1326" s="503" t="s">
        <v>1096</v>
      </c>
      <c r="B1326" s="504" t="s">
        <v>3326</v>
      </c>
      <c r="C1326" s="504" t="s">
        <v>1094</v>
      </c>
      <c r="D1326" s="504" t="s">
        <v>3380</v>
      </c>
      <c r="E1326" s="504" t="s">
        <v>3381</v>
      </c>
      <c r="F1326" s="504" t="s">
        <v>501</v>
      </c>
      <c r="G1326" s="504" t="s">
        <v>502</v>
      </c>
      <c r="H1326" s="504" t="s">
        <v>4378</v>
      </c>
      <c r="I1326" s="504">
        <v>208</v>
      </c>
      <c r="J1326" s="504">
        <v>0</v>
      </c>
      <c r="K1326" s="504">
        <v>0</v>
      </c>
      <c r="L1326" s="504">
        <v>0</v>
      </c>
      <c r="M1326" s="504">
        <v>208</v>
      </c>
      <c r="N1326" s="504">
        <v>0</v>
      </c>
      <c r="O1326" s="505">
        <v>0</v>
      </c>
    </row>
    <row r="1327" spans="1:15" x14ac:dyDescent="0.35">
      <c r="A1327" s="500" t="s">
        <v>1151</v>
      </c>
      <c r="B1327" s="501">
        <v>4726</v>
      </c>
      <c r="C1327" s="501" t="s">
        <v>1089</v>
      </c>
      <c r="D1327" s="501" t="s">
        <v>3392</v>
      </c>
      <c r="E1327" s="501" t="s">
        <v>3381</v>
      </c>
      <c r="F1327" s="501" t="s">
        <v>501</v>
      </c>
      <c r="G1327" s="501" t="s">
        <v>502</v>
      </c>
      <c r="H1327" s="501" t="s">
        <v>4379</v>
      </c>
      <c r="I1327" s="501">
        <v>2</v>
      </c>
      <c r="J1327" s="501">
        <v>2</v>
      </c>
      <c r="K1327" s="501">
        <v>0</v>
      </c>
      <c r="L1327" s="501">
        <v>0</v>
      </c>
      <c r="M1327" s="501">
        <v>0</v>
      </c>
      <c r="N1327" s="501">
        <v>0</v>
      </c>
      <c r="O1327" s="506">
        <v>0</v>
      </c>
    </row>
    <row r="1328" spans="1:15" x14ac:dyDescent="0.35">
      <c r="A1328" s="503" t="s">
        <v>11363</v>
      </c>
      <c r="B1328" s="504">
        <v>4718</v>
      </c>
      <c r="C1328" s="504" t="s">
        <v>1094</v>
      </c>
      <c r="D1328" s="504" t="s">
        <v>3380</v>
      </c>
      <c r="E1328" s="504" t="s">
        <v>3381</v>
      </c>
      <c r="F1328" s="504" t="s">
        <v>501</v>
      </c>
      <c r="G1328" s="504" t="s">
        <v>502</v>
      </c>
      <c r="H1328" s="504" t="s">
        <v>11522</v>
      </c>
      <c r="I1328" s="504">
        <v>11</v>
      </c>
      <c r="J1328" s="504">
        <v>0</v>
      </c>
      <c r="K1328" s="504">
        <v>0</v>
      </c>
      <c r="L1328" s="504">
        <v>11</v>
      </c>
      <c r="M1328" s="504">
        <v>0</v>
      </c>
      <c r="N1328" s="504">
        <v>0</v>
      </c>
      <c r="O1328" s="505">
        <v>0</v>
      </c>
    </row>
    <row r="1329" spans="1:15" x14ac:dyDescent="0.35">
      <c r="A1329" s="500" t="s">
        <v>2138</v>
      </c>
      <c r="B1329" s="501">
        <v>5050</v>
      </c>
      <c r="C1329" s="501" t="s">
        <v>1089</v>
      </c>
      <c r="D1329" s="501" t="s">
        <v>3392</v>
      </c>
      <c r="E1329" s="501" t="s">
        <v>3381</v>
      </c>
      <c r="F1329" s="501" t="s">
        <v>501</v>
      </c>
      <c r="G1329" s="501" t="s">
        <v>502</v>
      </c>
      <c r="H1329" s="501" t="s">
        <v>4380</v>
      </c>
      <c r="I1329" s="501">
        <v>6</v>
      </c>
      <c r="J1329" s="501">
        <v>6</v>
      </c>
      <c r="K1329" s="501">
        <v>0</v>
      </c>
      <c r="L1329" s="501">
        <v>0</v>
      </c>
      <c r="M1329" s="501">
        <v>0</v>
      </c>
      <c r="N1329" s="501">
        <v>0</v>
      </c>
      <c r="O1329" s="506">
        <v>0</v>
      </c>
    </row>
    <row r="1330" spans="1:15" x14ac:dyDescent="0.35">
      <c r="A1330" s="503" t="s">
        <v>2139</v>
      </c>
      <c r="B1330" s="504" t="s">
        <v>2596</v>
      </c>
      <c r="C1330" s="504" t="s">
        <v>1089</v>
      </c>
      <c r="D1330" s="504" t="s">
        <v>3392</v>
      </c>
      <c r="E1330" s="504" t="s">
        <v>3381</v>
      </c>
      <c r="F1330" s="504" t="s">
        <v>501</v>
      </c>
      <c r="G1330" s="504" t="s">
        <v>502</v>
      </c>
      <c r="H1330" s="504" t="s">
        <v>4381</v>
      </c>
      <c r="I1330" s="504">
        <v>4</v>
      </c>
      <c r="J1330" s="504">
        <v>0</v>
      </c>
      <c r="K1330" s="504">
        <v>0</v>
      </c>
      <c r="L1330" s="504">
        <v>0</v>
      </c>
      <c r="M1330" s="504">
        <v>4</v>
      </c>
      <c r="N1330" s="504">
        <v>0</v>
      </c>
      <c r="O1330" s="505">
        <v>0</v>
      </c>
    </row>
    <row r="1331" spans="1:15" x14ac:dyDescent="0.35">
      <c r="A1331" s="500" t="s">
        <v>2140</v>
      </c>
      <c r="B1331" s="501">
        <v>4821</v>
      </c>
      <c r="C1331" s="501" t="s">
        <v>1089</v>
      </c>
      <c r="D1331" s="501" t="s">
        <v>3392</v>
      </c>
      <c r="E1331" s="501" t="s">
        <v>3381</v>
      </c>
      <c r="F1331" s="501" t="s">
        <v>501</v>
      </c>
      <c r="G1331" s="501" t="s">
        <v>502</v>
      </c>
      <c r="H1331" s="501" t="s">
        <v>4382</v>
      </c>
      <c r="I1331" s="501">
        <v>71</v>
      </c>
      <c r="J1331" s="501">
        <v>0</v>
      </c>
      <c r="K1331" s="501">
        <v>0</v>
      </c>
      <c r="L1331" s="501">
        <v>71</v>
      </c>
      <c r="M1331" s="501">
        <v>0</v>
      </c>
      <c r="N1331" s="501">
        <v>0</v>
      </c>
      <c r="O1331" s="506">
        <v>0</v>
      </c>
    </row>
    <row r="1332" spans="1:15" x14ac:dyDescent="0.35">
      <c r="A1332" s="503" t="s">
        <v>2142</v>
      </c>
      <c r="B1332" s="504" t="s">
        <v>3100</v>
      </c>
      <c r="C1332" s="504" t="s">
        <v>1094</v>
      </c>
      <c r="D1332" s="504" t="s">
        <v>3380</v>
      </c>
      <c r="E1332" s="504" t="s">
        <v>3381</v>
      </c>
      <c r="F1332" s="504" t="s">
        <v>501</v>
      </c>
      <c r="G1332" s="504" t="s">
        <v>502</v>
      </c>
      <c r="H1332" s="504" t="s">
        <v>4383</v>
      </c>
      <c r="I1332" s="504">
        <v>210</v>
      </c>
      <c r="J1332" s="504">
        <v>139</v>
      </c>
      <c r="K1332" s="504">
        <v>0</v>
      </c>
      <c r="L1332" s="504">
        <v>0</v>
      </c>
      <c r="M1332" s="504">
        <v>69</v>
      </c>
      <c r="N1332" s="504">
        <v>0</v>
      </c>
      <c r="O1332" s="505">
        <v>2</v>
      </c>
    </row>
    <row r="1333" spans="1:15" x14ac:dyDescent="0.35">
      <c r="A1333" s="500" t="s">
        <v>1167</v>
      </c>
      <c r="B1333" s="501">
        <v>4689</v>
      </c>
      <c r="C1333" s="501" t="s">
        <v>1089</v>
      </c>
      <c r="D1333" s="501" t="s">
        <v>3392</v>
      </c>
      <c r="E1333" s="501" t="s">
        <v>3381</v>
      </c>
      <c r="F1333" s="501" t="s">
        <v>501</v>
      </c>
      <c r="G1333" s="501" t="s">
        <v>502</v>
      </c>
      <c r="H1333" s="501" t="s">
        <v>4384</v>
      </c>
      <c r="I1333" s="501">
        <v>7</v>
      </c>
      <c r="J1333" s="501">
        <v>0</v>
      </c>
      <c r="K1333" s="501">
        <v>0</v>
      </c>
      <c r="L1333" s="501">
        <v>7</v>
      </c>
      <c r="M1333" s="501">
        <v>0</v>
      </c>
      <c r="N1333" s="501">
        <v>0</v>
      </c>
      <c r="O1333" s="506">
        <v>0</v>
      </c>
    </row>
    <row r="1334" spans="1:15" x14ac:dyDescent="0.35">
      <c r="A1334" s="503" t="s">
        <v>2147</v>
      </c>
      <c r="B1334" s="504" t="s">
        <v>2460</v>
      </c>
      <c r="C1334" s="504" t="s">
        <v>1089</v>
      </c>
      <c r="D1334" s="504" t="s">
        <v>3392</v>
      </c>
      <c r="E1334" s="504" t="s">
        <v>3381</v>
      </c>
      <c r="F1334" s="504" t="s">
        <v>501</v>
      </c>
      <c r="G1334" s="504" t="s">
        <v>502</v>
      </c>
      <c r="H1334" s="504" t="s">
        <v>4385</v>
      </c>
      <c r="I1334" s="504">
        <v>21</v>
      </c>
      <c r="J1334" s="504">
        <v>21</v>
      </c>
      <c r="K1334" s="504">
        <v>0</v>
      </c>
      <c r="L1334" s="504">
        <v>0</v>
      </c>
      <c r="M1334" s="504">
        <v>0</v>
      </c>
      <c r="N1334" s="504">
        <v>0</v>
      </c>
      <c r="O1334" s="505">
        <v>0</v>
      </c>
    </row>
    <row r="1335" spans="1:15" x14ac:dyDescent="0.35">
      <c r="A1335" s="500" t="s">
        <v>14208</v>
      </c>
      <c r="B1335" s="501">
        <v>4803</v>
      </c>
      <c r="C1335" s="501" t="s">
        <v>1094</v>
      </c>
      <c r="D1335" s="501" t="s">
        <v>3380</v>
      </c>
      <c r="E1335" s="501" t="s">
        <v>3381</v>
      </c>
      <c r="F1335" s="501" t="s">
        <v>501</v>
      </c>
      <c r="G1335" s="501" t="s">
        <v>502</v>
      </c>
      <c r="H1335" s="501" t="s">
        <v>14531</v>
      </c>
      <c r="I1335" s="501">
        <v>33</v>
      </c>
      <c r="J1335" s="501">
        <v>0</v>
      </c>
      <c r="K1335" s="501">
        <v>0</v>
      </c>
      <c r="L1335" s="501">
        <v>33</v>
      </c>
      <c r="M1335" s="501">
        <v>0</v>
      </c>
      <c r="N1335" s="501">
        <v>0</v>
      </c>
      <c r="O1335" s="506">
        <v>0</v>
      </c>
    </row>
    <row r="1336" spans="1:15" x14ac:dyDescent="0.35">
      <c r="A1336" s="503" t="s">
        <v>1105</v>
      </c>
      <c r="B1336" s="504">
        <v>4668</v>
      </c>
      <c r="C1336" s="504" t="s">
        <v>1094</v>
      </c>
      <c r="D1336" s="504" t="s">
        <v>3380</v>
      </c>
      <c r="E1336" s="504" t="s">
        <v>3381</v>
      </c>
      <c r="F1336" s="504" t="s">
        <v>501</v>
      </c>
      <c r="G1336" s="504" t="s">
        <v>502</v>
      </c>
      <c r="H1336" s="504" t="s">
        <v>4386</v>
      </c>
      <c r="I1336" s="504">
        <v>10</v>
      </c>
      <c r="J1336" s="504">
        <v>0</v>
      </c>
      <c r="K1336" s="504">
        <v>0</v>
      </c>
      <c r="L1336" s="504">
        <v>0</v>
      </c>
      <c r="M1336" s="504">
        <v>0</v>
      </c>
      <c r="N1336" s="504">
        <v>0</v>
      </c>
      <c r="O1336" s="505">
        <v>10</v>
      </c>
    </row>
    <row r="1337" spans="1:15" x14ac:dyDescent="0.35">
      <c r="A1337" s="500" t="s">
        <v>2155</v>
      </c>
      <c r="B1337" s="501">
        <v>4776</v>
      </c>
      <c r="C1337" s="501" t="s">
        <v>1089</v>
      </c>
      <c r="D1337" s="501" t="s">
        <v>3392</v>
      </c>
      <c r="E1337" s="501" t="s">
        <v>3381</v>
      </c>
      <c r="F1337" s="501" t="s">
        <v>501</v>
      </c>
      <c r="G1337" s="501" t="s">
        <v>502</v>
      </c>
      <c r="H1337" s="501" t="s">
        <v>4387</v>
      </c>
      <c r="I1337" s="501">
        <v>59</v>
      </c>
      <c r="J1337" s="501">
        <v>0</v>
      </c>
      <c r="K1337" s="501">
        <v>0</v>
      </c>
      <c r="L1337" s="501">
        <v>59</v>
      </c>
      <c r="M1337" s="501">
        <v>0</v>
      </c>
      <c r="N1337" s="501">
        <v>0</v>
      </c>
      <c r="O1337" s="506">
        <v>0</v>
      </c>
    </row>
    <row r="1338" spans="1:15" x14ac:dyDescent="0.35">
      <c r="A1338" s="503" t="s">
        <v>1188</v>
      </c>
      <c r="B1338" s="504">
        <v>4760</v>
      </c>
      <c r="C1338" s="504" t="s">
        <v>1089</v>
      </c>
      <c r="D1338" s="504" t="s">
        <v>3392</v>
      </c>
      <c r="E1338" s="504" t="s">
        <v>3381</v>
      </c>
      <c r="F1338" s="504" t="s">
        <v>501</v>
      </c>
      <c r="G1338" s="504" t="s">
        <v>502</v>
      </c>
      <c r="H1338" s="504" t="s">
        <v>4388</v>
      </c>
      <c r="I1338" s="504">
        <v>20</v>
      </c>
      <c r="J1338" s="504">
        <v>0</v>
      </c>
      <c r="K1338" s="504">
        <v>0</v>
      </c>
      <c r="L1338" s="504">
        <v>20</v>
      </c>
      <c r="M1338" s="504">
        <v>0</v>
      </c>
      <c r="N1338" s="504">
        <v>0</v>
      </c>
      <c r="O1338" s="505">
        <v>0</v>
      </c>
    </row>
    <row r="1339" spans="1:15" x14ac:dyDescent="0.35">
      <c r="A1339" s="500" t="s">
        <v>1107</v>
      </c>
      <c r="B1339" s="501" t="s">
        <v>3109</v>
      </c>
      <c r="C1339" s="501" t="s">
        <v>1094</v>
      </c>
      <c r="D1339" s="501" t="s">
        <v>3380</v>
      </c>
      <c r="E1339" s="501" t="s">
        <v>3381</v>
      </c>
      <c r="F1339" s="501" t="s">
        <v>501</v>
      </c>
      <c r="G1339" s="501" t="s">
        <v>502</v>
      </c>
      <c r="H1339" s="501" t="s">
        <v>4389</v>
      </c>
      <c r="I1339" s="501">
        <v>512</v>
      </c>
      <c r="J1339" s="501">
        <v>489</v>
      </c>
      <c r="K1339" s="501">
        <v>0</v>
      </c>
      <c r="L1339" s="501">
        <v>23</v>
      </c>
      <c r="M1339" s="501">
        <v>0</v>
      </c>
      <c r="N1339" s="501">
        <v>0</v>
      </c>
      <c r="O1339" s="506">
        <v>0</v>
      </c>
    </row>
    <row r="1340" spans="1:15" x14ac:dyDescent="0.35">
      <c r="A1340" s="503" t="s">
        <v>1109</v>
      </c>
      <c r="B1340" s="504" t="s">
        <v>2959</v>
      </c>
      <c r="C1340" s="504" t="s">
        <v>1094</v>
      </c>
      <c r="D1340" s="504" t="s">
        <v>3380</v>
      </c>
      <c r="E1340" s="504" t="s">
        <v>3381</v>
      </c>
      <c r="F1340" s="504" t="s">
        <v>501</v>
      </c>
      <c r="G1340" s="504" t="s">
        <v>502</v>
      </c>
      <c r="H1340" s="504" t="s">
        <v>4390</v>
      </c>
      <c r="I1340" s="504">
        <v>131</v>
      </c>
      <c r="J1340" s="504">
        <v>0</v>
      </c>
      <c r="K1340" s="504">
        <v>0</v>
      </c>
      <c r="L1340" s="504">
        <v>0</v>
      </c>
      <c r="M1340" s="504">
        <v>131</v>
      </c>
      <c r="N1340" s="504">
        <v>0</v>
      </c>
      <c r="O1340" s="505">
        <v>0</v>
      </c>
    </row>
    <row r="1341" spans="1:15" x14ac:dyDescent="0.35">
      <c r="A1341" s="500" t="s">
        <v>1634</v>
      </c>
      <c r="B1341" s="501">
        <v>4822</v>
      </c>
      <c r="C1341" s="501" t="s">
        <v>1089</v>
      </c>
      <c r="D1341" s="501" t="s">
        <v>3392</v>
      </c>
      <c r="E1341" s="501" t="s">
        <v>3381</v>
      </c>
      <c r="F1341" s="501" t="s">
        <v>501</v>
      </c>
      <c r="G1341" s="501" t="s">
        <v>502</v>
      </c>
      <c r="H1341" s="501" t="s">
        <v>4391</v>
      </c>
      <c r="I1341" s="501">
        <v>5</v>
      </c>
      <c r="J1341" s="501">
        <v>0</v>
      </c>
      <c r="K1341" s="501">
        <v>0</v>
      </c>
      <c r="L1341" s="501">
        <v>5</v>
      </c>
      <c r="M1341" s="501">
        <v>0</v>
      </c>
      <c r="N1341" s="501">
        <v>0</v>
      </c>
      <c r="O1341" s="506">
        <v>0</v>
      </c>
    </row>
    <row r="1342" spans="1:15" x14ac:dyDescent="0.35">
      <c r="A1342" s="503" t="s">
        <v>1190</v>
      </c>
      <c r="B1342" s="504">
        <v>4662</v>
      </c>
      <c r="C1342" s="504" t="s">
        <v>1094</v>
      </c>
      <c r="D1342" s="504" t="s">
        <v>3380</v>
      </c>
      <c r="E1342" s="504" t="s">
        <v>3381</v>
      </c>
      <c r="F1342" s="504" t="s">
        <v>501</v>
      </c>
      <c r="G1342" s="504" t="s">
        <v>502</v>
      </c>
      <c r="H1342" s="504" t="s">
        <v>4392</v>
      </c>
      <c r="I1342" s="504">
        <v>44</v>
      </c>
      <c r="J1342" s="504">
        <v>0</v>
      </c>
      <c r="K1342" s="504">
        <v>0</v>
      </c>
      <c r="L1342" s="504">
        <v>44</v>
      </c>
      <c r="M1342" s="504">
        <v>0</v>
      </c>
      <c r="N1342" s="504">
        <v>0</v>
      </c>
      <c r="O1342" s="505">
        <v>0</v>
      </c>
    </row>
    <row r="1343" spans="1:15" x14ac:dyDescent="0.35">
      <c r="A1343" s="500" t="s">
        <v>2163</v>
      </c>
      <c r="B1343" s="501" t="s">
        <v>2482</v>
      </c>
      <c r="C1343" s="501" t="s">
        <v>1089</v>
      </c>
      <c r="D1343" s="501" t="s">
        <v>3392</v>
      </c>
      <c r="E1343" s="501" t="s">
        <v>3381</v>
      </c>
      <c r="F1343" s="501" t="s">
        <v>501</v>
      </c>
      <c r="G1343" s="501" t="s">
        <v>502</v>
      </c>
      <c r="H1343" s="501" t="s">
        <v>4393</v>
      </c>
      <c r="I1343" s="501">
        <v>32</v>
      </c>
      <c r="J1343" s="501">
        <v>0</v>
      </c>
      <c r="K1343" s="501">
        <v>0</v>
      </c>
      <c r="L1343" s="501">
        <v>0</v>
      </c>
      <c r="M1343" s="501">
        <v>32</v>
      </c>
      <c r="N1343" s="501">
        <v>0</v>
      </c>
      <c r="O1343" s="506">
        <v>0</v>
      </c>
    </row>
    <row r="1344" spans="1:15" x14ac:dyDescent="0.35">
      <c r="A1344" s="503" t="s">
        <v>1739</v>
      </c>
      <c r="B1344" s="504">
        <v>4857</v>
      </c>
      <c r="C1344" s="504" t="s">
        <v>1094</v>
      </c>
      <c r="D1344" s="504" t="s">
        <v>3380</v>
      </c>
      <c r="E1344" s="504" t="s">
        <v>3381</v>
      </c>
      <c r="F1344" s="504" t="s">
        <v>501</v>
      </c>
      <c r="G1344" s="504" t="s">
        <v>502</v>
      </c>
      <c r="H1344" s="504" t="s">
        <v>4394</v>
      </c>
      <c r="I1344" s="504">
        <v>159</v>
      </c>
      <c r="J1344" s="504">
        <v>120</v>
      </c>
      <c r="K1344" s="504">
        <v>0</v>
      </c>
      <c r="L1344" s="504">
        <v>26</v>
      </c>
      <c r="M1344" s="504">
        <v>0</v>
      </c>
      <c r="N1344" s="504">
        <v>0</v>
      </c>
      <c r="O1344" s="505">
        <v>13</v>
      </c>
    </row>
    <row r="1345" spans="1:15" x14ac:dyDescent="0.35">
      <c r="A1345" s="500" t="s">
        <v>1209</v>
      </c>
      <c r="B1345" s="501">
        <v>4779</v>
      </c>
      <c r="C1345" s="501" t="s">
        <v>1094</v>
      </c>
      <c r="D1345" s="501" t="s">
        <v>3380</v>
      </c>
      <c r="E1345" s="501" t="s">
        <v>3381</v>
      </c>
      <c r="F1345" s="501" t="s">
        <v>501</v>
      </c>
      <c r="G1345" s="501" t="s">
        <v>502</v>
      </c>
      <c r="H1345" s="501" t="s">
        <v>4395</v>
      </c>
      <c r="I1345" s="501">
        <v>14</v>
      </c>
      <c r="J1345" s="501">
        <v>0</v>
      </c>
      <c r="K1345" s="501">
        <v>0</v>
      </c>
      <c r="L1345" s="501">
        <v>14</v>
      </c>
      <c r="M1345" s="501">
        <v>0</v>
      </c>
      <c r="N1345" s="501">
        <v>0</v>
      </c>
      <c r="O1345" s="506">
        <v>0</v>
      </c>
    </row>
    <row r="1346" spans="1:15" x14ac:dyDescent="0.35">
      <c r="A1346" s="503" t="s">
        <v>1122</v>
      </c>
      <c r="B1346" s="504" t="s">
        <v>2994</v>
      </c>
      <c r="C1346" s="504" t="s">
        <v>1094</v>
      </c>
      <c r="D1346" s="504" t="s">
        <v>3380</v>
      </c>
      <c r="E1346" s="504" t="s">
        <v>3381</v>
      </c>
      <c r="F1346" s="504" t="s">
        <v>501</v>
      </c>
      <c r="G1346" s="504" t="s">
        <v>502</v>
      </c>
      <c r="H1346" s="504" t="s">
        <v>4396</v>
      </c>
      <c r="I1346" s="504">
        <v>523</v>
      </c>
      <c r="J1346" s="504">
        <v>342</v>
      </c>
      <c r="K1346" s="504">
        <v>0</v>
      </c>
      <c r="L1346" s="504">
        <v>0</v>
      </c>
      <c r="M1346" s="504">
        <v>104</v>
      </c>
      <c r="N1346" s="504">
        <v>0</v>
      </c>
      <c r="O1346" s="505">
        <v>77</v>
      </c>
    </row>
    <row r="1347" spans="1:15" x14ac:dyDescent="0.35">
      <c r="A1347" s="500" t="s">
        <v>1225</v>
      </c>
      <c r="B1347" s="501" t="s">
        <v>3315</v>
      </c>
      <c r="C1347" s="501" t="s">
        <v>1094</v>
      </c>
      <c r="D1347" s="501" t="s">
        <v>3380</v>
      </c>
      <c r="E1347" s="501" t="s">
        <v>3381</v>
      </c>
      <c r="F1347" s="501" t="s">
        <v>501</v>
      </c>
      <c r="G1347" s="501" t="s">
        <v>502</v>
      </c>
      <c r="H1347" s="501" t="s">
        <v>4397</v>
      </c>
      <c r="I1347" s="501">
        <v>37</v>
      </c>
      <c r="J1347" s="501">
        <v>0</v>
      </c>
      <c r="K1347" s="501">
        <v>0</v>
      </c>
      <c r="L1347" s="501">
        <v>37</v>
      </c>
      <c r="M1347" s="501">
        <v>0</v>
      </c>
      <c r="N1347" s="501">
        <v>0</v>
      </c>
      <c r="O1347" s="506">
        <v>0</v>
      </c>
    </row>
    <row r="1348" spans="1:15" x14ac:dyDescent="0.35">
      <c r="A1348" s="503" t="s">
        <v>1235</v>
      </c>
      <c r="B1348" s="504">
        <v>4684</v>
      </c>
      <c r="C1348" s="504" t="s">
        <v>1094</v>
      </c>
      <c r="D1348" s="504" t="s">
        <v>3380</v>
      </c>
      <c r="E1348" s="504" t="s">
        <v>3381</v>
      </c>
      <c r="F1348" s="504" t="s">
        <v>501</v>
      </c>
      <c r="G1348" s="504" t="s">
        <v>502</v>
      </c>
      <c r="H1348" s="504" t="s">
        <v>12098</v>
      </c>
      <c r="I1348" s="504">
        <v>5</v>
      </c>
      <c r="J1348" s="504">
        <v>0</v>
      </c>
      <c r="K1348" s="504">
        <v>0</v>
      </c>
      <c r="L1348" s="504">
        <v>5</v>
      </c>
      <c r="M1348" s="504">
        <v>0</v>
      </c>
      <c r="N1348" s="504">
        <v>0</v>
      </c>
      <c r="O1348" s="505">
        <v>0</v>
      </c>
    </row>
    <row r="1349" spans="1:15" x14ac:dyDescent="0.35">
      <c r="A1349" s="500" t="s">
        <v>1126</v>
      </c>
      <c r="B1349" s="501" t="s">
        <v>2974</v>
      </c>
      <c r="C1349" s="501" t="s">
        <v>1094</v>
      </c>
      <c r="D1349" s="501" t="s">
        <v>3380</v>
      </c>
      <c r="E1349" s="501" t="s">
        <v>3381</v>
      </c>
      <c r="F1349" s="501" t="s">
        <v>501</v>
      </c>
      <c r="G1349" s="501" t="s">
        <v>502</v>
      </c>
      <c r="H1349" s="501" t="s">
        <v>4398</v>
      </c>
      <c r="I1349" s="501">
        <v>489</v>
      </c>
      <c r="J1349" s="501">
        <v>437</v>
      </c>
      <c r="K1349" s="501">
        <v>0</v>
      </c>
      <c r="L1349" s="501">
        <v>9</v>
      </c>
      <c r="M1349" s="501">
        <v>25</v>
      </c>
      <c r="N1349" s="501">
        <v>0</v>
      </c>
      <c r="O1349" s="506">
        <v>18</v>
      </c>
    </row>
    <row r="1350" spans="1:15" x14ac:dyDescent="0.35">
      <c r="A1350" s="503" t="s">
        <v>1240</v>
      </c>
      <c r="B1350" s="504" t="s">
        <v>2972</v>
      </c>
      <c r="C1350" s="504" t="s">
        <v>1094</v>
      </c>
      <c r="D1350" s="504" t="s">
        <v>3380</v>
      </c>
      <c r="E1350" s="504" t="s">
        <v>3381</v>
      </c>
      <c r="F1350" s="504" t="s">
        <v>501</v>
      </c>
      <c r="G1350" s="504" t="s">
        <v>502</v>
      </c>
      <c r="H1350" s="504" t="s">
        <v>4399</v>
      </c>
      <c r="I1350" s="504">
        <v>187</v>
      </c>
      <c r="J1350" s="504">
        <v>179</v>
      </c>
      <c r="K1350" s="504">
        <v>0</v>
      </c>
      <c r="L1350" s="504">
        <v>2</v>
      </c>
      <c r="M1350" s="504">
        <v>0</v>
      </c>
      <c r="N1350" s="504">
        <v>0</v>
      </c>
      <c r="O1350" s="505">
        <v>6</v>
      </c>
    </row>
    <row r="1351" spans="1:15" x14ac:dyDescent="0.35">
      <c r="A1351" s="500" t="s">
        <v>1134</v>
      </c>
      <c r="B1351" s="501" t="s">
        <v>3066</v>
      </c>
      <c r="C1351" s="501" t="s">
        <v>1094</v>
      </c>
      <c r="D1351" s="501" t="s">
        <v>3380</v>
      </c>
      <c r="E1351" s="501" t="s">
        <v>3381</v>
      </c>
      <c r="F1351" s="501" t="s">
        <v>501</v>
      </c>
      <c r="G1351" s="501" t="s">
        <v>502</v>
      </c>
      <c r="H1351" s="501" t="s">
        <v>12152</v>
      </c>
      <c r="I1351" s="501">
        <v>389</v>
      </c>
      <c r="J1351" s="501">
        <v>312</v>
      </c>
      <c r="K1351" s="501">
        <v>0</v>
      </c>
      <c r="L1351" s="501">
        <v>21</v>
      </c>
      <c r="M1351" s="501">
        <v>56</v>
      </c>
      <c r="N1351" s="501">
        <v>0</v>
      </c>
      <c r="O1351" s="506">
        <v>0</v>
      </c>
    </row>
    <row r="1352" spans="1:15" x14ac:dyDescent="0.35">
      <c r="A1352" s="503" t="s">
        <v>1249</v>
      </c>
      <c r="B1352" s="504">
        <v>4729</v>
      </c>
      <c r="C1352" s="504" t="s">
        <v>1094</v>
      </c>
      <c r="D1352" s="504" t="s">
        <v>3380</v>
      </c>
      <c r="E1352" s="504" t="s">
        <v>3381</v>
      </c>
      <c r="F1352" s="504" t="s">
        <v>501</v>
      </c>
      <c r="G1352" s="504" t="s">
        <v>502</v>
      </c>
      <c r="H1352" s="504" t="s">
        <v>4400</v>
      </c>
      <c r="I1352" s="504">
        <v>1</v>
      </c>
      <c r="J1352" s="504">
        <v>0</v>
      </c>
      <c r="K1352" s="504">
        <v>0</v>
      </c>
      <c r="L1352" s="504">
        <v>0</v>
      </c>
      <c r="M1352" s="504">
        <v>0</v>
      </c>
      <c r="N1352" s="504">
        <v>0</v>
      </c>
      <c r="O1352" s="505">
        <v>1</v>
      </c>
    </row>
    <row r="1353" spans="1:15" x14ac:dyDescent="0.35">
      <c r="A1353" s="500" t="s">
        <v>1253</v>
      </c>
      <c r="B1353" s="501" t="s">
        <v>3232</v>
      </c>
      <c r="C1353" s="501" t="s">
        <v>1094</v>
      </c>
      <c r="D1353" s="501" t="s">
        <v>3380</v>
      </c>
      <c r="E1353" s="501" t="s">
        <v>3381</v>
      </c>
      <c r="F1353" s="501" t="s">
        <v>501</v>
      </c>
      <c r="G1353" s="501" t="s">
        <v>502</v>
      </c>
      <c r="H1353" s="501" t="s">
        <v>4401</v>
      </c>
      <c r="I1353" s="501">
        <v>19</v>
      </c>
      <c r="J1353" s="501">
        <v>0</v>
      </c>
      <c r="K1353" s="501">
        <v>0</v>
      </c>
      <c r="L1353" s="501">
        <v>0</v>
      </c>
      <c r="M1353" s="501">
        <v>19</v>
      </c>
      <c r="N1353" s="501">
        <v>0</v>
      </c>
      <c r="O1353" s="506">
        <v>0</v>
      </c>
    </row>
    <row r="1354" spans="1:15" x14ac:dyDescent="0.35">
      <c r="A1354" s="503" t="s">
        <v>11476</v>
      </c>
      <c r="B1354" s="504" t="s">
        <v>2649</v>
      </c>
      <c r="C1354" s="504" t="s">
        <v>1089</v>
      </c>
      <c r="D1354" s="504" t="s">
        <v>3392</v>
      </c>
      <c r="E1354" s="504" t="s">
        <v>3381</v>
      </c>
      <c r="F1354" s="504" t="s">
        <v>501</v>
      </c>
      <c r="G1354" s="504" t="s">
        <v>502</v>
      </c>
      <c r="H1354" s="504" t="s">
        <v>12233</v>
      </c>
      <c r="I1354" s="504">
        <v>4</v>
      </c>
      <c r="J1354" s="504">
        <v>0</v>
      </c>
      <c r="K1354" s="504">
        <v>0</v>
      </c>
      <c r="L1354" s="504">
        <v>0</v>
      </c>
      <c r="M1354" s="504">
        <v>4</v>
      </c>
      <c r="N1354" s="504">
        <v>0</v>
      </c>
      <c r="O1354" s="505">
        <v>0</v>
      </c>
    </row>
    <row r="1355" spans="1:15" x14ac:dyDescent="0.35">
      <c r="A1355" s="500" t="s">
        <v>1257</v>
      </c>
      <c r="B1355" s="501" t="s">
        <v>3151</v>
      </c>
      <c r="C1355" s="501" t="s">
        <v>1094</v>
      </c>
      <c r="D1355" s="501" t="s">
        <v>3380</v>
      </c>
      <c r="E1355" s="501" t="s">
        <v>3381</v>
      </c>
      <c r="F1355" s="501" t="s">
        <v>501</v>
      </c>
      <c r="G1355" s="501" t="s">
        <v>502</v>
      </c>
      <c r="H1355" s="501" t="s">
        <v>4402</v>
      </c>
      <c r="I1355" s="501">
        <v>10211</v>
      </c>
      <c r="J1355" s="501">
        <v>9712</v>
      </c>
      <c r="K1355" s="501">
        <v>0</v>
      </c>
      <c r="L1355" s="501">
        <v>43</v>
      </c>
      <c r="M1355" s="501">
        <v>348</v>
      </c>
      <c r="N1355" s="501">
        <v>1</v>
      </c>
      <c r="O1355" s="506">
        <v>108</v>
      </c>
    </row>
    <row r="1356" spans="1:15" x14ac:dyDescent="0.35">
      <c r="A1356" s="503" t="s">
        <v>1789</v>
      </c>
      <c r="B1356" s="504" t="s">
        <v>3219</v>
      </c>
      <c r="C1356" s="504" t="s">
        <v>1094</v>
      </c>
      <c r="D1356" s="504" t="s">
        <v>3380</v>
      </c>
      <c r="E1356" s="504" t="s">
        <v>3381</v>
      </c>
      <c r="F1356" s="504" t="s">
        <v>501</v>
      </c>
      <c r="G1356" s="504" t="s">
        <v>502</v>
      </c>
      <c r="H1356" s="504" t="s">
        <v>4403</v>
      </c>
      <c r="I1356" s="504">
        <v>567</v>
      </c>
      <c r="J1356" s="504">
        <v>486</v>
      </c>
      <c r="K1356" s="504">
        <v>0</v>
      </c>
      <c r="L1356" s="504">
        <v>0</v>
      </c>
      <c r="M1356" s="504">
        <v>51</v>
      </c>
      <c r="N1356" s="504">
        <v>0</v>
      </c>
      <c r="O1356" s="505">
        <v>30</v>
      </c>
    </row>
    <row r="1357" spans="1:15" x14ac:dyDescent="0.35">
      <c r="A1357" s="500" t="s">
        <v>1266</v>
      </c>
      <c r="B1357" s="501" t="s">
        <v>3071</v>
      </c>
      <c r="C1357" s="501" t="s">
        <v>1094</v>
      </c>
      <c r="D1357" s="501" t="s">
        <v>3380</v>
      </c>
      <c r="E1357" s="501" t="s">
        <v>3381</v>
      </c>
      <c r="F1357" s="501" t="s">
        <v>501</v>
      </c>
      <c r="G1357" s="501" t="s">
        <v>502</v>
      </c>
      <c r="H1357" s="501" t="s">
        <v>4404</v>
      </c>
      <c r="I1357" s="501">
        <v>63</v>
      </c>
      <c r="J1357" s="501">
        <v>10</v>
      </c>
      <c r="K1357" s="501">
        <v>0</v>
      </c>
      <c r="L1357" s="501">
        <v>0</v>
      </c>
      <c r="M1357" s="501">
        <v>52</v>
      </c>
      <c r="N1357" s="501">
        <v>0</v>
      </c>
      <c r="O1357" s="506">
        <v>1</v>
      </c>
    </row>
    <row r="1358" spans="1:15" x14ac:dyDescent="0.35">
      <c r="A1358" s="503" t="s">
        <v>1096</v>
      </c>
      <c r="B1358" s="504" t="s">
        <v>3326</v>
      </c>
      <c r="C1358" s="504" t="s">
        <v>1094</v>
      </c>
      <c r="D1358" s="504" t="s">
        <v>3380</v>
      </c>
      <c r="E1358" s="504" t="s">
        <v>3381</v>
      </c>
      <c r="F1358" s="504" t="s">
        <v>503</v>
      </c>
      <c r="G1358" s="504" t="s">
        <v>504</v>
      </c>
      <c r="H1358" s="504" t="s">
        <v>4405</v>
      </c>
      <c r="I1358" s="504">
        <v>71</v>
      </c>
      <c r="J1358" s="504">
        <v>0</v>
      </c>
      <c r="K1358" s="504">
        <v>0</v>
      </c>
      <c r="L1358" s="504">
        <v>0</v>
      </c>
      <c r="M1358" s="504">
        <v>71</v>
      </c>
      <c r="N1358" s="504">
        <v>0</v>
      </c>
      <c r="O1358" s="505">
        <v>0</v>
      </c>
    </row>
    <row r="1359" spans="1:15" x14ac:dyDescent="0.35">
      <c r="A1359" s="500" t="s">
        <v>1269</v>
      </c>
      <c r="B1359" s="501" t="s">
        <v>2662</v>
      </c>
      <c r="C1359" s="501" t="s">
        <v>1089</v>
      </c>
      <c r="D1359" s="501" t="s">
        <v>3392</v>
      </c>
      <c r="E1359" s="501" t="s">
        <v>3381</v>
      </c>
      <c r="F1359" s="501" t="s">
        <v>503</v>
      </c>
      <c r="G1359" s="501" t="s">
        <v>504</v>
      </c>
      <c r="H1359" s="501" t="s">
        <v>4406</v>
      </c>
      <c r="I1359" s="501">
        <v>84</v>
      </c>
      <c r="J1359" s="501">
        <v>9</v>
      </c>
      <c r="K1359" s="501">
        <v>75</v>
      </c>
      <c r="L1359" s="501">
        <v>0</v>
      </c>
      <c r="M1359" s="501">
        <v>0</v>
      </c>
      <c r="N1359" s="501">
        <v>0</v>
      </c>
      <c r="O1359" s="506">
        <v>0</v>
      </c>
    </row>
    <row r="1360" spans="1:15" x14ac:dyDescent="0.35">
      <c r="A1360" s="503" t="s">
        <v>1161</v>
      </c>
      <c r="B1360" s="504" t="s">
        <v>3001</v>
      </c>
      <c r="C1360" s="504" t="s">
        <v>1094</v>
      </c>
      <c r="D1360" s="504" t="s">
        <v>3380</v>
      </c>
      <c r="E1360" s="504" t="s">
        <v>3381</v>
      </c>
      <c r="F1360" s="504" t="s">
        <v>503</v>
      </c>
      <c r="G1360" s="504" t="s">
        <v>504</v>
      </c>
      <c r="H1360" s="504" t="s">
        <v>4408</v>
      </c>
      <c r="I1360" s="504">
        <v>176</v>
      </c>
      <c r="J1360" s="504">
        <v>87</v>
      </c>
      <c r="K1360" s="504">
        <v>0</v>
      </c>
      <c r="L1360" s="504">
        <v>8</v>
      </c>
      <c r="M1360" s="504">
        <v>21</v>
      </c>
      <c r="N1360" s="504">
        <v>0</v>
      </c>
      <c r="O1360" s="505">
        <v>60</v>
      </c>
    </row>
    <row r="1361" spans="1:15" x14ac:dyDescent="0.35">
      <c r="A1361" s="500" t="s">
        <v>1284</v>
      </c>
      <c r="B1361" s="501" t="s">
        <v>2530</v>
      </c>
      <c r="C1361" s="501" t="s">
        <v>1089</v>
      </c>
      <c r="D1361" s="501" t="s">
        <v>3392</v>
      </c>
      <c r="E1361" s="501" t="s">
        <v>3381</v>
      </c>
      <c r="F1361" s="501" t="s">
        <v>503</v>
      </c>
      <c r="G1361" s="501" t="s">
        <v>504</v>
      </c>
      <c r="H1361" s="501" t="s">
        <v>4409</v>
      </c>
      <c r="I1361" s="501">
        <v>2</v>
      </c>
      <c r="J1361" s="501">
        <v>2</v>
      </c>
      <c r="K1361" s="501">
        <v>0</v>
      </c>
      <c r="L1361" s="501">
        <v>0</v>
      </c>
      <c r="M1361" s="501">
        <v>0</v>
      </c>
      <c r="N1361" s="501">
        <v>0</v>
      </c>
      <c r="O1361" s="506">
        <v>0</v>
      </c>
    </row>
    <row r="1362" spans="1:15" x14ac:dyDescent="0.35">
      <c r="A1362" s="503" t="s">
        <v>1286</v>
      </c>
      <c r="B1362" s="504" t="s">
        <v>3341</v>
      </c>
      <c r="C1362" s="504" t="s">
        <v>1094</v>
      </c>
      <c r="D1362" s="504" t="s">
        <v>3380</v>
      </c>
      <c r="E1362" s="504" t="s">
        <v>3381</v>
      </c>
      <c r="F1362" s="504" t="s">
        <v>503</v>
      </c>
      <c r="G1362" s="504" t="s">
        <v>504</v>
      </c>
      <c r="H1362" s="504" t="s">
        <v>4410</v>
      </c>
      <c r="I1362" s="504">
        <v>244</v>
      </c>
      <c r="J1362" s="504">
        <v>207</v>
      </c>
      <c r="K1362" s="504">
        <v>0</v>
      </c>
      <c r="L1362" s="504">
        <v>0</v>
      </c>
      <c r="M1362" s="504">
        <v>0</v>
      </c>
      <c r="N1362" s="504">
        <v>0</v>
      </c>
      <c r="O1362" s="505">
        <v>37</v>
      </c>
    </row>
    <row r="1363" spans="1:15" x14ac:dyDescent="0.35">
      <c r="A1363" s="500" t="s">
        <v>1100</v>
      </c>
      <c r="B1363" s="501">
        <v>4865</v>
      </c>
      <c r="C1363" s="501" t="s">
        <v>1094</v>
      </c>
      <c r="D1363" s="501" t="s">
        <v>3380</v>
      </c>
      <c r="E1363" s="501" t="s">
        <v>3381</v>
      </c>
      <c r="F1363" s="501" t="s">
        <v>503</v>
      </c>
      <c r="G1363" s="501" t="s">
        <v>504</v>
      </c>
      <c r="H1363" s="501" t="s">
        <v>4411</v>
      </c>
      <c r="I1363" s="501">
        <v>258</v>
      </c>
      <c r="J1363" s="501">
        <v>218</v>
      </c>
      <c r="K1363" s="501">
        <v>0</v>
      </c>
      <c r="L1363" s="501">
        <v>0</v>
      </c>
      <c r="M1363" s="501">
        <v>0</v>
      </c>
      <c r="N1363" s="501">
        <v>0</v>
      </c>
      <c r="O1363" s="506">
        <v>40</v>
      </c>
    </row>
    <row r="1364" spans="1:15" x14ac:dyDescent="0.35">
      <c r="A1364" s="503" t="s">
        <v>1296</v>
      </c>
      <c r="B1364" s="504">
        <v>4651</v>
      </c>
      <c r="C1364" s="504" t="s">
        <v>1094</v>
      </c>
      <c r="D1364" s="504" t="s">
        <v>3380</v>
      </c>
      <c r="E1364" s="504" t="s">
        <v>3381</v>
      </c>
      <c r="F1364" s="504" t="s">
        <v>503</v>
      </c>
      <c r="G1364" s="504" t="s">
        <v>504</v>
      </c>
      <c r="H1364" s="504" t="s">
        <v>4412</v>
      </c>
      <c r="I1364" s="504">
        <v>160</v>
      </c>
      <c r="J1364" s="504">
        <v>110</v>
      </c>
      <c r="K1364" s="504">
        <v>0</v>
      </c>
      <c r="L1364" s="504">
        <v>0</v>
      </c>
      <c r="M1364" s="504">
        <v>0</v>
      </c>
      <c r="N1364" s="504">
        <v>0</v>
      </c>
      <c r="O1364" s="505">
        <v>50</v>
      </c>
    </row>
    <row r="1365" spans="1:15" x14ac:dyDescent="0.35">
      <c r="A1365" s="500" t="s">
        <v>1180</v>
      </c>
      <c r="B1365" s="501" t="s">
        <v>3184</v>
      </c>
      <c r="C1365" s="501" t="s">
        <v>1094</v>
      </c>
      <c r="D1365" s="501" t="s">
        <v>3380</v>
      </c>
      <c r="E1365" s="501" t="s">
        <v>3381</v>
      </c>
      <c r="F1365" s="501" t="s">
        <v>503</v>
      </c>
      <c r="G1365" s="501" t="s">
        <v>504</v>
      </c>
      <c r="H1365" s="501" t="s">
        <v>4413</v>
      </c>
      <c r="I1365" s="501">
        <v>6</v>
      </c>
      <c r="J1365" s="501">
        <v>3</v>
      </c>
      <c r="K1365" s="501">
        <v>0</v>
      </c>
      <c r="L1365" s="501">
        <v>0</v>
      </c>
      <c r="M1365" s="501">
        <v>0</v>
      </c>
      <c r="N1365" s="501">
        <v>0</v>
      </c>
      <c r="O1365" s="506">
        <v>3</v>
      </c>
    </row>
    <row r="1366" spans="1:15" x14ac:dyDescent="0.35">
      <c r="A1366" s="503" t="s">
        <v>1187</v>
      </c>
      <c r="B1366" s="504" t="s">
        <v>2951</v>
      </c>
      <c r="C1366" s="504" t="s">
        <v>1094</v>
      </c>
      <c r="D1366" s="504" t="s">
        <v>3380</v>
      </c>
      <c r="E1366" s="504" t="s">
        <v>3381</v>
      </c>
      <c r="F1366" s="504" t="s">
        <v>503</v>
      </c>
      <c r="G1366" s="504" t="s">
        <v>504</v>
      </c>
      <c r="H1366" s="504" t="s">
        <v>4414</v>
      </c>
      <c r="I1366" s="504">
        <v>6</v>
      </c>
      <c r="J1366" s="504">
        <v>4</v>
      </c>
      <c r="K1366" s="504">
        <v>0</v>
      </c>
      <c r="L1366" s="504">
        <v>0</v>
      </c>
      <c r="M1366" s="504">
        <v>0</v>
      </c>
      <c r="N1366" s="504">
        <v>0</v>
      </c>
      <c r="O1366" s="505">
        <v>2</v>
      </c>
    </row>
    <row r="1367" spans="1:15" x14ac:dyDescent="0.35">
      <c r="A1367" s="500" t="s">
        <v>1105</v>
      </c>
      <c r="B1367" s="501">
        <v>4668</v>
      </c>
      <c r="C1367" s="501" t="s">
        <v>1094</v>
      </c>
      <c r="D1367" s="501" t="s">
        <v>3380</v>
      </c>
      <c r="E1367" s="501" t="s">
        <v>3381</v>
      </c>
      <c r="F1367" s="501" t="s">
        <v>503</v>
      </c>
      <c r="G1367" s="501" t="s">
        <v>504</v>
      </c>
      <c r="H1367" s="501" t="s">
        <v>4415</v>
      </c>
      <c r="I1367" s="501">
        <v>24</v>
      </c>
      <c r="J1367" s="501">
        <v>0</v>
      </c>
      <c r="K1367" s="501">
        <v>0</v>
      </c>
      <c r="L1367" s="501">
        <v>0</v>
      </c>
      <c r="M1367" s="501">
        <v>0</v>
      </c>
      <c r="N1367" s="501">
        <v>0</v>
      </c>
      <c r="O1367" s="506">
        <v>24</v>
      </c>
    </row>
    <row r="1368" spans="1:15" x14ac:dyDescent="0.35">
      <c r="A1368" s="503" t="s">
        <v>1109</v>
      </c>
      <c r="B1368" s="504" t="s">
        <v>2959</v>
      </c>
      <c r="C1368" s="504" t="s">
        <v>1094</v>
      </c>
      <c r="D1368" s="504" t="s">
        <v>3380</v>
      </c>
      <c r="E1368" s="504" t="s">
        <v>3381</v>
      </c>
      <c r="F1368" s="504" t="s">
        <v>503</v>
      </c>
      <c r="G1368" s="504" t="s">
        <v>504</v>
      </c>
      <c r="H1368" s="504" t="s">
        <v>4416</v>
      </c>
      <c r="I1368" s="504">
        <v>81</v>
      </c>
      <c r="J1368" s="504">
        <v>0</v>
      </c>
      <c r="K1368" s="504">
        <v>0</v>
      </c>
      <c r="L1368" s="504">
        <v>0</v>
      </c>
      <c r="M1368" s="504">
        <v>81</v>
      </c>
      <c r="N1368" s="504">
        <v>0</v>
      </c>
      <c r="O1368" s="505">
        <v>0</v>
      </c>
    </row>
    <row r="1369" spans="1:15" x14ac:dyDescent="0.35">
      <c r="A1369" s="500" t="s">
        <v>1306</v>
      </c>
      <c r="B1369" s="501" t="s">
        <v>3005</v>
      </c>
      <c r="C1369" s="501" t="s">
        <v>1094</v>
      </c>
      <c r="D1369" s="501" t="s">
        <v>3380</v>
      </c>
      <c r="E1369" s="501" t="s">
        <v>3381</v>
      </c>
      <c r="F1369" s="501" t="s">
        <v>503</v>
      </c>
      <c r="G1369" s="501" t="s">
        <v>504</v>
      </c>
      <c r="H1369" s="501" t="s">
        <v>4417</v>
      </c>
      <c r="I1369" s="501">
        <v>916</v>
      </c>
      <c r="J1369" s="501">
        <v>870</v>
      </c>
      <c r="K1369" s="501">
        <v>13</v>
      </c>
      <c r="L1369" s="501">
        <v>0</v>
      </c>
      <c r="M1369" s="501">
        <v>0</v>
      </c>
      <c r="N1369" s="501">
        <v>0</v>
      </c>
      <c r="O1369" s="506">
        <v>33</v>
      </c>
    </row>
    <row r="1370" spans="1:15" x14ac:dyDescent="0.35">
      <c r="A1370" s="503" t="s">
        <v>1202</v>
      </c>
      <c r="B1370" s="504" t="s">
        <v>3217</v>
      </c>
      <c r="C1370" s="504" t="s">
        <v>1094</v>
      </c>
      <c r="D1370" s="504" t="s">
        <v>3380</v>
      </c>
      <c r="E1370" s="504" t="s">
        <v>3381</v>
      </c>
      <c r="F1370" s="504" t="s">
        <v>503</v>
      </c>
      <c r="G1370" s="504" t="s">
        <v>504</v>
      </c>
      <c r="H1370" s="504" t="s">
        <v>4418</v>
      </c>
      <c r="I1370" s="504">
        <v>182</v>
      </c>
      <c r="J1370" s="504">
        <v>169</v>
      </c>
      <c r="K1370" s="504">
        <v>0</v>
      </c>
      <c r="L1370" s="504">
        <v>0</v>
      </c>
      <c r="M1370" s="504">
        <v>0</v>
      </c>
      <c r="N1370" s="504">
        <v>0</v>
      </c>
      <c r="O1370" s="505">
        <v>13</v>
      </c>
    </row>
    <row r="1371" spans="1:15" x14ac:dyDescent="0.35">
      <c r="A1371" s="500" t="s">
        <v>1112</v>
      </c>
      <c r="B1371" s="501" t="s">
        <v>3008</v>
      </c>
      <c r="C1371" s="501" t="s">
        <v>1094</v>
      </c>
      <c r="D1371" s="501" t="s">
        <v>3380</v>
      </c>
      <c r="E1371" s="501" t="s">
        <v>3381</v>
      </c>
      <c r="F1371" s="501" t="s">
        <v>503</v>
      </c>
      <c r="G1371" s="501" t="s">
        <v>504</v>
      </c>
      <c r="H1371" s="501" t="s">
        <v>4419</v>
      </c>
      <c r="I1371" s="501">
        <v>815</v>
      </c>
      <c r="J1371" s="501">
        <v>662</v>
      </c>
      <c r="K1371" s="501">
        <v>0</v>
      </c>
      <c r="L1371" s="501">
        <v>113</v>
      </c>
      <c r="M1371" s="501">
        <v>24</v>
      </c>
      <c r="N1371" s="501">
        <v>3</v>
      </c>
      <c r="O1371" s="506">
        <v>16</v>
      </c>
    </row>
    <row r="1372" spans="1:15" x14ac:dyDescent="0.35">
      <c r="A1372" s="503" t="s">
        <v>1218</v>
      </c>
      <c r="B1372" s="504" t="s">
        <v>3147</v>
      </c>
      <c r="C1372" s="504" t="s">
        <v>1094</v>
      </c>
      <c r="D1372" s="504" t="s">
        <v>3380</v>
      </c>
      <c r="E1372" s="504" t="s">
        <v>3381</v>
      </c>
      <c r="F1372" s="504" t="s">
        <v>503</v>
      </c>
      <c r="G1372" s="504" t="s">
        <v>504</v>
      </c>
      <c r="H1372" s="504" t="s">
        <v>4420</v>
      </c>
      <c r="I1372" s="504">
        <v>9</v>
      </c>
      <c r="J1372" s="504">
        <v>0</v>
      </c>
      <c r="K1372" s="504">
        <v>0</v>
      </c>
      <c r="L1372" s="504">
        <v>0</v>
      </c>
      <c r="M1372" s="504">
        <v>0</v>
      </c>
      <c r="N1372" s="504">
        <v>0</v>
      </c>
      <c r="O1372" s="505">
        <v>9</v>
      </c>
    </row>
    <row r="1373" spans="1:15" x14ac:dyDescent="0.35">
      <c r="A1373" s="500" t="s">
        <v>1325</v>
      </c>
      <c r="B1373" s="501" t="s">
        <v>3011</v>
      </c>
      <c r="C1373" s="501" t="s">
        <v>1094</v>
      </c>
      <c r="D1373" s="501" t="s">
        <v>3380</v>
      </c>
      <c r="E1373" s="501" t="s">
        <v>3381</v>
      </c>
      <c r="F1373" s="501" t="s">
        <v>503</v>
      </c>
      <c r="G1373" s="501" t="s">
        <v>504</v>
      </c>
      <c r="H1373" s="501" t="s">
        <v>4421</v>
      </c>
      <c r="I1373" s="501">
        <v>57</v>
      </c>
      <c r="J1373" s="501">
        <v>12</v>
      </c>
      <c r="K1373" s="501">
        <v>0</v>
      </c>
      <c r="L1373" s="501">
        <v>0</v>
      </c>
      <c r="M1373" s="501">
        <v>44</v>
      </c>
      <c r="N1373" s="501">
        <v>0</v>
      </c>
      <c r="O1373" s="506">
        <v>1</v>
      </c>
    </row>
    <row r="1374" spans="1:15" x14ac:dyDescent="0.35">
      <c r="A1374" s="503" t="s">
        <v>1326</v>
      </c>
      <c r="B1374" s="504" t="s">
        <v>2954</v>
      </c>
      <c r="C1374" s="504" t="s">
        <v>1094</v>
      </c>
      <c r="D1374" s="504" t="s">
        <v>3380</v>
      </c>
      <c r="E1374" s="504" t="s">
        <v>3381</v>
      </c>
      <c r="F1374" s="504" t="s">
        <v>503</v>
      </c>
      <c r="G1374" s="504" t="s">
        <v>504</v>
      </c>
      <c r="H1374" s="504" t="s">
        <v>4422</v>
      </c>
      <c r="I1374" s="504">
        <v>15</v>
      </c>
      <c r="J1374" s="504">
        <v>0</v>
      </c>
      <c r="K1374" s="504">
        <v>0</v>
      </c>
      <c r="L1374" s="504">
        <v>15</v>
      </c>
      <c r="M1374" s="504">
        <v>0</v>
      </c>
      <c r="N1374" s="504">
        <v>0</v>
      </c>
      <c r="O1374" s="505">
        <v>0</v>
      </c>
    </row>
    <row r="1375" spans="1:15" x14ac:dyDescent="0.35">
      <c r="A1375" s="500" t="s">
        <v>1328</v>
      </c>
      <c r="B1375" s="501" t="s">
        <v>2722</v>
      </c>
      <c r="C1375" s="501" t="s">
        <v>1089</v>
      </c>
      <c r="D1375" s="501" t="s">
        <v>3392</v>
      </c>
      <c r="E1375" s="501" t="s">
        <v>3381</v>
      </c>
      <c r="F1375" s="501" t="s">
        <v>503</v>
      </c>
      <c r="G1375" s="501" t="s">
        <v>504</v>
      </c>
      <c r="H1375" s="501" t="s">
        <v>4423</v>
      </c>
      <c r="I1375" s="501">
        <v>11</v>
      </c>
      <c r="J1375" s="501">
        <v>0</v>
      </c>
      <c r="K1375" s="501">
        <v>11</v>
      </c>
      <c r="L1375" s="501">
        <v>0</v>
      </c>
      <c r="M1375" s="501">
        <v>0</v>
      </c>
      <c r="N1375" s="501">
        <v>0</v>
      </c>
      <c r="O1375" s="506">
        <v>0</v>
      </c>
    </row>
    <row r="1376" spans="1:15" x14ac:dyDescent="0.35">
      <c r="A1376" s="503" t="s">
        <v>1233</v>
      </c>
      <c r="B1376" s="504">
        <v>4636</v>
      </c>
      <c r="C1376" s="504" t="s">
        <v>1094</v>
      </c>
      <c r="D1376" s="504" t="s">
        <v>3380</v>
      </c>
      <c r="E1376" s="504" t="s">
        <v>3381</v>
      </c>
      <c r="F1376" s="504" t="s">
        <v>503</v>
      </c>
      <c r="G1376" s="504" t="s">
        <v>504</v>
      </c>
      <c r="H1376" s="504" t="s">
        <v>4424</v>
      </c>
      <c r="I1376" s="504">
        <v>14</v>
      </c>
      <c r="J1376" s="504">
        <v>0</v>
      </c>
      <c r="K1376" s="504">
        <v>0</v>
      </c>
      <c r="L1376" s="504">
        <v>0</v>
      </c>
      <c r="M1376" s="504">
        <v>0</v>
      </c>
      <c r="N1376" s="504">
        <v>0</v>
      </c>
      <c r="O1376" s="505">
        <v>14</v>
      </c>
    </row>
    <row r="1377" spans="1:15" x14ac:dyDescent="0.35">
      <c r="A1377" s="500" t="s">
        <v>11368</v>
      </c>
      <c r="B1377" s="501">
        <v>5083</v>
      </c>
      <c r="C1377" s="501" t="s">
        <v>1094</v>
      </c>
      <c r="D1377" s="501" t="s">
        <v>3380</v>
      </c>
      <c r="E1377" s="501" t="s">
        <v>3381</v>
      </c>
      <c r="F1377" s="501" t="s">
        <v>503</v>
      </c>
      <c r="G1377" s="501" t="s">
        <v>504</v>
      </c>
      <c r="H1377" s="501" t="s">
        <v>12038</v>
      </c>
      <c r="I1377" s="501">
        <v>7</v>
      </c>
      <c r="J1377" s="501">
        <v>7</v>
      </c>
      <c r="K1377" s="501">
        <v>0</v>
      </c>
      <c r="L1377" s="501">
        <v>0</v>
      </c>
      <c r="M1377" s="501">
        <v>0</v>
      </c>
      <c r="N1377" s="501">
        <v>0</v>
      </c>
      <c r="O1377" s="506">
        <v>0</v>
      </c>
    </row>
    <row r="1378" spans="1:15" x14ac:dyDescent="0.35">
      <c r="A1378" s="503" t="s">
        <v>1126</v>
      </c>
      <c r="B1378" s="504" t="s">
        <v>2974</v>
      </c>
      <c r="C1378" s="504" t="s">
        <v>1094</v>
      </c>
      <c r="D1378" s="504" t="s">
        <v>3380</v>
      </c>
      <c r="E1378" s="504" t="s">
        <v>3381</v>
      </c>
      <c r="F1378" s="504" t="s">
        <v>503</v>
      </c>
      <c r="G1378" s="504" t="s">
        <v>504</v>
      </c>
      <c r="H1378" s="504" t="s">
        <v>4425</v>
      </c>
      <c r="I1378" s="504">
        <v>504</v>
      </c>
      <c r="J1378" s="504">
        <v>8</v>
      </c>
      <c r="K1378" s="504">
        <v>496</v>
      </c>
      <c r="L1378" s="504">
        <v>0</v>
      </c>
      <c r="M1378" s="504">
        <v>0</v>
      </c>
      <c r="N1378" s="504">
        <v>0</v>
      </c>
      <c r="O1378" s="505">
        <v>0</v>
      </c>
    </row>
    <row r="1379" spans="1:15" x14ac:dyDescent="0.35">
      <c r="A1379" s="500" t="s">
        <v>1134</v>
      </c>
      <c r="B1379" s="501" t="s">
        <v>3066</v>
      </c>
      <c r="C1379" s="501" t="s">
        <v>1094</v>
      </c>
      <c r="D1379" s="501" t="s">
        <v>3380</v>
      </c>
      <c r="E1379" s="501" t="s">
        <v>3381</v>
      </c>
      <c r="F1379" s="501" t="s">
        <v>503</v>
      </c>
      <c r="G1379" s="501" t="s">
        <v>504</v>
      </c>
      <c r="H1379" s="501" t="s">
        <v>4426</v>
      </c>
      <c r="I1379" s="501">
        <v>28</v>
      </c>
      <c r="J1379" s="501">
        <v>1</v>
      </c>
      <c r="K1379" s="501">
        <v>0</v>
      </c>
      <c r="L1379" s="501">
        <v>0</v>
      </c>
      <c r="M1379" s="501">
        <v>27</v>
      </c>
      <c r="N1379" s="501">
        <v>0</v>
      </c>
      <c r="O1379" s="506">
        <v>0</v>
      </c>
    </row>
    <row r="1380" spans="1:15" x14ac:dyDescent="0.35">
      <c r="A1380" s="503" t="s">
        <v>1245</v>
      </c>
      <c r="B1380" s="504" t="s">
        <v>2859</v>
      </c>
      <c r="C1380" s="504" t="s">
        <v>1094</v>
      </c>
      <c r="D1380" s="504" t="s">
        <v>3380</v>
      </c>
      <c r="E1380" s="504" t="s">
        <v>3381</v>
      </c>
      <c r="F1380" s="504" t="s">
        <v>503</v>
      </c>
      <c r="G1380" s="504" t="s">
        <v>504</v>
      </c>
      <c r="H1380" s="504" t="s">
        <v>4427</v>
      </c>
      <c r="I1380" s="504">
        <v>17</v>
      </c>
      <c r="J1380" s="504">
        <v>0</v>
      </c>
      <c r="K1380" s="504">
        <v>0</v>
      </c>
      <c r="L1380" s="504">
        <v>0</v>
      </c>
      <c r="M1380" s="504">
        <v>17</v>
      </c>
      <c r="N1380" s="504">
        <v>0</v>
      </c>
      <c r="O1380" s="505">
        <v>0</v>
      </c>
    </row>
    <row r="1381" spans="1:15" x14ac:dyDescent="0.35">
      <c r="A1381" s="500" t="s">
        <v>1356</v>
      </c>
      <c r="B1381" s="501" t="s">
        <v>3026</v>
      </c>
      <c r="C1381" s="501" t="s">
        <v>1094</v>
      </c>
      <c r="D1381" s="501" t="s">
        <v>3380</v>
      </c>
      <c r="E1381" s="501" t="s">
        <v>3381</v>
      </c>
      <c r="F1381" s="501" t="s">
        <v>503</v>
      </c>
      <c r="G1381" s="501" t="s">
        <v>504</v>
      </c>
      <c r="H1381" s="501" t="s">
        <v>4428</v>
      </c>
      <c r="I1381" s="501">
        <v>905</v>
      </c>
      <c r="J1381" s="501">
        <v>598</v>
      </c>
      <c r="K1381" s="501">
        <v>0</v>
      </c>
      <c r="L1381" s="501">
        <v>121</v>
      </c>
      <c r="M1381" s="501">
        <v>155</v>
      </c>
      <c r="N1381" s="501">
        <v>0</v>
      </c>
      <c r="O1381" s="506">
        <v>31</v>
      </c>
    </row>
    <row r="1382" spans="1:15" x14ac:dyDescent="0.35">
      <c r="A1382" s="503" t="s">
        <v>1364</v>
      </c>
      <c r="B1382" s="504" t="s">
        <v>3277</v>
      </c>
      <c r="C1382" s="504" t="s">
        <v>1089</v>
      </c>
      <c r="D1382" s="504" t="s">
        <v>3392</v>
      </c>
      <c r="E1382" s="504" t="s">
        <v>3381</v>
      </c>
      <c r="F1382" s="504" t="s">
        <v>503</v>
      </c>
      <c r="G1382" s="504" t="s">
        <v>504</v>
      </c>
      <c r="H1382" s="504" t="s">
        <v>4429</v>
      </c>
      <c r="I1382" s="504">
        <v>14</v>
      </c>
      <c r="J1382" s="504">
        <v>0</v>
      </c>
      <c r="K1382" s="504">
        <v>0</v>
      </c>
      <c r="L1382" s="504">
        <v>14</v>
      </c>
      <c r="M1382" s="504">
        <v>0</v>
      </c>
      <c r="N1382" s="504">
        <v>1</v>
      </c>
      <c r="O1382" s="505">
        <v>0</v>
      </c>
    </row>
    <row r="1383" spans="1:15" x14ac:dyDescent="0.35">
      <c r="A1383" s="500" t="s">
        <v>1253</v>
      </c>
      <c r="B1383" s="501" t="s">
        <v>3232</v>
      </c>
      <c r="C1383" s="501" t="s">
        <v>1094</v>
      </c>
      <c r="D1383" s="501" t="s">
        <v>3380</v>
      </c>
      <c r="E1383" s="501" t="s">
        <v>3381</v>
      </c>
      <c r="F1383" s="501" t="s">
        <v>503</v>
      </c>
      <c r="G1383" s="501" t="s">
        <v>504</v>
      </c>
      <c r="H1383" s="501" t="s">
        <v>4430</v>
      </c>
      <c r="I1383" s="501">
        <v>152</v>
      </c>
      <c r="J1383" s="501">
        <v>41</v>
      </c>
      <c r="K1383" s="501">
        <v>0</v>
      </c>
      <c r="L1383" s="501">
        <v>111</v>
      </c>
      <c r="M1383" s="501">
        <v>0</v>
      </c>
      <c r="N1383" s="501">
        <v>0</v>
      </c>
      <c r="O1383" s="506">
        <v>0</v>
      </c>
    </row>
    <row r="1384" spans="1:15" x14ac:dyDescent="0.35">
      <c r="A1384" s="503" t="s">
        <v>1373</v>
      </c>
      <c r="B1384" s="504" t="s">
        <v>2432</v>
      </c>
      <c r="C1384" s="504" t="s">
        <v>1089</v>
      </c>
      <c r="D1384" s="504" t="s">
        <v>3392</v>
      </c>
      <c r="E1384" s="504" t="s">
        <v>3381</v>
      </c>
      <c r="F1384" s="504" t="s">
        <v>503</v>
      </c>
      <c r="G1384" s="504" t="s">
        <v>504</v>
      </c>
      <c r="H1384" s="504" t="s">
        <v>4431</v>
      </c>
      <c r="I1384" s="504">
        <v>6</v>
      </c>
      <c r="J1384" s="504">
        <v>6</v>
      </c>
      <c r="K1384" s="504">
        <v>0</v>
      </c>
      <c r="L1384" s="504">
        <v>0</v>
      </c>
      <c r="M1384" s="504">
        <v>0</v>
      </c>
      <c r="N1384" s="504">
        <v>0</v>
      </c>
      <c r="O1384" s="505">
        <v>0</v>
      </c>
    </row>
    <row r="1385" spans="1:15" x14ac:dyDescent="0.35">
      <c r="A1385" s="500" t="s">
        <v>1384</v>
      </c>
      <c r="B1385" s="501" t="s">
        <v>2938</v>
      </c>
      <c r="C1385" s="501" t="s">
        <v>1089</v>
      </c>
      <c r="D1385" s="501" t="s">
        <v>3392</v>
      </c>
      <c r="E1385" s="501" t="s">
        <v>3381</v>
      </c>
      <c r="F1385" s="501" t="s">
        <v>503</v>
      </c>
      <c r="G1385" s="501" t="s">
        <v>504</v>
      </c>
      <c r="H1385" s="501" t="s">
        <v>4432</v>
      </c>
      <c r="I1385" s="501">
        <v>80</v>
      </c>
      <c r="J1385" s="501">
        <v>0</v>
      </c>
      <c r="K1385" s="501">
        <v>0</v>
      </c>
      <c r="L1385" s="501">
        <v>80</v>
      </c>
      <c r="M1385" s="501">
        <v>0</v>
      </c>
      <c r="N1385" s="501">
        <v>0</v>
      </c>
      <c r="O1385" s="506">
        <v>0</v>
      </c>
    </row>
    <row r="1386" spans="1:15" x14ac:dyDescent="0.35">
      <c r="A1386" s="503" t="s">
        <v>1156</v>
      </c>
      <c r="B1386" s="504" t="s">
        <v>3310</v>
      </c>
      <c r="C1386" s="504" t="s">
        <v>1094</v>
      </c>
      <c r="D1386" s="504" t="s">
        <v>3380</v>
      </c>
      <c r="E1386" s="504" t="s">
        <v>3381</v>
      </c>
      <c r="F1386" s="504" t="s">
        <v>503</v>
      </c>
      <c r="G1386" s="504" t="s">
        <v>504</v>
      </c>
      <c r="H1386" s="504" t="s">
        <v>4407</v>
      </c>
      <c r="I1386" s="504">
        <v>1268</v>
      </c>
      <c r="J1386" s="504">
        <v>846</v>
      </c>
      <c r="K1386" s="504">
        <v>0</v>
      </c>
      <c r="L1386" s="504">
        <v>5</v>
      </c>
      <c r="M1386" s="504">
        <v>55</v>
      </c>
      <c r="N1386" s="504">
        <v>0</v>
      </c>
      <c r="O1386" s="505">
        <v>362</v>
      </c>
    </row>
    <row r="1387" spans="1:15" x14ac:dyDescent="0.35">
      <c r="A1387" s="500" t="s">
        <v>1385</v>
      </c>
      <c r="B1387" s="501" t="s">
        <v>3249</v>
      </c>
      <c r="C1387" s="501" t="s">
        <v>1094</v>
      </c>
      <c r="D1387" s="501" t="s">
        <v>3380</v>
      </c>
      <c r="E1387" s="501" t="s">
        <v>3381</v>
      </c>
      <c r="F1387" s="501" t="s">
        <v>505</v>
      </c>
      <c r="G1387" s="501" t="s">
        <v>506</v>
      </c>
      <c r="H1387" s="501" t="s">
        <v>4433</v>
      </c>
      <c r="I1387" s="501">
        <v>164</v>
      </c>
      <c r="J1387" s="501">
        <v>122</v>
      </c>
      <c r="K1387" s="501">
        <v>0</v>
      </c>
      <c r="L1387" s="501">
        <v>0</v>
      </c>
      <c r="M1387" s="501">
        <v>0</v>
      </c>
      <c r="N1387" s="501">
        <v>0</v>
      </c>
      <c r="O1387" s="506">
        <v>42</v>
      </c>
    </row>
    <row r="1388" spans="1:15" x14ac:dyDescent="0.35">
      <c r="A1388" s="503" t="s">
        <v>1388</v>
      </c>
      <c r="B1388" s="504" t="s">
        <v>2756</v>
      </c>
      <c r="C1388" s="504" t="s">
        <v>1089</v>
      </c>
      <c r="D1388" s="504" t="s">
        <v>3392</v>
      </c>
      <c r="E1388" s="504" t="s">
        <v>3381</v>
      </c>
      <c r="F1388" s="504" t="s">
        <v>505</v>
      </c>
      <c r="G1388" s="504" t="s">
        <v>506</v>
      </c>
      <c r="H1388" s="504" t="s">
        <v>4434</v>
      </c>
      <c r="I1388" s="504">
        <v>44</v>
      </c>
      <c r="J1388" s="504">
        <v>44</v>
      </c>
      <c r="K1388" s="504">
        <v>0</v>
      </c>
      <c r="L1388" s="504">
        <v>0</v>
      </c>
      <c r="M1388" s="504">
        <v>0</v>
      </c>
      <c r="N1388" s="504">
        <v>0</v>
      </c>
      <c r="O1388" s="505">
        <v>0</v>
      </c>
    </row>
    <row r="1389" spans="1:15" x14ac:dyDescent="0.35">
      <c r="A1389" s="500" t="s">
        <v>1270</v>
      </c>
      <c r="B1389" s="501" t="s">
        <v>3304</v>
      </c>
      <c r="C1389" s="501" t="s">
        <v>1089</v>
      </c>
      <c r="D1389" s="501" t="s">
        <v>3392</v>
      </c>
      <c r="E1389" s="501" t="s">
        <v>3381</v>
      </c>
      <c r="F1389" s="501" t="s">
        <v>505</v>
      </c>
      <c r="G1389" s="501" t="s">
        <v>506</v>
      </c>
      <c r="H1389" s="501" t="s">
        <v>4435</v>
      </c>
      <c r="I1389" s="501">
        <v>59</v>
      </c>
      <c r="J1389" s="501">
        <v>59</v>
      </c>
      <c r="K1389" s="501">
        <v>0</v>
      </c>
      <c r="L1389" s="501">
        <v>0</v>
      </c>
      <c r="M1389" s="501">
        <v>0</v>
      </c>
      <c r="N1389" s="501">
        <v>0</v>
      </c>
      <c r="O1389" s="506">
        <v>0</v>
      </c>
    </row>
    <row r="1390" spans="1:15" x14ac:dyDescent="0.35">
      <c r="A1390" s="503" t="s">
        <v>1161</v>
      </c>
      <c r="B1390" s="504" t="s">
        <v>3001</v>
      </c>
      <c r="C1390" s="504" t="s">
        <v>1094</v>
      </c>
      <c r="D1390" s="504" t="s">
        <v>3380</v>
      </c>
      <c r="E1390" s="504" t="s">
        <v>3381</v>
      </c>
      <c r="F1390" s="504" t="s">
        <v>505</v>
      </c>
      <c r="G1390" s="504" t="s">
        <v>506</v>
      </c>
      <c r="H1390" s="504" t="s">
        <v>4436</v>
      </c>
      <c r="I1390" s="504">
        <v>1</v>
      </c>
      <c r="J1390" s="504">
        <v>0</v>
      </c>
      <c r="K1390" s="504">
        <v>0</v>
      </c>
      <c r="L1390" s="504">
        <v>0</v>
      </c>
      <c r="M1390" s="504">
        <v>0</v>
      </c>
      <c r="N1390" s="504">
        <v>0</v>
      </c>
      <c r="O1390" s="505">
        <v>1</v>
      </c>
    </row>
    <row r="1391" spans="1:15" x14ac:dyDescent="0.35">
      <c r="A1391" s="500" t="s">
        <v>1410</v>
      </c>
      <c r="B1391" s="501" t="s">
        <v>2868</v>
      </c>
      <c r="C1391" s="501" t="s">
        <v>1094</v>
      </c>
      <c r="D1391" s="501" t="s">
        <v>3380</v>
      </c>
      <c r="E1391" s="501" t="s">
        <v>3381</v>
      </c>
      <c r="F1391" s="501" t="s">
        <v>505</v>
      </c>
      <c r="G1391" s="501" t="s">
        <v>506</v>
      </c>
      <c r="H1391" s="501" t="s">
        <v>4437</v>
      </c>
      <c r="I1391" s="501">
        <v>519</v>
      </c>
      <c r="J1391" s="501">
        <v>29</v>
      </c>
      <c r="K1391" s="501">
        <v>0</v>
      </c>
      <c r="L1391" s="501">
        <v>21</v>
      </c>
      <c r="M1391" s="501">
        <v>469</v>
      </c>
      <c r="N1391" s="501">
        <v>0</v>
      </c>
      <c r="O1391" s="506">
        <v>0</v>
      </c>
    </row>
    <row r="1392" spans="1:15" x14ac:dyDescent="0.35">
      <c r="A1392" s="503" t="s">
        <v>1411</v>
      </c>
      <c r="B1392" s="504" t="s">
        <v>2873</v>
      </c>
      <c r="C1392" s="504" t="s">
        <v>1089</v>
      </c>
      <c r="D1392" s="504" t="s">
        <v>3392</v>
      </c>
      <c r="E1392" s="504" t="s">
        <v>3381</v>
      </c>
      <c r="F1392" s="504" t="s">
        <v>505</v>
      </c>
      <c r="G1392" s="504" t="s">
        <v>506</v>
      </c>
      <c r="H1392" s="504" t="s">
        <v>4438</v>
      </c>
      <c r="I1392" s="504">
        <v>36</v>
      </c>
      <c r="J1392" s="504">
        <v>0</v>
      </c>
      <c r="K1392" s="504">
        <v>0</v>
      </c>
      <c r="L1392" s="504">
        <v>36</v>
      </c>
      <c r="M1392" s="504">
        <v>0</v>
      </c>
      <c r="N1392" s="504">
        <v>0</v>
      </c>
      <c r="O1392" s="505">
        <v>0</v>
      </c>
    </row>
    <row r="1393" spans="1:15" x14ac:dyDescent="0.35">
      <c r="A1393" s="500" t="s">
        <v>1100</v>
      </c>
      <c r="B1393" s="501">
        <v>4865</v>
      </c>
      <c r="C1393" s="501" t="s">
        <v>1094</v>
      </c>
      <c r="D1393" s="501" t="s">
        <v>3380</v>
      </c>
      <c r="E1393" s="501" t="s">
        <v>3381</v>
      </c>
      <c r="F1393" s="501" t="s">
        <v>505</v>
      </c>
      <c r="G1393" s="501" t="s">
        <v>506</v>
      </c>
      <c r="H1393" s="501" t="s">
        <v>4439</v>
      </c>
      <c r="I1393" s="501">
        <v>1258</v>
      </c>
      <c r="J1393" s="501">
        <v>979</v>
      </c>
      <c r="K1393" s="501">
        <v>20</v>
      </c>
      <c r="L1393" s="501">
        <v>164</v>
      </c>
      <c r="M1393" s="501">
        <v>74</v>
      </c>
      <c r="N1393" s="501">
        <v>0</v>
      </c>
      <c r="O1393" s="506">
        <v>21</v>
      </c>
    </row>
    <row r="1394" spans="1:15" x14ac:dyDescent="0.35">
      <c r="A1394" s="503" t="s">
        <v>1288</v>
      </c>
      <c r="B1394" s="504" t="s">
        <v>3243</v>
      </c>
      <c r="C1394" s="504" t="s">
        <v>1089</v>
      </c>
      <c r="D1394" s="504" t="s">
        <v>3392</v>
      </c>
      <c r="E1394" s="504" t="s">
        <v>3381</v>
      </c>
      <c r="F1394" s="504" t="s">
        <v>505</v>
      </c>
      <c r="G1394" s="504" t="s">
        <v>506</v>
      </c>
      <c r="H1394" s="504" t="s">
        <v>4440</v>
      </c>
      <c r="I1394" s="504">
        <v>32</v>
      </c>
      <c r="J1394" s="504">
        <v>32</v>
      </c>
      <c r="K1394" s="504">
        <v>0</v>
      </c>
      <c r="L1394" s="504">
        <v>0</v>
      </c>
      <c r="M1394" s="504">
        <v>0</v>
      </c>
      <c r="N1394" s="504">
        <v>0</v>
      </c>
      <c r="O1394" s="505">
        <v>0</v>
      </c>
    </row>
    <row r="1395" spans="1:15" x14ac:dyDescent="0.35">
      <c r="A1395" s="500" t="s">
        <v>1438</v>
      </c>
      <c r="B1395" s="501" t="s">
        <v>2651</v>
      </c>
      <c r="C1395" s="501" t="s">
        <v>1089</v>
      </c>
      <c r="D1395" s="501" t="s">
        <v>3392</v>
      </c>
      <c r="E1395" s="501" t="s">
        <v>3381</v>
      </c>
      <c r="F1395" s="501" t="s">
        <v>505</v>
      </c>
      <c r="G1395" s="501" t="s">
        <v>506</v>
      </c>
      <c r="H1395" s="501" t="s">
        <v>4441</v>
      </c>
      <c r="I1395" s="501">
        <v>158</v>
      </c>
      <c r="J1395" s="501">
        <v>115</v>
      </c>
      <c r="K1395" s="501">
        <v>43</v>
      </c>
      <c r="L1395" s="501">
        <v>0</v>
      </c>
      <c r="M1395" s="501">
        <v>0</v>
      </c>
      <c r="N1395" s="501">
        <v>0</v>
      </c>
      <c r="O1395" s="506">
        <v>0</v>
      </c>
    </row>
    <row r="1396" spans="1:15" x14ac:dyDescent="0.35">
      <c r="A1396" s="503" t="s">
        <v>1185</v>
      </c>
      <c r="B1396" s="504" t="s">
        <v>3253</v>
      </c>
      <c r="C1396" s="504" t="s">
        <v>1094</v>
      </c>
      <c r="D1396" s="504" t="s">
        <v>3380</v>
      </c>
      <c r="E1396" s="504" t="s">
        <v>3381</v>
      </c>
      <c r="F1396" s="504" t="s">
        <v>505</v>
      </c>
      <c r="G1396" s="504" t="s">
        <v>506</v>
      </c>
      <c r="H1396" s="504" t="s">
        <v>4442</v>
      </c>
      <c r="I1396" s="504">
        <v>2</v>
      </c>
      <c r="J1396" s="504">
        <v>0</v>
      </c>
      <c r="K1396" s="504">
        <v>0</v>
      </c>
      <c r="L1396" s="504">
        <v>2</v>
      </c>
      <c r="M1396" s="504">
        <v>0</v>
      </c>
      <c r="N1396" s="504">
        <v>0</v>
      </c>
      <c r="O1396" s="505">
        <v>0</v>
      </c>
    </row>
    <row r="1397" spans="1:15" x14ac:dyDescent="0.35">
      <c r="A1397" s="500" t="s">
        <v>1453</v>
      </c>
      <c r="B1397" s="501" t="s">
        <v>2648</v>
      </c>
      <c r="C1397" s="501" t="s">
        <v>1089</v>
      </c>
      <c r="D1397" s="501" t="s">
        <v>3392</v>
      </c>
      <c r="E1397" s="501" t="s">
        <v>3381</v>
      </c>
      <c r="F1397" s="501" t="s">
        <v>505</v>
      </c>
      <c r="G1397" s="501" t="s">
        <v>506</v>
      </c>
      <c r="H1397" s="501" t="s">
        <v>4443</v>
      </c>
      <c r="I1397" s="501">
        <v>6</v>
      </c>
      <c r="J1397" s="501">
        <v>0</v>
      </c>
      <c r="K1397" s="501">
        <v>0</v>
      </c>
      <c r="L1397" s="501">
        <v>0</v>
      </c>
      <c r="M1397" s="501">
        <v>6</v>
      </c>
      <c r="N1397" s="501">
        <v>0</v>
      </c>
      <c r="O1397" s="506">
        <v>0</v>
      </c>
    </row>
    <row r="1398" spans="1:15" x14ac:dyDescent="0.35">
      <c r="A1398" s="503" t="s">
        <v>1456</v>
      </c>
      <c r="B1398" s="504" t="s">
        <v>2665</v>
      </c>
      <c r="C1398" s="504" t="s">
        <v>1089</v>
      </c>
      <c r="D1398" s="504" t="s">
        <v>3392</v>
      </c>
      <c r="E1398" s="504" t="s">
        <v>3381</v>
      </c>
      <c r="F1398" s="504" t="s">
        <v>505</v>
      </c>
      <c r="G1398" s="504" t="s">
        <v>506</v>
      </c>
      <c r="H1398" s="504" t="s">
        <v>4444</v>
      </c>
      <c r="I1398" s="504">
        <v>58</v>
      </c>
      <c r="J1398" s="504">
        <v>58</v>
      </c>
      <c r="K1398" s="504">
        <v>0</v>
      </c>
      <c r="L1398" s="504">
        <v>0</v>
      </c>
      <c r="M1398" s="504">
        <v>0</v>
      </c>
      <c r="N1398" s="504">
        <v>0</v>
      </c>
      <c r="O1398" s="505">
        <v>0</v>
      </c>
    </row>
    <row r="1399" spans="1:15" x14ac:dyDescent="0.35">
      <c r="A1399" s="500" t="s">
        <v>1469</v>
      </c>
      <c r="B1399" s="501" t="s">
        <v>3023</v>
      </c>
      <c r="C1399" s="501" t="s">
        <v>1089</v>
      </c>
      <c r="D1399" s="501" t="s">
        <v>3392</v>
      </c>
      <c r="E1399" s="501" t="s">
        <v>3381</v>
      </c>
      <c r="F1399" s="501" t="s">
        <v>505</v>
      </c>
      <c r="G1399" s="501" t="s">
        <v>506</v>
      </c>
      <c r="H1399" s="501" t="s">
        <v>4445</v>
      </c>
      <c r="I1399" s="501">
        <v>10</v>
      </c>
      <c r="J1399" s="501">
        <v>10</v>
      </c>
      <c r="K1399" s="501">
        <v>0</v>
      </c>
      <c r="L1399" s="501">
        <v>0</v>
      </c>
      <c r="M1399" s="501">
        <v>0</v>
      </c>
      <c r="N1399" s="501">
        <v>2</v>
      </c>
      <c r="O1399" s="506">
        <v>0</v>
      </c>
    </row>
    <row r="1400" spans="1:15" x14ac:dyDescent="0.35">
      <c r="A1400" s="503" t="s">
        <v>1307</v>
      </c>
      <c r="B1400" s="504" t="s">
        <v>3306</v>
      </c>
      <c r="C1400" s="504" t="s">
        <v>1089</v>
      </c>
      <c r="D1400" s="504" t="s">
        <v>3392</v>
      </c>
      <c r="E1400" s="504" t="s">
        <v>3381</v>
      </c>
      <c r="F1400" s="504" t="s">
        <v>505</v>
      </c>
      <c r="G1400" s="504" t="s">
        <v>506</v>
      </c>
      <c r="H1400" s="504" t="s">
        <v>4446</v>
      </c>
      <c r="I1400" s="504">
        <v>115</v>
      </c>
      <c r="J1400" s="504">
        <v>115</v>
      </c>
      <c r="K1400" s="504">
        <v>0</v>
      </c>
      <c r="L1400" s="504">
        <v>0</v>
      </c>
      <c r="M1400" s="504">
        <v>0</v>
      </c>
      <c r="N1400" s="504">
        <v>0</v>
      </c>
      <c r="O1400" s="505">
        <v>0</v>
      </c>
    </row>
    <row r="1401" spans="1:15" x14ac:dyDescent="0.35">
      <c r="A1401" s="500" t="s">
        <v>1476</v>
      </c>
      <c r="B1401" s="501" t="s">
        <v>2988</v>
      </c>
      <c r="C1401" s="501" t="s">
        <v>1094</v>
      </c>
      <c r="D1401" s="501" t="s">
        <v>3380</v>
      </c>
      <c r="E1401" s="501" t="s">
        <v>3381</v>
      </c>
      <c r="F1401" s="501" t="s">
        <v>505</v>
      </c>
      <c r="G1401" s="501" t="s">
        <v>506</v>
      </c>
      <c r="H1401" s="501" t="s">
        <v>4447</v>
      </c>
      <c r="I1401" s="501">
        <v>33</v>
      </c>
      <c r="J1401" s="501">
        <v>33</v>
      </c>
      <c r="K1401" s="501">
        <v>0</v>
      </c>
      <c r="L1401" s="501">
        <v>0</v>
      </c>
      <c r="M1401" s="501">
        <v>0</v>
      </c>
      <c r="N1401" s="501">
        <v>0</v>
      </c>
      <c r="O1401" s="506">
        <v>0</v>
      </c>
    </row>
    <row r="1402" spans="1:15" x14ac:dyDescent="0.35">
      <c r="A1402" s="503" t="s">
        <v>1478</v>
      </c>
      <c r="B1402" s="504" t="s">
        <v>2533</v>
      </c>
      <c r="C1402" s="504" t="s">
        <v>1089</v>
      </c>
      <c r="D1402" s="504" t="s">
        <v>3392</v>
      </c>
      <c r="E1402" s="504" t="s">
        <v>3381</v>
      </c>
      <c r="F1402" s="504" t="s">
        <v>505</v>
      </c>
      <c r="G1402" s="504" t="s">
        <v>506</v>
      </c>
      <c r="H1402" s="504" t="s">
        <v>11801</v>
      </c>
      <c r="I1402" s="504">
        <v>32</v>
      </c>
      <c r="J1402" s="504">
        <v>0</v>
      </c>
      <c r="K1402" s="504">
        <v>32</v>
      </c>
      <c r="L1402" s="504">
        <v>0</v>
      </c>
      <c r="M1402" s="504">
        <v>0</v>
      </c>
      <c r="N1402" s="504">
        <v>0</v>
      </c>
      <c r="O1402" s="505">
        <v>0</v>
      </c>
    </row>
    <row r="1403" spans="1:15" x14ac:dyDescent="0.35">
      <c r="A1403" s="500" t="s">
        <v>1202</v>
      </c>
      <c r="B1403" s="501" t="s">
        <v>3217</v>
      </c>
      <c r="C1403" s="501" t="s">
        <v>1094</v>
      </c>
      <c r="D1403" s="501" t="s">
        <v>3380</v>
      </c>
      <c r="E1403" s="501" t="s">
        <v>3381</v>
      </c>
      <c r="F1403" s="501" t="s">
        <v>505</v>
      </c>
      <c r="G1403" s="501" t="s">
        <v>506</v>
      </c>
      <c r="H1403" s="501" t="s">
        <v>4448</v>
      </c>
      <c r="I1403" s="501">
        <v>115</v>
      </c>
      <c r="J1403" s="501">
        <v>114</v>
      </c>
      <c r="K1403" s="501">
        <v>0</v>
      </c>
      <c r="L1403" s="501">
        <v>0</v>
      </c>
      <c r="M1403" s="501">
        <v>0</v>
      </c>
      <c r="N1403" s="501">
        <v>0</v>
      </c>
      <c r="O1403" s="506">
        <v>1</v>
      </c>
    </row>
    <row r="1404" spans="1:15" x14ac:dyDescent="0.35">
      <c r="A1404" s="503" t="s">
        <v>1315</v>
      </c>
      <c r="B1404" s="504">
        <v>4825</v>
      </c>
      <c r="C1404" s="504" t="s">
        <v>1094</v>
      </c>
      <c r="D1404" s="504" t="s">
        <v>3380</v>
      </c>
      <c r="E1404" s="504" t="s">
        <v>3381</v>
      </c>
      <c r="F1404" s="504" t="s">
        <v>505</v>
      </c>
      <c r="G1404" s="504" t="s">
        <v>506</v>
      </c>
      <c r="H1404" s="504" t="s">
        <v>4449</v>
      </c>
      <c r="I1404" s="504">
        <v>91</v>
      </c>
      <c r="J1404" s="504">
        <v>91</v>
      </c>
      <c r="K1404" s="504">
        <v>0</v>
      </c>
      <c r="L1404" s="504">
        <v>0</v>
      </c>
      <c r="M1404" s="504">
        <v>0</v>
      </c>
      <c r="N1404" s="504">
        <v>0</v>
      </c>
      <c r="O1404" s="505">
        <v>0</v>
      </c>
    </row>
    <row r="1405" spans="1:15" x14ac:dyDescent="0.35">
      <c r="A1405" s="500" t="s">
        <v>1316</v>
      </c>
      <c r="B1405" s="501" t="s">
        <v>2949</v>
      </c>
      <c r="C1405" s="501" t="s">
        <v>1094</v>
      </c>
      <c r="D1405" s="501" t="s">
        <v>3380</v>
      </c>
      <c r="E1405" s="501" t="s">
        <v>3381</v>
      </c>
      <c r="F1405" s="501" t="s">
        <v>505</v>
      </c>
      <c r="G1405" s="501" t="s">
        <v>506</v>
      </c>
      <c r="H1405" s="501" t="s">
        <v>4450</v>
      </c>
      <c r="I1405" s="501">
        <v>580</v>
      </c>
      <c r="J1405" s="501">
        <v>267</v>
      </c>
      <c r="K1405" s="501">
        <v>241</v>
      </c>
      <c r="L1405" s="501">
        <v>0</v>
      </c>
      <c r="M1405" s="501">
        <v>35</v>
      </c>
      <c r="N1405" s="501">
        <v>0</v>
      </c>
      <c r="O1405" s="506">
        <v>37</v>
      </c>
    </row>
    <row r="1406" spans="1:15" x14ac:dyDescent="0.35">
      <c r="A1406" s="503" t="s">
        <v>1507</v>
      </c>
      <c r="B1406" s="504" t="s">
        <v>2712</v>
      </c>
      <c r="C1406" s="504" t="s">
        <v>1089</v>
      </c>
      <c r="D1406" s="504" t="s">
        <v>3392</v>
      </c>
      <c r="E1406" s="504" t="s">
        <v>3381</v>
      </c>
      <c r="F1406" s="504" t="s">
        <v>505</v>
      </c>
      <c r="G1406" s="504" t="s">
        <v>506</v>
      </c>
      <c r="H1406" s="504" t="s">
        <v>4451</v>
      </c>
      <c r="I1406" s="504">
        <v>106</v>
      </c>
      <c r="J1406" s="504">
        <v>106</v>
      </c>
      <c r="K1406" s="504">
        <v>0</v>
      </c>
      <c r="L1406" s="504">
        <v>0</v>
      </c>
      <c r="M1406" s="504">
        <v>0</v>
      </c>
      <c r="N1406" s="504">
        <v>0</v>
      </c>
      <c r="O1406" s="505">
        <v>0</v>
      </c>
    </row>
    <row r="1407" spans="1:15" x14ac:dyDescent="0.35">
      <c r="A1407" s="500" t="s">
        <v>1319</v>
      </c>
      <c r="B1407" s="501">
        <v>4880</v>
      </c>
      <c r="C1407" s="501" t="s">
        <v>1094</v>
      </c>
      <c r="D1407" s="501" t="s">
        <v>3380</v>
      </c>
      <c r="E1407" s="501" t="s">
        <v>3381</v>
      </c>
      <c r="F1407" s="501" t="s">
        <v>505</v>
      </c>
      <c r="G1407" s="501" t="s">
        <v>506</v>
      </c>
      <c r="H1407" s="501" t="s">
        <v>4452</v>
      </c>
      <c r="I1407" s="501">
        <v>2090</v>
      </c>
      <c r="J1407" s="501">
        <v>1203</v>
      </c>
      <c r="K1407" s="501">
        <v>630</v>
      </c>
      <c r="L1407" s="501">
        <v>175</v>
      </c>
      <c r="M1407" s="501">
        <v>25</v>
      </c>
      <c r="N1407" s="501">
        <v>11</v>
      </c>
      <c r="O1407" s="506">
        <v>57</v>
      </c>
    </row>
    <row r="1408" spans="1:15" x14ac:dyDescent="0.35">
      <c r="A1408" s="503" t="s">
        <v>1120</v>
      </c>
      <c r="B1408" s="504" t="s">
        <v>3362</v>
      </c>
      <c r="C1408" s="504" t="s">
        <v>1094</v>
      </c>
      <c r="D1408" s="504" t="s">
        <v>3380</v>
      </c>
      <c r="E1408" s="504" t="s">
        <v>3381</v>
      </c>
      <c r="F1408" s="504" t="s">
        <v>505</v>
      </c>
      <c r="G1408" s="504" t="s">
        <v>506</v>
      </c>
      <c r="H1408" s="504" t="s">
        <v>4453</v>
      </c>
      <c r="I1408" s="504">
        <v>125</v>
      </c>
      <c r="J1408" s="504">
        <v>0</v>
      </c>
      <c r="K1408" s="504">
        <v>0</v>
      </c>
      <c r="L1408" s="504">
        <v>0</v>
      </c>
      <c r="M1408" s="504">
        <v>0</v>
      </c>
      <c r="N1408" s="504">
        <v>0</v>
      </c>
      <c r="O1408" s="505">
        <v>125</v>
      </c>
    </row>
    <row r="1409" spans="1:15" x14ac:dyDescent="0.35">
      <c r="A1409" s="500" t="s">
        <v>1510</v>
      </c>
      <c r="B1409" s="501" t="s">
        <v>3004</v>
      </c>
      <c r="C1409" s="501" t="s">
        <v>1094</v>
      </c>
      <c r="D1409" s="501" t="s">
        <v>3380</v>
      </c>
      <c r="E1409" s="501" t="s">
        <v>3381</v>
      </c>
      <c r="F1409" s="501" t="s">
        <v>505</v>
      </c>
      <c r="G1409" s="501" t="s">
        <v>506</v>
      </c>
      <c r="H1409" s="501" t="s">
        <v>4454</v>
      </c>
      <c r="I1409" s="501">
        <v>89</v>
      </c>
      <c r="J1409" s="501">
        <v>79</v>
      </c>
      <c r="K1409" s="501">
        <v>0</v>
      </c>
      <c r="L1409" s="501">
        <v>0</v>
      </c>
      <c r="M1409" s="501">
        <v>0</v>
      </c>
      <c r="N1409" s="501">
        <v>0</v>
      </c>
      <c r="O1409" s="506">
        <v>10</v>
      </c>
    </row>
    <row r="1410" spans="1:15" x14ac:dyDescent="0.35">
      <c r="A1410" s="503" t="s">
        <v>1511</v>
      </c>
      <c r="B1410" s="504" t="s">
        <v>3127</v>
      </c>
      <c r="C1410" s="504" t="s">
        <v>1089</v>
      </c>
      <c r="D1410" s="504" t="s">
        <v>3392</v>
      </c>
      <c r="E1410" s="504" t="s">
        <v>3381</v>
      </c>
      <c r="F1410" s="504" t="s">
        <v>505</v>
      </c>
      <c r="G1410" s="504" t="s">
        <v>506</v>
      </c>
      <c r="H1410" s="504" t="s">
        <v>4455</v>
      </c>
      <c r="I1410" s="504">
        <v>116</v>
      </c>
      <c r="J1410" s="504">
        <v>116</v>
      </c>
      <c r="K1410" s="504">
        <v>0</v>
      </c>
      <c r="L1410" s="504">
        <v>0</v>
      </c>
      <c r="M1410" s="504">
        <v>0</v>
      </c>
      <c r="N1410" s="504">
        <v>0</v>
      </c>
      <c r="O1410" s="505">
        <v>0</v>
      </c>
    </row>
    <row r="1411" spans="1:15" x14ac:dyDescent="0.35">
      <c r="A1411" s="500" t="s">
        <v>1322</v>
      </c>
      <c r="B1411" s="501" t="s">
        <v>3244</v>
      </c>
      <c r="C1411" s="501" t="s">
        <v>1094</v>
      </c>
      <c r="D1411" s="501" t="s">
        <v>3380</v>
      </c>
      <c r="E1411" s="501" t="s">
        <v>3381</v>
      </c>
      <c r="F1411" s="501" t="s">
        <v>505</v>
      </c>
      <c r="G1411" s="501" t="s">
        <v>506</v>
      </c>
      <c r="H1411" s="501" t="s">
        <v>4456</v>
      </c>
      <c r="I1411" s="501">
        <v>2758</v>
      </c>
      <c r="J1411" s="501">
        <v>2024</v>
      </c>
      <c r="K1411" s="501">
        <v>0</v>
      </c>
      <c r="L1411" s="501">
        <v>561</v>
      </c>
      <c r="M1411" s="501">
        <v>34</v>
      </c>
      <c r="N1411" s="501">
        <v>3</v>
      </c>
      <c r="O1411" s="506">
        <v>139</v>
      </c>
    </row>
    <row r="1412" spans="1:15" x14ac:dyDescent="0.35">
      <c r="A1412" s="503" t="s">
        <v>1217</v>
      </c>
      <c r="B1412" s="504">
        <v>4851</v>
      </c>
      <c r="C1412" s="504" t="s">
        <v>1094</v>
      </c>
      <c r="D1412" s="504" t="s">
        <v>3380</v>
      </c>
      <c r="E1412" s="504" t="s">
        <v>3381</v>
      </c>
      <c r="F1412" s="504" t="s">
        <v>505</v>
      </c>
      <c r="G1412" s="504" t="s">
        <v>506</v>
      </c>
      <c r="H1412" s="504" t="s">
        <v>4457</v>
      </c>
      <c r="I1412" s="504">
        <v>26</v>
      </c>
      <c r="J1412" s="504">
        <v>8</v>
      </c>
      <c r="K1412" s="504">
        <v>18</v>
      </c>
      <c r="L1412" s="504">
        <v>0</v>
      </c>
      <c r="M1412" s="504">
        <v>0</v>
      </c>
      <c r="N1412" s="504">
        <v>0</v>
      </c>
      <c r="O1412" s="505">
        <v>0</v>
      </c>
    </row>
    <row r="1413" spans="1:15" x14ac:dyDescent="0.35">
      <c r="A1413" s="500" t="s">
        <v>1324</v>
      </c>
      <c r="B1413" s="501">
        <v>4766</v>
      </c>
      <c r="C1413" s="501" t="s">
        <v>1089</v>
      </c>
      <c r="D1413" s="501" t="s">
        <v>3392</v>
      </c>
      <c r="E1413" s="501" t="s">
        <v>3381</v>
      </c>
      <c r="F1413" s="501" t="s">
        <v>505</v>
      </c>
      <c r="G1413" s="501" t="s">
        <v>506</v>
      </c>
      <c r="H1413" s="501" t="s">
        <v>4458</v>
      </c>
      <c r="I1413" s="501">
        <v>308</v>
      </c>
      <c r="J1413" s="501">
        <v>303</v>
      </c>
      <c r="K1413" s="501">
        <v>0</v>
      </c>
      <c r="L1413" s="501">
        <v>5</v>
      </c>
      <c r="M1413" s="501">
        <v>0</v>
      </c>
      <c r="N1413" s="501">
        <v>0</v>
      </c>
      <c r="O1413" s="506">
        <v>0</v>
      </c>
    </row>
    <row r="1414" spans="1:15" x14ac:dyDescent="0.35">
      <c r="A1414" s="503" t="s">
        <v>1325</v>
      </c>
      <c r="B1414" s="504" t="s">
        <v>3011</v>
      </c>
      <c r="C1414" s="504" t="s">
        <v>1094</v>
      </c>
      <c r="D1414" s="504" t="s">
        <v>3380</v>
      </c>
      <c r="E1414" s="504" t="s">
        <v>3381</v>
      </c>
      <c r="F1414" s="504" t="s">
        <v>505</v>
      </c>
      <c r="G1414" s="504" t="s">
        <v>506</v>
      </c>
      <c r="H1414" s="504" t="s">
        <v>4459</v>
      </c>
      <c r="I1414" s="504">
        <v>2146</v>
      </c>
      <c r="J1414" s="504">
        <v>1689</v>
      </c>
      <c r="K1414" s="504">
        <v>0</v>
      </c>
      <c r="L1414" s="504">
        <v>161</v>
      </c>
      <c r="M1414" s="504">
        <v>208</v>
      </c>
      <c r="N1414" s="504">
        <v>0</v>
      </c>
      <c r="O1414" s="505">
        <v>88</v>
      </c>
    </row>
    <row r="1415" spans="1:15" x14ac:dyDescent="0.35">
      <c r="A1415" s="500" t="s">
        <v>1516</v>
      </c>
      <c r="B1415" s="501" t="s">
        <v>2782</v>
      </c>
      <c r="C1415" s="501" t="s">
        <v>1089</v>
      </c>
      <c r="D1415" s="501" t="s">
        <v>3392</v>
      </c>
      <c r="E1415" s="501" t="s">
        <v>3381</v>
      </c>
      <c r="F1415" s="501" t="s">
        <v>505</v>
      </c>
      <c r="G1415" s="501" t="s">
        <v>506</v>
      </c>
      <c r="H1415" s="501" t="s">
        <v>4460</v>
      </c>
      <c r="I1415" s="501">
        <v>49</v>
      </c>
      <c r="J1415" s="501">
        <v>49</v>
      </c>
      <c r="K1415" s="501">
        <v>0</v>
      </c>
      <c r="L1415" s="501">
        <v>0</v>
      </c>
      <c r="M1415" s="501">
        <v>0</v>
      </c>
      <c r="N1415" s="501">
        <v>0</v>
      </c>
      <c r="O1415" s="506">
        <v>0</v>
      </c>
    </row>
    <row r="1416" spans="1:15" x14ac:dyDescent="0.35">
      <c r="A1416" s="503" t="s">
        <v>1220</v>
      </c>
      <c r="B1416" s="504">
        <v>4849</v>
      </c>
      <c r="C1416" s="504" t="s">
        <v>1094</v>
      </c>
      <c r="D1416" s="504" t="s">
        <v>3380</v>
      </c>
      <c r="E1416" s="504" t="s">
        <v>3381</v>
      </c>
      <c r="F1416" s="504" t="s">
        <v>505</v>
      </c>
      <c r="G1416" s="504" t="s">
        <v>506</v>
      </c>
      <c r="H1416" s="504" t="s">
        <v>4461</v>
      </c>
      <c r="I1416" s="504">
        <v>90</v>
      </c>
      <c r="J1416" s="504">
        <v>62</v>
      </c>
      <c r="K1416" s="504">
        <v>0</v>
      </c>
      <c r="L1416" s="504">
        <v>0</v>
      </c>
      <c r="M1416" s="504">
        <v>28</v>
      </c>
      <c r="N1416" s="504">
        <v>0</v>
      </c>
      <c r="O1416" s="505">
        <v>0</v>
      </c>
    </row>
    <row r="1417" spans="1:15" x14ac:dyDescent="0.35">
      <c r="A1417" s="500" t="s">
        <v>1332</v>
      </c>
      <c r="B1417" s="501">
        <v>4878</v>
      </c>
      <c r="C1417" s="501" t="s">
        <v>1094</v>
      </c>
      <c r="D1417" s="501" t="s">
        <v>3380</v>
      </c>
      <c r="E1417" s="501" t="s">
        <v>3381</v>
      </c>
      <c r="F1417" s="501" t="s">
        <v>505</v>
      </c>
      <c r="G1417" s="501" t="s">
        <v>506</v>
      </c>
      <c r="H1417" s="501" t="s">
        <v>4462</v>
      </c>
      <c r="I1417" s="501">
        <v>200</v>
      </c>
      <c r="J1417" s="501">
        <v>177</v>
      </c>
      <c r="K1417" s="501">
        <v>0</v>
      </c>
      <c r="L1417" s="501">
        <v>23</v>
      </c>
      <c r="M1417" s="501">
        <v>0</v>
      </c>
      <c r="N1417" s="501">
        <v>0</v>
      </c>
      <c r="O1417" s="506">
        <v>0</v>
      </c>
    </row>
    <row r="1418" spans="1:15" x14ac:dyDescent="0.35">
      <c r="A1418" s="503" t="s">
        <v>1122</v>
      </c>
      <c r="B1418" s="504" t="s">
        <v>2994</v>
      </c>
      <c r="C1418" s="504" t="s">
        <v>1094</v>
      </c>
      <c r="D1418" s="504" t="s">
        <v>3380</v>
      </c>
      <c r="E1418" s="504" t="s">
        <v>3381</v>
      </c>
      <c r="F1418" s="504" t="s">
        <v>505</v>
      </c>
      <c r="G1418" s="504" t="s">
        <v>506</v>
      </c>
      <c r="H1418" s="504" t="s">
        <v>4463</v>
      </c>
      <c r="I1418" s="504">
        <v>41</v>
      </c>
      <c r="J1418" s="504">
        <v>11</v>
      </c>
      <c r="K1418" s="504">
        <v>0</v>
      </c>
      <c r="L1418" s="504">
        <v>0</v>
      </c>
      <c r="M1418" s="504">
        <v>0</v>
      </c>
      <c r="N1418" s="504">
        <v>0</v>
      </c>
      <c r="O1418" s="505">
        <v>30</v>
      </c>
    </row>
    <row r="1419" spans="1:15" x14ac:dyDescent="0.35">
      <c r="A1419" s="500" t="s">
        <v>1225</v>
      </c>
      <c r="B1419" s="501" t="s">
        <v>3315</v>
      </c>
      <c r="C1419" s="501" t="s">
        <v>1094</v>
      </c>
      <c r="D1419" s="501" t="s">
        <v>3380</v>
      </c>
      <c r="E1419" s="501" t="s">
        <v>3381</v>
      </c>
      <c r="F1419" s="501" t="s">
        <v>505</v>
      </c>
      <c r="G1419" s="501" t="s">
        <v>506</v>
      </c>
      <c r="H1419" s="501" t="s">
        <v>4464</v>
      </c>
      <c r="I1419" s="501">
        <v>12</v>
      </c>
      <c r="J1419" s="501">
        <v>0</v>
      </c>
      <c r="K1419" s="501">
        <v>0</v>
      </c>
      <c r="L1419" s="501">
        <v>12</v>
      </c>
      <c r="M1419" s="501">
        <v>0</v>
      </c>
      <c r="N1419" s="501">
        <v>0</v>
      </c>
      <c r="O1419" s="506">
        <v>0</v>
      </c>
    </row>
    <row r="1420" spans="1:15" x14ac:dyDescent="0.35">
      <c r="A1420" s="503" t="s">
        <v>1234</v>
      </c>
      <c r="B1420" s="504" t="s">
        <v>3291</v>
      </c>
      <c r="C1420" s="504" t="s">
        <v>1094</v>
      </c>
      <c r="D1420" s="504" t="s">
        <v>3380</v>
      </c>
      <c r="E1420" s="504" t="s">
        <v>3381</v>
      </c>
      <c r="F1420" s="504" t="s">
        <v>505</v>
      </c>
      <c r="G1420" s="504" t="s">
        <v>506</v>
      </c>
      <c r="H1420" s="504" t="s">
        <v>4465</v>
      </c>
      <c r="I1420" s="504">
        <v>49</v>
      </c>
      <c r="J1420" s="504">
        <v>1</v>
      </c>
      <c r="K1420" s="504">
        <v>0</v>
      </c>
      <c r="L1420" s="504">
        <v>48</v>
      </c>
      <c r="M1420" s="504">
        <v>0</v>
      </c>
      <c r="N1420" s="504">
        <v>0</v>
      </c>
      <c r="O1420" s="505">
        <v>0</v>
      </c>
    </row>
    <row r="1421" spans="1:15" x14ac:dyDescent="0.35">
      <c r="A1421" s="500" t="s">
        <v>1126</v>
      </c>
      <c r="B1421" s="501" t="s">
        <v>2974</v>
      </c>
      <c r="C1421" s="501" t="s">
        <v>1094</v>
      </c>
      <c r="D1421" s="501" t="s">
        <v>3380</v>
      </c>
      <c r="E1421" s="501" t="s">
        <v>3381</v>
      </c>
      <c r="F1421" s="501" t="s">
        <v>505</v>
      </c>
      <c r="G1421" s="501" t="s">
        <v>506</v>
      </c>
      <c r="H1421" s="501" t="s">
        <v>4466</v>
      </c>
      <c r="I1421" s="501">
        <v>18</v>
      </c>
      <c r="J1421" s="501">
        <v>12</v>
      </c>
      <c r="K1421" s="501">
        <v>0</v>
      </c>
      <c r="L1421" s="501">
        <v>6</v>
      </c>
      <c r="M1421" s="501">
        <v>0</v>
      </c>
      <c r="N1421" s="501">
        <v>0</v>
      </c>
      <c r="O1421" s="506">
        <v>0</v>
      </c>
    </row>
    <row r="1422" spans="1:15" x14ac:dyDescent="0.35">
      <c r="A1422" s="503" t="s">
        <v>1340</v>
      </c>
      <c r="B1422" s="504" t="s">
        <v>2862</v>
      </c>
      <c r="C1422" s="504" t="s">
        <v>1089</v>
      </c>
      <c r="D1422" s="504" t="s">
        <v>3392</v>
      </c>
      <c r="E1422" s="504" t="s">
        <v>3381</v>
      </c>
      <c r="F1422" s="504" t="s">
        <v>505</v>
      </c>
      <c r="G1422" s="504" t="s">
        <v>506</v>
      </c>
      <c r="H1422" s="504" t="s">
        <v>4467</v>
      </c>
      <c r="I1422" s="504">
        <v>136</v>
      </c>
      <c r="J1422" s="504">
        <v>68</v>
      </c>
      <c r="K1422" s="504">
        <v>8</v>
      </c>
      <c r="L1422" s="504">
        <v>60</v>
      </c>
      <c r="M1422" s="504">
        <v>0</v>
      </c>
      <c r="N1422" s="504">
        <v>0</v>
      </c>
      <c r="O1422" s="505">
        <v>0</v>
      </c>
    </row>
    <row r="1423" spans="1:15" x14ac:dyDescent="0.35">
      <c r="A1423" s="500" t="s">
        <v>11392</v>
      </c>
      <c r="B1423" s="501" t="s">
        <v>11462</v>
      </c>
      <c r="C1423" s="501" t="s">
        <v>1089</v>
      </c>
      <c r="D1423" s="501" t="s">
        <v>3392</v>
      </c>
      <c r="E1423" s="501" t="s">
        <v>3381</v>
      </c>
      <c r="F1423" s="501" t="s">
        <v>505</v>
      </c>
      <c r="G1423" s="501" t="s">
        <v>506</v>
      </c>
      <c r="H1423" s="501" t="s">
        <v>12114</v>
      </c>
      <c r="I1423" s="501">
        <v>3</v>
      </c>
      <c r="J1423" s="501">
        <v>3</v>
      </c>
      <c r="K1423" s="501">
        <v>0</v>
      </c>
      <c r="L1423" s="501">
        <v>0</v>
      </c>
      <c r="M1423" s="501">
        <v>0</v>
      </c>
      <c r="N1423" s="501">
        <v>0</v>
      </c>
      <c r="O1423" s="506">
        <v>0</v>
      </c>
    </row>
    <row r="1424" spans="1:15" x14ac:dyDescent="0.35">
      <c r="A1424" s="503" t="s">
        <v>1544</v>
      </c>
      <c r="B1424" s="504" t="s">
        <v>3273</v>
      </c>
      <c r="C1424" s="504" t="s">
        <v>1089</v>
      </c>
      <c r="D1424" s="504" t="s">
        <v>3392</v>
      </c>
      <c r="E1424" s="504" t="s">
        <v>3381</v>
      </c>
      <c r="F1424" s="504" t="s">
        <v>505</v>
      </c>
      <c r="G1424" s="504" t="s">
        <v>506</v>
      </c>
      <c r="H1424" s="504" t="s">
        <v>4468</v>
      </c>
      <c r="I1424" s="504">
        <v>213</v>
      </c>
      <c r="J1424" s="504">
        <v>213</v>
      </c>
      <c r="K1424" s="504">
        <v>0</v>
      </c>
      <c r="L1424" s="504">
        <v>0</v>
      </c>
      <c r="M1424" s="504">
        <v>0</v>
      </c>
      <c r="N1424" s="504">
        <v>2</v>
      </c>
      <c r="O1424" s="505">
        <v>0</v>
      </c>
    </row>
    <row r="1425" spans="1:15" x14ac:dyDescent="0.35">
      <c r="A1425" s="500" t="s">
        <v>1545</v>
      </c>
      <c r="B1425" s="501" t="s">
        <v>2735</v>
      </c>
      <c r="C1425" s="501" t="s">
        <v>1089</v>
      </c>
      <c r="D1425" s="501" t="s">
        <v>3392</v>
      </c>
      <c r="E1425" s="501" t="s">
        <v>3381</v>
      </c>
      <c r="F1425" s="501" t="s">
        <v>505</v>
      </c>
      <c r="G1425" s="501" t="s">
        <v>506</v>
      </c>
      <c r="H1425" s="501" t="s">
        <v>4469</v>
      </c>
      <c r="I1425" s="501">
        <v>29</v>
      </c>
      <c r="J1425" s="501">
        <v>26</v>
      </c>
      <c r="K1425" s="501">
        <v>0</v>
      </c>
      <c r="L1425" s="501">
        <v>3</v>
      </c>
      <c r="M1425" s="501">
        <v>0</v>
      </c>
      <c r="N1425" s="501">
        <v>0</v>
      </c>
      <c r="O1425" s="506">
        <v>0</v>
      </c>
    </row>
    <row r="1426" spans="1:15" x14ac:dyDescent="0.35">
      <c r="A1426" s="503" t="s">
        <v>1130</v>
      </c>
      <c r="B1426" s="504" t="s">
        <v>3234</v>
      </c>
      <c r="C1426" s="504" t="s">
        <v>1094</v>
      </c>
      <c r="D1426" s="504" t="s">
        <v>3380</v>
      </c>
      <c r="E1426" s="504" t="s">
        <v>3381</v>
      </c>
      <c r="F1426" s="504" t="s">
        <v>505</v>
      </c>
      <c r="G1426" s="504" t="s">
        <v>506</v>
      </c>
      <c r="H1426" s="504" t="s">
        <v>4470</v>
      </c>
      <c r="I1426" s="504">
        <v>2</v>
      </c>
      <c r="J1426" s="504">
        <v>0</v>
      </c>
      <c r="K1426" s="504">
        <v>0</v>
      </c>
      <c r="L1426" s="504">
        <v>0</v>
      </c>
      <c r="M1426" s="504">
        <v>0</v>
      </c>
      <c r="N1426" s="504">
        <v>0</v>
      </c>
      <c r="O1426" s="505">
        <v>2</v>
      </c>
    </row>
    <row r="1427" spans="1:15" x14ac:dyDescent="0.35">
      <c r="A1427" s="500" t="s">
        <v>11393</v>
      </c>
      <c r="B1427" s="501" t="s">
        <v>3227</v>
      </c>
      <c r="C1427" s="501" t="s">
        <v>1089</v>
      </c>
      <c r="D1427" s="501" t="s">
        <v>3392</v>
      </c>
      <c r="E1427" s="501" t="s">
        <v>3381</v>
      </c>
      <c r="F1427" s="501" t="s">
        <v>505</v>
      </c>
      <c r="G1427" s="501" t="s">
        <v>506</v>
      </c>
      <c r="H1427" s="501" t="s">
        <v>12128</v>
      </c>
      <c r="I1427" s="501">
        <v>2</v>
      </c>
      <c r="J1427" s="501">
        <v>2</v>
      </c>
      <c r="K1427" s="501">
        <v>0</v>
      </c>
      <c r="L1427" s="501">
        <v>0</v>
      </c>
      <c r="M1427" s="501">
        <v>0</v>
      </c>
      <c r="N1427" s="501">
        <v>0</v>
      </c>
      <c r="O1427" s="506">
        <v>0</v>
      </c>
    </row>
    <row r="1428" spans="1:15" x14ac:dyDescent="0.35">
      <c r="A1428" s="503" t="s">
        <v>1550</v>
      </c>
      <c r="B1428" s="504" t="s">
        <v>3282</v>
      </c>
      <c r="C1428" s="504" t="s">
        <v>1089</v>
      </c>
      <c r="D1428" s="504" t="s">
        <v>3392</v>
      </c>
      <c r="E1428" s="504" t="s">
        <v>3381</v>
      </c>
      <c r="F1428" s="504" t="s">
        <v>505</v>
      </c>
      <c r="G1428" s="504" t="s">
        <v>506</v>
      </c>
      <c r="H1428" s="504" t="s">
        <v>4471</v>
      </c>
      <c r="I1428" s="504">
        <v>15</v>
      </c>
      <c r="J1428" s="504">
        <v>0</v>
      </c>
      <c r="K1428" s="504">
        <v>0</v>
      </c>
      <c r="L1428" s="504">
        <v>15</v>
      </c>
      <c r="M1428" s="504">
        <v>0</v>
      </c>
      <c r="N1428" s="504">
        <v>0</v>
      </c>
      <c r="O1428" s="505">
        <v>0</v>
      </c>
    </row>
    <row r="1429" spans="1:15" x14ac:dyDescent="0.35">
      <c r="A1429" s="500" t="s">
        <v>1345</v>
      </c>
      <c r="B1429" s="501" t="s">
        <v>3247</v>
      </c>
      <c r="C1429" s="501" t="s">
        <v>1094</v>
      </c>
      <c r="D1429" s="501" t="s">
        <v>3380</v>
      </c>
      <c r="E1429" s="501" t="s">
        <v>3381</v>
      </c>
      <c r="F1429" s="501" t="s">
        <v>505</v>
      </c>
      <c r="G1429" s="501" t="s">
        <v>506</v>
      </c>
      <c r="H1429" s="501" t="s">
        <v>4472</v>
      </c>
      <c r="I1429" s="501">
        <v>212</v>
      </c>
      <c r="J1429" s="501">
        <v>4</v>
      </c>
      <c r="K1429" s="501">
        <v>0</v>
      </c>
      <c r="L1429" s="501">
        <v>208</v>
      </c>
      <c r="M1429" s="501">
        <v>0</v>
      </c>
      <c r="N1429" s="501">
        <v>0</v>
      </c>
      <c r="O1429" s="506">
        <v>0</v>
      </c>
    </row>
    <row r="1430" spans="1:15" x14ac:dyDescent="0.35">
      <c r="A1430" s="503" t="s">
        <v>1558</v>
      </c>
      <c r="B1430" s="504">
        <v>4843</v>
      </c>
      <c r="C1430" s="504" t="s">
        <v>1089</v>
      </c>
      <c r="D1430" s="504" t="s">
        <v>3392</v>
      </c>
      <c r="E1430" s="504" t="s">
        <v>3381</v>
      </c>
      <c r="F1430" s="504" t="s">
        <v>505</v>
      </c>
      <c r="G1430" s="504" t="s">
        <v>506</v>
      </c>
      <c r="H1430" s="504" t="s">
        <v>14532</v>
      </c>
      <c r="I1430" s="504">
        <v>1</v>
      </c>
      <c r="J1430" s="504">
        <v>1</v>
      </c>
      <c r="K1430" s="504">
        <v>0</v>
      </c>
      <c r="L1430" s="504">
        <v>0</v>
      </c>
      <c r="M1430" s="504">
        <v>0</v>
      </c>
      <c r="N1430" s="504">
        <v>0</v>
      </c>
      <c r="O1430" s="505">
        <v>0</v>
      </c>
    </row>
    <row r="1431" spans="1:15" x14ac:dyDescent="0.35">
      <c r="A1431" s="500" t="s">
        <v>1249</v>
      </c>
      <c r="B1431" s="501">
        <v>4729</v>
      </c>
      <c r="C1431" s="501" t="s">
        <v>1094</v>
      </c>
      <c r="D1431" s="501" t="s">
        <v>3380</v>
      </c>
      <c r="E1431" s="501" t="s">
        <v>3381</v>
      </c>
      <c r="F1431" s="501" t="s">
        <v>505</v>
      </c>
      <c r="G1431" s="501" t="s">
        <v>506</v>
      </c>
      <c r="H1431" s="501" t="s">
        <v>4473</v>
      </c>
      <c r="I1431" s="501">
        <v>36</v>
      </c>
      <c r="J1431" s="501">
        <v>36</v>
      </c>
      <c r="K1431" s="501">
        <v>0</v>
      </c>
      <c r="L1431" s="501">
        <v>0</v>
      </c>
      <c r="M1431" s="501">
        <v>0</v>
      </c>
      <c r="N1431" s="501">
        <v>0</v>
      </c>
      <c r="O1431" s="506">
        <v>0</v>
      </c>
    </row>
    <row r="1432" spans="1:15" x14ac:dyDescent="0.35">
      <c r="A1432" s="503" t="s">
        <v>1362</v>
      </c>
      <c r="B1432" s="504" t="s">
        <v>2977</v>
      </c>
      <c r="C1432" s="504" t="s">
        <v>1094</v>
      </c>
      <c r="D1432" s="504" t="s">
        <v>3380</v>
      </c>
      <c r="E1432" s="504" t="s">
        <v>3381</v>
      </c>
      <c r="F1432" s="504" t="s">
        <v>505</v>
      </c>
      <c r="G1432" s="504" t="s">
        <v>506</v>
      </c>
      <c r="H1432" s="504" t="s">
        <v>4474</v>
      </c>
      <c r="I1432" s="504">
        <v>4</v>
      </c>
      <c r="J1432" s="504">
        <v>4</v>
      </c>
      <c r="K1432" s="504">
        <v>0</v>
      </c>
      <c r="L1432" s="504">
        <v>0</v>
      </c>
      <c r="M1432" s="504">
        <v>0</v>
      </c>
      <c r="N1432" s="504">
        <v>0</v>
      </c>
      <c r="O1432" s="505">
        <v>0</v>
      </c>
    </row>
    <row r="1433" spans="1:15" x14ac:dyDescent="0.35">
      <c r="A1433" s="500" t="s">
        <v>1253</v>
      </c>
      <c r="B1433" s="501" t="s">
        <v>3232</v>
      </c>
      <c r="C1433" s="501" t="s">
        <v>1094</v>
      </c>
      <c r="D1433" s="501" t="s">
        <v>3380</v>
      </c>
      <c r="E1433" s="501" t="s">
        <v>3381</v>
      </c>
      <c r="F1433" s="501" t="s">
        <v>505</v>
      </c>
      <c r="G1433" s="501" t="s">
        <v>506</v>
      </c>
      <c r="H1433" s="501" t="s">
        <v>4475</v>
      </c>
      <c r="I1433" s="501">
        <v>32</v>
      </c>
      <c r="J1433" s="501">
        <v>0</v>
      </c>
      <c r="K1433" s="501">
        <v>0</v>
      </c>
      <c r="L1433" s="501">
        <v>9</v>
      </c>
      <c r="M1433" s="501">
        <v>23</v>
      </c>
      <c r="N1433" s="501">
        <v>0</v>
      </c>
      <c r="O1433" s="506">
        <v>0</v>
      </c>
    </row>
    <row r="1434" spans="1:15" x14ac:dyDescent="0.35">
      <c r="A1434" s="503" t="s">
        <v>1595</v>
      </c>
      <c r="B1434" s="504" t="s">
        <v>2669</v>
      </c>
      <c r="C1434" s="504" t="s">
        <v>1089</v>
      </c>
      <c r="D1434" s="504" t="s">
        <v>3392</v>
      </c>
      <c r="E1434" s="504" t="s">
        <v>3381</v>
      </c>
      <c r="F1434" s="504" t="s">
        <v>505</v>
      </c>
      <c r="G1434" s="504" t="s">
        <v>506</v>
      </c>
      <c r="H1434" s="504" t="s">
        <v>4476</v>
      </c>
      <c r="I1434" s="504">
        <v>66</v>
      </c>
      <c r="J1434" s="504">
        <v>66</v>
      </c>
      <c r="K1434" s="504">
        <v>0</v>
      </c>
      <c r="L1434" s="504">
        <v>0</v>
      </c>
      <c r="M1434" s="504">
        <v>0</v>
      </c>
      <c r="N1434" s="504">
        <v>0</v>
      </c>
      <c r="O1434" s="505">
        <v>0</v>
      </c>
    </row>
    <row r="1435" spans="1:15" x14ac:dyDescent="0.35">
      <c r="A1435" s="500" t="s">
        <v>1605</v>
      </c>
      <c r="B1435" s="501" t="s">
        <v>3064</v>
      </c>
      <c r="C1435" s="501" t="s">
        <v>1089</v>
      </c>
      <c r="D1435" s="501" t="s">
        <v>3392</v>
      </c>
      <c r="E1435" s="501" t="s">
        <v>3381</v>
      </c>
      <c r="F1435" s="501" t="s">
        <v>505</v>
      </c>
      <c r="G1435" s="501" t="s">
        <v>506</v>
      </c>
      <c r="H1435" s="501" t="s">
        <v>4477</v>
      </c>
      <c r="I1435" s="501">
        <v>19</v>
      </c>
      <c r="J1435" s="501">
        <v>19</v>
      </c>
      <c r="K1435" s="501">
        <v>0</v>
      </c>
      <c r="L1435" s="501">
        <v>0</v>
      </c>
      <c r="M1435" s="501">
        <v>0</v>
      </c>
      <c r="N1435" s="501">
        <v>0</v>
      </c>
      <c r="O1435" s="506">
        <v>0</v>
      </c>
    </row>
    <row r="1436" spans="1:15" x14ac:dyDescent="0.35">
      <c r="A1436" s="503" t="s">
        <v>1147</v>
      </c>
      <c r="B1436" s="504" t="s">
        <v>3274</v>
      </c>
      <c r="C1436" s="504" t="s">
        <v>1089</v>
      </c>
      <c r="D1436" s="504" t="s">
        <v>3392</v>
      </c>
      <c r="E1436" s="504" t="s">
        <v>3381</v>
      </c>
      <c r="F1436" s="504" t="s">
        <v>507</v>
      </c>
      <c r="G1436" s="504" t="s">
        <v>508</v>
      </c>
      <c r="H1436" s="504" t="s">
        <v>4478</v>
      </c>
      <c r="I1436" s="504">
        <v>6</v>
      </c>
      <c r="J1436" s="504">
        <v>0</v>
      </c>
      <c r="K1436" s="504">
        <v>0</v>
      </c>
      <c r="L1436" s="504">
        <v>6</v>
      </c>
      <c r="M1436" s="504">
        <v>0</v>
      </c>
      <c r="N1436" s="504">
        <v>0</v>
      </c>
      <c r="O1436" s="505">
        <v>0</v>
      </c>
    </row>
    <row r="1437" spans="1:15" x14ac:dyDescent="0.35">
      <c r="A1437" s="500" t="s">
        <v>1093</v>
      </c>
      <c r="B1437" s="501" t="s">
        <v>3248</v>
      </c>
      <c r="C1437" s="501" t="s">
        <v>1094</v>
      </c>
      <c r="D1437" s="501" t="s">
        <v>3380</v>
      </c>
      <c r="E1437" s="501" t="s">
        <v>3381</v>
      </c>
      <c r="F1437" s="501" t="s">
        <v>507</v>
      </c>
      <c r="G1437" s="501" t="s">
        <v>508</v>
      </c>
      <c r="H1437" s="501" t="s">
        <v>14533</v>
      </c>
      <c r="I1437" s="501">
        <v>1</v>
      </c>
      <c r="J1437" s="501">
        <v>0</v>
      </c>
      <c r="K1437" s="501">
        <v>0</v>
      </c>
      <c r="L1437" s="501">
        <v>0</v>
      </c>
      <c r="M1437" s="501">
        <v>0</v>
      </c>
      <c r="N1437" s="501">
        <v>0</v>
      </c>
      <c r="O1437" s="506">
        <v>1</v>
      </c>
    </row>
    <row r="1438" spans="1:15" x14ac:dyDescent="0.35">
      <c r="A1438" s="503" t="s">
        <v>1096</v>
      </c>
      <c r="B1438" s="504" t="s">
        <v>3326</v>
      </c>
      <c r="C1438" s="504" t="s">
        <v>1094</v>
      </c>
      <c r="D1438" s="504" t="s">
        <v>3380</v>
      </c>
      <c r="E1438" s="504" t="s">
        <v>3381</v>
      </c>
      <c r="F1438" s="504" t="s">
        <v>507</v>
      </c>
      <c r="G1438" s="504" t="s">
        <v>508</v>
      </c>
      <c r="H1438" s="504" t="s">
        <v>4479</v>
      </c>
      <c r="I1438" s="504">
        <v>29</v>
      </c>
      <c r="J1438" s="504">
        <v>0</v>
      </c>
      <c r="K1438" s="504">
        <v>0</v>
      </c>
      <c r="L1438" s="504">
        <v>0</v>
      </c>
      <c r="M1438" s="504">
        <v>29</v>
      </c>
      <c r="N1438" s="504">
        <v>0</v>
      </c>
      <c r="O1438" s="505">
        <v>0</v>
      </c>
    </row>
    <row r="1439" spans="1:15" x14ac:dyDescent="0.35">
      <c r="A1439" s="500" t="s">
        <v>1672</v>
      </c>
      <c r="B1439" s="501" t="s">
        <v>3166</v>
      </c>
      <c r="C1439" s="501" t="s">
        <v>1094</v>
      </c>
      <c r="D1439" s="501" t="s">
        <v>3380</v>
      </c>
      <c r="E1439" s="501" t="s">
        <v>3381</v>
      </c>
      <c r="F1439" s="501" t="s">
        <v>507</v>
      </c>
      <c r="G1439" s="501" t="s">
        <v>508</v>
      </c>
      <c r="H1439" s="501" t="s">
        <v>4480</v>
      </c>
      <c r="I1439" s="501">
        <v>39</v>
      </c>
      <c r="J1439" s="501">
        <v>30</v>
      </c>
      <c r="K1439" s="501">
        <v>0</v>
      </c>
      <c r="L1439" s="501">
        <v>0</v>
      </c>
      <c r="M1439" s="501">
        <v>0</v>
      </c>
      <c r="N1439" s="501">
        <v>0</v>
      </c>
      <c r="O1439" s="506">
        <v>9</v>
      </c>
    </row>
    <row r="1440" spans="1:15" x14ac:dyDescent="0.35">
      <c r="A1440" s="503" t="s">
        <v>11363</v>
      </c>
      <c r="B1440" s="504">
        <v>4718</v>
      </c>
      <c r="C1440" s="504" t="s">
        <v>1094</v>
      </c>
      <c r="D1440" s="504" t="s">
        <v>3380</v>
      </c>
      <c r="E1440" s="504" t="s">
        <v>3381</v>
      </c>
      <c r="F1440" s="504" t="s">
        <v>507</v>
      </c>
      <c r="G1440" s="504" t="s">
        <v>508</v>
      </c>
      <c r="H1440" s="504" t="s">
        <v>11523</v>
      </c>
      <c r="I1440" s="504">
        <v>11</v>
      </c>
      <c r="J1440" s="504">
        <v>0</v>
      </c>
      <c r="K1440" s="504">
        <v>0</v>
      </c>
      <c r="L1440" s="504">
        <v>11</v>
      </c>
      <c r="M1440" s="504">
        <v>0</v>
      </c>
      <c r="N1440" s="504">
        <v>0</v>
      </c>
      <c r="O1440" s="505">
        <v>0</v>
      </c>
    </row>
    <row r="1441" spans="1:15" x14ac:dyDescent="0.35">
      <c r="A1441" s="500" t="s">
        <v>1158</v>
      </c>
      <c r="B1441" s="501">
        <v>4819</v>
      </c>
      <c r="C1441" s="501" t="s">
        <v>1094</v>
      </c>
      <c r="D1441" s="501" t="s">
        <v>3380</v>
      </c>
      <c r="E1441" s="501" t="s">
        <v>3381</v>
      </c>
      <c r="F1441" s="501" t="s">
        <v>507</v>
      </c>
      <c r="G1441" s="501" t="s">
        <v>508</v>
      </c>
      <c r="H1441" s="501" t="s">
        <v>4481</v>
      </c>
      <c r="I1441" s="501">
        <v>370</v>
      </c>
      <c r="J1441" s="501">
        <v>335</v>
      </c>
      <c r="K1441" s="501">
        <v>0</v>
      </c>
      <c r="L1441" s="501">
        <v>0</v>
      </c>
      <c r="M1441" s="501">
        <v>0</v>
      </c>
      <c r="N1441" s="501">
        <v>0</v>
      </c>
      <c r="O1441" s="506">
        <v>35</v>
      </c>
    </row>
    <row r="1442" spans="1:15" x14ac:dyDescent="0.35">
      <c r="A1442" s="503" t="s">
        <v>1961</v>
      </c>
      <c r="B1442" s="504">
        <v>5075</v>
      </c>
      <c r="C1442" s="504" t="s">
        <v>1094</v>
      </c>
      <c r="D1442" s="504" t="s">
        <v>3380</v>
      </c>
      <c r="E1442" s="504" t="s">
        <v>3381</v>
      </c>
      <c r="F1442" s="504" t="s">
        <v>507</v>
      </c>
      <c r="G1442" s="504" t="s">
        <v>508</v>
      </c>
      <c r="H1442" s="504" t="s">
        <v>4482</v>
      </c>
      <c r="I1442" s="504">
        <v>2</v>
      </c>
      <c r="J1442" s="504">
        <v>1</v>
      </c>
      <c r="K1442" s="504">
        <v>0</v>
      </c>
      <c r="L1442" s="504">
        <v>0</v>
      </c>
      <c r="M1442" s="504">
        <v>0</v>
      </c>
      <c r="N1442" s="504">
        <v>0</v>
      </c>
      <c r="O1442" s="505">
        <v>1</v>
      </c>
    </row>
    <row r="1443" spans="1:15" x14ac:dyDescent="0.35">
      <c r="A1443" s="500" t="s">
        <v>1100</v>
      </c>
      <c r="B1443" s="501">
        <v>4865</v>
      </c>
      <c r="C1443" s="501" t="s">
        <v>1094</v>
      </c>
      <c r="D1443" s="501" t="s">
        <v>3380</v>
      </c>
      <c r="E1443" s="501" t="s">
        <v>3381</v>
      </c>
      <c r="F1443" s="501" t="s">
        <v>507</v>
      </c>
      <c r="G1443" s="501" t="s">
        <v>508</v>
      </c>
      <c r="H1443" s="501" t="s">
        <v>4483</v>
      </c>
      <c r="I1443" s="501">
        <v>1</v>
      </c>
      <c r="J1443" s="501">
        <v>0</v>
      </c>
      <c r="K1443" s="501">
        <v>0</v>
      </c>
      <c r="L1443" s="501">
        <v>0</v>
      </c>
      <c r="M1443" s="501">
        <v>0</v>
      </c>
      <c r="N1443" s="501">
        <v>0</v>
      </c>
      <c r="O1443" s="506">
        <v>1</v>
      </c>
    </row>
    <row r="1444" spans="1:15" x14ac:dyDescent="0.35">
      <c r="A1444" s="503" t="s">
        <v>1179</v>
      </c>
      <c r="B1444" s="504">
        <v>4829</v>
      </c>
      <c r="C1444" s="504" t="s">
        <v>1089</v>
      </c>
      <c r="D1444" s="504" t="s">
        <v>3392</v>
      </c>
      <c r="E1444" s="504" t="s">
        <v>3381</v>
      </c>
      <c r="F1444" s="504" t="s">
        <v>507</v>
      </c>
      <c r="G1444" s="504" t="s">
        <v>508</v>
      </c>
      <c r="H1444" s="504" t="s">
        <v>4484</v>
      </c>
      <c r="I1444" s="504">
        <v>2</v>
      </c>
      <c r="J1444" s="504">
        <v>0</v>
      </c>
      <c r="K1444" s="504">
        <v>0</v>
      </c>
      <c r="L1444" s="504">
        <v>2</v>
      </c>
      <c r="M1444" s="504">
        <v>0</v>
      </c>
      <c r="N1444" s="504">
        <v>0</v>
      </c>
      <c r="O1444" s="505">
        <v>0</v>
      </c>
    </row>
    <row r="1445" spans="1:15" x14ac:dyDescent="0.35">
      <c r="A1445" s="500" t="s">
        <v>14213</v>
      </c>
      <c r="B1445" s="501" t="s">
        <v>3312</v>
      </c>
      <c r="C1445" s="501" t="s">
        <v>1094</v>
      </c>
      <c r="D1445" s="501" t="s">
        <v>3380</v>
      </c>
      <c r="E1445" s="501" t="s">
        <v>3381</v>
      </c>
      <c r="F1445" s="501" t="s">
        <v>507</v>
      </c>
      <c r="G1445" s="501" t="s">
        <v>508</v>
      </c>
      <c r="H1445" s="501" t="s">
        <v>14534</v>
      </c>
      <c r="I1445" s="501">
        <v>93</v>
      </c>
      <c r="J1445" s="501">
        <v>67</v>
      </c>
      <c r="K1445" s="501">
        <v>0</v>
      </c>
      <c r="L1445" s="501">
        <v>16</v>
      </c>
      <c r="M1445" s="501">
        <v>0</v>
      </c>
      <c r="N1445" s="501">
        <v>0</v>
      </c>
      <c r="O1445" s="506">
        <v>10</v>
      </c>
    </row>
    <row r="1446" spans="1:15" x14ac:dyDescent="0.35">
      <c r="A1446" s="503" t="s">
        <v>14215</v>
      </c>
      <c r="B1446" s="504">
        <v>5135</v>
      </c>
      <c r="C1446" s="504" t="s">
        <v>1089</v>
      </c>
      <c r="D1446" s="504" t="s">
        <v>3392</v>
      </c>
      <c r="E1446" s="504" t="s">
        <v>3381</v>
      </c>
      <c r="F1446" s="504" t="s">
        <v>507</v>
      </c>
      <c r="G1446" s="504" t="s">
        <v>508</v>
      </c>
      <c r="H1446" s="504" t="s">
        <v>14535</v>
      </c>
      <c r="I1446" s="504">
        <v>1</v>
      </c>
      <c r="J1446" s="504">
        <v>1</v>
      </c>
      <c r="K1446" s="504">
        <v>0</v>
      </c>
      <c r="L1446" s="504">
        <v>0</v>
      </c>
      <c r="M1446" s="504">
        <v>0</v>
      </c>
      <c r="N1446" s="504">
        <v>0</v>
      </c>
      <c r="O1446" s="505">
        <v>0</v>
      </c>
    </row>
    <row r="1447" spans="1:15" x14ac:dyDescent="0.35">
      <c r="A1447" s="500" t="s">
        <v>1105</v>
      </c>
      <c r="B1447" s="501">
        <v>4668</v>
      </c>
      <c r="C1447" s="501" t="s">
        <v>1094</v>
      </c>
      <c r="D1447" s="501" t="s">
        <v>3380</v>
      </c>
      <c r="E1447" s="501" t="s">
        <v>3381</v>
      </c>
      <c r="F1447" s="501" t="s">
        <v>507</v>
      </c>
      <c r="G1447" s="501" t="s">
        <v>508</v>
      </c>
      <c r="H1447" s="501" t="s">
        <v>4485</v>
      </c>
      <c r="I1447" s="501">
        <v>15</v>
      </c>
      <c r="J1447" s="501">
        <v>0</v>
      </c>
      <c r="K1447" s="501">
        <v>0</v>
      </c>
      <c r="L1447" s="501">
        <v>0</v>
      </c>
      <c r="M1447" s="501">
        <v>0</v>
      </c>
      <c r="N1447" s="501">
        <v>0</v>
      </c>
      <c r="O1447" s="506">
        <v>15</v>
      </c>
    </row>
    <row r="1448" spans="1:15" x14ac:dyDescent="0.35">
      <c r="A1448" s="503" t="s">
        <v>14226</v>
      </c>
      <c r="B1448" s="504" t="s">
        <v>3329</v>
      </c>
      <c r="C1448" s="504" t="s">
        <v>1094</v>
      </c>
      <c r="D1448" s="504" t="s">
        <v>3380</v>
      </c>
      <c r="E1448" s="504" t="s">
        <v>3381</v>
      </c>
      <c r="F1448" s="504" t="s">
        <v>507</v>
      </c>
      <c r="G1448" s="504" t="s">
        <v>508</v>
      </c>
      <c r="H1448" s="504" t="s">
        <v>14536</v>
      </c>
      <c r="I1448" s="504">
        <v>274</v>
      </c>
      <c r="J1448" s="504">
        <v>140</v>
      </c>
      <c r="K1448" s="504">
        <v>0</v>
      </c>
      <c r="L1448" s="504">
        <v>79</v>
      </c>
      <c r="M1448" s="504">
        <v>0</v>
      </c>
      <c r="N1448" s="504">
        <v>0</v>
      </c>
      <c r="O1448" s="505">
        <v>55</v>
      </c>
    </row>
    <row r="1449" spans="1:15" x14ac:dyDescent="0.35">
      <c r="A1449" s="500" t="s">
        <v>1109</v>
      </c>
      <c r="B1449" s="501" t="s">
        <v>2959</v>
      </c>
      <c r="C1449" s="501" t="s">
        <v>1094</v>
      </c>
      <c r="D1449" s="501" t="s">
        <v>3380</v>
      </c>
      <c r="E1449" s="501" t="s">
        <v>3381</v>
      </c>
      <c r="F1449" s="501" t="s">
        <v>507</v>
      </c>
      <c r="G1449" s="501" t="s">
        <v>508</v>
      </c>
      <c r="H1449" s="501" t="s">
        <v>4486</v>
      </c>
      <c r="I1449" s="501">
        <v>30</v>
      </c>
      <c r="J1449" s="501">
        <v>0</v>
      </c>
      <c r="K1449" s="501">
        <v>0</v>
      </c>
      <c r="L1449" s="501">
        <v>0</v>
      </c>
      <c r="M1449" s="501">
        <v>30</v>
      </c>
      <c r="N1449" s="501">
        <v>0</v>
      </c>
      <c r="O1449" s="506">
        <v>0</v>
      </c>
    </row>
    <row r="1450" spans="1:15" x14ac:dyDescent="0.35">
      <c r="A1450" s="503" t="s">
        <v>1190</v>
      </c>
      <c r="B1450" s="504">
        <v>4662</v>
      </c>
      <c r="C1450" s="504" t="s">
        <v>1094</v>
      </c>
      <c r="D1450" s="504" t="s">
        <v>3380</v>
      </c>
      <c r="E1450" s="504" t="s">
        <v>3381</v>
      </c>
      <c r="F1450" s="504" t="s">
        <v>507</v>
      </c>
      <c r="G1450" s="504" t="s">
        <v>508</v>
      </c>
      <c r="H1450" s="504" t="s">
        <v>4487</v>
      </c>
      <c r="I1450" s="504">
        <v>32</v>
      </c>
      <c r="J1450" s="504">
        <v>0</v>
      </c>
      <c r="K1450" s="504">
        <v>0</v>
      </c>
      <c r="L1450" s="504">
        <v>32</v>
      </c>
      <c r="M1450" s="504">
        <v>0</v>
      </c>
      <c r="N1450" s="504">
        <v>0</v>
      </c>
      <c r="O1450" s="505">
        <v>0</v>
      </c>
    </row>
    <row r="1451" spans="1:15" x14ac:dyDescent="0.35">
      <c r="A1451" s="500" t="s">
        <v>1205</v>
      </c>
      <c r="B1451" s="501" t="s">
        <v>2996</v>
      </c>
      <c r="C1451" s="501" t="s">
        <v>1089</v>
      </c>
      <c r="D1451" s="501" t="s">
        <v>3392</v>
      </c>
      <c r="E1451" s="501" t="s">
        <v>3381</v>
      </c>
      <c r="F1451" s="501" t="s">
        <v>507</v>
      </c>
      <c r="G1451" s="501" t="s">
        <v>508</v>
      </c>
      <c r="H1451" s="501" t="s">
        <v>4488</v>
      </c>
      <c r="I1451" s="501">
        <v>35</v>
      </c>
      <c r="J1451" s="501">
        <v>0</v>
      </c>
      <c r="K1451" s="501">
        <v>0</v>
      </c>
      <c r="L1451" s="501">
        <v>0</v>
      </c>
      <c r="M1451" s="501">
        <v>35</v>
      </c>
      <c r="N1451" s="501">
        <v>0</v>
      </c>
      <c r="O1451" s="506">
        <v>0</v>
      </c>
    </row>
    <row r="1452" spans="1:15" x14ac:dyDescent="0.35">
      <c r="A1452" s="503" t="s">
        <v>1207</v>
      </c>
      <c r="B1452" s="504" t="s">
        <v>3202</v>
      </c>
      <c r="C1452" s="504" t="s">
        <v>1094</v>
      </c>
      <c r="D1452" s="504" t="s">
        <v>3380</v>
      </c>
      <c r="E1452" s="504" t="s">
        <v>3381</v>
      </c>
      <c r="F1452" s="504" t="s">
        <v>507</v>
      </c>
      <c r="G1452" s="504" t="s">
        <v>508</v>
      </c>
      <c r="H1452" s="504" t="s">
        <v>4489</v>
      </c>
      <c r="I1452" s="504">
        <v>510</v>
      </c>
      <c r="J1452" s="504">
        <v>329</v>
      </c>
      <c r="K1452" s="504">
        <v>2</v>
      </c>
      <c r="L1452" s="504">
        <v>26</v>
      </c>
      <c r="M1452" s="504">
        <v>141</v>
      </c>
      <c r="N1452" s="504">
        <v>0</v>
      </c>
      <c r="O1452" s="505">
        <v>12</v>
      </c>
    </row>
    <row r="1453" spans="1:15" x14ac:dyDescent="0.35">
      <c r="A1453" s="500" t="s">
        <v>1226</v>
      </c>
      <c r="B1453" s="501">
        <v>5084</v>
      </c>
      <c r="C1453" s="501" t="s">
        <v>1094</v>
      </c>
      <c r="D1453" s="501" t="s">
        <v>3380</v>
      </c>
      <c r="E1453" s="501" t="s">
        <v>3381</v>
      </c>
      <c r="F1453" s="501" t="s">
        <v>507</v>
      </c>
      <c r="G1453" s="501" t="s">
        <v>508</v>
      </c>
      <c r="H1453" s="501" t="s">
        <v>4490</v>
      </c>
      <c r="I1453" s="501">
        <v>316</v>
      </c>
      <c r="J1453" s="501">
        <v>243</v>
      </c>
      <c r="K1453" s="501">
        <v>0</v>
      </c>
      <c r="L1453" s="501">
        <v>0</v>
      </c>
      <c r="M1453" s="501">
        <v>0</v>
      </c>
      <c r="N1453" s="501">
        <v>0</v>
      </c>
      <c r="O1453" s="506">
        <v>73</v>
      </c>
    </row>
    <row r="1454" spans="1:15" x14ac:dyDescent="0.35">
      <c r="A1454" s="503" t="s">
        <v>1233</v>
      </c>
      <c r="B1454" s="504">
        <v>4636</v>
      </c>
      <c r="C1454" s="504" t="s">
        <v>1094</v>
      </c>
      <c r="D1454" s="504" t="s">
        <v>3380</v>
      </c>
      <c r="E1454" s="504" t="s">
        <v>3381</v>
      </c>
      <c r="F1454" s="504" t="s">
        <v>507</v>
      </c>
      <c r="G1454" s="504" t="s">
        <v>508</v>
      </c>
      <c r="H1454" s="504" t="s">
        <v>14537</v>
      </c>
      <c r="I1454" s="504">
        <v>3</v>
      </c>
      <c r="J1454" s="504">
        <v>3</v>
      </c>
      <c r="K1454" s="504">
        <v>0</v>
      </c>
      <c r="L1454" s="504">
        <v>0</v>
      </c>
      <c r="M1454" s="504">
        <v>0</v>
      </c>
      <c r="N1454" s="504">
        <v>0</v>
      </c>
      <c r="O1454" s="505">
        <v>0</v>
      </c>
    </row>
    <row r="1455" spans="1:15" x14ac:dyDescent="0.35">
      <c r="A1455" s="500" t="s">
        <v>1126</v>
      </c>
      <c r="B1455" s="501" t="s">
        <v>2974</v>
      </c>
      <c r="C1455" s="501" t="s">
        <v>1094</v>
      </c>
      <c r="D1455" s="501" t="s">
        <v>3380</v>
      </c>
      <c r="E1455" s="501" t="s">
        <v>3381</v>
      </c>
      <c r="F1455" s="501" t="s">
        <v>507</v>
      </c>
      <c r="G1455" s="501" t="s">
        <v>508</v>
      </c>
      <c r="H1455" s="501" t="s">
        <v>4491</v>
      </c>
      <c r="I1455" s="501">
        <v>288</v>
      </c>
      <c r="J1455" s="501">
        <v>267</v>
      </c>
      <c r="K1455" s="501">
        <v>0</v>
      </c>
      <c r="L1455" s="501">
        <v>6</v>
      </c>
      <c r="M1455" s="501">
        <v>0</v>
      </c>
      <c r="N1455" s="501">
        <v>0</v>
      </c>
      <c r="O1455" s="506">
        <v>15</v>
      </c>
    </row>
    <row r="1456" spans="1:15" x14ac:dyDescent="0.35">
      <c r="A1456" s="503" t="s">
        <v>2117</v>
      </c>
      <c r="B1456" s="504" t="s">
        <v>2624</v>
      </c>
      <c r="C1456" s="504" t="s">
        <v>1089</v>
      </c>
      <c r="D1456" s="504" t="s">
        <v>3392</v>
      </c>
      <c r="E1456" s="504" t="s">
        <v>3381</v>
      </c>
      <c r="F1456" s="504" t="s">
        <v>507</v>
      </c>
      <c r="G1456" s="504" t="s">
        <v>508</v>
      </c>
      <c r="H1456" s="504" t="s">
        <v>4492</v>
      </c>
      <c r="I1456" s="504">
        <v>11</v>
      </c>
      <c r="J1456" s="504">
        <v>11</v>
      </c>
      <c r="K1456" s="504">
        <v>0</v>
      </c>
      <c r="L1456" s="504">
        <v>0</v>
      </c>
      <c r="M1456" s="504">
        <v>0</v>
      </c>
      <c r="N1456" s="504">
        <v>0</v>
      </c>
      <c r="O1456" s="505">
        <v>0</v>
      </c>
    </row>
    <row r="1457" spans="1:15" x14ac:dyDescent="0.35">
      <c r="A1457" s="500" t="s">
        <v>11434</v>
      </c>
      <c r="B1457" s="501" t="s">
        <v>2529</v>
      </c>
      <c r="C1457" s="501" t="s">
        <v>1089</v>
      </c>
      <c r="D1457" s="501" t="s">
        <v>3392</v>
      </c>
      <c r="E1457" s="501" t="s">
        <v>3381</v>
      </c>
      <c r="F1457" s="501" t="s">
        <v>507</v>
      </c>
      <c r="G1457" s="501" t="s">
        <v>508</v>
      </c>
      <c r="H1457" s="501" t="s">
        <v>12213</v>
      </c>
      <c r="I1457" s="501">
        <v>47</v>
      </c>
      <c r="J1457" s="501">
        <v>11</v>
      </c>
      <c r="K1457" s="501">
        <v>0</v>
      </c>
      <c r="L1457" s="501">
        <v>0</v>
      </c>
      <c r="M1457" s="501">
        <v>36</v>
      </c>
      <c r="N1457" s="501">
        <v>0</v>
      </c>
      <c r="O1457" s="506">
        <v>0</v>
      </c>
    </row>
    <row r="1458" spans="1:15" x14ac:dyDescent="0.35">
      <c r="A1458" s="503" t="s">
        <v>2123</v>
      </c>
      <c r="B1458" s="504" t="s">
        <v>3338</v>
      </c>
      <c r="C1458" s="504" t="s">
        <v>1094</v>
      </c>
      <c r="D1458" s="504" t="s">
        <v>3380</v>
      </c>
      <c r="E1458" s="504" t="s">
        <v>3381</v>
      </c>
      <c r="F1458" s="504" t="s">
        <v>507</v>
      </c>
      <c r="G1458" s="504" t="s">
        <v>508</v>
      </c>
      <c r="H1458" s="504" t="s">
        <v>4493</v>
      </c>
      <c r="I1458" s="504">
        <v>235</v>
      </c>
      <c r="J1458" s="504">
        <v>167</v>
      </c>
      <c r="K1458" s="504">
        <v>0</v>
      </c>
      <c r="L1458" s="504">
        <v>63</v>
      </c>
      <c r="M1458" s="504">
        <v>0</v>
      </c>
      <c r="N1458" s="504">
        <v>0</v>
      </c>
      <c r="O1458" s="505">
        <v>5</v>
      </c>
    </row>
    <row r="1459" spans="1:15" x14ac:dyDescent="0.35">
      <c r="A1459" s="500" t="s">
        <v>1259</v>
      </c>
      <c r="B1459" s="501" t="s">
        <v>3025</v>
      </c>
      <c r="C1459" s="501" t="s">
        <v>1094</v>
      </c>
      <c r="D1459" s="501" t="s">
        <v>3380</v>
      </c>
      <c r="E1459" s="501" t="s">
        <v>3381</v>
      </c>
      <c r="F1459" s="501" t="s">
        <v>507</v>
      </c>
      <c r="G1459" s="501" t="s">
        <v>508</v>
      </c>
      <c r="H1459" s="501" t="s">
        <v>4494</v>
      </c>
      <c r="I1459" s="501">
        <v>10</v>
      </c>
      <c r="J1459" s="501">
        <v>10</v>
      </c>
      <c r="K1459" s="501">
        <v>0</v>
      </c>
      <c r="L1459" s="501">
        <v>0</v>
      </c>
      <c r="M1459" s="501">
        <v>0</v>
      </c>
      <c r="N1459" s="501">
        <v>0</v>
      </c>
      <c r="O1459" s="506">
        <v>0</v>
      </c>
    </row>
    <row r="1460" spans="1:15" x14ac:dyDescent="0.35">
      <c r="A1460" s="503" t="s">
        <v>2127</v>
      </c>
      <c r="B1460" s="504" t="s">
        <v>3188</v>
      </c>
      <c r="C1460" s="504" t="s">
        <v>1094</v>
      </c>
      <c r="D1460" s="504" t="s">
        <v>3380</v>
      </c>
      <c r="E1460" s="504" t="s">
        <v>3381</v>
      </c>
      <c r="F1460" s="504" t="s">
        <v>507</v>
      </c>
      <c r="G1460" s="504" t="s">
        <v>508</v>
      </c>
      <c r="H1460" s="504" t="s">
        <v>4495</v>
      </c>
      <c r="I1460" s="504">
        <v>397</v>
      </c>
      <c r="J1460" s="504">
        <v>332</v>
      </c>
      <c r="K1460" s="504">
        <v>0</v>
      </c>
      <c r="L1460" s="504">
        <v>0</v>
      </c>
      <c r="M1460" s="504">
        <v>0</v>
      </c>
      <c r="N1460" s="504">
        <v>0</v>
      </c>
      <c r="O1460" s="505">
        <v>65</v>
      </c>
    </row>
    <row r="1461" spans="1:15" x14ac:dyDescent="0.35">
      <c r="A1461" s="500" t="s">
        <v>1093</v>
      </c>
      <c r="B1461" s="501" t="s">
        <v>3248</v>
      </c>
      <c r="C1461" s="501" t="s">
        <v>1094</v>
      </c>
      <c r="D1461" s="501" t="s">
        <v>3380</v>
      </c>
      <c r="E1461" s="501" t="s">
        <v>3381</v>
      </c>
      <c r="F1461" s="501" t="s">
        <v>509</v>
      </c>
      <c r="G1461" s="501" t="s">
        <v>510</v>
      </c>
      <c r="H1461" s="501" t="s">
        <v>4496</v>
      </c>
      <c r="I1461" s="501">
        <v>1</v>
      </c>
      <c r="J1461" s="501">
        <v>0</v>
      </c>
      <c r="K1461" s="501">
        <v>0</v>
      </c>
      <c r="L1461" s="501">
        <v>0</v>
      </c>
      <c r="M1461" s="501">
        <v>0</v>
      </c>
      <c r="N1461" s="501">
        <v>0</v>
      </c>
      <c r="O1461" s="506">
        <v>1</v>
      </c>
    </row>
    <row r="1462" spans="1:15" x14ac:dyDescent="0.35">
      <c r="A1462" s="503" t="s">
        <v>1096</v>
      </c>
      <c r="B1462" s="504" t="s">
        <v>3326</v>
      </c>
      <c r="C1462" s="504" t="s">
        <v>1094</v>
      </c>
      <c r="D1462" s="504" t="s">
        <v>3380</v>
      </c>
      <c r="E1462" s="504" t="s">
        <v>3381</v>
      </c>
      <c r="F1462" s="504" t="s">
        <v>509</v>
      </c>
      <c r="G1462" s="504" t="s">
        <v>510</v>
      </c>
      <c r="H1462" s="504" t="s">
        <v>4497</v>
      </c>
      <c r="I1462" s="504">
        <v>166</v>
      </c>
      <c r="J1462" s="504">
        <v>0</v>
      </c>
      <c r="K1462" s="504">
        <v>0</v>
      </c>
      <c r="L1462" s="504">
        <v>0</v>
      </c>
      <c r="M1462" s="504">
        <v>166</v>
      </c>
      <c r="N1462" s="504">
        <v>0</v>
      </c>
      <c r="O1462" s="505">
        <v>0</v>
      </c>
    </row>
    <row r="1463" spans="1:15" x14ac:dyDescent="0.35">
      <c r="A1463" s="500" t="s">
        <v>1100</v>
      </c>
      <c r="B1463" s="501">
        <v>4865</v>
      </c>
      <c r="C1463" s="501" t="s">
        <v>1094</v>
      </c>
      <c r="D1463" s="501" t="s">
        <v>3380</v>
      </c>
      <c r="E1463" s="501" t="s">
        <v>3381</v>
      </c>
      <c r="F1463" s="501" t="s">
        <v>509</v>
      </c>
      <c r="G1463" s="501" t="s">
        <v>510</v>
      </c>
      <c r="H1463" s="501" t="s">
        <v>4498</v>
      </c>
      <c r="I1463" s="501">
        <v>60</v>
      </c>
      <c r="J1463" s="501">
        <v>52</v>
      </c>
      <c r="K1463" s="501">
        <v>0</v>
      </c>
      <c r="L1463" s="501">
        <v>0</v>
      </c>
      <c r="M1463" s="501">
        <v>0</v>
      </c>
      <c r="N1463" s="501">
        <v>0</v>
      </c>
      <c r="O1463" s="506">
        <v>8</v>
      </c>
    </row>
    <row r="1464" spans="1:15" x14ac:dyDescent="0.35">
      <c r="A1464" s="503" t="s">
        <v>1288</v>
      </c>
      <c r="B1464" s="504" t="s">
        <v>3243</v>
      </c>
      <c r="C1464" s="504" t="s">
        <v>1089</v>
      </c>
      <c r="D1464" s="504" t="s">
        <v>3392</v>
      </c>
      <c r="E1464" s="504" t="s">
        <v>3381</v>
      </c>
      <c r="F1464" s="504" t="s">
        <v>509</v>
      </c>
      <c r="G1464" s="504" t="s">
        <v>510</v>
      </c>
      <c r="H1464" s="504" t="s">
        <v>4499</v>
      </c>
      <c r="I1464" s="504">
        <v>21</v>
      </c>
      <c r="J1464" s="504">
        <v>21</v>
      </c>
      <c r="K1464" s="504">
        <v>0</v>
      </c>
      <c r="L1464" s="504">
        <v>0</v>
      </c>
      <c r="M1464" s="504">
        <v>0</v>
      </c>
      <c r="N1464" s="504">
        <v>0</v>
      </c>
      <c r="O1464" s="505">
        <v>0</v>
      </c>
    </row>
    <row r="1465" spans="1:15" x14ac:dyDescent="0.35">
      <c r="A1465" s="500" t="s">
        <v>1836</v>
      </c>
      <c r="B1465" s="501" t="s">
        <v>2813</v>
      </c>
      <c r="C1465" s="501" t="s">
        <v>1089</v>
      </c>
      <c r="D1465" s="501" t="s">
        <v>3392</v>
      </c>
      <c r="E1465" s="501" t="s">
        <v>3381</v>
      </c>
      <c r="F1465" s="501" t="s">
        <v>509</v>
      </c>
      <c r="G1465" s="501" t="s">
        <v>510</v>
      </c>
      <c r="H1465" s="501" t="s">
        <v>4500</v>
      </c>
      <c r="I1465" s="501">
        <v>59</v>
      </c>
      <c r="J1465" s="501">
        <v>59</v>
      </c>
      <c r="K1465" s="501">
        <v>0</v>
      </c>
      <c r="L1465" s="501">
        <v>0</v>
      </c>
      <c r="M1465" s="501">
        <v>0</v>
      </c>
      <c r="N1465" s="501">
        <v>0</v>
      </c>
      <c r="O1465" s="506">
        <v>0</v>
      </c>
    </row>
    <row r="1466" spans="1:15" x14ac:dyDescent="0.35">
      <c r="A1466" s="503" t="s">
        <v>1837</v>
      </c>
      <c r="B1466" s="504" t="s">
        <v>2829</v>
      </c>
      <c r="C1466" s="504" t="s">
        <v>1089</v>
      </c>
      <c r="D1466" s="504" t="s">
        <v>3392</v>
      </c>
      <c r="E1466" s="504" t="s">
        <v>3381</v>
      </c>
      <c r="F1466" s="504" t="s">
        <v>509</v>
      </c>
      <c r="G1466" s="504" t="s">
        <v>510</v>
      </c>
      <c r="H1466" s="504" t="s">
        <v>4501</v>
      </c>
      <c r="I1466" s="504">
        <v>35</v>
      </c>
      <c r="J1466" s="504">
        <v>35</v>
      </c>
      <c r="K1466" s="504">
        <v>0</v>
      </c>
      <c r="L1466" s="504">
        <v>0</v>
      </c>
      <c r="M1466" s="504">
        <v>0</v>
      </c>
      <c r="N1466" s="504">
        <v>0</v>
      </c>
      <c r="O1466" s="505">
        <v>0</v>
      </c>
    </row>
    <row r="1467" spans="1:15" x14ac:dyDescent="0.35">
      <c r="A1467" s="500" t="s">
        <v>14208</v>
      </c>
      <c r="B1467" s="501">
        <v>4803</v>
      </c>
      <c r="C1467" s="501" t="s">
        <v>1094</v>
      </c>
      <c r="D1467" s="501" t="s">
        <v>3380</v>
      </c>
      <c r="E1467" s="501" t="s">
        <v>3381</v>
      </c>
      <c r="F1467" s="501" t="s">
        <v>509</v>
      </c>
      <c r="G1467" s="501" t="s">
        <v>510</v>
      </c>
      <c r="H1467" s="501" t="s">
        <v>14538</v>
      </c>
      <c r="I1467" s="501">
        <v>4</v>
      </c>
      <c r="J1467" s="501">
        <v>0</v>
      </c>
      <c r="K1467" s="501">
        <v>0</v>
      </c>
      <c r="L1467" s="501">
        <v>4</v>
      </c>
      <c r="M1467" s="501">
        <v>0</v>
      </c>
      <c r="N1467" s="501">
        <v>0</v>
      </c>
      <c r="O1467" s="506">
        <v>0</v>
      </c>
    </row>
    <row r="1468" spans="1:15" x14ac:dyDescent="0.35">
      <c r="A1468" s="503" t="s">
        <v>1443</v>
      </c>
      <c r="B1468" s="504" t="s">
        <v>3356</v>
      </c>
      <c r="C1468" s="504" t="s">
        <v>1094</v>
      </c>
      <c r="D1468" s="504" t="s">
        <v>3380</v>
      </c>
      <c r="E1468" s="504" t="s">
        <v>3381</v>
      </c>
      <c r="F1468" s="504" t="s">
        <v>509</v>
      </c>
      <c r="G1468" s="504" t="s">
        <v>510</v>
      </c>
      <c r="H1468" s="504" t="s">
        <v>4502</v>
      </c>
      <c r="I1468" s="504">
        <v>69</v>
      </c>
      <c r="J1468" s="504">
        <v>51</v>
      </c>
      <c r="K1468" s="504">
        <v>0</v>
      </c>
      <c r="L1468" s="504">
        <v>0</v>
      </c>
      <c r="M1468" s="504">
        <v>0</v>
      </c>
      <c r="N1468" s="504">
        <v>0</v>
      </c>
      <c r="O1468" s="505">
        <v>18</v>
      </c>
    </row>
    <row r="1469" spans="1:15" x14ac:dyDescent="0.35">
      <c r="A1469" s="500" t="s">
        <v>1188</v>
      </c>
      <c r="B1469" s="501">
        <v>4760</v>
      </c>
      <c r="C1469" s="501" t="s">
        <v>1089</v>
      </c>
      <c r="D1469" s="501" t="s">
        <v>3392</v>
      </c>
      <c r="E1469" s="501" t="s">
        <v>3381</v>
      </c>
      <c r="F1469" s="501" t="s">
        <v>509</v>
      </c>
      <c r="G1469" s="501" t="s">
        <v>510</v>
      </c>
      <c r="H1469" s="501" t="s">
        <v>4503</v>
      </c>
      <c r="I1469" s="501">
        <v>5</v>
      </c>
      <c r="J1469" s="501">
        <v>0</v>
      </c>
      <c r="K1469" s="501">
        <v>0</v>
      </c>
      <c r="L1469" s="501">
        <v>5</v>
      </c>
      <c r="M1469" s="501">
        <v>0</v>
      </c>
      <c r="N1469" s="501">
        <v>0</v>
      </c>
      <c r="O1469" s="506">
        <v>0</v>
      </c>
    </row>
    <row r="1470" spans="1:15" x14ac:dyDescent="0.35">
      <c r="A1470" s="503" t="s">
        <v>1107</v>
      </c>
      <c r="B1470" s="504" t="s">
        <v>3109</v>
      </c>
      <c r="C1470" s="504" t="s">
        <v>1094</v>
      </c>
      <c r="D1470" s="504" t="s">
        <v>3380</v>
      </c>
      <c r="E1470" s="504" t="s">
        <v>3381</v>
      </c>
      <c r="F1470" s="504" t="s">
        <v>509</v>
      </c>
      <c r="G1470" s="504" t="s">
        <v>510</v>
      </c>
      <c r="H1470" s="504" t="s">
        <v>4504</v>
      </c>
      <c r="I1470" s="504">
        <v>35</v>
      </c>
      <c r="J1470" s="504">
        <v>20</v>
      </c>
      <c r="K1470" s="504">
        <v>0</v>
      </c>
      <c r="L1470" s="504">
        <v>15</v>
      </c>
      <c r="M1470" s="504">
        <v>0</v>
      </c>
      <c r="N1470" s="504">
        <v>0</v>
      </c>
      <c r="O1470" s="505">
        <v>0</v>
      </c>
    </row>
    <row r="1471" spans="1:15" x14ac:dyDescent="0.35">
      <c r="A1471" s="500" t="s">
        <v>1109</v>
      </c>
      <c r="B1471" s="501" t="s">
        <v>2959</v>
      </c>
      <c r="C1471" s="501" t="s">
        <v>1094</v>
      </c>
      <c r="D1471" s="501" t="s">
        <v>3380</v>
      </c>
      <c r="E1471" s="501" t="s">
        <v>3381</v>
      </c>
      <c r="F1471" s="501" t="s">
        <v>509</v>
      </c>
      <c r="G1471" s="501" t="s">
        <v>510</v>
      </c>
      <c r="H1471" s="501" t="s">
        <v>4505</v>
      </c>
      <c r="I1471" s="501">
        <v>86</v>
      </c>
      <c r="J1471" s="501">
        <v>0</v>
      </c>
      <c r="K1471" s="501">
        <v>0</v>
      </c>
      <c r="L1471" s="501">
        <v>0</v>
      </c>
      <c r="M1471" s="501">
        <v>86</v>
      </c>
      <c r="N1471" s="501">
        <v>0</v>
      </c>
      <c r="O1471" s="506">
        <v>0</v>
      </c>
    </row>
    <row r="1472" spans="1:15" x14ac:dyDescent="0.35">
      <c r="A1472" s="503" t="s">
        <v>1189</v>
      </c>
      <c r="B1472" s="504" t="s">
        <v>3236</v>
      </c>
      <c r="C1472" s="504" t="s">
        <v>1094</v>
      </c>
      <c r="D1472" s="504" t="s">
        <v>3380</v>
      </c>
      <c r="E1472" s="504" t="s">
        <v>3381</v>
      </c>
      <c r="F1472" s="504" t="s">
        <v>509</v>
      </c>
      <c r="G1472" s="504" t="s">
        <v>510</v>
      </c>
      <c r="H1472" s="504" t="s">
        <v>4506</v>
      </c>
      <c r="I1472" s="504">
        <v>304</v>
      </c>
      <c r="J1472" s="504">
        <v>233</v>
      </c>
      <c r="K1472" s="504">
        <v>0</v>
      </c>
      <c r="L1472" s="504">
        <v>11</v>
      </c>
      <c r="M1472" s="504">
        <v>38</v>
      </c>
      <c r="N1472" s="504">
        <v>0</v>
      </c>
      <c r="O1472" s="505">
        <v>22</v>
      </c>
    </row>
    <row r="1473" spans="1:15" x14ac:dyDescent="0.35">
      <c r="A1473" s="500" t="s">
        <v>1190</v>
      </c>
      <c r="B1473" s="501">
        <v>4662</v>
      </c>
      <c r="C1473" s="501" t="s">
        <v>1094</v>
      </c>
      <c r="D1473" s="501" t="s">
        <v>3380</v>
      </c>
      <c r="E1473" s="501" t="s">
        <v>3381</v>
      </c>
      <c r="F1473" s="501" t="s">
        <v>509</v>
      </c>
      <c r="G1473" s="501" t="s">
        <v>510</v>
      </c>
      <c r="H1473" s="501" t="s">
        <v>4507</v>
      </c>
      <c r="I1473" s="501">
        <v>21</v>
      </c>
      <c r="J1473" s="501">
        <v>0</v>
      </c>
      <c r="K1473" s="501">
        <v>0</v>
      </c>
      <c r="L1473" s="501">
        <v>21</v>
      </c>
      <c r="M1473" s="501">
        <v>0</v>
      </c>
      <c r="N1473" s="501">
        <v>0</v>
      </c>
      <c r="O1473" s="506">
        <v>0</v>
      </c>
    </row>
    <row r="1474" spans="1:15" x14ac:dyDescent="0.35">
      <c r="A1474" s="503" t="s">
        <v>1202</v>
      </c>
      <c r="B1474" s="504" t="s">
        <v>3217</v>
      </c>
      <c r="C1474" s="504" t="s">
        <v>1094</v>
      </c>
      <c r="D1474" s="504" t="s">
        <v>3380</v>
      </c>
      <c r="E1474" s="504" t="s">
        <v>3381</v>
      </c>
      <c r="F1474" s="504" t="s">
        <v>509</v>
      </c>
      <c r="G1474" s="504" t="s">
        <v>510</v>
      </c>
      <c r="H1474" s="504" t="s">
        <v>11829</v>
      </c>
      <c r="I1474" s="504">
        <v>6</v>
      </c>
      <c r="J1474" s="504">
        <v>0</v>
      </c>
      <c r="K1474" s="504">
        <v>0</v>
      </c>
      <c r="L1474" s="504">
        <v>0</v>
      </c>
      <c r="M1474" s="504">
        <v>0</v>
      </c>
      <c r="N1474" s="504">
        <v>0</v>
      </c>
      <c r="O1474" s="505">
        <v>6</v>
      </c>
    </row>
    <row r="1475" spans="1:15" x14ac:dyDescent="0.35">
      <c r="A1475" s="500" t="s">
        <v>1114</v>
      </c>
      <c r="B1475" s="501" t="s">
        <v>2982</v>
      </c>
      <c r="C1475" s="501" t="s">
        <v>1094</v>
      </c>
      <c r="D1475" s="501" t="s">
        <v>3380</v>
      </c>
      <c r="E1475" s="501" t="s">
        <v>3381</v>
      </c>
      <c r="F1475" s="501" t="s">
        <v>509</v>
      </c>
      <c r="G1475" s="501" t="s">
        <v>510</v>
      </c>
      <c r="H1475" s="501" t="s">
        <v>4508</v>
      </c>
      <c r="I1475" s="501">
        <v>403</v>
      </c>
      <c r="J1475" s="501">
        <v>197</v>
      </c>
      <c r="K1475" s="501">
        <v>0</v>
      </c>
      <c r="L1475" s="501">
        <v>0</v>
      </c>
      <c r="M1475" s="501">
        <v>35</v>
      </c>
      <c r="N1475" s="501">
        <v>0</v>
      </c>
      <c r="O1475" s="506">
        <v>171</v>
      </c>
    </row>
    <row r="1476" spans="1:15" x14ac:dyDescent="0.35">
      <c r="A1476" s="503" t="s">
        <v>14400</v>
      </c>
      <c r="B1476" s="504">
        <v>4727</v>
      </c>
      <c r="C1476" s="504" t="s">
        <v>1089</v>
      </c>
      <c r="D1476" s="504" t="s">
        <v>3392</v>
      </c>
      <c r="E1476" s="504" t="s">
        <v>3381</v>
      </c>
      <c r="F1476" s="504" t="s">
        <v>509</v>
      </c>
      <c r="G1476" s="504" t="s">
        <v>510</v>
      </c>
      <c r="H1476" s="504" t="s">
        <v>14539</v>
      </c>
      <c r="I1476" s="504">
        <v>3</v>
      </c>
      <c r="J1476" s="504">
        <v>0</v>
      </c>
      <c r="K1476" s="504">
        <v>0</v>
      </c>
      <c r="L1476" s="504">
        <v>3</v>
      </c>
      <c r="M1476" s="504">
        <v>0</v>
      </c>
      <c r="N1476" s="504">
        <v>0</v>
      </c>
      <c r="O1476" s="505">
        <v>0</v>
      </c>
    </row>
    <row r="1477" spans="1:15" x14ac:dyDescent="0.35">
      <c r="A1477" s="500" t="s">
        <v>1217</v>
      </c>
      <c r="B1477" s="501">
        <v>4851</v>
      </c>
      <c r="C1477" s="501" t="s">
        <v>1094</v>
      </c>
      <c r="D1477" s="501" t="s">
        <v>3380</v>
      </c>
      <c r="E1477" s="501" t="s">
        <v>3381</v>
      </c>
      <c r="F1477" s="501" t="s">
        <v>509</v>
      </c>
      <c r="G1477" s="501" t="s">
        <v>510</v>
      </c>
      <c r="H1477" s="501" t="s">
        <v>4509</v>
      </c>
      <c r="I1477" s="501">
        <v>185</v>
      </c>
      <c r="J1477" s="501">
        <v>132</v>
      </c>
      <c r="K1477" s="501">
        <v>0</v>
      </c>
      <c r="L1477" s="501">
        <v>45</v>
      </c>
      <c r="M1477" s="501">
        <v>0</v>
      </c>
      <c r="N1477" s="501">
        <v>0</v>
      </c>
      <c r="O1477" s="506">
        <v>8</v>
      </c>
    </row>
    <row r="1478" spans="1:15" x14ac:dyDescent="0.35">
      <c r="A1478" s="503" t="s">
        <v>1218</v>
      </c>
      <c r="B1478" s="504" t="s">
        <v>3147</v>
      </c>
      <c r="C1478" s="504" t="s">
        <v>1094</v>
      </c>
      <c r="D1478" s="504" t="s">
        <v>3380</v>
      </c>
      <c r="E1478" s="504" t="s">
        <v>3381</v>
      </c>
      <c r="F1478" s="504" t="s">
        <v>509</v>
      </c>
      <c r="G1478" s="504" t="s">
        <v>510</v>
      </c>
      <c r="H1478" s="504" t="s">
        <v>4510</v>
      </c>
      <c r="I1478" s="504">
        <v>55</v>
      </c>
      <c r="J1478" s="504">
        <v>8</v>
      </c>
      <c r="K1478" s="504">
        <v>0</v>
      </c>
      <c r="L1478" s="504">
        <v>0</v>
      </c>
      <c r="M1478" s="504">
        <v>0</v>
      </c>
      <c r="N1478" s="504">
        <v>0</v>
      </c>
      <c r="O1478" s="505">
        <v>47</v>
      </c>
    </row>
    <row r="1479" spans="1:15" x14ac:dyDescent="0.35">
      <c r="A1479" s="500" t="s">
        <v>11367</v>
      </c>
      <c r="B1479" s="501" t="s">
        <v>3143</v>
      </c>
      <c r="C1479" s="501" t="s">
        <v>1094</v>
      </c>
      <c r="D1479" s="501" t="s">
        <v>3380</v>
      </c>
      <c r="E1479" s="501" t="s">
        <v>3381</v>
      </c>
      <c r="F1479" s="501" t="s">
        <v>509</v>
      </c>
      <c r="G1479" s="501" t="s">
        <v>510</v>
      </c>
      <c r="H1479" s="501" t="s">
        <v>11910</v>
      </c>
      <c r="I1479" s="501">
        <v>131</v>
      </c>
      <c r="J1479" s="501">
        <v>105</v>
      </c>
      <c r="K1479" s="501">
        <v>0</v>
      </c>
      <c r="L1479" s="501">
        <v>0</v>
      </c>
      <c r="M1479" s="501">
        <v>0</v>
      </c>
      <c r="N1479" s="501">
        <v>0</v>
      </c>
      <c r="O1479" s="506">
        <v>26</v>
      </c>
    </row>
    <row r="1480" spans="1:15" x14ac:dyDescent="0.35">
      <c r="A1480" s="503" t="s">
        <v>1877</v>
      </c>
      <c r="B1480" s="504" t="s">
        <v>2822</v>
      </c>
      <c r="C1480" s="504" t="s">
        <v>1089</v>
      </c>
      <c r="D1480" s="504" t="s">
        <v>3392</v>
      </c>
      <c r="E1480" s="504" t="s">
        <v>3381</v>
      </c>
      <c r="F1480" s="504" t="s">
        <v>509</v>
      </c>
      <c r="G1480" s="504" t="s">
        <v>510</v>
      </c>
      <c r="H1480" s="504" t="s">
        <v>4511</v>
      </c>
      <c r="I1480" s="504">
        <v>25</v>
      </c>
      <c r="J1480" s="504">
        <v>25</v>
      </c>
      <c r="K1480" s="504">
        <v>0</v>
      </c>
      <c r="L1480" s="504">
        <v>0</v>
      </c>
      <c r="M1480" s="504">
        <v>0</v>
      </c>
      <c r="N1480" s="504">
        <v>0</v>
      </c>
      <c r="O1480" s="505">
        <v>0</v>
      </c>
    </row>
    <row r="1481" spans="1:15" x14ac:dyDescent="0.35">
      <c r="A1481" s="500" t="s">
        <v>1122</v>
      </c>
      <c r="B1481" s="501" t="s">
        <v>2994</v>
      </c>
      <c r="C1481" s="501" t="s">
        <v>1094</v>
      </c>
      <c r="D1481" s="501" t="s">
        <v>3380</v>
      </c>
      <c r="E1481" s="501" t="s">
        <v>3381</v>
      </c>
      <c r="F1481" s="501" t="s">
        <v>509</v>
      </c>
      <c r="G1481" s="501" t="s">
        <v>510</v>
      </c>
      <c r="H1481" s="501" t="s">
        <v>4512</v>
      </c>
      <c r="I1481" s="501">
        <v>86</v>
      </c>
      <c r="J1481" s="501">
        <v>86</v>
      </c>
      <c r="K1481" s="501">
        <v>0</v>
      </c>
      <c r="L1481" s="501">
        <v>0</v>
      </c>
      <c r="M1481" s="501">
        <v>0</v>
      </c>
      <c r="N1481" s="501">
        <v>0</v>
      </c>
      <c r="O1481" s="506">
        <v>0</v>
      </c>
    </row>
    <row r="1482" spans="1:15" x14ac:dyDescent="0.35">
      <c r="A1482" s="503" t="s">
        <v>1225</v>
      </c>
      <c r="B1482" s="504" t="s">
        <v>3315</v>
      </c>
      <c r="C1482" s="504" t="s">
        <v>1094</v>
      </c>
      <c r="D1482" s="504" t="s">
        <v>3380</v>
      </c>
      <c r="E1482" s="504" t="s">
        <v>3381</v>
      </c>
      <c r="F1482" s="504" t="s">
        <v>509</v>
      </c>
      <c r="G1482" s="504" t="s">
        <v>510</v>
      </c>
      <c r="H1482" s="504" t="s">
        <v>11985</v>
      </c>
      <c r="I1482" s="504">
        <v>2</v>
      </c>
      <c r="J1482" s="504">
        <v>0</v>
      </c>
      <c r="K1482" s="504">
        <v>0</v>
      </c>
      <c r="L1482" s="504">
        <v>2</v>
      </c>
      <c r="M1482" s="504">
        <v>0</v>
      </c>
      <c r="N1482" s="504">
        <v>0</v>
      </c>
      <c r="O1482" s="505">
        <v>0</v>
      </c>
    </row>
    <row r="1483" spans="1:15" x14ac:dyDescent="0.35">
      <c r="A1483" s="500" t="s">
        <v>1126</v>
      </c>
      <c r="B1483" s="501" t="s">
        <v>2974</v>
      </c>
      <c r="C1483" s="501" t="s">
        <v>1094</v>
      </c>
      <c r="D1483" s="501" t="s">
        <v>3380</v>
      </c>
      <c r="E1483" s="501" t="s">
        <v>3381</v>
      </c>
      <c r="F1483" s="501" t="s">
        <v>509</v>
      </c>
      <c r="G1483" s="501" t="s">
        <v>510</v>
      </c>
      <c r="H1483" s="501" t="s">
        <v>4513</v>
      </c>
      <c r="I1483" s="501">
        <v>586</v>
      </c>
      <c r="J1483" s="501">
        <v>443</v>
      </c>
      <c r="K1483" s="501">
        <v>0</v>
      </c>
      <c r="L1483" s="501">
        <v>53</v>
      </c>
      <c r="M1483" s="501">
        <v>33</v>
      </c>
      <c r="N1483" s="501">
        <v>0</v>
      </c>
      <c r="O1483" s="506">
        <v>57</v>
      </c>
    </row>
    <row r="1484" spans="1:15" x14ac:dyDescent="0.35">
      <c r="A1484" s="503" t="s">
        <v>1130</v>
      </c>
      <c r="B1484" s="504" t="s">
        <v>3234</v>
      </c>
      <c r="C1484" s="504" t="s">
        <v>1094</v>
      </c>
      <c r="D1484" s="504" t="s">
        <v>3380</v>
      </c>
      <c r="E1484" s="504" t="s">
        <v>3381</v>
      </c>
      <c r="F1484" s="504" t="s">
        <v>509</v>
      </c>
      <c r="G1484" s="504" t="s">
        <v>510</v>
      </c>
      <c r="H1484" s="504" t="s">
        <v>4514</v>
      </c>
      <c r="I1484" s="504">
        <v>213</v>
      </c>
      <c r="J1484" s="504">
        <v>184</v>
      </c>
      <c r="K1484" s="504">
        <v>0</v>
      </c>
      <c r="L1484" s="504">
        <v>0</v>
      </c>
      <c r="M1484" s="504">
        <v>0</v>
      </c>
      <c r="N1484" s="504">
        <v>0</v>
      </c>
      <c r="O1484" s="505">
        <v>29</v>
      </c>
    </row>
    <row r="1485" spans="1:15" x14ac:dyDescent="0.35">
      <c r="A1485" s="500" t="s">
        <v>1245</v>
      </c>
      <c r="B1485" s="501" t="s">
        <v>2859</v>
      </c>
      <c r="C1485" s="501" t="s">
        <v>1094</v>
      </c>
      <c r="D1485" s="501" t="s">
        <v>3380</v>
      </c>
      <c r="E1485" s="501" t="s">
        <v>3381</v>
      </c>
      <c r="F1485" s="501" t="s">
        <v>509</v>
      </c>
      <c r="G1485" s="501" t="s">
        <v>510</v>
      </c>
      <c r="H1485" s="501" t="s">
        <v>4515</v>
      </c>
      <c r="I1485" s="501">
        <v>8</v>
      </c>
      <c r="J1485" s="501">
        <v>0</v>
      </c>
      <c r="K1485" s="501">
        <v>0</v>
      </c>
      <c r="L1485" s="501">
        <v>0</v>
      </c>
      <c r="M1485" s="501">
        <v>8</v>
      </c>
      <c r="N1485" s="501">
        <v>0</v>
      </c>
      <c r="O1485" s="506">
        <v>0</v>
      </c>
    </row>
    <row r="1486" spans="1:15" x14ac:dyDescent="0.35">
      <c r="A1486" s="503" t="s">
        <v>14352</v>
      </c>
      <c r="B1486" s="504" t="s">
        <v>2606</v>
      </c>
      <c r="C1486" s="504" t="s">
        <v>1089</v>
      </c>
      <c r="D1486" s="504" t="s">
        <v>3392</v>
      </c>
      <c r="E1486" s="504" t="s">
        <v>3381</v>
      </c>
      <c r="F1486" s="504" t="s">
        <v>509</v>
      </c>
      <c r="G1486" s="504" t="s">
        <v>510</v>
      </c>
      <c r="H1486" s="504" t="s">
        <v>14540</v>
      </c>
      <c r="I1486" s="504">
        <v>6</v>
      </c>
      <c r="J1486" s="504">
        <v>6</v>
      </c>
      <c r="K1486" s="504">
        <v>0</v>
      </c>
      <c r="L1486" s="504">
        <v>0</v>
      </c>
      <c r="M1486" s="504">
        <v>0</v>
      </c>
      <c r="N1486" s="504">
        <v>0</v>
      </c>
      <c r="O1486" s="505">
        <v>0</v>
      </c>
    </row>
    <row r="1487" spans="1:15" x14ac:dyDescent="0.35">
      <c r="A1487" s="500" t="s">
        <v>1253</v>
      </c>
      <c r="B1487" s="501" t="s">
        <v>3232</v>
      </c>
      <c r="C1487" s="501" t="s">
        <v>1094</v>
      </c>
      <c r="D1487" s="501" t="s">
        <v>3380</v>
      </c>
      <c r="E1487" s="501" t="s">
        <v>3381</v>
      </c>
      <c r="F1487" s="501" t="s">
        <v>509</v>
      </c>
      <c r="G1487" s="501" t="s">
        <v>510</v>
      </c>
      <c r="H1487" s="501" t="s">
        <v>4516</v>
      </c>
      <c r="I1487" s="501">
        <v>34</v>
      </c>
      <c r="J1487" s="501">
        <v>20</v>
      </c>
      <c r="K1487" s="501">
        <v>0</v>
      </c>
      <c r="L1487" s="501">
        <v>0</v>
      </c>
      <c r="M1487" s="501">
        <v>14</v>
      </c>
      <c r="N1487" s="501">
        <v>0</v>
      </c>
      <c r="O1487" s="506">
        <v>0</v>
      </c>
    </row>
    <row r="1488" spans="1:15" x14ac:dyDescent="0.35">
      <c r="A1488" s="503" t="s">
        <v>1928</v>
      </c>
      <c r="B1488" s="504" t="s">
        <v>3167</v>
      </c>
      <c r="C1488" s="504" t="s">
        <v>1094</v>
      </c>
      <c r="D1488" s="504" t="s">
        <v>3380</v>
      </c>
      <c r="E1488" s="504" t="s">
        <v>3381</v>
      </c>
      <c r="F1488" s="504" t="s">
        <v>509</v>
      </c>
      <c r="G1488" s="504" t="s">
        <v>510</v>
      </c>
      <c r="H1488" s="504" t="s">
        <v>4517</v>
      </c>
      <c r="I1488" s="504">
        <v>559</v>
      </c>
      <c r="J1488" s="504">
        <v>418</v>
      </c>
      <c r="K1488" s="504">
        <v>0</v>
      </c>
      <c r="L1488" s="504">
        <v>12</v>
      </c>
      <c r="M1488" s="504">
        <v>0</v>
      </c>
      <c r="N1488" s="504">
        <v>0</v>
      </c>
      <c r="O1488" s="505">
        <v>129</v>
      </c>
    </row>
    <row r="1489" spans="1:15" x14ac:dyDescent="0.35">
      <c r="A1489" s="500" t="s">
        <v>1371</v>
      </c>
      <c r="B1489" s="501" t="s">
        <v>2891</v>
      </c>
      <c r="C1489" s="501" t="s">
        <v>1089</v>
      </c>
      <c r="D1489" s="501" t="s">
        <v>3392</v>
      </c>
      <c r="E1489" s="501" t="s">
        <v>3381</v>
      </c>
      <c r="F1489" s="501" t="s">
        <v>509</v>
      </c>
      <c r="G1489" s="501" t="s">
        <v>510</v>
      </c>
      <c r="H1489" s="501" t="s">
        <v>12242</v>
      </c>
      <c r="I1489" s="501">
        <v>2</v>
      </c>
      <c r="J1489" s="501">
        <v>0</v>
      </c>
      <c r="K1489" s="501">
        <v>0</v>
      </c>
      <c r="L1489" s="501">
        <v>2</v>
      </c>
      <c r="M1489" s="501">
        <v>0</v>
      </c>
      <c r="N1489" s="501">
        <v>0</v>
      </c>
      <c r="O1489" s="506">
        <v>0</v>
      </c>
    </row>
    <row r="1490" spans="1:15" x14ac:dyDescent="0.35">
      <c r="A1490" s="503" t="s">
        <v>1934</v>
      </c>
      <c r="B1490" s="504" t="s">
        <v>2816</v>
      </c>
      <c r="C1490" s="504" t="s">
        <v>1089</v>
      </c>
      <c r="D1490" s="504" t="s">
        <v>3392</v>
      </c>
      <c r="E1490" s="504" t="s">
        <v>3381</v>
      </c>
      <c r="F1490" s="504" t="s">
        <v>509</v>
      </c>
      <c r="G1490" s="504" t="s">
        <v>510</v>
      </c>
      <c r="H1490" s="504" t="s">
        <v>4518</v>
      </c>
      <c r="I1490" s="504">
        <v>40</v>
      </c>
      <c r="J1490" s="504">
        <v>40</v>
      </c>
      <c r="K1490" s="504">
        <v>0</v>
      </c>
      <c r="L1490" s="504">
        <v>0</v>
      </c>
      <c r="M1490" s="504">
        <v>0</v>
      </c>
      <c r="N1490" s="504">
        <v>0</v>
      </c>
      <c r="O1490" s="505">
        <v>0</v>
      </c>
    </row>
    <row r="1491" spans="1:15" x14ac:dyDescent="0.35">
      <c r="A1491" s="500" t="s">
        <v>1935</v>
      </c>
      <c r="B1491" s="501" t="s">
        <v>3305</v>
      </c>
      <c r="C1491" s="501" t="s">
        <v>1094</v>
      </c>
      <c r="D1491" s="501" t="s">
        <v>3380</v>
      </c>
      <c r="E1491" s="501" t="s">
        <v>3381</v>
      </c>
      <c r="F1491" s="501" t="s">
        <v>509</v>
      </c>
      <c r="G1491" s="501" t="s">
        <v>510</v>
      </c>
      <c r="H1491" s="501" t="s">
        <v>4519</v>
      </c>
      <c r="I1491" s="501">
        <v>45</v>
      </c>
      <c r="J1491" s="501">
        <v>19</v>
      </c>
      <c r="K1491" s="501">
        <v>0</v>
      </c>
      <c r="L1491" s="501">
        <v>0</v>
      </c>
      <c r="M1491" s="501">
        <v>0</v>
      </c>
      <c r="N1491" s="501">
        <v>0</v>
      </c>
      <c r="O1491" s="506">
        <v>26</v>
      </c>
    </row>
    <row r="1492" spans="1:15" x14ac:dyDescent="0.35">
      <c r="A1492" s="503" t="s">
        <v>1262</v>
      </c>
      <c r="B1492" s="504">
        <v>4772</v>
      </c>
      <c r="C1492" s="504" t="s">
        <v>1089</v>
      </c>
      <c r="D1492" s="504" t="s">
        <v>3392</v>
      </c>
      <c r="E1492" s="504" t="s">
        <v>3381</v>
      </c>
      <c r="F1492" s="504" t="s">
        <v>509</v>
      </c>
      <c r="G1492" s="504" t="s">
        <v>510</v>
      </c>
      <c r="H1492" s="504" t="s">
        <v>4520</v>
      </c>
      <c r="I1492" s="504">
        <v>11</v>
      </c>
      <c r="J1492" s="504">
        <v>0</v>
      </c>
      <c r="K1492" s="504">
        <v>0</v>
      </c>
      <c r="L1492" s="504">
        <v>11</v>
      </c>
      <c r="M1492" s="504">
        <v>0</v>
      </c>
      <c r="N1492" s="504">
        <v>0</v>
      </c>
      <c r="O1492" s="505">
        <v>0</v>
      </c>
    </row>
    <row r="1493" spans="1:15" x14ac:dyDescent="0.35">
      <c r="A1493" s="500" t="s">
        <v>1096</v>
      </c>
      <c r="B1493" s="501" t="s">
        <v>3326</v>
      </c>
      <c r="C1493" s="501" t="s">
        <v>1094</v>
      </c>
      <c r="D1493" s="501" t="s">
        <v>3380</v>
      </c>
      <c r="E1493" s="501" t="s">
        <v>3381</v>
      </c>
      <c r="F1493" s="501" t="s">
        <v>511</v>
      </c>
      <c r="G1493" s="501" t="s">
        <v>512</v>
      </c>
      <c r="H1493" s="501" t="s">
        <v>4521</v>
      </c>
      <c r="I1493" s="501">
        <v>121</v>
      </c>
      <c r="J1493" s="501">
        <v>0</v>
      </c>
      <c r="K1493" s="501">
        <v>0</v>
      </c>
      <c r="L1493" s="501">
        <v>0</v>
      </c>
      <c r="M1493" s="501">
        <v>121</v>
      </c>
      <c r="N1493" s="501">
        <v>0</v>
      </c>
      <c r="O1493" s="506">
        <v>0</v>
      </c>
    </row>
    <row r="1494" spans="1:15" x14ac:dyDescent="0.35">
      <c r="A1494" s="503" t="s">
        <v>1623</v>
      </c>
      <c r="B1494" s="504">
        <v>4858</v>
      </c>
      <c r="C1494" s="504" t="s">
        <v>1094</v>
      </c>
      <c r="D1494" s="504" t="s">
        <v>3380</v>
      </c>
      <c r="E1494" s="504" t="s">
        <v>3381</v>
      </c>
      <c r="F1494" s="504" t="s">
        <v>511</v>
      </c>
      <c r="G1494" s="504" t="s">
        <v>512</v>
      </c>
      <c r="H1494" s="504" t="s">
        <v>4522</v>
      </c>
      <c r="I1494" s="504">
        <v>736</v>
      </c>
      <c r="J1494" s="504">
        <v>508</v>
      </c>
      <c r="K1494" s="504">
        <v>0</v>
      </c>
      <c r="L1494" s="504">
        <v>0</v>
      </c>
      <c r="M1494" s="504">
        <v>77</v>
      </c>
      <c r="N1494" s="504">
        <v>7</v>
      </c>
      <c r="O1494" s="505">
        <v>151</v>
      </c>
    </row>
    <row r="1495" spans="1:15" x14ac:dyDescent="0.35">
      <c r="A1495" s="500" t="s">
        <v>1167</v>
      </c>
      <c r="B1495" s="501">
        <v>4689</v>
      </c>
      <c r="C1495" s="501" t="s">
        <v>1089</v>
      </c>
      <c r="D1495" s="501" t="s">
        <v>3392</v>
      </c>
      <c r="E1495" s="501" t="s">
        <v>3381</v>
      </c>
      <c r="F1495" s="501" t="s">
        <v>511</v>
      </c>
      <c r="G1495" s="501" t="s">
        <v>512</v>
      </c>
      <c r="H1495" s="501" t="s">
        <v>4523</v>
      </c>
      <c r="I1495" s="501">
        <v>11</v>
      </c>
      <c r="J1495" s="501">
        <v>0</v>
      </c>
      <c r="K1495" s="501">
        <v>0</v>
      </c>
      <c r="L1495" s="501">
        <v>11</v>
      </c>
      <c r="M1495" s="501">
        <v>0</v>
      </c>
      <c r="N1495" s="501">
        <v>0</v>
      </c>
      <c r="O1495" s="506">
        <v>0</v>
      </c>
    </row>
    <row r="1496" spans="1:15" x14ac:dyDescent="0.35">
      <c r="A1496" s="503" t="s">
        <v>1172</v>
      </c>
      <c r="B1496" s="504">
        <v>4648</v>
      </c>
      <c r="C1496" s="504" t="s">
        <v>1089</v>
      </c>
      <c r="D1496" s="504" t="s">
        <v>3392</v>
      </c>
      <c r="E1496" s="504" t="s">
        <v>3381</v>
      </c>
      <c r="F1496" s="504" t="s">
        <v>511</v>
      </c>
      <c r="G1496" s="504" t="s">
        <v>512</v>
      </c>
      <c r="H1496" s="504" t="s">
        <v>4524</v>
      </c>
      <c r="I1496" s="504">
        <v>18</v>
      </c>
      <c r="J1496" s="504">
        <v>0</v>
      </c>
      <c r="K1496" s="504">
        <v>0</v>
      </c>
      <c r="L1496" s="504">
        <v>18</v>
      </c>
      <c r="M1496" s="504">
        <v>0</v>
      </c>
      <c r="N1496" s="504">
        <v>0</v>
      </c>
      <c r="O1496" s="505">
        <v>0</v>
      </c>
    </row>
    <row r="1497" spans="1:15" x14ac:dyDescent="0.35">
      <c r="A1497" s="500" t="s">
        <v>1698</v>
      </c>
      <c r="B1497" s="501" t="s">
        <v>3149</v>
      </c>
      <c r="C1497" s="501" t="s">
        <v>1094</v>
      </c>
      <c r="D1497" s="501" t="s">
        <v>3380</v>
      </c>
      <c r="E1497" s="501" t="s">
        <v>3381</v>
      </c>
      <c r="F1497" s="501" t="s">
        <v>511</v>
      </c>
      <c r="G1497" s="501" t="s">
        <v>512</v>
      </c>
      <c r="H1497" s="501" t="s">
        <v>4525</v>
      </c>
      <c r="I1497" s="501">
        <v>85</v>
      </c>
      <c r="J1497" s="501">
        <v>33</v>
      </c>
      <c r="K1497" s="501">
        <v>0</v>
      </c>
      <c r="L1497" s="501">
        <v>0</v>
      </c>
      <c r="M1497" s="501">
        <v>30</v>
      </c>
      <c r="N1497" s="501">
        <v>0</v>
      </c>
      <c r="O1497" s="506">
        <v>22</v>
      </c>
    </row>
    <row r="1498" spans="1:15" x14ac:dyDescent="0.35">
      <c r="A1498" s="503" t="s">
        <v>1174</v>
      </c>
      <c r="B1498" s="504">
        <v>4784</v>
      </c>
      <c r="C1498" s="504" t="s">
        <v>1089</v>
      </c>
      <c r="D1498" s="504" t="s">
        <v>3392</v>
      </c>
      <c r="E1498" s="504" t="s">
        <v>3381</v>
      </c>
      <c r="F1498" s="504" t="s">
        <v>511</v>
      </c>
      <c r="G1498" s="504" t="s">
        <v>512</v>
      </c>
      <c r="H1498" s="504" t="s">
        <v>14541</v>
      </c>
      <c r="I1498" s="504">
        <v>8</v>
      </c>
      <c r="J1498" s="504">
        <v>0</v>
      </c>
      <c r="K1498" s="504">
        <v>0</v>
      </c>
      <c r="L1498" s="504">
        <v>8</v>
      </c>
      <c r="M1498" s="504">
        <v>0</v>
      </c>
      <c r="N1498" s="504">
        <v>0</v>
      </c>
      <c r="O1498" s="505">
        <v>0</v>
      </c>
    </row>
    <row r="1499" spans="1:15" x14ac:dyDescent="0.35">
      <c r="A1499" s="500" t="s">
        <v>1177</v>
      </c>
      <c r="B1499" s="501">
        <v>4702</v>
      </c>
      <c r="C1499" s="501" t="s">
        <v>1089</v>
      </c>
      <c r="D1499" s="501" t="s">
        <v>3392</v>
      </c>
      <c r="E1499" s="501" t="s">
        <v>3381</v>
      </c>
      <c r="F1499" s="501" t="s">
        <v>511</v>
      </c>
      <c r="G1499" s="501" t="s">
        <v>512</v>
      </c>
      <c r="H1499" s="501" t="s">
        <v>11700</v>
      </c>
      <c r="I1499" s="501">
        <v>1</v>
      </c>
      <c r="J1499" s="501">
        <v>0</v>
      </c>
      <c r="K1499" s="501">
        <v>0</v>
      </c>
      <c r="L1499" s="501">
        <v>1</v>
      </c>
      <c r="M1499" s="501">
        <v>0</v>
      </c>
      <c r="N1499" s="501">
        <v>0</v>
      </c>
      <c r="O1499" s="506">
        <v>0</v>
      </c>
    </row>
    <row r="1500" spans="1:15" x14ac:dyDescent="0.35">
      <c r="A1500" s="503" t="s">
        <v>14208</v>
      </c>
      <c r="B1500" s="504">
        <v>4803</v>
      </c>
      <c r="C1500" s="504" t="s">
        <v>1094</v>
      </c>
      <c r="D1500" s="504" t="s">
        <v>3380</v>
      </c>
      <c r="E1500" s="504" t="s">
        <v>3381</v>
      </c>
      <c r="F1500" s="504" t="s">
        <v>511</v>
      </c>
      <c r="G1500" s="504" t="s">
        <v>512</v>
      </c>
      <c r="H1500" s="504" t="s">
        <v>14542</v>
      </c>
      <c r="I1500" s="504">
        <v>16</v>
      </c>
      <c r="J1500" s="504">
        <v>0</v>
      </c>
      <c r="K1500" s="504">
        <v>0</v>
      </c>
      <c r="L1500" s="504">
        <v>16</v>
      </c>
      <c r="M1500" s="504">
        <v>0</v>
      </c>
      <c r="N1500" s="504">
        <v>0</v>
      </c>
      <c r="O1500" s="505">
        <v>0</v>
      </c>
    </row>
    <row r="1501" spans="1:15" x14ac:dyDescent="0.35">
      <c r="A1501" s="500" t="s">
        <v>1105</v>
      </c>
      <c r="B1501" s="501">
        <v>4668</v>
      </c>
      <c r="C1501" s="501" t="s">
        <v>1094</v>
      </c>
      <c r="D1501" s="501" t="s">
        <v>3380</v>
      </c>
      <c r="E1501" s="501" t="s">
        <v>3381</v>
      </c>
      <c r="F1501" s="501" t="s">
        <v>511</v>
      </c>
      <c r="G1501" s="501" t="s">
        <v>512</v>
      </c>
      <c r="H1501" s="501" t="s">
        <v>4526</v>
      </c>
      <c r="I1501" s="501">
        <v>61</v>
      </c>
      <c r="J1501" s="501">
        <v>0</v>
      </c>
      <c r="K1501" s="501">
        <v>0</v>
      </c>
      <c r="L1501" s="501">
        <v>0</v>
      </c>
      <c r="M1501" s="501">
        <v>0</v>
      </c>
      <c r="N1501" s="501">
        <v>0</v>
      </c>
      <c r="O1501" s="506">
        <v>61</v>
      </c>
    </row>
    <row r="1502" spans="1:15" x14ac:dyDescent="0.35">
      <c r="A1502" s="503" t="s">
        <v>1107</v>
      </c>
      <c r="B1502" s="504" t="s">
        <v>3109</v>
      </c>
      <c r="C1502" s="504" t="s">
        <v>1094</v>
      </c>
      <c r="D1502" s="504" t="s">
        <v>3380</v>
      </c>
      <c r="E1502" s="504" t="s">
        <v>3381</v>
      </c>
      <c r="F1502" s="504" t="s">
        <v>511</v>
      </c>
      <c r="G1502" s="504" t="s">
        <v>512</v>
      </c>
      <c r="H1502" s="504" t="s">
        <v>4527</v>
      </c>
      <c r="I1502" s="504">
        <v>134</v>
      </c>
      <c r="J1502" s="504">
        <v>134</v>
      </c>
      <c r="K1502" s="504">
        <v>0</v>
      </c>
      <c r="L1502" s="504">
        <v>0</v>
      </c>
      <c r="M1502" s="504">
        <v>0</v>
      </c>
      <c r="N1502" s="504">
        <v>0</v>
      </c>
      <c r="O1502" s="505">
        <v>0</v>
      </c>
    </row>
    <row r="1503" spans="1:15" x14ac:dyDescent="0.35">
      <c r="A1503" s="500" t="s">
        <v>1190</v>
      </c>
      <c r="B1503" s="501">
        <v>4662</v>
      </c>
      <c r="C1503" s="501" t="s">
        <v>1094</v>
      </c>
      <c r="D1503" s="501" t="s">
        <v>3380</v>
      </c>
      <c r="E1503" s="501" t="s">
        <v>3381</v>
      </c>
      <c r="F1503" s="501" t="s">
        <v>511</v>
      </c>
      <c r="G1503" s="501" t="s">
        <v>512</v>
      </c>
      <c r="H1503" s="501" t="s">
        <v>4528</v>
      </c>
      <c r="I1503" s="501">
        <v>22</v>
      </c>
      <c r="J1503" s="501">
        <v>0</v>
      </c>
      <c r="K1503" s="501">
        <v>0</v>
      </c>
      <c r="L1503" s="501">
        <v>22</v>
      </c>
      <c r="M1503" s="501">
        <v>0</v>
      </c>
      <c r="N1503" s="501">
        <v>0</v>
      </c>
      <c r="O1503" s="506">
        <v>0</v>
      </c>
    </row>
    <row r="1504" spans="1:15" x14ac:dyDescent="0.35">
      <c r="A1504" s="503" t="s">
        <v>1737</v>
      </c>
      <c r="B1504" s="504" t="s">
        <v>2628</v>
      </c>
      <c r="C1504" s="504" t="s">
        <v>1089</v>
      </c>
      <c r="D1504" s="504" t="s">
        <v>3392</v>
      </c>
      <c r="E1504" s="504" t="s">
        <v>3381</v>
      </c>
      <c r="F1504" s="504" t="s">
        <v>511</v>
      </c>
      <c r="G1504" s="504" t="s">
        <v>512</v>
      </c>
      <c r="H1504" s="504" t="s">
        <v>4529</v>
      </c>
      <c r="I1504" s="504">
        <v>6</v>
      </c>
      <c r="J1504" s="504">
        <v>6</v>
      </c>
      <c r="K1504" s="504">
        <v>0</v>
      </c>
      <c r="L1504" s="504">
        <v>0</v>
      </c>
      <c r="M1504" s="504">
        <v>0</v>
      </c>
      <c r="N1504" s="504">
        <v>0</v>
      </c>
      <c r="O1504" s="505">
        <v>0</v>
      </c>
    </row>
    <row r="1505" spans="1:15" x14ac:dyDescent="0.35">
      <c r="A1505" s="500" t="s">
        <v>1738</v>
      </c>
      <c r="B1505" s="501" t="s">
        <v>3280</v>
      </c>
      <c r="C1505" s="501" t="s">
        <v>1089</v>
      </c>
      <c r="D1505" s="501" t="s">
        <v>3392</v>
      </c>
      <c r="E1505" s="501" t="s">
        <v>3381</v>
      </c>
      <c r="F1505" s="501" t="s">
        <v>511</v>
      </c>
      <c r="G1505" s="501" t="s">
        <v>512</v>
      </c>
      <c r="H1505" s="501" t="s">
        <v>4530</v>
      </c>
      <c r="I1505" s="501">
        <v>9</v>
      </c>
      <c r="J1505" s="501">
        <v>9</v>
      </c>
      <c r="K1505" s="501">
        <v>0</v>
      </c>
      <c r="L1505" s="501">
        <v>0</v>
      </c>
      <c r="M1505" s="501">
        <v>0</v>
      </c>
      <c r="N1505" s="501">
        <v>0</v>
      </c>
      <c r="O1505" s="506">
        <v>0</v>
      </c>
    </row>
    <row r="1506" spans="1:15" x14ac:dyDescent="0.35">
      <c r="A1506" s="503" t="s">
        <v>1209</v>
      </c>
      <c r="B1506" s="504">
        <v>4779</v>
      </c>
      <c r="C1506" s="504" t="s">
        <v>1094</v>
      </c>
      <c r="D1506" s="504" t="s">
        <v>3380</v>
      </c>
      <c r="E1506" s="504" t="s">
        <v>3381</v>
      </c>
      <c r="F1506" s="504" t="s">
        <v>511</v>
      </c>
      <c r="G1506" s="504" t="s">
        <v>512</v>
      </c>
      <c r="H1506" s="504" t="s">
        <v>4531</v>
      </c>
      <c r="I1506" s="504">
        <v>48</v>
      </c>
      <c r="J1506" s="504">
        <v>0</v>
      </c>
      <c r="K1506" s="504">
        <v>0</v>
      </c>
      <c r="L1506" s="504">
        <v>48</v>
      </c>
      <c r="M1506" s="504">
        <v>0</v>
      </c>
      <c r="N1506" s="504">
        <v>0</v>
      </c>
      <c r="O1506" s="505">
        <v>0</v>
      </c>
    </row>
    <row r="1507" spans="1:15" x14ac:dyDescent="0.35">
      <c r="A1507" s="500" t="s">
        <v>1503</v>
      </c>
      <c r="B1507" s="501">
        <v>4666</v>
      </c>
      <c r="C1507" s="501" t="s">
        <v>1089</v>
      </c>
      <c r="D1507" s="501" t="s">
        <v>3392</v>
      </c>
      <c r="E1507" s="501" t="s">
        <v>3381</v>
      </c>
      <c r="F1507" s="501" t="s">
        <v>511</v>
      </c>
      <c r="G1507" s="501" t="s">
        <v>512</v>
      </c>
      <c r="H1507" s="501" t="s">
        <v>4532</v>
      </c>
      <c r="I1507" s="501">
        <v>10</v>
      </c>
      <c r="J1507" s="501">
        <v>0</v>
      </c>
      <c r="K1507" s="501">
        <v>0</v>
      </c>
      <c r="L1507" s="501">
        <v>10</v>
      </c>
      <c r="M1507" s="501">
        <v>0</v>
      </c>
      <c r="N1507" s="501">
        <v>0</v>
      </c>
      <c r="O1507" s="506">
        <v>0</v>
      </c>
    </row>
    <row r="1508" spans="1:15" x14ac:dyDescent="0.35">
      <c r="A1508" s="503" t="s">
        <v>1223</v>
      </c>
      <c r="B1508" s="504">
        <v>4768</v>
      </c>
      <c r="C1508" s="504" t="s">
        <v>1089</v>
      </c>
      <c r="D1508" s="504" t="s">
        <v>3392</v>
      </c>
      <c r="E1508" s="504" t="s">
        <v>3381</v>
      </c>
      <c r="F1508" s="504" t="s">
        <v>511</v>
      </c>
      <c r="G1508" s="504" t="s">
        <v>512</v>
      </c>
      <c r="H1508" s="504" t="s">
        <v>4533</v>
      </c>
      <c r="I1508" s="504">
        <v>25</v>
      </c>
      <c r="J1508" s="504">
        <v>0</v>
      </c>
      <c r="K1508" s="504">
        <v>0</v>
      </c>
      <c r="L1508" s="504">
        <v>25</v>
      </c>
      <c r="M1508" s="504">
        <v>0</v>
      </c>
      <c r="N1508" s="504">
        <v>0</v>
      </c>
      <c r="O1508" s="505">
        <v>0</v>
      </c>
    </row>
    <row r="1509" spans="1:15" x14ac:dyDescent="0.35">
      <c r="A1509" s="500" t="s">
        <v>1228</v>
      </c>
      <c r="B1509" s="501" t="s">
        <v>3321</v>
      </c>
      <c r="C1509" s="501" t="s">
        <v>1094</v>
      </c>
      <c r="D1509" s="501" t="s">
        <v>3380</v>
      </c>
      <c r="E1509" s="501" t="s">
        <v>3381</v>
      </c>
      <c r="F1509" s="501" t="s">
        <v>511</v>
      </c>
      <c r="G1509" s="501" t="s">
        <v>512</v>
      </c>
      <c r="H1509" s="501" t="s">
        <v>4534</v>
      </c>
      <c r="I1509" s="501">
        <v>3</v>
      </c>
      <c r="J1509" s="501">
        <v>0</v>
      </c>
      <c r="K1509" s="501">
        <v>0</v>
      </c>
      <c r="L1509" s="501">
        <v>3</v>
      </c>
      <c r="M1509" s="501">
        <v>0</v>
      </c>
      <c r="N1509" s="501">
        <v>0</v>
      </c>
      <c r="O1509" s="506">
        <v>0</v>
      </c>
    </row>
    <row r="1510" spans="1:15" x14ac:dyDescent="0.35">
      <c r="A1510" s="503" t="s">
        <v>1648</v>
      </c>
      <c r="B1510" s="504" t="s">
        <v>2496</v>
      </c>
      <c r="C1510" s="504" t="s">
        <v>1094</v>
      </c>
      <c r="D1510" s="504" t="s">
        <v>3380</v>
      </c>
      <c r="E1510" s="504" t="s">
        <v>3381</v>
      </c>
      <c r="F1510" s="504" t="s">
        <v>511</v>
      </c>
      <c r="G1510" s="504" t="s">
        <v>512</v>
      </c>
      <c r="H1510" s="504" t="s">
        <v>4535</v>
      </c>
      <c r="I1510" s="504">
        <v>2</v>
      </c>
      <c r="J1510" s="504">
        <v>0</v>
      </c>
      <c r="K1510" s="504">
        <v>0</v>
      </c>
      <c r="L1510" s="504">
        <v>0</v>
      </c>
      <c r="M1510" s="504">
        <v>2</v>
      </c>
      <c r="N1510" s="504">
        <v>0</v>
      </c>
      <c r="O1510" s="505">
        <v>0</v>
      </c>
    </row>
    <row r="1511" spans="1:15" x14ac:dyDescent="0.35">
      <c r="A1511" s="500" t="s">
        <v>1252</v>
      </c>
      <c r="B1511" s="501" t="s">
        <v>2875</v>
      </c>
      <c r="C1511" s="501" t="s">
        <v>1089</v>
      </c>
      <c r="D1511" s="501" t="s">
        <v>3392</v>
      </c>
      <c r="E1511" s="501" t="s">
        <v>3381</v>
      </c>
      <c r="F1511" s="501" t="s">
        <v>511</v>
      </c>
      <c r="G1511" s="501" t="s">
        <v>512</v>
      </c>
      <c r="H1511" s="501" t="s">
        <v>12226</v>
      </c>
      <c r="I1511" s="501">
        <v>17</v>
      </c>
      <c r="J1511" s="501">
        <v>0</v>
      </c>
      <c r="K1511" s="501">
        <v>0</v>
      </c>
      <c r="L1511" s="501">
        <v>17</v>
      </c>
      <c r="M1511" s="501">
        <v>0</v>
      </c>
      <c r="N1511" s="501">
        <v>0</v>
      </c>
      <c r="O1511" s="506">
        <v>0</v>
      </c>
    </row>
    <row r="1512" spans="1:15" x14ac:dyDescent="0.35">
      <c r="A1512" s="503" t="s">
        <v>1253</v>
      </c>
      <c r="B1512" s="504" t="s">
        <v>3232</v>
      </c>
      <c r="C1512" s="504" t="s">
        <v>1094</v>
      </c>
      <c r="D1512" s="504" t="s">
        <v>3380</v>
      </c>
      <c r="E1512" s="504" t="s">
        <v>3381</v>
      </c>
      <c r="F1512" s="504" t="s">
        <v>511</v>
      </c>
      <c r="G1512" s="504" t="s">
        <v>512</v>
      </c>
      <c r="H1512" s="504" t="s">
        <v>4536</v>
      </c>
      <c r="I1512" s="504">
        <v>6877</v>
      </c>
      <c r="J1512" s="504">
        <v>6582</v>
      </c>
      <c r="K1512" s="504">
        <v>0</v>
      </c>
      <c r="L1512" s="504">
        <v>120</v>
      </c>
      <c r="M1512" s="504">
        <v>107</v>
      </c>
      <c r="N1512" s="504">
        <v>5</v>
      </c>
      <c r="O1512" s="505">
        <v>68</v>
      </c>
    </row>
    <row r="1513" spans="1:15" x14ac:dyDescent="0.35">
      <c r="A1513" s="500" t="s">
        <v>1371</v>
      </c>
      <c r="B1513" s="501" t="s">
        <v>2891</v>
      </c>
      <c r="C1513" s="501" t="s">
        <v>1089</v>
      </c>
      <c r="D1513" s="501" t="s">
        <v>3392</v>
      </c>
      <c r="E1513" s="501" t="s">
        <v>3381</v>
      </c>
      <c r="F1513" s="501" t="s">
        <v>511</v>
      </c>
      <c r="G1513" s="501" t="s">
        <v>512</v>
      </c>
      <c r="H1513" s="501" t="s">
        <v>14543</v>
      </c>
      <c r="I1513" s="501">
        <v>3</v>
      </c>
      <c r="J1513" s="501">
        <v>0</v>
      </c>
      <c r="K1513" s="501">
        <v>0</v>
      </c>
      <c r="L1513" s="501">
        <v>3</v>
      </c>
      <c r="M1513" s="501">
        <v>0</v>
      </c>
      <c r="N1513" s="501">
        <v>0</v>
      </c>
      <c r="O1513" s="506">
        <v>0</v>
      </c>
    </row>
    <row r="1514" spans="1:15" x14ac:dyDescent="0.35">
      <c r="A1514" s="503" t="s">
        <v>1093</v>
      </c>
      <c r="B1514" s="504" t="s">
        <v>3248</v>
      </c>
      <c r="C1514" s="504" t="s">
        <v>1094</v>
      </c>
      <c r="D1514" s="504" t="s">
        <v>3380</v>
      </c>
      <c r="E1514" s="504" t="s">
        <v>3381</v>
      </c>
      <c r="F1514" s="504" t="s">
        <v>513</v>
      </c>
      <c r="G1514" s="504" t="s">
        <v>514</v>
      </c>
      <c r="H1514" s="504" t="s">
        <v>4537</v>
      </c>
      <c r="I1514" s="504">
        <v>12</v>
      </c>
      <c r="J1514" s="504">
        <v>0</v>
      </c>
      <c r="K1514" s="504">
        <v>0</v>
      </c>
      <c r="L1514" s="504">
        <v>12</v>
      </c>
      <c r="M1514" s="504">
        <v>0</v>
      </c>
      <c r="N1514" s="504">
        <v>0</v>
      </c>
      <c r="O1514" s="505">
        <v>0</v>
      </c>
    </row>
    <row r="1515" spans="1:15" x14ac:dyDescent="0.35">
      <c r="A1515" s="500" t="s">
        <v>1096</v>
      </c>
      <c r="B1515" s="501" t="s">
        <v>3326</v>
      </c>
      <c r="C1515" s="501" t="s">
        <v>1094</v>
      </c>
      <c r="D1515" s="501" t="s">
        <v>3380</v>
      </c>
      <c r="E1515" s="501" t="s">
        <v>3381</v>
      </c>
      <c r="F1515" s="501" t="s">
        <v>513</v>
      </c>
      <c r="G1515" s="501" t="s">
        <v>514</v>
      </c>
      <c r="H1515" s="501" t="s">
        <v>4538</v>
      </c>
      <c r="I1515" s="501">
        <v>48</v>
      </c>
      <c r="J1515" s="501">
        <v>0</v>
      </c>
      <c r="K1515" s="501">
        <v>0</v>
      </c>
      <c r="L1515" s="501">
        <v>0</v>
      </c>
      <c r="M1515" s="501">
        <v>48</v>
      </c>
      <c r="N1515" s="501">
        <v>0</v>
      </c>
      <c r="O1515" s="506">
        <v>0</v>
      </c>
    </row>
    <row r="1516" spans="1:15" x14ac:dyDescent="0.35">
      <c r="A1516" s="503" t="s">
        <v>1283</v>
      </c>
      <c r="B1516" s="504" t="s">
        <v>3177</v>
      </c>
      <c r="C1516" s="504" t="s">
        <v>1094</v>
      </c>
      <c r="D1516" s="504" t="s">
        <v>3380</v>
      </c>
      <c r="E1516" s="504" t="s">
        <v>3381</v>
      </c>
      <c r="F1516" s="504" t="s">
        <v>513</v>
      </c>
      <c r="G1516" s="504" t="s">
        <v>514</v>
      </c>
      <c r="H1516" s="504" t="s">
        <v>4539</v>
      </c>
      <c r="I1516" s="504">
        <v>17</v>
      </c>
      <c r="J1516" s="504">
        <v>11</v>
      </c>
      <c r="K1516" s="504">
        <v>0</v>
      </c>
      <c r="L1516" s="504">
        <v>6</v>
      </c>
      <c r="M1516" s="504">
        <v>0</v>
      </c>
      <c r="N1516" s="504">
        <v>0</v>
      </c>
      <c r="O1516" s="505">
        <v>0</v>
      </c>
    </row>
    <row r="1517" spans="1:15" x14ac:dyDescent="0.35">
      <c r="A1517" s="500" t="s">
        <v>1294</v>
      </c>
      <c r="B1517" s="501" t="s">
        <v>3114</v>
      </c>
      <c r="C1517" s="501" t="s">
        <v>1094</v>
      </c>
      <c r="D1517" s="501" t="s">
        <v>3380</v>
      </c>
      <c r="E1517" s="501" t="s">
        <v>3381</v>
      </c>
      <c r="F1517" s="501" t="s">
        <v>513</v>
      </c>
      <c r="G1517" s="501" t="s">
        <v>514</v>
      </c>
      <c r="H1517" s="501" t="s">
        <v>4540</v>
      </c>
      <c r="I1517" s="501">
        <v>151</v>
      </c>
      <c r="J1517" s="501">
        <v>113</v>
      </c>
      <c r="K1517" s="501">
        <v>0</v>
      </c>
      <c r="L1517" s="501">
        <v>12</v>
      </c>
      <c r="M1517" s="501">
        <v>0</v>
      </c>
      <c r="N1517" s="501">
        <v>2</v>
      </c>
      <c r="O1517" s="506">
        <v>26</v>
      </c>
    </row>
    <row r="1518" spans="1:15" x14ac:dyDescent="0.35">
      <c r="A1518" s="503" t="s">
        <v>1107</v>
      </c>
      <c r="B1518" s="504" t="s">
        <v>3109</v>
      </c>
      <c r="C1518" s="504" t="s">
        <v>1094</v>
      </c>
      <c r="D1518" s="504" t="s">
        <v>3380</v>
      </c>
      <c r="E1518" s="504" t="s">
        <v>3381</v>
      </c>
      <c r="F1518" s="504" t="s">
        <v>513</v>
      </c>
      <c r="G1518" s="504" t="s">
        <v>514</v>
      </c>
      <c r="H1518" s="504" t="s">
        <v>4541</v>
      </c>
      <c r="I1518" s="504">
        <v>132</v>
      </c>
      <c r="J1518" s="504">
        <v>132</v>
      </c>
      <c r="K1518" s="504">
        <v>0</v>
      </c>
      <c r="L1518" s="504">
        <v>0</v>
      </c>
      <c r="M1518" s="504">
        <v>0</v>
      </c>
      <c r="N1518" s="504">
        <v>0</v>
      </c>
      <c r="O1518" s="505">
        <v>0</v>
      </c>
    </row>
    <row r="1519" spans="1:15" x14ac:dyDescent="0.35">
      <c r="A1519" s="500" t="s">
        <v>1190</v>
      </c>
      <c r="B1519" s="501">
        <v>4662</v>
      </c>
      <c r="C1519" s="501" t="s">
        <v>1094</v>
      </c>
      <c r="D1519" s="501" t="s">
        <v>3380</v>
      </c>
      <c r="E1519" s="501" t="s">
        <v>3381</v>
      </c>
      <c r="F1519" s="501" t="s">
        <v>513</v>
      </c>
      <c r="G1519" s="501" t="s">
        <v>514</v>
      </c>
      <c r="H1519" s="501" t="s">
        <v>14544</v>
      </c>
      <c r="I1519" s="501">
        <v>3</v>
      </c>
      <c r="J1519" s="501">
        <v>0</v>
      </c>
      <c r="K1519" s="501">
        <v>0</v>
      </c>
      <c r="L1519" s="501">
        <v>3</v>
      </c>
      <c r="M1519" s="501">
        <v>0</v>
      </c>
      <c r="N1519" s="501">
        <v>0</v>
      </c>
      <c r="O1519" s="506">
        <v>0</v>
      </c>
    </row>
    <row r="1520" spans="1:15" x14ac:dyDescent="0.35">
      <c r="A1520" s="503" t="s">
        <v>1311</v>
      </c>
      <c r="B1520" s="504" t="s">
        <v>3361</v>
      </c>
      <c r="C1520" s="504" t="s">
        <v>1094</v>
      </c>
      <c r="D1520" s="504" t="s">
        <v>3380</v>
      </c>
      <c r="E1520" s="504" t="s">
        <v>3381</v>
      </c>
      <c r="F1520" s="504" t="s">
        <v>513</v>
      </c>
      <c r="G1520" s="504" t="s">
        <v>514</v>
      </c>
      <c r="H1520" s="504" t="s">
        <v>4542</v>
      </c>
      <c r="I1520" s="504">
        <v>5</v>
      </c>
      <c r="J1520" s="504">
        <v>5</v>
      </c>
      <c r="K1520" s="504">
        <v>0</v>
      </c>
      <c r="L1520" s="504">
        <v>0</v>
      </c>
      <c r="M1520" s="504">
        <v>0</v>
      </c>
      <c r="N1520" s="504">
        <v>0</v>
      </c>
      <c r="O1520" s="505">
        <v>0</v>
      </c>
    </row>
    <row r="1521" spans="1:15" x14ac:dyDescent="0.35">
      <c r="A1521" s="500" t="s">
        <v>1202</v>
      </c>
      <c r="B1521" s="501" t="s">
        <v>3217</v>
      </c>
      <c r="C1521" s="501" t="s">
        <v>1094</v>
      </c>
      <c r="D1521" s="501" t="s">
        <v>3380</v>
      </c>
      <c r="E1521" s="501" t="s">
        <v>3381</v>
      </c>
      <c r="F1521" s="501" t="s">
        <v>513</v>
      </c>
      <c r="G1521" s="501" t="s">
        <v>514</v>
      </c>
      <c r="H1521" s="501" t="s">
        <v>4543</v>
      </c>
      <c r="I1521" s="501">
        <v>68</v>
      </c>
      <c r="J1521" s="501">
        <v>53</v>
      </c>
      <c r="K1521" s="501">
        <v>0</v>
      </c>
      <c r="L1521" s="501">
        <v>6</v>
      </c>
      <c r="M1521" s="501">
        <v>0</v>
      </c>
      <c r="N1521" s="501">
        <v>0</v>
      </c>
      <c r="O1521" s="506">
        <v>9</v>
      </c>
    </row>
    <row r="1522" spans="1:15" x14ac:dyDescent="0.35">
      <c r="A1522" s="503" t="s">
        <v>1114</v>
      </c>
      <c r="B1522" s="504" t="s">
        <v>2982</v>
      </c>
      <c r="C1522" s="504" t="s">
        <v>1094</v>
      </c>
      <c r="D1522" s="504" t="s">
        <v>3380</v>
      </c>
      <c r="E1522" s="504" t="s">
        <v>3381</v>
      </c>
      <c r="F1522" s="504" t="s">
        <v>513</v>
      </c>
      <c r="G1522" s="504" t="s">
        <v>514</v>
      </c>
      <c r="H1522" s="504" t="s">
        <v>4544</v>
      </c>
      <c r="I1522" s="504">
        <v>83</v>
      </c>
      <c r="J1522" s="504">
        <v>50</v>
      </c>
      <c r="K1522" s="504">
        <v>0</v>
      </c>
      <c r="L1522" s="504">
        <v>0</v>
      </c>
      <c r="M1522" s="504">
        <v>0</v>
      </c>
      <c r="N1522" s="504">
        <v>0</v>
      </c>
      <c r="O1522" s="505">
        <v>33</v>
      </c>
    </row>
    <row r="1523" spans="1:15" x14ac:dyDescent="0.35">
      <c r="A1523" s="500" t="s">
        <v>1210</v>
      </c>
      <c r="B1523" s="501">
        <v>4781</v>
      </c>
      <c r="C1523" s="501" t="s">
        <v>1089</v>
      </c>
      <c r="D1523" s="501" t="s">
        <v>3392</v>
      </c>
      <c r="E1523" s="501" t="s">
        <v>3381</v>
      </c>
      <c r="F1523" s="501" t="s">
        <v>513</v>
      </c>
      <c r="G1523" s="501" t="s">
        <v>514</v>
      </c>
      <c r="H1523" s="501" t="s">
        <v>4545</v>
      </c>
      <c r="I1523" s="501">
        <v>4</v>
      </c>
      <c r="J1523" s="501">
        <v>0</v>
      </c>
      <c r="K1523" s="501">
        <v>0</v>
      </c>
      <c r="L1523" s="501">
        <v>4</v>
      </c>
      <c r="M1523" s="501">
        <v>0</v>
      </c>
      <c r="N1523" s="501">
        <v>0</v>
      </c>
      <c r="O1523" s="506">
        <v>0</v>
      </c>
    </row>
    <row r="1524" spans="1:15" x14ac:dyDescent="0.35">
      <c r="A1524" s="503" t="s">
        <v>1319</v>
      </c>
      <c r="B1524" s="504">
        <v>4880</v>
      </c>
      <c r="C1524" s="504" t="s">
        <v>1094</v>
      </c>
      <c r="D1524" s="504" t="s">
        <v>3380</v>
      </c>
      <c r="E1524" s="504" t="s">
        <v>3381</v>
      </c>
      <c r="F1524" s="504" t="s">
        <v>513</v>
      </c>
      <c r="G1524" s="504" t="s">
        <v>514</v>
      </c>
      <c r="H1524" s="504" t="s">
        <v>4546</v>
      </c>
      <c r="I1524" s="504">
        <v>22</v>
      </c>
      <c r="J1524" s="504">
        <v>19</v>
      </c>
      <c r="K1524" s="504">
        <v>0</v>
      </c>
      <c r="L1524" s="504">
        <v>0</v>
      </c>
      <c r="M1524" s="504">
        <v>0</v>
      </c>
      <c r="N1524" s="504">
        <v>0</v>
      </c>
      <c r="O1524" s="505">
        <v>3</v>
      </c>
    </row>
    <row r="1525" spans="1:15" x14ac:dyDescent="0.35">
      <c r="A1525" s="500" t="s">
        <v>1120</v>
      </c>
      <c r="B1525" s="501" t="s">
        <v>3362</v>
      </c>
      <c r="C1525" s="501" t="s">
        <v>1094</v>
      </c>
      <c r="D1525" s="501" t="s">
        <v>3380</v>
      </c>
      <c r="E1525" s="501" t="s">
        <v>3381</v>
      </c>
      <c r="F1525" s="501" t="s">
        <v>513</v>
      </c>
      <c r="G1525" s="501" t="s">
        <v>514</v>
      </c>
      <c r="H1525" s="501" t="s">
        <v>4547</v>
      </c>
      <c r="I1525" s="501">
        <v>1</v>
      </c>
      <c r="J1525" s="501">
        <v>0</v>
      </c>
      <c r="K1525" s="501">
        <v>0</v>
      </c>
      <c r="L1525" s="501">
        <v>0</v>
      </c>
      <c r="M1525" s="501">
        <v>0</v>
      </c>
      <c r="N1525" s="501">
        <v>0</v>
      </c>
      <c r="O1525" s="506">
        <v>1</v>
      </c>
    </row>
    <row r="1526" spans="1:15" x14ac:dyDescent="0.35">
      <c r="A1526" s="503" t="s">
        <v>1322</v>
      </c>
      <c r="B1526" s="504" t="s">
        <v>3244</v>
      </c>
      <c r="C1526" s="504" t="s">
        <v>1094</v>
      </c>
      <c r="D1526" s="504" t="s">
        <v>3380</v>
      </c>
      <c r="E1526" s="504" t="s">
        <v>3381</v>
      </c>
      <c r="F1526" s="504" t="s">
        <v>513</v>
      </c>
      <c r="G1526" s="504" t="s">
        <v>514</v>
      </c>
      <c r="H1526" s="504" t="s">
        <v>4548</v>
      </c>
      <c r="I1526" s="504">
        <v>2</v>
      </c>
      <c r="J1526" s="504">
        <v>0</v>
      </c>
      <c r="K1526" s="504">
        <v>0</v>
      </c>
      <c r="L1526" s="504">
        <v>0</v>
      </c>
      <c r="M1526" s="504">
        <v>0</v>
      </c>
      <c r="N1526" s="504">
        <v>0</v>
      </c>
      <c r="O1526" s="505">
        <v>2</v>
      </c>
    </row>
    <row r="1527" spans="1:15" x14ac:dyDescent="0.35">
      <c r="A1527" s="500" t="s">
        <v>1218</v>
      </c>
      <c r="B1527" s="501" t="s">
        <v>3147</v>
      </c>
      <c r="C1527" s="501" t="s">
        <v>1094</v>
      </c>
      <c r="D1527" s="501" t="s">
        <v>3380</v>
      </c>
      <c r="E1527" s="501" t="s">
        <v>3381</v>
      </c>
      <c r="F1527" s="501" t="s">
        <v>513</v>
      </c>
      <c r="G1527" s="501" t="s">
        <v>514</v>
      </c>
      <c r="H1527" s="501" t="s">
        <v>14545</v>
      </c>
      <c r="I1527" s="501">
        <v>8</v>
      </c>
      <c r="J1527" s="501">
        <v>0</v>
      </c>
      <c r="K1527" s="501">
        <v>0</v>
      </c>
      <c r="L1527" s="501">
        <v>0</v>
      </c>
      <c r="M1527" s="501">
        <v>0</v>
      </c>
      <c r="N1527" s="501">
        <v>0</v>
      </c>
      <c r="O1527" s="506">
        <v>8</v>
      </c>
    </row>
    <row r="1528" spans="1:15" x14ac:dyDescent="0.35">
      <c r="A1528" s="503" t="s">
        <v>1325</v>
      </c>
      <c r="B1528" s="504" t="s">
        <v>3011</v>
      </c>
      <c r="C1528" s="504" t="s">
        <v>1094</v>
      </c>
      <c r="D1528" s="504" t="s">
        <v>3380</v>
      </c>
      <c r="E1528" s="504" t="s">
        <v>3381</v>
      </c>
      <c r="F1528" s="504" t="s">
        <v>513</v>
      </c>
      <c r="G1528" s="504" t="s">
        <v>514</v>
      </c>
      <c r="H1528" s="504" t="s">
        <v>4549</v>
      </c>
      <c r="I1528" s="504">
        <v>1</v>
      </c>
      <c r="J1528" s="504">
        <v>0</v>
      </c>
      <c r="K1528" s="504">
        <v>0</v>
      </c>
      <c r="L1528" s="504">
        <v>0</v>
      </c>
      <c r="M1528" s="504">
        <v>0</v>
      </c>
      <c r="N1528" s="504">
        <v>0</v>
      </c>
      <c r="O1528" s="505">
        <v>1</v>
      </c>
    </row>
    <row r="1529" spans="1:15" x14ac:dyDescent="0.35">
      <c r="A1529" s="500" t="s">
        <v>1332</v>
      </c>
      <c r="B1529" s="501">
        <v>4878</v>
      </c>
      <c r="C1529" s="501" t="s">
        <v>1094</v>
      </c>
      <c r="D1529" s="501" t="s">
        <v>3380</v>
      </c>
      <c r="E1529" s="501" t="s">
        <v>3381</v>
      </c>
      <c r="F1529" s="501" t="s">
        <v>513</v>
      </c>
      <c r="G1529" s="501" t="s">
        <v>514</v>
      </c>
      <c r="H1529" s="501" t="s">
        <v>14546</v>
      </c>
      <c r="I1529" s="501">
        <v>32</v>
      </c>
      <c r="J1529" s="501">
        <v>16</v>
      </c>
      <c r="K1529" s="501">
        <v>0</v>
      </c>
      <c r="L1529" s="501">
        <v>16</v>
      </c>
      <c r="M1529" s="501">
        <v>0</v>
      </c>
      <c r="N1529" s="501">
        <v>0</v>
      </c>
      <c r="O1529" s="506">
        <v>0</v>
      </c>
    </row>
    <row r="1530" spans="1:15" x14ac:dyDescent="0.35">
      <c r="A1530" s="503" t="s">
        <v>1122</v>
      </c>
      <c r="B1530" s="504" t="s">
        <v>2994</v>
      </c>
      <c r="C1530" s="504" t="s">
        <v>1094</v>
      </c>
      <c r="D1530" s="504" t="s">
        <v>3380</v>
      </c>
      <c r="E1530" s="504" t="s">
        <v>3381</v>
      </c>
      <c r="F1530" s="504" t="s">
        <v>513</v>
      </c>
      <c r="G1530" s="504" t="s">
        <v>514</v>
      </c>
      <c r="H1530" s="504" t="s">
        <v>4550</v>
      </c>
      <c r="I1530" s="504">
        <v>12</v>
      </c>
      <c r="J1530" s="504">
        <v>5</v>
      </c>
      <c r="K1530" s="504">
        <v>0</v>
      </c>
      <c r="L1530" s="504">
        <v>0</v>
      </c>
      <c r="M1530" s="504">
        <v>0</v>
      </c>
      <c r="N1530" s="504">
        <v>0</v>
      </c>
      <c r="O1530" s="505">
        <v>7</v>
      </c>
    </row>
    <row r="1531" spans="1:15" x14ac:dyDescent="0.35">
      <c r="A1531" s="500" t="s">
        <v>1339</v>
      </c>
      <c r="B1531" s="501" t="s">
        <v>3358</v>
      </c>
      <c r="C1531" s="501" t="s">
        <v>1094</v>
      </c>
      <c r="D1531" s="501" t="s">
        <v>3380</v>
      </c>
      <c r="E1531" s="501" t="s">
        <v>3381</v>
      </c>
      <c r="F1531" s="501" t="s">
        <v>513</v>
      </c>
      <c r="G1531" s="501" t="s">
        <v>514</v>
      </c>
      <c r="H1531" s="501" t="s">
        <v>4551</v>
      </c>
      <c r="I1531" s="501">
        <v>2</v>
      </c>
      <c r="J1531" s="501">
        <v>0</v>
      </c>
      <c r="K1531" s="501">
        <v>0</v>
      </c>
      <c r="L1531" s="501">
        <v>0</v>
      </c>
      <c r="M1531" s="501">
        <v>0</v>
      </c>
      <c r="N1531" s="501">
        <v>0</v>
      </c>
      <c r="O1531" s="506">
        <v>2</v>
      </c>
    </row>
    <row r="1532" spans="1:15" x14ac:dyDescent="0.35">
      <c r="A1532" s="503" t="s">
        <v>1130</v>
      </c>
      <c r="B1532" s="504" t="s">
        <v>3234</v>
      </c>
      <c r="C1532" s="504" t="s">
        <v>1094</v>
      </c>
      <c r="D1532" s="504" t="s">
        <v>3380</v>
      </c>
      <c r="E1532" s="504" t="s">
        <v>3381</v>
      </c>
      <c r="F1532" s="504" t="s">
        <v>513</v>
      </c>
      <c r="G1532" s="504" t="s">
        <v>514</v>
      </c>
      <c r="H1532" s="504" t="s">
        <v>4552</v>
      </c>
      <c r="I1532" s="504">
        <v>1</v>
      </c>
      <c r="J1532" s="504">
        <v>0</v>
      </c>
      <c r="K1532" s="504">
        <v>0</v>
      </c>
      <c r="L1532" s="504">
        <v>0</v>
      </c>
      <c r="M1532" s="504">
        <v>0</v>
      </c>
      <c r="N1532" s="504">
        <v>0</v>
      </c>
      <c r="O1532" s="505">
        <v>1</v>
      </c>
    </row>
    <row r="1533" spans="1:15" x14ac:dyDescent="0.35">
      <c r="A1533" s="500" t="s">
        <v>1346</v>
      </c>
      <c r="B1533" s="501" t="s">
        <v>3150</v>
      </c>
      <c r="C1533" s="501" t="s">
        <v>1094</v>
      </c>
      <c r="D1533" s="501" t="s">
        <v>3380</v>
      </c>
      <c r="E1533" s="501" t="s">
        <v>3381</v>
      </c>
      <c r="F1533" s="501" t="s">
        <v>513</v>
      </c>
      <c r="G1533" s="501" t="s">
        <v>514</v>
      </c>
      <c r="H1533" s="501" t="s">
        <v>4553</v>
      </c>
      <c r="I1533" s="501">
        <v>58</v>
      </c>
      <c r="J1533" s="501">
        <v>49</v>
      </c>
      <c r="K1533" s="501">
        <v>0</v>
      </c>
      <c r="L1533" s="501">
        <v>9</v>
      </c>
      <c r="M1533" s="501">
        <v>0</v>
      </c>
      <c r="N1533" s="501">
        <v>6</v>
      </c>
      <c r="O1533" s="506">
        <v>0</v>
      </c>
    </row>
    <row r="1534" spans="1:15" x14ac:dyDescent="0.35">
      <c r="A1534" s="503" t="s">
        <v>1350</v>
      </c>
      <c r="B1534" s="504" t="s">
        <v>2864</v>
      </c>
      <c r="C1534" s="504" t="s">
        <v>1089</v>
      </c>
      <c r="D1534" s="504" t="s">
        <v>3392</v>
      </c>
      <c r="E1534" s="504" t="s">
        <v>3381</v>
      </c>
      <c r="F1534" s="504" t="s">
        <v>513</v>
      </c>
      <c r="G1534" s="504" t="s">
        <v>514</v>
      </c>
      <c r="H1534" s="504" t="s">
        <v>4554</v>
      </c>
      <c r="I1534" s="504">
        <v>11</v>
      </c>
      <c r="J1534" s="504">
        <v>0</v>
      </c>
      <c r="K1534" s="504">
        <v>0</v>
      </c>
      <c r="L1534" s="504">
        <v>0</v>
      </c>
      <c r="M1534" s="504">
        <v>11</v>
      </c>
      <c r="N1534" s="504">
        <v>0</v>
      </c>
      <c r="O1534" s="505">
        <v>0</v>
      </c>
    </row>
    <row r="1535" spans="1:15" x14ac:dyDescent="0.35">
      <c r="A1535" s="500" t="s">
        <v>1245</v>
      </c>
      <c r="B1535" s="501" t="s">
        <v>2859</v>
      </c>
      <c r="C1535" s="501" t="s">
        <v>1094</v>
      </c>
      <c r="D1535" s="501" t="s">
        <v>3380</v>
      </c>
      <c r="E1535" s="501" t="s">
        <v>3381</v>
      </c>
      <c r="F1535" s="501" t="s">
        <v>513</v>
      </c>
      <c r="G1535" s="501" t="s">
        <v>514</v>
      </c>
      <c r="H1535" s="501" t="s">
        <v>4555</v>
      </c>
      <c r="I1535" s="501">
        <v>14</v>
      </c>
      <c r="J1535" s="501">
        <v>0</v>
      </c>
      <c r="K1535" s="501">
        <v>0</v>
      </c>
      <c r="L1535" s="501">
        <v>0</v>
      </c>
      <c r="M1535" s="501">
        <v>14</v>
      </c>
      <c r="N1535" s="501">
        <v>0</v>
      </c>
      <c r="O1535" s="506">
        <v>0</v>
      </c>
    </row>
    <row r="1536" spans="1:15" x14ac:dyDescent="0.35">
      <c r="A1536" s="503" t="s">
        <v>1362</v>
      </c>
      <c r="B1536" s="504" t="s">
        <v>2977</v>
      </c>
      <c r="C1536" s="504" t="s">
        <v>1094</v>
      </c>
      <c r="D1536" s="504" t="s">
        <v>3380</v>
      </c>
      <c r="E1536" s="504" t="s">
        <v>3381</v>
      </c>
      <c r="F1536" s="504" t="s">
        <v>513</v>
      </c>
      <c r="G1536" s="504" t="s">
        <v>514</v>
      </c>
      <c r="H1536" s="504" t="s">
        <v>4556</v>
      </c>
      <c r="I1536" s="504">
        <v>5</v>
      </c>
      <c r="J1536" s="504">
        <v>5</v>
      </c>
      <c r="K1536" s="504">
        <v>0</v>
      </c>
      <c r="L1536" s="504">
        <v>0</v>
      </c>
      <c r="M1536" s="504">
        <v>0</v>
      </c>
      <c r="N1536" s="504">
        <v>0</v>
      </c>
      <c r="O1536" s="505">
        <v>0</v>
      </c>
    </row>
    <row r="1537" spans="1:15" x14ac:dyDescent="0.35">
      <c r="A1537" s="500" t="s">
        <v>1364</v>
      </c>
      <c r="B1537" s="501" t="s">
        <v>3277</v>
      </c>
      <c r="C1537" s="501" t="s">
        <v>1089</v>
      </c>
      <c r="D1537" s="501" t="s">
        <v>3392</v>
      </c>
      <c r="E1537" s="501" t="s">
        <v>3381</v>
      </c>
      <c r="F1537" s="501" t="s">
        <v>513</v>
      </c>
      <c r="G1537" s="501" t="s">
        <v>514</v>
      </c>
      <c r="H1537" s="501" t="s">
        <v>4557</v>
      </c>
      <c r="I1537" s="501">
        <v>4</v>
      </c>
      <c r="J1537" s="501">
        <v>0</v>
      </c>
      <c r="K1537" s="501">
        <v>0</v>
      </c>
      <c r="L1537" s="501">
        <v>4</v>
      </c>
      <c r="M1537" s="501">
        <v>0</v>
      </c>
      <c r="N1537" s="501">
        <v>0</v>
      </c>
      <c r="O1537" s="506">
        <v>0</v>
      </c>
    </row>
    <row r="1538" spans="1:15" x14ac:dyDescent="0.35">
      <c r="A1538" s="503" t="s">
        <v>1093</v>
      </c>
      <c r="B1538" s="504" t="s">
        <v>3248</v>
      </c>
      <c r="C1538" s="504" t="s">
        <v>1094</v>
      </c>
      <c r="D1538" s="504" t="s">
        <v>3380</v>
      </c>
      <c r="E1538" s="504" t="s">
        <v>3381</v>
      </c>
      <c r="F1538" s="504" t="s">
        <v>515</v>
      </c>
      <c r="G1538" s="504" t="s">
        <v>516</v>
      </c>
      <c r="H1538" s="504" t="s">
        <v>4558</v>
      </c>
      <c r="I1538" s="504">
        <v>5</v>
      </c>
      <c r="J1538" s="504">
        <v>0</v>
      </c>
      <c r="K1538" s="504">
        <v>0</v>
      </c>
      <c r="L1538" s="504">
        <v>0</v>
      </c>
      <c r="M1538" s="504">
        <v>0</v>
      </c>
      <c r="N1538" s="504">
        <v>0</v>
      </c>
      <c r="O1538" s="505">
        <v>5</v>
      </c>
    </row>
    <row r="1539" spans="1:15" x14ac:dyDescent="0.35">
      <c r="A1539" s="500" t="s">
        <v>1096</v>
      </c>
      <c r="B1539" s="501" t="s">
        <v>3326</v>
      </c>
      <c r="C1539" s="501" t="s">
        <v>1094</v>
      </c>
      <c r="D1539" s="501" t="s">
        <v>3380</v>
      </c>
      <c r="E1539" s="501" t="s">
        <v>3381</v>
      </c>
      <c r="F1539" s="501" t="s">
        <v>515</v>
      </c>
      <c r="G1539" s="501" t="s">
        <v>516</v>
      </c>
      <c r="H1539" s="501" t="s">
        <v>4559</v>
      </c>
      <c r="I1539" s="501">
        <v>112</v>
      </c>
      <c r="J1539" s="501">
        <v>0</v>
      </c>
      <c r="K1539" s="501">
        <v>0</v>
      </c>
      <c r="L1539" s="501">
        <v>0</v>
      </c>
      <c r="M1539" s="501">
        <v>112</v>
      </c>
      <c r="N1539" s="501">
        <v>18</v>
      </c>
      <c r="O1539" s="506">
        <v>0</v>
      </c>
    </row>
    <row r="1540" spans="1:15" x14ac:dyDescent="0.35">
      <c r="A1540" s="503" t="s">
        <v>1161</v>
      </c>
      <c r="B1540" s="504" t="s">
        <v>3001</v>
      </c>
      <c r="C1540" s="504" t="s">
        <v>1094</v>
      </c>
      <c r="D1540" s="504" t="s">
        <v>3380</v>
      </c>
      <c r="E1540" s="504" t="s">
        <v>3381</v>
      </c>
      <c r="F1540" s="504" t="s">
        <v>515</v>
      </c>
      <c r="G1540" s="504" t="s">
        <v>516</v>
      </c>
      <c r="H1540" s="504" t="s">
        <v>4561</v>
      </c>
      <c r="I1540" s="504">
        <v>1682</v>
      </c>
      <c r="J1540" s="504">
        <v>1100</v>
      </c>
      <c r="K1540" s="504">
        <v>0</v>
      </c>
      <c r="L1540" s="504">
        <v>27</v>
      </c>
      <c r="M1540" s="504">
        <v>89</v>
      </c>
      <c r="N1540" s="504">
        <v>0</v>
      </c>
      <c r="O1540" s="505">
        <v>466</v>
      </c>
    </row>
    <row r="1541" spans="1:15" x14ac:dyDescent="0.35">
      <c r="A1541" s="500" t="s">
        <v>1100</v>
      </c>
      <c r="B1541" s="501">
        <v>4865</v>
      </c>
      <c r="C1541" s="501" t="s">
        <v>1094</v>
      </c>
      <c r="D1541" s="501" t="s">
        <v>3380</v>
      </c>
      <c r="E1541" s="501" t="s">
        <v>3381</v>
      </c>
      <c r="F1541" s="501" t="s">
        <v>515</v>
      </c>
      <c r="G1541" s="501" t="s">
        <v>516</v>
      </c>
      <c r="H1541" s="501" t="s">
        <v>4562</v>
      </c>
      <c r="I1541" s="501">
        <v>17</v>
      </c>
      <c r="J1541" s="501">
        <v>0</v>
      </c>
      <c r="K1541" s="501">
        <v>0</v>
      </c>
      <c r="L1541" s="501">
        <v>0</v>
      </c>
      <c r="M1541" s="501">
        <v>0</v>
      </c>
      <c r="N1541" s="501">
        <v>0</v>
      </c>
      <c r="O1541" s="506">
        <v>17</v>
      </c>
    </row>
    <row r="1542" spans="1:15" x14ac:dyDescent="0.35">
      <c r="A1542" s="503" t="s">
        <v>1168</v>
      </c>
      <c r="B1542" s="504" t="s">
        <v>3360</v>
      </c>
      <c r="C1542" s="504" t="s">
        <v>1094</v>
      </c>
      <c r="D1542" s="504" t="s">
        <v>3380</v>
      </c>
      <c r="E1542" s="504" t="s">
        <v>3381</v>
      </c>
      <c r="F1542" s="504" t="s">
        <v>515</v>
      </c>
      <c r="G1542" s="504" t="s">
        <v>516</v>
      </c>
      <c r="H1542" s="504" t="s">
        <v>4563</v>
      </c>
      <c r="I1542" s="504">
        <v>82</v>
      </c>
      <c r="J1542" s="504">
        <v>44</v>
      </c>
      <c r="K1542" s="504">
        <v>0</v>
      </c>
      <c r="L1542" s="504">
        <v>0</v>
      </c>
      <c r="M1542" s="504">
        <v>0</v>
      </c>
      <c r="N1542" s="504">
        <v>0</v>
      </c>
      <c r="O1542" s="505">
        <v>38</v>
      </c>
    </row>
    <row r="1543" spans="1:15" x14ac:dyDescent="0.35">
      <c r="A1543" s="500" t="s">
        <v>1172</v>
      </c>
      <c r="B1543" s="501">
        <v>4648</v>
      </c>
      <c r="C1543" s="501" t="s">
        <v>1089</v>
      </c>
      <c r="D1543" s="501" t="s">
        <v>3392</v>
      </c>
      <c r="E1543" s="501" t="s">
        <v>3381</v>
      </c>
      <c r="F1543" s="501" t="s">
        <v>515</v>
      </c>
      <c r="G1543" s="501" t="s">
        <v>516</v>
      </c>
      <c r="H1543" s="501" t="s">
        <v>4564</v>
      </c>
      <c r="I1543" s="501">
        <v>16</v>
      </c>
      <c r="J1543" s="501">
        <v>0</v>
      </c>
      <c r="K1543" s="501">
        <v>0</v>
      </c>
      <c r="L1543" s="501">
        <v>16</v>
      </c>
      <c r="M1543" s="501">
        <v>0</v>
      </c>
      <c r="N1543" s="501">
        <v>0</v>
      </c>
      <c r="O1543" s="506">
        <v>0</v>
      </c>
    </row>
    <row r="1544" spans="1:15" x14ac:dyDescent="0.35">
      <c r="A1544" s="503" t="s">
        <v>1295</v>
      </c>
      <c r="B1544" s="504">
        <v>5090</v>
      </c>
      <c r="C1544" s="504" t="s">
        <v>1094</v>
      </c>
      <c r="D1544" s="504" t="s">
        <v>3380</v>
      </c>
      <c r="E1544" s="504" t="s">
        <v>3381</v>
      </c>
      <c r="F1544" s="504" t="s">
        <v>515</v>
      </c>
      <c r="G1544" s="504" t="s">
        <v>516</v>
      </c>
      <c r="H1544" s="504" t="s">
        <v>4565</v>
      </c>
      <c r="I1544" s="504">
        <v>479</v>
      </c>
      <c r="J1544" s="504">
        <v>364</v>
      </c>
      <c r="K1544" s="504">
        <v>0</v>
      </c>
      <c r="L1544" s="504">
        <v>0</v>
      </c>
      <c r="M1544" s="504">
        <v>0</v>
      </c>
      <c r="N1544" s="504">
        <v>0</v>
      </c>
      <c r="O1544" s="505">
        <v>115</v>
      </c>
    </row>
    <row r="1545" spans="1:15" x14ac:dyDescent="0.35">
      <c r="A1545" s="500" t="s">
        <v>14208</v>
      </c>
      <c r="B1545" s="501">
        <v>4803</v>
      </c>
      <c r="C1545" s="501" t="s">
        <v>1094</v>
      </c>
      <c r="D1545" s="501" t="s">
        <v>3380</v>
      </c>
      <c r="E1545" s="501" t="s">
        <v>3381</v>
      </c>
      <c r="F1545" s="501" t="s">
        <v>515</v>
      </c>
      <c r="G1545" s="501" t="s">
        <v>516</v>
      </c>
      <c r="H1545" s="501" t="s">
        <v>14547</v>
      </c>
      <c r="I1545" s="501">
        <v>22</v>
      </c>
      <c r="J1545" s="501">
        <v>0</v>
      </c>
      <c r="K1545" s="501">
        <v>0</v>
      </c>
      <c r="L1545" s="501">
        <v>22</v>
      </c>
      <c r="M1545" s="501">
        <v>0</v>
      </c>
      <c r="N1545" s="501">
        <v>0</v>
      </c>
      <c r="O1545" s="506">
        <v>0</v>
      </c>
    </row>
    <row r="1546" spans="1:15" x14ac:dyDescent="0.35">
      <c r="A1546" s="503" t="s">
        <v>1182</v>
      </c>
      <c r="B1546" s="504">
        <v>5060</v>
      </c>
      <c r="C1546" s="504" t="s">
        <v>1094</v>
      </c>
      <c r="D1546" s="504" t="s">
        <v>3380</v>
      </c>
      <c r="E1546" s="504" t="s">
        <v>3381</v>
      </c>
      <c r="F1546" s="504" t="s">
        <v>515</v>
      </c>
      <c r="G1546" s="504" t="s">
        <v>516</v>
      </c>
      <c r="H1546" s="504" t="s">
        <v>4566</v>
      </c>
      <c r="I1546" s="504">
        <v>6769</v>
      </c>
      <c r="J1546" s="504">
        <v>5866</v>
      </c>
      <c r="K1546" s="504">
        <v>0</v>
      </c>
      <c r="L1546" s="504">
        <v>128</v>
      </c>
      <c r="M1546" s="504">
        <v>410</v>
      </c>
      <c r="N1546" s="504">
        <v>0</v>
      </c>
      <c r="O1546" s="505">
        <v>365</v>
      </c>
    </row>
    <row r="1547" spans="1:15" x14ac:dyDescent="0.35">
      <c r="A1547" s="500" t="s">
        <v>1185</v>
      </c>
      <c r="B1547" s="501" t="s">
        <v>3253</v>
      </c>
      <c r="C1547" s="501" t="s">
        <v>1094</v>
      </c>
      <c r="D1547" s="501" t="s">
        <v>3380</v>
      </c>
      <c r="E1547" s="501" t="s">
        <v>3381</v>
      </c>
      <c r="F1547" s="501" t="s">
        <v>515</v>
      </c>
      <c r="G1547" s="501" t="s">
        <v>516</v>
      </c>
      <c r="H1547" s="501" t="s">
        <v>4567</v>
      </c>
      <c r="I1547" s="501">
        <v>46</v>
      </c>
      <c r="J1547" s="501">
        <v>23</v>
      </c>
      <c r="K1547" s="501">
        <v>0</v>
      </c>
      <c r="L1547" s="501">
        <v>23</v>
      </c>
      <c r="M1547" s="501">
        <v>0</v>
      </c>
      <c r="N1547" s="501">
        <v>0</v>
      </c>
      <c r="O1547" s="506">
        <v>0</v>
      </c>
    </row>
    <row r="1548" spans="1:15" x14ac:dyDescent="0.35">
      <c r="A1548" s="503" t="s">
        <v>1105</v>
      </c>
      <c r="B1548" s="504">
        <v>4668</v>
      </c>
      <c r="C1548" s="504" t="s">
        <v>1094</v>
      </c>
      <c r="D1548" s="504" t="s">
        <v>3380</v>
      </c>
      <c r="E1548" s="504" t="s">
        <v>3381</v>
      </c>
      <c r="F1548" s="504" t="s">
        <v>515</v>
      </c>
      <c r="G1548" s="504" t="s">
        <v>516</v>
      </c>
      <c r="H1548" s="504" t="s">
        <v>4568</v>
      </c>
      <c r="I1548" s="504">
        <v>53</v>
      </c>
      <c r="J1548" s="504">
        <v>0</v>
      </c>
      <c r="K1548" s="504">
        <v>0</v>
      </c>
      <c r="L1548" s="504">
        <v>0</v>
      </c>
      <c r="M1548" s="504">
        <v>0</v>
      </c>
      <c r="N1548" s="504">
        <v>0</v>
      </c>
      <c r="O1548" s="505">
        <v>53</v>
      </c>
    </row>
    <row r="1549" spans="1:15" x14ac:dyDescent="0.35">
      <c r="A1549" s="500" t="s">
        <v>1302</v>
      </c>
      <c r="B1549" s="501" t="s">
        <v>3094</v>
      </c>
      <c r="C1549" s="501" t="s">
        <v>1094</v>
      </c>
      <c r="D1549" s="501" t="s">
        <v>3380</v>
      </c>
      <c r="E1549" s="501" t="s">
        <v>3381</v>
      </c>
      <c r="F1549" s="501" t="s">
        <v>515</v>
      </c>
      <c r="G1549" s="501" t="s">
        <v>516</v>
      </c>
      <c r="H1549" s="501" t="s">
        <v>4569</v>
      </c>
      <c r="I1549" s="501">
        <v>485</v>
      </c>
      <c r="J1549" s="501">
        <v>342</v>
      </c>
      <c r="K1549" s="501">
        <v>0</v>
      </c>
      <c r="L1549" s="501">
        <v>0</v>
      </c>
      <c r="M1549" s="501">
        <v>0</v>
      </c>
      <c r="N1549" s="501">
        <v>0</v>
      </c>
      <c r="O1549" s="506">
        <v>143</v>
      </c>
    </row>
    <row r="1550" spans="1:15" x14ac:dyDescent="0.35">
      <c r="A1550" s="503" t="s">
        <v>1107</v>
      </c>
      <c r="B1550" s="504" t="s">
        <v>3109</v>
      </c>
      <c r="C1550" s="504" t="s">
        <v>1094</v>
      </c>
      <c r="D1550" s="504" t="s">
        <v>3380</v>
      </c>
      <c r="E1550" s="504" t="s">
        <v>3381</v>
      </c>
      <c r="F1550" s="504" t="s">
        <v>515</v>
      </c>
      <c r="G1550" s="504" t="s">
        <v>516</v>
      </c>
      <c r="H1550" s="504" t="s">
        <v>4570</v>
      </c>
      <c r="I1550" s="504">
        <v>75</v>
      </c>
      <c r="J1550" s="504">
        <v>0</v>
      </c>
      <c r="K1550" s="504">
        <v>0</v>
      </c>
      <c r="L1550" s="504">
        <v>0</v>
      </c>
      <c r="M1550" s="504">
        <v>75</v>
      </c>
      <c r="N1550" s="504">
        <v>0</v>
      </c>
      <c r="O1550" s="505">
        <v>0</v>
      </c>
    </row>
    <row r="1551" spans="1:15" x14ac:dyDescent="0.35">
      <c r="A1551" s="500" t="s">
        <v>1109</v>
      </c>
      <c r="B1551" s="501" t="s">
        <v>2959</v>
      </c>
      <c r="C1551" s="501" t="s">
        <v>1094</v>
      </c>
      <c r="D1551" s="501" t="s">
        <v>3380</v>
      </c>
      <c r="E1551" s="501" t="s">
        <v>3381</v>
      </c>
      <c r="F1551" s="501" t="s">
        <v>515</v>
      </c>
      <c r="G1551" s="501" t="s">
        <v>516</v>
      </c>
      <c r="H1551" s="501" t="s">
        <v>4571</v>
      </c>
      <c r="I1551" s="501">
        <v>112</v>
      </c>
      <c r="J1551" s="501">
        <v>0</v>
      </c>
      <c r="K1551" s="501">
        <v>0</v>
      </c>
      <c r="L1551" s="501">
        <v>0</v>
      </c>
      <c r="M1551" s="501">
        <v>112</v>
      </c>
      <c r="N1551" s="501">
        <v>0</v>
      </c>
      <c r="O1551" s="506">
        <v>0</v>
      </c>
    </row>
    <row r="1552" spans="1:15" x14ac:dyDescent="0.35">
      <c r="A1552" s="503" t="s">
        <v>1190</v>
      </c>
      <c r="B1552" s="504">
        <v>4662</v>
      </c>
      <c r="C1552" s="504" t="s">
        <v>1094</v>
      </c>
      <c r="D1552" s="504" t="s">
        <v>3380</v>
      </c>
      <c r="E1552" s="504" t="s">
        <v>3381</v>
      </c>
      <c r="F1552" s="504" t="s">
        <v>515</v>
      </c>
      <c r="G1552" s="504" t="s">
        <v>516</v>
      </c>
      <c r="H1552" s="504" t="s">
        <v>4572</v>
      </c>
      <c r="I1552" s="504">
        <v>14</v>
      </c>
      <c r="J1552" s="504">
        <v>0</v>
      </c>
      <c r="K1552" s="504">
        <v>0</v>
      </c>
      <c r="L1552" s="504">
        <v>14</v>
      </c>
      <c r="M1552" s="504">
        <v>0</v>
      </c>
      <c r="N1552" s="504">
        <v>0</v>
      </c>
      <c r="O1552" s="505">
        <v>0</v>
      </c>
    </row>
    <row r="1553" spans="1:15" x14ac:dyDescent="0.35">
      <c r="A1553" s="500" t="s">
        <v>1195</v>
      </c>
      <c r="B1553" s="501">
        <v>4693</v>
      </c>
      <c r="C1553" s="501" t="s">
        <v>1089</v>
      </c>
      <c r="D1553" s="501" t="s">
        <v>3392</v>
      </c>
      <c r="E1553" s="501" t="s">
        <v>3381</v>
      </c>
      <c r="F1553" s="501" t="s">
        <v>515</v>
      </c>
      <c r="G1553" s="501" t="s">
        <v>516</v>
      </c>
      <c r="H1553" s="501" t="s">
        <v>11804</v>
      </c>
      <c r="I1553" s="501">
        <v>2</v>
      </c>
      <c r="J1553" s="501">
        <v>0</v>
      </c>
      <c r="K1553" s="501">
        <v>0</v>
      </c>
      <c r="L1553" s="501">
        <v>2</v>
      </c>
      <c r="M1553" s="501">
        <v>0</v>
      </c>
      <c r="N1553" s="501">
        <v>0</v>
      </c>
      <c r="O1553" s="506">
        <v>0</v>
      </c>
    </row>
    <row r="1554" spans="1:15" x14ac:dyDescent="0.35">
      <c r="A1554" s="503" t="s">
        <v>1310</v>
      </c>
      <c r="B1554" s="504">
        <v>5062</v>
      </c>
      <c r="C1554" s="504" t="s">
        <v>1089</v>
      </c>
      <c r="D1554" s="504" t="s">
        <v>3380</v>
      </c>
      <c r="E1554" s="504" t="s">
        <v>3381</v>
      </c>
      <c r="F1554" s="504" t="s">
        <v>515</v>
      </c>
      <c r="G1554" s="504" t="s">
        <v>516</v>
      </c>
      <c r="H1554" s="504" t="s">
        <v>14548</v>
      </c>
      <c r="I1554" s="504">
        <v>23</v>
      </c>
      <c r="J1554" s="504">
        <v>0</v>
      </c>
      <c r="K1554" s="504">
        <v>0</v>
      </c>
      <c r="L1554" s="504">
        <v>0</v>
      </c>
      <c r="M1554" s="504">
        <v>0</v>
      </c>
      <c r="N1554" s="504">
        <v>0</v>
      </c>
      <c r="O1554" s="505">
        <v>23</v>
      </c>
    </row>
    <row r="1555" spans="1:15" x14ac:dyDescent="0.35">
      <c r="A1555" s="500" t="s">
        <v>1202</v>
      </c>
      <c r="B1555" s="501" t="s">
        <v>3217</v>
      </c>
      <c r="C1555" s="501" t="s">
        <v>1094</v>
      </c>
      <c r="D1555" s="501" t="s">
        <v>3380</v>
      </c>
      <c r="E1555" s="501" t="s">
        <v>3381</v>
      </c>
      <c r="F1555" s="501" t="s">
        <v>515</v>
      </c>
      <c r="G1555" s="501" t="s">
        <v>516</v>
      </c>
      <c r="H1555" s="501" t="s">
        <v>11830</v>
      </c>
      <c r="I1555" s="501">
        <v>2</v>
      </c>
      <c r="J1555" s="501">
        <v>0</v>
      </c>
      <c r="K1555" s="501">
        <v>0</v>
      </c>
      <c r="L1555" s="501">
        <v>0</v>
      </c>
      <c r="M1555" s="501">
        <v>0</v>
      </c>
      <c r="N1555" s="501">
        <v>0</v>
      </c>
      <c r="O1555" s="506">
        <v>2</v>
      </c>
    </row>
    <row r="1556" spans="1:15" x14ac:dyDescent="0.35">
      <c r="A1556" s="503" t="s">
        <v>14400</v>
      </c>
      <c r="B1556" s="504">
        <v>4727</v>
      </c>
      <c r="C1556" s="504" t="s">
        <v>1089</v>
      </c>
      <c r="D1556" s="504" t="s">
        <v>3392</v>
      </c>
      <c r="E1556" s="504" t="s">
        <v>3381</v>
      </c>
      <c r="F1556" s="504" t="s">
        <v>515</v>
      </c>
      <c r="G1556" s="504" t="s">
        <v>516</v>
      </c>
      <c r="H1556" s="504" t="s">
        <v>14549</v>
      </c>
      <c r="I1556" s="504">
        <v>4</v>
      </c>
      <c r="J1556" s="504">
        <v>0</v>
      </c>
      <c r="K1556" s="504">
        <v>0</v>
      </c>
      <c r="L1556" s="504">
        <v>4</v>
      </c>
      <c r="M1556" s="504">
        <v>0</v>
      </c>
      <c r="N1556" s="504">
        <v>0</v>
      </c>
      <c r="O1556" s="505">
        <v>0</v>
      </c>
    </row>
    <row r="1557" spans="1:15" x14ac:dyDescent="0.35">
      <c r="A1557" s="500" t="s">
        <v>1315</v>
      </c>
      <c r="B1557" s="501">
        <v>4825</v>
      </c>
      <c r="C1557" s="501" t="s">
        <v>1094</v>
      </c>
      <c r="D1557" s="501" t="s">
        <v>3380</v>
      </c>
      <c r="E1557" s="501" t="s">
        <v>3381</v>
      </c>
      <c r="F1557" s="501" t="s">
        <v>515</v>
      </c>
      <c r="G1557" s="501" t="s">
        <v>516</v>
      </c>
      <c r="H1557" s="501" t="s">
        <v>11867</v>
      </c>
      <c r="I1557" s="501">
        <v>99</v>
      </c>
      <c r="J1557" s="501">
        <v>84</v>
      </c>
      <c r="K1557" s="501">
        <v>0</v>
      </c>
      <c r="L1557" s="501">
        <v>0</v>
      </c>
      <c r="M1557" s="501">
        <v>0</v>
      </c>
      <c r="N1557" s="501">
        <v>0</v>
      </c>
      <c r="O1557" s="506">
        <v>15</v>
      </c>
    </row>
    <row r="1558" spans="1:15" x14ac:dyDescent="0.35">
      <c r="A1558" s="503" t="s">
        <v>1120</v>
      </c>
      <c r="B1558" s="504" t="s">
        <v>3362</v>
      </c>
      <c r="C1558" s="504" t="s">
        <v>1094</v>
      </c>
      <c r="D1558" s="504" t="s">
        <v>3380</v>
      </c>
      <c r="E1558" s="504" t="s">
        <v>3381</v>
      </c>
      <c r="F1558" s="504" t="s">
        <v>515</v>
      </c>
      <c r="G1558" s="504" t="s">
        <v>516</v>
      </c>
      <c r="H1558" s="504" t="s">
        <v>4573</v>
      </c>
      <c r="I1558" s="504">
        <v>2</v>
      </c>
      <c r="J1558" s="504">
        <v>0</v>
      </c>
      <c r="K1558" s="504">
        <v>0</v>
      </c>
      <c r="L1558" s="504">
        <v>0</v>
      </c>
      <c r="M1558" s="504">
        <v>0</v>
      </c>
      <c r="N1558" s="504">
        <v>0</v>
      </c>
      <c r="O1558" s="505">
        <v>2</v>
      </c>
    </row>
    <row r="1559" spans="1:15" x14ac:dyDescent="0.35">
      <c r="A1559" s="500" t="s">
        <v>1321</v>
      </c>
      <c r="B1559" s="501">
        <v>4635</v>
      </c>
      <c r="C1559" s="501" t="s">
        <v>1089</v>
      </c>
      <c r="D1559" s="501" t="s">
        <v>3392</v>
      </c>
      <c r="E1559" s="501" t="s">
        <v>3381</v>
      </c>
      <c r="F1559" s="501" t="s">
        <v>515</v>
      </c>
      <c r="G1559" s="501" t="s">
        <v>516</v>
      </c>
      <c r="H1559" s="501" t="s">
        <v>14550</v>
      </c>
      <c r="I1559" s="501">
        <v>1</v>
      </c>
      <c r="J1559" s="501">
        <v>1</v>
      </c>
      <c r="K1559" s="501">
        <v>0</v>
      </c>
      <c r="L1559" s="501">
        <v>0</v>
      </c>
      <c r="M1559" s="501">
        <v>0</v>
      </c>
      <c r="N1559" s="501">
        <v>0</v>
      </c>
      <c r="O1559" s="506">
        <v>0</v>
      </c>
    </row>
    <row r="1560" spans="1:15" x14ac:dyDescent="0.35">
      <c r="A1560" s="503" t="s">
        <v>1218</v>
      </c>
      <c r="B1560" s="504" t="s">
        <v>3147</v>
      </c>
      <c r="C1560" s="504" t="s">
        <v>1094</v>
      </c>
      <c r="D1560" s="504" t="s">
        <v>3380</v>
      </c>
      <c r="E1560" s="504" t="s">
        <v>3381</v>
      </c>
      <c r="F1560" s="504" t="s">
        <v>515</v>
      </c>
      <c r="G1560" s="504" t="s">
        <v>516</v>
      </c>
      <c r="H1560" s="504" t="s">
        <v>14551</v>
      </c>
      <c r="I1560" s="504">
        <v>8</v>
      </c>
      <c r="J1560" s="504">
        <v>0</v>
      </c>
      <c r="K1560" s="504">
        <v>0</v>
      </c>
      <c r="L1560" s="504">
        <v>0</v>
      </c>
      <c r="M1560" s="504">
        <v>0</v>
      </c>
      <c r="N1560" s="504">
        <v>0</v>
      </c>
      <c r="O1560" s="505">
        <v>8</v>
      </c>
    </row>
    <row r="1561" spans="1:15" x14ac:dyDescent="0.35">
      <c r="A1561" s="500" t="s">
        <v>11367</v>
      </c>
      <c r="B1561" s="501" t="s">
        <v>3143</v>
      </c>
      <c r="C1561" s="501" t="s">
        <v>1094</v>
      </c>
      <c r="D1561" s="501" t="s">
        <v>3380</v>
      </c>
      <c r="E1561" s="501" t="s">
        <v>3381</v>
      </c>
      <c r="F1561" s="501" t="s">
        <v>515</v>
      </c>
      <c r="G1561" s="501" t="s">
        <v>516</v>
      </c>
      <c r="H1561" s="501" t="s">
        <v>11911</v>
      </c>
      <c r="I1561" s="501">
        <v>27</v>
      </c>
      <c r="J1561" s="501">
        <v>25</v>
      </c>
      <c r="K1561" s="501">
        <v>0</v>
      </c>
      <c r="L1561" s="501">
        <v>0</v>
      </c>
      <c r="M1561" s="501">
        <v>0</v>
      </c>
      <c r="N1561" s="501">
        <v>5</v>
      </c>
      <c r="O1561" s="506">
        <v>2</v>
      </c>
    </row>
    <row r="1562" spans="1:15" x14ac:dyDescent="0.35">
      <c r="A1562" s="503" t="s">
        <v>1327</v>
      </c>
      <c r="B1562" s="504" t="s">
        <v>3330</v>
      </c>
      <c r="C1562" s="504" t="s">
        <v>1094</v>
      </c>
      <c r="D1562" s="504" t="s">
        <v>3380</v>
      </c>
      <c r="E1562" s="504" t="s">
        <v>3381</v>
      </c>
      <c r="F1562" s="504" t="s">
        <v>515</v>
      </c>
      <c r="G1562" s="504" t="s">
        <v>516</v>
      </c>
      <c r="H1562" s="504" t="s">
        <v>4574</v>
      </c>
      <c r="I1562" s="504">
        <v>756</v>
      </c>
      <c r="J1562" s="504">
        <v>471</v>
      </c>
      <c r="K1562" s="504">
        <v>0</v>
      </c>
      <c r="L1562" s="504">
        <v>7</v>
      </c>
      <c r="M1562" s="504">
        <v>0</v>
      </c>
      <c r="N1562" s="504">
        <v>0</v>
      </c>
      <c r="O1562" s="505">
        <v>278</v>
      </c>
    </row>
    <row r="1563" spans="1:15" x14ac:dyDescent="0.35">
      <c r="A1563" s="500" t="s">
        <v>1122</v>
      </c>
      <c r="B1563" s="501" t="s">
        <v>2994</v>
      </c>
      <c r="C1563" s="501" t="s">
        <v>1094</v>
      </c>
      <c r="D1563" s="501" t="s">
        <v>3380</v>
      </c>
      <c r="E1563" s="501" t="s">
        <v>3381</v>
      </c>
      <c r="F1563" s="501" t="s">
        <v>515</v>
      </c>
      <c r="G1563" s="501" t="s">
        <v>516</v>
      </c>
      <c r="H1563" s="501" t="s">
        <v>4575</v>
      </c>
      <c r="I1563" s="501">
        <v>18</v>
      </c>
      <c r="J1563" s="501">
        <v>11</v>
      </c>
      <c r="K1563" s="501">
        <v>0</v>
      </c>
      <c r="L1563" s="501">
        <v>0</v>
      </c>
      <c r="M1563" s="501">
        <v>0</v>
      </c>
      <c r="N1563" s="501">
        <v>0</v>
      </c>
      <c r="O1563" s="506">
        <v>7</v>
      </c>
    </row>
    <row r="1564" spans="1:15" x14ac:dyDescent="0.35">
      <c r="A1564" s="503" t="s">
        <v>1225</v>
      </c>
      <c r="B1564" s="504" t="s">
        <v>3315</v>
      </c>
      <c r="C1564" s="504" t="s">
        <v>1094</v>
      </c>
      <c r="D1564" s="504" t="s">
        <v>3380</v>
      </c>
      <c r="E1564" s="504" t="s">
        <v>3381</v>
      </c>
      <c r="F1564" s="504" t="s">
        <v>515</v>
      </c>
      <c r="G1564" s="504" t="s">
        <v>516</v>
      </c>
      <c r="H1564" s="504" t="s">
        <v>4576</v>
      </c>
      <c r="I1564" s="504">
        <v>34</v>
      </c>
      <c r="J1564" s="504">
        <v>0</v>
      </c>
      <c r="K1564" s="504">
        <v>0</v>
      </c>
      <c r="L1564" s="504">
        <v>34</v>
      </c>
      <c r="M1564" s="504">
        <v>0</v>
      </c>
      <c r="N1564" s="504">
        <v>0</v>
      </c>
      <c r="O1564" s="505">
        <v>0</v>
      </c>
    </row>
    <row r="1565" spans="1:15" x14ac:dyDescent="0.35">
      <c r="A1565" s="500" t="s">
        <v>1124</v>
      </c>
      <c r="B1565" s="501">
        <v>4745</v>
      </c>
      <c r="C1565" s="501" t="s">
        <v>1094</v>
      </c>
      <c r="D1565" s="501" t="s">
        <v>3380</v>
      </c>
      <c r="E1565" s="501" t="s">
        <v>3381</v>
      </c>
      <c r="F1565" s="501" t="s">
        <v>515</v>
      </c>
      <c r="G1565" s="501" t="s">
        <v>516</v>
      </c>
      <c r="H1565" s="501" t="s">
        <v>4577</v>
      </c>
      <c r="I1565" s="501">
        <v>8</v>
      </c>
      <c r="J1565" s="501">
        <v>0</v>
      </c>
      <c r="K1565" s="501">
        <v>0</v>
      </c>
      <c r="L1565" s="501">
        <v>8</v>
      </c>
      <c r="M1565" s="501">
        <v>0</v>
      </c>
      <c r="N1565" s="501">
        <v>0</v>
      </c>
      <c r="O1565" s="506">
        <v>0</v>
      </c>
    </row>
    <row r="1566" spans="1:15" x14ac:dyDescent="0.35">
      <c r="A1566" s="503" t="s">
        <v>1233</v>
      </c>
      <c r="B1566" s="504">
        <v>4636</v>
      </c>
      <c r="C1566" s="504" t="s">
        <v>1094</v>
      </c>
      <c r="D1566" s="504" t="s">
        <v>3380</v>
      </c>
      <c r="E1566" s="504" t="s">
        <v>3381</v>
      </c>
      <c r="F1566" s="504" t="s">
        <v>515</v>
      </c>
      <c r="G1566" s="504" t="s">
        <v>516</v>
      </c>
      <c r="H1566" s="504" t="s">
        <v>4578</v>
      </c>
      <c r="I1566" s="504">
        <v>268</v>
      </c>
      <c r="J1566" s="504">
        <v>96</v>
      </c>
      <c r="K1566" s="504">
        <v>0</v>
      </c>
      <c r="L1566" s="504">
        <v>0</v>
      </c>
      <c r="M1566" s="504">
        <v>0</v>
      </c>
      <c r="N1566" s="504">
        <v>0</v>
      </c>
      <c r="O1566" s="505">
        <v>172</v>
      </c>
    </row>
    <row r="1567" spans="1:15" x14ac:dyDescent="0.35">
      <c r="A1567" s="500" t="s">
        <v>11368</v>
      </c>
      <c r="B1567" s="501">
        <v>5083</v>
      </c>
      <c r="C1567" s="501" t="s">
        <v>1094</v>
      </c>
      <c r="D1567" s="501" t="s">
        <v>3380</v>
      </c>
      <c r="E1567" s="501" t="s">
        <v>3381</v>
      </c>
      <c r="F1567" s="501" t="s">
        <v>515</v>
      </c>
      <c r="G1567" s="501" t="s">
        <v>516</v>
      </c>
      <c r="H1567" s="501" t="s">
        <v>12039</v>
      </c>
      <c r="I1567" s="501">
        <v>107</v>
      </c>
      <c r="J1567" s="501">
        <v>107</v>
      </c>
      <c r="K1567" s="501">
        <v>0</v>
      </c>
      <c r="L1567" s="501">
        <v>0</v>
      </c>
      <c r="M1567" s="501">
        <v>0</v>
      </c>
      <c r="N1567" s="501">
        <v>0</v>
      </c>
      <c r="O1567" s="506">
        <v>0</v>
      </c>
    </row>
    <row r="1568" spans="1:15" x14ac:dyDescent="0.35">
      <c r="A1568" s="503" t="s">
        <v>1341</v>
      </c>
      <c r="B1568" s="504" t="s">
        <v>3183</v>
      </c>
      <c r="C1568" s="504" t="s">
        <v>1094</v>
      </c>
      <c r="D1568" s="504" t="s">
        <v>3380</v>
      </c>
      <c r="E1568" s="504" t="s">
        <v>3381</v>
      </c>
      <c r="F1568" s="504" t="s">
        <v>515</v>
      </c>
      <c r="G1568" s="504" t="s">
        <v>516</v>
      </c>
      <c r="H1568" s="504" t="s">
        <v>4579</v>
      </c>
      <c r="I1568" s="504">
        <v>415</v>
      </c>
      <c r="J1568" s="504">
        <v>237</v>
      </c>
      <c r="K1568" s="504">
        <v>0</v>
      </c>
      <c r="L1568" s="504">
        <v>0</v>
      </c>
      <c r="M1568" s="504">
        <v>0</v>
      </c>
      <c r="N1568" s="504">
        <v>0</v>
      </c>
      <c r="O1568" s="505">
        <v>178</v>
      </c>
    </row>
    <row r="1569" spans="1:15" x14ac:dyDescent="0.35">
      <c r="A1569" s="500" t="s">
        <v>1240</v>
      </c>
      <c r="B1569" s="501" t="s">
        <v>2972</v>
      </c>
      <c r="C1569" s="501" t="s">
        <v>1094</v>
      </c>
      <c r="D1569" s="501" t="s">
        <v>3380</v>
      </c>
      <c r="E1569" s="501" t="s">
        <v>3381</v>
      </c>
      <c r="F1569" s="501" t="s">
        <v>515</v>
      </c>
      <c r="G1569" s="501" t="s">
        <v>516</v>
      </c>
      <c r="H1569" s="501" t="s">
        <v>4580</v>
      </c>
      <c r="I1569" s="501">
        <v>889</v>
      </c>
      <c r="J1569" s="501">
        <v>775</v>
      </c>
      <c r="K1569" s="501">
        <v>0</v>
      </c>
      <c r="L1569" s="501">
        <v>0</v>
      </c>
      <c r="M1569" s="501">
        <v>0</v>
      </c>
      <c r="N1569" s="501">
        <v>0</v>
      </c>
      <c r="O1569" s="506">
        <v>114</v>
      </c>
    </row>
    <row r="1570" spans="1:15" x14ac:dyDescent="0.35">
      <c r="A1570" s="503" t="s">
        <v>1241</v>
      </c>
      <c r="B1570" s="504">
        <v>4717</v>
      </c>
      <c r="C1570" s="504" t="s">
        <v>1094</v>
      </c>
      <c r="D1570" s="504" t="s">
        <v>3380</v>
      </c>
      <c r="E1570" s="504" t="s">
        <v>3381</v>
      </c>
      <c r="F1570" s="504" t="s">
        <v>515</v>
      </c>
      <c r="G1570" s="504" t="s">
        <v>516</v>
      </c>
      <c r="H1570" s="504" t="s">
        <v>4581</v>
      </c>
      <c r="I1570" s="504">
        <v>20</v>
      </c>
      <c r="J1570" s="504">
        <v>20</v>
      </c>
      <c r="K1570" s="504">
        <v>0</v>
      </c>
      <c r="L1570" s="504">
        <v>0</v>
      </c>
      <c r="M1570" s="504">
        <v>0</v>
      </c>
      <c r="N1570" s="504">
        <v>0</v>
      </c>
      <c r="O1570" s="505">
        <v>0</v>
      </c>
    </row>
    <row r="1571" spans="1:15" x14ac:dyDescent="0.35">
      <c r="A1571" s="500" t="s">
        <v>1134</v>
      </c>
      <c r="B1571" s="501" t="s">
        <v>3066</v>
      </c>
      <c r="C1571" s="501" t="s">
        <v>1094</v>
      </c>
      <c r="D1571" s="501" t="s">
        <v>3380</v>
      </c>
      <c r="E1571" s="501" t="s">
        <v>3381</v>
      </c>
      <c r="F1571" s="501" t="s">
        <v>515</v>
      </c>
      <c r="G1571" s="501" t="s">
        <v>516</v>
      </c>
      <c r="H1571" s="501" t="s">
        <v>4582</v>
      </c>
      <c r="I1571" s="501">
        <v>385</v>
      </c>
      <c r="J1571" s="501">
        <v>347</v>
      </c>
      <c r="K1571" s="501">
        <v>0</v>
      </c>
      <c r="L1571" s="501">
        <v>0</v>
      </c>
      <c r="M1571" s="501">
        <v>3</v>
      </c>
      <c r="N1571" s="501">
        <v>0</v>
      </c>
      <c r="O1571" s="506">
        <v>35</v>
      </c>
    </row>
    <row r="1572" spans="1:15" x14ac:dyDescent="0.35">
      <c r="A1572" s="503" t="s">
        <v>1249</v>
      </c>
      <c r="B1572" s="504">
        <v>4729</v>
      </c>
      <c r="C1572" s="504" t="s">
        <v>1094</v>
      </c>
      <c r="D1572" s="504" t="s">
        <v>3380</v>
      </c>
      <c r="E1572" s="504" t="s">
        <v>3381</v>
      </c>
      <c r="F1572" s="504" t="s">
        <v>515</v>
      </c>
      <c r="G1572" s="504" t="s">
        <v>516</v>
      </c>
      <c r="H1572" s="504" t="s">
        <v>4583</v>
      </c>
      <c r="I1572" s="504">
        <v>237</v>
      </c>
      <c r="J1572" s="504">
        <v>169</v>
      </c>
      <c r="K1572" s="504">
        <v>0</v>
      </c>
      <c r="L1572" s="504">
        <v>0</v>
      </c>
      <c r="M1572" s="504">
        <v>0</v>
      </c>
      <c r="N1572" s="504">
        <v>0</v>
      </c>
      <c r="O1572" s="505">
        <v>68</v>
      </c>
    </row>
    <row r="1573" spans="1:15" x14ac:dyDescent="0.35">
      <c r="A1573" s="500" t="s">
        <v>1253</v>
      </c>
      <c r="B1573" s="501" t="s">
        <v>3232</v>
      </c>
      <c r="C1573" s="501" t="s">
        <v>1094</v>
      </c>
      <c r="D1573" s="501" t="s">
        <v>3380</v>
      </c>
      <c r="E1573" s="501" t="s">
        <v>3381</v>
      </c>
      <c r="F1573" s="501" t="s">
        <v>515</v>
      </c>
      <c r="G1573" s="501" t="s">
        <v>516</v>
      </c>
      <c r="H1573" s="501" t="s">
        <v>4584</v>
      </c>
      <c r="I1573" s="501">
        <v>8</v>
      </c>
      <c r="J1573" s="501">
        <v>0</v>
      </c>
      <c r="K1573" s="501">
        <v>0</v>
      </c>
      <c r="L1573" s="501">
        <v>0</v>
      </c>
      <c r="M1573" s="501">
        <v>8</v>
      </c>
      <c r="N1573" s="501">
        <v>0</v>
      </c>
      <c r="O1573" s="506">
        <v>0</v>
      </c>
    </row>
    <row r="1574" spans="1:15" x14ac:dyDescent="0.35">
      <c r="A1574" s="503" t="s">
        <v>1369</v>
      </c>
      <c r="B1574" s="504" t="s">
        <v>3218</v>
      </c>
      <c r="C1574" s="504" t="s">
        <v>1094</v>
      </c>
      <c r="D1574" s="504" t="s">
        <v>3380</v>
      </c>
      <c r="E1574" s="504" t="s">
        <v>3381</v>
      </c>
      <c r="F1574" s="504" t="s">
        <v>515</v>
      </c>
      <c r="G1574" s="504" t="s">
        <v>516</v>
      </c>
      <c r="H1574" s="504" t="s">
        <v>4585</v>
      </c>
      <c r="I1574" s="504">
        <v>66</v>
      </c>
      <c r="J1574" s="504">
        <v>34</v>
      </c>
      <c r="K1574" s="504">
        <v>0</v>
      </c>
      <c r="L1574" s="504">
        <v>0</v>
      </c>
      <c r="M1574" s="504">
        <v>0</v>
      </c>
      <c r="N1574" s="504">
        <v>0</v>
      </c>
      <c r="O1574" s="505">
        <v>32</v>
      </c>
    </row>
    <row r="1575" spans="1:15" x14ac:dyDescent="0.35">
      <c r="A1575" s="500" t="s">
        <v>1370</v>
      </c>
      <c r="B1575" s="501" t="s">
        <v>2471</v>
      </c>
      <c r="C1575" s="501" t="s">
        <v>1089</v>
      </c>
      <c r="D1575" s="501" t="s">
        <v>3392</v>
      </c>
      <c r="E1575" s="501" t="s">
        <v>3381</v>
      </c>
      <c r="F1575" s="501" t="s">
        <v>515</v>
      </c>
      <c r="G1575" s="501" t="s">
        <v>516</v>
      </c>
      <c r="H1575" s="501" t="s">
        <v>4586</v>
      </c>
      <c r="I1575" s="501">
        <v>4</v>
      </c>
      <c r="J1575" s="501">
        <v>0</v>
      </c>
      <c r="K1575" s="501">
        <v>0</v>
      </c>
      <c r="L1575" s="501">
        <v>0</v>
      </c>
      <c r="M1575" s="501">
        <v>4</v>
      </c>
      <c r="N1575" s="501">
        <v>0</v>
      </c>
      <c r="O1575" s="506">
        <v>0</v>
      </c>
    </row>
    <row r="1576" spans="1:15" x14ac:dyDescent="0.35">
      <c r="A1576" s="503" t="s">
        <v>1156</v>
      </c>
      <c r="B1576" s="504" t="s">
        <v>3310</v>
      </c>
      <c r="C1576" s="504" t="s">
        <v>1094</v>
      </c>
      <c r="D1576" s="504" t="s">
        <v>3380</v>
      </c>
      <c r="E1576" s="504" t="s">
        <v>3381</v>
      </c>
      <c r="F1576" s="504" t="s">
        <v>515</v>
      </c>
      <c r="G1576" s="504" t="s">
        <v>516</v>
      </c>
      <c r="H1576" s="504" t="s">
        <v>4560</v>
      </c>
      <c r="I1576" s="504">
        <v>650</v>
      </c>
      <c r="J1576" s="504">
        <v>435</v>
      </c>
      <c r="K1576" s="504">
        <v>0</v>
      </c>
      <c r="L1576" s="504">
        <v>0</v>
      </c>
      <c r="M1576" s="504">
        <v>0</v>
      </c>
      <c r="N1576" s="504">
        <v>0</v>
      </c>
      <c r="O1576" s="505">
        <v>215</v>
      </c>
    </row>
    <row r="1577" spans="1:15" x14ac:dyDescent="0.35">
      <c r="A1577" s="500" t="s">
        <v>1147</v>
      </c>
      <c r="B1577" s="501" t="s">
        <v>3274</v>
      </c>
      <c r="C1577" s="501" t="s">
        <v>1089</v>
      </c>
      <c r="D1577" s="501" t="s">
        <v>3392</v>
      </c>
      <c r="E1577" s="501" t="s">
        <v>3381</v>
      </c>
      <c r="F1577" s="501" t="s">
        <v>517</v>
      </c>
      <c r="G1577" s="501" t="s">
        <v>518</v>
      </c>
      <c r="H1577" s="501" t="s">
        <v>4587</v>
      </c>
      <c r="I1577" s="501">
        <v>7</v>
      </c>
      <c r="J1577" s="501">
        <v>0</v>
      </c>
      <c r="K1577" s="501">
        <v>0</v>
      </c>
      <c r="L1577" s="501">
        <v>7</v>
      </c>
      <c r="M1577" s="501">
        <v>0</v>
      </c>
      <c r="N1577" s="501">
        <v>0</v>
      </c>
      <c r="O1577" s="506">
        <v>0</v>
      </c>
    </row>
    <row r="1578" spans="1:15" x14ac:dyDescent="0.35">
      <c r="A1578" s="503" t="s">
        <v>1093</v>
      </c>
      <c r="B1578" s="504" t="s">
        <v>3248</v>
      </c>
      <c r="C1578" s="504" t="s">
        <v>1094</v>
      </c>
      <c r="D1578" s="504" t="s">
        <v>3380</v>
      </c>
      <c r="E1578" s="504" t="s">
        <v>3381</v>
      </c>
      <c r="F1578" s="504" t="s">
        <v>517</v>
      </c>
      <c r="G1578" s="504" t="s">
        <v>518</v>
      </c>
      <c r="H1578" s="504" t="s">
        <v>4588</v>
      </c>
      <c r="I1578" s="504">
        <v>57</v>
      </c>
      <c r="J1578" s="504">
        <v>0</v>
      </c>
      <c r="K1578" s="504">
        <v>0</v>
      </c>
      <c r="L1578" s="504">
        <v>47</v>
      </c>
      <c r="M1578" s="504">
        <v>0</v>
      </c>
      <c r="N1578" s="504">
        <v>0</v>
      </c>
      <c r="O1578" s="505">
        <v>10</v>
      </c>
    </row>
    <row r="1579" spans="1:15" x14ac:dyDescent="0.35">
      <c r="A1579" s="500" t="s">
        <v>1096</v>
      </c>
      <c r="B1579" s="501" t="s">
        <v>3326</v>
      </c>
      <c r="C1579" s="501" t="s">
        <v>1094</v>
      </c>
      <c r="D1579" s="501" t="s">
        <v>3380</v>
      </c>
      <c r="E1579" s="501" t="s">
        <v>3381</v>
      </c>
      <c r="F1579" s="501" t="s">
        <v>517</v>
      </c>
      <c r="G1579" s="501" t="s">
        <v>518</v>
      </c>
      <c r="H1579" s="501" t="s">
        <v>4589</v>
      </c>
      <c r="I1579" s="501">
        <v>58</v>
      </c>
      <c r="J1579" s="501">
        <v>0</v>
      </c>
      <c r="K1579" s="501">
        <v>0</v>
      </c>
      <c r="L1579" s="501">
        <v>0</v>
      </c>
      <c r="M1579" s="501">
        <v>58</v>
      </c>
      <c r="N1579" s="501">
        <v>0</v>
      </c>
      <c r="O1579" s="506">
        <v>0</v>
      </c>
    </row>
    <row r="1580" spans="1:15" x14ac:dyDescent="0.35">
      <c r="A1580" s="503" t="s">
        <v>1171</v>
      </c>
      <c r="B1580" s="504" t="s">
        <v>3003</v>
      </c>
      <c r="C1580" s="504" t="s">
        <v>1094</v>
      </c>
      <c r="D1580" s="504" t="s">
        <v>3380</v>
      </c>
      <c r="E1580" s="504" t="s">
        <v>3381</v>
      </c>
      <c r="F1580" s="504" t="s">
        <v>517</v>
      </c>
      <c r="G1580" s="504" t="s">
        <v>518</v>
      </c>
      <c r="H1580" s="504" t="s">
        <v>4590</v>
      </c>
      <c r="I1580" s="504">
        <v>112</v>
      </c>
      <c r="J1580" s="504">
        <v>106</v>
      </c>
      <c r="K1580" s="504">
        <v>0</v>
      </c>
      <c r="L1580" s="504">
        <v>0</v>
      </c>
      <c r="M1580" s="504">
        <v>0</v>
      </c>
      <c r="N1580" s="504">
        <v>0</v>
      </c>
      <c r="O1580" s="505">
        <v>6</v>
      </c>
    </row>
    <row r="1581" spans="1:15" x14ac:dyDescent="0.35">
      <c r="A1581" s="500" t="s">
        <v>1173</v>
      </c>
      <c r="B1581" s="501">
        <v>4775</v>
      </c>
      <c r="C1581" s="501" t="s">
        <v>1094</v>
      </c>
      <c r="D1581" s="501" t="s">
        <v>3380</v>
      </c>
      <c r="E1581" s="501" t="s">
        <v>3381</v>
      </c>
      <c r="F1581" s="501" t="s">
        <v>517</v>
      </c>
      <c r="G1581" s="501" t="s">
        <v>518</v>
      </c>
      <c r="H1581" s="501" t="s">
        <v>4591</v>
      </c>
      <c r="I1581" s="501">
        <v>828</v>
      </c>
      <c r="J1581" s="501">
        <v>558</v>
      </c>
      <c r="K1581" s="501">
        <v>0</v>
      </c>
      <c r="L1581" s="501">
        <v>128</v>
      </c>
      <c r="M1581" s="501">
        <v>34</v>
      </c>
      <c r="N1581" s="501">
        <v>0</v>
      </c>
      <c r="O1581" s="506">
        <v>108</v>
      </c>
    </row>
    <row r="1582" spans="1:15" x14ac:dyDescent="0.35">
      <c r="A1582" s="503" t="s">
        <v>1102</v>
      </c>
      <c r="B1582" s="504">
        <v>4663</v>
      </c>
      <c r="C1582" s="504" t="s">
        <v>1089</v>
      </c>
      <c r="D1582" s="504" t="s">
        <v>3392</v>
      </c>
      <c r="E1582" s="504" t="s">
        <v>3381</v>
      </c>
      <c r="F1582" s="504" t="s">
        <v>517</v>
      </c>
      <c r="G1582" s="504" t="s">
        <v>518</v>
      </c>
      <c r="H1582" s="504" t="s">
        <v>4592</v>
      </c>
      <c r="I1582" s="504">
        <v>3</v>
      </c>
      <c r="J1582" s="504">
        <v>0</v>
      </c>
      <c r="K1582" s="504">
        <v>0</v>
      </c>
      <c r="L1582" s="504">
        <v>3</v>
      </c>
      <c r="M1582" s="504">
        <v>0</v>
      </c>
      <c r="N1582" s="504">
        <v>0</v>
      </c>
      <c r="O1582" s="505">
        <v>0</v>
      </c>
    </row>
    <row r="1583" spans="1:15" x14ac:dyDescent="0.35">
      <c r="A1583" s="500" t="s">
        <v>1174</v>
      </c>
      <c r="B1583" s="501">
        <v>4784</v>
      </c>
      <c r="C1583" s="501" t="s">
        <v>1089</v>
      </c>
      <c r="D1583" s="501" t="s">
        <v>3392</v>
      </c>
      <c r="E1583" s="501" t="s">
        <v>3381</v>
      </c>
      <c r="F1583" s="501" t="s">
        <v>517</v>
      </c>
      <c r="G1583" s="501" t="s">
        <v>518</v>
      </c>
      <c r="H1583" s="501" t="s">
        <v>14552</v>
      </c>
      <c r="I1583" s="501">
        <v>10</v>
      </c>
      <c r="J1583" s="501">
        <v>0</v>
      </c>
      <c r="K1583" s="501">
        <v>0</v>
      </c>
      <c r="L1583" s="501">
        <v>10</v>
      </c>
      <c r="M1583" s="501">
        <v>0</v>
      </c>
      <c r="N1583" s="501">
        <v>0</v>
      </c>
      <c r="O1583" s="506">
        <v>0</v>
      </c>
    </row>
    <row r="1584" spans="1:15" x14ac:dyDescent="0.35">
      <c r="A1584" s="503" t="s">
        <v>14208</v>
      </c>
      <c r="B1584" s="504">
        <v>4803</v>
      </c>
      <c r="C1584" s="504" t="s">
        <v>1094</v>
      </c>
      <c r="D1584" s="504" t="s">
        <v>3380</v>
      </c>
      <c r="E1584" s="504" t="s">
        <v>3381</v>
      </c>
      <c r="F1584" s="504" t="s">
        <v>517</v>
      </c>
      <c r="G1584" s="504" t="s">
        <v>518</v>
      </c>
      <c r="H1584" s="504" t="s">
        <v>14553</v>
      </c>
      <c r="I1584" s="504">
        <v>21</v>
      </c>
      <c r="J1584" s="504">
        <v>0</v>
      </c>
      <c r="K1584" s="504">
        <v>0</v>
      </c>
      <c r="L1584" s="504">
        <v>21</v>
      </c>
      <c r="M1584" s="504">
        <v>0</v>
      </c>
      <c r="N1584" s="504">
        <v>0</v>
      </c>
      <c r="O1584" s="505">
        <v>0</v>
      </c>
    </row>
    <row r="1585" spans="1:15" x14ac:dyDescent="0.35">
      <c r="A1585" s="500" t="s">
        <v>1183</v>
      </c>
      <c r="B1585" s="501" t="s">
        <v>3038</v>
      </c>
      <c r="C1585" s="501" t="s">
        <v>1094</v>
      </c>
      <c r="D1585" s="501" t="s">
        <v>3380</v>
      </c>
      <c r="E1585" s="501" t="s">
        <v>3381</v>
      </c>
      <c r="F1585" s="501" t="s">
        <v>517</v>
      </c>
      <c r="G1585" s="501" t="s">
        <v>518</v>
      </c>
      <c r="H1585" s="501" t="s">
        <v>11708</v>
      </c>
      <c r="I1585" s="501">
        <v>1</v>
      </c>
      <c r="J1585" s="501">
        <v>0</v>
      </c>
      <c r="K1585" s="501">
        <v>0</v>
      </c>
      <c r="L1585" s="501">
        <v>0</v>
      </c>
      <c r="M1585" s="501">
        <v>0</v>
      </c>
      <c r="N1585" s="501">
        <v>0</v>
      </c>
      <c r="O1585" s="506">
        <v>1</v>
      </c>
    </row>
    <row r="1586" spans="1:15" x14ac:dyDescent="0.35">
      <c r="A1586" s="503" t="s">
        <v>1186</v>
      </c>
      <c r="B1586" s="504">
        <v>4661</v>
      </c>
      <c r="C1586" s="504" t="s">
        <v>1089</v>
      </c>
      <c r="D1586" s="504" t="s">
        <v>3392</v>
      </c>
      <c r="E1586" s="504" t="s">
        <v>3381</v>
      </c>
      <c r="F1586" s="504" t="s">
        <v>517</v>
      </c>
      <c r="G1586" s="504" t="s">
        <v>518</v>
      </c>
      <c r="H1586" s="504" t="s">
        <v>4593</v>
      </c>
      <c r="I1586" s="504">
        <v>11</v>
      </c>
      <c r="J1586" s="504">
        <v>0</v>
      </c>
      <c r="K1586" s="504">
        <v>0</v>
      </c>
      <c r="L1586" s="504">
        <v>11</v>
      </c>
      <c r="M1586" s="504">
        <v>0</v>
      </c>
      <c r="N1586" s="504">
        <v>0</v>
      </c>
      <c r="O1586" s="505">
        <v>0</v>
      </c>
    </row>
    <row r="1587" spans="1:15" x14ac:dyDescent="0.35">
      <c r="A1587" s="500" t="s">
        <v>1105</v>
      </c>
      <c r="B1587" s="501">
        <v>4668</v>
      </c>
      <c r="C1587" s="501" t="s">
        <v>1094</v>
      </c>
      <c r="D1587" s="501" t="s">
        <v>3380</v>
      </c>
      <c r="E1587" s="501" t="s">
        <v>3381</v>
      </c>
      <c r="F1587" s="501" t="s">
        <v>517</v>
      </c>
      <c r="G1587" s="501" t="s">
        <v>518</v>
      </c>
      <c r="H1587" s="501" t="s">
        <v>4594</v>
      </c>
      <c r="I1587" s="501">
        <v>10</v>
      </c>
      <c r="J1587" s="501">
        <v>0</v>
      </c>
      <c r="K1587" s="501">
        <v>0</v>
      </c>
      <c r="L1587" s="501">
        <v>0</v>
      </c>
      <c r="M1587" s="501">
        <v>0</v>
      </c>
      <c r="N1587" s="501">
        <v>0</v>
      </c>
      <c r="O1587" s="506">
        <v>10</v>
      </c>
    </row>
    <row r="1588" spans="1:15" x14ac:dyDescent="0.35">
      <c r="A1588" s="503" t="s">
        <v>1109</v>
      </c>
      <c r="B1588" s="504" t="s">
        <v>2959</v>
      </c>
      <c r="C1588" s="504" t="s">
        <v>1094</v>
      </c>
      <c r="D1588" s="504" t="s">
        <v>3380</v>
      </c>
      <c r="E1588" s="504" t="s">
        <v>3381</v>
      </c>
      <c r="F1588" s="504" t="s">
        <v>517</v>
      </c>
      <c r="G1588" s="504" t="s">
        <v>518</v>
      </c>
      <c r="H1588" s="504" t="s">
        <v>4595</v>
      </c>
      <c r="I1588" s="504">
        <v>79</v>
      </c>
      <c r="J1588" s="504">
        <v>0</v>
      </c>
      <c r="K1588" s="504">
        <v>0</v>
      </c>
      <c r="L1588" s="504">
        <v>0</v>
      </c>
      <c r="M1588" s="504">
        <v>79</v>
      </c>
      <c r="N1588" s="504">
        <v>0</v>
      </c>
      <c r="O1588" s="505">
        <v>0</v>
      </c>
    </row>
    <row r="1589" spans="1:15" x14ac:dyDescent="0.35">
      <c r="A1589" s="500" t="s">
        <v>1190</v>
      </c>
      <c r="B1589" s="501">
        <v>4662</v>
      </c>
      <c r="C1589" s="501" t="s">
        <v>1094</v>
      </c>
      <c r="D1589" s="501" t="s">
        <v>3380</v>
      </c>
      <c r="E1589" s="501" t="s">
        <v>3381</v>
      </c>
      <c r="F1589" s="501" t="s">
        <v>517</v>
      </c>
      <c r="G1589" s="501" t="s">
        <v>518</v>
      </c>
      <c r="H1589" s="501" t="s">
        <v>4596</v>
      </c>
      <c r="I1589" s="501">
        <v>22</v>
      </c>
      <c r="J1589" s="501">
        <v>0</v>
      </c>
      <c r="K1589" s="501">
        <v>0</v>
      </c>
      <c r="L1589" s="501">
        <v>22</v>
      </c>
      <c r="M1589" s="501">
        <v>0</v>
      </c>
      <c r="N1589" s="501">
        <v>0</v>
      </c>
      <c r="O1589" s="506">
        <v>0</v>
      </c>
    </row>
    <row r="1590" spans="1:15" x14ac:dyDescent="0.35">
      <c r="A1590" s="503" t="s">
        <v>1203</v>
      </c>
      <c r="B1590" s="504" t="s">
        <v>3170</v>
      </c>
      <c r="C1590" s="504" t="s">
        <v>1094</v>
      </c>
      <c r="D1590" s="504" t="s">
        <v>3380</v>
      </c>
      <c r="E1590" s="504" t="s">
        <v>3381</v>
      </c>
      <c r="F1590" s="504" t="s">
        <v>517</v>
      </c>
      <c r="G1590" s="504" t="s">
        <v>518</v>
      </c>
      <c r="H1590" s="504" t="s">
        <v>4597</v>
      </c>
      <c r="I1590" s="504">
        <v>598</v>
      </c>
      <c r="J1590" s="504">
        <v>532</v>
      </c>
      <c r="K1590" s="504">
        <v>0</v>
      </c>
      <c r="L1590" s="504">
        <v>3</v>
      </c>
      <c r="M1590" s="504">
        <v>0</v>
      </c>
      <c r="N1590" s="504">
        <v>2</v>
      </c>
      <c r="O1590" s="505">
        <v>63</v>
      </c>
    </row>
    <row r="1591" spans="1:15" x14ac:dyDescent="0.35">
      <c r="A1591" s="500" t="s">
        <v>1112</v>
      </c>
      <c r="B1591" s="501" t="s">
        <v>3008</v>
      </c>
      <c r="C1591" s="501" t="s">
        <v>1094</v>
      </c>
      <c r="D1591" s="501" t="s">
        <v>3380</v>
      </c>
      <c r="E1591" s="501" t="s">
        <v>3381</v>
      </c>
      <c r="F1591" s="501" t="s">
        <v>517</v>
      </c>
      <c r="G1591" s="501" t="s">
        <v>518</v>
      </c>
      <c r="H1591" s="501" t="s">
        <v>4598</v>
      </c>
      <c r="I1591" s="501">
        <v>115</v>
      </c>
      <c r="J1591" s="501">
        <v>62</v>
      </c>
      <c r="K1591" s="501">
        <v>0</v>
      </c>
      <c r="L1591" s="501">
        <v>0</v>
      </c>
      <c r="M1591" s="501">
        <v>18</v>
      </c>
      <c r="N1591" s="501">
        <v>0</v>
      </c>
      <c r="O1591" s="506">
        <v>35</v>
      </c>
    </row>
    <row r="1592" spans="1:15" x14ac:dyDescent="0.35">
      <c r="A1592" s="503" t="s">
        <v>1207</v>
      </c>
      <c r="B1592" s="504" t="s">
        <v>3202</v>
      </c>
      <c r="C1592" s="504" t="s">
        <v>1094</v>
      </c>
      <c r="D1592" s="504" t="s">
        <v>3380</v>
      </c>
      <c r="E1592" s="504" t="s">
        <v>3381</v>
      </c>
      <c r="F1592" s="504" t="s">
        <v>517</v>
      </c>
      <c r="G1592" s="504" t="s">
        <v>518</v>
      </c>
      <c r="H1592" s="504" t="s">
        <v>4599</v>
      </c>
      <c r="I1592" s="504">
        <v>297</v>
      </c>
      <c r="J1592" s="504">
        <v>195</v>
      </c>
      <c r="K1592" s="504">
        <v>0</v>
      </c>
      <c r="L1592" s="504">
        <v>0</v>
      </c>
      <c r="M1592" s="504">
        <v>10</v>
      </c>
      <c r="N1592" s="504">
        <v>0</v>
      </c>
      <c r="O1592" s="505">
        <v>92</v>
      </c>
    </row>
    <row r="1593" spans="1:15" x14ac:dyDescent="0.35">
      <c r="A1593" s="500" t="s">
        <v>1215</v>
      </c>
      <c r="B1593" s="501">
        <v>4817</v>
      </c>
      <c r="C1593" s="501" t="s">
        <v>1094</v>
      </c>
      <c r="D1593" s="501" t="s">
        <v>3380</v>
      </c>
      <c r="E1593" s="501" t="s">
        <v>3381</v>
      </c>
      <c r="F1593" s="501" t="s">
        <v>517</v>
      </c>
      <c r="G1593" s="501" t="s">
        <v>518</v>
      </c>
      <c r="H1593" s="501" t="s">
        <v>4600</v>
      </c>
      <c r="I1593" s="501">
        <v>630</v>
      </c>
      <c r="J1593" s="501">
        <v>477</v>
      </c>
      <c r="K1593" s="501">
        <v>0</v>
      </c>
      <c r="L1593" s="501">
        <v>70</v>
      </c>
      <c r="M1593" s="501">
        <v>0</v>
      </c>
      <c r="N1593" s="501">
        <v>0</v>
      </c>
      <c r="O1593" s="506">
        <v>83</v>
      </c>
    </row>
    <row r="1594" spans="1:15" x14ac:dyDescent="0.35">
      <c r="A1594" s="503" t="s">
        <v>1220</v>
      </c>
      <c r="B1594" s="504">
        <v>4849</v>
      </c>
      <c r="C1594" s="504" t="s">
        <v>1094</v>
      </c>
      <c r="D1594" s="504" t="s">
        <v>3380</v>
      </c>
      <c r="E1594" s="504" t="s">
        <v>3381</v>
      </c>
      <c r="F1594" s="504" t="s">
        <v>517</v>
      </c>
      <c r="G1594" s="504" t="s">
        <v>518</v>
      </c>
      <c r="H1594" s="504" t="s">
        <v>4601</v>
      </c>
      <c r="I1594" s="504">
        <v>251</v>
      </c>
      <c r="J1594" s="504">
        <v>219</v>
      </c>
      <c r="K1594" s="504">
        <v>0</v>
      </c>
      <c r="L1594" s="504">
        <v>0</v>
      </c>
      <c r="M1594" s="504">
        <v>3</v>
      </c>
      <c r="N1594" s="504">
        <v>0</v>
      </c>
      <c r="O1594" s="505">
        <v>29</v>
      </c>
    </row>
    <row r="1595" spans="1:15" x14ac:dyDescent="0.35">
      <c r="A1595" s="500" t="s">
        <v>1122</v>
      </c>
      <c r="B1595" s="501" t="s">
        <v>2994</v>
      </c>
      <c r="C1595" s="501" t="s">
        <v>1094</v>
      </c>
      <c r="D1595" s="501" t="s">
        <v>3380</v>
      </c>
      <c r="E1595" s="501" t="s">
        <v>3381</v>
      </c>
      <c r="F1595" s="501" t="s">
        <v>517</v>
      </c>
      <c r="G1595" s="501" t="s">
        <v>518</v>
      </c>
      <c r="H1595" s="501" t="s">
        <v>4602</v>
      </c>
      <c r="I1595" s="501">
        <v>41</v>
      </c>
      <c r="J1595" s="501">
        <v>3</v>
      </c>
      <c r="K1595" s="501">
        <v>0</v>
      </c>
      <c r="L1595" s="501">
        <v>0</v>
      </c>
      <c r="M1595" s="501">
        <v>38</v>
      </c>
      <c r="N1595" s="501">
        <v>0</v>
      </c>
      <c r="O1595" s="506">
        <v>0</v>
      </c>
    </row>
    <row r="1596" spans="1:15" x14ac:dyDescent="0.35">
      <c r="A1596" s="503" t="s">
        <v>1226</v>
      </c>
      <c r="B1596" s="504">
        <v>5084</v>
      </c>
      <c r="C1596" s="504" t="s">
        <v>1094</v>
      </c>
      <c r="D1596" s="504" t="s">
        <v>3380</v>
      </c>
      <c r="E1596" s="504" t="s">
        <v>3381</v>
      </c>
      <c r="F1596" s="504" t="s">
        <v>517</v>
      </c>
      <c r="G1596" s="504" t="s">
        <v>518</v>
      </c>
      <c r="H1596" s="504" t="s">
        <v>4603</v>
      </c>
      <c r="I1596" s="504">
        <v>559</v>
      </c>
      <c r="J1596" s="504">
        <v>462</v>
      </c>
      <c r="K1596" s="504">
        <v>0</v>
      </c>
      <c r="L1596" s="504">
        <v>0</v>
      </c>
      <c r="M1596" s="504">
        <v>0</v>
      </c>
      <c r="N1596" s="504">
        <v>0</v>
      </c>
      <c r="O1596" s="505">
        <v>97</v>
      </c>
    </row>
    <row r="1597" spans="1:15" x14ac:dyDescent="0.35">
      <c r="A1597" s="500" t="s">
        <v>1228</v>
      </c>
      <c r="B1597" s="501" t="s">
        <v>3321</v>
      </c>
      <c r="C1597" s="501" t="s">
        <v>1094</v>
      </c>
      <c r="D1597" s="501" t="s">
        <v>3380</v>
      </c>
      <c r="E1597" s="501" t="s">
        <v>3381</v>
      </c>
      <c r="F1597" s="501" t="s">
        <v>517</v>
      </c>
      <c r="G1597" s="501" t="s">
        <v>518</v>
      </c>
      <c r="H1597" s="501" t="s">
        <v>4604</v>
      </c>
      <c r="I1597" s="501">
        <v>12</v>
      </c>
      <c r="J1597" s="501">
        <v>0</v>
      </c>
      <c r="K1597" s="501">
        <v>0</v>
      </c>
      <c r="L1597" s="501">
        <v>12</v>
      </c>
      <c r="M1597" s="501">
        <v>0</v>
      </c>
      <c r="N1597" s="501">
        <v>0</v>
      </c>
      <c r="O1597" s="506">
        <v>0</v>
      </c>
    </row>
    <row r="1598" spans="1:15" x14ac:dyDescent="0.35">
      <c r="A1598" s="503" t="s">
        <v>1124</v>
      </c>
      <c r="B1598" s="504">
        <v>4745</v>
      </c>
      <c r="C1598" s="504" t="s">
        <v>1094</v>
      </c>
      <c r="D1598" s="504" t="s">
        <v>3380</v>
      </c>
      <c r="E1598" s="504" t="s">
        <v>3381</v>
      </c>
      <c r="F1598" s="504" t="s">
        <v>517</v>
      </c>
      <c r="G1598" s="504" t="s">
        <v>518</v>
      </c>
      <c r="H1598" s="504" t="s">
        <v>14554</v>
      </c>
      <c r="I1598" s="504">
        <v>1</v>
      </c>
      <c r="J1598" s="504">
        <v>0</v>
      </c>
      <c r="K1598" s="504">
        <v>0</v>
      </c>
      <c r="L1598" s="504">
        <v>1</v>
      </c>
      <c r="M1598" s="504">
        <v>0</v>
      </c>
      <c r="N1598" s="504">
        <v>0</v>
      </c>
      <c r="O1598" s="505">
        <v>0</v>
      </c>
    </row>
    <row r="1599" spans="1:15" x14ac:dyDescent="0.35">
      <c r="A1599" s="500" t="s">
        <v>1233</v>
      </c>
      <c r="B1599" s="501">
        <v>4636</v>
      </c>
      <c r="C1599" s="501" t="s">
        <v>1094</v>
      </c>
      <c r="D1599" s="501" t="s">
        <v>3380</v>
      </c>
      <c r="E1599" s="501" t="s">
        <v>3381</v>
      </c>
      <c r="F1599" s="501" t="s">
        <v>517</v>
      </c>
      <c r="G1599" s="501" t="s">
        <v>518</v>
      </c>
      <c r="H1599" s="501" t="s">
        <v>12008</v>
      </c>
      <c r="I1599" s="501">
        <v>5</v>
      </c>
      <c r="J1599" s="501">
        <v>2</v>
      </c>
      <c r="K1599" s="501">
        <v>0</v>
      </c>
      <c r="L1599" s="501">
        <v>0</v>
      </c>
      <c r="M1599" s="501">
        <v>0</v>
      </c>
      <c r="N1599" s="501">
        <v>0</v>
      </c>
      <c r="O1599" s="506">
        <v>3</v>
      </c>
    </row>
    <row r="1600" spans="1:15" x14ac:dyDescent="0.35">
      <c r="A1600" s="503" t="s">
        <v>11368</v>
      </c>
      <c r="B1600" s="504">
        <v>5083</v>
      </c>
      <c r="C1600" s="504" t="s">
        <v>1094</v>
      </c>
      <c r="D1600" s="504" t="s">
        <v>3380</v>
      </c>
      <c r="E1600" s="504" t="s">
        <v>3381</v>
      </c>
      <c r="F1600" s="504" t="s">
        <v>517</v>
      </c>
      <c r="G1600" s="504" t="s">
        <v>518</v>
      </c>
      <c r="H1600" s="504" t="s">
        <v>14555</v>
      </c>
      <c r="I1600" s="504">
        <v>4</v>
      </c>
      <c r="J1600" s="504">
        <v>4</v>
      </c>
      <c r="K1600" s="504">
        <v>0</v>
      </c>
      <c r="L1600" s="504">
        <v>0</v>
      </c>
      <c r="M1600" s="504">
        <v>0</v>
      </c>
      <c r="N1600" s="504">
        <v>0</v>
      </c>
      <c r="O1600" s="505">
        <v>0</v>
      </c>
    </row>
    <row r="1601" spans="1:15" x14ac:dyDescent="0.35">
      <c r="A1601" s="500" t="s">
        <v>1240</v>
      </c>
      <c r="B1601" s="501" t="s">
        <v>2972</v>
      </c>
      <c r="C1601" s="501" t="s">
        <v>1094</v>
      </c>
      <c r="D1601" s="501" t="s">
        <v>3380</v>
      </c>
      <c r="E1601" s="501" t="s">
        <v>3381</v>
      </c>
      <c r="F1601" s="501" t="s">
        <v>517</v>
      </c>
      <c r="G1601" s="501" t="s">
        <v>518</v>
      </c>
      <c r="H1601" s="501" t="s">
        <v>4605</v>
      </c>
      <c r="I1601" s="501">
        <v>72</v>
      </c>
      <c r="J1601" s="501">
        <v>45</v>
      </c>
      <c r="K1601" s="501">
        <v>0</v>
      </c>
      <c r="L1601" s="501">
        <v>0</v>
      </c>
      <c r="M1601" s="501">
        <v>0</v>
      </c>
      <c r="N1601" s="501">
        <v>0</v>
      </c>
      <c r="O1601" s="506">
        <v>27</v>
      </c>
    </row>
    <row r="1602" spans="1:15" x14ac:dyDescent="0.35">
      <c r="A1602" s="503" t="s">
        <v>1241</v>
      </c>
      <c r="B1602" s="504">
        <v>4717</v>
      </c>
      <c r="C1602" s="504" t="s">
        <v>1094</v>
      </c>
      <c r="D1602" s="504" t="s">
        <v>3380</v>
      </c>
      <c r="E1602" s="504" t="s">
        <v>3381</v>
      </c>
      <c r="F1602" s="504" t="s">
        <v>517</v>
      </c>
      <c r="G1602" s="504" t="s">
        <v>518</v>
      </c>
      <c r="H1602" s="504" t="s">
        <v>4606</v>
      </c>
      <c r="I1602" s="504">
        <v>146</v>
      </c>
      <c r="J1602" s="504">
        <v>146</v>
      </c>
      <c r="K1602" s="504">
        <v>0</v>
      </c>
      <c r="L1602" s="504">
        <v>0</v>
      </c>
      <c r="M1602" s="504">
        <v>0</v>
      </c>
      <c r="N1602" s="504">
        <v>0</v>
      </c>
      <c r="O1602" s="505">
        <v>0</v>
      </c>
    </row>
    <row r="1603" spans="1:15" x14ac:dyDescent="0.35">
      <c r="A1603" s="500" t="s">
        <v>1134</v>
      </c>
      <c r="B1603" s="501" t="s">
        <v>3066</v>
      </c>
      <c r="C1603" s="501" t="s">
        <v>1094</v>
      </c>
      <c r="D1603" s="501" t="s">
        <v>3380</v>
      </c>
      <c r="E1603" s="501" t="s">
        <v>3381</v>
      </c>
      <c r="F1603" s="501" t="s">
        <v>517</v>
      </c>
      <c r="G1603" s="501" t="s">
        <v>518</v>
      </c>
      <c r="H1603" s="501" t="s">
        <v>4607</v>
      </c>
      <c r="I1603" s="501">
        <v>195</v>
      </c>
      <c r="J1603" s="501">
        <v>164</v>
      </c>
      <c r="K1603" s="501">
        <v>0</v>
      </c>
      <c r="L1603" s="501">
        <v>0</v>
      </c>
      <c r="M1603" s="501">
        <v>0</v>
      </c>
      <c r="N1603" s="501">
        <v>0</v>
      </c>
      <c r="O1603" s="506">
        <v>31</v>
      </c>
    </row>
    <row r="1604" spans="1:15" x14ac:dyDescent="0.35">
      <c r="A1604" s="503" t="s">
        <v>1245</v>
      </c>
      <c r="B1604" s="504" t="s">
        <v>2859</v>
      </c>
      <c r="C1604" s="504" t="s">
        <v>1094</v>
      </c>
      <c r="D1604" s="504" t="s">
        <v>3380</v>
      </c>
      <c r="E1604" s="504" t="s">
        <v>3381</v>
      </c>
      <c r="F1604" s="504" t="s">
        <v>517</v>
      </c>
      <c r="G1604" s="504" t="s">
        <v>518</v>
      </c>
      <c r="H1604" s="504" t="s">
        <v>4608</v>
      </c>
      <c r="I1604" s="504">
        <v>14</v>
      </c>
      <c r="J1604" s="504">
        <v>0</v>
      </c>
      <c r="K1604" s="504">
        <v>0</v>
      </c>
      <c r="L1604" s="504">
        <v>0</v>
      </c>
      <c r="M1604" s="504">
        <v>14</v>
      </c>
      <c r="N1604" s="504">
        <v>0</v>
      </c>
      <c r="O1604" s="505">
        <v>0</v>
      </c>
    </row>
    <row r="1605" spans="1:15" x14ac:dyDescent="0.35">
      <c r="A1605" s="500" t="s">
        <v>1247</v>
      </c>
      <c r="B1605" s="501">
        <v>4838</v>
      </c>
      <c r="C1605" s="501" t="s">
        <v>1089</v>
      </c>
      <c r="D1605" s="501" t="s">
        <v>3392</v>
      </c>
      <c r="E1605" s="501" t="s">
        <v>3381</v>
      </c>
      <c r="F1605" s="501" t="s">
        <v>517</v>
      </c>
      <c r="G1605" s="501" t="s">
        <v>518</v>
      </c>
      <c r="H1605" s="501" t="s">
        <v>4609</v>
      </c>
      <c r="I1605" s="501">
        <v>66</v>
      </c>
      <c r="J1605" s="501">
        <v>0</v>
      </c>
      <c r="K1605" s="501">
        <v>0</v>
      </c>
      <c r="L1605" s="501">
        <v>66</v>
      </c>
      <c r="M1605" s="501">
        <v>0</v>
      </c>
      <c r="N1605" s="501">
        <v>1</v>
      </c>
      <c r="O1605" s="506">
        <v>0</v>
      </c>
    </row>
    <row r="1606" spans="1:15" x14ac:dyDescent="0.35">
      <c r="A1606" s="503" t="s">
        <v>1253</v>
      </c>
      <c r="B1606" s="504" t="s">
        <v>3232</v>
      </c>
      <c r="C1606" s="504" t="s">
        <v>1094</v>
      </c>
      <c r="D1606" s="504" t="s">
        <v>3380</v>
      </c>
      <c r="E1606" s="504" t="s">
        <v>3381</v>
      </c>
      <c r="F1606" s="504" t="s">
        <v>517</v>
      </c>
      <c r="G1606" s="504" t="s">
        <v>518</v>
      </c>
      <c r="H1606" s="504" t="s">
        <v>4610</v>
      </c>
      <c r="I1606" s="504">
        <v>411</v>
      </c>
      <c r="J1606" s="504">
        <v>310</v>
      </c>
      <c r="K1606" s="504">
        <v>0</v>
      </c>
      <c r="L1606" s="504">
        <v>0</v>
      </c>
      <c r="M1606" s="504">
        <v>0</v>
      </c>
      <c r="N1606" s="504">
        <v>0</v>
      </c>
      <c r="O1606" s="505">
        <v>101</v>
      </c>
    </row>
    <row r="1607" spans="1:15" x14ac:dyDescent="0.35">
      <c r="A1607" s="500" t="s">
        <v>1260</v>
      </c>
      <c r="B1607" s="501">
        <v>4645</v>
      </c>
      <c r="C1607" s="501" t="s">
        <v>1089</v>
      </c>
      <c r="D1607" s="501" t="s">
        <v>3392</v>
      </c>
      <c r="E1607" s="501" t="s">
        <v>3381</v>
      </c>
      <c r="F1607" s="501" t="s">
        <v>517</v>
      </c>
      <c r="G1607" s="501" t="s">
        <v>518</v>
      </c>
      <c r="H1607" s="501" t="s">
        <v>4611</v>
      </c>
      <c r="I1607" s="501">
        <v>1</v>
      </c>
      <c r="J1607" s="501">
        <v>0</v>
      </c>
      <c r="K1607" s="501">
        <v>0</v>
      </c>
      <c r="L1607" s="501">
        <v>1</v>
      </c>
      <c r="M1607" s="501">
        <v>0</v>
      </c>
      <c r="N1607" s="501">
        <v>0</v>
      </c>
      <c r="O1607" s="506">
        <v>0</v>
      </c>
    </row>
    <row r="1608" spans="1:15" x14ac:dyDescent="0.35">
      <c r="A1608" s="503" t="s">
        <v>1261</v>
      </c>
      <c r="B1608" s="504" t="s">
        <v>3130</v>
      </c>
      <c r="C1608" s="504" t="s">
        <v>1094</v>
      </c>
      <c r="D1608" s="504" t="s">
        <v>3380</v>
      </c>
      <c r="E1608" s="504" t="s">
        <v>3381</v>
      </c>
      <c r="F1608" s="504" t="s">
        <v>517</v>
      </c>
      <c r="G1608" s="504" t="s">
        <v>518</v>
      </c>
      <c r="H1608" s="504" t="s">
        <v>4612</v>
      </c>
      <c r="I1608" s="504">
        <v>12</v>
      </c>
      <c r="J1608" s="504">
        <v>12</v>
      </c>
      <c r="K1608" s="504">
        <v>0</v>
      </c>
      <c r="L1608" s="504">
        <v>0</v>
      </c>
      <c r="M1608" s="504">
        <v>0</v>
      </c>
      <c r="N1608" s="504">
        <v>0</v>
      </c>
      <c r="O1608" s="505">
        <v>0</v>
      </c>
    </row>
    <row r="1609" spans="1:15" x14ac:dyDescent="0.35">
      <c r="A1609" s="500" t="s">
        <v>1283</v>
      </c>
      <c r="B1609" s="501" t="s">
        <v>3177</v>
      </c>
      <c r="C1609" s="501" t="s">
        <v>1094</v>
      </c>
      <c r="D1609" s="501" t="s">
        <v>3380</v>
      </c>
      <c r="E1609" s="501" t="s">
        <v>3381</v>
      </c>
      <c r="F1609" s="501" t="s">
        <v>519</v>
      </c>
      <c r="G1609" s="501" t="s">
        <v>520</v>
      </c>
      <c r="H1609" s="501" t="s">
        <v>4613</v>
      </c>
      <c r="I1609" s="501">
        <v>6922</v>
      </c>
      <c r="J1609" s="501">
        <v>6767</v>
      </c>
      <c r="K1609" s="501">
        <v>0</v>
      </c>
      <c r="L1609" s="501">
        <v>22</v>
      </c>
      <c r="M1609" s="501">
        <v>0</v>
      </c>
      <c r="N1609" s="501">
        <v>0</v>
      </c>
      <c r="O1609" s="506">
        <v>133</v>
      </c>
    </row>
    <row r="1610" spans="1:15" x14ac:dyDescent="0.35">
      <c r="A1610" s="503" t="s">
        <v>1100</v>
      </c>
      <c r="B1610" s="504">
        <v>4865</v>
      </c>
      <c r="C1610" s="504" t="s">
        <v>1094</v>
      </c>
      <c r="D1610" s="504" t="s">
        <v>3380</v>
      </c>
      <c r="E1610" s="504" t="s">
        <v>3381</v>
      </c>
      <c r="F1610" s="504" t="s">
        <v>519</v>
      </c>
      <c r="G1610" s="504" t="s">
        <v>520</v>
      </c>
      <c r="H1610" s="504" t="s">
        <v>4614</v>
      </c>
      <c r="I1610" s="504">
        <v>781</v>
      </c>
      <c r="J1610" s="504">
        <v>714</v>
      </c>
      <c r="K1610" s="504">
        <v>0</v>
      </c>
      <c r="L1610" s="504">
        <v>3</v>
      </c>
      <c r="M1610" s="504">
        <v>9</v>
      </c>
      <c r="N1610" s="504">
        <v>0</v>
      </c>
      <c r="O1610" s="505">
        <v>55</v>
      </c>
    </row>
    <row r="1611" spans="1:15" x14ac:dyDescent="0.35">
      <c r="A1611" s="500" t="s">
        <v>1293</v>
      </c>
      <c r="B1611" s="501" t="s">
        <v>3212</v>
      </c>
      <c r="C1611" s="501" t="s">
        <v>1094</v>
      </c>
      <c r="D1611" s="501" t="s">
        <v>3380</v>
      </c>
      <c r="E1611" s="501" t="s">
        <v>3381</v>
      </c>
      <c r="F1611" s="501" t="s">
        <v>519</v>
      </c>
      <c r="G1611" s="501" t="s">
        <v>520</v>
      </c>
      <c r="H1611" s="501" t="s">
        <v>4615</v>
      </c>
      <c r="I1611" s="501">
        <v>266</v>
      </c>
      <c r="J1611" s="501">
        <v>201</v>
      </c>
      <c r="K1611" s="501">
        <v>0</v>
      </c>
      <c r="L1611" s="501">
        <v>0</v>
      </c>
      <c r="M1611" s="501">
        <v>0</v>
      </c>
      <c r="N1611" s="501">
        <v>0</v>
      </c>
      <c r="O1611" s="506">
        <v>65</v>
      </c>
    </row>
    <row r="1612" spans="1:15" x14ac:dyDescent="0.35">
      <c r="A1612" s="503" t="s">
        <v>1175</v>
      </c>
      <c r="B1612" s="504" t="s">
        <v>3141</v>
      </c>
      <c r="C1612" s="504" t="s">
        <v>1094</v>
      </c>
      <c r="D1612" s="504" t="s">
        <v>3380</v>
      </c>
      <c r="E1612" s="504" t="s">
        <v>3381</v>
      </c>
      <c r="F1612" s="504" t="s">
        <v>519</v>
      </c>
      <c r="G1612" s="504" t="s">
        <v>520</v>
      </c>
      <c r="H1612" s="504" t="s">
        <v>4616</v>
      </c>
      <c r="I1612" s="504">
        <v>5</v>
      </c>
      <c r="J1612" s="504">
        <v>5</v>
      </c>
      <c r="K1612" s="504">
        <v>0</v>
      </c>
      <c r="L1612" s="504">
        <v>0</v>
      </c>
      <c r="M1612" s="504">
        <v>0</v>
      </c>
      <c r="N1612" s="504">
        <v>0</v>
      </c>
      <c r="O1612" s="505">
        <v>0</v>
      </c>
    </row>
    <row r="1613" spans="1:15" x14ac:dyDescent="0.35">
      <c r="A1613" s="500" t="s">
        <v>1294</v>
      </c>
      <c r="B1613" s="501" t="s">
        <v>3114</v>
      </c>
      <c r="C1613" s="501" t="s">
        <v>1094</v>
      </c>
      <c r="D1613" s="501" t="s">
        <v>3380</v>
      </c>
      <c r="E1613" s="501" t="s">
        <v>3381</v>
      </c>
      <c r="F1613" s="501" t="s">
        <v>519</v>
      </c>
      <c r="G1613" s="501" t="s">
        <v>520</v>
      </c>
      <c r="H1613" s="501" t="s">
        <v>4617</v>
      </c>
      <c r="I1613" s="501">
        <v>49</v>
      </c>
      <c r="J1613" s="501">
        <v>20</v>
      </c>
      <c r="K1613" s="501">
        <v>0</v>
      </c>
      <c r="L1613" s="501">
        <v>8</v>
      </c>
      <c r="M1613" s="501">
        <v>0</v>
      </c>
      <c r="N1613" s="501">
        <v>0</v>
      </c>
      <c r="O1613" s="506">
        <v>21</v>
      </c>
    </row>
    <row r="1614" spans="1:15" x14ac:dyDescent="0.35">
      <c r="A1614" s="503" t="s">
        <v>14208</v>
      </c>
      <c r="B1614" s="504">
        <v>4803</v>
      </c>
      <c r="C1614" s="504" t="s">
        <v>1094</v>
      </c>
      <c r="D1614" s="504" t="s">
        <v>3380</v>
      </c>
      <c r="E1614" s="504" t="s">
        <v>3381</v>
      </c>
      <c r="F1614" s="504" t="s">
        <v>519</v>
      </c>
      <c r="G1614" s="504" t="s">
        <v>520</v>
      </c>
      <c r="H1614" s="504" t="s">
        <v>14556</v>
      </c>
      <c r="I1614" s="504">
        <v>4</v>
      </c>
      <c r="J1614" s="504">
        <v>0</v>
      </c>
      <c r="K1614" s="504">
        <v>0</v>
      </c>
      <c r="L1614" s="504">
        <v>4</v>
      </c>
      <c r="M1614" s="504">
        <v>0</v>
      </c>
      <c r="N1614" s="504">
        <v>0</v>
      </c>
      <c r="O1614" s="505">
        <v>0</v>
      </c>
    </row>
    <row r="1615" spans="1:15" x14ac:dyDescent="0.35">
      <c r="A1615" s="500" t="s">
        <v>1185</v>
      </c>
      <c r="B1615" s="501" t="s">
        <v>3253</v>
      </c>
      <c r="C1615" s="501" t="s">
        <v>1094</v>
      </c>
      <c r="D1615" s="501" t="s">
        <v>3380</v>
      </c>
      <c r="E1615" s="501" t="s">
        <v>3381</v>
      </c>
      <c r="F1615" s="501" t="s">
        <v>519</v>
      </c>
      <c r="G1615" s="501" t="s">
        <v>520</v>
      </c>
      <c r="H1615" s="501" t="s">
        <v>4618</v>
      </c>
      <c r="I1615" s="501">
        <v>42</v>
      </c>
      <c r="J1615" s="501">
        <v>1</v>
      </c>
      <c r="K1615" s="501">
        <v>0</v>
      </c>
      <c r="L1615" s="501">
        <v>15</v>
      </c>
      <c r="M1615" s="501">
        <v>26</v>
      </c>
      <c r="N1615" s="501">
        <v>0</v>
      </c>
      <c r="O1615" s="506">
        <v>0</v>
      </c>
    </row>
    <row r="1616" spans="1:15" x14ac:dyDescent="0.35">
      <c r="A1616" s="503" t="s">
        <v>1187</v>
      </c>
      <c r="B1616" s="504" t="s">
        <v>2951</v>
      </c>
      <c r="C1616" s="504" t="s">
        <v>1094</v>
      </c>
      <c r="D1616" s="504" t="s">
        <v>3380</v>
      </c>
      <c r="E1616" s="504" t="s">
        <v>3381</v>
      </c>
      <c r="F1616" s="504" t="s">
        <v>519</v>
      </c>
      <c r="G1616" s="504" t="s">
        <v>520</v>
      </c>
      <c r="H1616" s="504" t="s">
        <v>4619</v>
      </c>
      <c r="I1616" s="504">
        <v>20</v>
      </c>
      <c r="J1616" s="504">
        <v>14</v>
      </c>
      <c r="K1616" s="504">
        <v>0</v>
      </c>
      <c r="L1616" s="504">
        <v>0</v>
      </c>
      <c r="M1616" s="504">
        <v>0</v>
      </c>
      <c r="N1616" s="504">
        <v>0</v>
      </c>
      <c r="O1616" s="505">
        <v>6</v>
      </c>
    </row>
    <row r="1617" spans="1:15" x14ac:dyDescent="0.35">
      <c r="A1617" s="500" t="s">
        <v>1105</v>
      </c>
      <c r="B1617" s="501">
        <v>4668</v>
      </c>
      <c r="C1617" s="501" t="s">
        <v>1094</v>
      </c>
      <c r="D1617" s="501" t="s">
        <v>3380</v>
      </c>
      <c r="E1617" s="501" t="s">
        <v>3381</v>
      </c>
      <c r="F1617" s="501" t="s">
        <v>519</v>
      </c>
      <c r="G1617" s="501" t="s">
        <v>520</v>
      </c>
      <c r="H1617" s="501" t="s">
        <v>4620</v>
      </c>
      <c r="I1617" s="501">
        <v>8</v>
      </c>
      <c r="J1617" s="501">
        <v>0</v>
      </c>
      <c r="K1617" s="501">
        <v>0</v>
      </c>
      <c r="L1617" s="501">
        <v>0</v>
      </c>
      <c r="M1617" s="501">
        <v>0</v>
      </c>
      <c r="N1617" s="501">
        <v>0</v>
      </c>
      <c r="O1617" s="506">
        <v>8</v>
      </c>
    </row>
    <row r="1618" spans="1:15" x14ac:dyDescent="0.35">
      <c r="A1618" s="503" t="s">
        <v>1188</v>
      </c>
      <c r="B1618" s="504">
        <v>4760</v>
      </c>
      <c r="C1618" s="504" t="s">
        <v>1089</v>
      </c>
      <c r="D1618" s="504" t="s">
        <v>3392</v>
      </c>
      <c r="E1618" s="504" t="s">
        <v>3381</v>
      </c>
      <c r="F1618" s="504" t="s">
        <v>519</v>
      </c>
      <c r="G1618" s="504" t="s">
        <v>520</v>
      </c>
      <c r="H1618" s="504" t="s">
        <v>14557</v>
      </c>
      <c r="I1618" s="504">
        <v>5</v>
      </c>
      <c r="J1618" s="504">
        <v>0</v>
      </c>
      <c r="K1618" s="504">
        <v>0</v>
      </c>
      <c r="L1618" s="504">
        <v>5</v>
      </c>
      <c r="M1618" s="504">
        <v>0</v>
      </c>
      <c r="N1618" s="504">
        <v>0</v>
      </c>
      <c r="O1618" s="505">
        <v>0</v>
      </c>
    </row>
    <row r="1619" spans="1:15" x14ac:dyDescent="0.35">
      <c r="A1619" s="500" t="s">
        <v>1107</v>
      </c>
      <c r="B1619" s="501" t="s">
        <v>3109</v>
      </c>
      <c r="C1619" s="501" t="s">
        <v>1094</v>
      </c>
      <c r="D1619" s="501" t="s">
        <v>3380</v>
      </c>
      <c r="E1619" s="501" t="s">
        <v>3381</v>
      </c>
      <c r="F1619" s="501" t="s">
        <v>519</v>
      </c>
      <c r="G1619" s="501" t="s">
        <v>520</v>
      </c>
      <c r="H1619" s="501" t="s">
        <v>4621</v>
      </c>
      <c r="I1619" s="501">
        <v>513</v>
      </c>
      <c r="J1619" s="501">
        <v>434</v>
      </c>
      <c r="K1619" s="501">
        <v>0</v>
      </c>
      <c r="L1619" s="501">
        <v>8</v>
      </c>
      <c r="M1619" s="501">
        <v>0</v>
      </c>
      <c r="N1619" s="501">
        <v>3</v>
      </c>
      <c r="O1619" s="506">
        <v>71</v>
      </c>
    </row>
    <row r="1620" spans="1:15" x14ac:dyDescent="0.35">
      <c r="A1620" s="503" t="s">
        <v>14243</v>
      </c>
      <c r="B1620" s="504">
        <v>5149</v>
      </c>
      <c r="C1620" s="504" t="s">
        <v>1089</v>
      </c>
      <c r="D1620" s="504" t="s">
        <v>3392</v>
      </c>
      <c r="E1620" s="504" t="s">
        <v>3381</v>
      </c>
      <c r="F1620" s="504" t="s">
        <v>519</v>
      </c>
      <c r="G1620" s="504" t="s">
        <v>520</v>
      </c>
      <c r="H1620" s="504" t="s">
        <v>14558</v>
      </c>
      <c r="I1620" s="504">
        <v>30</v>
      </c>
      <c r="J1620" s="504">
        <v>30</v>
      </c>
      <c r="K1620" s="504">
        <v>0</v>
      </c>
      <c r="L1620" s="504">
        <v>0</v>
      </c>
      <c r="M1620" s="504">
        <v>0</v>
      </c>
      <c r="N1620" s="504">
        <v>0</v>
      </c>
      <c r="O1620" s="505">
        <v>0</v>
      </c>
    </row>
    <row r="1621" spans="1:15" x14ac:dyDescent="0.35">
      <c r="A1621" s="500" t="s">
        <v>1310</v>
      </c>
      <c r="B1621" s="501">
        <v>5062</v>
      </c>
      <c r="C1621" s="501" t="s">
        <v>1089</v>
      </c>
      <c r="D1621" s="501" t="s">
        <v>3380</v>
      </c>
      <c r="E1621" s="501" t="s">
        <v>3381</v>
      </c>
      <c r="F1621" s="501" t="s">
        <v>519</v>
      </c>
      <c r="G1621" s="501" t="s">
        <v>520</v>
      </c>
      <c r="H1621" s="501" t="s">
        <v>14559</v>
      </c>
      <c r="I1621" s="501">
        <v>35</v>
      </c>
      <c r="J1621" s="501">
        <v>0</v>
      </c>
      <c r="K1621" s="501">
        <v>0</v>
      </c>
      <c r="L1621" s="501">
        <v>0</v>
      </c>
      <c r="M1621" s="501">
        <v>0</v>
      </c>
      <c r="N1621" s="501">
        <v>0</v>
      </c>
      <c r="O1621" s="506">
        <v>35</v>
      </c>
    </row>
    <row r="1622" spans="1:15" x14ac:dyDescent="0.35">
      <c r="A1622" s="503" t="s">
        <v>1202</v>
      </c>
      <c r="B1622" s="504" t="s">
        <v>3217</v>
      </c>
      <c r="C1622" s="504" t="s">
        <v>1094</v>
      </c>
      <c r="D1622" s="504" t="s">
        <v>3380</v>
      </c>
      <c r="E1622" s="504" t="s">
        <v>3381</v>
      </c>
      <c r="F1622" s="504" t="s">
        <v>519</v>
      </c>
      <c r="G1622" s="504" t="s">
        <v>520</v>
      </c>
      <c r="H1622" s="504" t="s">
        <v>4622</v>
      </c>
      <c r="I1622" s="504">
        <v>483</v>
      </c>
      <c r="J1622" s="504">
        <v>192</v>
      </c>
      <c r="K1622" s="504">
        <v>0</v>
      </c>
      <c r="L1622" s="504">
        <v>8</v>
      </c>
      <c r="M1622" s="504">
        <v>0</v>
      </c>
      <c r="N1622" s="504">
        <v>0</v>
      </c>
      <c r="O1622" s="505">
        <v>283</v>
      </c>
    </row>
    <row r="1623" spans="1:15" x14ac:dyDescent="0.35">
      <c r="A1623" s="500" t="s">
        <v>1205</v>
      </c>
      <c r="B1623" s="501" t="s">
        <v>2996</v>
      </c>
      <c r="C1623" s="501" t="s">
        <v>1089</v>
      </c>
      <c r="D1623" s="501" t="s">
        <v>3392</v>
      </c>
      <c r="E1623" s="501" t="s">
        <v>3381</v>
      </c>
      <c r="F1623" s="501" t="s">
        <v>519</v>
      </c>
      <c r="G1623" s="501" t="s">
        <v>520</v>
      </c>
      <c r="H1623" s="501" t="s">
        <v>4623</v>
      </c>
      <c r="I1623" s="501">
        <v>43</v>
      </c>
      <c r="J1623" s="501">
        <v>0</v>
      </c>
      <c r="K1623" s="501">
        <v>0</v>
      </c>
      <c r="L1623" s="501">
        <v>0</v>
      </c>
      <c r="M1623" s="501">
        <v>43</v>
      </c>
      <c r="N1623" s="501">
        <v>0</v>
      </c>
      <c r="O1623" s="506">
        <v>0</v>
      </c>
    </row>
    <row r="1624" spans="1:15" x14ac:dyDescent="0.35">
      <c r="A1624" s="503" t="s">
        <v>1112</v>
      </c>
      <c r="B1624" s="504" t="s">
        <v>3008</v>
      </c>
      <c r="C1624" s="504" t="s">
        <v>1094</v>
      </c>
      <c r="D1624" s="504" t="s">
        <v>3380</v>
      </c>
      <c r="E1624" s="504" t="s">
        <v>3381</v>
      </c>
      <c r="F1624" s="504" t="s">
        <v>519</v>
      </c>
      <c r="G1624" s="504" t="s">
        <v>520</v>
      </c>
      <c r="H1624" s="504" t="s">
        <v>4624</v>
      </c>
      <c r="I1624" s="504">
        <v>1</v>
      </c>
      <c r="J1624" s="504">
        <v>0</v>
      </c>
      <c r="K1624" s="504">
        <v>0</v>
      </c>
      <c r="L1624" s="504">
        <v>0</v>
      </c>
      <c r="M1624" s="504">
        <v>0</v>
      </c>
      <c r="N1624" s="504">
        <v>0</v>
      </c>
      <c r="O1624" s="505">
        <v>1</v>
      </c>
    </row>
    <row r="1625" spans="1:15" x14ac:dyDescent="0.35">
      <c r="A1625" s="500" t="s">
        <v>1114</v>
      </c>
      <c r="B1625" s="501" t="s">
        <v>2982</v>
      </c>
      <c r="C1625" s="501" t="s">
        <v>1094</v>
      </c>
      <c r="D1625" s="501" t="s">
        <v>3380</v>
      </c>
      <c r="E1625" s="501" t="s">
        <v>3381</v>
      </c>
      <c r="F1625" s="501" t="s">
        <v>519</v>
      </c>
      <c r="G1625" s="501" t="s">
        <v>520</v>
      </c>
      <c r="H1625" s="501" t="s">
        <v>4625</v>
      </c>
      <c r="I1625" s="501">
        <v>154</v>
      </c>
      <c r="J1625" s="501">
        <v>128</v>
      </c>
      <c r="K1625" s="501">
        <v>0</v>
      </c>
      <c r="L1625" s="501">
        <v>6</v>
      </c>
      <c r="M1625" s="501">
        <v>0</v>
      </c>
      <c r="N1625" s="501">
        <v>0</v>
      </c>
      <c r="O1625" s="506">
        <v>20</v>
      </c>
    </row>
    <row r="1626" spans="1:15" x14ac:dyDescent="0.35">
      <c r="A1626" s="503" t="s">
        <v>1210</v>
      </c>
      <c r="B1626" s="504">
        <v>4781</v>
      </c>
      <c r="C1626" s="504" t="s">
        <v>1089</v>
      </c>
      <c r="D1626" s="504" t="s">
        <v>3392</v>
      </c>
      <c r="E1626" s="504" t="s">
        <v>3381</v>
      </c>
      <c r="F1626" s="504" t="s">
        <v>519</v>
      </c>
      <c r="G1626" s="504" t="s">
        <v>520</v>
      </c>
      <c r="H1626" s="504" t="s">
        <v>4626</v>
      </c>
      <c r="I1626" s="504">
        <v>12</v>
      </c>
      <c r="J1626" s="504">
        <v>0</v>
      </c>
      <c r="K1626" s="504">
        <v>0</v>
      </c>
      <c r="L1626" s="504">
        <v>12</v>
      </c>
      <c r="M1626" s="504">
        <v>0</v>
      </c>
      <c r="N1626" s="504">
        <v>0</v>
      </c>
      <c r="O1626" s="505">
        <v>0</v>
      </c>
    </row>
    <row r="1627" spans="1:15" x14ac:dyDescent="0.35">
      <c r="A1627" s="500" t="s">
        <v>14400</v>
      </c>
      <c r="B1627" s="501">
        <v>4727</v>
      </c>
      <c r="C1627" s="501" t="s">
        <v>1089</v>
      </c>
      <c r="D1627" s="501" t="s">
        <v>3392</v>
      </c>
      <c r="E1627" s="501" t="s">
        <v>3381</v>
      </c>
      <c r="F1627" s="501" t="s">
        <v>519</v>
      </c>
      <c r="G1627" s="501" t="s">
        <v>520</v>
      </c>
      <c r="H1627" s="501" t="s">
        <v>14560</v>
      </c>
      <c r="I1627" s="501">
        <v>9</v>
      </c>
      <c r="J1627" s="501">
        <v>0</v>
      </c>
      <c r="K1627" s="501">
        <v>0</v>
      </c>
      <c r="L1627" s="501">
        <v>9</v>
      </c>
      <c r="M1627" s="501">
        <v>0</v>
      </c>
      <c r="N1627" s="501">
        <v>0</v>
      </c>
      <c r="O1627" s="506">
        <v>0</v>
      </c>
    </row>
    <row r="1628" spans="1:15" x14ac:dyDescent="0.35">
      <c r="A1628" s="503" t="s">
        <v>1319</v>
      </c>
      <c r="B1628" s="504">
        <v>4880</v>
      </c>
      <c r="C1628" s="504" t="s">
        <v>1094</v>
      </c>
      <c r="D1628" s="504" t="s">
        <v>3380</v>
      </c>
      <c r="E1628" s="504" t="s">
        <v>3381</v>
      </c>
      <c r="F1628" s="504" t="s">
        <v>519</v>
      </c>
      <c r="G1628" s="504" t="s">
        <v>520</v>
      </c>
      <c r="H1628" s="504" t="s">
        <v>4627</v>
      </c>
      <c r="I1628" s="504">
        <v>503</v>
      </c>
      <c r="J1628" s="504">
        <v>193</v>
      </c>
      <c r="K1628" s="504">
        <v>0</v>
      </c>
      <c r="L1628" s="504">
        <v>137</v>
      </c>
      <c r="M1628" s="504">
        <v>86</v>
      </c>
      <c r="N1628" s="504">
        <v>1</v>
      </c>
      <c r="O1628" s="505">
        <v>87</v>
      </c>
    </row>
    <row r="1629" spans="1:15" x14ac:dyDescent="0.35">
      <c r="A1629" s="500" t="s">
        <v>1120</v>
      </c>
      <c r="B1629" s="501" t="s">
        <v>3362</v>
      </c>
      <c r="C1629" s="501" t="s">
        <v>1094</v>
      </c>
      <c r="D1629" s="501" t="s">
        <v>3380</v>
      </c>
      <c r="E1629" s="501" t="s">
        <v>3381</v>
      </c>
      <c r="F1629" s="501" t="s">
        <v>519</v>
      </c>
      <c r="G1629" s="501" t="s">
        <v>520</v>
      </c>
      <c r="H1629" s="501" t="s">
        <v>4628</v>
      </c>
      <c r="I1629" s="501">
        <v>33</v>
      </c>
      <c r="J1629" s="501">
        <v>0</v>
      </c>
      <c r="K1629" s="501">
        <v>0</v>
      </c>
      <c r="L1629" s="501">
        <v>0</v>
      </c>
      <c r="M1629" s="501">
        <v>0</v>
      </c>
      <c r="N1629" s="501">
        <v>0</v>
      </c>
      <c r="O1629" s="506">
        <v>33</v>
      </c>
    </row>
    <row r="1630" spans="1:15" x14ac:dyDescent="0.35">
      <c r="A1630" s="503" t="s">
        <v>1218</v>
      </c>
      <c r="B1630" s="504" t="s">
        <v>3147</v>
      </c>
      <c r="C1630" s="504" t="s">
        <v>1094</v>
      </c>
      <c r="D1630" s="504" t="s">
        <v>3380</v>
      </c>
      <c r="E1630" s="504" t="s">
        <v>3381</v>
      </c>
      <c r="F1630" s="504" t="s">
        <v>519</v>
      </c>
      <c r="G1630" s="504" t="s">
        <v>520</v>
      </c>
      <c r="H1630" s="504" t="s">
        <v>14561</v>
      </c>
      <c r="I1630" s="504">
        <v>9</v>
      </c>
      <c r="J1630" s="504">
        <v>0</v>
      </c>
      <c r="K1630" s="504">
        <v>0</v>
      </c>
      <c r="L1630" s="504">
        <v>0</v>
      </c>
      <c r="M1630" s="504">
        <v>0</v>
      </c>
      <c r="N1630" s="504">
        <v>0</v>
      </c>
      <c r="O1630" s="505">
        <v>9</v>
      </c>
    </row>
    <row r="1631" spans="1:15" x14ac:dyDescent="0.35">
      <c r="A1631" s="500" t="s">
        <v>1325</v>
      </c>
      <c r="B1631" s="501" t="s">
        <v>3011</v>
      </c>
      <c r="C1631" s="501" t="s">
        <v>1094</v>
      </c>
      <c r="D1631" s="501" t="s">
        <v>3380</v>
      </c>
      <c r="E1631" s="501" t="s">
        <v>3381</v>
      </c>
      <c r="F1631" s="501" t="s">
        <v>519</v>
      </c>
      <c r="G1631" s="501" t="s">
        <v>520</v>
      </c>
      <c r="H1631" s="501" t="s">
        <v>4629</v>
      </c>
      <c r="I1631" s="501">
        <v>66</v>
      </c>
      <c r="J1631" s="501">
        <v>9</v>
      </c>
      <c r="K1631" s="501">
        <v>0</v>
      </c>
      <c r="L1631" s="501">
        <v>0</v>
      </c>
      <c r="M1631" s="501">
        <v>57</v>
      </c>
      <c r="N1631" s="501">
        <v>0</v>
      </c>
      <c r="O1631" s="506">
        <v>0</v>
      </c>
    </row>
    <row r="1632" spans="1:15" x14ac:dyDescent="0.35">
      <c r="A1632" s="503" t="s">
        <v>1332</v>
      </c>
      <c r="B1632" s="504">
        <v>4878</v>
      </c>
      <c r="C1632" s="504" t="s">
        <v>1094</v>
      </c>
      <c r="D1632" s="504" t="s">
        <v>3380</v>
      </c>
      <c r="E1632" s="504" t="s">
        <v>3381</v>
      </c>
      <c r="F1632" s="504" t="s">
        <v>519</v>
      </c>
      <c r="G1632" s="504" t="s">
        <v>520</v>
      </c>
      <c r="H1632" s="504" t="s">
        <v>14562</v>
      </c>
      <c r="I1632" s="504">
        <v>11</v>
      </c>
      <c r="J1632" s="504">
        <v>5</v>
      </c>
      <c r="K1632" s="504">
        <v>0</v>
      </c>
      <c r="L1632" s="504">
        <v>6</v>
      </c>
      <c r="M1632" s="504">
        <v>0</v>
      </c>
      <c r="N1632" s="504">
        <v>0</v>
      </c>
      <c r="O1632" s="505">
        <v>0</v>
      </c>
    </row>
    <row r="1633" spans="1:15" x14ac:dyDescent="0.35">
      <c r="A1633" s="500" t="s">
        <v>1122</v>
      </c>
      <c r="B1633" s="501" t="s">
        <v>2994</v>
      </c>
      <c r="C1633" s="501" t="s">
        <v>1094</v>
      </c>
      <c r="D1633" s="501" t="s">
        <v>3380</v>
      </c>
      <c r="E1633" s="501" t="s">
        <v>3381</v>
      </c>
      <c r="F1633" s="501" t="s">
        <v>519</v>
      </c>
      <c r="G1633" s="501" t="s">
        <v>520</v>
      </c>
      <c r="H1633" s="501" t="s">
        <v>4630</v>
      </c>
      <c r="I1633" s="501">
        <v>15</v>
      </c>
      <c r="J1633" s="501">
        <v>15</v>
      </c>
      <c r="K1633" s="501">
        <v>0</v>
      </c>
      <c r="L1633" s="501">
        <v>0</v>
      </c>
      <c r="M1633" s="501">
        <v>0</v>
      </c>
      <c r="N1633" s="501">
        <v>0</v>
      </c>
      <c r="O1633" s="506">
        <v>0</v>
      </c>
    </row>
    <row r="1634" spans="1:15" x14ac:dyDescent="0.35">
      <c r="A1634" s="503" t="s">
        <v>1339</v>
      </c>
      <c r="B1634" s="504" t="s">
        <v>3358</v>
      </c>
      <c r="C1634" s="504" t="s">
        <v>1094</v>
      </c>
      <c r="D1634" s="504" t="s">
        <v>3380</v>
      </c>
      <c r="E1634" s="504" t="s">
        <v>3381</v>
      </c>
      <c r="F1634" s="504" t="s">
        <v>519</v>
      </c>
      <c r="G1634" s="504" t="s">
        <v>520</v>
      </c>
      <c r="H1634" s="504" t="s">
        <v>4631</v>
      </c>
      <c r="I1634" s="504">
        <v>6</v>
      </c>
      <c r="J1634" s="504">
        <v>0</v>
      </c>
      <c r="K1634" s="504">
        <v>0</v>
      </c>
      <c r="L1634" s="504">
        <v>4</v>
      </c>
      <c r="M1634" s="504">
        <v>0</v>
      </c>
      <c r="N1634" s="504">
        <v>0</v>
      </c>
      <c r="O1634" s="505">
        <v>2</v>
      </c>
    </row>
    <row r="1635" spans="1:15" x14ac:dyDescent="0.35">
      <c r="A1635" s="500" t="s">
        <v>1233</v>
      </c>
      <c r="B1635" s="501">
        <v>4636</v>
      </c>
      <c r="C1635" s="501" t="s">
        <v>1094</v>
      </c>
      <c r="D1635" s="501" t="s">
        <v>3380</v>
      </c>
      <c r="E1635" s="501" t="s">
        <v>3381</v>
      </c>
      <c r="F1635" s="501" t="s">
        <v>519</v>
      </c>
      <c r="G1635" s="501" t="s">
        <v>520</v>
      </c>
      <c r="H1635" s="501" t="s">
        <v>12009</v>
      </c>
      <c r="I1635" s="501">
        <v>48</v>
      </c>
      <c r="J1635" s="501">
        <v>25</v>
      </c>
      <c r="K1635" s="501">
        <v>0</v>
      </c>
      <c r="L1635" s="501">
        <v>0</v>
      </c>
      <c r="M1635" s="501">
        <v>0</v>
      </c>
      <c r="N1635" s="501">
        <v>0</v>
      </c>
      <c r="O1635" s="506">
        <v>23</v>
      </c>
    </row>
    <row r="1636" spans="1:15" x14ac:dyDescent="0.35">
      <c r="A1636" s="503" t="s">
        <v>11368</v>
      </c>
      <c r="B1636" s="504">
        <v>5083</v>
      </c>
      <c r="C1636" s="504" t="s">
        <v>1094</v>
      </c>
      <c r="D1636" s="504" t="s">
        <v>3380</v>
      </c>
      <c r="E1636" s="504" t="s">
        <v>3381</v>
      </c>
      <c r="F1636" s="504" t="s">
        <v>519</v>
      </c>
      <c r="G1636" s="504" t="s">
        <v>520</v>
      </c>
      <c r="H1636" s="504" t="s">
        <v>14563</v>
      </c>
      <c r="I1636" s="504">
        <v>22</v>
      </c>
      <c r="J1636" s="504">
        <v>22</v>
      </c>
      <c r="K1636" s="504">
        <v>0</v>
      </c>
      <c r="L1636" s="504">
        <v>0</v>
      </c>
      <c r="M1636" s="504">
        <v>0</v>
      </c>
      <c r="N1636" s="504">
        <v>0</v>
      </c>
      <c r="O1636" s="505">
        <v>0</v>
      </c>
    </row>
    <row r="1637" spans="1:15" x14ac:dyDescent="0.35">
      <c r="A1637" s="500" t="s">
        <v>1126</v>
      </c>
      <c r="B1637" s="501" t="s">
        <v>2974</v>
      </c>
      <c r="C1637" s="501" t="s">
        <v>1094</v>
      </c>
      <c r="D1637" s="501" t="s">
        <v>3380</v>
      </c>
      <c r="E1637" s="501" t="s">
        <v>3381</v>
      </c>
      <c r="F1637" s="501" t="s">
        <v>519</v>
      </c>
      <c r="G1637" s="501" t="s">
        <v>520</v>
      </c>
      <c r="H1637" s="501" t="s">
        <v>4632</v>
      </c>
      <c r="I1637" s="501">
        <v>316</v>
      </c>
      <c r="J1637" s="501">
        <v>213</v>
      </c>
      <c r="K1637" s="501">
        <v>0</v>
      </c>
      <c r="L1637" s="501">
        <v>65</v>
      </c>
      <c r="M1637" s="501">
        <v>26</v>
      </c>
      <c r="N1637" s="501">
        <v>1</v>
      </c>
      <c r="O1637" s="506">
        <v>12</v>
      </c>
    </row>
    <row r="1638" spans="1:15" x14ac:dyDescent="0.35">
      <c r="A1638" s="503" t="s">
        <v>1346</v>
      </c>
      <c r="B1638" s="504" t="s">
        <v>3150</v>
      </c>
      <c r="C1638" s="504" t="s">
        <v>1094</v>
      </c>
      <c r="D1638" s="504" t="s">
        <v>3380</v>
      </c>
      <c r="E1638" s="504" t="s">
        <v>3381</v>
      </c>
      <c r="F1638" s="504" t="s">
        <v>519</v>
      </c>
      <c r="G1638" s="504" t="s">
        <v>520</v>
      </c>
      <c r="H1638" s="504" t="s">
        <v>4633</v>
      </c>
      <c r="I1638" s="504">
        <v>716</v>
      </c>
      <c r="J1638" s="504">
        <v>423</v>
      </c>
      <c r="K1638" s="504">
        <v>250</v>
      </c>
      <c r="L1638" s="504">
        <v>36</v>
      </c>
      <c r="M1638" s="504">
        <v>0</v>
      </c>
      <c r="N1638" s="504">
        <v>2</v>
      </c>
      <c r="O1638" s="505">
        <v>7</v>
      </c>
    </row>
    <row r="1639" spans="1:15" x14ac:dyDescent="0.35">
      <c r="A1639" s="500" t="s">
        <v>1249</v>
      </c>
      <c r="B1639" s="501">
        <v>4729</v>
      </c>
      <c r="C1639" s="501" t="s">
        <v>1094</v>
      </c>
      <c r="D1639" s="501" t="s">
        <v>3380</v>
      </c>
      <c r="E1639" s="501" t="s">
        <v>3381</v>
      </c>
      <c r="F1639" s="501" t="s">
        <v>519</v>
      </c>
      <c r="G1639" s="501" t="s">
        <v>520</v>
      </c>
      <c r="H1639" s="501" t="s">
        <v>4634</v>
      </c>
      <c r="I1639" s="501">
        <v>494</v>
      </c>
      <c r="J1639" s="501">
        <v>490</v>
      </c>
      <c r="K1639" s="501">
        <v>0</v>
      </c>
      <c r="L1639" s="501">
        <v>0</v>
      </c>
      <c r="M1639" s="501">
        <v>0</v>
      </c>
      <c r="N1639" s="501">
        <v>0</v>
      </c>
      <c r="O1639" s="506">
        <v>4</v>
      </c>
    </row>
    <row r="1640" spans="1:15" x14ac:dyDescent="0.35">
      <c r="A1640" s="503" t="s">
        <v>1363</v>
      </c>
      <c r="B1640" s="504" t="s">
        <v>2612</v>
      </c>
      <c r="C1640" s="504" t="s">
        <v>1089</v>
      </c>
      <c r="D1640" s="504" t="s">
        <v>3392</v>
      </c>
      <c r="E1640" s="504" t="s">
        <v>3381</v>
      </c>
      <c r="F1640" s="504" t="s">
        <v>519</v>
      </c>
      <c r="G1640" s="504" t="s">
        <v>520</v>
      </c>
      <c r="H1640" s="504" t="s">
        <v>4635</v>
      </c>
      <c r="I1640" s="504">
        <v>41</v>
      </c>
      <c r="J1640" s="504">
        <v>0</v>
      </c>
      <c r="K1640" s="504">
        <v>0</v>
      </c>
      <c r="L1640" s="504">
        <v>0</v>
      </c>
      <c r="M1640" s="504">
        <v>41</v>
      </c>
      <c r="N1640" s="504">
        <v>0</v>
      </c>
      <c r="O1640" s="505">
        <v>0</v>
      </c>
    </row>
    <row r="1641" spans="1:15" x14ac:dyDescent="0.35">
      <c r="A1641" s="500" t="s">
        <v>1093</v>
      </c>
      <c r="B1641" s="501" t="s">
        <v>3248</v>
      </c>
      <c r="C1641" s="501" t="s">
        <v>1094</v>
      </c>
      <c r="D1641" s="501" t="s">
        <v>3380</v>
      </c>
      <c r="E1641" s="501" t="s">
        <v>3381</v>
      </c>
      <c r="F1641" s="501" t="s">
        <v>521</v>
      </c>
      <c r="G1641" s="501" t="s">
        <v>522</v>
      </c>
      <c r="H1641" s="501" t="s">
        <v>4636</v>
      </c>
      <c r="I1641" s="501">
        <v>39</v>
      </c>
      <c r="J1641" s="501">
        <v>0</v>
      </c>
      <c r="K1641" s="501">
        <v>0</v>
      </c>
      <c r="L1641" s="501">
        <v>39</v>
      </c>
      <c r="M1641" s="501">
        <v>0</v>
      </c>
      <c r="N1641" s="501">
        <v>0</v>
      </c>
      <c r="O1641" s="506">
        <v>0</v>
      </c>
    </row>
    <row r="1642" spans="1:15" x14ac:dyDescent="0.35">
      <c r="A1642" s="503" t="s">
        <v>1096</v>
      </c>
      <c r="B1642" s="504" t="s">
        <v>3326</v>
      </c>
      <c r="C1642" s="504" t="s">
        <v>1094</v>
      </c>
      <c r="D1642" s="504" t="s">
        <v>3380</v>
      </c>
      <c r="E1642" s="504" t="s">
        <v>3381</v>
      </c>
      <c r="F1642" s="504" t="s">
        <v>521</v>
      </c>
      <c r="G1642" s="504" t="s">
        <v>522</v>
      </c>
      <c r="H1642" s="504" t="s">
        <v>4637</v>
      </c>
      <c r="I1642" s="504">
        <v>106</v>
      </c>
      <c r="J1642" s="504">
        <v>0</v>
      </c>
      <c r="K1642" s="504">
        <v>0</v>
      </c>
      <c r="L1642" s="504">
        <v>0</v>
      </c>
      <c r="M1642" s="504">
        <v>56</v>
      </c>
      <c r="N1642" s="504">
        <v>0</v>
      </c>
      <c r="O1642" s="505">
        <v>50</v>
      </c>
    </row>
    <row r="1643" spans="1:15" x14ac:dyDescent="0.35">
      <c r="A1643" s="500" t="s">
        <v>11363</v>
      </c>
      <c r="B1643" s="501">
        <v>4718</v>
      </c>
      <c r="C1643" s="501" t="s">
        <v>1094</v>
      </c>
      <c r="D1643" s="501" t="s">
        <v>3380</v>
      </c>
      <c r="E1643" s="501" t="s">
        <v>3381</v>
      </c>
      <c r="F1643" s="501" t="s">
        <v>521</v>
      </c>
      <c r="G1643" s="501" t="s">
        <v>522</v>
      </c>
      <c r="H1643" s="501" t="s">
        <v>11524</v>
      </c>
      <c r="I1643" s="501">
        <v>1</v>
      </c>
      <c r="J1643" s="501">
        <v>0</v>
      </c>
      <c r="K1643" s="501">
        <v>0</v>
      </c>
      <c r="L1643" s="501">
        <v>1</v>
      </c>
      <c r="M1643" s="501">
        <v>0</v>
      </c>
      <c r="N1643" s="501">
        <v>0</v>
      </c>
      <c r="O1643" s="506">
        <v>0</v>
      </c>
    </row>
    <row r="1644" spans="1:15" x14ac:dyDescent="0.35">
      <c r="A1644" s="503" t="s">
        <v>1158</v>
      </c>
      <c r="B1644" s="504">
        <v>4819</v>
      </c>
      <c r="C1644" s="504" t="s">
        <v>1094</v>
      </c>
      <c r="D1644" s="504" t="s">
        <v>3380</v>
      </c>
      <c r="E1644" s="504" t="s">
        <v>3381</v>
      </c>
      <c r="F1644" s="504" t="s">
        <v>521</v>
      </c>
      <c r="G1644" s="504" t="s">
        <v>522</v>
      </c>
      <c r="H1644" s="504" t="s">
        <v>4638</v>
      </c>
      <c r="I1644" s="504">
        <v>751</v>
      </c>
      <c r="J1644" s="504">
        <v>605</v>
      </c>
      <c r="K1644" s="504">
        <v>0</v>
      </c>
      <c r="L1644" s="504">
        <v>53</v>
      </c>
      <c r="M1644" s="504">
        <v>28</v>
      </c>
      <c r="N1644" s="504">
        <v>0</v>
      </c>
      <c r="O1644" s="505">
        <v>65</v>
      </c>
    </row>
    <row r="1645" spans="1:15" x14ac:dyDescent="0.35">
      <c r="A1645" s="500" t="s">
        <v>14161</v>
      </c>
      <c r="B1645" s="501" t="s">
        <v>2463</v>
      </c>
      <c r="C1645" s="501" t="s">
        <v>1089</v>
      </c>
      <c r="D1645" s="501" t="s">
        <v>3392</v>
      </c>
      <c r="E1645" s="501" t="s">
        <v>3381</v>
      </c>
      <c r="F1645" s="501" t="s">
        <v>521</v>
      </c>
      <c r="G1645" s="501" t="s">
        <v>522</v>
      </c>
      <c r="H1645" s="501" t="s">
        <v>14564</v>
      </c>
      <c r="I1645" s="501">
        <v>26</v>
      </c>
      <c r="J1645" s="501">
        <v>26</v>
      </c>
      <c r="K1645" s="501">
        <v>0</v>
      </c>
      <c r="L1645" s="501">
        <v>0</v>
      </c>
      <c r="M1645" s="501">
        <v>0</v>
      </c>
      <c r="N1645" s="501">
        <v>0</v>
      </c>
      <c r="O1645" s="506">
        <v>0</v>
      </c>
    </row>
    <row r="1646" spans="1:15" x14ac:dyDescent="0.35">
      <c r="A1646" s="503" t="s">
        <v>1957</v>
      </c>
      <c r="B1646" s="504">
        <v>4572</v>
      </c>
      <c r="C1646" s="504" t="s">
        <v>1089</v>
      </c>
      <c r="D1646" s="504" t="s">
        <v>3392</v>
      </c>
      <c r="E1646" s="504" t="s">
        <v>3381</v>
      </c>
      <c r="F1646" s="504" t="s">
        <v>521</v>
      </c>
      <c r="G1646" s="504" t="s">
        <v>522</v>
      </c>
      <c r="H1646" s="504" t="s">
        <v>4639</v>
      </c>
      <c r="I1646" s="504">
        <v>95</v>
      </c>
      <c r="J1646" s="504">
        <v>95</v>
      </c>
      <c r="K1646" s="504">
        <v>0</v>
      </c>
      <c r="L1646" s="504">
        <v>0</v>
      </c>
      <c r="M1646" s="504">
        <v>0</v>
      </c>
      <c r="N1646" s="504">
        <v>0</v>
      </c>
      <c r="O1646" s="505">
        <v>0</v>
      </c>
    </row>
    <row r="1647" spans="1:15" x14ac:dyDescent="0.35">
      <c r="A1647" s="500" t="s">
        <v>1958</v>
      </c>
      <c r="B1647" s="501" t="s">
        <v>2941</v>
      </c>
      <c r="C1647" s="501" t="s">
        <v>1089</v>
      </c>
      <c r="D1647" s="501" t="s">
        <v>3392</v>
      </c>
      <c r="E1647" s="501" t="s">
        <v>3381</v>
      </c>
      <c r="F1647" s="501" t="s">
        <v>521</v>
      </c>
      <c r="G1647" s="501" t="s">
        <v>522</v>
      </c>
      <c r="H1647" s="501" t="s">
        <v>4640</v>
      </c>
      <c r="I1647" s="501">
        <v>104</v>
      </c>
      <c r="J1647" s="501">
        <v>31</v>
      </c>
      <c r="K1647" s="501">
        <v>0</v>
      </c>
      <c r="L1647" s="501">
        <v>73</v>
      </c>
      <c r="M1647" s="501">
        <v>0</v>
      </c>
      <c r="N1647" s="501">
        <v>0</v>
      </c>
      <c r="O1647" s="506">
        <v>0</v>
      </c>
    </row>
    <row r="1648" spans="1:15" x14ac:dyDescent="0.35">
      <c r="A1648" s="503" t="s">
        <v>1819</v>
      </c>
      <c r="B1648" s="504" t="s">
        <v>3175</v>
      </c>
      <c r="C1648" s="504" t="s">
        <v>1094</v>
      </c>
      <c r="D1648" s="504" t="s">
        <v>3380</v>
      </c>
      <c r="E1648" s="504" t="s">
        <v>3381</v>
      </c>
      <c r="F1648" s="504" t="s">
        <v>521</v>
      </c>
      <c r="G1648" s="504" t="s">
        <v>522</v>
      </c>
      <c r="H1648" s="504" t="s">
        <v>4641</v>
      </c>
      <c r="I1648" s="504">
        <v>184</v>
      </c>
      <c r="J1648" s="504">
        <v>139</v>
      </c>
      <c r="K1648" s="504">
        <v>0</v>
      </c>
      <c r="L1648" s="504">
        <v>0</v>
      </c>
      <c r="M1648" s="504">
        <v>0</v>
      </c>
      <c r="N1648" s="504">
        <v>0</v>
      </c>
      <c r="O1648" s="505">
        <v>45</v>
      </c>
    </row>
    <row r="1649" spans="1:15" x14ac:dyDescent="0.35">
      <c r="A1649" s="500" t="s">
        <v>1975</v>
      </c>
      <c r="B1649" s="501" t="s">
        <v>3268</v>
      </c>
      <c r="C1649" s="501" t="s">
        <v>1089</v>
      </c>
      <c r="D1649" s="501" t="s">
        <v>3392</v>
      </c>
      <c r="E1649" s="501" t="s">
        <v>3381</v>
      </c>
      <c r="F1649" s="501" t="s">
        <v>521</v>
      </c>
      <c r="G1649" s="501" t="s">
        <v>522</v>
      </c>
      <c r="H1649" s="501" t="s">
        <v>4642</v>
      </c>
      <c r="I1649" s="501">
        <v>5</v>
      </c>
      <c r="J1649" s="501">
        <v>5</v>
      </c>
      <c r="K1649" s="501">
        <v>0</v>
      </c>
      <c r="L1649" s="501">
        <v>0</v>
      </c>
      <c r="M1649" s="501">
        <v>0</v>
      </c>
      <c r="N1649" s="501">
        <v>0</v>
      </c>
      <c r="O1649" s="506">
        <v>0</v>
      </c>
    </row>
    <row r="1650" spans="1:15" x14ac:dyDescent="0.35">
      <c r="A1650" s="503" t="s">
        <v>1177</v>
      </c>
      <c r="B1650" s="504">
        <v>4702</v>
      </c>
      <c r="C1650" s="504" t="s">
        <v>1089</v>
      </c>
      <c r="D1650" s="504" t="s">
        <v>3392</v>
      </c>
      <c r="E1650" s="504" t="s">
        <v>3381</v>
      </c>
      <c r="F1650" s="504" t="s">
        <v>521</v>
      </c>
      <c r="G1650" s="504" t="s">
        <v>522</v>
      </c>
      <c r="H1650" s="504" t="s">
        <v>4643</v>
      </c>
      <c r="I1650" s="504">
        <v>1</v>
      </c>
      <c r="J1650" s="504">
        <v>0</v>
      </c>
      <c r="K1650" s="504">
        <v>0</v>
      </c>
      <c r="L1650" s="504">
        <v>1</v>
      </c>
      <c r="M1650" s="504">
        <v>0</v>
      </c>
      <c r="N1650" s="504">
        <v>0</v>
      </c>
      <c r="O1650" s="505">
        <v>0</v>
      </c>
    </row>
    <row r="1651" spans="1:15" x14ac:dyDescent="0.35">
      <c r="A1651" s="500" t="s">
        <v>1983</v>
      </c>
      <c r="B1651" s="501">
        <v>4584</v>
      </c>
      <c r="C1651" s="501" t="s">
        <v>1094</v>
      </c>
      <c r="D1651" s="501" t="s">
        <v>3380</v>
      </c>
      <c r="E1651" s="501" t="s">
        <v>3381</v>
      </c>
      <c r="F1651" s="501" t="s">
        <v>521</v>
      </c>
      <c r="G1651" s="501" t="s">
        <v>522</v>
      </c>
      <c r="H1651" s="501" t="s">
        <v>4644</v>
      </c>
      <c r="I1651" s="501">
        <v>16</v>
      </c>
      <c r="J1651" s="501">
        <v>12</v>
      </c>
      <c r="K1651" s="501">
        <v>0</v>
      </c>
      <c r="L1651" s="501">
        <v>0</v>
      </c>
      <c r="M1651" s="501">
        <v>0</v>
      </c>
      <c r="N1651" s="501">
        <v>0</v>
      </c>
      <c r="O1651" s="506">
        <v>4</v>
      </c>
    </row>
    <row r="1652" spans="1:15" x14ac:dyDescent="0.35">
      <c r="A1652" s="503" t="s">
        <v>14213</v>
      </c>
      <c r="B1652" s="504" t="s">
        <v>3312</v>
      </c>
      <c r="C1652" s="504" t="s">
        <v>1094</v>
      </c>
      <c r="D1652" s="504" t="s">
        <v>3380</v>
      </c>
      <c r="E1652" s="504" t="s">
        <v>3381</v>
      </c>
      <c r="F1652" s="504" t="s">
        <v>521</v>
      </c>
      <c r="G1652" s="504" t="s">
        <v>522</v>
      </c>
      <c r="H1652" s="504" t="s">
        <v>14565</v>
      </c>
      <c r="I1652" s="504">
        <v>3</v>
      </c>
      <c r="J1652" s="504">
        <v>1</v>
      </c>
      <c r="K1652" s="504">
        <v>0</v>
      </c>
      <c r="L1652" s="504">
        <v>2</v>
      </c>
      <c r="M1652" s="504">
        <v>0</v>
      </c>
      <c r="N1652" s="504">
        <v>0</v>
      </c>
      <c r="O1652" s="505">
        <v>0</v>
      </c>
    </row>
    <row r="1653" spans="1:15" x14ac:dyDescent="0.35">
      <c r="A1653" s="500" t="s">
        <v>1105</v>
      </c>
      <c r="B1653" s="501">
        <v>4668</v>
      </c>
      <c r="C1653" s="501" t="s">
        <v>1094</v>
      </c>
      <c r="D1653" s="501" t="s">
        <v>3380</v>
      </c>
      <c r="E1653" s="501" t="s">
        <v>3381</v>
      </c>
      <c r="F1653" s="501" t="s">
        <v>521</v>
      </c>
      <c r="G1653" s="501" t="s">
        <v>522</v>
      </c>
      <c r="H1653" s="501" t="s">
        <v>4645</v>
      </c>
      <c r="I1653" s="501">
        <v>8</v>
      </c>
      <c r="J1653" s="501">
        <v>0</v>
      </c>
      <c r="K1653" s="501">
        <v>0</v>
      </c>
      <c r="L1653" s="501">
        <v>0</v>
      </c>
      <c r="M1653" s="501">
        <v>0</v>
      </c>
      <c r="N1653" s="501">
        <v>0</v>
      </c>
      <c r="O1653" s="506">
        <v>8</v>
      </c>
    </row>
    <row r="1654" spans="1:15" x14ac:dyDescent="0.35">
      <c r="A1654" s="503" t="s">
        <v>1188</v>
      </c>
      <c r="B1654" s="504">
        <v>4760</v>
      </c>
      <c r="C1654" s="504" t="s">
        <v>1089</v>
      </c>
      <c r="D1654" s="504" t="s">
        <v>3392</v>
      </c>
      <c r="E1654" s="504" t="s">
        <v>3381</v>
      </c>
      <c r="F1654" s="504" t="s">
        <v>521</v>
      </c>
      <c r="G1654" s="504" t="s">
        <v>522</v>
      </c>
      <c r="H1654" s="504" t="s">
        <v>4646</v>
      </c>
      <c r="I1654" s="504">
        <v>40</v>
      </c>
      <c r="J1654" s="504">
        <v>0</v>
      </c>
      <c r="K1654" s="504">
        <v>0</v>
      </c>
      <c r="L1654" s="504">
        <v>40</v>
      </c>
      <c r="M1654" s="504">
        <v>0</v>
      </c>
      <c r="N1654" s="504">
        <v>0</v>
      </c>
      <c r="O1654" s="505">
        <v>0</v>
      </c>
    </row>
    <row r="1655" spans="1:15" x14ac:dyDescent="0.35">
      <c r="A1655" s="500" t="s">
        <v>1107</v>
      </c>
      <c r="B1655" s="501" t="s">
        <v>3109</v>
      </c>
      <c r="C1655" s="501" t="s">
        <v>1094</v>
      </c>
      <c r="D1655" s="501" t="s">
        <v>3380</v>
      </c>
      <c r="E1655" s="501" t="s">
        <v>3381</v>
      </c>
      <c r="F1655" s="501" t="s">
        <v>521</v>
      </c>
      <c r="G1655" s="501" t="s">
        <v>522</v>
      </c>
      <c r="H1655" s="501" t="s">
        <v>4647</v>
      </c>
      <c r="I1655" s="501">
        <v>186</v>
      </c>
      <c r="J1655" s="501">
        <v>0</v>
      </c>
      <c r="K1655" s="501">
        <v>0</v>
      </c>
      <c r="L1655" s="501">
        <v>159</v>
      </c>
      <c r="M1655" s="501">
        <v>0</v>
      </c>
      <c r="N1655" s="501">
        <v>0</v>
      </c>
      <c r="O1655" s="506">
        <v>27</v>
      </c>
    </row>
    <row r="1656" spans="1:15" x14ac:dyDescent="0.35">
      <c r="A1656" s="503" t="s">
        <v>1109</v>
      </c>
      <c r="B1656" s="504" t="s">
        <v>2959</v>
      </c>
      <c r="C1656" s="504" t="s">
        <v>1094</v>
      </c>
      <c r="D1656" s="504" t="s">
        <v>3380</v>
      </c>
      <c r="E1656" s="504" t="s">
        <v>3381</v>
      </c>
      <c r="F1656" s="504" t="s">
        <v>521</v>
      </c>
      <c r="G1656" s="504" t="s">
        <v>522</v>
      </c>
      <c r="H1656" s="504" t="s">
        <v>4648</v>
      </c>
      <c r="I1656" s="504">
        <v>33</v>
      </c>
      <c r="J1656" s="504">
        <v>0</v>
      </c>
      <c r="K1656" s="504">
        <v>0</v>
      </c>
      <c r="L1656" s="504">
        <v>0</v>
      </c>
      <c r="M1656" s="504">
        <v>33</v>
      </c>
      <c r="N1656" s="504">
        <v>0</v>
      </c>
      <c r="O1656" s="505">
        <v>0</v>
      </c>
    </row>
    <row r="1657" spans="1:15" x14ac:dyDescent="0.35">
      <c r="A1657" s="500" t="s">
        <v>1111</v>
      </c>
      <c r="B1657" s="501">
        <v>4873</v>
      </c>
      <c r="C1657" s="501" t="s">
        <v>1094</v>
      </c>
      <c r="D1657" s="501" t="s">
        <v>3380</v>
      </c>
      <c r="E1657" s="501" t="s">
        <v>3381</v>
      </c>
      <c r="F1657" s="501" t="s">
        <v>521</v>
      </c>
      <c r="G1657" s="501" t="s">
        <v>522</v>
      </c>
      <c r="H1657" s="501" t="s">
        <v>4649</v>
      </c>
      <c r="I1657" s="501">
        <v>58</v>
      </c>
      <c r="J1657" s="501">
        <v>36</v>
      </c>
      <c r="K1657" s="501">
        <v>0</v>
      </c>
      <c r="L1657" s="501">
        <v>6</v>
      </c>
      <c r="M1657" s="501">
        <v>0</v>
      </c>
      <c r="N1657" s="501">
        <v>0</v>
      </c>
      <c r="O1657" s="506">
        <v>16</v>
      </c>
    </row>
    <row r="1658" spans="1:15" x14ac:dyDescent="0.35">
      <c r="A1658" s="503" t="s">
        <v>1994</v>
      </c>
      <c r="B1658" s="504" t="s">
        <v>3206</v>
      </c>
      <c r="C1658" s="504" t="s">
        <v>1094</v>
      </c>
      <c r="D1658" s="504" t="s">
        <v>3380</v>
      </c>
      <c r="E1658" s="504" t="s">
        <v>3381</v>
      </c>
      <c r="F1658" s="504" t="s">
        <v>521</v>
      </c>
      <c r="G1658" s="504" t="s">
        <v>522</v>
      </c>
      <c r="H1658" s="504" t="s">
        <v>4650</v>
      </c>
      <c r="I1658" s="504">
        <v>5</v>
      </c>
      <c r="J1658" s="504">
        <v>4</v>
      </c>
      <c r="K1658" s="504">
        <v>0</v>
      </c>
      <c r="L1658" s="504">
        <v>0</v>
      </c>
      <c r="M1658" s="504">
        <v>0</v>
      </c>
      <c r="N1658" s="504">
        <v>0</v>
      </c>
      <c r="O1658" s="505">
        <v>1</v>
      </c>
    </row>
    <row r="1659" spans="1:15" x14ac:dyDescent="0.35">
      <c r="A1659" s="500" t="s">
        <v>1226</v>
      </c>
      <c r="B1659" s="501">
        <v>5084</v>
      </c>
      <c r="C1659" s="501" t="s">
        <v>1094</v>
      </c>
      <c r="D1659" s="501" t="s">
        <v>3380</v>
      </c>
      <c r="E1659" s="501" t="s">
        <v>3381</v>
      </c>
      <c r="F1659" s="501" t="s">
        <v>521</v>
      </c>
      <c r="G1659" s="501" t="s">
        <v>522</v>
      </c>
      <c r="H1659" s="501" t="s">
        <v>4651</v>
      </c>
      <c r="I1659" s="501">
        <v>37</v>
      </c>
      <c r="J1659" s="501">
        <v>27</v>
      </c>
      <c r="K1659" s="501">
        <v>0</v>
      </c>
      <c r="L1659" s="501">
        <v>0</v>
      </c>
      <c r="M1659" s="501">
        <v>0</v>
      </c>
      <c r="N1659" s="501">
        <v>0</v>
      </c>
      <c r="O1659" s="506">
        <v>10</v>
      </c>
    </row>
    <row r="1660" spans="1:15" x14ac:dyDescent="0.35">
      <c r="A1660" s="503" t="s">
        <v>2008</v>
      </c>
      <c r="B1660" s="504" t="s">
        <v>3323</v>
      </c>
      <c r="C1660" s="504" t="s">
        <v>1094</v>
      </c>
      <c r="D1660" s="504" t="s">
        <v>3380</v>
      </c>
      <c r="E1660" s="504" t="s">
        <v>3381</v>
      </c>
      <c r="F1660" s="504" t="s">
        <v>521</v>
      </c>
      <c r="G1660" s="504" t="s">
        <v>522</v>
      </c>
      <c r="H1660" s="504" t="s">
        <v>4652</v>
      </c>
      <c r="I1660" s="504">
        <v>56</v>
      </c>
      <c r="J1660" s="504">
        <v>42</v>
      </c>
      <c r="K1660" s="504">
        <v>0</v>
      </c>
      <c r="L1660" s="504">
        <v>0</v>
      </c>
      <c r="M1660" s="504">
        <v>0</v>
      </c>
      <c r="N1660" s="504">
        <v>0</v>
      </c>
      <c r="O1660" s="505">
        <v>14</v>
      </c>
    </row>
    <row r="1661" spans="1:15" x14ac:dyDescent="0.35">
      <c r="A1661" s="500" t="s">
        <v>1234</v>
      </c>
      <c r="B1661" s="501" t="s">
        <v>3291</v>
      </c>
      <c r="C1661" s="501" t="s">
        <v>1094</v>
      </c>
      <c r="D1661" s="501" t="s">
        <v>3380</v>
      </c>
      <c r="E1661" s="501" t="s">
        <v>3381</v>
      </c>
      <c r="F1661" s="501" t="s">
        <v>521</v>
      </c>
      <c r="G1661" s="501" t="s">
        <v>522</v>
      </c>
      <c r="H1661" s="501" t="s">
        <v>4653</v>
      </c>
      <c r="I1661" s="501">
        <v>8</v>
      </c>
      <c r="J1661" s="501">
        <v>8</v>
      </c>
      <c r="K1661" s="501">
        <v>0</v>
      </c>
      <c r="L1661" s="501">
        <v>0</v>
      </c>
      <c r="M1661" s="501">
        <v>0</v>
      </c>
      <c r="N1661" s="501">
        <v>0</v>
      </c>
      <c r="O1661" s="506">
        <v>0</v>
      </c>
    </row>
    <row r="1662" spans="1:15" x14ac:dyDescent="0.35">
      <c r="A1662" s="503" t="s">
        <v>1235</v>
      </c>
      <c r="B1662" s="504">
        <v>4684</v>
      </c>
      <c r="C1662" s="504" t="s">
        <v>1094</v>
      </c>
      <c r="D1662" s="504" t="s">
        <v>3380</v>
      </c>
      <c r="E1662" s="504" t="s">
        <v>3381</v>
      </c>
      <c r="F1662" s="504" t="s">
        <v>521</v>
      </c>
      <c r="G1662" s="504" t="s">
        <v>522</v>
      </c>
      <c r="H1662" s="504" t="s">
        <v>4654</v>
      </c>
      <c r="I1662" s="504">
        <v>49</v>
      </c>
      <c r="J1662" s="504">
        <v>0</v>
      </c>
      <c r="K1662" s="504">
        <v>0</v>
      </c>
      <c r="L1662" s="504">
        <v>0</v>
      </c>
      <c r="M1662" s="504">
        <v>37</v>
      </c>
      <c r="N1662" s="504">
        <v>0</v>
      </c>
      <c r="O1662" s="505">
        <v>12</v>
      </c>
    </row>
    <row r="1663" spans="1:15" x14ac:dyDescent="0.35">
      <c r="A1663" s="500" t="s">
        <v>1126</v>
      </c>
      <c r="B1663" s="501" t="s">
        <v>2974</v>
      </c>
      <c r="C1663" s="501" t="s">
        <v>1094</v>
      </c>
      <c r="D1663" s="501" t="s">
        <v>3380</v>
      </c>
      <c r="E1663" s="501" t="s">
        <v>3381</v>
      </c>
      <c r="F1663" s="501" t="s">
        <v>521</v>
      </c>
      <c r="G1663" s="501" t="s">
        <v>522</v>
      </c>
      <c r="H1663" s="501" t="s">
        <v>4655</v>
      </c>
      <c r="I1663" s="501">
        <v>114</v>
      </c>
      <c r="J1663" s="501">
        <v>104</v>
      </c>
      <c r="K1663" s="501">
        <v>0</v>
      </c>
      <c r="L1663" s="501">
        <v>10</v>
      </c>
      <c r="M1663" s="501">
        <v>0</v>
      </c>
      <c r="N1663" s="501">
        <v>0</v>
      </c>
      <c r="O1663" s="506">
        <v>0</v>
      </c>
    </row>
    <row r="1664" spans="1:15" x14ac:dyDescent="0.35">
      <c r="A1664" s="503" t="s">
        <v>1132</v>
      </c>
      <c r="B1664" s="504">
        <v>4837</v>
      </c>
      <c r="C1664" s="504" t="s">
        <v>1094</v>
      </c>
      <c r="D1664" s="504" t="s">
        <v>3380</v>
      </c>
      <c r="E1664" s="504" t="s">
        <v>3381</v>
      </c>
      <c r="F1664" s="504" t="s">
        <v>521</v>
      </c>
      <c r="G1664" s="504" t="s">
        <v>522</v>
      </c>
      <c r="H1664" s="504" t="s">
        <v>4656</v>
      </c>
      <c r="I1664" s="504">
        <v>161</v>
      </c>
      <c r="J1664" s="504">
        <v>155</v>
      </c>
      <c r="K1664" s="504">
        <v>0</v>
      </c>
      <c r="L1664" s="504">
        <v>0</v>
      </c>
      <c r="M1664" s="504">
        <v>0</v>
      </c>
      <c r="N1664" s="504">
        <v>0</v>
      </c>
      <c r="O1664" s="505">
        <v>6</v>
      </c>
    </row>
    <row r="1665" spans="1:15" x14ac:dyDescent="0.35">
      <c r="A1665" s="500" t="s">
        <v>1249</v>
      </c>
      <c r="B1665" s="501">
        <v>4729</v>
      </c>
      <c r="C1665" s="501" t="s">
        <v>1094</v>
      </c>
      <c r="D1665" s="501" t="s">
        <v>3380</v>
      </c>
      <c r="E1665" s="501" t="s">
        <v>3381</v>
      </c>
      <c r="F1665" s="501" t="s">
        <v>521</v>
      </c>
      <c r="G1665" s="501" t="s">
        <v>522</v>
      </c>
      <c r="H1665" s="501" t="s">
        <v>4657</v>
      </c>
      <c r="I1665" s="501">
        <v>727</v>
      </c>
      <c r="J1665" s="501">
        <v>582</v>
      </c>
      <c r="K1665" s="501">
        <v>0</v>
      </c>
      <c r="L1665" s="501">
        <v>16</v>
      </c>
      <c r="M1665" s="501">
        <v>19</v>
      </c>
      <c r="N1665" s="501">
        <v>0</v>
      </c>
      <c r="O1665" s="506">
        <v>110</v>
      </c>
    </row>
    <row r="1666" spans="1:15" x14ac:dyDescent="0.35">
      <c r="A1666" s="503" t="s">
        <v>1253</v>
      </c>
      <c r="B1666" s="504" t="s">
        <v>3232</v>
      </c>
      <c r="C1666" s="504" t="s">
        <v>1094</v>
      </c>
      <c r="D1666" s="504" t="s">
        <v>3380</v>
      </c>
      <c r="E1666" s="504" t="s">
        <v>3381</v>
      </c>
      <c r="F1666" s="504" t="s">
        <v>521</v>
      </c>
      <c r="G1666" s="504" t="s">
        <v>522</v>
      </c>
      <c r="H1666" s="504" t="s">
        <v>4658</v>
      </c>
      <c r="I1666" s="504">
        <v>34</v>
      </c>
      <c r="J1666" s="504">
        <v>0</v>
      </c>
      <c r="K1666" s="504">
        <v>0</v>
      </c>
      <c r="L1666" s="504">
        <v>8</v>
      </c>
      <c r="M1666" s="504">
        <v>26</v>
      </c>
      <c r="N1666" s="504">
        <v>0</v>
      </c>
      <c r="O1666" s="505">
        <v>0</v>
      </c>
    </row>
    <row r="1667" spans="1:15" x14ac:dyDescent="0.35">
      <c r="A1667" s="500" t="s">
        <v>1262</v>
      </c>
      <c r="B1667" s="501">
        <v>4772</v>
      </c>
      <c r="C1667" s="501" t="s">
        <v>1089</v>
      </c>
      <c r="D1667" s="501" t="s">
        <v>3392</v>
      </c>
      <c r="E1667" s="501" t="s">
        <v>3381</v>
      </c>
      <c r="F1667" s="501" t="s">
        <v>521</v>
      </c>
      <c r="G1667" s="501" t="s">
        <v>522</v>
      </c>
      <c r="H1667" s="501" t="s">
        <v>4659</v>
      </c>
      <c r="I1667" s="501">
        <v>6</v>
      </c>
      <c r="J1667" s="501">
        <v>0</v>
      </c>
      <c r="K1667" s="501">
        <v>0</v>
      </c>
      <c r="L1667" s="501">
        <v>6</v>
      </c>
      <c r="M1667" s="501">
        <v>0</v>
      </c>
      <c r="N1667" s="501">
        <v>0</v>
      </c>
      <c r="O1667" s="506">
        <v>0</v>
      </c>
    </row>
    <row r="1668" spans="1:15" x14ac:dyDescent="0.35">
      <c r="A1668" s="503" t="s">
        <v>1385</v>
      </c>
      <c r="B1668" s="504" t="s">
        <v>3249</v>
      </c>
      <c r="C1668" s="504" t="s">
        <v>1094</v>
      </c>
      <c r="D1668" s="504" t="s">
        <v>3380</v>
      </c>
      <c r="E1668" s="504" t="s">
        <v>3381</v>
      </c>
      <c r="F1668" s="504" t="s">
        <v>523</v>
      </c>
      <c r="G1668" s="504" t="s">
        <v>524</v>
      </c>
      <c r="H1668" s="504" t="s">
        <v>4660</v>
      </c>
      <c r="I1668" s="504">
        <v>154</v>
      </c>
      <c r="J1668" s="504">
        <v>135</v>
      </c>
      <c r="K1668" s="504">
        <v>0</v>
      </c>
      <c r="L1668" s="504">
        <v>12</v>
      </c>
      <c r="M1668" s="504">
        <v>0</v>
      </c>
      <c r="N1668" s="504">
        <v>0</v>
      </c>
      <c r="O1668" s="505">
        <v>7</v>
      </c>
    </row>
    <row r="1669" spans="1:15" x14ac:dyDescent="0.35">
      <c r="A1669" s="500" t="s">
        <v>1386</v>
      </c>
      <c r="B1669" s="501" t="s">
        <v>3331</v>
      </c>
      <c r="C1669" s="501" t="s">
        <v>1094</v>
      </c>
      <c r="D1669" s="501" t="s">
        <v>3380</v>
      </c>
      <c r="E1669" s="501" t="s">
        <v>3381</v>
      </c>
      <c r="F1669" s="501" t="s">
        <v>523</v>
      </c>
      <c r="G1669" s="501" t="s">
        <v>524</v>
      </c>
      <c r="H1669" s="501" t="s">
        <v>4661</v>
      </c>
      <c r="I1669" s="501">
        <v>95</v>
      </c>
      <c r="J1669" s="501">
        <v>73</v>
      </c>
      <c r="K1669" s="501">
        <v>0</v>
      </c>
      <c r="L1669" s="501">
        <v>0</v>
      </c>
      <c r="M1669" s="501">
        <v>0</v>
      </c>
      <c r="N1669" s="501">
        <v>0</v>
      </c>
      <c r="O1669" s="506">
        <v>22</v>
      </c>
    </row>
    <row r="1670" spans="1:15" x14ac:dyDescent="0.35">
      <c r="A1670" s="503" t="s">
        <v>1091</v>
      </c>
      <c r="B1670" s="504" t="s">
        <v>3288</v>
      </c>
      <c r="C1670" s="504" t="s">
        <v>1089</v>
      </c>
      <c r="D1670" s="504" t="s">
        <v>3392</v>
      </c>
      <c r="E1670" s="504" t="s">
        <v>3381</v>
      </c>
      <c r="F1670" s="504" t="s">
        <v>523</v>
      </c>
      <c r="G1670" s="504" t="s">
        <v>524</v>
      </c>
      <c r="H1670" s="504" t="s">
        <v>4662</v>
      </c>
      <c r="I1670" s="504">
        <v>12</v>
      </c>
      <c r="J1670" s="504">
        <v>0</v>
      </c>
      <c r="K1670" s="504">
        <v>0</v>
      </c>
      <c r="L1670" s="504">
        <v>12</v>
      </c>
      <c r="M1670" s="504">
        <v>0</v>
      </c>
      <c r="N1670" s="504">
        <v>0</v>
      </c>
      <c r="O1670" s="505">
        <v>0</v>
      </c>
    </row>
    <row r="1671" spans="1:15" x14ac:dyDescent="0.35">
      <c r="A1671" s="500" t="s">
        <v>1093</v>
      </c>
      <c r="B1671" s="501" t="s">
        <v>3248</v>
      </c>
      <c r="C1671" s="501" t="s">
        <v>1094</v>
      </c>
      <c r="D1671" s="501" t="s">
        <v>3380</v>
      </c>
      <c r="E1671" s="501" t="s">
        <v>3381</v>
      </c>
      <c r="F1671" s="501" t="s">
        <v>523</v>
      </c>
      <c r="G1671" s="501" t="s">
        <v>524</v>
      </c>
      <c r="H1671" s="501" t="s">
        <v>4663</v>
      </c>
      <c r="I1671" s="501">
        <v>13</v>
      </c>
      <c r="J1671" s="501">
        <v>0</v>
      </c>
      <c r="K1671" s="501">
        <v>0</v>
      </c>
      <c r="L1671" s="501">
        <v>8</v>
      </c>
      <c r="M1671" s="501">
        <v>0</v>
      </c>
      <c r="N1671" s="501">
        <v>0</v>
      </c>
      <c r="O1671" s="506">
        <v>5</v>
      </c>
    </row>
    <row r="1672" spans="1:15" x14ac:dyDescent="0.35">
      <c r="A1672" s="503" t="s">
        <v>1096</v>
      </c>
      <c r="B1672" s="504" t="s">
        <v>3326</v>
      </c>
      <c r="C1672" s="504" t="s">
        <v>1094</v>
      </c>
      <c r="D1672" s="504" t="s">
        <v>3380</v>
      </c>
      <c r="E1672" s="504" t="s">
        <v>3381</v>
      </c>
      <c r="F1672" s="504" t="s">
        <v>523</v>
      </c>
      <c r="G1672" s="504" t="s">
        <v>524</v>
      </c>
      <c r="H1672" s="504" t="s">
        <v>4664</v>
      </c>
      <c r="I1672" s="504">
        <v>96</v>
      </c>
      <c r="J1672" s="504">
        <v>0</v>
      </c>
      <c r="K1672" s="504">
        <v>0</v>
      </c>
      <c r="L1672" s="504">
        <v>0</v>
      </c>
      <c r="M1672" s="504">
        <v>96</v>
      </c>
      <c r="N1672" s="504">
        <v>0</v>
      </c>
      <c r="O1672" s="505">
        <v>0</v>
      </c>
    </row>
    <row r="1673" spans="1:15" x14ac:dyDescent="0.35">
      <c r="A1673" s="500" t="s">
        <v>1157</v>
      </c>
      <c r="B1673" s="501" t="s">
        <v>3196</v>
      </c>
      <c r="C1673" s="501" t="s">
        <v>1089</v>
      </c>
      <c r="D1673" s="501" t="s">
        <v>3392</v>
      </c>
      <c r="E1673" s="501" t="s">
        <v>3381</v>
      </c>
      <c r="F1673" s="501" t="s">
        <v>523</v>
      </c>
      <c r="G1673" s="501" t="s">
        <v>524</v>
      </c>
      <c r="H1673" s="501" t="s">
        <v>4666</v>
      </c>
      <c r="I1673" s="501">
        <v>16</v>
      </c>
      <c r="J1673" s="501">
        <v>0</v>
      </c>
      <c r="K1673" s="501">
        <v>0</v>
      </c>
      <c r="L1673" s="501">
        <v>16</v>
      </c>
      <c r="M1673" s="501">
        <v>0</v>
      </c>
      <c r="N1673" s="501">
        <v>0</v>
      </c>
      <c r="O1673" s="506">
        <v>0</v>
      </c>
    </row>
    <row r="1674" spans="1:15" x14ac:dyDescent="0.35">
      <c r="A1674" s="503" t="s">
        <v>1158</v>
      </c>
      <c r="B1674" s="504">
        <v>4819</v>
      </c>
      <c r="C1674" s="504" t="s">
        <v>1094</v>
      </c>
      <c r="D1674" s="504" t="s">
        <v>3380</v>
      </c>
      <c r="E1674" s="504" t="s">
        <v>3381</v>
      </c>
      <c r="F1674" s="504" t="s">
        <v>523</v>
      </c>
      <c r="G1674" s="504" t="s">
        <v>524</v>
      </c>
      <c r="H1674" s="504" t="s">
        <v>4667</v>
      </c>
      <c r="I1674" s="504">
        <v>1105</v>
      </c>
      <c r="J1674" s="504">
        <v>792</v>
      </c>
      <c r="K1674" s="504">
        <v>0</v>
      </c>
      <c r="L1674" s="504">
        <v>61</v>
      </c>
      <c r="M1674" s="504">
        <v>0</v>
      </c>
      <c r="N1674" s="504">
        <v>0</v>
      </c>
      <c r="O1674" s="505">
        <v>252</v>
      </c>
    </row>
    <row r="1675" spans="1:15" x14ac:dyDescent="0.35">
      <c r="A1675" s="500" t="s">
        <v>1161</v>
      </c>
      <c r="B1675" s="501" t="s">
        <v>3001</v>
      </c>
      <c r="C1675" s="501" t="s">
        <v>1094</v>
      </c>
      <c r="D1675" s="501" t="s">
        <v>3380</v>
      </c>
      <c r="E1675" s="501" t="s">
        <v>3381</v>
      </c>
      <c r="F1675" s="501" t="s">
        <v>523</v>
      </c>
      <c r="G1675" s="501" t="s">
        <v>524</v>
      </c>
      <c r="H1675" s="501" t="s">
        <v>4668</v>
      </c>
      <c r="I1675" s="501">
        <v>212</v>
      </c>
      <c r="J1675" s="501">
        <v>121</v>
      </c>
      <c r="K1675" s="501">
        <v>0</v>
      </c>
      <c r="L1675" s="501">
        <v>0</v>
      </c>
      <c r="M1675" s="501">
        <v>0</v>
      </c>
      <c r="N1675" s="501">
        <v>0</v>
      </c>
      <c r="O1675" s="506">
        <v>91</v>
      </c>
    </row>
    <row r="1676" spans="1:15" x14ac:dyDescent="0.35">
      <c r="A1676" s="503" t="s">
        <v>1164</v>
      </c>
      <c r="B1676" s="504">
        <v>4751</v>
      </c>
      <c r="C1676" s="504" t="s">
        <v>1089</v>
      </c>
      <c r="D1676" s="504" t="s">
        <v>3392</v>
      </c>
      <c r="E1676" s="504" t="s">
        <v>3381</v>
      </c>
      <c r="F1676" s="504" t="s">
        <v>523</v>
      </c>
      <c r="G1676" s="504" t="s">
        <v>524</v>
      </c>
      <c r="H1676" s="504" t="s">
        <v>14566</v>
      </c>
      <c r="I1676" s="504">
        <v>4</v>
      </c>
      <c r="J1676" s="504">
        <v>0</v>
      </c>
      <c r="K1676" s="504">
        <v>0</v>
      </c>
      <c r="L1676" s="504">
        <v>4</v>
      </c>
      <c r="M1676" s="504">
        <v>0</v>
      </c>
      <c r="N1676" s="504">
        <v>0</v>
      </c>
      <c r="O1676" s="505">
        <v>0</v>
      </c>
    </row>
    <row r="1677" spans="1:15" x14ac:dyDescent="0.35">
      <c r="A1677" s="500" t="s">
        <v>1100</v>
      </c>
      <c r="B1677" s="501">
        <v>4865</v>
      </c>
      <c r="C1677" s="501" t="s">
        <v>1094</v>
      </c>
      <c r="D1677" s="501" t="s">
        <v>3380</v>
      </c>
      <c r="E1677" s="501" t="s">
        <v>3381</v>
      </c>
      <c r="F1677" s="501" t="s">
        <v>523</v>
      </c>
      <c r="G1677" s="501" t="s">
        <v>524</v>
      </c>
      <c r="H1677" s="501" t="s">
        <v>4669</v>
      </c>
      <c r="I1677" s="501">
        <v>85</v>
      </c>
      <c r="J1677" s="501">
        <v>55</v>
      </c>
      <c r="K1677" s="501">
        <v>0</v>
      </c>
      <c r="L1677" s="501">
        <v>0</v>
      </c>
      <c r="M1677" s="501">
        <v>0</v>
      </c>
      <c r="N1677" s="501">
        <v>0</v>
      </c>
      <c r="O1677" s="506">
        <v>30</v>
      </c>
    </row>
    <row r="1678" spans="1:15" x14ac:dyDescent="0.35">
      <c r="A1678" s="503" t="s">
        <v>1287</v>
      </c>
      <c r="B1678" s="504" t="s">
        <v>2784</v>
      </c>
      <c r="C1678" s="504" t="s">
        <v>1089</v>
      </c>
      <c r="D1678" s="504" t="s">
        <v>3392</v>
      </c>
      <c r="E1678" s="504" t="s">
        <v>3381</v>
      </c>
      <c r="F1678" s="504" t="s">
        <v>523</v>
      </c>
      <c r="G1678" s="504" t="s">
        <v>524</v>
      </c>
      <c r="H1678" s="504" t="s">
        <v>4670</v>
      </c>
      <c r="I1678" s="504">
        <v>1</v>
      </c>
      <c r="J1678" s="504">
        <v>1</v>
      </c>
      <c r="K1678" s="504">
        <v>0</v>
      </c>
      <c r="L1678" s="504">
        <v>0</v>
      </c>
      <c r="M1678" s="504">
        <v>0</v>
      </c>
      <c r="N1678" s="504">
        <v>0</v>
      </c>
      <c r="O1678" s="505">
        <v>0</v>
      </c>
    </row>
    <row r="1679" spans="1:15" x14ac:dyDescent="0.35">
      <c r="A1679" s="500" t="s">
        <v>1175</v>
      </c>
      <c r="B1679" s="501" t="s">
        <v>3141</v>
      </c>
      <c r="C1679" s="501" t="s">
        <v>1094</v>
      </c>
      <c r="D1679" s="501" t="s">
        <v>3380</v>
      </c>
      <c r="E1679" s="501" t="s">
        <v>3381</v>
      </c>
      <c r="F1679" s="501" t="s">
        <v>523</v>
      </c>
      <c r="G1679" s="501" t="s">
        <v>524</v>
      </c>
      <c r="H1679" s="501" t="s">
        <v>4671</v>
      </c>
      <c r="I1679" s="501">
        <v>6</v>
      </c>
      <c r="J1679" s="501">
        <v>4</v>
      </c>
      <c r="K1679" s="501">
        <v>0</v>
      </c>
      <c r="L1679" s="501">
        <v>0</v>
      </c>
      <c r="M1679" s="501">
        <v>0</v>
      </c>
      <c r="N1679" s="501">
        <v>0</v>
      </c>
      <c r="O1679" s="506">
        <v>2</v>
      </c>
    </row>
    <row r="1680" spans="1:15" x14ac:dyDescent="0.35">
      <c r="A1680" s="503" t="s">
        <v>14208</v>
      </c>
      <c r="B1680" s="504">
        <v>4803</v>
      </c>
      <c r="C1680" s="504" t="s">
        <v>1094</v>
      </c>
      <c r="D1680" s="504" t="s">
        <v>3380</v>
      </c>
      <c r="E1680" s="504" t="s">
        <v>3381</v>
      </c>
      <c r="F1680" s="504" t="s">
        <v>523</v>
      </c>
      <c r="G1680" s="504" t="s">
        <v>524</v>
      </c>
      <c r="H1680" s="504" t="s">
        <v>14567</v>
      </c>
      <c r="I1680" s="504">
        <v>5</v>
      </c>
      <c r="J1680" s="504">
        <v>0</v>
      </c>
      <c r="K1680" s="504">
        <v>0</v>
      </c>
      <c r="L1680" s="504">
        <v>5</v>
      </c>
      <c r="M1680" s="504">
        <v>0</v>
      </c>
      <c r="N1680" s="504">
        <v>0</v>
      </c>
      <c r="O1680" s="505">
        <v>0</v>
      </c>
    </row>
    <row r="1681" spans="1:15" x14ac:dyDescent="0.35">
      <c r="A1681" s="500" t="s">
        <v>1182</v>
      </c>
      <c r="B1681" s="501">
        <v>5060</v>
      </c>
      <c r="C1681" s="501" t="s">
        <v>1094</v>
      </c>
      <c r="D1681" s="501" t="s">
        <v>3380</v>
      </c>
      <c r="E1681" s="501" t="s">
        <v>3381</v>
      </c>
      <c r="F1681" s="501" t="s">
        <v>523</v>
      </c>
      <c r="G1681" s="501" t="s">
        <v>524</v>
      </c>
      <c r="H1681" s="501" t="s">
        <v>4672</v>
      </c>
      <c r="I1681" s="501">
        <v>9</v>
      </c>
      <c r="J1681" s="501">
        <v>6</v>
      </c>
      <c r="K1681" s="501">
        <v>0</v>
      </c>
      <c r="L1681" s="501">
        <v>0</v>
      </c>
      <c r="M1681" s="501">
        <v>0</v>
      </c>
      <c r="N1681" s="501">
        <v>0</v>
      </c>
      <c r="O1681" s="506">
        <v>3</v>
      </c>
    </row>
    <row r="1682" spans="1:15" x14ac:dyDescent="0.35">
      <c r="A1682" s="503" t="s">
        <v>14213</v>
      </c>
      <c r="B1682" s="504" t="s">
        <v>3312</v>
      </c>
      <c r="C1682" s="504" t="s">
        <v>1094</v>
      </c>
      <c r="D1682" s="504" t="s">
        <v>3380</v>
      </c>
      <c r="E1682" s="504" t="s">
        <v>3381</v>
      </c>
      <c r="F1682" s="504" t="s">
        <v>523</v>
      </c>
      <c r="G1682" s="504" t="s">
        <v>524</v>
      </c>
      <c r="H1682" s="504" t="s">
        <v>14568</v>
      </c>
      <c r="I1682" s="504">
        <v>470</v>
      </c>
      <c r="J1682" s="504">
        <v>380</v>
      </c>
      <c r="K1682" s="504">
        <v>0</v>
      </c>
      <c r="L1682" s="504">
        <v>31</v>
      </c>
      <c r="M1682" s="504">
        <v>0</v>
      </c>
      <c r="N1682" s="504">
        <v>0</v>
      </c>
      <c r="O1682" s="505">
        <v>59</v>
      </c>
    </row>
    <row r="1683" spans="1:15" x14ac:dyDescent="0.35">
      <c r="A1683" s="500" t="s">
        <v>1850</v>
      </c>
      <c r="B1683" s="501">
        <v>4796</v>
      </c>
      <c r="C1683" s="501" t="s">
        <v>1089</v>
      </c>
      <c r="D1683" s="501" t="s">
        <v>3392</v>
      </c>
      <c r="E1683" s="501" t="s">
        <v>3381</v>
      </c>
      <c r="F1683" s="501" t="s">
        <v>523</v>
      </c>
      <c r="G1683" s="501" t="s">
        <v>524</v>
      </c>
      <c r="H1683" s="501" t="s">
        <v>4673</v>
      </c>
      <c r="I1683" s="501">
        <v>151</v>
      </c>
      <c r="J1683" s="501">
        <v>151</v>
      </c>
      <c r="K1683" s="501">
        <v>0</v>
      </c>
      <c r="L1683" s="501">
        <v>0</v>
      </c>
      <c r="M1683" s="501">
        <v>0</v>
      </c>
      <c r="N1683" s="501">
        <v>0</v>
      </c>
      <c r="O1683" s="506">
        <v>0</v>
      </c>
    </row>
    <row r="1684" spans="1:15" x14ac:dyDescent="0.35">
      <c r="A1684" s="503" t="s">
        <v>1105</v>
      </c>
      <c r="B1684" s="504">
        <v>4668</v>
      </c>
      <c r="C1684" s="504" t="s">
        <v>1094</v>
      </c>
      <c r="D1684" s="504" t="s">
        <v>3380</v>
      </c>
      <c r="E1684" s="504" t="s">
        <v>3381</v>
      </c>
      <c r="F1684" s="504" t="s">
        <v>523</v>
      </c>
      <c r="G1684" s="504" t="s">
        <v>524</v>
      </c>
      <c r="H1684" s="504" t="s">
        <v>4674</v>
      </c>
      <c r="I1684" s="504">
        <v>38</v>
      </c>
      <c r="J1684" s="504">
        <v>0</v>
      </c>
      <c r="K1684" s="504">
        <v>0</v>
      </c>
      <c r="L1684" s="504">
        <v>0</v>
      </c>
      <c r="M1684" s="504">
        <v>0</v>
      </c>
      <c r="N1684" s="504">
        <v>0</v>
      </c>
      <c r="O1684" s="505">
        <v>38</v>
      </c>
    </row>
    <row r="1685" spans="1:15" x14ac:dyDescent="0.35">
      <c r="A1685" s="500" t="s">
        <v>1107</v>
      </c>
      <c r="B1685" s="501" t="s">
        <v>3109</v>
      </c>
      <c r="C1685" s="501" t="s">
        <v>1094</v>
      </c>
      <c r="D1685" s="501" t="s">
        <v>3380</v>
      </c>
      <c r="E1685" s="501" t="s">
        <v>3381</v>
      </c>
      <c r="F1685" s="501" t="s">
        <v>523</v>
      </c>
      <c r="G1685" s="501" t="s">
        <v>524</v>
      </c>
      <c r="H1685" s="501" t="s">
        <v>4675</v>
      </c>
      <c r="I1685" s="501">
        <v>9</v>
      </c>
      <c r="J1685" s="501">
        <v>0</v>
      </c>
      <c r="K1685" s="501">
        <v>0</v>
      </c>
      <c r="L1685" s="501">
        <v>9</v>
      </c>
      <c r="M1685" s="501">
        <v>0</v>
      </c>
      <c r="N1685" s="501">
        <v>0</v>
      </c>
      <c r="O1685" s="506">
        <v>0</v>
      </c>
    </row>
    <row r="1686" spans="1:15" x14ac:dyDescent="0.35">
      <c r="A1686" s="503" t="s">
        <v>1109</v>
      </c>
      <c r="B1686" s="504" t="s">
        <v>2959</v>
      </c>
      <c r="C1686" s="504" t="s">
        <v>1094</v>
      </c>
      <c r="D1686" s="504" t="s">
        <v>3380</v>
      </c>
      <c r="E1686" s="504" t="s">
        <v>3381</v>
      </c>
      <c r="F1686" s="504" t="s">
        <v>523</v>
      </c>
      <c r="G1686" s="504" t="s">
        <v>524</v>
      </c>
      <c r="H1686" s="504" t="s">
        <v>4676</v>
      </c>
      <c r="I1686" s="504">
        <v>216</v>
      </c>
      <c r="J1686" s="504">
        <v>0</v>
      </c>
      <c r="K1686" s="504">
        <v>0</v>
      </c>
      <c r="L1686" s="504">
        <v>0</v>
      </c>
      <c r="M1686" s="504">
        <v>191</v>
      </c>
      <c r="N1686" s="504">
        <v>0</v>
      </c>
      <c r="O1686" s="505">
        <v>25</v>
      </c>
    </row>
    <row r="1687" spans="1:15" x14ac:dyDescent="0.35">
      <c r="A1687" s="500" t="s">
        <v>1190</v>
      </c>
      <c r="B1687" s="501">
        <v>4662</v>
      </c>
      <c r="C1687" s="501" t="s">
        <v>1094</v>
      </c>
      <c r="D1687" s="501" t="s">
        <v>3380</v>
      </c>
      <c r="E1687" s="501" t="s">
        <v>3381</v>
      </c>
      <c r="F1687" s="501" t="s">
        <v>523</v>
      </c>
      <c r="G1687" s="501" t="s">
        <v>524</v>
      </c>
      <c r="H1687" s="501" t="s">
        <v>14569</v>
      </c>
      <c r="I1687" s="501">
        <v>3</v>
      </c>
      <c r="J1687" s="501">
        <v>0</v>
      </c>
      <c r="K1687" s="501">
        <v>0</v>
      </c>
      <c r="L1687" s="501">
        <v>3</v>
      </c>
      <c r="M1687" s="501">
        <v>0</v>
      </c>
      <c r="N1687" s="501">
        <v>0</v>
      </c>
      <c r="O1687" s="506">
        <v>0</v>
      </c>
    </row>
    <row r="1688" spans="1:15" x14ac:dyDescent="0.35">
      <c r="A1688" s="503" t="s">
        <v>1202</v>
      </c>
      <c r="B1688" s="504" t="s">
        <v>3217</v>
      </c>
      <c r="C1688" s="504" t="s">
        <v>1094</v>
      </c>
      <c r="D1688" s="504" t="s">
        <v>3380</v>
      </c>
      <c r="E1688" s="504" t="s">
        <v>3381</v>
      </c>
      <c r="F1688" s="504" t="s">
        <v>523</v>
      </c>
      <c r="G1688" s="504" t="s">
        <v>524</v>
      </c>
      <c r="H1688" s="504" t="s">
        <v>4677</v>
      </c>
      <c r="I1688" s="504">
        <v>2</v>
      </c>
      <c r="J1688" s="504">
        <v>0</v>
      </c>
      <c r="K1688" s="504">
        <v>0</v>
      </c>
      <c r="L1688" s="504">
        <v>0</v>
      </c>
      <c r="M1688" s="504">
        <v>0</v>
      </c>
      <c r="N1688" s="504">
        <v>0</v>
      </c>
      <c r="O1688" s="505">
        <v>2</v>
      </c>
    </row>
    <row r="1689" spans="1:15" x14ac:dyDescent="0.35">
      <c r="A1689" s="500" t="s">
        <v>1497</v>
      </c>
      <c r="B1689" s="501" t="s">
        <v>3290</v>
      </c>
      <c r="C1689" s="501" t="s">
        <v>1089</v>
      </c>
      <c r="D1689" s="501" t="s">
        <v>3392</v>
      </c>
      <c r="E1689" s="501" t="s">
        <v>3381</v>
      </c>
      <c r="F1689" s="501" t="s">
        <v>523</v>
      </c>
      <c r="G1689" s="501" t="s">
        <v>524</v>
      </c>
      <c r="H1689" s="501" t="s">
        <v>4678</v>
      </c>
      <c r="I1689" s="501">
        <v>23</v>
      </c>
      <c r="J1689" s="501">
        <v>0</v>
      </c>
      <c r="K1689" s="501">
        <v>0</v>
      </c>
      <c r="L1689" s="501">
        <v>0</v>
      </c>
      <c r="M1689" s="501">
        <v>23</v>
      </c>
      <c r="N1689" s="501">
        <v>0</v>
      </c>
      <c r="O1689" s="506">
        <v>0</v>
      </c>
    </row>
    <row r="1690" spans="1:15" x14ac:dyDescent="0.35">
      <c r="A1690" s="503" t="s">
        <v>1112</v>
      </c>
      <c r="B1690" s="504" t="s">
        <v>3008</v>
      </c>
      <c r="C1690" s="504" t="s">
        <v>1094</v>
      </c>
      <c r="D1690" s="504" t="s">
        <v>3380</v>
      </c>
      <c r="E1690" s="504" t="s">
        <v>3381</v>
      </c>
      <c r="F1690" s="504" t="s">
        <v>523</v>
      </c>
      <c r="G1690" s="504" t="s">
        <v>524</v>
      </c>
      <c r="H1690" s="504" t="s">
        <v>4679</v>
      </c>
      <c r="I1690" s="504">
        <v>14</v>
      </c>
      <c r="J1690" s="504">
        <v>10</v>
      </c>
      <c r="K1690" s="504">
        <v>0</v>
      </c>
      <c r="L1690" s="504">
        <v>0</v>
      </c>
      <c r="M1690" s="504">
        <v>0</v>
      </c>
      <c r="N1690" s="504">
        <v>0</v>
      </c>
      <c r="O1690" s="505">
        <v>4</v>
      </c>
    </row>
    <row r="1691" spans="1:15" x14ac:dyDescent="0.35">
      <c r="A1691" s="500" t="s">
        <v>1114</v>
      </c>
      <c r="B1691" s="501" t="s">
        <v>2982</v>
      </c>
      <c r="C1691" s="501" t="s">
        <v>1094</v>
      </c>
      <c r="D1691" s="501" t="s">
        <v>3380</v>
      </c>
      <c r="E1691" s="501" t="s">
        <v>3381</v>
      </c>
      <c r="F1691" s="501" t="s">
        <v>523</v>
      </c>
      <c r="G1691" s="501" t="s">
        <v>524</v>
      </c>
      <c r="H1691" s="501" t="s">
        <v>4680</v>
      </c>
      <c r="I1691" s="501">
        <v>2</v>
      </c>
      <c r="J1691" s="501">
        <v>0</v>
      </c>
      <c r="K1691" s="501">
        <v>0</v>
      </c>
      <c r="L1691" s="501">
        <v>0</v>
      </c>
      <c r="M1691" s="501">
        <v>0</v>
      </c>
      <c r="N1691" s="501">
        <v>0</v>
      </c>
      <c r="O1691" s="506">
        <v>2</v>
      </c>
    </row>
    <row r="1692" spans="1:15" x14ac:dyDescent="0.35">
      <c r="A1692" s="503" t="s">
        <v>1327</v>
      </c>
      <c r="B1692" s="504" t="s">
        <v>3330</v>
      </c>
      <c r="C1692" s="504" t="s">
        <v>1094</v>
      </c>
      <c r="D1692" s="504" t="s">
        <v>3380</v>
      </c>
      <c r="E1692" s="504" t="s">
        <v>3381</v>
      </c>
      <c r="F1692" s="504" t="s">
        <v>523</v>
      </c>
      <c r="G1692" s="504" t="s">
        <v>524</v>
      </c>
      <c r="H1692" s="504" t="s">
        <v>4681</v>
      </c>
      <c r="I1692" s="504">
        <v>642</v>
      </c>
      <c r="J1692" s="504">
        <v>470</v>
      </c>
      <c r="K1692" s="504">
        <v>0</v>
      </c>
      <c r="L1692" s="504">
        <v>8</v>
      </c>
      <c r="M1692" s="504">
        <v>0</v>
      </c>
      <c r="N1692" s="504">
        <v>0</v>
      </c>
      <c r="O1692" s="505">
        <v>164</v>
      </c>
    </row>
    <row r="1693" spans="1:15" x14ac:dyDescent="0.35">
      <c r="A1693" s="500" t="s">
        <v>1122</v>
      </c>
      <c r="B1693" s="501" t="s">
        <v>2994</v>
      </c>
      <c r="C1693" s="501" t="s">
        <v>1094</v>
      </c>
      <c r="D1693" s="501" t="s">
        <v>3380</v>
      </c>
      <c r="E1693" s="501" t="s">
        <v>3381</v>
      </c>
      <c r="F1693" s="501" t="s">
        <v>523</v>
      </c>
      <c r="G1693" s="501" t="s">
        <v>524</v>
      </c>
      <c r="H1693" s="501" t="s">
        <v>4682</v>
      </c>
      <c r="I1693" s="501">
        <v>22</v>
      </c>
      <c r="J1693" s="501">
        <v>11</v>
      </c>
      <c r="K1693" s="501">
        <v>0</v>
      </c>
      <c r="L1693" s="501">
        <v>0</v>
      </c>
      <c r="M1693" s="501">
        <v>0</v>
      </c>
      <c r="N1693" s="501">
        <v>0</v>
      </c>
      <c r="O1693" s="506">
        <v>11</v>
      </c>
    </row>
    <row r="1694" spans="1:15" x14ac:dyDescent="0.35">
      <c r="A1694" s="503" t="s">
        <v>1226</v>
      </c>
      <c r="B1694" s="504">
        <v>5084</v>
      </c>
      <c r="C1694" s="504" t="s">
        <v>1094</v>
      </c>
      <c r="D1694" s="504" t="s">
        <v>3380</v>
      </c>
      <c r="E1694" s="504" t="s">
        <v>3381</v>
      </c>
      <c r="F1694" s="504" t="s">
        <v>523</v>
      </c>
      <c r="G1694" s="504" t="s">
        <v>524</v>
      </c>
      <c r="H1694" s="504" t="s">
        <v>4683</v>
      </c>
      <c r="I1694" s="504">
        <v>102</v>
      </c>
      <c r="J1694" s="504">
        <v>70</v>
      </c>
      <c r="K1694" s="504">
        <v>0</v>
      </c>
      <c r="L1694" s="504">
        <v>0</v>
      </c>
      <c r="M1694" s="504">
        <v>0</v>
      </c>
      <c r="N1694" s="504">
        <v>0</v>
      </c>
      <c r="O1694" s="505">
        <v>32</v>
      </c>
    </row>
    <row r="1695" spans="1:15" x14ac:dyDescent="0.35">
      <c r="A1695" s="500" t="s">
        <v>1233</v>
      </c>
      <c r="B1695" s="501">
        <v>4636</v>
      </c>
      <c r="C1695" s="501" t="s">
        <v>1094</v>
      </c>
      <c r="D1695" s="501" t="s">
        <v>3380</v>
      </c>
      <c r="E1695" s="501" t="s">
        <v>3381</v>
      </c>
      <c r="F1695" s="501" t="s">
        <v>523</v>
      </c>
      <c r="G1695" s="501" t="s">
        <v>524</v>
      </c>
      <c r="H1695" s="501" t="s">
        <v>4684</v>
      </c>
      <c r="I1695" s="501">
        <v>54</v>
      </c>
      <c r="J1695" s="501">
        <v>15</v>
      </c>
      <c r="K1695" s="501">
        <v>0</v>
      </c>
      <c r="L1695" s="501">
        <v>0</v>
      </c>
      <c r="M1695" s="501">
        <v>0</v>
      </c>
      <c r="N1695" s="501">
        <v>0</v>
      </c>
      <c r="O1695" s="506">
        <v>39</v>
      </c>
    </row>
    <row r="1696" spans="1:15" x14ac:dyDescent="0.35">
      <c r="A1696" s="503" t="s">
        <v>11368</v>
      </c>
      <c r="B1696" s="504">
        <v>5083</v>
      </c>
      <c r="C1696" s="504" t="s">
        <v>1094</v>
      </c>
      <c r="D1696" s="504" t="s">
        <v>3380</v>
      </c>
      <c r="E1696" s="504" t="s">
        <v>3381</v>
      </c>
      <c r="F1696" s="504" t="s">
        <v>523</v>
      </c>
      <c r="G1696" s="504" t="s">
        <v>524</v>
      </c>
      <c r="H1696" s="504" t="s">
        <v>12040</v>
      </c>
      <c r="I1696" s="504">
        <v>40</v>
      </c>
      <c r="J1696" s="504">
        <v>40</v>
      </c>
      <c r="K1696" s="504">
        <v>0</v>
      </c>
      <c r="L1696" s="504">
        <v>0</v>
      </c>
      <c r="M1696" s="504">
        <v>0</v>
      </c>
      <c r="N1696" s="504">
        <v>0</v>
      </c>
      <c r="O1696" s="505">
        <v>0</v>
      </c>
    </row>
    <row r="1697" spans="1:15" x14ac:dyDescent="0.35">
      <c r="A1697" s="500" t="s">
        <v>1235</v>
      </c>
      <c r="B1697" s="501">
        <v>4684</v>
      </c>
      <c r="C1697" s="501" t="s">
        <v>1094</v>
      </c>
      <c r="D1697" s="501" t="s">
        <v>3380</v>
      </c>
      <c r="E1697" s="501" t="s">
        <v>3381</v>
      </c>
      <c r="F1697" s="501" t="s">
        <v>523</v>
      </c>
      <c r="G1697" s="501" t="s">
        <v>524</v>
      </c>
      <c r="H1697" s="501" t="s">
        <v>4685</v>
      </c>
      <c r="I1697" s="501">
        <v>202</v>
      </c>
      <c r="J1697" s="501">
        <v>90</v>
      </c>
      <c r="K1697" s="501">
        <v>0</v>
      </c>
      <c r="L1697" s="501">
        <v>0</v>
      </c>
      <c r="M1697" s="501">
        <v>54</v>
      </c>
      <c r="N1697" s="501">
        <v>0</v>
      </c>
      <c r="O1697" s="506">
        <v>58</v>
      </c>
    </row>
    <row r="1698" spans="1:15" x14ac:dyDescent="0.35">
      <c r="A1698" s="503" t="s">
        <v>1126</v>
      </c>
      <c r="B1698" s="504" t="s">
        <v>2974</v>
      </c>
      <c r="C1698" s="504" t="s">
        <v>1094</v>
      </c>
      <c r="D1698" s="504" t="s">
        <v>3380</v>
      </c>
      <c r="E1698" s="504" t="s">
        <v>3381</v>
      </c>
      <c r="F1698" s="504" t="s">
        <v>523</v>
      </c>
      <c r="G1698" s="504" t="s">
        <v>524</v>
      </c>
      <c r="H1698" s="504" t="s">
        <v>4686</v>
      </c>
      <c r="I1698" s="504">
        <v>5148</v>
      </c>
      <c r="J1698" s="504">
        <v>4056</v>
      </c>
      <c r="K1698" s="504">
        <v>7</v>
      </c>
      <c r="L1698" s="504">
        <v>58</v>
      </c>
      <c r="M1698" s="504">
        <v>997</v>
      </c>
      <c r="N1698" s="504">
        <v>10</v>
      </c>
      <c r="O1698" s="505">
        <v>30</v>
      </c>
    </row>
    <row r="1699" spans="1:15" x14ac:dyDescent="0.35">
      <c r="A1699" s="500" t="s">
        <v>1342</v>
      </c>
      <c r="B1699" s="501" t="s">
        <v>3237</v>
      </c>
      <c r="C1699" s="501" t="s">
        <v>1094</v>
      </c>
      <c r="D1699" s="501" t="s">
        <v>3380</v>
      </c>
      <c r="E1699" s="501" t="s">
        <v>3381</v>
      </c>
      <c r="F1699" s="501" t="s">
        <v>523</v>
      </c>
      <c r="G1699" s="501" t="s">
        <v>524</v>
      </c>
      <c r="H1699" s="501" t="s">
        <v>4687</v>
      </c>
      <c r="I1699" s="501">
        <v>1</v>
      </c>
      <c r="J1699" s="501">
        <v>0</v>
      </c>
      <c r="K1699" s="501">
        <v>0</v>
      </c>
      <c r="L1699" s="501">
        <v>0</v>
      </c>
      <c r="M1699" s="501">
        <v>0</v>
      </c>
      <c r="N1699" s="501">
        <v>0</v>
      </c>
      <c r="O1699" s="506">
        <v>1</v>
      </c>
    </row>
    <row r="1700" spans="1:15" x14ac:dyDescent="0.35">
      <c r="A1700" s="503" t="s">
        <v>1898</v>
      </c>
      <c r="B1700" s="504" t="s">
        <v>3148</v>
      </c>
      <c r="C1700" s="504" t="s">
        <v>1094</v>
      </c>
      <c r="D1700" s="504" t="s">
        <v>3380</v>
      </c>
      <c r="E1700" s="504" t="s">
        <v>3381</v>
      </c>
      <c r="F1700" s="504" t="s">
        <v>523</v>
      </c>
      <c r="G1700" s="504" t="s">
        <v>524</v>
      </c>
      <c r="H1700" s="504" t="s">
        <v>4688</v>
      </c>
      <c r="I1700" s="504">
        <v>56</v>
      </c>
      <c r="J1700" s="504">
        <v>42</v>
      </c>
      <c r="K1700" s="504">
        <v>0</v>
      </c>
      <c r="L1700" s="504">
        <v>0</v>
      </c>
      <c r="M1700" s="504">
        <v>0</v>
      </c>
      <c r="N1700" s="504">
        <v>0</v>
      </c>
      <c r="O1700" s="505">
        <v>14</v>
      </c>
    </row>
    <row r="1701" spans="1:15" x14ac:dyDescent="0.35">
      <c r="A1701" s="500" t="s">
        <v>1132</v>
      </c>
      <c r="B1701" s="501">
        <v>4837</v>
      </c>
      <c r="C1701" s="501" t="s">
        <v>1094</v>
      </c>
      <c r="D1701" s="501" t="s">
        <v>3380</v>
      </c>
      <c r="E1701" s="501" t="s">
        <v>3381</v>
      </c>
      <c r="F1701" s="501" t="s">
        <v>523</v>
      </c>
      <c r="G1701" s="501" t="s">
        <v>524</v>
      </c>
      <c r="H1701" s="501" t="s">
        <v>4689</v>
      </c>
      <c r="I1701" s="501">
        <v>180</v>
      </c>
      <c r="J1701" s="501">
        <v>132</v>
      </c>
      <c r="K1701" s="501">
        <v>0</v>
      </c>
      <c r="L1701" s="501">
        <v>0</v>
      </c>
      <c r="M1701" s="501">
        <v>20</v>
      </c>
      <c r="N1701" s="501">
        <v>0</v>
      </c>
      <c r="O1701" s="506">
        <v>28</v>
      </c>
    </row>
    <row r="1702" spans="1:15" x14ac:dyDescent="0.35">
      <c r="A1702" s="503" t="s">
        <v>1240</v>
      </c>
      <c r="B1702" s="504" t="s">
        <v>2972</v>
      </c>
      <c r="C1702" s="504" t="s">
        <v>1094</v>
      </c>
      <c r="D1702" s="504" t="s">
        <v>3380</v>
      </c>
      <c r="E1702" s="504" t="s">
        <v>3381</v>
      </c>
      <c r="F1702" s="504" t="s">
        <v>523</v>
      </c>
      <c r="G1702" s="504" t="s">
        <v>524</v>
      </c>
      <c r="H1702" s="504" t="s">
        <v>4690</v>
      </c>
      <c r="I1702" s="504">
        <v>13</v>
      </c>
      <c r="J1702" s="504">
        <v>3</v>
      </c>
      <c r="K1702" s="504">
        <v>0</v>
      </c>
      <c r="L1702" s="504">
        <v>0</v>
      </c>
      <c r="M1702" s="504">
        <v>0</v>
      </c>
      <c r="N1702" s="504">
        <v>0</v>
      </c>
      <c r="O1702" s="505">
        <v>10</v>
      </c>
    </row>
    <row r="1703" spans="1:15" x14ac:dyDescent="0.35">
      <c r="A1703" s="500" t="s">
        <v>1241</v>
      </c>
      <c r="B1703" s="501">
        <v>4717</v>
      </c>
      <c r="C1703" s="501" t="s">
        <v>1094</v>
      </c>
      <c r="D1703" s="501" t="s">
        <v>3380</v>
      </c>
      <c r="E1703" s="501" t="s">
        <v>3381</v>
      </c>
      <c r="F1703" s="501" t="s">
        <v>523</v>
      </c>
      <c r="G1703" s="501" t="s">
        <v>524</v>
      </c>
      <c r="H1703" s="501" t="s">
        <v>4691</v>
      </c>
      <c r="I1703" s="501">
        <v>35</v>
      </c>
      <c r="J1703" s="501">
        <v>35</v>
      </c>
      <c r="K1703" s="501">
        <v>0</v>
      </c>
      <c r="L1703" s="501">
        <v>0</v>
      </c>
      <c r="M1703" s="501">
        <v>0</v>
      </c>
      <c r="N1703" s="501">
        <v>0</v>
      </c>
      <c r="O1703" s="506">
        <v>0</v>
      </c>
    </row>
    <row r="1704" spans="1:15" x14ac:dyDescent="0.35">
      <c r="A1704" s="503" t="s">
        <v>1134</v>
      </c>
      <c r="B1704" s="504" t="s">
        <v>3066</v>
      </c>
      <c r="C1704" s="504" t="s">
        <v>1094</v>
      </c>
      <c r="D1704" s="504" t="s">
        <v>3380</v>
      </c>
      <c r="E1704" s="504" t="s">
        <v>3381</v>
      </c>
      <c r="F1704" s="504" t="s">
        <v>523</v>
      </c>
      <c r="G1704" s="504" t="s">
        <v>524</v>
      </c>
      <c r="H1704" s="504" t="s">
        <v>4692</v>
      </c>
      <c r="I1704" s="504">
        <v>372</v>
      </c>
      <c r="J1704" s="504">
        <v>272</v>
      </c>
      <c r="K1704" s="504">
        <v>0</v>
      </c>
      <c r="L1704" s="504">
        <v>1</v>
      </c>
      <c r="M1704" s="504">
        <v>34</v>
      </c>
      <c r="N1704" s="504">
        <v>0</v>
      </c>
      <c r="O1704" s="505">
        <v>65</v>
      </c>
    </row>
    <row r="1705" spans="1:15" x14ac:dyDescent="0.35">
      <c r="A1705" s="500" t="s">
        <v>1136</v>
      </c>
      <c r="B1705" s="501">
        <v>4680</v>
      </c>
      <c r="C1705" s="501" t="s">
        <v>1094</v>
      </c>
      <c r="D1705" s="501" t="s">
        <v>3380</v>
      </c>
      <c r="E1705" s="501" t="s">
        <v>3381</v>
      </c>
      <c r="F1705" s="501" t="s">
        <v>523</v>
      </c>
      <c r="G1705" s="501" t="s">
        <v>524</v>
      </c>
      <c r="H1705" s="501" t="s">
        <v>14570</v>
      </c>
      <c r="I1705" s="501">
        <v>6</v>
      </c>
      <c r="J1705" s="501">
        <v>0</v>
      </c>
      <c r="K1705" s="501">
        <v>0</v>
      </c>
      <c r="L1705" s="501">
        <v>0</v>
      </c>
      <c r="M1705" s="501">
        <v>0</v>
      </c>
      <c r="N1705" s="501">
        <v>0</v>
      </c>
      <c r="O1705" s="506">
        <v>6</v>
      </c>
    </row>
    <row r="1706" spans="1:15" x14ac:dyDescent="0.35">
      <c r="A1706" s="503" t="s">
        <v>1245</v>
      </c>
      <c r="B1706" s="504" t="s">
        <v>2859</v>
      </c>
      <c r="C1706" s="504" t="s">
        <v>1094</v>
      </c>
      <c r="D1706" s="504" t="s">
        <v>3380</v>
      </c>
      <c r="E1706" s="504" t="s">
        <v>3381</v>
      </c>
      <c r="F1706" s="504" t="s">
        <v>523</v>
      </c>
      <c r="G1706" s="504" t="s">
        <v>524</v>
      </c>
      <c r="H1706" s="504" t="s">
        <v>4693</v>
      </c>
      <c r="I1706" s="504">
        <v>10</v>
      </c>
      <c r="J1706" s="504">
        <v>0</v>
      </c>
      <c r="K1706" s="504">
        <v>0</v>
      </c>
      <c r="L1706" s="504">
        <v>0</v>
      </c>
      <c r="M1706" s="504">
        <v>10</v>
      </c>
      <c r="N1706" s="504">
        <v>0</v>
      </c>
      <c r="O1706" s="505">
        <v>0</v>
      </c>
    </row>
    <row r="1707" spans="1:15" x14ac:dyDescent="0.35">
      <c r="A1707" s="500" t="s">
        <v>1369</v>
      </c>
      <c r="B1707" s="501" t="s">
        <v>3218</v>
      </c>
      <c r="C1707" s="501" t="s">
        <v>1094</v>
      </c>
      <c r="D1707" s="501" t="s">
        <v>3380</v>
      </c>
      <c r="E1707" s="501" t="s">
        <v>3381</v>
      </c>
      <c r="F1707" s="501" t="s">
        <v>523</v>
      </c>
      <c r="G1707" s="501" t="s">
        <v>524</v>
      </c>
      <c r="H1707" s="501" t="s">
        <v>4694</v>
      </c>
      <c r="I1707" s="501">
        <v>30</v>
      </c>
      <c r="J1707" s="501">
        <v>21</v>
      </c>
      <c r="K1707" s="501">
        <v>0</v>
      </c>
      <c r="L1707" s="501">
        <v>0</v>
      </c>
      <c r="M1707" s="501">
        <v>0</v>
      </c>
      <c r="N1707" s="501">
        <v>0</v>
      </c>
      <c r="O1707" s="506">
        <v>9</v>
      </c>
    </row>
    <row r="1708" spans="1:15" x14ac:dyDescent="0.35">
      <c r="A1708" s="503" t="s">
        <v>1156</v>
      </c>
      <c r="B1708" s="504" t="s">
        <v>3310</v>
      </c>
      <c r="C1708" s="504" t="s">
        <v>1094</v>
      </c>
      <c r="D1708" s="504" t="s">
        <v>3380</v>
      </c>
      <c r="E1708" s="504" t="s">
        <v>3381</v>
      </c>
      <c r="F1708" s="504" t="s">
        <v>523</v>
      </c>
      <c r="G1708" s="504" t="s">
        <v>524</v>
      </c>
      <c r="H1708" s="504" t="s">
        <v>4665</v>
      </c>
      <c r="I1708" s="504">
        <v>402</v>
      </c>
      <c r="J1708" s="504">
        <v>209</v>
      </c>
      <c r="K1708" s="504">
        <v>0</v>
      </c>
      <c r="L1708" s="504">
        <v>0</v>
      </c>
      <c r="M1708" s="504">
        <v>85</v>
      </c>
      <c r="N1708" s="504">
        <v>0</v>
      </c>
      <c r="O1708" s="505">
        <v>108</v>
      </c>
    </row>
    <row r="1709" spans="1:15" x14ac:dyDescent="0.35">
      <c r="A1709" s="500" t="s">
        <v>1193</v>
      </c>
      <c r="B1709" s="501" t="s">
        <v>3039</v>
      </c>
      <c r="C1709" s="501" t="s">
        <v>1094</v>
      </c>
      <c r="D1709" s="501" t="s">
        <v>3380</v>
      </c>
      <c r="E1709" s="501" t="s">
        <v>3381</v>
      </c>
      <c r="F1709" s="501" t="s">
        <v>525</v>
      </c>
      <c r="G1709" s="501" t="s">
        <v>526</v>
      </c>
      <c r="H1709" s="501" t="s">
        <v>4712</v>
      </c>
      <c r="I1709" s="501">
        <v>111</v>
      </c>
      <c r="J1709" s="501">
        <v>106</v>
      </c>
      <c r="K1709" s="501">
        <v>0</v>
      </c>
      <c r="L1709" s="501">
        <v>0</v>
      </c>
      <c r="M1709" s="501">
        <v>0</v>
      </c>
      <c r="N1709" s="501">
        <v>0</v>
      </c>
      <c r="O1709" s="506">
        <v>5</v>
      </c>
    </row>
    <row r="1710" spans="1:15" x14ac:dyDescent="0.35">
      <c r="A1710" s="503" t="s">
        <v>1143</v>
      </c>
      <c r="B1710" s="504" t="s">
        <v>3281</v>
      </c>
      <c r="C1710" s="504" t="s">
        <v>1094</v>
      </c>
      <c r="D1710" s="504" t="s">
        <v>3380</v>
      </c>
      <c r="E1710" s="504" t="s">
        <v>3381</v>
      </c>
      <c r="F1710" s="504" t="s">
        <v>525</v>
      </c>
      <c r="G1710" s="504" t="s">
        <v>526</v>
      </c>
      <c r="H1710" s="504" t="s">
        <v>4695</v>
      </c>
      <c r="I1710" s="504">
        <v>3</v>
      </c>
      <c r="J1710" s="504">
        <v>0</v>
      </c>
      <c r="K1710" s="504">
        <v>0</v>
      </c>
      <c r="L1710" s="504">
        <v>3</v>
      </c>
      <c r="M1710" s="504">
        <v>0</v>
      </c>
      <c r="N1710" s="504">
        <v>0</v>
      </c>
      <c r="O1710" s="505">
        <v>0</v>
      </c>
    </row>
    <row r="1711" spans="1:15" x14ac:dyDescent="0.35">
      <c r="A1711" s="500" t="s">
        <v>1147</v>
      </c>
      <c r="B1711" s="501" t="s">
        <v>3274</v>
      </c>
      <c r="C1711" s="501" t="s">
        <v>1089</v>
      </c>
      <c r="D1711" s="501" t="s">
        <v>3392</v>
      </c>
      <c r="E1711" s="501" t="s">
        <v>3381</v>
      </c>
      <c r="F1711" s="501" t="s">
        <v>525</v>
      </c>
      <c r="G1711" s="501" t="s">
        <v>526</v>
      </c>
      <c r="H1711" s="501" t="s">
        <v>4696</v>
      </c>
      <c r="I1711" s="501">
        <v>44</v>
      </c>
      <c r="J1711" s="501">
        <v>0</v>
      </c>
      <c r="K1711" s="501">
        <v>0</v>
      </c>
      <c r="L1711" s="501">
        <v>44</v>
      </c>
      <c r="M1711" s="501">
        <v>0</v>
      </c>
      <c r="N1711" s="501">
        <v>0</v>
      </c>
      <c r="O1711" s="506">
        <v>0</v>
      </c>
    </row>
    <row r="1712" spans="1:15" x14ac:dyDescent="0.35">
      <c r="A1712" s="503" t="s">
        <v>1668</v>
      </c>
      <c r="B1712" s="504" t="s">
        <v>3035</v>
      </c>
      <c r="C1712" s="504" t="s">
        <v>1089</v>
      </c>
      <c r="D1712" s="504" t="s">
        <v>3392</v>
      </c>
      <c r="E1712" s="504" t="s">
        <v>3381</v>
      </c>
      <c r="F1712" s="504" t="s">
        <v>525</v>
      </c>
      <c r="G1712" s="504" t="s">
        <v>526</v>
      </c>
      <c r="H1712" s="504" t="s">
        <v>4697</v>
      </c>
      <c r="I1712" s="504">
        <v>32</v>
      </c>
      <c r="J1712" s="504">
        <v>0</v>
      </c>
      <c r="K1712" s="504">
        <v>0</v>
      </c>
      <c r="L1712" s="504">
        <v>0</v>
      </c>
      <c r="M1712" s="504">
        <v>32</v>
      </c>
      <c r="N1712" s="504">
        <v>0</v>
      </c>
      <c r="O1712" s="505">
        <v>0</v>
      </c>
    </row>
    <row r="1713" spans="1:15" x14ac:dyDescent="0.35">
      <c r="A1713" s="500" t="s">
        <v>1096</v>
      </c>
      <c r="B1713" s="501" t="s">
        <v>3326</v>
      </c>
      <c r="C1713" s="501" t="s">
        <v>1094</v>
      </c>
      <c r="D1713" s="501" t="s">
        <v>3380</v>
      </c>
      <c r="E1713" s="501" t="s">
        <v>3381</v>
      </c>
      <c r="F1713" s="501" t="s">
        <v>525</v>
      </c>
      <c r="G1713" s="501" t="s">
        <v>526</v>
      </c>
      <c r="H1713" s="501" t="s">
        <v>4698</v>
      </c>
      <c r="I1713" s="501">
        <v>259</v>
      </c>
      <c r="J1713" s="501">
        <v>0</v>
      </c>
      <c r="K1713" s="501">
        <v>0</v>
      </c>
      <c r="L1713" s="501">
        <v>0</v>
      </c>
      <c r="M1713" s="501">
        <v>248</v>
      </c>
      <c r="N1713" s="501">
        <v>0</v>
      </c>
      <c r="O1713" s="506">
        <v>11</v>
      </c>
    </row>
    <row r="1714" spans="1:15" x14ac:dyDescent="0.35">
      <c r="A1714" s="503" t="s">
        <v>1150</v>
      </c>
      <c r="B1714" s="504" t="s">
        <v>2975</v>
      </c>
      <c r="C1714" s="504" t="s">
        <v>1094</v>
      </c>
      <c r="D1714" s="504" t="s">
        <v>3380</v>
      </c>
      <c r="E1714" s="504" t="s">
        <v>3381</v>
      </c>
      <c r="F1714" s="504" t="s">
        <v>525</v>
      </c>
      <c r="G1714" s="504" t="s">
        <v>526</v>
      </c>
      <c r="H1714" s="504" t="s">
        <v>4699</v>
      </c>
      <c r="I1714" s="504">
        <v>94</v>
      </c>
      <c r="J1714" s="504">
        <v>69</v>
      </c>
      <c r="K1714" s="504">
        <v>0</v>
      </c>
      <c r="L1714" s="504">
        <v>0</v>
      </c>
      <c r="M1714" s="504">
        <v>0</v>
      </c>
      <c r="N1714" s="504">
        <v>0</v>
      </c>
      <c r="O1714" s="505">
        <v>25</v>
      </c>
    </row>
    <row r="1715" spans="1:15" x14ac:dyDescent="0.35">
      <c r="A1715" s="500" t="s">
        <v>1151</v>
      </c>
      <c r="B1715" s="501">
        <v>4726</v>
      </c>
      <c r="C1715" s="501" t="s">
        <v>1089</v>
      </c>
      <c r="D1715" s="501" t="s">
        <v>3392</v>
      </c>
      <c r="E1715" s="501" t="s">
        <v>3381</v>
      </c>
      <c r="F1715" s="501" t="s">
        <v>525</v>
      </c>
      <c r="G1715" s="501" t="s">
        <v>526</v>
      </c>
      <c r="H1715" s="501" t="s">
        <v>4700</v>
      </c>
      <c r="I1715" s="501">
        <v>5</v>
      </c>
      <c r="J1715" s="501">
        <v>5</v>
      </c>
      <c r="K1715" s="501">
        <v>0</v>
      </c>
      <c r="L1715" s="501">
        <v>0</v>
      </c>
      <c r="M1715" s="501">
        <v>0</v>
      </c>
      <c r="N1715" s="501">
        <v>0</v>
      </c>
      <c r="O1715" s="506">
        <v>0</v>
      </c>
    </row>
    <row r="1716" spans="1:15" x14ac:dyDescent="0.35">
      <c r="A1716" s="503" t="s">
        <v>1672</v>
      </c>
      <c r="B1716" s="504" t="s">
        <v>3166</v>
      </c>
      <c r="C1716" s="504" t="s">
        <v>1094</v>
      </c>
      <c r="D1716" s="504" t="s">
        <v>3380</v>
      </c>
      <c r="E1716" s="504" t="s">
        <v>3381</v>
      </c>
      <c r="F1716" s="504" t="s">
        <v>525</v>
      </c>
      <c r="G1716" s="504" t="s">
        <v>526</v>
      </c>
      <c r="H1716" s="504" t="s">
        <v>4701</v>
      </c>
      <c r="I1716" s="504">
        <v>774</v>
      </c>
      <c r="J1716" s="504">
        <v>508</v>
      </c>
      <c r="K1716" s="504">
        <v>0</v>
      </c>
      <c r="L1716" s="504">
        <v>0</v>
      </c>
      <c r="M1716" s="504">
        <v>0</v>
      </c>
      <c r="N1716" s="504">
        <v>0</v>
      </c>
      <c r="O1716" s="505">
        <v>266</v>
      </c>
    </row>
    <row r="1717" spans="1:15" x14ac:dyDescent="0.35">
      <c r="A1717" s="500" t="s">
        <v>1674</v>
      </c>
      <c r="B1717" s="501">
        <v>4765</v>
      </c>
      <c r="C1717" s="501" t="s">
        <v>1089</v>
      </c>
      <c r="D1717" s="501" t="s">
        <v>3392</v>
      </c>
      <c r="E1717" s="501" t="s">
        <v>3381</v>
      </c>
      <c r="F1717" s="501" t="s">
        <v>525</v>
      </c>
      <c r="G1717" s="501" t="s">
        <v>526</v>
      </c>
      <c r="H1717" s="501" t="s">
        <v>4702</v>
      </c>
      <c r="I1717" s="501">
        <v>11</v>
      </c>
      <c r="J1717" s="501">
        <v>11</v>
      </c>
      <c r="K1717" s="501">
        <v>0</v>
      </c>
      <c r="L1717" s="501">
        <v>0</v>
      </c>
      <c r="M1717" s="501">
        <v>0</v>
      </c>
      <c r="N1717" s="501">
        <v>0</v>
      </c>
      <c r="O1717" s="506">
        <v>0</v>
      </c>
    </row>
    <row r="1718" spans="1:15" x14ac:dyDescent="0.35">
      <c r="A1718" s="503" t="s">
        <v>11363</v>
      </c>
      <c r="B1718" s="504">
        <v>4718</v>
      </c>
      <c r="C1718" s="504" t="s">
        <v>1094</v>
      </c>
      <c r="D1718" s="504" t="s">
        <v>3380</v>
      </c>
      <c r="E1718" s="504" t="s">
        <v>3381</v>
      </c>
      <c r="F1718" s="504" t="s">
        <v>525</v>
      </c>
      <c r="G1718" s="504" t="s">
        <v>526</v>
      </c>
      <c r="H1718" s="504" t="s">
        <v>11525</v>
      </c>
      <c r="I1718" s="504">
        <v>4</v>
      </c>
      <c r="J1718" s="504">
        <v>0</v>
      </c>
      <c r="K1718" s="504">
        <v>0</v>
      </c>
      <c r="L1718" s="504">
        <v>4</v>
      </c>
      <c r="M1718" s="504">
        <v>0</v>
      </c>
      <c r="N1718" s="504">
        <v>0</v>
      </c>
      <c r="O1718" s="505">
        <v>0</v>
      </c>
    </row>
    <row r="1719" spans="1:15" x14ac:dyDescent="0.35">
      <c r="A1719" s="500" t="s">
        <v>1403</v>
      </c>
      <c r="B1719" s="501">
        <v>4733</v>
      </c>
      <c r="C1719" s="501" t="s">
        <v>1089</v>
      </c>
      <c r="D1719" s="501" t="s">
        <v>3392</v>
      </c>
      <c r="E1719" s="501" t="s">
        <v>3381</v>
      </c>
      <c r="F1719" s="501" t="s">
        <v>525</v>
      </c>
      <c r="G1719" s="501" t="s">
        <v>526</v>
      </c>
      <c r="H1719" s="501" t="s">
        <v>11612</v>
      </c>
      <c r="I1719" s="501">
        <v>21</v>
      </c>
      <c r="J1719" s="501">
        <v>0</v>
      </c>
      <c r="K1719" s="501">
        <v>0</v>
      </c>
      <c r="L1719" s="501">
        <v>21</v>
      </c>
      <c r="M1719" s="501">
        <v>0</v>
      </c>
      <c r="N1719" s="501">
        <v>0</v>
      </c>
      <c r="O1719" s="506">
        <v>0</v>
      </c>
    </row>
    <row r="1720" spans="1:15" x14ac:dyDescent="0.35">
      <c r="A1720" s="503" t="s">
        <v>1684</v>
      </c>
      <c r="B1720" s="504" t="s">
        <v>2630</v>
      </c>
      <c r="C1720" s="504" t="s">
        <v>1089</v>
      </c>
      <c r="D1720" s="504" t="s">
        <v>3392</v>
      </c>
      <c r="E1720" s="504" t="s">
        <v>3381</v>
      </c>
      <c r="F1720" s="504" t="s">
        <v>525</v>
      </c>
      <c r="G1720" s="504" t="s">
        <v>526</v>
      </c>
      <c r="H1720" s="504" t="s">
        <v>4703</v>
      </c>
      <c r="I1720" s="504">
        <v>10</v>
      </c>
      <c r="J1720" s="504">
        <v>10</v>
      </c>
      <c r="K1720" s="504">
        <v>0</v>
      </c>
      <c r="L1720" s="504">
        <v>0</v>
      </c>
      <c r="M1720" s="504">
        <v>0</v>
      </c>
      <c r="N1720" s="504">
        <v>0</v>
      </c>
      <c r="O1720" s="505">
        <v>0</v>
      </c>
    </row>
    <row r="1721" spans="1:15" x14ac:dyDescent="0.35">
      <c r="A1721" s="500" t="s">
        <v>1162</v>
      </c>
      <c r="B1721" s="501" t="s">
        <v>3203</v>
      </c>
      <c r="C1721" s="501" t="s">
        <v>1094</v>
      </c>
      <c r="D1721" s="501" t="s">
        <v>3380</v>
      </c>
      <c r="E1721" s="501" t="s">
        <v>3381</v>
      </c>
      <c r="F1721" s="501" t="s">
        <v>525</v>
      </c>
      <c r="G1721" s="501" t="s">
        <v>526</v>
      </c>
      <c r="H1721" s="501" t="s">
        <v>4704</v>
      </c>
      <c r="I1721" s="501">
        <v>4990</v>
      </c>
      <c r="J1721" s="501">
        <v>3758</v>
      </c>
      <c r="K1721" s="501">
        <v>0</v>
      </c>
      <c r="L1721" s="501">
        <v>5</v>
      </c>
      <c r="M1721" s="501">
        <v>1182</v>
      </c>
      <c r="N1721" s="501">
        <v>8</v>
      </c>
      <c r="O1721" s="506">
        <v>45</v>
      </c>
    </row>
    <row r="1722" spans="1:15" x14ac:dyDescent="0.35">
      <c r="A1722" s="503" t="s">
        <v>1100</v>
      </c>
      <c r="B1722" s="504">
        <v>4865</v>
      </c>
      <c r="C1722" s="504" t="s">
        <v>1094</v>
      </c>
      <c r="D1722" s="504" t="s">
        <v>3380</v>
      </c>
      <c r="E1722" s="504" t="s">
        <v>3381</v>
      </c>
      <c r="F1722" s="504" t="s">
        <v>525</v>
      </c>
      <c r="G1722" s="504" t="s">
        <v>526</v>
      </c>
      <c r="H1722" s="504" t="s">
        <v>11647</v>
      </c>
      <c r="I1722" s="504">
        <v>97</v>
      </c>
      <c r="J1722" s="504">
        <v>72</v>
      </c>
      <c r="K1722" s="504">
        <v>0</v>
      </c>
      <c r="L1722" s="504">
        <v>0</v>
      </c>
      <c r="M1722" s="504">
        <v>0</v>
      </c>
      <c r="N1722" s="504">
        <v>0</v>
      </c>
      <c r="O1722" s="505">
        <v>25</v>
      </c>
    </row>
    <row r="1723" spans="1:15" x14ac:dyDescent="0.35">
      <c r="A1723" s="500" t="s">
        <v>11400</v>
      </c>
      <c r="B1723" s="501" t="s">
        <v>2932</v>
      </c>
      <c r="C1723" s="501" t="s">
        <v>1089</v>
      </c>
      <c r="D1723" s="501" t="s">
        <v>3392</v>
      </c>
      <c r="E1723" s="501" t="s">
        <v>3381</v>
      </c>
      <c r="F1723" s="501" t="s">
        <v>525</v>
      </c>
      <c r="G1723" s="501" t="s">
        <v>526</v>
      </c>
      <c r="H1723" s="501" t="s">
        <v>11657</v>
      </c>
      <c r="I1723" s="501">
        <v>72</v>
      </c>
      <c r="J1723" s="501">
        <v>0</v>
      </c>
      <c r="K1723" s="501">
        <v>0</v>
      </c>
      <c r="L1723" s="501">
        <v>72</v>
      </c>
      <c r="M1723" s="501">
        <v>0</v>
      </c>
      <c r="N1723" s="501">
        <v>0</v>
      </c>
      <c r="O1723" s="506">
        <v>0</v>
      </c>
    </row>
    <row r="1724" spans="1:15" x14ac:dyDescent="0.35">
      <c r="A1724" s="503" t="s">
        <v>1174</v>
      </c>
      <c r="B1724" s="504">
        <v>4784</v>
      </c>
      <c r="C1724" s="504" t="s">
        <v>1089</v>
      </c>
      <c r="D1724" s="504" t="s">
        <v>3392</v>
      </c>
      <c r="E1724" s="504" t="s">
        <v>3381</v>
      </c>
      <c r="F1724" s="504" t="s">
        <v>525</v>
      </c>
      <c r="G1724" s="504" t="s">
        <v>526</v>
      </c>
      <c r="H1724" s="504" t="s">
        <v>4705</v>
      </c>
      <c r="I1724" s="504">
        <v>8</v>
      </c>
      <c r="J1724" s="504">
        <v>0</v>
      </c>
      <c r="K1724" s="504">
        <v>0</v>
      </c>
      <c r="L1724" s="504">
        <v>8</v>
      </c>
      <c r="M1724" s="504">
        <v>0</v>
      </c>
      <c r="N1724" s="504">
        <v>0</v>
      </c>
      <c r="O1724" s="505">
        <v>0</v>
      </c>
    </row>
    <row r="1725" spans="1:15" x14ac:dyDescent="0.35">
      <c r="A1725" s="500" t="s">
        <v>1702</v>
      </c>
      <c r="B1725" s="501" t="s">
        <v>2616</v>
      </c>
      <c r="C1725" s="501" t="s">
        <v>1089</v>
      </c>
      <c r="D1725" s="501" t="s">
        <v>3392</v>
      </c>
      <c r="E1725" s="501" t="s">
        <v>3381</v>
      </c>
      <c r="F1725" s="501" t="s">
        <v>525</v>
      </c>
      <c r="G1725" s="501" t="s">
        <v>526</v>
      </c>
      <c r="H1725" s="501" t="s">
        <v>4706</v>
      </c>
      <c r="I1725" s="501">
        <v>7</v>
      </c>
      <c r="J1725" s="501">
        <v>0</v>
      </c>
      <c r="K1725" s="501">
        <v>0</v>
      </c>
      <c r="L1725" s="501">
        <v>0</v>
      </c>
      <c r="M1725" s="501">
        <v>7</v>
      </c>
      <c r="N1725" s="501">
        <v>0</v>
      </c>
      <c r="O1725" s="506">
        <v>0</v>
      </c>
    </row>
    <row r="1726" spans="1:15" x14ac:dyDescent="0.35">
      <c r="A1726" s="503" t="s">
        <v>1183</v>
      </c>
      <c r="B1726" s="504" t="s">
        <v>3038</v>
      </c>
      <c r="C1726" s="504" t="s">
        <v>1094</v>
      </c>
      <c r="D1726" s="504" t="s">
        <v>3380</v>
      </c>
      <c r="E1726" s="504" t="s">
        <v>3381</v>
      </c>
      <c r="F1726" s="504" t="s">
        <v>525</v>
      </c>
      <c r="G1726" s="504" t="s">
        <v>526</v>
      </c>
      <c r="H1726" s="504" t="s">
        <v>4707</v>
      </c>
      <c r="I1726" s="504">
        <v>944</v>
      </c>
      <c r="J1726" s="504">
        <v>707</v>
      </c>
      <c r="K1726" s="504">
        <v>0</v>
      </c>
      <c r="L1726" s="504">
        <v>0</v>
      </c>
      <c r="M1726" s="504">
        <v>0</v>
      </c>
      <c r="N1726" s="504">
        <v>0</v>
      </c>
      <c r="O1726" s="505">
        <v>237</v>
      </c>
    </row>
    <row r="1727" spans="1:15" x14ac:dyDescent="0.35">
      <c r="A1727" s="500" t="s">
        <v>1186</v>
      </c>
      <c r="B1727" s="501">
        <v>4661</v>
      </c>
      <c r="C1727" s="501" t="s">
        <v>1089</v>
      </c>
      <c r="D1727" s="501" t="s">
        <v>3392</v>
      </c>
      <c r="E1727" s="501" t="s">
        <v>3381</v>
      </c>
      <c r="F1727" s="501" t="s">
        <v>525</v>
      </c>
      <c r="G1727" s="501" t="s">
        <v>526</v>
      </c>
      <c r="H1727" s="501" t="s">
        <v>11722</v>
      </c>
      <c r="I1727" s="501">
        <v>13</v>
      </c>
      <c r="J1727" s="501">
        <v>0</v>
      </c>
      <c r="K1727" s="501">
        <v>0</v>
      </c>
      <c r="L1727" s="501">
        <v>13</v>
      </c>
      <c r="M1727" s="501">
        <v>0</v>
      </c>
      <c r="N1727" s="501">
        <v>0</v>
      </c>
      <c r="O1727" s="506">
        <v>0</v>
      </c>
    </row>
    <row r="1728" spans="1:15" x14ac:dyDescent="0.35">
      <c r="A1728" s="503" t="s">
        <v>1707</v>
      </c>
      <c r="B1728" s="504" t="s">
        <v>3198</v>
      </c>
      <c r="C1728" s="504" t="s">
        <v>1094</v>
      </c>
      <c r="D1728" s="504" t="s">
        <v>3380</v>
      </c>
      <c r="E1728" s="504" t="s">
        <v>3381</v>
      </c>
      <c r="F1728" s="504" t="s">
        <v>525</v>
      </c>
      <c r="G1728" s="504" t="s">
        <v>526</v>
      </c>
      <c r="H1728" s="504" t="s">
        <v>11724</v>
      </c>
      <c r="I1728" s="504">
        <v>39</v>
      </c>
      <c r="J1728" s="504">
        <v>15</v>
      </c>
      <c r="K1728" s="504">
        <v>0</v>
      </c>
      <c r="L1728" s="504">
        <v>0</v>
      </c>
      <c r="M1728" s="504">
        <v>0</v>
      </c>
      <c r="N1728" s="504">
        <v>0</v>
      </c>
      <c r="O1728" s="505">
        <v>24</v>
      </c>
    </row>
    <row r="1729" spans="1:15" x14ac:dyDescent="0.35">
      <c r="A1729" s="500" t="s">
        <v>1105</v>
      </c>
      <c r="B1729" s="501">
        <v>4668</v>
      </c>
      <c r="C1729" s="501" t="s">
        <v>1094</v>
      </c>
      <c r="D1729" s="501" t="s">
        <v>3380</v>
      </c>
      <c r="E1729" s="501" t="s">
        <v>3381</v>
      </c>
      <c r="F1729" s="501" t="s">
        <v>525</v>
      </c>
      <c r="G1729" s="501" t="s">
        <v>526</v>
      </c>
      <c r="H1729" s="501" t="s">
        <v>4708</v>
      </c>
      <c r="I1729" s="501">
        <v>188</v>
      </c>
      <c r="J1729" s="501">
        <v>0</v>
      </c>
      <c r="K1729" s="501">
        <v>0</v>
      </c>
      <c r="L1729" s="501">
        <v>0</v>
      </c>
      <c r="M1729" s="501">
        <v>0</v>
      </c>
      <c r="N1729" s="501">
        <v>0</v>
      </c>
      <c r="O1729" s="506">
        <v>188</v>
      </c>
    </row>
    <row r="1730" spans="1:15" x14ac:dyDescent="0.35">
      <c r="A1730" s="503" t="s">
        <v>1188</v>
      </c>
      <c r="B1730" s="504">
        <v>4760</v>
      </c>
      <c r="C1730" s="504" t="s">
        <v>1089</v>
      </c>
      <c r="D1730" s="504" t="s">
        <v>3392</v>
      </c>
      <c r="E1730" s="504" t="s">
        <v>3381</v>
      </c>
      <c r="F1730" s="504" t="s">
        <v>525</v>
      </c>
      <c r="G1730" s="504" t="s">
        <v>526</v>
      </c>
      <c r="H1730" s="504" t="s">
        <v>4709</v>
      </c>
      <c r="I1730" s="504">
        <v>58</v>
      </c>
      <c r="J1730" s="504">
        <v>0</v>
      </c>
      <c r="K1730" s="504">
        <v>0</v>
      </c>
      <c r="L1730" s="504">
        <v>58</v>
      </c>
      <c r="M1730" s="504">
        <v>0</v>
      </c>
      <c r="N1730" s="504">
        <v>0</v>
      </c>
      <c r="O1730" s="505">
        <v>0</v>
      </c>
    </row>
    <row r="1731" spans="1:15" x14ac:dyDescent="0.35">
      <c r="A1731" s="500" t="s">
        <v>1714</v>
      </c>
      <c r="B1731" s="501" t="s">
        <v>3287</v>
      </c>
      <c r="C1731" s="501" t="s">
        <v>1094</v>
      </c>
      <c r="D1731" s="501" t="s">
        <v>3380</v>
      </c>
      <c r="E1731" s="501" t="s">
        <v>3381</v>
      </c>
      <c r="F1731" s="501" t="s">
        <v>525</v>
      </c>
      <c r="G1731" s="501" t="s">
        <v>526</v>
      </c>
      <c r="H1731" s="501" t="s">
        <v>4710</v>
      </c>
      <c r="I1731" s="501">
        <v>104</v>
      </c>
      <c r="J1731" s="501">
        <v>54</v>
      </c>
      <c r="K1731" s="501">
        <v>0</v>
      </c>
      <c r="L1731" s="501">
        <v>0</v>
      </c>
      <c r="M1731" s="501">
        <v>0</v>
      </c>
      <c r="N1731" s="501">
        <v>0</v>
      </c>
      <c r="O1731" s="506">
        <v>50</v>
      </c>
    </row>
    <row r="1732" spans="1:15" x14ac:dyDescent="0.35">
      <c r="A1732" s="503" t="s">
        <v>1190</v>
      </c>
      <c r="B1732" s="504">
        <v>4662</v>
      </c>
      <c r="C1732" s="504" t="s">
        <v>1094</v>
      </c>
      <c r="D1732" s="504" t="s">
        <v>3380</v>
      </c>
      <c r="E1732" s="504" t="s">
        <v>3381</v>
      </c>
      <c r="F1732" s="504" t="s">
        <v>525</v>
      </c>
      <c r="G1732" s="504" t="s">
        <v>526</v>
      </c>
      <c r="H1732" s="504" t="s">
        <v>4711</v>
      </c>
      <c r="I1732" s="504">
        <v>34</v>
      </c>
      <c r="J1732" s="504">
        <v>0</v>
      </c>
      <c r="K1732" s="504">
        <v>0</v>
      </c>
      <c r="L1732" s="504">
        <v>34</v>
      </c>
      <c r="M1732" s="504">
        <v>0</v>
      </c>
      <c r="N1732" s="504">
        <v>0</v>
      </c>
      <c r="O1732" s="505">
        <v>0</v>
      </c>
    </row>
    <row r="1733" spans="1:15" x14ac:dyDescent="0.35">
      <c r="A1733" s="500" t="s">
        <v>11401</v>
      </c>
      <c r="B1733" s="501" t="s">
        <v>3241</v>
      </c>
      <c r="C1733" s="501" t="s">
        <v>1094</v>
      </c>
      <c r="D1733" s="501" t="s">
        <v>3380</v>
      </c>
      <c r="E1733" s="501" t="s">
        <v>3381</v>
      </c>
      <c r="F1733" s="501" t="s">
        <v>525</v>
      </c>
      <c r="G1733" s="501" t="s">
        <v>526</v>
      </c>
      <c r="H1733" s="501" t="s">
        <v>11776</v>
      </c>
      <c r="I1733" s="501">
        <v>267</v>
      </c>
      <c r="J1733" s="501">
        <v>236</v>
      </c>
      <c r="K1733" s="501">
        <v>0</v>
      </c>
      <c r="L1733" s="501">
        <v>0</v>
      </c>
      <c r="M1733" s="501">
        <v>7</v>
      </c>
      <c r="N1733" s="501">
        <v>0</v>
      </c>
      <c r="O1733" s="506">
        <v>24</v>
      </c>
    </row>
    <row r="1734" spans="1:15" x14ac:dyDescent="0.35">
      <c r="A1734" s="503" t="s">
        <v>14243</v>
      </c>
      <c r="B1734" s="504">
        <v>5149</v>
      </c>
      <c r="C1734" s="504" t="s">
        <v>1089</v>
      </c>
      <c r="D1734" s="504" t="s">
        <v>3392</v>
      </c>
      <c r="E1734" s="504" t="s">
        <v>3381</v>
      </c>
      <c r="F1734" s="504" t="s">
        <v>525</v>
      </c>
      <c r="G1734" s="504" t="s">
        <v>526</v>
      </c>
      <c r="H1734" s="504" t="s">
        <v>14571</v>
      </c>
      <c r="I1734" s="504">
        <v>6</v>
      </c>
      <c r="J1734" s="504">
        <v>6</v>
      </c>
      <c r="K1734" s="504">
        <v>0</v>
      </c>
      <c r="L1734" s="504">
        <v>0</v>
      </c>
      <c r="M1734" s="504">
        <v>0</v>
      </c>
      <c r="N1734" s="504">
        <v>0</v>
      </c>
      <c r="O1734" s="505">
        <v>0</v>
      </c>
    </row>
    <row r="1735" spans="1:15" x14ac:dyDescent="0.35">
      <c r="A1735" s="500" t="s">
        <v>1310</v>
      </c>
      <c r="B1735" s="501">
        <v>5062</v>
      </c>
      <c r="C1735" s="501" t="s">
        <v>1089</v>
      </c>
      <c r="D1735" s="501" t="s">
        <v>3380</v>
      </c>
      <c r="E1735" s="501" t="s">
        <v>3381</v>
      </c>
      <c r="F1735" s="501" t="s">
        <v>525</v>
      </c>
      <c r="G1735" s="501" t="s">
        <v>526</v>
      </c>
      <c r="H1735" s="501" t="s">
        <v>11806</v>
      </c>
      <c r="I1735" s="501">
        <v>3</v>
      </c>
      <c r="J1735" s="501">
        <v>0</v>
      </c>
      <c r="K1735" s="501">
        <v>0</v>
      </c>
      <c r="L1735" s="501">
        <v>0</v>
      </c>
      <c r="M1735" s="501">
        <v>0</v>
      </c>
      <c r="N1735" s="501">
        <v>0</v>
      </c>
      <c r="O1735" s="506">
        <v>3</v>
      </c>
    </row>
    <row r="1736" spans="1:15" x14ac:dyDescent="0.35">
      <c r="A1736" s="503" t="s">
        <v>1197</v>
      </c>
      <c r="B1736" s="504">
        <v>4863</v>
      </c>
      <c r="C1736" s="504" t="s">
        <v>1089</v>
      </c>
      <c r="D1736" s="504" t="s">
        <v>3392</v>
      </c>
      <c r="E1736" s="504" t="s">
        <v>3381</v>
      </c>
      <c r="F1736" s="504" t="s">
        <v>525</v>
      </c>
      <c r="G1736" s="504" t="s">
        <v>526</v>
      </c>
      <c r="H1736" s="504" t="s">
        <v>4713</v>
      </c>
      <c r="I1736" s="504">
        <v>1</v>
      </c>
      <c r="J1736" s="504">
        <v>0</v>
      </c>
      <c r="K1736" s="504">
        <v>0</v>
      </c>
      <c r="L1736" s="504">
        <v>1</v>
      </c>
      <c r="M1736" s="504">
        <v>0</v>
      </c>
      <c r="N1736" s="504">
        <v>0</v>
      </c>
      <c r="O1736" s="505">
        <v>0</v>
      </c>
    </row>
    <row r="1737" spans="1:15" x14ac:dyDescent="0.35">
      <c r="A1737" s="500" t="s">
        <v>1734</v>
      </c>
      <c r="B1737" s="501" t="s">
        <v>3191</v>
      </c>
      <c r="C1737" s="501" t="s">
        <v>1094</v>
      </c>
      <c r="D1737" s="501" t="s">
        <v>3380</v>
      </c>
      <c r="E1737" s="501" t="s">
        <v>3381</v>
      </c>
      <c r="F1737" s="501" t="s">
        <v>525</v>
      </c>
      <c r="G1737" s="501" t="s">
        <v>526</v>
      </c>
      <c r="H1737" s="501" t="s">
        <v>4714</v>
      </c>
      <c r="I1737" s="501">
        <v>69</v>
      </c>
      <c r="J1737" s="501">
        <v>35</v>
      </c>
      <c r="K1737" s="501">
        <v>0</v>
      </c>
      <c r="L1737" s="501">
        <v>0</v>
      </c>
      <c r="M1737" s="501">
        <v>0</v>
      </c>
      <c r="N1737" s="501">
        <v>0</v>
      </c>
      <c r="O1737" s="506">
        <v>34</v>
      </c>
    </row>
    <row r="1738" spans="1:15" x14ac:dyDescent="0.35">
      <c r="A1738" s="503" t="s">
        <v>1739</v>
      </c>
      <c r="B1738" s="504">
        <v>4857</v>
      </c>
      <c r="C1738" s="504" t="s">
        <v>1094</v>
      </c>
      <c r="D1738" s="504" t="s">
        <v>3380</v>
      </c>
      <c r="E1738" s="504" t="s">
        <v>3381</v>
      </c>
      <c r="F1738" s="504" t="s">
        <v>525</v>
      </c>
      <c r="G1738" s="504" t="s">
        <v>526</v>
      </c>
      <c r="H1738" s="504" t="s">
        <v>4715</v>
      </c>
      <c r="I1738" s="504">
        <v>5</v>
      </c>
      <c r="J1738" s="504">
        <v>5</v>
      </c>
      <c r="K1738" s="504">
        <v>0</v>
      </c>
      <c r="L1738" s="504">
        <v>0</v>
      </c>
      <c r="M1738" s="504">
        <v>0</v>
      </c>
      <c r="N1738" s="504">
        <v>0</v>
      </c>
      <c r="O1738" s="505">
        <v>0</v>
      </c>
    </row>
    <row r="1739" spans="1:15" x14ac:dyDescent="0.35">
      <c r="A1739" s="500" t="s">
        <v>1208</v>
      </c>
      <c r="B1739" s="501" t="s">
        <v>3096</v>
      </c>
      <c r="C1739" s="501" t="s">
        <v>1094</v>
      </c>
      <c r="D1739" s="501" t="s">
        <v>3380</v>
      </c>
      <c r="E1739" s="501" t="s">
        <v>3381</v>
      </c>
      <c r="F1739" s="501" t="s">
        <v>525</v>
      </c>
      <c r="G1739" s="501" t="s">
        <v>526</v>
      </c>
      <c r="H1739" s="501" t="s">
        <v>4716</v>
      </c>
      <c r="I1739" s="501">
        <v>459</v>
      </c>
      <c r="J1739" s="501">
        <v>397</v>
      </c>
      <c r="K1739" s="501">
        <v>0</v>
      </c>
      <c r="L1739" s="501">
        <v>24</v>
      </c>
      <c r="M1739" s="501">
        <v>0</v>
      </c>
      <c r="N1739" s="501">
        <v>0</v>
      </c>
      <c r="O1739" s="506">
        <v>38</v>
      </c>
    </row>
    <row r="1740" spans="1:15" x14ac:dyDescent="0.35">
      <c r="A1740" s="503" t="s">
        <v>1209</v>
      </c>
      <c r="B1740" s="504">
        <v>4779</v>
      </c>
      <c r="C1740" s="504" t="s">
        <v>1094</v>
      </c>
      <c r="D1740" s="504" t="s">
        <v>3380</v>
      </c>
      <c r="E1740" s="504" t="s">
        <v>3381</v>
      </c>
      <c r="F1740" s="504" t="s">
        <v>525</v>
      </c>
      <c r="G1740" s="504" t="s">
        <v>526</v>
      </c>
      <c r="H1740" s="504" t="s">
        <v>4717</v>
      </c>
      <c r="I1740" s="504">
        <v>3</v>
      </c>
      <c r="J1740" s="504">
        <v>0</v>
      </c>
      <c r="K1740" s="504">
        <v>0</v>
      </c>
      <c r="L1740" s="504">
        <v>3</v>
      </c>
      <c r="M1740" s="504">
        <v>0</v>
      </c>
      <c r="N1740" s="504">
        <v>0</v>
      </c>
      <c r="O1740" s="505">
        <v>0</v>
      </c>
    </row>
    <row r="1741" spans="1:15" x14ac:dyDescent="0.35">
      <c r="A1741" s="500" t="s">
        <v>1743</v>
      </c>
      <c r="B1741" s="501">
        <v>4804</v>
      </c>
      <c r="C1741" s="501" t="s">
        <v>1094</v>
      </c>
      <c r="D1741" s="501" t="s">
        <v>3380</v>
      </c>
      <c r="E1741" s="501" t="s">
        <v>3381</v>
      </c>
      <c r="F1741" s="501" t="s">
        <v>525</v>
      </c>
      <c r="G1741" s="501" t="s">
        <v>526</v>
      </c>
      <c r="H1741" s="501" t="s">
        <v>4718</v>
      </c>
      <c r="I1741" s="501">
        <v>135</v>
      </c>
      <c r="J1741" s="501">
        <v>100</v>
      </c>
      <c r="K1741" s="501">
        <v>0</v>
      </c>
      <c r="L1741" s="501">
        <v>0</v>
      </c>
      <c r="M1741" s="501">
        <v>0</v>
      </c>
      <c r="N1741" s="501">
        <v>0</v>
      </c>
      <c r="O1741" s="506">
        <v>35</v>
      </c>
    </row>
    <row r="1742" spans="1:15" x14ac:dyDescent="0.35">
      <c r="A1742" s="503" t="s">
        <v>1744</v>
      </c>
      <c r="B1742" s="504" t="s">
        <v>3245</v>
      </c>
      <c r="C1742" s="504" t="s">
        <v>1094</v>
      </c>
      <c r="D1742" s="504" t="s">
        <v>3380</v>
      </c>
      <c r="E1742" s="504" t="s">
        <v>3381</v>
      </c>
      <c r="F1742" s="504" t="s">
        <v>525</v>
      </c>
      <c r="G1742" s="504" t="s">
        <v>526</v>
      </c>
      <c r="H1742" s="504" t="s">
        <v>4719</v>
      </c>
      <c r="I1742" s="504">
        <v>1039</v>
      </c>
      <c r="J1742" s="504">
        <v>693</v>
      </c>
      <c r="K1742" s="504">
        <v>0</v>
      </c>
      <c r="L1742" s="504">
        <v>234</v>
      </c>
      <c r="M1742" s="504">
        <v>32</v>
      </c>
      <c r="N1742" s="504">
        <v>8</v>
      </c>
      <c r="O1742" s="505">
        <v>80</v>
      </c>
    </row>
    <row r="1743" spans="1:15" x14ac:dyDescent="0.35">
      <c r="A1743" s="500" t="s">
        <v>1223</v>
      </c>
      <c r="B1743" s="501">
        <v>4768</v>
      </c>
      <c r="C1743" s="501" t="s">
        <v>1089</v>
      </c>
      <c r="D1743" s="501" t="s">
        <v>3392</v>
      </c>
      <c r="E1743" s="501" t="s">
        <v>3381</v>
      </c>
      <c r="F1743" s="501" t="s">
        <v>525</v>
      </c>
      <c r="G1743" s="501" t="s">
        <v>526</v>
      </c>
      <c r="H1743" s="501" t="s">
        <v>4720</v>
      </c>
      <c r="I1743" s="501">
        <v>2</v>
      </c>
      <c r="J1743" s="501">
        <v>0</v>
      </c>
      <c r="K1743" s="501">
        <v>0</v>
      </c>
      <c r="L1743" s="501">
        <v>2</v>
      </c>
      <c r="M1743" s="501">
        <v>0</v>
      </c>
      <c r="N1743" s="501">
        <v>0</v>
      </c>
      <c r="O1743" s="506">
        <v>0</v>
      </c>
    </row>
    <row r="1744" spans="1:15" x14ac:dyDescent="0.35">
      <c r="A1744" s="503" t="s">
        <v>1122</v>
      </c>
      <c r="B1744" s="504" t="s">
        <v>2994</v>
      </c>
      <c r="C1744" s="504" t="s">
        <v>1094</v>
      </c>
      <c r="D1744" s="504" t="s">
        <v>3380</v>
      </c>
      <c r="E1744" s="504" t="s">
        <v>3381</v>
      </c>
      <c r="F1744" s="504" t="s">
        <v>525</v>
      </c>
      <c r="G1744" s="504" t="s">
        <v>526</v>
      </c>
      <c r="H1744" s="504" t="s">
        <v>4721</v>
      </c>
      <c r="I1744" s="504">
        <v>273</v>
      </c>
      <c r="J1744" s="504">
        <v>164</v>
      </c>
      <c r="K1744" s="504">
        <v>0</v>
      </c>
      <c r="L1744" s="504">
        <v>0</v>
      </c>
      <c r="M1744" s="504">
        <v>72</v>
      </c>
      <c r="N1744" s="504">
        <v>0</v>
      </c>
      <c r="O1744" s="505">
        <v>37</v>
      </c>
    </row>
    <row r="1745" spans="1:15" x14ac:dyDescent="0.35">
      <c r="A1745" s="500" t="s">
        <v>1225</v>
      </c>
      <c r="B1745" s="501" t="s">
        <v>3315</v>
      </c>
      <c r="C1745" s="501" t="s">
        <v>1094</v>
      </c>
      <c r="D1745" s="501" t="s">
        <v>3380</v>
      </c>
      <c r="E1745" s="501" t="s">
        <v>3381</v>
      </c>
      <c r="F1745" s="501" t="s">
        <v>525</v>
      </c>
      <c r="G1745" s="501" t="s">
        <v>526</v>
      </c>
      <c r="H1745" s="501" t="s">
        <v>4722</v>
      </c>
      <c r="I1745" s="501">
        <v>22</v>
      </c>
      <c r="J1745" s="501">
        <v>0</v>
      </c>
      <c r="K1745" s="501">
        <v>0</v>
      </c>
      <c r="L1745" s="501">
        <v>22</v>
      </c>
      <c r="M1745" s="501">
        <v>0</v>
      </c>
      <c r="N1745" s="501">
        <v>0</v>
      </c>
      <c r="O1745" s="506">
        <v>0</v>
      </c>
    </row>
    <row r="1746" spans="1:15" x14ac:dyDescent="0.35">
      <c r="A1746" s="503" t="s">
        <v>1227</v>
      </c>
      <c r="B1746" s="504">
        <v>4757</v>
      </c>
      <c r="C1746" s="504" t="s">
        <v>1094</v>
      </c>
      <c r="D1746" s="504" t="s">
        <v>3392</v>
      </c>
      <c r="E1746" s="504" t="s">
        <v>3381</v>
      </c>
      <c r="F1746" s="504" t="s">
        <v>525</v>
      </c>
      <c r="G1746" s="504" t="s">
        <v>526</v>
      </c>
      <c r="H1746" s="504" t="s">
        <v>4723</v>
      </c>
      <c r="I1746" s="504">
        <v>5</v>
      </c>
      <c r="J1746" s="504">
        <v>5</v>
      </c>
      <c r="K1746" s="504">
        <v>0</v>
      </c>
      <c r="L1746" s="504">
        <v>0</v>
      </c>
      <c r="M1746" s="504">
        <v>0</v>
      </c>
      <c r="N1746" s="504">
        <v>0</v>
      </c>
      <c r="O1746" s="505">
        <v>0</v>
      </c>
    </row>
    <row r="1747" spans="1:15" x14ac:dyDescent="0.35">
      <c r="A1747" s="500" t="s">
        <v>1748</v>
      </c>
      <c r="B1747" s="501" t="s">
        <v>3233</v>
      </c>
      <c r="C1747" s="501" t="s">
        <v>1094</v>
      </c>
      <c r="D1747" s="501" t="s">
        <v>3380</v>
      </c>
      <c r="E1747" s="501" t="s">
        <v>3381</v>
      </c>
      <c r="F1747" s="501" t="s">
        <v>525</v>
      </c>
      <c r="G1747" s="501" t="s">
        <v>526</v>
      </c>
      <c r="H1747" s="501" t="s">
        <v>4724</v>
      </c>
      <c r="I1747" s="501">
        <v>4486</v>
      </c>
      <c r="J1747" s="501">
        <v>3998</v>
      </c>
      <c r="K1747" s="501">
        <v>0</v>
      </c>
      <c r="L1747" s="501">
        <v>122</v>
      </c>
      <c r="M1747" s="501">
        <v>82</v>
      </c>
      <c r="N1747" s="501">
        <v>0</v>
      </c>
      <c r="O1747" s="506">
        <v>284</v>
      </c>
    </row>
    <row r="1748" spans="1:15" x14ac:dyDescent="0.35">
      <c r="A1748" s="503" t="s">
        <v>1228</v>
      </c>
      <c r="B1748" s="504" t="s">
        <v>3321</v>
      </c>
      <c r="C1748" s="504" t="s">
        <v>1094</v>
      </c>
      <c r="D1748" s="504" t="s">
        <v>3380</v>
      </c>
      <c r="E1748" s="504" t="s">
        <v>3381</v>
      </c>
      <c r="F1748" s="504" t="s">
        <v>525</v>
      </c>
      <c r="G1748" s="504" t="s">
        <v>526</v>
      </c>
      <c r="H1748" s="504" t="s">
        <v>11995</v>
      </c>
      <c r="I1748" s="504">
        <v>4</v>
      </c>
      <c r="J1748" s="504">
        <v>0</v>
      </c>
      <c r="K1748" s="504">
        <v>0</v>
      </c>
      <c r="L1748" s="504">
        <v>4</v>
      </c>
      <c r="M1748" s="504">
        <v>0</v>
      </c>
      <c r="N1748" s="504">
        <v>0</v>
      </c>
      <c r="O1748" s="505">
        <v>0</v>
      </c>
    </row>
    <row r="1749" spans="1:15" x14ac:dyDescent="0.35">
      <c r="A1749" s="500" t="s">
        <v>1752</v>
      </c>
      <c r="B1749" s="501">
        <v>4653</v>
      </c>
      <c r="C1749" s="501" t="s">
        <v>1094</v>
      </c>
      <c r="D1749" s="501" t="s">
        <v>3380</v>
      </c>
      <c r="E1749" s="501" t="s">
        <v>3381</v>
      </c>
      <c r="F1749" s="501" t="s">
        <v>525</v>
      </c>
      <c r="G1749" s="501" t="s">
        <v>526</v>
      </c>
      <c r="H1749" s="501" t="s">
        <v>4725</v>
      </c>
      <c r="I1749" s="501">
        <v>890</v>
      </c>
      <c r="J1749" s="501">
        <v>793</v>
      </c>
      <c r="K1749" s="501">
        <v>0</v>
      </c>
      <c r="L1749" s="501">
        <v>49</v>
      </c>
      <c r="M1749" s="501">
        <v>21</v>
      </c>
      <c r="N1749" s="501">
        <v>0</v>
      </c>
      <c r="O1749" s="506">
        <v>27</v>
      </c>
    </row>
    <row r="1750" spans="1:15" x14ac:dyDescent="0.35">
      <c r="A1750" s="503" t="s">
        <v>1124</v>
      </c>
      <c r="B1750" s="504">
        <v>4745</v>
      </c>
      <c r="C1750" s="504" t="s">
        <v>1094</v>
      </c>
      <c r="D1750" s="504" t="s">
        <v>3380</v>
      </c>
      <c r="E1750" s="504" t="s">
        <v>3381</v>
      </c>
      <c r="F1750" s="504" t="s">
        <v>525</v>
      </c>
      <c r="G1750" s="504" t="s">
        <v>526</v>
      </c>
      <c r="H1750" s="504" t="s">
        <v>4726</v>
      </c>
      <c r="I1750" s="504">
        <v>5</v>
      </c>
      <c r="J1750" s="504">
        <v>0</v>
      </c>
      <c r="K1750" s="504">
        <v>0</v>
      </c>
      <c r="L1750" s="504">
        <v>5</v>
      </c>
      <c r="M1750" s="504">
        <v>0</v>
      </c>
      <c r="N1750" s="504">
        <v>0</v>
      </c>
      <c r="O1750" s="505">
        <v>0</v>
      </c>
    </row>
    <row r="1751" spans="1:15" x14ac:dyDescent="0.35">
      <c r="A1751" s="500" t="s">
        <v>1233</v>
      </c>
      <c r="B1751" s="501">
        <v>4636</v>
      </c>
      <c r="C1751" s="501" t="s">
        <v>1094</v>
      </c>
      <c r="D1751" s="501" t="s">
        <v>3380</v>
      </c>
      <c r="E1751" s="501" t="s">
        <v>3381</v>
      </c>
      <c r="F1751" s="501" t="s">
        <v>525</v>
      </c>
      <c r="G1751" s="501" t="s">
        <v>526</v>
      </c>
      <c r="H1751" s="501" t="s">
        <v>4727</v>
      </c>
      <c r="I1751" s="501">
        <v>203</v>
      </c>
      <c r="J1751" s="501">
        <v>56</v>
      </c>
      <c r="K1751" s="501">
        <v>0</v>
      </c>
      <c r="L1751" s="501">
        <v>0</v>
      </c>
      <c r="M1751" s="501">
        <v>0</v>
      </c>
      <c r="N1751" s="501">
        <v>0</v>
      </c>
      <c r="O1751" s="506">
        <v>147</v>
      </c>
    </row>
    <row r="1752" spans="1:15" x14ac:dyDescent="0.35">
      <c r="A1752" s="503" t="s">
        <v>11368</v>
      </c>
      <c r="B1752" s="504">
        <v>5083</v>
      </c>
      <c r="C1752" s="504" t="s">
        <v>1094</v>
      </c>
      <c r="D1752" s="504" t="s">
        <v>3380</v>
      </c>
      <c r="E1752" s="504" t="s">
        <v>3381</v>
      </c>
      <c r="F1752" s="504" t="s">
        <v>525</v>
      </c>
      <c r="G1752" s="504" t="s">
        <v>526</v>
      </c>
      <c r="H1752" s="504" t="s">
        <v>12041</v>
      </c>
      <c r="I1752" s="504">
        <v>62</v>
      </c>
      <c r="J1752" s="504">
        <v>62</v>
      </c>
      <c r="K1752" s="504">
        <v>0</v>
      </c>
      <c r="L1752" s="504">
        <v>0</v>
      </c>
      <c r="M1752" s="504">
        <v>0</v>
      </c>
      <c r="N1752" s="504">
        <v>0</v>
      </c>
      <c r="O1752" s="505">
        <v>0</v>
      </c>
    </row>
    <row r="1753" spans="1:15" x14ac:dyDescent="0.35">
      <c r="A1753" s="500" t="s">
        <v>1235</v>
      </c>
      <c r="B1753" s="501">
        <v>4684</v>
      </c>
      <c r="C1753" s="501" t="s">
        <v>1094</v>
      </c>
      <c r="D1753" s="501" t="s">
        <v>3380</v>
      </c>
      <c r="E1753" s="501" t="s">
        <v>3381</v>
      </c>
      <c r="F1753" s="501" t="s">
        <v>525</v>
      </c>
      <c r="G1753" s="501" t="s">
        <v>526</v>
      </c>
      <c r="H1753" s="501" t="s">
        <v>12099</v>
      </c>
      <c r="I1753" s="501">
        <v>26</v>
      </c>
      <c r="J1753" s="501">
        <v>0</v>
      </c>
      <c r="K1753" s="501">
        <v>0</v>
      </c>
      <c r="L1753" s="501">
        <v>26</v>
      </c>
      <c r="M1753" s="501">
        <v>0</v>
      </c>
      <c r="N1753" s="501">
        <v>0</v>
      </c>
      <c r="O1753" s="506">
        <v>0</v>
      </c>
    </row>
    <row r="1754" spans="1:15" x14ac:dyDescent="0.35">
      <c r="A1754" s="503" t="s">
        <v>1126</v>
      </c>
      <c r="B1754" s="504" t="s">
        <v>2974</v>
      </c>
      <c r="C1754" s="504" t="s">
        <v>1094</v>
      </c>
      <c r="D1754" s="504" t="s">
        <v>3380</v>
      </c>
      <c r="E1754" s="504" t="s">
        <v>3381</v>
      </c>
      <c r="F1754" s="504" t="s">
        <v>525</v>
      </c>
      <c r="G1754" s="504" t="s">
        <v>526</v>
      </c>
      <c r="H1754" s="504" t="s">
        <v>4728</v>
      </c>
      <c r="I1754" s="504">
        <v>332</v>
      </c>
      <c r="J1754" s="504">
        <v>214</v>
      </c>
      <c r="K1754" s="504">
        <v>0</v>
      </c>
      <c r="L1754" s="504">
        <v>16</v>
      </c>
      <c r="M1754" s="504">
        <v>66</v>
      </c>
      <c r="N1754" s="504">
        <v>0</v>
      </c>
      <c r="O1754" s="505">
        <v>36</v>
      </c>
    </row>
    <row r="1755" spans="1:15" x14ac:dyDescent="0.35">
      <c r="A1755" s="500" t="s">
        <v>1764</v>
      </c>
      <c r="B1755" s="501" t="s">
        <v>3214</v>
      </c>
      <c r="C1755" s="501" t="s">
        <v>1094</v>
      </c>
      <c r="D1755" s="501" t="s">
        <v>3380</v>
      </c>
      <c r="E1755" s="501" t="s">
        <v>3381</v>
      </c>
      <c r="F1755" s="501" t="s">
        <v>525</v>
      </c>
      <c r="G1755" s="501" t="s">
        <v>526</v>
      </c>
      <c r="H1755" s="501" t="s">
        <v>4729</v>
      </c>
      <c r="I1755" s="501">
        <v>25</v>
      </c>
      <c r="J1755" s="501">
        <v>12</v>
      </c>
      <c r="K1755" s="501">
        <v>0</v>
      </c>
      <c r="L1755" s="501">
        <v>0</v>
      </c>
      <c r="M1755" s="501">
        <v>0</v>
      </c>
      <c r="N1755" s="501">
        <v>0</v>
      </c>
      <c r="O1755" s="506">
        <v>13</v>
      </c>
    </row>
    <row r="1756" spans="1:15" x14ac:dyDescent="0.35">
      <c r="A1756" s="503" t="s">
        <v>14319</v>
      </c>
      <c r="B1756" s="504" t="s">
        <v>2611</v>
      </c>
      <c r="C1756" s="504" t="s">
        <v>1089</v>
      </c>
      <c r="D1756" s="504" t="s">
        <v>3392</v>
      </c>
      <c r="E1756" s="504" t="s">
        <v>3381</v>
      </c>
      <c r="F1756" s="504" t="s">
        <v>525</v>
      </c>
      <c r="G1756" s="504" t="s">
        <v>526</v>
      </c>
      <c r="H1756" s="504" t="s">
        <v>14572</v>
      </c>
      <c r="I1756" s="504">
        <v>12</v>
      </c>
      <c r="J1756" s="504">
        <v>0</v>
      </c>
      <c r="K1756" s="504">
        <v>0</v>
      </c>
      <c r="L1756" s="504">
        <v>0</v>
      </c>
      <c r="M1756" s="504">
        <v>12</v>
      </c>
      <c r="N1756" s="504">
        <v>0</v>
      </c>
      <c r="O1756" s="505">
        <v>0</v>
      </c>
    </row>
    <row r="1757" spans="1:15" x14ac:dyDescent="0.35">
      <c r="A1757" s="500" t="s">
        <v>14418</v>
      </c>
      <c r="B1757" s="501">
        <v>4749</v>
      </c>
      <c r="C1757" s="501" t="s">
        <v>1089</v>
      </c>
      <c r="D1757" s="501" t="s">
        <v>3392</v>
      </c>
      <c r="E1757" s="501" t="s">
        <v>3381</v>
      </c>
      <c r="F1757" s="501" t="s">
        <v>525</v>
      </c>
      <c r="G1757" s="501" t="s">
        <v>526</v>
      </c>
      <c r="H1757" s="501" t="s">
        <v>14573</v>
      </c>
      <c r="I1757" s="501">
        <v>21</v>
      </c>
      <c r="J1757" s="501">
        <v>0</v>
      </c>
      <c r="K1757" s="501">
        <v>0</v>
      </c>
      <c r="L1757" s="501">
        <v>21</v>
      </c>
      <c r="M1757" s="501">
        <v>0</v>
      </c>
      <c r="N1757" s="501">
        <v>0</v>
      </c>
      <c r="O1757" s="506">
        <v>0</v>
      </c>
    </row>
    <row r="1758" spans="1:15" x14ac:dyDescent="0.35">
      <c r="A1758" s="503" t="s">
        <v>1778</v>
      </c>
      <c r="B1758" s="504">
        <v>5052</v>
      </c>
      <c r="C1758" s="504" t="s">
        <v>1089</v>
      </c>
      <c r="D1758" s="504" t="s">
        <v>3392</v>
      </c>
      <c r="E1758" s="504" t="s">
        <v>3381</v>
      </c>
      <c r="F1758" s="504" t="s">
        <v>525</v>
      </c>
      <c r="G1758" s="504" t="s">
        <v>526</v>
      </c>
      <c r="H1758" s="504" t="s">
        <v>4734</v>
      </c>
      <c r="I1758" s="504">
        <v>58</v>
      </c>
      <c r="J1758" s="504">
        <v>58</v>
      </c>
      <c r="K1758" s="504">
        <v>0</v>
      </c>
      <c r="L1758" s="504">
        <v>0</v>
      </c>
      <c r="M1758" s="504">
        <v>0</v>
      </c>
      <c r="N1758" s="504">
        <v>0</v>
      </c>
      <c r="O1758" s="505">
        <v>0</v>
      </c>
    </row>
    <row r="1759" spans="1:15" x14ac:dyDescent="0.35">
      <c r="A1759" s="500" t="s">
        <v>1249</v>
      </c>
      <c r="B1759" s="501">
        <v>4729</v>
      </c>
      <c r="C1759" s="501" t="s">
        <v>1094</v>
      </c>
      <c r="D1759" s="501" t="s">
        <v>3380</v>
      </c>
      <c r="E1759" s="501" t="s">
        <v>3381</v>
      </c>
      <c r="F1759" s="501" t="s">
        <v>525</v>
      </c>
      <c r="G1759" s="501" t="s">
        <v>526</v>
      </c>
      <c r="H1759" s="501" t="s">
        <v>4730</v>
      </c>
      <c r="I1759" s="501">
        <v>5510</v>
      </c>
      <c r="J1759" s="501">
        <v>4428</v>
      </c>
      <c r="K1759" s="501">
        <v>0</v>
      </c>
      <c r="L1759" s="501">
        <v>30</v>
      </c>
      <c r="M1759" s="501">
        <v>964</v>
      </c>
      <c r="N1759" s="501">
        <v>2</v>
      </c>
      <c r="O1759" s="506">
        <v>88</v>
      </c>
    </row>
    <row r="1760" spans="1:15" x14ac:dyDescent="0.35">
      <c r="A1760" s="503" t="s">
        <v>1775</v>
      </c>
      <c r="B1760" s="504" t="s">
        <v>2647</v>
      </c>
      <c r="C1760" s="504" t="s">
        <v>1089</v>
      </c>
      <c r="D1760" s="504" t="s">
        <v>3392</v>
      </c>
      <c r="E1760" s="504" t="s">
        <v>3381</v>
      </c>
      <c r="F1760" s="504" t="s">
        <v>525</v>
      </c>
      <c r="G1760" s="504" t="s">
        <v>526</v>
      </c>
      <c r="H1760" s="504" t="s">
        <v>4731</v>
      </c>
      <c r="I1760" s="504">
        <v>5</v>
      </c>
      <c r="J1760" s="504">
        <v>0</v>
      </c>
      <c r="K1760" s="504">
        <v>0</v>
      </c>
      <c r="L1760" s="504">
        <v>0</v>
      </c>
      <c r="M1760" s="504">
        <v>5</v>
      </c>
      <c r="N1760" s="504">
        <v>0</v>
      </c>
      <c r="O1760" s="505">
        <v>0</v>
      </c>
    </row>
    <row r="1761" spans="1:15" x14ac:dyDescent="0.35">
      <c r="A1761" s="500" t="s">
        <v>1776</v>
      </c>
      <c r="B1761" s="501" t="s">
        <v>2602</v>
      </c>
      <c r="C1761" s="501" t="s">
        <v>1089</v>
      </c>
      <c r="D1761" s="501" t="s">
        <v>3392</v>
      </c>
      <c r="E1761" s="501" t="s">
        <v>3381</v>
      </c>
      <c r="F1761" s="501" t="s">
        <v>525</v>
      </c>
      <c r="G1761" s="501" t="s">
        <v>526</v>
      </c>
      <c r="H1761" s="501" t="s">
        <v>4732</v>
      </c>
      <c r="I1761" s="501">
        <v>6</v>
      </c>
      <c r="J1761" s="501">
        <v>0</v>
      </c>
      <c r="K1761" s="501">
        <v>0</v>
      </c>
      <c r="L1761" s="501">
        <v>0</v>
      </c>
      <c r="M1761" s="501">
        <v>6</v>
      </c>
      <c r="N1761" s="501">
        <v>0</v>
      </c>
      <c r="O1761" s="506">
        <v>0</v>
      </c>
    </row>
    <row r="1762" spans="1:15" x14ac:dyDescent="0.35">
      <c r="A1762" s="503" t="s">
        <v>1252</v>
      </c>
      <c r="B1762" s="504" t="s">
        <v>2875</v>
      </c>
      <c r="C1762" s="504" t="s">
        <v>1089</v>
      </c>
      <c r="D1762" s="504" t="s">
        <v>3392</v>
      </c>
      <c r="E1762" s="504" t="s">
        <v>3381</v>
      </c>
      <c r="F1762" s="504" t="s">
        <v>525</v>
      </c>
      <c r="G1762" s="504" t="s">
        <v>526</v>
      </c>
      <c r="H1762" s="504" t="s">
        <v>12227</v>
      </c>
      <c r="I1762" s="504">
        <v>4</v>
      </c>
      <c r="J1762" s="504">
        <v>0</v>
      </c>
      <c r="K1762" s="504">
        <v>0</v>
      </c>
      <c r="L1762" s="504">
        <v>4</v>
      </c>
      <c r="M1762" s="504">
        <v>0</v>
      </c>
      <c r="N1762" s="504">
        <v>0</v>
      </c>
      <c r="O1762" s="505">
        <v>0</v>
      </c>
    </row>
    <row r="1763" spans="1:15" x14ac:dyDescent="0.35">
      <c r="A1763" s="500" t="s">
        <v>1253</v>
      </c>
      <c r="B1763" s="501" t="s">
        <v>3232</v>
      </c>
      <c r="C1763" s="501" t="s">
        <v>1094</v>
      </c>
      <c r="D1763" s="501" t="s">
        <v>3380</v>
      </c>
      <c r="E1763" s="501" t="s">
        <v>3381</v>
      </c>
      <c r="F1763" s="501" t="s">
        <v>525</v>
      </c>
      <c r="G1763" s="501" t="s">
        <v>526</v>
      </c>
      <c r="H1763" s="501" t="s">
        <v>4733</v>
      </c>
      <c r="I1763" s="501">
        <v>604</v>
      </c>
      <c r="J1763" s="501">
        <v>542</v>
      </c>
      <c r="K1763" s="501">
        <v>0</v>
      </c>
      <c r="L1763" s="501">
        <v>3</v>
      </c>
      <c r="M1763" s="501">
        <v>11</v>
      </c>
      <c r="N1763" s="501">
        <v>0</v>
      </c>
      <c r="O1763" s="506">
        <v>48</v>
      </c>
    </row>
    <row r="1764" spans="1:15" x14ac:dyDescent="0.35">
      <c r="A1764" s="503" t="s">
        <v>1779</v>
      </c>
      <c r="B1764" s="504">
        <v>5065</v>
      </c>
      <c r="C1764" s="504" t="s">
        <v>1094</v>
      </c>
      <c r="D1764" s="504" t="s">
        <v>3380</v>
      </c>
      <c r="E1764" s="504" t="s">
        <v>3381</v>
      </c>
      <c r="F1764" s="504" t="s">
        <v>525</v>
      </c>
      <c r="G1764" s="504" t="s">
        <v>526</v>
      </c>
      <c r="H1764" s="504" t="s">
        <v>4735</v>
      </c>
      <c r="I1764" s="504">
        <v>29</v>
      </c>
      <c r="J1764" s="504">
        <v>29</v>
      </c>
      <c r="K1764" s="504">
        <v>0</v>
      </c>
      <c r="L1764" s="504">
        <v>0</v>
      </c>
      <c r="M1764" s="504">
        <v>0</v>
      </c>
      <c r="N1764" s="504">
        <v>0</v>
      </c>
      <c r="O1764" s="505">
        <v>0</v>
      </c>
    </row>
    <row r="1765" spans="1:15" x14ac:dyDescent="0.35">
      <c r="A1765" s="500" t="s">
        <v>1783</v>
      </c>
      <c r="B1765" s="501" t="s">
        <v>3179</v>
      </c>
      <c r="C1765" s="501" t="s">
        <v>1094</v>
      </c>
      <c r="D1765" s="501" t="s">
        <v>3380</v>
      </c>
      <c r="E1765" s="501" t="s">
        <v>3381</v>
      </c>
      <c r="F1765" s="501" t="s">
        <v>525</v>
      </c>
      <c r="G1765" s="501" t="s">
        <v>526</v>
      </c>
      <c r="H1765" s="501" t="s">
        <v>4736</v>
      </c>
      <c r="I1765" s="501">
        <v>134</v>
      </c>
      <c r="J1765" s="501">
        <v>105</v>
      </c>
      <c r="K1765" s="501">
        <v>0</v>
      </c>
      <c r="L1765" s="501">
        <v>0</v>
      </c>
      <c r="M1765" s="501">
        <v>0</v>
      </c>
      <c r="N1765" s="501">
        <v>0</v>
      </c>
      <c r="O1765" s="506">
        <v>29</v>
      </c>
    </row>
    <row r="1766" spans="1:15" x14ac:dyDescent="0.35">
      <c r="A1766" s="503" t="s">
        <v>1262</v>
      </c>
      <c r="B1766" s="504">
        <v>4772</v>
      </c>
      <c r="C1766" s="504" t="s">
        <v>1089</v>
      </c>
      <c r="D1766" s="504" t="s">
        <v>3392</v>
      </c>
      <c r="E1766" s="504" t="s">
        <v>3381</v>
      </c>
      <c r="F1766" s="504" t="s">
        <v>525</v>
      </c>
      <c r="G1766" s="504" t="s">
        <v>526</v>
      </c>
      <c r="H1766" s="504" t="s">
        <v>4737</v>
      </c>
      <c r="I1766" s="504">
        <v>2</v>
      </c>
      <c r="J1766" s="504">
        <v>0</v>
      </c>
      <c r="K1766" s="504">
        <v>0</v>
      </c>
      <c r="L1766" s="504">
        <v>2</v>
      </c>
      <c r="M1766" s="504">
        <v>0</v>
      </c>
      <c r="N1766" s="504">
        <v>0</v>
      </c>
      <c r="O1766" s="505">
        <v>0</v>
      </c>
    </row>
    <row r="1767" spans="1:15" x14ac:dyDescent="0.35">
      <c r="A1767" s="500" t="s">
        <v>11410</v>
      </c>
      <c r="B1767" s="501" t="s">
        <v>3162</v>
      </c>
      <c r="C1767" s="501" t="s">
        <v>1094</v>
      </c>
      <c r="D1767" s="501" t="s">
        <v>3380</v>
      </c>
      <c r="E1767" s="501" t="s">
        <v>3381</v>
      </c>
      <c r="F1767" s="501" t="s">
        <v>525</v>
      </c>
      <c r="G1767" s="501" t="s">
        <v>526</v>
      </c>
      <c r="H1767" s="501" t="s">
        <v>12255</v>
      </c>
      <c r="I1767" s="501">
        <v>10</v>
      </c>
      <c r="J1767" s="501">
        <v>0</v>
      </c>
      <c r="K1767" s="501">
        <v>0</v>
      </c>
      <c r="L1767" s="501">
        <v>0</v>
      </c>
      <c r="M1767" s="501">
        <v>0</v>
      </c>
      <c r="N1767" s="501">
        <v>0</v>
      </c>
      <c r="O1767" s="506">
        <v>10</v>
      </c>
    </row>
    <row r="1768" spans="1:15" x14ac:dyDescent="0.35">
      <c r="A1768" s="503" t="s">
        <v>1266</v>
      </c>
      <c r="B1768" s="504" t="s">
        <v>3071</v>
      </c>
      <c r="C1768" s="504" t="s">
        <v>1094</v>
      </c>
      <c r="D1768" s="504" t="s">
        <v>3380</v>
      </c>
      <c r="E1768" s="504" t="s">
        <v>3381</v>
      </c>
      <c r="F1768" s="504" t="s">
        <v>525</v>
      </c>
      <c r="G1768" s="504" t="s">
        <v>526</v>
      </c>
      <c r="H1768" s="504" t="s">
        <v>4738</v>
      </c>
      <c r="I1768" s="504">
        <v>768</v>
      </c>
      <c r="J1768" s="504">
        <v>623</v>
      </c>
      <c r="K1768" s="504">
        <v>0</v>
      </c>
      <c r="L1768" s="504">
        <v>28</v>
      </c>
      <c r="M1768" s="504">
        <v>77</v>
      </c>
      <c r="N1768" s="504">
        <v>0</v>
      </c>
      <c r="O1768" s="505">
        <v>40</v>
      </c>
    </row>
    <row r="1769" spans="1:15" x14ac:dyDescent="0.35">
      <c r="A1769" s="500" t="s">
        <v>1668</v>
      </c>
      <c r="B1769" s="501" t="s">
        <v>3035</v>
      </c>
      <c r="C1769" s="501" t="s">
        <v>1089</v>
      </c>
      <c r="D1769" s="501" t="s">
        <v>3392</v>
      </c>
      <c r="E1769" s="501" t="s">
        <v>3381</v>
      </c>
      <c r="F1769" s="501" t="s">
        <v>527</v>
      </c>
      <c r="G1769" s="501" t="s">
        <v>528</v>
      </c>
      <c r="H1769" s="501" t="s">
        <v>4739</v>
      </c>
      <c r="I1769" s="501">
        <v>51</v>
      </c>
      <c r="J1769" s="501">
        <v>0</v>
      </c>
      <c r="K1769" s="501">
        <v>0</v>
      </c>
      <c r="L1769" s="501">
        <v>0</v>
      </c>
      <c r="M1769" s="501">
        <v>51</v>
      </c>
      <c r="N1769" s="501">
        <v>0</v>
      </c>
      <c r="O1769" s="506">
        <v>0</v>
      </c>
    </row>
    <row r="1770" spans="1:15" x14ac:dyDescent="0.35">
      <c r="A1770" s="503" t="s">
        <v>1096</v>
      </c>
      <c r="B1770" s="504" t="s">
        <v>3326</v>
      </c>
      <c r="C1770" s="504" t="s">
        <v>1094</v>
      </c>
      <c r="D1770" s="504" t="s">
        <v>3380</v>
      </c>
      <c r="E1770" s="504" t="s">
        <v>3381</v>
      </c>
      <c r="F1770" s="504" t="s">
        <v>527</v>
      </c>
      <c r="G1770" s="504" t="s">
        <v>528</v>
      </c>
      <c r="H1770" s="504" t="s">
        <v>4740</v>
      </c>
      <c r="I1770" s="504">
        <v>48</v>
      </c>
      <c r="J1770" s="504">
        <v>0</v>
      </c>
      <c r="K1770" s="504">
        <v>0</v>
      </c>
      <c r="L1770" s="504">
        <v>0</v>
      </c>
      <c r="M1770" s="504">
        <v>48</v>
      </c>
      <c r="N1770" s="504">
        <v>0</v>
      </c>
      <c r="O1770" s="505">
        <v>0</v>
      </c>
    </row>
    <row r="1771" spans="1:15" x14ac:dyDescent="0.35">
      <c r="A1771" s="500" t="s">
        <v>1672</v>
      </c>
      <c r="B1771" s="501" t="s">
        <v>3166</v>
      </c>
      <c r="C1771" s="501" t="s">
        <v>1094</v>
      </c>
      <c r="D1771" s="501" t="s">
        <v>3380</v>
      </c>
      <c r="E1771" s="501" t="s">
        <v>3381</v>
      </c>
      <c r="F1771" s="501" t="s">
        <v>527</v>
      </c>
      <c r="G1771" s="501" t="s">
        <v>528</v>
      </c>
      <c r="H1771" s="501" t="s">
        <v>4741</v>
      </c>
      <c r="I1771" s="501">
        <v>73</v>
      </c>
      <c r="J1771" s="501">
        <v>48</v>
      </c>
      <c r="K1771" s="501">
        <v>0</v>
      </c>
      <c r="L1771" s="501">
        <v>0</v>
      </c>
      <c r="M1771" s="501">
        <v>0</v>
      </c>
      <c r="N1771" s="501">
        <v>0</v>
      </c>
      <c r="O1771" s="506">
        <v>25</v>
      </c>
    </row>
    <row r="1772" spans="1:15" x14ac:dyDescent="0.35">
      <c r="A1772" s="503" t="s">
        <v>1674</v>
      </c>
      <c r="B1772" s="504">
        <v>4765</v>
      </c>
      <c r="C1772" s="504" t="s">
        <v>1089</v>
      </c>
      <c r="D1772" s="504" t="s">
        <v>3392</v>
      </c>
      <c r="E1772" s="504" t="s">
        <v>3381</v>
      </c>
      <c r="F1772" s="504" t="s">
        <v>527</v>
      </c>
      <c r="G1772" s="504" t="s">
        <v>528</v>
      </c>
      <c r="H1772" s="504" t="s">
        <v>11508</v>
      </c>
      <c r="I1772" s="504">
        <v>8</v>
      </c>
      <c r="J1772" s="504">
        <v>8</v>
      </c>
      <c r="K1772" s="504">
        <v>0</v>
      </c>
      <c r="L1772" s="504">
        <v>0</v>
      </c>
      <c r="M1772" s="504">
        <v>0</v>
      </c>
      <c r="N1772" s="504">
        <v>0</v>
      </c>
      <c r="O1772" s="505">
        <v>0</v>
      </c>
    </row>
    <row r="1773" spans="1:15" x14ac:dyDescent="0.35">
      <c r="A1773" s="500" t="s">
        <v>11363</v>
      </c>
      <c r="B1773" s="501">
        <v>4718</v>
      </c>
      <c r="C1773" s="501" t="s">
        <v>1094</v>
      </c>
      <c r="D1773" s="501" t="s">
        <v>3380</v>
      </c>
      <c r="E1773" s="501" t="s">
        <v>3381</v>
      </c>
      <c r="F1773" s="501" t="s">
        <v>527</v>
      </c>
      <c r="G1773" s="501" t="s">
        <v>528</v>
      </c>
      <c r="H1773" s="501" t="s">
        <v>11526</v>
      </c>
      <c r="I1773" s="501">
        <v>23</v>
      </c>
      <c r="J1773" s="501">
        <v>0</v>
      </c>
      <c r="K1773" s="501">
        <v>0</v>
      </c>
      <c r="L1773" s="501">
        <v>23</v>
      </c>
      <c r="M1773" s="501">
        <v>0</v>
      </c>
      <c r="N1773" s="501">
        <v>0</v>
      </c>
      <c r="O1773" s="506">
        <v>0</v>
      </c>
    </row>
    <row r="1774" spans="1:15" x14ac:dyDescent="0.35">
      <c r="A1774" s="503" t="s">
        <v>1676</v>
      </c>
      <c r="B1774" s="504" t="s">
        <v>3046</v>
      </c>
      <c r="C1774" s="504" t="s">
        <v>1089</v>
      </c>
      <c r="D1774" s="504" t="s">
        <v>3392</v>
      </c>
      <c r="E1774" s="504" t="s">
        <v>3381</v>
      </c>
      <c r="F1774" s="504" t="s">
        <v>527</v>
      </c>
      <c r="G1774" s="504" t="s">
        <v>528</v>
      </c>
      <c r="H1774" s="504" t="s">
        <v>4742</v>
      </c>
      <c r="I1774" s="504">
        <v>26</v>
      </c>
      <c r="J1774" s="504">
        <v>0</v>
      </c>
      <c r="K1774" s="504">
        <v>0</v>
      </c>
      <c r="L1774" s="504">
        <v>26</v>
      </c>
      <c r="M1774" s="504">
        <v>0</v>
      </c>
      <c r="N1774" s="504">
        <v>0</v>
      </c>
      <c r="O1774" s="505">
        <v>0</v>
      </c>
    </row>
    <row r="1775" spans="1:15" x14ac:dyDescent="0.35">
      <c r="A1775" s="500" t="s">
        <v>1162</v>
      </c>
      <c r="B1775" s="501" t="s">
        <v>3203</v>
      </c>
      <c r="C1775" s="501" t="s">
        <v>1094</v>
      </c>
      <c r="D1775" s="501" t="s">
        <v>3380</v>
      </c>
      <c r="E1775" s="501" t="s">
        <v>3381</v>
      </c>
      <c r="F1775" s="501" t="s">
        <v>527</v>
      </c>
      <c r="G1775" s="501" t="s">
        <v>528</v>
      </c>
      <c r="H1775" s="501" t="s">
        <v>4743</v>
      </c>
      <c r="I1775" s="501">
        <v>44</v>
      </c>
      <c r="J1775" s="501">
        <v>22</v>
      </c>
      <c r="K1775" s="501">
        <v>0</v>
      </c>
      <c r="L1775" s="501">
        <v>0</v>
      </c>
      <c r="M1775" s="501">
        <v>0</v>
      </c>
      <c r="N1775" s="501">
        <v>0</v>
      </c>
      <c r="O1775" s="506">
        <v>22</v>
      </c>
    </row>
    <row r="1776" spans="1:15" x14ac:dyDescent="0.35">
      <c r="A1776" s="503" t="s">
        <v>1100</v>
      </c>
      <c r="B1776" s="504">
        <v>4865</v>
      </c>
      <c r="C1776" s="504" t="s">
        <v>1094</v>
      </c>
      <c r="D1776" s="504" t="s">
        <v>3380</v>
      </c>
      <c r="E1776" s="504" t="s">
        <v>3381</v>
      </c>
      <c r="F1776" s="504" t="s">
        <v>527</v>
      </c>
      <c r="G1776" s="504" t="s">
        <v>528</v>
      </c>
      <c r="H1776" s="504" t="s">
        <v>4744</v>
      </c>
      <c r="I1776" s="504">
        <v>54</v>
      </c>
      <c r="J1776" s="504">
        <v>25</v>
      </c>
      <c r="K1776" s="504">
        <v>0</v>
      </c>
      <c r="L1776" s="504">
        <v>0</v>
      </c>
      <c r="M1776" s="504">
        <v>0</v>
      </c>
      <c r="N1776" s="504">
        <v>0</v>
      </c>
      <c r="O1776" s="505">
        <v>29</v>
      </c>
    </row>
    <row r="1777" spans="1:15" x14ac:dyDescent="0.35">
      <c r="A1777" s="500" t="s">
        <v>1102</v>
      </c>
      <c r="B1777" s="501">
        <v>4663</v>
      </c>
      <c r="C1777" s="501" t="s">
        <v>1089</v>
      </c>
      <c r="D1777" s="501" t="s">
        <v>3392</v>
      </c>
      <c r="E1777" s="501" t="s">
        <v>3381</v>
      </c>
      <c r="F1777" s="501" t="s">
        <v>527</v>
      </c>
      <c r="G1777" s="501" t="s">
        <v>528</v>
      </c>
      <c r="H1777" s="501" t="s">
        <v>4745</v>
      </c>
      <c r="I1777" s="501">
        <v>9</v>
      </c>
      <c r="J1777" s="501">
        <v>0</v>
      </c>
      <c r="K1777" s="501">
        <v>0</v>
      </c>
      <c r="L1777" s="501">
        <v>9</v>
      </c>
      <c r="M1777" s="501">
        <v>0</v>
      </c>
      <c r="N1777" s="501">
        <v>0</v>
      </c>
      <c r="O1777" s="506">
        <v>0</v>
      </c>
    </row>
    <row r="1778" spans="1:15" x14ac:dyDescent="0.35">
      <c r="A1778" s="503" t="s">
        <v>1174</v>
      </c>
      <c r="B1778" s="504">
        <v>4784</v>
      </c>
      <c r="C1778" s="504" t="s">
        <v>1089</v>
      </c>
      <c r="D1778" s="504" t="s">
        <v>3392</v>
      </c>
      <c r="E1778" s="504" t="s">
        <v>3381</v>
      </c>
      <c r="F1778" s="504" t="s">
        <v>527</v>
      </c>
      <c r="G1778" s="504" t="s">
        <v>528</v>
      </c>
      <c r="H1778" s="504" t="s">
        <v>4746</v>
      </c>
      <c r="I1778" s="504">
        <v>2</v>
      </c>
      <c r="J1778" s="504">
        <v>0</v>
      </c>
      <c r="K1778" s="504">
        <v>0</v>
      </c>
      <c r="L1778" s="504">
        <v>2</v>
      </c>
      <c r="M1778" s="504">
        <v>0</v>
      </c>
      <c r="N1778" s="504">
        <v>0</v>
      </c>
      <c r="O1778" s="505">
        <v>0</v>
      </c>
    </row>
    <row r="1779" spans="1:15" x14ac:dyDescent="0.35">
      <c r="A1779" s="500" t="s">
        <v>1175</v>
      </c>
      <c r="B1779" s="501" t="s">
        <v>3141</v>
      </c>
      <c r="C1779" s="501" t="s">
        <v>1094</v>
      </c>
      <c r="D1779" s="501" t="s">
        <v>3380</v>
      </c>
      <c r="E1779" s="501" t="s">
        <v>3381</v>
      </c>
      <c r="F1779" s="501" t="s">
        <v>527</v>
      </c>
      <c r="G1779" s="501" t="s">
        <v>528</v>
      </c>
      <c r="H1779" s="501" t="s">
        <v>4747</v>
      </c>
      <c r="I1779" s="501">
        <v>4</v>
      </c>
      <c r="J1779" s="501">
        <v>4</v>
      </c>
      <c r="K1779" s="501">
        <v>0</v>
      </c>
      <c r="L1779" s="501">
        <v>0</v>
      </c>
      <c r="M1779" s="501">
        <v>0</v>
      </c>
      <c r="N1779" s="501">
        <v>0</v>
      </c>
      <c r="O1779" s="506">
        <v>0</v>
      </c>
    </row>
    <row r="1780" spans="1:15" x14ac:dyDescent="0.35">
      <c r="A1780" s="503" t="s">
        <v>1177</v>
      </c>
      <c r="B1780" s="504">
        <v>4702</v>
      </c>
      <c r="C1780" s="504" t="s">
        <v>1089</v>
      </c>
      <c r="D1780" s="504" t="s">
        <v>3392</v>
      </c>
      <c r="E1780" s="504" t="s">
        <v>3381</v>
      </c>
      <c r="F1780" s="504" t="s">
        <v>527</v>
      </c>
      <c r="G1780" s="504" t="s">
        <v>528</v>
      </c>
      <c r="H1780" s="504" t="s">
        <v>4748</v>
      </c>
      <c r="I1780" s="504">
        <v>2</v>
      </c>
      <c r="J1780" s="504">
        <v>0</v>
      </c>
      <c r="K1780" s="504">
        <v>0</v>
      </c>
      <c r="L1780" s="504">
        <v>2</v>
      </c>
      <c r="M1780" s="504">
        <v>0</v>
      </c>
      <c r="N1780" s="504">
        <v>0</v>
      </c>
      <c r="O1780" s="505">
        <v>0</v>
      </c>
    </row>
    <row r="1781" spans="1:15" x14ac:dyDescent="0.35">
      <c r="A1781" s="500" t="s">
        <v>1704</v>
      </c>
      <c r="B1781" s="501" t="s">
        <v>3221</v>
      </c>
      <c r="C1781" s="501" t="s">
        <v>1094</v>
      </c>
      <c r="D1781" s="501" t="s">
        <v>3380</v>
      </c>
      <c r="E1781" s="501" t="s">
        <v>3381</v>
      </c>
      <c r="F1781" s="501" t="s">
        <v>527</v>
      </c>
      <c r="G1781" s="501" t="s">
        <v>528</v>
      </c>
      <c r="H1781" s="501" t="s">
        <v>4749</v>
      </c>
      <c r="I1781" s="501">
        <v>88</v>
      </c>
      <c r="J1781" s="501">
        <v>0</v>
      </c>
      <c r="K1781" s="501">
        <v>3</v>
      </c>
      <c r="L1781" s="501">
        <v>85</v>
      </c>
      <c r="M1781" s="501">
        <v>0</v>
      </c>
      <c r="N1781" s="501">
        <v>0</v>
      </c>
      <c r="O1781" s="506">
        <v>0</v>
      </c>
    </row>
    <row r="1782" spans="1:15" x14ac:dyDescent="0.35">
      <c r="A1782" s="503" t="s">
        <v>1705</v>
      </c>
      <c r="B1782" s="504" t="s">
        <v>3158</v>
      </c>
      <c r="C1782" s="504" t="s">
        <v>1094</v>
      </c>
      <c r="D1782" s="504" t="s">
        <v>3380</v>
      </c>
      <c r="E1782" s="504" t="s">
        <v>3381</v>
      </c>
      <c r="F1782" s="504" t="s">
        <v>527</v>
      </c>
      <c r="G1782" s="504" t="s">
        <v>528</v>
      </c>
      <c r="H1782" s="504" t="s">
        <v>4750</v>
      </c>
      <c r="I1782" s="504">
        <v>5</v>
      </c>
      <c r="J1782" s="504">
        <v>0</v>
      </c>
      <c r="K1782" s="504">
        <v>0</v>
      </c>
      <c r="L1782" s="504">
        <v>0</v>
      </c>
      <c r="M1782" s="504">
        <v>0</v>
      </c>
      <c r="N1782" s="504">
        <v>0</v>
      </c>
      <c r="O1782" s="505">
        <v>5</v>
      </c>
    </row>
    <row r="1783" spans="1:15" x14ac:dyDescent="0.35">
      <c r="A1783" s="500" t="s">
        <v>14208</v>
      </c>
      <c r="B1783" s="501">
        <v>4803</v>
      </c>
      <c r="C1783" s="501" t="s">
        <v>1094</v>
      </c>
      <c r="D1783" s="501" t="s">
        <v>3380</v>
      </c>
      <c r="E1783" s="501" t="s">
        <v>3381</v>
      </c>
      <c r="F1783" s="501" t="s">
        <v>527</v>
      </c>
      <c r="G1783" s="501" t="s">
        <v>528</v>
      </c>
      <c r="H1783" s="501" t="s">
        <v>14574</v>
      </c>
      <c r="I1783" s="501">
        <v>46</v>
      </c>
      <c r="J1783" s="501">
        <v>0</v>
      </c>
      <c r="K1783" s="501">
        <v>0</v>
      </c>
      <c r="L1783" s="501">
        <v>46</v>
      </c>
      <c r="M1783" s="501">
        <v>0</v>
      </c>
      <c r="N1783" s="501">
        <v>0</v>
      </c>
      <c r="O1783" s="506">
        <v>0</v>
      </c>
    </row>
    <row r="1784" spans="1:15" x14ac:dyDescent="0.35">
      <c r="A1784" s="503" t="s">
        <v>1183</v>
      </c>
      <c r="B1784" s="504" t="s">
        <v>3038</v>
      </c>
      <c r="C1784" s="504" t="s">
        <v>1094</v>
      </c>
      <c r="D1784" s="504" t="s">
        <v>3380</v>
      </c>
      <c r="E1784" s="504" t="s">
        <v>3381</v>
      </c>
      <c r="F1784" s="504" t="s">
        <v>527</v>
      </c>
      <c r="G1784" s="504" t="s">
        <v>528</v>
      </c>
      <c r="H1784" s="504" t="s">
        <v>4751</v>
      </c>
      <c r="I1784" s="504">
        <v>353</v>
      </c>
      <c r="J1784" s="504">
        <v>173</v>
      </c>
      <c r="K1784" s="504">
        <v>0</v>
      </c>
      <c r="L1784" s="504">
        <v>7</v>
      </c>
      <c r="M1784" s="504">
        <v>0</v>
      </c>
      <c r="N1784" s="504">
        <v>0</v>
      </c>
      <c r="O1784" s="505">
        <v>173</v>
      </c>
    </row>
    <row r="1785" spans="1:15" x14ac:dyDescent="0.35">
      <c r="A1785" s="500" t="s">
        <v>1186</v>
      </c>
      <c r="B1785" s="501">
        <v>4661</v>
      </c>
      <c r="C1785" s="501" t="s">
        <v>1089</v>
      </c>
      <c r="D1785" s="501" t="s">
        <v>3392</v>
      </c>
      <c r="E1785" s="501" t="s">
        <v>3381</v>
      </c>
      <c r="F1785" s="501" t="s">
        <v>527</v>
      </c>
      <c r="G1785" s="501" t="s">
        <v>528</v>
      </c>
      <c r="H1785" s="501" t="s">
        <v>4752</v>
      </c>
      <c r="I1785" s="501">
        <v>24</v>
      </c>
      <c r="J1785" s="501">
        <v>0</v>
      </c>
      <c r="K1785" s="501">
        <v>0</v>
      </c>
      <c r="L1785" s="501">
        <v>24</v>
      </c>
      <c r="M1785" s="501">
        <v>0</v>
      </c>
      <c r="N1785" s="501">
        <v>0</v>
      </c>
      <c r="O1785" s="506">
        <v>0</v>
      </c>
    </row>
    <row r="1786" spans="1:15" x14ac:dyDescent="0.35">
      <c r="A1786" s="503" t="s">
        <v>1707</v>
      </c>
      <c r="B1786" s="504" t="s">
        <v>3198</v>
      </c>
      <c r="C1786" s="504" t="s">
        <v>1094</v>
      </c>
      <c r="D1786" s="504" t="s">
        <v>3380</v>
      </c>
      <c r="E1786" s="504" t="s">
        <v>3381</v>
      </c>
      <c r="F1786" s="504" t="s">
        <v>527</v>
      </c>
      <c r="G1786" s="504" t="s">
        <v>528</v>
      </c>
      <c r="H1786" s="504" t="s">
        <v>4753</v>
      </c>
      <c r="I1786" s="504">
        <v>10</v>
      </c>
      <c r="J1786" s="504">
        <v>0</v>
      </c>
      <c r="K1786" s="504">
        <v>0</v>
      </c>
      <c r="L1786" s="504">
        <v>0</v>
      </c>
      <c r="M1786" s="504">
        <v>0</v>
      </c>
      <c r="N1786" s="504">
        <v>0</v>
      </c>
      <c r="O1786" s="505">
        <v>10</v>
      </c>
    </row>
    <row r="1787" spans="1:15" x14ac:dyDescent="0.35">
      <c r="A1787" s="500" t="s">
        <v>1105</v>
      </c>
      <c r="B1787" s="501">
        <v>4668</v>
      </c>
      <c r="C1787" s="501" t="s">
        <v>1094</v>
      </c>
      <c r="D1787" s="501" t="s">
        <v>3380</v>
      </c>
      <c r="E1787" s="501" t="s">
        <v>3381</v>
      </c>
      <c r="F1787" s="501" t="s">
        <v>527</v>
      </c>
      <c r="G1787" s="501" t="s">
        <v>528</v>
      </c>
      <c r="H1787" s="501" t="s">
        <v>4754</v>
      </c>
      <c r="I1787" s="501">
        <v>169</v>
      </c>
      <c r="J1787" s="501">
        <v>0</v>
      </c>
      <c r="K1787" s="501">
        <v>0</v>
      </c>
      <c r="L1787" s="501">
        <v>0</v>
      </c>
      <c r="M1787" s="501">
        <v>0</v>
      </c>
      <c r="N1787" s="501">
        <v>0</v>
      </c>
      <c r="O1787" s="506">
        <v>169</v>
      </c>
    </row>
    <row r="1788" spans="1:15" x14ac:dyDescent="0.35">
      <c r="A1788" s="503" t="s">
        <v>1188</v>
      </c>
      <c r="B1788" s="504">
        <v>4760</v>
      </c>
      <c r="C1788" s="504" t="s">
        <v>1089</v>
      </c>
      <c r="D1788" s="504" t="s">
        <v>3392</v>
      </c>
      <c r="E1788" s="504" t="s">
        <v>3381</v>
      </c>
      <c r="F1788" s="504" t="s">
        <v>527</v>
      </c>
      <c r="G1788" s="504" t="s">
        <v>528</v>
      </c>
      <c r="H1788" s="504" t="s">
        <v>4755</v>
      </c>
      <c r="I1788" s="504">
        <v>105</v>
      </c>
      <c r="J1788" s="504">
        <v>0</v>
      </c>
      <c r="K1788" s="504">
        <v>0</v>
      </c>
      <c r="L1788" s="504">
        <v>105</v>
      </c>
      <c r="M1788" s="504">
        <v>0</v>
      </c>
      <c r="N1788" s="504">
        <v>0</v>
      </c>
      <c r="O1788" s="505">
        <v>0</v>
      </c>
    </row>
    <row r="1789" spans="1:15" x14ac:dyDescent="0.35">
      <c r="A1789" s="500" t="s">
        <v>1107</v>
      </c>
      <c r="B1789" s="501" t="s">
        <v>3109</v>
      </c>
      <c r="C1789" s="501" t="s">
        <v>1094</v>
      </c>
      <c r="D1789" s="501" t="s">
        <v>3380</v>
      </c>
      <c r="E1789" s="501" t="s">
        <v>3381</v>
      </c>
      <c r="F1789" s="501" t="s">
        <v>527</v>
      </c>
      <c r="G1789" s="501" t="s">
        <v>528</v>
      </c>
      <c r="H1789" s="501" t="s">
        <v>4756</v>
      </c>
      <c r="I1789" s="501">
        <v>10</v>
      </c>
      <c r="J1789" s="501">
        <v>0</v>
      </c>
      <c r="K1789" s="501">
        <v>0</v>
      </c>
      <c r="L1789" s="501">
        <v>10</v>
      </c>
      <c r="M1789" s="501">
        <v>0</v>
      </c>
      <c r="N1789" s="501">
        <v>0</v>
      </c>
      <c r="O1789" s="506">
        <v>0</v>
      </c>
    </row>
    <row r="1790" spans="1:15" x14ac:dyDescent="0.35">
      <c r="A1790" s="503" t="s">
        <v>1109</v>
      </c>
      <c r="B1790" s="504" t="s">
        <v>2959</v>
      </c>
      <c r="C1790" s="504" t="s">
        <v>1094</v>
      </c>
      <c r="D1790" s="504" t="s">
        <v>3380</v>
      </c>
      <c r="E1790" s="504" t="s">
        <v>3381</v>
      </c>
      <c r="F1790" s="504" t="s">
        <v>527</v>
      </c>
      <c r="G1790" s="504" t="s">
        <v>528</v>
      </c>
      <c r="H1790" s="504" t="s">
        <v>4757</v>
      </c>
      <c r="I1790" s="504">
        <v>71</v>
      </c>
      <c r="J1790" s="504">
        <v>0</v>
      </c>
      <c r="K1790" s="504">
        <v>0</v>
      </c>
      <c r="L1790" s="504">
        <v>0</v>
      </c>
      <c r="M1790" s="504">
        <v>71</v>
      </c>
      <c r="N1790" s="504">
        <v>0</v>
      </c>
      <c r="O1790" s="505">
        <v>0</v>
      </c>
    </row>
    <row r="1791" spans="1:15" x14ac:dyDescent="0.35">
      <c r="A1791" s="500" t="s">
        <v>1190</v>
      </c>
      <c r="B1791" s="501">
        <v>4662</v>
      </c>
      <c r="C1791" s="501" t="s">
        <v>1094</v>
      </c>
      <c r="D1791" s="501" t="s">
        <v>3380</v>
      </c>
      <c r="E1791" s="501" t="s">
        <v>3381</v>
      </c>
      <c r="F1791" s="501" t="s">
        <v>527</v>
      </c>
      <c r="G1791" s="501" t="s">
        <v>528</v>
      </c>
      <c r="H1791" s="501" t="s">
        <v>11764</v>
      </c>
      <c r="I1791" s="501">
        <v>17</v>
      </c>
      <c r="J1791" s="501">
        <v>0</v>
      </c>
      <c r="K1791" s="501">
        <v>0</v>
      </c>
      <c r="L1791" s="501">
        <v>17</v>
      </c>
      <c r="M1791" s="501">
        <v>0</v>
      </c>
      <c r="N1791" s="501">
        <v>0</v>
      </c>
      <c r="O1791" s="506">
        <v>0</v>
      </c>
    </row>
    <row r="1792" spans="1:15" x14ac:dyDescent="0.35">
      <c r="A1792" s="503" t="s">
        <v>11401</v>
      </c>
      <c r="B1792" s="504" t="s">
        <v>3241</v>
      </c>
      <c r="C1792" s="504" t="s">
        <v>1094</v>
      </c>
      <c r="D1792" s="504" t="s">
        <v>3380</v>
      </c>
      <c r="E1792" s="504" t="s">
        <v>3381</v>
      </c>
      <c r="F1792" s="504" t="s">
        <v>527</v>
      </c>
      <c r="G1792" s="504" t="s">
        <v>528</v>
      </c>
      <c r="H1792" s="504" t="s">
        <v>11777</v>
      </c>
      <c r="I1792" s="504">
        <v>919</v>
      </c>
      <c r="J1792" s="504">
        <v>725</v>
      </c>
      <c r="K1792" s="504">
        <v>0</v>
      </c>
      <c r="L1792" s="504">
        <v>0</v>
      </c>
      <c r="M1792" s="504">
        <v>124</v>
      </c>
      <c r="N1792" s="504">
        <v>2</v>
      </c>
      <c r="O1792" s="505">
        <v>70</v>
      </c>
    </row>
    <row r="1793" spans="1:15" x14ac:dyDescent="0.35">
      <c r="A1793" s="500" t="s">
        <v>1197</v>
      </c>
      <c r="B1793" s="501">
        <v>4863</v>
      </c>
      <c r="C1793" s="501" t="s">
        <v>1089</v>
      </c>
      <c r="D1793" s="501" t="s">
        <v>3392</v>
      </c>
      <c r="E1793" s="501" t="s">
        <v>3381</v>
      </c>
      <c r="F1793" s="501" t="s">
        <v>527</v>
      </c>
      <c r="G1793" s="501" t="s">
        <v>528</v>
      </c>
      <c r="H1793" s="501" t="s">
        <v>4758</v>
      </c>
      <c r="I1793" s="501">
        <v>10</v>
      </c>
      <c r="J1793" s="501">
        <v>0</v>
      </c>
      <c r="K1793" s="501">
        <v>0</v>
      </c>
      <c r="L1793" s="501">
        <v>10</v>
      </c>
      <c r="M1793" s="501">
        <v>0</v>
      </c>
      <c r="N1793" s="501">
        <v>0</v>
      </c>
      <c r="O1793" s="506">
        <v>0</v>
      </c>
    </row>
    <row r="1794" spans="1:15" x14ac:dyDescent="0.35">
      <c r="A1794" s="503" t="s">
        <v>1734</v>
      </c>
      <c r="B1794" s="504" t="s">
        <v>3191</v>
      </c>
      <c r="C1794" s="504" t="s">
        <v>1094</v>
      </c>
      <c r="D1794" s="504" t="s">
        <v>3380</v>
      </c>
      <c r="E1794" s="504" t="s">
        <v>3381</v>
      </c>
      <c r="F1794" s="504" t="s">
        <v>527</v>
      </c>
      <c r="G1794" s="504" t="s">
        <v>528</v>
      </c>
      <c r="H1794" s="504" t="s">
        <v>4759</v>
      </c>
      <c r="I1794" s="504">
        <v>141</v>
      </c>
      <c r="J1794" s="504">
        <v>56</v>
      </c>
      <c r="K1794" s="504">
        <v>0</v>
      </c>
      <c r="L1794" s="504">
        <v>10</v>
      </c>
      <c r="M1794" s="504">
        <v>75</v>
      </c>
      <c r="N1794" s="504">
        <v>0</v>
      </c>
      <c r="O1794" s="505">
        <v>0</v>
      </c>
    </row>
    <row r="1795" spans="1:15" x14ac:dyDescent="0.35">
      <c r="A1795" s="500" t="s">
        <v>1208</v>
      </c>
      <c r="B1795" s="501" t="s">
        <v>3096</v>
      </c>
      <c r="C1795" s="501" t="s">
        <v>1094</v>
      </c>
      <c r="D1795" s="501" t="s">
        <v>3380</v>
      </c>
      <c r="E1795" s="501" t="s">
        <v>3381</v>
      </c>
      <c r="F1795" s="501" t="s">
        <v>527</v>
      </c>
      <c r="G1795" s="501" t="s">
        <v>528</v>
      </c>
      <c r="H1795" s="501" t="s">
        <v>4760</v>
      </c>
      <c r="I1795" s="501">
        <v>2102</v>
      </c>
      <c r="J1795" s="501">
        <v>1510</v>
      </c>
      <c r="K1795" s="501">
        <v>2</v>
      </c>
      <c r="L1795" s="501">
        <v>217</v>
      </c>
      <c r="M1795" s="501">
        <v>77</v>
      </c>
      <c r="N1795" s="501">
        <v>0</v>
      </c>
      <c r="O1795" s="506">
        <v>296</v>
      </c>
    </row>
    <row r="1796" spans="1:15" x14ac:dyDescent="0.35">
      <c r="A1796" s="503" t="s">
        <v>1209</v>
      </c>
      <c r="B1796" s="504">
        <v>4779</v>
      </c>
      <c r="C1796" s="504" t="s">
        <v>1094</v>
      </c>
      <c r="D1796" s="504" t="s">
        <v>3380</v>
      </c>
      <c r="E1796" s="504" t="s">
        <v>3381</v>
      </c>
      <c r="F1796" s="504" t="s">
        <v>527</v>
      </c>
      <c r="G1796" s="504" t="s">
        <v>528</v>
      </c>
      <c r="H1796" s="504" t="s">
        <v>4761</v>
      </c>
      <c r="I1796" s="504">
        <v>6</v>
      </c>
      <c r="J1796" s="504">
        <v>0</v>
      </c>
      <c r="K1796" s="504">
        <v>0</v>
      </c>
      <c r="L1796" s="504">
        <v>6</v>
      </c>
      <c r="M1796" s="504">
        <v>0</v>
      </c>
      <c r="N1796" s="504">
        <v>0</v>
      </c>
      <c r="O1796" s="505">
        <v>0</v>
      </c>
    </row>
    <row r="1797" spans="1:15" x14ac:dyDescent="0.35">
      <c r="A1797" s="500" t="s">
        <v>1743</v>
      </c>
      <c r="B1797" s="501">
        <v>4804</v>
      </c>
      <c r="C1797" s="501" t="s">
        <v>1094</v>
      </c>
      <c r="D1797" s="501" t="s">
        <v>3380</v>
      </c>
      <c r="E1797" s="501" t="s">
        <v>3381</v>
      </c>
      <c r="F1797" s="501" t="s">
        <v>527</v>
      </c>
      <c r="G1797" s="501" t="s">
        <v>528</v>
      </c>
      <c r="H1797" s="501" t="s">
        <v>4762</v>
      </c>
      <c r="I1797" s="501">
        <v>237</v>
      </c>
      <c r="J1797" s="501">
        <v>141</v>
      </c>
      <c r="K1797" s="501">
        <v>0</v>
      </c>
      <c r="L1797" s="501">
        <v>0</v>
      </c>
      <c r="M1797" s="501">
        <v>0</v>
      </c>
      <c r="N1797" s="501">
        <v>0</v>
      </c>
      <c r="O1797" s="506">
        <v>96</v>
      </c>
    </row>
    <row r="1798" spans="1:15" x14ac:dyDescent="0.35">
      <c r="A1798" s="503" t="s">
        <v>1744</v>
      </c>
      <c r="B1798" s="504" t="s">
        <v>3245</v>
      </c>
      <c r="C1798" s="504" t="s">
        <v>1094</v>
      </c>
      <c r="D1798" s="504" t="s">
        <v>3380</v>
      </c>
      <c r="E1798" s="504" t="s">
        <v>3381</v>
      </c>
      <c r="F1798" s="504" t="s">
        <v>527</v>
      </c>
      <c r="G1798" s="504" t="s">
        <v>528</v>
      </c>
      <c r="H1798" s="504" t="s">
        <v>4763</v>
      </c>
      <c r="I1798" s="504">
        <v>145</v>
      </c>
      <c r="J1798" s="504">
        <v>96</v>
      </c>
      <c r="K1798" s="504">
        <v>0</v>
      </c>
      <c r="L1798" s="504">
        <v>22</v>
      </c>
      <c r="M1798" s="504">
        <v>0</v>
      </c>
      <c r="N1798" s="504">
        <v>0</v>
      </c>
      <c r="O1798" s="505">
        <v>27</v>
      </c>
    </row>
    <row r="1799" spans="1:15" x14ac:dyDescent="0.35">
      <c r="A1799" s="500" t="s">
        <v>1122</v>
      </c>
      <c r="B1799" s="501" t="s">
        <v>2994</v>
      </c>
      <c r="C1799" s="501" t="s">
        <v>1094</v>
      </c>
      <c r="D1799" s="501" t="s">
        <v>3380</v>
      </c>
      <c r="E1799" s="501" t="s">
        <v>3381</v>
      </c>
      <c r="F1799" s="501" t="s">
        <v>527</v>
      </c>
      <c r="G1799" s="501" t="s">
        <v>528</v>
      </c>
      <c r="H1799" s="501" t="s">
        <v>4764</v>
      </c>
      <c r="I1799" s="501">
        <v>7</v>
      </c>
      <c r="J1799" s="501">
        <v>0</v>
      </c>
      <c r="K1799" s="501">
        <v>0</v>
      </c>
      <c r="L1799" s="501">
        <v>0</v>
      </c>
      <c r="M1799" s="501">
        <v>0</v>
      </c>
      <c r="N1799" s="501">
        <v>0</v>
      </c>
      <c r="O1799" s="506">
        <v>7</v>
      </c>
    </row>
    <row r="1800" spans="1:15" x14ac:dyDescent="0.35">
      <c r="A1800" s="503" t="s">
        <v>1225</v>
      </c>
      <c r="B1800" s="504" t="s">
        <v>3315</v>
      </c>
      <c r="C1800" s="504" t="s">
        <v>1094</v>
      </c>
      <c r="D1800" s="504" t="s">
        <v>3380</v>
      </c>
      <c r="E1800" s="504" t="s">
        <v>3381</v>
      </c>
      <c r="F1800" s="504" t="s">
        <v>527</v>
      </c>
      <c r="G1800" s="504" t="s">
        <v>528</v>
      </c>
      <c r="H1800" s="504" t="s">
        <v>14575</v>
      </c>
      <c r="I1800" s="504">
        <v>1</v>
      </c>
      <c r="J1800" s="504">
        <v>0</v>
      </c>
      <c r="K1800" s="504">
        <v>0</v>
      </c>
      <c r="L1800" s="504">
        <v>1</v>
      </c>
      <c r="M1800" s="504">
        <v>0</v>
      </c>
      <c r="N1800" s="504">
        <v>0</v>
      </c>
      <c r="O1800" s="505">
        <v>0</v>
      </c>
    </row>
    <row r="1801" spans="1:15" x14ac:dyDescent="0.35">
      <c r="A1801" s="500" t="s">
        <v>1227</v>
      </c>
      <c r="B1801" s="501">
        <v>4757</v>
      </c>
      <c r="C1801" s="501" t="s">
        <v>1094</v>
      </c>
      <c r="D1801" s="501" t="s">
        <v>3392</v>
      </c>
      <c r="E1801" s="501" t="s">
        <v>3381</v>
      </c>
      <c r="F1801" s="501" t="s">
        <v>527</v>
      </c>
      <c r="G1801" s="501" t="s">
        <v>528</v>
      </c>
      <c r="H1801" s="501" t="s">
        <v>4765</v>
      </c>
      <c r="I1801" s="501">
        <v>14</v>
      </c>
      <c r="J1801" s="501">
        <v>14</v>
      </c>
      <c r="K1801" s="501">
        <v>0</v>
      </c>
      <c r="L1801" s="501">
        <v>0</v>
      </c>
      <c r="M1801" s="501">
        <v>0</v>
      </c>
      <c r="N1801" s="501">
        <v>0</v>
      </c>
      <c r="O1801" s="506">
        <v>0</v>
      </c>
    </row>
    <row r="1802" spans="1:15" x14ac:dyDescent="0.35">
      <c r="A1802" s="503" t="s">
        <v>1748</v>
      </c>
      <c r="B1802" s="504" t="s">
        <v>3233</v>
      </c>
      <c r="C1802" s="504" t="s">
        <v>1094</v>
      </c>
      <c r="D1802" s="504" t="s">
        <v>3380</v>
      </c>
      <c r="E1802" s="504" t="s">
        <v>3381</v>
      </c>
      <c r="F1802" s="504" t="s">
        <v>527</v>
      </c>
      <c r="G1802" s="504" t="s">
        <v>528</v>
      </c>
      <c r="H1802" s="504" t="s">
        <v>4766</v>
      </c>
      <c r="I1802" s="504">
        <v>811</v>
      </c>
      <c r="J1802" s="504">
        <v>556</v>
      </c>
      <c r="K1802" s="504">
        <v>0</v>
      </c>
      <c r="L1802" s="504">
        <v>43</v>
      </c>
      <c r="M1802" s="504">
        <v>0</v>
      </c>
      <c r="N1802" s="504">
        <v>0</v>
      </c>
      <c r="O1802" s="505">
        <v>212</v>
      </c>
    </row>
    <row r="1803" spans="1:15" x14ac:dyDescent="0.35">
      <c r="A1803" s="500" t="s">
        <v>1228</v>
      </c>
      <c r="B1803" s="501" t="s">
        <v>3321</v>
      </c>
      <c r="C1803" s="501" t="s">
        <v>1094</v>
      </c>
      <c r="D1803" s="501" t="s">
        <v>3380</v>
      </c>
      <c r="E1803" s="501" t="s">
        <v>3381</v>
      </c>
      <c r="F1803" s="501" t="s">
        <v>527</v>
      </c>
      <c r="G1803" s="501" t="s">
        <v>528</v>
      </c>
      <c r="H1803" s="501" t="s">
        <v>4767</v>
      </c>
      <c r="I1803" s="501">
        <v>3</v>
      </c>
      <c r="J1803" s="501">
        <v>0</v>
      </c>
      <c r="K1803" s="501">
        <v>0</v>
      </c>
      <c r="L1803" s="501">
        <v>3</v>
      </c>
      <c r="M1803" s="501">
        <v>0</v>
      </c>
      <c r="N1803" s="501">
        <v>0</v>
      </c>
      <c r="O1803" s="506">
        <v>0</v>
      </c>
    </row>
    <row r="1804" spans="1:15" x14ac:dyDescent="0.35">
      <c r="A1804" s="503" t="s">
        <v>1752</v>
      </c>
      <c r="B1804" s="504">
        <v>4653</v>
      </c>
      <c r="C1804" s="504" t="s">
        <v>1094</v>
      </c>
      <c r="D1804" s="504" t="s">
        <v>3380</v>
      </c>
      <c r="E1804" s="504" t="s">
        <v>3381</v>
      </c>
      <c r="F1804" s="504" t="s">
        <v>527</v>
      </c>
      <c r="G1804" s="504" t="s">
        <v>528</v>
      </c>
      <c r="H1804" s="504" t="s">
        <v>4768</v>
      </c>
      <c r="I1804" s="504">
        <v>38</v>
      </c>
      <c r="J1804" s="504">
        <v>14</v>
      </c>
      <c r="K1804" s="504">
        <v>0</v>
      </c>
      <c r="L1804" s="504">
        <v>0</v>
      </c>
      <c r="M1804" s="504">
        <v>0</v>
      </c>
      <c r="N1804" s="504">
        <v>0</v>
      </c>
      <c r="O1804" s="505">
        <v>24</v>
      </c>
    </row>
    <row r="1805" spans="1:15" x14ac:dyDescent="0.35">
      <c r="A1805" s="500" t="s">
        <v>1124</v>
      </c>
      <c r="B1805" s="501">
        <v>4745</v>
      </c>
      <c r="C1805" s="501" t="s">
        <v>1094</v>
      </c>
      <c r="D1805" s="501" t="s">
        <v>3380</v>
      </c>
      <c r="E1805" s="501" t="s">
        <v>3381</v>
      </c>
      <c r="F1805" s="501" t="s">
        <v>527</v>
      </c>
      <c r="G1805" s="501" t="s">
        <v>528</v>
      </c>
      <c r="H1805" s="501" t="s">
        <v>4769</v>
      </c>
      <c r="I1805" s="501">
        <v>30</v>
      </c>
      <c r="J1805" s="501">
        <v>0</v>
      </c>
      <c r="K1805" s="501">
        <v>0</v>
      </c>
      <c r="L1805" s="501">
        <v>30</v>
      </c>
      <c r="M1805" s="501">
        <v>0</v>
      </c>
      <c r="N1805" s="501">
        <v>0</v>
      </c>
      <c r="O1805" s="506">
        <v>0</v>
      </c>
    </row>
    <row r="1806" spans="1:15" x14ac:dyDescent="0.35">
      <c r="A1806" s="503" t="s">
        <v>1233</v>
      </c>
      <c r="B1806" s="504">
        <v>4636</v>
      </c>
      <c r="C1806" s="504" t="s">
        <v>1094</v>
      </c>
      <c r="D1806" s="504" t="s">
        <v>3380</v>
      </c>
      <c r="E1806" s="504" t="s">
        <v>3381</v>
      </c>
      <c r="F1806" s="504" t="s">
        <v>527</v>
      </c>
      <c r="G1806" s="504" t="s">
        <v>528</v>
      </c>
      <c r="H1806" s="504" t="s">
        <v>4770</v>
      </c>
      <c r="I1806" s="504">
        <v>65</v>
      </c>
      <c r="J1806" s="504">
        <v>14</v>
      </c>
      <c r="K1806" s="504">
        <v>0</v>
      </c>
      <c r="L1806" s="504">
        <v>0</v>
      </c>
      <c r="M1806" s="504">
        <v>0</v>
      </c>
      <c r="N1806" s="504">
        <v>0</v>
      </c>
      <c r="O1806" s="505">
        <v>51</v>
      </c>
    </row>
    <row r="1807" spans="1:15" x14ac:dyDescent="0.35">
      <c r="A1807" s="500" t="s">
        <v>11368</v>
      </c>
      <c r="B1807" s="501">
        <v>5083</v>
      </c>
      <c r="C1807" s="501" t="s">
        <v>1094</v>
      </c>
      <c r="D1807" s="501" t="s">
        <v>3380</v>
      </c>
      <c r="E1807" s="501" t="s">
        <v>3381</v>
      </c>
      <c r="F1807" s="501" t="s">
        <v>527</v>
      </c>
      <c r="G1807" s="501" t="s">
        <v>528</v>
      </c>
      <c r="H1807" s="501" t="s">
        <v>12042</v>
      </c>
      <c r="I1807" s="501">
        <v>30</v>
      </c>
      <c r="J1807" s="501">
        <v>30</v>
      </c>
      <c r="K1807" s="501">
        <v>0</v>
      </c>
      <c r="L1807" s="501">
        <v>0</v>
      </c>
      <c r="M1807" s="501">
        <v>0</v>
      </c>
      <c r="N1807" s="501">
        <v>0</v>
      </c>
      <c r="O1807" s="506">
        <v>0</v>
      </c>
    </row>
    <row r="1808" spans="1:15" x14ac:dyDescent="0.35">
      <c r="A1808" s="503" t="s">
        <v>1235</v>
      </c>
      <c r="B1808" s="504">
        <v>4684</v>
      </c>
      <c r="C1808" s="504" t="s">
        <v>1094</v>
      </c>
      <c r="D1808" s="504" t="s">
        <v>3380</v>
      </c>
      <c r="E1808" s="504" t="s">
        <v>3381</v>
      </c>
      <c r="F1808" s="504" t="s">
        <v>527</v>
      </c>
      <c r="G1808" s="504" t="s">
        <v>528</v>
      </c>
      <c r="H1808" s="504" t="s">
        <v>4771</v>
      </c>
      <c r="I1808" s="504">
        <v>107</v>
      </c>
      <c r="J1808" s="504">
        <v>72</v>
      </c>
      <c r="K1808" s="504">
        <v>0</v>
      </c>
      <c r="L1808" s="504">
        <v>0</v>
      </c>
      <c r="M1808" s="504">
        <v>0</v>
      </c>
      <c r="N1808" s="504">
        <v>0</v>
      </c>
      <c r="O1808" s="505">
        <v>35</v>
      </c>
    </row>
    <row r="1809" spans="1:15" x14ac:dyDescent="0.35">
      <c r="A1809" s="500" t="s">
        <v>1126</v>
      </c>
      <c r="B1809" s="501" t="s">
        <v>2974</v>
      </c>
      <c r="C1809" s="501" t="s">
        <v>1094</v>
      </c>
      <c r="D1809" s="501" t="s">
        <v>3380</v>
      </c>
      <c r="E1809" s="501" t="s">
        <v>3381</v>
      </c>
      <c r="F1809" s="501" t="s">
        <v>527</v>
      </c>
      <c r="G1809" s="501" t="s">
        <v>528</v>
      </c>
      <c r="H1809" s="501" t="s">
        <v>4772</v>
      </c>
      <c r="I1809" s="501">
        <v>6347</v>
      </c>
      <c r="J1809" s="501">
        <v>4463</v>
      </c>
      <c r="K1809" s="501">
        <v>0</v>
      </c>
      <c r="L1809" s="501">
        <v>23</v>
      </c>
      <c r="M1809" s="501">
        <v>1773</v>
      </c>
      <c r="N1809" s="501">
        <v>4</v>
      </c>
      <c r="O1809" s="506">
        <v>88</v>
      </c>
    </row>
    <row r="1810" spans="1:15" x14ac:dyDescent="0.35">
      <c r="A1810" s="503" t="s">
        <v>1759</v>
      </c>
      <c r="B1810" s="504" t="s">
        <v>3090</v>
      </c>
      <c r="C1810" s="504" t="s">
        <v>1089</v>
      </c>
      <c r="D1810" s="504" t="s">
        <v>3392</v>
      </c>
      <c r="E1810" s="504" t="s">
        <v>3381</v>
      </c>
      <c r="F1810" s="504" t="s">
        <v>527</v>
      </c>
      <c r="G1810" s="504" t="s">
        <v>528</v>
      </c>
      <c r="H1810" s="504" t="s">
        <v>4773</v>
      </c>
      <c r="I1810" s="504">
        <v>115</v>
      </c>
      <c r="J1810" s="504">
        <v>115</v>
      </c>
      <c r="K1810" s="504">
        <v>0</v>
      </c>
      <c r="L1810" s="504">
        <v>0</v>
      </c>
      <c r="M1810" s="504">
        <v>0</v>
      </c>
      <c r="N1810" s="504">
        <v>0</v>
      </c>
      <c r="O1810" s="505">
        <v>0</v>
      </c>
    </row>
    <row r="1811" spans="1:15" x14ac:dyDescent="0.35">
      <c r="A1811" s="500" t="s">
        <v>1778</v>
      </c>
      <c r="B1811" s="501">
        <v>5052</v>
      </c>
      <c r="C1811" s="501" t="s">
        <v>1089</v>
      </c>
      <c r="D1811" s="501" t="s">
        <v>3392</v>
      </c>
      <c r="E1811" s="501" t="s">
        <v>3381</v>
      </c>
      <c r="F1811" s="501" t="s">
        <v>527</v>
      </c>
      <c r="G1811" s="501" t="s">
        <v>528</v>
      </c>
      <c r="H1811" s="501" t="s">
        <v>14576</v>
      </c>
      <c r="I1811" s="501">
        <v>28</v>
      </c>
      <c r="J1811" s="501">
        <v>28</v>
      </c>
      <c r="K1811" s="501">
        <v>0</v>
      </c>
      <c r="L1811" s="501">
        <v>0</v>
      </c>
      <c r="M1811" s="501">
        <v>0</v>
      </c>
      <c r="N1811" s="501">
        <v>0</v>
      </c>
      <c r="O1811" s="506">
        <v>0</v>
      </c>
    </row>
    <row r="1812" spans="1:15" x14ac:dyDescent="0.35">
      <c r="A1812" s="503" t="s">
        <v>11409</v>
      </c>
      <c r="B1812" s="504" t="s">
        <v>2831</v>
      </c>
      <c r="C1812" s="504" t="s">
        <v>1089</v>
      </c>
      <c r="D1812" s="504" t="s">
        <v>3392</v>
      </c>
      <c r="E1812" s="504" t="s">
        <v>3381</v>
      </c>
      <c r="F1812" s="504" t="s">
        <v>527</v>
      </c>
      <c r="G1812" s="504" t="s">
        <v>528</v>
      </c>
      <c r="H1812" s="504" t="s">
        <v>12194</v>
      </c>
      <c r="I1812" s="504">
        <v>12</v>
      </c>
      <c r="J1812" s="504">
        <v>0</v>
      </c>
      <c r="K1812" s="504">
        <v>0</v>
      </c>
      <c r="L1812" s="504">
        <v>0</v>
      </c>
      <c r="M1812" s="504">
        <v>12</v>
      </c>
      <c r="N1812" s="504">
        <v>0</v>
      </c>
      <c r="O1812" s="505">
        <v>0</v>
      </c>
    </row>
    <row r="1813" spans="1:15" x14ac:dyDescent="0.35">
      <c r="A1813" s="500" t="s">
        <v>1771</v>
      </c>
      <c r="B1813" s="501" t="s">
        <v>2922</v>
      </c>
      <c r="C1813" s="501" t="s">
        <v>1089</v>
      </c>
      <c r="D1813" s="501" t="s">
        <v>3392</v>
      </c>
      <c r="E1813" s="501" t="s">
        <v>3381</v>
      </c>
      <c r="F1813" s="501" t="s">
        <v>527</v>
      </c>
      <c r="G1813" s="501" t="s">
        <v>528</v>
      </c>
      <c r="H1813" s="501" t="s">
        <v>4774</v>
      </c>
      <c r="I1813" s="501">
        <v>10</v>
      </c>
      <c r="J1813" s="501">
        <v>0</v>
      </c>
      <c r="K1813" s="501">
        <v>0</v>
      </c>
      <c r="L1813" s="501">
        <v>0</v>
      </c>
      <c r="M1813" s="501">
        <v>10</v>
      </c>
      <c r="N1813" s="501">
        <v>0</v>
      </c>
      <c r="O1813" s="506">
        <v>0</v>
      </c>
    </row>
    <row r="1814" spans="1:15" x14ac:dyDescent="0.35">
      <c r="A1814" s="503" t="s">
        <v>1249</v>
      </c>
      <c r="B1814" s="504">
        <v>4729</v>
      </c>
      <c r="C1814" s="504" t="s">
        <v>1094</v>
      </c>
      <c r="D1814" s="504" t="s">
        <v>3380</v>
      </c>
      <c r="E1814" s="504" t="s">
        <v>3381</v>
      </c>
      <c r="F1814" s="504" t="s">
        <v>527</v>
      </c>
      <c r="G1814" s="504" t="s">
        <v>528</v>
      </c>
      <c r="H1814" s="504" t="s">
        <v>4775</v>
      </c>
      <c r="I1814" s="504">
        <v>404</v>
      </c>
      <c r="J1814" s="504">
        <v>197</v>
      </c>
      <c r="K1814" s="504">
        <v>0</v>
      </c>
      <c r="L1814" s="504">
        <v>0</v>
      </c>
      <c r="M1814" s="504">
        <v>181</v>
      </c>
      <c r="N1814" s="504">
        <v>0</v>
      </c>
      <c r="O1814" s="505">
        <v>26</v>
      </c>
    </row>
    <row r="1815" spans="1:15" x14ac:dyDescent="0.35">
      <c r="A1815" s="500" t="s">
        <v>1252</v>
      </c>
      <c r="B1815" s="501" t="s">
        <v>2875</v>
      </c>
      <c r="C1815" s="501" t="s">
        <v>1089</v>
      </c>
      <c r="D1815" s="501" t="s">
        <v>3392</v>
      </c>
      <c r="E1815" s="501" t="s">
        <v>3381</v>
      </c>
      <c r="F1815" s="501" t="s">
        <v>527</v>
      </c>
      <c r="G1815" s="501" t="s">
        <v>528</v>
      </c>
      <c r="H1815" s="501" t="s">
        <v>4776</v>
      </c>
      <c r="I1815" s="501">
        <v>18</v>
      </c>
      <c r="J1815" s="501">
        <v>0</v>
      </c>
      <c r="K1815" s="501">
        <v>0</v>
      </c>
      <c r="L1815" s="501">
        <v>18</v>
      </c>
      <c r="M1815" s="501">
        <v>0</v>
      </c>
      <c r="N1815" s="501">
        <v>0</v>
      </c>
      <c r="O1815" s="506">
        <v>0</v>
      </c>
    </row>
    <row r="1816" spans="1:15" x14ac:dyDescent="0.35">
      <c r="A1816" s="503" t="s">
        <v>1253</v>
      </c>
      <c r="B1816" s="504" t="s">
        <v>3232</v>
      </c>
      <c r="C1816" s="504" t="s">
        <v>1094</v>
      </c>
      <c r="D1816" s="504" t="s">
        <v>3380</v>
      </c>
      <c r="E1816" s="504" t="s">
        <v>3381</v>
      </c>
      <c r="F1816" s="504" t="s">
        <v>527</v>
      </c>
      <c r="G1816" s="504" t="s">
        <v>528</v>
      </c>
      <c r="H1816" s="504" t="s">
        <v>4777</v>
      </c>
      <c r="I1816" s="504">
        <v>399</v>
      </c>
      <c r="J1816" s="504">
        <v>214</v>
      </c>
      <c r="K1816" s="504">
        <v>0</v>
      </c>
      <c r="L1816" s="504">
        <v>15</v>
      </c>
      <c r="M1816" s="504">
        <v>46</v>
      </c>
      <c r="N1816" s="504">
        <v>0</v>
      </c>
      <c r="O1816" s="505">
        <v>124</v>
      </c>
    </row>
    <row r="1817" spans="1:15" x14ac:dyDescent="0.35">
      <c r="A1817" s="500" t="s">
        <v>1779</v>
      </c>
      <c r="B1817" s="501">
        <v>5065</v>
      </c>
      <c r="C1817" s="501" t="s">
        <v>1094</v>
      </c>
      <c r="D1817" s="501" t="s">
        <v>3380</v>
      </c>
      <c r="E1817" s="501" t="s">
        <v>3381</v>
      </c>
      <c r="F1817" s="501" t="s">
        <v>527</v>
      </c>
      <c r="G1817" s="501" t="s">
        <v>528</v>
      </c>
      <c r="H1817" s="501" t="s">
        <v>4778</v>
      </c>
      <c r="I1817" s="501">
        <v>175</v>
      </c>
      <c r="J1817" s="501">
        <v>103</v>
      </c>
      <c r="K1817" s="501">
        <v>0</v>
      </c>
      <c r="L1817" s="501">
        <v>0</v>
      </c>
      <c r="M1817" s="501">
        <v>0</v>
      </c>
      <c r="N1817" s="501">
        <v>0</v>
      </c>
      <c r="O1817" s="506">
        <v>72</v>
      </c>
    </row>
    <row r="1818" spans="1:15" x14ac:dyDescent="0.35">
      <c r="A1818" s="503" t="s">
        <v>1783</v>
      </c>
      <c r="B1818" s="504" t="s">
        <v>3179</v>
      </c>
      <c r="C1818" s="504" t="s">
        <v>1094</v>
      </c>
      <c r="D1818" s="504" t="s">
        <v>3380</v>
      </c>
      <c r="E1818" s="504" t="s">
        <v>3381</v>
      </c>
      <c r="F1818" s="504" t="s">
        <v>527</v>
      </c>
      <c r="G1818" s="504" t="s">
        <v>528</v>
      </c>
      <c r="H1818" s="504" t="s">
        <v>4779</v>
      </c>
      <c r="I1818" s="504">
        <v>6039</v>
      </c>
      <c r="J1818" s="504">
        <v>5833</v>
      </c>
      <c r="K1818" s="504">
        <v>0</v>
      </c>
      <c r="L1818" s="504">
        <v>9</v>
      </c>
      <c r="M1818" s="504">
        <v>109</v>
      </c>
      <c r="N1818" s="504">
        <v>0</v>
      </c>
      <c r="O1818" s="505">
        <v>88</v>
      </c>
    </row>
    <row r="1819" spans="1:15" x14ac:dyDescent="0.35">
      <c r="A1819" s="500" t="s">
        <v>1787</v>
      </c>
      <c r="B1819" s="501" t="s">
        <v>3009</v>
      </c>
      <c r="C1819" s="501" t="s">
        <v>1089</v>
      </c>
      <c r="D1819" s="501" t="s">
        <v>3392</v>
      </c>
      <c r="E1819" s="501" t="s">
        <v>3381</v>
      </c>
      <c r="F1819" s="501" t="s">
        <v>527</v>
      </c>
      <c r="G1819" s="501" t="s">
        <v>528</v>
      </c>
      <c r="H1819" s="501" t="s">
        <v>4780</v>
      </c>
      <c r="I1819" s="501">
        <v>31</v>
      </c>
      <c r="J1819" s="501">
        <v>15</v>
      </c>
      <c r="K1819" s="501">
        <v>0</v>
      </c>
      <c r="L1819" s="501">
        <v>16</v>
      </c>
      <c r="M1819" s="501">
        <v>0</v>
      </c>
      <c r="N1819" s="501">
        <v>0</v>
      </c>
      <c r="O1819" s="506">
        <v>0</v>
      </c>
    </row>
    <row r="1820" spans="1:15" x14ac:dyDescent="0.35">
      <c r="A1820" s="503" t="s">
        <v>1266</v>
      </c>
      <c r="B1820" s="504" t="s">
        <v>3071</v>
      </c>
      <c r="C1820" s="504" t="s">
        <v>1094</v>
      </c>
      <c r="D1820" s="504" t="s">
        <v>3380</v>
      </c>
      <c r="E1820" s="504" t="s">
        <v>3381</v>
      </c>
      <c r="F1820" s="504" t="s">
        <v>527</v>
      </c>
      <c r="G1820" s="504" t="s">
        <v>528</v>
      </c>
      <c r="H1820" s="504" t="s">
        <v>4781</v>
      </c>
      <c r="I1820" s="504">
        <v>1210</v>
      </c>
      <c r="J1820" s="504">
        <v>482</v>
      </c>
      <c r="K1820" s="504">
        <v>0</v>
      </c>
      <c r="L1820" s="504">
        <v>57</v>
      </c>
      <c r="M1820" s="504">
        <v>319</v>
      </c>
      <c r="N1820" s="504">
        <v>0</v>
      </c>
      <c r="O1820" s="505">
        <v>352</v>
      </c>
    </row>
    <row r="1821" spans="1:15" x14ac:dyDescent="0.35">
      <c r="A1821" s="500" t="s">
        <v>1193</v>
      </c>
      <c r="B1821" s="501" t="s">
        <v>3039</v>
      </c>
      <c r="C1821" s="501" t="s">
        <v>1094</v>
      </c>
      <c r="D1821" s="501" t="s">
        <v>3380</v>
      </c>
      <c r="E1821" s="501" t="s">
        <v>3381</v>
      </c>
      <c r="F1821" s="501" t="s">
        <v>529</v>
      </c>
      <c r="G1821" s="501" t="s">
        <v>530</v>
      </c>
      <c r="H1821" s="501" t="s">
        <v>4798</v>
      </c>
      <c r="I1821" s="501">
        <v>31</v>
      </c>
      <c r="J1821" s="501">
        <v>0</v>
      </c>
      <c r="K1821" s="501">
        <v>0</v>
      </c>
      <c r="L1821" s="501">
        <v>0</v>
      </c>
      <c r="M1821" s="501">
        <v>31</v>
      </c>
      <c r="N1821" s="501">
        <v>0</v>
      </c>
      <c r="O1821" s="506">
        <v>0</v>
      </c>
    </row>
    <row r="1822" spans="1:15" x14ac:dyDescent="0.35">
      <c r="A1822" s="503" t="s">
        <v>1145</v>
      </c>
      <c r="B1822" s="504" t="s">
        <v>3164</v>
      </c>
      <c r="C1822" s="504" t="s">
        <v>1094</v>
      </c>
      <c r="D1822" s="504" t="s">
        <v>3380</v>
      </c>
      <c r="E1822" s="504" t="s">
        <v>3381</v>
      </c>
      <c r="F1822" s="504" t="s">
        <v>529</v>
      </c>
      <c r="G1822" s="504" t="s">
        <v>530</v>
      </c>
      <c r="H1822" s="504" t="s">
        <v>4782</v>
      </c>
      <c r="I1822" s="504">
        <v>1</v>
      </c>
      <c r="J1822" s="504">
        <v>0</v>
      </c>
      <c r="K1822" s="504">
        <v>0</v>
      </c>
      <c r="L1822" s="504">
        <v>0</v>
      </c>
      <c r="M1822" s="504">
        <v>0</v>
      </c>
      <c r="N1822" s="504">
        <v>0</v>
      </c>
      <c r="O1822" s="505">
        <v>1</v>
      </c>
    </row>
    <row r="1823" spans="1:15" x14ac:dyDescent="0.35">
      <c r="A1823" s="500" t="s">
        <v>1146</v>
      </c>
      <c r="B1823" s="501">
        <v>4660</v>
      </c>
      <c r="C1823" s="501" t="s">
        <v>1089</v>
      </c>
      <c r="D1823" s="501" t="s">
        <v>3392</v>
      </c>
      <c r="E1823" s="501" t="s">
        <v>3381</v>
      </c>
      <c r="F1823" s="501" t="s">
        <v>529</v>
      </c>
      <c r="G1823" s="501" t="s">
        <v>530</v>
      </c>
      <c r="H1823" s="501" t="s">
        <v>4783</v>
      </c>
      <c r="I1823" s="501">
        <v>37</v>
      </c>
      <c r="J1823" s="501">
        <v>11</v>
      </c>
      <c r="K1823" s="501">
        <v>0</v>
      </c>
      <c r="L1823" s="501">
        <v>26</v>
      </c>
      <c r="M1823" s="501">
        <v>0</v>
      </c>
      <c r="N1823" s="501">
        <v>0</v>
      </c>
      <c r="O1823" s="506">
        <v>0</v>
      </c>
    </row>
    <row r="1824" spans="1:15" x14ac:dyDescent="0.35">
      <c r="A1824" s="503" t="s">
        <v>1147</v>
      </c>
      <c r="B1824" s="504" t="s">
        <v>3274</v>
      </c>
      <c r="C1824" s="504" t="s">
        <v>1089</v>
      </c>
      <c r="D1824" s="504" t="s">
        <v>3392</v>
      </c>
      <c r="E1824" s="504" t="s">
        <v>3381</v>
      </c>
      <c r="F1824" s="504" t="s">
        <v>529</v>
      </c>
      <c r="G1824" s="504" t="s">
        <v>530</v>
      </c>
      <c r="H1824" s="504" t="s">
        <v>4784</v>
      </c>
      <c r="I1824" s="504">
        <v>31</v>
      </c>
      <c r="J1824" s="504">
        <v>0</v>
      </c>
      <c r="K1824" s="504">
        <v>10</v>
      </c>
      <c r="L1824" s="504">
        <v>21</v>
      </c>
      <c r="M1824" s="504">
        <v>0</v>
      </c>
      <c r="N1824" s="504">
        <v>0</v>
      </c>
      <c r="O1824" s="505">
        <v>0</v>
      </c>
    </row>
    <row r="1825" spans="1:15" x14ac:dyDescent="0.35">
      <c r="A1825" s="500" t="s">
        <v>1093</v>
      </c>
      <c r="B1825" s="501" t="s">
        <v>3248</v>
      </c>
      <c r="C1825" s="501" t="s">
        <v>1094</v>
      </c>
      <c r="D1825" s="501" t="s">
        <v>3380</v>
      </c>
      <c r="E1825" s="501" t="s">
        <v>3381</v>
      </c>
      <c r="F1825" s="501" t="s">
        <v>529</v>
      </c>
      <c r="G1825" s="501" t="s">
        <v>530</v>
      </c>
      <c r="H1825" s="501" t="s">
        <v>4785</v>
      </c>
      <c r="I1825" s="501">
        <v>1</v>
      </c>
      <c r="J1825" s="501">
        <v>0</v>
      </c>
      <c r="K1825" s="501">
        <v>0</v>
      </c>
      <c r="L1825" s="501">
        <v>0</v>
      </c>
      <c r="M1825" s="501">
        <v>0</v>
      </c>
      <c r="N1825" s="501">
        <v>0</v>
      </c>
      <c r="O1825" s="506">
        <v>1</v>
      </c>
    </row>
    <row r="1826" spans="1:15" x14ac:dyDescent="0.35">
      <c r="A1826" s="503" t="s">
        <v>1148</v>
      </c>
      <c r="B1826" s="504">
        <v>4741</v>
      </c>
      <c r="C1826" s="504" t="s">
        <v>1089</v>
      </c>
      <c r="D1826" s="504" t="s">
        <v>3392</v>
      </c>
      <c r="E1826" s="504" t="s">
        <v>3381</v>
      </c>
      <c r="F1826" s="504" t="s">
        <v>529</v>
      </c>
      <c r="G1826" s="504" t="s">
        <v>530</v>
      </c>
      <c r="H1826" s="504" t="s">
        <v>4786</v>
      </c>
      <c r="I1826" s="504">
        <v>93</v>
      </c>
      <c r="J1826" s="504">
        <v>93</v>
      </c>
      <c r="K1826" s="504">
        <v>0</v>
      </c>
      <c r="L1826" s="504">
        <v>0</v>
      </c>
      <c r="M1826" s="504">
        <v>0</v>
      </c>
      <c r="N1826" s="504">
        <v>0</v>
      </c>
      <c r="O1826" s="505">
        <v>0</v>
      </c>
    </row>
    <row r="1827" spans="1:15" x14ac:dyDescent="0.35">
      <c r="A1827" s="500" t="s">
        <v>1096</v>
      </c>
      <c r="B1827" s="501" t="s">
        <v>3326</v>
      </c>
      <c r="C1827" s="501" t="s">
        <v>1094</v>
      </c>
      <c r="D1827" s="501" t="s">
        <v>3380</v>
      </c>
      <c r="E1827" s="501" t="s">
        <v>3381</v>
      </c>
      <c r="F1827" s="501" t="s">
        <v>529</v>
      </c>
      <c r="G1827" s="501" t="s">
        <v>530</v>
      </c>
      <c r="H1827" s="501" t="s">
        <v>4787</v>
      </c>
      <c r="I1827" s="501">
        <v>25</v>
      </c>
      <c r="J1827" s="501">
        <v>0</v>
      </c>
      <c r="K1827" s="501">
        <v>0</v>
      </c>
      <c r="L1827" s="501">
        <v>0</v>
      </c>
      <c r="M1827" s="501">
        <v>25</v>
      </c>
      <c r="N1827" s="501">
        <v>0</v>
      </c>
      <c r="O1827" s="506">
        <v>0</v>
      </c>
    </row>
    <row r="1828" spans="1:15" x14ac:dyDescent="0.35">
      <c r="A1828" s="503" t="s">
        <v>1163</v>
      </c>
      <c r="B1828" s="504" t="s">
        <v>3317</v>
      </c>
      <c r="C1828" s="504" t="s">
        <v>1089</v>
      </c>
      <c r="D1828" s="504" t="s">
        <v>3392</v>
      </c>
      <c r="E1828" s="504" t="s">
        <v>3381</v>
      </c>
      <c r="F1828" s="504" t="s">
        <v>529</v>
      </c>
      <c r="G1828" s="504" t="s">
        <v>530</v>
      </c>
      <c r="H1828" s="504" t="s">
        <v>4788</v>
      </c>
      <c r="I1828" s="504">
        <v>33</v>
      </c>
      <c r="J1828" s="504">
        <v>0</v>
      </c>
      <c r="K1828" s="504">
        <v>0</v>
      </c>
      <c r="L1828" s="504">
        <v>0</v>
      </c>
      <c r="M1828" s="504">
        <v>33</v>
      </c>
      <c r="N1828" s="504">
        <v>0</v>
      </c>
      <c r="O1828" s="505">
        <v>0</v>
      </c>
    </row>
    <row r="1829" spans="1:15" x14ac:dyDescent="0.35">
      <c r="A1829" s="500" t="s">
        <v>1171</v>
      </c>
      <c r="B1829" s="501" t="s">
        <v>3003</v>
      </c>
      <c r="C1829" s="501" t="s">
        <v>1094</v>
      </c>
      <c r="D1829" s="501" t="s">
        <v>3380</v>
      </c>
      <c r="E1829" s="501" t="s">
        <v>3381</v>
      </c>
      <c r="F1829" s="501" t="s">
        <v>529</v>
      </c>
      <c r="G1829" s="501" t="s">
        <v>530</v>
      </c>
      <c r="H1829" s="501" t="s">
        <v>4789</v>
      </c>
      <c r="I1829" s="501">
        <v>175</v>
      </c>
      <c r="J1829" s="501">
        <v>67</v>
      </c>
      <c r="K1829" s="501">
        <v>0</v>
      </c>
      <c r="L1829" s="501">
        <v>12</v>
      </c>
      <c r="M1829" s="501">
        <v>86</v>
      </c>
      <c r="N1829" s="501">
        <v>0</v>
      </c>
      <c r="O1829" s="506">
        <v>10</v>
      </c>
    </row>
    <row r="1830" spans="1:15" x14ac:dyDescent="0.35">
      <c r="A1830" s="503" t="s">
        <v>1173</v>
      </c>
      <c r="B1830" s="504">
        <v>4775</v>
      </c>
      <c r="C1830" s="504" t="s">
        <v>1094</v>
      </c>
      <c r="D1830" s="504" t="s">
        <v>3380</v>
      </c>
      <c r="E1830" s="504" t="s">
        <v>3381</v>
      </c>
      <c r="F1830" s="504" t="s">
        <v>529</v>
      </c>
      <c r="G1830" s="504" t="s">
        <v>530</v>
      </c>
      <c r="H1830" s="504" t="s">
        <v>4790</v>
      </c>
      <c r="I1830" s="504">
        <v>80</v>
      </c>
      <c r="J1830" s="504">
        <v>33</v>
      </c>
      <c r="K1830" s="504">
        <v>0</v>
      </c>
      <c r="L1830" s="504">
        <v>7</v>
      </c>
      <c r="M1830" s="504">
        <v>36</v>
      </c>
      <c r="N1830" s="504">
        <v>0</v>
      </c>
      <c r="O1830" s="505">
        <v>4</v>
      </c>
    </row>
    <row r="1831" spans="1:15" x14ac:dyDescent="0.35">
      <c r="A1831" s="500" t="s">
        <v>1102</v>
      </c>
      <c r="B1831" s="501">
        <v>4663</v>
      </c>
      <c r="C1831" s="501" t="s">
        <v>1089</v>
      </c>
      <c r="D1831" s="501" t="s">
        <v>3392</v>
      </c>
      <c r="E1831" s="501" t="s">
        <v>3381</v>
      </c>
      <c r="F1831" s="501" t="s">
        <v>529</v>
      </c>
      <c r="G1831" s="501" t="s">
        <v>530</v>
      </c>
      <c r="H1831" s="501" t="s">
        <v>14577</v>
      </c>
      <c r="I1831" s="501">
        <v>1</v>
      </c>
      <c r="J1831" s="501">
        <v>0</v>
      </c>
      <c r="K1831" s="501">
        <v>0</v>
      </c>
      <c r="L1831" s="501">
        <v>1</v>
      </c>
      <c r="M1831" s="501">
        <v>0</v>
      </c>
      <c r="N1831" s="501">
        <v>0</v>
      </c>
      <c r="O1831" s="506">
        <v>0</v>
      </c>
    </row>
    <row r="1832" spans="1:15" x14ac:dyDescent="0.35">
      <c r="A1832" s="503" t="s">
        <v>1177</v>
      </c>
      <c r="B1832" s="504">
        <v>4702</v>
      </c>
      <c r="C1832" s="504" t="s">
        <v>1089</v>
      </c>
      <c r="D1832" s="504" t="s">
        <v>3392</v>
      </c>
      <c r="E1832" s="504" t="s">
        <v>3381</v>
      </c>
      <c r="F1832" s="504" t="s">
        <v>529</v>
      </c>
      <c r="G1832" s="504" t="s">
        <v>530</v>
      </c>
      <c r="H1832" s="504" t="s">
        <v>4791</v>
      </c>
      <c r="I1832" s="504">
        <v>2</v>
      </c>
      <c r="J1832" s="504">
        <v>0</v>
      </c>
      <c r="K1832" s="504">
        <v>0</v>
      </c>
      <c r="L1832" s="504">
        <v>2</v>
      </c>
      <c r="M1832" s="504">
        <v>0</v>
      </c>
      <c r="N1832" s="504">
        <v>0</v>
      </c>
      <c r="O1832" s="505">
        <v>0</v>
      </c>
    </row>
    <row r="1833" spans="1:15" x14ac:dyDescent="0.35">
      <c r="A1833" s="500" t="s">
        <v>1178</v>
      </c>
      <c r="B1833" s="501" t="s">
        <v>3334</v>
      </c>
      <c r="C1833" s="501" t="s">
        <v>1094</v>
      </c>
      <c r="D1833" s="501" t="s">
        <v>3380</v>
      </c>
      <c r="E1833" s="501" t="s">
        <v>3381</v>
      </c>
      <c r="F1833" s="501" t="s">
        <v>529</v>
      </c>
      <c r="G1833" s="501" t="s">
        <v>530</v>
      </c>
      <c r="H1833" s="501" t="s">
        <v>14578</v>
      </c>
      <c r="I1833" s="501">
        <v>5</v>
      </c>
      <c r="J1833" s="501">
        <v>0</v>
      </c>
      <c r="K1833" s="501">
        <v>0</v>
      </c>
      <c r="L1833" s="501">
        <v>5</v>
      </c>
      <c r="M1833" s="501">
        <v>0</v>
      </c>
      <c r="N1833" s="501">
        <v>0</v>
      </c>
      <c r="O1833" s="506">
        <v>0</v>
      </c>
    </row>
    <row r="1834" spans="1:15" x14ac:dyDescent="0.35">
      <c r="A1834" s="503" t="s">
        <v>14208</v>
      </c>
      <c r="B1834" s="504">
        <v>4803</v>
      </c>
      <c r="C1834" s="504" t="s">
        <v>1094</v>
      </c>
      <c r="D1834" s="504" t="s">
        <v>3380</v>
      </c>
      <c r="E1834" s="504" t="s">
        <v>3381</v>
      </c>
      <c r="F1834" s="504" t="s">
        <v>529</v>
      </c>
      <c r="G1834" s="504" t="s">
        <v>530</v>
      </c>
      <c r="H1834" s="504" t="s">
        <v>14579</v>
      </c>
      <c r="I1834" s="504">
        <v>8</v>
      </c>
      <c r="J1834" s="504">
        <v>0</v>
      </c>
      <c r="K1834" s="504">
        <v>0</v>
      </c>
      <c r="L1834" s="504">
        <v>8</v>
      </c>
      <c r="M1834" s="504">
        <v>0</v>
      </c>
      <c r="N1834" s="504">
        <v>0</v>
      </c>
      <c r="O1834" s="505">
        <v>0</v>
      </c>
    </row>
    <row r="1835" spans="1:15" x14ac:dyDescent="0.35">
      <c r="A1835" s="500" t="s">
        <v>1183</v>
      </c>
      <c r="B1835" s="501" t="s">
        <v>3038</v>
      </c>
      <c r="C1835" s="501" t="s">
        <v>1094</v>
      </c>
      <c r="D1835" s="501" t="s">
        <v>3380</v>
      </c>
      <c r="E1835" s="501" t="s">
        <v>3381</v>
      </c>
      <c r="F1835" s="501" t="s">
        <v>529</v>
      </c>
      <c r="G1835" s="501" t="s">
        <v>530</v>
      </c>
      <c r="H1835" s="501" t="s">
        <v>4792</v>
      </c>
      <c r="I1835" s="501">
        <v>21</v>
      </c>
      <c r="J1835" s="501">
        <v>19</v>
      </c>
      <c r="K1835" s="501">
        <v>0</v>
      </c>
      <c r="L1835" s="501">
        <v>0</v>
      </c>
      <c r="M1835" s="501">
        <v>0</v>
      </c>
      <c r="N1835" s="501">
        <v>0</v>
      </c>
      <c r="O1835" s="506">
        <v>2</v>
      </c>
    </row>
    <row r="1836" spans="1:15" x14ac:dyDescent="0.35">
      <c r="A1836" s="503" t="s">
        <v>1185</v>
      </c>
      <c r="B1836" s="504" t="s">
        <v>3253</v>
      </c>
      <c r="C1836" s="504" t="s">
        <v>1094</v>
      </c>
      <c r="D1836" s="504" t="s">
        <v>3380</v>
      </c>
      <c r="E1836" s="504" t="s">
        <v>3381</v>
      </c>
      <c r="F1836" s="504" t="s">
        <v>529</v>
      </c>
      <c r="G1836" s="504" t="s">
        <v>530</v>
      </c>
      <c r="H1836" s="504" t="s">
        <v>4793</v>
      </c>
      <c r="I1836" s="504">
        <v>33</v>
      </c>
      <c r="J1836" s="504">
        <v>16</v>
      </c>
      <c r="K1836" s="504">
        <v>0</v>
      </c>
      <c r="L1836" s="504">
        <v>12</v>
      </c>
      <c r="M1836" s="504">
        <v>5</v>
      </c>
      <c r="N1836" s="504">
        <v>0</v>
      </c>
      <c r="O1836" s="505">
        <v>0</v>
      </c>
    </row>
    <row r="1837" spans="1:15" x14ac:dyDescent="0.35">
      <c r="A1837" s="500" t="s">
        <v>1105</v>
      </c>
      <c r="B1837" s="501">
        <v>4668</v>
      </c>
      <c r="C1837" s="501" t="s">
        <v>1094</v>
      </c>
      <c r="D1837" s="501" t="s">
        <v>3380</v>
      </c>
      <c r="E1837" s="501" t="s">
        <v>3381</v>
      </c>
      <c r="F1837" s="501" t="s">
        <v>529</v>
      </c>
      <c r="G1837" s="501" t="s">
        <v>530</v>
      </c>
      <c r="H1837" s="501" t="s">
        <v>4794</v>
      </c>
      <c r="I1837" s="501">
        <v>11</v>
      </c>
      <c r="J1837" s="501">
        <v>0</v>
      </c>
      <c r="K1837" s="501">
        <v>0</v>
      </c>
      <c r="L1837" s="501">
        <v>0</v>
      </c>
      <c r="M1837" s="501">
        <v>0</v>
      </c>
      <c r="N1837" s="501">
        <v>0</v>
      </c>
      <c r="O1837" s="506">
        <v>11</v>
      </c>
    </row>
    <row r="1838" spans="1:15" x14ac:dyDescent="0.35">
      <c r="A1838" s="503" t="s">
        <v>1107</v>
      </c>
      <c r="B1838" s="504" t="s">
        <v>3109</v>
      </c>
      <c r="C1838" s="504" t="s">
        <v>1094</v>
      </c>
      <c r="D1838" s="504" t="s">
        <v>3380</v>
      </c>
      <c r="E1838" s="504" t="s">
        <v>3381</v>
      </c>
      <c r="F1838" s="504" t="s">
        <v>529</v>
      </c>
      <c r="G1838" s="504" t="s">
        <v>530</v>
      </c>
      <c r="H1838" s="504" t="s">
        <v>4795</v>
      </c>
      <c r="I1838" s="504">
        <v>9</v>
      </c>
      <c r="J1838" s="504">
        <v>0</v>
      </c>
      <c r="K1838" s="504">
        <v>0</v>
      </c>
      <c r="L1838" s="504">
        <v>9</v>
      </c>
      <c r="M1838" s="504">
        <v>0</v>
      </c>
      <c r="N1838" s="504">
        <v>0</v>
      </c>
      <c r="O1838" s="505">
        <v>0</v>
      </c>
    </row>
    <row r="1839" spans="1:15" x14ac:dyDescent="0.35">
      <c r="A1839" s="500" t="s">
        <v>1109</v>
      </c>
      <c r="B1839" s="501" t="s">
        <v>2959</v>
      </c>
      <c r="C1839" s="501" t="s">
        <v>1094</v>
      </c>
      <c r="D1839" s="501" t="s">
        <v>3380</v>
      </c>
      <c r="E1839" s="501" t="s">
        <v>3381</v>
      </c>
      <c r="F1839" s="501" t="s">
        <v>529</v>
      </c>
      <c r="G1839" s="501" t="s">
        <v>530</v>
      </c>
      <c r="H1839" s="501" t="s">
        <v>4796</v>
      </c>
      <c r="I1839" s="501">
        <v>30</v>
      </c>
      <c r="J1839" s="501">
        <v>0</v>
      </c>
      <c r="K1839" s="501">
        <v>0</v>
      </c>
      <c r="L1839" s="501">
        <v>0</v>
      </c>
      <c r="M1839" s="501">
        <v>30</v>
      </c>
      <c r="N1839" s="501">
        <v>0</v>
      </c>
      <c r="O1839" s="506">
        <v>0</v>
      </c>
    </row>
    <row r="1840" spans="1:15" x14ac:dyDescent="0.35">
      <c r="A1840" s="503" t="s">
        <v>1190</v>
      </c>
      <c r="B1840" s="504">
        <v>4662</v>
      </c>
      <c r="C1840" s="504" t="s">
        <v>1094</v>
      </c>
      <c r="D1840" s="504" t="s">
        <v>3380</v>
      </c>
      <c r="E1840" s="504" t="s">
        <v>3381</v>
      </c>
      <c r="F1840" s="504" t="s">
        <v>529</v>
      </c>
      <c r="G1840" s="504" t="s">
        <v>530</v>
      </c>
      <c r="H1840" s="504" t="s">
        <v>4797</v>
      </c>
      <c r="I1840" s="504">
        <v>29</v>
      </c>
      <c r="J1840" s="504">
        <v>0</v>
      </c>
      <c r="K1840" s="504">
        <v>0</v>
      </c>
      <c r="L1840" s="504">
        <v>29</v>
      </c>
      <c r="M1840" s="504">
        <v>0</v>
      </c>
      <c r="N1840" s="504">
        <v>0</v>
      </c>
      <c r="O1840" s="505">
        <v>0</v>
      </c>
    </row>
    <row r="1841" spans="1:15" x14ac:dyDescent="0.35">
      <c r="A1841" s="500" t="s">
        <v>1112</v>
      </c>
      <c r="B1841" s="501" t="s">
        <v>3008</v>
      </c>
      <c r="C1841" s="501" t="s">
        <v>1094</v>
      </c>
      <c r="D1841" s="501" t="s">
        <v>3380</v>
      </c>
      <c r="E1841" s="501" t="s">
        <v>3381</v>
      </c>
      <c r="F1841" s="501" t="s">
        <v>529</v>
      </c>
      <c r="G1841" s="501" t="s">
        <v>530</v>
      </c>
      <c r="H1841" s="501" t="s">
        <v>4799</v>
      </c>
      <c r="I1841" s="501">
        <v>1</v>
      </c>
      <c r="J1841" s="501">
        <v>0</v>
      </c>
      <c r="K1841" s="501">
        <v>0</v>
      </c>
      <c r="L1841" s="501">
        <v>0</v>
      </c>
      <c r="M1841" s="501">
        <v>0</v>
      </c>
      <c r="N1841" s="501">
        <v>0</v>
      </c>
      <c r="O1841" s="506">
        <v>1</v>
      </c>
    </row>
    <row r="1842" spans="1:15" x14ac:dyDescent="0.35">
      <c r="A1842" s="503" t="s">
        <v>1215</v>
      </c>
      <c r="B1842" s="504">
        <v>4817</v>
      </c>
      <c r="C1842" s="504" t="s">
        <v>1094</v>
      </c>
      <c r="D1842" s="504" t="s">
        <v>3380</v>
      </c>
      <c r="E1842" s="504" t="s">
        <v>3381</v>
      </c>
      <c r="F1842" s="504" t="s">
        <v>529</v>
      </c>
      <c r="G1842" s="504" t="s">
        <v>530</v>
      </c>
      <c r="H1842" s="504" t="s">
        <v>4800</v>
      </c>
      <c r="I1842" s="504">
        <v>23</v>
      </c>
      <c r="J1842" s="504">
        <v>12</v>
      </c>
      <c r="K1842" s="504">
        <v>0</v>
      </c>
      <c r="L1842" s="504">
        <v>3</v>
      </c>
      <c r="M1842" s="504">
        <v>0</v>
      </c>
      <c r="N1842" s="504">
        <v>0</v>
      </c>
      <c r="O1842" s="505">
        <v>8</v>
      </c>
    </row>
    <row r="1843" spans="1:15" x14ac:dyDescent="0.35">
      <c r="A1843" s="500" t="s">
        <v>1122</v>
      </c>
      <c r="B1843" s="501" t="s">
        <v>2994</v>
      </c>
      <c r="C1843" s="501" t="s">
        <v>1094</v>
      </c>
      <c r="D1843" s="501" t="s">
        <v>3380</v>
      </c>
      <c r="E1843" s="501" t="s">
        <v>3381</v>
      </c>
      <c r="F1843" s="501" t="s">
        <v>529</v>
      </c>
      <c r="G1843" s="501" t="s">
        <v>530</v>
      </c>
      <c r="H1843" s="501" t="s">
        <v>4801</v>
      </c>
      <c r="I1843" s="501">
        <v>2</v>
      </c>
      <c r="J1843" s="501">
        <v>2</v>
      </c>
      <c r="K1843" s="501">
        <v>0</v>
      </c>
      <c r="L1843" s="501">
        <v>0</v>
      </c>
      <c r="M1843" s="501">
        <v>0</v>
      </c>
      <c r="N1843" s="501">
        <v>0</v>
      </c>
      <c r="O1843" s="506">
        <v>0</v>
      </c>
    </row>
    <row r="1844" spans="1:15" x14ac:dyDescent="0.35">
      <c r="A1844" s="503" t="s">
        <v>1225</v>
      </c>
      <c r="B1844" s="504" t="s">
        <v>3315</v>
      </c>
      <c r="C1844" s="504" t="s">
        <v>1094</v>
      </c>
      <c r="D1844" s="504" t="s">
        <v>3380</v>
      </c>
      <c r="E1844" s="504" t="s">
        <v>3381</v>
      </c>
      <c r="F1844" s="504" t="s">
        <v>529</v>
      </c>
      <c r="G1844" s="504" t="s">
        <v>530</v>
      </c>
      <c r="H1844" s="504" t="s">
        <v>4802</v>
      </c>
      <c r="I1844" s="504">
        <v>2</v>
      </c>
      <c r="J1844" s="504">
        <v>0</v>
      </c>
      <c r="K1844" s="504">
        <v>0</v>
      </c>
      <c r="L1844" s="504">
        <v>2</v>
      </c>
      <c r="M1844" s="504">
        <v>0</v>
      </c>
      <c r="N1844" s="504">
        <v>0</v>
      </c>
      <c r="O1844" s="505">
        <v>0</v>
      </c>
    </row>
    <row r="1845" spans="1:15" x14ac:dyDescent="0.35">
      <c r="A1845" s="500" t="s">
        <v>1228</v>
      </c>
      <c r="B1845" s="501" t="s">
        <v>3321</v>
      </c>
      <c r="C1845" s="501" t="s">
        <v>1094</v>
      </c>
      <c r="D1845" s="501" t="s">
        <v>3380</v>
      </c>
      <c r="E1845" s="501" t="s">
        <v>3381</v>
      </c>
      <c r="F1845" s="501" t="s">
        <v>529</v>
      </c>
      <c r="G1845" s="501" t="s">
        <v>530</v>
      </c>
      <c r="H1845" s="501" t="s">
        <v>4803</v>
      </c>
      <c r="I1845" s="501">
        <v>5</v>
      </c>
      <c r="J1845" s="501">
        <v>0</v>
      </c>
      <c r="K1845" s="501">
        <v>0</v>
      </c>
      <c r="L1845" s="501">
        <v>5</v>
      </c>
      <c r="M1845" s="501">
        <v>0</v>
      </c>
      <c r="N1845" s="501">
        <v>0</v>
      </c>
      <c r="O1845" s="506">
        <v>0</v>
      </c>
    </row>
    <row r="1846" spans="1:15" x14ac:dyDescent="0.35">
      <c r="A1846" s="503" t="s">
        <v>1124</v>
      </c>
      <c r="B1846" s="504">
        <v>4745</v>
      </c>
      <c r="C1846" s="504" t="s">
        <v>1094</v>
      </c>
      <c r="D1846" s="504" t="s">
        <v>3380</v>
      </c>
      <c r="E1846" s="504" t="s">
        <v>3381</v>
      </c>
      <c r="F1846" s="504" t="s">
        <v>529</v>
      </c>
      <c r="G1846" s="504" t="s">
        <v>530</v>
      </c>
      <c r="H1846" s="504" t="s">
        <v>4804</v>
      </c>
      <c r="I1846" s="504">
        <v>3</v>
      </c>
      <c r="J1846" s="504">
        <v>0</v>
      </c>
      <c r="K1846" s="504">
        <v>0</v>
      </c>
      <c r="L1846" s="504">
        <v>3</v>
      </c>
      <c r="M1846" s="504">
        <v>0</v>
      </c>
      <c r="N1846" s="504">
        <v>0</v>
      </c>
      <c r="O1846" s="505">
        <v>0</v>
      </c>
    </row>
    <row r="1847" spans="1:15" x14ac:dyDescent="0.35">
      <c r="A1847" s="500" t="s">
        <v>1233</v>
      </c>
      <c r="B1847" s="501">
        <v>4636</v>
      </c>
      <c r="C1847" s="501" t="s">
        <v>1094</v>
      </c>
      <c r="D1847" s="501" t="s">
        <v>3380</v>
      </c>
      <c r="E1847" s="501" t="s">
        <v>3381</v>
      </c>
      <c r="F1847" s="501" t="s">
        <v>529</v>
      </c>
      <c r="G1847" s="501" t="s">
        <v>530</v>
      </c>
      <c r="H1847" s="501" t="s">
        <v>14580</v>
      </c>
      <c r="I1847" s="501">
        <v>8</v>
      </c>
      <c r="J1847" s="501">
        <v>2</v>
      </c>
      <c r="K1847" s="501">
        <v>0</v>
      </c>
      <c r="L1847" s="501">
        <v>0</v>
      </c>
      <c r="M1847" s="501">
        <v>0</v>
      </c>
      <c r="N1847" s="501">
        <v>0</v>
      </c>
      <c r="O1847" s="506">
        <v>6</v>
      </c>
    </row>
    <row r="1848" spans="1:15" x14ac:dyDescent="0.35">
      <c r="A1848" s="503" t="s">
        <v>11368</v>
      </c>
      <c r="B1848" s="504">
        <v>5083</v>
      </c>
      <c r="C1848" s="504" t="s">
        <v>1094</v>
      </c>
      <c r="D1848" s="504" t="s">
        <v>3380</v>
      </c>
      <c r="E1848" s="504" t="s">
        <v>3381</v>
      </c>
      <c r="F1848" s="504" t="s">
        <v>529</v>
      </c>
      <c r="G1848" s="504" t="s">
        <v>530</v>
      </c>
      <c r="H1848" s="504" t="s">
        <v>14581</v>
      </c>
      <c r="I1848" s="504">
        <v>2</v>
      </c>
      <c r="J1848" s="504">
        <v>2</v>
      </c>
      <c r="K1848" s="504">
        <v>0</v>
      </c>
      <c r="L1848" s="504">
        <v>0</v>
      </c>
      <c r="M1848" s="504">
        <v>0</v>
      </c>
      <c r="N1848" s="504">
        <v>0</v>
      </c>
      <c r="O1848" s="505">
        <v>0</v>
      </c>
    </row>
    <row r="1849" spans="1:15" x14ac:dyDescent="0.35">
      <c r="A1849" s="500" t="s">
        <v>1234</v>
      </c>
      <c r="B1849" s="501" t="s">
        <v>3291</v>
      </c>
      <c r="C1849" s="501" t="s">
        <v>1094</v>
      </c>
      <c r="D1849" s="501" t="s">
        <v>3380</v>
      </c>
      <c r="E1849" s="501" t="s">
        <v>3381</v>
      </c>
      <c r="F1849" s="501" t="s">
        <v>529</v>
      </c>
      <c r="G1849" s="501" t="s">
        <v>530</v>
      </c>
      <c r="H1849" s="501" t="s">
        <v>4805</v>
      </c>
      <c r="I1849" s="501">
        <v>18</v>
      </c>
      <c r="J1849" s="501">
        <v>0</v>
      </c>
      <c r="K1849" s="501">
        <v>0</v>
      </c>
      <c r="L1849" s="501">
        <v>0</v>
      </c>
      <c r="M1849" s="501">
        <v>18</v>
      </c>
      <c r="N1849" s="501">
        <v>0</v>
      </c>
      <c r="O1849" s="506">
        <v>0</v>
      </c>
    </row>
    <row r="1850" spans="1:15" x14ac:dyDescent="0.35">
      <c r="A1850" s="503" t="s">
        <v>1235</v>
      </c>
      <c r="B1850" s="504">
        <v>4684</v>
      </c>
      <c r="C1850" s="504" t="s">
        <v>1094</v>
      </c>
      <c r="D1850" s="504" t="s">
        <v>3380</v>
      </c>
      <c r="E1850" s="504" t="s">
        <v>3381</v>
      </c>
      <c r="F1850" s="504" t="s">
        <v>529</v>
      </c>
      <c r="G1850" s="504" t="s">
        <v>530</v>
      </c>
      <c r="H1850" s="504" t="s">
        <v>14582</v>
      </c>
      <c r="I1850" s="504">
        <v>27</v>
      </c>
      <c r="J1850" s="504">
        <v>21</v>
      </c>
      <c r="K1850" s="504">
        <v>0</v>
      </c>
      <c r="L1850" s="504">
        <v>0</v>
      </c>
      <c r="M1850" s="504">
        <v>0</v>
      </c>
      <c r="N1850" s="504">
        <v>0</v>
      </c>
      <c r="O1850" s="505">
        <v>6</v>
      </c>
    </row>
    <row r="1851" spans="1:15" x14ac:dyDescent="0.35">
      <c r="A1851" s="500" t="s">
        <v>1126</v>
      </c>
      <c r="B1851" s="501" t="s">
        <v>2974</v>
      </c>
      <c r="C1851" s="501" t="s">
        <v>1094</v>
      </c>
      <c r="D1851" s="501" t="s">
        <v>3380</v>
      </c>
      <c r="E1851" s="501" t="s">
        <v>3381</v>
      </c>
      <c r="F1851" s="501" t="s">
        <v>529</v>
      </c>
      <c r="G1851" s="501" t="s">
        <v>530</v>
      </c>
      <c r="H1851" s="501" t="s">
        <v>4806</v>
      </c>
      <c r="I1851" s="501">
        <v>11</v>
      </c>
      <c r="J1851" s="501">
        <v>0</v>
      </c>
      <c r="K1851" s="501">
        <v>0</v>
      </c>
      <c r="L1851" s="501">
        <v>11</v>
      </c>
      <c r="M1851" s="501">
        <v>0</v>
      </c>
      <c r="N1851" s="501">
        <v>0</v>
      </c>
      <c r="O1851" s="506">
        <v>0</v>
      </c>
    </row>
    <row r="1852" spans="1:15" x14ac:dyDescent="0.35">
      <c r="A1852" s="503" t="s">
        <v>1238</v>
      </c>
      <c r="B1852" s="504" t="s">
        <v>2963</v>
      </c>
      <c r="C1852" s="504" t="s">
        <v>1094</v>
      </c>
      <c r="D1852" s="504" t="s">
        <v>3380</v>
      </c>
      <c r="E1852" s="504" t="s">
        <v>3381</v>
      </c>
      <c r="F1852" s="504" t="s">
        <v>529</v>
      </c>
      <c r="G1852" s="504" t="s">
        <v>530</v>
      </c>
      <c r="H1852" s="504" t="s">
        <v>4807</v>
      </c>
      <c r="I1852" s="504">
        <v>194</v>
      </c>
      <c r="J1852" s="504">
        <v>155</v>
      </c>
      <c r="K1852" s="504">
        <v>0</v>
      </c>
      <c r="L1852" s="504">
        <v>6</v>
      </c>
      <c r="M1852" s="504">
        <v>0</v>
      </c>
      <c r="N1852" s="504">
        <v>0</v>
      </c>
      <c r="O1852" s="505">
        <v>33</v>
      </c>
    </row>
    <row r="1853" spans="1:15" x14ac:dyDescent="0.35">
      <c r="A1853" s="500" t="s">
        <v>1249</v>
      </c>
      <c r="B1853" s="501">
        <v>4729</v>
      </c>
      <c r="C1853" s="501" t="s">
        <v>1094</v>
      </c>
      <c r="D1853" s="501" t="s">
        <v>3380</v>
      </c>
      <c r="E1853" s="501" t="s">
        <v>3381</v>
      </c>
      <c r="F1853" s="501" t="s">
        <v>529</v>
      </c>
      <c r="G1853" s="501" t="s">
        <v>530</v>
      </c>
      <c r="H1853" s="501" t="s">
        <v>4808</v>
      </c>
      <c r="I1853" s="501">
        <v>603</v>
      </c>
      <c r="J1853" s="501">
        <v>326</v>
      </c>
      <c r="K1853" s="501">
        <v>0</v>
      </c>
      <c r="L1853" s="501">
        <v>16</v>
      </c>
      <c r="M1853" s="501">
        <v>232</v>
      </c>
      <c r="N1853" s="501">
        <v>0</v>
      </c>
      <c r="O1853" s="506">
        <v>29</v>
      </c>
    </row>
    <row r="1854" spans="1:15" x14ac:dyDescent="0.35">
      <c r="A1854" s="503" t="s">
        <v>1257</v>
      </c>
      <c r="B1854" s="504" t="s">
        <v>3151</v>
      </c>
      <c r="C1854" s="504" t="s">
        <v>1094</v>
      </c>
      <c r="D1854" s="504" t="s">
        <v>3380</v>
      </c>
      <c r="E1854" s="504" t="s">
        <v>3381</v>
      </c>
      <c r="F1854" s="504" t="s">
        <v>529</v>
      </c>
      <c r="G1854" s="504" t="s">
        <v>530</v>
      </c>
      <c r="H1854" s="504" t="s">
        <v>4809</v>
      </c>
      <c r="I1854" s="504">
        <v>125</v>
      </c>
      <c r="J1854" s="504">
        <v>111</v>
      </c>
      <c r="K1854" s="504">
        <v>0</v>
      </c>
      <c r="L1854" s="504">
        <v>0</v>
      </c>
      <c r="M1854" s="504">
        <v>0</v>
      </c>
      <c r="N1854" s="504">
        <v>0</v>
      </c>
      <c r="O1854" s="505">
        <v>14</v>
      </c>
    </row>
    <row r="1855" spans="1:15" x14ac:dyDescent="0.35">
      <c r="A1855" s="500" t="s">
        <v>1385</v>
      </c>
      <c r="B1855" s="501" t="s">
        <v>3249</v>
      </c>
      <c r="C1855" s="501" t="s">
        <v>1094</v>
      </c>
      <c r="D1855" s="501" t="s">
        <v>3380</v>
      </c>
      <c r="E1855" s="501" t="s">
        <v>3381</v>
      </c>
      <c r="F1855" s="501" t="s">
        <v>531</v>
      </c>
      <c r="G1855" s="501" t="s">
        <v>532</v>
      </c>
      <c r="H1855" s="501" t="s">
        <v>4810</v>
      </c>
      <c r="I1855" s="501">
        <v>467</v>
      </c>
      <c r="J1855" s="501">
        <v>421</v>
      </c>
      <c r="K1855" s="501">
        <v>0</v>
      </c>
      <c r="L1855" s="501">
        <v>3</v>
      </c>
      <c r="M1855" s="501">
        <v>0</v>
      </c>
      <c r="N1855" s="501">
        <v>0</v>
      </c>
      <c r="O1855" s="506">
        <v>43</v>
      </c>
    </row>
    <row r="1856" spans="1:15" x14ac:dyDescent="0.35">
      <c r="A1856" s="503" t="s">
        <v>1386</v>
      </c>
      <c r="B1856" s="504" t="s">
        <v>3331</v>
      </c>
      <c r="C1856" s="504" t="s">
        <v>1094</v>
      </c>
      <c r="D1856" s="504" t="s">
        <v>3380</v>
      </c>
      <c r="E1856" s="504" t="s">
        <v>3381</v>
      </c>
      <c r="F1856" s="504" t="s">
        <v>531</v>
      </c>
      <c r="G1856" s="504" t="s">
        <v>532</v>
      </c>
      <c r="H1856" s="504" t="s">
        <v>4811</v>
      </c>
      <c r="I1856" s="504">
        <v>20</v>
      </c>
      <c r="J1856" s="504">
        <v>14</v>
      </c>
      <c r="K1856" s="504">
        <v>0</v>
      </c>
      <c r="L1856" s="504">
        <v>0</v>
      </c>
      <c r="M1856" s="504">
        <v>0</v>
      </c>
      <c r="N1856" s="504">
        <v>0</v>
      </c>
      <c r="O1856" s="505">
        <v>6</v>
      </c>
    </row>
    <row r="1857" spans="1:15" x14ac:dyDescent="0.35">
      <c r="A1857" s="500" t="s">
        <v>14127</v>
      </c>
      <c r="B1857" s="501" t="s">
        <v>14126</v>
      </c>
      <c r="C1857" s="501" t="s">
        <v>1094</v>
      </c>
      <c r="D1857" s="501" t="s">
        <v>3380</v>
      </c>
      <c r="E1857" s="501" t="s">
        <v>3381</v>
      </c>
      <c r="F1857" s="501" t="s">
        <v>531</v>
      </c>
      <c r="G1857" s="501" t="s">
        <v>532</v>
      </c>
      <c r="H1857" s="501" t="s">
        <v>14583</v>
      </c>
      <c r="I1857" s="501">
        <v>169</v>
      </c>
      <c r="J1857" s="501">
        <v>151</v>
      </c>
      <c r="K1857" s="501">
        <v>0</v>
      </c>
      <c r="L1857" s="501">
        <v>0</v>
      </c>
      <c r="M1857" s="501">
        <v>0</v>
      </c>
      <c r="N1857" s="501">
        <v>0</v>
      </c>
      <c r="O1857" s="506">
        <v>18</v>
      </c>
    </row>
    <row r="1858" spans="1:15" x14ac:dyDescent="0.35">
      <c r="A1858" s="503" t="s">
        <v>1096</v>
      </c>
      <c r="B1858" s="504" t="s">
        <v>3326</v>
      </c>
      <c r="C1858" s="504" t="s">
        <v>1094</v>
      </c>
      <c r="D1858" s="504" t="s">
        <v>3380</v>
      </c>
      <c r="E1858" s="504" t="s">
        <v>3381</v>
      </c>
      <c r="F1858" s="504" t="s">
        <v>531</v>
      </c>
      <c r="G1858" s="504" t="s">
        <v>532</v>
      </c>
      <c r="H1858" s="504" t="s">
        <v>4812</v>
      </c>
      <c r="I1858" s="504">
        <v>123</v>
      </c>
      <c r="J1858" s="504">
        <v>5</v>
      </c>
      <c r="K1858" s="504">
        <v>0</v>
      </c>
      <c r="L1858" s="504">
        <v>0</v>
      </c>
      <c r="M1858" s="504">
        <v>118</v>
      </c>
      <c r="N1858" s="504">
        <v>0</v>
      </c>
      <c r="O1858" s="505">
        <v>0</v>
      </c>
    </row>
    <row r="1859" spans="1:15" x14ac:dyDescent="0.35">
      <c r="A1859" s="500" t="s">
        <v>1802</v>
      </c>
      <c r="B1859" s="501">
        <v>4872</v>
      </c>
      <c r="C1859" s="501" t="s">
        <v>1089</v>
      </c>
      <c r="D1859" s="501" t="s">
        <v>3380</v>
      </c>
      <c r="E1859" s="501" t="s">
        <v>3381</v>
      </c>
      <c r="F1859" s="501" t="s">
        <v>531</v>
      </c>
      <c r="G1859" s="501" t="s">
        <v>532</v>
      </c>
      <c r="H1859" s="501" t="s">
        <v>14584</v>
      </c>
      <c r="I1859" s="501">
        <v>25</v>
      </c>
      <c r="J1859" s="501">
        <v>17</v>
      </c>
      <c r="K1859" s="501">
        <v>0</v>
      </c>
      <c r="L1859" s="501">
        <v>0</v>
      </c>
      <c r="M1859" s="501">
        <v>0</v>
      </c>
      <c r="N1859" s="501">
        <v>0</v>
      </c>
      <c r="O1859" s="506">
        <v>8</v>
      </c>
    </row>
    <row r="1860" spans="1:15" x14ac:dyDescent="0.35">
      <c r="A1860" s="503" t="s">
        <v>1815</v>
      </c>
      <c r="B1860" s="504" t="s">
        <v>3047</v>
      </c>
      <c r="C1860" s="504" t="s">
        <v>1089</v>
      </c>
      <c r="D1860" s="504" t="s">
        <v>3392</v>
      </c>
      <c r="E1860" s="504" t="s">
        <v>3381</v>
      </c>
      <c r="F1860" s="504" t="s">
        <v>531</v>
      </c>
      <c r="G1860" s="504" t="s">
        <v>532</v>
      </c>
      <c r="H1860" s="504" t="s">
        <v>4813</v>
      </c>
      <c r="I1860" s="504">
        <v>95</v>
      </c>
      <c r="J1860" s="504">
        <v>0</v>
      </c>
      <c r="K1860" s="504">
        <v>0</v>
      </c>
      <c r="L1860" s="504">
        <v>0</v>
      </c>
      <c r="M1860" s="504">
        <v>95</v>
      </c>
      <c r="N1860" s="504">
        <v>0</v>
      </c>
      <c r="O1860" s="505">
        <v>0</v>
      </c>
    </row>
    <row r="1861" spans="1:15" x14ac:dyDescent="0.35">
      <c r="A1861" s="500" t="s">
        <v>1100</v>
      </c>
      <c r="B1861" s="501">
        <v>4865</v>
      </c>
      <c r="C1861" s="501" t="s">
        <v>1094</v>
      </c>
      <c r="D1861" s="501" t="s">
        <v>3380</v>
      </c>
      <c r="E1861" s="501" t="s">
        <v>3381</v>
      </c>
      <c r="F1861" s="501" t="s">
        <v>531</v>
      </c>
      <c r="G1861" s="501" t="s">
        <v>532</v>
      </c>
      <c r="H1861" s="501" t="s">
        <v>4814</v>
      </c>
      <c r="I1861" s="501">
        <v>1435</v>
      </c>
      <c r="J1861" s="501">
        <v>1061</v>
      </c>
      <c r="K1861" s="501">
        <v>0</v>
      </c>
      <c r="L1861" s="501">
        <v>10</v>
      </c>
      <c r="M1861" s="501">
        <v>58</v>
      </c>
      <c r="N1861" s="501">
        <v>0</v>
      </c>
      <c r="O1861" s="506">
        <v>306</v>
      </c>
    </row>
    <row r="1862" spans="1:15" x14ac:dyDescent="0.35">
      <c r="A1862" s="503" t="s">
        <v>1820</v>
      </c>
      <c r="B1862" s="504" t="s">
        <v>2475</v>
      </c>
      <c r="C1862" s="504" t="s">
        <v>1089</v>
      </c>
      <c r="D1862" s="504" t="s">
        <v>3392</v>
      </c>
      <c r="E1862" s="504" t="s">
        <v>3381</v>
      </c>
      <c r="F1862" s="504" t="s">
        <v>531</v>
      </c>
      <c r="G1862" s="504" t="s">
        <v>532</v>
      </c>
      <c r="H1862" s="504" t="s">
        <v>4815</v>
      </c>
      <c r="I1862" s="504">
        <v>18</v>
      </c>
      <c r="J1862" s="504">
        <v>0</v>
      </c>
      <c r="K1862" s="504">
        <v>0</v>
      </c>
      <c r="L1862" s="504">
        <v>0</v>
      </c>
      <c r="M1862" s="504">
        <v>18</v>
      </c>
      <c r="N1862" s="504">
        <v>0</v>
      </c>
      <c r="O1862" s="505">
        <v>0</v>
      </c>
    </row>
    <row r="1863" spans="1:15" x14ac:dyDescent="0.35">
      <c r="A1863" s="500" t="s">
        <v>14208</v>
      </c>
      <c r="B1863" s="501">
        <v>4803</v>
      </c>
      <c r="C1863" s="501" t="s">
        <v>1094</v>
      </c>
      <c r="D1863" s="501" t="s">
        <v>3380</v>
      </c>
      <c r="E1863" s="501" t="s">
        <v>3381</v>
      </c>
      <c r="F1863" s="501" t="s">
        <v>531</v>
      </c>
      <c r="G1863" s="501" t="s">
        <v>532</v>
      </c>
      <c r="H1863" s="501" t="s">
        <v>14585</v>
      </c>
      <c r="I1863" s="501">
        <v>8</v>
      </c>
      <c r="J1863" s="501">
        <v>0</v>
      </c>
      <c r="K1863" s="501">
        <v>0</v>
      </c>
      <c r="L1863" s="501">
        <v>8</v>
      </c>
      <c r="M1863" s="501">
        <v>0</v>
      </c>
      <c r="N1863" s="501">
        <v>0</v>
      </c>
      <c r="O1863" s="506">
        <v>0</v>
      </c>
    </row>
    <row r="1864" spans="1:15" x14ac:dyDescent="0.35">
      <c r="A1864" s="503" t="s">
        <v>1839</v>
      </c>
      <c r="B1864" s="504" t="s">
        <v>3050</v>
      </c>
      <c r="C1864" s="504" t="s">
        <v>1089</v>
      </c>
      <c r="D1864" s="504" t="s">
        <v>3392</v>
      </c>
      <c r="E1864" s="504" t="s">
        <v>3381</v>
      </c>
      <c r="F1864" s="504" t="s">
        <v>531</v>
      </c>
      <c r="G1864" s="504" t="s">
        <v>532</v>
      </c>
      <c r="H1864" s="504" t="s">
        <v>4816</v>
      </c>
      <c r="I1864" s="504">
        <v>14</v>
      </c>
      <c r="J1864" s="504">
        <v>14</v>
      </c>
      <c r="K1864" s="504">
        <v>0</v>
      </c>
      <c r="L1864" s="504">
        <v>0</v>
      </c>
      <c r="M1864" s="504">
        <v>0</v>
      </c>
      <c r="N1864" s="504">
        <v>0</v>
      </c>
      <c r="O1864" s="505">
        <v>0</v>
      </c>
    </row>
    <row r="1865" spans="1:15" x14ac:dyDescent="0.35">
      <c r="A1865" s="500" t="s">
        <v>1187</v>
      </c>
      <c r="B1865" s="501" t="s">
        <v>2951</v>
      </c>
      <c r="C1865" s="501" t="s">
        <v>1094</v>
      </c>
      <c r="D1865" s="501" t="s">
        <v>3380</v>
      </c>
      <c r="E1865" s="501" t="s">
        <v>3381</v>
      </c>
      <c r="F1865" s="501" t="s">
        <v>531</v>
      </c>
      <c r="G1865" s="501" t="s">
        <v>532</v>
      </c>
      <c r="H1865" s="501" t="s">
        <v>4817</v>
      </c>
      <c r="I1865" s="501">
        <v>168</v>
      </c>
      <c r="J1865" s="501">
        <v>104</v>
      </c>
      <c r="K1865" s="501">
        <v>0</v>
      </c>
      <c r="L1865" s="501">
        <v>0</v>
      </c>
      <c r="M1865" s="501">
        <v>0</v>
      </c>
      <c r="N1865" s="501">
        <v>0</v>
      </c>
      <c r="O1865" s="506">
        <v>64</v>
      </c>
    </row>
    <row r="1866" spans="1:15" x14ac:dyDescent="0.35">
      <c r="A1866" s="503" t="s">
        <v>1107</v>
      </c>
      <c r="B1866" s="504" t="s">
        <v>3109</v>
      </c>
      <c r="C1866" s="504" t="s">
        <v>1094</v>
      </c>
      <c r="D1866" s="504" t="s">
        <v>3380</v>
      </c>
      <c r="E1866" s="504" t="s">
        <v>3381</v>
      </c>
      <c r="F1866" s="504" t="s">
        <v>531</v>
      </c>
      <c r="G1866" s="504" t="s">
        <v>532</v>
      </c>
      <c r="H1866" s="504" t="s">
        <v>4818</v>
      </c>
      <c r="I1866" s="504">
        <v>370</v>
      </c>
      <c r="J1866" s="504">
        <v>305</v>
      </c>
      <c r="K1866" s="504">
        <v>0</v>
      </c>
      <c r="L1866" s="504">
        <v>36</v>
      </c>
      <c r="M1866" s="504">
        <v>17</v>
      </c>
      <c r="N1866" s="504">
        <v>0</v>
      </c>
      <c r="O1866" s="505">
        <v>12</v>
      </c>
    </row>
    <row r="1867" spans="1:15" x14ac:dyDescent="0.35">
      <c r="A1867" s="500" t="s">
        <v>1189</v>
      </c>
      <c r="B1867" s="501" t="s">
        <v>3236</v>
      </c>
      <c r="C1867" s="501" t="s">
        <v>1094</v>
      </c>
      <c r="D1867" s="501" t="s">
        <v>3380</v>
      </c>
      <c r="E1867" s="501" t="s">
        <v>3381</v>
      </c>
      <c r="F1867" s="501" t="s">
        <v>531</v>
      </c>
      <c r="G1867" s="501" t="s">
        <v>532</v>
      </c>
      <c r="H1867" s="501" t="s">
        <v>4819</v>
      </c>
      <c r="I1867" s="501">
        <v>231</v>
      </c>
      <c r="J1867" s="501">
        <v>125</v>
      </c>
      <c r="K1867" s="501">
        <v>0</v>
      </c>
      <c r="L1867" s="501">
        <v>0</v>
      </c>
      <c r="M1867" s="501">
        <v>24</v>
      </c>
      <c r="N1867" s="501">
        <v>0</v>
      </c>
      <c r="O1867" s="506">
        <v>82</v>
      </c>
    </row>
    <row r="1868" spans="1:15" x14ac:dyDescent="0.35">
      <c r="A1868" s="503" t="s">
        <v>1863</v>
      </c>
      <c r="B1868" s="504" t="s">
        <v>3173</v>
      </c>
      <c r="C1868" s="504" t="s">
        <v>1094</v>
      </c>
      <c r="D1868" s="504" t="s">
        <v>3380</v>
      </c>
      <c r="E1868" s="504" t="s">
        <v>3381</v>
      </c>
      <c r="F1868" s="504" t="s">
        <v>531</v>
      </c>
      <c r="G1868" s="504" t="s">
        <v>532</v>
      </c>
      <c r="H1868" s="504" t="s">
        <v>4820</v>
      </c>
      <c r="I1868" s="504">
        <v>5420</v>
      </c>
      <c r="J1868" s="504">
        <v>4901</v>
      </c>
      <c r="K1868" s="504">
        <v>0</v>
      </c>
      <c r="L1868" s="504">
        <v>15</v>
      </c>
      <c r="M1868" s="504">
        <v>374</v>
      </c>
      <c r="N1868" s="504">
        <v>19</v>
      </c>
      <c r="O1868" s="505">
        <v>130</v>
      </c>
    </row>
    <row r="1869" spans="1:15" x14ac:dyDescent="0.35">
      <c r="A1869" s="500" t="s">
        <v>1112</v>
      </c>
      <c r="B1869" s="501" t="s">
        <v>3008</v>
      </c>
      <c r="C1869" s="501" t="s">
        <v>1094</v>
      </c>
      <c r="D1869" s="501" t="s">
        <v>3380</v>
      </c>
      <c r="E1869" s="501" t="s">
        <v>3381</v>
      </c>
      <c r="F1869" s="501" t="s">
        <v>531</v>
      </c>
      <c r="G1869" s="501" t="s">
        <v>532</v>
      </c>
      <c r="H1869" s="501" t="s">
        <v>4821</v>
      </c>
      <c r="I1869" s="501">
        <v>3</v>
      </c>
      <c r="J1869" s="501">
        <v>0</v>
      </c>
      <c r="K1869" s="501">
        <v>0</v>
      </c>
      <c r="L1869" s="501">
        <v>0</v>
      </c>
      <c r="M1869" s="501">
        <v>0</v>
      </c>
      <c r="N1869" s="501">
        <v>0</v>
      </c>
      <c r="O1869" s="506">
        <v>3</v>
      </c>
    </row>
    <row r="1870" spans="1:15" x14ac:dyDescent="0.35">
      <c r="A1870" s="503" t="s">
        <v>1114</v>
      </c>
      <c r="B1870" s="504" t="s">
        <v>2982</v>
      </c>
      <c r="C1870" s="504" t="s">
        <v>1094</v>
      </c>
      <c r="D1870" s="504" t="s">
        <v>3380</v>
      </c>
      <c r="E1870" s="504" t="s">
        <v>3381</v>
      </c>
      <c r="F1870" s="504" t="s">
        <v>531</v>
      </c>
      <c r="G1870" s="504" t="s">
        <v>532</v>
      </c>
      <c r="H1870" s="504" t="s">
        <v>4822</v>
      </c>
      <c r="I1870" s="504">
        <v>2</v>
      </c>
      <c r="J1870" s="504">
        <v>0</v>
      </c>
      <c r="K1870" s="504">
        <v>0</v>
      </c>
      <c r="L1870" s="504">
        <v>0</v>
      </c>
      <c r="M1870" s="504">
        <v>0</v>
      </c>
      <c r="N1870" s="504">
        <v>0</v>
      </c>
      <c r="O1870" s="505">
        <v>2</v>
      </c>
    </row>
    <row r="1871" spans="1:15" x14ac:dyDescent="0.35">
      <c r="A1871" s="500" t="s">
        <v>1868</v>
      </c>
      <c r="B1871" s="501" t="s">
        <v>2521</v>
      </c>
      <c r="C1871" s="501" t="s">
        <v>1089</v>
      </c>
      <c r="D1871" s="501" t="s">
        <v>3392</v>
      </c>
      <c r="E1871" s="501" t="s">
        <v>3381</v>
      </c>
      <c r="F1871" s="501" t="s">
        <v>531</v>
      </c>
      <c r="G1871" s="501" t="s">
        <v>532</v>
      </c>
      <c r="H1871" s="501" t="s">
        <v>4823</v>
      </c>
      <c r="I1871" s="501">
        <v>7</v>
      </c>
      <c r="J1871" s="501">
        <v>0</v>
      </c>
      <c r="K1871" s="501">
        <v>0</v>
      </c>
      <c r="L1871" s="501">
        <v>0</v>
      </c>
      <c r="M1871" s="501">
        <v>7</v>
      </c>
      <c r="N1871" s="501">
        <v>0</v>
      </c>
      <c r="O1871" s="506">
        <v>0</v>
      </c>
    </row>
    <row r="1872" spans="1:15" x14ac:dyDescent="0.35">
      <c r="A1872" s="503" t="s">
        <v>1120</v>
      </c>
      <c r="B1872" s="504" t="s">
        <v>3362</v>
      </c>
      <c r="C1872" s="504" t="s">
        <v>1094</v>
      </c>
      <c r="D1872" s="504" t="s">
        <v>3380</v>
      </c>
      <c r="E1872" s="504" t="s">
        <v>3381</v>
      </c>
      <c r="F1872" s="504" t="s">
        <v>531</v>
      </c>
      <c r="G1872" s="504" t="s">
        <v>532</v>
      </c>
      <c r="H1872" s="504" t="s">
        <v>4824</v>
      </c>
      <c r="I1872" s="504">
        <v>1</v>
      </c>
      <c r="J1872" s="504">
        <v>0</v>
      </c>
      <c r="K1872" s="504">
        <v>0</v>
      </c>
      <c r="L1872" s="504">
        <v>0</v>
      </c>
      <c r="M1872" s="504">
        <v>0</v>
      </c>
      <c r="N1872" s="504">
        <v>0</v>
      </c>
      <c r="O1872" s="505">
        <v>1</v>
      </c>
    </row>
    <row r="1873" spans="1:15" x14ac:dyDescent="0.35">
      <c r="A1873" s="500" t="s">
        <v>1122</v>
      </c>
      <c r="B1873" s="501" t="s">
        <v>2994</v>
      </c>
      <c r="C1873" s="501" t="s">
        <v>1094</v>
      </c>
      <c r="D1873" s="501" t="s">
        <v>3380</v>
      </c>
      <c r="E1873" s="501" t="s">
        <v>3381</v>
      </c>
      <c r="F1873" s="501" t="s">
        <v>531</v>
      </c>
      <c r="G1873" s="501" t="s">
        <v>532</v>
      </c>
      <c r="H1873" s="501" t="s">
        <v>4825</v>
      </c>
      <c r="I1873" s="501">
        <v>65</v>
      </c>
      <c r="J1873" s="501">
        <v>64</v>
      </c>
      <c r="K1873" s="501">
        <v>0</v>
      </c>
      <c r="L1873" s="501">
        <v>0</v>
      </c>
      <c r="M1873" s="501">
        <v>1</v>
      </c>
      <c r="N1873" s="501">
        <v>0</v>
      </c>
      <c r="O1873" s="506">
        <v>0</v>
      </c>
    </row>
    <row r="1874" spans="1:15" x14ac:dyDescent="0.35">
      <c r="A1874" s="503" t="s">
        <v>1225</v>
      </c>
      <c r="B1874" s="504" t="s">
        <v>3315</v>
      </c>
      <c r="C1874" s="504" t="s">
        <v>1094</v>
      </c>
      <c r="D1874" s="504" t="s">
        <v>3380</v>
      </c>
      <c r="E1874" s="504" t="s">
        <v>3381</v>
      </c>
      <c r="F1874" s="504" t="s">
        <v>531</v>
      </c>
      <c r="G1874" s="504" t="s">
        <v>532</v>
      </c>
      <c r="H1874" s="504" t="s">
        <v>4826</v>
      </c>
      <c r="I1874" s="504">
        <v>39</v>
      </c>
      <c r="J1874" s="504">
        <v>0</v>
      </c>
      <c r="K1874" s="504">
        <v>0</v>
      </c>
      <c r="L1874" s="504">
        <v>0</v>
      </c>
      <c r="M1874" s="504">
        <v>39</v>
      </c>
      <c r="N1874" s="504">
        <v>0</v>
      </c>
      <c r="O1874" s="505">
        <v>0</v>
      </c>
    </row>
    <row r="1875" spans="1:15" x14ac:dyDescent="0.35">
      <c r="A1875" s="500" t="s">
        <v>1886</v>
      </c>
      <c r="B1875" s="501" t="s">
        <v>2967</v>
      </c>
      <c r="C1875" s="501" t="s">
        <v>1089</v>
      </c>
      <c r="D1875" s="501" t="s">
        <v>3392</v>
      </c>
      <c r="E1875" s="501" t="s">
        <v>3381</v>
      </c>
      <c r="F1875" s="501" t="s">
        <v>531</v>
      </c>
      <c r="G1875" s="501" t="s">
        <v>532</v>
      </c>
      <c r="H1875" s="501" t="s">
        <v>4827</v>
      </c>
      <c r="I1875" s="501">
        <v>24</v>
      </c>
      <c r="J1875" s="501">
        <v>8</v>
      </c>
      <c r="K1875" s="501">
        <v>0</v>
      </c>
      <c r="L1875" s="501">
        <v>0</v>
      </c>
      <c r="M1875" s="501">
        <v>16</v>
      </c>
      <c r="N1875" s="501">
        <v>0</v>
      </c>
      <c r="O1875" s="506">
        <v>0</v>
      </c>
    </row>
    <row r="1876" spans="1:15" x14ac:dyDescent="0.35">
      <c r="A1876" s="503" t="s">
        <v>1233</v>
      </c>
      <c r="B1876" s="504">
        <v>4636</v>
      </c>
      <c r="C1876" s="504" t="s">
        <v>1094</v>
      </c>
      <c r="D1876" s="504" t="s">
        <v>3380</v>
      </c>
      <c r="E1876" s="504" t="s">
        <v>3381</v>
      </c>
      <c r="F1876" s="504" t="s">
        <v>531</v>
      </c>
      <c r="G1876" s="504" t="s">
        <v>532</v>
      </c>
      <c r="H1876" s="504" t="s">
        <v>4828</v>
      </c>
      <c r="I1876" s="504">
        <v>32</v>
      </c>
      <c r="J1876" s="504">
        <v>15</v>
      </c>
      <c r="K1876" s="504">
        <v>0</v>
      </c>
      <c r="L1876" s="504">
        <v>0</v>
      </c>
      <c r="M1876" s="504">
        <v>0</v>
      </c>
      <c r="N1876" s="504">
        <v>0</v>
      </c>
      <c r="O1876" s="505">
        <v>17</v>
      </c>
    </row>
    <row r="1877" spans="1:15" x14ac:dyDescent="0.35">
      <c r="A1877" s="500" t="s">
        <v>11368</v>
      </c>
      <c r="B1877" s="501">
        <v>5083</v>
      </c>
      <c r="C1877" s="501" t="s">
        <v>1094</v>
      </c>
      <c r="D1877" s="501" t="s">
        <v>3380</v>
      </c>
      <c r="E1877" s="501" t="s">
        <v>3381</v>
      </c>
      <c r="F1877" s="501" t="s">
        <v>531</v>
      </c>
      <c r="G1877" s="501" t="s">
        <v>532</v>
      </c>
      <c r="H1877" s="501" t="s">
        <v>12043</v>
      </c>
      <c r="I1877" s="501">
        <v>30</v>
      </c>
      <c r="J1877" s="501">
        <v>30</v>
      </c>
      <c r="K1877" s="501">
        <v>0</v>
      </c>
      <c r="L1877" s="501">
        <v>0</v>
      </c>
      <c r="M1877" s="501">
        <v>0</v>
      </c>
      <c r="N1877" s="501">
        <v>0</v>
      </c>
      <c r="O1877" s="506">
        <v>0</v>
      </c>
    </row>
    <row r="1878" spans="1:15" x14ac:dyDescent="0.35">
      <c r="A1878" s="503" t="s">
        <v>1899</v>
      </c>
      <c r="B1878" s="504" t="s">
        <v>3078</v>
      </c>
      <c r="C1878" s="504" t="s">
        <v>1089</v>
      </c>
      <c r="D1878" s="504" t="s">
        <v>3392</v>
      </c>
      <c r="E1878" s="504" t="s">
        <v>3381</v>
      </c>
      <c r="F1878" s="504" t="s">
        <v>531</v>
      </c>
      <c r="G1878" s="504" t="s">
        <v>532</v>
      </c>
      <c r="H1878" s="504" t="s">
        <v>4829</v>
      </c>
      <c r="I1878" s="504">
        <v>52</v>
      </c>
      <c r="J1878" s="504">
        <v>0</v>
      </c>
      <c r="K1878" s="504">
        <v>0</v>
      </c>
      <c r="L1878" s="504">
        <v>52</v>
      </c>
      <c r="M1878" s="504">
        <v>0</v>
      </c>
      <c r="N1878" s="504">
        <v>0</v>
      </c>
      <c r="O1878" s="505">
        <v>0</v>
      </c>
    </row>
    <row r="1879" spans="1:15" x14ac:dyDescent="0.35">
      <c r="A1879" s="500" t="s">
        <v>1130</v>
      </c>
      <c r="B1879" s="501" t="s">
        <v>3234</v>
      </c>
      <c r="C1879" s="501" t="s">
        <v>1094</v>
      </c>
      <c r="D1879" s="501" t="s">
        <v>3380</v>
      </c>
      <c r="E1879" s="501" t="s">
        <v>3381</v>
      </c>
      <c r="F1879" s="501" t="s">
        <v>531</v>
      </c>
      <c r="G1879" s="501" t="s">
        <v>532</v>
      </c>
      <c r="H1879" s="501" t="s">
        <v>4830</v>
      </c>
      <c r="I1879" s="501">
        <v>55</v>
      </c>
      <c r="J1879" s="501">
        <v>34</v>
      </c>
      <c r="K1879" s="501">
        <v>0</v>
      </c>
      <c r="L1879" s="501">
        <v>0</v>
      </c>
      <c r="M1879" s="501">
        <v>0</v>
      </c>
      <c r="N1879" s="501">
        <v>1</v>
      </c>
      <c r="O1879" s="506">
        <v>21</v>
      </c>
    </row>
    <row r="1880" spans="1:15" x14ac:dyDescent="0.35">
      <c r="A1880" s="503" t="s">
        <v>11416</v>
      </c>
      <c r="B1880" s="504">
        <v>4738</v>
      </c>
      <c r="C1880" s="504" t="s">
        <v>1089</v>
      </c>
      <c r="D1880" s="504" t="s">
        <v>3392</v>
      </c>
      <c r="E1880" s="504" t="s">
        <v>3381</v>
      </c>
      <c r="F1880" s="504" t="s">
        <v>531</v>
      </c>
      <c r="G1880" s="504" t="s">
        <v>532</v>
      </c>
      <c r="H1880" s="504" t="s">
        <v>12143</v>
      </c>
      <c r="I1880" s="504">
        <v>35</v>
      </c>
      <c r="J1880" s="504">
        <v>0</v>
      </c>
      <c r="K1880" s="504">
        <v>0</v>
      </c>
      <c r="L1880" s="504">
        <v>35</v>
      </c>
      <c r="M1880" s="504">
        <v>0</v>
      </c>
      <c r="N1880" s="504">
        <v>0</v>
      </c>
      <c r="O1880" s="505">
        <v>0</v>
      </c>
    </row>
    <row r="1881" spans="1:15" x14ac:dyDescent="0.35">
      <c r="A1881" s="500" t="s">
        <v>1134</v>
      </c>
      <c r="B1881" s="501" t="s">
        <v>3066</v>
      </c>
      <c r="C1881" s="501" t="s">
        <v>1094</v>
      </c>
      <c r="D1881" s="501" t="s">
        <v>3380</v>
      </c>
      <c r="E1881" s="501" t="s">
        <v>3381</v>
      </c>
      <c r="F1881" s="501" t="s">
        <v>531</v>
      </c>
      <c r="G1881" s="501" t="s">
        <v>532</v>
      </c>
      <c r="H1881" s="501" t="s">
        <v>4831</v>
      </c>
      <c r="I1881" s="501">
        <v>167</v>
      </c>
      <c r="J1881" s="501">
        <v>146</v>
      </c>
      <c r="K1881" s="501">
        <v>0</v>
      </c>
      <c r="L1881" s="501">
        <v>0</v>
      </c>
      <c r="M1881" s="501">
        <v>0</v>
      </c>
      <c r="N1881" s="501">
        <v>0</v>
      </c>
      <c r="O1881" s="506">
        <v>21</v>
      </c>
    </row>
    <row r="1882" spans="1:15" x14ac:dyDescent="0.35">
      <c r="A1882" s="503" t="s">
        <v>1136</v>
      </c>
      <c r="B1882" s="504">
        <v>4680</v>
      </c>
      <c r="C1882" s="504" t="s">
        <v>1094</v>
      </c>
      <c r="D1882" s="504" t="s">
        <v>3380</v>
      </c>
      <c r="E1882" s="504" t="s">
        <v>3381</v>
      </c>
      <c r="F1882" s="504" t="s">
        <v>531</v>
      </c>
      <c r="G1882" s="504" t="s">
        <v>532</v>
      </c>
      <c r="H1882" s="504" t="s">
        <v>14586</v>
      </c>
      <c r="I1882" s="504">
        <v>20</v>
      </c>
      <c r="J1882" s="504">
        <v>10</v>
      </c>
      <c r="K1882" s="504">
        <v>0</v>
      </c>
      <c r="L1882" s="504">
        <v>0</v>
      </c>
      <c r="M1882" s="504">
        <v>0</v>
      </c>
      <c r="N1882" s="504">
        <v>0</v>
      </c>
      <c r="O1882" s="505">
        <v>10</v>
      </c>
    </row>
    <row r="1883" spans="1:15" x14ac:dyDescent="0.35">
      <c r="A1883" s="500" t="s">
        <v>1249</v>
      </c>
      <c r="B1883" s="501">
        <v>4729</v>
      </c>
      <c r="C1883" s="501" t="s">
        <v>1094</v>
      </c>
      <c r="D1883" s="501" t="s">
        <v>3380</v>
      </c>
      <c r="E1883" s="501" t="s">
        <v>3381</v>
      </c>
      <c r="F1883" s="501" t="s">
        <v>531</v>
      </c>
      <c r="G1883" s="501" t="s">
        <v>532</v>
      </c>
      <c r="H1883" s="501" t="s">
        <v>4832</v>
      </c>
      <c r="I1883" s="501">
        <v>31</v>
      </c>
      <c r="J1883" s="501">
        <v>28</v>
      </c>
      <c r="K1883" s="501">
        <v>0</v>
      </c>
      <c r="L1883" s="501">
        <v>0</v>
      </c>
      <c r="M1883" s="501">
        <v>0</v>
      </c>
      <c r="N1883" s="501">
        <v>0</v>
      </c>
      <c r="O1883" s="506">
        <v>3</v>
      </c>
    </row>
    <row r="1884" spans="1:15" x14ac:dyDescent="0.35">
      <c r="A1884" s="503" t="s">
        <v>1138</v>
      </c>
      <c r="B1884" s="504" t="s">
        <v>2998</v>
      </c>
      <c r="C1884" s="504" t="s">
        <v>1094</v>
      </c>
      <c r="D1884" s="504" t="s">
        <v>3380</v>
      </c>
      <c r="E1884" s="504" t="s">
        <v>3381</v>
      </c>
      <c r="F1884" s="504" t="s">
        <v>531</v>
      </c>
      <c r="G1884" s="504" t="s">
        <v>532</v>
      </c>
      <c r="H1884" s="504" t="s">
        <v>4833</v>
      </c>
      <c r="I1884" s="504">
        <v>57</v>
      </c>
      <c r="J1884" s="504">
        <v>26</v>
      </c>
      <c r="K1884" s="504">
        <v>0</v>
      </c>
      <c r="L1884" s="504">
        <v>0</v>
      </c>
      <c r="M1884" s="504">
        <v>0</v>
      </c>
      <c r="N1884" s="504">
        <v>0</v>
      </c>
      <c r="O1884" s="505">
        <v>31</v>
      </c>
    </row>
    <row r="1885" spans="1:15" x14ac:dyDescent="0.35">
      <c r="A1885" s="500" t="s">
        <v>1930</v>
      </c>
      <c r="B1885" s="501" t="s">
        <v>3313</v>
      </c>
      <c r="C1885" s="501" t="s">
        <v>1089</v>
      </c>
      <c r="D1885" s="501" t="s">
        <v>3392</v>
      </c>
      <c r="E1885" s="501" t="s">
        <v>3381</v>
      </c>
      <c r="F1885" s="501" t="s">
        <v>531</v>
      </c>
      <c r="G1885" s="501" t="s">
        <v>532</v>
      </c>
      <c r="H1885" s="501" t="s">
        <v>4834</v>
      </c>
      <c r="I1885" s="501">
        <v>6</v>
      </c>
      <c r="J1885" s="501">
        <v>0</v>
      </c>
      <c r="K1885" s="501">
        <v>0</v>
      </c>
      <c r="L1885" s="501">
        <v>6</v>
      </c>
      <c r="M1885" s="501">
        <v>0</v>
      </c>
      <c r="N1885" s="501">
        <v>0</v>
      </c>
      <c r="O1885" s="506">
        <v>0</v>
      </c>
    </row>
    <row r="1886" spans="1:15" x14ac:dyDescent="0.35">
      <c r="A1886" s="503" t="s">
        <v>1140</v>
      </c>
      <c r="B1886" s="504">
        <v>4850</v>
      </c>
      <c r="C1886" s="504" t="s">
        <v>1094</v>
      </c>
      <c r="D1886" s="504" t="s">
        <v>3380</v>
      </c>
      <c r="E1886" s="504" t="s">
        <v>3381</v>
      </c>
      <c r="F1886" s="504" t="s">
        <v>531</v>
      </c>
      <c r="G1886" s="504" t="s">
        <v>532</v>
      </c>
      <c r="H1886" s="504" t="s">
        <v>12245</v>
      </c>
      <c r="I1886" s="504">
        <v>58</v>
      </c>
      <c r="J1886" s="504">
        <v>26</v>
      </c>
      <c r="K1886" s="504">
        <v>0</v>
      </c>
      <c r="L1886" s="504">
        <v>0</v>
      </c>
      <c r="M1886" s="504">
        <v>0</v>
      </c>
      <c r="N1886" s="504">
        <v>0</v>
      </c>
      <c r="O1886" s="505">
        <v>32</v>
      </c>
    </row>
    <row r="1887" spans="1:15" x14ac:dyDescent="0.35">
      <c r="A1887" s="500" t="s">
        <v>1942</v>
      </c>
      <c r="B1887" s="501" t="s">
        <v>3336</v>
      </c>
      <c r="C1887" s="501" t="s">
        <v>1094</v>
      </c>
      <c r="D1887" s="501" t="s">
        <v>3380</v>
      </c>
      <c r="E1887" s="501" t="s">
        <v>3381</v>
      </c>
      <c r="F1887" s="501" t="s">
        <v>531</v>
      </c>
      <c r="G1887" s="501" t="s">
        <v>532</v>
      </c>
      <c r="H1887" s="501" t="s">
        <v>4835</v>
      </c>
      <c r="I1887" s="501">
        <v>36</v>
      </c>
      <c r="J1887" s="501">
        <v>27</v>
      </c>
      <c r="K1887" s="501">
        <v>0</v>
      </c>
      <c r="L1887" s="501">
        <v>0</v>
      </c>
      <c r="M1887" s="501">
        <v>0</v>
      </c>
      <c r="N1887" s="501">
        <v>0</v>
      </c>
      <c r="O1887" s="506">
        <v>9</v>
      </c>
    </row>
    <row r="1888" spans="1:15" x14ac:dyDescent="0.35">
      <c r="A1888" s="503" t="s">
        <v>1143</v>
      </c>
      <c r="B1888" s="504" t="s">
        <v>3281</v>
      </c>
      <c r="C1888" s="504" t="s">
        <v>1094</v>
      </c>
      <c r="D1888" s="504" t="s">
        <v>3380</v>
      </c>
      <c r="E1888" s="504" t="s">
        <v>3381</v>
      </c>
      <c r="F1888" s="504" t="s">
        <v>533</v>
      </c>
      <c r="G1888" s="504" t="s">
        <v>534</v>
      </c>
      <c r="H1888" s="504" t="s">
        <v>4836</v>
      </c>
      <c r="I1888" s="504">
        <v>590</v>
      </c>
      <c r="J1888" s="504">
        <v>507</v>
      </c>
      <c r="K1888" s="504">
        <v>0</v>
      </c>
      <c r="L1888" s="504">
        <v>3</v>
      </c>
      <c r="M1888" s="504">
        <v>53</v>
      </c>
      <c r="N1888" s="504">
        <v>1</v>
      </c>
      <c r="O1888" s="505">
        <v>27</v>
      </c>
    </row>
    <row r="1889" spans="1:15" x14ac:dyDescent="0.35">
      <c r="A1889" s="500" t="s">
        <v>1096</v>
      </c>
      <c r="B1889" s="501" t="s">
        <v>3326</v>
      </c>
      <c r="C1889" s="501" t="s">
        <v>1094</v>
      </c>
      <c r="D1889" s="501" t="s">
        <v>3380</v>
      </c>
      <c r="E1889" s="501" t="s">
        <v>3381</v>
      </c>
      <c r="F1889" s="501" t="s">
        <v>533</v>
      </c>
      <c r="G1889" s="501" t="s">
        <v>534</v>
      </c>
      <c r="H1889" s="501" t="s">
        <v>4837</v>
      </c>
      <c r="I1889" s="501">
        <v>60</v>
      </c>
      <c r="J1889" s="501">
        <v>0</v>
      </c>
      <c r="K1889" s="501">
        <v>0</v>
      </c>
      <c r="L1889" s="501">
        <v>0</v>
      </c>
      <c r="M1889" s="501">
        <v>60</v>
      </c>
      <c r="N1889" s="501">
        <v>0</v>
      </c>
      <c r="O1889" s="506">
        <v>0</v>
      </c>
    </row>
    <row r="1890" spans="1:15" x14ac:dyDescent="0.35">
      <c r="A1890" s="503" t="s">
        <v>1151</v>
      </c>
      <c r="B1890" s="504">
        <v>4726</v>
      </c>
      <c r="C1890" s="504" t="s">
        <v>1089</v>
      </c>
      <c r="D1890" s="504" t="s">
        <v>3392</v>
      </c>
      <c r="E1890" s="504" t="s">
        <v>3381</v>
      </c>
      <c r="F1890" s="504" t="s">
        <v>533</v>
      </c>
      <c r="G1890" s="504" t="s">
        <v>534</v>
      </c>
      <c r="H1890" s="504" t="s">
        <v>4838</v>
      </c>
      <c r="I1890" s="504">
        <v>7</v>
      </c>
      <c r="J1890" s="504">
        <v>7</v>
      </c>
      <c r="K1890" s="504">
        <v>0</v>
      </c>
      <c r="L1890" s="504">
        <v>0</v>
      </c>
      <c r="M1890" s="504">
        <v>0</v>
      </c>
      <c r="N1890" s="504">
        <v>0</v>
      </c>
      <c r="O1890" s="505">
        <v>0</v>
      </c>
    </row>
    <row r="1891" spans="1:15" x14ac:dyDescent="0.35">
      <c r="A1891" s="500" t="s">
        <v>1673</v>
      </c>
      <c r="B1891" s="501">
        <v>4731</v>
      </c>
      <c r="C1891" s="501" t="s">
        <v>1089</v>
      </c>
      <c r="D1891" s="501" t="s">
        <v>3392</v>
      </c>
      <c r="E1891" s="501" t="s">
        <v>3381</v>
      </c>
      <c r="F1891" s="501" t="s">
        <v>533</v>
      </c>
      <c r="G1891" s="501" t="s">
        <v>534</v>
      </c>
      <c r="H1891" s="501" t="s">
        <v>4839</v>
      </c>
      <c r="I1891" s="501">
        <v>1</v>
      </c>
      <c r="J1891" s="501">
        <v>0</v>
      </c>
      <c r="K1891" s="501">
        <v>0</v>
      </c>
      <c r="L1891" s="501">
        <v>1</v>
      </c>
      <c r="M1891" s="501">
        <v>0</v>
      </c>
      <c r="N1891" s="501">
        <v>0</v>
      </c>
      <c r="O1891" s="506">
        <v>0</v>
      </c>
    </row>
    <row r="1892" spans="1:15" x14ac:dyDescent="0.35">
      <c r="A1892" s="503" t="s">
        <v>1678</v>
      </c>
      <c r="B1892" s="504">
        <v>4568</v>
      </c>
      <c r="C1892" s="504" t="s">
        <v>1094</v>
      </c>
      <c r="D1892" s="504" t="s">
        <v>3380</v>
      </c>
      <c r="E1892" s="504" t="s">
        <v>3381</v>
      </c>
      <c r="F1892" s="504" t="s">
        <v>533</v>
      </c>
      <c r="G1892" s="504" t="s">
        <v>534</v>
      </c>
      <c r="H1892" s="504" t="s">
        <v>11619</v>
      </c>
      <c r="I1892" s="504">
        <v>31</v>
      </c>
      <c r="J1892" s="504">
        <v>22</v>
      </c>
      <c r="K1892" s="504">
        <v>0</v>
      </c>
      <c r="L1892" s="504">
        <v>0</v>
      </c>
      <c r="M1892" s="504">
        <v>0</v>
      </c>
      <c r="N1892" s="504">
        <v>0</v>
      </c>
      <c r="O1892" s="505">
        <v>9</v>
      </c>
    </row>
    <row r="1893" spans="1:15" x14ac:dyDescent="0.35">
      <c r="A1893" s="500" t="s">
        <v>1160</v>
      </c>
      <c r="B1893" s="501">
        <v>4672</v>
      </c>
      <c r="C1893" s="501" t="s">
        <v>1089</v>
      </c>
      <c r="D1893" s="501" t="s">
        <v>3392</v>
      </c>
      <c r="E1893" s="501" t="s">
        <v>3381</v>
      </c>
      <c r="F1893" s="501" t="s">
        <v>533</v>
      </c>
      <c r="G1893" s="501" t="s">
        <v>534</v>
      </c>
      <c r="H1893" s="501" t="s">
        <v>4840</v>
      </c>
      <c r="I1893" s="501">
        <v>24</v>
      </c>
      <c r="J1893" s="501">
        <v>0</v>
      </c>
      <c r="K1893" s="501">
        <v>0</v>
      </c>
      <c r="L1893" s="501">
        <v>24</v>
      </c>
      <c r="M1893" s="501">
        <v>0</v>
      </c>
      <c r="N1893" s="501">
        <v>0</v>
      </c>
      <c r="O1893" s="506">
        <v>0</v>
      </c>
    </row>
    <row r="1894" spans="1:15" x14ac:dyDescent="0.35">
      <c r="A1894" s="503" t="s">
        <v>1691</v>
      </c>
      <c r="B1894" s="504" t="s">
        <v>3199</v>
      </c>
      <c r="C1894" s="504" t="s">
        <v>1094</v>
      </c>
      <c r="D1894" s="504" t="s">
        <v>3380</v>
      </c>
      <c r="E1894" s="504" t="s">
        <v>3381</v>
      </c>
      <c r="F1894" s="504" t="s">
        <v>533</v>
      </c>
      <c r="G1894" s="504" t="s">
        <v>534</v>
      </c>
      <c r="H1894" s="504" t="s">
        <v>4841</v>
      </c>
      <c r="I1894" s="504">
        <v>6</v>
      </c>
      <c r="J1894" s="504">
        <v>6</v>
      </c>
      <c r="K1894" s="504">
        <v>0</v>
      </c>
      <c r="L1894" s="504">
        <v>0</v>
      </c>
      <c r="M1894" s="504">
        <v>0</v>
      </c>
      <c r="N1894" s="504">
        <v>0</v>
      </c>
      <c r="O1894" s="505">
        <v>0</v>
      </c>
    </row>
    <row r="1895" spans="1:15" x14ac:dyDescent="0.35">
      <c r="A1895" s="500" t="s">
        <v>1167</v>
      </c>
      <c r="B1895" s="501">
        <v>4689</v>
      </c>
      <c r="C1895" s="501" t="s">
        <v>1089</v>
      </c>
      <c r="D1895" s="501" t="s">
        <v>3392</v>
      </c>
      <c r="E1895" s="501" t="s">
        <v>3381</v>
      </c>
      <c r="F1895" s="501" t="s">
        <v>533</v>
      </c>
      <c r="G1895" s="501" t="s">
        <v>534</v>
      </c>
      <c r="H1895" s="501" t="s">
        <v>4842</v>
      </c>
      <c r="I1895" s="501">
        <v>16</v>
      </c>
      <c r="J1895" s="501">
        <v>0</v>
      </c>
      <c r="K1895" s="501">
        <v>0</v>
      </c>
      <c r="L1895" s="501">
        <v>16</v>
      </c>
      <c r="M1895" s="501">
        <v>0</v>
      </c>
      <c r="N1895" s="501">
        <v>0</v>
      </c>
      <c r="O1895" s="506">
        <v>0</v>
      </c>
    </row>
    <row r="1896" spans="1:15" x14ac:dyDescent="0.35">
      <c r="A1896" s="503" t="s">
        <v>1102</v>
      </c>
      <c r="B1896" s="504">
        <v>4663</v>
      </c>
      <c r="C1896" s="504" t="s">
        <v>1089</v>
      </c>
      <c r="D1896" s="504" t="s">
        <v>3392</v>
      </c>
      <c r="E1896" s="504" t="s">
        <v>3381</v>
      </c>
      <c r="F1896" s="504" t="s">
        <v>533</v>
      </c>
      <c r="G1896" s="504" t="s">
        <v>534</v>
      </c>
      <c r="H1896" s="504" t="s">
        <v>4843</v>
      </c>
      <c r="I1896" s="504">
        <v>20</v>
      </c>
      <c r="J1896" s="504">
        <v>0</v>
      </c>
      <c r="K1896" s="504">
        <v>0</v>
      </c>
      <c r="L1896" s="504">
        <v>20</v>
      </c>
      <c r="M1896" s="504">
        <v>0</v>
      </c>
      <c r="N1896" s="504">
        <v>0</v>
      </c>
      <c r="O1896" s="505">
        <v>0</v>
      </c>
    </row>
    <row r="1897" spans="1:15" x14ac:dyDescent="0.35">
      <c r="A1897" s="500" t="s">
        <v>14199</v>
      </c>
      <c r="B1897" s="501" t="s">
        <v>2632</v>
      </c>
      <c r="C1897" s="501" t="s">
        <v>1089</v>
      </c>
      <c r="D1897" s="501" t="s">
        <v>3392</v>
      </c>
      <c r="E1897" s="501" t="s">
        <v>3381</v>
      </c>
      <c r="F1897" s="501" t="s">
        <v>533</v>
      </c>
      <c r="G1897" s="501" t="s">
        <v>534</v>
      </c>
      <c r="H1897" s="501" t="s">
        <v>14587</v>
      </c>
      <c r="I1897" s="501">
        <v>5</v>
      </c>
      <c r="J1897" s="501">
        <v>5</v>
      </c>
      <c r="K1897" s="501">
        <v>0</v>
      </c>
      <c r="L1897" s="501">
        <v>0</v>
      </c>
      <c r="M1897" s="501">
        <v>0</v>
      </c>
      <c r="N1897" s="501">
        <v>0</v>
      </c>
      <c r="O1897" s="506">
        <v>0</v>
      </c>
    </row>
    <row r="1898" spans="1:15" x14ac:dyDescent="0.35">
      <c r="A1898" s="503" t="s">
        <v>1183</v>
      </c>
      <c r="B1898" s="504" t="s">
        <v>3038</v>
      </c>
      <c r="C1898" s="504" t="s">
        <v>1094</v>
      </c>
      <c r="D1898" s="504" t="s">
        <v>3380</v>
      </c>
      <c r="E1898" s="504" t="s">
        <v>3381</v>
      </c>
      <c r="F1898" s="504" t="s">
        <v>533</v>
      </c>
      <c r="G1898" s="504" t="s">
        <v>534</v>
      </c>
      <c r="H1898" s="504" t="s">
        <v>4844</v>
      </c>
      <c r="I1898" s="504">
        <v>15</v>
      </c>
      <c r="J1898" s="504">
        <v>1</v>
      </c>
      <c r="K1898" s="504">
        <v>0</v>
      </c>
      <c r="L1898" s="504">
        <v>0</v>
      </c>
      <c r="M1898" s="504">
        <v>0</v>
      </c>
      <c r="N1898" s="504">
        <v>0</v>
      </c>
      <c r="O1898" s="505">
        <v>14</v>
      </c>
    </row>
    <row r="1899" spans="1:15" x14ac:dyDescent="0.35">
      <c r="A1899" s="500" t="s">
        <v>1186</v>
      </c>
      <c r="B1899" s="501">
        <v>4661</v>
      </c>
      <c r="C1899" s="501" t="s">
        <v>1089</v>
      </c>
      <c r="D1899" s="501" t="s">
        <v>3392</v>
      </c>
      <c r="E1899" s="501" t="s">
        <v>3381</v>
      </c>
      <c r="F1899" s="501" t="s">
        <v>533</v>
      </c>
      <c r="G1899" s="501" t="s">
        <v>534</v>
      </c>
      <c r="H1899" s="501" t="s">
        <v>4845</v>
      </c>
      <c r="I1899" s="501">
        <v>51</v>
      </c>
      <c r="J1899" s="501">
        <v>0</v>
      </c>
      <c r="K1899" s="501">
        <v>0</v>
      </c>
      <c r="L1899" s="501">
        <v>51</v>
      </c>
      <c r="M1899" s="501">
        <v>0</v>
      </c>
      <c r="N1899" s="501">
        <v>0</v>
      </c>
      <c r="O1899" s="506">
        <v>0</v>
      </c>
    </row>
    <row r="1900" spans="1:15" x14ac:dyDescent="0.35">
      <c r="A1900" s="503" t="s">
        <v>1709</v>
      </c>
      <c r="B1900" s="504">
        <v>4791</v>
      </c>
      <c r="C1900" s="504" t="s">
        <v>1089</v>
      </c>
      <c r="D1900" s="504" t="s">
        <v>3392</v>
      </c>
      <c r="E1900" s="504" t="s">
        <v>3381</v>
      </c>
      <c r="F1900" s="504" t="s">
        <v>533</v>
      </c>
      <c r="G1900" s="504" t="s">
        <v>534</v>
      </c>
      <c r="H1900" s="504" t="s">
        <v>4846</v>
      </c>
      <c r="I1900" s="504">
        <v>2</v>
      </c>
      <c r="J1900" s="504">
        <v>0</v>
      </c>
      <c r="K1900" s="504">
        <v>0</v>
      </c>
      <c r="L1900" s="504">
        <v>2</v>
      </c>
      <c r="M1900" s="504">
        <v>0</v>
      </c>
      <c r="N1900" s="504">
        <v>0</v>
      </c>
      <c r="O1900" s="505">
        <v>0</v>
      </c>
    </row>
    <row r="1901" spans="1:15" x14ac:dyDescent="0.35">
      <c r="A1901" s="500" t="s">
        <v>1107</v>
      </c>
      <c r="B1901" s="501" t="s">
        <v>3109</v>
      </c>
      <c r="C1901" s="501" t="s">
        <v>1094</v>
      </c>
      <c r="D1901" s="501" t="s">
        <v>3380</v>
      </c>
      <c r="E1901" s="501" t="s">
        <v>3381</v>
      </c>
      <c r="F1901" s="501" t="s">
        <v>533</v>
      </c>
      <c r="G1901" s="501" t="s">
        <v>534</v>
      </c>
      <c r="H1901" s="501" t="s">
        <v>4847</v>
      </c>
      <c r="I1901" s="501">
        <v>16</v>
      </c>
      <c r="J1901" s="501">
        <v>0</v>
      </c>
      <c r="K1901" s="501">
        <v>0</v>
      </c>
      <c r="L1901" s="501">
        <v>16</v>
      </c>
      <c r="M1901" s="501">
        <v>0</v>
      </c>
      <c r="N1901" s="501">
        <v>0</v>
      </c>
      <c r="O1901" s="506">
        <v>0</v>
      </c>
    </row>
    <row r="1902" spans="1:15" x14ac:dyDescent="0.35">
      <c r="A1902" s="503" t="s">
        <v>11401</v>
      </c>
      <c r="B1902" s="504" t="s">
        <v>3241</v>
      </c>
      <c r="C1902" s="504" t="s">
        <v>1094</v>
      </c>
      <c r="D1902" s="504" t="s">
        <v>3380</v>
      </c>
      <c r="E1902" s="504" t="s">
        <v>3381</v>
      </c>
      <c r="F1902" s="504" t="s">
        <v>533</v>
      </c>
      <c r="G1902" s="504" t="s">
        <v>534</v>
      </c>
      <c r="H1902" s="504" t="s">
        <v>11778</v>
      </c>
      <c r="I1902" s="504">
        <v>3684</v>
      </c>
      <c r="J1902" s="504">
        <v>3165</v>
      </c>
      <c r="K1902" s="504">
        <v>0</v>
      </c>
      <c r="L1902" s="504">
        <v>30</v>
      </c>
      <c r="M1902" s="504">
        <v>373</v>
      </c>
      <c r="N1902" s="504">
        <v>83</v>
      </c>
      <c r="O1902" s="505">
        <v>116</v>
      </c>
    </row>
    <row r="1903" spans="1:15" x14ac:dyDescent="0.35">
      <c r="A1903" s="500" t="s">
        <v>1209</v>
      </c>
      <c r="B1903" s="501">
        <v>4779</v>
      </c>
      <c r="C1903" s="501" t="s">
        <v>1094</v>
      </c>
      <c r="D1903" s="501" t="s">
        <v>3380</v>
      </c>
      <c r="E1903" s="501" t="s">
        <v>3381</v>
      </c>
      <c r="F1903" s="501" t="s">
        <v>533</v>
      </c>
      <c r="G1903" s="501" t="s">
        <v>534</v>
      </c>
      <c r="H1903" s="501" t="s">
        <v>4848</v>
      </c>
      <c r="I1903" s="501">
        <v>11</v>
      </c>
      <c r="J1903" s="501">
        <v>0</v>
      </c>
      <c r="K1903" s="501">
        <v>0</v>
      </c>
      <c r="L1903" s="501">
        <v>11</v>
      </c>
      <c r="M1903" s="501">
        <v>0</v>
      </c>
      <c r="N1903" s="501">
        <v>0</v>
      </c>
      <c r="O1903" s="506">
        <v>0</v>
      </c>
    </row>
    <row r="1904" spans="1:15" x14ac:dyDescent="0.35">
      <c r="A1904" s="503" t="s">
        <v>1503</v>
      </c>
      <c r="B1904" s="504">
        <v>4666</v>
      </c>
      <c r="C1904" s="504" t="s">
        <v>1089</v>
      </c>
      <c r="D1904" s="504" t="s">
        <v>3392</v>
      </c>
      <c r="E1904" s="504" t="s">
        <v>3381</v>
      </c>
      <c r="F1904" s="504" t="s">
        <v>533</v>
      </c>
      <c r="G1904" s="504" t="s">
        <v>534</v>
      </c>
      <c r="H1904" s="504" t="s">
        <v>4849</v>
      </c>
      <c r="I1904" s="504">
        <v>49</v>
      </c>
      <c r="J1904" s="504">
        <v>0</v>
      </c>
      <c r="K1904" s="504">
        <v>0</v>
      </c>
      <c r="L1904" s="504">
        <v>49</v>
      </c>
      <c r="M1904" s="504">
        <v>0</v>
      </c>
      <c r="N1904" s="504">
        <v>0</v>
      </c>
      <c r="O1904" s="505">
        <v>0</v>
      </c>
    </row>
    <row r="1905" spans="1:15" x14ac:dyDescent="0.35">
      <c r="A1905" s="500" t="s">
        <v>1743</v>
      </c>
      <c r="B1905" s="501">
        <v>4804</v>
      </c>
      <c r="C1905" s="501" t="s">
        <v>1094</v>
      </c>
      <c r="D1905" s="501" t="s">
        <v>3380</v>
      </c>
      <c r="E1905" s="501" t="s">
        <v>3381</v>
      </c>
      <c r="F1905" s="501" t="s">
        <v>533</v>
      </c>
      <c r="G1905" s="501" t="s">
        <v>534</v>
      </c>
      <c r="H1905" s="501" t="s">
        <v>14588</v>
      </c>
      <c r="I1905" s="501">
        <v>13</v>
      </c>
      <c r="J1905" s="501">
        <v>3</v>
      </c>
      <c r="K1905" s="501">
        <v>0</v>
      </c>
      <c r="L1905" s="501">
        <v>0</v>
      </c>
      <c r="M1905" s="501">
        <v>0</v>
      </c>
      <c r="N1905" s="501">
        <v>0</v>
      </c>
      <c r="O1905" s="506">
        <v>10</v>
      </c>
    </row>
    <row r="1906" spans="1:15" x14ac:dyDescent="0.35">
      <c r="A1906" s="503" t="s">
        <v>1744</v>
      </c>
      <c r="B1906" s="504" t="s">
        <v>3245</v>
      </c>
      <c r="C1906" s="504" t="s">
        <v>1094</v>
      </c>
      <c r="D1906" s="504" t="s">
        <v>3380</v>
      </c>
      <c r="E1906" s="504" t="s">
        <v>3381</v>
      </c>
      <c r="F1906" s="504" t="s">
        <v>533</v>
      </c>
      <c r="G1906" s="504" t="s">
        <v>534</v>
      </c>
      <c r="H1906" s="504" t="s">
        <v>14589</v>
      </c>
      <c r="I1906" s="504">
        <v>218</v>
      </c>
      <c r="J1906" s="504">
        <v>199</v>
      </c>
      <c r="K1906" s="504">
        <v>0</v>
      </c>
      <c r="L1906" s="504">
        <v>0</v>
      </c>
      <c r="M1906" s="504">
        <v>0</v>
      </c>
      <c r="N1906" s="504">
        <v>0</v>
      </c>
      <c r="O1906" s="505">
        <v>19</v>
      </c>
    </row>
    <row r="1907" spans="1:15" x14ac:dyDescent="0.35">
      <c r="A1907" s="500" t="s">
        <v>1122</v>
      </c>
      <c r="B1907" s="501" t="s">
        <v>2994</v>
      </c>
      <c r="C1907" s="501" t="s">
        <v>1094</v>
      </c>
      <c r="D1907" s="501" t="s">
        <v>3380</v>
      </c>
      <c r="E1907" s="501" t="s">
        <v>3381</v>
      </c>
      <c r="F1907" s="501" t="s">
        <v>533</v>
      </c>
      <c r="G1907" s="501" t="s">
        <v>534</v>
      </c>
      <c r="H1907" s="501" t="s">
        <v>4850</v>
      </c>
      <c r="I1907" s="501">
        <v>2027</v>
      </c>
      <c r="J1907" s="501">
        <v>1840</v>
      </c>
      <c r="K1907" s="501">
        <v>0</v>
      </c>
      <c r="L1907" s="501">
        <v>3</v>
      </c>
      <c r="M1907" s="501">
        <v>130</v>
      </c>
      <c r="N1907" s="501">
        <v>0</v>
      </c>
      <c r="O1907" s="506">
        <v>54</v>
      </c>
    </row>
    <row r="1908" spans="1:15" x14ac:dyDescent="0.35">
      <c r="A1908" s="503" t="s">
        <v>1225</v>
      </c>
      <c r="B1908" s="504" t="s">
        <v>3315</v>
      </c>
      <c r="C1908" s="504" t="s">
        <v>1094</v>
      </c>
      <c r="D1908" s="504" t="s">
        <v>3380</v>
      </c>
      <c r="E1908" s="504" t="s">
        <v>3381</v>
      </c>
      <c r="F1908" s="504" t="s">
        <v>533</v>
      </c>
      <c r="G1908" s="504" t="s">
        <v>534</v>
      </c>
      <c r="H1908" s="504" t="s">
        <v>4851</v>
      </c>
      <c r="I1908" s="504">
        <v>77</v>
      </c>
      <c r="J1908" s="504">
        <v>2</v>
      </c>
      <c r="K1908" s="504">
        <v>0</v>
      </c>
      <c r="L1908" s="504">
        <v>37</v>
      </c>
      <c r="M1908" s="504">
        <v>38</v>
      </c>
      <c r="N1908" s="504">
        <v>0</v>
      </c>
      <c r="O1908" s="505">
        <v>0</v>
      </c>
    </row>
    <row r="1909" spans="1:15" x14ac:dyDescent="0.35">
      <c r="A1909" s="500" t="s">
        <v>1227</v>
      </c>
      <c r="B1909" s="501">
        <v>4757</v>
      </c>
      <c r="C1909" s="501" t="s">
        <v>1094</v>
      </c>
      <c r="D1909" s="501" t="s">
        <v>3392</v>
      </c>
      <c r="E1909" s="501" t="s">
        <v>3381</v>
      </c>
      <c r="F1909" s="501" t="s">
        <v>533</v>
      </c>
      <c r="G1909" s="501" t="s">
        <v>534</v>
      </c>
      <c r="H1909" s="501" t="s">
        <v>4852</v>
      </c>
      <c r="I1909" s="501">
        <v>63</v>
      </c>
      <c r="J1909" s="501">
        <v>63</v>
      </c>
      <c r="K1909" s="501">
        <v>0</v>
      </c>
      <c r="L1909" s="501">
        <v>0</v>
      </c>
      <c r="M1909" s="501">
        <v>0</v>
      </c>
      <c r="N1909" s="501">
        <v>0</v>
      </c>
      <c r="O1909" s="506">
        <v>0</v>
      </c>
    </row>
    <row r="1910" spans="1:15" x14ac:dyDescent="0.35">
      <c r="A1910" s="503" t="s">
        <v>1228</v>
      </c>
      <c r="B1910" s="504" t="s">
        <v>3321</v>
      </c>
      <c r="C1910" s="504" t="s">
        <v>1094</v>
      </c>
      <c r="D1910" s="504" t="s">
        <v>3380</v>
      </c>
      <c r="E1910" s="504" t="s">
        <v>3381</v>
      </c>
      <c r="F1910" s="504" t="s">
        <v>533</v>
      </c>
      <c r="G1910" s="504" t="s">
        <v>534</v>
      </c>
      <c r="H1910" s="504" t="s">
        <v>4853</v>
      </c>
      <c r="I1910" s="504">
        <v>346</v>
      </c>
      <c r="J1910" s="504">
        <v>237</v>
      </c>
      <c r="K1910" s="504">
        <v>0</v>
      </c>
      <c r="L1910" s="504">
        <v>89</v>
      </c>
      <c r="M1910" s="504">
        <v>0</v>
      </c>
      <c r="N1910" s="504">
        <v>0</v>
      </c>
      <c r="O1910" s="505">
        <v>20</v>
      </c>
    </row>
    <row r="1911" spans="1:15" x14ac:dyDescent="0.35">
      <c r="A1911" s="500" t="s">
        <v>1752</v>
      </c>
      <c r="B1911" s="501">
        <v>4653</v>
      </c>
      <c r="C1911" s="501" t="s">
        <v>1094</v>
      </c>
      <c r="D1911" s="501" t="s">
        <v>3380</v>
      </c>
      <c r="E1911" s="501" t="s">
        <v>3381</v>
      </c>
      <c r="F1911" s="501" t="s">
        <v>533</v>
      </c>
      <c r="G1911" s="501" t="s">
        <v>534</v>
      </c>
      <c r="H1911" s="501" t="s">
        <v>4854</v>
      </c>
      <c r="I1911" s="501">
        <v>7</v>
      </c>
      <c r="J1911" s="501">
        <v>0</v>
      </c>
      <c r="K1911" s="501">
        <v>0</v>
      </c>
      <c r="L1911" s="501">
        <v>7</v>
      </c>
      <c r="M1911" s="501">
        <v>0</v>
      </c>
      <c r="N1911" s="501">
        <v>0</v>
      </c>
      <c r="O1911" s="506">
        <v>0</v>
      </c>
    </row>
    <row r="1912" spans="1:15" x14ac:dyDescent="0.35">
      <c r="A1912" s="503" t="s">
        <v>1235</v>
      </c>
      <c r="B1912" s="504">
        <v>4684</v>
      </c>
      <c r="C1912" s="504" t="s">
        <v>1094</v>
      </c>
      <c r="D1912" s="504" t="s">
        <v>3380</v>
      </c>
      <c r="E1912" s="504" t="s">
        <v>3381</v>
      </c>
      <c r="F1912" s="504" t="s">
        <v>533</v>
      </c>
      <c r="G1912" s="504" t="s">
        <v>534</v>
      </c>
      <c r="H1912" s="504" t="s">
        <v>12100</v>
      </c>
      <c r="I1912" s="504">
        <v>4</v>
      </c>
      <c r="J1912" s="504">
        <v>0</v>
      </c>
      <c r="K1912" s="504">
        <v>0</v>
      </c>
      <c r="L1912" s="504">
        <v>4</v>
      </c>
      <c r="M1912" s="504">
        <v>0</v>
      </c>
      <c r="N1912" s="504">
        <v>0</v>
      </c>
      <c r="O1912" s="505">
        <v>0</v>
      </c>
    </row>
    <row r="1913" spans="1:15" x14ac:dyDescent="0.35">
      <c r="A1913" s="500" t="s">
        <v>1249</v>
      </c>
      <c r="B1913" s="501">
        <v>4729</v>
      </c>
      <c r="C1913" s="501" t="s">
        <v>1094</v>
      </c>
      <c r="D1913" s="501" t="s">
        <v>3380</v>
      </c>
      <c r="E1913" s="501" t="s">
        <v>3381</v>
      </c>
      <c r="F1913" s="501" t="s">
        <v>533</v>
      </c>
      <c r="G1913" s="501" t="s">
        <v>534</v>
      </c>
      <c r="H1913" s="501" t="s">
        <v>4855</v>
      </c>
      <c r="I1913" s="501">
        <v>1</v>
      </c>
      <c r="J1913" s="501">
        <v>0</v>
      </c>
      <c r="K1913" s="501">
        <v>0</v>
      </c>
      <c r="L1913" s="501">
        <v>0</v>
      </c>
      <c r="M1913" s="501">
        <v>0</v>
      </c>
      <c r="N1913" s="501">
        <v>0</v>
      </c>
      <c r="O1913" s="506">
        <v>1</v>
      </c>
    </row>
    <row r="1914" spans="1:15" x14ac:dyDescent="0.35">
      <c r="A1914" s="503" t="s">
        <v>1257</v>
      </c>
      <c r="B1914" s="504" t="s">
        <v>3151</v>
      </c>
      <c r="C1914" s="504" t="s">
        <v>1094</v>
      </c>
      <c r="D1914" s="504" t="s">
        <v>3380</v>
      </c>
      <c r="E1914" s="504" t="s">
        <v>3381</v>
      </c>
      <c r="F1914" s="504" t="s">
        <v>533</v>
      </c>
      <c r="G1914" s="504" t="s">
        <v>534</v>
      </c>
      <c r="H1914" s="504" t="s">
        <v>4856</v>
      </c>
      <c r="I1914" s="504">
        <v>28</v>
      </c>
      <c r="J1914" s="504">
        <v>0</v>
      </c>
      <c r="K1914" s="504">
        <v>0</v>
      </c>
      <c r="L1914" s="504">
        <v>0</v>
      </c>
      <c r="M1914" s="504">
        <v>0</v>
      </c>
      <c r="N1914" s="504">
        <v>0</v>
      </c>
      <c r="O1914" s="505">
        <v>28</v>
      </c>
    </row>
    <row r="1915" spans="1:15" x14ac:dyDescent="0.35">
      <c r="A1915" s="500" t="s">
        <v>1266</v>
      </c>
      <c r="B1915" s="501" t="s">
        <v>3071</v>
      </c>
      <c r="C1915" s="501" t="s">
        <v>1094</v>
      </c>
      <c r="D1915" s="501" t="s">
        <v>3380</v>
      </c>
      <c r="E1915" s="501" t="s">
        <v>3381</v>
      </c>
      <c r="F1915" s="501" t="s">
        <v>533</v>
      </c>
      <c r="G1915" s="501" t="s">
        <v>534</v>
      </c>
      <c r="H1915" s="501" t="s">
        <v>4857</v>
      </c>
      <c r="I1915" s="501">
        <v>44</v>
      </c>
      <c r="J1915" s="501">
        <v>22</v>
      </c>
      <c r="K1915" s="501">
        <v>0</v>
      </c>
      <c r="L1915" s="501">
        <v>12</v>
      </c>
      <c r="M1915" s="501">
        <v>0</v>
      </c>
      <c r="N1915" s="501">
        <v>0</v>
      </c>
      <c r="O1915" s="506">
        <v>10</v>
      </c>
    </row>
    <row r="1916" spans="1:15" x14ac:dyDescent="0.35">
      <c r="A1916" s="503" t="s">
        <v>1096</v>
      </c>
      <c r="B1916" s="504" t="s">
        <v>3326</v>
      </c>
      <c r="C1916" s="504" t="s">
        <v>1094</v>
      </c>
      <c r="D1916" s="504" t="s">
        <v>3380</v>
      </c>
      <c r="E1916" s="504" t="s">
        <v>3381</v>
      </c>
      <c r="F1916" s="504" t="s">
        <v>535</v>
      </c>
      <c r="G1916" s="504" t="s">
        <v>536</v>
      </c>
      <c r="H1916" s="504" t="s">
        <v>4858</v>
      </c>
      <c r="I1916" s="504">
        <v>19</v>
      </c>
      <c r="J1916" s="504">
        <v>0</v>
      </c>
      <c r="K1916" s="504">
        <v>0</v>
      </c>
      <c r="L1916" s="504">
        <v>0</v>
      </c>
      <c r="M1916" s="504">
        <v>19</v>
      </c>
      <c r="N1916" s="504">
        <v>0</v>
      </c>
      <c r="O1916" s="505">
        <v>0</v>
      </c>
    </row>
    <row r="1917" spans="1:15" x14ac:dyDescent="0.35">
      <c r="A1917" s="500" t="s">
        <v>1345</v>
      </c>
      <c r="B1917" s="501" t="s">
        <v>3247</v>
      </c>
      <c r="C1917" s="501" t="s">
        <v>1094</v>
      </c>
      <c r="D1917" s="501" t="s">
        <v>3380</v>
      </c>
      <c r="E1917" s="501" t="s">
        <v>3381</v>
      </c>
      <c r="F1917" s="501" t="s">
        <v>535</v>
      </c>
      <c r="G1917" s="501" t="s">
        <v>536</v>
      </c>
      <c r="H1917" s="501" t="s">
        <v>4859</v>
      </c>
      <c r="I1917" s="501">
        <v>17</v>
      </c>
      <c r="J1917" s="501">
        <v>0</v>
      </c>
      <c r="K1917" s="501">
        <v>0</v>
      </c>
      <c r="L1917" s="501">
        <v>17</v>
      </c>
      <c r="M1917" s="501">
        <v>0</v>
      </c>
      <c r="N1917" s="501">
        <v>0</v>
      </c>
      <c r="O1917" s="506">
        <v>0</v>
      </c>
    </row>
    <row r="1918" spans="1:15" x14ac:dyDescent="0.35">
      <c r="A1918" s="503" t="s">
        <v>1249</v>
      </c>
      <c r="B1918" s="504">
        <v>4729</v>
      </c>
      <c r="C1918" s="504" t="s">
        <v>1094</v>
      </c>
      <c r="D1918" s="504" t="s">
        <v>3380</v>
      </c>
      <c r="E1918" s="504" t="s">
        <v>3381</v>
      </c>
      <c r="F1918" s="504" t="s">
        <v>535</v>
      </c>
      <c r="G1918" s="504" t="s">
        <v>536</v>
      </c>
      <c r="H1918" s="504" t="s">
        <v>4860</v>
      </c>
      <c r="I1918" s="504">
        <v>194</v>
      </c>
      <c r="J1918" s="504">
        <v>194</v>
      </c>
      <c r="K1918" s="504">
        <v>0</v>
      </c>
      <c r="L1918" s="504">
        <v>0</v>
      </c>
      <c r="M1918" s="504">
        <v>0</v>
      </c>
      <c r="N1918" s="504">
        <v>0</v>
      </c>
      <c r="O1918" s="505">
        <v>0</v>
      </c>
    </row>
    <row r="1919" spans="1:15" x14ac:dyDescent="0.35">
      <c r="A1919" s="500" t="s">
        <v>1093</v>
      </c>
      <c r="B1919" s="501" t="s">
        <v>3248</v>
      </c>
      <c r="C1919" s="501" t="s">
        <v>1094</v>
      </c>
      <c r="D1919" s="501" t="s">
        <v>3380</v>
      </c>
      <c r="E1919" s="501" t="s">
        <v>3381</v>
      </c>
      <c r="F1919" s="501" t="s">
        <v>537</v>
      </c>
      <c r="G1919" s="501" t="s">
        <v>538</v>
      </c>
      <c r="H1919" s="501" t="s">
        <v>4861</v>
      </c>
      <c r="I1919" s="501">
        <v>4</v>
      </c>
      <c r="J1919" s="501">
        <v>0</v>
      </c>
      <c r="K1919" s="501">
        <v>0</v>
      </c>
      <c r="L1919" s="501">
        <v>0</v>
      </c>
      <c r="M1919" s="501">
        <v>0</v>
      </c>
      <c r="N1919" s="501">
        <v>0</v>
      </c>
      <c r="O1919" s="506">
        <v>4</v>
      </c>
    </row>
    <row r="1920" spans="1:15" x14ac:dyDescent="0.35">
      <c r="A1920" s="503" t="s">
        <v>1096</v>
      </c>
      <c r="B1920" s="504" t="s">
        <v>3326</v>
      </c>
      <c r="C1920" s="504" t="s">
        <v>1094</v>
      </c>
      <c r="D1920" s="504" t="s">
        <v>3380</v>
      </c>
      <c r="E1920" s="504" t="s">
        <v>3381</v>
      </c>
      <c r="F1920" s="504" t="s">
        <v>537</v>
      </c>
      <c r="G1920" s="504" t="s">
        <v>538</v>
      </c>
      <c r="H1920" s="504" t="s">
        <v>4862</v>
      </c>
      <c r="I1920" s="504">
        <v>47</v>
      </c>
      <c r="J1920" s="504">
        <v>0</v>
      </c>
      <c r="K1920" s="504">
        <v>0</v>
      </c>
      <c r="L1920" s="504">
        <v>0</v>
      </c>
      <c r="M1920" s="504">
        <v>47</v>
      </c>
      <c r="N1920" s="504">
        <v>0</v>
      </c>
      <c r="O1920" s="505">
        <v>0</v>
      </c>
    </row>
    <row r="1921" spans="1:15" x14ac:dyDescent="0.35">
      <c r="A1921" s="500" t="s">
        <v>1151</v>
      </c>
      <c r="B1921" s="501">
        <v>4726</v>
      </c>
      <c r="C1921" s="501" t="s">
        <v>1089</v>
      </c>
      <c r="D1921" s="501" t="s">
        <v>3392</v>
      </c>
      <c r="E1921" s="501" t="s">
        <v>3381</v>
      </c>
      <c r="F1921" s="501" t="s">
        <v>537</v>
      </c>
      <c r="G1921" s="501" t="s">
        <v>538</v>
      </c>
      <c r="H1921" s="501" t="s">
        <v>14590</v>
      </c>
      <c r="I1921" s="501">
        <v>1</v>
      </c>
      <c r="J1921" s="501">
        <v>0</v>
      </c>
      <c r="K1921" s="501">
        <v>0</v>
      </c>
      <c r="L1921" s="501">
        <v>1</v>
      </c>
      <c r="M1921" s="501">
        <v>0</v>
      </c>
      <c r="N1921" s="501">
        <v>0</v>
      </c>
      <c r="O1921" s="506">
        <v>0</v>
      </c>
    </row>
    <row r="1922" spans="1:15" x14ac:dyDescent="0.35">
      <c r="A1922" s="503" t="s">
        <v>11370</v>
      </c>
      <c r="B1922" s="504">
        <v>4690</v>
      </c>
      <c r="C1922" s="504" t="s">
        <v>1089</v>
      </c>
      <c r="D1922" s="504" t="s">
        <v>3392</v>
      </c>
      <c r="E1922" s="504" t="s">
        <v>3381</v>
      </c>
      <c r="F1922" s="504" t="s">
        <v>537</v>
      </c>
      <c r="G1922" s="504" t="s">
        <v>538</v>
      </c>
      <c r="H1922" s="504" t="s">
        <v>11504</v>
      </c>
      <c r="I1922" s="504">
        <v>3</v>
      </c>
      <c r="J1922" s="504">
        <v>0</v>
      </c>
      <c r="K1922" s="504">
        <v>0</v>
      </c>
      <c r="L1922" s="504">
        <v>3</v>
      </c>
      <c r="M1922" s="504">
        <v>0</v>
      </c>
      <c r="N1922" s="504">
        <v>0</v>
      </c>
      <c r="O1922" s="505">
        <v>0</v>
      </c>
    </row>
    <row r="1923" spans="1:15" x14ac:dyDescent="0.35">
      <c r="A1923" s="500" t="s">
        <v>1274</v>
      </c>
      <c r="B1923" s="501" t="s">
        <v>3276</v>
      </c>
      <c r="C1923" s="501" t="s">
        <v>1089</v>
      </c>
      <c r="D1923" s="501" t="s">
        <v>3392</v>
      </c>
      <c r="E1923" s="501" t="s">
        <v>3381</v>
      </c>
      <c r="F1923" s="501" t="s">
        <v>537</v>
      </c>
      <c r="G1923" s="501" t="s">
        <v>538</v>
      </c>
      <c r="H1923" s="501" t="s">
        <v>4863</v>
      </c>
      <c r="I1923" s="501">
        <v>69</v>
      </c>
      <c r="J1923" s="501">
        <v>0</v>
      </c>
      <c r="K1923" s="501">
        <v>0</v>
      </c>
      <c r="L1923" s="501">
        <v>0</v>
      </c>
      <c r="M1923" s="501">
        <v>69</v>
      </c>
      <c r="N1923" s="501">
        <v>0</v>
      </c>
      <c r="O1923" s="506">
        <v>0</v>
      </c>
    </row>
    <row r="1924" spans="1:15" x14ac:dyDescent="0.35">
      <c r="A1924" s="503" t="s">
        <v>11363</v>
      </c>
      <c r="B1924" s="504">
        <v>4718</v>
      </c>
      <c r="C1924" s="504" t="s">
        <v>1094</v>
      </c>
      <c r="D1924" s="504" t="s">
        <v>3380</v>
      </c>
      <c r="E1924" s="504" t="s">
        <v>3381</v>
      </c>
      <c r="F1924" s="504" t="s">
        <v>537</v>
      </c>
      <c r="G1924" s="504" t="s">
        <v>538</v>
      </c>
      <c r="H1924" s="504" t="s">
        <v>11527</v>
      </c>
      <c r="I1924" s="504">
        <v>1</v>
      </c>
      <c r="J1924" s="504">
        <v>0</v>
      </c>
      <c r="K1924" s="504">
        <v>0</v>
      </c>
      <c r="L1924" s="504">
        <v>1</v>
      </c>
      <c r="M1924" s="504">
        <v>0</v>
      </c>
      <c r="N1924" s="504">
        <v>0</v>
      </c>
      <c r="O1924" s="505">
        <v>0</v>
      </c>
    </row>
    <row r="1925" spans="1:15" x14ac:dyDescent="0.35">
      <c r="A1925" s="500" t="s">
        <v>1278</v>
      </c>
      <c r="B1925" s="501">
        <v>4639</v>
      </c>
      <c r="C1925" s="501" t="s">
        <v>1089</v>
      </c>
      <c r="D1925" s="501" t="s">
        <v>3392</v>
      </c>
      <c r="E1925" s="501" t="s">
        <v>3381</v>
      </c>
      <c r="F1925" s="501" t="s">
        <v>537</v>
      </c>
      <c r="G1925" s="501" t="s">
        <v>538</v>
      </c>
      <c r="H1925" s="501" t="s">
        <v>4864</v>
      </c>
      <c r="I1925" s="501">
        <v>44</v>
      </c>
      <c r="J1925" s="501">
        <v>0</v>
      </c>
      <c r="K1925" s="501">
        <v>0</v>
      </c>
      <c r="L1925" s="501">
        <v>44</v>
      </c>
      <c r="M1925" s="501">
        <v>0</v>
      </c>
      <c r="N1925" s="501">
        <v>0</v>
      </c>
      <c r="O1925" s="506">
        <v>0</v>
      </c>
    </row>
    <row r="1926" spans="1:15" x14ac:dyDescent="0.35">
      <c r="A1926" s="503" t="s">
        <v>1283</v>
      </c>
      <c r="B1926" s="504" t="s">
        <v>3177</v>
      </c>
      <c r="C1926" s="504" t="s">
        <v>1094</v>
      </c>
      <c r="D1926" s="504" t="s">
        <v>3380</v>
      </c>
      <c r="E1926" s="504" t="s">
        <v>3381</v>
      </c>
      <c r="F1926" s="504" t="s">
        <v>537</v>
      </c>
      <c r="G1926" s="504" t="s">
        <v>538</v>
      </c>
      <c r="H1926" s="504" t="s">
        <v>4865</v>
      </c>
      <c r="I1926" s="504">
        <v>519</v>
      </c>
      <c r="J1926" s="504">
        <v>480</v>
      </c>
      <c r="K1926" s="504">
        <v>0</v>
      </c>
      <c r="L1926" s="504">
        <v>0</v>
      </c>
      <c r="M1926" s="504">
        <v>0</v>
      </c>
      <c r="N1926" s="504">
        <v>0</v>
      </c>
      <c r="O1926" s="505">
        <v>39</v>
      </c>
    </row>
    <row r="1927" spans="1:15" x14ac:dyDescent="0.35">
      <c r="A1927" s="500" t="s">
        <v>1285</v>
      </c>
      <c r="B1927" s="501" t="s">
        <v>3120</v>
      </c>
      <c r="C1927" s="501" t="s">
        <v>1089</v>
      </c>
      <c r="D1927" s="501" t="s">
        <v>3392</v>
      </c>
      <c r="E1927" s="501" t="s">
        <v>3381</v>
      </c>
      <c r="F1927" s="501" t="s">
        <v>537</v>
      </c>
      <c r="G1927" s="501" t="s">
        <v>538</v>
      </c>
      <c r="H1927" s="501" t="s">
        <v>4866</v>
      </c>
      <c r="I1927" s="501">
        <v>5</v>
      </c>
      <c r="J1927" s="501">
        <v>5</v>
      </c>
      <c r="K1927" s="501">
        <v>0</v>
      </c>
      <c r="L1927" s="501">
        <v>0</v>
      </c>
      <c r="M1927" s="501">
        <v>0</v>
      </c>
      <c r="N1927" s="501">
        <v>0</v>
      </c>
      <c r="O1927" s="506">
        <v>0</v>
      </c>
    </row>
    <row r="1928" spans="1:15" x14ac:dyDescent="0.35">
      <c r="A1928" s="503" t="s">
        <v>1100</v>
      </c>
      <c r="B1928" s="504">
        <v>4865</v>
      </c>
      <c r="C1928" s="504" t="s">
        <v>1094</v>
      </c>
      <c r="D1928" s="504" t="s">
        <v>3380</v>
      </c>
      <c r="E1928" s="504" t="s">
        <v>3381</v>
      </c>
      <c r="F1928" s="504" t="s">
        <v>537</v>
      </c>
      <c r="G1928" s="504" t="s">
        <v>538</v>
      </c>
      <c r="H1928" s="504" t="s">
        <v>4867</v>
      </c>
      <c r="I1928" s="504">
        <v>45</v>
      </c>
      <c r="J1928" s="504">
        <v>21</v>
      </c>
      <c r="K1928" s="504">
        <v>0</v>
      </c>
      <c r="L1928" s="504">
        <v>22</v>
      </c>
      <c r="M1928" s="504">
        <v>0</v>
      </c>
      <c r="N1928" s="504">
        <v>0</v>
      </c>
      <c r="O1928" s="505">
        <v>2</v>
      </c>
    </row>
    <row r="1929" spans="1:15" x14ac:dyDescent="0.35">
      <c r="A1929" s="500" t="s">
        <v>1288</v>
      </c>
      <c r="B1929" s="501" t="s">
        <v>3243</v>
      </c>
      <c r="C1929" s="501" t="s">
        <v>1089</v>
      </c>
      <c r="D1929" s="501" t="s">
        <v>3392</v>
      </c>
      <c r="E1929" s="501" t="s">
        <v>3381</v>
      </c>
      <c r="F1929" s="501" t="s">
        <v>537</v>
      </c>
      <c r="G1929" s="501" t="s">
        <v>538</v>
      </c>
      <c r="H1929" s="501" t="s">
        <v>4868</v>
      </c>
      <c r="I1929" s="501">
        <v>56</v>
      </c>
      <c r="J1929" s="501">
        <v>56</v>
      </c>
      <c r="K1929" s="501">
        <v>0</v>
      </c>
      <c r="L1929" s="501">
        <v>0</v>
      </c>
      <c r="M1929" s="501">
        <v>0</v>
      </c>
      <c r="N1929" s="501">
        <v>0</v>
      </c>
      <c r="O1929" s="506">
        <v>0</v>
      </c>
    </row>
    <row r="1930" spans="1:15" x14ac:dyDescent="0.35">
      <c r="A1930" s="503" t="s">
        <v>1172</v>
      </c>
      <c r="B1930" s="504">
        <v>4648</v>
      </c>
      <c r="C1930" s="504" t="s">
        <v>1089</v>
      </c>
      <c r="D1930" s="504" t="s">
        <v>3392</v>
      </c>
      <c r="E1930" s="504" t="s">
        <v>3381</v>
      </c>
      <c r="F1930" s="504" t="s">
        <v>537</v>
      </c>
      <c r="G1930" s="504" t="s">
        <v>538</v>
      </c>
      <c r="H1930" s="504" t="s">
        <v>4869</v>
      </c>
      <c r="I1930" s="504">
        <v>4</v>
      </c>
      <c r="J1930" s="504">
        <v>0</v>
      </c>
      <c r="K1930" s="504">
        <v>0</v>
      </c>
      <c r="L1930" s="504">
        <v>4</v>
      </c>
      <c r="M1930" s="504">
        <v>0</v>
      </c>
      <c r="N1930" s="504">
        <v>0</v>
      </c>
      <c r="O1930" s="505">
        <v>0</v>
      </c>
    </row>
    <row r="1931" spans="1:15" x14ac:dyDescent="0.35">
      <c r="A1931" s="500" t="s">
        <v>1293</v>
      </c>
      <c r="B1931" s="501" t="s">
        <v>3212</v>
      </c>
      <c r="C1931" s="501" t="s">
        <v>1094</v>
      </c>
      <c r="D1931" s="501" t="s">
        <v>3380</v>
      </c>
      <c r="E1931" s="501" t="s">
        <v>3381</v>
      </c>
      <c r="F1931" s="501" t="s">
        <v>537</v>
      </c>
      <c r="G1931" s="501" t="s">
        <v>538</v>
      </c>
      <c r="H1931" s="501" t="s">
        <v>4870</v>
      </c>
      <c r="I1931" s="501">
        <v>1744</v>
      </c>
      <c r="J1931" s="501">
        <v>1438</v>
      </c>
      <c r="K1931" s="501">
        <v>0</v>
      </c>
      <c r="L1931" s="501">
        <v>61</v>
      </c>
      <c r="M1931" s="501">
        <v>88</v>
      </c>
      <c r="N1931" s="501">
        <v>0</v>
      </c>
      <c r="O1931" s="506">
        <v>157</v>
      </c>
    </row>
    <row r="1932" spans="1:15" x14ac:dyDescent="0.35">
      <c r="A1932" s="503" t="s">
        <v>1102</v>
      </c>
      <c r="B1932" s="504">
        <v>4663</v>
      </c>
      <c r="C1932" s="504" t="s">
        <v>1089</v>
      </c>
      <c r="D1932" s="504" t="s">
        <v>3392</v>
      </c>
      <c r="E1932" s="504" t="s">
        <v>3381</v>
      </c>
      <c r="F1932" s="504" t="s">
        <v>537</v>
      </c>
      <c r="G1932" s="504" t="s">
        <v>538</v>
      </c>
      <c r="H1932" s="504" t="s">
        <v>4871</v>
      </c>
      <c r="I1932" s="504">
        <v>2</v>
      </c>
      <c r="J1932" s="504">
        <v>0</v>
      </c>
      <c r="K1932" s="504">
        <v>0</v>
      </c>
      <c r="L1932" s="504">
        <v>2</v>
      </c>
      <c r="M1932" s="504">
        <v>0</v>
      </c>
      <c r="N1932" s="504">
        <v>0</v>
      </c>
      <c r="O1932" s="505">
        <v>0</v>
      </c>
    </row>
    <row r="1933" spans="1:15" x14ac:dyDescent="0.35">
      <c r="A1933" s="500" t="s">
        <v>1175</v>
      </c>
      <c r="B1933" s="501" t="s">
        <v>3141</v>
      </c>
      <c r="C1933" s="501" t="s">
        <v>1094</v>
      </c>
      <c r="D1933" s="501" t="s">
        <v>3380</v>
      </c>
      <c r="E1933" s="501" t="s">
        <v>3381</v>
      </c>
      <c r="F1933" s="501" t="s">
        <v>537</v>
      </c>
      <c r="G1933" s="501" t="s">
        <v>538</v>
      </c>
      <c r="H1933" s="501" t="s">
        <v>4872</v>
      </c>
      <c r="I1933" s="501">
        <v>17</v>
      </c>
      <c r="J1933" s="501">
        <v>12</v>
      </c>
      <c r="K1933" s="501">
        <v>0</v>
      </c>
      <c r="L1933" s="501">
        <v>0</v>
      </c>
      <c r="M1933" s="501">
        <v>0</v>
      </c>
      <c r="N1933" s="501">
        <v>0</v>
      </c>
      <c r="O1933" s="506">
        <v>5</v>
      </c>
    </row>
    <row r="1934" spans="1:15" x14ac:dyDescent="0.35">
      <c r="A1934" s="503" t="s">
        <v>1294</v>
      </c>
      <c r="B1934" s="504" t="s">
        <v>3114</v>
      </c>
      <c r="C1934" s="504" t="s">
        <v>1094</v>
      </c>
      <c r="D1934" s="504" t="s">
        <v>3380</v>
      </c>
      <c r="E1934" s="504" t="s">
        <v>3381</v>
      </c>
      <c r="F1934" s="504" t="s">
        <v>537</v>
      </c>
      <c r="G1934" s="504" t="s">
        <v>538</v>
      </c>
      <c r="H1934" s="504" t="s">
        <v>4873</v>
      </c>
      <c r="I1934" s="504">
        <v>283</v>
      </c>
      <c r="J1934" s="504">
        <v>236</v>
      </c>
      <c r="K1934" s="504">
        <v>0</v>
      </c>
      <c r="L1934" s="504">
        <v>8</v>
      </c>
      <c r="M1934" s="504">
        <v>0</v>
      </c>
      <c r="N1934" s="504">
        <v>0</v>
      </c>
      <c r="O1934" s="505">
        <v>39</v>
      </c>
    </row>
    <row r="1935" spans="1:15" x14ac:dyDescent="0.35">
      <c r="A1935" s="500" t="s">
        <v>1177</v>
      </c>
      <c r="B1935" s="501">
        <v>4702</v>
      </c>
      <c r="C1935" s="501" t="s">
        <v>1089</v>
      </c>
      <c r="D1935" s="501" t="s">
        <v>3392</v>
      </c>
      <c r="E1935" s="501" t="s">
        <v>3381</v>
      </c>
      <c r="F1935" s="501" t="s">
        <v>537</v>
      </c>
      <c r="G1935" s="501" t="s">
        <v>538</v>
      </c>
      <c r="H1935" s="501" t="s">
        <v>4874</v>
      </c>
      <c r="I1935" s="501">
        <v>23</v>
      </c>
      <c r="J1935" s="501">
        <v>0</v>
      </c>
      <c r="K1935" s="501">
        <v>0</v>
      </c>
      <c r="L1935" s="501">
        <v>23</v>
      </c>
      <c r="M1935" s="501">
        <v>0</v>
      </c>
      <c r="N1935" s="501">
        <v>0</v>
      </c>
      <c r="O1935" s="506">
        <v>0</v>
      </c>
    </row>
    <row r="1936" spans="1:15" x14ac:dyDescent="0.35">
      <c r="A1936" s="503" t="s">
        <v>1296</v>
      </c>
      <c r="B1936" s="504">
        <v>4651</v>
      </c>
      <c r="C1936" s="504" t="s">
        <v>1094</v>
      </c>
      <c r="D1936" s="504" t="s">
        <v>3380</v>
      </c>
      <c r="E1936" s="504" t="s">
        <v>3381</v>
      </c>
      <c r="F1936" s="504" t="s">
        <v>537</v>
      </c>
      <c r="G1936" s="504" t="s">
        <v>538</v>
      </c>
      <c r="H1936" s="504" t="s">
        <v>4875</v>
      </c>
      <c r="I1936" s="504">
        <v>345</v>
      </c>
      <c r="J1936" s="504">
        <v>301</v>
      </c>
      <c r="K1936" s="504">
        <v>0</v>
      </c>
      <c r="L1936" s="504">
        <v>0</v>
      </c>
      <c r="M1936" s="504">
        <v>0</v>
      </c>
      <c r="N1936" s="504">
        <v>0</v>
      </c>
      <c r="O1936" s="505">
        <v>44</v>
      </c>
    </row>
    <row r="1937" spans="1:15" x14ac:dyDescent="0.35">
      <c r="A1937" s="500" t="s">
        <v>14208</v>
      </c>
      <c r="B1937" s="501">
        <v>4803</v>
      </c>
      <c r="C1937" s="501" t="s">
        <v>1094</v>
      </c>
      <c r="D1937" s="501" t="s">
        <v>3380</v>
      </c>
      <c r="E1937" s="501" t="s">
        <v>3381</v>
      </c>
      <c r="F1937" s="501" t="s">
        <v>537</v>
      </c>
      <c r="G1937" s="501" t="s">
        <v>538</v>
      </c>
      <c r="H1937" s="501" t="s">
        <v>14591</v>
      </c>
      <c r="I1937" s="501">
        <v>7</v>
      </c>
      <c r="J1937" s="501">
        <v>0</v>
      </c>
      <c r="K1937" s="501">
        <v>0</v>
      </c>
      <c r="L1937" s="501">
        <v>7</v>
      </c>
      <c r="M1937" s="501">
        <v>0</v>
      </c>
      <c r="N1937" s="501">
        <v>0</v>
      </c>
      <c r="O1937" s="506">
        <v>0</v>
      </c>
    </row>
    <row r="1938" spans="1:15" x14ac:dyDescent="0.35">
      <c r="A1938" s="503" t="s">
        <v>1185</v>
      </c>
      <c r="B1938" s="504" t="s">
        <v>3253</v>
      </c>
      <c r="C1938" s="504" t="s">
        <v>1094</v>
      </c>
      <c r="D1938" s="504" t="s">
        <v>3380</v>
      </c>
      <c r="E1938" s="504" t="s">
        <v>3381</v>
      </c>
      <c r="F1938" s="504" t="s">
        <v>537</v>
      </c>
      <c r="G1938" s="504" t="s">
        <v>538</v>
      </c>
      <c r="H1938" s="504" t="s">
        <v>4876</v>
      </c>
      <c r="I1938" s="504">
        <v>30</v>
      </c>
      <c r="J1938" s="504">
        <v>8</v>
      </c>
      <c r="K1938" s="504">
        <v>0</v>
      </c>
      <c r="L1938" s="504">
        <v>22</v>
      </c>
      <c r="M1938" s="504">
        <v>0</v>
      </c>
      <c r="N1938" s="504">
        <v>0</v>
      </c>
      <c r="O1938" s="505">
        <v>0</v>
      </c>
    </row>
    <row r="1939" spans="1:15" x14ac:dyDescent="0.35">
      <c r="A1939" s="500" t="s">
        <v>1187</v>
      </c>
      <c r="B1939" s="501" t="s">
        <v>2951</v>
      </c>
      <c r="C1939" s="501" t="s">
        <v>1094</v>
      </c>
      <c r="D1939" s="501" t="s">
        <v>3380</v>
      </c>
      <c r="E1939" s="501" t="s">
        <v>3381</v>
      </c>
      <c r="F1939" s="501" t="s">
        <v>537</v>
      </c>
      <c r="G1939" s="501" t="s">
        <v>538</v>
      </c>
      <c r="H1939" s="501" t="s">
        <v>4877</v>
      </c>
      <c r="I1939" s="501">
        <v>7</v>
      </c>
      <c r="J1939" s="501">
        <v>5</v>
      </c>
      <c r="K1939" s="501">
        <v>0</v>
      </c>
      <c r="L1939" s="501">
        <v>0</v>
      </c>
      <c r="M1939" s="501">
        <v>0</v>
      </c>
      <c r="N1939" s="501">
        <v>0</v>
      </c>
      <c r="O1939" s="506">
        <v>2</v>
      </c>
    </row>
    <row r="1940" spans="1:15" x14ac:dyDescent="0.35">
      <c r="A1940" s="503" t="s">
        <v>1105</v>
      </c>
      <c r="B1940" s="504">
        <v>4668</v>
      </c>
      <c r="C1940" s="504" t="s">
        <v>1094</v>
      </c>
      <c r="D1940" s="504" t="s">
        <v>3380</v>
      </c>
      <c r="E1940" s="504" t="s">
        <v>3381</v>
      </c>
      <c r="F1940" s="504" t="s">
        <v>537</v>
      </c>
      <c r="G1940" s="504" t="s">
        <v>538</v>
      </c>
      <c r="H1940" s="504" t="s">
        <v>4878</v>
      </c>
      <c r="I1940" s="504">
        <v>1</v>
      </c>
      <c r="J1940" s="504">
        <v>0</v>
      </c>
      <c r="K1940" s="504">
        <v>0</v>
      </c>
      <c r="L1940" s="504">
        <v>0</v>
      </c>
      <c r="M1940" s="504">
        <v>0</v>
      </c>
      <c r="N1940" s="504">
        <v>0</v>
      </c>
      <c r="O1940" s="505">
        <v>1</v>
      </c>
    </row>
    <row r="1941" spans="1:15" x14ac:dyDescent="0.35">
      <c r="A1941" s="500" t="s">
        <v>1107</v>
      </c>
      <c r="B1941" s="501" t="s">
        <v>3109</v>
      </c>
      <c r="C1941" s="501" t="s">
        <v>1094</v>
      </c>
      <c r="D1941" s="501" t="s">
        <v>3380</v>
      </c>
      <c r="E1941" s="501" t="s">
        <v>3381</v>
      </c>
      <c r="F1941" s="501" t="s">
        <v>537</v>
      </c>
      <c r="G1941" s="501" t="s">
        <v>538</v>
      </c>
      <c r="H1941" s="501" t="s">
        <v>4879</v>
      </c>
      <c r="I1941" s="501">
        <v>92</v>
      </c>
      <c r="J1941" s="501">
        <v>83</v>
      </c>
      <c r="K1941" s="501">
        <v>0</v>
      </c>
      <c r="L1941" s="501">
        <v>0</v>
      </c>
      <c r="M1941" s="501">
        <v>0</v>
      </c>
      <c r="N1941" s="501">
        <v>0</v>
      </c>
      <c r="O1941" s="506">
        <v>9</v>
      </c>
    </row>
    <row r="1942" spans="1:15" x14ac:dyDescent="0.35">
      <c r="A1942" s="503" t="s">
        <v>1190</v>
      </c>
      <c r="B1942" s="504">
        <v>4662</v>
      </c>
      <c r="C1942" s="504" t="s">
        <v>1094</v>
      </c>
      <c r="D1942" s="504" t="s">
        <v>3380</v>
      </c>
      <c r="E1942" s="504" t="s">
        <v>3381</v>
      </c>
      <c r="F1942" s="504" t="s">
        <v>537</v>
      </c>
      <c r="G1942" s="504" t="s">
        <v>538</v>
      </c>
      <c r="H1942" s="504" t="s">
        <v>4880</v>
      </c>
      <c r="I1942" s="504">
        <v>14</v>
      </c>
      <c r="J1942" s="504">
        <v>0</v>
      </c>
      <c r="K1942" s="504">
        <v>0</v>
      </c>
      <c r="L1942" s="504">
        <v>14</v>
      </c>
      <c r="M1942" s="504">
        <v>0</v>
      </c>
      <c r="N1942" s="504">
        <v>0</v>
      </c>
      <c r="O1942" s="505">
        <v>0</v>
      </c>
    </row>
    <row r="1943" spans="1:15" x14ac:dyDescent="0.35">
      <c r="A1943" s="500" t="s">
        <v>1310</v>
      </c>
      <c r="B1943" s="501">
        <v>5062</v>
      </c>
      <c r="C1943" s="501" t="s">
        <v>1089</v>
      </c>
      <c r="D1943" s="501" t="s">
        <v>3380</v>
      </c>
      <c r="E1943" s="501" t="s">
        <v>3381</v>
      </c>
      <c r="F1943" s="501" t="s">
        <v>537</v>
      </c>
      <c r="G1943" s="501" t="s">
        <v>538</v>
      </c>
      <c r="H1943" s="501" t="s">
        <v>14592</v>
      </c>
      <c r="I1943" s="501">
        <v>14</v>
      </c>
      <c r="J1943" s="501">
        <v>0</v>
      </c>
      <c r="K1943" s="501">
        <v>0</v>
      </c>
      <c r="L1943" s="501">
        <v>0</v>
      </c>
      <c r="M1943" s="501">
        <v>0</v>
      </c>
      <c r="N1943" s="501">
        <v>0</v>
      </c>
      <c r="O1943" s="506">
        <v>14</v>
      </c>
    </row>
    <row r="1944" spans="1:15" x14ac:dyDescent="0.35">
      <c r="A1944" s="503" t="s">
        <v>1311</v>
      </c>
      <c r="B1944" s="504" t="s">
        <v>3361</v>
      </c>
      <c r="C1944" s="504" t="s">
        <v>1094</v>
      </c>
      <c r="D1944" s="504" t="s">
        <v>3380</v>
      </c>
      <c r="E1944" s="504" t="s">
        <v>3381</v>
      </c>
      <c r="F1944" s="504" t="s">
        <v>537</v>
      </c>
      <c r="G1944" s="504" t="s">
        <v>538</v>
      </c>
      <c r="H1944" s="504" t="s">
        <v>4881</v>
      </c>
      <c r="I1944" s="504">
        <v>14</v>
      </c>
      <c r="J1944" s="504">
        <v>14</v>
      </c>
      <c r="K1944" s="504">
        <v>0</v>
      </c>
      <c r="L1944" s="504">
        <v>0</v>
      </c>
      <c r="M1944" s="504">
        <v>0</v>
      </c>
      <c r="N1944" s="504">
        <v>0</v>
      </c>
      <c r="O1944" s="505">
        <v>0</v>
      </c>
    </row>
    <row r="1945" spans="1:15" x14ac:dyDescent="0.35">
      <c r="A1945" s="500" t="s">
        <v>1202</v>
      </c>
      <c r="B1945" s="501" t="s">
        <v>3217</v>
      </c>
      <c r="C1945" s="501" t="s">
        <v>1094</v>
      </c>
      <c r="D1945" s="501" t="s">
        <v>3380</v>
      </c>
      <c r="E1945" s="501" t="s">
        <v>3381</v>
      </c>
      <c r="F1945" s="501" t="s">
        <v>537</v>
      </c>
      <c r="G1945" s="501" t="s">
        <v>538</v>
      </c>
      <c r="H1945" s="501" t="s">
        <v>4882</v>
      </c>
      <c r="I1945" s="501">
        <v>52</v>
      </c>
      <c r="J1945" s="501">
        <v>43</v>
      </c>
      <c r="K1945" s="501">
        <v>0</v>
      </c>
      <c r="L1945" s="501">
        <v>4</v>
      </c>
      <c r="M1945" s="501">
        <v>0</v>
      </c>
      <c r="N1945" s="501">
        <v>0</v>
      </c>
      <c r="O1945" s="506">
        <v>5</v>
      </c>
    </row>
    <row r="1946" spans="1:15" x14ac:dyDescent="0.35">
      <c r="A1946" s="503" t="s">
        <v>1313</v>
      </c>
      <c r="B1946" s="504" t="s">
        <v>3045</v>
      </c>
      <c r="C1946" s="504" t="s">
        <v>1089</v>
      </c>
      <c r="D1946" s="504" t="s">
        <v>3392</v>
      </c>
      <c r="E1946" s="504" t="s">
        <v>3381</v>
      </c>
      <c r="F1946" s="504" t="s">
        <v>537</v>
      </c>
      <c r="G1946" s="504" t="s">
        <v>538</v>
      </c>
      <c r="H1946" s="504" t="s">
        <v>4883</v>
      </c>
      <c r="I1946" s="504">
        <v>42</v>
      </c>
      <c r="J1946" s="504">
        <v>0</v>
      </c>
      <c r="K1946" s="504">
        <v>0</v>
      </c>
      <c r="L1946" s="504">
        <v>0</v>
      </c>
      <c r="M1946" s="504">
        <v>42</v>
      </c>
      <c r="N1946" s="504">
        <v>0</v>
      </c>
      <c r="O1946" s="505">
        <v>0</v>
      </c>
    </row>
    <row r="1947" spans="1:15" x14ac:dyDescent="0.35">
      <c r="A1947" s="500" t="s">
        <v>1210</v>
      </c>
      <c r="B1947" s="501">
        <v>4781</v>
      </c>
      <c r="C1947" s="501" t="s">
        <v>1089</v>
      </c>
      <c r="D1947" s="501" t="s">
        <v>3392</v>
      </c>
      <c r="E1947" s="501" t="s">
        <v>3381</v>
      </c>
      <c r="F1947" s="501" t="s">
        <v>537</v>
      </c>
      <c r="G1947" s="501" t="s">
        <v>538</v>
      </c>
      <c r="H1947" s="501" t="s">
        <v>4884</v>
      </c>
      <c r="I1947" s="501">
        <v>19</v>
      </c>
      <c r="J1947" s="501">
        <v>0</v>
      </c>
      <c r="K1947" s="501">
        <v>0</v>
      </c>
      <c r="L1947" s="501">
        <v>19</v>
      </c>
      <c r="M1947" s="501">
        <v>0</v>
      </c>
      <c r="N1947" s="501">
        <v>0</v>
      </c>
      <c r="O1947" s="506">
        <v>0</v>
      </c>
    </row>
    <row r="1948" spans="1:15" x14ac:dyDescent="0.35">
      <c r="A1948" s="503" t="s">
        <v>1319</v>
      </c>
      <c r="B1948" s="504">
        <v>4880</v>
      </c>
      <c r="C1948" s="504" t="s">
        <v>1094</v>
      </c>
      <c r="D1948" s="504" t="s">
        <v>3380</v>
      </c>
      <c r="E1948" s="504" t="s">
        <v>3381</v>
      </c>
      <c r="F1948" s="504" t="s">
        <v>537</v>
      </c>
      <c r="G1948" s="504" t="s">
        <v>538</v>
      </c>
      <c r="H1948" s="504" t="s">
        <v>4885</v>
      </c>
      <c r="I1948" s="504">
        <v>387</v>
      </c>
      <c r="J1948" s="504">
        <v>291</v>
      </c>
      <c r="K1948" s="504">
        <v>0</v>
      </c>
      <c r="L1948" s="504">
        <v>48</v>
      </c>
      <c r="M1948" s="504">
        <v>36</v>
      </c>
      <c r="N1948" s="504">
        <v>6</v>
      </c>
      <c r="O1948" s="505">
        <v>12</v>
      </c>
    </row>
    <row r="1949" spans="1:15" x14ac:dyDescent="0.35">
      <c r="A1949" s="500" t="s">
        <v>1326</v>
      </c>
      <c r="B1949" s="501" t="s">
        <v>2954</v>
      </c>
      <c r="C1949" s="501" t="s">
        <v>1094</v>
      </c>
      <c r="D1949" s="501" t="s">
        <v>3380</v>
      </c>
      <c r="E1949" s="501" t="s">
        <v>3381</v>
      </c>
      <c r="F1949" s="501" t="s">
        <v>537</v>
      </c>
      <c r="G1949" s="501" t="s">
        <v>538</v>
      </c>
      <c r="H1949" s="501" t="s">
        <v>4886</v>
      </c>
      <c r="I1949" s="501">
        <v>10</v>
      </c>
      <c r="J1949" s="501">
        <v>0</v>
      </c>
      <c r="K1949" s="501">
        <v>0</v>
      </c>
      <c r="L1949" s="501">
        <v>10</v>
      </c>
      <c r="M1949" s="501">
        <v>0</v>
      </c>
      <c r="N1949" s="501">
        <v>0</v>
      </c>
      <c r="O1949" s="506">
        <v>0</v>
      </c>
    </row>
    <row r="1950" spans="1:15" x14ac:dyDescent="0.35">
      <c r="A1950" s="503" t="s">
        <v>1332</v>
      </c>
      <c r="B1950" s="504">
        <v>4878</v>
      </c>
      <c r="C1950" s="504" t="s">
        <v>1094</v>
      </c>
      <c r="D1950" s="504" t="s">
        <v>3380</v>
      </c>
      <c r="E1950" s="504" t="s">
        <v>3381</v>
      </c>
      <c r="F1950" s="504" t="s">
        <v>537</v>
      </c>
      <c r="G1950" s="504" t="s">
        <v>538</v>
      </c>
      <c r="H1950" s="504" t="s">
        <v>14593</v>
      </c>
      <c r="I1950" s="504">
        <v>420</v>
      </c>
      <c r="J1950" s="504">
        <v>242</v>
      </c>
      <c r="K1950" s="504">
        <v>0</v>
      </c>
      <c r="L1950" s="504">
        <v>174</v>
      </c>
      <c r="M1950" s="504">
        <v>0</v>
      </c>
      <c r="N1950" s="504">
        <v>0</v>
      </c>
      <c r="O1950" s="505">
        <v>4</v>
      </c>
    </row>
    <row r="1951" spans="1:15" x14ac:dyDescent="0.35">
      <c r="A1951" s="500" t="s">
        <v>1122</v>
      </c>
      <c r="B1951" s="501" t="s">
        <v>2994</v>
      </c>
      <c r="C1951" s="501" t="s">
        <v>1094</v>
      </c>
      <c r="D1951" s="501" t="s">
        <v>3380</v>
      </c>
      <c r="E1951" s="501" t="s">
        <v>3381</v>
      </c>
      <c r="F1951" s="501" t="s">
        <v>537</v>
      </c>
      <c r="G1951" s="501" t="s">
        <v>538</v>
      </c>
      <c r="H1951" s="501" t="s">
        <v>4887</v>
      </c>
      <c r="I1951" s="501">
        <v>160</v>
      </c>
      <c r="J1951" s="501">
        <v>151</v>
      </c>
      <c r="K1951" s="501">
        <v>0</v>
      </c>
      <c r="L1951" s="501">
        <v>3</v>
      </c>
      <c r="M1951" s="501">
        <v>0</v>
      </c>
      <c r="N1951" s="501">
        <v>0</v>
      </c>
      <c r="O1951" s="506">
        <v>6</v>
      </c>
    </row>
    <row r="1952" spans="1:15" x14ac:dyDescent="0.35">
      <c r="A1952" s="503" t="s">
        <v>1225</v>
      </c>
      <c r="B1952" s="504" t="s">
        <v>3315</v>
      </c>
      <c r="C1952" s="504" t="s">
        <v>1094</v>
      </c>
      <c r="D1952" s="504" t="s">
        <v>3380</v>
      </c>
      <c r="E1952" s="504" t="s">
        <v>3381</v>
      </c>
      <c r="F1952" s="504" t="s">
        <v>537</v>
      </c>
      <c r="G1952" s="504" t="s">
        <v>538</v>
      </c>
      <c r="H1952" s="504" t="s">
        <v>4888</v>
      </c>
      <c r="I1952" s="504">
        <v>6</v>
      </c>
      <c r="J1952" s="504">
        <v>0</v>
      </c>
      <c r="K1952" s="504">
        <v>0</v>
      </c>
      <c r="L1952" s="504">
        <v>6</v>
      </c>
      <c r="M1952" s="504">
        <v>0</v>
      </c>
      <c r="N1952" s="504">
        <v>0</v>
      </c>
      <c r="O1952" s="505">
        <v>0</v>
      </c>
    </row>
    <row r="1953" spans="1:15" x14ac:dyDescent="0.35">
      <c r="A1953" s="500" t="s">
        <v>1228</v>
      </c>
      <c r="B1953" s="501" t="s">
        <v>3321</v>
      </c>
      <c r="C1953" s="501" t="s">
        <v>1094</v>
      </c>
      <c r="D1953" s="501" t="s">
        <v>3380</v>
      </c>
      <c r="E1953" s="501" t="s">
        <v>3381</v>
      </c>
      <c r="F1953" s="501" t="s">
        <v>537</v>
      </c>
      <c r="G1953" s="501" t="s">
        <v>538</v>
      </c>
      <c r="H1953" s="501" t="s">
        <v>4889</v>
      </c>
      <c r="I1953" s="501">
        <v>19</v>
      </c>
      <c r="J1953" s="501">
        <v>0</v>
      </c>
      <c r="K1953" s="501">
        <v>0</v>
      </c>
      <c r="L1953" s="501">
        <v>19</v>
      </c>
      <c r="M1953" s="501">
        <v>0</v>
      </c>
      <c r="N1953" s="501">
        <v>0</v>
      </c>
      <c r="O1953" s="506">
        <v>0</v>
      </c>
    </row>
    <row r="1954" spans="1:15" x14ac:dyDescent="0.35">
      <c r="A1954" s="503" t="s">
        <v>1339</v>
      </c>
      <c r="B1954" s="504" t="s">
        <v>3358</v>
      </c>
      <c r="C1954" s="504" t="s">
        <v>1094</v>
      </c>
      <c r="D1954" s="504" t="s">
        <v>3380</v>
      </c>
      <c r="E1954" s="504" t="s">
        <v>3381</v>
      </c>
      <c r="F1954" s="504" t="s">
        <v>537</v>
      </c>
      <c r="G1954" s="504" t="s">
        <v>538</v>
      </c>
      <c r="H1954" s="504" t="s">
        <v>4890</v>
      </c>
      <c r="I1954" s="504">
        <v>4</v>
      </c>
      <c r="J1954" s="504">
        <v>0</v>
      </c>
      <c r="K1954" s="504">
        <v>0</v>
      </c>
      <c r="L1954" s="504">
        <v>0</v>
      </c>
      <c r="M1954" s="504">
        <v>0</v>
      </c>
      <c r="N1954" s="504">
        <v>0</v>
      </c>
      <c r="O1954" s="505">
        <v>4</v>
      </c>
    </row>
    <row r="1955" spans="1:15" x14ac:dyDescent="0.35">
      <c r="A1955" s="500" t="s">
        <v>1233</v>
      </c>
      <c r="B1955" s="501">
        <v>4636</v>
      </c>
      <c r="C1955" s="501" t="s">
        <v>1094</v>
      </c>
      <c r="D1955" s="501" t="s">
        <v>3380</v>
      </c>
      <c r="E1955" s="501" t="s">
        <v>3381</v>
      </c>
      <c r="F1955" s="501" t="s">
        <v>537</v>
      </c>
      <c r="G1955" s="501" t="s">
        <v>538</v>
      </c>
      <c r="H1955" s="501" t="s">
        <v>14594</v>
      </c>
      <c r="I1955" s="501">
        <v>23</v>
      </c>
      <c r="J1955" s="501">
        <v>22</v>
      </c>
      <c r="K1955" s="501">
        <v>0</v>
      </c>
      <c r="L1955" s="501">
        <v>0</v>
      </c>
      <c r="M1955" s="501">
        <v>0</v>
      </c>
      <c r="N1955" s="501">
        <v>0</v>
      </c>
      <c r="O1955" s="506">
        <v>1</v>
      </c>
    </row>
    <row r="1956" spans="1:15" x14ac:dyDescent="0.35">
      <c r="A1956" s="503" t="s">
        <v>1234</v>
      </c>
      <c r="B1956" s="504" t="s">
        <v>3291</v>
      </c>
      <c r="C1956" s="504" t="s">
        <v>1094</v>
      </c>
      <c r="D1956" s="504" t="s">
        <v>3380</v>
      </c>
      <c r="E1956" s="504" t="s">
        <v>3381</v>
      </c>
      <c r="F1956" s="504" t="s">
        <v>537</v>
      </c>
      <c r="G1956" s="504" t="s">
        <v>538</v>
      </c>
      <c r="H1956" s="504" t="s">
        <v>4891</v>
      </c>
      <c r="I1956" s="504">
        <v>23</v>
      </c>
      <c r="J1956" s="504">
        <v>23</v>
      </c>
      <c r="K1956" s="504">
        <v>0</v>
      </c>
      <c r="L1956" s="504">
        <v>0</v>
      </c>
      <c r="M1956" s="504">
        <v>0</v>
      </c>
      <c r="N1956" s="504">
        <v>0</v>
      </c>
      <c r="O1956" s="505">
        <v>0</v>
      </c>
    </row>
    <row r="1957" spans="1:15" x14ac:dyDescent="0.35">
      <c r="A1957" s="500" t="s">
        <v>1126</v>
      </c>
      <c r="B1957" s="501" t="s">
        <v>2974</v>
      </c>
      <c r="C1957" s="501" t="s">
        <v>1094</v>
      </c>
      <c r="D1957" s="501" t="s">
        <v>3380</v>
      </c>
      <c r="E1957" s="501" t="s">
        <v>3381</v>
      </c>
      <c r="F1957" s="501" t="s">
        <v>537</v>
      </c>
      <c r="G1957" s="501" t="s">
        <v>538</v>
      </c>
      <c r="H1957" s="501" t="s">
        <v>4892</v>
      </c>
      <c r="I1957" s="501">
        <v>384</v>
      </c>
      <c r="J1957" s="501">
        <v>281</v>
      </c>
      <c r="K1957" s="501">
        <v>0</v>
      </c>
      <c r="L1957" s="501">
        <v>68</v>
      </c>
      <c r="M1957" s="501">
        <v>18</v>
      </c>
      <c r="N1957" s="501">
        <v>0</v>
      </c>
      <c r="O1957" s="506">
        <v>17</v>
      </c>
    </row>
    <row r="1958" spans="1:15" x14ac:dyDescent="0.35">
      <c r="A1958" s="503" t="s">
        <v>1346</v>
      </c>
      <c r="B1958" s="504" t="s">
        <v>3150</v>
      </c>
      <c r="C1958" s="504" t="s">
        <v>1094</v>
      </c>
      <c r="D1958" s="504" t="s">
        <v>3380</v>
      </c>
      <c r="E1958" s="504" t="s">
        <v>3381</v>
      </c>
      <c r="F1958" s="504" t="s">
        <v>537</v>
      </c>
      <c r="G1958" s="504" t="s">
        <v>538</v>
      </c>
      <c r="H1958" s="504" t="s">
        <v>4893</v>
      </c>
      <c r="I1958" s="504">
        <v>292</v>
      </c>
      <c r="J1958" s="504">
        <v>135</v>
      </c>
      <c r="K1958" s="504">
        <v>135</v>
      </c>
      <c r="L1958" s="504">
        <v>22</v>
      </c>
      <c r="M1958" s="504">
        <v>0</v>
      </c>
      <c r="N1958" s="504">
        <v>2</v>
      </c>
      <c r="O1958" s="505">
        <v>0</v>
      </c>
    </row>
    <row r="1959" spans="1:15" x14ac:dyDescent="0.35">
      <c r="A1959" s="500" t="s">
        <v>1249</v>
      </c>
      <c r="B1959" s="501">
        <v>4729</v>
      </c>
      <c r="C1959" s="501" t="s">
        <v>1094</v>
      </c>
      <c r="D1959" s="501" t="s">
        <v>3380</v>
      </c>
      <c r="E1959" s="501" t="s">
        <v>3381</v>
      </c>
      <c r="F1959" s="501" t="s">
        <v>537</v>
      </c>
      <c r="G1959" s="501" t="s">
        <v>538</v>
      </c>
      <c r="H1959" s="501" t="s">
        <v>4894</v>
      </c>
      <c r="I1959" s="501">
        <v>467</v>
      </c>
      <c r="J1959" s="501">
        <v>467</v>
      </c>
      <c r="K1959" s="501">
        <v>0</v>
      </c>
      <c r="L1959" s="501">
        <v>0</v>
      </c>
      <c r="M1959" s="501">
        <v>0</v>
      </c>
      <c r="N1959" s="501">
        <v>0</v>
      </c>
      <c r="O1959" s="506">
        <v>0</v>
      </c>
    </row>
    <row r="1960" spans="1:15" x14ac:dyDescent="0.35">
      <c r="A1960" s="503" t="s">
        <v>11473</v>
      </c>
      <c r="B1960" s="504" t="s">
        <v>2542</v>
      </c>
      <c r="C1960" s="504" t="s">
        <v>1089</v>
      </c>
      <c r="D1960" s="504" t="s">
        <v>3392</v>
      </c>
      <c r="E1960" s="504" t="s">
        <v>3381</v>
      </c>
      <c r="F1960" s="504" t="s">
        <v>537</v>
      </c>
      <c r="G1960" s="504" t="s">
        <v>538</v>
      </c>
      <c r="H1960" s="504" t="s">
        <v>12222</v>
      </c>
      <c r="I1960" s="504">
        <v>14</v>
      </c>
      <c r="J1960" s="504">
        <v>0</v>
      </c>
      <c r="K1960" s="504">
        <v>0</v>
      </c>
      <c r="L1960" s="504">
        <v>0</v>
      </c>
      <c r="M1960" s="504">
        <v>14</v>
      </c>
      <c r="N1960" s="504">
        <v>0</v>
      </c>
      <c r="O1960" s="505">
        <v>0</v>
      </c>
    </row>
    <row r="1961" spans="1:15" x14ac:dyDescent="0.35">
      <c r="A1961" s="500" t="s">
        <v>1365</v>
      </c>
      <c r="B1961" s="501" t="s">
        <v>2634</v>
      </c>
      <c r="C1961" s="501" t="s">
        <v>1089</v>
      </c>
      <c r="D1961" s="501" t="s">
        <v>3392</v>
      </c>
      <c r="E1961" s="501" t="s">
        <v>3381</v>
      </c>
      <c r="F1961" s="501" t="s">
        <v>537</v>
      </c>
      <c r="G1961" s="501" t="s">
        <v>538</v>
      </c>
      <c r="H1961" s="501" t="s">
        <v>4895</v>
      </c>
      <c r="I1961" s="501">
        <v>6</v>
      </c>
      <c r="J1961" s="501">
        <v>6</v>
      </c>
      <c r="K1961" s="501">
        <v>0</v>
      </c>
      <c r="L1961" s="501">
        <v>0</v>
      </c>
      <c r="M1961" s="501">
        <v>0</v>
      </c>
      <c r="N1961" s="501">
        <v>0</v>
      </c>
      <c r="O1961" s="506">
        <v>0</v>
      </c>
    </row>
    <row r="1962" spans="1:15" x14ac:dyDescent="0.35">
      <c r="A1962" s="503" t="s">
        <v>1260</v>
      </c>
      <c r="B1962" s="504">
        <v>4645</v>
      </c>
      <c r="C1962" s="504" t="s">
        <v>1089</v>
      </c>
      <c r="D1962" s="504" t="s">
        <v>3392</v>
      </c>
      <c r="E1962" s="504" t="s">
        <v>3381</v>
      </c>
      <c r="F1962" s="504" t="s">
        <v>537</v>
      </c>
      <c r="G1962" s="504" t="s">
        <v>538</v>
      </c>
      <c r="H1962" s="504" t="s">
        <v>4896</v>
      </c>
      <c r="I1962" s="504">
        <v>3</v>
      </c>
      <c r="J1962" s="504">
        <v>0</v>
      </c>
      <c r="K1962" s="504">
        <v>0</v>
      </c>
      <c r="L1962" s="504">
        <v>3</v>
      </c>
      <c r="M1962" s="504">
        <v>0</v>
      </c>
      <c r="N1962" s="504">
        <v>0</v>
      </c>
      <c r="O1962" s="505">
        <v>0</v>
      </c>
    </row>
    <row r="1963" spans="1:15" x14ac:dyDescent="0.35">
      <c r="A1963" s="500" t="s">
        <v>1379</v>
      </c>
      <c r="B1963" s="501">
        <v>4830</v>
      </c>
      <c r="C1963" s="501" t="s">
        <v>1089</v>
      </c>
      <c r="D1963" s="501" t="s">
        <v>3392</v>
      </c>
      <c r="E1963" s="501" t="s">
        <v>3381</v>
      </c>
      <c r="F1963" s="501" t="s">
        <v>537</v>
      </c>
      <c r="G1963" s="501" t="s">
        <v>538</v>
      </c>
      <c r="H1963" s="501" t="s">
        <v>4897</v>
      </c>
      <c r="I1963" s="501">
        <v>43</v>
      </c>
      <c r="J1963" s="501">
        <v>0</v>
      </c>
      <c r="K1963" s="501">
        <v>0</v>
      </c>
      <c r="L1963" s="501">
        <v>0</v>
      </c>
      <c r="M1963" s="501">
        <v>43</v>
      </c>
      <c r="N1963" s="501">
        <v>0</v>
      </c>
      <c r="O1963" s="506">
        <v>0</v>
      </c>
    </row>
    <row r="1964" spans="1:15" x14ac:dyDescent="0.35">
      <c r="A1964" s="503" t="s">
        <v>1096</v>
      </c>
      <c r="B1964" s="504" t="s">
        <v>3326</v>
      </c>
      <c r="C1964" s="504" t="s">
        <v>1094</v>
      </c>
      <c r="D1964" s="504" t="s">
        <v>3380</v>
      </c>
      <c r="E1964" s="504" t="s">
        <v>3381</v>
      </c>
      <c r="F1964" s="504" t="s">
        <v>539</v>
      </c>
      <c r="G1964" s="504" t="s">
        <v>540</v>
      </c>
      <c r="H1964" s="504" t="s">
        <v>4898</v>
      </c>
      <c r="I1964" s="504">
        <v>80</v>
      </c>
      <c r="J1964" s="504">
        <v>0</v>
      </c>
      <c r="K1964" s="504">
        <v>0</v>
      </c>
      <c r="L1964" s="504">
        <v>0</v>
      </c>
      <c r="M1964" s="504">
        <v>80</v>
      </c>
      <c r="N1964" s="504">
        <v>0</v>
      </c>
      <c r="O1964" s="505">
        <v>0</v>
      </c>
    </row>
    <row r="1965" spans="1:15" x14ac:dyDescent="0.35">
      <c r="A1965" s="500" t="s">
        <v>1623</v>
      </c>
      <c r="B1965" s="501">
        <v>4858</v>
      </c>
      <c r="C1965" s="501" t="s">
        <v>1094</v>
      </c>
      <c r="D1965" s="501" t="s">
        <v>3380</v>
      </c>
      <c r="E1965" s="501" t="s">
        <v>3381</v>
      </c>
      <c r="F1965" s="501" t="s">
        <v>539</v>
      </c>
      <c r="G1965" s="501" t="s">
        <v>540</v>
      </c>
      <c r="H1965" s="501" t="s">
        <v>4899</v>
      </c>
      <c r="I1965" s="501">
        <v>349</v>
      </c>
      <c r="J1965" s="501">
        <v>265</v>
      </c>
      <c r="K1965" s="501">
        <v>0</v>
      </c>
      <c r="L1965" s="501">
        <v>0</v>
      </c>
      <c r="M1965" s="501">
        <v>84</v>
      </c>
      <c r="N1965" s="501">
        <v>1</v>
      </c>
      <c r="O1965" s="506">
        <v>0</v>
      </c>
    </row>
    <row r="1966" spans="1:15" x14ac:dyDescent="0.35">
      <c r="A1966" s="503" t="s">
        <v>1102</v>
      </c>
      <c r="B1966" s="504">
        <v>4663</v>
      </c>
      <c r="C1966" s="504" t="s">
        <v>1089</v>
      </c>
      <c r="D1966" s="504" t="s">
        <v>3392</v>
      </c>
      <c r="E1966" s="504" t="s">
        <v>3381</v>
      </c>
      <c r="F1966" s="504" t="s">
        <v>539</v>
      </c>
      <c r="G1966" s="504" t="s">
        <v>540</v>
      </c>
      <c r="H1966" s="504" t="s">
        <v>4900</v>
      </c>
      <c r="I1966" s="504">
        <v>5</v>
      </c>
      <c r="J1966" s="504">
        <v>0</v>
      </c>
      <c r="K1966" s="504">
        <v>0</v>
      </c>
      <c r="L1966" s="504">
        <v>5</v>
      </c>
      <c r="M1966" s="504">
        <v>0</v>
      </c>
      <c r="N1966" s="504">
        <v>0</v>
      </c>
      <c r="O1966" s="505">
        <v>0</v>
      </c>
    </row>
    <row r="1967" spans="1:15" x14ac:dyDescent="0.35">
      <c r="A1967" s="500" t="s">
        <v>1107</v>
      </c>
      <c r="B1967" s="501" t="s">
        <v>3109</v>
      </c>
      <c r="C1967" s="501" t="s">
        <v>1094</v>
      </c>
      <c r="D1967" s="501" t="s">
        <v>3380</v>
      </c>
      <c r="E1967" s="501" t="s">
        <v>3381</v>
      </c>
      <c r="F1967" s="501" t="s">
        <v>539</v>
      </c>
      <c r="G1967" s="501" t="s">
        <v>540</v>
      </c>
      <c r="H1967" s="501" t="s">
        <v>4901</v>
      </c>
      <c r="I1967" s="501">
        <v>5084</v>
      </c>
      <c r="J1967" s="501">
        <v>4937</v>
      </c>
      <c r="K1967" s="501">
        <v>0</v>
      </c>
      <c r="L1967" s="501">
        <v>46</v>
      </c>
      <c r="M1967" s="501">
        <v>93</v>
      </c>
      <c r="N1967" s="501">
        <v>6</v>
      </c>
      <c r="O1967" s="506">
        <v>8</v>
      </c>
    </row>
    <row r="1968" spans="1:15" x14ac:dyDescent="0.35">
      <c r="A1968" s="503" t="s">
        <v>1109</v>
      </c>
      <c r="B1968" s="504" t="s">
        <v>2959</v>
      </c>
      <c r="C1968" s="504" t="s">
        <v>1094</v>
      </c>
      <c r="D1968" s="504" t="s">
        <v>3380</v>
      </c>
      <c r="E1968" s="504" t="s">
        <v>3381</v>
      </c>
      <c r="F1968" s="504" t="s">
        <v>539</v>
      </c>
      <c r="G1968" s="504" t="s">
        <v>540</v>
      </c>
      <c r="H1968" s="504" t="s">
        <v>4902</v>
      </c>
      <c r="I1968" s="504">
        <v>41</v>
      </c>
      <c r="J1968" s="504">
        <v>0</v>
      </c>
      <c r="K1968" s="504">
        <v>0</v>
      </c>
      <c r="L1968" s="504">
        <v>0</v>
      </c>
      <c r="M1968" s="504">
        <v>41</v>
      </c>
      <c r="N1968" s="504">
        <v>0</v>
      </c>
      <c r="O1968" s="505">
        <v>0</v>
      </c>
    </row>
    <row r="1969" spans="1:15" x14ac:dyDescent="0.35">
      <c r="A1969" s="500" t="s">
        <v>1719</v>
      </c>
      <c r="B1969" s="501" t="s">
        <v>2489</v>
      </c>
      <c r="C1969" s="501" t="s">
        <v>1089</v>
      </c>
      <c r="D1969" s="501" t="s">
        <v>3392</v>
      </c>
      <c r="E1969" s="501" t="s">
        <v>3381</v>
      </c>
      <c r="F1969" s="501" t="s">
        <v>539</v>
      </c>
      <c r="G1969" s="501" t="s">
        <v>540</v>
      </c>
      <c r="H1969" s="501" t="s">
        <v>4903</v>
      </c>
      <c r="I1969" s="501">
        <v>10</v>
      </c>
      <c r="J1969" s="501">
        <v>10</v>
      </c>
      <c r="K1969" s="501">
        <v>0</v>
      </c>
      <c r="L1969" s="501">
        <v>0</v>
      </c>
      <c r="M1969" s="501">
        <v>0</v>
      </c>
      <c r="N1969" s="501">
        <v>0</v>
      </c>
      <c r="O1969" s="506">
        <v>0</v>
      </c>
    </row>
    <row r="1970" spans="1:15" x14ac:dyDescent="0.35">
      <c r="A1970" s="503" t="s">
        <v>1738</v>
      </c>
      <c r="B1970" s="504" t="s">
        <v>3280</v>
      </c>
      <c r="C1970" s="504" t="s">
        <v>1089</v>
      </c>
      <c r="D1970" s="504" t="s">
        <v>3392</v>
      </c>
      <c r="E1970" s="504" t="s">
        <v>3381</v>
      </c>
      <c r="F1970" s="504" t="s">
        <v>539</v>
      </c>
      <c r="G1970" s="504" t="s">
        <v>540</v>
      </c>
      <c r="H1970" s="504" t="s">
        <v>4904</v>
      </c>
      <c r="I1970" s="504">
        <v>3</v>
      </c>
      <c r="J1970" s="504">
        <v>3</v>
      </c>
      <c r="K1970" s="504">
        <v>0</v>
      </c>
      <c r="L1970" s="504">
        <v>0</v>
      </c>
      <c r="M1970" s="504">
        <v>0</v>
      </c>
      <c r="N1970" s="504">
        <v>0</v>
      </c>
      <c r="O1970" s="505">
        <v>0</v>
      </c>
    </row>
    <row r="1971" spans="1:15" x14ac:dyDescent="0.35">
      <c r="A1971" s="500" t="s">
        <v>1503</v>
      </c>
      <c r="B1971" s="501">
        <v>4666</v>
      </c>
      <c r="C1971" s="501" t="s">
        <v>1089</v>
      </c>
      <c r="D1971" s="501" t="s">
        <v>3392</v>
      </c>
      <c r="E1971" s="501" t="s">
        <v>3381</v>
      </c>
      <c r="F1971" s="501" t="s">
        <v>539</v>
      </c>
      <c r="G1971" s="501" t="s">
        <v>540</v>
      </c>
      <c r="H1971" s="501" t="s">
        <v>4905</v>
      </c>
      <c r="I1971" s="501">
        <v>3</v>
      </c>
      <c r="J1971" s="501">
        <v>0</v>
      </c>
      <c r="K1971" s="501">
        <v>0</v>
      </c>
      <c r="L1971" s="501">
        <v>3</v>
      </c>
      <c r="M1971" s="501">
        <v>0</v>
      </c>
      <c r="N1971" s="501">
        <v>0</v>
      </c>
      <c r="O1971" s="506">
        <v>0</v>
      </c>
    </row>
    <row r="1972" spans="1:15" x14ac:dyDescent="0.35">
      <c r="A1972" s="503" t="s">
        <v>1223</v>
      </c>
      <c r="B1972" s="504">
        <v>4768</v>
      </c>
      <c r="C1972" s="504" t="s">
        <v>1089</v>
      </c>
      <c r="D1972" s="504" t="s">
        <v>3392</v>
      </c>
      <c r="E1972" s="504" t="s">
        <v>3381</v>
      </c>
      <c r="F1972" s="504" t="s">
        <v>539</v>
      </c>
      <c r="G1972" s="504" t="s">
        <v>540</v>
      </c>
      <c r="H1972" s="504" t="s">
        <v>4906</v>
      </c>
      <c r="I1972" s="504">
        <v>2</v>
      </c>
      <c r="J1972" s="504">
        <v>0</v>
      </c>
      <c r="K1972" s="504">
        <v>0</v>
      </c>
      <c r="L1972" s="504">
        <v>2</v>
      </c>
      <c r="M1972" s="504">
        <v>0</v>
      </c>
      <c r="N1972" s="504">
        <v>0</v>
      </c>
      <c r="O1972" s="505">
        <v>0</v>
      </c>
    </row>
    <row r="1973" spans="1:15" x14ac:dyDescent="0.35">
      <c r="A1973" s="500" t="s">
        <v>1228</v>
      </c>
      <c r="B1973" s="501" t="s">
        <v>3321</v>
      </c>
      <c r="C1973" s="501" t="s">
        <v>1094</v>
      </c>
      <c r="D1973" s="501" t="s">
        <v>3380</v>
      </c>
      <c r="E1973" s="501" t="s">
        <v>3381</v>
      </c>
      <c r="F1973" s="501" t="s">
        <v>539</v>
      </c>
      <c r="G1973" s="501" t="s">
        <v>540</v>
      </c>
      <c r="H1973" s="501" t="s">
        <v>4907</v>
      </c>
      <c r="I1973" s="501">
        <v>6</v>
      </c>
      <c r="J1973" s="501">
        <v>0</v>
      </c>
      <c r="K1973" s="501">
        <v>0</v>
      </c>
      <c r="L1973" s="501">
        <v>3</v>
      </c>
      <c r="M1973" s="501">
        <v>0</v>
      </c>
      <c r="N1973" s="501">
        <v>0</v>
      </c>
      <c r="O1973" s="506">
        <v>3</v>
      </c>
    </row>
    <row r="1974" spans="1:15" x14ac:dyDescent="0.35">
      <c r="A1974" s="503" t="s">
        <v>1126</v>
      </c>
      <c r="B1974" s="504" t="s">
        <v>2974</v>
      </c>
      <c r="C1974" s="504" t="s">
        <v>1094</v>
      </c>
      <c r="D1974" s="504" t="s">
        <v>3380</v>
      </c>
      <c r="E1974" s="504" t="s">
        <v>3381</v>
      </c>
      <c r="F1974" s="504" t="s">
        <v>539</v>
      </c>
      <c r="G1974" s="504" t="s">
        <v>540</v>
      </c>
      <c r="H1974" s="504" t="s">
        <v>4908</v>
      </c>
      <c r="I1974" s="504">
        <v>11</v>
      </c>
      <c r="J1974" s="504">
        <v>0</v>
      </c>
      <c r="K1974" s="504">
        <v>0</v>
      </c>
      <c r="L1974" s="504">
        <v>11</v>
      </c>
      <c r="M1974" s="504">
        <v>0</v>
      </c>
      <c r="N1974" s="504">
        <v>0</v>
      </c>
      <c r="O1974" s="505">
        <v>0</v>
      </c>
    </row>
    <row r="1975" spans="1:15" x14ac:dyDescent="0.35">
      <c r="A1975" s="500" t="s">
        <v>1245</v>
      </c>
      <c r="B1975" s="501" t="s">
        <v>2859</v>
      </c>
      <c r="C1975" s="501" t="s">
        <v>1094</v>
      </c>
      <c r="D1975" s="501" t="s">
        <v>3380</v>
      </c>
      <c r="E1975" s="501" t="s">
        <v>3381</v>
      </c>
      <c r="F1975" s="501" t="s">
        <v>539</v>
      </c>
      <c r="G1975" s="501" t="s">
        <v>540</v>
      </c>
      <c r="H1975" s="501" t="s">
        <v>4909</v>
      </c>
      <c r="I1975" s="501">
        <v>11</v>
      </c>
      <c r="J1975" s="501">
        <v>0</v>
      </c>
      <c r="K1975" s="501">
        <v>0</v>
      </c>
      <c r="L1975" s="501">
        <v>0</v>
      </c>
      <c r="M1975" s="501">
        <v>11</v>
      </c>
      <c r="N1975" s="501">
        <v>0</v>
      </c>
      <c r="O1975" s="506">
        <v>0</v>
      </c>
    </row>
    <row r="1976" spans="1:15" x14ac:dyDescent="0.35">
      <c r="A1976" s="503" t="s">
        <v>1773</v>
      </c>
      <c r="B1976" s="504" t="s">
        <v>2843</v>
      </c>
      <c r="C1976" s="504" t="s">
        <v>1089</v>
      </c>
      <c r="D1976" s="504" t="s">
        <v>3392</v>
      </c>
      <c r="E1976" s="504" t="s">
        <v>3381</v>
      </c>
      <c r="F1976" s="504" t="s">
        <v>539</v>
      </c>
      <c r="G1976" s="504" t="s">
        <v>540</v>
      </c>
      <c r="H1976" s="504" t="s">
        <v>4910</v>
      </c>
      <c r="I1976" s="504">
        <v>20</v>
      </c>
      <c r="J1976" s="504">
        <v>20</v>
      </c>
      <c r="K1976" s="504">
        <v>0</v>
      </c>
      <c r="L1976" s="504">
        <v>0</v>
      </c>
      <c r="M1976" s="504">
        <v>0</v>
      </c>
      <c r="N1976" s="504">
        <v>0</v>
      </c>
      <c r="O1976" s="505">
        <v>0</v>
      </c>
    </row>
    <row r="1977" spans="1:15" x14ac:dyDescent="0.35">
      <c r="A1977" s="500" t="s">
        <v>1253</v>
      </c>
      <c r="B1977" s="501" t="s">
        <v>3232</v>
      </c>
      <c r="C1977" s="501" t="s">
        <v>1094</v>
      </c>
      <c r="D1977" s="501" t="s">
        <v>3380</v>
      </c>
      <c r="E1977" s="501" t="s">
        <v>3381</v>
      </c>
      <c r="F1977" s="501" t="s">
        <v>539</v>
      </c>
      <c r="G1977" s="501" t="s">
        <v>540</v>
      </c>
      <c r="H1977" s="501" t="s">
        <v>4911</v>
      </c>
      <c r="I1977" s="501">
        <v>321</v>
      </c>
      <c r="J1977" s="501">
        <v>260</v>
      </c>
      <c r="K1977" s="501">
        <v>0</v>
      </c>
      <c r="L1977" s="501">
        <v>61</v>
      </c>
      <c r="M1977" s="501">
        <v>0</v>
      </c>
      <c r="N1977" s="501">
        <v>0</v>
      </c>
      <c r="O1977" s="506">
        <v>0</v>
      </c>
    </row>
    <row r="1978" spans="1:15" x14ac:dyDescent="0.35">
      <c r="A1978" s="503" t="s">
        <v>1093</v>
      </c>
      <c r="B1978" s="504" t="s">
        <v>3248</v>
      </c>
      <c r="C1978" s="504" t="s">
        <v>1094</v>
      </c>
      <c r="D1978" s="504" t="s">
        <v>3380</v>
      </c>
      <c r="E1978" s="504" t="s">
        <v>3381</v>
      </c>
      <c r="F1978" s="504" t="s">
        <v>541</v>
      </c>
      <c r="G1978" s="504" t="s">
        <v>542</v>
      </c>
      <c r="H1978" s="504" t="s">
        <v>4912</v>
      </c>
      <c r="I1978" s="504">
        <v>227</v>
      </c>
      <c r="J1978" s="504">
        <v>0</v>
      </c>
      <c r="K1978" s="504">
        <v>0</v>
      </c>
      <c r="L1978" s="504">
        <v>160</v>
      </c>
      <c r="M1978" s="504">
        <v>0</v>
      </c>
      <c r="N1978" s="504">
        <v>0</v>
      </c>
      <c r="O1978" s="505">
        <v>67</v>
      </c>
    </row>
    <row r="1979" spans="1:15" x14ac:dyDescent="0.35">
      <c r="A1979" s="500" t="s">
        <v>1096</v>
      </c>
      <c r="B1979" s="501" t="s">
        <v>3326</v>
      </c>
      <c r="C1979" s="501" t="s">
        <v>1094</v>
      </c>
      <c r="D1979" s="501" t="s">
        <v>3380</v>
      </c>
      <c r="E1979" s="501" t="s">
        <v>3381</v>
      </c>
      <c r="F1979" s="501" t="s">
        <v>541</v>
      </c>
      <c r="G1979" s="501" t="s">
        <v>542</v>
      </c>
      <c r="H1979" s="501" t="s">
        <v>4913</v>
      </c>
      <c r="I1979" s="501">
        <v>293</v>
      </c>
      <c r="J1979" s="501">
        <v>0</v>
      </c>
      <c r="K1979" s="501">
        <v>0</v>
      </c>
      <c r="L1979" s="501">
        <v>0</v>
      </c>
      <c r="M1979" s="501">
        <v>293</v>
      </c>
      <c r="N1979" s="501">
        <v>0</v>
      </c>
      <c r="O1979" s="506">
        <v>0</v>
      </c>
    </row>
    <row r="1980" spans="1:15" x14ac:dyDescent="0.35">
      <c r="A1980" s="503" t="s">
        <v>1098</v>
      </c>
      <c r="B1980" s="504">
        <v>4691</v>
      </c>
      <c r="C1980" s="504" t="s">
        <v>1094</v>
      </c>
      <c r="D1980" s="504" t="s">
        <v>3380</v>
      </c>
      <c r="E1980" s="504" t="s">
        <v>3381</v>
      </c>
      <c r="F1980" s="504" t="s">
        <v>541</v>
      </c>
      <c r="G1980" s="504" t="s">
        <v>542</v>
      </c>
      <c r="H1980" s="504" t="s">
        <v>4914</v>
      </c>
      <c r="I1980" s="504">
        <v>400</v>
      </c>
      <c r="J1980" s="504">
        <v>185</v>
      </c>
      <c r="K1980" s="504">
        <v>0</v>
      </c>
      <c r="L1980" s="504">
        <v>47</v>
      </c>
      <c r="M1980" s="504">
        <v>0</v>
      </c>
      <c r="N1980" s="504">
        <v>0</v>
      </c>
      <c r="O1980" s="505">
        <v>168</v>
      </c>
    </row>
    <row r="1981" spans="1:15" x14ac:dyDescent="0.35">
      <c r="A1981" s="500" t="s">
        <v>1278</v>
      </c>
      <c r="B1981" s="501">
        <v>4639</v>
      </c>
      <c r="C1981" s="501" t="s">
        <v>1089</v>
      </c>
      <c r="D1981" s="501" t="s">
        <v>3392</v>
      </c>
      <c r="E1981" s="501" t="s">
        <v>3381</v>
      </c>
      <c r="F1981" s="501" t="s">
        <v>541</v>
      </c>
      <c r="G1981" s="501" t="s">
        <v>542</v>
      </c>
      <c r="H1981" s="501" t="s">
        <v>4915</v>
      </c>
      <c r="I1981" s="501">
        <v>12</v>
      </c>
      <c r="J1981" s="501">
        <v>0</v>
      </c>
      <c r="K1981" s="501">
        <v>0</v>
      </c>
      <c r="L1981" s="501">
        <v>12</v>
      </c>
      <c r="M1981" s="501">
        <v>0</v>
      </c>
      <c r="N1981" s="501">
        <v>0</v>
      </c>
      <c r="O1981" s="506">
        <v>0</v>
      </c>
    </row>
    <row r="1982" spans="1:15" x14ac:dyDescent="0.35">
      <c r="A1982" s="503" t="s">
        <v>1956</v>
      </c>
      <c r="B1982" s="504" t="s">
        <v>2543</v>
      </c>
      <c r="C1982" s="504" t="s">
        <v>1089</v>
      </c>
      <c r="D1982" s="504" t="s">
        <v>3392</v>
      </c>
      <c r="E1982" s="504" t="s">
        <v>3381</v>
      </c>
      <c r="F1982" s="504" t="s">
        <v>541</v>
      </c>
      <c r="G1982" s="504" t="s">
        <v>542</v>
      </c>
      <c r="H1982" s="504" t="s">
        <v>4916</v>
      </c>
      <c r="I1982" s="504">
        <v>2</v>
      </c>
      <c r="J1982" s="504">
        <v>2</v>
      </c>
      <c r="K1982" s="504">
        <v>0</v>
      </c>
      <c r="L1982" s="504">
        <v>0</v>
      </c>
      <c r="M1982" s="504">
        <v>0</v>
      </c>
      <c r="N1982" s="504">
        <v>0</v>
      </c>
      <c r="O1982" s="505">
        <v>0</v>
      </c>
    </row>
    <row r="1983" spans="1:15" x14ac:dyDescent="0.35">
      <c r="A1983" s="500" t="s">
        <v>1100</v>
      </c>
      <c r="B1983" s="501">
        <v>4865</v>
      </c>
      <c r="C1983" s="501" t="s">
        <v>1094</v>
      </c>
      <c r="D1983" s="501" t="s">
        <v>3380</v>
      </c>
      <c r="E1983" s="501" t="s">
        <v>3381</v>
      </c>
      <c r="F1983" s="501" t="s">
        <v>541</v>
      </c>
      <c r="G1983" s="501" t="s">
        <v>542</v>
      </c>
      <c r="H1983" s="501" t="s">
        <v>4917</v>
      </c>
      <c r="I1983" s="501">
        <v>1</v>
      </c>
      <c r="J1983" s="501">
        <v>0</v>
      </c>
      <c r="K1983" s="501">
        <v>0</v>
      </c>
      <c r="L1983" s="501">
        <v>0</v>
      </c>
      <c r="M1983" s="501">
        <v>0</v>
      </c>
      <c r="N1983" s="501">
        <v>0</v>
      </c>
      <c r="O1983" s="506">
        <v>1</v>
      </c>
    </row>
    <row r="1984" spans="1:15" x14ac:dyDescent="0.35">
      <c r="A1984" s="503" t="s">
        <v>1964</v>
      </c>
      <c r="B1984" s="504" t="s">
        <v>3333</v>
      </c>
      <c r="C1984" s="504" t="s">
        <v>1094</v>
      </c>
      <c r="D1984" s="504" t="s">
        <v>3380</v>
      </c>
      <c r="E1984" s="504" t="s">
        <v>3381</v>
      </c>
      <c r="F1984" s="504" t="s">
        <v>541</v>
      </c>
      <c r="G1984" s="504" t="s">
        <v>542</v>
      </c>
      <c r="H1984" s="504" t="s">
        <v>4918</v>
      </c>
      <c r="I1984" s="504">
        <v>4967</v>
      </c>
      <c r="J1984" s="504">
        <v>3576</v>
      </c>
      <c r="K1984" s="504">
        <v>0</v>
      </c>
      <c r="L1984" s="504">
        <v>101</v>
      </c>
      <c r="M1984" s="504">
        <v>834</v>
      </c>
      <c r="N1984" s="504">
        <v>0</v>
      </c>
      <c r="O1984" s="505">
        <v>456</v>
      </c>
    </row>
    <row r="1985" spans="1:15" x14ac:dyDescent="0.35">
      <c r="A1985" s="500" t="s">
        <v>1967</v>
      </c>
      <c r="B1985" s="501">
        <v>5088</v>
      </c>
      <c r="C1985" s="501" t="s">
        <v>1089</v>
      </c>
      <c r="D1985" s="501" t="s">
        <v>3392</v>
      </c>
      <c r="E1985" s="501" t="s">
        <v>3381</v>
      </c>
      <c r="F1985" s="501" t="s">
        <v>541</v>
      </c>
      <c r="G1985" s="501" t="s">
        <v>542</v>
      </c>
      <c r="H1985" s="501" t="s">
        <v>4919</v>
      </c>
      <c r="I1985" s="501">
        <v>8</v>
      </c>
      <c r="J1985" s="501">
        <v>8</v>
      </c>
      <c r="K1985" s="501">
        <v>0</v>
      </c>
      <c r="L1985" s="501">
        <v>0</v>
      </c>
      <c r="M1985" s="501">
        <v>0</v>
      </c>
      <c r="N1985" s="501">
        <v>0</v>
      </c>
      <c r="O1985" s="506">
        <v>0</v>
      </c>
    </row>
    <row r="1986" spans="1:15" x14ac:dyDescent="0.35">
      <c r="A1986" s="503" t="s">
        <v>1968</v>
      </c>
      <c r="B1986" s="504">
        <v>4570</v>
      </c>
      <c r="C1986" s="504" t="s">
        <v>1089</v>
      </c>
      <c r="D1986" s="504" t="s">
        <v>3392</v>
      </c>
      <c r="E1986" s="504" t="s">
        <v>3381</v>
      </c>
      <c r="F1986" s="504" t="s">
        <v>541</v>
      </c>
      <c r="G1986" s="504" t="s">
        <v>542</v>
      </c>
      <c r="H1986" s="504" t="s">
        <v>4920</v>
      </c>
      <c r="I1986" s="504">
        <v>56</v>
      </c>
      <c r="J1986" s="504">
        <v>56</v>
      </c>
      <c r="K1986" s="504">
        <v>0</v>
      </c>
      <c r="L1986" s="504">
        <v>0</v>
      </c>
      <c r="M1986" s="504">
        <v>0</v>
      </c>
      <c r="N1986" s="504">
        <v>0</v>
      </c>
      <c r="O1986" s="505">
        <v>0</v>
      </c>
    </row>
    <row r="1987" spans="1:15" x14ac:dyDescent="0.35">
      <c r="A1987" s="500" t="s">
        <v>1969</v>
      </c>
      <c r="B1987" s="501" t="s">
        <v>3117</v>
      </c>
      <c r="C1987" s="501" t="s">
        <v>1089</v>
      </c>
      <c r="D1987" s="501" t="s">
        <v>3392</v>
      </c>
      <c r="E1987" s="501" t="s">
        <v>3381</v>
      </c>
      <c r="F1987" s="501" t="s">
        <v>541</v>
      </c>
      <c r="G1987" s="501" t="s">
        <v>542</v>
      </c>
      <c r="H1987" s="501" t="s">
        <v>4921</v>
      </c>
      <c r="I1987" s="501">
        <v>309</v>
      </c>
      <c r="J1987" s="501">
        <v>309</v>
      </c>
      <c r="K1987" s="501">
        <v>0</v>
      </c>
      <c r="L1987" s="501">
        <v>0</v>
      </c>
      <c r="M1987" s="501">
        <v>0</v>
      </c>
      <c r="N1987" s="501">
        <v>0</v>
      </c>
      <c r="O1987" s="506">
        <v>0</v>
      </c>
    </row>
    <row r="1988" spans="1:15" x14ac:dyDescent="0.35">
      <c r="A1988" s="503" t="s">
        <v>1973</v>
      </c>
      <c r="B1988" s="504" t="s">
        <v>2583</v>
      </c>
      <c r="C1988" s="504" t="s">
        <v>1089</v>
      </c>
      <c r="D1988" s="504" t="s">
        <v>3392</v>
      </c>
      <c r="E1988" s="504" t="s">
        <v>3381</v>
      </c>
      <c r="F1988" s="504" t="s">
        <v>541</v>
      </c>
      <c r="G1988" s="504" t="s">
        <v>542</v>
      </c>
      <c r="H1988" s="504" t="s">
        <v>4922</v>
      </c>
      <c r="I1988" s="504">
        <v>20</v>
      </c>
      <c r="J1988" s="504">
        <v>0</v>
      </c>
      <c r="K1988" s="504">
        <v>0</v>
      </c>
      <c r="L1988" s="504">
        <v>0</v>
      </c>
      <c r="M1988" s="504">
        <v>20</v>
      </c>
      <c r="N1988" s="504">
        <v>0</v>
      </c>
      <c r="O1988" s="505">
        <v>0</v>
      </c>
    </row>
    <row r="1989" spans="1:15" x14ac:dyDescent="0.35">
      <c r="A1989" s="500" t="s">
        <v>1976</v>
      </c>
      <c r="B1989" s="501" t="s">
        <v>2571</v>
      </c>
      <c r="C1989" s="501" t="s">
        <v>1089</v>
      </c>
      <c r="D1989" s="501" t="s">
        <v>3392</v>
      </c>
      <c r="E1989" s="501" t="s">
        <v>3381</v>
      </c>
      <c r="F1989" s="501" t="s">
        <v>541</v>
      </c>
      <c r="G1989" s="501" t="s">
        <v>542</v>
      </c>
      <c r="H1989" s="501" t="s">
        <v>4923</v>
      </c>
      <c r="I1989" s="501">
        <v>3</v>
      </c>
      <c r="J1989" s="501">
        <v>0</v>
      </c>
      <c r="K1989" s="501">
        <v>0</v>
      </c>
      <c r="L1989" s="501">
        <v>0</v>
      </c>
      <c r="M1989" s="501">
        <v>3</v>
      </c>
      <c r="N1989" s="501">
        <v>0</v>
      </c>
      <c r="O1989" s="506">
        <v>0</v>
      </c>
    </row>
    <row r="1990" spans="1:15" x14ac:dyDescent="0.35">
      <c r="A1990" s="503" t="s">
        <v>1174</v>
      </c>
      <c r="B1990" s="504">
        <v>4784</v>
      </c>
      <c r="C1990" s="504" t="s">
        <v>1089</v>
      </c>
      <c r="D1990" s="504" t="s">
        <v>3392</v>
      </c>
      <c r="E1990" s="504" t="s">
        <v>3381</v>
      </c>
      <c r="F1990" s="504" t="s">
        <v>541</v>
      </c>
      <c r="G1990" s="504" t="s">
        <v>542</v>
      </c>
      <c r="H1990" s="504" t="s">
        <v>4924</v>
      </c>
      <c r="I1990" s="504">
        <v>18</v>
      </c>
      <c r="J1990" s="504">
        <v>0</v>
      </c>
      <c r="K1990" s="504">
        <v>0</v>
      </c>
      <c r="L1990" s="504">
        <v>18</v>
      </c>
      <c r="M1990" s="504">
        <v>0</v>
      </c>
      <c r="N1990" s="504">
        <v>0</v>
      </c>
      <c r="O1990" s="505">
        <v>0</v>
      </c>
    </row>
    <row r="1991" spans="1:15" x14ac:dyDescent="0.35">
      <c r="A1991" s="500" t="s">
        <v>14208</v>
      </c>
      <c r="B1991" s="501">
        <v>4803</v>
      </c>
      <c r="C1991" s="501" t="s">
        <v>1094</v>
      </c>
      <c r="D1991" s="501" t="s">
        <v>3380</v>
      </c>
      <c r="E1991" s="501" t="s">
        <v>3381</v>
      </c>
      <c r="F1991" s="501" t="s">
        <v>541</v>
      </c>
      <c r="G1991" s="501" t="s">
        <v>542</v>
      </c>
      <c r="H1991" s="501" t="s">
        <v>14595</v>
      </c>
      <c r="I1991" s="501">
        <v>46</v>
      </c>
      <c r="J1991" s="501">
        <v>0</v>
      </c>
      <c r="K1991" s="501">
        <v>0</v>
      </c>
      <c r="L1991" s="501">
        <v>46</v>
      </c>
      <c r="M1991" s="501">
        <v>0</v>
      </c>
      <c r="N1991" s="501">
        <v>0</v>
      </c>
      <c r="O1991" s="506">
        <v>0</v>
      </c>
    </row>
    <row r="1992" spans="1:15" x14ac:dyDescent="0.35">
      <c r="A1992" s="503" t="s">
        <v>1185</v>
      </c>
      <c r="B1992" s="504" t="s">
        <v>3253</v>
      </c>
      <c r="C1992" s="504" t="s">
        <v>1094</v>
      </c>
      <c r="D1992" s="504" t="s">
        <v>3380</v>
      </c>
      <c r="E1992" s="504" t="s">
        <v>3381</v>
      </c>
      <c r="F1992" s="504" t="s">
        <v>541</v>
      </c>
      <c r="G1992" s="504" t="s">
        <v>542</v>
      </c>
      <c r="H1992" s="504" t="s">
        <v>4925</v>
      </c>
      <c r="I1992" s="504">
        <v>99</v>
      </c>
      <c r="J1992" s="504">
        <v>74</v>
      </c>
      <c r="K1992" s="504">
        <v>0</v>
      </c>
      <c r="L1992" s="504">
        <v>25</v>
      </c>
      <c r="M1992" s="504">
        <v>0</v>
      </c>
      <c r="N1992" s="504">
        <v>0</v>
      </c>
      <c r="O1992" s="505">
        <v>0</v>
      </c>
    </row>
    <row r="1993" spans="1:15" x14ac:dyDescent="0.35">
      <c r="A1993" s="500" t="s">
        <v>1187</v>
      </c>
      <c r="B1993" s="501" t="s">
        <v>2951</v>
      </c>
      <c r="C1993" s="501" t="s">
        <v>1094</v>
      </c>
      <c r="D1993" s="501" t="s">
        <v>3380</v>
      </c>
      <c r="E1993" s="501" t="s">
        <v>3381</v>
      </c>
      <c r="F1993" s="501" t="s">
        <v>541</v>
      </c>
      <c r="G1993" s="501" t="s">
        <v>542</v>
      </c>
      <c r="H1993" s="501" t="s">
        <v>4926</v>
      </c>
      <c r="I1993" s="501">
        <v>40</v>
      </c>
      <c r="J1993" s="501">
        <v>33</v>
      </c>
      <c r="K1993" s="501">
        <v>0</v>
      </c>
      <c r="L1993" s="501">
        <v>0</v>
      </c>
      <c r="M1993" s="501">
        <v>0</v>
      </c>
      <c r="N1993" s="501">
        <v>0</v>
      </c>
      <c r="O1993" s="506">
        <v>7</v>
      </c>
    </row>
    <row r="1994" spans="1:15" x14ac:dyDescent="0.35">
      <c r="A1994" s="503" t="s">
        <v>1105</v>
      </c>
      <c r="B1994" s="504">
        <v>4668</v>
      </c>
      <c r="C1994" s="504" t="s">
        <v>1094</v>
      </c>
      <c r="D1994" s="504" t="s">
        <v>3380</v>
      </c>
      <c r="E1994" s="504" t="s">
        <v>3381</v>
      </c>
      <c r="F1994" s="504" t="s">
        <v>541</v>
      </c>
      <c r="G1994" s="504" t="s">
        <v>542</v>
      </c>
      <c r="H1994" s="504" t="s">
        <v>4927</v>
      </c>
      <c r="I1994" s="504">
        <v>55</v>
      </c>
      <c r="J1994" s="504">
        <v>0</v>
      </c>
      <c r="K1994" s="504">
        <v>0</v>
      </c>
      <c r="L1994" s="504">
        <v>0</v>
      </c>
      <c r="M1994" s="504">
        <v>0</v>
      </c>
      <c r="N1994" s="504">
        <v>0</v>
      </c>
      <c r="O1994" s="505">
        <v>55</v>
      </c>
    </row>
    <row r="1995" spans="1:15" x14ac:dyDescent="0.35">
      <c r="A1995" s="500" t="s">
        <v>1188</v>
      </c>
      <c r="B1995" s="501">
        <v>4760</v>
      </c>
      <c r="C1995" s="501" t="s">
        <v>1089</v>
      </c>
      <c r="D1995" s="501" t="s">
        <v>3392</v>
      </c>
      <c r="E1995" s="501" t="s">
        <v>3381</v>
      </c>
      <c r="F1995" s="501" t="s">
        <v>541</v>
      </c>
      <c r="G1995" s="501" t="s">
        <v>542</v>
      </c>
      <c r="H1995" s="501" t="s">
        <v>14596</v>
      </c>
      <c r="I1995" s="501">
        <v>6</v>
      </c>
      <c r="J1995" s="501">
        <v>0</v>
      </c>
      <c r="K1995" s="501">
        <v>0</v>
      </c>
      <c r="L1995" s="501">
        <v>6</v>
      </c>
      <c r="M1995" s="501">
        <v>0</v>
      </c>
      <c r="N1995" s="501">
        <v>0</v>
      </c>
      <c r="O1995" s="506">
        <v>0</v>
      </c>
    </row>
    <row r="1996" spans="1:15" x14ac:dyDescent="0.35">
      <c r="A1996" s="503" t="s">
        <v>1107</v>
      </c>
      <c r="B1996" s="504" t="s">
        <v>3109</v>
      </c>
      <c r="C1996" s="504" t="s">
        <v>1094</v>
      </c>
      <c r="D1996" s="504" t="s">
        <v>3380</v>
      </c>
      <c r="E1996" s="504" t="s">
        <v>3381</v>
      </c>
      <c r="F1996" s="504" t="s">
        <v>541</v>
      </c>
      <c r="G1996" s="504" t="s">
        <v>542</v>
      </c>
      <c r="H1996" s="504" t="s">
        <v>4928</v>
      </c>
      <c r="I1996" s="504">
        <v>121</v>
      </c>
      <c r="J1996" s="504">
        <v>15</v>
      </c>
      <c r="K1996" s="504">
        <v>0</v>
      </c>
      <c r="L1996" s="504">
        <v>106</v>
      </c>
      <c r="M1996" s="504">
        <v>0</v>
      </c>
      <c r="N1996" s="504">
        <v>11</v>
      </c>
      <c r="O1996" s="505">
        <v>0</v>
      </c>
    </row>
    <row r="1997" spans="1:15" x14ac:dyDescent="0.35">
      <c r="A1997" s="500" t="s">
        <v>1109</v>
      </c>
      <c r="B1997" s="501" t="s">
        <v>2959</v>
      </c>
      <c r="C1997" s="501" t="s">
        <v>1094</v>
      </c>
      <c r="D1997" s="501" t="s">
        <v>3380</v>
      </c>
      <c r="E1997" s="501" t="s">
        <v>3381</v>
      </c>
      <c r="F1997" s="501" t="s">
        <v>541</v>
      </c>
      <c r="G1997" s="501" t="s">
        <v>542</v>
      </c>
      <c r="H1997" s="501" t="s">
        <v>4929</v>
      </c>
      <c r="I1997" s="501">
        <v>33</v>
      </c>
      <c r="J1997" s="501">
        <v>0</v>
      </c>
      <c r="K1997" s="501">
        <v>0</v>
      </c>
      <c r="L1997" s="501">
        <v>0</v>
      </c>
      <c r="M1997" s="501">
        <v>33</v>
      </c>
      <c r="N1997" s="501">
        <v>0</v>
      </c>
      <c r="O1997" s="506">
        <v>0</v>
      </c>
    </row>
    <row r="1998" spans="1:15" x14ac:dyDescent="0.35">
      <c r="A1998" s="503" t="s">
        <v>14243</v>
      </c>
      <c r="B1998" s="504">
        <v>5149</v>
      </c>
      <c r="C1998" s="504" t="s">
        <v>1089</v>
      </c>
      <c r="D1998" s="504" t="s">
        <v>3392</v>
      </c>
      <c r="E1998" s="504" t="s">
        <v>3381</v>
      </c>
      <c r="F1998" s="504" t="s">
        <v>541</v>
      </c>
      <c r="G1998" s="504" t="s">
        <v>542</v>
      </c>
      <c r="H1998" s="504" t="s">
        <v>14597</v>
      </c>
      <c r="I1998" s="504">
        <v>8</v>
      </c>
      <c r="J1998" s="504">
        <v>8</v>
      </c>
      <c r="K1998" s="504">
        <v>0</v>
      </c>
      <c r="L1998" s="504">
        <v>0</v>
      </c>
      <c r="M1998" s="504">
        <v>0</v>
      </c>
      <c r="N1998" s="504">
        <v>0</v>
      </c>
      <c r="O1998" s="505">
        <v>0</v>
      </c>
    </row>
    <row r="1999" spans="1:15" x14ac:dyDescent="0.35">
      <c r="A1999" s="500" t="s">
        <v>1310</v>
      </c>
      <c r="B1999" s="501">
        <v>5062</v>
      </c>
      <c r="C1999" s="501" t="s">
        <v>1089</v>
      </c>
      <c r="D1999" s="501" t="s">
        <v>3380</v>
      </c>
      <c r="E1999" s="501" t="s">
        <v>3381</v>
      </c>
      <c r="F1999" s="501" t="s">
        <v>541</v>
      </c>
      <c r="G1999" s="501" t="s">
        <v>542</v>
      </c>
      <c r="H1999" s="501" t="s">
        <v>4930</v>
      </c>
      <c r="I1999" s="501">
        <v>68</v>
      </c>
      <c r="J1999" s="501">
        <v>43</v>
      </c>
      <c r="K1999" s="501">
        <v>0</v>
      </c>
      <c r="L1999" s="501">
        <v>0</v>
      </c>
      <c r="M1999" s="501">
        <v>0</v>
      </c>
      <c r="N1999" s="501">
        <v>0</v>
      </c>
      <c r="O1999" s="506">
        <v>25</v>
      </c>
    </row>
    <row r="2000" spans="1:15" x14ac:dyDescent="0.35">
      <c r="A2000" s="503" t="s">
        <v>1111</v>
      </c>
      <c r="B2000" s="504">
        <v>4873</v>
      </c>
      <c r="C2000" s="504" t="s">
        <v>1094</v>
      </c>
      <c r="D2000" s="504" t="s">
        <v>3380</v>
      </c>
      <c r="E2000" s="504" t="s">
        <v>3381</v>
      </c>
      <c r="F2000" s="504" t="s">
        <v>541</v>
      </c>
      <c r="G2000" s="504" t="s">
        <v>542</v>
      </c>
      <c r="H2000" s="504" t="s">
        <v>4931</v>
      </c>
      <c r="I2000" s="504">
        <v>9474</v>
      </c>
      <c r="J2000" s="504">
        <v>7809</v>
      </c>
      <c r="K2000" s="504">
        <v>0</v>
      </c>
      <c r="L2000" s="504">
        <v>184</v>
      </c>
      <c r="M2000" s="504">
        <v>505</v>
      </c>
      <c r="N2000" s="504">
        <v>0</v>
      </c>
      <c r="O2000" s="505">
        <v>976</v>
      </c>
    </row>
    <row r="2001" spans="1:15" x14ac:dyDescent="0.35">
      <c r="A2001" s="500" t="s">
        <v>1114</v>
      </c>
      <c r="B2001" s="501" t="s">
        <v>2982</v>
      </c>
      <c r="C2001" s="501" t="s">
        <v>1094</v>
      </c>
      <c r="D2001" s="501" t="s">
        <v>3380</v>
      </c>
      <c r="E2001" s="501" t="s">
        <v>3381</v>
      </c>
      <c r="F2001" s="501" t="s">
        <v>541</v>
      </c>
      <c r="G2001" s="501" t="s">
        <v>542</v>
      </c>
      <c r="H2001" s="501" t="s">
        <v>4932</v>
      </c>
      <c r="I2001" s="501">
        <v>4</v>
      </c>
      <c r="J2001" s="501">
        <v>0</v>
      </c>
      <c r="K2001" s="501">
        <v>0</v>
      </c>
      <c r="L2001" s="501">
        <v>0</v>
      </c>
      <c r="M2001" s="501">
        <v>0</v>
      </c>
      <c r="N2001" s="501">
        <v>0</v>
      </c>
      <c r="O2001" s="506">
        <v>4</v>
      </c>
    </row>
    <row r="2002" spans="1:15" x14ac:dyDescent="0.35">
      <c r="A2002" s="503" t="s">
        <v>1120</v>
      </c>
      <c r="B2002" s="504" t="s">
        <v>3362</v>
      </c>
      <c r="C2002" s="504" t="s">
        <v>1094</v>
      </c>
      <c r="D2002" s="504" t="s">
        <v>3380</v>
      </c>
      <c r="E2002" s="504" t="s">
        <v>3381</v>
      </c>
      <c r="F2002" s="504" t="s">
        <v>541</v>
      </c>
      <c r="G2002" s="504" t="s">
        <v>542</v>
      </c>
      <c r="H2002" s="504" t="s">
        <v>4933</v>
      </c>
      <c r="I2002" s="504">
        <v>2</v>
      </c>
      <c r="J2002" s="504">
        <v>0</v>
      </c>
      <c r="K2002" s="504">
        <v>0</v>
      </c>
      <c r="L2002" s="504">
        <v>0</v>
      </c>
      <c r="M2002" s="504">
        <v>0</v>
      </c>
      <c r="N2002" s="504">
        <v>0</v>
      </c>
      <c r="O2002" s="505">
        <v>2</v>
      </c>
    </row>
    <row r="2003" spans="1:15" x14ac:dyDescent="0.35">
      <c r="A2003" s="500" t="s">
        <v>1999</v>
      </c>
      <c r="B2003" s="501" t="s">
        <v>3339</v>
      </c>
      <c r="C2003" s="501" t="s">
        <v>1094</v>
      </c>
      <c r="D2003" s="501" t="s">
        <v>3380</v>
      </c>
      <c r="E2003" s="501" t="s">
        <v>3381</v>
      </c>
      <c r="F2003" s="501" t="s">
        <v>541</v>
      </c>
      <c r="G2003" s="501" t="s">
        <v>542</v>
      </c>
      <c r="H2003" s="501" t="s">
        <v>4934</v>
      </c>
      <c r="I2003" s="501">
        <v>4688</v>
      </c>
      <c r="J2003" s="501">
        <v>3557</v>
      </c>
      <c r="K2003" s="501">
        <v>0</v>
      </c>
      <c r="L2003" s="501">
        <v>14</v>
      </c>
      <c r="M2003" s="501">
        <v>631</v>
      </c>
      <c r="N2003" s="501">
        <v>0</v>
      </c>
      <c r="O2003" s="506">
        <v>486</v>
      </c>
    </row>
    <row r="2004" spans="1:15" x14ac:dyDescent="0.35">
      <c r="A2004" s="503" t="s">
        <v>1217</v>
      </c>
      <c r="B2004" s="504">
        <v>4851</v>
      </c>
      <c r="C2004" s="504" t="s">
        <v>1094</v>
      </c>
      <c r="D2004" s="504" t="s">
        <v>3380</v>
      </c>
      <c r="E2004" s="504" t="s">
        <v>3381</v>
      </c>
      <c r="F2004" s="504" t="s">
        <v>541</v>
      </c>
      <c r="G2004" s="504" t="s">
        <v>542</v>
      </c>
      <c r="H2004" s="504" t="s">
        <v>4935</v>
      </c>
      <c r="I2004" s="504">
        <v>3</v>
      </c>
      <c r="J2004" s="504">
        <v>0</v>
      </c>
      <c r="K2004" s="504">
        <v>0</v>
      </c>
      <c r="L2004" s="504">
        <v>0</v>
      </c>
      <c r="M2004" s="504">
        <v>0</v>
      </c>
      <c r="N2004" s="504">
        <v>0</v>
      </c>
      <c r="O2004" s="505">
        <v>3</v>
      </c>
    </row>
    <row r="2005" spans="1:15" x14ac:dyDescent="0.35">
      <c r="A2005" s="500" t="s">
        <v>2002</v>
      </c>
      <c r="B2005" s="501">
        <v>4747</v>
      </c>
      <c r="C2005" s="501" t="s">
        <v>1089</v>
      </c>
      <c r="D2005" s="501" t="s">
        <v>3392</v>
      </c>
      <c r="E2005" s="501" t="s">
        <v>3381</v>
      </c>
      <c r="F2005" s="501" t="s">
        <v>541</v>
      </c>
      <c r="G2005" s="501" t="s">
        <v>542</v>
      </c>
      <c r="H2005" s="501" t="s">
        <v>4936</v>
      </c>
      <c r="I2005" s="501">
        <v>57</v>
      </c>
      <c r="J2005" s="501">
        <v>0</v>
      </c>
      <c r="K2005" s="501">
        <v>0</v>
      </c>
      <c r="L2005" s="501">
        <v>57</v>
      </c>
      <c r="M2005" s="501">
        <v>0</v>
      </c>
      <c r="N2005" s="501">
        <v>0</v>
      </c>
      <c r="O2005" s="506">
        <v>0</v>
      </c>
    </row>
    <row r="2006" spans="1:15" x14ac:dyDescent="0.35">
      <c r="A2006" s="503" t="s">
        <v>1122</v>
      </c>
      <c r="B2006" s="504" t="s">
        <v>2994</v>
      </c>
      <c r="C2006" s="504" t="s">
        <v>1094</v>
      </c>
      <c r="D2006" s="504" t="s">
        <v>3380</v>
      </c>
      <c r="E2006" s="504" t="s">
        <v>3381</v>
      </c>
      <c r="F2006" s="504" t="s">
        <v>541</v>
      </c>
      <c r="G2006" s="504" t="s">
        <v>542</v>
      </c>
      <c r="H2006" s="504" t="s">
        <v>4937</v>
      </c>
      <c r="I2006" s="504">
        <v>46</v>
      </c>
      <c r="J2006" s="504">
        <v>20</v>
      </c>
      <c r="K2006" s="504">
        <v>0</v>
      </c>
      <c r="L2006" s="504">
        <v>0</v>
      </c>
      <c r="M2006" s="504">
        <v>0</v>
      </c>
      <c r="N2006" s="504">
        <v>0</v>
      </c>
      <c r="O2006" s="505">
        <v>26</v>
      </c>
    </row>
    <row r="2007" spans="1:15" x14ac:dyDescent="0.35">
      <c r="A2007" s="500" t="s">
        <v>2004</v>
      </c>
      <c r="B2007" s="501" t="s">
        <v>3226</v>
      </c>
      <c r="C2007" s="501" t="s">
        <v>1094</v>
      </c>
      <c r="D2007" s="501" t="s">
        <v>3380</v>
      </c>
      <c r="E2007" s="501" t="s">
        <v>3381</v>
      </c>
      <c r="F2007" s="501" t="s">
        <v>541</v>
      </c>
      <c r="G2007" s="501" t="s">
        <v>542</v>
      </c>
      <c r="H2007" s="501" t="s">
        <v>4938</v>
      </c>
      <c r="I2007" s="501">
        <v>105</v>
      </c>
      <c r="J2007" s="501">
        <v>76</v>
      </c>
      <c r="K2007" s="501">
        <v>0</v>
      </c>
      <c r="L2007" s="501">
        <v>0</v>
      </c>
      <c r="M2007" s="501">
        <v>0</v>
      </c>
      <c r="N2007" s="501">
        <v>0</v>
      </c>
      <c r="O2007" s="506">
        <v>29</v>
      </c>
    </row>
    <row r="2008" spans="1:15" x14ac:dyDescent="0.35">
      <c r="A2008" s="503" t="s">
        <v>1124</v>
      </c>
      <c r="B2008" s="504">
        <v>4745</v>
      </c>
      <c r="C2008" s="504" t="s">
        <v>1094</v>
      </c>
      <c r="D2008" s="504" t="s">
        <v>3380</v>
      </c>
      <c r="E2008" s="504" t="s">
        <v>3381</v>
      </c>
      <c r="F2008" s="504" t="s">
        <v>541</v>
      </c>
      <c r="G2008" s="504" t="s">
        <v>542</v>
      </c>
      <c r="H2008" s="504" t="s">
        <v>4939</v>
      </c>
      <c r="I2008" s="504">
        <v>18</v>
      </c>
      <c r="J2008" s="504">
        <v>0</v>
      </c>
      <c r="K2008" s="504">
        <v>0</v>
      </c>
      <c r="L2008" s="504">
        <v>18</v>
      </c>
      <c r="M2008" s="504">
        <v>0</v>
      </c>
      <c r="N2008" s="504">
        <v>0</v>
      </c>
      <c r="O2008" s="505">
        <v>0</v>
      </c>
    </row>
    <row r="2009" spans="1:15" x14ac:dyDescent="0.35">
      <c r="A2009" s="500" t="s">
        <v>1234</v>
      </c>
      <c r="B2009" s="501" t="s">
        <v>3291</v>
      </c>
      <c r="C2009" s="501" t="s">
        <v>1094</v>
      </c>
      <c r="D2009" s="501" t="s">
        <v>3380</v>
      </c>
      <c r="E2009" s="501" t="s">
        <v>3381</v>
      </c>
      <c r="F2009" s="501" t="s">
        <v>541</v>
      </c>
      <c r="G2009" s="501" t="s">
        <v>542</v>
      </c>
      <c r="H2009" s="501" t="s">
        <v>4940</v>
      </c>
      <c r="I2009" s="501">
        <v>25</v>
      </c>
      <c r="J2009" s="501">
        <v>7</v>
      </c>
      <c r="K2009" s="501">
        <v>0</v>
      </c>
      <c r="L2009" s="501">
        <v>18</v>
      </c>
      <c r="M2009" s="501">
        <v>0</v>
      </c>
      <c r="N2009" s="501">
        <v>0</v>
      </c>
      <c r="O2009" s="506">
        <v>0</v>
      </c>
    </row>
    <row r="2010" spans="1:15" x14ac:dyDescent="0.35">
      <c r="A2010" s="503" t="s">
        <v>1235</v>
      </c>
      <c r="B2010" s="504">
        <v>4684</v>
      </c>
      <c r="C2010" s="504" t="s">
        <v>1094</v>
      </c>
      <c r="D2010" s="504" t="s">
        <v>3380</v>
      </c>
      <c r="E2010" s="504" t="s">
        <v>3381</v>
      </c>
      <c r="F2010" s="504" t="s">
        <v>541</v>
      </c>
      <c r="G2010" s="504" t="s">
        <v>542</v>
      </c>
      <c r="H2010" s="504" t="s">
        <v>4941</v>
      </c>
      <c r="I2010" s="504">
        <v>666</v>
      </c>
      <c r="J2010" s="504">
        <v>538</v>
      </c>
      <c r="K2010" s="504">
        <v>0</v>
      </c>
      <c r="L2010" s="504">
        <v>0</v>
      </c>
      <c r="M2010" s="504">
        <v>0</v>
      </c>
      <c r="N2010" s="504">
        <v>0</v>
      </c>
      <c r="O2010" s="505">
        <v>128</v>
      </c>
    </row>
    <row r="2011" spans="1:15" x14ac:dyDescent="0.35">
      <c r="A2011" s="500" t="s">
        <v>1126</v>
      </c>
      <c r="B2011" s="501" t="s">
        <v>2974</v>
      </c>
      <c r="C2011" s="501" t="s">
        <v>1094</v>
      </c>
      <c r="D2011" s="501" t="s">
        <v>3380</v>
      </c>
      <c r="E2011" s="501" t="s">
        <v>3381</v>
      </c>
      <c r="F2011" s="501" t="s">
        <v>541</v>
      </c>
      <c r="G2011" s="501" t="s">
        <v>542</v>
      </c>
      <c r="H2011" s="501" t="s">
        <v>4942</v>
      </c>
      <c r="I2011" s="501">
        <v>1088</v>
      </c>
      <c r="J2011" s="501">
        <v>990</v>
      </c>
      <c r="K2011" s="501">
        <v>0</v>
      </c>
      <c r="L2011" s="501">
        <v>0</v>
      </c>
      <c r="M2011" s="501">
        <v>74</v>
      </c>
      <c r="N2011" s="501">
        <v>0</v>
      </c>
      <c r="O2011" s="506">
        <v>24</v>
      </c>
    </row>
    <row r="2012" spans="1:15" x14ac:dyDescent="0.35">
      <c r="A2012" s="503" t="s">
        <v>1132</v>
      </c>
      <c r="B2012" s="504">
        <v>4837</v>
      </c>
      <c r="C2012" s="504" t="s">
        <v>1094</v>
      </c>
      <c r="D2012" s="504" t="s">
        <v>3380</v>
      </c>
      <c r="E2012" s="504" t="s">
        <v>3381</v>
      </c>
      <c r="F2012" s="504" t="s">
        <v>541</v>
      </c>
      <c r="G2012" s="504" t="s">
        <v>542</v>
      </c>
      <c r="H2012" s="504" t="s">
        <v>4943</v>
      </c>
      <c r="I2012" s="504">
        <v>27</v>
      </c>
      <c r="J2012" s="504">
        <v>0</v>
      </c>
      <c r="K2012" s="504">
        <v>0</v>
      </c>
      <c r="L2012" s="504">
        <v>0</v>
      </c>
      <c r="M2012" s="504">
        <v>0</v>
      </c>
      <c r="N2012" s="504">
        <v>0</v>
      </c>
      <c r="O2012" s="505">
        <v>27</v>
      </c>
    </row>
    <row r="2013" spans="1:15" x14ac:dyDescent="0.35">
      <c r="A2013" s="500" t="s">
        <v>2019</v>
      </c>
      <c r="B2013" s="501" t="s">
        <v>2623</v>
      </c>
      <c r="C2013" s="501" t="s">
        <v>1089</v>
      </c>
      <c r="D2013" s="501" t="s">
        <v>3392</v>
      </c>
      <c r="E2013" s="501" t="s">
        <v>3381</v>
      </c>
      <c r="F2013" s="501" t="s">
        <v>541</v>
      </c>
      <c r="G2013" s="501" t="s">
        <v>542</v>
      </c>
      <c r="H2013" s="501" t="s">
        <v>4944</v>
      </c>
      <c r="I2013" s="501">
        <v>8</v>
      </c>
      <c r="J2013" s="501">
        <v>0</v>
      </c>
      <c r="K2013" s="501">
        <v>0</v>
      </c>
      <c r="L2013" s="501">
        <v>0</v>
      </c>
      <c r="M2013" s="501">
        <v>8</v>
      </c>
      <c r="N2013" s="501">
        <v>0</v>
      </c>
      <c r="O2013" s="506">
        <v>0</v>
      </c>
    </row>
    <row r="2014" spans="1:15" x14ac:dyDescent="0.35">
      <c r="A2014" s="503" t="s">
        <v>1136</v>
      </c>
      <c r="B2014" s="504">
        <v>4680</v>
      </c>
      <c r="C2014" s="504" t="s">
        <v>1094</v>
      </c>
      <c r="D2014" s="504" t="s">
        <v>3380</v>
      </c>
      <c r="E2014" s="504" t="s">
        <v>3381</v>
      </c>
      <c r="F2014" s="504" t="s">
        <v>541</v>
      </c>
      <c r="G2014" s="504" t="s">
        <v>542</v>
      </c>
      <c r="H2014" s="504" t="s">
        <v>4945</v>
      </c>
      <c r="I2014" s="504">
        <v>105</v>
      </c>
      <c r="J2014" s="504">
        <v>52</v>
      </c>
      <c r="K2014" s="504">
        <v>0</v>
      </c>
      <c r="L2014" s="504">
        <v>0</v>
      </c>
      <c r="M2014" s="504">
        <v>0</v>
      </c>
      <c r="N2014" s="504">
        <v>0</v>
      </c>
      <c r="O2014" s="505">
        <v>53</v>
      </c>
    </row>
    <row r="2015" spans="1:15" x14ac:dyDescent="0.35">
      <c r="A2015" s="500" t="s">
        <v>2021</v>
      </c>
      <c r="B2015" s="501" t="s">
        <v>3099</v>
      </c>
      <c r="C2015" s="501" t="s">
        <v>1089</v>
      </c>
      <c r="D2015" s="501" t="s">
        <v>3392</v>
      </c>
      <c r="E2015" s="501" t="s">
        <v>3381</v>
      </c>
      <c r="F2015" s="501" t="s">
        <v>541</v>
      </c>
      <c r="G2015" s="501" t="s">
        <v>542</v>
      </c>
      <c r="H2015" s="501" t="s">
        <v>4946</v>
      </c>
      <c r="I2015" s="501">
        <v>51</v>
      </c>
      <c r="J2015" s="501">
        <v>51</v>
      </c>
      <c r="K2015" s="501">
        <v>0</v>
      </c>
      <c r="L2015" s="501">
        <v>0</v>
      </c>
      <c r="M2015" s="501">
        <v>0</v>
      </c>
      <c r="N2015" s="501">
        <v>0</v>
      </c>
      <c r="O2015" s="506">
        <v>0</v>
      </c>
    </row>
    <row r="2016" spans="1:15" x14ac:dyDescent="0.35">
      <c r="A2016" s="503" t="s">
        <v>11426</v>
      </c>
      <c r="B2016" s="504" t="s">
        <v>2846</v>
      </c>
      <c r="C2016" s="504" t="s">
        <v>1089</v>
      </c>
      <c r="D2016" s="504" t="s">
        <v>3392</v>
      </c>
      <c r="E2016" s="504" t="s">
        <v>3381</v>
      </c>
      <c r="F2016" s="504" t="s">
        <v>541</v>
      </c>
      <c r="G2016" s="504" t="s">
        <v>542</v>
      </c>
      <c r="H2016" s="504" t="s">
        <v>12191</v>
      </c>
      <c r="I2016" s="504">
        <v>7</v>
      </c>
      <c r="J2016" s="504">
        <v>0</v>
      </c>
      <c r="K2016" s="504">
        <v>0</v>
      </c>
      <c r="L2016" s="504">
        <v>0</v>
      </c>
      <c r="M2016" s="504">
        <v>7</v>
      </c>
      <c r="N2016" s="504">
        <v>0</v>
      </c>
      <c r="O2016" s="505">
        <v>0</v>
      </c>
    </row>
    <row r="2017" spans="1:15" x14ac:dyDescent="0.35">
      <c r="A2017" s="500" t="s">
        <v>2031</v>
      </c>
      <c r="B2017" s="501" t="s">
        <v>2883</v>
      </c>
      <c r="C2017" s="501" t="s">
        <v>1089</v>
      </c>
      <c r="D2017" s="501" t="s">
        <v>3392</v>
      </c>
      <c r="E2017" s="501" t="s">
        <v>3381</v>
      </c>
      <c r="F2017" s="501" t="s">
        <v>541</v>
      </c>
      <c r="G2017" s="501" t="s">
        <v>542</v>
      </c>
      <c r="H2017" s="501" t="s">
        <v>4947</v>
      </c>
      <c r="I2017" s="501">
        <v>13</v>
      </c>
      <c r="J2017" s="501">
        <v>0</v>
      </c>
      <c r="K2017" s="501">
        <v>0</v>
      </c>
      <c r="L2017" s="501">
        <v>0</v>
      </c>
      <c r="M2017" s="501">
        <v>13</v>
      </c>
      <c r="N2017" s="501">
        <v>0</v>
      </c>
      <c r="O2017" s="506">
        <v>0</v>
      </c>
    </row>
    <row r="2018" spans="1:15" x14ac:dyDescent="0.35">
      <c r="A2018" s="503" t="s">
        <v>1245</v>
      </c>
      <c r="B2018" s="504" t="s">
        <v>2859</v>
      </c>
      <c r="C2018" s="504" t="s">
        <v>1094</v>
      </c>
      <c r="D2018" s="504" t="s">
        <v>3380</v>
      </c>
      <c r="E2018" s="504" t="s">
        <v>3381</v>
      </c>
      <c r="F2018" s="504" t="s">
        <v>541</v>
      </c>
      <c r="G2018" s="504" t="s">
        <v>542</v>
      </c>
      <c r="H2018" s="504" t="s">
        <v>4948</v>
      </c>
      <c r="I2018" s="504">
        <v>39</v>
      </c>
      <c r="J2018" s="504">
        <v>0</v>
      </c>
      <c r="K2018" s="504">
        <v>0</v>
      </c>
      <c r="L2018" s="504">
        <v>0</v>
      </c>
      <c r="M2018" s="504">
        <v>39</v>
      </c>
      <c r="N2018" s="504">
        <v>0</v>
      </c>
      <c r="O2018" s="505">
        <v>0</v>
      </c>
    </row>
    <row r="2019" spans="1:15" x14ac:dyDescent="0.35">
      <c r="A2019" s="500" t="s">
        <v>2034</v>
      </c>
      <c r="B2019" s="501" t="s">
        <v>2913</v>
      </c>
      <c r="C2019" s="501" t="s">
        <v>1089</v>
      </c>
      <c r="D2019" s="501" t="s">
        <v>3392</v>
      </c>
      <c r="E2019" s="501" t="s">
        <v>3381</v>
      </c>
      <c r="F2019" s="501" t="s">
        <v>541</v>
      </c>
      <c r="G2019" s="501" t="s">
        <v>542</v>
      </c>
      <c r="H2019" s="501" t="s">
        <v>4949</v>
      </c>
      <c r="I2019" s="501">
        <v>9</v>
      </c>
      <c r="J2019" s="501">
        <v>0</v>
      </c>
      <c r="K2019" s="501">
        <v>0</v>
      </c>
      <c r="L2019" s="501">
        <v>0</v>
      </c>
      <c r="M2019" s="501">
        <v>9</v>
      </c>
      <c r="N2019" s="501">
        <v>0</v>
      </c>
      <c r="O2019" s="506">
        <v>0</v>
      </c>
    </row>
    <row r="2020" spans="1:15" x14ac:dyDescent="0.35">
      <c r="A2020" s="503" t="s">
        <v>1249</v>
      </c>
      <c r="B2020" s="504">
        <v>4729</v>
      </c>
      <c r="C2020" s="504" t="s">
        <v>1094</v>
      </c>
      <c r="D2020" s="504" t="s">
        <v>3380</v>
      </c>
      <c r="E2020" s="504" t="s">
        <v>3381</v>
      </c>
      <c r="F2020" s="504" t="s">
        <v>541</v>
      </c>
      <c r="G2020" s="504" t="s">
        <v>542</v>
      </c>
      <c r="H2020" s="504" t="s">
        <v>4950</v>
      </c>
      <c r="I2020" s="504">
        <v>978</v>
      </c>
      <c r="J2020" s="504">
        <v>854</v>
      </c>
      <c r="K2020" s="504">
        <v>0</v>
      </c>
      <c r="L2020" s="504">
        <v>0</v>
      </c>
      <c r="M2020" s="504">
        <v>52</v>
      </c>
      <c r="N2020" s="504">
        <v>0</v>
      </c>
      <c r="O2020" s="505">
        <v>72</v>
      </c>
    </row>
    <row r="2021" spans="1:15" x14ac:dyDescent="0.35">
      <c r="A2021" s="500" t="s">
        <v>11427</v>
      </c>
      <c r="B2021" s="501">
        <v>5113</v>
      </c>
      <c r="C2021" s="501" t="s">
        <v>1089</v>
      </c>
      <c r="D2021" s="501" t="s">
        <v>3392</v>
      </c>
      <c r="E2021" s="501" t="s">
        <v>3381</v>
      </c>
      <c r="F2021" s="501" t="s">
        <v>541</v>
      </c>
      <c r="G2021" s="501" t="s">
        <v>542</v>
      </c>
      <c r="H2021" s="501" t="s">
        <v>12224</v>
      </c>
      <c r="I2021" s="501">
        <v>3</v>
      </c>
      <c r="J2021" s="501">
        <v>3</v>
      </c>
      <c r="K2021" s="501">
        <v>0</v>
      </c>
      <c r="L2021" s="501">
        <v>0</v>
      </c>
      <c r="M2021" s="501">
        <v>0</v>
      </c>
      <c r="N2021" s="501">
        <v>0</v>
      </c>
      <c r="O2021" s="506">
        <v>0</v>
      </c>
    </row>
    <row r="2022" spans="1:15" x14ac:dyDescent="0.35">
      <c r="A2022" s="503" t="s">
        <v>1262</v>
      </c>
      <c r="B2022" s="504">
        <v>4772</v>
      </c>
      <c r="C2022" s="504" t="s">
        <v>1089</v>
      </c>
      <c r="D2022" s="504" t="s">
        <v>3392</v>
      </c>
      <c r="E2022" s="504" t="s">
        <v>3381</v>
      </c>
      <c r="F2022" s="504" t="s">
        <v>541</v>
      </c>
      <c r="G2022" s="504" t="s">
        <v>542</v>
      </c>
      <c r="H2022" s="504" t="s">
        <v>4951</v>
      </c>
      <c r="I2022" s="504">
        <v>5</v>
      </c>
      <c r="J2022" s="504">
        <v>0</v>
      </c>
      <c r="K2022" s="504">
        <v>0</v>
      </c>
      <c r="L2022" s="504">
        <v>5</v>
      </c>
      <c r="M2022" s="504">
        <v>0</v>
      </c>
      <c r="N2022" s="504">
        <v>0</v>
      </c>
      <c r="O2022" s="505">
        <v>0</v>
      </c>
    </row>
    <row r="2023" spans="1:15" x14ac:dyDescent="0.35">
      <c r="A2023" s="500" t="s">
        <v>2050</v>
      </c>
      <c r="B2023" s="501">
        <v>4826</v>
      </c>
      <c r="C2023" s="501" t="s">
        <v>1094</v>
      </c>
      <c r="D2023" s="501" t="s">
        <v>3380</v>
      </c>
      <c r="E2023" s="501" t="s">
        <v>3381</v>
      </c>
      <c r="F2023" s="501" t="s">
        <v>541</v>
      </c>
      <c r="G2023" s="501" t="s">
        <v>542</v>
      </c>
      <c r="H2023" s="501" t="s">
        <v>4952</v>
      </c>
      <c r="I2023" s="501">
        <v>1206</v>
      </c>
      <c r="J2023" s="501">
        <v>1018</v>
      </c>
      <c r="K2023" s="501">
        <v>0</v>
      </c>
      <c r="L2023" s="501">
        <v>36</v>
      </c>
      <c r="M2023" s="501">
        <v>24</v>
      </c>
      <c r="N2023" s="501">
        <v>0</v>
      </c>
      <c r="O2023" s="506">
        <v>128</v>
      </c>
    </row>
    <row r="2024" spans="1:15" x14ac:dyDescent="0.35">
      <c r="A2024" s="503" t="s">
        <v>1093</v>
      </c>
      <c r="B2024" s="504" t="s">
        <v>3248</v>
      </c>
      <c r="C2024" s="504" t="s">
        <v>1094</v>
      </c>
      <c r="D2024" s="504" t="s">
        <v>3380</v>
      </c>
      <c r="E2024" s="504" t="s">
        <v>3381</v>
      </c>
      <c r="F2024" s="504" t="s">
        <v>543</v>
      </c>
      <c r="G2024" s="504" t="s">
        <v>544</v>
      </c>
      <c r="H2024" s="504" t="s">
        <v>4953</v>
      </c>
      <c r="I2024" s="504">
        <v>21</v>
      </c>
      <c r="J2024" s="504">
        <v>0</v>
      </c>
      <c r="K2024" s="504">
        <v>0</v>
      </c>
      <c r="L2024" s="504">
        <v>19</v>
      </c>
      <c r="M2024" s="504">
        <v>0</v>
      </c>
      <c r="N2024" s="504">
        <v>0</v>
      </c>
      <c r="O2024" s="505">
        <v>2</v>
      </c>
    </row>
    <row r="2025" spans="1:15" x14ac:dyDescent="0.35">
      <c r="A2025" s="500" t="s">
        <v>1096</v>
      </c>
      <c r="B2025" s="501" t="s">
        <v>3326</v>
      </c>
      <c r="C2025" s="501" t="s">
        <v>1094</v>
      </c>
      <c r="D2025" s="501" t="s">
        <v>3380</v>
      </c>
      <c r="E2025" s="501" t="s">
        <v>3381</v>
      </c>
      <c r="F2025" s="501" t="s">
        <v>543</v>
      </c>
      <c r="G2025" s="501" t="s">
        <v>544</v>
      </c>
      <c r="H2025" s="501" t="s">
        <v>4954</v>
      </c>
      <c r="I2025" s="501">
        <v>90</v>
      </c>
      <c r="J2025" s="501">
        <v>7</v>
      </c>
      <c r="K2025" s="501">
        <v>0</v>
      </c>
      <c r="L2025" s="501">
        <v>0</v>
      </c>
      <c r="M2025" s="501">
        <v>83</v>
      </c>
      <c r="N2025" s="501">
        <v>0</v>
      </c>
      <c r="O2025" s="506">
        <v>0</v>
      </c>
    </row>
    <row r="2026" spans="1:15" x14ac:dyDescent="0.35">
      <c r="A2026" s="503" t="s">
        <v>1158</v>
      </c>
      <c r="B2026" s="504">
        <v>4819</v>
      </c>
      <c r="C2026" s="504" t="s">
        <v>1094</v>
      </c>
      <c r="D2026" s="504" t="s">
        <v>3380</v>
      </c>
      <c r="E2026" s="504" t="s">
        <v>3381</v>
      </c>
      <c r="F2026" s="504" t="s">
        <v>543</v>
      </c>
      <c r="G2026" s="504" t="s">
        <v>544</v>
      </c>
      <c r="H2026" s="504" t="s">
        <v>4955</v>
      </c>
      <c r="I2026" s="504">
        <v>4832</v>
      </c>
      <c r="J2026" s="504">
        <v>4100</v>
      </c>
      <c r="K2026" s="504">
        <v>0</v>
      </c>
      <c r="L2026" s="504">
        <v>24</v>
      </c>
      <c r="M2026" s="504">
        <v>351</v>
      </c>
      <c r="N2026" s="504">
        <v>0</v>
      </c>
      <c r="O2026" s="505">
        <v>357</v>
      </c>
    </row>
    <row r="2027" spans="1:15" x14ac:dyDescent="0.35">
      <c r="A2027" s="500" t="s">
        <v>1960</v>
      </c>
      <c r="B2027" s="501" t="s">
        <v>3053</v>
      </c>
      <c r="C2027" s="501" t="s">
        <v>1089</v>
      </c>
      <c r="D2027" s="501" t="s">
        <v>3392</v>
      </c>
      <c r="E2027" s="501" t="s">
        <v>3381</v>
      </c>
      <c r="F2027" s="501" t="s">
        <v>543</v>
      </c>
      <c r="G2027" s="501" t="s">
        <v>544</v>
      </c>
      <c r="H2027" s="501" t="s">
        <v>4956</v>
      </c>
      <c r="I2027" s="501">
        <v>163</v>
      </c>
      <c r="J2027" s="501">
        <v>163</v>
      </c>
      <c r="K2027" s="501">
        <v>0</v>
      </c>
      <c r="L2027" s="501">
        <v>0</v>
      </c>
      <c r="M2027" s="501">
        <v>0</v>
      </c>
      <c r="N2027" s="501">
        <v>0</v>
      </c>
      <c r="O2027" s="506">
        <v>0</v>
      </c>
    </row>
    <row r="2028" spans="1:15" x14ac:dyDescent="0.35">
      <c r="A2028" s="503" t="s">
        <v>1819</v>
      </c>
      <c r="B2028" s="504" t="s">
        <v>3175</v>
      </c>
      <c r="C2028" s="504" t="s">
        <v>1094</v>
      </c>
      <c r="D2028" s="504" t="s">
        <v>3380</v>
      </c>
      <c r="E2028" s="504" t="s">
        <v>3381</v>
      </c>
      <c r="F2028" s="504" t="s">
        <v>543</v>
      </c>
      <c r="G2028" s="504" t="s">
        <v>544</v>
      </c>
      <c r="H2028" s="504" t="s">
        <v>4957</v>
      </c>
      <c r="I2028" s="504">
        <v>284</v>
      </c>
      <c r="J2028" s="504">
        <v>187</v>
      </c>
      <c r="K2028" s="504">
        <v>0</v>
      </c>
      <c r="L2028" s="504">
        <v>0</v>
      </c>
      <c r="M2028" s="504">
        <v>0</v>
      </c>
      <c r="N2028" s="504">
        <v>0</v>
      </c>
      <c r="O2028" s="505">
        <v>97</v>
      </c>
    </row>
    <row r="2029" spans="1:15" x14ac:dyDescent="0.35">
      <c r="A2029" s="500" t="s">
        <v>1971</v>
      </c>
      <c r="B2029" s="501" t="s">
        <v>3337</v>
      </c>
      <c r="C2029" s="501" t="s">
        <v>1094</v>
      </c>
      <c r="D2029" s="501" t="s">
        <v>3380</v>
      </c>
      <c r="E2029" s="501" t="s">
        <v>3381</v>
      </c>
      <c r="F2029" s="501" t="s">
        <v>543</v>
      </c>
      <c r="G2029" s="501" t="s">
        <v>544</v>
      </c>
      <c r="H2029" s="501" t="s">
        <v>4958</v>
      </c>
      <c r="I2029" s="501">
        <v>8</v>
      </c>
      <c r="J2029" s="501">
        <v>8</v>
      </c>
      <c r="K2029" s="501">
        <v>0</v>
      </c>
      <c r="L2029" s="501">
        <v>0</v>
      </c>
      <c r="M2029" s="501">
        <v>0</v>
      </c>
      <c r="N2029" s="501">
        <v>0</v>
      </c>
      <c r="O2029" s="506">
        <v>0</v>
      </c>
    </row>
    <row r="2030" spans="1:15" x14ac:dyDescent="0.35">
      <c r="A2030" s="503" t="s">
        <v>1984</v>
      </c>
      <c r="B2030" s="504" t="s">
        <v>3118</v>
      </c>
      <c r="C2030" s="504" t="s">
        <v>1089</v>
      </c>
      <c r="D2030" s="504" t="s">
        <v>3392</v>
      </c>
      <c r="E2030" s="504" t="s">
        <v>3381</v>
      </c>
      <c r="F2030" s="504" t="s">
        <v>543</v>
      </c>
      <c r="G2030" s="504" t="s">
        <v>544</v>
      </c>
      <c r="H2030" s="504" t="s">
        <v>4959</v>
      </c>
      <c r="I2030" s="504">
        <v>63</v>
      </c>
      <c r="J2030" s="504">
        <v>63</v>
      </c>
      <c r="K2030" s="504">
        <v>0</v>
      </c>
      <c r="L2030" s="504">
        <v>0</v>
      </c>
      <c r="M2030" s="504">
        <v>0</v>
      </c>
      <c r="N2030" s="504">
        <v>0</v>
      </c>
      <c r="O2030" s="505">
        <v>0</v>
      </c>
    </row>
    <row r="2031" spans="1:15" x14ac:dyDescent="0.35">
      <c r="A2031" s="500" t="s">
        <v>14213</v>
      </c>
      <c r="B2031" s="501" t="s">
        <v>3312</v>
      </c>
      <c r="C2031" s="501" t="s">
        <v>1094</v>
      </c>
      <c r="D2031" s="501" t="s">
        <v>3380</v>
      </c>
      <c r="E2031" s="501" t="s">
        <v>3381</v>
      </c>
      <c r="F2031" s="501" t="s">
        <v>543</v>
      </c>
      <c r="G2031" s="501" t="s">
        <v>544</v>
      </c>
      <c r="H2031" s="501" t="s">
        <v>14598</v>
      </c>
      <c r="I2031" s="501">
        <v>28</v>
      </c>
      <c r="J2031" s="501">
        <v>16</v>
      </c>
      <c r="K2031" s="501">
        <v>0</v>
      </c>
      <c r="L2031" s="501">
        <v>1</v>
      </c>
      <c r="M2031" s="501">
        <v>0</v>
      </c>
      <c r="N2031" s="501">
        <v>0</v>
      </c>
      <c r="O2031" s="506">
        <v>11</v>
      </c>
    </row>
    <row r="2032" spans="1:15" x14ac:dyDescent="0.35">
      <c r="A2032" s="503" t="s">
        <v>1105</v>
      </c>
      <c r="B2032" s="504">
        <v>4668</v>
      </c>
      <c r="C2032" s="504" t="s">
        <v>1094</v>
      </c>
      <c r="D2032" s="504" t="s">
        <v>3380</v>
      </c>
      <c r="E2032" s="504" t="s">
        <v>3381</v>
      </c>
      <c r="F2032" s="504" t="s">
        <v>543</v>
      </c>
      <c r="G2032" s="504" t="s">
        <v>544</v>
      </c>
      <c r="H2032" s="504" t="s">
        <v>4960</v>
      </c>
      <c r="I2032" s="504">
        <v>20</v>
      </c>
      <c r="J2032" s="504">
        <v>0</v>
      </c>
      <c r="K2032" s="504">
        <v>0</v>
      </c>
      <c r="L2032" s="504">
        <v>0</v>
      </c>
      <c r="M2032" s="504">
        <v>0</v>
      </c>
      <c r="N2032" s="504">
        <v>0</v>
      </c>
      <c r="O2032" s="505">
        <v>20</v>
      </c>
    </row>
    <row r="2033" spans="1:15" x14ac:dyDescent="0.35">
      <c r="A2033" s="500" t="s">
        <v>1109</v>
      </c>
      <c r="B2033" s="501" t="s">
        <v>2959</v>
      </c>
      <c r="C2033" s="501" t="s">
        <v>1094</v>
      </c>
      <c r="D2033" s="501" t="s">
        <v>3380</v>
      </c>
      <c r="E2033" s="501" t="s">
        <v>3381</v>
      </c>
      <c r="F2033" s="501" t="s">
        <v>543</v>
      </c>
      <c r="G2033" s="501" t="s">
        <v>544</v>
      </c>
      <c r="H2033" s="501" t="s">
        <v>4961</v>
      </c>
      <c r="I2033" s="501">
        <v>60</v>
      </c>
      <c r="J2033" s="501">
        <v>0</v>
      </c>
      <c r="K2033" s="501">
        <v>0</v>
      </c>
      <c r="L2033" s="501">
        <v>0</v>
      </c>
      <c r="M2033" s="501">
        <v>60</v>
      </c>
      <c r="N2033" s="501">
        <v>0</v>
      </c>
      <c r="O2033" s="506">
        <v>0</v>
      </c>
    </row>
    <row r="2034" spans="1:15" x14ac:dyDescent="0.35">
      <c r="A2034" s="503" t="s">
        <v>1994</v>
      </c>
      <c r="B2034" s="504" t="s">
        <v>3206</v>
      </c>
      <c r="C2034" s="504" t="s">
        <v>1094</v>
      </c>
      <c r="D2034" s="504" t="s">
        <v>3380</v>
      </c>
      <c r="E2034" s="504" t="s">
        <v>3381</v>
      </c>
      <c r="F2034" s="504" t="s">
        <v>543</v>
      </c>
      <c r="G2034" s="504" t="s">
        <v>544</v>
      </c>
      <c r="H2034" s="504" t="s">
        <v>4962</v>
      </c>
      <c r="I2034" s="504">
        <v>67</v>
      </c>
      <c r="J2034" s="504">
        <v>36</v>
      </c>
      <c r="K2034" s="504">
        <v>0</v>
      </c>
      <c r="L2034" s="504">
        <v>0</v>
      </c>
      <c r="M2034" s="504">
        <v>0</v>
      </c>
      <c r="N2034" s="504">
        <v>0</v>
      </c>
      <c r="O2034" s="505">
        <v>31</v>
      </c>
    </row>
    <row r="2035" spans="1:15" x14ac:dyDescent="0.35">
      <c r="A2035" s="500" t="s">
        <v>1207</v>
      </c>
      <c r="B2035" s="501" t="s">
        <v>3202</v>
      </c>
      <c r="C2035" s="501" t="s">
        <v>1094</v>
      </c>
      <c r="D2035" s="501" t="s">
        <v>3380</v>
      </c>
      <c r="E2035" s="501" t="s">
        <v>3381</v>
      </c>
      <c r="F2035" s="501" t="s">
        <v>543</v>
      </c>
      <c r="G2035" s="501" t="s">
        <v>544</v>
      </c>
      <c r="H2035" s="501" t="s">
        <v>4963</v>
      </c>
      <c r="I2035" s="501">
        <v>20</v>
      </c>
      <c r="J2035" s="501">
        <v>0</v>
      </c>
      <c r="K2035" s="501">
        <v>0</v>
      </c>
      <c r="L2035" s="501">
        <v>0</v>
      </c>
      <c r="M2035" s="501">
        <v>0</v>
      </c>
      <c r="N2035" s="501">
        <v>0</v>
      </c>
      <c r="O2035" s="506">
        <v>20</v>
      </c>
    </row>
    <row r="2036" spans="1:15" x14ac:dyDescent="0.35">
      <c r="A2036" s="503" t="s">
        <v>1226</v>
      </c>
      <c r="B2036" s="504">
        <v>5084</v>
      </c>
      <c r="C2036" s="504" t="s">
        <v>1094</v>
      </c>
      <c r="D2036" s="504" t="s">
        <v>3380</v>
      </c>
      <c r="E2036" s="504" t="s">
        <v>3381</v>
      </c>
      <c r="F2036" s="504" t="s">
        <v>543</v>
      </c>
      <c r="G2036" s="504" t="s">
        <v>544</v>
      </c>
      <c r="H2036" s="504" t="s">
        <v>4964</v>
      </c>
      <c r="I2036" s="504">
        <v>125</v>
      </c>
      <c r="J2036" s="504">
        <v>106</v>
      </c>
      <c r="K2036" s="504">
        <v>0</v>
      </c>
      <c r="L2036" s="504">
        <v>0</v>
      </c>
      <c r="M2036" s="504">
        <v>0</v>
      </c>
      <c r="N2036" s="504">
        <v>0</v>
      </c>
      <c r="O2036" s="505">
        <v>19</v>
      </c>
    </row>
    <row r="2037" spans="1:15" x14ac:dyDescent="0.35">
      <c r="A2037" s="500" t="s">
        <v>2008</v>
      </c>
      <c r="B2037" s="501" t="s">
        <v>3323</v>
      </c>
      <c r="C2037" s="501" t="s">
        <v>1094</v>
      </c>
      <c r="D2037" s="501" t="s">
        <v>3380</v>
      </c>
      <c r="E2037" s="501" t="s">
        <v>3381</v>
      </c>
      <c r="F2037" s="501" t="s">
        <v>543</v>
      </c>
      <c r="G2037" s="501" t="s">
        <v>544</v>
      </c>
      <c r="H2037" s="501" t="s">
        <v>4965</v>
      </c>
      <c r="I2037" s="501">
        <v>51</v>
      </c>
      <c r="J2037" s="501">
        <v>42</v>
      </c>
      <c r="K2037" s="501">
        <v>0</v>
      </c>
      <c r="L2037" s="501">
        <v>9</v>
      </c>
      <c r="M2037" s="501">
        <v>0</v>
      </c>
      <c r="N2037" s="501">
        <v>0</v>
      </c>
      <c r="O2037" s="506">
        <v>0</v>
      </c>
    </row>
    <row r="2038" spans="1:15" x14ac:dyDescent="0.35">
      <c r="A2038" s="503" t="s">
        <v>1234</v>
      </c>
      <c r="B2038" s="504" t="s">
        <v>3291</v>
      </c>
      <c r="C2038" s="504" t="s">
        <v>1094</v>
      </c>
      <c r="D2038" s="504" t="s">
        <v>3380</v>
      </c>
      <c r="E2038" s="504" t="s">
        <v>3381</v>
      </c>
      <c r="F2038" s="504" t="s">
        <v>543</v>
      </c>
      <c r="G2038" s="504" t="s">
        <v>544</v>
      </c>
      <c r="H2038" s="504" t="s">
        <v>4966</v>
      </c>
      <c r="I2038" s="504">
        <v>14</v>
      </c>
      <c r="J2038" s="504">
        <v>14</v>
      </c>
      <c r="K2038" s="504">
        <v>0</v>
      </c>
      <c r="L2038" s="504">
        <v>0</v>
      </c>
      <c r="M2038" s="504">
        <v>0</v>
      </c>
      <c r="N2038" s="504">
        <v>0</v>
      </c>
      <c r="O2038" s="505">
        <v>0</v>
      </c>
    </row>
    <row r="2039" spans="1:15" x14ac:dyDescent="0.35">
      <c r="A2039" s="500" t="s">
        <v>1126</v>
      </c>
      <c r="B2039" s="501" t="s">
        <v>2974</v>
      </c>
      <c r="C2039" s="501" t="s">
        <v>1094</v>
      </c>
      <c r="D2039" s="501" t="s">
        <v>3380</v>
      </c>
      <c r="E2039" s="501" t="s">
        <v>3381</v>
      </c>
      <c r="F2039" s="501" t="s">
        <v>543</v>
      </c>
      <c r="G2039" s="501" t="s">
        <v>544</v>
      </c>
      <c r="H2039" s="501" t="s">
        <v>4967</v>
      </c>
      <c r="I2039" s="501">
        <v>16</v>
      </c>
      <c r="J2039" s="501">
        <v>16</v>
      </c>
      <c r="K2039" s="501">
        <v>0</v>
      </c>
      <c r="L2039" s="501">
        <v>0</v>
      </c>
      <c r="M2039" s="501">
        <v>0</v>
      </c>
      <c r="N2039" s="501">
        <v>0</v>
      </c>
      <c r="O2039" s="506">
        <v>0</v>
      </c>
    </row>
    <row r="2040" spans="1:15" x14ac:dyDescent="0.35">
      <c r="A2040" s="503" t="s">
        <v>1898</v>
      </c>
      <c r="B2040" s="504" t="s">
        <v>3148</v>
      </c>
      <c r="C2040" s="504" t="s">
        <v>1094</v>
      </c>
      <c r="D2040" s="504" t="s">
        <v>3380</v>
      </c>
      <c r="E2040" s="504" t="s">
        <v>3381</v>
      </c>
      <c r="F2040" s="504" t="s">
        <v>543</v>
      </c>
      <c r="G2040" s="504" t="s">
        <v>544</v>
      </c>
      <c r="H2040" s="504" t="s">
        <v>4968</v>
      </c>
      <c r="I2040" s="504">
        <v>2</v>
      </c>
      <c r="J2040" s="504">
        <v>0</v>
      </c>
      <c r="K2040" s="504">
        <v>0</v>
      </c>
      <c r="L2040" s="504">
        <v>0</v>
      </c>
      <c r="M2040" s="504">
        <v>0</v>
      </c>
      <c r="N2040" s="504">
        <v>0</v>
      </c>
      <c r="O2040" s="505">
        <v>2</v>
      </c>
    </row>
    <row r="2041" spans="1:15" x14ac:dyDescent="0.35">
      <c r="A2041" s="500" t="s">
        <v>1132</v>
      </c>
      <c r="B2041" s="501">
        <v>4837</v>
      </c>
      <c r="C2041" s="501" t="s">
        <v>1094</v>
      </c>
      <c r="D2041" s="501" t="s">
        <v>3380</v>
      </c>
      <c r="E2041" s="501" t="s">
        <v>3381</v>
      </c>
      <c r="F2041" s="501" t="s">
        <v>543</v>
      </c>
      <c r="G2041" s="501" t="s">
        <v>544</v>
      </c>
      <c r="H2041" s="501" t="s">
        <v>4969</v>
      </c>
      <c r="I2041" s="501">
        <v>426</v>
      </c>
      <c r="J2041" s="501">
        <v>362</v>
      </c>
      <c r="K2041" s="501">
        <v>0</v>
      </c>
      <c r="L2041" s="501">
        <v>0</v>
      </c>
      <c r="M2041" s="501">
        <v>0</v>
      </c>
      <c r="N2041" s="501">
        <v>0</v>
      </c>
      <c r="O2041" s="506">
        <v>64</v>
      </c>
    </row>
    <row r="2042" spans="1:15" x14ac:dyDescent="0.35">
      <c r="A2042" s="503" t="s">
        <v>1240</v>
      </c>
      <c r="B2042" s="504" t="s">
        <v>2972</v>
      </c>
      <c r="C2042" s="504" t="s">
        <v>1094</v>
      </c>
      <c r="D2042" s="504" t="s">
        <v>3380</v>
      </c>
      <c r="E2042" s="504" t="s">
        <v>3381</v>
      </c>
      <c r="F2042" s="504" t="s">
        <v>543</v>
      </c>
      <c r="G2042" s="504" t="s">
        <v>544</v>
      </c>
      <c r="H2042" s="504" t="s">
        <v>4970</v>
      </c>
      <c r="I2042" s="504">
        <v>207</v>
      </c>
      <c r="J2042" s="504">
        <v>159</v>
      </c>
      <c r="K2042" s="504">
        <v>0</v>
      </c>
      <c r="L2042" s="504">
        <v>0</v>
      </c>
      <c r="M2042" s="504">
        <v>18</v>
      </c>
      <c r="N2042" s="504">
        <v>0</v>
      </c>
      <c r="O2042" s="505">
        <v>30</v>
      </c>
    </row>
    <row r="2043" spans="1:15" x14ac:dyDescent="0.35">
      <c r="A2043" s="500" t="s">
        <v>1134</v>
      </c>
      <c r="B2043" s="501" t="s">
        <v>3066</v>
      </c>
      <c r="C2043" s="501" t="s">
        <v>1094</v>
      </c>
      <c r="D2043" s="501" t="s">
        <v>3380</v>
      </c>
      <c r="E2043" s="501" t="s">
        <v>3381</v>
      </c>
      <c r="F2043" s="501" t="s">
        <v>543</v>
      </c>
      <c r="G2043" s="501" t="s">
        <v>544</v>
      </c>
      <c r="H2043" s="501" t="s">
        <v>4971</v>
      </c>
      <c r="I2043" s="501">
        <v>138</v>
      </c>
      <c r="J2043" s="501">
        <v>124</v>
      </c>
      <c r="K2043" s="501">
        <v>0</v>
      </c>
      <c r="L2043" s="501">
        <v>0</v>
      </c>
      <c r="M2043" s="501">
        <v>0</v>
      </c>
      <c r="N2043" s="501">
        <v>0</v>
      </c>
      <c r="O2043" s="506">
        <v>14</v>
      </c>
    </row>
    <row r="2044" spans="1:15" x14ac:dyDescent="0.35">
      <c r="A2044" s="503" t="s">
        <v>2029</v>
      </c>
      <c r="B2044" s="504" t="s">
        <v>2878</v>
      </c>
      <c r="C2044" s="504" t="s">
        <v>1089</v>
      </c>
      <c r="D2044" s="504" t="s">
        <v>3392</v>
      </c>
      <c r="E2044" s="504" t="s">
        <v>3381</v>
      </c>
      <c r="F2044" s="504" t="s">
        <v>543</v>
      </c>
      <c r="G2044" s="504" t="s">
        <v>544</v>
      </c>
      <c r="H2044" s="504" t="s">
        <v>4972</v>
      </c>
      <c r="I2044" s="504">
        <v>15</v>
      </c>
      <c r="J2044" s="504">
        <v>0</v>
      </c>
      <c r="K2044" s="504">
        <v>0</v>
      </c>
      <c r="L2044" s="504">
        <v>0</v>
      </c>
      <c r="M2044" s="504">
        <v>15</v>
      </c>
      <c r="N2044" s="504">
        <v>0</v>
      </c>
      <c r="O2044" s="505">
        <v>0</v>
      </c>
    </row>
    <row r="2045" spans="1:15" x14ac:dyDescent="0.35">
      <c r="A2045" s="500" t="s">
        <v>1245</v>
      </c>
      <c r="B2045" s="501" t="s">
        <v>2859</v>
      </c>
      <c r="C2045" s="501" t="s">
        <v>1094</v>
      </c>
      <c r="D2045" s="501" t="s">
        <v>3380</v>
      </c>
      <c r="E2045" s="501" t="s">
        <v>3381</v>
      </c>
      <c r="F2045" s="501" t="s">
        <v>543</v>
      </c>
      <c r="G2045" s="501" t="s">
        <v>544</v>
      </c>
      <c r="H2045" s="501" t="s">
        <v>4973</v>
      </c>
      <c r="I2045" s="501">
        <v>17</v>
      </c>
      <c r="J2045" s="501">
        <v>0</v>
      </c>
      <c r="K2045" s="501">
        <v>0</v>
      </c>
      <c r="L2045" s="501">
        <v>0</v>
      </c>
      <c r="M2045" s="501">
        <v>17</v>
      </c>
      <c r="N2045" s="501">
        <v>0</v>
      </c>
      <c r="O2045" s="506">
        <v>0</v>
      </c>
    </row>
    <row r="2046" spans="1:15" x14ac:dyDescent="0.35">
      <c r="A2046" s="503" t="s">
        <v>1249</v>
      </c>
      <c r="B2046" s="504">
        <v>4729</v>
      </c>
      <c r="C2046" s="504" t="s">
        <v>1094</v>
      </c>
      <c r="D2046" s="504" t="s">
        <v>3380</v>
      </c>
      <c r="E2046" s="504" t="s">
        <v>3381</v>
      </c>
      <c r="F2046" s="504" t="s">
        <v>543</v>
      </c>
      <c r="G2046" s="504" t="s">
        <v>544</v>
      </c>
      <c r="H2046" s="504" t="s">
        <v>4974</v>
      </c>
      <c r="I2046" s="504">
        <v>279</v>
      </c>
      <c r="J2046" s="504">
        <v>147</v>
      </c>
      <c r="K2046" s="504">
        <v>0</v>
      </c>
      <c r="L2046" s="504">
        <v>2</v>
      </c>
      <c r="M2046" s="504">
        <v>0</v>
      </c>
      <c r="N2046" s="504">
        <v>0</v>
      </c>
      <c r="O2046" s="505">
        <v>130</v>
      </c>
    </row>
    <row r="2047" spans="1:15" x14ac:dyDescent="0.35">
      <c r="A2047" s="500" t="s">
        <v>2047</v>
      </c>
      <c r="B2047" s="501" t="s">
        <v>3187</v>
      </c>
      <c r="C2047" s="501" t="s">
        <v>1094</v>
      </c>
      <c r="D2047" s="501" t="s">
        <v>3380</v>
      </c>
      <c r="E2047" s="501" t="s">
        <v>3381</v>
      </c>
      <c r="F2047" s="501" t="s">
        <v>543</v>
      </c>
      <c r="G2047" s="501" t="s">
        <v>544</v>
      </c>
      <c r="H2047" s="501" t="s">
        <v>4975</v>
      </c>
      <c r="I2047" s="501">
        <v>45</v>
      </c>
      <c r="J2047" s="501">
        <v>31</v>
      </c>
      <c r="K2047" s="501">
        <v>0</v>
      </c>
      <c r="L2047" s="501">
        <v>0</v>
      </c>
      <c r="M2047" s="501">
        <v>0</v>
      </c>
      <c r="N2047" s="501">
        <v>0</v>
      </c>
      <c r="O2047" s="506">
        <v>14</v>
      </c>
    </row>
    <row r="2048" spans="1:15" x14ac:dyDescent="0.35">
      <c r="A2048" s="503" t="s">
        <v>1193</v>
      </c>
      <c r="B2048" s="504" t="s">
        <v>3039</v>
      </c>
      <c r="C2048" s="504" t="s">
        <v>1094</v>
      </c>
      <c r="D2048" s="504" t="s">
        <v>3380</v>
      </c>
      <c r="E2048" s="504" t="s">
        <v>3381</v>
      </c>
      <c r="F2048" s="504" t="s">
        <v>545</v>
      </c>
      <c r="G2048" s="504" t="s">
        <v>546</v>
      </c>
      <c r="H2048" s="504" t="s">
        <v>4994</v>
      </c>
      <c r="I2048" s="504">
        <v>129</v>
      </c>
      <c r="J2048" s="504">
        <v>59</v>
      </c>
      <c r="K2048" s="504">
        <v>0</v>
      </c>
      <c r="L2048" s="504">
        <v>0</v>
      </c>
      <c r="M2048" s="504">
        <v>55</v>
      </c>
      <c r="N2048" s="504">
        <v>0</v>
      </c>
      <c r="O2048" s="505">
        <v>15</v>
      </c>
    </row>
    <row r="2049" spans="1:15" x14ac:dyDescent="0.35">
      <c r="A2049" s="500" t="s">
        <v>1143</v>
      </c>
      <c r="B2049" s="501" t="s">
        <v>3281</v>
      </c>
      <c r="C2049" s="501" t="s">
        <v>1094</v>
      </c>
      <c r="D2049" s="501" t="s">
        <v>3380</v>
      </c>
      <c r="E2049" s="501" t="s">
        <v>3381</v>
      </c>
      <c r="F2049" s="501" t="s">
        <v>545</v>
      </c>
      <c r="G2049" s="501" t="s">
        <v>546</v>
      </c>
      <c r="H2049" s="501" t="s">
        <v>4976</v>
      </c>
      <c r="I2049" s="501">
        <v>703</v>
      </c>
      <c r="J2049" s="501">
        <v>659</v>
      </c>
      <c r="K2049" s="501">
        <v>0</v>
      </c>
      <c r="L2049" s="501">
        <v>0</v>
      </c>
      <c r="M2049" s="501">
        <v>37</v>
      </c>
      <c r="N2049" s="501">
        <v>19</v>
      </c>
      <c r="O2049" s="506">
        <v>7</v>
      </c>
    </row>
    <row r="2050" spans="1:15" x14ac:dyDescent="0.35">
      <c r="A2050" s="503" t="s">
        <v>1096</v>
      </c>
      <c r="B2050" s="504" t="s">
        <v>3326</v>
      </c>
      <c r="C2050" s="504" t="s">
        <v>1094</v>
      </c>
      <c r="D2050" s="504" t="s">
        <v>3380</v>
      </c>
      <c r="E2050" s="504" t="s">
        <v>3381</v>
      </c>
      <c r="F2050" s="504" t="s">
        <v>545</v>
      </c>
      <c r="G2050" s="504" t="s">
        <v>546</v>
      </c>
      <c r="H2050" s="504" t="s">
        <v>4977</v>
      </c>
      <c r="I2050" s="504">
        <v>540</v>
      </c>
      <c r="J2050" s="504">
        <v>0</v>
      </c>
      <c r="K2050" s="504">
        <v>0</v>
      </c>
      <c r="L2050" s="504">
        <v>0</v>
      </c>
      <c r="M2050" s="504">
        <v>527</v>
      </c>
      <c r="N2050" s="504">
        <v>28</v>
      </c>
      <c r="O2050" s="505">
        <v>13</v>
      </c>
    </row>
    <row r="2051" spans="1:15" x14ac:dyDescent="0.35">
      <c r="A2051" s="500" t="s">
        <v>1615</v>
      </c>
      <c r="B2051" s="501">
        <v>5071</v>
      </c>
      <c r="C2051" s="501" t="s">
        <v>1094</v>
      </c>
      <c r="D2051" s="501" t="s">
        <v>3380</v>
      </c>
      <c r="E2051" s="501" t="s">
        <v>3381</v>
      </c>
      <c r="F2051" s="501" t="s">
        <v>545</v>
      </c>
      <c r="G2051" s="501" t="s">
        <v>546</v>
      </c>
      <c r="H2051" s="501" t="s">
        <v>4978</v>
      </c>
      <c r="I2051" s="501">
        <v>18071</v>
      </c>
      <c r="J2051" s="501">
        <v>18068</v>
      </c>
      <c r="K2051" s="501">
        <v>0</v>
      </c>
      <c r="L2051" s="501">
        <v>0</v>
      </c>
      <c r="M2051" s="501">
        <v>0</v>
      </c>
      <c r="N2051" s="501">
        <v>60</v>
      </c>
      <c r="O2051" s="506">
        <v>3</v>
      </c>
    </row>
    <row r="2052" spans="1:15" x14ac:dyDescent="0.35">
      <c r="A2052" s="503" t="s">
        <v>1617</v>
      </c>
      <c r="B2052" s="504">
        <v>4868</v>
      </c>
      <c r="C2052" s="504" t="s">
        <v>1094</v>
      </c>
      <c r="D2052" s="504" t="s">
        <v>3380</v>
      </c>
      <c r="E2052" s="504" t="s">
        <v>3381</v>
      </c>
      <c r="F2052" s="504" t="s">
        <v>545</v>
      </c>
      <c r="G2052" s="504" t="s">
        <v>546</v>
      </c>
      <c r="H2052" s="504" t="s">
        <v>4979</v>
      </c>
      <c r="I2052" s="504">
        <v>1703</v>
      </c>
      <c r="J2052" s="504">
        <v>1478</v>
      </c>
      <c r="K2052" s="504">
        <v>0</v>
      </c>
      <c r="L2052" s="504">
        <v>127</v>
      </c>
      <c r="M2052" s="504">
        <v>47</v>
      </c>
      <c r="N2052" s="504">
        <v>0</v>
      </c>
      <c r="O2052" s="505">
        <v>51</v>
      </c>
    </row>
    <row r="2053" spans="1:15" x14ac:dyDescent="0.35">
      <c r="A2053" s="500" t="s">
        <v>11363</v>
      </c>
      <c r="B2053" s="501">
        <v>4718</v>
      </c>
      <c r="C2053" s="501" t="s">
        <v>1094</v>
      </c>
      <c r="D2053" s="501" t="s">
        <v>3380</v>
      </c>
      <c r="E2053" s="501" t="s">
        <v>3381</v>
      </c>
      <c r="F2053" s="501" t="s">
        <v>545</v>
      </c>
      <c r="G2053" s="501" t="s">
        <v>546</v>
      </c>
      <c r="H2053" s="501" t="s">
        <v>11528</v>
      </c>
      <c r="I2053" s="501">
        <v>21</v>
      </c>
      <c r="J2053" s="501">
        <v>0</v>
      </c>
      <c r="K2053" s="501">
        <v>0</v>
      </c>
      <c r="L2053" s="501">
        <v>21</v>
      </c>
      <c r="M2053" s="501">
        <v>0</v>
      </c>
      <c r="N2053" s="501">
        <v>0</v>
      </c>
      <c r="O2053" s="506">
        <v>0</v>
      </c>
    </row>
    <row r="2054" spans="1:15" x14ac:dyDescent="0.35">
      <c r="A2054" s="503" t="s">
        <v>1620</v>
      </c>
      <c r="B2054" s="504" t="s">
        <v>2605</v>
      </c>
      <c r="C2054" s="504" t="s">
        <v>1089</v>
      </c>
      <c r="D2054" s="504" t="s">
        <v>3392</v>
      </c>
      <c r="E2054" s="504" t="s">
        <v>3381</v>
      </c>
      <c r="F2054" s="504" t="s">
        <v>545</v>
      </c>
      <c r="G2054" s="504" t="s">
        <v>546</v>
      </c>
      <c r="H2054" s="504" t="s">
        <v>4980</v>
      </c>
      <c r="I2054" s="504">
        <v>12</v>
      </c>
      <c r="J2054" s="504">
        <v>12</v>
      </c>
      <c r="K2054" s="504">
        <v>0</v>
      </c>
      <c r="L2054" s="504">
        <v>0</v>
      </c>
      <c r="M2054" s="504">
        <v>0</v>
      </c>
      <c r="N2054" s="504">
        <v>0</v>
      </c>
      <c r="O2054" s="505">
        <v>0</v>
      </c>
    </row>
    <row r="2055" spans="1:15" x14ac:dyDescent="0.35">
      <c r="A2055" s="500" t="s">
        <v>1623</v>
      </c>
      <c r="B2055" s="501">
        <v>4858</v>
      </c>
      <c r="C2055" s="501" t="s">
        <v>1094</v>
      </c>
      <c r="D2055" s="501" t="s">
        <v>3380</v>
      </c>
      <c r="E2055" s="501" t="s">
        <v>3381</v>
      </c>
      <c r="F2055" s="501" t="s">
        <v>545</v>
      </c>
      <c r="G2055" s="501" t="s">
        <v>546</v>
      </c>
      <c r="H2055" s="501" t="s">
        <v>4981</v>
      </c>
      <c r="I2055" s="501">
        <v>124</v>
      </c>
      <c r="J2055" s="501">
        <v>102</v>
      </c>
      <c r="K2055" s="501">
        <v>0</v>
      </c>
      <c r="L2055" s="501">
        <v>12</v>
      </c>
      <c r="M2055" s="501">
        <v>0</v>
      </c>
      <c r="N2055" s="501">
        <v>0</v>
      </c>
      <c r="O2055" s="506">
        <v>10</v>
      </c>
    </row>
    <row r="2056" spans="1:15" x14ac:dyDescent="0.35">
      <c r="A2056" s="503" t="s">
        <v>1625</v>
      </c>
      <c r="B2056" s="504">
        <v>5087</v>
      </c>
      <c r="C2056" s="504" t="s">
        <v>1089</v>
      </c>
      <c r="D2056" s="504" t="s">
        <v>3392</v>
      </c>
      <c r="E2056" s="504" t="s">
        <v>3381</v>
      </c>
      <c r="F2056" s="504" t="s">
        <v>545</v>
      </c>
      <c r="G2056" s="504" t="s">
        <v>546</v>
      </c>
      <c r="H2056" s="504" t="s">
        <v>4982</v>
      </c>
      <c r="I2056" s="504">
        <v>26</v>
      </c>
      <c r="J2056" s="504">
        <v>4</v>
      </c>
      <c r="K2056" s="504">
        <v>12</v>
      </c>
      <c r="L2056" s="504">
        <v>10</v>
      </c>
      <c r="M2056" s="504">
        <v>0</v>
      </c>
      <c r="N2056" s="504">
        <v>0</v>
      </c>
      <c r="O2056" s="505">
        <v>0</v>
      </c>
    </row>
    <row r="2057" spans="1:15" x14ac:dyDescent="0.35">
      <c r="A2057" s="500" t="s">
        <v>1626</v>
      </c>
      <c r="B2057" s="501">
        <v>5125</v>
      </c>
      <c r="C2057" s="501" t="s">
        <v>1094</v>
      </c>
      <c r="D2057" s="501" t="s">
        <v>3380</v>
      </c>
      <c r="E2057" s="501" t="s">
        <v>3381</v>
      </c>
      <c r="F2057" s="501" t="s">
        <v>545</v>
      </c>
      <c r="G2057" s="501" t="s">
        <v>546</v>
      </c>
      <c r="H2057" s="501" t="s">
        <v>4983</v>
      </c>
      <c r="I2057" s="501">
        <v>1326</v>
      </c>
      <c r="J2057" s="501">
        <v>1288</v>
      </c>
      <c r="K2057" s="501">
        <v>0</v>
      </c>
      <c r="L2057" s="501">
        <v>0</v>
      </c>
      <c r="M2057" s="501">
        <v>35</v>
      </c>
      <c r="N2057" s="501">
        <v>0</v>
      </c>
      <c r="O2057" s="506">
        <v>3</v>
      </c>
    </row>
    <row r="2058" spans="1:15" x14ac:dyDescent="0.35">
      <c r="A2058" s="503" t="s">
        <v>1627</v>
      </c>
      <c r="B2058" s="504">
        <v>4771</v>
      </c>
      <c r="C2058" s="504" t="s">
        <v>1089</v>
      </c>
      <c r="D2058" s="504" t="s">
        <v>3392</v>
      </c>
      <c r="E2058" s="504" t="s">
        <v>3381</v>
      </c>
      <c r="F2058" s="504" t="s">
        <v>545</v>
      </c>
      <c r="G2058" s="504" t="s">
        <v>546</v>
      </c>
      <c r="H2058" s="504" t="s">
        <v>4984</v>
      </c>
      <c r="I2058" s="504">
        <v>2</v>
      </c>
      <c r="J2058" s="504">
        <v>0</v>
      </c>
      <c r="K2058" s="504">
        <v>0</v>
      </c>
      <c r="L2058" s="504">
        <v>2</v>
      </c>
      <c r="M2058" s="504">
        <v>0</v>
      </c>
      <c r="N2058" s="504">
        <v>0</v>
      </c>
      <c r="O2058" s="505">
        <v>0</v>
      </c>
    </row>
    <row r="2059" spans="1:15" x14ac:dyDescent="0.35">
      <c r="A2059" s="500" t="s">
        <v>14208</v>
      </c>
      <c r="B2059" s="501">
        <v>4803</v>
      </c>
      <c r="C2059" s="501" t="s">
        <v>1094</v>
      </c>
      <c r="D2059" s="501" t="s">
        <v>3380</v>
      </c>
      <c r="E2059" s="501" t="s">
        <v>3381</v>
      </c>
      <c r="F2059" s="501" t="s">
        <v>545</v>
      </c>
      <c r="G2059" s="501" t="s">
        <v>546</v>
      </c>
      <c r="H2059" s="501" t="s">
        <v>14599</v>
      </c>
      <c r="I2059" s="501">
        <v>2</v>
      </c>
      <c r="J2059" s="501">
        <v>0</v>
      </c>
      <c r="K2059" s="501">
        <v>0</v>
      </c>
      <c r="L2059" s="501">
        <v>2</v>
      </c>
      <c r="M2059" s="501">
        <v>0</v>
      </c>
      <c r="N2059" s="501">
        <v>0</v>
      </c>
      <c r="O2059" s="506">
        <v>0</v>
      </c>
    </row>
    <row r="2060" spans="1:15" x14ac:dyDescent="0.35">
      <c r="A2060" s="503" t="s">
        <v>1630</v>
      </c>
      <c r="B2060" s="504">
        <v>4744</v>
      </c>
      <c r="C2060" s="504" t="s">
        <v>1089</v>
      </c>
      <c r="D2060" s="504" t="s">
        <v>3392</v>
      </c>
      <c r="E2060" s="504" t="s">
        <v>3381</v>
      </c>
      <c r="F2060" s="504" t="s">
        <v>545</v>
      </c>
      <c r="G2060" s="504" t="s">
        <v>546</v>
      </c>
      <c r="H2060" s="504" t="s">
        <v>4985</v>
      </c>
      <c r="I2060" s="504">
        <v>17</v>
      </c>
      <c r="J2060" s="504">
        <v>17</v>
      </c>
      <c r="K2060" s="504">
        <v>0</v>
      </c>
      <c r="L2060" s="504">
        <v>0</v>
      </c>
      <c r="M2060" s="504">
        <v>0</v>
      </c>
      <c r="N2060" s="504">
        <v>0</v>
      </c>
      <c r="O2060" s="505">
        <v>0</v>
      </c>
    </row>
    <row r="2061" spans="1:15" x14ac:dyDescent="0.35">
      <c r="A2061" s="500" t="s">
        <v>1105</v>
      </c>
      <c r="B2061" s="501">
        <v>4668</v>
      </c>
      <c r="C2061" s="501" t="s">
        <v>1094</v>
      </c>
      <c r="D2061" s="501" t="s">
        <v>3380</v>
      </c>
      <c r="E2061" s="501" t="s">
        <v>3381</v>
      </c>
      <c r="F2061" s="501" t="s">
        <v>545</v>
      </c>
      <c r="G2061" s="501" t="s">
        <v>546</v>
      </c>
      <c r="H2061" s="501" t="s">
        <v>4986</v>
      </c>
      <c r="I2061" s="501">
        <v>95</v>
      </c>
      <c r="J2061" s="501">
        <v>0</v>
      </c>
      <c r="K2061" s="501">
        <v>0</v>
      </c>
      <c r="L2061" s="501">
        <v>0</v>
      </c>
      <c r="M2061" s="501">
        <v>0</v>
      </c>
      <c r="N2061" s="501">
        <v>0</v>
      </c>
      <c r="O2061" s="506">
        <v>95</v>
      </c>
    </row>
    <row r="2062" spans="1:15" x14ac:dyDescent="0.35">
      <c r="A2062" s="503" t="s">
        <v>1107</v>
      </c>
      <c r="B2062" s="504" t="s">
        <v>3109</v>
      </c>
      <c r="C2062" s="504" t="s">
        <v>1094</v>
      </c>
      <c r="D2062" s="504" t="s">
        <v>3380</v>
      </c>
      <c r="E2062" s="504" t="s">
        <v>3381</v>
      </c>
      <c r="F2062" s="504" t="s">
        <v>545</v>
      </c>
      <c r="G2062" s="504" t="s">
        <v>546</v>
      </c>
      <c r="H2062" s="504" t="s">
        <v>4987</v>
      </c>
      <c r="I2062" s="504">
        <v>3187</v>
      </c>
      <c r="J2062" s="504">
        <v>2817</v>
      </c>
      <c r="K2062" s="504">
        <v>0</v>
      </c>
      <c r="L2062" s="504">
        <v>92</v>
      </c>
      <c r="M2062" s="504">
        <v>247</v>
      </c>
      <c r="N2062" s="504">
        <v>1</v>
      </c>
      <c r="O2062" s="505">
        <v>31</v>
      </c>
    </row>
    <row r="2063" spans="1:15" x14ac:dyDescent="0.35">
      <c r="A2063" s="500" t="s">
        <v>1109</v>
      </c>
      <c r="B2063" s="501" t="s">
        <v>2959</v>
      </c>
      <c r="C2063" s="501" t="s">
        <v>1094</v>
      </c>
      <c r="D2063" s="501" t="s">
        <v>3380</v>
      </c>
      <c r="E2063" s="501" t="s">
        <v>3381</v>
      </c>
      <c r="F2063" s="501" t="s">
        <v>545</v>
      </c>
      <c r="G2063" s="501" t="s">
        <v>546</v>
      </c>
      <c r="H2063" s="501" t="s">
        <v>4988</v>
      </c>
      <c r="I2063" s="501">
        <v>127</v>
      </c>
      <c r="J2063" s="501">
        <v>1</v>
      </c>
      <c r="K2063" s="501">
        <v>0</v>
      </c>
      <c r="L2063" s="501">
        <v>0</v>
      </c>
      <c r="M2063" s="501">
        <v>126</v>
      </c>
      <c r="N2063" s="501">
        <v>0</v>
      </c>
      <c r="O2063" s="506">
        <v>0</v>
      </c>
    </row>
    <row r="2064" spans="1:15" x14ac:dyDescent="0.35">
      <c r="A2064" s="503" t="s">
        <v>1633</v>
      </c>
      <c r="B2064" s="504">
        <v>4713</v>
      </c>
      <c r="C2064" s="504" t="s">
        <v>1089</v>
      </c>
      <c r="D2064" s="504" t="s">
        <v>3392</v>
      </c>
      <c r="E2064" s="504" t="s">
        <v>3381</v>
      </c>
      <c r="F2064" s="504" t="s">
        <v>545</v>
      </c>
      <c r="G2064" s="504" t="s">
        <v>546</v>
      </c>
      <c r="H2064" s="504" t="s">
        <v>4989</v>
      </c>
      <c r="I2064" s="504">
        <v>16</v>
      </c>
      <c r="J2064" s="504">
        <v>1</v>
      </c>
      <c r="K2064" s="504">
        <v>0</v>
      </c>
      <c r="L2064" s="504">
        <v>15</v>
      </c>
      <c r="M2064" s="504">
        <v>0</v>
      </c>
      <c r="N2064" s="504">
        <v>0</v>
      </c>
      <c r="O2064" s="505">
        <v>0</v>
      </c>
    </row>
    <row r="2065" spans="1:15" x14ac:dyDescent="0.35">
      <c r="A2065" s="500" t="s">
        <v>1634</v>
      </c>
      <c r="B2065" s="501">
        <v>4822</v>
      </c>
      <c r="C2065" s="501" t="s">
        <v>1089</v>
      </c>
      <c r="D2065" s="501" t="s">
        <v>3392</v>
      </c>
      <c r="E2065" s="501" t="s">
        <v>3381</v>
      </c>
      <c r="F2065" s="501" t="s">
        <v>545</v>
      </c>
      <c r="G2065" s="501" t="s">
        <v>546</v>
      </c>
      <c r="H2065" s="501" t="s">
        <v>4990</v>
      </c>
      <c r="I2065" s="501">
        <v>64</v>
      </c>
      <c r="J2065" s="501">
        <v>0</v>
      </c>
      <c r="K2065" s="501">
        <v>0</v>
      </c>
      <c r="L2065" s="501">
        <v>64</v>
      </c>
      <c r="M2065" s="501">
        <v>0</v>
      </c>
      <c r="N2065" s="501">
        <v>0</v>
      </c>
      <c r="O2065" s="506">
        <v>0</v>
      </c>
    </row>
    <row r="2066" spans="1:15" x14ac:dyDescent="0.35">
      <c r="A2066" s="503" t="s">
        <v>1190</v>
      </c>
      <c r="B2066" s="504">
        <v>4662</v>
      </c>
      <c r="C2066" s="504" t="s">
        <v>1094</v>
      </c>
      <c r="D2066" s="504" t="s">
        <v>3380</v>
      </c>
      <c r="E2066" s="504" t="s">
        <v>3381</v>
      </c>
      <c r="F2066" s="504" t="s">
        <v>545</v>
      </c>
      <c r="G2066" s="504" t="s">
        <v>546</v>
      </c>
      <c r="H2066" s="504" t="s">
        <v>4991</v>
      </c>
      <c r="I2066" s="504">
        <v>53</v>
      </c>
      <c r="J2066" s="504">
        <v>0</v>
      </c>
      <c r="K2066" s="504">
        <v>0</v>
      </c>
      <c r="L2066" s="504">
        <v>53</v>
      </c>
      <c r="M2066" s="504">
        <v>0</v>
      </c>
      <c r="N2066" s="504">
        <v>0</v>
      </c>
      <c r="O2066" s="505">
        <v>0</v>
      </c>
    </row>
    <row r="2067" spans="1:15" x14ac:dyDescent="0.35">
      <c r="A2067" s="500" t="s">
        <v>1635</v>
      </c>
      <c r="B2067" s="501" t="s">
        <v>2515</v>
      </c>
      <c r="C2067" s="501" t="s">
        <v>1089</v>
      </c>
      <c r="D2067" s="501" t="s">
        <v>3392</v>
      </c>
      <c r="E2067" s="501" t="s">
        <v>3381</v>
      </c>
      <c r="F2067" s="501" t="s">
        <v>545</v>
      </c>
      <c r="G2067" s="501" t="s">
        <v>546</v>
      </c>
      <c r="H2067" s="501" t="s">
        <v>4992</v>
      </c>
      <c r="I2067" s="501">
        <v>5</v>
      </c>
      <c r="J2067" s="501">
        <v>5</v>
      </c>
      <c r="K2067" s="501">
        <v>0</v>
      </c>
      <c r="L2067" s="501">
        <v>0</v>
      </c>
      <c r="M2067" s="501">
        <v>0</v>
      </c>
      <c r="N2067" s="501">
        <v>0</v>
      </c>
      <c r="O2067" s="506">
        <v>0</v>
      </c>
    </row>
    <row r="2068" spans="1:15" x14ac:dyDescent="0.35">
      <c r="A2068" s="503" t="s">
        <v>1636</v>
      </c>
      <c r="B2068" s="504" t="s">
        <v>2480</v>
      </c>
      <c r="C2068" s="504" t="s">
        <v>1089</v>
      </c>
      <c r="D2068" s="504" t="s">
        <v>3392</v>
      </c>
      <c r="E2068" s="504" t="s">
        <v>3381</v>
      </c>
      <c r="F2068" s="504" t="s">
        <v>545</v>
      </c>
      <c r="G2068" s="504" t="s">
        <v>546</v>
      </c>
      <c r="H2068" s="504" t="s">
        <v>4993</v>
      </c>
      <c r="I2068" s="504">
        <v>47</v>
      </c>
      <c r="J2068" s="504">
        <v>0</v>
      </c>
      <c r="K2068" s="504">
        <v>0</v>
      </c>
      <c r="L2068" s="504">
        <v>0</v>
      </c>
      <c r="M2068" s="504">
        <v>47</v>
      </c>
      <c r="N2068" s="504">
        <v>0</v>
      </c>
      <c r="O2068" s="505">
        <v>0</v>
      </c>
    </row>
    <row r="2069" spans="1:15" x14ac:dyDescent="0.35">
      <c r="A2069" s="500" t="s">
        <v>1639</v>
      </c>
      <c r="B2069" s="501">
        <v>4846</v>
      </c>
      <c r="C2069" s="501" t="s">
        <v>1094</v>
      </c>
      <c r="D2069" s="501" t="s">
        <v>3380</v>
      </c>
      <c r="E2069" s="501" t="s">
        <v>3381</v>
      </c>
      <c r="F2069" s="501" t="s">
        <v>545</v>
      </c>
      <c r="G2069" s="501" t="s">
        <v>546</v>
      </c>
      <c r="H2069" s="501" t="s">
        <v>4995</v>
      </c>
      <c r="I2069" s="501">
        <v>11605</v>
      </c>
      <c r="J2069" s="501">
        <v>11179</v>
      </c>
      <c r="K2069" s="501">
        <v>0</v>
      </c>
      <c r="L2069" s="501">
        <v>49</v>
      </c>
      <c r="M2069" s="501">
        <v>335</v>
      </c>
      <c r="N2069" s="501">
        <v>0</v>
      </c>
      <c r="O2069" s="506">
        <v>42</v>
      </c>
    </row>
    <row r="2070" spans="1:15" x14ac:dyDescent="0.35">
      <c r="A2070" s="503" t="s">
        <v>1642</v>
      </c>
      <c r="B2070" s="504" t="s">
        <v>3225</v>
      </c>
      <c r="C2070" s="504" t="s">
        <v>1094</v>
      </c>
      <c r="D2070" s="504" t="s">
        <v>3380</v>
      </c>
      <c r="E2070" s="504" t="s">
        <v>3381</v>
      </c>
      <c r="F2070" s="504" t="s">
        <v>545</v>
      </c>
      <c r="G2070" s="504" t="s">
        <v>546</v>
      </c>
      <c r="H2070" s="504" t="s">
        <v>4996</v>
      </c>
      <c r="I2070" s="504">
        <v>8560</v>
      </c>
      <c r="J2070" s="504">
        <v>8551</v>
      </c>
      <c r="K2070" s="504">
        <v>0</v>
      </c>
      <c r="L2070" s="504">
        <v>0</v>
      </c>
      <c r="M2070" s="504">
        <v>0</v>
      </c>
      <c r="N2070" s="504">
        <v>0</v>
      </c>
      <c r="O2070" s="505">
        <v>9</v>
      </c>
    </row>
    <row r="2071" spans="1:15" x14ac:dyDescent="0.35">
      <c r="A2071" s="500" t="s">
        <v>1209</v>
      </c>
      <c r="B2071" s="501">
        <v>4779</v>
      </c>
      <c r="C2071" s="501" t="s">
        <v>1094</v>
      </c>
      <c r="D2071" s="501" t="s">
        <v>3380</v>
      </c>
      <c r="E2071" s="501" t="s">
        <v>3381</v>
      </c>
      <c r="F2071" s="501" t="s">
        <v>545</v>
      </c>
      <c r="G2071" s="501" t="s">
        <v>546</v>
      </c>
      <c r="H2071" s="501" t="s">
        <v>4997</v>
      </c>
      <c r="I2071" s="501">
        <v>46</v>
      </c>
      <c r="J2071" s="501">
        <v>0</v>
      </c>
      <c r="K2071" s="501">
        <v>0</v>
      </c>
      <c r="L2071" s="501">
        <v>46</v>
      </c>
      <c r="M2071" s="501">
        <v>0</v>
      </c>
      <c r="N2071" s="501">
        <v>0</v>
      </c>
      <c r="O2071" s="506">
        <v>0</v>
      </c>
    </row>
    <row r="2072" spans="1:15" x14ac:dyDescent="0.35">
      <c r="A2072" s="503" t="s">
        <v>1645</v>
      </c>
      <c r="B2072" s="504" t="s">
        <v>3239</v>
      </c>
      <c r="C2072" s="504" t="s">
        <v>1094</v>
      </c>
      <c r="D2072" s="504" t="s">
        <v>3380</v>
      </c>
      <c r="E2072" s="504" t="s">
        <v>3381</v>
      </c>
      <c r="F2072" s="504" t="s">
        <v>545</v>
      </c>
      <c r="G2072" s="504" t="s">
        <v>546</v>
      </c>
      <c r="H2072" s="504" t="s">
        <v>4998</v>
      </c>
      <c r="I2072" s="504">
        <v>947</v>
      </c>
      <c r="J2072" s="504">
        <v>929</v>
      </c>
      <c r="K2072" s="504">
        <v>0</v>
      </c>
      <c r="L2072" s="504">
        <v>16</v>
      </c>
      <c r="M2072" s="504">
        <v>0</v>
      </c>
      <c r="N2072" s="504">
        <v>0</v>
      </c>
      <c r="O2072" s="505">
        <v>2</v>
      </c>
    </row>
    <row r="2073" spans="1:15" x14ac:dyDescent="0.35">
      <c r="A2073" s="500" t="s">
        <v>1122</v>
      </c>
      <c r="B2073" s="501" t="s">
        <v>2994</v>
      </c>
      <c r="C2073" s="501" t="s">
        <v>1094</v>
      </c>
      <c r="D2073" s="501" t="s">
        <v>3380</v>
      </c>
      <c r="E2073" s="501" t="s">
        <v>3381</v>
      </c>
      <c r="F2073" s="501" t="s">
        <v>545</v>
      </c>
      <c r="G2073" s="501" t="s">
        <v>546</v>
      </c>
      <c r="H2073" s="501" t="s">
        <v>4999</v>
      </c>
      <c r="I2073" s="501">
        <v>255</v>
      </c>
      <c r="J2073" s="501">
        <v>245</v>
      </c>
      <c r="K2073" s="501">
        <v>0</v>
      </c>
      <c r="L2073" s="501">
        <v>1</v>
      </c>
      <c r="M2073" s="501">
        <v>0</v>
      </c>
      <c r="N2073" s="501">
        <v>0</v>
      </c>
      <c r="O2073" s="506">
        <v>9</v>
      </c>
    </row>
    <row r="2074" spans="1:15" x14ac:dyDescent="0.35">
      <c r="A2074" s="503" t="s">
        <v>1225</v>
      </c>
      <c r="B2074" s="504" t="s">
        <v>3315</v>
      </c>
      <c r="C2074" s="504" t="s">
        <v>1094</v>
      </c>
      <c r="D2074" s="504" t="s">
        <v>3380</v>
      </c>
      <c r="E2074" s="504" t="s">
        <v>3381</v>
      </c>
      <c r="F2074" s="504" t="s">
        <v>545</v>
      </c>
      <c r="G2074" s="504" t="s">
        <v>546</v>
      </c>
      <c r="H2074" s="504" t="s">
        <v>5000</v>
      </c>
      <c r="I2074" s="504">
        <v>13</v>
      </c>
      <c r="J2074" s="504">
        <v>0</v>
      </c>
      <c r="K2074" s="504">
        <v>0</v>
      </c>
      <c r="L2074" s="504">
        <v>13</v>
      </c>
      <c r="M2074" s="504">
        <v>0</v>
      </c>
      <c r="N2074" s="504">
        <v>0</v>
      </c>
      <c r="O2074" s="505">
        <v>0</v>
      </c>
    </row>
    <row r="2075" spans="1:15" x14ac:dyDescent="0.35">
      <c r="A2075" s="500" t="s">
        <v>1228</v>
      </c>
      <c r="B2075" s="501" t="s">
        <v>3321</v>
      </c>
      <c r="C2075" s="501" t="s">
        <v>1094</v>
      </c>
      <c r="D2075" s="501" t="s">
        <v>3380</v>
      </c>
      <c r="E2075" s="501" t="s">
        <v>3381</v>
      </c>
      <c r="F2075" s="501" t="s">
        <v>545</v>
      </c>
      <c r="G2075" s="501" t="s">
        <v>546</v>
      </c>
      <c r="H2075" s="501" t="s">
        <v>5001</v>
      </c>
      <c r="I2075" s="501">
        <v>19</v>
      </c>
      <c r="J2075" s="501">
        <v>0</v>
      </c>
      <c r="K2075" s="501">
        <v>0</v>
      </c>
      <c r="L2075" s="501">
        <v>19</v>
      </c>
      <c r="M2075" s="501">
        <v>0</v>
      </c>
      <c r="N2075" s="501">
        <v>0</v>
      </c>
      <c r="O2075" s="506">
        <v>0</v>
      </c>
    </row>
    <row r="2076" spans="1:15" x14ac:dyDescent="0.35">
      <c r="A2076" s="503" t="s">
        <v>1648</v>
      </c>
      <c r="B2076" s="504" t="s">
        <v>2496</v>
      </c>
      <c r="C2076" s="504" t="s">
        <v>1094</v>
      </c>
      <c r="D2076" s="504" t="s">
        <v>3380</v>
      </c>
      <c r="E2076" s="504" t="s">
        <v>3381</v>
      </c>
      <c r="F2076" s="504" t="s">
        <v>545</v>
      </c>
      <c r="G2076" s="504" t="s">
        <v>546</v>
      </c>
      <c r="H2076" s="504" t="s">
        <v>5002</v>
      </c>
      <c r="I2076" s="504">
        <v>74</v>
      </c>
      <c r="J2076" s="504">
        <v>8</v>
      </c>
      <c r="K2076" s="504">
        <v>0</v>
      </c>
      <c r="L2076" s="504">
        <v>58</v>
      </c>
      <c r="M2076" s="504">
        <v>8</v>
      </c>
      <c r="N2076" s="504">
        <v>0</v>
      </c>
      <c r="O2076" s="505">
        <v>0</v>
      </c>
    </row>
    <row r="2077" spans="1:15" x14ac:dyDescent="0.35">
      <c r="A2077" s="500" t="s">
        <v>1124</v>
      </c>
      <c r="B2077" s="501">
        <v>4745</v>
      </c>
      <c r="C2077" s="501" t="s">
        <v>1094</v>
      </c>
      <c r="D2077" s="501" t="s">
        <v>3380</v>
      </c>
      <c r="E2077" s="501" t="s">
        <v>3381</v>
      </c>
      <c r="F2077" s="501" t="s">
        <v>545</v>
      </c>
      <c r="G2077" s="501" t="s">
        <v>546</v>
      </c>
      <c r="H2077" s="501" t="s">
        <v>5003</v>
      </c>
      <c r="I2077" s="501">
        <v>116</v>
      </c>
      <c r="J2077" s="501">
        <v>0</v>
      </c>
      <c r="K2077" s="501">
        <v>0</v>
      </c>
      <c r="L2077" s="501">
        <v>116</v>
      </c>
      <c r="M2077" s="501">
        <v>0</v>
      </c>
      <c r="N2077" s="501">
        <v>0</v>
      </c>
      <c r="O2077" s="506">
        <v>0</v>
      </c>
    </row>
    <row r="2078" spans="1:15" x14ac:dyDescent="0.35">
      <c r="A2078" s="503" t="s">
        <v>1235</v>
      </c>
      <c r="B2078" s="504">
        <v>4684</v>
      </c>
      <c r="C2078" s="504" t="s">
        <v>1094</v>
      </c>
      <c r="D2078" s="504" t="s">
        <v>3380</v>
      </c>
      <c r="E2078" s="504" t="s">
        <v>3381</v>
      </c>
      <c r="F2078" s="504" t="s">
        <v>545</v>
      </c>
      <c r="G2078" s="504" t="s">
        <v>546</v>
      </c>
      <c r="H2078" s="504" t="s">
        <v>12101</v>
      </c>
      <c r="I2078" s="504">
        <v>20</v>
      </c>
      <c r="J2078" s="504">
        <v>0</v>
      </c>
      <c r="K2078" s="504">
        <v>0</v>
      </c>
      <c r="L2078" s="504">
        <v>20</v>
      </c>
      <c r="M2078" s="504">
        <v>0</v>
      </c>
      <c r="N2078" s="504">
        <v>0</v>
      </c>
      <c r="O2078" s="505">
        <v>0</v>
      </c>
    </row>
    <row r="2079" spans="1:15" x14ac:dyDescent="0.35">
      <c r="A2079" s="500" t="s">
        <v>1650</v>
      </c>
      <c r="B2079" s="501" t="s">
        <v>2580</v>
      </c>
      <c r="C2079" s="501" t="s">
        <v>1089</v>
      </c>
      <c r="D2079" s="501" t="s">
        <v>3392</v>
      </c>
      <c r="E2079" s="501" t="s">
        <v>3381</v>
      </c>
      <c r="F2079" s="501" t="s">
        <v>545</v>
      </c>
      <c r="G2079" s="501" t="s">
        <v>546</v>
      </c>
      <c r="H2079" s="501" t="s">
        <v>5004</v>
      </c>
      <c r="I2079" s="501">
        <v>25</v>
      </c>
      <c r="J2079" s="501">
        <v>0</v>
      </c>
      <c r="K2079" s="501">
        <v>0</v>
      </c>
      <c r="L2079" s="501">
        <v>18</v>
      </c>
      <c r="M2079" s="501">
        <v>7</v>
      </c>
      <c r="N2079" s="501">
        <v>0</v>
      </c>
      <c r="O2079" s="506">
        <v>0</v>
      </c>
    </row>
    <row r="2080" spans="1:15" x14ac:dyDescent="0.35">
      <c r="A2080" s="503" t="s">
        <v>1656</v>
      </c>
      <c r="B2080" s="504">
        <v>4756</v>
      </c>
      <c r="C2080" s="504" t="s">
        <v>1089</v>
      </c>
      <c r="D2080" s="504" t="s">
        <v>3392</v>
      </c>
      <c r="E2080" s="504" t="s">
        <v>3381</v>
      </c>
      <c r="F2080" s="504" t="s">
        <v>545</v>
      </c>
      <c r="G2080" s="504" t="s">
        <v>546</v>
      </c>
      <c r="H2080" s="504" t="s">
        <v>5005</v>
      </c>
      <c r="I2080" s="504">
        <v>126</v>
      </c>
      <c r="J2080" s="504">
        <v>6</v>
      </c>
      <c r="K2080" s="504">
        <v>0</v>
      </c>
      <c r="L2080" s="504">
        <v>120</v>
      </c>
      <c r="M2080" s="504">
        <v>0</v>
      </c>
      <c r="N2080" s="504">
        <v>0</v>
      </c>
      <c r="O2080" s="505">
        <v>0</v>
      </c>
    </row>
    <row r="2081" spans="1:15" x14ac:dyDescent="0.35">
      <c r="A2081" s="500" t="s">
        <v>11398</v>
      </c>
      <c r="B2081" s="501" t="s">
        <v>3224</v>
      </c>
      <c r="C2081" s="501" t="s">
        <v>1089</v>
      </c>
      <c r="D2081" s="501" t="s">
        <v>3392</v>
      </c>
      <c r="E2081" s="501" t="s">
        <v>3381</v>
      </c>
      <c r="F2081" s="501" t="s">
        <v>545</v>
      </c>
      <c r="G2081" s="501" t="s">
        <v>546</v>
      </c>
      <c r="H2081" s="501" t="s">
        <v>12204</v>
      </c>
      <c r="I2081" s="501">
        <v>13</v>
      </c>
      <c r="J2081" s="501">
        <v>0</v>
      </c>
      <c r="K2081" s="501">
        <v>0</v>
      </c>
      <c r="L2081" s="501">
        <v>13</v>
      </c>
      <c r="M2081" s="501">
        <v>0</v>
      </c>
      <c r="N2081" s="501">
        <v>0</v>
      </c>
      <c r="O2081" s="506">
        <v>0</v>
      </c>
    </row>
    <row r="2082" spans="1:15" x14ac:dyDescent="0.35">
      <c r="A2082" s="503" t="s">
        <v>1253</v>
      </c>
      <c r="B2082" s="504" t="s">
        <v>3232</v>
      </c>
      <c r="C2082" s="504" t="s">
        <v>1094</v>
      </c>
      <c r="D2082" s="504" t="s">
        <v>3380</v>
      </c>
      <c r="E2082" s="504" t="s">
        <v>3381</v>
      </c>
      <c r="F2082" s="504" t="s">
        <v>545</v>
      </c>
      <c r="G2082" s="504" t="s">
        <v>546</v>
      </c>
      <c r="H2082" s="504" t="s">
        <v>5006</v>
      </c>
      <c r="I2082" s="504">
        <v>450</v>
      </c>
      <c r="J2082" s="504">
        <v>305</v>
      </c>
      <c r="K2082" s="504">
        <v>0</v>
      </c>
      <c r="L2082" s="504">
        <v>94</v>
      </c>
      <c r="M2082" s="504">
        <v>0</v>
      </c>
      <c r="N2082" s="504">
        <v>0</v>
      </c>
      <c r="O2082" s="505">
        <v>51</v>
      </c>
    </row>
    <row r="2083" spans="1:15" x14ac:dyDescent="0.35">
      <c r="A2083" s="500" t="s">
        <v>1368</v>
      </c>
      <c r="B2083" s="501" t="s">
        <v>3220</v>
      </c>
      <c r="C2083" s="501" t="s">
        <v>1094</v>
      </c>
      <c r="D2083" s="501" t="s">
        <v>3380</v>
      </c>
      <c r="E2083" s="501" t="s">
        <v>3381</v>
      </c>
      <c r="F2083" s="501" t="s">
        <v>545</v>
      </c>
      <c r="G2083" s="501" t="s">
        <v>546</v>
      </c>
      <c r="H2083" s="501" t="s">
        <v>5007</v>
      </c>
      <c r="I2083" s="501">
        <v>458</v>
      </c>
      <c r="J2083" s="501">
        <v>325</v>
      </c>
      <c r="K2083" s="501">
        <v>0</v>
      </c>
      <c r="L2083" s="501">
        <v>19</v>
      </c>
      <c r="M2083" s="501">
        <v>45</v>
      </c>
      <c r="N2083" s="501">
        <v>0</v>
      </c>
      <c r="O2083" s="506">
        <v>69</v>
      </c>
    </row>
    <row r="2084" spans="1:15" x14ac:dyDescent="0.35">
      <c r="A2084" s="503" t="s">
        <v>1262</v>
      </c>
      <c r="B2084" s="504">
        <v>4772</v>
      </c>
      <c r="C2084" s="504" t="s">
        <v>1089</v>
      </c>
      <c r="D2084" s="504" t="s">
        <v>3392</v>
      </c>
      <c r="E2084" s="504" t="s">
        <v>3381</v>
      </c>
      <c r="F2084" s="504" t="s">
        <v>545</v>
      </c>
      <c r="G2084" s="504" t="s">
        <v>546</v>
      </c>
      <c r="H2084" s="504" t="s">
        <v>5008</v>
      </c>
      <c r="I2084" s="504">
        <v>14</v>
      </c>
      <c r="J2084" s="504">
        <v>0</v>
      </c>
      <c r="K2084" s="504">
        <v>0</v>
      </c>
      <c r="L2084" s="504">
        <v>14</v>
      </c>
      <c r="M2084" s="504">
        <v>0</v>
      </c>
      <c r="N2084" s="504">
        <v>0</v>
      </c>
      <c r="O2084" s="505">
        <v>0</v>
      </c>
    </row>
    <row r="2085" spans="1:15" x14ac:dyDescent="0.35">
      <c r="A2085" s="500" t="s">
        <v>1665</v>
      </c>
      <c r="B2085" s="501" t="s">
        <v>2453</v>
      </c>
      <c r="C2085" s="501" t="s">
        <v>1089</v>
      </c>
      <c r="D2085" s="501" t="s">
        <v>3392</v>
      </c>
      <c r="E2085" s="501" t="s">
        <v>3381</v>
      </c>
      <c r="F2085" s="501" t="s">
        <v>545</v>
      </c>
      <c r="G2085" s="501" t="s">
        <v>546</v>
      </c>
      <c r="H2085" s="501" t="s">
        <v>5009</v>
      </c>
      <c r="I2085" s="501">
        <v>7</v>
      </c>
      <c r="J2085" s="501">
        <v>7</v>
      </c>
      <c r="K2085" s="501">
        <v>0</v>
      </c>
      <c r="L2085" s="501">
        <v>0</v>
      </c>
      <c r="M2085" s="501">
        <v>0</v>
      </c>
      <c r="N2085" s="501">
        <v>0</v>
      </c>
      <c r="O2085" s="506">
        <v>0</v>
      </c>
    </row>
    <row r="2086" spans="1:15" x14ac:dyDescent="0.35">
      <c r="A2086" s="503" t="s">
        <v>1093</v>
      </c>
      <c r="B2086" s="504" t="s">
        <v>3248</v>
      </c>
      <c r="C2086" s="504" t="s">
        <v>1094</v>
      </c>
      <c r="D2086" s="504" t="s">
        <v>3380</v>
      </c>
      <c r="E2086" s="504" t="s">
        <v>3381</v>
      </c>
      <c r="F2086" s="504" t="s">
        <v>547</v>
      </c>
      <c r="G2086" s="504" t="s">
        <v>548</v>
      </c>
      <c r="H2086" s="504" t="s">
        <v>5010</v>
      </c>
      <c r="I2086" s="504">
        <v>13</v>
      </c>
      <c r="J2086" s="504">
        <v>0</v>
      </c>
      <c r="K2086" s="504">
        <v>0</v>
      </c>
      <c r="L2086" s="504">
        <v>0</v>
      </c>
      <c r="M2086" s="504">
        <v>0</v>
      </c>
      <c r="N2086" s="504">
        <v>0</v>
      </c>
      <c r="O2086" s="505">
        <v>13</v>
      </c>
    </row>
    <row r="2087" spans="1:15" x14ac:dyDescent="0.35">
      <c r="A2087" s="500" t="s">
        <v>1096</v>
      </c>
      <c r="B2087" s="501" t="s">
        <v>3326</v>
      </c>
      <c r="C2087" s="501" t="s">
        <v>1094</v>
      </c>
      <c r="D2087" s="501" t="s">
        <v>3380</v>
      </c>
      <c r="E2087" s="501" t="s">
        <v>3381</v>
      </c>
      <c r="F2087" s="501" t="s">
        <v>547</v>
      </c>
      <c r="G2087" s="501" t="s">
        <v>548</v>
      </c>
      <c r="H2087" s="501" t="s">
        <v>5011</v>
      </c>
      <c r="I2087" s="501">
        <v>184</v>
      </c>
      <c r="J2087" s="501">
        <v>0</v>
      </c>
      <c r="K2087" s="501">
        <v>0</v>
      </c>
      <c r="L2087" s="501">
        <v>0</v>
      </c>
      <c r="M2087" s="501">
        <v>184</v>
      </c>
      <c r="N2087" s="501">
        <v>0</v>
      </c>
      <c r="O2087" s="506">
        <v>0</v>
      </c>
    </row>
    <row r="2088" spans="1:15" x14ac:dyDescent="0.35">
      <c r="A2088" s="503" t="s">
        <v>1948</v>
      </c>
      <c r="B2088" s="504">
        <v>4716</v>
      </c>
      <c r="C2088" s="504" t="s">
        <v>1089</v>
      </c>
      <c r="D2088" s="504" t="s">
        <v>3392</v>
      </c>
      <c r="E2088" s="504" t="s">
        <v>3381</v>
      </c>
      <c r="F2088" s="504" t="s">
        <v>547</v>
      </c>
      <c r="G2088" s="504" t="s">
        <v>548</v>
      </c>
      <c r="H2088" s="504" t="s">
        <v>11497</v>
      </c>
      <c r="I2088" s="504">
        <v>81</v>
      </c>
      <c r="J2088" s="504">
        <v>0</v>
      </c>
      <c r="K2088" s="504">
        <v>0</v>
      </c>
      <c r="L2088" s="504">
        <v>81</v>
      </c>
      <c r="M2088" s="504">
        <v>0</v>
      </c>
      <c r="N2088" s="504">
        <v>0</v>
      </c>
      <c r="O2088" s="505">
        <v>0</v>
      </c>
    </row>
    <row r="2089" spans="1:15" x14ac:dyDescent="0.35">
      <c r="A2089" s="500" t="s">
        <v>11363</v>
      </c>
      <c r="B2089" s="501">
        <v>4718</v>
      </c>
      <c r="C2089" s="501" t="s">
        <v>1094</v>
      </c>
      <c r="D2089" s="501" t="s">
        <v>3380</v>
      </c>
      <c r="E2089" s="501" t="s">
        <v>3381</v>
      </c>
      <c r="F2089" s="501" t="s">
        <v>547</v>
      </c>
      <c r="G2089" s="501" t="s">
        <v>548</v>
      </c>
      <c r="H2089" s="501" t="s">
        <v>11529</v>
      </c>
      <c r="I2089" s="501">
        <v>9</v>
      </c>
      <c r="J2089" s="501">
        <v>0</v>
      </c>
      <c r="K2089" s="501">
        <v>0</v>
      </c>
      <c r="L2089" s="501">
        <v>9</v>
      </c>
      <c r="M2089" s="501">
        <v>0</v>
      </c>
      <c r="N2089" s="501">
        <v>0</v>
      </c>
      <c r="O2089" s="506">
        <v>0</v>
      </c>
    </row>
    <row r="2090" spans="1:15" x14ac:dyDescent="0.35">
      <c r="A2090" s="503" t="s">
        <v>1961</v>
      </c>
      <c r="B2090" s="504">
        <v>5075</v>
      </c>
      <c r="C2090" s="504" t="s">
        <v>1094</v>
      </c>
      <c r="D2090" s="504" t="s">
        <v>3380</v>
      </c>
      <c r="E2090" s="504" t="s">
        <v>3381</v>
      </c>
      <c r="F2090" s="504" t="s">
        <v>547</v>
      </c>
      <c r="G2090" s="504" t="s">
        <v>548</v>
      </c>
      <c r="H2090" s="504" t="s">
        <v>5012</v>
      </c>
      <c r="I2090" s="504">
        <v>16540</v>
      </c>
      <c r="J2090" s="504">
        <v>15894</v>
      </c>
      <c r="K2090" s="504">
        <v>0</v>
      </c>
      <c r="L2090" s="504">
        <v>133</v>
      </c>
      <c r="M2090" s="504">
        <v>440</v>
      </c>
      <c r="N2090" s="504">
        <v>0</v>
      </c>
      <c r="O2090" s="505">
        <v>73</v>
      </c>
    </row>
    <row r="2091" spans="1:15" x14ac:dyDescent="0.35">
      <c r="A2091" s="500" t="s">
        <v>1100</v>
      </c>
      <c r="B2091" s="501">
        <v>4865</v>
      </c>
      <c r="C2091" s="501" t="s">
        <v>1094</v>
      </c>
      <c r="D2091" s="501" t="s">
        <v>3380</v>
      </c>
      <c r="E2091" s="501" t="s">
        <v>3381</v>
      </c>
      <c r="F2091" s="501" t="s">
        <v>547</v>
      </c>
      <c r="G2091" s="501" t="s">
        <v>548</v>
      </c>
      <c r="H2091" s="501" t="s">
        <v>5013</v>
      </c>
      <c r="I2091" s="501">
        <v>544</v>
      </c>
      <c r="J2091" s="501">
        <v>490</v>
      </c>
      <c r="K2091" s="501">
        <v>0</v>
      </c>
      <c r="L2091" s="501">
        <v>1</v>
      </c>
      <c r="M2091" s="501">
        <v>0</v>
      </c>
      <c r="N2091" s="501">
        <v>0</v>
      </c>
      <c r="O2091" s="506">
        <v>53</v>
      </c>
    </row>
    <row r="2092" spans="1:15" x14ac:dyDescent="0.35">
      <c r="A2092" s="503" t="s">
        <v>2076</v>
      </c>
      <c r="B2092" s="504" t="s">
        <v>2452</v>
      </c>
      <c r="C2092" s="504" t="s">
        <v>1089</v>
      </c>
      <c r="D2092" s="504" t="s">
        <v>3392</v>
      </c>
      <c r="E2092" s="504" t="s">
        <v>3381</v>
      </c>
      <c r="F2092" s="504" t="s">
        <v>547</v>
      </c>
      <c r="G2092" s="504" t="s">
        <v>548</v>
      </c>
      <c r="H2092" s="504" t="s">
        <v>5014</v>
      </c>
      <c r="I2092" s="504">
        <v>118</v>
      </c>
      <c r="J2092" s="504">
        <v>0</v>
      </c>
      <c r="K2092" s="504">
        <v>0</v>
      </c>
      <c r="L2092" s="504">
        <v>0</v>
      </c>
      <c r="M2092" s="504">
        <v>118</v>
      </c>
      <c r="N2092" s="504">
        <v>0</v>
      </c>
      <c r="O2092" s="505">
        <v>0</v>
      </c>
    </row>
    <row r="2093" spans="1:15" x14ac:dyDescent="0.35">
      <c r="A2093" s="500" t="s">
        <v>1172</v>
      </c>
      <c r="B2093" s="501">
        <v>4648</v>
      </c>
      <c r="C2093" s="501" t="s">
        <v>1089</v>
      </c>
      <c r="D2093" s="501" t="s">
        <v>3392</v>
      </c>
      <c r="E2093" s="501" t="s">
        <v>3381</v>
      </c>
      <c r="F2093" s="501" t="s">
        <v>547</v>
      </c>
      <c r="G2093" s="501" t="s">
        <v>548</v>
      </c>
      <c r="H2093" s="501" t="s">
        <v>5015</v>
      </c>
      <c r="I2093" s="501">
        <v>13</v>
      </c>
      <c r="J2093" s="501">
        <v>0</v>
      </c>
      <c r="K2093" s="501">
        <v>0</v>
      </c>
      <c r="L2093" s="501">
        <v>13</v>
      </c>
      <c r="M2093" s="501">
        <v>0</v>
      </c>
      <c r="N2093" s="501">
        <v>0</v>
      </c>
      <c r="O2093" s="506">
        <v>0</v>
      </c>
    </row>
    <row r="2094" spans="1:15" x14ac:dyDescent="0.35">
      <c r="A2094" s="503" t="s">
        <v>1832</v>
      </c>
      <c r="B2094" s="504">
        <v>4797</v>
      </c>
      <c r="C2094" s="504" t="s">
        <v>1089</v>
      </c>
      <c r="D2094" s="504" t="s">
        <v>3392</v>
      </c>
      <c r="E2094" s="504" t="s">
        <v>3381</v>
      </c>
      <c r="F2094" s="504" t="s">
        <v>547</v>
      </c>
      <c r="G2094" s="504" t="s">
        <v>548</v>
      </c>
      <c r="H2094" s="504" t="s">
        <v>5016</v>
      </c>
      <c r="I2094" s="504">
        <v>13</v>
      </c>
      <c r="J2094" s="504">
        <v>0</v>
      </c>
      <c r="K2094" s="504">
        <v>0</v>
      </c>
      <c r="L2094" s="504">
        <v>13</v>
      </c>
      <c r="M2094" s="504">
        <v>0</v>
      </c>
      <c r="N2094" s="504">
        <v>0</v>
      </c>
      <c r="O2094" s="505">
        <v>0</v>
      </c>
    </row>
    <row r="2095" spans="1:15" x14ac:dyDescent="0.35">
      <c r="A2095" s="500" t="s">
        <v>14208</v>
      </c>
      <c r="B2095" s="501">
        <v>4803</v>
      </c>
      <c r="C2095" s="501" t="s">
        <v>1094</v>
      </c>
      <c r="D2095" s="501" t="s">
        <v>3380</v>
      </c>
      <c r="E2095" s="501" t="s">
        <v>3381</v>
      </c>
      <c r="F2095" s="501" t="s">
        <v>547</v>
      </c>
      <c r="G2095" s="501" t="s">
        <v>548</v>
      </c>
      <c r="H2095" s="501" t="s">
        <v>14600</v>
      </c>
      <c r="I2095" s="501">
        <v>6</v>
      </c>
      <c r="J2095" s="501">
        <v>0</v>
      </c>
      <c r="K2095" s="501">
        <v>0</v>
      </c>
      <c r="L2095" s="501">
        <v>6</v>
      </c>
      <c r="M2095" s="501">
        <v>0</v>
      </c>
      <c r="N2095" s="501">
        <v>0</v>
      </c>
      <c r="O2095" s="506">
        <v>0</v>
      </c>
    </row>
    <row r="2096" spans="1:15" x14ac:dyDescent="0.35">
      <c r="A2096" s="503" t="s">
        <v>14213</v>
      </c>
      <c r="B2096" s="504" t="s">
        <v>3312</v>
      </c>
      <c r="C2096" s="504" t="s">
        <v>1094</v>
      </c>
      <c r="D2096" s="504" t="s">
        <v>3380</v>
      </c>
      <c r="E2096" s="504" t="s">
        <v>3381</v>
      </c>
      <c r="F2096" s="504" t="s">
        <v>547</v>
      </c>
      <c r="G2096" s="504" t="s">
        <v>548</v>
      </c>
      <c r="H2096" s="504" t="s">
        <v>14601</v>
      </c>
      <c r="I2096" s="504">
        <v>612</v>
      </c>
      <c r="J2096" s="504">
        <v>481</v>
      </c>
      <c r="K2096" s="504">
        <v>0</v>
      </c>
      <c r="L2096" s="504">
        <v>33</v>
      </c>
      <c r="M2096" s="504">
        <v>82</v>
      </c>
      <c r="N2096" s="504">
        <v>0</v>
      </c>
      <c r="O2096" s="505">
        <v>16</v>
      </c>
    </row>
    <row r="2097" spans="1:15" x14ac:dyDescent="0.35">
      <c r="A2097" s="500" t="s">
        <v>1185</v>
      </c>
      <c r="B2097" s="501" t="s">
        <v>3253</v>
      </c>
      <c r="C2097" s="501" t="s">
        <v>1094</v>
      </c>
      <c r="D2097" s="501" t="s">
        <v>3380</v>
      </c>
      <c r="E2097" s="501" t="s">
        <v>3381</v>
      </c>
      <c r="F2097" s="501" t="s">
        <v>547</v>
      </c>
      <c r="G2097" s="501" t="s">
        <v>548</v>
      </c>
      <c r="H2097" s="501" t="s">
        <v>5017</v>
      </c>
      <c r="I2097" s="501">
        <v>2</v>
      </c>
      <c r="J2097" s="501">
        <v>0</v>
      </c>
      <c r="K2097" s="501">
        <v>0</v>
      </c>
      <c r="L2097" s="501">
        <v>2</v>
      </c>
      <c r="M2097" s="501">
        <v>0</v>
      </c>
      <c r="N2097" s="501">
        <v>0</v>
      </c>
      <c r="O2097" s="506">
        <v>0</v>
      </c>
    </row>
    <row r="2098" spans="1:15" x14ac:dyDescent="0.35">
      <c r="A2098" s="503" t="s">
        <v>2083</v>
      </c>
      <c r="B2098" s="504">
        <v>4783</v>
      </c>
      <c r="C2098" s="504" t="s">
        <v>1089</v>
      </c>
      <c r="D2098" s="504" t="s">
        <v>3392</v>
      </c>
      <c r="E2098" s="504" t="s">
        <v>3381</v>
      </c>
      <c r="F2098" s="504" t="s">
        <v>547</v>
      </c>
      <c r="G2098" s="504" t="s">
        <v>548</v>
      </c>
      <c r="H2098" s="504" t="s">
        <v>14602</v>
      </c>
      <c r="I2098" s="504">
        <v>62</v>
      </c>
      <c r="J2098" s="504">
        <v>8</v>
      </c>
      <c r="K2098" s="504">
        <v>0</v>
      </c>
      <c r="L2098" s="504">
        <v>54</v>
      </c>
      <c r="M2098" s="504">
        <v>0</v>
      </c>
      <c r="N2098" s="504">
        <v>0</v>
      </c>
      <c r="O2098" s="505">
        <v>0</v>
      </c>
    </row>
    <row r="2099" spans="1:15" x14ac:dyDescent="0.35">
      <c r="A2099" s="500" t="s">
        <v>1105</v>
      </c>
      <c r="B2099" s="501">
        <v>4668</v>
      </c>
      <c r="C2099" s="501" t="s">
        <v>1094</v>
      </c>
      <c r="D2099" s="501" t="s">
        <v>3380</v>
      </c>
      <c r="E2099" s="501" t="s">
        <v>3381</v>
      </c>
      <c r="F2099" s="501" t="s">
        <v>547</v>
      </c>
      <c r="G2099" s="501" t="s">
        <v>548</v>
      </c>
      <c r="H2099" s="501" t="s">
        <v>5018</v>
      </c>
      <c r="I2099" s="501">
        <v>3</v>
      </c>
      <c r="J2099" s="501">
        <v>0</v>
      </c>
      <c r="K2099" s="501">
        <v>0</v>
      </c>
      <c r="L2099" s="501">
        <v>0</v>
      </c>
      <c r="M2099" s="501">
        <v>0</v>
      </c>
      <c r="N2099" s="501">
        <v>0</v>
      </c>
      <c r="O2099" s="506">
        <v>3</v>
      </c>
    </row>
    <row r="2100" spans="1:15" x14ac:dyDescent="0.35">
      <c r="A2100" s="503" t="s">
        <v>1107</v>
      </c>
      <c r="B2100" s="504" t="s">
        <v>3109</v>
      </c>
      <c r="C2100" s="504" t="s">
        <v>1094</v>
      </c>
      <c r="D2100" s="504" t="s">
        <v>3380</v>
      </c>
      <c r="E2100" s="504" t="s">
        <v>3381</v>
      </c>
      <c r="F2100" s="504" t="s">
        <v>547</v>
      </c>
      <c r="G2100" s="504" t="s">
        <v>548</v>
      </c>
      <c r="H2100" s="504" t="s">
        <v>5019</v>
      </c>
      <c r="I2100" s="504">
        <v>13</v>
      </c>
      <c r="J2100" s="504">
        <v>0</v>
      </c>
      <c r="K2100" s="504">
        <v>0</v>
      </c>
      <c r="L2100" s="504">
        <v>13</v>
      </c>
      <c r="M2100" s="504">
        <v>0</v>
      </c>
      <c r="N2100" s="504">
        <v>0</v>
      </c>
      <c r="O2100" s="505">
        <v>0</v>
      </c>
    </row>
    <row r="2101" spans="1:15" x14ac:dyDescent="0.35">
      <c r="A2101" s="500" t="s">
        <v>1109</v>
      </c>
      <c r="B2101" s="501" t="s">
        <v>2959</v>
      </c>
      <c r="C2101" s="501" t="s">
        <v>1094</v>
      </c>
      <c r="D2101" s="501" t="s">
        <v>3380</v>
      </c>
      <c r="E2101" s="501" t="s">
        <v>3381</v>
      </c>
      <c r="F2101" s="501" t="s">
        <v>547</v>
      </c>
      <c r="G2101" s="501" t="s">
        <v>548</v>
      </c>
      <c r="H2101" s="501" t="s">
        <v>5020</v>
      </c>
      <c r="I2101" s="501">
        <v>19</v>
      </c>
      <c r="J2101" s="501">
        <v>0</v>
      </c>
      <c r="K2101" s="501">
        <v>0</v>
      </c>
      <c r="L2101" s="501">
        <v>0</v>
      </c>
      <c r="M2101" s="501">
        <v>19</v>
      </c>
      <c r="N2101" s="501">
        <v>0</v>
      </c>
      <c r="O2101" s="506">
        <v>0</v>
      </c>
    </row>
    <row r="2102" spans="1:15" x14ac:dyDescent="0.35">
      <c r="A2102" s="503" t="s">
        <v>1634</v>
      </c>
      <c r="B2102" s="504">
        <v>4822</v>
      </c>
      <c r="C2102" s="504" t="s">
        <v>1089</v>
      </c>
      <c r="D2102" s="504" t="s">
        <v>3392</v>
      </c>
      <c r="E2102" s="504" t="s">
        <v>3381</v>
      </c>
      <c r="F2102" s="504" t="s">
        <v>547</v>
      </c>
      <c r="G2102" s="504" t="s">
        <v>548</v>
      </c>
      <c r="H2102" s="504" t="s">
        <v>5021</v>
      </c>
      <c r="I2102" s="504">
        <v>3</v>
      </c>
      <c r="J2102" s="504">
        <v>0</v>
      </c>
      <c r="K2102" s="504">
        <v>0</v>
      </c>
      <c r="L2102" s="504">
        <v>3</v>
      </c>
      <c r="M2102" s="504">
        <v>0</v>
      </c>
      <c r="N2102" s="504">
        <v>0</v>
      </c>
      <c r="O2102" s="505">
        <v>0</v>
      </c>
    </row>
    <row r="2103" spans="1:15" x14ac:dyDescent="0.35">
      <c r="A2103" s="500" t="s">
        <v>1190</v>
      </c>
      <c r="B2103" s="501">
        <v>4662</v>
      </c>
      <c r="C2103" s="501" t="s">
        <v>1094</v>
      </c>
      <c r="D2103" s="501" t="s">
        <v>3380</v>
      </c>
      <c r="E2103" s="501" t="s">
        <v>3381</v>
      </c>
      <c r="F2103" s="501" t="s">
        <v>547</v>
      </c>
      <c r="G2103" s="501" t="s">
        <v>548</v>
      </c>
      <c r="H2103" s="501" t="s">
        <v>5022</v>
      </c>
      <c r="I2103" s="501">
        <v>50</v>
      </c>
      <c r="J2103" s="501">
        <v>0</v>
      </c>
      <c r="K2103" s="501">
        <v>0</v>
      </c>
      <c r="L2103" s="501">
        <v>50</v>
      </c>
      <c r="M2103" s="501">
        <v>0</v>
      </c>
      <c r="N2103" s="501">
        <v>0</v>
      </c>
      <c r="O2103" s="506">
        <v>0</v>
      </c>
    </row>
    <row r="2104" spans="1:15" x14ac:dyDescent="0.35">
      <c r="A2104" s="503" t="s">
        <v>1195</v>
      </c>
      <c r="B2104" s="504">
        <v>4693</v>
      </c>
      <c r="C2104" s="504" t="s">
        <v>1089</v>
      </c>
      <c r="D2104" s="504" t="s">
        <v>3392</v>
      </c>
      <c r="E2104" s="504" t="s">
        <v>3381</v>
      </c>
      <c r="F2104" s="504" t="s">
        <v>547</v>
      </c>
      <c r="G2104" s="504" t="s">
        <v>548</v>
      </c>
      <c r="H2104" s="504" t="s">
        <v>5023</v>
      </c>
      <c r="I2104" s="504">
        <v>37</v>
      </c>
      <c r="J2104" s="504">
        <v>0</v>
      </c>
      <c r="K2104" s="504">
        <v>0</v>
      </c>
      <c r="L2104" s="504">
        <v>37</v>
      </c>
      <c r="M2104" s="504">
        <v>0</v>
      </c>
      <c r="N2104" s="504">
        <v>0</v>
      </c>
      <c r="O2104" s="505">
        <v>0</v>
      </c>
    </row>
    <row r="2105" spans="1:15" x14ac:dyDescent="0.35">
      <c r="A2105" s="500" t="s">
        <v>1207</v>
      </c>
      <c r="B2105" s="501" t="s">
        <v>3202</v>
      </c>
      <c r="C2105" s="501" t="s">
        <v>1094</v>
      </c>
      <c r="D2105" s="501" t="s">
        <v>3380</v>
      </c>
      <c r="E2105" s="501" t="s">
        <v>3381</v>
      </c>
      <c r="F2105" s="501" t="s">
        <v>547</v>
      </c>
      <c r="G2105" s="501" t="s">
        <v>548</v>
      </c>
      <c r="H2105" s="501" t="s">
        <v>5024</v>
      </c>
      <c r="I2105" s="501">
        <v>3635</v>
      </c>
      <c r="J2105" s="501">
        <v>2763</v>
      </c>
      <c r="K2105" s="501">
        <v>0</v>
      </c>
      <c r="L2105" s="501">
        <v>163</v>
      </c>
      <c r="M2105" s="501">
        <v>503</v>
      </c>
      <c r="N2105" s="501">
        <v>4</v>
      </c>
      <c r="O2105" s="506">
        <v>206</v>
      </c>
    </row>
    <row r="2106" spans="1:15" x14ac:dyDescent="0.35">
      <c r="A2106" s="503" t="s">
        <v>2090</v>
      </c>
      <c r="B2106" s="504" t="s">
        <v>3131</v>
      </c>
      <c r="C2106" s="504" t="s">
        <v>1094</v>
      </c>
      <c r="D2106" s="504" t="s">
        <v>3380</v>
      </c>
      <c r="E2106" s="504" t="s">
        <v>3381</v>
      </c>
      <c r="F2106" s="504" t="s">
        <v>547</v>
      </c>
      <c r="G2106" s="504" t="s">
        <v>548</v>
      </c>
      <c r="H2106" s="504" t="s">
        <v>5025</v>
      </c>
      <c r="I2106" s="504">
        <v>32</v>
      </c>
      <c r="J2106" s="504">
        <v>27</v>
      </c>
      <c r="K2106" s="504">
        <v>0</v>
      </c>
      <c r="L2106" s="504">
        <v>5</v>
      </c>
      <c r="M2106" s="504">
        <v>0</v>
      </c>
      <c r="N2106" s="504">
        <v>0</v>
      </c>
      <c r="O2106" s="505">
        <v>0</v>
      </c>
    </row>
    <row r="2107" spans="1:15" x14ac:dyDescent="0.35">
      <c r="A2107" s="500" t="s">
        <v>1217</v>
      </c>
      <c r="B2107" s="501">
        <v>4851</v>
      </c>
      <c r="C2107" s="501" t="s">
        <v>1094</v>
      </c>
      <c r="D2107" s="501" t="s">
        <v>3380</v>
      </c>
      <c r="E2107" s="501" t="s">
        <v>3381</v>
      </c>
      <c r="F2107" s="501" t="s">
        <v>547</v>
      </c>
      <c r="G2107" s="501" t="s">
        <v>548</v>
      </c>
      <c r="H2107" s="501" t="s">
        <v>5026</v>
      </c>
      <c r="I2107" s="501">
        <v>103</v>
      </c>
      <c r="J2107" s="501">
        <v>76</v>
      </c>
      <c r="K2107" s="501">
        <v>0</v>
      </c>
      <c r="L2107" s="501">
        <v>0</v>
      </c>
      <c r="M2107" s="501">
        <v>0</v>
      </c>
      <c r="N2107" s="501">
        <v>0</v>
      </c>
      <c r="O2107" s="506">
        <v>27</v>
      </c>
    </row>
    <row r="2108" spans="1:15" x14ac:dyDescent="0.35">
      <c r="A2108" s="503" t="s">
        <v>1218</v>
      </c>
      <c r="B2108" s="504" t="s">
        <v>3147</v>
      </c>
      <c r="C2108" s="504" t="s">
        <v>1094</v>
      </c>
      <c r="D2108" s="504" t="s">
        <v>3380</v>
      </c>
      <c r="E2108" s="504" t="s">
        <v>3381</v>
      </c>
      <c r="F2108" s="504" t="s">
        <v>547</v>
      </c>
      <c r="G2108" s="504" t="s">
        <v>548</v>
      </c>
      <c r="H2108" s="504" t="s">
        <v>5027</v>
      </c>
      <c r="I2108" s="504">
        <v>131</v>
      </c>
      <c r="J2108" s="504">
        <v>33</v>
      </c>
      <c r="K2108" s="504">
        <v>0</v>
      </c>
      <c r="L2108" s="504">
        <v>0</v>
      </c>
      <c r="M2108" s="504">
        <v>0</v>
      </c>
      <c r="N2108" s="504">
        <v>0</v>
      </c>
      <c r="O2108" s="505">
        <v>98</v>
      </c>
    </row>
    <row r="2109" spans="1:15" x14ac:dyDescent="0.35">
      <c r="A2109" s="500" t="s">
        <v>11367</v>
      </c>
      <c r="B2109" s="501" t="s">
        <v>3143</v>
      </c>
      <c r="C2109" s="501" t="s">
        <v>1094</v>
      </c>
      <c r="D2109" s="501" t="s">
        <v>3380</v>
      </c>
      <c r="E2109" s="501" t="s">
        <v>3381</v>
      </c>
      <c r="F2109" s="501" t="s">
        <v>547</v>
      </c>
      <c r="G2109" s="501" t="s">
        <v>548</v>
      </c>
      <c r="H2109" s="501" t="s">
        <v>11912</v>
      </c>
      <c r="I2109" s="501">
        <v>1685</v>
      </c>
      <c r="J2109" s="501">
        <v>1366</v>
      </c>
      <c r="K2109" s="501">
        <v>0</v>
      </c>
      <c r="L2109" s="501">
        <v>110</v>
      </c>
      <c r="M2109" s="501">
        <v>209</v>
      </c>
      <c r="N2109" s="501">
        <v>0</v>
      </c>
      <c r="O2109" s="506">
        <v>0</v>
      </c>
    </row>
    <row r="2110" spans="1:15" x14ac:dyDescent="0.35">
      <c r="A2110" s="503" t="s">
        <v>1220</v>
      </c>
      <c r="B2110" s="504">
        <v>4849</v>
      </c>
      <c r="C2110" s="504" t="s">
        <v>1094</v>
      </c>
      <c r="D2110" s="504" t="s">
        <v>3380</v>
      </c>
      <c r="E2110" s="504" t="s">
        <v>3381</v>
      </c>
      <c r="F2110" s="504" t="s">
        <v>547</v>
      </c>
      <c r="G2110" s="504" t="s">
        <v>548</v>
      </c>
      <c r="H2110" s="504" t="s">
        <v>5028</v>
      </c>
      <c r="I2110" s="504">
        <v>85</v>
      </c>
      <c r="J2110" s="504">
        <v>72</v>
      </c>
      <c r="K2110" s="504">
        <v>0</v>
      </c>
      <c r="L2110" s="504">
        <v>0</v>
      </c>
      <c r="M2110" s="504">
        <v>13</v>
      </c>
      <c r="N2110" s="504">
        <v>0</v>
      </c>
      <c r="O2110" s="505">
        <v>0</v>
      </c>
    </row>
    <row r="2111" spans="1:15" x14ac:dyDescent="0.35">
      <c r="A2111" s="500" t="s">
        <v>1122</v>
      </c>
      <c r="B2111" s="501" t="s">
        <v>2994</v>
      </c>
      <c r="C2111" s="501" t="s">
        <v>1094</v>
      </c>
      <c r="D2111" s="501" t="s">
        <v>3380</v>
      </c>
      <c r="E2111" s="501" t="s">
        <v>3381</v>
      </c>
      <c r="F2111" s="501" t="s">
        <v>547</v>
      </c>
      <c r="G2111" s="501" t="s">
        <v>548</v>
      </c>
      <c r="H2111" s="501" t="s">
        <v>5029</v>
      </c>
      <c r="I2111" s="501">
        <v>8</v>
      </c>
      <c r="J2111" s="501">
        <v>0</v>
      </c>
      <c r="K2111" s="501">
        <v>0</v>
      </c>
      <c r="L2111" s="501">
        <v>0</v>
      </c>
      <c r="M2111" s="501">
        <v>0</v>
      </c>
      <c r="N2111" s="501">
        <v>0</v>
      </c>
      <c r="O2111" s="506">
        <v>8</v>
      </c>
    </row>
    <row r="2112" spans="1:15" x14ac:dyDescent="0.35">
      <c r="A2112" s="503" t="s">
        <v>1126</v>
      </c>
      <c r="B2112" s="504" t="s">
        <v>2974</v>
      </c>
      <c r="C2112" s="504" t="s">
        <v>1094</v>
      </c>
      <c r="D2112" s="504" t="s">
        <v>3380</v>
      </c>
      <c r="E2112" s="504" t="s">
        <v>3381</v>
      </c>
      <c r="F2112" s="504" t="s">
        <v>547</v>
      </c>
      <c r="G2112" s="504" t="s">
        <v>548</v>
      </c>
      <c r="H2112" s="504" t="s">
        <v>5030</v>
      </c>
      <c r="I2112" s="504">
        <v>9</v>
      </c>
      <c r="J2112" s="504">
        <v>0</v>
      </c>
      <c r="K2112" s="504">
        <v>0</v>
      </c>
      <c r="L2112" s="504">
        <v>9</v>
      </c>
      <c r="M2112" s="504">
        <v>0</v>
      </c>
      <c r="N2112" s="504">
        <v>0</v>
      </c>
      <c r="O2112" s="505">
        <v>0</v>
      </c>
    </row>
    <row r="2113" spans="1:15" x14ac:dyDescent="0.35">
      <c r="A2113" s="500" t="s">
        <v>2109</v>
      </c>
      <c r="B2113" s="501" t="s">
        <v>2931</v>
      </c>
      <c r="C2113" s="501" t="s">
        <v>1089</v>
      </c>
      <c r="D2113" s="501" t="s">
        <v>3392</v>
      </c>
      <c r="E2113" s="501" t="s">
        <v>3381</v>
      </c>
      <c r="F2113" s="501" t="s">
        <v>547</v>
      </c>
      <c r="G2113" s="501" t="s">
        <v>548</v>
      </c>
      <c r="H2113" s="501" t="s">
        <v>12133</v>
      </c>
      <c r="I2113" s="501">
        <v>52</v>
      </c>
      <c r="J2113" s="501">
        <v>0</v>
      </c>
      <c r="K2113" s="501">
        <v>0</v>
      </c>
      <c r="L2113" s="501">
        <v>52</v>
      </c>
      <c r="M2113" s="501">
        <v>0</v>
      </c>
      <c r="N2113" s="501">
        <v>0</v>
      </c>
      <c r="O2113" s="506">
        <v>0</v>
      </c>
    </row>
    <row r="2114" spans="1:15" x14ac:dyDescent="0.35">
      <c r="A2114" s="503" t="s">
        <v>2110</v>
      </c>
      <c r="B2114" s="504" t="s">
        <v>3113</v>
      </c>
      <c r="C2114" s="504" t="s">
        <v>1089</v>
      </c>
      <c r="D2114" s="504" t="s">
        <v>3392</v>
      </c>
      <c r="E2114" s="504" t="s">
        <v>3381</v>
      </c>
      <c r="F2114" s="504" t="s">
        <v>547</v>
      </c>
      <c r="G2114" s="504" t="s">
        <v>548</v>
      </c>
      <c r="H2114" s="504" t="s">
        <v>12139</v>
      </c>
      <c r="I2114" s="504">
        <v>24</v>
      </c>
      <c r="J2114" s="504">
        <v>0</v>
      </c>
      <c r="K2114" s="504">
        <v>0</v>
      </c>
      <c r="L2114" s="504">
        <v>24</v>
      </c>
      <c r="M2114" s="504">
        <v>0</v>
      </c>
      <c r="N2114" s="504">
        <v>0</v>
      </c>
      <c r="O2114" s="505">
        <v>0</v>
      </c>
    </row>
    <row r="2115" spans="1:15" x14ac:dyDescent="0.35">
      <c r="A2115" s="500" t="s">
        <v>2111</v>
      </c>
      <c r="B2115" s="501" t="s">
        <v>2693</v>
      </c>
      <c r="C2115" s="501" t="s">
        <v>1089</v>
      </c>
      <c r="D2115" s="501" t="s">
        <v>3392</v>
      </c>
      <c r="E2115" s="501" t="s">
        <v>3381</v>
      </c>
      <c r="F2115" s="501" t="s">
        <v>547</v>
      </c>
      <c r="G2115" s="501" t="s">
        <v>548</v>
      </c>
      <c r="H2115" s="501" t="s">
        <v>5031</v>
      </c>
      <c r="I2115" s="501">
        <v>125</v>
      </c>
      <c r="J2115" s="501">
        <v>125</v>
      </c>
      <c r="K2115" s="501">
        <v>0</v>
      </c>
      <c r="L2115" s="501">
        <v>0</v>
      </c>
      <c r="M2115" s="501">
        <v>0</v>
      </c>
      <c r="N2115" s="501">
        <v>0</v>
      </c>
      <c r="O2115" s="506">
        <v>0</v>
      </c>
    </row>
    <row r="2116" spans="1:15" x14ac:dyDescent="0.35">
      <c r="A2116" s="503" t="s">
        <v>1240</v>
      </c>
      <c r="B2116" s="504" t="s">
        <v>2972</v>
      </c>
      <c r="C2116" s="504" t="s">
        <v>1094</v>
      </c>
      <c r="D2116" s="504" t="s">
        <v>3380</v>
      </c>
      <c r="E2116" s="504" t="s">
        <v>3381</v>
      </c>
      <c r="F2116" s="504" t="s">
        <v>547</v>
      </c>
      <c r="G2116" s="504" t="s">
        <v>548</v>
      </c>
      <c r="H2116" s="504" t="s">
        <v>5032</v>
      </c>
      <c r="I2116" s="504">
        <v>686</v>
      </c>
      <c r="J2116" s="504">
        <v>535</v>
      </c>
      <c r="K2116" s="504">
        <v>0</v>
      </c>
      <c r="L2116" s="504">
        <v>39</v>
      </c>
      <c r="M2116" s="504">
        <v>32</v>
      </c>
      <c r="N2116" s="504">
        <v>0</v>
      </c>
      <c r="O2116" s="505">
        <v>80</v>
      </c>
    </row>
    <row r="2117" spans="1:15" x14ac:dyDescent="0.35">
      <c r="A2117" s="500" t="s">
        <v>1134</v>
      </c>
      <c r="B2117" s="501" t="s">
        <v>3066</v>
      </c>
      <c r="C2117" s="501" t="s">
        <v>1094</v>
      </c>
      <c r="D2117" s="501" t="s">
        <v>3380</v>
      </c>
      <c r="E2117" s="501" t="s">
        <v>3381</v>
      </c>
      <c r="F2117" s="501" t="s">
        <v>547</v>
      </c>
      <c r="G2117" s="501" t="s">
        <v>548</v>
      </c>
      <c r="H2117" s="501" t="s">
        <v>12153</v>
      </c>
      <c r="I2117" s="501">
        <v>556</v>
      </c>
      <c r="J2117" s="501">
        <v>484</v>
      </c>
      <c r="K2117" s="501">
        <v>0</v>
      </c>
      <c r="L2117" s="501">
        <v>12</v>
      </c>
      <c r="M2117" s="501">
        <v>22</v>
      </c>
      <c r="N2117" s="501">
        <v>0</v>
      </c>
      <c r="O2117" s="506">
        <v>38</v>
      </c>
    </row>
    <row r="2118" spans="1:15" x14ac:dyDescent="0.35">
      <c r="A2118" s="503" t="s">
        <v>1247</v>
      </c>
      <c r="B2118" s="504">
        <v>4838</v>
      </c>
      <c r="C2118" s="504" t="s">
        <v>1089</v>
      </c>
      <c r="D2118" s="504" t="s">
        <v>3392</v>
      </c>
      <c r="E2118" s="504" t="s">
        <v>3381</v>
      </c>
      <c r="F2118" s="504" t="s">
        <v>547</v>
      </c>
      <c r="G2118" s="504" t="s">
        <v>548</v>
      </c>
      <c r="H2118" s="504" t="s">
        <v>14603</v>
      </c>
      <c r="I2118" s="504">
        <v>35</v>
      </c>
      <c r="J2118" s="504">
        <v>0</v>
      </c>
      <c r="K2118" s="504">
        <v>0</v>
      </c>
      <c r="L2118" s="504">
        <v>35</v>
      </c>
      <c r="M2118" s="504">
        <v>0</v>
      </c>
      <c r="N2118" s="504">
        <v>0</v>
      </c>
      <c r="O2118" s="505">
        <v>0</v>
      </c>
    </row>
    <row r="2119" spans="1:15" x14ac:dyDescent="0.35">
      <c r="A2119" s="500" t="s">
        <v>1248</v>
      </c>
      <c r="B2119" s="501">
        <v>4706</v>
      </c>
      <c r="C2119" s="501" t="s">
        <v>1089</v>
      </c>
      <c r="D2119" s="501" t="s">
        <v>3392</v>
      </c>
      <c r="E2119" s="501" t="s">
        <v>3381</v>
      </c>
      <c r="F2119" s="501" t="s">
        <v>547</v>
      </c>
      <c r="G2119" s="501" t="s">
        <v>548</v>
      </c>
      <c r="H2119" s="501" t="s">
        <v>5033</v>
      </c>
      <c r="I2119" s="501">
        <v>91</v>
      </c>
      <c r="J2119" s="501">
        <v>0</v>
      </c>
      <c r="K2119" s="501">
        <v>0</v>
      </c>
      <c r="L2119" s="501">
        <v>0</v>
      </c>
      <c r="M2119" s="501">
        <v>91</v>
      </c>
      <c r="N2119" s="501">
        <v>0</v>
      </c>
      <c r="O2119" s="506">
        <v>0</v>
      </c>
    </row>
    <row r="2120" spans="1:15" x14ac:dyDescent="0.35">
      <c r="A2120" s="503" t="s">
        <v>1260</v>
      </c>
      <c r="B2120" s="504">
        <v>4645</v>
      </c>
      <c r="C2120" s="504" t="s">
        <v>1089</v>
      </c>
      <c r="D2120" s="504" t="s">
        <v>3392</v>
      </c>
      <c r="E2120" s="504" t="s">
        <v>3381</v>
      </c>
      <c r="F2120" s="504" t="s">
        <v>547</v>
      </c>
      <c r="G2120" s="504" t="s">
        <v>548</v>
      </c>
      <c r="H2120" s="504" t="s">
        <v>5034</v>
      </c>
      <c r="I2120" s="504">
        <v>8</v>
      </c>
      <c r="J2120" s="504">
        <v>0</v>
      </c>
      <c r="K2120" s="504">
        <v>0</v>
      </c>
      <c r="L2120" s="504">
        <v>8</v>
      </c>
      <c r="M2120" s="504">
        <v>0</v>
      </c>
      <c r="N2120" s="504">
        <v>0</v>
      </c>
      <c r="O2120" s="505">
        <v>0</v>
      </c>
    </row>
    <row r="2121" spans="1:15" x14ac:dyDescent="0.35">
      <c r="A2121" s="500" t="s">
        <v>1371</v>
      </c>
      <c r="B2121" s="501" t="s">
        <v>2891</v>
      </c>
      <c r="C2121" s="501" t="s">
        <v>1089</v>
      </c>
      <c r="D2121" s="501" t="s">
        <v>3392</v>
      </c>
      <c r="E2121" s="501" t="s">
        <v>3381</v>
      </c>
      <c r="F2121" s="501" t="s">
        <v>547</v>
      </c>
      <c r="G2121" s="501" t="s">
        <v>548</v>
      </c>
      <c r="H2121" s="501" t="s">
        <v>5035</v>
      </c>
      <c r="I2121" s="501">
        <v>1</v>
      </c>
      <c r="J2121" s="501">
        <v>0</v>
      </c>
      <c r="K2121" s="501">
        <v>0</v>
      </c>
      <c r="L2121" s="501">
        <v>1</v>
      </c>
      <c r="M2121" s="501">
        <v>0</v>
      </c>
      <c r="N2121" s="501">
        <v>0</v>
      </c>
      <c r="O2121" s="506">
        <v>0</v>
      </c>
    </row>
    <row r="2122" spans="1:15" x14ac:dyDescent="0.35">
      <c r="A2122" s="503" t="s">
        <v>2134</v>
      </c>
      <c r="B2122" s="504">
        <v>5066</v>
      </c>
      <c r="C2122" s="504" t="s">
        <v>1089</v>
      </c>
      <c r="D2122" s="504" t="s">
        <v>3392</v>
      </c>
      <c r="E2122" s="504" t="s">
        <v>3381</v>
      </c>
      <c r="F2122" s="504" t="s">
        <v>549</v>
      </c>
      <c r="G2122" s="504" t="s">
        <v>550</v>
      </c>
      <c r="H2122" s="504" t="s">
        <v>11484</v>
      </c>
      <c r="I2122" s="504">
        <v>12</v>
      </c>
      <c r="J2122" s="504">
        <v>0</v>
      </c>
      <c r="K2122" s="504">
        <v>0</v>
      </c>
      <c r="L2122" s="504">
        <v>12</v>
      </c>
      <c r="M2122" s="504">
        <v>0</v>
      </c>
      <c r="N2122" s="504">
        <v>0</v>
      </c>
      <c r="O2122" s="505">
        <v>0</v>
      </c>
    </row>
    <row r="2123" spans="1:15" x14ac:dyDescent="0.35">
      <c r="A2123" s="500" t="s">
        <v>1143</v>
      </c>
      <c r="B2123" s="501" t="s">
        <v>3281</v>
      </c>
      <c r="C2123" s="501" t="s">
        <v>1094</v>
      </c>
      <c r="D2123" s="501" t="s">
        <v>3380</v>
      </c>
      <c r="E2123" s="501" t="s">
        <v>3381</v>
      </c>
      <c r="F2123" s="501" t="s">
        <v>549</v>
      </c>
      <c r="G2123" s="501" t="s">
        <v>550</v>
      </c>
      <c r="H2123" s="501" t="s">
        <v>5036</v>
      </c>
      <c r="I2123" s="501">
        <v>83</v>
      </c>
      <c r="J2123" s="501">
        <v>63</v>
      </c>
      <c r="K2123" s="501">
        <v>0</v>
      </c>
      <c r="L2123" s="501">
        <v>0</v>
      </c>
      <c r="M2123" s="501">
        <v>0</v>
      </c>
      <c r="N2123" s="501">
        <v>0</v>
      </c>
      <c r="O2123" s="506">
        <v>20</v>
      </c>
    </row>
    <row r="2124" spans="1:15" x14ac:dyDescent="0.35">
      <c r="A2124" s="503" t="s">
        <v>1096</v>
      </c>
      <c r="B2124" s="504" t="s">
        <v>3326</v>
      </c>
      <c r="C2124" s="504" t="s">
        <v>1094</v>
      </c>
      <c r="D2124" s="504" t="s">
        <v>3380</v>
      </c>
      <c r="E2124" s="504" t="s">
        <v>3381</v>
      </c>
      <c r="F2124" s="504" t="s">
        <v>549</v>
      </c>
      <c r="G2124" s="504" t="s">
        <v>550</v>
      </c>
      <c r="H2124" s="504" t="s">
        <v>5037</v>
      </c>
      <c r="I2124" s="504">
        <v>108</v>
      </c>
      <c r="J2124" s="504">
        <v>0</v>
      </c>
      <c r="K2124" s="504">
        <v>0</v>
      </c>
      <c r="L2124" s="504">
        <v>0</v>
      </c>
      <c r="M2124" s="504">
        <v>108</v>
      </c>
      <c r="N2124" s="504">
        <v>0</v>
      </c>
      <c r="O2124" s="505">
        <v>0</v>
      </c>
    </row>
    <row r="2125" spans="1:15" x14ac:dyDescent="0.35">
      <c r="A2125" s="500" t="s">
        <v>2140</v>
      </c>
      <c r="B2125" s="501">
        <v>4821</v>
      </c>
      <c r="C2125" s="501" t="s">
        <v>1089</v>
      </c>
      <c r="D2125" s="501" t="s">
        <v>3392</v>
      </c>
      <c r="E2125" s="501" t="s">
        <v>3381</v>
      </c>
      <c r="F2125" s="501" t="s">
        <v>549</v>
      </c>
      <c r="G2125" s="501" t="s">
        <v>550</v>
      </c>
      <c r="H2125" s="501" t="s">
        <v>5038</v>
      </c>
      <c r="I2125" s="501">
        <v>14</v>
      </c>
      <c r="J2125" s="501">
        <v>0</v>
      </c>
      <c r="K2125" s="501">
        <v>0</v>
      </c>
      <c r="L2125" s="501">
        <v>14</v>
      </c>
      <c r="M2125" s="501">
        <v>0</v>
      </c>
      <c r="N2125" s="501">
        <v>0</v>
      </c>
      <c r="O2125" s="506">
        <v>0</v>
      </c>
    </row>
    <row r="2126" spans="1:15" x14ac:dyDescent="0.35">
      <c r="A2126" s="503" t="s">
        <v>14208</v>
      </c>
      <c r="B2126" s="504">
        <v>4803</v>
      </c>
      <c r="C2126" s="504" t="s">
        <v>1094</v>
      </c>
      <c r="D2126" s="504" t="s">
        <v>3380</v>
      </c>
      <c r="E2126" s="504" t="s">
        <v>3381</v>
      </c>
      <c r="F2126" s="504" t="s">
        <v>549</v>
      </c>
      <c r="G2126" s="504" t="s">
        <v>550</v>
      </c>
      <c r="H2126" s="504" t="s">
        <v>14604</v>
      </c>
      <c r="I2126" s="504">
        <v>14</v>
      </c>
      <c r="J2126" s="504">
        <v>0</v>
      </c>
      <c r="K2126" s="504">
        <v>0</v>
      </c>
      <c r="L2126" s="504">
        <v>14</v>
      </c>
      <c r="M2126" s="504">
        <v>0</v>
      </c>
      <c r="N2126" s="504">
        <v>0</v>
      </c>
      <c r="O2126" s="505">
        <v>0</v>
      </c>
    </row>
    <row r="2127" spans="1:15" x14ac:dyDescent="0.35">
      <c r="A2127" s="500" t="s">
        <v>1107</v>
      </c>
      <c r="B2127" s="501" t="s">
        <v>3109</v>
      </c>
      <c r="C2127" s="501" t="s">
        <v>1094</v>
      </c>
      <c r="D2127" s="501" t="s">
        <v>3380</v>
      </c>
      <c r="E2127" s="501" t="s">
        <v>3381</v>
      </c>
      <c r="F2127" s="501" t="s">
        <v>549</v>
      </c>
      <c r="G2127" s="501" t="s">
        <v>550</v>
      </c>
      <c r="H2127" s="501" t="s">
        <v>5039</v>
      </c>
      <c r="I2127" s="501">
        <v>193</v>
      </c>
      <c r="J2127" s="501">
        <v>179</v>
      </c>
      <c r="K2127" s="501">
        <v>0</v>
      </c>
      <c r="L2127" s="501">
        <v>3</v>
      </c>
      <c r="M2127" s="501">
        <v>0</v>
      </c>
      <c r="N2127" s="501">
        <v>1</v>
      </c>
      <c r="O2127" s="506">
        <v>11</v>
      </c>
    </row>
    <row r="2128" spans="1:15" x14ac:dyDescent="0.35">
      <c r="A2128" s="503" t="s">
        <v>1109</v>
      </c>
      <c r="B2128" s="504" t="s">
        <v>2959</v>
      </c>
      <c r="C2128" s="504" t="s">
        <v>1094</v>
      </c>
      <c r="D2128" s="504" t="s">
        <v>3380</v>
      </c>
      <c r="E2128" s="504" t="s">
        <v>3381</v>
      </c>
      <c r="F2128" s="504" t="s">
        <v>549</v>
      </c>
      <c r="G2128" s="504" t="s">
        <v>550</v>
      </c>
      <c r="H2128" s="504" t="s">
        <v>5040</v>
      </c>
      <c r="I2128" s="504">
        <v>180</v>
      </c>
      <c r="J2128" s="504">
        <v>0</v>
      </c>
      <c r="K2128" s="504">
        <v>0</v>
      </c>
      <c r="L2128" s="504">
        <v>0</v>
      </c>
      <c r="M2128" s="504">
        <v>93</v>
      </c>
      <c r="N2128" s="504">
        <v>0</v>
      </c>
      <c r="O2128" s="505">
        <v>87</v>
      </c>
    </row>
    <row r="2129" spans="1:15" x14ac:dyDescent="0.35">
      <c r="A2129" s="500" t="s">
        <v>2161</v>
      </c>
      <c r="B2129" s="501" t="s">
        <v>3205</v>
      </c>
      <c r="C2129" s="501" t="s">
        <v>1094</v>
      </c>
      <c r="D2129" s="501" t="s">
        <v>3380</v>
      </c>
      <c r="E2129" s="501" t="s">
        <v>3381</v>
      </c>
      <c r="F2129" s="501" t="s">
        <v>549</v>
      </c>
      <c r="G2129" s="501" t="s">
        <v>550</v>
      </c>
      <c r="H2129" s="501" t="s">
        <v>5041</v>
      </c>
      <c r="I2129" s="501">
        <v>55</v>
      </c>
      <c r="J2129" s="501">
        <v>46</v>
      </c>
      <c r="K2129" s="501">
        <v>0</v>
      </c>
      <c r="L2129" s="501">
        <v>4</v>
      </c>
      <c r="M2129" s="501">
        <v>0</v>
      </c>
      <c r="N2129" s="501">
        <v>0</v>
      </c>
      <c r="O2129" s="506">
        <v>5</v>
      </c>
    </row>
    <row r="2130" spans="1:15" x14ac:dyDescent="0.35">
      <c r="A2130" s="503" t="s">
        <v>11401</v>
      </c>
      <c r="B2130" s="504" t="s">
        <v>3241</v>
      </c>
      <c r="C2130" s="504" t="s">
        <v>1094</v>
      </c>
      <c r="D2130" s="504" t="s">
        <v>3380</v>
      </c>
      <c r="E2130" s="504" t="s">
        <v>3381</v>
      </c>
      <c r="F2130" s="504" t="s">
        <v>549</v>
      </c>
      <c r="G2130" s="504" t="s">
        <v>550</v>
      </c>
      <c r="H2130" s="504" t="s">
        <v>11779</v>
      </c>
      <c r="I2130" s="504">
        <v>20</v>
      </c>
      <c r="J2130" s="504">
        <v>9</v>
      </c>
      <c r="K2130" s="504">
        <v>0</v>
      </c>
      <c r="L2130" s="504">
        <v>0</v>
      </c>
      <c r="M2130" s="504">
        <v>0</v>
      </c>
      <c r="N2130" s="504">
        <v>0</v>
      </c>
      <c r="O2130" s="505">
        <v>11</v>
      </c>
    </row>
    <row r="2131" spans="1:15" x14ac:dyDescent="0.35">
      <c r="A2131" s="500" t="s">
        <v>1732</v>
      </c>
      <c r="B2131" s="501" t="s">
        <v>3132</v>
      </c>
      <c r="C2131" s="501" t="s">
        <v>1089</v>
      </c>
      <c r="D2131" s="501" t="s">
        <v>3392</v>
      </c>
      <c r="E2131" s="501" t="s">
        <v>3381</v>
      </c>
      <c r="F2131" s="501" t="s">
        <v>549</v>
      </c>
      <c r="G2131" s="501" t="s">
        <v>550</v>
      </c>
      <c r="H2131" s="501" t="s">
        <v>5042</v>
      </c>
      <c r="I2131" s="501">
        <v>31</v>
      </c>
      <c r="J2131" s="501">
        <v>31</v>
      </c>
      <c r="K2131" s="501">
        <v>0</v>
      </c>
      <c r="L2131" s="501">
        <v>0</v>
      </c>
      <c r="M2131" s="501">
        <v>0</v>
      </c>
      <c r="N2131" s="501">
        <v>0</v>
      </c>
      <c r="O2131" s="506">
        <v>0</v>
      </c>
    </row>
    <row r="2132" spans="1:15" x14ac:dyDescent="0.35">
      <c r="A2132" s="503" t="s">
        <v>2167</v>
      </c>
      <c r="B2132" s="504" t="s">
        <v>3126</v>
      </c>
      <c r="C2132" s="504" t="s">
        <v>1094</v>
      </c>
      <c r="D2132" s="504" t="s">
        <v>3380</v>
      </c>
      <c r="E2132" s="504" t="s">
        <v>3381</v>
      </c>
      <c r="F2132" s="504" t="s">
        <v>549</v>
      </c>
      <c r="G2132" s="504" t="s">
        <v>550</v>
      </c>
      <c r="H2132" s="504" t="s">
        <v>5043</v>
      </c>
      <c r="I2132" s="504">
        <v>4</v>
      </c>
      <c r="J2132" s="504">
        <v>4</v>
      </c>
      <c r="K2132" s="504">
        <v>0</v>
      </c>
      <c r="L2132" s="504">
        <v>0</v>
      </c>
      <c r="M2132" s="504">
        <v>0</v>
      </c>
      <c r="N2132" s="504">
        <v>0</v>
      </c>
      <c r="O2132" s="505">
        <v>0</v>
      </c>
    </row>
    <row r="2133" spans="1:15" x14ac:dyDescent="0.35">
      <c r="A2133" s="500" t="s">
        <v>1208</v>
      </c>
      <c r="B2133" s="501" t="s">
        <v>3096</v>
      </c>
      <c r="C2133" s="501" t="s">
        <v>1094</v>
      </c>
      <c r="D2133" s="501" t="s">
        <v>3380</v>
      </c>
      <c r="E2133" s="501" t="s">
        <v>3381</v>
      </c>
      <c r="F2133" s="501" t="s">
        <v>549</v>
      </c>
      <c r="G2133" s="501" t="s">
        <v>550</v>
      </c>
      <c r="H2133" s="501" t="s">
        <v>5044</v>
      </c>
      <c r="I2133" s="501">
        <v>86</v>
      </c>
      <c r="J2133" s="501">
        <v>81</v>
      </c>
      <c r="K2133" s="501">
        <v>0</v>
      </c>
      <c r="L2133" s="501">
        <v>0</v>
      </c>
      <c r="M2133" s="501">
        <v>0</v>
      </c>
      <c r="N2133" s="501">
        <v>0</v>
      </c>
      <c r="O2133" s="506">
        <v>5</v>
      </c>
    </row>
    <row r="2134" spans="1:15" x14ac:dyDescent="0.35">
      <c r="A2134" s="503" t="s">
        <v>1122</v>
      </c>
      <c r="B2134" s="504" t="s">
        <v>2994</v>
      </c>
      <c r="C2134" s="504" t="s">
        <v>1094</v>
      </c>
      <c r="D2134" s="504" t="s">
        <v>3380</v>
      </c>
      <c r="E2134" s="504" t="s">
        <v>3381</v>
      </c>
      <c r="F2134" s="504" t="s">
        <v>549</v>
      </c>
      <c r="G2134" s="504" t="s">
        <v>550</v>
      </c>
      <c r="H2134" s="504" t="s">
        <v>5045</v>
      </c>
      <c r="I2134" s="504">
        <v>2</v>
      </c>
      <c r="J2134" s="504">
        <v>1</v>
      </c>
      <c r="K2134" s="504">
        <v>0</v>
      </c>
      <c r="L2134" s="504">
        <v>0</v>
      </c>
      <c r="M2134" s="504">
        <v>0</v>
      </c>
      <c r="N2134" s="504">
        <v>0</v>
      </c>
      <c r="O2134" s="505">
        <v>1</v>
      </c>
    </row>
    <row r="2135" spans="1:15" x14ac:dyDescent="0.35">
      <c r="A2135" s="500" t="s">
        <v>1228</v>
      </c>
      <c r="B2135" s="501" t="s">
        <v>3321</v>
      </c>
      <c r="C2135" s="501" t="s">
        <v>1094</v>
      </c>
      <c r="D2135" s="501" t="s">
        <v>3380</v>
      </c>
      <c r="E2135" s="501" t="s">
        <v>3381</v>
      </c>
      <c r="F2135" s="501" t="s">
        <v>549</v>
      </c>
      <c r="G2135" s="501" t="s">
        <v>550</v>
      </c>
      <c r="H2135" s="501" t="s">
        <v>5046</v>
      </c>
      <c r="I2135" s="501">
        <v>10</v>
      </c>
      <c r="J2135" s="501">
        <v>10</v>
      </c>
      <c r="K2135" s="501">
        <v>0</v>
      </c>
      <c r="L2135" s="501">
        <v>0</v>
      </c>
      <c r="M2135" s="501">
        <v>0</v>
      </c>
      <c r="N2135" s="501">
        <v>0</v>
      </c>
      <c r="O2135" s="506">
        <v>0</v>
      </c>
    </row>
    <row r="2136" spans="1:15" x14ac:dyDescent="0.35">
      <c r="A2136" s="503" t="s">
        <v>1126</v>
      </c>
      <c r="B2136" s="504" t="s">
        <v>2974</v>
      </c>
      <c r="C2136" s="504" t="s">
        <v>1094</v>
      </c>
      <c r="D2136" s="504" t="s">
        <v>3380</v>
      </c>
      <c r="E2136" s="504" t="s">
        <v>3381</v>
      </c>
      <c r="F2136" s="504" t="s">
        <v>549</v>
      </c>
      <c r="G2136" s="504" t="s">
        <v>550</v>
      </c>
      <c r="H2136" s="504" t="s">
        <v>5047</v>
      </c>
      <c r="I2136" s="504">
        <v>99</v>
      </c>
      <c r="J2136" s="504">
        <v>93</v>
      </c>
      <c r="K2136" s="504">
        <v>0</v>
      </c>
      <c r="L2136" s="504">
        <v>6</v>
      </c>
      <c r="M2136" s="504">
        <v>0</v>
      </c>
      <c r="N2136" s="504">
        <v>0</v>
      </c>
      <c r="O2136" s="505">
        <v>0</v>
      </c>
    </row>
    <row r="2137" spans="1:15" x14ac:dyDescent="0.35">
      <c r="A2137" s="500" t="s">
        <v>1240</v>
      </c>
      <c r="B2137" s="501" t="s">
        <v>2972</v>
      </c>
      <c r="C2137" s="501" t="s">
        <v>1094</v>
      </c>
      <c r="D2137" s="501" t="s">
        <v>3380</v>
      </c>
      <c r="E2137" s="501" t="s">
        <v>3381</v>
      </c>
      <c r="F2137" s="501" t="s">
        <v>549</v>
      </c>
      <c r="G2137" s="501" t="s">
        <v>550</v>
      </c>
      <c r="H2137" s="501" t="s">
        <v>5048</v>
      </c>
      <c r="I2137" s="501">
        <v>145</v>
      </c>
      <c r="J2137" s="501">
        <v>139</v>
      </c>
      <c r="K2137" s="501">
        <v>0</v>
      </c>
      <c r="L2137" s="501">
        <v>0</v>
      </c>
      <c r="M2137" s="501">
        <v>0</v>
      </c>
      <c r="N2137" s="501">
        <v>0</v>
      </c>
      <c r="O2137" s="506">
        <v>6</v>
      </c>
    </row>
    <row r="2138" spans="1:15" x14ac:dyDescent="0.35">
      <c r="A2138" s="503" t="s">
        <v>1134</v>
      </c>
      <c r="B2138" s="504" t="s">
        <v>3066</v>
      </c>
      <c r="C2138" s="504" t="s">
        <v>1094</v>
      </c>
      <c r="D2138" s="504" t="s">
        <v>3380</v>
      </c>
      <c r="E2138" s="504" t="s">
        <v>3381</v>
      </c>
      <c r="F2138" s="504" t="s">
        <v>549</v>
      </c>
      <c r="G2138" s="504" t="s">
        <v>550</v>
      </c>
      <c r="H2138" s="504" t="s">
        <v>12154</v>
      </c>
      <c r="I2138" s="504">
        <v>50</v>
      </c>
      <c r="J2138" s="504">
        <v>46</v>
      </c>
      <c r="K2138" s="504">
        <v>0</v>
      </c>
      <c r="L2138" s="504">
        <v>2</v>
      </c>
      <c r="M2138" s="504">
        <v>0</v>
      </c>
      <c r="N2138" s="504">
        <v>0</v>
      </c>
      <c r="O2138" s="505">
        <v>2</v>
      </c>
    </row>
    <row r="2139" spans="1:15" x14ac:dyDescent="0.35">
      <c r="A2139" s="500" t="s">
        <v>1257</v>
      </c>
      <c r="B2139" s="501" t="s">
        <v>3151</v>
      </c>
      <c r="C2139" s="501" t="s">
        <v>1094</v>
      </c>
      <c r="D2139" s="501" t="s">
        <v>3380</v>
      </c>
      <c r="E2139" s="501" t="s">
        <v>3381</v>
      </c>
      <c r="F2139" s="501" t="s">
        <v>549</v>
      </c>
      <c r="G2139" s="501" t="s">
        <v>550</v>
      </c>
      <c r="H2139" s="501" t="s">
        <v>5049</v>
      </c>
      <c r="I2139" s="501">
        <v>43</v>
      </c>
      <c r="J2139" s="501">
        <v>43</v>
      </c>
      <c r="K2139" s="501">
        <v>0</v>
      </c>
      <c r="L2139" s="501">
        <v>0</v>
      </c>
      <c r="M2139" s="501">
        <v>0</v>
      </c>
      <c r="N2139" s="501">
        <v>0</v>
      </c>
      <c r="O2139" s="506">
        <v>0</v>
      </c>
    </row>
    <row r="2140" spans="1:15" x14ac:dyDescent="0.35">
      <c r="A2140" s="503" t="s">
        <v>2187</v>
      </c>
      <c r="B2140" s="504" t="s">
        <v>3193</v>
      </c>
      <c r="C2140" s="504" t="s">
        <v>1094</v>
      </c>
      <c r="D2140" s="504" t="s">
        <v>3380</v>
      </c>
      <c r="E2140" s="504" t="s">
        <v>3381</v>
      </c>
      <c r="F2140" s="504" t="s">
        <v>549</v>
      </c>
      <c r="G2140" s="504" t="s">
        <v>550</v>
      </c>
      <c r="H2140" s="504" t="s">
        <v>5050</v>
      </c>
      <c r="I2140" s="504">
        <v>13</v>
      </c>
      <c r="J2140" s="504">
        <v>8</v>
      </c>
      <c r="K2140" s="504">
        <v>0</v>
      </c>
      <c r="L2140" s="504">
        <v>0</v>
      </c>
      <c r="M2140" s="504">
        <v>0</v>
      </c>
      <c r="N2140" s="504">
        <v>0</v>
      </c>
      <c r="O2140" s="505">
        <v>5</v>
      </c>
    </row>
    <row r="2141" spans="1:15" x14ac:dyDescent="0.35">
      <c r="A2141" s="500" t="s">
        <v>1789</v>
      </c>
      <c r="B2141" s="501" t="s">
        <v>3219</v>
      </c>
      <c r="C2141" s="501" t="s">
        <v>1094</v>
      </c>
      <c r="D2141" s="501" t="s">
        <v>3380</v>
      </c>
      <c r="E2141" s="501" t="s">
        <v>3381</v>
      </c>
      <c r="F2141" s="501" t="s">
        <v>549</v>
      </c>
      <c r="G2141" s="501" t="s">
        <v>550</v>
      </c>
      <c r="H2141" s="501" t="s">
        <v>5051</v>
      </c>
      <c r="I2141" s="501">
        <v>1582</v>
      </c>
      <c r="J2141" s="501">
        <v>1505</v>
      </c>
      <c r="K2141" s="501">
        <v>0</v>
      </c>
      <c r="L2141" s="501">
        <v>16</v>
      </c>
      <c r="M2141" s="501">
        <v>40</v>
      </c>
      <c r="N2141" s="501">
        <v>2</v>
      </c>
      <c r="O2141" s="506">
        <v>21</v>
      </c>
    </row>
    <row r="2142" spans="1:15" x14ac:dyDescent="0.35">
      <c r="A2142" s="503" t="s">
        <v>1386</v>
      </c>
      <c r="B2142" s="504" t="s">
        <v>3331</v>
      </c>
      <c r="C2142" s="504" t="s">
        <v>1094</v>
      </c>
      <c r="D2142" s="504" t="s">
        <v>3380</v>
      </c>
      <c r="E2142" s="504" t="s">
        <v>3381</v>
      </c>
      <c r="F2142" s="504" t="s">
        <v>551</v>
      </c>
      <c r="G2142" s="504" t="s">
        <v>552</v>
      </c>
      <c r="H2142" s="504" t="s">
        <v>5052</v>
      </c>
      <c r="I2142" s="504">
        <v>128</v>
      </c>
      <c r="J2142" s="504">
        <v>84</v>
      </c>
      <c r="K2142" s="504">
        <v>0</v>
      </c>
      <c r="L2142" s="504">
        <v>0</v>
      </c>
      <c r="M2142" s="504">
        <v>0</v>
      </c>
      <c r="N2142" s="504">
        <v>0</v>
      </c>
      <c r="O2142" s="505">
        <v>44</v>
      </c>
    </row>
    <row r="2143" spans="1:15" x14ac:dyDescent="0.35">
      <c r="A2143" s="500" t="s">
        <v>1093</v>
      </c>
      <c r="B2143" s="501" t="s">
        <v>3248</v>
      </c>
      <c r="C2143" s="501" t="s">
        <v>1094</v>
      </c>
      <c r="D2143" s="501" t="s">
        <v>3380</v>
      </c>
      <c r="E2143" s="501" t="s">
        <v>3381</v>
      </c>
      <c r="F2143" s="501" t="s">
        <v>551</v>
      </c>
      <c r="G2143" s="501" t="s">
        <v>552</v>
      </c>
      <c r="H2143" s="501" t="s">
        <v>5053</v>
      </c>
      <c r="I2143" s="501">
        <v>1</v>
      </c>
      <c r="J2143" s="501">
        <v>0</v>
      </c>
      <c r="K2143" s="501">
        <v>0</v>
      </c>
      <c r="L2143" s="501">
        <v>0</v>
      </c>
      <c r="M2143" s="501">
        <v>0</v>
      </c>
      <c r="N2143" s="501">
        <v>0</v>
      </c>
      <c r="O2143" s="506">
        <v>1</v>
      </c>
    </row>
    <row r="2144" spans="1:15" x14ac:dyDescent="0.35">
      <c r="A2144" s="503" t="s">
        <v>1096</v>
      </c>
      <c r="B2144" s="504" t="s">
        <v>3326</v>
      </c>
      <c r="C2144" s="504" t="s">
        <v>1094</v>
      </c>
      <c r="D2144" s="504" t="s">
        <v>3380</v>
      </c>
      <c r="E2144" s="504" t="s">
        <v>3381</v>
      </c>
      <c r="F2144" s="504" t="s">
        <v>551</v>
      </c>
      <c r="G2144" s="504" t="s">
        <v>552</v>
      </c>
      <c r="H2144" s="504" t="s">
        <v>5054</v>
      </c>
      <c r="I2144" s="504">
        <v>71</v>
      </c>
      <c r="J2144" s="504">
        <v>0</v>
      </c>
      <c r="K2144" s="504">
        <v>0</v>
      </c>
      <c r="L2144" s="504">
        <v>0</v>
      </c>
      <c r="M2144" s="504">
        <v>71</v>
      </c>
      <c r="N2144" s="504">
        <v>0</v>
      </c>
      <c r="O2144" s="505">
        <v>0</v>
      </c>
    </row>
    <row r="2145" spans="1:15" x14ac:dyDescent="0.35">
      <c r="A2145" s="500" t="s">
        <v>1100</v>
      </c>
      <c r="B2145" s="501">
        <v>4865</v>
      </c>
      <c r="C2145" s="501" t="s">
        <v>1094</v>
      </c>
      <c r="D2145" s="501" t="s">
        <v>3380</v>
      </c>
      <c r="E2145" s="501" t="s">
        <v>3381</v>
      </c>
      <c r="F2145" s="501" t="s">
        <v>551</v>
      </c>
      <c r="G2145" s="501" t="s">
        <v>552</v>
      </c>
      <c r="H2145" s="501" t="s">
        <v>5056</v>
      </c>
      <c r="I2145" s="501">
        <v>141</v>
      </c>
      <c r="J2145" s="501">
        <v>114</v>
      </c>
      <c r="K2145" s="501">
        <v>0</v>
      </c>
      <c r="L2145" s="501">
        <v>0</v>
      </c>
      <c r="M2145" s="501">
        <v>0</v>
      </c>
      <c r="N2145" s="501">
        <v>0</v>
      </c>
      <c r="O2145" s="506">
        <v>27</v>
      </c>
    </row>
    <row r="2146" spans="1:15" x14ac:dyDescent="0.35">
      <c r="A2146" s="503" t="s">
        <v>14175</v>
      </c>
      <c r="B2146" s="504">
        <v>5155</v>
      </c>
      <c r="C2146" s="504" t="s">
        <v>1089</v>
      </c>
      <c r="D2146" s="504" t="s">
        <v>3392</v>
      </c>
      <c r="E2146" s="504" t="s">
        <v>3381</v>
      </c>
      <c r="F2146" s="504" t="s">
        <v>551</v>
      </c>
      <c r="G2146" s="504" t="s">
        <v>552</v>
      </c>
      <c r="H2146" s="504" t="s">
        <v>14605</v>
      </c>
      <c r="I2146" s="504">
        <v>2</v>
      </c>
      <c r="J2146" s="504">
        <v>0</v>
      </c>
      <c r="K2146" s="504">
        <v>0</v>
      </c>
      <c r="L2146" s="504">
        <v>2</v>
      </c>
      <c r="M2146" s="504">
        <v>0</v>
      </c>
      <c r="N2146" s="504">
        <v>0</v>
      </c>
      <c r="O2146" s="505">
        <v>0</v>
      </c>
    </row>
    <row r="2147" spans="1:15" x14ac:dyDescent="0.35">
      <c r="A2147" s="500" t="s">
        <v>1183</v>
      </c>
      <c r="B2147" s="501" t="s">
        <v>3038</v>
      </c>
      <c r="C2147" s="501" t="s">
        <v>1094</v>
      </c>
      <c r="D2147" s="501" t="s">
        <v>3380</v>
      </c>
      <c r="E2147" s="501" t="s">
        <v>3381</v>
      </c>
      <c r="F2147" s="501" t="s">
        <v>551</v>
      </c>
      <c r="G2147" s="501" t="s">
        <v>552</v>
      </c>
      <c r="H2147" s="501" t="s">
        <v>11709</v>
      </c>
      <c r="I2147" s="501">
        <v>1</v>
      </c>
      <c r="J2147" s="501">
        <v>0</v>
      </c>
      <c r="K2147" s="501">
        <v>0</v>
      </c>
      <c r="L2147" s="501">
        <v>0</v>
      </c>
      <c r="M2147" s="501">
        <v>0</v>
      </c>
      <c r="N2147" s="501">
        <v>0</v>
      </c>
      <c r="O2147" s="506">
        <v>1</v>
      </c>
    </row>
    <row r="2148" spans="1:15" x14ac:dyDescent="0.35">
      <c r="A2148" s="503" t="s">
        <v>1105</v>
      </c>
      <c r="B2148" s="504">
        <v>4668</v>
      </c>
      <c r="C2148" s="504" t="s">
        <v>1094</v>
      </c>
      <c r="D2148" s="504" t="s">
        <v>3380</v>
      </c>
      <c r="E2148" s="504" t="s">
        <v>3381</v>
      </c>
      <c r="F2148" s="504" t="s">
        <v>551</v>
      </c>
      <c r="G2148" s="504" t="s">
        <v>552</v>
      </c>
      <c r="H2148" s="504" t="s">
        <v>5057</v>
      </c>
      <c r="I2148" s="504">
        <v>3</v>
      </c>
      <c r="J2148" s="504">
        <v>0</v>
      </c>
      <c r="K2148" s="504">
        <v>0</v>
      </c>
      <c r="L2148" s="504">
        <v>0</v>
      </c>
      <c r="M2148" s="504">
        <v>0</v>
      </c>
      <c r="N2148" s="504">
        <v>0</v>
      </c>
      <c r="O2148" s="505">
        <v>3</v>
      </c>
    </row>
    <row r="2149" spans="1:15" x14ac:dyDescent="0.35">
      <c r="A2149" s="500" t="s">
        <v>1188</v>
      </c>
      <c r="B2149" s="501">
        <v>4760</v>
      </c>
      <c r="C2149" s="501" t="s">
        <v>1089</v>
      </c>
      <c r="D2149" s="501" t="s">
        <v>3392</v>
      </c>
      <c r="E2149" s="501" t="s">
        <v>3381</v>
      </c>
      <c r="F2149" s="501" t="s">
        <v>551</v>
      </c>
      <c r="G2149" s="501" t="s">
        <v>552</v>
      </c>
      <c r="H2149" s="501" t="s">
        <v>5058</v>
      </c>
      <c r="I2149" s="501">
        <v>8</v>
      </c>
      <c r="J2149" s="501">
        <v>0</v>
      </c>
      <c r="K2149" s="501">
        <v>0</v>
      </c>
      <c r="L2149" s="501">
        <v>8</v>
      </c>
      <c r="M2149" s="501">
        <v>0</v>
      </c>
      <c r="N2149" s="501">
        <v>0</v>
      </c>
      <c r="O2149" s="506">
        <v>0</v>
      </c>
    </row>
    <row r="2150" spans="1:15" x14ac:dyDescent="0.35">
      <c r="A2150" s="503" t="s">
        <v>1109</v>
      </c>
      <c r="B2150" s="504" t="s">
        <v>2959</v>
      </c>
      <c r="C2150" s="504" t="s">
        <v>1094</v>
      </c>
      <c r="D2150" s="504" t="s">
        <v>3380</v>
      </c>
      <c r="E2150" s="504" t="s">
        <v>3381</v>
      </c>
      <c r="F2150" s="504" t="s">
        <v>551</v>
      </c>
      <c r="G2150" s="504" t="s">
        <v>552</v>
      </c>
      <c r="H2150" s="504" t="s">
        <v>5059</v>
      </c>
      <c r="I2150" s="504">
        <v>104</v>
      </c>
      <c r="J2150" s="504">
        <v>0</v>
      </c>
      <c r="K2150" s="504">
        <v>0</v>
      </c>
      <c r="L2150" s="504">
        <v>0</v>
      </c>
      <c r="M2150" s="504">
        <v>104</v>
      </c>
      <c r="N2150" s="504">
        <v>0</v>
      </c>
      <c r="O2150" s="505">
        <v>0</v>
      </c>
    </row>
    <row r="2151" spans="1:15" x14ac:dyDescent="0.35">
      <c r="A2151" s="500" t="s">
        <v>1189</v>
      </c>
      <c r="B2151" s="501" t="s">
        <v>3236</v>
      </c>
      <c r="C2151" s="501" t="s">
        <v>1094</v>
      </c>
      <c r="D2151" s="501" t="s">
        <v>3380</v>
      </c>
      <c r="E2151" s="501" t="s">
        <v>3381</v>
      </c>
      <c r="F2151" s="501" t="s">
        <v>551</v>
      </c>
      <c r="G2151" s="501" t="s">
        <v>552</v>
      </c>
      <c r="H2151" s="501" t="s">
        <v>5060</v>
      </c>
      <c r="I2151" s="501">
        <v>394</v>
      </c>
      <c r="J2151" s="501">
        <v>344</v>
      </c>
      <c r="K2151" s="501">
        <v>0</v>
      </c>
      <c r="L2151" s="501">
        <v>6</v>
      </c>
      <c r="M2151" s="501">
        <v>0</v>
      </c>
      <c r="N2151" s="501">
        <v>0</v>
      </c>
      <c r="O2151" s="506">
        <v>44</v>
      </c>
    </row>
    <row r="2152" spans="1:15" x14ac:dyDescent="0.35">
      <c r="A2152" s="503" t="s">
        <v>1190</v>
      </c>
      <c r="B2152" s="504">
        <v>4662</v>
      </c>
      <c r="C2152" s="504" t="s">
        <v>1094</v>
      </c>
      <c r="D2152" s="504" t="s">
        <v>3380</v>
      </c>
      <c r="E2152" s="504" t="s">
        <v>3381</v>
      </c>
      <c r="F2152" s="504" t="s">
        <v>551</v>
      </c>
      <c r="G2152" s="504" t="s">
        <v>552</v>
      </c>
      <c r="H2152" s="504" t="s">
        <v>5061</v>
      </c>
      <c r="I2152" s="504">
        <v>7</v>
      </c>
      <c r="J2152" s="504">
        <v>0</v>
      </c>
      <c r="K2152" s="504">
        <v>0</v>
      </c>
      <c r="L2152" s="504">
        <v>7</v>
      </c>
      <c r="M2152" s="504">
        <v>0</v>
      </c>
      <c r="N2152" s="504">
        <v>0</v>
      </c>
      <c r="O2152" s="505">
        <v>0</v>
      </c>
    </row>
    <row r="2153" spans="1:15" x14ac:dyDescent="0.35">
      <c r="A2153" s="500" t="s">
        <v>1481</v>
      </c>
      <c r="B2153" s="501" t="s">
        <v>3083</v>
      </c>
      <c r="C2153" s="501" t="s">
        <v>1089</v>
      </c>
      <c r="D2153" s="501" t="s">
        <v>3392</v>
      </c>
      <c r="E2153" s="501" t="s">
        <v>3381</v>
      </c>
      <c r="F2153" s="501" t="s">
        <v>551</v>
      </c>
      <c r="G2153" s="501" t="s">
        <v>552</v>
      </c>
      <c r="H2153" s="501" t="s">
        <v>5062</v>
      </c>
      <c r="I2153" s="501">
        <v>67</v>
      </c>
      <c r="J2153" s="501">
        <v>29</v>
      </c>
      <c r="K2153" s="501">
        <v>0</v>
      </c>
      <c r="L2153" s="501">
        <v>0</v>
      </c>
      <c r="M2153" s="501">
        <v>38</v>
      </c>
      <c r="N2153" s="501">
        <v>0</v>
      </c>
      <c r="O2153" s="506">
        <v>0</v>
      </c>
    </row>
    <row r="2154" spans="1:15" x14ac:dyDescent="0.35">
      <c r="A2154" s="503" t="s">
        <v>1202</v>
      </c>
      <c r="B2154" s="504" t="s">
        <v>3217</v>
      </c>
      <c r="C2154" s="504" t="s">
        <v>1094</v>
      </c>
      <c r="D2154" s="504" t="s">
        <v>3380</v>
      </c>
      <c r="E2154" s="504" t="s">
        <v>3381</v>
      </c>
      <c r="F2154" s="504" t="s">
        <v>551</v>
      </c>
      <c r="G2154" s="504" t="s">
        <v>552</v>
      </c>
      <c r="H2154" s="504" t="s">
        <v>5063</v>
      </c>
      <c r="I2154" s="504">
        <v>286</v>
      </c>
      <c r="J2154" s="504">
        <v>243</v>
      </c>
      <c r="K2154" s="504">
        <v>0</v>
      </c>
      <c r="L2154" s="504">
        <v>37</v>
      </c>
      <c r="M2154" s="504">
        <v>0</v>
      </c>
      <c r="N2154" s="504">
        <v>4</v>
      </c>
      <c r="O2154" s="505">
        <v>6</v>
      </c>
    </row>
    <row r="2155" spans="1:15" x14ac:dyDescent="0.35">
      <c r="A2155" s="500" t="s">
        <v>1863</v>
      </c>
      <c r="B2155" s="501" t="s">
        <v>3173</v>
      </c>
      <c r="C2155" s="501" t="s">
        <v>1094</v>
      </c>
      <c r="D2155" s="501" t="s">
        <v>3380</v>
      </c>
      <c r="E2155" s="501" t="s">
        <v>3381</v>
      </c>
      <c r="F2155" s="501" t="s">
        <v>551</v>
      </c>
      <c r="G2155" s="501" t="s">
        <v>552</v>
      </c>
      <c r="H2155" s="501" t="s">
        <v>5064</v>
      </c>
      <c r="I2155" s="501">
        <v>29</v>
      </c>
      <c r="J2155" s="501">
        <v>19</v>
      </c>
      <c r="K2155" s="501">
        <v>0</v>
      </c>
      <c r="L2155" s="501">
        <v>0</v>
      </c>
      <c r="M2155" s="501">
        <v>0</v>
      </c>
      <c r="N2155" s="501">
        <v>0</v>
      </c>
      <c r="O2155" s="506">
        <v>10</v>
      </c>
    </row>
    <row r="2156" spans="1:15" x14ac:dyDescent="0.35">
      <c r="A2156" s="503" t="s">
        <v>1112</v>
      </c>
      <c r="B2156" s="504" t="s">
        <v>3008</v>
      </c>
      <c r="C2156" s="504" t="s">
        <v>1094</v>
      </c>
      <c r="D2156" s="504" t="s">
        <v>3380</v>
      </c>
      <c r="E2156" s="504" t="s">
        <v>3381</v>
      </c>
      <c r="F2156" s="504" t="s">
        <v>551</v>
      </c>
      <c r="G2156" s="504" t="s">
        <v>552</v>
      </c>
      <c r="H2156" s="504" t="s">
        <v>5065</v>
      </c>
      <c r="I2156" s="504">
        <v>4</v>
      </c>
      <c r="J2156" s="504">
        <v>0</v>
      </c>
      <c r="K2156" s="504">
        <v>0</v>
      </c>
      <c r="L2156" s="504">
        <v>0</v>
      </c>
      <c r="M2156" s="504">
        <v>0</v>
      </c>
      <c r="N2156" s="504">
        <v>0</v>
      </c>
      <c r="O2156" s="505">
        <v>4</v>
      </c>
    </row>
    <row r="2157" spans="1:15" x14ac:dyDescent="0.35">
      <c r="A2157" s="500" t="s">
        <v>1114</v>
      </c>
      <c r="B2157" s="501" t="s">
        <v>2982</v>
      </c>
      <c r="C2157" s="501" t="s">
        <v>1094</v>
      </c>
      <c r="D2157" s="501" t="s">
        <v>3380</v>
      </c>
      <c r="E2157" s="501" t="s">
        <v>3381</v>
      </c>
      <c r="F2157" s="501" t="s">
        <v>551</v>
      </c>
      <c r="G2157" s="501" t="s">
        <v>552</v>
      </c>
      <c r="H2157" s="501" t="s">
        <v>5066</v>
      </c>
      <c r="I2157" s="501">
        <v>467</v>
      </c>
      <c r="J2157" s="501">
        <v>340</v>
      </c>
      <c r="K2157" s="501">
        <v>0</v>
      </c>
      <c r="L2157" s="501">
        <v>0</v>
      </c>
      <c r="M2157" s="501">
        <v>0</v>
      </c>
      <c r="N2157" s="501">
        <v>0</v>
      </c>
      <c r="O2157" s="506">
        <v>127</v>
      </c>
    </row>
    <row r="2158" spans="1:15" x14ac:dyDescent="0.35">
      <c r="A2158" s="503" t="s">
        <v>1501</v>
      </c>
      <c r="B2158" s="504" t="s">
        <v>2956</v>
      </c>
      <c r="C2158" s="504" t="s">
        <v>1094</v>
      </c>
      <c r="D2158" s="504" t="s">
        <v>3380</v>
      </c>
      <c r="E2158" s="504" t="s">
        <v>3381</v>
      </c>
      <c r="F2158" s="504" t="s">
        <v>551</v>
      </c>
      <c r="G2158" s="504" t="s">
        <v>552</v>
      </c>
      <c r="H2158" s="504" t="s">
        <v>5067</v>
      </c>
      <c r="I2158" s="504">
        <v>45</v>
      </c>
      <c r="J2158" s="504">
        <v>29</v>
      </c>
      <c r="K2158" s="504">
        <v>0</v>
      </c>
      <c r="L2158" s="504">
        <v>0</v>
      </c>
      <c r="M2158" s="504">
        <v>0</v>
      </c>
      <c r="N2158" s="504">
        <v>0</v>
      </c>
      <c r="O2158" s="505">
        <v>16</v>
      </c>
    </row>
    <row r="2159" spans="1:15" x14ac:dyDescent="0.35">
      <c r="A2159" s="500" t="s">
        <v>1120</v>
      </c>
      <c r="B2159" s="501" t="s">
        <v>3362</v>
      </c>
      <c r="C2159" s="501" t="s">
        <v>1094</v>
      </c>
      <c r="D2159" s="501" t="s">
        <v>3380</v>
      </c>
      <c r="E2159" s="501" t="s">
        <v>3381</v>
      </c>
      <c r="F2159" s="501" t="s">
        <v>551</v>
      </c>
      <c r="G2159" s="501" t="s">
        <v>552</v>
      </c>
      <c r="H2159" s="501" t="s">
        <v>5068</v>
      </c>
      <c r="I2159" s="501">
        <v>1</v>
      </c>
      <c r="J2159" s="501">
        <v>0</v>
      </c>
      <c r="K2159" s="501">
        <v>0</v>
      </c>
      <c r="L2159" s="501">
        <v>0</v>
      </c>
      <c r="M2159" s="501">
        <v>0</v>
      </c>
      <c r="N2159" s="501">
        <v>0</v>
      </c>
      <c r="O2159" s="506">
        <v>1</v>
      </c>
    </row>
    <row r="2160" spans="1:15" x14ac:dyDescent="0.35">
      <c r="A2160" s="503" t="s">
        <v>1217</v>
      </c>
      <c r="B2160" s="504">
        <v>4851</v>
      </c>
      <c r="C2160" s="504" t="s">
        <v>1094</v>
      </c>
      <c r="D2160" s="504" t="s">
        <v>3380</v>
      </c>
      <c r="E2160" s="504" t="s">
        <v>3381</v>
      </c>
      <c r="F2160" s="504" t="s">
        <v>551</v>
      </c>
      <c r="G2160" s="504" t="s">
        <v>552</v>
      </c>
      <c r="H2160" s="504" t="s">
        <v>5069</v>
      </c>
      <c r="I2160" s="504">
        <v>1</v>
      </c>
      <c r="J2160" s="504">
        <v>0</v>
      </c>
      <c r="K2160" s="504">
        <v>0</v>
      </c>
      <c r="L2160" s="504">
        <v>0</v>
      </c>
      <c r="M2160" s="504">
        <v>0</v>
      </c>
      <c r="N2160" s="504">
        <v>0</v>
      </c>
      <c r="O2160" s="505">
        <v>1</v>
      </c>
    </row>
    <row r="2161" spans="1:15" x14ac:dyDescent="0.35">
      <c r="A2161" s="500" t="s">
        <v>1122</v>
      </c>
      <c r="B2161" s="501" t="s">
        <v>2994</v>
      </c>
      <c r="C2161" s="501" t="s">
        <v>1094</v>
      </c>
      <c r="D2161" s="501" t="s">
        <v>3380</v>
      </c>
      <c r="E2161" s="501" t="s">
        <v>3381</v>
      </c>
      <c r="F2161" s="501" t="s">
        <v>551</v>
      </c>
      <c r="G2161" s="501" t="s">
        <v>552</v>
      </c>
      <c r="H2161" s="501" t="s">
        <v>5070</v>
      </c>
      <c r="I2161" s="501">
        <v>24</v>
      </c>
      <c r="J2161" s="501">
        <v>0</v>
      </c>
      <c r="K2161" s="501">
        <v>0</v>
      </c>
      <c r="L2161" s="501">
        <v>0</v>
      </c>
      <c r="M2161" s="501">
        <v>0</v>
      </c>
      <c r="N2161" s="501">
        <v>0</v>
      </c>
      <c r="O2161" s="506">
        <v>24</v>
      </c>
    </row>
    <row r="2162" spans="1:15" x14ac:dyDescent="0.35">
      <c r="A2162" s="503" t="s">
        <v>1536</v>
      </c>
      <c r="B2162" s="504" t="s">
        <v>3178</v>
      </c>
      <c r="C2162" s="504" t="s">
        <v>1094</v>
      </c>
      <c r="D2162" s="504" t="s">
        <v>3380</v>
      </c>
      <c r="E2162" s="504" t="s">
        <v>3381</v>
      </c>
      <c r="F2162" s="504" t="s">
        <v>551</v>
      </c>
      <c r="G2162" s="504" t="s">
        <v>552</v>
      </c>
      <c r="H2162" s="504" t="s">
        <v>5071</v>
      </c>
      <c r="I2162" s="504">
        <v>223</v>
      </c>
      <c r="J2162" s="504">
        <v>182</v>
      </c>
      <c r="K2162" s="504">
        <v>0</v>
      </c>
      <c r="L2162" s="504">
        <v>0</v>
      </c>
      <c r="M2162" s="504">
        <v>0</v>
      </c>
      <c r="N2162" s="504">
        <v>0</v>
      </c>
      <c r="O2162" s="505">
        <v>41</v>
      </c>
    </row>
    <row r="2163" spans="1:15" x14ac:dyDescent="0.35">
      <c r="A2163" s="500" t="s">
        <v>1887</v>
      </c>
      <c r="B2163" s="501" t="s">
        <v>3320</v>
      </c>
      <c r="C2163" s="501" t="s">
        <v>1094</v>
      </c>
      <c r="D2163" s="501" t="s">
        <v>3380</v>
      </c>
      <c r="E2163" s="501" t="s">
        <v>3381</v>
      </c>
      <c r="F2163" s="501" t="s">
        <v>551</v>
      </c>
      <c r="G2163" s="501" t="s">
        <v>552</v>
      </c>
      <c r="H2163" s="501" t="s">
        <v>5072</v>
      </c>
      <c r="I2163" s="501">
        <v>68</v>
      </c>
      <c r="J2163" s="501">
        <v>68</v>
      </c>
      <c r="K2163" s="501">
        <v>0</v>
      </c>
      <c r="L2163" s="501">
        <v>0</v>
      </c>
      <c r="M2163" s="501">
        <v>0</v>
      </c>
      <c r="N2163" s="501">
        <v>0</v>
      </c>
      <c r="O2163" s="506">
        <v>0</v>
      </c>
    </row>
    <row r="2164" spans="1:15" x14ac:dyDescent="0.35">
      <c r="A2164" s="503" t="s">
        <v>1126</v>
      </c>
      <c r="B2164" s="504" t="s">
        <v>2974</v>
      </c>
      <c r="C2164" s="504" t="s">
        <v>1094</v>
      </c>
      <c r="D2164" s="504" t="s">
        <v>3380</v>
      </c>
      <c r="E2164" s="504" t="s">
        <v>3381</v>
      </c>
      <c r="F2164" s="504" t="s">
        <v>551</v>
      </c>
      <c r="G2164" s="504" t="s">
        <v>552</v>
      </c>
      <c r="H2164" s="504" t="s">
        <v>5073</v>
      </c>
      <c r="I2164" s="504">
        <v>2</v>
      </c>
      <c r="J2164" s="504">
        <v>2</v>
      </c>
      <c r="K2164" s="504">
        <v>0</v>
      </c>
      <c r="L2164" s="504">
        <v>0</v>
      </c>
      <c r="M2164" s="504">
        <v>0</v>
      </c>
      <c r="N2164" s="504">
        <v>0</v>
      </c>
      <c r="O2164" s="505">
        <v>0</v>
      </c>
    </row>
    <row r="2165" spans="1:15" x14ac:dyDescent="0.35">
      <c r="A2165" s="500" t="s">
        <v>1899</v>
      </c>
      <c r="B2165" s="501" t="s">
        <v>3078</v>
      </c>
      <c r="C2165" s="501" t="s">
        <v>1089</v>
      </c>
      <c r="D2165" s="501" t="s">
        <v>3392</v>
      </c>
      <c r="E2165" s="501" t="s">
        <v>3381</v>
      </c>
      <c r="F2165" s="501" t="s">
        <v>551</v>
      </c>
      <c r="G2165" s="501" t="s">
        <v>552</v>
      </c>
      <c r="H2165" s="501" t="s">
        <v>5074</v>
      </c>
      <c r="I2165" s="501">
        <v>20</v>
      </c>
      <c r="J2165" s="501">
        <v>0</v>
      </c>
      <c r="K2165" s="501">
        <v>0</v>
      </c>
      <c r="L2165" s="501">
        <v>20</v>
      </c>
      <c r="M2165" s="501">
        <v>0</v>
      </c>
      <c r="N2165" s="501">
        <v>0</v>
      </c>
      <c r="O2165" s="506">
        <v>0</v>
      </c>
    </row>
    <row r="2166" spans="1:15" x14ac:dyDescent="0.35">
      <c r="A2166" s="503" t="s">
        <v>1130</v>
      </c>
      <c r="B2166" s="504" t="s">
        <v>3234</v>
      </c>
      <c r="C2166" s="504" t="s">
        <v>1094</v>
      </c>
      <c r="D2166" s="504" t="s">
        <v>3380</v>
      </c>
      <c r="E2166" s="504" t="s">
        <v>3381</v>
      </c>
      <c r="F2166" s="504" t="s">
        <v>551</v>
      </c>
      <c r="G2166" s="504" t="s">
        <v>552</v>
      </c>
      <c r="H2166" s="504" t="s">
        <v>5075</v>
      </c>
      <c r="I2166" s="504">
        <v>304</v>
      </c>
      <c r="J2166" s="504">
        <v>231</v>
      </c>
      <c r="K2166" s="504">
        <v>0</v>
      </c>
      <c r="L2166" s="504">
        <v>0</v>
      </c>
      <c r="M2166" s="504">
        <v>0</v>
      </c>
      <c r="N2166" s="504">
        <v>1</v>
      </c>
      <c r="O2166" s="505">
        <v>73</v>
      </c>
    </row>
    <row r="2167" spans="1:15" x14ac:dyDescent="0.35">
      <c r="A2167" s="500" t="s">
        <v>1134</v>
      </c>
      <c r="B2167" s="501" t="s">
        <v>3066</v>
      </c>
      <c r="C2167" s="501" t="s">
        <v>1094</v>
      </c>
      <c r="D2167" s="501" t="s">
        <v>3380</v>
      </c>
      <c r="E2167" s="501" t="s">
        <v>3381</v>
      </c>
      <c r="F2167" s="501" t="s">
        <v>551</v>
      </c>
      <c r="G2167" s="501" t="s">
        <v>552</v>
      </c>
      <c r="H2167" s="501" t="s">
        <v>5076</v>
      </c>
      <c r="I2167" s="501">
        <v>47</v>
      </c>
      <c r="J2167" s="501">
        <v>43</v>
      </c>
      <c r="K2167" s="501">
        <v>0</v>
      </c>
      <c r="L2167" s="501">
        <v>0</v>
      </c>
      <c r="M2167" s="501">
        <v>0</v>
      </c>
      <c r="N2167" s="501">
        <v>0</v>
      </c>
      <c r="O2167" s="506">
        <v>4</v>
      </c>
    </row>
    <row r="2168" spans="1:15" x14ac:dyDescent="0.35">
      <c r="A2168" s="503" t="s">
        <v>1358</v>
      </c>
      <c r="B2168" s="504" t="s">
        <v>3293</v>
      </c>
      <c r="C2168" s="504" t="s">
        <v>1089</v>
      </c>
      <c r="D2168" s="504" t="s">
        <v>3392</v>
      </c>
      <c r="E2168" s="504" t="s">
        <v>3381</v>
      </c>
      <c r="F2168" s="504" t="s">
        <v>551</v>
      </c>
      <c r="G2168" s="504" t="s">
        <v>552</v>
      </c>
      <c r="H2168" s="504" t="s">
        <v>5077</v>
      </c>
      <c r="I2168" s="504">
        <v>6</v>
      </c>
      <c r="J2168" s="504">
        <v>0</v>
      </c>
      <c r="K2168" s="504">
        <v>0</v>
      </c>
      <c r="L2168" s="504">
        <v>6</v>
      </c>
      <c r="M2168" s="504">
        <v>0</v>
      </c>
      <c r="N2168" s="504">
        <v>0</v>
      </c>
      <c r="O2168" s="505">
        <v>0</v>
      </c>
    </row>
    <row r="2169" spans="1:15" x14ac:dyDescent="0.35">
      <c r="A2169" s="500" t="s">
        <v>1249</v>
      </c>
      <c r="B2169" s="501">
        <v>4729</v>
      </c>
      <c r="C2169" s="501" t="s">
        <v>1094</v>
      </c>
      <c r="D2169" s="501" t="s">
        <v>3380</v>
      </c>
      <c r="E2169" s="501" t="s">
        <v>3381</v>
      </c>
      <c r="F2169" s="501" t="s">
        <v>551</v>
      </c>
      <c r="G2169" s="501" t="s">
        <v>552</v>
      </c>
      <c r="H2169" s="501" t="s">
        <v>5078</v>
      </c>
      <c r="I2169" s="501">
        <v>476</v>
      </c>
      <c r="J2169" s="501">
        <v>430</v>
      </c>
      <c r="K2169" s="501">
        <v>0</v>
      </c>
      <c r="L2169" s="501">
        <v>1</v>
      </c>
      <c r="M2169" s="501">
        <v>37</v>
      </c>
      <c r="N2169" s="501">
        <v>0</v>
      </c>
      <c r="O2169" s="506">
        <v>8</v>
      </c>
    </row>
    <row r="2170" spans="1:15" x14ac:dyDescent="0.35">
      <c r="A2170" s="503" t="s">
        <v>1138</v>
      </c>
      <c r="B2170" s="504" t="s">
        <v>2998</v>
      </c>
      <c r="C2170" s="504" t="s">
        <v>1094</v>
      </c>
      <c r="D2170" s="504" t="s">
        <v>3380</v>
      </c>
      <c r="E2170" s="504" t="s">
        <v>3381</v>
      </c>
      <c r="F2170" s="504" t="s">
        <v>551</v>
      </c>
      <c r="G2170" s="504" t="s">
        <v>552</v>
      </c>
      <c r="H2170" s="504" t="s">
        <v>5079</v>
      </c>
      <c r="I2170" s="504">
        <v>14</v>
      </c>
      <c r="J2170" s="504">
        <v>0</v>
      </c>
      <c r="K2170" s="504">
        <v>0</v>
      </c>
      <c r="L2170" s="504">
        <v>0</v>
      </c>
      <c r="M2170" s="504">
        <v>0</v>
      </c>
      <c r="N2170" s="504">
        <v>0</v>
      </c>
      <c r="O2170" s="505">
        <v>14</v>
      </c>
    </row>
    <row r="2171" spans="1:15" x14ac:dyDescent="0.35">
      <c r="A2171" s="500" t="s">
        <v>1928</v>
      </c>
      <c r="B2171" s="501" t="s">
        <v>3167</v>
      </c>
      <c r="C2171" s="501" t="s">
        <v>1094</v>
      </c>
      <c r="D2171" s="501" t="s">
        <v>3380</v>
      </c>
      <c r="E2171" s="501" t="s">
        <v>3381</v>
      </c>
      <c r="F2171" s="501" t="s">
        <v>551</v>
      </c>
      <c r="G2171" s="501" t="s">
        <v>552</v>
      </c>
      <c r="H2171" s="501" t="s">
        <v>5080</v>
      </c>
      <c r="I2171" s="501">
        <v>39</v>
      </c>
      <c r="J2171" s="501">
        <v>35</v>
      </c>
      <c r="K2171" s="501">
        <v>0</v>
      </c>
      <c r="L2171" s="501">
        <v>0</v>
      </c>
      <c r="M2171" s="501">
        <v>0</v>
      </c>
      <c r="N2171" s="501">
        <v>0</v>
      </c>
      <c r="O2171" s="506">
        <v>4</v>
      </c>
    </row>
    <row r="2172" spans="1:15" x14ac:dyDescent="0.35">
      <c r="A2172" s="503" t="s">
        <v>1581</v>
      </c>
      <c r="B2172" s="504" t="s">
        <v>2888</v>
      </c>
      <c r="C2172" s="504" t="s">
        <v>1089</v>
      </c>
      <c r="D2172" s="504" t="s">
        <v>3392</v>
      </c>
      <c r="E2172" s="504" t="s">
        <v>3381</v>
      </c>
      <c r="F2172" s="504" t="s">
        <v>551</v>
      </c>
      <c r="G2172" s="504" t="s">
        <v>552</v>
      </c>
      <c r="H2172" s="504" t="s">
        <v>5081</v>
      </c>
      <c r="I2172" s="504">
        <v>62</v>
      </c>
      <c r="J2172" s="504">
        <v>0</v>
      </c>
      <c r="K2172" s="504">
        <v>0</v>
      </c>
      <c r="L2172" s="504">
        <v>26</v>
      </c>
      <c r="M2172" s="504">
        <v>36</v>
      </c>
      <c r="N2172" s="504">
        <v>0</v>
      </c>
      <c r="O2172" s="505">
        <v>0</v>
      </c>
    </row>
    <row r="2173" spans="1:15" x14ac:dyDescent="0.35">
      <c r="A2173" s="500" t="s">
        <v>1944</v>
      </c>
      <c r="B2173" s="501">
        <v>4644</v>
      </c>
      <c r="C2173" s="501" t="s">
        <v>1089</v>
      </c>
      <c r="D2173" s="501" t="s">
        <v>3392</v>
      </c>
      <c r="E2173" s="501" t="s">
        <v>3381</v>
      </c>
      <c r="F2173" s="501" t="s">
        <v>551</v>
      </c>
      <c r="G2173" s="501" t="s">
        <v>552</v>
      </c>
      <c r="H2173" s="501" t="s">
        <v>5082</v>
      </c>
      <c r="I2173" s="501">
        <v>40</v>
      </c>
      <c r="J2173" s="501">
        <v>0</v>
      </c>
      <c r="K2173" s="501">
        <v>0</v>
      </c>
      <c r="L2173" s="501">
        <v>40</v>
      </c>
      <c r="M2173" s="501">
        <v>0</v>
      </c>
      <c r="N2173" s="501">
        <v>0</v>
      </c>
      <c r="O2173" s="506">
        <v>0</v>
      </c>
    </row>
    <row r="2174" spans="1:15" x14ac:dyDescent="0.35">
      <c r="A2174" s="503" t="s">
        <v>1156</v>
      </c>
      <c r="B2174" s="504" t="s">
        <v>3310</v>
      </c>
      <c r="C2174" s="504" t="s">
        <v>1094</v>
      </c>
      <c r="D2174" s="504" t="s">
        <v>3380</v>
      </c>
      <c r="E2174" s="504" t="s">
        <v>3381</v>
      </c>
      <c r="F2174" s="504" t="s">
        <v>551</v>
      </c>
      <c r="G2174" s="504" t="s">
        <v>552</v>
      </c>
      <c r="H2174" s="504" t="s">
        <v>5055</v>
      </c>
      <c r="I2174" s="504">
        <v>1</v>
      </c>
      <c r="J2174" s="504">
        <v>0</v>
      </c>
      <c r="K2174" s="504">
        <v>0</v>
      </c>
      <c r="L2174" s="504">
        <v>0</v>
      </c>
      <c r="M2174" s="504">
        <v>0</v>
      </c>
      <c r="N2174" s="504">
        <v>0</v>
      </c>
      <c r="O2174" s="505">
        <v>1</v>
      </c>
    </row>
    <row r="2175" spans="1:15" x14ac:dyDescent="0.35">
      <c r="A2175" s="500" t="s">
        <v>1385</v>
      </c>
      <c r="B2175" s="501" t="s">
        <v>3249</v>
      </c>
      <c r="C2175" s="501" t="s">
        <v>1094</v>
      </c>
      <c r="D2175" s="501" t="s">
        <v>3380</v>
      </c>
      <c r="E2175" s="501" t="s">
        <v>3381</v>
      </c>
      <c r="F2175" s="501" t="s">
        <v>553</v>
      </c>
      <c r="G2175" s="501" t="s">
        <v>554</v>
      </c>
      <c r="H2175" s="501" t="s">
        <v>5083</v>
      </c>
      <c r="I2175" s="501">
        <v>252</v>
      </c>
      <c r="J2175" s="501">
        <v>214</v>
      </c>
      <c r="K2175" s="501">
        <v>0</v>
      </c>
      <c r="L2175" s="501">
        <v>2</v>
      </c>
      <c r="M2175" s="501">
        <v>0</v>
      </c>
      <c r="N2175" s="501">
        <v>0</v>
      </c>
      <c r="O2175" s="506">
        <v>36</v>
      </c>
    </row>
    <row r="2176" spans="1:15" x14ac:dyDescent="0.35">
      <c r="A2176" s="503" t="s">
        <v>1386</v>
      </c>
      <c r="B2176" s="504" t="s">
        <v>3331</v>
      </c>
      <c r="C2176" s="504" t="s">
        <v>1094</v>
      </c>
      <c r="D2176" s="504" t="s">
        <v>3380</v>
      </c>
      <c r="E2176" s="504" t="s">
        <v>3381</v>
      </c>
      <c r="F2176" s="504" t="s">
        <v>553</v>
      </c>
      <c r="G2176" s="504" t="s">
        <v>554</v>
      </c>
      <c r="H2176" s="504" t="s">
        <v>5084</v>
      </c>
      <c r="I2176" s="504">
        <v>7</v>
      </c>
      <c r="J2176" s="504">
        <v>7</v>
      </c>
      <c r="K2176" s="504">
        <v>0</v>
      </c>
      <c r="L2176" s="504">
        <v>0</v>
      </c>
      <c r="M2176" s="504">
        <v>0</v>
      </c>
      <c r="N2176" s="504">
        <v>0</v>
      </c>
      <c r="O2176" s="505">
        <v>0</v>
      </c>
    </row>
    <row r="2177" spans="1:15" x14ac:dyDescent="0.35">
      <c r="A2177" s="500" t="s">
        <v>1387</v>
      </c>
      <c r="B2177" s="501" t="s">
        <v>2861</v>
      </c>
      <c r="C2177" s="501" t="s">
        <v>1089</v>
      </c>
      <c r="D2177" s="501" t="s">
        <v>3392</v>
      </c>
      <c r="E2177" s="501" t="s">
        <v>3381</v>
      </c>
      <c r="F2177" s="501" t="s">
        <v>553</v>
      </c>
      <c r="G2177" s="501" t="s">
        <v>554</v>
      </c>
      <c r="H2177" s="501" t="s">
        <v>5085</v>
      </c>
      <c r="I2177" s="501">
        <v>10</v>
      </c>
      <c r="J2177" s="501">
        <v>0</v>
      </c>
      <c r="K2177" s="501">
        <v>0</v>
      </c>
      <c r="L2177" s="501">
        <v>0</v>
      </c>
      <c r="M2177" s="501">
        <v>10</v>
      </c>
      <c r="N2177" s="501">
        <v>0</v>
      </c>
      <c r="O2177" s="506">
        <v>0</v>
      </c>
    </row>
    <row r="2178" spans="1:15" x14ac:dyDescent="0.35">
      <c r="A2178" s="503" t="s">
        <v>1091</v>
      </c>
      <c r="B2178" s="504" t="s">
        <v>3288</v>
      </c>
      <c r="C2178" s="504" t="s">
        <v>1089</v>
      </c>
      <c r="D2178" s="504" t="s">
        <v>3392</v>
      </c>
      <c r="E2178" s="504" t="s">
        <v>3381</v>
      </c>
      <c r="F2178" s="504" t="s">
        <v>553</v>
      </c>
      <c r="G2178" s="504" t="s">
        <v>554</v>
      </c>
      <c r="H2178" s="504" t="s">
        <v>5086</v>
      </c>
      <c r="I2178" s="504">
        <v>22</v>
      </c>
      <c r="J2178" s="504">
        <v>11</v>
      </c>
      <c r="K2178" s="504">
        <v>0</v>
      </c>
      <c r="L2178" s="504">
        <v>11</v>
      </c>
      <c r="M2178" s="504">
        <v>0</v>
      </c>
      <c r="N2178" s="504">
        <v>0</v>
      </c>
      <c r="O2178" s="505">
        <v>0</v>
      </c>
    </row>
    <row r="2179" spans="1:15" x14ac:dyDescent="0.35">
      <c r="A2179" s="500" t="s">
        <v>1390</v>
      </c>
      <c r="B2179" s="501" t="s">
        <v>3294</v>
      </c>
      <c r="C2179" s="501" t="s">
        <v>1089</v>
      </c>
      <c r="D2179" s="501" t="s">
        <v>3392</v>
      </c>
      <c r="E2179" s="501" t="s">
        <v>3381</v>
      </c>
      <c r="F2179" s="501" t="s">
        <v>553</v>
      </c>
      <c r="G2179" s="501" t="s">
        <v>554</v>
      </c>
      <c r="H2179" s="501" t="s">
        <v>5087</v>
      </c>
      <c r="I2179" s="501">
        <v>15</v>
      </c>
      <c r="J2179" s="501">
        <v>15</v>
      </c>
      <c r="K2179" s="501">
        <v>0</v>
      </c>
      <c r="L2179" s="501">
        <v>0</v>
      </c>
      <c r="M2179" s="501">
        <v>0</v>
      </c>
      <c r="N2179" s="501">
        <v>0</v>
      </c>
      <c r="O2179" s="506">
        <v>0</v>
      </c>
    </row>
    <row r="2180" spans="1:15" x14ac:dyDescent="0.35">
      <c r="A2180" s="503" t="s">
        <v>1093</v>
      </c>
      <c r="B2180" s="504" t="s">
        <v>3248</v>
      </c>
      <c r="C2180" s="504" t="s">
        <v>1094</v>
      </c>
      <c r="D2180" s="504" t="s">
        <v>3380</v>
      </c>
      <c r="E2180" s="504" t="s">
        <v>3381</v>
      </c>
      <c r="F2180" s="504" t="s">
        <v>553</v>
      </c>
      <c r="G2180" s="504" t="s">
        <v>554</v>
      </c>
      <c r="H2180" s="504" t="s">
        <v>5088</v>
      </c>
      <c r="I2180" s="504">
        <v>7</v>
      </c>
      <c r="J2180" s="504">
        <v>0</v>
      </c>
      <c r="K2180" s="504">
        <v>0</v>
      </c>
      <c r="L2180" s="504">
        <v>7</v>
      </c>
      <c r="M2180" s="504">
        <v>0</v>
      </c>
      <c r="N2180" s="504">
        <v>0</v>
      </c>
      <c r="O2180" s="505">
        <v>0</v>
      </c>
    </row>
    <row r="2181" spans="1:15" x14ac:dyDescent="0.35">
      <c r="A2181" s="500" t="s">
        <v>1096</v>
      </c>
      <c r="B2181" s="501" t="s">
        <v>3326</v>
      </c>
      <c r="C2181" s="501" t="s">
        <v>1094</v>
      </c>
      <c r="D2181" s="501" t="s">
        <v>3380</v>
      </c>
      <c r="E2181" s="501" t="s">
        <v>3381</v>
      </c>
      <c r="F2181" s="501" t="s">
        <v>553</v>
      </c>
      <c r="G2181" s="501" t="s">
        <v>554</v>
      </c>
      <c r="H2181" s="501" t="s">
        <v>5089</v>
      </c>
      <c r="I2181" s="501">
        <v>210</v>
      </c>
      <c r="J2181" s="501">
        <v>0</v>
      </c>
      <c r="K2181" s="501">
        <v>0</v>
      </c>
      <c r="L2181" s="501">
        <v>0</v>
      </c>
      <c r="M2181" s="501">
        <v>210</v>
      </c>
      <c r="N2181" s="501">
        <v>0</v>
      </c>
      <c r="O2181" s="506">
        <v>0</v>
      </c>
    </row>
    <row r="2182" spans="1:15" x14ac:dyDescent="0.35">
      <c r="A2182" s="503" t="s">
        <v>1395</v>
      </c>
      <c r="B2182" s="504" t="s">
        <v>2806</v>
      </c>
      <c r="C2182" s="504" t="s">
        <v>1089</v>
      </c>
      <c r="D2182" s="504" t="s">
        <v>3392</v>
      </c>
      <c r="E2182" s="504" t="s">
        <v>3381</v>
      </c>
      <c r="F2182" s="504" t="s">
        <v>553</v>
      </c>
      <c r="G2182" s="504" t="s">
        <v>554</v>
      </c>
      <c r="H2182" s="504" t="s">
        <v>14606</v>
      </c>
      <c r="I2182" s="504">
        <v>1</v>
      </c>
      <c r="J2182" s="504">
        <v>1</v>
      </c>
      <c r="K2182" s="504">
        <v>0</v>
      </c>
      <c r="L2182" s="504">
        <v>0</v>
      </c>
      <c r="M2182" s="504">
        <v>0</v>
      </c>
      <c r="N2182" s="504">
        <v>0</v>
      </c>
      <c r="O2182" s="505">
        <v>0</v>
      </c>
    </row>
    <row r="2183" spans="1:15" x14ac:dyDescent="0.35">
      <c r="A2183" s="500" t="s">
        <v>11363</v>
      </c>
      <c r="B2183" s="501">
        <v>4718</v>
      </c>
      <c r="C2183" s="501" t="s">
        <v>1094</v>
      </c>
      <c r="D2183" s="501" t="s">
        <v>3380</v>
      </c>
      <c r="E2183" s="501" t="s">
        <v>3381</v>
      </c>
      <c r="F2183" s="501" t="s">
        <v>553</v>
      </c>
      <c r="G2183" s="501" t="s">
        <v>554</v>
      </c>
      <c r="H2183" s="501" t="s">
        <v>11530</v>
      </c>
      <c r="I2183" s="501">
        <v>18</v>
      </c>
      <c r="J2183" s="501">
        <v>0</v>
      </c>
      <c r="K2183" s="501">
        <v>0</v>
      </c>
      <c r="L2183" s="501">
        <v>18</v>
      </c>
      <c r="M2183" s="501">
        <v>0</v>
      </c>
      <c r="N2183" s="501">
        <v>0</v>
      </c>
      <c r="O2183" s="506">
        <v>0</v>
      </c>
    </row>
    <row r="2184" spans="1:15" x14ac:dyDescent="0.35">
      <c r="A2184" s="503" t="s">
        <v>14158</v>
      </c>
      <c r="B2184" s="504">
        <v>5139</v>
      </c>
      <c r="C2184" s="504" t="s">
        <v>1089</v>
      </c>
      <c r="D2184" s="504" t="s">
        <v>3392</v>
      </c>
      <c r="E2184" s="504" t="s">
        <v>3381</v>
      </c>
      <c r="F2184" s="504" t="s">
        <v>553</v>
      </c>
      <c r="G2184" s="504" t="s">
        <v>554</v>
      </c>
      <c r="H2184" s="504" t="s">
        <v>14607</v>
      </c>
      <c r="I2184" s="504">
        <v>12</v>
      </c>
      <c r="J2184" s="504">
        <v>0</v>
      </c>
      <c r="K2184" s="504">
        <v>0</v>
      </c>
      <c r="L2184" s="504">
        <v>12</v>
      </c>
      <c r="M2184" s="504">
        <v>0</v>
      </c>
      <c r="N2184" s="504">
        <v>0</v>
      </c>
      <c r="O2184" s="505">
        <v>0</v>
      </c>
    </row>
    <row r="2185" spans="1:15" x14ac:dyDescent="0.35">
      <c r="A2185" s="500" t="s">
        <v>1161</v>
      </c>
      <c r="B2185" s="501" t="s">
        <v>3001</v>
      </c>
      <c r="C2185" s="501" t="s">
        <v>1094</v>
      </c>
      <c r="D2185" s="501" t="s">
        <v>3380</v>
      </c>
      <c r="E2185" s="501" t="s">
        <v>3381</v>
      </c>
      <c r="F2185" s="501" t="s">
        <v>553</v>
      </c>
      <c r="G2185" s="501" t="s">
        <v>554</v>
      </c>
      <c r="H2185" s="501" t="s">
        <v>5090</v>
      </c>
      <c r="I2185" s="501">
        <v>1</v>
      </c>
      <c r="J2185" s="501">
        <v>0</v>
      </c>
      <c r="K2185" s="501">
        <v>0</v>
      </c>
      <c r="L2185" s="501">
        <v>0</v>
      </c>
      <c r="M2185" s="501">
        <v>0</v>
      </c>
      <c r="N2185" s="501">
        <v>0</v>
      </c>
      <c r="O2185" s="506">
        <v>1</v>
      </c>
    </row>
    <row r="2186" spans="1:15" x14ac:dyDescent="0.35">
      <c r="A2186" s="503" t="s">
        <v>1411</v>
      </c>
      <c r="B2186" s="504" t="s">
        <v>2873</v>
      </c>
      <c r="C2186" s="504" t="s">
        <v>1089</v>
      </c>
      <c r="D2186" s="504" t="s">
        <v>3392</v>
      </c>
      <c r="E2186" s="504" t="s">
        <v>3381</v>
      </c>
      <c r="F2186" s="504" t="s">
        <v>553</v>
      </c>
      <c r="G2186" s="504" t="s">
        <v>554</v>
      </c>
      <c r="H2186" s="504" t="s">
        <v>5091</v>
      </c>
      <c r="I2186" s="504">
        <v>31</v>
      </c>
      <c r="J2186" s="504">
        <v>3</v>
      </c>
      <c r="K2186" s="504">
        <v>28</v>
      </c>
      <c r="L2186" s="504">
        <v>0</v>
      </c>
      <c r="M2186" s="504">
        <v>0</v>
      </c>
      <c r="N2186" s="504">
        <v>0</v>
      </c>
      <c r="O2186" s="505">
        <v>0</v>
      </c>
    </row>
    <row r="2187" spans="1:15" x14ac:dyDescent="0.35">
      <c r="A2187" s="500" t="s">
        <v>1412</v>
      </c>
      <c r="B2187" s="501">
        <v>4641</v>
      </c>
      <c r="C2187" s="501" t="s">
        <v>1089</v>
      </c>
      <c r="D2187" s="501" t="s">
        <v>3392</v>
      </c>
      <c r="E2187" s="501" t="s">
        <v>3381</v>
      </c>
      <c r="F2187" s="501" t="s">
        <v>553</v>
      </c>
      <c r="G2187" s="501" t="s">
        <v>554</v>
      </c>
      <c r="H2187" s="501" t="s">
        <v>5092</v>
      </c>
      <c r="I2187" s="501">
        <v>72</v>
      </c>
      <c r="J2187" s="501">
        <v>0</v>
      </c>
      <c r="K2187" s="501">
        <v>38</v>
      </c>
      <c r="L2187" s="501">
        <v>34</v>
      </c>
      <c r="M2187" s="501">
        <v>0</v>
      </c>
      <c r="N2187" s="501">
        <v>0</v>
      </c>
      <c r="O2187" s="506">
        <v>0</v>
      </c>
    </row>
    <row r="2188" spans="1:15" x14ac:dyDescent="0.35">
      <c r="A2188" s="503" t="s">
        <v>1285</v>
      </c>
      <c r="B2188" s="504" t="s">
        <v>3120</v>
      </c>
      <c r="C2188" s="504" t="s">
        <v>1089</v>
      </c>
      <c r="D2188" s="504" t="s">
        <v>3392</v>
      </c>
      <c r="E2188" s="504" t="s">
        <v>3381</v>
      </c>
      <c r="F2188" s="504" t="s">
        <v>553</v>
      </c>
      <c r="G2188" s="504" t="s">
        <v>554</v>
      </c>
      <c r="H2188" s="504" t="s">
        <v>5093</v>
      </c>
      <c r="I2188" s="504">
        <v>2</v>
      </c>
      <c r="J2188" s="504">
        <v>2</v>
      </c>
      <c r="K2188" s="504">
        <v>0</v>
      </c>
      <c r="L2188" s="504">
        <v>0</v>
      </c>
      <c r="M2188" s="504">
        <v>0</v>
      </c>
      <c r="N2188" s="504">
        <v>0</v>
      </c>
      <c r="O2188" s="505">
        <v>0</v>
      </c>
    </row>
    <row r="2189" spans="1:15" x14ac:dyDescent="0.35">
      <c r="A2189" s="500" t="s">
        <v>1100</v>
      </c>
      <c r="B2189" s="501">
        <v>4865</v>
      </c>
      <c r="C2189" s="501" t="s">
        <v>1094</v>
      </c>
      <c r="D2189" s="501" t="s">
        <v>3380</v>
      </c>
      <c r="E2189" s="501" t="s">
        <v>3381</v>
      </c>
      <c r="F2189" s="501" t="s">
        <v>553</v>
      </c>
      <c r="G2189" s="501" t="s">
        <v>554</v>
      </c>
      <c r="H2189" s="501" t="s">
        <v>5094</v>
      </c>
      <c r="I2189" s="501">
        <v>826</v>
      </c>
      <c r="J2189" s="501">
        <v>550</v>
      </c>
      <c r="K2189" s="501">
        <v>0</v>
      </c>
      <c r="L2189" s="501">
        <v>18</v>
      </c>
      <c r="M2189" s="501">
        <v>0</v>
      </c>
      <c r="N2189" s="501">
        <v>0</v>
      </c>
      <c r="O2189" s="506">
        <v>258</v>
      </c>
    </row>
    <row r="2190" spans="1:15" x14ac:dyDescent="0.35">
      <c r="A2190" s="503" t="s">
        <v>1420</v>
      </c>
      <c r="B2190" s="504">
        <v>4764</v>
      </c>
      <c r="C2190" s="504" t="s">
        <v>1089</v>
      </c>
      <c r="D2190" s="504" t="s">
        <v>3392</v>
      </c>
      <c r="E2190" s="504" t="s">
        <v>3381</v>
      </c>
      <c r="F2190" s="504" t="s">
        <v>553</v>
      </c>
      <c r="G2190" s="504" t="s">
        <v>554</v>
      </c>
      <c r="H2190" s="504" t="s">
        <v>5095</v>
      </c>
      <c r="I2190" s="504">
        <v>17</v>
      </c>
      <c r="J2190" s="504">
        <v>17</v>
      </c>
      <c r="K2190" s="504">
        <v>0</v>
      </c>
      <c r="L2190" s="504">
        <v>0</v>
      </c>
      <c r="M2190" s="504">
        <v>0</v>
      </c>
      <c r="N2190" s="504">
        <v>0</v>
      </c>
      <c r="O2190" s="505">
        <v>0</v>
      </c>
    </row>
    <row r="2191" spans="1:15" x14ac:dyDescent="0.35">
      <c r="A2191" s="500" t="s">
        <v>1422</v>
      </c>
      <c r="B2191" s="501" t="s">
        <v>3254</v>
      </c>
      <c r="C2191" s="501" t="s">
        <v>1094</v>
      </c>
      <c r="D2191" s="501" t="s">
        <v>3380</v>
      </c>
      <c r="E2191" s="501" t="s">
        <v>3381</v>
      </c>
      <c r="F2191" s="501" t="s">
        <v>553</v>
      </c>
      <c r="G2191" s="501" t="s">
        <v>554</v>
      </c>
      <c r="H2191" s="501" t="s">
        <v>5096</v>
      </c>
      <c r="I2191" s="501">
        <v>1173</v>
      </c>
      <c r="J2191" s="501">
        <v>851</v>
      </c>
      <c r="K2191" s="501">
        <v>0</v>
      </c>
      <c r="L2191" s="501">
        <v>125</v>
      </c>
      <c r="M2191" s="501">
        <v>170</v>
      </c>
      <c r="N2191" s="501">
        <v>0</v>
      </c>
      <c r="O2191" s="506">
        <v>27</v>
      </c>
    </row>
    <row r="2192" spans="1:15" x14ac:dyDescent="0.35">
      <c r="A2192" s="503" t="s">
        <v>11385</v>
      </c>
      <c r="B2192" s="504">
        <v>4787</v>
      </c>
      <c r="C2192" s="504" t="s">
        <v>1089</v>
      </c>
      <c r="D2192" s="504" t="s">
        <v>3392</v>
      </c>
      <c r="E2192" s="504" t="s">
        <v>3381</v>
      </c>
      <c r="F2192" s="504" t="s">
        <v>553</v>
      </c>
      <c r="G2192" s="504" t="s">
        <v>554</v>
      </c>
      <c r="H2192" s="504" t="s">
        <v>11672</v>
      </c>
      <c r="I2192" s="504">
        <v>13</v>
      </c>
      <c r="J2192" s="504">
        <v>13</v>
      </c>
      <c r="K2192" s="504">
        <v>0</v>
      </c>
      <c r="L2192" s="504">
        <v>0</v>
      </c>
      <c r="M2192" s="504">
        <v>0</v>
      </c>
      <c r="N2192" s="504">
        <v>0</v>
      </c>
      <c r="O2192" s="505">
        <v>0</v>
      </c>
    </row>
    <row r="2193" spans="1:15" x14ac:dyDescent="0.35">
      <c r="A2193" s="500" t="s">
        <v>1433</v>
      </c>
      <c r="B2193" s="501" t="s">
        <v>3316</v>
      </c>
      <c r="C2193" s="501" t="s">
        <v>1089</v>
      </c>
      <c r="D2193" s="501" t="s">
        <v>3392</v>
      </c>
      <c r="E2193" s="501" t="s">
        <v>3381</v>
      </c>
      <c r="F2193" s="501" t="s">
        <v>553</v>
      </c>
      <c r="G2193" s="501" t="s">
        <v>554</v>
      </c>
      <c r="H2193" s="501" t="s">
        <v>5097</v>
      </c>
      <c r="I2193" s="501">
        <v>53</v>
      </c>
      <c r="J2193" s="501">
        <v>53</v>
      </c>
      <c r="K2193" s="501">
        <v>0</v>
      </c>
      <c r="L2193" s="501">
        <v>0</v>
      </c>
      <c r="M2193" s="501">
        <v>0</v>
      </c>
      <c r="N2193" s="501">
        <v>0</v>
      </c>
      <c r="O2193" s="506">
        <v>0</v>
      </c>
    </row>
    <row r="2194" spans="1:15" x14ac:dyDescent="0.35">
      <c r="A2194" s="503" t="s">
        <v>1434</v>
      </c>
      <c r="B2194" s="504" t="s">
        <v>3111</v>
      </c>
      <c r="C2194" s="504" t="s">
        <v>1089</v>
      </c>
      <c r="D2194" s="504" t="s">
        <v>3392</v>
      </c>
      <c r="E2194" s="504" t="s">
        <v>3381</v>
      </c>
      <c r="F2194" s="504" t="s">
        <v>553</v>
      </c>
      <c r="G2194" s="504" t="s">
        <v>554</v>
      </c>
      <c r="H2194" s="504" t="s">
        <v>5098</v>
      </c>
      <c r="I2194" s="504">
        <v>209</v>
      </c>
      <c r="J2194" s="504">
        <v>6</v>
      </c>
      <c r="K2194" s="504">
        <v>0</v>
      </c>
      <c r="L2194" s="504">
        <v>203</v>
      </c>
      <c r="M2194" s="504">
        <v>0</v>
      </c>
      <c r="N2194" s="504">
        <v>0</v>
      </c>
      <c r="O2194" s="505">
        <v>0</v>
      </c>
    </row>
    <row r="2195" spans="1:15" x14ac:dyDescent="0.35">
      <c r="A2195" s="500" t="s">
        <v>1174</v>
      </c>
      <c r="B2195" s="501">
        <v>4784</v>
      </c>
      <c r="C2195" s="501" t="s">
        <v>1089</v>
      </c>
      <c r="D2195" s="501" t="s">
        <v>3392</v>
      </c>
      <c r="E2195" s="501" t="s">
        <v>3381</v>
      </c>
      <c r="F2195" s="501" t="s">
        <v>553</v>
      </c>
      <c r="G2195" s="501" t="s">
        <v>554</v>
      </c>
      <c r="H2195" s="501" t="s">
        <v>5099</v>
      </c>
      <c r="I2195" s="501">
        <v>6</v>
      </c>
      <c r="J2195" s="501">
        <v>0</v>
      </c>
      <c r="K2195" s="501">
        <v>0</v>
      </c>
      <c r="L2195" s="501">
        <v>6</v>
      </c>
      <c r="M2195" s="501">
        <v>0</v>
      </c>
      <c r="N2195" s="501">
        <v>0</v>
      </c>
      <c r="O2195" s="506">
        <v>0</v>
      </c>
    </row>
    <row r="2196" spans="1:15" x14ac:dyDescent="0.35">
      <c r="A2196" s="503" t="s">
        <v>1437</v>
      </c>
      <c r="B2196" s="504" t="s">
        <v>2945</v>
      </c>
      <c r="C2196" s="504" t="s">
        <v>1089</v>
      </c>
      <c r="D2196" s="504" t="s">
        <v>3392</v>
      </c>
      <c r="E2196" s="504" t="s">
        <v>3381</v>
      </c>
      <c r="F2196" s="504" t="s">
        <v>553</v>
      </c>
      <c r="G2196" s="504" t="s">
        <v>554</v>
      </c>
      <c r="H2196" s="504" t="s">
        <v>5100</v>
      </c>
      <c r="I2196" s="504">
        <v>296</v>
      </c>
      <c r="J2196" s="504">
        <v>0</v>
      </c>
      <c r="K2196" s="504">
        <v>0</v>
      </c>
      <c r="L2196" s="504">
        <v>296</v>
      </c>
      <c r="M2196" s="504">
        <v>0</v>
      </c>
      <c r="N2196" s="504">
        <v>0</v>
      </c>
      <c r="O2196" s="505">
        <v>0</v>
      </c>
    </row>
    <row r="2197" spans="1:15" x14ac:dyDescent="0.35">
      <c r="A2197" s="500" t="s">
        <v>14208</v>
      </c>
      <c r="B2197" s="501">
        <v>4803</v>
      </c>
      <c r="C2197" s="501" t="s">
        <v>1094</v>
      </c>
      <c r="D2197" s="501" t="s">
        <v>3380</v>
      </c>
      <c r="E2197" s="501" t="s">
        <v>3381</v>
      </c>
      <c r="F2197" s="501" t="s">
        <v>553</v>
      </c>
      <c r="G2197" s="501" t="s">
        <v>554</v>
      </c>
      <c r="H2197" s="501" t="s">
        <v>14608</v>
      </c>
      <c r="I2197" s="501">
        <v>9</v>
      </c>
      <c r="J2197" s="501">
        <v>0</v>
      </c>
      <c r="K2197" s="501">
        <v>0</v>
      </c>
      <c r="L2197" s="501">
        <v>9</v>
      </c>
      <c r="M2197" s="501">
        <v>0</v>
      </c>
      <c r="N2197" s="501">
        <v>0</v>
      </c>
      <c r="O2197" s="506">
        <v>0</v>
      </c>
    </row>
    <row r="2198" spans="1:15" x14ac:dyDescent="0.35">
      <c r="A2198" s="503" t="s">
        <v>1185</v>
      </c>
      <c r="B2198" s="504" t="s">
        <v>3253</v>
      </c>
      <c r="C2198" s="504" t="s">
        <v>1094</v>
      </c>
      <c r="D2198" s="504" t="s">
        <v>3380</v>
      </c>
      <c r="E2198" s="504" t="s">
        <v>3381</v>
      </c>
      <c r="F2198" s="504" t="s">
        <v>553</v>
      </c>
      <c r="G2198" s="504" t="s">
        <v>554</v>
      </c>
      <c r="H2198" s="504" t="s">
        <v>5101</v>
      </c>
      <c r="I2198" s="504">
        <v>5</v>
      </c>
      <c r="J2198" s="504">
        <v>0</v>
      </c>
      <c r="K2198" s="504">
        <v>0</v>
      </c>
      <c r="L2198" s="504">
        <v>5</v>
      </c>
      <c r="M2198" s="504">
        <v>0</v>
      </c>
      <c r="N2198" s="504">
        <v>0</v>
      </c>
      <c r="O2198" s="505">
        <v>0</v>
      </c>
    </row>
    <row r="2199" spans="1:15" x14ac:dyDescent="0.35">
      <c r="A2199" s="500" t="s">
        <v>1187</v>
      </c>
      <c r="B2199" s="501" t="s">
        <v>2951</v>
      </c>
      <c r="C2199" s="501" t="s">
        <v>1094</v>
      </c>
      <c r="D2199" s="501" t="s">
        <v>3380</v>
      </c>
      <c r="E2199" s="501" t="s">
        <v>3381</v>
      </c>
      <c r="F2199" s="501" t="s">
        <v>553</v>
      </c>
      <c r="G2199" s="501" t="s">
        <v>554</v>
      </c>
      <c r="H2199" s="501" t="s">
        <v>5102</v>
      </c>
      <c r="I2199" s="501">
        <v>90</v>
      </c>
      <c r="J2199" s="501">
        <v>89</v>
      </c>
      <c r="K2199" s="501">
        <v>0</v>
      </c>
      <c r="L2199" s="501">
        <v>0</v>
      </c>
      <c r="M2199" s="501">
        <v>0</v>
      </c>
      <c r="N2199" s="501">
        <v>0</v>
      </c>
      <c r="O2199" s="506">
        <v>1</v>
      </c>
    </row>
    <row r="2200" spans="1:15" x14ac:dyDescent="0.35">
      <c r="A2200" s="503" t="s">
        <v>1459</v>
      </c>
      <c r="B2200" s="504" t="s">
        <v>3063</v>
      </c>
      <c r="C2200" s="504" t="s">
        <v>1094</v>
      </c>
      <c r="D2200" s="504" t="s">
        <v>3380</v>
      </c>
      <c r="E2200" s="504" t="s">
        <v>3381</v>
      </c>
      <c r="F2200" s="504" t="s">
        <v>553</v>
      </c>
      <c r="G2200" s="504" t="s">
        <v>554</v>
      </c>
      <c r="H2200" s="504" t="s">
        <v>5103</v>
      </c>
      <c r="I2200" s="504">
        <v>373</v>
      </c>
      <c r="J2200" s="504">
        <v>312</v>
      </c>
      <c r="K2200" s="504">
        <v>0</v>
      </c>
      <c r="L2200" s="504">
        <v>0</v>
      </c>
      <c r="M2200" s="504">
        <v>0</v>
      </c>
      <c r="N2200" s="504">
        <v>0</v>
      </c>
      <c r="O2200" s="505">
        <v>61</v>
      </c>
    </row>
    <row r="2201" spans="1:15" x14ac:dyDescent="0.35">
      <c r="A2201" s="500" t="s">
        <v>1105</v>
      </c>
      <c r="B2201" s="501">
        <v>4668</v>
      </c>
      <c r="C2201" s="501" t="s">
        <v>1094</v>
      </c>
      <c r="D2201" s="501" t="s">
        <v>3380</v>
      </c>
      <c r="E2201" s="501" t="s">
        <v>3381</v>
      </c>
      <c r="F2201" s="501" t="s">
        <v>553</v>
      </c>
      <c r="G2201" s="501" t="s">
        <v>554</v>
      </c>
      <c r="H2201" s="501" t="s">
        <v>5104</v>
      </c>
      <c r="I2201" s="501">
        <v>2</v>
      </c>
      <c r="J2201" s="501">
        <v>0</v>
      </c>
      <c r="K2201" s="501">
        <v>0</v>
      </c>
      <c r="L2201" s="501">
        <v>0</v>
      </c>
      <c r="M2201" s="501">
        <v>0</v>
      </c>
      <c r="N2201" s="501">
        <v>0</v>
      </c>
      <c r="O2201" s="506">
        <v>2</v>
      </c>
    </row>
    <row r="2202" spans="1:15" x14ac:dyDescent="0.35">
      <c r="A2202" s="503" t="s">
        <v>1107</v>
      </c>
      <c r="B2202" s="504" t="s">
        <v>3109</v>
      </c>
      <c r="C2202" s="504" t="s">
        <v>1094</v>
      </c>
      <c r="D2202" s="504" t="s">
        <v>3380</v>
      </c>
      <c r="E2202" s="504" t="s">
        <v>3381</v>
      </c>
      <c r="F2202" s="504" t="s">
        <v>553</v>
      </c>
      <c r="G2202" s="504" t="s">
        <v>554</v>
      </c>
      <c r="H2202" s="504" t="s">
        <v>5105</v>
      </c>
      <c r="I2202" s="504">
        <v>631</v>
      </c>
      <c r="J2202" s="504">
        <v>554</v>
      </c>
      <c r="K2202" s="504">
        <v>0</v>
      </c>
      <c r="L2202" s="504">
        <v>18</v>
      </c>
      <c r="M2202" s="504">
        <v>0</v>
      </c>
      <c r="N2202" s="504">
        <v>1</v>
      </c>
      <c r="O2202" s="505">
        <v>59</v>
      </c>
    </row>
    <row r="2203" spans="1:15" x14ac:dyDescent="0.35">
      <c r="A2203" s="500" t="s">
        <v>1109</v>
      </c>
      <c r="B2203" s="501" t="s">
        <v>2959</v>
      </c>
      <c r="C2203" s="501" t="s">
        <v>1094</v>
      </c>
      <c r="D2203" s="501" t="s">
        <v>3380</v>
      </c>
      <c r="E2203" s="501" t="s">
        <v>3381</v>
      </c>
      <c r="F2203" s="501" t="s">
        <v>553</v>
      </c>
      <c r="G2203" s="501" t="s">
        <v>554</v>
      </c>
      <c r="H2203" s="501" t="s">
        <v>5106</v>
      </c>
      <c r="I2203" s="501">
        <v>42</v>
      </c>
      <c r="J2203" s="501">
        <v>0</v>
      </c>
      <c r="K2203" s="501">
        <v>0</v>
      </c>
      <c r="L2203" s="501">
        <v>0</v>
      </c>
      <c r="M2203" s="501">
        <v>42</v>
      </c>
      <c r="N2203" s="501">
        <v>0</v>
      </c>
      <c r="O2203" s="506">
        <v>0</v>
      </c>
    </row>
    <row r="2204" spans="1:15" x14ac:dyDescent="0.35">
      <c r="A2204" s="503" t="s">
        <v>1189</v>
      </c>
      <c r="B2204" s="504" t="s">
        <v>3236</v>
      </c>
      <c r="C2204" s="504" t="s">
        <v>1094</v>
      </c>
      <c r="D2204" s="504" t="s">
        <v>3380</v>
      </c>
      <c r="E2204" s="504" t="s">
        <v>3381</v>
      </c>
      <c r="F2204" s="504" t="s">
        <v>553</v>
      </c>
      <c r="G2204" s="504" t="s">
        <v>554</v>
      </c>
      <c r="H2204" s="504" t="s">
        <v>5107</v>
      </c>
      <c r="I2204" s="504">
        <v>1541</v>
      </c>
      <c r="J2204" s="504">
        <v>1358</v>
      </c>
      <c r="K2204" s="504">
        <v>5</v>
      </c>
      <c r="L2204" s="504">
        <v>6</v>
      </c>
      <c r="M2204" s="504">
        <v>105</v>
      </c>
      <c r="N2204" s="504">
        <v>26</v>
      </c>
      <c r="O2204" s="505">
        <v>67</v>
      </c>
    </row>
    <row r="2205" spans="1:15" x14ac:dyDescent="0.35">
      <c r="A2205" s="500" t="s">
        <v>1481</v>
      </c>
      <c r="B2205" s="501" t="s">
        <v>3083</v>
      </c>
      <c r="C2205" s="501" t="s">
        <v>1089</v>
      </c>
      <c r="D2205" s="501" t="s">
        <v>3392</v>
      </c>
      <c r="E2205" s="501" t="s">
        <v>3381</v>
      </c>
      <c r="F2205" s="501" t="s">
        <v>553</v>
      </c>
      <c r="G2205" s="501" t="s">
        <v>554</v>
      </c>
      <c r="H2205" s="501" t="s">
        <v>5108</v>
      </c>
      <c r="I2205" s="501">
        <v>24</v>
      </c>
      <c r="J2205" s="501">
        <v>24</v>
      </c>
      <c r="K2205" s="501">
        <v>0</v>
      </c>
      <c r="L2205" s="501">
        <v>0</v>
      </c>
      <c r="M2205" s="501">
        <v>0</v>
      </c>
      <c r="N2205" s="501">
        <v>0</v>
      </c>
      <c r="O2205" s="506">
        <v>0</v>
      </c>
    </row>
    <row r="2206" spans="1:15" x14ac:dyDescent="0.35">
      <c r="A2206" s="503" t="s">
        <v>1195</v>
      </c>
      <c r="B2206" s="504">
        <v>4693</v>
      </c>
      <c r="C2206" s="504" t="s">
        <v>1089</v>
      </c>
      <c r="D2206" s="504" t="s">
        <v>3392</v>
      </c>
      <c r="E2206" s="504" t="s">
        <v>3381</v>
      </c>
      <c r="F2206" s="504" t="s">
        <v>553</v>
      </c>
      <c r="G2206" s="504" t="s">
        <v>554</v>
      </c>
      <c r="H2206" s="504" t="s">
        <v>5109</v>
      </c>
      <c r="I2206" s="504">
        <v>51</v>
      </c>
      <c r="J2206" s="504">
        <v>0</v>
      </c>
      <c r="K2206" s="504">
        <v>0</v>
      </c>
      <c r="L2206" s="504">
        <v>51</v>
      </c>
      <c r="M2206" s="504">
        <v>0</v>
      </c>
      <c r="N2206" s="504">
        <v>0</v>
      </c>
      <c r="O2206" s="505">
        <v>0</v>
      </c>
    </row>
    <row r="2207" spans="1:15" x14ac:dyDescent="0.35">
      <c r="A2207" s="500" t="s">
        <v>1310</v>
      </c>
      <c r="B2207" s="501">
        <v>5062</v>
      </c>
      <c r="C2207" s="501" t="s">
        <v>1089</v>
      </c>
      <c r="D2207" s="501" t="s">
        <v>3380</v>
      </c>
      <c r="E2207" s="501" t="s">
        <v>3381</v>
      </c>
      <c r="F2207" s="501" t="s">
        <v>553</v>
      </c>
      <c r="G2207" s="501" t="s">
        <v>554</v>
      </c>
      <c r="H2207" s="501" t="s">
        <v>14609</v>
      </c>
      <c r="I2207" s="501">
        <v>50</v>
      </c>
      <c r="J2207" s="501">
        <v>0</v>
      </c>
      <c r="K2207" s="501">
        <v>0</v>
      </c>
      <c r="L2207" s="501">
        <v>0</v>
      </c>
      <c r="M2207" s="501">
        <v>0</v>
      </c>
      <c r="N2207" s="501">
        <v>0</v>
      </c>
      <c r="O2207" s="506">
        <v>50</v>
      </c>
    </row>
    <row r="2208" spans="1:15" x14ac:dyDescent="0.35">
      <c r="A2208" s="503" t="s">
        <v>1202</v>
      </c>
      <c r="B2208" s="504" t="s">
        <v>3217</v>
      </c>
      <c r="C2208" s="504" t="s">
        <v>1094</v>
      </c>
      <c r="D2208" s="504" t="s">
        <v>3380</v>
      </c>
      <c r="E2208" s="504" t="s">
        <v>3381</v>
      </c>
      <c r="F2208" s="504" t="s">
        <v>553</v>
      </c>
      <c r="G2208" s="504" t="s">
        <v>554</v>
      </c>
      <c r="H2208" s="504" t="s">
        <v>5110</v>
      </c>
      <c r="I2208" s="504">
        <v>2140</v>
      </c>
      <c r="J2208" s="504">
        <v>1553</v>
      </c>
      <c r="K2208" s="504">
        <v>0</v>
      </c>
      <c r="L2208" s="504">
        <v>7</v>
      </c>
      <c r="M2208" s="504">
        <v>44</v>
      </c>
      <c r="N2208" s="504">
        <v>7</v>
      </c>
      <c r="O2208" s="505">
        <v>536</v>
      </c>
    </row>
    <row r="2209" spans="1:15" x14ac:dyDescent="0.35">
      <c r="A2209" s="500" t="s">
        <v>1494</v>
      </c>
      <c r="B2209" s="501" t="s">
        <v>3235</v>
      </c>
      <c r="C2209" s="501" t="s">
        <v>1094</v>
      </c>
      <c r="D2209" s="501" t="s">
        <v>3380</v>
      </c>
      <c r="E2209" s="501" t="s">
        <v>3381</v>
      </c>
      <c r="F2209" s="501" t="s">
        <v>553</v>
      </c>
      <c r="G2209" s="501" t="s">
        <v>554</v>
      </c>
      <c r="H2209" s="501" t="s">
        <v>5111</v>
      </c>
      <c r="I2209" s="501">
        <v>6</v>
      </c>
      <c r="J2209" s="501">
        <v>0</v>
      </c>
      <c r="K2209" s="501">
        <v>0</v>
      </c>
      <c r="L2209" s="501">
        <v>6</v>
      </c>
      <c r="M2209" s="501">
        <v>0</v>
      </c>
      <c r="N2209" s="501">
        <v>0</v>
      </c>
      <c r="O2209" s="506">
        <v>0</v>
      </c>
    </row>
    <row r="2210" spans="1:15" x14ac:dyDescent="0.35">
      <c r="A2210" s="503" t="s">
        <v>1112</v>
      </c>
      <c r="B2210" s="504" t="s">
        <v>3008</v>
      </c>
      <c r="C2210" s="504" t="s">
        <v>1094</v>
      </c>
      <c r="D2210" s="504" t="s">
        <v>3380</v>
      </c>
      <c r="E2210" s="504" t="s">
        <v>3381</v>
      </c>
      <c r="F2210" s="504" t="s">
        <v>553</v>
      </c>
      <c r="G2210" s="504" t="s">
        <v>554</v>
      </c>
      <c r="H2210" s="504" t="s">
        <v>5112</v>
      </c>
      <c r="I2210" s="504">
        <v>26</v>
      </c>
      <c r="J2210" s="504">
        <v>23</v>
      </c>
      <c r="K2210" s="504">
        <v>0</v>
      </c>
      <c r="L2210" s="504">
        <v>0</v>
      </c>
      <c r="M2210" s="504">
        <v>0</v>
      </c>
      <c r="N2210" s="504">
        <v>0</v>
      </c>
      <c r="O2210" s="505">
        <v>3</v>
      </c>
    </row>
    <row r="2211" spans="1:15" x14ac:dyDescent="0.35">
      <c r="A2211" s="500" t="s">
        <v>1114</v>
      </c>
      <c r="B2211" s="501" t="s">
        <v>2982</v>
      </c>
      <c r="C2211" s="501" t="s">
        <v>1094</v>
      </c>
      <c r="D2211" s="501" t="s">
        <v>3380</v>
      </c>
      <c r="E2211" s="501" t="s">
        <v>3381</v>
      </c>
      <c r="F2211" s="501" t="s">
        <v>553</v>
      </c>
      <c r="G2211" s="501" t="s">
        <v>554</v>
      </c>
      <c r="H2211" s="501" t="s">
        <v>5113</v>
      </c>
      <c r="I2211" s="501">
        <v>377</v>
      </c>
      <c r="J2211" s="501">
        <v>287</v>
      </c>
      <c r="K2211" s="501">
        <v>0</v>
      </c>
      <c r="L2211" s="501">
        <v>0</v>
      </c>
      <c r="M2211" s="501">
        <v>33</v>
      </c>
      <c r="N2211" s="501">
        <v>0</v>
      </c>
      <c r="O2211" s="506">
        <v>57</v>
      </c>
    </row>
    <row r="2212" spans="1:15" x14ac:dyDescent="0.35">
      <c r="A2212" s="503" t="s">
        <v>1315</v>
      </c>
      <c r="B2212" s="504">
        <v>4825</v>
      </c>
      <c r="C2212" s="504" t="s">
        <v>1094</v>
      </c>
      <c r="D2212" s="504" t="s">
        <v>3380</v>
      </c>
      <c r="E2212" s="504" t="s">
        <v>3381</v>
      </c>
      <c r="F2212" s="504" t="s">
        <v>553</v>
      </c>
      <c r="G2212" s="504" t="s">
        <v>554</v>
      </c>
      <c r="H2212" s="504" t="s">
        <v>5114</v>
      </c>
      <c r="I2212" s="504">
        <v>1</v>
      </c>
      <c r="J2212" s="504">
        <v>0</v>
      </c>
      <c r="K2212" s="504">
        <v>0</v>
      </c>
      <c r="L2212" s="504">
        <v>0</v>
      </c>
      <c r="M2212" s="504">
        <v>0</v>
      </c>
      <c r="N2212" s="504">
        <v>0</v>
      </c>
      <c r="O2212" s="505">
        <v>1</v>
      </c>
    </row>
    <row r="2213" spans="1:15" x14ac:dyDescent="0.35">
      <c r="A2213" s="500" t="s">
        <v>1319</v>
      </c>
      <c r="B2213" s="501">
        <v>4880</v>
      </c>
      <c r="C2213" s="501" t="s">
        <v>1094</v>
      </c>
      <c r="D2213" s="501" t="s">
        <v>3380</v>
      </c>
      <c r="E2213" s="501" t="s">
        <v>3381</v>
      </c>
      <c r="F2213" s="501" t="s">
        <v>553</v>
      </c>
      <c r="G2213" s="501" t="s">
        <v>554</v>
      </c>
      <c r="H2213" s="501" t="s">
        <v>5115</v>
      </c>
      <c r="I2213" s="501">
        <v>780</v>
      </c>
      <c r="J2213" s="501">
        <v>747</v>
      </c>
      <c r="K2213" s="501">
        <v>0</v>
      </c>
      <c r="L2213" s="501">
        <v>19</v>
      </c>
      <c r="M2213" s="501">
        <v>0</v>
      </c>
      <c r="N2213" s="501">
        <v>0</v>
      </c>
      <c r="O2213" s="506">
        <v>14</v>
      </c>
    </row>
    <row r="2214" spans="1:15" x14ac:dyDescent="0.35">
      <c r="A2214" s="503" t="s">
        <v>1120</v>
      </c>
      <c r="B2214" s="504" t="s">
        <v>3362</v>
      </c>
      <c r="C2214" s="504" t="s">
        <v>1094</v>
      </c>
      <c r="D2214" s="504" t="s">
        <v>3380</v>
      </c>
      <c r="E2214" s="504" t="s">
        <v>3381</v>
      </c>
      <c r="F2214" s="504" t="s">
        <v>553</v>
      </c>
      <c r="G2214" s="504" t="s">
        <v>554</v>
      </c>
      <c r="H2214" s="504" t="s">
        <v>5116</v>
      </c>
      <c r="I2214" s="504">
        <v>54</v>
      </c>
      <c r="J2214" s="504">
        <v>0</v>
      </c>
      <c r="K2214" s="504">
        <v>0</v>
      </c>
      <c r="L2214" s="504">
        <v>0</v>
      </c>
      <c r="M2214" s="504">
        <v>0</v>
      </c>
      <c r="N2214" s="504">
        <v>0</v>
      </c>
      <c r="O2214" s="505">
        <v>54</v>
      </c>
    </row>
    <row r="2215" spans="1:15" x14ac:dyDescent="0.35">
      <c r="A2215" s="500" t="s">
        <v>1320</v>
      </c>
      <c r="B2215" s="501">
        <v>4720</v>
      </c>
      <c r="C2215" s="501" t="s">
        <v>1089</v>
      </c>
      <c r="D2215" s="501" t="s">
        <v>3392</v>
      </c>
      <c r="E2215" s="501" t="s">
        <v>3381</v>
      </c>
      <c r="F2215" s="501" t="s">
        <v>553</v>
      </c>
      <c r="G2215" s="501" t="s">
        <v>554</v>
      </c>
      <c r="H2215" s="501" t="s">
        <v>11876</v>
      </c>
      <c r="I2215" s="501">
        <v>8</v>
      </c>
      <c r="J2215" s="501">
        <v>8</v>
      </c>
      <c r="K2215" s="501">
        <v>0</v>
      </c>
      <c r="L2215" s="501">
        <v>0</v>
      </c>
      <c r="M2215" s="501">
        <v>0</v>
      </c>
      <c r="N2215" s="501">
        <v>0</v>
      </c>
      <c r="O2215" s="506">
        <v>0</v>
      </c>
    </row>
    <row r="2216" spans="1:15" x14ac:dyDescent="0.35">
      <c r="A2216" s="503" t="s">
        <v>1217</v>
      </c>
      <c r="B2216" s="504">
        <v>4851</v>
      </c>
      <c r="C2216" s="504" t="s">
        <v>1094</v>
      </c>
      <c r="D2216" s="504" t="s">
        <v>3380</v>
      </c>
      <c r="E2216" s="504" t="s">
        <v>3381</v>
      </c>
      <c r="F2216" s="504" t="s">
        <v>553</v>
      </c>
      <c r="G2216" s="504" t="s">
        <v>554</v>
      </c>
      <c r="H2216" s="504" t="s">
        <v>5117</v>
      </c>
      <c r="I2216" s="504">
        <v>3729</v>
      </c>
      <c r="J2216" s="504">
        <v>2659</v>
      </c>
      <c r="K2216" s="504">
        <v>0</v>
      </c>
      <c r="L2216" s="504">
        <v>108</v>
      </c>
      <c r="M2216" s="504">
        <v>67</v>
      </c>
      <c r="N2216" s="504">
        <v>7</v>
      </c>
      <c r="O2216" s="505">
        <v>895</v>
      </c>
    </row>
    <row r="2217" spans="1:15" x14ac:dyDescent="0.35">
      <c r="A2217" s="500" t="s">
        <v>1218</v>
      </c>
      <c r="B2217" s="501" t="s">
        <v>3147</v>
      </c>
      <c r="C2217" s="501" t="s">
        <v>1094</v>
      </c>
      <c r="D2217" s="501" t="s">
        <v>3380</v>
      </c>
      <c r="E2217" s="501" t="s">
        <v>3381</v>
      </c>
      <c r="F2217" s="501" t="s">
        <v>553</v>
      </c>
      <c r="G2217" s="501" t="s">
        <v>554</v>
      </c>
      <c r="H2217" s="501" t="s">
        <v>5118</v>
      </c>
      <c r="I2217" s="501">
        <v>19</v>
      </c>
      <c r="J2217" s="501">
        <v>0</v>
      </c>
      <c r="K2217" s="501">
        <v>0</v>
      </c>
      <c r="L2217" s="501">
        <v>0</v>
      </c>
      <c r="M2217" s="501">
        <v>0</v>
      </c>
      <c r="N2217" s="501">
        <v>0</v>
      </c>
      <c r="O2217" s="506">
        <v>19</v>
      </c>
    </row>
    <row r="2218" spans="1:15" x14ac:dyDescent="0.35">
      <c r="A2218" s="503" t="s">
        <v>11367</v>
      </c>
      <c r="B2218" s="504" t="s">
        <v>3143</v>
      </c>
      <c r="C2218" s="504" t="s">
        <v>1094</v>
      </c>
      <c r="D2218" s="504" t="s">
        <v>3380</v>
      </c>
      <c r="E2218" s="504" t="s">
        <v>3381</v>
      </c>
      <c r="F2218" s="504" t="s">
        <v>553</v>
      </c>
      <c r="G2218" s="504" t="s">
        <v>554</v>
      </c>
      <c r="H2218" s="504" t="s">
        <v>11913</v>
      </c>
      <c r="I2218" s="504">
        <v>176</v>
      </c>
      <c r="J2218" s="504">
        <v>176</v>
      </c>
      <c r="K2218" s="504">
        <v>0</v>
      </c>
      <c r="L2218" s="504">
        <v>0</v>
      </c>
      <c r="M2218" s="504">
        <v>0</v>
      </c>
      <c r="N2218" s="504">
        <v>0</v>
      </c>
      <c r="O2218" s="505">
        <v>0</v>
      </c>
    </row>
    <row r="2219" spans="1:15" x14ac:dyDescent="0.35">
      <c r="A2219" s="500" t="s">
        <v>1220</v>
      </c>
      <c r="B2219" s="501">
        <v>4849</v>
      </c>
      <c r="C2219" s="501" t="s">
        <v>1094</v>
      </c>
      <c r="D2219" s="501" t="s">
        <v>3380</v>
      </c>
      <c r="E2219" s="501" t="s">
        <v>3381</v>
      </c>
      <c r="F2219" s="501" t="s">
        <v>553</v>
      </c>
      <c r="G2219" s="501" t="s">
        <v>554</v>
      </c>
      <c r="H2219" s="501" t="s">
        <v>5119</v>
      </c>
      <c r="I2219" s="501">
        <v>172</v>
      </c>
      <c r="J2219" s="501">
        <v>98</v>
      </c>
      <c r="K2219" s="501">
        <v>0</v>
      </c>
      <c r="L2219" s="501">
        <v>0</v>
      </c>
      <c r="M2219" s="501">
        <v>0</v>
      </c>
      <c r="N2219" s="501">
        <v>0</v>
      </c>
      <c r="O2219" s="506">
        <v>74</v>
      </c>
    </row>
    <row r="2220" spans="1:15" x14ac:dyDescent="0.35">
      <c r="A2220" s="503" t="s">
        <v>1332</v>
      </c>
      <c r="B2220" s="504">
        <v>4878</v>
      </c>
      <c r="C2220" s="504" t="s">
        <v>1094</v>
      </c>
      <c r="D2220" s="504" t="s">
        <v>3380</v>
      </c>
      <c r="E2220" s="504" t="s">
        <v>3381</v>
      </c>
      <c r="F2220" s="504" t="s">
        <v>553</v>
      </c>
      <c r="G2220" s="504" t="s">
        <v>554</v>
      </c>
      <c r="H2220" s="504" t="s">
        <v>5120</v>
      </c>
      <c r="I2220" s="504">
        <v>493</v>
      </c>
      <c r="J2220" s="504">
        <v>395</v>
      </c>
      <c r="K2220" s="504">
        <v>0</v>
      </c>
      <c r="L2220" s="504">
        <v>23</v>
      </c>
      <c r="M2220" s="504">
        <v>0</v>
      </c>
      <c r="N2220" s="504">
        <v>0</v>
      </c>
      <c r="O2220" s="505">
        <v>75</v>
      </c>
    </row>
    <row r="2221" spans="1:15" x14ac:dyDescent="0.35">
      <c r="A2221" s="500" t="s">
        <v>1122</v>
      </c>
      <c r="B2221" s="501" t="s">
        <v>2994</v>
      </c>
      <c r="C2221" s="501" t="s">
        <v>1094</v>
      </c>
      <c r="D2221" s="501" t="s">
        <v>3380</v>
      </c>
      <c r="E2221" s="501" t="s">
        <v>3381</v>
      </c>
      <c r="F2221" s="501" t="s">
        <v>553</v>
      </c>
      <c r="G2221" s="501" t="s">
        <v>554</v>
      </c>
      <c r="H2221" s="501" t="s">
        <v>5121</v>
      </c>
      <c r="I2221" s="501">
        <v>33</v>
      </c>
      <c r="J2221" s="501">
        <v>15</v>
      </c>
      <c r="K2221" s="501">
        <v>0</v>
      </c>
      <c r="L2221" s="501">
        <v>0</v>
      </c>
      <c r="M2221" s="501">
        <v>0</v>
      </c>
      <c r="N2221" s="501">
        <v>0</v>
      </c>
      <c r="O2221" s="506">
        <v>18</v>
      </c>
    </row>
    <row r="2222" spans="1:15" x14ac:dyDescent="0.35">
      <c r="A2222" s="503" t="s">
        <v>1533</v>
      </c>
      <c r="B2222" s="504">
        <v>4703</v>
      </c>
      <c r="C2222" s="504" t="s">
        <v>1089</v>
      </c>
      <c r="D2222" s="504" t="s">
        <v>3392</v>
      </c>
      <c r="E2222" s="504" t="s">
        <v>3381</v>
      </c>
      <c r="F2222" s="504" t="s">
        <v>553</v>
      </c>
      <c r="G2222" s="504" t="s">
        <v>554</v>
      </c>
      <c r="H2222" s="504" t="s">
        <v>5122</v>
      </c>
      <c r="I2222" s="504">
        <v>25</v>
      </c>
      <c r="J2222" s="504">
        <v>0</v>
      </c>
      <c r="K2222" s="504">
        <v>0</v>
      </c>
      <c r="L2222" s="504">
        <v>25</v>
      </c>
      <c r="M2222" s="504">
        <v>0</v>
      </c>
      <c r="N2222" s="504">
        <v>0</v>
      </c>
      <c r="O2222" s="505">
        <v>0</v>
      </c>
    </row>
    <row r="2223" spans="1:15" x14ac:dyDescent="0.35">
      <c r="A2223" s="500" t="s">
        <v>1534</v>
      </c>
      <c r="B2223" s="501" t="s">
        <v>3092</v>
      </c>
      <c r="C2223" s="501" t="s">
        <v>1089</v>
      </c>
      <c r="D2223" s="501" t="s">
        <v>3392</v>
      </c>
      <c r="E2223" s="501" t="s">
        <v>3381</v>
      </c>
      <c r="F2223" s="501" t="s">
        <v>553</v>
      </c>
      <c r="G2223" s="501" t="s">
        <v>554</v>
      </c>
      <c r="H2223" s="501" t="s">
        <v>5123</v>
      </c>
      <c r="I2223" s="501">
        <v>95</v>
      </c>
      <c r="J2223" s="501">
        <v>95</v>
      </c>
      <c r="K2223" s="501">
        <v>0</v>
      </c>
      <c r="L2223" s="501">
        <v>0</v>
      </c>
      <c r="M2223" s="501">
        <v>0</v>
      </c>
      <c r="N2223" s="501">
        <v>0</v>
      </c>
      <c r="O2223" s="506">
        <v>0</v>
      </c>
    </row>
    <row r="2224" spans="1:15" x14ac:dyDescent="0.35">
      <c r="A2224" s="503" t="s">
        <v>1124</v>
      </c>
      <c r="B2224" s="504">
        <v>4745</v>
      </c>
      <c r="C2224" s="504" t="s">
        <v>1094</v>
      </c>
      <c r="D2224" s="504" t="s">
        <v>3380</v>
      </c>
      <c r="E2224" s="504" t="s">
        <v>3381</v>
      </c>
      <c r="F2224" s="504" t="s">
        <v>553</v>
      </c>
      <c r="G2224" s="504" t="s">
        <v>554</v>
      </c>
      <c r="H2224" s="504" t="s">
        <v>5124</v>
      </c>
      <c r="I2224" s="504">
        <v>5</v>
      </c>
      <c r="J2224" s="504">
        <v>0</v>
      </c>
      <c r="K2224" s="504">
        <v>0</v>
      </c>
      <c r="L2224" s="504">
        <v>5</v>
      </c>
      <c r="M2224" s="504">
        <v>0</v>
      </c>
      <c r="N2224" s="504">
        <v>0</v>
      </c>
      <c r="O2224" s="505">
        <v>0</v>
      </c>
    </row>
    <row r="2225" spans="1:15" x14ac:dyDescent="0.35">
      <c r="A2225" s="500" t="s">
        <v>1233</v>
      </c>
      <c r="B2225" s="501">
        <v>4636</v>
      </c>
      <c r="C2225" s="501" t="s">
        <v>1094</v>
      </c>
      <c r="D2225" s="501" t="s">
        <v>3380</v>
      </c>
      <c r="E2225" s="501" t="s">
        <v>3381</v>
      </c>
      <c r="F2225" s="501" t="s">
        <v>553</v>
      </c>
      <c r="G2225" s="501" t="s">
        <v>554</v>
      </c>
      <c r="H2225" s="501" t="s">
        <v>5125</v>
      </c>
      <c r="I2225" s="501">
        <v>7</v>
      </c>
      <c r="J2225" s="501">
        <v>0</v>
      </c>
      <c r="K2225" s="501">
        <v>0</v>
      </c>
      <c r="L2225" s="501">
        <v>0</v>
      </c>
      <c r="M2225" s="501">
        <v>0</v>
      </c>
      <c r="N2225" s="501">
        <v>0</v>
      </c>
      <c r="O2225" s="506">
        <v>7</v>
      </c>
    </row>
    <row r="2226" spans="1:15" x14ac:dyDescent="0.35">
      <c r="A2226" s="503" t="s">
        <v>11368</v>
      </c>
      <c r="B2226" s="504">
        <v>5083</v>
      </c>
      <c r="C2226" s="504" t="s">
        <v>1094</v>
      </c>
      <c r="D2226" s="504" t="s">
        <v>3380</v>
      </c>
      <c r="E2226" s="504" t="s">
        <v>3381</v>
      </c>
      <c r="F2226" s="504" t="s">
        <v>553</v>
      </c>
      <c r="G2226" s="504" t="s">
        <v>554</v>
      </c>
      <c r="H2226" s="504" t="s">
        <v>12044</v>
      </c>
      <c r="I2226" s="504">
        <v>5</v>
      </c>
      <c r="J2226" s="504">
        <v>5</v>
      </c>
      <c r="K2226" s="504">
        <v>0</v>
      </c>
      <c r="L2226" s="504">
        <v>0</v>
      </c>
      <c r="M2226" s="504">
        <v>0</v>
      </c>
      <c r="N2226" s="504">
        <v>0</v>
      </c>
      <c r="O2226" s="505">
        <v>0</v>
      </c>
    </row>
    <row r="2227" spans="1:15" x14ac:dyDescent="0.35">
      <c r="A2227" s="500" t="s">
        <v>1126</v>
      </c>
      <c r="B2227" s="501" t="s">
        <v>2974</v>
      </c>
      <c r="C2227" s="501" t="s">
        <v>1094</v>
      </c>
      <c r="D2227" s="501" t="s">
        <v>3380</v>
      </c>
      <c r="E2227" s="501" t="s">
        <v>3381</v>
      </c>
      <c r="F2227" s="501" t="s">
        <v>553</v>
      </c>
      <c r="G2227" s="501" t="s">
        <v>554</v>
      </c>
      <c r="H2227" s="501" t="s">
        <v>5126</v>
      </c>
      <c r="I2227" s="501">
        <v>93</v>
      </c>
      <c r="J2227" s="501">
        <v>14</v>
      </c>
      <c r="K2227" s="501">
        <v>0</v>
      </c>
      <c r="L2227" s="501">
        <v>12</v>
      </c>
      <c r="M2227" s="501">
        <v>67</v>
      </c>
      <c r="N2227" s="501">
        <v>0</v>
      </c>
      <c r="O2227" s="506">
        <v>0</v>
      </c>
    </row>
    <row r="2228" spans="1:15" x14ac:dyDescent="0.35">
      <c r="A2228" s="503" t="s">
        <v>1130</v>
      </c>
      <c r="B2228" s="504" t="s">
        <v>3234</v>
      </c>
      <c r="C2228" s="504" t="s">
        <v>1094</v>
      </c>
      <c r="D2228" s="504" t="s">
        <v>3380</v>
      </c>
      <c r="E2228" s="504" t="s">
        <v>3381</v>
      </c>
      <c r="F2228" s="504" t="s">
        <v>553</v>
      </c>
      <c r="G2228" s="504" t="s">
        <v>554</v>
      </c>
      <c r="H2228" s="504" t="s">
        <v>5127</v>
      </c>
      <c r="I2228" s="504">
        <v>4</v>
      </c>
      <c r="J2228" s="504">
        <v>0</v>
      </c>
      <c r="K2228" s="504">
        <v>0</v>
      </c>
      <c r="L2228" s="504">
        <v>0</v>
      </c>
      <c r="M2228" s="504">
        <v>0</v>
      </c>
      <c r="N2228" s="504">
        <v>0</v>
      </c>
      <c r="O2228" s="505">
        <v>4</v>
      </c>
    </row>
    <row r="2229" spans="1:15" x14ac:dyDescent="0.35">
      <c r="A2229" s="500" t="s">
        <v>1345</v>
      </c>
      <c r="B2229" s="501" t="s">
        <v>3247</v>
      </c>
      <c r="C2229" s="501" t="s">
        <v>1094</v>
      </c>
      <c r="D2229" s="501" t="s">
        <v>3380</v>
      </c>
      <c r="E2229" s="501" t="s">
        <v>3381</v>
      </c>
      <c r="F2229" s="501" t="s">
        <v>553</v>
      </c>
      <c r="G2229" s="501" t="s">
        <v>554</v>
      </c>
      <c r="H2229" s="501" t="s">
        <v>12137</v>
      </c>
      <c r="I2229" s="501">
        <v>9</v>
      </c>
      <c r="J2229" s="501">
        <v>0</v>
      </c>
      <c r="K2229" s="501">
        <v>0</v>
      </c>
      <c r="L2229" s="501">
        <v>9</v>
      </c>
      <c r="M2229" s="501">
        <v>0</v>
      </c>
      <c r="N2229" s="501">
        <v>0</v>
      </c>
      <c r="O2229" s="506">
        <v>0</v>
      </c>
    </row>
    <row r="2230" spans="1:15" x14ac:dyDescent="0.35">
      <c r="A2230" s="503" t="s">
        <v>1559</v>
      </c>
      <c r="B2230" s="504" t="s">
        <v>3252</v>
      </c>
      <c r="C2230" s="504" t="s">
        <v>1089</v>
      </c>
      <c r="D2230" s="504" t="s">
        <v>3392</v>
      </c>
      <c r="E2230" s="504" t="s">
        <v>3381</v>
      </c>
      <c r="F2230" s="504" t="s">
        <v>553</v>
      </c>
      <c r="G2230" s="504" t="s">
        <v>554</v>
      </c>
      <c r="H2230" s="504" t="s">
        <v>5128</v>
      </c>
      <c r="I2230" s="504">
        <v>96</v>
      </c>
      <c r="J2230" s="504">
        <v>34</v>
      </c>
      <c r="K2230" s="504">
        <v>0</v>
      </c>
      <c r="L2230" s="504">
        <v>0</v>
      </c>
      <c r="M2230" s="504">
        <v>62</v>
      </c>
      <c r="N2230" s="504">
        <v>0</v>
      </c>
      <c r="O2230" s="505">
        <v>0</v>
      </c>
    </row>
    <row r="2231" spans="1:15" x14ac:dyDescent="0.35">
      <c r="A2231" s="500" t="s">
        <v>1564</v>
      </c>
      <c r="B2231" s="501" t="s">
        <v>2853</v>
      </c>
      <c r="C2231" s="501" t="s">
        <v>1089</v>
      </c>
      <c r="D2231" s="501" t="s">
        <v>3392</v>
      </c>
      <c r="E2231" s="501" t="s">
        <v>3381</v>
      </c>
      <c r="F2231" s="501" t="s">
        <v>553</v>
      </c>
      <c r="G2231" s="501" t="s">
        <v>554</v>
      </c>
      <c r="H2231" s="501" t="s">
        <v>5129</v>
      </c>
      <c r="I2231" s="501">
        <v>9</v>
      </c>
      <c r="J2231" s="501">
        <v>0</v>
      </c>
      <c r="K2231" s="501">
        <v>0</v>
      </c>
      <c r="L2231" s="501">
        <v>0</v>
      </c>
      <c r="M2231" s="501">
        <v>9</v>
      </c>
      <c r="N2231" s="501">
        <v>0</v>
      </c>
      <c r="O2231" s="506">
        <v>0</v>
      </c>
    </row>
    <row r="2232" spans="1:15" x14ac:dyDescent="0.35">
      <c r="A2232" s="503" t="s">
        <v>1249</v>
      </c>
      <c r="B2232" s="504">
        <v>4729</v>
      </c>
      <c r="C2232" s="504" t="s">
        <v>1094</v>
      </c>
      <c r="D2232" s="504" t="s">
        <v>3380</v>
      </c>
      <c r="E2232" s="504" t="s">
        <v>3381</v>
      </c>
      <c r="F2232" s="504" t="s">
        <v>553</v>
      </c>
      <c r="G2232" s="504" t="s">
        <v>554</v>
      </c>
      <c r="H2232" s="504" t="s">
        <v>5130</v>
      </c>
      <c r="I2232" s="504">
        <v>138</v>
      </c>
      <c r="J2232" s="504">
        <v>112</v>
      </c>
      <c r="K2232" s="504">
        <v>0</v>
      </c>
      <c r="L2232" s="504">
        <v>0</v>
      </c>
      <c r="M2232" s="504">
        <v>26</v>
      </c>
      <c r="N2232" s="504">
        <v>0</v>
      </c>
      <c r="O2232" s="505">
        <v>0</v>
      </c>
    </row>
    <row r="2233" spans="1:15" x14ac:dyDescent="0.35">
      <c r="A2233" s="500" t="s">
        <v>1253</v>
      </c>
      <c r="B2233" s="501" t="s">
        <v>3232</v>
      </c>
      <c r="C2233" s="501" t="s">
        <v>1094</v>
      </c>
      <c r="D2233" s="501" t="s">
        <v>3380</v>
      </c>
      <c r="E2233" s="501" t="s">
        <v>3381</v>
      </c>
      <c r="F2233" s="501" t="s">
        <v>553</v>
      </c>
      <c r="G2233" s="501" t="s">
        <v>554</v>
      </c>
      <c r="H2233" s="501" t="s">
        <v>5131</v>
      </c>
      <c r="I2233" s="501">
        <v>64</v>
      </c>
      <c r="J2233" s="501">
        <v>64</v>
      </c>
      <c r="K2233" s="501">
        <v>0</v>
      </c>
      <c r="L2233" s="501">
        <v>0</v>
      </c>
      <c r="M2233" s="501">
        <v>0</v>
      </c>
      <c r="N2233" s="501">
        <v>0</v>
      </c>
      <c r="O2233" s="506">
        <v>0</v>
      </c>
    </row>
    <row r="2234" spans="1:15" x14ac:dyDescent="0.35">
      <c r="A2234" s="503" t="s">
        <v>1587</v>
      </c>
      <c r="B2234" s="504" t="s">
        <v>2978</v>
      </c>
      <c r="C2234" s="504" t="s">
        <v>1094</v>
      </c>
      <c r="D2234" s="504" t="s">
        <v>3380</v>
      </c>
      <c r="E2234" s="504" t="s">
        <v>3381</v>
      </c>
      <c r="F2234" s="504" t="s">
        <v>553</v>
      </c>
      <c r="G2234" s="504" t="s">
        <v>554</v>
      </c>
      <c r="H2234" s="504" t="s">
        <v>5132</v>
      </c>
      <c r="I2234" s="504">
        <v>1312</v>
      </c>
      <c r="J2234" s="504">
        <v>1179</v>
      </c>
      <c r="K2234" s="504">
        <v>5</v>
      </c>
      <c r="L2234" s="504">
        <v>0</v>
      </c>
      <c r="M2234" s="504">
        <v>0</v>
      </c>
      <c r="N2234" s="504">
        <v>6</v>
      </c>
      <c r="O2234" s="505">
        <v>128</v>
      </c>
    </row>
    <row r="2235" spans="1:15" x14ac:dyDescent="0.35">
      <c r="A2235" s="500" t="s">
        <v>1264</v>
      </c>
      <c r="B2235" s="501">
        <v>4671</v>
      </c>
      <c r="C2235" s="501" t="s">
        <v>1089</v>
      </c>
      <c r="D2235" s="501" t="s">
        <v>3392</v>
      </c>
      <c r="E2235" s="501" t="s">
        <v>3381</v>
      </c>
      <c r="F2235" s="501" t="s">
        <v>553</v>
      </c>
      <c r="G2235" s="501" t="s">
        <v>554</v>
      </c>
      <c r="H2235" s="501" t="s">
        <v>5133</v>
      </c>
      <c r="I2235" s="501">
        <v>50</v>
      </c>
      <c r="J2235" s="501">
        <v>0</v>
      </c>
      <c r="K2235" s="501">
        <v>0</v>
      </c>
      <c r="L2235" s="501">
        <v>50</v>
      </c>
      <c r="M2235" s="501">
        <v>0</v>
      </c>
      <c r="N2235" s="501">
        <v>0</v>
      </c>
      <c r="O2235" s="506">
        <v>0</v>
      </c>
    </row>
    <row r="2236" spans="1:15" x14ac:dyDescent="0.35">
      <c r="A2236" s="503" t="s">
        <v>1096</v>
      </c>
      <c r="B2236" s="504" t="s">
        <v>3326</v>
      </c>
      <c r="C2236" s="504" t="s">
        <v>1094</v>
      </c>
      <c r="D2236" s="504" t="s">
        <v>3380</v>
      </c>
      <c r="E2236" s="504" t="s">
        <v>3381</v>
      </c>
      <c r="F2236" s="504" t="s">
        <v>555</v>
      </c>
      <c r="G2236" s="504" t="s">
        <v>556</v>
      </c>
      <c r="H2236" s="504" t="s">
        <v>5134</v>
      </c>
      <c r="I2236" s="504">
        <v>80</v>
      </c>
      <c r="J2236" s="504">
        <v>0</v>
      </c>
      <c r="K2236" s="504">
        <v>0</v>
      </c>
      <c r="L2236" s="504">
        <v>0</v>
      </c>
      <c r="M2236" s="504">
        <v>80</v>
      </c>
      <c r="N2236" s="504">
        <v>0</v>
      </c>
      <c r="O2236" s="505">
        <v>0</v>
      </c>
    </row>
    <row r="2237" spans="1:15" x14ac:dyDescent="0.35">
      <c r="A2237" s="500" t="s">
        <v>1161</v>
      </c>
      <c r="B2237" s="501" t="s">
        <v>3001</v>
      </c>
      <c r="C2237" s="501" t="s">
        <v>1094</v>
      </c>
      <c r="D2237" s="501" t="s">
        <v>3380</v>
      </c>
      <c r="E2237" s="501" t="s">
        <v>3381</v>
      </c>
      <c r="F2237" s="501" t="s">
        <v>555</v>
      </c>
      <c r="G2237" s="501" t="s">
        <v>556</v>
      </c>
      <c r="H2237" s="501" t="s">
        <v>5135</v>
      </c>
      <c r="I2237" s="501">
        <v>173</v>
      </c>
      <c r="J2237" s="501">
        <v>119</v>
      </c>
      <c r="K2237" s="501">
        <v>0</v>
      </c>
      <c r="L2237" s="501">
        <v>23</v>
      </c>
      <c r="M2237" s="501">
        <v>0</v>
      </c>
      <c r="N2237" s="501">
        <v>0</v>
      </c>
      <c r="O2237" s="506">
        <v>31</v>
      </c>
    </row>
    <row r="2238" spans="1:15" x14ac:dyDescent="0.35">
      <c r="A2238" s="503" t="s">
        <v>1100</v>
      </c>
      <c r="B2238" s="504">
        <v>4865</v>
      </c>
      <c r="C2238" s="504" t="s">
        <v>1094</v>
      </c>
      <c r="D2238" s="504" t="s">
        <v>3380</v>
      </c>
      <c r="E2238" s="504" t="s">
        <v>3381</v>
      </c>
      <c r="F2238" s="504" t="s">
        <v>555</v>
      </c>
      <c r="G2238" s="504" t="s">
        <v>556</v>
      </c>
      <c r="H2238" s="504" t="s">
        <v>5136</v>
      </c>
      <c r="I2238" s="504">
        <v>751</v>
      </c>
      <c r="J2238" s="504">
        <v>726</v>
      </c>
      <c r="K2238" s="504">
        <v>0</v>
      </c>
      <c r="L2238" s="504">
        <v>0</v>
      </c>
      <c r="M2238" s="504">
        <v>25</v>
      </c>
      <c r="N2238" s="504">
        <v>0</v>
      </c>
      <c r="O2238" s="505">
        <v>0</v>
      </c>
    </row>
    <row r="2239" spans="1:15" x14ac:dyDescent="0.35">
      <c r="A2239" s="500" t="s">
        <v>1288</v>
      </c>
      <c r="B2239" s="501" t="s">
        <v>3243</v>
      </c>
      <c r="C2239" s="501" t="s">
        <v>1089</v>
      </c>
      <c r="D2239" s="501" t="s">
        <v>3392</v>
      </c>
      <c r="E2239" s="501" t="s">
        <v>3381</v>
      </c>
      <c r="F2239" s="501" t="s">
        <v>555</v>
      </c>
      <c r="G2239" s="501" t="s">
        <v>556</v>
      </c>
      <c r="H2239" s="501" t="s">
        <v>5137</v>
      </c>
      <c r="I2239" s="501">
        <v>32</v>
      </c>
      <c r="J2239" s="501">
        <v>32</v>
      </c>
      <c r="K2239" s="501">
        <v>0</v>
      </c>
      <c r="L2239" s="501">
        <v>0</v>
      </c>
      <c r="M2239" s="501">
        <v>0</v>
      </c>
      <c r="N2239" s="501">
        <v>0</v>
      </c>
      <c r="O2239" s="506">
        <v>0</v>
      </c>
    </row>
    <row r="2240" spans="1:15" x14ac:dyDescent="0.35">
      <c r="A2240" s="503" t="s">
        <v>1172</v>
      </c>
      <c r="B2240" s="504">
        <v>4648</v>
      </c>
      <c r="C2240" s="504" t="s">
        <v>1089</v>
      </c>
      <c r="D2240" s="504" t="s">
        <v>3392</v>
      </c>
      <c r="E2240" s="504" t="s">
        <v>3381</v>
      </c>
      <c r="F2240" s="504" t="s">
        <v>555</v>
      </c>
      <c r="G2240" s="504" t="s">
        <v>556</v>
      </c>
      <c r="H2240" s="504" t="s">
        <v>14610</v>
      </c>
      <c r="I2240" s="504">
        <v>12</v>
      </c>
      <c r="J2240" s="504">
        <v>0</v>
      </c>
      <c r="K2240" s="504">
        <v>0</v>
      </c>
      <c r="L2240" s="504">
        <v>12</v>
      </c>
      <c r="M2240" s="504">
        <v>0</v>
      </c>
      <c r="N2240" s="504">
        <v>0</v>
      </c>
      <c r="O2240" s="505">
        <v>0</v>
      </c>
    </row>
    <row r="2241" spans="1:15" x14ac:dyDescent="0.35">
      <c r="A2241" s="500" t="s">
        <v>1175</v>
      </c>
      <c r="B2241" s="501" t="s">
        <v>3141</v>
      </c>
      <c r="C2241" s="501" t="s">
        <v>1094</v>
      </c>
      <c r="D2241" s="501" t="s">
        <v>3380</v>
      </c>
      <c r="E2241" s="501" t="s">
        <v>3381</v>
      </c>
      <c r="F2241" s="501" t="s">
        <v>555</v>
      </c>
      <c r="G2241" s="501" t="s">
        <v>556</v>
      </c>
      <c r="H2241" s="501" t="s">
        <v>5138</v>
      </c>
      <c r="I2241" s="501">
        <v>4</v>
      </c>
      <c r="J2241" s="501">
        <v>4</v>
      </c>
      <c r="K2241" s="501">
        <v>0</v>
      </c>
      <c r="L2241" s="501">
        <v>0</v>
      </c>
      <c r="M2241" s="501">
        <v>0</v>
      </c>
      <c r="N2241" s="501">
        <v>0</v>
      </c>
      <c r="O2241" s="506">
        <v>0</v>
      </c>
    </row>
    <row r="2242" spans="1:15" x14ac:dyDescent="0.35">
      <c r="A2242" s="503" t="s">
        <v>14190</v>
      </c>
      <c r="B2242" s="504" t="s">
        <v>3204</v>
      </c>
      <c r="C2242" s="504" t="s">
        <v>1094</v>
      </c>
      <c r="D2242" s="504" t="s">
        <v>3380</v>
      </c>
      <c r="E2242" s="504" t="s">
        <v>3381</v>
      </c>
      <c r="F2242" s="504" t="s">
        <v>555</v>
      </c>
      <c r="G2242" s="504" t="s">
        <v>556</v>
      </c>
      <c r="H2242" s="504" t="s">
        <v>14611</v>
      </c>
      <c r="I2242" s="504">
        <v>5</v>
      </c>
      <c r="J2242" s="504">
        <v>5</v>
      </c>
      <c r="K2242" s="504">
        <v>0</v>
      </c>
      <c r="L2242" s="504">
        <v>0</v>
      </c>
      <c r="M2242" s="504">
        <v>0</v>
      </c>
      <c r="N2242" s="504">
        <v>0</v>
      </c>
      <c r="O2242" s="505">
        <v>0</v>
      </c>
    </row>
    <row r="2243" spans="1:15" x14ac:dyDescent="0.35">
      <c r="A2243" s="500" t="s">
        <v>1177</v>
      </c>
      <c r="B2243" s="501">
        <v>4702</v>
      </c>
      <c r="C2243" s="501" t="s">
        <v>1089</v>
      </c>
      <c r="D2243" s="501" t="s">
        <v>3392</v>
      </c>
      <c r="E2243" s="501" t="s">
        <v>3381</v>
      </c>
      <c r="F2243" s="501" t="s">
        <v>555</v>
      </c>
      <c r="G2243" s="501" t="s">
        <v>556</v>
      </c>
      <c r="H2243" s="501" t="s">
        <v>5139</v>
      </c>
      <c r="I2243" s="501">
        <v>4</v>
      </c>
      <c r="J2243" s="501">
        <v>0</v>
      </c>
      <c r="K2243" s="501">
        <v>0</v>
      </c>
      <c r="L2243" s="501">
        <v>4</v>
      </c>
      <c r="M2243" s="501">
        <v>0</v>
      </c>
      <c r="N2243" s="501">
        <v>0</v>
      </c>
      <c r="O2243" s="506">
        <v>0</v>
      </c>
    </row>
    <row r="2244" spans="1:15" x14ac:dyDescent="0.35">
      <c r="A2244" s="503" t="s">
        <v>14208</v>
      </c>
      <c r="B2244" s="504">
        <v>4803</v>
      </c>
      <c r="C2244" s="504" t="s">
        <v>1094</v>
      </c>
      <c r="D2244" s="504" t="s">
        <v>3380</v>
      </c>
      <c r="E2244" s="504" t="s">
        <v>3381</v>
      </c>
      <c r="F2244" s="504" t="s">
        <v>555</v>
      </c>
      <c r="G2244" s="504" t="s">
        <v>556</v>
      </c>
      <c r="H2244" s="504" t="s">
        <v>14612</v>
      </c>
      <c r="I2244" s="504">
        <v>23</v>
      </c>
      <c r="J2244" s="504">
        <v>0</v>
      </c>
      <c r="K2244" s="504">
        <v>0</v>
      </c>
      <c r="L2244" s="504">
        <v>23</v>
      </c>
      <c r="M2244" s="504">
        <v>0</v>
      </c>
      <c r="N2244" s="504">
        <v>0</v>
      </c>
      <c r="O2244" s="505">
        <v>0</v>
      </c>
    </row>
    <row r="2245" spans="1:15" x14ac:dyDescent="0.35">
      <c r="A2245" s="500" t="s">
        <v>1182</v>
      </c>
      <c r="B2245" s="501">
        <v>5060</v>
      </c>
      <c r="C2245" s="501" t="s">
        <v>1094</v>
      </c>
      <c r="D2245" s="501" t="s">
        <v>3380</v>
      </c>
      <c r="E2245" s="501" t="s">
        <v>3381</v>
      </c>
      <c r="F2245" s="501" t="s">
        <v>555</v>
      </c>
      <c r="G2245" s="501" t="s">
        <v>556</v>
      </c>
      <c r="H2245" s="501" t="s">
        <v>5140</v>
      </c>
      <c r="I2245" s="501">
        <v>6</v>
      </c>
      <c r="J2245" s="501">
        <v>0</v>
      </c>
      <c r="K2245" s="501">
        <v>0</v>
      </c>
      <c r="L2245" s="501">
        <v>6</v>
      </c>
      <c r="M2245" s="501">
        <v>0</v>
      </c>
      <c r="N2245" s="501">
        <v>0</v>
      </c>
      <c r="O2245" s="506">
        <v>0</v>
      </c>
    </row>
    <row r="2246" spans="1:15" x14ac:dyDescent="0.35">
      <c r="A2246" s="503" t="s">
        <v>1187</v>
      </c>
      <c r="B2246" s="504" t="s">
        <v>2951</v>
      </c>
      <c r="C2246" s="504" t="s">
        <v>1094</v>
      </c>
      <c r="D2246" s="504" t="s">
        <v>3380</v>
      </c>
      <c r="E2246" s="504" t="s">
        <v>3381</v>
      </c>
      <c r="F2246" s="504" t="s">
        <v>555</v>
      </c>
      <c r="G2246" s="504" t="s">
        <v>556</v>
      </c>
      <c r="H2246" s="504" t="s">
        <v>5141</v>
      </c>
      <c r="I2246" s="504">
        <v>4</v>
      </c>
      <c r="J2246" s="504">
        <v>4</v>
      </c>
      <c r="K2246" s="504">
        <v>0</v>
      </c>
      <c r="L2246" s="504">
        <v>0</v>
      </c>
      <c r="M2246" s="504">
        <v>0</v>
      </c>
      <c r="N2246" s="504">
        <v>0</v>
      </c>
      <c r="O2246" s="505">
        <v>0</v>
      </c>
    </row>
    <row r="2247" spans="1:15" x14ac:dyDescent="0.35">
      <c r="A2247" s="500" t="s">
        <v>1105</v>
      </c>
      <c r="B2247" s="501">
        <v>4668</v>
      </c>
      <c r="C2247" s="501" t="s">
        <v>1094</v>
      </c>
      <c r="D2247" s="501" t="s">
        <v>3380</v>
      </c>
      <c r="E2247" s="501" t="s">
        <v>3381</v>
      </c>
      <c r="F2247" s="501" t="s">
        <v>555</v>
      </c>
      <c r="G2247" s="501" t="s">
        <v>556</v>
      </c>
      <c r="H2247" s="501" t="s">
        <v>14613</v>
      </c>
      <c r="I2247" s="501">
        <v>13</v>
      </c>
      <c r="J2247" s="501">
        <v>0</v>
      </c>
      <c r="K2247" s="501">
        <v>0</v>
      </c>
      <c r="L2247" s="501">
        <v>0</v>
      </c>
      <c r="M2247" s="501">
        <v>0</v>
      </c>
      <c r="N2247" s="501">
        <v>0</v>
      </c>
      <c r="O2247" s="506">
        <v>13</v>
      </c>
    </row>
    <row r="2248" spans="1:15" x14ac:dyDescent="0.35">
      <c r="A2248" s="503" t="s">
        <v>1302</v>
      </c>
      <c r="B2248" s="504" t="s">
        <v>3094</v>
      </c>
      <c r="C2248" s="504" t="s">
        <v>1094</v>
      </c>
      <c r="D2248" s="504" t="s">
        <v>3380</v>
      </c>
      <c r="E2248" s="504" t="s">
        <v>3381</v>
      </c>
      <c r="F2248" s="504" t="s">
        <v>555</v>
      </c>
      <c r="G2248" s="504" t="s">
        <v>556</v>
      </c>
      <c r="H2248" s="504" t="s">
        <v>5142</v>
      </c>
      <c r="I2248" s="504">
        <v>1841</v>
      </c>
      <c r="J2248" s="504">
        <v>1456</v>
      </c>
      <c r="K2248" s="504">
        <v>0</v>
      </c>
      <c r="L2248" s="504">
        <v>150</v>
      </c>
      <c r="M2248" s="504">
        <v>26</v>
      </c>
      <c r="N2248" s="504">
        <v>0</v>
      </c>
      <c r="O2248" s="505">
        <v>209</v>
      </c>
    </row>
    <row r="2249" spans="1:15" x14ac:dyDescent="0.35">
      <c r="A2249" s="500" t="s">
        <v>1308</v>
      </c>
      <c r="B2249" s="501" t="s">
        <v>3263</v>
      </c>
      <c r="C2249" s="501" t="s">
        <v>1089</v>
      </c>
      <c r="D2249" s="501" t="s">
        <v>3392</v>
      </c>
      <c r="E2249" s="501" t="s">
        <v>3381</v>
      </c>
      <c r="F2249" s="501" t="s">
        <v>555</v>
      </c>
      <c r="G2249" s="501" t="s">
        <v>556</v>
      </c>
      <c r="H2249" s="501" t="s">
        <v>5143</v>
      </c>
      <c r="I2249" s="501">
        <v>42</v>
      </c>
      <c r="J2249" s="501">
        <v>0</v>
      </c>
      <c r="K2249" s="501">
        <v>0</v>
      </c>
      <c r="L2249" s="501">
        <v>0</v>
      </c>
      <c r="M2249" s="501">
        <v>42</v>
      </c>
      <c r="N2249" s="501">
        <v>0</v>
      </c>
      <c r="O2249" s="506">
        <v>0</v>
      </c>
    </row>
    <row r="2250" spans="1:15" x14ac:dyDescent="0.35">
      <c r="A2250" s="503" t="s">
        <v>14243</v>
      </c>
      <c r="B2250" s="504">
        <v>5149</v>
      </c>
      <c r="C2250" s="504" t="s">
        <v>1089</v>
      </c>
      <c r="D2250" s="504" t="s">
        <v>3392</v>
      </c>
      <c r="E2250" s="504" t="s">
        <v>3381</v>
      </c>
      <c r="F2250" s="504" t="s">
        <v>555</v>
      </c>
      <c r="G2250" s="504" t="s">
        <v>556</v>
      </c>
      <c r="H2250" s="504" t="s">
        <v>14614</v>
      </c>
      <c r="I2250" s="504">
        <v>11</v>
      </c>
      <c r="J2250" s="504">
        <v>11</v>
      </c>
      <c r="K2250" s="504">
        <v>0</v>
      </c>
      <c r="L2250" s="504">
        <v>0</v>
      </c>
      <c r="M2250" s="504">
        <v>0</v>
      </c>
      <c r="N2250" s="504">
        <v>0</v>
      </c>
      <c r="O2250" s="505">
        <v>0</v>
      </c>
    </row>
    <row r="2251" spans="1:15" x14ac:dyDescent="0.35">
      <c r="A2251" s="500" t="s">
        <v>1310</v>
      </c>
      <c r="B2251" s="501">
        <v>5062</v>
      </c>
      <c r="C2251" s="501" t="s">
        <v>1089</v>
      </c>
      <c r="D2251" s="501" t="s">
        <v>3380</v>
      </c>
      <c r="E2251" s="501" t="s">
        <v>3381</v>
      </c>
      <c r="F2251" s="501" t="s">
        <v>555</v>
      </c>
      <c r="G2251" s="501" t="s">
        <v>556</v>
      </c>
      <c r="H2251" s="501" t="s">
        <v>11807</v>
      </c>
      <c r="I2251" s="501">
        <v>30</v>
      </c>
      <c r="J2251" s="501">
        <v>30</v>
      </c>
      <c r="K2251" s="501">
        <v>0</v>
      </c>
      <c r="L2251" s="501">
        <v>0</v>
      </c>
      <c r="M2251" s="501">
        <v>0</v>
      </c>
      <c r="N2251" s="501">
        <v>0</v>
      </c>
      <c r="O2251" s="506">
        <v>0</v>
      </c>
    </row>
    <row r="2252" spans="1:15" x14ac:dyDescent="0.35">
      <c r="A2252" s="503" t="s">
        <v>1202</v>
      </c>
      <c r="B2252" s="504" t="s">
        <v>3217</v>
      </c>
      <c r="C2252" s="504" t="s">
        <v>1094</v>
      </c>
      <c r="D2252" s="504" t="s">
        <v>3380</v>
      </c>
      <c r="E2252" s="504" t="s">
        <v>3381</v>
      </c>
      <c r="F2252" s="504" t="s">
        <v>555</v>
      </c>
      <c r="G2252" s="504" t="s">
        <v>556</v>
      </c>
      <c r="H2252" s="504" t="s">
        <v>5144</v>
      </c>
      <c r="I2252" s="504">
        <v>2</v>
      </c>
      <c r="J2252" s="504">
        <v>0</v>
      </c>
      <c r="K2252" s="504">
        <v>0</v>
      </c>
      <c r="L2252" s="504">
        <v>0</v>
      </c>
      <c r="M2252" s="504">
        <v>0</v>
      </c>
      <c r="N2252" s="504">
        <v>0</v>
      </c>
      <c r="O2252" s="505">
        <v>2</v>
      </c>
    </row>
    <row r="2253" spans="1:15" x14ac:dyDescent="0.35">
      <c r="A2253" s="500" t="s">
        <v>1860</v>
      </c>
      <c r="B2253" s="501" t="s">
        <v>2497</v>
      </c>
      <c r="C2253" s="501" t="s">
        <v>1089</v>
      </c>
      <c r="D2253" s="501" t="s">
        <v>3392</v>
      </c>
      <c r="E2253" s="501" t="s">
        <v>3381</v>
      </c>
      <c r="F2253" s="501" t="s">
        <v>555</v>
      </c>
      <c r="G2253" s="501" t="s">
        <v>556</v>
      </c>
      <c r="H2253" s="501" t="s">
        <v>11852</v>
      </c>
      <c r="I2253" s="501">
        <v>8</v>
      </c>
      <c r="J2253" s="501">
        <v>0</v>
      </c>
      <c r="K2253" s="501">
        <v>0</v>
      </c>
      <c r="L2253" s="501">
        <v>0</v>
      </c>
      <c r="M2253" s="501">
        <v>8</v>
      </c>
      <c r="N2253" s="501">
        <v>0</v>
      </c>
      <c r="O2253" s="506">
        <v>0</v>
      </c>
    </row>
    <row r="2254" spans="1:15" x14ac:dyDescent="0.35">
      <c r="A2254" s="503" t="s">
        <v>1112</v>
      </c>
      <c r="B2254" s="504" t="s">
        <v>3008</v>
      </c>
      <c r="C2254" s="504" t="s">
        <v>1094</v>
      </c>
      <c r="D2254" s="504" t="s">
        <v>3380</v>
      </c>
      <c r="E2254" s="504" t="s">
        <v>3381</v>
      </c>
      <c r="F2254" s="504" t="s">
        <v>555</v>
      </c>
      <c r="G2254" s="504" t="s">
        <v>556</v>
      </c>
      <c r="H2254" s="504" t="s">
        <v>5145</v>
      </c>
      <c r="I2254" s="504">
        <v>227</v>
      </c>
      <c r="J2254" s="504">
        <v>183</v>
      </c>
      <c r="K2254" s="504">
        <v>0</v>
      </c>
      <c r="L2254" s="504">
        <v>0</v>
      </c>
      <c r="M2254" s="504">
        <v>0</v>
      </c>
      <c r="N2254" s="504">
        <v>0</v>
      </c>
      <c r="O2254" s="505">
        <v>44</v>
      </c>
    </row>
    <row r="2255" spans="1:15" x14ac:dyDescent="0.35">
      <c r="A2255" s="500" t="s">
        <v>1319</v>
      </c>
      <c r="B2255" s="501">
        <v>4880</v>
      </c>
      <c r="C2255" s="501" t="s">
        <v>1094</v>
      </c>
      <c r="D2255" s="501" t="s">
        <v>3380</v>
      </c>
      <c r="E2255" s="501" t="s">
        <v>3381</v>
      </c>
      <c r="F2255" s="501" t="s">
        <v>555</v>
      </c>
      <c r="G2255" s="501" t="s">
        <v>556</v>
      </c>
      <c r="H2255" s="501" t="s">
        <v>5146</v>
      </c>
      <c r="I2255" s="501">
        <v>341</v>
      </c>
      <c r="J2255" s="501">
        <v>288</v>
      </c>
      <c r="K2255" s="501">
        <v>0</v>
      </c>
      <c r="L2255" s="501">
        <v>18</v>
      </c>
      <c r="M2255" s="501">
        <v>0</v>
      </c>
      <c r="N2255" s="501">
        <v>0</v>
      </c>
      <c r="O2255" s="506">
        <v>35</v>
      </c>
    </row>
    <row r="2256" spans="1:15" x14ac:dyDescent="0.35">
      <c r="A2256" s="503" t="s">
        <v>1120</v>
      </c>
      <c r="B2256" s="504" t="s">
        <v>3362</v>
      </c>
      <c r="C2256" s="504" t="s">
        <v>1094</v>
      </c>
      <c r="D2256" s="504" t="s">
        <v>3380</v>
      </c>
      <c r="E2256" s="504" t="s">
        <v>3381</v>
      </c>
      <c r="F2256" s="504" t="s">
        <v>555</v>
      </c>
      <c r="G2256" s="504" t="s">
        <v>556</v>
      </c>
      <c r="H2256" s="504" t="s">
        <v>5147</v>
      </c>
      <c r="I2256" s="504">
        <v>1</v>
      </c>
      <c r="J2256" s="504">
        <v>0</v>
      </c>
      <c r="K2256" s="504">
        <v>0</v>
      </c>
      <c r="L2256" s="504">
        <v>0</v>
      </c>
      <c r="M2256" s="504">
        <v>0</v>
      </c>
      <c r="N2256" s="504">
        <v>0</v>
      </c>
      <c r="O2256" s="505">
        <v>1</v>
      </c>
    </row>
    <row r="2257" spans="1:15" x14ac:dyDescent="0.35">
      <c r="A2257" s="500" t="s">
        <v>1323</v>
      </c>
      <c r="B2257" s="501" t="s">
        <v>2946</v>
      </c>
      <c r="C2257" s="501" t="s">
        <v>1089</v>
      </c>
      <c r="D2257" s="501" t="s">
        <v>3392</v>
      </c>
      <c r="E2257" s="501" t="s">
        <v>3381</v>
      </c>
      <c r="F2257" s="501" t="s">
        <v>555</v>
      </c>
      <c r="G2257" s="501" t="s">
        <v>556</v>
      </c>
      <c r="H2257" s="501" t="s">
        <v>14615</v>
      </c>
      <c r="I2257" s="501">
        <v>4</v>
      </c>
      <c r="J2257" s="501">
        <v>0</v>
      </c>
      <c r="K2257" s="501">
        <v>0</v>
      </c>
      <c r="L2257" s="501">
        <v>4</v>
      </c>
      <c r="M2257" s="501">
        <v>0</v>
      </c>
      <c r="N2257" s="501">
        <v>0</v>
      </c>
      <c r="O2257" s="506">
        <v>0</v>
      </c>
    </row>
    <row r="2258" spans="1:15" x14ac:dyDescent="0.35">
      <c r="A2258" s="503" t="s">
        <v>1327</v>
      </c>
      <c r="B2258" s="504" t="s">
        <v>3330</v>
      </c>
      <c r="C2258" s="504" t="s">
        <v>1094</v>
      </c>
      <c r="D2258" s="504" t="s">
        <v>3380</v>
      </c>
      <c r="E2258" s="504" t="s">
        <v>3381</v>
      </c>
      <c r="F2258" s="504" t="s">
        <v>555</v>
      </c>
      <c r="G2258" s="504" t="s">
        <v>556</v>
      </c>
      <c r="H2258" s="504" t="s">
        <v>5148</v>
      </c>
      <c r="I2258" s="504">
        <v>278</v>
      </c>
      <c r="J2258" s="504">
        <v>256</v>
      </c>
      <c r="K2258" s="504">
        <v>0</v>
      </c>
      <c r="L2258" s="504">
        <v>0</v>
      </c>
      <c r="M2258" s="504">
        <v>0</v>
      </c>
      <c r="N2258" s="504">
        <v>0</v>
      </c>
      <c r="O2258" s="505">
        <v>22</v>
      </c>
    </row>
    <row r="2259" spans="1:15" x14ac:dyDescent="0.35">
      <c r="A2259" s="500" t="s">
        <v>1124</v>
      </c>
      <c r="B2259" s="501">
        <v>4745</v>
      </c>
      <c r="C2259" s="501" t="s">
        <v>1094</v>
      </c>
      <c r="D2259" s="501" t="s">
        <v>3380</v>
      </c>
      <c r="E2259" s="501" t="s">
        <v>3381</v>
      </c>
      <c r="F2259" s="501" t="s">
        <v>555</v>
      </c>
      <c r="G2259" s="501" t="s">
        <v>556</v>
      </c>
      <c r="H2259" s="501" t="s">
        <v>5149</v>
      </c>
      <c r="I2259" s="501">
        <v>6</v>
      </c>
      <c r="J2259" s="501">
        <v>0</v>
      </c>
      <c r="K2259" s="501">
        <v>0</v>
      </c>
      <c r="L2259" s="501">
        <v>6</v>
      </c>
      <c r="M2259" s="501">
        <v>0</v>
      </c>
      <c r="N2259" s="501">
        <v>0</v>
      </c>
      <c r="O2259" s="506">
        <v>0</v>
      </c>
    </row>
    <row r="2260" spans="1:15" x14ac:dyDescent="0.35">
      <c r="A2260" s="503" t="s">
        <v>1888</v>
      </c>
      <c r="B2260" s="504">
        <v>5055</v>
      </c>
      <c r="C2260" s="504" t="s">
        <v>1089</v>
      </c>
      <c r="D2260" s="504" t="s">
        <v>3392</v>
      </c>
      <c r="E2260" s="504" t="s">
        <v>3381</v>
      </c>
      <c r="F2260" s="504" t="s">
        <v>555</v>
      </c>
      <c r="G2260" s="504" t="s">
        <v>556</v>
      </c>
      <c r="H2260" s="504" t="s">
        <v>12005</v>
      </c>
      <c r="I2260" s="504">
        <v>8</v>
      </c>
      <c r="J2260" s="504">
        <v>8</v>
      </c>
      <c r="K2260" s="504">
        <v>0</v>
      </c>
      <c r="L2260" s="504">
        <v>0</v>
      </c>
      <c r="M2260" s="504">
        <v>0</v>
      </c>
      <c r="N2260" s="504">
        <v>0</v>
      </c>
      <c r="O2260" s="505">
        <v>0</v>
      </c>
    </row>
    <row r="2261" spans="1:15" x14ac:dyDescent="0.35">
      <c r="A2261" s="500" t="s">
        <v>1233</v>
      </c>
      <c r="B2261" s="501">
        <v>4636</v>
      </c>
      <c r="C2261" s="501" t="s">
        <v>1094</v>
      </c>
      <c r="D2261" s="501" t="s">
        <v>3380</v>
      </c>
      <c r="E2261" s="501" t="s">
        <v>3381</v>
      </c>
      <c r="F2261" s="501" t="s">
        <v>555</v>
      </c>
      <c r="G2261" s="501" t="s">
        <v>556</v>
      </c>
      <c r="H2261" s="501" t="s">
        <v>5150</v>
      </c>
      <c r="I2261" s="501">
        <v>48</v>
      </c>
      <c r="J2261" s="501">
        <v>0</v>
      </c>
      <c r="K2261" s="501">
        <v>0</v>
      </c>
      <c r="L2261" s="501">
        <v>0</v>
      </c>
      <c r="M2261" s="501">
        <v>0</v>
      </c>
      <c r="N2261" s="501">
        <v>0</v>
      </c>
      <c r="O2261" s="506">
        <v>48</v>
      </c>
    </row>
    <row r="2262" spans="1:15" x14ac:dyDescent="0.35">
      <c r="A2262" s="503" t="s">
        <v>11368</v>
      </c>
      <c r="B2262" s="504">
        <v>5083</v>
      </c>
      <c r="C2262" s="504" t="s">
        <v>1094</v>
      </c>
      <c r="D2262" s="504" t="s">
        <v>3380</v>
      </c>
      <c r="E2262" s="504" t="s">
        <v>3381</v>
      </c>
      <c r="F2262" s="504" t="s">
        <v>555</v>
      </c>
      <c r="G2262" s="504" t="s">
        <v>556</v>
      </c>
      <c r="H2262" s="504" t="s">
        <v>12045</v>
      </c>
      <c r="I2262" s="504">
        <v>25</v>
      </c>
      <c r="J2262" s="504">
        <v>25</v>
      </c>
      <c r="K2262" s="504">
        <v>0</v>
      </c>
      <c r="L2262" s="504">
        <v>0</v>
      </c>
      <c r="M2262" s="504">
        <v>0</v>
      </c>
      <c r="N2262" s="504">
        <v>0</v>
      </c>
      <c r="O2262" s="505">
        <v>0</v>
      </c>
    </row>
    <row r="2263" spans="1:15" x14ac:dyDescent="0.35">
      <c r="A2263" s="500" t="s">
        <v>1126</v>
      </c>
      <c r="B2263" s="501" t="s">
        <v>2974</v>
      </c>
      <c r="C2263" s="501" t="s">
        <v>1094</v>
      </c>
      <c r="D2263" s="501" t="s">
        <v>3380</v>
      </c>
      <c r="E2263" s="501" t="s">
        <v>3381</v>
      </c>
      <c r="F2263" s="501" t="s">
        <v>555</v>
      </c>
      <c r="G2263" s="501" t="s">
        <v>556</v>
      </c>
      <c r="H2263" s="501" t="s">
        <v>5151</v>
      </c>
      <c r="I2263" s="501">
        <v>61</v>
      </c>
      <c r="J2263" s="501">
        <v>13</v>
      </c>
      <c r="K2263" s="501">
        <v>0</v>
      </c>
      <c r="L2263" s="501">
        <v>0</v>
      </c>
      <c r="M2263" s="501">
        <v>48</v>
      </c>
      <c r="N2263" s="501">
        <v>0</v>
      </c>
      <c r="O2263" s="506">
        <v>0</v>
      </c>
    </row>
    <row r="2264" spans="1:15" x14ac:dyDescent="0.35">
      <c r="A2264" s="503" t="s">
        <v>1341</v>
      </c>
      <c r="B2264" s="504" t="s">
        <v>3183</v>
      </c>
      <c r="C2264" s="504" t="s">
        <v>1094</v>
      </c>
      <c r="D2264" s="504" t="s">
        <v>3380</v>
      </c>
      <c r="E2264" s="504" t="s">
        <v>3381</v>
      </c>
      <c r="F2264" s="504" t="s">
        <v>555</v>
      </c>
      <c r="G2264" s="504" t="s">
        <v>556</v>
      </c>
      <c r="H2264" s="504" t="s">
        <v>14616</v>
      </c>
      <c r="I2264" s="504">
        <v>1</v>
      </c>
      <c r="J2264" s="504">
        <v>0</v>
      </c>
      <c r="K2264" s="504">
        <v>0</v>
      </c>
      <c r="L2264" s="504">
        <v>0</v>
      </c>
      <c r="M2264" s="504">
        <v>0</v>
      </c>
      <c r="N2264" s="504">
        <v>0</v>
      </c>
      <c r="O2264" s="505">
        <v>1</v>
      </c>
    </row>
    <row r="2265" spans="1:15" x14ac:dyDescent="0.35">
      <c r="A2265" s="500" t="s">
        <v>1348</v>
      </c>
      <c r="B2265" s="501" t="s">
        <v>2860</v>
      </c>
      <c r="C2265" s="501" t="s">
        <v>1089</v>
      </c>
      <c r="D2265" s="501" t="s">
        <v>3392</v>
      </c>
      <c r="E2265" s="501" t="s">
        <v>3381</v>
      </c>
      <c r="F2265" s="501" t="s">
        <v>555</v>
      </c>
      <c r="G2265" s="501" t="s">
        <v>556</v>
      </c>
      <c r="H2265" s="501" t="s">
        <v>5152</v>
      </c>
      <c r="I2265" s="501">
        <v>34</v>
      </c>
      <c r="J2265" s="501">
        <v>0</v>
      </c>
      <c r="K2265" s="501">
        <v>0</v>
      </c>
      <c r="L2265" s="501">
        <v>0</v>
      </c>
      <c r="M2265" s="501">
        <v>34</v>
      </c>
      <c r="N2265" s="501">
        <v>0</v>
      </c>
      <c r="O2265" s="506">
        <v>0</v>
      </c>
    </row>
    <row r="2266" spans="1:15" x14ac:dyDescent="0.35">
      <c r="A2266" s="503" t="s">
        <v>1351</v>
      </c>
      <c r="B2266" s="504" t="s">
        <v>2915</v>
      </c>
      <c r="C2266" s="504" t="s">
        <v>1089</v>
      </c>
      <c r="D2266" s="504" t="s">
        <v>3392</v>
      </c>
      <c r="E2266" s="504" t="s">
        <v>3381</v>
      </c>
      <c r="F2266" s="504" t="s">
        <v>555</v>
      </c>
      <c r="G2266" s="504" t="s">
        <v>556</v>
      </c>
      <c r="H2266" s="504" t="s">
        <v>5153</v>
      </c>
      <c r="I2266" s="504">
        <v>12</v>
      </c>
      <c r="J2266" s="504">
        <v>0</v>
      </c>
      <c r="K2266" s="504">
        <v>0</v>
      </c>
      <c r="L2266" s="504">
        <v>0</v>
      </c>
      <c r="M2266" s="504">
        <v>12</v>
      </c>
      <c r="N2266" s="504">
        <v>0</v>
      </c>
      <c r="O2266" s="505">
        <v>0</v>
      </c>
    </row>
    <row r="2267" spans="1:15" x14ac:dyDescent="0.35">
      <c r="A2267" s="500" t="s">
        <v>1369</v>
      </c>
      <c r="B2267" s="501" t="s">
        <v>3218</v>
      </c>
      <c r="C2267" s="501" t="s">
        <v>1094</v>
      </c>
      <c r="D2267" s="501" t="s">
        <v>3380</v>
      </c>
      <c r="E2267" s="501" t="s">
        <v>3381</v>
      </c>
      <c r="F2267" s="501" t="s">
        <v>555</v>
      </c>
      <c r="G2267" s="501" t="s">
        <v>556</v>
      </c>
      <c r="H2267" s="501" t="s">
        <v>5154</v>
      </c>
      <c r="I2267" s="501">
        <v>14</v>
      </c>
      <c r="J2267" s="501">
        <v>11</v>
      </c>
      <c r="K2267" s="501">
        <v>0</v>
      </c>
      <c r="L2267" s="501">
        <v>0</v>
      </c>
      <c r="M2267" s="501">
        <v>0</v>
      </c>
      <c r="N2267" s="501">
        <v>0</v>
      </c>
      <c r="O2267" s="506">
        <v>3</v>
      </c>
    </row>
    <row r="2268" spans="1:15" x14ac:dyDescent="0.35">
      <c r="A2268" s="503" t="s">
        <v>1374</v>
      </c>
      <c r="B2268" s="504" t="s">
        <v>3209</v>
      </c>
      <c r="C2268" s="504" t="s">
        <v>1094</v>
      </c>
      <c r="D2268" s="504" t="s">
        <v>3380</v>
      </c>
      <c r="E2268" s="504" t="s">
        <v>3381</v>
      </c>
      <c r="F2268" s="504" t="s">
        <v>555</v>
      </c>
      <c r="G2268" s="504" t="s">
        <v>556</v>
      </c>
      <c r="H2268" s="504" t="s">
        <v>5155</v>
      </c>
      <c r="I2268" s="504">
        <v>39</v>
      </c>
      <c r="J2268" s="504">
        <v>39</v>
      </c>
      <c r="K2268" s="504">
        <v>0</v>
      </c>
      <c r="L2268" s="504">
        <v>0</v>
      </c>
      <c r="M2268" s="504">
        <v>0</v>
      </c>
      <c r="N2268" s="504">
        <v>0</v>
      </c>
      <c r="O2268" s="505">
        <v>0</v>
      </c>
    </row>
    <row r="2269" spans="1:15" x14ac:dyDescent="0.35">
      <c r="A2269" s="500" t="s">
        <v>1262</v>
      </c>
      <c r="B2269" s="501">
        <v>4772</v>
      </c>
      <c r="C2269" s="501" t="s">
        <v>1089</v>
      </c>
      <c r="D2269" s="501" t="s">
        <v>3392</v>
      </c>
      <c r="E2269" s="501" t="s">
        <v>3381</v>
      </c>
      <c r="F2269" s="501" t="s">
        <v>555</v>
      </c>
      <c r="G2269" s="501" t="s">
        <v>556</v>
      </c>
      <c r="H2269" s="501" t="s">
        <v>5156</v>
      </c>
      <c r="I2269" s="501">
        <v>3</v>
      </c>
      <c r="J2269" s="501">
        <v>0</v>
      </c>
      <c r="K2269" s="501">
        <v>0</v>
      </c>
      <c r="L2269" s="501">
        <v>3</v>
      </c>
      <c r="M2269" s="501">
        <v>0</v>
      </c>
      <c r="N2269" s="501">
        <v>0</v>
      </c>
      <c r="O2269" s="506">
        <v>0</v>
      </c>
    </row>
    <row r="2270" spans="1:15" x14ac:dyDescent="0.35">
      <c r="A2270" s="503" t="s">
        <v>1610</v>
      </c>
      <c r="B2270" s="504">
        <v>4811</v>
      </c>
      <c r="C2270" s="504" t="s">
        <v>1089</v>
      </c>
      <c r="D2270" s="504" t="s">
        <v>3392</v>
      </c>
      <c r="E2270" s="504" t="s">
        <v>3381</v>
      </c>
      <c r="F2270" s="504" t="s">
        <v>557</v>
      </c>
      <c r="G2270" s="504" t="s">
        <v>558</v>
      </c>
      <c r="H2270" s="504" t="s">
        <v>5157</v>
      </c>
      <c r="I2270" s="504">
        <v>45</v>
      </c>
      <c r="J2270" s="504">
        <v>0</v>
      </c>
      <c r="K2270" s="504">
        <v>0</v>
      </c>
      <c r="L2270" s="504">
        <v>45</v>
      </c>
      <c r="M2270" s="504">
        <v>0</v>
      </c>
      <c r="N2270" s="504">
        <v>0</v>
      </c>
      <c r="O2270" s="505">
        <v>0</v>
      </c>
    </row>
    <row r="2271" spans="1:15" x14ac:dyDescent="0.35">
      <c r="A2271" s="500" t="s">
        <v>1143</v>
      </c>
      <c r="B2271" s="501" t="s">
        <v>3281</v>
      </c>
      <c r="C2271" s="501" t="s">
        <v>1094</v>
      </c>
      <c r="D2271" s="501" t="s">
        <v>3380</v>
      </c>
      <c r="E2271" s="501" t="s">
        <v>3381</v>
      </c>
      <c r="F2271" s="501" t="s">
        <v>557</v>
      </c>
      <c r="G2271" s="501" t="s">
        <v>558</v>
      </c>
      <c r="H2271" s="501" t="s">
        <v>5158</v>
      </c>
      <c r="I2271" s="501">
        <v>16</v>
      </c>
      <c r="J2271" s="501">
        <v>15</v>
      </c>
      <c r="K2271" s="501">
        <v>0</v>
      </c>
      <c r="L2271" s="501">
        <v>0</v>
      </c>
      <c r="M2271" s="501">
        <v>0</v>
      </c>
      <c r="N2271" s="501">
        <v>0</v>
      </c>
      <c r="O2271" s="506">
        <v>1</v>
      </c>
    </row>
    <row r="2272" spans="1:15" x14ac:dyDescent="0.35">
      <c r="A2272" s="503" t="s">
        <v>1096</v>
      </c>
      <c r="B2272" s="504" t="s">
        <v>3326</v>
      </c>
      <c r="C2272" s="504" t="s">
        <v>1094</v>
      </c>
      <c r="D2272" s="504" t="s">
        <v>3380</v>
      </c>
      <c r="E2272" s="504" t="s">
        <v>3381</v>
      </c>
      <c r="F2272" s="504" t="s">
        <v>557</v>
      </c>
      <c r="G2272" s="504" t="s">
        <v>558</v>
      </c>
      <c r="H2272" s="504" t="s">
        <v>5159</v>
      </c>
      <c r="I2272" s="504">
        <v>224</v>
      </c>
      <c r="J2272" s="504">
        <v>0</v>
      </c>
      <c r="K2272" s="504">
        <v>0</v>
      </c>
      <c r="L2272" s="504">
        <v>0</v>
      </c>
      <c r="M2272" s="504">
        <v>215</v>
      </c>
      <c r="N2272" s="504">
        <v>0</v>
      </c>
      <c r="O2272" s="505">
        <v>9</v>
      </c>
    </row>
    <row r="2273" spans="1:15" x14ac:dyDescent="0.35">
      <c r="A2273" s="500" t="s">
        <v>1151</v>
      </c>
      <c r="B2273" s="501">
        <v>4726</v>
      </c>
      <c r="C2273" s="501" t="s">
        <v>1089</v>
      </c>
      <c r="D2273" s="501" t="s">
        <v>3392</v>
      </c>
      <c r="E2273" s="501" t="s">
        <v>3381</v>
      </c>
      <c r="F2273" s="501" t="s">
        <v>557</v>
      </c>
      <c r="G2273" s="501" t="s">
        <v>558</v>
      </c>
      <c r="H2273" s="501" t="s">
        <v>5160</v>
      </c>
      <c r="I2273" s="501">
        <v>1</v>
      </c>
      <c r="J2273" s="501">
        <v>1</v>
      </c>
      <c r="K2273" s="501">
        <v>0</v>
      </c>
      <c r="L2273" s="501">
        <v>0</v>
      </c>
      <c r="M2273" s="501">
        <v>0</v>
      </c>
      <c r="N2273" s="501">
        <v>0</v>
      </c>
      <c r="O2273" s="506">
        <v>0</v>
      </c>
    </row>
    <row r="2274" spans="1:15" x14ac:dyDescent="0.35">
      <c r="A2274" s="503" t="s">
        <v>1617</v>
      </c>
      <c r="B2274" s="504">
        <v>4868</v>
      </c>
      <c r="C2274" s="504" t="s">
        <v>1094</v>
      </c>
      <c r="D2274" s="504" t="s">
        <v>3380</v>
      </c>
      <c r="E2274" s="504" t="s">
        <v>3381</v>
      </c>
      <c r="F2274" s="504" t="s">
        <v>557</v>
      </c>
      <c r="G2274" s="504" t="s">
        <v>558</v>
      </c>
      <c r="H2274" s="504" t="s">
        <v>5161</v>
      </c>
      <c r="I2274" s="504">
        <v>100</v>
      </c>
      <c r="J2274" s="504">
        <v>74</v>
      </c>
      <c r="K2274" s="504">
        <v>0</v>
      </c>
      <c r="L2274" s="504">
        <v>13</v>
      </c>
      <c r="M2274" s="504">
        <v>0</v>
      </c>
      <c r="N2274" s="504">
        <v>0</v>
      </c>
      <c r="O2274" s="505">
        <v>13</v>
      </c>
    </row>
    <row r="2275" spans="1:15" x14ac:dyDescent="0.35">
      <c r="A2275" s="500" t="s">
        <v>11363</v>
      </c>
      <c r="B2275" s="501">
        <v>4718</v>
      </c>
      <c r="C2275" s="501" t="s">
        <v>1094</v>
      </c>
      <c r="D2275" s="501" t="s">
        <v>3380</v>
      </c>
      <c r="E2275" s="501" t="s">
        <v>3381</v>
      </c>
      <c r="F2275" s="501" t="s">
        <v>557</v>
      </c>
      <c r="G2275" s="501" t="s">
        <v>558</v>
      </c>
      <c r="H2275" s="501" t="s">
        <v>11531</v>
      </c>
      <c r="I2275" s="501">
        <v>8</v>
      </c>
      <c r="J2275" s="501">
        <v>0</v>
      </c>
      <c r="K2275" s="501">
        <v>0</v>
      </c>
      <c r="L2275" s="501">
        <v>8</v>
      </c>
      <c r="M2275" s="501">
        <v>0</v>
      </c>
      <c r="N2275" s="501">
        <v>0</v>
      </c>
      <c r="O2275" s="506">
        <v>0</v>
      </c>
    </row>
    <row r="2276" spans="1:15" x14ac:dyDescent="0.35">
      <c r="A2276" s="503" t="s">
        <v>1618</v>
      </c>
      <c r="B2276" s="504" t="s">
        <v>3355</v>
      </c>
      <c r="C2276" s="504" t="s">
        <v>1094</v>
      </c>
      <c r="D2276" s="504" t="s">
        <v>3380</v>
      </c>
      <c r="E2276" s="504" t="s">
        <v>3381</v>
      </c>
      <c r="F2276" s="504" t="s">
        <v>557</v>
      </c>
      <c r="G2276" s="504" t="s">
        <v>558</v>
      </c>
      <c r="H2276" s="504" t="s">
        <v>5162</v>
      </c>
      <c r="I2276" s="504">
        <v>113</v>
      </c>
      <c r="J2276" s="504">
        <v>95</v>
      </c>
      <c r="K2276" s="504">
        <v>0</v>
      </c>
      <c r="L2276" s="504">
        <v>0</v>
      </c>
      <c r="M2276" s="504">
        <v>0</v>
      </c>
      <c r="N2276" s="504">
        <v>0</v>
      </c>
      <c r="O2276" s="505">
        <v>18</v>
      </c>
    </row>
    <row r="2277" spans="1:15" x14ac:dyDescent="0.35">
      <c r="A2277" s="500" t="s">
        <v>1278</v>
      </c>
      <c r="B2277" s="501">
        <v>4639</v>
      </c>
      <c r="C2277" s="501" t="s">
        <v>1089</v>
      </c>
      <c r="D2277" s="501" t="s">
        <v>3392</v>
      </c>
      <c r="E2277" s="501" t="s">
        <v>3381</v>
      </c>
      <c r="F2277" s="501" t="s">
        <v>557</v>
      </c>
      <c r="G2277" s="501" t="s">
        <v>558</v>
      </c>
      <c r="H2277" s="501" t="s">
        <v>5163</v>
      </c>
      <c r="I2277" s="501">
        <v>25</v>
      </c>
      <c r="J2277" s="501">
        <v>0</v>
      </c>
      <c r="K2277" s="501">
        <v>0</v>
      </c>
      <c r="L2277" s="501">
        <v>25</v>
      </c>
      <c r="M2277" s="501">
        <v>0</v>
      </c>
      <c r="N2277" s="501">
        <v>0</v>
      </c>
      <c r="O2277" s="506">
        <v>0</v>
      </c>
    </row>
    <row r="2278" spans="1:15" x14ac:dyDescent="0.35">
      <c r="A2278" s="503" t="s">
        <v>1621</v>
      </c>
      <c r="B2278" s="504" t="s">
        <v>3319</v>
      </c>
      <c r="C2278" s="504" t="s">
        <v>1094</v>
      </c>
      <c r="D2278" s="504" t="s">
        <v>3380</v>
      </c>
      <c r="E2278" s="504" t="s">
        <v>3381</v>
      </c>
      <c r="F2278" s="504" t="s">
        <v>557</v>
      </c>
      <c r="G2278" s="504" t="s">
        <v>558</v>
      </c>
      <c r="H2278" s="504" t="s">
        <v>5164</v>
      </c>
      <c r="I2278" s="504">
        <v>5</v>
      </c>
      <c r="J2278" s="504">
        <v>4</v>
      </c>
      <c r="K2278" s="504">
        <v>0</v>
      </c>
      <c r="L2278" s="504">
        <v>1</v>
      </c>
      <c r="M2278" s="504">
        <v>0</v>
      </c>
      <c r="N2278" s="504">
        <v>0</v>
      </c>
      <c r="O2278" s="505">
        <v>0</v>
      </c>
    </row>
    <row r="2279" spans="1:15" x14ac:dyDescent="0.35">
      <c r="A2279" s="500" t="s">
        <v>1623</v>
      </c>
      <c r="B2279" s="501">
        <v>4858</v>
      </c>
      <c r="C2279" s="501" t="s">
        <v>1094</v>
      </c>
      <c r="D2279" s="501" t="s">
        <v>3380</v>
      </c>
      <c r="E2279" s="501" t="s">
        <v>3381</v>
      </c>
      <c r="F2279" s="501" t="s">
        <v>557</v>
      </c>
      <c r="G2279" s="501" t="s">
        <v>558</v>
      </c>
      <c r="H2279" s="501" t="s">
        <v>5165</v>
      </c>
      <c r="I2279" s="501">
        <v>38</v>
      </c>
      <c r="J2279" s="501">
        <v>10</v>
      </c>
      <c r="K2279" s="501">
        <v>0</v>
      </c>
      <c r="L2279" s="501">
        <v>0</v>
      </c>
      <c r="M2279" s="501">
        <v>0</v>
      </c>
      <c r="N2279" s="501">
        <v>0</v>
      </c>
      <c r="O2279" s="506">
        <v>28</v>
      </c>
    </row>
    <row r="2280" spans="1:15" x14ac:dyDescent="0.35">
      <c r="A2280" s="503" t="s">
        <v>1167</v>
      </c>
      <c r="B2280" s="504">
        <v>4689</v>
      </c>
      <c r="C2280" s="504" t="s">
        <v>1089</v>
      </c>
      <c r="D2280" s="504" t="s">
        <v>3392</v>
      </c>
      <c r="E2280" s="504" t="s">
        <v>3381</v>
      </c>
      <c r="F2280" s="504" t="s">
        <v>557</v>
      </c>
      <c r="G2280" s="504" t="s">
        <v>558</v>
      </c>
      <c r="H2280" s="504" t="s">
        <v>5166</v>
      </c>
      <c r="I2280" s="504">
        <v>9</v>
      </c>
      <c r="J2280" s="504">
        <v>0</v>
      </c>
      <c r="K2280" s="504">
        <v>0</v>
      </c>
      <c r="L2280" s="504">
        <v>9</v>
      </c>
      <c r="M2280" s="504">
        <v>0</v>
      </c>
      <c r="N2280" s="504">
        <v>0</v>
      </c>
      <c r="O2280" s="505">
        <v>0</v>
      </c>
    </row>
    <row r="2281" spans="1:15" x14ac:dyDescent="0.35">
      <c r="A2281" s="500" t="s">
        <v>1102</v>
      </c>
      <c r="B2281" s="501">
        <v>4663</v>
      </c>
      <c r="C2281" s="501" t="s">
        <v>1089</v>
      </c>
      <c r="D2281" s="501" t="s">
        <v>3392</v>
      </c>
      <c r="E2281" s="501" t="s">
        <v>3381</v>
      </c>
      <c r="F2281" s="501" t="s">
        <v>557</v>
      </c>
      <c r="G2281" s="501" t="s">
        <v>558</v>
      </c>
      <c r="H2281" s="501" t="s">
        <v>5167</v>
      </c>
      <c r="I2281" s="501">
        <v>2</v>
      </c>
      <c r="J2281" s="501">
        <v>0</v>
      </c>
      <c r="K2281" s="501">
        <v>0</v>
      </c>
      <c r="L2281" s="501">
        <v>2</v>
      </c>
      <c r="M2281" s="501">
        <v>0</v>
      </c>
      <c r="N2281" s="501">
        <v>0</v>
      </c>
      <c r="O2281" s="506">
        <v>0</v>
      </c>
    </row>
    <row r="2282" spans="1:15" x14ac:dyDescent="0.35">
      <c r="A2282" s="503" t="s">
        <v>14208</v>
      </c>
      <c r="B2282" s="504">
        <v>4803</v>
      </c>
      <c r="C2282" s="504" t="s">
        <v>1094</v>
      </c>
      <c r="D2282" s="504" t="s">
        <v>3380</v>
      </c>
      <c r="E2282" s="504" t="s">
        <v>3381</v>
      </c>
      <c r="F2282" s="504" t="s">
        <v>557</v>
      </c>
      <c r="G2282" s="504" t="s">
        <v>558</v>
      </c>
      <c r="H2282" s="504" t="s">
        <v>14617</v>
      </c>
      <c r="I2282" s="504">
        <v>20</v>
      </c>
      <c r="J2282" s="504">
        <v>0</v>
      </c>
      <c r="K2282" s="504">
        <v>0</v>
      </c>
      <c r="L2282" s="504">
        <v>20</v>
      </c>
      <c r="M2282" s="504">
        <v>0</v>
      </c>
      <c r="N2282" s="504">
        <v>0</v>
      </c>
      <c r="O2282" s="505">
        <v>0</v>
      </c>
    </row>
    <row r="2283" spans="1:15" x14ac:dyDescent="0.35">
      <c r="A2283" s="500" t="s">
        <v>1186</v>
      </c>
      <c r="B2283" s="501">
        <v>4661</v>
      </c>
      <c r="C2283" s="501" t="s">
        <v>1089</v>
      </c>
      <c r="D2283" s="501" t="s">
        <v>3392</v>
      </c>
      <c r="E2283" s="501" t="s">
        <v>3381</v>
      </c>
      <c r="F2283" s="501" t="s">
        <v>557</v>
      </c>
      <c r="G2283" s="501" t="s">
        <v>558</v>
      </c>
      <c r="H2283" s="501" t="s">
        <v>14618</v>
      </c>
      <c r="I2283" s="501">
        <v>4</v>
      </c>
      <c r="J2283" s="501">
        <v>0</v>
      </c>
      <c r="K2283" s="501">
        <v>0</v>
      </c>
      <c r="L2283" s="501">
        <v>4</v>
      </c>
      <c r="M2283" s="501">
        <v>0</v>
      </c>
      <c r="N2283" s="501">
        <v>0</v>
      </c>
      <c r="O2283" s="506">
        <v>0</v>
      </c>
    </row>
    <row r="2284" spans="1:15" x14ac:dyDescent="0.35">
      <c r="A2284" s="503" t="s">
        <v>1630</v>
      </c>
      <c r="B2284" s="504">
        <v>4744</v>
      </c>
      <c r="C2284" s="504" t="s">
        <v>1089</v>
      </c>
      <c r="D2284" s="504" t="s">
        <v>3392</v>
      </c>
      <c r="E2284" s="504" t="s">
        <v>3381</v>
      </c>
      <c r="F2284" s="504" t="s">
        <v>557</v>
      </c>
      <c r="G2284" s="504" t="s">
        <v>558</v>
      </c>
      <c r="H2284" s="504" t="s">
        <v>5168</v>
      </c>
      <c r="I2284" s="504">
        <v>19</v>
      </c>
      <c r="J2284" s="504">
        <v>19</v>
      </c>
      <c r="K2284" s="504">
        <v>0</v>
      </c>
      <c r="L2284" s="504">
        <v>0</v>
      </c>
      <c r="M2284" s="504">
        <v>0</v>
      </c>
      <c r="N2284" s="504">
        <v>0</v>
      </c>
      <c r="O2284" s="505">
        <v>0</v>
      </c>
    </row>
    <row r="2285" spans="1:15" x14ac:dyDescent="0.35">
      <c r="A2285" s="500" t="s">
        <v>1105</v>
      </c>
      <c r="B2285" s="501">
        <v>4668</v>
      </c>
      <c r="C2285" s="501" t="s">
        <v>1094</v>
      </c>
      <c r="D2285" s="501" t="s">
        <v>3380</v>
      </c>
      <c r="E2285" s="501" t="s">
        <v>3381</v>
      </c>
      <c r="F2285" s="501" t="s">
        <v>557</v>
      </c>
      <c r="G2285" s="501" t="s">
        <v>558</v>
      </c>
      <c r="H2285" s="501" t="s">
        <v>5169</v>
      </c>
      <c r="I2285" s="501">
        <v>18</v>
      </c>
      <c r="J2285" s="501">
        <v>0</v>
      </c>
      <c r="K2285" s="501">
        <v>0</v>
      </c>
      <c r="L2285" s="501">
        <v>0</v>
      </c>
      <c r="M2285" s="501">
        <v>0</v>
      </c>
      <c r="N2285" s="501">
        <v>0</v>
      </c>
      <c r="O2285" s="506">
        <v>18</v>
      </c>
    </row>
    <row r="2286" spans="1:15" x14ac:dyDescent="0.35">
      <c r="A2286" s="503" t="s">
        <v>1107</v>
      </c>
      <c r="B2286" s="504" t="s">
        <v>3109</v>
      </c>
      <c r="C2286" s="504" t="s">
        <v>1094</v>
      </c>
      <c r="D2286" s="504" t="s">
        <v>3380</v>
      </c>
      <c r="E2286" s="504" t="s">
        <v>3381</v>
      </c>
      <c r="F2286" s="504" t="s">
        <v>557</v>
      </c>
      <c r="G2286" s="504" t="s">
        <v>558</v>
      </c>
      <c r="H2286" s="504" t="s">
        <v>5170</v>
      </c>
      <c r="I2286" s="504">
        <v>351</v>
      </c>
      <c r="J2286" s="504">
        <v>308</v>
      </c>
      <c r="K2286" s="504">
        <v>0</v>
      </c>
      <c r="L2286" s="504">
        <v>40</v>
      </c>
      <c r="M2286" s="504">
        <v>0</v>
      </c>
      <c r="N2286" s="504">
        <v>0</v>
      </c>
      <c r="O2286" s="505">
        <v>3</v>
      </c>
    </row>
    <row r="2287" spans="1:15" x14ac:dyDescent="0.35">
      <c r="A2287" s="500" t="s">
        <v>1109</v>
      </c>
      <c r="B2287" s="501" t="s">
        <v>2959</v>
      </c>
      <c r="C2287" s="501" t="s">
        <v>1094</v>
      </c>
      <c r="D2287" s="501" t="s">
        <v>3380</v>
      </c>
      <c r="E2287" s="501" t="s">
        <v>3381</v>
      </c>
      <c r="F2287" s="501" t="s">
        <v>557</v>
      </c>
      <c r="G2287" s="501" t="s">
        <v>558</v>
      </c>
      <c r="H2287" s="501" t="s">
        <v>5171</v>
      </c>
      <c r="I2287" s="501">
        <v>29</v>
      </c>
      <c r="J2287" s="501">
        <v>0</v>
      </c>
      <c r="K2287" s="501">
        <v>0</v>
      </c>
      <c r="L2287" s="501">
        <v>0</v>
      </c>
      <c r="M2287" s="501">
        <v>29</v>
      </c>
      <c r="N2287" s="501">
        <v>0</v>
      </c>
      <c r="O2287" s="506">
        <v>0</v>
      </c>
    </row>
    <row r="2288" spans="1:15" x14ac:dyDescent="0.35">
      <c r="A2288" s="503" t="s">
        <v>1633</v>
      </c>
      <c r="B2288" s="504">
        <v>4713</v>
      </c>
      <c r="C2288" s="504" t="s">
        <v>1089</v>
      </c>
      <c r="D2288" s="504" t="s">
        <v>3392</v>
      </c>
      <c r="E2288" s="504" t="s">
        <v>3381</v>
      </c>
      <c r="F2288" s="504" t="s">
        <v>557</v>
      </c>
      <c r="G2288" s="504" t="s">
        <v>558</v>
      </c>
      <c r="H2288" s="504" t="s">
        <v>5172</v>
      </c>
      <c r="I2288" s="504">
        <v>8</v>
      </c>
      <c r="J2288" s="504">
        <v>1</v>
      </c>
      <c r="K2288" s="504">
        <v>0</v>
      </c>
      <c r="L2288" s="504">
        <v>7</v>
      </c>
      <c r="M2288" s="504">
        <v>0</v>
      </c>
      <c r="N2288" s="504">
        <v>0</v>
      </c>
      <c r="O2288" s="505">
        <v>0</v>
      </c>
    </row>
    <row r="2289" spans="1:15" x14ac:dyDescent="0.35">
      <c r="A2289" s="500" t="s">
        <v>1636</v>
      </c>
      <c r="B2289" s="501" t="s">
        <v>2480</v>
      </c>
      <c r="C2289" s="501" t="s">
        <v>1089</v>
      </c>
      <c r="D2289" s="501" t="s">
        <v>3392</v>
      </c>
      <c r="E2289" s="501" t="s">
        <v>3381</v>
      </c>
      <c r="F2289" s="501" t="s">
        <v>557</v>
      </c>
      <c r="G2289" s="501" t="s">
        <v>558</v>
      </c>
      <c r="H2289" s="501" t="s">
        <v>5173</v>
      </c>
      <c r="I2289" s="501">
        <v>30</v>
      </c>
      <c r="J2289" s="501">
        <v>0</v>
      </c>
      <c r="K2289" s="501">
        <v>0</v>
      </c>
      <c r="L2289" s="501">
        <v>0</v>
      </c>
      <c r="M2289" s="501">
        <v>30</v>
      </c>
      <c r="N2289" s="501">
        <v>0</v>
      </c>
      <c r="O2289" s="506">
        <v>0</v>
      </c>
    </row>
    <row r="2290" spans="1:15" x14ac:dyDescent="0.35">
      <c r="A2290" s="503" t="s">
        <v>1639</v>
      </c>
      <c r="B2290" s="504">
        <v>4846</v>
      </c>
      <c r="C2290" s="504" t="s">
        <v>1094</v>
      </c>
      <c r="D2290" s="504" t="s">
        <v>3380</v>
      </c>
      <c r="E2290" s="504" t="s">
        <v>3381</v>
      </c>
      <c r="F2290" s="504" t="s">
        <v>557</v>
      </c>
      <c r="G2290" s="504" t="s">
        <v>558</v>
      </c>
      <c r="H2290" s="504" t="s">
        <v>5174</v>
      </c>
      <c r="I2290" s="504">
        <v>178</v>
      </c>
      <c r="J2290" s="504">
        <v>176</v>
      </c>
      <c r="K2290" s="504">
        <v>0</v>
      </c>
      <c r="L2290" s="504">
        <v>0</v>
      </c>
      <c r="M2290" s="504">
        <v>0</v>
      </c>
      <c r="N2290" s="504">
        <v>0</v>
      </c>
      <c r="O2290" s="505">
        <v>2</v>
      </c>
    </row>
    <row r="2291" spans="1:15" x14ac:dyDescent="0.35">
      <c r="A2291" s="500" t="s">
        <v>1642</v>
      </c>
      <c r="B2291" s="501" t="s">
        <v>3225</v>
      </c>
      <c r="C2291" s="501" t="s">
        <v>1094</v>
      </c>
      <c r="D2291" s="501" t="s">
        <v>3380</v>
      </c>
      <c r="E2291" s="501" t="s">
        <v>3381</v>
      </c>
      <c r="F2291" s="501" t="s">
        <v>557</v>
      </c>
      <c r="G2291" s="501" t="s">
        <v>558</v>
      </c>
      <c r="H2291" s="501" t="s">
        <v>5175</v>
      </c>
      <c r="I2291" s="501">
        <v>64</v>
      </c>
      <c r="J2291" s="501">
        <v>59</v>
      </c>
      <c r="K2291" s="501">
        <v>0</v>
      </c>
      <c r="L2291" s="501">
        <v>0</v>
      </c>
      <c r="M2291" s="501">
        <v>0</v>
      </c>
      <c r="N2291" s="501">
        <v>0</v>
      </c>
      <c r="O2291" s="506">
        <v>5</v>
      </c>
    </row>
    <row r="2292" spans="1:15" x14ac:dyDescent="0.35">
      <c r="A2292" s="503" t="s">
        <v>1209</v>
      </c>
      <c r="B2292" s="504">
        <v>4779</v>
      </c>
      <c r="C2292" s="504" t="s">
        <v>1094</v>
      </c>
      <c r="D2292" s="504" t="s">
        <v>3380</v>
      </c>
      <c r="E2292" s="504" t="s">
        <v>3381</v>
      </c>
      <c r="F2292" s="504" t="s">
        <v>557</v>
      </c>
      <c r="G2292" s="504" t="s">
        <v>558</v>
      </c>
      <c r="H2292" s="504" t="s">
        <v>5176</v>
      </c>
      <c r="I2292" s="504">
        <v>15</v>
      </c>
      <c r="J2292" s="504">
        <v>0</v>
      </c>
      <c r="K2292" s="504">
        <v>0</v>
      </c>
      <c r="L2292" s="504">
        <v>15</v>
      </c>
      <c r="M2292" s="504">
        <v>0</v>
      </c>
      <c r="N2292" s="504">
        <v>0</v>
      </c>
      <c r="O2292" s="505">
        <v>0</v>
      </c>
    </row>
    <row r="2293" spans="1:15" x14ac:dyDescent="0.35">
      <c r="A2293" s="500" t="s">
        <v>1644</v>
      </c>
      <c r="B2293" s="501">
        <v>4763</v>
      </c>
      <c r="C2293" s="501" t="s">
        <v>1089</v>
      </c>
      <c r="D2293" s="501" t="s">
        <v>3392</v>
      </c>
      <c r="E2293" s="501" t="s">
        <v>3381</v>
      </c>
      <c r="F2293" s="501" t="s">
        <v>557</v>
      </c>
      <c r="G2293" s="501" t="s">
        <v>558</v>
      </c>
      <c r="H2293" s="501" t="s">
        <v>11868</v>
      </c>
      <c r="I2293" s="501">
        <v>26</v>
      </c>
      <c r="J2293" s="501">
        <v>0</v>
      </c>
      <c r="K2293" s="501">
        <v>0</v>
      </c>
      <c r="L2293" s="501">
        <v>0</v>
      </c>
      <c r="M2293" s="501">
        <v>26</v>
      </c>
      <c r="N2293" s="501">
        <v>0</v>
      </c>
      <c r="O2293" s="506">
        <v>0</v>
      </c>
    </row>
    <row r="2294" spans="1:15" x14ac:dyDescent="0.35">
      <c r="A2294" s="503" t="s">
        <v>1645</v>
      </c>
      <c r="B2294" s="504" t="s">
        <v>3239</v>
      </c>
      <c r="C2294" s="504" t="s">
        <v>1094</v>
      </c>
      <c r="D2294" s="504" t="s">
        <v>3380</v>
      </c>
      <c r="E2294" s="504" t="s">
        <v>3381</v>
      </c>
      <c r="F2294" s="504" t="s">
        <v>557</v>
      </c>
      <c r="G2294" s="504" t="s">
        <v>558</v>
      </c>
      <c r="H2294" s="504" t="s">
        <v>5177</v>
      </c>
      <c r="I2294" s="504">
        <v>510</v>
      </c>
      <c r="J2294" s="504">
        <v>452</v>
      </c>
      <c r="K2294" s="504">
        <v>0</v>
      </c>
      <c r="L2294" s="504">
        <v>25</v>
      </c>
      <c r="M2294" s="504">
        <v>31</v>
      </c>
      <c r="N2294" s="504">
        <v>0</v>
      </c>
      <c r="O2294" s="505">
        <v>2</v>
      </c>
    </row>
    <row r="2295" spans="1:15" x14ac:dyDescent="0.35">
      <c r="A2295" s="500" t="s">
        <v>1122</v>
      </c>
      <c r="B2295" s="501" t="s">
        <v>2994</v>
      </c>
      <c r="C2295" s="501" t="s">
        <v>1094</v>
      </c>
      <c r="D2295" s="501" t="s">
        <v>3380</v>
      </c>
      <c r="E2295" s="501" t="s">
        <v>3381</v>
      </c>
      <c r="F2295" s="501" t="s">
        <v>557</v>
      </c>
      <c r="G2295" s="501" t="s">
        <v>558</v>
      </c>
      <c r="H2295" s="501" t="s">
        <v>5178</v>
      </c>
      <c r="I2295" s="501">
        <v>277</v>
      </c>
      <c r="J2295" s="501">
        <v>268</v>
      </c>
      <c r="K2295" s="501">
        <v>0</v>
      </c>
      <c r="L2295" s="501">
        <v>0</v>
      </c>
      <c r="M2295" s="501">
        <v>0</v>
      </c>
      <c r="N2295" s="501">
        <v>0</v>
      </c>
      <c r="O2295" s="506">
        <v>9</v>
      </c>
    </row>
    <row r="2296" spans="1:15" x14ac:dyDescent="0.35">
      <c r="A2296" s="503" t="s">
        <v>1225</v>
      </c>
      <c r="B2296" s="504" t="s">
        <v>3315</v>
      </c>
      <c r="C2296" s="504" t="s">
        <v>1094</v>
      </c>
      <c r="D2296" s="504" t="s">
        <v>3380</v>
      </c>
      <c r="E2296" s="504" t="s">
        <v>3381</v>
      </c>
      <c r="F2296" s="504" t="s">
        <v>557</v>
      </c>
      <c r="G2296" s="504" t="s">
        <v>558</v>
      </c>
      <c r="H2296" s="504" t="s">
        <v>5179</v>
      </c>
      <c r="I2296" s="504">
        <v>2</v>
      </c>
      <c r="J2296" s="504">
        <v>0</v>
      </c>
      <c r="K2296" s="504">
        <v>0</v>
      </c>
      <c r="L2296" s="504">
        <v>2</v>
      </c>
      <c r="M2296" s="504">
        <v>0</v>
      </c>
      <c r="N2296" s="504">
        <v>0</v>
      </c>
      <c r="O2296" s="505">
        <v>0</v>
      </c>
    </row>
    <row r="2297" spans="1:15" x14ac:dyDescent="0.35">
      <c r="A2297" s="500" t="s">
        <v>1228</v>
      </c>
      <c r="B2297" s="501" t="s">
        <v>3321</v>
      </c>
      <c r="C2297" s="501" t="s">
        <v>1094</v>
      </c>
      <c r="D2297" s="501" t="s">
        <v>3380</v>
      </c>
      <c r="E2297" s="501" t="s">
        <v>3381</v>
      </c>
      <c r="F2297" s="501" t="s">
        <v>557</v>
      </c>
      <c r="G2297" s="501" t="s">
        <v>558</v>
      </c>
      <c r="H2297" s="501" t="s">
        <v>5180</v>
      </c>
      <c r="I2297" s="501">
        <v>6</v>
      </c>
      <c r="J2297" s="501">
        <v>0</v>
      </c>
      <c r="K2297" s="501">
        <v>0</v>
      </c>
      <c r="L2297" s="501">
        <v>6</v>
      </c>
      <c r="M2297" s="501">
        <v>0</v>
      </c>
      <c r="N2297" s="501">
        <v>0</v>
      </c>
      <c r="O2297" s="506">
        <v>0</v>
      </c>
    </row>
    <row r="2298" spans="1:15" x14ac:dyDescent="0.35">
      <c r="A2298" s="503" t="s">
        <v>1648</v>
      </c>
      <c r="B2298" s="504" t="s">
        <v>2496</v>
      </c>
      <c r="C2298" s="504" t="s">
        <v>1094</v>
      </c>
      <c r="D2298" s="504" t="s">
        <v>3380</v>
      </c>
      <c r="E2298" s="504" t="s">
        <v>3381</v>
      </c>
      <c r="F2298" s="504" t="s">
        <v>557</v>
      </c>
      <c r="G2298" s="504" t="s">
        <v>558</v>
      </c>
      <c r="H2298" s="504" t="s">
        <v>5181</v>
      </c>
      <c r="I2298" s="504">
        <v>502</v>
      </c>
      <c r="J2298" s="504">
        <v>319</v>
      </c>
      <c r="K2298" s="504">
        <v>0</v>
      </c>
      <c r="L2298" s="504">
        <v>39</v>
      </c>
      <c r="M2298" s="504">
        <v>144</v>
      </c>
      <c r="N2298" s="504">
        <v>0</v>
      </c>
      <c r="O2298" s="505">
        <v>0</v>
      </c>
    </row>
    <row r="2299" spans="1:15" x14ac:dyDescent="0.35">
      <c r="A2299" s="500" t="s">
        <v>1124</v>
      </c>
      <c r="B2299" s="501">
        <v>4745</v>
      </c>
      <c r="C2299" s="501" t="s">
        <v>1094</v>
      </c>
      <c r="D2299" s="501" t="s">
        <v>3380</v>
      </c>
      <c r="E2299" s="501" t="s">
        <v>3381</v>
      </c>
      <c r="F2299" s="501" t="s">
        <v>557</v>
      </c>
      <c r="G2299" s="501" t="s">
        <v>558</v>
      </c>
      <c r="H2299" s="501" t="s">
        <v>5182</v>
      </c>
      <c r="I2299" s="501">
        <v>17</v>
      </c>
      <c r="J2299" s="501">
        <v>0</v>
      </c>
      <c r="K2299" s="501">
        <v>0</v>
      </c>
      <c r="L2299" s="501">
        <v>17</v>
      </c>
      <c r="M2299" s="501">
        <v>0</v>
      </c>
      <c r="N2299" s="501">
        <v>0</v>
      </c>
      <c r="O2299" s="506">
        <v>0</v>
      </c>
    </row>
    <row r="2300" spans="1:15" x14ac:dyDescent="0.35">
      <c r="A2300" s="503" t="s">
        <v>1234</v>
      </c>
      <c r="B2300" s="504" t="s">
        <v>3291</v>
      </c>
      <c r="C2300" s="504" t="s">
        <v>1094</v>
      </c>
      <c r="D2300" s="504" t="s">
        <v>3380</v>
      </c>
      <c r="E2300" s="504" t="s">
        <v>3381</v>
      </c>
      <c r="F2300" s="504" t="s">
        <v>557</v>
      </c>
      <c r="G2300" s="504" t="s">
        <v>558</v>
      </c>
      <c r="H2300" s="504" t="s">
        <v>5183</v>
      </c>
      <c r="I2300" s="504">
        <v>55</v>
      </c>
      <c r="J2300" s="504">
        <v>55</v>
      </c>
      <c r="K2300" s="504">
        <v>0</v>
      </c>
      <c r="L2300" s="504">
        <v>0</v>
      </c>
      <c r="M2300" s="504">
        <v>0</v>
      </c>
      <c r="N2300" s="504">
        <v>0</v>
      </c>
      <c r="O2300" s="505">
        <v>0</v>
      </c>
    </row>
    <row r="2301" spans="1:15" x14ac:dyDescent="0.35">
      <c r="A2301" s="500" t="s">
        <v>1126</v>
      </c>
      <c r="B2301" s="501" t="s">
        <v>2974</v>
      </c>
      <c r="C2301" s="501" t="s">
        <v>1094</v>
      </c>
      <c r="D2301" s="501" t="s">
        <v>3380</v>
      </c>
      <c r="E2301" s="501" t="s">
        <v>3381</v>
      </c>
      <c r="F2301" s="501" t="s">
        <v>557</v>
      </c>
      <c r="G2301" s="501" t="s">
        <v>558</v>
      </c>
      <c r="H2301" s="501" t="s">
        <v>5184</v>
      </c>
      <c r="I2301" s="501">
        <v>22</v>
      </c>
      <c r="J2301" s="501">
        <v>0</v>
      </c>
      <c r="K2301" s="501">
        <v>0</v>
      </c>
      <c r="L2301" s="501">
        <v>22</v>
      </c>
      <c r="M2301" s="501">
        <v>0</v>
      </c>
      <c r="N2301" s="501">
        <v>0</v>
      </c>
      <c r="O2301" s="506">
        <v>0</v>
      </c>
    </row>
    <row r="2302" spans="1:15" x14ac:dyDescent="0.35">
      <c r="A2302" s="503" t="s">
        <v>1651</v>
      </c>
      <c r="B2302" s="504" t="s">
        <v>2450</v>
      </c>
      <c r="C2302" s="504" t="s">
        <v>1089</v>
      </c>
      <c r="D2302" s="504" t="s">
        <v>3392</v>
      </c>
      <c r="E2302" s="504" t="s">
        <v>3381</v>
      </c>
      <c r="F2302" s="504" t="s">
        <v>557</v>
      </c>
      <c r="G2302" s="504" t="s">
        <v>558</v>
      </c>
      <c r="H2302" s="504" t="s">
        <v>5185</v>
      </c>
      <c r="I2302" s="504">
        <v>55</v>
      </c>
      <c r="J2302" s="504">
        <v>0</v>
      </c>
      <c r="K2302" s="504">
        <v>0</v>
      </c>
      <c r="L2302" s="504">
        <v>0</v>
      </c>
      <c r="M2302" s="504">
        <v>55</v>
      </c>
      <c r="N2302" s="504">
        <v>0</v>
      </c>
      <c r="O2302" s="505">
        <v>0</v>
      </c>
    </row>
    <row r="2303" spans="1:15" x14ac:dyDescent="0.35">
      <c r="A2303" s="500" t="s">
        <v>14323</v>
      </c>
      <c r="B2303" s="501" t="s">
        <v>14322</v>
      </c>
      <c r="C2303" s="501" t="s">
        <v>1089</v>
      </c>
      <c r="D2303" s="501" t="s">
        <v>3392</v>
      </c>
      <c r="E2303" s="501" t="s">
        <v>3381</v>
      </c>
      <c r="F2303" s="501" t="s">
        <v>557</v>
      </c>
      <c r="G2303" s="501" t="s">
        <v>558</v>
      </c>
      <c r="H2303" s="501" t="s">
        <v>14619</v>
      </c>
      <c r="I2303" s="501">
        <v>26</v>
      </c>
      <c r="J2303" s="501">
        <v>0</v>
      </c>
      <c r="K2303" s="501">
        <v>0</v>
      </c>
      <c r="L2303" s="501">
        <v>26</v>
      </c>
      <c r="M2303" s="501">
        <v>0</v>
      </c>
      <c r="N2303" s="501">
        <v>0</v>
      </c>
      <c r="O2303" s="506">
        <v>0</v>
      </c>
    </row>
    <row r="2304" spans="1:15" x14ac:dyDescent="0.35">
      <c r="A2304" s="503" t="s">
        <v>1368</v>
      </c>
      <c r="B2304" s="504" t="s">
        <v>3220</v>
      </c>
      <c r="C2304" s="504" t="s">
        <v>1094</v>
      </c>
      <c r="D2304" s="504" t="s">
        <v>3380</v>
      </c>
      <c r="E2304" s="504" t="s">
        <v>3381</v>
      </c>
      <c r="F2304" s="504" t="s">
        <v>557</v>
      </c>
      <c r="G2304" s="504" t="s">
        <v>558</v>
      </c>
      <c r="H2304" s="504" t="s">
        <v>5186</v>
      </c>
      <c r="I2304" s="504">
        <v>382</v>
      </c>
      <c r="J2304" s="504">
        <v>341</v>
      </c>
      <c r="K2304" s="504">
        <v>4</v>
      </c>
      <c r="L2304" s="504">
        <v>6</v>
      </c>
      <c r="M2304" s="504">
        <v>0</v>
      </c>
      <c r="N2304" s="504">
        <v>0</v>
      </c>
      <c r="O2304" s="505">
        <v>31</v>
      </c>
    </row>
    <row r="2305" spans="1:15" x14ac:dyDescent="0.35">
      <c r="A2305" s="500" t="s">
        <v>1093</v>
      </c>
      <c r="B2305" s="501" t="s">
        <v>3248</v>
      </c>
      <c r="C2305" s="501" t="s">
        <v>1094</v>
      </c>
      <c r="D2305" s="501" t="s">
        <v>3380</v>
      </c>
      <c r="E2305" s="501" t="s">
        <v>3381</v>
      </c>
      <c r="F2305" s="501" t="s">
        <v>559</v>
      </c>
      <c r="G2305" s="501" t="s">
        <v>560</v>
      </c>
      <c r="H2305" s="501" t="s">
        <v>5187</v>
      </c>
      <c r="I2305" s="501">
        <v>17</v>
      </c>
      <c r="J2305" s="501">
        <v>0</v>
      </c>
      <c r="K2305" s="501">
        <v>0</v>
      </c>
      <c r="L2305" s="501">
        <v>17</v>
      </c>
      <c r="M2305" s="501">
        <v>0</v>
      </c>
      <c r="N2305" s="501">
        <v>0</v>
      </c>
      <c r="O2305" s="506">
        <v>0</v>
      </c>
    </row>
    <row r="2306" spans="1:15" x14ac:dyDescent="0.35">
      <c r="A2306" s="503" t="s">
        <v>1096</v>
      </c>
      <c r="B2306" s="504" t="s">
        <v>3326</v>
      </c>
      <c r="C2306" s="504" t="s">
        <v>1094</v>
      </c>
      <c r="D2306" s="504" t="s">
        <v>3380</v>
      </c>
      <c r="E2306" s="504" t="s">
        <v>3381</v>
      </c>
      <c r="F2306" s="504" t="s">
        <v>559</v>
      </c>
      <c r="G2306" s="504" t="s">
        <v>560</v>
      </c>
      <c r="H2306" s="504" t="s">
        <v>14620</v>
      </c>
      <c r="I2306" s="504">
        <v>27</v>
      </c>
      <c r="J2306" s="504">
        <v>0</v>
      </c>
      <c r="K2306" s="504">
        <v>0</v>
      </c>
      <c r="L2306" s="504">
        <v>0</v>
      </c>
      <c r="M2306" s="504">
        <v>0</v>
      </c>
      <c r="N2306" s="504">
        <v>0</v>
      </c>
      <c r="O2306" s="505">
        <v>27</v>
      </c>
    </row>
    <row r="2307" spans="1:15" x14ac:dyDescent="0.35">
      <c r="A2307" s="500" t="s">
        <v>1100</v>
      </c>
      <c r="B2307" s="501">
        <v>4865</v>
      </c>
      <c r="C2307" s="501" t="s">
        <v>1094</v>
      </c>
      <c r="D2307" s="501" t="s">
        <v>3380</v>
      </c>
      <c r="E2307" s="501" t="s">
        <v>3381</v>
      </c>
      <c r="F2307" s="501" t="s">
        <v>559</v>
      </c>
      <c r="G2307" s="501" t="s">
        <v>560</v>
      </c>
      <c r="H2307" s="501" t="s">
        <v>5188</v>
      </c>
      <c r="I2307" s="501">
        <v>409</v>
      </c>
      <c r="J2307" s="501">
        <v>84</v>
      </c>
      <c r="K2307" s="501">
        <v>0</v>
      </c>
      <c r="L2307" s="501">
        <v>0</v>
      </c>
      <c r="M2307" s="501">
        <v>0</v>
      </c>
      <c r="N2307" s="501">
        <v>0</v>
      </c>
      <c r="O2307" s="506">
        <v>325</v>
      </c>
    </row>
    <row r="2308" spans="1:15" x14ac:dyDescent="0.35">
      <c r="A2308" s="503" t="s">
        <v>1288</v>
      </c>
      <c r="B2308" s="504" t="s">
        <v>3243</v>
      </c>
      <c r="C2308" s="504" t="s">
        <v>1089</v>
      </c>
      <c r="D2308" s="504" t="s">
        <v>3392</v>
      </c>
      <c r="E2308" s="504" t="s">
        <v>3381</v>
      </c>
      <c r="F2308" s="504" t="s">
        <v>559</v>
      </c>
      <c r="G2308" s="504" t="s">
        <v>560</v>
      </c>
      <c r="H2308" s="504" t="s">
        <v>5189</v>
      </c>
      <c r="I2308" s="504">
        <v>220</v>
      </c>
      <c r="J2308" s="504">
        <v>220</v>
      </c>
      <c r="K2308" s="504">
        <v>0</v>
      </c>
      <c r="L2308" s="504">
        <v>0</v>
      </c>
      <c r="M2308" s="504">
        <v>0</v>
      </c>
      <c r="N2308" s="504">
        <v>0</v>
      </c>
      <c r="O2308" s="505">
        <v>0</v>
      </c>
    </row>
    <row r="2309" spans="1:15" x14ac:dyDescent="0.35">
      <c r="A2309" s="500" t="s">
        <v>1821</v>
      </c>
      <c r="B2309" s="501" t="s">
        <v>2740</v>
      </c>
      <c r="C2309" s="501" t="s">
        <v>1089</v>
      </c>
      <c r="D2309" s="501" t="s">
        <v>3392</v>
      </c>
      <c r="E2309" s="501" t="s">
        <v>3381</v>
      </c>
      <c r="F2309" s="501" t="s">
        <v>559</v>
      </c>
      <c r="G2309" s="501" t="s">
        <v>560</v>
      </c>
      <c r="H2309" s="501" t="s">
        <v>5190</v>
      </c>
      <c r="I2309" s="501">
        <v>47</v>
      </c>
      <c r="J2309" s="501">
        <v>47</v>
      </c>
      <c r="K2309" s="501">
        <v>0</v>
      </c>
      <c r="L2309" s="501">
        <v>0</v>
      </c>
      <c r="M2309" s="501">
        <v>0</v>
      </c>
      <c r="N2309" s="501">
        <v>0</v>
      </c>
      <c r="O2309" s="506">
        <v>0</v>
      </c>
    </row>
    <row r="2310" spans="1:15" x14ac:dyDescent="0.35">
      <c r="A2310" s="503" t="s">
        <v>1822</v>
      </c>
      <c r="B2310" s="504" t="s">
        <v>2522</v>
      </c>
      <c r="C2310" s="504" t="s">
        <v>1089</v>
      </c>
      <c r="D2310" s="504" t="s">
        <v>3392</v>
      </c>
      <c r="E2310" s="504" t="s">
        <v>3381</v>
      </c>
      <c r="F2310" s="504" t="s">
        <v>559</v>
      </c>
      <c r="G2310" s="504" t="s">
        <v>560</v>
      </c>
      <c r="H2310" s="504" t="s">
        <v>5191</v>
      </c>
      <c r="I2310" s="504">
        <v>36</v>
      </c>
      <c r="J2310" s="504">
        <v>0</v>
      </c>
      <c r="K2310" s="504">
        <v>0</v>
      </c>
      <c r="L2310" s="504">
        <v>0</v>
      </c>
      <c r="M2310" s="504">
        <v>36</v>
      </c>
      <c r="N2310" s="504">
        <v>0</v>
      </c>
      <c r="O2310" s="505">
        <v>0</v>
      </c>
    </row>
    <row r="2311" spans="1:15" x14ac:dyDescent="0.35">
      <c r="A2311" s="500" t="s">
        <v>14208</v>
      </c>
      <c r="B2311" s="501">
        <v>4803</v>
      </c>
      <c r="C2311" s="501" t="s">
        <v>1094</v>
      </c>
      <c r="D2311" s="501" t="s">
        <v>3380</v>
      </c>
      <c r="E2311" s="501" t="s">
        <v>3381</v>
      </c>
      <c r="F2311" s="501" t="s">
        <v>559</v>
      </c>
      <c r="G2311" s="501" t="s">
        <v>560</v>
      </c>
      <c r="H2311" s="501" t="s">
        <v>14621</v>
      </c>
      <c r="I2311" s="501">
        <v>2</v>
      </c>
      <c r="J2311" s="501">
        <v>0</v>
      </c>
      <c r="K2311" s="501">
        <v>0</v>
      </c>
      <c r="L2311" s="501">
        <v>2</v>
      </c>
      <c r="M2311" s="501">
        <v>0</v>
      </c>
      <c r="N2311" s="501">
        <v>0</v>
      </c>
      <c r="O2311" s="506">
        <v>0</v>
      </c>
    </row>
    <row r="2312" spans="1:15" x14ac:dyDescent="0.35">
      <c r="A2312" s="503" t="s">
        <v>1443</v>
      </c>
      <c r="B2312" s="504" t="s">
        <v>3356</v>
      </c>
      <c r="C2312" s="504" t="s">
        <v>1094</v>
      </c>
      <c r="D2312" s="504" t="s">
        <v>3380</v>
      </c>
      <c r="E2312" s="504" t="s">
        <v>3381</v>
      </c>
      <c r="F2312" s="504" t="s">
        <v>559</v>
      </c>
      <c r="G2312" s="504" t="s">
        <v>560</v>
      </c>
      <c r="H2312" s="504" t="s">
        <v>5192</v>
      </c>
      <c r="I2312" s="504">
        <v>73</v>
      </c>
      <c r="J2312" s="504">
        <v>42</v>
      </c>
      <c r="K2312" s="504">
        <v>0</v>
      </c>
      <c r="L2312" s="504">
        <v>0</v>
      </c>
      <c r="M2312" s="504">
        <v>0</v>
      </c>
      <c r="N2312" s="504">
        <v>0</v>
      </c>
      <c r="O2312" s="505">
        <v>31</v>
      </c>
    </row>
    <row r="2313" spans="1:15" x14ac:dyDescent="0.35">
      <c r="A2313" s="500" t="s">
        <v>1838</v>
      </c>
      <c r="B2313" s="501" t="s">
        <v>3260</v>
      </c>
      <c r="C2313" s="501" t="s">
        <v>1089</v>
      </c>
      <c r="D2313" s="501" t="s">
        <v>3392</v>
      </c>
      <c r="E2313" s="501" t="s">
        <v>3381</v>
      </c>
      <c r="F2313" s="501" t="s">
        <v>559</v>
      </c>
      <c r="G2313" s="501" t="s">
        <v>560</v>
      </c>
      <c r="H2313" s="501" t="s">
        <v>5193</v>
      </c>
      <c r="I2313" s="501">
        <v>131</v>
      </c>
      <c r="J2313" s="501">
        <v>112</v>
      </c>
      <c r="K2313" s="501">
        <v>0</v>
      </c>
      <c r="L2313" s="501">
        <v>19</v>
      </c>
      <c r="M2313" s="501">
        <v>0</v>
      </c>
      <c r="N2313" s="501">
        <v>0</v>
      </c>
      <c r="O2313" s="506">
        <v>0</v>
      </c>
    </row>
    <row r="2314" spans="1:15" x14ac:dyDescent="0.35">
      <c r="A2314" s="503" t="s">
        <v>1107</v>
      </c>
      <c r="B2314" s="504" t="s">
        <v>3109</v>
      </c>
      <c r="C2314" s="504" t="s">
        <v>1094</v>
      </c>
      <c r="D2314" s="504" t="s">
        <v>3380</v>
      </c>
      <c r="E2314" s="504" t="s">
        <v>3381</v>
      </c>
      <c r="F2314" s="504" t="s">
        <v>559</v>
      </c>
      <c r="G2314" s="504" t="s">
        <v>560</v>
      </c>
      <c r="H2314" s="504" t="s">
        <v>5194</v>
      </c>
      <c r="I2314" s="504">
        <v>6</v>
      </c>
      <c r="J2314" s="504">
        <v>0</v>
      </c>
      <c r="K2314" s="504">
        <v>0</v>
      </c>
      <c r="L2314" s="504">
        <v>6</v>
      </c>
      <c r="M2314" s="504">
        <v>0</v>
      </c>
      <c r="N2314" s="504">
        <v>0</v>
      </c>
      <c r="O2314" s="505">
        <v>0</v>
      </c>
    </row>
    <row r="2315" spans="1:15" x14ac:dyDescent="0.35">
      <c r="A2315" s="500" t="s">
        <v>1189</v>
      </c>
      <c r="B2315" s="501" t="s">
        <v>3236</v>
      </c>
      <c r="C2315" s="501" t="s">
        <v>1094</v>
      </c>
      <c r="D2315" s="501" t="s">
        <v>3380</v>
      </c>
      <c r="E2315" s="501" t="s">
        <v>3381</v>
      </c>
      <c r="F2315" s="501" t="s">
        <v>559</v>
      </c>
      <c r="G2315" s="501" t="s">
        <v>560</v>
      </c>
      <c r="H2315" s="501" t="s">
        <v>5195</v>
      </c>
      <c r="I2315" s="501">
        <v>765</v>
      </c>
      <c r="J2315" s="501">
        <v>536</v>
      </c>
      <c r="K2315" s="501">
        <v>12</v>
      </c>
      <c r="L2315" s="501">
        <v>8</v>
      </c>
      <c r="M2315" s="501">
        <v>0</v>
      </c>
      <c r="N2315" s="501">
        <v>0</v>
      </c>
      <c r="O2315" s="506">
        <v>209</v>
      </c>
    </row>
    <row r="2316" spans="1:15" x14ac:dyDescent="0.35">
      <c r="A2316" s="503" t="s">
        <v>1202</v>
      </c>
      <c r="B2316" s="504" t="s">
        <v>3217</v>
      </c>
      <c r="C2316" s="504" t="s">
        <v>1094</v>
      </c>
      <c r="D2316" s="504" t="s">
        <v>3380</v>
      </c>
      <c r="E2316" s="504" t="s">
        <v>3381</v>
      </c>
      <c r="F2316" s="504" t="s">
        <v>559</v>
      </c>
      <c r="G2316" s="504" t="s">
        <v>560</v>
      </c>
      <c r="H2316" s="504" t="s">
        <v>5196</v>
      </c>
      <c r="I2316" s="504">
        <v>198</v>
      </c>
      <c r="J2316" s="504">
        <v>125</v>
      </c>
      <c r="K2316" s="504">
        <v>0</v>
      </c>
      <c r="L2316" s="504">
        <v>0</v>
      </c>
      <c r="M2316" s="504">
        <v>0</v>
      </c>
      <c r="N2316" s="504">
        <v>1</v>
      </c>
      <c r="O2316" s="505">
        <v>73</v>
      </c>
    </row>
    <row r="2317" spans="1:15" x14ac:dyDescent="0.35">
      <c r="A2317" s="500" t="s">
        <v>1114</v>
      </c>
      <c r="B2317" s="501" t="s">
        <v>2982</v>
      </c>
      <c r="C2317" s="501" t="s">
        <v>1094</v>
      </c>
      <c r="D2317" s="501" t="s">
        <v>3380</v>
      </c>
      <c r="E2317" s="501" t="s">
        <v>3381</v>
      </c>
      <c r="F2317" s="501" t="s">
        <v>559</v>
      </c>
      <c r="G2317" s="501" t="s">
        <v>560</v>
      </c>
      <c r="H2317" s="501" t="s">
        <v>5197</v>
      </c>
      <c r="I2317" s="501">
        <v>880</v>
      </c>
      <c r="J2317" s="501">
        <v>412</v>
      </c>
      <c r="K2317" s="501">
        <v>0</v>
      </c>
      <c r="L2317" s="501">
        <v>10</v>
      </c>
      <c r="M2317" s="501">
        <v>19</v>
      </c>
      <c r="N2317" s="501">
        <v>0</v>
      </c>
      <c r="O2317" s="506">
        <v>439</v>
      </c>
    </row>
    <row r="2318" spans="1:15" x14ac:dyDescent="0.35">
      <c r="A2318" s="503" t="s">
        <v>1217</v>
      </c>
      <c r="B2318" s="504">
        <v>4851</v>
      </c>
      <c r="C2318" s="504" t="s">
        <v>1094</v>
      </c>
      <c r="D2318" s="504" t="s">
        <v>3380</v>
      </c>
      <c r="E2318" s="504" t="s">
        <v>3381</v>
      </c>
      <c r="F2318" s="504" t="s">
        <v>559</v>
      </c>
      <c r="G2318" s="504" t="s">
        <v>560</v>
      </c>
      <c r="H2318" s="504" t="s">
        <v>5198</v>
      </c>
      <c r="I2318" s="504">
        <v>126</v>
      </c>
      <c r="J2318" s="504">
        <v>75</v>
      </c>
      <c r="K2318" s="504">
        <v>0</v>
      </c>
      <c r="L2318" s="504">
        <v>0</v>
      </c>
      <c r="M2318" s="504">
        <v>0</v>
      </c>
      <c r="N2318" s="504">
        <v>0</v>
      </c>
      <c r="O2318" s="505">
        <v>51</v>
      </c>
    </row>
    <row r="2319" spans="1:15" x14ac:dyDescent="0.35">
      <c r="A2319" s="500" t="s">
        <v>1218</v>
      </c>
      <c r="B2319" s="501" t="s">
        <v>3147</v>
      </c>
      <c r="C2319" s="501" t="s">
        <v>1094</v>
      </c>
      <c r="D2319" s="501" t="s">
        <v>3380</v>
      </c>
      <c r="E2319" s="501" t="s">
        <v>3381</v>
      </c>
      <c r="F2319" s="501" t="s">
        <v>559</v>
      </c>
      <c r="G2319" s="501" t="s">
        <v>560</v>
      </c>
      <c r="H2319" s="501" t="s">
        <v>5199</v>
      </c>
      <c r="I2319" s="501">
        <v>56</v>
      </c>
      <c r="J2319" s="501">
        <v>0</v>
      </c>
      <c r="K2319" s="501">
        <v>0</v>
      </c>
      <c r="L2319" s="501">
        <v>0</v>
      </c>
      <c r="M2319" s="501">
        <v>0</v>
      </c>
      <c r="N2319" s="501">
        <v>0</v>
      </c>
      <c r="O2319" s="506">
        <v>56</v>
      </c>
    </row>
    <row r="2320" spans="1:15" x14ac:dyDescent="0.35">
      <c r="A2320" s="503" t="s">
        <v>11367</v>
      </c>
      <c r="B2320" s="504" t="s">
        <v>3143</v>
      </c>
      <c r="C2320" s="504" t="s">
        <v>1094</v>
      </c>
      <c r="D2320" s="504" t="s">
        <v>3380</v>
      </c>
      <c r="E2320" s="504" t="s">
        <v>3381</v>
      </c>
      <c r="F2320" s="504" t="s">
        <v>559</v>
      </c>
      <c r="G2320" s="504" t="s">
        <v>560</v>
      </c>
      <c r="H2320" s="504" t="s">
        <v>11914</v>
      </c>
      <c r="I2320" s="504">
        <v>51</v>
      </c>
      <c r="J2320" s="504">
        <v>51</v>
      </c>
      <c r="K2320" s="504">
        <v>0</v>
      </c>
      <c r="L2320" s="504">
        <v>0</v>
      </c>
      <c r="M2320" s="504">
        <v>0</v>
      </c>
      <c r="N2320" s="504">
        <v>0</v>
      </c>
      <c r="O2320" s="505">
        <v>0</v>
      </c>
    </row>
    <row r="2321" spans="1:15" x14ac:dyDescent="0.35">
      <c r="A2321" s="500" t="s">
        <v>1122</v>
      </c>
      <c r="B2321" s="501" t="s">
        <v>2994</v>
      </c>
      <c r="C2321" s="501" t="s">
        <v>1094</v>
      </c>
      <c r="D2321" s="501" t="s">
        <v>3380</v>
      </c>
      <c r="E2321" s="501" t="s">
        <v>3381</v>
      </c>
      <c r="F2321" s="501" t="s">
        <v>559</v>
      </c>
      <c r="G2321" s="501" t="s">
        <v>560</v>
      </c>
      <c r="H2321" s="501" t="s">
        <v>5200</v>
      </c>
      <c r="I2321" s="501">
        <v>28</v>
      </c>
      <c r="J2321" s="501">
        <v>16</v>
      </c>
      <c r="K2321" s="501">
        <v>0</v>
      </c>
      <c r="L2321" s="501">
        <v>0</v>
      </c>
      <c r="M2321" s="501">
        <v>0</v>
      </c>
      <c r="N2321" s="501">
        <v>0</v>
      </c>
      <c r="O2321" s="506">
        <v>12</v>
      </c>
    </row>
    <row r="2322" spans="1:15" x14ac:dyDescent="0.35">
      <c r="A2322" s="503" t="s">
        <v>1124</v>
      </c>
      <c r="B2322" s="504">
        <v>4745</v>
      </c>
      <c r="C2322" s="504" t="s">
        <v>1094</v>
      </c>
      <c r="D2322" s="504" t="s">
        <v>3380</v>
      </c>
      <c r="E2322" s="504" t="s">
        <v>3381</v>
      </c>
      <c r="F2322" s="504" t="s">
        <v>559</v>
      </c>
      <c r="G2322" s="504" t="s">
        <v>560</v>
      </c>
      <c r="H2322" s="504" t="s">
        <v>5201</v>
      </c>
      <c r="I2322" s="504">
        <v>6</v>
      </c>
      <c r="J2322" s="504">
        <v>0</v>
      </c>
      <c r="K2322" s="504">
        <v>0</v>
      </c>
      <c r="L2322" s="504">
        <v>6</v>
      </c>
      <c r="M2322" s="504">
        <v>0</v>
      </c>
      <c r="N2322" s="504">
        <v>0</v>
      </c>
      <c r="O2322" s="505">
        <v>0</v>
      </c>
    </row>
    <row r="2323" spans="1:15" x14ac:dyDescent="0.35">
      <c r="A2323" s="500" t="s">
        <v>1233</v>
      </c>
      <c r="B2323" s="501">
        <v>4636</v>
      </c>
      <c r="C2323" s="501" t="s">
        <v>1094</v>
      </c>
      <c r="D2323" s="501" t="s">
        <v>3380</v>
      </c>
      <c r="E2323" s="501" t="s">
        <v>3381</v>
      </c>
      <c r="F2323" s="501" t="s">
        <v>559</v>
      </c>
      <c r="G2323" s="501" t="s">
        <v>560</v>
      </c>
      <c r="H2323" s="501" t="s">
        <v>14622</v>
      </c>
      <c r="I2323" s="501">
        <v>84</v>
      </c>
      <c r="J2323" s="501">
        <v>23</v>
      </c>
      <c r="K2323" s="501">
        <v>0</v>
      </c>
      <c r="L2323" s="501">
        <v>0</v>
      </c>
      <c r="M2323" s="501">
        <v>0</v>
      </c>
      <c r="N2323" s="501">
        <v>0</v>
      </c>
      <c r="O2323" s="506">
        <v>61</v>
      </c>
    </row>
    <row r="2324" spans="1:15" x14ac:dyDescent="0.35">
      <c r="A2324" s="503" t="s">
        <v>1234</v>
      </c>
      <c r="B2324" s="504" t="s">
        <v>3291</v>
      </c>
      <c r="C2324" s="504" t="s">
        <v>1094</v>
      </c>
      <c r="D2324" s="504" t="s">
        <v>3380</v>
      </c>
      <c r="E2324" s="504" t="s">
        <v>3381</v>
      </c>
      <c r="F2324" s="504" t="s">
        <v>559</v>
      </c>
      <c r="G2324" s="504" t="s">
        <v>560</v>
      </c>
      <c r="H2324" s="504" t="s">
        <v>5202</v>
      </c>
      <c r="I2324" s="504">
        <v>40</v>
      </c>
      <c r="J2324" s="504">
        <v>40</v>
      </c>
      <c r="K2324" s="504">
        <v>0</v>
      </c>
      <c r="L2324" s="504">
        <v>0</v>
      </c>
      <c r="M2324" s="504">
        <v>0</v>
      </c>
      <c r="N2324" s="504">
        <v>0</v>
      </c>
      <c r="O2324" s="505">
        <v>0</v>
      </c>
    </row>
    <row r="2325" spans="1:15" x14ac:dyDescent="0.35">
      <c r="A2325" s="500" t="s">
        <v>1253</v>
      </c>
      <c r="B2325" s="501" t="s">
        <v>3232</v>
      </c>
      <c r="C2325" s="501" t="s">
        <v>1094</v>
      </c>
      <c r="D2325" s="501" t="s">
        <v>3380</v>
      </c>
      <c r="E2325" s="501" t="s">
        <v>3381</v>
      </c>
      <c r="F2325" s="501" t="s">
        <v>559</v>
      </c>
      <c r="G2325" s="501" t="s">
        <v>560</v>
      </c>
      <c r="H2325" s="501" t="s">
        <v>5203</v>
      </c>
      <c r="I2325" s="501">
        <v>30</v>
      </c>
      <c r="J2325" s="501">
        <v>15</v>
      </c>
      <c r="K2325" s="501">
        <v>0</v>
      </c>
      <c r="L2325" s="501">
        <v>0</v>
      </c>
      <c r="M2325" s="501">
        <v>12</v>
      </c>
      <c r="N2325" s="501">
        <v>0</v>
      </c>
      <c r="O2325" s="506">
        <v>3</v>
      </c>
    </row>
    <row r="2326" spans="1:15" x14ac:dyDescent="0.35">
      <c r="A2326" s="503" t="s">
        <v>1928</v>
      </c>
      <c r="B2326" s="504" t="s">
        <v>3167</v>
      </c>
      <c r="C2326" s="504" t="s">
        <v>1094</v>
      </c>
      <c r="D2326" s="504" t="s">
        <v>3380</v>
      </c>
      <c r="E2326" s="504" t="s">
        <v>3381</v>
      </c>
      <c r="F2326" s="504" t="s">
        <v>559</v>
      </c>
      <c r="G2326" s="504" t="s">
        <v>560</v>
      </c>
      <c r="H2326" s="504" t="s">
        <v>5204</v>
      </c>
      <c r="I2326" s="504">
        <v>26</v>
      </c>
      <c r="J2326" s="504">
        <v>13</v>
      </c>
      <c r="K2326" s="504">
        <v>0</v>
      </c>
      <c r="L2326" s="504">
        <v>11</v>
      </c>
      <c r="M2326" s="504">
        <v>0</v>
      </c>
      <c r="N2326" s="504">
        <v>0</v>
      </c>
      <c r="O2326" s="505">
        <v>2</v>
      </c>
    </row>
    <row r="2327" spans="1:15" x14ac:dyDescent="0.35">
      <c r="A2327" s="500" t="s">
        <v>1935</v>
      </c>
      <c r="B2327" s="501" t="s">
        <v>3305</v>
      </c>
      <c r="C2327" s="501" t="s">
        <v>1094</v>
      </c>
      <c r="D2327" s="501" t="s">
        <v>3380</v>
      </c>
      <c r="E2327" s="501" t="s">
        <v>3381</v>
      </c>
      <c r="F2327" s="501" t="s">
        <v>559</v>
      </c>
      <c r="G2327" s="501" t="s">
        <v>560</v>
      </c>
      <c r="H2327" s="501" t="s">
        <v>5205</v>
      </c>
      <c r="I2327" s="501">
        <v>52</v>
      </c>
      <c r="J2327" s="501">
        <v>1</v>
      </c>
      <c r="K2327" s="501">
        <v>0</v>
      </c>
      <c r="L2327" s="501">
        <v>11</v>
      </c>
      <c r="M2327" s="501">
        <v>40</v>
      </c>
      <c r="N2327" s="501">
        <v>0</v>
      </c>
      <c r="O2327" s="506">
        <v>0</v>
      </c>
    </row>
    <row r="2328" spans="1:15" x14ac:dyDescent="0.35">
      <c r="A2328" s="503" t="s">
        <v>1608</v>
      </c>
      <c r="B2328" s="504" t="s">
        <v>3228</v>
      </c>
      <c r="C2328" s="504" t="s">
        <v>1089</v>
      </c>
      <c r="D2328" s="504" t="s">
        <v>3392</v>
      </c>
      <c r="E2328" s="504" t="s">
        <v>3381</v>
      </c>
      <c r="F2328" s="504" t="s">
        <v>559</v>
      </c>
      <c r="G2328" s="504" t="s">
        <v>560</v>
      </c>
      <c r="H2328" s="504" t="s">
        <v>5206</v>
      </c>
      <c r="I2328" s="504">
        <v>56</v>
      </c>
      <c r="J2328" s="504">
        <v>0</v>
      </c>
      <c r="K2328" s="504">
        <v>0</v>
      </c>
      <c r="L2328" s="504">
        <v>56</v>
      </c>
      <c r="M2328" s="504">
        <v>0</v>
      </c>
      <c r="N2328" s="504">
        <v>0</v>
      </c>
      <c r="O2328" s="505">
        <v>0</v>
      </c>
    </row>
    <row r="2329" spans="1:15" x14ac:dyDescent="0.35">
      <c r="A2329" s="500" t="s">
        <v>1146</v>
      </c>
      <c r="B2329" s="501">
        <v>4660</v>
      </c>
      <c r="C2329" s="501" t="s">
        <v>1089</v>
      </c>
      <c r="D2329" s="501" t="s">
        <v>3392</v>
      </c>
      <c r="E2329" s="501" t="s">
        <v>3381</v>
      </c>
      <c r="F2329" s="501" t="s">
        <v>561</v>
      </c>
      <c r="G2329" s="501" t="s">
        <v>562</v>
      </c>
      <c r="H2329" s="501" t="s">
        <v>5207</v>
      </c>
      <c r="I2329" s="501">
        <v>43</v>
      </c>
      <c r="J2329" s="501">
        <v>34</v>
      </c>
      <c r="K2329" s="501">
        <v>0</v>
      </c>
      <c r="L2329" s="501">
        <v>9</v>
      </c>
      <c r="M2329" s="501">
        <v>0</v>
      </c>
      <c r="N2329" s="501">
        <v>0</v>
      </c>
      <c r="O2329" s="506">
        <v>0</v>
      </c>
    </row>
    <row r="2330" spans="1:15" x14ac:dyDescent="0.35">
      <c r="A2330" s="503" t="s">
        <v>1096</v>
      </c>
      <c r="B2330" s="504" t="s">
        <v>3326</v>
      </c>
      <c r="C2330" s="504" t="s">
        <v>1094</v>
      </c>
      <c r="D2330" s="504" t="s">
        <v>3380</v>
      </c>
      <c r="E2330" s="504" t="s">
        <v>3381</v>
      </c>
      <c r="F2330" s="504" t="s">
        <v>561</v>
      </c>
      <c r="G2330" s="504" t="s">
        <v>562</v>
      </c>
      <c r="H2330" s="504" t="s">
        <v>5208</v>
      </c>
      <c r="I2330" s="504">
        <v>248</v>
      </c>
      <c r="J2330" s="504">
        <v>0</v>
      </c>
      <c r="K2330" s="504">
        <v>0</v>
      </c>
      <c r="L2330" s="504">
        <v>0</v>
      </c>
      <c r="M2330" s="504">
        <v>248</v>
      </c>
      <c r="N2330" s="504">
        <v>0</v>
      </c>
      <c r="O2330" s="505">
        <v>0</v>
      </c>
    </row>
    <row r="2331" spans="1:15" x14ac:dyDescent="0.35">
      <c r="A2331" s="500" t="s">
        <v>11361</v>
      </c>
      <c r="B2331" s="501" t="s">
        <v>2603</v>
      </c>
      <c r="C2331" s="501" t="s">
        <v>1089</v>
      </c>
      <c r="D2331" s="501" t="s">
        <v>3392</v>
      </c>
      <c r="E2331" s="501" t="s">
        <v>3381</v>
      </c>
      <c r="F2331" s="501" t="s">
        <v>561</v>
      </c>
      <c r="G2331" s="501" t="s">
        <v>562</v>
      </c>
      <c r="H2331" s="501" t="s">
        <v>11495</v>
      </c>
      <c r="I2331" s="501">
        <v>33</v>
      </c>
      <c r="J2331" s="501">
        <v>33</v>
      </c>
      <c r="K2331" s="501">
        <v>0</v>
      </c>
      <c r="L2331" s="501">
        <v>0</v>
      </c>
      <c r="M2331" s="501">
        <v>0</v>
      </c>
      <c r="N2331" s="501">
        <v>0</v>
      </c>
      <c r="O2331" s="506">
        <v>0</v>
      </c>
    </row>
    <row r="2332" spans="1:15" x14ac:dyDescent="0.35">
      <c r="A2332" s="503" t="s">
        <v>11363</v>
      </c>
      <c r="B2332" s="504">
        <v>4718</v>
      </c>
      <c r="C2332" s="504" t="s">
        <v>1094</v>
      </c>
      <c r="D2332" s="504" t="s">
        <v>3380</v>
      </c>
      <c r="E2332" s="504" t="s">
        <v>3381</v>
      </c>
      <c r="F2332" s="504" t="s">
        <v>561</v>
      </c>
      <c r="G2332" s="504" t="s">
        <v>562</v>
      </c>
      <c r="H2332" s="504" t="s">
        <v>11532</v>
      </c>
      <c r="I2332" s="504">
        <v>3</v>
      </c>
      <c r="J2332" s="504">
        <v>0</v>
      </c>
      <c r="K2332" s="504">
        <v>0</v>
      </c>
      <c r="L2332" s="504">
        <v>3</v>
      </c>
      <c r="M2332" s="504">
        <v>0</v>
      </c>
      <c r="N2332" s="504">
        <v>0</v>
      </c>
      <c r="O2332" s="505">
        <v>0</v>
      </c>
    </row>
    <row r="2333" spans="1:15" x14ac:dyDescent="0.35">
      <c r="A2333" s="500" t="s">
        <v>1167</v>
      </c>
      <c r="B2333" s="501">
        <v>4689</v>
      </c>
      <c r="C2333" s="501" t="s">
        <v>1089</v>
      </c>
      <c r="D2333" s="501" t="s">
        <v>3392</v>
      </c>
      <c r="E2333" s="501" t="s">
        <v>3381</v>
      </c>
      <c r="F2333" s="501" t="s">
        <v>561</v>
      </c>
      <c r="G2333" s="501" t="s">
        <v>562</v>
      </c>
      <c r="H2333" s="501" t="s">
        <v>5209</v>
      </c>
      <c r="I2333" s="501">
        <v>29</v>
      </c>
      <c r="J2333" s="501">
        <v>0</v>
      </c>
      <c r="K2333" s="501">
        <v>0</v>
      </c>
      <c r="L2333" s="501">
        <v>29</v>
      </c>
      <c r="M2333" s="501">
        <v>0</v>
      </c>
      <c r="N2333" s="501">
        <v>0</v>
      </c>
      <c r="O2333" s="506">
        <v>0</v>
      </c>
    </row>
    <row r="2334" spans="1:15" x14ac:dyDescent="0.35">
      <c r="A2334" s="503" t="s">
        <v>1169</v>
      </c>
      <c r="B2334" s="504">
        <v>4576</v>
      </c>
      <c r="C2334" s="504" t="s">
        <v>1089</v>
      </c>
      <c r="D2334" s="504" t="s">
        <v>3392</v>
      </c>
      <c r="E2334" s="504" t="s">
        <v>3381</v>
      </c>
      <c r="F2334" s="504" t="s">
        <v>561</v>
      </c>
      <c r="G2334" s="504" t="s">
        <v>562</v>
      </c>
      <c r="H2334" s="504" t="s">
        <v>5210</v>
      </c>
      <c r="I2334" s="504">
        <v>111</v>
      </c>
      <c r="J2334" s="504">
        <v>111</v>
      </c>
      <c r="K2334" s="504">
        <v>0</v>
      </c>
      <c r="L2334" s="504">
        <v>0</v>
      </c>
      <c r="M2334" s="504">
        <v>0</v>
      </c>
      <c r="N2334" s="504">
        <v>0</v>
      </c>
      <c r="O2334" s="505">
        <v>0</v>
      </c>
    </row>
    <row r="2335" spans="1:15" x14ac:dyDescent="0.35">
      <c r="A2335" s="500" t="s">
        <v>11364</v>
      </c>
      <c r="B2335" s="501">
        <v>4677</v>
      </c>
      <c r="C2335" s="501" t="s">
        <v>1089</v>
      </c>
      <c r="D2335" s="501" t="s">
        <v>3392</v>
      </c>
      <c r="E2335" s="501" t="s">
        <v>3381</v>
      </c>
      <c r="F2335" s="501" t="s">
        <v>561</v>
      </c>
      <c r="G2335" s="501" t="s">
        <v>562</v>
      </c>
      <c r="H2335" s="501" t="s">
        <v>11667</v>
      </c>
      <c r="I2335" s="501">
        <v>14</v>
      </c>
      <c r="J2335" s="501">
        <v>0</v>
      </c>
      <c r="K2335" s="501">
        <v>0</v>
      </c>
      <c r="L2335" s="501">
        <v>14</v>
      </c>
      <c r="M2335" s="501">
        <v>0</v>
      </c>
      <c r="N2335" s="501">
        <v>0</v>
      </c>
      <c r="O2335" s="506">
        <v>0</v>
      </c>
    </row>
    <row r="2336" spans="1:15" x14ac:dyDescent="0.35">
      <c r="A2336" s="503" t="s">
        <v>1170</v>
      </c>
      <c r="B2336" s="504">
        <v>4790</v>
      </c>
      <c r="C2336" s="504" t="s">
        <v>1089</v>
      </c>
      <c r="D2336" s="504" t="s">
        <v>3392</v>
      </c>
      <c r="E2336" s="504" t="s">
        <v>3381</v>
      </c>
      <c r="F2336" s="504" t="s">
        <v>561</v>
      </c>
      <c r="G2336" s="504" t="s">
        <v>562</v>
      </c>
      <c r="H2336" s="504" t="s">
        <v>5211</v>
      </c>
      <c r="I2336" s="504">
        <v>18</v>
      </c>
      <c r="J2336" s="504">
        <v>18</v>
      </c>
      <c r="K2336" s="504">
        <v>0</v>
      </c>
      <c r="L2336" s="504">
        <v>0</v>
      </c>
      <c r="M2336" s="504">
        <v>0</v>
      </c>
      <c r="N2336" s="504">
        <v>0</v>
      </c>
      <c r="O2336" s="505">
        <v>0</v>
      </c>
    </row>
    <row r="2337" spans="1:15" x14ac:dyDescent="0.35">
      <c r="A2337" s="500" t="s">
        <v>1171</v>
      </c>
      <c r="B2337" s="501" t="s">
        <v>3003</v>
      </c>
      <c r="C2337" s="501" t="s">
        <v>1094</v>
      </c>
      <c r="D2337" s="501" t="s">
        <v>3380</v>
      </c>
      <c r="E2337" s="501" t="s">
        <v>3381</v>
      </c>
      <c r="F2337" s="501" t="s">
        <v>561</v>
      </c>
      <c r="G2337" s="501" t="s">
        <v>562</v>
      </c>
      <c r="H2337" s="501" t="s">
        <v>5212</v>
      </c>
      <c r="I2337" s="501">
        <v>2427</v>
      </c>
      <c r="J2337" s="501">
        <v>1841</v>
      </c>
      <c r="K2337" s="501">
        <v>102</v>
      </c>
      <c r="L2337" s="501">
        <v>5</v>
      </c>
      <c r="M2337" s="501">
        <v>319</v>
      </c>
      <c r="N2337" s="501">
        <v>0</v>
      </c>
      <c r="O2337" s="506">
        <v>160</v>
      </c>
    </row>
    <row r="2338" spans="1:15" x14ac:dyDescent="0.35">
      <c r="A2338" s="503" t="s">
        <v>1172</v>
      </c>
      <c r="B2338" s="504">
        <v>4648</v>
      </c>
      <c r="C2338" s="504" t="s">
        <v>1089</v>
      </c>
      <c r="D2338" s="504" t="s">
        <v>3392</v>
      </c>
      <c r="E2338" s="504" t="s">
        <v>3381</v>
      </c>
      <c r="F2338" s="504" t="s">
        <v>561</v>
      </c>
      <c r="G2338" s="504" t="s">
        <v>562</v>
      </c>
      <c r="H2338" s="504" t="s">
        <v>5213</v>
      </c>
      <c r="I2338" s="504">
        <v>9</v>
      </c>
      <c r="J2338" s="504">
        <v>0</v>
      </c>
      <c r="K2338" s="504">
        <v>0</v>
      </c>
      <c r="L2338" s="504">
        <v>9</v>
      </c>
      <c r="M2338" s="504">
        <v>0</v>
      </c>
      <c r="N2338" s="504">
        <v>0</v>
      </c>
      <c r="O2338" s="505">
        <v>0</v>
      </c>
    </row>
    <row r="2339" spans="1:15" x14ac:dyDescent="0.35">
      <c r="A2339" s="500" t="s">
        <v>1173</v>
      </c>
      <c r="B2339" s="501">
        <v>4775</v>
      </c>
      <c r="C2339" s="501" t="s">
        <v>1094</v>
      </c>
      <c r="D2339" s="501" t="s">
        <v>3380</v>
      </c>
      <c r="E2339" s="501" t="s">
        <v>3381</v>
      </c>
      <c r="F2339" s="501" t="s">
        <v>561</v>
      </c>
      <c r="G2339" s="501" t="s">
        <v>562</v>
      </c>
      <c r="H2339" s="501" t="s">
        <v>5214</v>
      </c>
      <c r="I2339" s="501">
        <v>4</v>
      </c>
      <c r="J2339" s="501">
        <v>0</v>
      </c>
      <c r="K2339" s="501">
        <v>0</v>
      </c>
      <c r="L2339" s="501">
        <v>0</v>
      </c>
      <c r="M2339" s="501">
        <v>0</v>
      </c>
      <c r="N2339" s="501">
        <v>0</v>
      </c>
      <c r="O2339" s="506">
        <v>4</v>
      </c>
    </row>
    <row r="2340" spans="1:15" x14ac:dyDescent="0.35">
      <c r="A2340" s="503" t="s">
        <v>1177</v>
      </c>
      <c r="B2340" s="504">
        <v>4702</v>
      </c>
      <c r="C2340" s="504" t="s">
        <v>1089</v>
      </c>
      <c r="D2340" s="504" t="s">
        <v>3392</v>
      </c>
      <c r="E2340" s="504" t="s">
        <v>3381</v>
      </c>
      <c r="F2340" s="504" t="s">
        <v>561</v>
      </c>
      <c r="G2340" s="504" t="s">
        <v>562</v>
      </c>
      <c r="H2340" s="504" t="s">
        <v>5215</v>
      </c>
      <c r="I2340" s="504">
        <v>28</v>
      </c>
      <c r="J2340" s="504">
        <v>8</v>
      </c>
      <c r="K2340" s="504">
        <v>0</v>
      </c>
      <c r="L2340" s="504">
        <v>20</v>
      </c>
      <c r="M2340" s="504">
        <v>0</v>
      </c>
      <c r="N2340" s="504">
        <v>0</v>
      </c>
      <c r="O2340" s="505">
        <v>0</v>
      </c>
    </row>
    <row r="2341" spans="1:15" x14ac:dyDescent="0.35">
      <c r="A2341" s="500" t="s">
        <v>1180</v>
      </c>
      <c r="B2341" s="501" t="s">
        <v>3184</v>
      </c>
      <c r="C2341" s="501" t="s">
        <v>1094</v>
      </c>
      <c r="D2341" s="501" t="s">
        <v>3380</v>
      </c>
      <c r="E2341" s="501" t="s">
        <v>3381</v>
      </c>
      <c r="F2341" s="501" t="s">
        <v>561</v>
      </c>
      <c r="G2341" s="501" t="s">
        <v>562</v>
      </c>
      <c r="H2341" s="501" t="s">
        <v>5216</v>
      </c>
      <c r="I2341" s="501">
        <v>62</v>
      </c>
      <c r="J2341" s="501">
        <v>51</v>
      </c>
      <c r="K2341" s="501">
        <v>0</v>
      </c>
      <c r="L2341" s="501">
        <v>0</v>
      </c>
      <c r="M2341" s="501">
        <v>0</v>
      </c>
      <c r="N2341" s="501">
        <v>0</v>
      </c>
      <c r="O2341" s="506">
        <v>11</v>
      </c>
    </row>
    <row r="2342" spans="1:15" x14ac:dyDescent="0.35">
      <c r="A2342" s="503" t="s">
        <v>14208</v>
      </c>
      <c r="B2342" s="504">
        <v>4803</v>
      </c>
      <c r="C2342" s="504" t="s">
        <v>1094</v>
      </c>
      <c r="D2342" s="504" t="s">
        <v>3380</v>
      </c>
      <c r="E2342" s="504" t="s">
        <v>3381</v>
      </c>
      <c r="F2342" s="504" t="s">
        <v>561</v>
      </c>
      <c r="G2342" s="504" t="s">
        <v>562</v>
      </c>
      <c r="H2342" s="504" t="s">
        <v>14623</v>
      </c>
      <c r="I2342" s="504">
        <v>13</v>
      </c>
      <c r="J2342" s="504">
        <v>0</v>
      </c>
      <c r="K2342" s="504">
        <v>0</v>
      </c>
      <c r="L2342" s="504">
        <v>13</v>
      </c>
      <c r="M2342" s="504">
        <v>0</v>
      </c>
      <c r="N2342" s="504">
        <v>0</v>
      </c>
      <c r="O2342" s="505">
        <v>0</v>
      </c>
    </row>
    <row r="2343" spans="1:15" x14ac:dyDescent="0.35">
      <c r="A2343" s="500" t="s">
        <v>1105</v>
      </c>
      <c r="B2343" s="501">
        <v>4668</v>
      </c>
      <c r="C2343" s="501" t="s">
        <v>1094</v>
      </c>
      <c r="D2343" s="501" t="s">
        <v>3380</v>
      </c>
      <c r="E2343" s="501" t="s">
        <v>3381</v>
      </c>
      <c r="F2343" s="501" t="s">
        <v>561</v>
      </c>
      <c r="G2343" s="501" t="s">
        <v>562</v>
      </c>
      <c r="H2343" s="501" t="s">
        <v>5217</v>
      </c>
      <c r="I2343" s="501">
        <v>40</v>
      </c>
      <c r="J2343" s="501">
        <v>0</v>
      </c>
      <c r="K2343" s="501">
        <v>0</v>
      </c>
      <c r="L2343" s="501">
        <v>0</v>
      </c>
      <c r="M2343" s="501">
        <v>0</v>
      </c>
      <c r="N2343" s="501">
        <v>0</v>
      </c>
      <c r="O2343" s="506">
        <v>40</v>
      </c>
    </row>
    <row r="2344" spans="1:15" x14ac:dyDescent="0.35">
      <c r="A2344" s="503" t="s">
        <v>1107</v>
      </c>
      <c r="B2344" s="504" t="s">
        <v>3109</v>
      </c>
      <c r="C2344" s="504" t="s">
        <v>1094</v>
      </c>
      <c r="D2344" s="504" t="s">
        <v>3380</v>
      </c>
      <c r="E2344" s="504" t="s">
        <v>3381</v>
      </c>
      <c r="F2344" s="504" t="s">
        <v>561</v>
      </c>
      <c r="G2344" s="504" t="s">
        <v>562</v>
      </c>
      <c r="H2344" s="504" t="s">
        <v>5218</v>
      </c>
      <c r="I2344" s="504">
        <v>20</v>
      </c>
      <c r="J2344" s="504">
        <v>0</v>
      </c>
      <c r="K2344" s="504">
        <v>0</v>
      </c>
      <c r="L2344" s="504">
        <v>20</v>
      </c>
      <c r="M2344" s="504">
        <v>0</v>
      </c>
      <c r="N2344" s="504">
        <v>0</v>
      </c>
      <c r="O2344" s="505">
        <v>0</v>
      </c>
    </row>
    <row r="2345" spans="1:15" x14ac:dyDescent="0.35">
      <c r="A2345" s="500" t="s">
        <v>1109</v>
      </c>
      <c r="B2345" s="501" t="s">
        <v>2959</v>
      </c>
      <c r="C2345" s="501" t="s">
        <v>1094</v>
      </c>
      <c r="D2345" s="501" t="s">
        <v>3380</v>
      </c>
      <c r="E2345" s="501" t="s">
        <v>3381</v>
      </c>
      <c r="F2345" s="501" t="s">
        <v>561</v>
      </c>
      <c r="G2345" s="501" t="s">
        <v>562</v>
      </c>
      <c r="H2345" s="501" t="s">
        <v>5219</v>
      </c>
      <c r="I2345" s="501">
        <v>175</v>
      </c>
      <c r="J2345" s="501">
        <v>0</v>
      </c>
      <c r="K2345" s="501">
        <v>0</v>
      </c>
      <c r="L2345" s="501">
        <v>0</v>
      </c>
      <c r="M2345" s="501">
        <v>166</v>
      </c>
      <c r="N2345" s="501">
        <v>0</v>
      </c>
      <c r="O2345" s="506">
        <v>9</v>
      </c>
    </row>
    <row r="2346" spans="1:15" x14ac:dyDescent="0.35">
      <c r="A2346" s="503" t="s">
        <v>1190</v>
      </c>
      <c r="B2346" s="504">
        <v>4662</v>
      </c>
      <c r="C2346" s="504" t="s">
        <v>1094</v>
      </c>
      <c r="D2346" s="504" t="s">
        <v>3380</v>
      </c>
      <c r="E2346" s="504" t="s">
        <v>3381</v>
      </c>
      <c r="F2346" s="504" t="s">
        <v>561</v>
      </c>
      <c r="G2346" s="504" t="s">
        <v>562</v>
      </c>
      <c r="H2346" s="504" t="s">
        <v>5220</v>
      </c>
      <c r="I2346" s="504">
        <v>50</v>
      </c>
      <c r="J2346" s="504">
        <v>0</v>
      </c>
      <c r="K2346" s="504">
        <v>0</v>
      </c>
      <c r="L2346" s="504">
        <v>50</v>
      </c>
      <c r="M2346" s="504">
        <v>0</v>
      </c>
      <c r="N2346" s="504">
        <v>0</v>
      </c>
      <c r="O2346" s="505">
        <v>0</v>
      </c>
    </row>
    <row r="2347" spans="1:15" x14ac:dyDescent="0.35">
      <c r="A2347" s="500" t="s">
        <v>1202</v>
      </c>
      <c r="B2347" s="501" t="s">
        <v>3217</v>
      </c>
      <c r="C2347" s="501" t="s">
        <v>1094</v>
      </c>
      <c r="D2347" s="501" t="s">
        <v>3380</v>
      </c>
      <c r="E2347" s="501" t="s">
        <v>3381</v>
      </c>
      <c r="F2347" s="501" t="s">
        <v>561</v>
      </c>
      <c r="G2347" s="501" t="s">
        <v>562</v>
      </c>
      <c r="H2347" s="501" t="s">
        <v>11831</v>
      </c>
      <c r="I2347" s="501">
        <v>1</v>
      </c>
      <c r="J2347" s="501">
        <v>0</v>
      </c>
      <c r="K2347" s="501">
        <v>0</v>
      </c>
      <c r="L2347" s="501">
        <v>0</v>
      </c>
      <c r="M2347" s="501">
        <v>0</v>
      </c>
      <c r="N2347" s="501">
        <v>0</v>
      </c>
      <c r="O2347" s="506">
        <v>1</v>
      </c>
    </row>
    <row r="2348" spans="1:15" x14ac:dyDescent="0.35">
      <c r="A2348" s="503" t="s">
        <v>1203</v>
      </c>
      <c r="B2348" s="504" t="s">
        <v>3170</v>
      </c>
      <c r="C2348" s="504" t="s">
        <v>1094</v>
      </c>
      <c r="D2348" s="504" t="s">
        <v>3380</v>
      </c>
      <c r="E2348" s="504" t="s">
        <v>3381</v>
      </c>
      <c r="F2348" s="504" t="s">
        <v>561</v>
      </c>
      <c r="G2348" s="504" t="s">
        <v>562</v>
      </c>
      <c r="H2348" s="504" t="s">
        <v>5221</v>
      </c>
      <c r="I2348" s="504">
        <v>683</v>
      </c>
      <c r="J2348" s="504">
        <v>658</v>
      </c>
      <c r="K2348" s="504">
        <v>0</v>
      </c>
      <c r="L2348" s="504">
        <v>0</v>
      </c>
      <c r="M2348" s="504">
        <v>0</v>
      </c>
      <c r="N2348" s="504">
        <v>2</v>
      </c>
      <c r="O2348" s="505">
        <v>25</v>
      </c>
    </row>
    <row r="2349" spans="1:15" x14ac:dyDescent="0.35">
      <c r="A2349" s="500" t="s">
        <v>1112</v>
      </c>
      <c r="B2349" s="501" t="s">
        <v>3008</v>
      </c>
      <c r="C2349" s="501" t="s">
        <v>1094</v>
      </c>
      <c r="D2349" s="501" t="s">
        <v>3380</v>
      </c>
      <c r="E2349" s="501" t="s">
        <v>3381</v>
      </c>
      <c r="F2349" s="501" t="s">
        <v>561</v>
      </c>
      <c r="G2349" s="501" t="s">
        <v>562</v>
      </c>
      <c r="H2349" s="501" t="s">
        <v>5222</v>
      </c>
      <c r="I2349" s="501">
        <v>2406</v>
      </c>
      <c r="J2349" s="501">
        <v>1844</v>
      </c>
      <c r="K2349" s="501">
        <v>0</v>
      </c>
      <c r="L2349" s="501">
        <v>106</v>
      </c>
      <c r="M2349" s="501">
        <v>299</v>
      </c>
      <c r="N2349" s="501">
        <v>0</v>
      </c>
      <c r="O2349" s="506">
        <v>157</v>
      </c>
    </row>
    <row r="2350" spans="1:15" x14ac:dyDescent="0.35">
      <c r="A2350" s="503" t="s">
        <v>1209</v>
      </c>
      <c r="B2350" s="504">
        <v>4779</v>
      </c>
      <c r="C2350" s="504" t="s">
        <v>1094</v>
      </c>
      <c r="D2350" s="504" t="s">
        <v>3380</v>
      </c>
      <c r="E2350" s="504" t="s">
        <v>3381</v>
      </c>
      <c r="F2350" s="504" t="s">
        <v>561</v>
      </c>
      <c r="G2350" s="504" t="s">
        <v>562</v>
      </c>
      <c r="H2350" s="504" t="s">
        <v>5223</v>
      </c>
      <c r="I2350" s="504">
        <v>12</v>
      </c>
      <c r="J2350" s="504">
        <v>0</v>
      </c>
      <c r="K2350" s="504">
        <v>0</v>
      </c>
      <c r="L2350" s="504">
        <v>12</v>
      </c>
      <c r="M2350" s="504">
        <v>0</v>
      </c>
      <c r="N2350" s="504">
        <v>0</v>
      </c>
      <c r="O2350" s="505">
        <v>0</v>
      </c>
    </row>
    <row r="2351" spans="1:15" x14ac:dyDescent="0.35">
      <c r="A2351" s="500" t="s">
        <v>1210</v>
      </c>
      <c r="B2351" s="501">
        <v>4781</v>
      </c>
      <c r="C2351" s="501" t="s">
        <v>1089</v>
      </c>
      <c r="D2351" s="501" t="s">
        <v>3392</v>
      </c>
      <c r="E2351" s="501" t="s">
        <v>3381</v>
      </c>
      <c r="F2351" s="501" t="s">
        <v>561</v>
      </c>
      <c r="G2351" s="501" t="s">
        <v>562</v>
      </c>
      <c r="H2351" s="501" t="s">
        <v>5224</v>
      </c>
      <c r="I2351" s="501">
        <v>14</v>
      </c>
      <c r="J2351" s="501">
        <v>0</v>
      </c>
      <c r="K2351" s="501">
        <v>0</v>
      </c>
      <c r="L2351" s="501">
        <v>14</v>
      </c>
      <c r="M2351" s="501">
        <v>0</v>
      </c>
      <c r="N2351" s="501">
        <v>0</v>
      </c>
      <c r="O2351" s="506">
        <v>0</v>
      </c>
    </row>
    <row r="2352" spans="1:15" x14ac:dyDescent="0.35">
      <c r="A2352" s="503" t="s">
        <v>1215</v>
      </c>
      <c r="B2352" s="504">
        <v>4817</v>
      </c>
      <c r="C2352" s="504" t="s">
        <v>1094</v>
      </c>
      <c r="D2352" s="504" t="s">
        <v>3380</v>
      </c>
      <c r="E2352" s="504" t="s">
        <v>3381</v>
      </c>
      <c r="F2352" s="504" t="s">
        <v>561</v>
      </c>
      <c r="G2352" s="504" t="s">
        <v>562</v>
      </c>
      <c r="H2352" s="504" t="s">
        <v>5225</v>
      </c>
      <c r="I2352" s="504">
        <v>132</v>
      </c>
      <c r="J2352" s="504">
        <v>108</v>
      </c>
      <c r="K2352" s="504">
        <v>0</v>
      </c>
      <c r="L2352" s="504">
        <v>2</v>
      </c>
      <c r="M2352" s="504">
        <v>0</v>
      </c>
      <c r="N2352" s="504">
        <v>0</v>
      </c>
      <c r="O2352" s="505">
        <v>22</v>
      </c>
    </row>
    <row r="2353" spans="1:15" x14ac:dyDescent="0.35">
      <c r="A2353" s="500" t="s">
        <v>1219</v>
      </c>
      <c r="B2353" s="501">
        <v>4876</v>
      </c>
      <c r="C2353" s="501" t="s">
        <v>1089</v>
      </c>
      <c r="D2353" s="501" t="s">
        <v>3392</v>
      </c>
      <c r="E2353" s="501" t="s">
        <v>3381</v>
      </c>
      <c r="F2353" s="501" t="s">
        <v>561</v>
      </c>
      <c r="G2353" s="501" t="s">
        <v>562</v>
      </c>
      <c r="H2353" s="501" t="s">
        <v>5226</v>
      </c>
      <c r="I2353" s="501">
        <v>9</v>
      </c>
      <c r="J2353" s="501">
        <v>0</v>
      </c>
      <c r="K2353" s="501">
        <v>0</v>
      </c>
      <c r="L2353" s="501">
        <v>9</v>
      </c>
      <c r="M2353" s="501">
        <v>0</v>
      </c>
      <c r="N2353" s="501">
        <v>0</v>
      </c>
      <c r="O2353" s="506">
        <v>0</v>
      </c>
    </row>
    <row r="2354" spans="1:15" x14ac:dyDescent="0.35">
      <c r="A2354" s="503" t="s">
        <v>1122</v>
      </c>
      <c r="B2354" s="504" t="s">
        <v>2994</v>
      </c>
      <c r="C2354" s="504" t="s">
        <v>1094</v>
      </c>
      <c r="D2354" s="504" t="s">
        <v>3380</v>
      </c>
      <c r="E2354" s="504" t="s">
        <v>3381</v>
      </c>
      <c r="F2354" s="504" t="s">
        <v>561</v>
      </c>
      <c r="G2354" s="504" t="s">
        <v>562</v>
      </c>
      <c r="H2354" s="504" t="s">
        <v>5227</v>
      </c>
      <c r="I2354" s="504">
        <v>78</v>
      </c>
      <c r="J2354" s="504">
        <v>70</v>
      </c>
      <c r="K2354" s="504">
        <v>0</v>
      </c>
      <c r="L2354" s="504">
        <v>0</v>
      </c>
      <c r="M2354" s="504">
        <v>0</v>
      </c>
      <c r="N2354" s="504">
        <v>0</v>
      </c>
      <c r="O2354" s="505">
        <v>8</v>
      </c>
    </row>
    <row r="2355" spans="1:15" x14ac:dyDescent="0.35">
      <c r="A2355" s="500" t="s">
        <v>1230</v>
      </c>
      <c r="B2355" s="501" t="s">
        <v>3182</v>
      </c>
      <c r="C2355" s="501" t="s">
        <v>1089</v>
      </c>
      <c r="D2355" s="501" t="s">
        <v>3392</v>
      </c>
      <c r="E2355" s="501" t="s">
        <v>3381</v>
      </c>
      <c r="F2355" s="501" t="s">
        <v>561</v>
      </c>
      <c r="G2355" s="501" t="s">
        <v>562</v>
      </c>
      <c r="H2355" s="501" t="s">
        <v>5228</v>
      </c>
      <c r="I2355" s="501">
        <v>122</v>
      </c>
      <c r="J2355" s="501">
        <v>0</v>
      </c>
      <c r="K2355" s="501">
        <v>0</v>
      </c>
      <c r="L2355" s="501">
        <v>0</v>
      </c>
      <c r="M2355" s="501">
        <v>122</v>
      </c>
      <c r="N2355" s="501">
        <v>0</v>
      </c>
      <c r="O2355" s="506">
        <v>0</v>
      </c>
    </row>
    <row r="2356" spans="1:15" x14ac:dyDescent="0.35">
      <c r="A2356" s="503" t="s">
        <v>1233</v>
      </c>
      <c r="B2356" s="504">
        <v>4636</v>
      </c>
      <c r="C2356" s="504" t="s">
        <v>1094</v>
      </c>
      <c r="D2356" s="504" t="s">
        <v>3380</v>
      </c>
      <c r="E2356" s="504" t="s">
        <v>3381</v>
      </c>
      <c r="F2356" s="504" t="s">
        <v>561</v>
      </c>
      <c r="G2356" s="504" t="s">
        <v>562</v>
      </c>
      <c r="H2356" s="504" t="s">
        <v>5229</v>
      </c>
      <c r="I2356" s="504">
        <v>40</v>
      </c>
      <c r="J2356" s="504">
        <v>2</v>
      </c>
      <c r="K2356" s="504">
        <v>0</v>
      </c>
      <c r="L2356" s="504">
        <v>0</v>
      </c>
      <c r="M2356" s="504">
        <v>0</v>
      </c>
      <c r="N2356" s="504">
        <v>0</v>
      </c>
      <c r="O2356" s="505">
        <v>38</v>
      </c>
    </row>
    <row r="2357" spans="1:15" x14ac:dyDescent="0.35">
      <c r="A2357" s="500" t="s">
        <v>11368</v>
      </c>
      <c r="B2357" s="501">
        <v>5083</v>
      </c>
      <c r="C2357" s="501" t="s">
        <v>1094</v>
      </c>
      <c r="D2357" s="501" t="s">
        <v>3380</v>
      </c>
      <c r="E2357" s="501" t="s">
        <v>3381</v>
      </c>
      <c r="F2357" s="501" t="s">
        <v>561</v>
      </c>
      <c r="G2357" s="501" t="s">
        <v>562</v>
      </c>
      <c r="H2357" s="501" t="s">
        <v>12046</v>
      </c>
      <c r="I2357" s="501">
        <v>47</v>
      </c>
      <c r="J2357" s="501">
        <v>47</v>
      </c>
      <c r="K2357" s="501">
        <v>0</v>
      </c>
      <c r="L2357" s="501">
        <v>0</v>
      </c>
      <c r="M2357" s="501">
        <v>0</v>
      </c>
      <c r="N2357" s="501">
        <v>0</v>
      </c>
      <c r="O2357" s="506">
        <v>0</v>
      </c>
    </row>
    <row r="2358" spans="1:15" x14ac:dyDescent="0.35">
      <c r="A2358" s="503" t="s">
        <v>1234</v>
      </c>
      <c r="B2358" s="504" t="s">
        <v>3291</v>
      </c>
      <c r="C2358" s="504" t="s">
        <v>1094</v>
      </c>
      <c r="D2358" s="504" t="s">
        <v>3380</v>
      </c>
      <c r="E2358" s="504" t="s">
        <v>3381</v>
      </c>
      <c r="F2358" s="504" t="s">
        <v>561</v>
      </c>
      <c r="G2358" s="504" t="s">
        <v>562</v>
      </c>
      <c r="H2358" s="504" t="s">
        <v>5230</v>
      </c>
      <c r="I2358" s="504">
        <v>32</v>
      </c>
      <c r="J2358" s="504">
        <v>32</v>
      </c>
      <c r="K2358" s="504">
        <v>0</v>
      </c>
      <c r="L2358" s="504">
        <v>0</v>
      </c>
      <c r="M2358" s="504">
        <v>0</v>
      </c>
      <c r="N2358" s="504">
        <v>0</v>
      </c>
      <c r="O2358" s="505">
        <v>0</v>
      </c>
    </row>
    <row r="2359" spans="1:15" x14ac:dyDescent="0.35">
      <c r="A2359" s="500" t="s">
        <v>1126</v>
      </c>
      <c r="B2359" s="501" t="s">
        <v>2974</v>
      </c>
      <c r="C2359" s="501" t="s">
        <v>1094</v>
      </c>
      <c r="D2359" s="501" t="s">
        <v>3380</v>
      </c>
      <c r="E2359" s="501" t="s">
        <v>3381</v>
      </c>
      <c r="F2359" s="501" t="s">
        <v>561</v>
      </c>
      <c r="G2359" s="501" t="s">
        <v>562</v>
      </c>
      <c r="H2359" s="501" t="s">
        <v>5231</v>
      </c>
      <c r="I2359" s="501">
        <v>98</v>
      </c>
      <c r="J2359" s="501">
        <v>0</v>
      </c>
      <c r="K2359" s="501">
        <v>0</v>
      </c>
      <c r="L2359" s="501">
        <v>0</v>
      </c>
      <c r="M2359" s="501">
        <v>78</v>
      </c>
      <c r="N2359" s="501">
        <v>0</v>
      </c>
      <c r="O2359" s="506">
        <v>20</v>
      </c>
    </row>
    <row r="2360" spans="1:15" x14ac:dyDescent="0.35">
      <c r="A2360" s="503" t="s">
        <v>1134</v>
      </c>
      <c r="B2360" s="504" t="s">
        <v>3066</v>
      </c>
      <c r="C2360" s="504" t="s">
        <v>1094</v>
      </c>
      <c r="D2360" s="504" t="s">
        <v>3380</v>
      </c>
      <c r="E2360" s="504" t="s">
        <v>3381</v>
      </c>
      <c r="F2360" s="504" t="s">
        <v>561</v>
      </c>
      <c r="G2360" s="504" t="s">
        <v>562</v>
      </c>
      <c r="H2360" s="504" t="s">
        <v>5232</v>
      </c>
      <c r="I2360" s="504">
        <v>117</v>
      </c>
      <c r="J2360" s="504">
        <v>75</v>
      </c>
      <c r="K2360" s="504">
        <v>0</v>
      </c>
      <c r="L2360" s="504">
        <v>0</v>
      </c>
      <c r="M2360" s="504">
        <v>38</v>
      </c>
      <c r="N2360" s="504">
        <v>0</v>
      </c>
      <c r="O2360" s="505">
        <v>4</v>
      </c>
    </row>
    <row r="2361" spans="1:15" x14ac:dyDescent="0.35">
      <c r="A2361" s="500" t="s">
        <v>1249</v>
      </c>
      <c r="B2361" s="501">
        <v>4729</v>
      </c>
      <c r="C2361" s="501" t="s">
        <v>1094</v>
      </c>
      <c r="D2361" s="501" t="s">
        <v>3380</v>
      </c>
      <c r="E2361" s="501" t="s">
        <v>3381</v>
      </c>
      <c r="F2361" s="501" t="s">
        <v>561</v>
      </c>
      <c r="G2361" s="501" t="s">
        <v>562</v>
      </c>
      <c r="H2361" s="501" t="s">
        <v>5233</v>
      </c>
      <c r="I2361" s="501">
        <v>853</v>
      </c>
      <c r="J2361" s="501">
        <v>733</v>
      </c>
      <c r="K2361" s="501">
        <v>0</v>
      </c>
      <c r="L2361" s="501">
        <v>0</v>
      </c>
      <c r="M2361" s="501">
        <v>93</v>
      </c>
      <c r="N2361" s="501">
        <v>0</v>
      </c>
      <c r="O2361" s="506">
        <v>27</v>
      </c>
    </row>
    <row r="2362" spans="1:15" x14ac:dyDescent="0.35">
      <c r="A2362" s="503" t="s">
        <v>1253</v>
      </c>
      <c r="B2362" s="504" t="s">
        <v>3232</v>
      </c>
      <c r="C2362" s="504" t="s">
        <v>1094</v>
      </c>
      <c r="D2362" s="504" t="s">
        <v>3380</v>
      </c>
      <c r="E2362" s="504" t="s">
        <v>3381</v>
      </c>
      <c r="F2362" s="504" t="s">
        <v>561</v>
      </c>
      <c r="G2362" s="504" t="s">
        <v>562</v>
      </c>
      <c r="H2362" s="504" t="s">
        <v>5234</v>
      </c>
      <c r="I2362" s="504">
        <v>659</v>
      </c>
      <c r="J2362" s="504">
        <v>472</v>
      </c>
      <c r="K2362" s="504">
        <v>0</v>
      </c>
      <c r="L2362" s="504">
        <v>138</v>
      </c>
      <c r="M2362" s="504">
        <v>0</v>
      </c>
      <c r="N2362" s="504">
        <v>0</v>
      </c>
      <c r="O2362" s="505">
        <v>49</v>
      </c>
    </row>
    <row r="2363" spans="1:15" x14ac:dyDescent="0.35">
      <c r="A2363" s="500" t="s">
        <v>1258</v>
      </c>
      <c r="B2363" s="501" t="s">
        <v>3174</v>
      </c>
      <c r="C2363" s="501" t="s">
        <v>1094</v>
      </c>
      <c r="D2363" s="501" t="s">
        <v>3380</v>
      </c>
      <c r="E2363" s="501" t="s">
        <v>3381</v>
      </c>
      <c r="F2363" s="501" t="s">
        <v>561</v>
      </c>
      <c r="G2363" s="501" t="s">
        <v>562</v>
      </c>
      <c r="H2363" s="501" t="s">
        <v>12239</v>
      </c>
      <c r="I2363" s="501">
        <v>6</v>
      </c>
      <c r="J2363" s="501">
        <v>6</v>
      </c>
      <c r="K2363" s="501">
        <v>0</v>
      </c>
      <c r="L2363" s="501">
        <v>0</v>
      </c>
      <c r="M2363" s="501">
        <v>0</v>
      </c>
      <c r="N2363" s="501">
        <v>0</v>
      </c>
      <c r="O2363" s="506">
        <v>0</v>
      </c>
    </row>
    <row r="2364" spans="1:15" x14ac:dyDescent="0.35">
      <c r="A2364" s="503" t="s">
        <v>1261</v>
      </c>
      <c r="B2364" s="504" t="s">
        <v>3130</v>
      </c>
      <c r="C2364" s="504" t="s">
        <v>1094</v>
      </c>
      <c r="D2364" s="504" t="s">
        <v>3380</v>
      </c>
      <c r="E2364" s="504" t="s">
        <v>3381</v>
      </c>
      <c r="F2364" s="504" t="s">
        <v>561</v>
      </c>
      <c r="G2364" s="504" t="s">
        <v>562</v>
      </c>
      <c r="H2364" s="504" t="s">
        <v>5235</v>
      </c>
      <c r="I2364" s="504">
        <v>45</v>
      </c>
      <c r="J2364" s="504">
        <v>37</v>
      </c>
      <c r="K2364" s="504">
        <v>0</v>
      </c>
      <c r="L2364" s="504">
        <v>8</v>
      </c>
      <c r="M2364" s="504">
        <v>0</v>
      </c>
      <c r="N2364" s="504">
        <v>0</v>
      </c>
      <c r="O2364" s="505">
        <v>0</v>
      </c>
    </row>
    <row r="2365" spans="1:15" x14ac:dyDescent="0.35">
      <c r="A2365" s="500" t="s">
        <v>1264</v>
      </c>
      <c r="B2365" s="501">
        <v>4671</v>
      </c>
      <c r="C2365" s="501" t="s">
        <v>1089</v>
      </c>
      <c r="D2365" s="501" t="s">
        <v>3392</v>
      </c>
      <c r="E2365" s="501" t="s">
        <v>3381</v>
      </c>
      <c r="F2365" s="501" t="s">
        <v>561</v>
      </c>
      <c r="G2365" s="501" t="s">
        <v>562</v>
      </c>
      <c r="H2365" s="501" t="s">
        <v>5236</v>
      </c>
      <c r="I2365" s="501">
        <v>45</v>
      </c>
      <c r="J2365" s="501">
        <v>3</v>
      </c>
      <c r="K2365" s="501">
        <v>0</v>
      </c>
      <c r="L2365" s="501">
        <v>42</v>
      </c>
      <c r="M2365" s="501">
        <v>0</v>
      </c>
      <c r="N2365" s="501">
        <v>0</v>
      </c>
      <c r="O2365" s="506">
        <v>0</v>
      </c>
    </row>
    <row r="2366" spans="1:15" x14ac:dyDescent="0.35">
      <c r="A2366" s="503" t="s">
        <v>1265</v>
      </c>
      <c r="B2366" s="504" t="s">
        <v>2933</v>
      </c>
      <c r="C2366" s="504" t="s">
        <v>1089</v>
      </c>
      <c r="D2366" s="504" t="s">
        <v>3392</v>
      </c>
      <c r="E2366" s="504" t="s">
        <v>3381</v>
      </c>
      <c r="F2366" s="504" t="s">
        <v>561</v>
      </c>
      <c r="G2366" s="504" t="s">
        <v>562</v>
      </c>
      <c r="H2366" s="504" t="s">
        <v>5237</v>
      </c>
      <c r="I2366" s="504">
        <v>179</v>
      </c>
      <c r="J2366" s="504">
        <v>0</v>
      </c>
      <c r="K2366" s="504">
        <v>0</v>
      </c>
      <c r="L2366" s="504">
        <v>179</v>
      </c>
      <c r="M2366" s="504">
        <v>0</v>
      </c>
      <c r="N2366" s="504">
        <v>0</v>
      </c>
      <c r="O2366" s="505">
        <v>0</v>
      </c>
    </row>
    <row r="2367" spans="1:15" x14ac:dyDescent="0.35">
      <c r="A2367" s="500" t="s">
        <v>1152</v>
      </c>
      <c r="B2367" s="501" t="s">
        <v>2565</v>
      </c>
      <c r="C2367" s="501" t="s">
        <v>1089</v>
      </c>
      <c r="D2367" s="501" t="s">
        <v>3392</v>
      </c>
      <c r="E2367" s="501" t="s">
        <v>3381</v>
      </c>
      <c r="F2367" s="501" t="s">
        <v>563</v>
      </c>
      <c r="G2367" s="501" t="s">
        <v>564</v>
      </c>
      <c r="H2367" s="501" t="s">
        <v>5238</v>
      </c>
      <c r="I2367" s="501">
        <v>46</v>
      </c>
      <c r="J2367" s="501">
        <v>46</v>
      </c>
      <c r="K2367" s="501">
        <v>0</v>
      </c>
      <c r="L2367" s="501">
        <v>0</v>
      </c>
      <c r="M2367" s="501">
        <v>0</v>
      </c>
      <c r="N2367" s="501">
        <v>0</v>
      </c>
      <c r="O2367" s="506">
        <v>0</v>
      </c>
    </row>
    <row r="2368" spans="1:15" x14ac:dyDescent="0.35">
      <c r="A2368" s="503" t="s">
        <v>1171</v>
      </c>
      <c r="B2368" s="504" t="s">
        <v>3003</v>
      </c>
      <c r="C2368" s="504" t="s">
        <v>1094</v>
      </c>
      <c r="D2368" s="504" t="s">
        <v>3380</v>
      </c>
      <c r="E2368" s="504" t="s">
        <v>3381</v>
      </c>
      <c r="F2368" s="504" t="s">
        <v>563</v>
      </c>
      <c r="G2368" s="504" t="s">
        <v>564</v>
      </c>
      <c r="H2368" s="504" t="s">
        <v>5239</v>
      </c>
      <c r="I2368" s="504">
        <v>276</v>
      </c>
      <c r="J2368" s="504">
        <v>227</v>
      </c>
      <c r="K2368" s="504">
        <v>0</v>
      </c>
      <c r="L2368" s="504">
        <v>8</v>
      </c>
      <c r="M2368" s="504">
        <v>10</v>
      </c>
      <c r="N2368" s="504">
        <v>0</v>
      </c>
      <c r="O2368" s="505">
        <v>31</v>
      </c>
    </row>
    <row r="2369" spans="1:15" x14ac:dyDescent="0.35">
      <c r="A2369" s="500" t="s">
        <v>1173</v>
      </c>
      <c r="B2369" s="501">
        <v>4775</v>
      </c>
      <c r="C2369" s="501" t="s">
        <v>1094</v>
      </c>
      <c r="D2369" s="501" t="s">
        <v>3380</v>
      </c>
      <c r="E2369" s="501" t="s">
        <v>3381</v>
      </c>
      <c r="F2369" s="501" t="s">
        <v>563</v>
      </c>
      <c r="G2369" s="501" t="s">
        <v>564</v>
      </c>
      <c r="H2369" s="501" t="s">
        <v>5240</v>
      </c>
      <c r="I2369" s="501">
        <v>20</v>
      </c>
      <c r="J2369" s="501">
        <v>8</v>
      </c>
      <c r="K2369" s="501">
        <v>0</v>
      </c>
      <c r="L2369" s="501">
        <v>4</v>
      </c>
      <c r="M2369" s="501">
        <v>0</v>
      </c>
      <c r="N2369" s="501">
        <v>0</v>
      </c>
      <c r="O2369" s="506">
        <v>8</v>
      </c>
    </row>
    <row r="2370" spans="1:15" x14ac:dyDescent="0.35">
      <c r="A2370" s="503" t="s">
        <v>1180</v>
      </c>
      <c r="B2370" s="504" t="s">
        <v>3184</v>
      </c>
      <c r="C2370" s="504" t="s">
        <v>1094</v>
      </c>
      <c r="D2370" s="504" t="s">
        <v>3380</v>
      </c>
      <c r="E2370" s="504" t="s">
        <v>3381</v>
      </c>
      <c r="F2370" s="504" t="s">
        <v>563</v>
      </c>
      <c r="G2370" s="504" t="s">
        <v>564</v>
      </c>
      <c r="H2370" s="504" t="s">
        <v>5241</v>
      </c>
      <c r="I2370" s="504">
        <v>18</v>
      </c>
      <c r="J2370" s="504">
        <v>13</v>
      </c>
      <c r="K2370" s="504">
        <v>0</v>
      </c>
      <c r="L2370" s="504">
        <v>0</v>
      </c>
      <c r="M2370" s="504">
        <v>0</v>
      </c>
      <c r="N2370" s="504">
        <v>0</v>
      </c>
      <c r="O2370" s="505">
        <v>5</v>
      </c>
    </row>
    <row r="2371" spans="1:15" x14ac:dyDescent="0.35">
      <c r="A2371" s="500" t="s">
        <v>14208</v>
      </c>
      <c r="B2371" s="501">
        <v>4803</v>
      </c>
      <c r="C2371" s="501" t="s">
        <v>1094</v>
      </c>
      <c r="D2371" s="501" t="s">
        <v>3380</v>
      </c>
      <c r="E2371" s="501" t="s">
        <v>3381</v>
      </c>
      <c r="F2371" s="501" t="s">
        <v>563</v>
      </c>
      <c r="G2371" s="501" t="s">
        <v>564</v>
      </c>
      <c r="H2371" s="501" t="s">
        <v>14624</v>
      </c>
      <c r="I2371" s="501">
        <v>4</v>
      </c>
      <c r="J2371" s="501">
        <v>0</v>
      </c>
      <c r="K2371" s="501">
        <v>0</v>
      </c>
      <c r="L2371" s="501">
        <v>4</v>
      </c>
      <c r="M2371" s="501">
        <v>0</v>
      </c>
      <c r="N2371" s="501">
        <v>0</v>
      </c>
      <c r="O2371" s="506">
        <v>0</v>
      </c>
    </row>
    <row r="2372" spans="1:15" x14ac:dyDescent="0.35">
      <c r="A2372" s="503" t="s">
        <v>11365</v>
      </c>
      <c r="B2372" s="504" t="s">
        <v>2927</v>
      </c>
      <c r="C2372" s="504" t="s">
        <v>1089</v>
      </c>
      <c r="D2372" s="504" t="s">
        <v>3392</v>
      </c>
      <c r="E2372" s="504" t="s">
        <v>3381</v>
      </c>
      <c r="F2372" s="504" t="s">
        <v>563</v>
      </c>
      <c r="G2372" s="504" t="s">
        <v>564</v>
      </c>
      <c r="H2372" s="504" t="s">
        <v>11704</v>
      </c>
      <c r="I2372" s="504">
        <v>8</v>
      </c>
      <c r="J2372" s="504">
        <v>0</v>
      </c>
      <c r="K2372" s="504">
        <v>0</v>
      </c>
      <c r="L2372" s="504">
        <v>0</v>
      </c>
      <c r="M2372" s="504">
        <v>8</v>
      </c>
      <c r="N2372" s="504">
        <v>0</v>
      </c>
      <c r="O2372" s="505">
        <v>0</v>
      </c>
    </row>
    <row r="2373" spans="1:15" x14ac:dyDescent="0.35">
      <c r="A2373" s="500" t="s">
        <v>1183</v>
      </c>
      <c r="B2373" s="501" t="s">
        <v>3038</v>
      </c>
      <c r="C2373" s="501" t="s">
        <v>1094</v>
      </c>
      <c r="D2373" s="501" t="s">
        <v>3380</v>
      </c>
      <c r="E2373" s="501" t="s">
        <v>3381</v>
      </c>
      <c r="F2373" s="501" t="s">
        <v>563</v>
      </c>
      <c r="G2373" s="501" t="s">
        <v>564</v>
      </c>
      <c r="H2373" s="501" t="s">
        <v>11710</v>
      </c>
      <c r="I2373" s="501">
        <v>23</v>
      </c>
      <c r="J2373" s="501">
        <v>19</v>
      </c>
      <c r="K2373" s="501">
        <v>0</v>
      </c>
      <c r="L2373" s="501">
        <v>0</v>
      </c>
      <c r="M2373" s="501">
        <v>0</v>
      </c>
      <c r="N2373" s="501">
        <v>0</v>
      </c>
      <c r="O2373" s="506">
        <v>4</v>
      </c>
    </row>
    <row r="2374" spans="1:15" x14ac:dyDescent="0.35">
      <c r="A2374" s="503" t="s">
        <v>1105</v>
      </c>
      <c r="B2374" s="504">
        <v>4668</v>
      </c>
      <c r="C2374" s="504" t="s">
        <v>1094</v>
      </c>
      <c r="D2374" s="504" t="s">
        <v>3380</v>
      </c>
      <c r="E2374" s="504" t="s">
        <v>3381</v>
      </c>
      <c r="F2374" s="504" t="s">
        <v>563</v>
      </c>
      <c r="G2374" s="504" t="s">
        <v>564</v>
      </c>
      <c r="H2374" s="504" t="s">
        <v>5242</v>
      </c>
      <c r="I2374" s="504">
        <v>7</v>
      </c>
      <c r="J2374" s="504">
        <v>0</v>
      </c>
      <c r="K2374" s="504">
        <v>0</v>
      </c>
      <c r="L2374" s="504">
        <v>0</v>
      </c>
      <c r="M2374" s="504">
        <v>0</v>
      </c>
      <c r="N2374" s="504">
        <v>0</v>
      </c>
      <c r="O2374" s="505">
        <v>7</v>
      </c>
    </row>
    <row r="2375" spans="1:15" x14ac:dyDescent="0.35">
      <c r="A2375" s="500" t="s">
        <v>1109</v>
      </c>
      <c r="B2375" s="501" t="s">
        <v>2959</v>
      </c>
      <c r="C2375" s="501" t="s">
        <v>1094</v>
      </c>
      <c r="D2375" s="501" t="s">
        <v>3380</v>
      </c>
      <c r="E2375" s="501" t="s">
        <v>3381</v>
      </c>
      <c r="F2375" s="501" t="s">
        <v>563</v>
      </c>
      <c r="G2375" s="501" t="s">
        <v>564</v>
      </c>
      <c r="H2375" s="501" t="s">
        <v>5243</v>
      </c>
      <c r="I2375" s="501">
        <v>26</v>
      </c>
      <c r="J2375" s="501">
        <v>0</v>
      </c>
      <c r="K2375" s="501">
        <v>0</v>
      </c>
      <c r="L2375" s="501">
        <v>0</v>
      </c>
      <c r="M2375" s="501">
        <v>26</v>
      </c>
      <c r="N2375" s="501">
        <v>0</v>
      </c>
      <c r="O2375" s="506">
        <v>0</v>
      </c>
    </row>
    <row r="2376" spans="1:15" x14ac:dyDescent="0.35">
      <c r="A2376" s="503" t="s">
        <v>1192</v>
      </c>
      <c r="B2376" s="504" t="s">
        <v>2577</v>
      </c>
      <c r="C2376" s="504" t="s">
        <v>1089</v>
      </c>
      <c r="D2376" s="504" t="s">
        <v>3392</v>
      </c>
      <c r="E2376" s="504" t="s">
        <v>3381</v>
      </c>
      <c r="F2376" s="504" t="s">
        <v>563</v>
      </c>
      <c r="G2376" s="504" t="s">
        <v>564</v>
      </c>
      <c r="H2376" s="504" t="s">
        <v>5244</v>
      </c>
      <c r="I2376" s="504">
        <v>6</v>
      </c>
      <c r="J2376" s="504">
        <v>6</v>
      </c>
      <c r="K2376" s="504">
        <v>0</v>
      </c>
      <c r="L2376" s="504">
        <v>0</v>
      </c>
      <c r="M2376" s="504">
        <v>0</v>
      </c>
      <c r="N2376" s="504">
        <v>0</v>
      </c>
      <c r="O2376" s="505">
        <v>0</v>
      </c>
    </row>
    <row r="2377" spans="1:15" x14ac:dyDescent="0.35">
      <c r="A2377" s="500" t="s">
        <v>1112</v>
      </c>
      <c r="B2377" s="501" t="s">
        <v>3008</v>
      </c>
      <c r="C2377" s="501" t="s">
        <v>1094</v>
      </c>
      <c r="D2377" s="501" t="s">
        <v>3380</v>
      </c>
      <c r="E2377" s="501" t="s">
        <v>3381</v>
      </c>
      <c r="F2377" s="501" t="s">
        <v>563</v>
      </c>
      <c r="G2377" s="501" t="s">
        <v>564</v>
      </c>
      <c r="H2377" s="501" t="s">
        <v>5245</v>
      </c>
      <c r="I2377" s="501">
        <v>9</v>
      </c>
      <c r="J2377" s="501">
        <v>0</v>
      </c>
      <c r="K2377" s="501">
        <v>0</v>
      </c>
      <c r="L2377" s="501">
        <v>6</v>
      </c>
      <c r="M2377" s="501">
        <v>0</v>
      </c>
      <c r="N2377" s="501">
        <v>0</v>
      </c>
      <c r="O2377" s="506">
        <v>3</v>
      </c>
    </row>
    <row r="2378" spans="1:15" x14ac:dyDescent="0.35">
      <c r="A2378" s="503" t="s">
        <v>1215</v>
      </c>
      <c r="B2378" s="504">
        <v>4817</v>
      </c>
      <c r="C2378" s="504" t="s">
        <v>1094</v>
      </c>
      <c r="D2378" s="504" t="s">
        <v>3380</v>
      </c>
      <c r="E2378" s="504" t="s">
        <v>3381</v>
      </c>
      <c r="F2378" s="504" t="s">
        <v>563</v>
      </c>
      <c r="G2378" s="504" t="s">
        <v>564</v>
      </c>
      <c r="H2378" s="504" t="s">
        <v>5246</v>
      </c>
      <c r="I2378" s="504">
        <v>336</v>
      </c>
      <c r="J2378" s="504">
        <v>218</v>
      </c>
      <c r="K2378" s="504">
        <v>0</v>
      </c>
      <c r="L2378" s="504">
        <v>33</v>
      </c>
      <c r="M2378" s="504">
        <v>0</v>
      </c>
      <c r="N2378" s="504">
        <v>0</v>
      </c>
      <c r="O2378" s="505">
        <v>85</v>
      </c>
    </row>
    <row r="2379" spans="1:15" x14ac:dyDescent="0.35">
      <c r="A2379" s="500" t="s">
        <v>1224</v>
      </c>
      <c r="B2379" s="501" t="s">
        <v>3135</v>
      </c>
      <c r="C2379" s="501" t="s">
        <v>1089</v>
      </c>
      <c r="D2379" s="501" t="s">
        <v>3392</v>
      </c>
      <c r="E2379" s="501" t="s">
        <v>3381</v>
      </c>
      <c r="F2379" s="501" t="s">
        <v>563</v>
      </c>
      <c r="G2379" s="501" t="s">
        <v>564</v>
      </c>
      <c r="H2379" s="501" t="s">
        <v>5247</v>
      </c>
      <c r="I2379" s="501">
        <v>92</v>
      </c>
      <c r="J2379" s="501">
        <v>92</v>
      </c>
      <c r="K2379" s="501">
        <v>0</v>
      </c>
      <c r="L2379" s="501">
        <v>0</v>
      </c>
      <c r="M2379" s="501">
        <v>0</v>
      </c>
      <c r="N2379" s="501">
        <v>0</v>
      </c>
      <c r="O2379" s="506">
        <v>0</v>
      </c>
    </row>
    <row r="2380" spans="1:15" x14ac:dyDescent="0.35">
      <c r="A2380" s="503" t="s">
        <v>1226</v>
      </c>
      <c r="B2380" s="504">
        <v>5084</v>
      </c>
      <c r="C2380" s="504" t="s">
        <v>1094</v>
      </c>
      <c r="D2380" s="504" t="s">
        <v>3380</v>
      </c>
      <c r="E2380" s="504" t="s">
        <v>3381</v>
      </c>
      <c r="F2380" s="504" t="s">
        <v>563</v>
      </c>
      <c r="G2380" s="504" t="s">
        <v>564</v>
      </c>
      <c r="H2380" s="504" t="s">
        <v>5248</v>
      </c>
      <c r="I2380" s="504">
        <v>3400</v>
      </c>
      <c r="J2380" s="504">
        <v>3103</v>
      </c>
      <c r="K2380" s="504">
        <v>0</v>
      </c>
      <c r="L2380" s="504">
        <v>9</v>
      </c>
      <c r="M2380" s="504">
        <v>206</v>
      </c>
      <c r="N2380" s="504">
        <v>0</v>
      </c>
      <c r="O2380" s="505">
        <v>82</v>
      </c>
    </row>
    <row r="2381" spans="1:15" x14ac:dyDescent="0.35">
      <c r="A2381" s="500" t="s">
        <v>1235</v>
      </c>
      <c r="B2381" s="501">
        <v>4684</v>
      </c>
      <c r="C2381" s="501" t="s">
        <v>1094</v>
      </c>
      <c r="D2381" s="501" t="s">
        <v>3380</v>
      </c>
      <c r="E2381" s="501" t="s">
        <v>3381</v>
      </c>
      <c r="F2381" s="501" t="s">
        <v>563</v>
      </c>
      <c r="G2381" s="501" t="s">
        <v>564</v>
      </c>
      <c r="H2381" s="501" t="s">
        <v>14625</v>
      </c>
      <c r="I2381" s="501">
        <v>21</v>
      </c>
      <c r="J2381" s="501">
        <v>21</v>
      </c>
      <c r="K2381" s="501">
        <v>0</v>
      </c>
      <c r="L2381" s="501">
        <v>0</v>
      </c>
      <c r="M2381" s="501">
        <v>0</v>
      </c>
      <c r="N2381" s="501">
        <v>0</v>
      </c>
      <c r="O2381" s="506">
        <v>0</v>
      </c>
    </row>
    <row r="2382" spans="1:15" x14ac:dyDescent="0.35">
      <c r="A2382" s="503" t="s">
        <v>1237</v>
      </c>
      <c r="B2382" s="504">
        <v>4812</v>
      </c>
      <c r="C2382" s="504" t="s">
        <v>1089</v>
      </c>
      <c r="D2382" s="504" t="s">
        <v>3392</v>
      </c>
      <c r="E2382" s="504" t="s">
        <v>3381</v>
      </c>
      <c r="F2382" s="504" t="s">
        <v>563</v>
      </c>
      <c r="G2382" s="504" t="s">
        <v>564</v>
      </c>
      <c r="H2382" s="504" t="s">
        <v>5249</v>
      </c>
      <c r="I2382" s="504">
        <v>3</v>
      </c>
      <c r="J2382" s="504">
        <v>3</v>
      </c>
      <c r="K2382" s="504">
        <v>0</v>
      </c>
      <c r="L2382" s="504">
        <v>0</v>
      </c>
      <c r="M2382" s="504">
        <v>0</v>
      </c>
      <c r="N2382" s="504">
        <v>0</v>
      </c>
      <c r="O2382" s="505">
        <v>0</v>
      </c>
    </row>
    <row r="2383" spans="1:15" x14ac:dyDescent="0.35">
      <c r="A2383" s="500" t="s">
        <v>1238</v>
      </c>
      <c r="B2383" s="501" t="s">
        <v>2963</v>
      </c>
      <c r="C2383" s="501" t="s">
        <v>1094</v>
      </c>
      <c r="D2383" s="501" t="s">
        <v>3380</v>
      </c>
      <c r="E2383" s="501" t="s">
        <v>3381</v>
      </c>
      <c r="F2383" s="501" t="s">
        <v>563</v>
      </c>
      <c r="G2383" s="501" t="s">
        <v>564</v>
      </c>
      <c r="H2383" s="501" t="s">
        <v>5250</v>
      </c>
      <c r="I2383" s="501">
        <v>23</v>
      </c>
      <c r="J2383" s="501">
        <v>23</v>
      </c>
      <c r="K2383" s="501">
        <v>0</v>
      </c>
      <c r="L2383" s="501">
        <v>0</v>
      </c>
      <c r="M2383" s="501">
        <v>0</v>
      </c>
      <c r="N2383" s="501">
        <v>0</v>
      </c>
      <c r="O2383" s="506">
        <v>0</v>
      </c>
    </row>
    <row r="2384" spans="1:15" x14ac:dyDescent="0.35">
      <c r="A2384" s="503" t="s">
        <v>1249</v>
      </c>
      <c r="B2384" s="504">
        <v>4729</v>
      </c>
      <c r="C2384" s="504" t="s">
        <v>1094</v>
      </c>
      <c r="D2384" s="504" t="s">
        <v>3380</v>
      </c>
      <c r="E2384" s="504" t="s">
        <v>3381</v>
      </c>
      <c r="F2384" s="504" t="s">
        <v>563</v>
      </c>
      <c r="G2384" s="504" t="s">
        <v>564</v>
      </c>
      <c r="H2384" s="504" t="s">
        <v>5251</v>
      </c>
      <c r="I2384" s="504">
        <v>166</v>
      </c>
      <c r="J2384" s="504">
        <v>125</v>
      </c>
      <c r="K2384" s="504">
        <v>0</v>
      </c>
      <c r="L2384" s="504">
        <v>0</v>
      </c>
      <c r="M2384" s="504">
        <v>20</v>
      </c>
      <c r="N2384" s="504">
        <v>0</v>
      </c>
      <c r="O2384" s="505">
        <v>21</v>
      </c>
    </row>
    <row r="2385" spans="1:15" x14ac:dyDescent="0.35">
      <c r="A2385" s="500" t="s">
        <v>1252</v>
      </c>
      <c r="B2385" s="501" t="s">
        <v>2875</v>
      </c>
      <c r="C2385" s="501" t="s">
        <v>1089</v>
      </c>
      <c r="D2385" s="501" t="s">
        <v>3392</v>
      </c>
      <c r="E2385" s="501" t="s">
        <v>3381</v>
      </c>
      <c r="F2385" s="501" t="s">
        <v>563</v>
      </c>
      <c r="G2385" s="501" t="s">
        <v>564</v>
      </c>
      <c r="H2385" s="501" t="s">
        <v>14626</v>
      </c>
      <c r="I2385" s="501">
        <v>4</v>
      </c>
      <c r="J2385" s="501">
        <v>0</v>
      </c>
      <c r="K2385" s="501">
        <v>0</v>
      </c>
      <c r="L2385" s="501">
        <v>4</v>
      </c>
      <c r="M2385" s="501">
        <v>0</v>
      </c>
      <c r="N2385" s="501">
        <v>0</v>
      </c>
      <c r="O2385" s="506">
        <v>0</v>
      </c>
    </row>
    <row r="2386" spans="1:15" x14ac:dyDescent="0.35">
      <c r="A2386" s="503" t="s">
        <v>1253</v>
      </c>
      <c r="B2386" s="504" t="s">
        <v>3232</v>
      </c>
      <c r="C2386" s="504" t="s">
        <v>1094</v>
      </c>
      <c r="D2386" s="504" t="s">
        <v>3380</v>
      </c>
      <c r="E2386" s="504" t="s">
        <v>3381</v>
      </c>
      <c r="F2386" s="504" t="s">
        <v>563</v>
      </c>
      <c r="G2386" s="504" t="s">
        <v>564</v>
      </c>
      <c r="H2386" s="504" t="s">
        <v>5252</v>
      </c>
      <c r="I2386" s="504">
        <v>5</v>
      </c>
      <c r="J2386" s="504">
        <v>5</v>
      </c>
      <c r="K2386" s="504">
        <v>0</v>
      </c>
      <c r="L2386" s="504">
        <v>0</v>
      </c>
      <c r="M2386" s="504">
        <v>0</v>
      </c>
      <c r="N2386" s="504">
        <v>0</v>
      </c>
      <c r="O2386" s="505">
        <v>0</v>
      </c>
    </row>
    <row r="2387" spans="1:15" x14ac:dyDescent="0.35">
      <c r="A2387" s="500" t="s">
        <v>1193</v>
      </c>
      <c r="B2387" s="501" t="s">
        <v>3039</v>
      </c>
      <c r="C2387" s="501" t="s">
        <v>1094</v>
      </c>
      <c r="D2387" s="501" t="s">
        <v>3380</v>
      </c>
      <c r="E2387" s="501" t="s">
        <v>3381</v>
      </c>
      <c r="F2387" s="501" t="s">
        <v>565</v>
      </c>
      <c r="G2387" s="501" t="s">
        <v>566</v>
      </c>
      <c r="H2387" s="501" t="s">
        <v>5267</v>
      </c>
      <c r="I2387" s="501">
        <v>229</v>
      </c>
      <c r="J2387" s="501">
        <v>118</v>
      </c>
      <c r="K2387" s="501">
        <v>0</v>
      </c>
      <c r="L2387" s="501">
        <v>9</v>
      </c>
      <c r="M2387" s="501">
        <v>20</v>
      </c>
      <c r="N2387" s="501">
        <v>0</v>
      </c>
      <c r="O2387" s="506">
        <v>82</v>
      </c>
    </row>
    <row r="2388" spans="1:15" x14ac:dyDescent="0.35">
      <c r="A2388" s="503" t="s">
        <v>1145</v>
      </c>
      <c r="B2388" s="504" t="s">
        <v>3164</v>
      </c>
      <c r="C2388" s="504" t="s">
        <v>1094</v>
      </c>
      <c r="D2388" s="504" t="s">
        <v>3380</v>
      </c>
      <c r="E2388" s="504" t="s">
        <v>3381</v>
      </c>
      <c r="F2388" s="504" t="s">
        <v>565</v>
      </c>
      <c r="G2388" s="504" t="s">
        <v>566</v>
      </c>
      <c r="H2388" s="504" t="s">
        <v>5253</v>
      </c>
      <c r="I2388" s="504">
        <v>29</v>
      </c>
      <c r="J2388" s="504">
        <v>12</v>
      </c>
      <c r="K2388" s="504">
        <v>0</v>
      </c>
      <c r="L2388" s="504">
        <v>0</v>
      </c>
      <c r="M2388" s="504">
        <v>0</v>
      </c>
      <c r="N2388" s="504">
        <v>0</v>
      </c>
      <c r="O2388" s="505">
        <v>17</v>
      </c>
    </row>
    <row r="2389" spans="1:15" x14ac:dyDescent="0.35">
      <c r="A2389" s="500" t="s">
        <v>1146</v>
      </c>
      <c r="B2389" s="501">
        <v>4660</v>
      </c>
      <c r="C2389" s="501" t="s">
        <v>1089</v>
      </c>
      <c r="D2389" s="501" t="s">
        <v>3392</v>
      </c>
      <c r="E2389" s="501" t="s">
        <v>3381</v>
      </c>
      <c r="F2389" s="501" t="s">
        <v>565</v>
      </c>
      <c r="G2389" s="501" t="s">
        <v>566</v>
      </c>
      <c r="H2389" s="501" t="s">
        <v>5254</v>
      </c>
      <c r="I2389" s="501">
        <v>10</v>
      </c>
      <c r="J2389" s="501">
        <v>7</v>
      </c>
      <c r="K2389" s="501">
        <v>3</v>
      </c>
      <c r="L2389" s="501">
        <v>0</v>
      </c>
      <c r="M2389" s="501">
        <v>0</v>
      </c>
      <c r="N2389" s="501">
        <v>0</v>
      </c>
      <c r="O2389" s="506">
        <v>0</v>
      </c>
    </row>
    <row r="2390" spans="1:15" x14ac:dyDescent="0.35">
      <c r="A2390" s="503" t="s">
        <v>1093</v>
      </c>
      <c r="B2390" s="504" t="s">
        <v>3248</v>
      </c>
      <c r="C2390" s="504" t="s">
        <v>1094</v>
      </c>
      <c r="D2390" s="504" t="s">
        <v>3380</v>
      </c>
      <c r="E2390" s="504" t="s">
        <v>3381</v>
      </c>
      <c r="F2390" s="504" t="s">
        <v>565</v>
      </c>
      <c r="G2390" s="504" t="s">
        <v>566</v>
      </c>
      <c r="H2390" s="504" t="s">
        <v>5255</v>
      </c>
      <c r="I2390" s="504">
        <v>1</v>
      </c>
      <c r="J2390" s="504">
        <v>0</v>
      </c>
      <c r="K2390" s="504">
        <v>0</v>
      </c>
      <c r="L2390" s="504">
        <v>0</v>
      </c>
      <c r="M2390" s="504">
        <v>0</v>
      </c>
      <c r="N2390" s="504">
        <v>0</v>
      </c>
      <c r="O2390" s="505">
        <v>1</v>
      </c>
    </row>
    <row r="2391" spans="1:15" x14ac:dyDescent="0.35">
      <c r="A2391" s="500" t="s">
        <v>1148</v>
      </c>
      <c r="B2391" s="501">
        <v>4741</v>
      </c>
      <c r="C2391" s="501" t="s">
        <v>1089</v>
      </c>
      <c r="D2391" s="501" t="s">
        <v>3392</v>
      </c>
      <c r="E2391" s="501" t="s">
        <v>3381</v>
      </c>
      <c r="F2391" s="501" t="s">
        <v>565</v>
      </c>
      <c r="G2391" s="501" t="s">
        <v>566</v>
      </c>
      <c r="H2391" s="501" t="s">
        <v>5256</v>
      </c>
      <c r="I2391" s="501">
        <v>42</v>
      </c>
      <c r="J2391" s="501">
        <v>42</v>
      </c>
      <c r="K2391" s="501">
        <v>0</v>
      </c>
      <c r="L2391" s="501">
        <v>0</v>
      </c>
      <c r="M2391" s="501">
        <v>0</v>
      </c>
      <c r="N2391" s="501">
        <v>0</v>
      </c>
      <c r="O2391" s="506">
        <v>0</v>
      </c>
    </row>
    <row r="2392" spans="1:15" x14ac:dyDescent="0.35">
      <c r="A2392" s="503" t="s">
        <v>1096</v>
      </c>
      <c r="B2392" s="504" t="s">
        <v>3326</v>
      </c>
      <c r="C2392" s="504" t="s">
        <v>1094</v>
      </c>
      <c r="D2392" s="504" t="s">
        <v>3380</v>
      </c>
      <c r="E2392" s="504" t="s">
        <v>3381</v>
      </c>
      <c r="F2392" s="504" t="s">
        <v>565</v>
      </c>
      <c r="G2392" s="504" t="s">
        <v>566</v>
      </c>
      <c r="H2392" s="504" t="s">
        <v>5257</v>
      </c>
      <c r="I2392" s="504">
        <v>68</v>
      </c>
      <c r="J2392" s="504">
        <v>0</v>
      </c>
      <c r="K2392" s="504">
        <v>0</v>
      </c>
      <c r="L2392" s="504">
        <v>0</v>
      </c>
      <c r="M2392" s="504">
        <v>68</v>
      </c>
      <c r="N2392" s="504">
        <v>0</v>
      </c>
      <c r="O2392" s="505">
        <v>0</v>
      </c>
    </row>
    <row r="2393" spans="1:15" x14ac:dyDescent="0.35">
      <c r="A2393" s="500" t="s">
        <v>2143</v>
      </c>
      <c r="B2393" s="501" t="s">
        <v>2636</v>
      </c>
      <c r="C2393" s="501" t="s">
        <v>1089</v>
      </c>
      <c r="D2393" s="501" t="s">
        <v>3392</v>
      </c>
      <c r="E2393" s="501" t="s">
        <v>3381</v>
      </c>
      <c r="F2393" s="501" t="s">
        <v>565</v>
      </c>
      <c r="G2393" s="501" t="s">
        <v>566</v>
      </c>
      <c r="H2393" s="501" t="s">
        <v>5258</v>
      </c>
      <c r="I2393" s="501">
        <v>6</v>
      </c>
      <c r="J2393" s="501">
        <v>0</v>
      </c>
      <c r="K2393" s="501">
        <v>0</v>
      </c>
      <c r="L2393" s="501">
        <v>0</v>
      </c>
      <c r="M2393" s="501">
        <v>6</v>
      </c>
      <c r="N2393" s="501">
        <v>0</v>
      </c>
      <c r="O2393" s="506">
        <v>0</v>
      </c>
    </row>
    <row r="2394" spans="1:15" x14ac:dyDescent="0.35">
      <c r="A2394" s="503" t="s">
        <v>2144</v>
      </c>
      <c r="B2394" s="504" t="s">
        <v>2918</v>
      </c>
      <c r="C2394" s="504" t="s">
        <v>1089</v>
      </c>
      <c r="D2394" s="504" t="s">
        <v>3392</v>
      </c>
      <c r="E2394" s="504" t="s">
        <v>3381</v>
      </c>
      <c r="F2394" s="504" t="s">
        <v>565</v>
      </c>
      <c r="G2394" s="504" t="s">
        <v>566</v>
      </c>
      <c r="H2394" s="504" t="s">
        <v>5259</v>
      </c>
      <c r="I2394" s="504">
        <v>30</v>
      </c>
      <c r="J2394" s="504">
        <v>0</v>
      </c>
      <c r="K2394" s="504">
        <v>0</v>
      </c>
      <c r="L2394" s="504">
        <v>30</v>
      </c>
      <c r="M2394" s="504">
        <v>0</v>
      </c>
      <c r="N2394" s="504">
        <v>0</v>
      </c>
      <c r="O2394" s="505">
        <v>0</v>
      </c>
    </row>
    <row r="2395" spans="1:15" x14ac:dyDescent="0.35">
      <c r="A2395" s="500" t="s">
        <v>14208</v>
      </c>
      <c r="B2395" s="501">
        <v>4803</v>
      </c>
      <c r="C2395" s="501" t="s">
        <v>1094</v>
      </c>
      <c r="D2395" s="501" t="s">
        <v>3380</v>
      </c>
      <c r="E2395" s="501" t="s">
        <v>3381</v>
      </c>
      <c r="F2395" s="501" t="s">
        <v>565</v>
      </c>
      <c r="G2395" s="501" t="s">
        <v>566</v>
      </c>
      <c r="H2395" s="501" t="s">
        <v>14627</v>
      </c>
      <c r="I2395" s="501">
        <v>26</v>
      </c>
      <c r="J2395" s="501">
        <v>0</v>
      </c>
      <c r="K2395" s="501">
        <v>0</v>
      </c>
      <c r="L2395" s="501">
        <v>26</v>
      </c>
      <c r="M2395" s="501">
        <v>0</v>
      </c>
      <c r="N2395" s="501">
        <v>0</v>
      </c>
      <c r="O2395" s="506">
        <v>0</v>
      </c>
    </row>
    <row r="2396" spans="1:15" x14ac:dyDescent="0.35">
      <c r="A2396" s="503" t="s">
        <v>1105</v>
      </c>
      <c r="B2396" s="504">
        <v>4668</v>
      </c>
      <c r="C2396" s="504" t="s">
        <v>1094</v>
      </c>
      <c r="D2396" s="504" t="s">
        <v>3380</v>
      </c>
      <c r="E2396" s="504" t="s">
        <v>3381</v>
      </c>
      <c r="F2396" s="504" t="s">
        <v>565</v>
      </c>
      <c r="G2396" s="504" t="s">
        <v>566</v>
      </c>
      <c r="H2396" s="504" t="s">
        <v>5260</v>
      </c>
      <c r="I2396" s="504">
        <v>80</v>
      </c>
      <c r="J2396" s="504">
        <v>0</v>
      </c>
      <c r="K2396" s="504">
        <v>0</v>
      </c>
      <c r="L2396" s="504">
        <v>0</v>
      </c>
      <c r="M2396" s="504">
        <v>0</v>
      </c>
      <c r="N2396" s="504">
        <v>0</v>
      </c>
      <c r="O2396" s="505">
        <v>80</v>
      </c>
    </row>
    <row r="2397" spans="1:15" x14ac:dyDescent="0.35">
      <c r="A2397" s="500" t="s">
        <v>2155</v>
      </c>
      <c r="B2397" s="501">
        <v>4776</v>
      </c>
      <c r="C2397" s="501" t="s">
        <v>1089</v>
      </c>
      <c r="D2397" s="501" t="s">
        <v>3392</v>
      </c>
      <c r="E2397" s="501" t="s">
        <v>3381</v>
      </c>
      <c r="F2397" s="501" t="s">
        <v>565</v>
      </c>
      <c r="G2397" s="501" t="s">
        <v>566</v>
      </c>
      <c r="H2397" s="501" t="s">
        <v>5261</v>
      </c>
      <c r="I2397" s="501">
        <v>53</v>
      </c>
      <c r="J2397" s="501">
        <v>0</v>
      </c>
      <c r="K2397" s="501">
        <v>0</v>
      </c>
      <c r="L2397" s="501">
        <v>53</v>
      </c>
      <c r="M2397" s="501">
        <v>0</v>
      </c>
      <c r="N2397" s="501">
        <v>0</v>
      </c>
      <c r="O2397" s="506">
        <v>0</v>
      </c>
    </row>
    <row r="2398" spans="1:15" x14ac:dyDescent="0.35">
      <c r="A2398" s="503" t="s">
        <v>1107</v>
      </c>
      <c r="B2398" s="504" t="s">
        <v>3109</v>
      </c>
      <c r="C2398" s="504" t="s">
        <v>1094</v>
      </c>
      <c r="D2398" s="504" t="s">
        <v>3380</v>
      </c>
      <c r="E2398" s="504" t="s">
        <v>3381</v>
      </c>
      <c r="F2398" s="504" t="s">
        <v>565</v>
      </c>
      <c r="G2398" s="504" t="s">
        <v>566</v>
      </c>
      <c r="H2398" s="504" t="s">
        <v>5262</v>
      </c>
      <c r="I2398" s="504">
        <v>8</v>
      </c>
      <c r="J2398" s="504">
        <v>0</v>
      </c>
      <c r="K2398" s="504">
        <v>0</v>
      </c>
      <c r="L2398" s="504">
        <v>8</v>
      </c>
      <c r="M2398" s="504">
        <v>0</v>
      </c>
      <c r="N2398" s="504">
        <v>0</v>
      </c>
      <c r="O2398" s="505">
        <v>0</v>
      </c>
    </row>
    <row r="2399" spans="1:15" x14ac:dyDescent="0.35">
      <c r="A2399" s="500" t="s">
        <v>1109</v>
      </c>
      <c r="B2399" s="501" t="s">
        <v>2959</v>
      </c>
      <c r="C2399" s="501" t="s">
        <v>1094</v>
      </c>
      <c r="D2399" s="501" t="s">
        <v>3380</v>
      </c>
      <c r="E2399" s="501" t="s">
        <v>3381</v>
      </c>
      <c r="F2399" s="501" t="s">
        <v>565</v>
      </c>
      <c r="G2399" s="501" t="s">
        <v>566</v>
      </c>
      <c r="H2399" s="501" t="s">
        <v>5263</v>
      </c>
      <c r="I2399" s="501">
        <v>314</v>
      </c>
      <c r="J2399" s="501">
        <v>0</v>
      </c>
      <c r="K2399" s="501">
        <v>0</v>
      </c>
      <c r="L2399" s="501">
        <v>0</v>
      </c>
      <c r="M2399" s="501">
        <v>252</v>
      </c>
      <c r="N2399" s="501">
        <v>0</v>
      </c>
      <c r="O2399" s="506">
        <v>62</v>
      </c>
    </row>
    <row r="2400" spans="1:15" x14ac:dyDescent="0.35">
      <c r="A2400" s="503" t="s">
        <v>1634</v>
      </c>
      <c r="B2400" s="504">
        <v>4822</v>
      </c>
      <c r="C2400" s="504" t="s">
        <v>1089</v>
      </c>
      <c r="D2400" s="504" t="s">
        <v>3392</v>
      </c>
      <c r="E2400" s="504" t="s">
        <v>3381</v>
      </c>
      <c r="F2400" s="504" t="s">
        <v>565</v>
      </c>
      <c r="G2400" s="504" t="s">
        <v>566</v>
      </c>
      <c r="H2400" s="504" t="s">
        <v>5264</v>
      </c>
      <c r="I2400" s="504">
        <v>19</v>
      </c>
      <c r="J2400" s="504">
        <v>0</v>
      </c>
      <c r="K2400" s="504">
        <v>0</v>
      </c>
      <c r="L2400" s="504">
        <v>19</v>
      </c>
      <c r="M2400" s="504">
        <v>0</v>
      </c>
      <c r="N2400" s="504">
        <v>0</v>
      </c>
      <c r="O2400" s="505">
        <v>0</v>
      </c>
    </row>
    <row r="2401" spans="1:15" x14ac:dyDescent="0.35">
      <c r="A2401" s="500" t="s">
        <v>1190</v>
      </c>
      <c r="B2401" s="501">
        <v>4662</v>
      </c>
      <c r="C2401" s="501" t="s">
        <v>1094</v>
      </c>
      <c r="D2401" s="501" t="s">
        <v>3380</v>
      </c>
      <c r="E2401" s="501" t="s">
        <v>3381</v>
      </c>
      <c r="F2401" s="501" t="s">
        <v>565</v>
      </c>
      <c r="G2401" s="501" t="s">
        <v>566</v>
      </c>
      <c r="H2401" s="501" t="s">
        <v>5265</v>
      </c>
      <c r="I2401" s="501">
        <v>53</v>
      </c>
      <c r="J2401" s="501">
        <v>0</v>
      </c>
      <c r="K2401" s="501">
        <v>0</v>
      </c>
      <c r="L2401" s="501">
        <v>53</v>
      </c>
      <c r="M2401" s="501">
        <v>0</v>
      </c>
      <c r="N2401" s="501">
        <v>0</v>
      </c>
      <c r="O2401" s="506">
        <v>0</v>
      </c>
    </row>
    <row r="2402" spans="1:15" x14ac:dyDescent="0.35">
      <c r="A2402" s="503" t="s">
        <v>1717</v>
      </c>
      <c r="B2402" s="504">
        <v>4737</v>
      </c>
      <c r="C2402" s="504" t="s">
        <v>1089</v>
      </c>
      <c r="D2402" s="504" t="s">
        <v>3392</v>
      </c>
      <c r="E2402" s="504" t="s">
        <v>3381</v>
      </c>
      <c r="F2402" s="504" t="s">
        <v>565</v>
      </c>
      <c r="G2402" s="504" t="s">
        <v>566</v>
      </c>
      <c r="H2402" s="504" t="s">
        <v>5266</v>
      </c>
      <c r="I2402" s="504">
        <v>5</v>
      </c>
      <c r="J2402" s="504">
        <v>5</v>
      </c>
      <c r="K2402" s="504">
        <v>0</v>
      </c>
      <c r="L2402" s="504">
        <v>0</v>
      </c>
      <c r="M2402" s="504">
        <v>0</v>
      </c>
      <c r="N2402" s="504">
        <v>0</v>
      </c>
      <c r="O2402" s="505">
        <v>0</v>
      </c>
    </row>
    <row r="2403" spans="1:15" x14ac:dyDescent="0.35">
      <c r="A2403" s="500" t="s">
        <v>14243</v>
      </c>
      <c r="B2403" s="501">
        <v>5149</v>
      </c>
      <c r="C2403" s="501" t="s">
        <v>1089</v>
      </c>
      <c r="D2403" s="501" t="s">
        <v>3392</v>
      </c>
      <c r="E2403" s="501" t="s">
        <v>3381</v>
      </c>
      <c r="F2403" s="501" t="s">
        <v>565</v>
      </c>
      <c r="G2403" s="501" t="s">
        <v>566</v>
      </c>
      <c r="H2403" s="501" t="s">
        <v>14628</v>
      </c>
      <c r="I2403" s="501">
        <v>16</v>
      </c>
      <c r="J2403" s="501">
        <v>16</v>
      </c>
      <c r="K2403" s="501">
        <v>0</v>
      </c>
      <c r="L2403" s="501">
        <v>0</v>
      </c>
      <c r="M2403" s="501">
        <v>0</v>
      </c>
      <c r="N2403" s="501">
        <v>0</v>
      </c>
      <c r="O2403" s="506">
        <v>0</v>
      </c>
    </row>
    <row r="2404" spans="1:15" x14ac:dyDescent="0.35">
      <c r="A2404" s="503" t="s">
        <v>1310</v>
      </c>
      <c r="B2404" s="504">
        <v>5062</v>
      </c>
      <c r="C2404" s="504" t="s">
        <v>1089</v>
      </c>
      <c r="D2404" s="504" t="s">
        <v>3380</v>
      </c>
      <c r="E2404" s="504" t="s">
        <v>3381</v>
      </c>
      <c r="F2404" s="504" t="s">
        <v>565</v>
      </c>
      <c r="G2404" s="504" t="s">
        <v>566</v>
      </c>
      <c r="H2404" s="504" t="s">
        <v>11808</v>
      </c>
      <c r="I2404" s="504">
        <v>4</v>
      </c>
      <c r="J2404" s="504">
        <v>4</v>
      </c>
      <c r="K2404" s="504">
        <v>0</v>
      </c>
      <c r="L2404" s="504">
        <v>0</v>
      </c>
      <c r="M2404" s="504">
        <v>0</v>
      </c>
      <c r="N2404" s="504">
        <v>0</v>
      </c>
      <c r="O2404" s="505">
        <v>0</v>
      </c>
    </row>
    <row r="2405" spans="1:15" x14ac:dyDescent="0.35">
      <c r="A2405" s="500" t="s">
        <v>1209</v>
      </c>
      <c r="B2405" s="501">
        <v>4779</v>
      </c>
      <c r="C2405" s="501" t="s">
        <v>1094</v>
      </c>
      <c r="D2405" s="501" t="s">
        <v>3380</v>
      </c>
      <c r="E2405" s="501" t="s">
        <v>3381</v>
      </c>
      <c r="F2405" s="501" t="s">
        <v>565</v>
      </c>
      <c r="G2405" s="501" t="s">
        <v>566</v>
      </c>
      <c r="H2405" s="501" t="s">
        <v>5268</v>
      </c>
      <c r="I2405" s="501">
        <v>47</v>
      </c>
      <c r="J2405" s="501">
        <v>0</v>
      </c>
      <c r="K2405" s="501">
        <v>0</v>
      </c>
      <c r="L2405" s="501">
        <v>47</v>
      </c>
      <c r="M2405" s="501">
        <v>0</v>
      </c>
      <c r="N2405" s="501">
        <v>0</v>
      </c>
      <c r="O2405" s="506">
        <v>0</v>
      </c>
    </row>
    <row r="2406" spans="1:15" x14ac:dyDescent="0.35">
      <c r="A2406" s="503" t="s">
        <v>14400</v>
      </c>
      <c r="B2406" s="504">
        <v>4727</v>
      </c>
      <c r="C2406" s="504" t="s">
        <v>1089</v>
      </c>
      <c r="D2406" s="504" t="s">
        <v>3392</v>
      </c>
      <c r="E2406" s="504" t="s">
        <v>3381</v>
      </c>
      <c r="F2406" s="504" t="s">
        <v>565</v>
      </c>
      <c r="G2406" s="504" t="s">
        <v>566</v>
      </c>
      <c r="H2406" s="504" t="s">
        <v>14629</v>
      </c>
      <c r="I2406" s="504">
        <v>5</v>
      </c>
      <c r="J2406" s="504">
        <v>0</v>
      </c>
      <c r="K2406" s="504">
        <v>0</v>
      </c>
      <c r="L2406" s="504">
        <v>5</v>
      </c>
      <c r="M2406" s="504">
        <v>0</v>
      </c>
      <c r="N2406" s="504">
        <v>0</v>
      </c>
      <c r="O2406" s="505">
        <v>0</v>
      </c>
    </row>
    <row r="2407" spans="1:15" x14ac:dyDescent="0.35">
      <c r="A2407" s="500" t="s">
        <v>1216</v>
      </c>
      <c r="B2407" s="501" t="s">
        <v>3207</v>
      </c>
      <c r="C2407" s="501" t="s">
        <v>1094</v>
      </c>
      <c r="D2407" s="501" t="s">
        <v>3380</v>
      </c>
      <c r="E2407" s="501" t="s">
        <v>3381</v>
      </c>
      <c r="F2407" s="501" t="s">
        <v>565</v>
      </c>
      <c r="G2407" s="501" t="s">
        <v>566</v>
      </c>
      <c r="H2407" s="501" t="s">
        <v>5269</v>
      </c>
      <c r="I2407" s="501">
        <v>103</v>
      </c>
      <c r="J2407" s="501">
        <v>72</v>
      </c>
      <c r="K2407" s="501">
        <v>0</v>
      </c>
      <c r="L2407" s="501">
        <v>31</v>
      </c>
      <c r="M2407" s="501">
        <v>0</v>
      </c>
      <c r="N2407" s="501">
        <v>0</v>
      </c>
      <c r="O2407" s="506">
        <v>0</v>
      </c>
    </row>
    <row r="2408" spans="1:15" x14ac:dyDescent="0.35">
      <c r="A2408" s="503" t="s">
        <v>1223</v>
      </c>
      <c r="B2408" s="504">
        <v>4768</v>
      </c>
      <c r="C2408" s="504" t="s">
        <v>1089</v>
      </c>
      <c r="D2408" s="504" t="s">
        <v>3392</v>
      </c>
      <c r="E2408" s="504" t="s">
        <v>3381</v>
      </c>
      <c r="F2408" s="504" t="s">
        <v>565</v>
      </c>
      <c r="G2408" s="504" t="s">
        <v>566</v>
      </c>
      <c r="H2408" s="504" t="s">
        <v>5270</v>
      </c>
      <c r="I2408" s="504">
        <v>60</v>
      </c>
      <c r="J2408" s="504">
        <v>0</v>
      </c>
      <c r="K2408" s="504">
        <v>0</v>
      </c>
      <c r="L2408" s="504">
        <v>60</v>
      </c>
      <c r="M2408" s="504">
        <v>0</v>
      </c>
      <c r="N2408" s="504">
        <v>0</v>
      </c>
      <c r="O2408" s="505">
        <v>0</v>
      </c>
    </row>
    <row r="2409" spans="1:15" x14ac:dyDescent="0.35">
      <c r="A2409" s="500" t="s">
        <v>1122</v>
      </c>
      <c r="B2409" s="501" t="s">
        <v>2994</v>
      </c>
      <c r="C2409" s="501" t="s">
        <v>1094</v>
      </c>
      <c r="D2409" s="501" t="s">
        <v>3380</v>
      </c>
      <c r="E2409" s="501" t="s">
        <v>3381</v>
      </c>
      <c r="F2409" s="501" t="s">
        <v>565</v>
      </c>
      <c r="G2409" s="501" t="s">
        <v>566</v>
      </c>
      <c r="H2409" s="501" t="s">
        <v>5271</v>
      </c>
      <c r="I2409" s="501">
        <v>247</v>
      </c>
      <c r="J2409" s="501">
        <v>176</v>
      </c>
      <c r="K2409" s="501">
        <v>0</v>
      </c>
      <c r="L2409" s="501">
        <v>0</v>
      </c>
      <c r="M2409" s="501">
        <v>0</v>
      </c>
      <c r="N2409" s="501">
        <v>0</v>
      </c>
      <c r="O2409" s="506">
        <v>71</v>
      </c>
    </row>
    <row r="2410" spans="1:15" x14ac:dyDescent="0.35">
      <c r="A2410" s="503" t="s">
        <v>1225</v>
      </c>
      <c r="B2410" s="504" t="s">
        <v>3315</v>
      </c>
      <c r="C2410" s="504" t="s">
        <v>1094</v>
      </c>
      <c r="D2410" s="504" t="s">
        <v>3380</v>
      </c>
      <c r="E2410" s="504" t="s">
        <v>3381</v>
      </c>
      <c r="F2410" s="504" t="s">
        <v>565</v>
      </c>
      <c r="G2410" s="504" t="s">
        <v>566</v>
      </c>
      <c r="H2410" s="504" t="s">
        <v>14630</v>
      </c>
      <c r="I2410" s="504">
        <v>1</v>
      </c>
      <c r="J2410" s="504">
        <v>0</v>
      </c>
      <c r="K2410" s="504">
        <v>0</v>
      </c>
      <c r="L2410" s="504">
        <v>1</v>
      </c>
      <c r="M2410" s="504">
        <v>0</v>
      </c>
      <c r="N2410" s="504">
        <v>0</v>
      </c>
      <c r="O2410" s="505">
        <v>0</v>
      </c>
    </row>
    <row r="2411" spans="1:15" x14ac:dyDescent="0.35">
      <c r="A2411" s="500" t="s">
        <v>1228</v>
      </c>
      <c r="B2411" s="501" t="s">
        <v>3321</v>
      </c>
      <c r="C2411" s="501" t="s">
        <v>1094</v>
      </c>
      <c r="D2411" s="501" t="s">
        <v>3380</v>
      </c>
      <c r="E2411" s="501" t="s">
        <v>3381</v>
      </c>
      <c r="F2411" s="501" t="s">
        <v>565</v>
      </c>
      <c r="G2411" s="501" t="s">
        <v>566</v>
      </c>
      <c r="H2411" s="501" t="s">
        <v>5272</v>
      </c>
      <c r="I2411" s="501">
        <v>129</v>
      </c>
      <c r="J2411" s="501">
        <v>0</v>
      </c>
      <c r="K2411" s="501">
        <v>0</v>
      </c>
      <c r="L2411" s="501">
        <v>125</v>
      </c>
      <c r="M2411" s="501">
        <v>0</v>
      </c>
      <c r="N2411" s="501">
        <v>0</v>
      </c>
      <c r="O2411" s="506">
        <v>4</v>
      </c>
    </row>
    <row r="2412" spans="1:15" x14ac:dyDescent="0.35">
      <c r="A2412" s="503" t="s">
        <v>1648</v>
      </c>
      <c r="B2412" s="504" t="s">
        <v>2496</v>
      </c>
      <c r="C2412" s="504" t="s">
        <v>1094</v>
      </c>
      <c r="D2412" s="504" t="s">
        <v>3380</v>
      </c>
      <c r="E2412" s="504" t="s">
        <v>3381</v>
      </c>
      <c r="F2412" s="504" t="s">
        <v>565</v>
      </c>
      <c r="G2412" s="504" t="s">
        <v>566</v>
      </c>
      <c r="H2412" s="504" t="s">
        <v>5273</v>
      </c>
      <c r="I2412" s="504">
        <v>115</v>
      </c>
      <c r="J2412" s="504">
        <v>16</v>
      </c>
      <c r="K2412" s="504">
        <v>0</v>
      </c>
      <c r="L2412" s="504">
        <v>36</v>
      </c>
      <c r="M2412" s="504">
        <v>63</v>
      </c>
      <c r="N2412" s="504">
        <v>0</v>
      </c>
      <c r="O2412" s="505">
        <v>0</v>
      </c>
    </row>
    <row r="2413" spans="1:15" x14ac:dyDescent="0.35">
      <c r="A2413" s="500" t="s">
        <v>1233</v>
      </c>
      <c r="B2413" s="501">
        <v>4636</v>
      </c>
      <c r="C2413" s="501" t="s">
        <v>1094</v>
      </c>
      <c r="D2413" s="501" t="s">
        <v>3380</v>
      </c>
      <c r="E2413" s="501" t="s">
        <v>3381</v>
      </c>
      <c r="F2413" s="501" t="s">
        <v>565</v>
      </c>
      <c r="G2413" s="501" t="s">
        <v>566</v>
      </c>
      <c r="H2413" s="501" t="s">
        <v>14631</v>
      </c>
      <c r="I2413" s="501">
        <v>41</v>
      </c>
      <c r="J2413" s="501">
        <v>41</v>
      </c>
      <c r="K2413" s="501">
        <v>0</v>
      </c>
      <c r="L2413" s="501">
        <v>0</v>
      </c>
      <c r="M2413" s="501">
        <v>0</v>
      </c>
      <c r="N2413" s="501">
        <v>0</v>
      </c>
      <c r="O2413" s="506">
        <v>0</v>
      </c>
    </row>
    <row r="2414" spans="1:15" x14ac:dyDescent="0.35">
      <c r="A2414" s="503" t="s">
        <v>1234</v>
      </c>
      <c r="B2414" s="504" t="s">
        <v>3291</v>
      </c>
      <c r="C2414" s="504" t="s">
        <v>1094</v>
      </c>
      <c r="D2414" s="504" t="s">
        <v>3380</v>
      </c>
      <c r="E2414" s="504" t="s">
        <v>3381</v>
      </c>
      <c r="F2414" s="504" t="s">
        <v>565</v>
      </c>
      <c r="G2414" s="504" t="s">
        <v>566</v>
      </c>
      <c r="H2414" s="504" t="s">
        <v>5274</v>
      </c>
      <c r="I2414" s="504">
        <v>40</v>
      </c>
      <c r="J2414" s="504">
        <v>0</v>
      </c>
      <c r="K2414" s="504">
        <v>0</v>
      </c>
      <c r="L2414" s="504">
        <v>40</v>
      </c>
      <c r="M2414" s="504">
        <v>0</v>
      </c>
      <c r="N2414" s="504">
        <v>0</v>
      </c>
      <c r="O2414" s="505">
        <v>0</v>
      </c>
    </row>
    <row r="2415" spans="1:15" x14ac:dyDescent="0.35">
      <c r="A2415" s="500" t="s">
        <v>1235</v>
      </c>
      <c r="B2415" s="501">
        <v>4684</v>
      </c>
      <c r="C2415" s="501" t="s">
        <v>1094</v>
      </c>
      <c r="D2415" s="501" t="s">
        <v>3380</v>
      </c>
      <c r="E2415" s="501" t="s">
        <v>3381</v>
      </c>
      <c r="F2415" s="501" t="s">
        <v>565</v>
      </c>
      <c r="G2415" s="501" t="s">
        <v>566</v>
      </c>
      <c r="H2415" s="501" t="s">
        <v>5275</v>
      </c>
      <c r="I2415" s="501">
        <v>82</v>
      </c>
      <c r="J2415" s="501">
        <v>82</v>
      </c>
      <c r="K2415" s="501">
        <v>0</v>
      </c>
      <c r="L2415" s="501">
        <v>0</v>
      </c>
      <c r="M2415" s="501">
        <v>0</v>
      </c>
      <c r="N2415" s="501">
        <v>0</v>
      </c>
      <c r="O2415" s="506">
        <v>0</v>
      </c>
    </row>
    <row r="2416" spans="1:15" x14ac:dyDescent="0.35">
      <c r="A2416" s="503" t="s">
        <v>1126</v>
      </c>
      <c r="B2416" s="504" t="s">
        <v>2974</v>
      </c>
      <c r="C2416" s="504" t="s">
        <v>1094</v>
      </c>
      <c r="D2416" s="504" t="s">
        <v>3380</v>
      </c>
      <c r="E2416" s="504" t="s">
        <v>3381</v>
      </c>
      <c r="F2416" s="504" t="s">
        <v>565</v>
      </c>
      <c r="G2416" s="504" t="s">
        <v>566</v>
      </c>
      <c r="H2416" s="504" t="s">
        <v>5276</v>
      </c>
      <c r="I2416" s="504">
        <v>562</v>
      </c>
      <c r="J2416" s="504">
        <v>238</v>
      </c>
      <c r="K2416" s="504">
        <v>0</v>
      </c>
      <c r="L2416" s="504">
        <v>25</v>
      </c>
      <c r="M2416" s="504">
        <v>250</v>
      </c>
      <c r="N2416" s="504">
        <v>0</v>
      </c>
      <c r="O2416" s="505">
        <v>49</v>
      </c>
    </row>
    <row r="2417" spans="1:15" x14ac:dyDescent="0.35">
      <c r="A2417" s="500" t="s">
        <v>1238</v>
      </c>
      <c r="B2417" s="501" t="s">
        <v>2963</v>
      </c>
      <c r="C2417" s="501" t="s">
        <v>1094</v>
      </c>
      <c r="D2417" s="501" t="s">
        <v>3380</v>
      </c>
      <c r="E2417" s="501" t="s">
        <v>3381</v>
      </c>
      <c r="F2417" s="501" t="s">
        <v>565</v>
      </c>
      <c r="G2417" s="501" t="s">
        <v>566</v>
      </c>
      <c r="H2417" s="501" t="s">
        <v>5277</v>
      </c>
      <c r="I2417" s="501">
        <v>515</v>
      </c>
      <c r="J2417" s="501">
        <v>350</v>
      </c>
      <c r="K2417" s="501">
        <v>0</v>
      </c>
      <c r="L2417" s="501">
        <v>155</v>
      </c>
      <c r="M2417" s="501">
        <v>0</v>
      </c>
      <c r="N2417" s="501">
        <v>0</v>
      </c>
      <c r="O2417" s="506">
        <v>10</v>
      </c>
    </row>
    <row r="2418" spans="1:15" x14ac:dyDescent="0.35">
      <c r="A2418" s="503" t="s">
        <v>1240</v>
      </c>
      <c r="B2418" s="504" t="s">
        <v>2972</v>
      </c>
      <c r="C2418" s="504" t="s">
        <v>1094</v>
      </c>
      <c r="D2418" s="504" t="s">
        <v>3380</v>
      </c>
      <c r="E2418" s="504" t="s">
        <v>3381</v>
      </c>
      <c r="F2418" s="504" t="s">
        <v>565</v>
      </c>
      <c r="G2418" s="504" t="s">
        <v>566</v>
      </c>
      <c r="H2418" s="504" t="s">
        <v>5278</v>
      </c>
      <c r="I2418" s="504">
        <v>97</v>
      </c>
      <c r="J2418" s="504">
        <v>97</v>
      </c>
      <c r="K2418" s="504">
        <v>0</v>
      </c>
      <c r="L2418" s="504">
        <v>0</v>
      </c>
      <c r="M2418" s="504">
        <v>0</v>
      </c>
      <c r="N2418" s="504">
        <v>0</v>
      </c>
      <c r="O2418" s="505">
        <v>0</v>
      </c>
    </row>
    <row r="2419" spans="1:15" x14ac:dyDescent="0.35">
      <c r="A2419" s="500" t="s">
        <v>1134</v>
      </c>
      <c r="B2419" s="501" t="s">
        <v>3066</v>
      </c>
      <c r="C2419" s="501" t="s">
        <v>1094</v>
      </c>
      <c r="D2419" s="501" t="s">
        <v>3380</v>
      </c>
      <c r="E2419" s="501" t="s">
        <v>3381</v>
      </c>
      <c r="F2419" s="501" t="s">
        <v>565</v>
      </c>
      <c r="G2419" s="501" t="s">
        <v>566</v>
      </c>
      <c r="H2419" s="501" t="s">
        <v>12155</v>
      </c>
      <c r="I2419" s="501">
        <v>56</v>
      </c>
      <c r="J2419" s="501">
        <v>51</v>
      </c>
      <c r="K2419" s="501">
        <v>0</v>
      </c>
      <c r="L2419" s="501">
        <v>0</v>
      </c>
      <c r="M2419" s="501">
        <v>0</v>
      </c>
      <c r="N2419" s="501">
        <v>0</v>
      </c>
      <c r="O2419" s="506">
        <v>5</v>
      </c>
    </row>
    <row r="2420" spans="1:15" x14ac:dyDescent="0.35">
      <c r="A2420" s="503" t="s">
        <v>2176</v>
      </c>
      <c r="B2420" s="504">
        <v>4679</v>
      </c>
      <c r="C2420" s="504" t="s">
        <v>1089</v>
      </c>
      <c r="D2420" s="504" t="s">
        <v>3392</v>
      </c>
      <c r="E2420" s="504" t="s">
        <v>3381</v>
      </c>
      <c r="F2420" s="504" t="s">
        <v>565</v>
      </c>
      <c r="G2420" s="504" t="s">
        <v>566</v>
      </c>
      <c r="H2420" s="504" t="s">
        <v>5279</v>
      </c>
      <c r="I2420" s="504">
        <v>24</v>
      </c>
      <c r="J2420" s="504">
        <v>0</v>
      </c>
      <c r="K2420" s="504">
        <v>0</v>
      </c>
      <c r="L2420" s="504">
        <v>24</v>
      </c>
      <c r="M2420" s="504">
        <v>0</v>
      </c>
      <c r="N2420" s="504">
        <v>0</v>
      </c>
      <c r="O2420" s="505">
        <v>0</v>
      </c>
    </row>
    <row r="2421" spans="1:15" x14ac:dyDescent="0.35">
      <c r="A2421" s="500" t="s">
        <v>1249</v>
      </c>
      <c r="B2421" s="501">
        <v>4729</v>
      </c>
      <c r="C2421" s="501" t="s">
        <v>1094</v>
      </c>
      <c r="D2421" s="501" t="s">
        <v>3380</v>
      </c>
      <c r="E2421" s="501" t="s">
        <v>3381</v>
      </c>
      <c r="F2421" s="501" t="s">
        <v>565</v>
      </c>
      <c r="G2421" s="501" t="s">
        <v>566</v>
      </c>
      <c r="H2421" s="501" t="s">
        <v>5280</v>
      </c>
      <c r="I2421" s="501">
        <v>556</v>
      </c>
      <c r="J2421" s="501">
        <v>428</v>
      </c>
      <c r="K2421" s="501">
        <v>0</v>
      </c>
      <c r="L2421" s="501">
        <v>0</v>
      </c>
      <c r="M2421" s="501">
        <v>95</v>
      </c>
      <c r="N2421" s="501">
        <v>0</v>
      </c>
      <c r="O2421" s="506">
        <v>33</v>
      </c>
    </row>
    <row r="2422" spans="1:15" x14ac:dyDescent="0.35">
      <c r="A2422" s="503" t="s">
        <v>2183</v>
      </c>
      <c r="B2422" s="504" t="s">
        <v>2484</v>
      </c>
      <c r="C2422" s="504" t="s">
        <v>1089</v>
      </c>
      <c r="D2422" s="504" t="s">
        <v>3392</v>
      </c>
      <c r="E2422" s="504" t="s">
        <v>3381</v>
      </c>
      <c r="F2422" s="504" t="s">
        <v>565</v>
      </c>
      <c r="G2422" s="504" t="s">
        <v>566</v>
      </c>
      <c r="H2422" s="504" t="s">
        <v>5281</v>
      </c>
      <c r="I2422" s="504">
        <v>15</v>
      </c>
      <c r="J2422" s="504">
        <v>15</v>
      </c>
      <c r="K2422" s="504">
        <v>0</v>
      </c>
      <c r="L2422" s="504">
        <v>0</v>
      </c>
      <c r="M2422" s="504">
        <v>0</v>
      </c>
      <c r="N2422" s="504">
        <v>0</v>
      </c>
      <c r="O2422" s="505">
        <v>0</v>
      </c>
    </row>
    <row r="2423" spans="1:15" x14ac:dyDescent="0.35">
      <c r="A2423" s="500" t="s">
        <v>1253</v>
      </c>
      <c r="B2423" s="501" t="s">
        <v>3232</v>
      </c>
      <c r="C2423" s="501" t="s">
        <v>1094</v>
      </c>
      <c r="D2423" s="501" t="s">
        <v>3380</v>
      </c>
      <c r="E2423" s="501" t="s">
        <v>3381</v>
      </c>
      <c r="F2423" s="501" t="s">
        <v>565</v>
      </c>
      <c r="G2423" s="501" t="s">
        <v>566</v>
      </c>
      <c r="H2423" s="501" t="s">
        <v>5282</v>
      </c>
      <c r="I2423" s="501">
        <v>156</v>
      </c>
      <c r="J2423" s="501">
        <v>21</v>
      </c>
      <c r="K2423" s="501">
        <v>0</v>
      </c>
      <c r="L2423" s="501">
        <v>15</v>
      </c>
      <c r="M2423" s="501">
        <v>120</v>
      </c>
      <c r="N2423" s="501">
        <v>0</v>
      </c>
      <c r="O2423" s="506">
        <v>0</v>
      </c>
    </row>
    <row r="2424" spans="1:15" x14ac:dyDescent="0.35">
      <c r="A2424" s="503" t="s">
        <v>1257</v>
      </c>
      <c r="B2424" s="504" t="s">
        <v>3151</v>
      </c>
      <c r="C2424" s="504" t="s">
        <v>1094</v>
      </c>
      <c r="D2424" s="504" t="s">
        <v>3380</v>
      </c>
      <c r="E2424" s="504" t="s">
        <v>3381</v>
      </c>
      <c r="F2424" s="504" t="s">
        <v>565</v>
      </c>
      <c r="G2424" s="504" t="s">
        <v>566</v>
      </c>
      <c r="H2424" s="504" t="s">
        <v>5283</v>
      </c>
      <c r="I2424" s="504">
        <v>722</v>
      </c>
      <c r="J2424" s="504">
        <v>551</v>
      </c>
      <c r="K2424" s="504">
        <v>0</v>
      </c>
      <c r="L2424" s="504">
        <v>70</v>
      </c>
      <c r="M2424" s="504">
        <v>50</v>
      </c>
      <c r="N2424" s="504">
        <v>0</v>
      </c>
      <c r="O2424" s="505">
        <v>51</v>
      </c>
    </row>
    <row r="2425" spans="1:15" x14ac:dyDescent="0.35">
      <c r="A2425" s="500" t="s">
        <v>1789</v>
      </c>
      <c r="B2425" s="501" t="s">
        <v>3219</v>
      </c>
      <c r="C2425" s="501" t="s">
        <v>1094</v>
      </c>
      <c r="D2425" s="501" t="s">
        <v>3380</v>
      </c>
      <c r="E2425" s="501" t="s">
        <v>3381</v>
      </c>
      <c r="F2425" s="501" t="s">
        <v>565</v>
      </c>
      <c r="G2425" s="501" t="s">
        <v>566</v>
      </c>
      <c r="H2425" s="501" t="s">
        <v>5284</v>
      </c>
      <c r="I2425" s="501">
        <v>305</v>
      </c>
      <c r="J2425" s="501">
        <v>303</v>
      </c>
      <c r="K2425" s="501">
        <v>0</v>
      </c>
      <c r="L2425" s="501">
        <v>0</v>
      </c>
      <c r="M2425" s="501">
        <v>0</v>
      </c>
      <c r="N2425" s="501">
        <v>0</v>
      </c>
      <c r="O2425" s="506">
        <v>2</v>
      </c>
    </row>
    <row r="2426" spans="1:15" x14ac:dyDescent="0.35">
      <c r="A2426" s="503" t="s">
        <v>1088</v>
      </c>
      <c r="B2426" s="504" t="s">
        <v>2879</v>
      </c>
      <c r="C2426" s="504" t="s">
        <v>1089</v>
      </c>
      <c r="D2426" s="504" t="s">
        <v>3392</v>
      </c>
      <c r="E2426" s="504" t="s">
        <v>3381</v>
      </c>
      <c r="F2426" s="504" t="s">
        <v>567</v>
      </c>
      <c r="G2426" s="504" t="s">
        <v>568</v>
      </c>
      <c r="H2426" s="504" t="s">
        <v>5285</v>
      </c>
      <c r="I2426" s="504">
        <v>20</v>
      </c>
      <c r="J2426" s="504">
        <v>0</v>
      </c>
      <c r="K2426" s="504">
        <v>0</v>
      </c>
      <c r="L2426" s="504">
        <v>0</v>
      </c>
      <c r="M2426" s="504">
        <v>20</v>
      </c>
      <c r="N2426" s="504">
        <v>0</v>
      </c>
      <c r="O2426" s="505">
        <v>0</v>
      </c>
    </row>
    <row r="2427" spans="1:15" x14ac:dyDescent="0.35">
      <c r="A2427" s="500" t="s">
        <v>14127</v>
      </c>
      <c r="B2427" s="501" t="s">
        <v>14126</v>
      </c>
      <c r="C2427" s="501" t="s">
        <v>1094</v>
      </c>
      <c r="D2427" s="501" t="s">
        <v>3380</v>
      </c>
      <c r="E2427" s="501" t="s">
        <v>3381</v>
      </c>
      <c r="F2427" s="501" t="s">
        <v>567</v>
      </c>
      <c r="G2427" s="501" t="s">
        <v>568</v>
      </c>
      <c r="H2427" s="501" t="s">
        <v>14632</v>
      </c>
      <c r="I2427" s="501">
        <v>579</v>
      </c>
      <c r="J2427" s="501">
        <v>450</v>
      </c>
      <c r="K2427" s="501">
        <v>0</v>
      </c>
      <c r="L2427" s="501">
        <v>0</v>
      </c>
      <c r="M2427" s="501">
        <v>50</v>
      </c>
      <c r="N2427" s="501">
        <v>1</v>
      </c>
      <c r="O2427" s="506">
        <v>79</v>
      </c>
    </row>
    <row r="2428" spans="1:15" x14ac:dyDescent="0.35">
      <c r="A2428" s="503" t="s">
        <v>1093</v>
      </c>
      <c r="B2428" s="504" t="s">
        <v>3248</v>
      </c>
      <c r="C2428" s="504" t="s">
        <v>1094</v>
      </c>
      <c r="D2428" s="504" t="s">
        <v>3380</v>
      </c>
      <c r="E2428" s="504" t="s">
        <v>3381</v>
      </c>
      <c r="F2428" s="504" t="s">
        <v>567</v>
      </c>
      <c r="G2428" s="504" t="s">
        <v>568</v>
      </c>
      <c r="H2428" s="504" t="s">
        <v>5286</v>
      </c>
      <c r="I2428" s="504">
        <v>29</v>
      </c>
      <c r="J2428" s="504">
        <v>0</v>
      </c>
      <c r="K2428" s="504">
        <v>0</v>
      </c>
      <c r="L2428" s="504">
        <v>15</v>
      </c>
      <c r="M2428" s="504">
        <v>0</v>
      </c>
      <c r="N2428" s="504">
        <v>0</v>
      </c>
      <c r="O2428" s="505">
        <v>14</v>
      </c>
    </row>
    <row r="2429" spans="1:15" x14ac:dyDescent="0.35">
      <c r="A2429" s="500" t="s">
        <v>14135</v>
      </c>
      <c r="B2429" s="501" t="s">
        <v>14134</v>
      </c>
      <c r="C2429" s="501" t="s">
        <v>1089</v>
      </c>
      <c r="D2429" s="501" t="s">
        <v>3392</v>
      </c>
      <c r="E2429" s="501" t="s">
        <v>3381</v>
      </c>
      <c r="F2429" s="501" t="s">
        <v>567</v>
      </c>
      <c r="G2429" s="501" t="s">
        <v>568</v>
      </c>
      <c r="H2429" s="501" t="s">
        <v>14633</v>
      </c>
      <c r="I2429" s="501">
        <v>17</v>
      </c>
      <c r="J2429" s="501">
        <v>0</v>
      </c>
      <c r="K2429" s="501">
        <v>0</v>
      </c>
      <c r="L2429" s="501">
        <v>0</v>
      </c>
      <c r="M2429" s="501">
        <v>17</v>
      </c>
      <c r="N2429" s="501">
        <v>0</v>
      </c>
      <c r="O2429" s="506">
        <v>0</v>
      </c>
    </row>
    <row r="2430" spans="1:15" x14ac:dyDescent="0.35">
      <c r="A2430" s="503" t="s">
        <v>1096</v>
      </c>
      <c r="B2430" s="504" t="s">
        <v>3326</v>
      </c>
      <c r="C2430" s="504" t="s">
        <v>1094</v>
      </c>
      <c r="D2430" s="504" t="s">
        <v>3380</v>
      </c>
      <c r="E2430" s="504" t="s">
        <v>3381</v>
      </c>
      <c r="F2430" s="504" t="s">
        <v>567</v>
      </c>
      <c r="G2430" s="504" t="s">
        <v>568</v>
      </c>
      <c r="H2430" s="504" t="s">
        <v>5287</v>
      </c>
      <c r="I2430" s="504">
        <v>266</v>
      </c>
      <c r="J2430" s="504">
        <v>6</v>
      </c>
      <c r="K2430" s="504">
        <v>0</v>
      </c>
      <c r="L2430" s="504">
        <v>0</v>
      </c>
      <c r="M2430" s="504">
        <v>260</v>
      </c>
      <c r="N2430" s="504">
        <v>0</v>
      </c>
      <c r="O2430" s="505">
        <v>0</v>
      </c>
    </row>
    <row r="2431" spans="1:15" x14ac:dyDescent="0.35">
      <c r="A2431" s="500" t="s">
        <v>1802</v>
      </c>
      <c r="B2431" s="501">
        <v>4872</v>
      </c>
      <c r="C2431" s="501" t="s">
        <v>1089</v>
      </c>
      <c r="D2431" s="501" t="s">
        <v>3380</v>
      </c>
      <c r="E2431" s="501" t="s">
        <v>3381</v>
      </c>
      <c r="F2431" s="501" t="s">
        <v>567</v>
      </c>
      <c r="G2431" s="501" t="s">
        <v>568</v>
      </c>
      <c r="H2431" s="501" t="s">
        <v>5288</v>
      </c>
      <c r="I2431" s="501">
        <v>387</v>
      </c>
      <c r="J2431" s="501">
        <v>387</v>
      </c>
      <c r="K2431" s="501">
        <v>0</v>
      </c>
      <c r="L2431" s="501">
        <v>0</v>
      </c>
      <c r="M2431" s="501">
        <v>0</v>
      </c>
      <c r="N2431" s="501">
        <v>0</v>
      </c>
      <c r="O2431" s="506">
        <v>0</v>
      </c>
    </row>
    <row r="2432" spans="1:15" x14ac:dyDescent="0.35">
      <c r="A2432" s="503" t="s">
        <v>1098</v>
      </c>
      <c r="B2432" s="504">
        <v>4691</v>
      </c>
      <c r="C2432" s="504" t="s">
        <v>1094</v>
      </c>
      <c r="D2432" s="504" t="s">
        <v>3380</v>
      </c>
      <c r="E2432" s="504" t="s">
        <v>3381</v>
      </c>
      <c r="F2432" s="504" t="s">
        <v>567</v>
      </c>
      <c r="G2432" s="504" t="s">
        <v>568</v>
      </c>
      <c r="H2432" s="504" t="s">
        <v>5289</v>
      </c>
      <c r="I2432" s="504">
        <v>229</v>
      </c>
      <c r="J2432" s="504">
        <v>111</v>
      </c>
      <c r="K2432" s="504">
        <v>0</v>
      </c>
      <c r="L2432" s="504">
        <v>0</v>
      </c>
      <c r="M2432" s="504">
        <v>0</v>
      </c>
      <c r="N2432" s="504">
        <v>0</v>
      </c>
      <c r="O2432" s="505">
        <v>118</v>
      </c>
    </row>
    <row r="2433" spans="1:15" x14ac:dyDescent="0.35">
      <c r="A2433" s="500" t="s">
        <v>11363</v>
      </c>
      <c r="B2433" s="501">
        <v>4718</v>
      </c>
      <c r="C2433" s="501" t="s">
        <v>1094</v>
      </c>
      <c r="D2433" s="501" t="s">
        <v>3380</v>
      </c>
      <c r="E2433" s="501" t="s">
        <v>3381</v>
      </c>
      <c r="F2433" s="501" t="s">
        <v>567</v>
      </c>
      <c r="G2433" s="501" t="s">
        <v>568</v>
      </c>
      <c r="H2433" s="501" t="s">
        <v>11533</v>
      </c>
      <c r="I2433" s="501">
        <v>6</v>
      </c>
      <c r="J2433" s="501">
        <v>0</v>
      </c>
      <c r="K2433" s="501">
        <v>0</v>
      </c>
      <c r="L2433" s="501">
        <v>6</v>
      </c>
      <c r="M2433" s="501">
        <v>0</v>
      </c>
      <c r="N2433" s="501">
        <v>0</v>
      </c>
      <c r="O2433" s="506">
        <v>0</v>
      </c>
    </row>
    <row r="2434" spans="1:15" x14ac:dyDescent="0.35">
      <c r="A2434" s="503" t="s">
        <v>1808</v>
      </c>
      <c r="B2434" s="504" t="s">
        <v>3242</v>
      </c>
      <c r="C2434" s="504" t="s">
        <v>1094</v>
      </c>
      <c r="D2434" s="504" t="s">
        <v>3380</v>
      </c>
      <c r="E2434" s="504" t="s">
        <v>3381</v>
      </c>
      <c r="F2434" s="504" t="s">
        <v>567</v>
      </c>
      <c r="G2434" s="504" t="s">
        <v>568</v>
      </c>
      <c r="H2434" s="504" t="s">
        <v>5290</v>
      </c>
      <c r="I2434" s="504">
        <v>180</v>
      </c>
      <c r="J2434" s="504">
        <v>56</v>
      </c>
      <c r="K2434" s="504">
        <v>0</v>
      </c>
      <c r="L2434" s="504">
        <v>85</v>
      </c>
      <c r="M2434" s="504">
        <v>24</v>
      </c>
      <c r="N2434" s="504">
        <v>15</v>
      </c>
      <c r="O2434" s="505">
        <v>15</v>
      </c>
    </row>
    <row r="2435" spans="1:15" x14ac:dyDescent="0.35">
      <c r="A2435" s="500" t="s">
        <v>11424</v>
      </c>
      <c r="B2435" s="501" t="s">
        <v>2535</v>
      </c>
      <c r="C2435" s="501" t="s">
        <v>1089</v>
      </c>
      <c r="D2435" s="501" t="s">
        <v>3392</v>
      </c>
      <c r="E2435" s="501" t="s">
        <v>3381</v>
      </c>
      <c r="F2435" s="501" t="s">
        <v>567</v>
      </c>
      <c r="G2435" s="501" t="s">
        <v>568</v>
      </c>
      <c r="H2435" s="501" t="s">
        <v>11639</v>
      </c>
      <c r="I2435" s="501">
        <v>11</v>
      </c>
      <c r="J2435" s="501">
        <v>0</v>
      </c>
      <c r="K2435" s="501">
        <v>0</v>
      </c>
      <c r="L2435" s="501">
        <v>0</v>
      </c>
      <c r="M2435" s="501">
        <v>11</v>
      </c>
      <c r="N2435" s="501">
        <v>0</v>
      </c>
      <c r="O2435" s="506">
        <v>0</v>
      </c>
    </row>
    <row r="2436" spans="1:15" x14ac:dyDescent="0.35">
      <c r="A2436" s="503" t="s">
        <v>1164</v>
      </c>
      <c r="B2436" s="504">
        <v>4751</v>
      </c>
      <c r="C2436" s="504" t="s">
        <v>1089</v>
      </c>
      <c r="D2436" s="504" t="s">
        <v>3392</v>
      </c>
      <c r="E2436" s="504" t="s">
        <v>3381</v>
      </c>
      <c r="F2436" s="504" t="s">
        <v>567</v>
      </c>
      <c r="G2436" s="504" t="s">
        <v>568</v>
      </c>
      <c r="H2436" s="504" t="s">
        <v>5291</v>
      </c>
      <c r="I2436" s="504">
        <v>3</v>
      </c>
      <c r="J2436" s="504">
        <v>0</v>
      </c>
      <c r="K2436" s="504">
        <v>0</v>
      </c>
      <c r="L2436" s="504">
        <v>3</v>
      </c>
      <c r="M2436" s="504">
        <v>0</v>
      </c>
      <c r="N2436" s="504">
        <v>0</v>
      </c>
      <c r="O2436" s="505">
        <v>0</v>
      </c>
    </row>
    <row r="2437" spans="1:15" x14ac:dyDescent="0.35">
      <c r="A2437" s="500" t="s">
        <v>1959</v>
      </c>
      <c r="B2437" s="501" t="s">
        <v>2548</v>
      </c>
      <c r="C2437" s="501" t="s">
        <v>1089</v>
      </c>
      <c r="D2437" s="501" t="s">
        <v>3392</v>
      </c>
      <c r="E2437" s="501" t="s">
        <v>3381</v>
      </c>
      <c r="F2437" s="501" t="s">
        <v>567</v>
      </c>
      <c r="G2437" s="501" t="s">
        <v>568</v>
      </c>
      <c r="H2437" s="501" t="s">
        <v>5292</v>
      </c>
      <c r="I2437" s="501">
        <v>26</v>
      </c>
      <c r="J2437" s="501">
        <v>0</v>
      </c>
      <c r="K2437" s="501">
        <v>0</v>
      </c>
      <c r="L2437" s="501">
        <v>26</v>
      </c>
      <c r="M2437" s="501">
        <v>0</v>
      </c>
      <c r="N2437" s="501">
        <v>0</v>
      </c>
      <c r="O2437" s="506">
        <v>0</v>
      </c>
    </row>
    <row r="2438" spans="1:15" x14ac:dyDescent="0.35">
      <c r="A2438" s="503" t="s">
        <v>1172</v>
      </c>
      <c r="B2438" s="504">
        <v>4648</v>
      </c>
      <c r="C2438" s="504" t="s">
        <v>1089</v>
      </c>
      <c r="D2438" s="504" t="s">
        <v>3392</v>
      </c>
      <c r="E2438" s="504" t="s">
        <v>3381</v>
      </c>
      <c r="F2438" s="504" t="s">
        <v>567</v>
      </c>
      <c r="G2438" s="504" t="s">
        <v>568</v>
      </c>
      <c r="H2438" s="504" t="s">
        <v>14634</v>
      </c>
      <c r="I2438" s="504">
        <v>1</v>
      </c>
      <c r="J2438" s="504">
        <v>0</v>
      </c>
      <c r="K2438" s="504">
        <v>0</v>
      </c>
      <c r="L2438" s="504">
        <v>1</v>
      </c>
      <c r="M2438" s="504">
        <v>0</v>
      </c>
      <c r="N2438" s="504">
        <v>0</v>
      </c>
      <c r="O2438" s="505">
        <v>0</v>
      </c>
    </row>
    <row r="2439" spans="1:15" x14ac:dyDescent="0.35">
      <c r="A2439" s="500" t="s">
        <v>1974</v>
      </c>
      <c r="B2439" s="501" t="s">
        <v>2993</v>
      </c>
      <c r="C2439" s="501" t="s">
        <v>1089</v>
      </c>
      <c r="D2439" s="501" t="s">
        <v>3392</v>
      </c>
      <c r="E2439" s="501" t="s">
        <v>3381</v>
      </c>
      <c r="F2439" s="501" t="s">
        <v>567</v>
      </c>
      <c r="G2439" s="501" t="s">
        <v>568</v>
      </c>
      <c r="H2439" s="501" t="s">
        <v>5293</v>
      </c>
      <c r="I2439" s="501">
        <v>340</v>
      </c>
      <c r="J2439" s="501">
        <v>16</v>
      </c>
      <c r="K2439" s="501">
        <v>0</v>
      </c>
      <c r="L2439" s="501">
        <v>134</v>
      </c>
      <c r="M2439" s="501">
        <v>190</v>
      </c>
      <c r="N2439" s="501">
        <v>24</v>
      </c>
      <c r="O2439" s="506">
        <v>0</v>
      </c>
    </row>
    <row r="2440" spans="1:15" x14ac:dyDescent="0.35">
      <c r="A2440" s="503" t="s">
        <v>1102</v>
      </c>
      <c r="B2440" s="504">
        <v>4663</v>
      </c>
      <c r="C2440" s="504" t="s">
        <v>1089</v>
      </c>
      <c r="D2440" s="504" t="s">
        <v>3392</v>
      </c>
      <c r="E2440" s="504" t="s">
        <v>3381</v>
      </c>
      <c r="F2440" s="504" t="s">
        <v>567</v>
      </c>
      <c r="G2440" s="504" t="s">
        <v>568</v>
      </c>
      <c r="H2440" s="504" t="s">
        <v>5294</v>
      </c>
      <c r="I2440" s="504">
        <v>3</v>
      </c>
      <c r="J2440" s="504">
        <v>0</v>
      </c>
      <c r="K2440" s="504">
        <v>0</v>
      </c>
      <c r="L2440" s="504">
        <v>3</v>
      </c>
      <c r="M2440" s="504">
        <v>0</v>
      </c>
      <c r="N2440" s="504">
        <v>0</v>
      </c>
      <c r="O2440" s="505">
        <v>0</v>
      </c>
    </row>
    <row r="2441" spans="1:15" x14ac:dyDescent="0.35">
      <c r="A2441" s="500" t="s">
        <v>1177</v>
      </c>
      <c r="B2441" s="501">
        <v>4702</v>
      </c>
      <c r="C2441" s="501" t="s">
        <v>1089</v>
      </c>
      <c r="D2441" s="501" t="s">
        <v>3392</v>
      </c>
      <c r="E2441" s="501" t="s">
        <v>3381</v>
      </c>
      <c r="F2441" s="501" t="s">
        <v>567</v>
      </c>
      <c r="G2441" s="501" t="s">
        <v>568</v>
      </c>
      <c r="H2441" s="501" t="s">
        <v>5295</v>
      </c>
      <c r="I2441" s="501">
        <v>3</v>
      </c>
      <c r="J2441" s="501">
        <v>0</v>
      </c>
      <c r="K2441" s="501">
        <v>0</v>
      </c>
      <c r="L2441" s="501">
        <v>3</v>
      </c>
      <c r="M2441" s="501">
        <v>0</v>
      </c>
      <c r="N2441" s="501">
        <v>0</v>
      </c>
      <c r="O2441" s="506">
        <v>0</v>
      </c>
    </row>
    <row r="2442" spans="1:15" x14ac:dyDescent="0.35">
      <c r="A2442" s="503" t="s">
        <v>1705</v>
      </c>
      <c r="B2442" s="504" t="s">
        <v>3158</v>
      </c>
      <c r="C2442" s="504" t="s">
        <v>1094</v>
      </c>
      <c r="D2442" s="504" t="s">
        <v>3380</v>
      </c>
      <c r="E2442" s="504" t="s">
        <v>3381</v>
      </c>
      <c r="F2442" s="504" t="s">
        <v>567</v>
      </c>
      <c r="G2442" s="504" t="s">
        <v>568</v>
      </c>
      <c r="H2442" s="504" t="s">
        <v>5296</v>
      </c>
      <c r="I2442" s="504">
        <v>19</v>
      </c>
      <c r="J2442" s="504">
        <v>0</v>
      </c>
      <c r="K2442" s="504">
        <v>0</v>
      </c>
      <c r="L2442" s="504">
        <v>0</v>
      </c>
      <c r="M2442" s="504">
        <v>0</v>
      </c>
      <c r="N2442" s="504">
        <v>0</v>
      </c>
      <c r="O2442" s="505">
        <v>19</v>
      </c>
    </row>
    <row r="2443" spans="1:15" x14ac:dyDescent="0.35">
      <c r="A2443" s="500" t="s">
        <v>14208</v>
      </c>
      <c r="B2443" s="501">
        <v>4803</v>
      </c>
      <c r="C2443" s="501" t="s">
        <v>1094</v>
      </c>
      <c r="D2443" s="501" t="s">
        <v>3380</v>
      </c>
      <c r="E2443" s="501" t="s">
        <v>3381</v>
      </c>
      <c r="F2443" s="501" t="s">
        <v>567</v>
      </c>
      <c r="G2443" s="501" t="s">
        <v>568</v>
      </c>
      <c r="H2443" s="501" t="s">
        <v>14635</v>
      </c>
      <c r="I2443" s="501">
        <v>3</v>
      </c>
      <c r="J2443" s="501">
        <v>0</v>
      </c>
      <c r="K2443" s="501">
        <v>0</v>
      </c>
      <c r="L2443" s="501">
        <v>3</v>
      </c>
      <c r="M2443" s="501">
        <v>0</v>
      </c>
      <c r="N2443" s="501">
        <v>0</v>
      </c>
      <c r="O2443" s="506">
        <v>0</v>
      </c>
    </row>
    <row r="2444" spans="1:15" x14ac:dyDescent="0.35">
      <c r="A2444" s="503" t="s">
        <v>1187</v>
      </c>
      <c r="B2444" s="504" t="s">
        <v>2951</v>
      </c>
      <c r="C2444" s="504" t="s">
        <v>1094</v>
      </c>
      <c r="D2444" s="504" t="s">
        <v>3380</v>
      </c>
      <c r="E2444" s="504" t="s">
        <v>3381</v>
      </c>
      <c r="F2444" s="504" t="s">
        <v>567</v>
      </c>
      <c r="G2444" s="504" t="s">
        <v>568</v>
      </c>
      <c r="H2444" s="504" t="s">
        <v>5297</v>
      </c>
      <c r="I2444" s="504">
        <v>275</v>
      </c>
      <c r="J2444" s="504">
        <v>202</v>
      </c>
      <c r="K2444" s="504">
        <v>0</v>
      </c>
      <c r="L2444" s="504">
        <v>0</v>
      </c>
      <c r="M2444" s="504">
        <v>0</v>
      </c>
      <c r="N2444" s="504">
        <v>0</v>
      </c>
      <c r="O2444" s="505">
        <v>73</v>
      </c>
    </row>
    <row r="2445" spans="1:15" x14ac:dyDescent="0.35">
      <c r="A2445" s="500" t="s">
        <v>1105</v>
      </c>
      <c r="B2445" s="501">
        <v>4668</v>
      </c>
      <c r="C2445" s="501" t="s">
        <v>1094</v>
      </c>
      <c r="D2445" s="501" t="s">
        <v>3380</v>
      </c>
      <c r="E2445" s="501" t="s">
        <v>3381</v>
      </c>
      <c r="F2445" s="501" t="s">
        <v>567</v>
      </c>
      <c r="G2445" s="501" t="s">
        <v>568</v>
      </c>
      <c r="H2445" s="501" t="s">
        <v>5298</v>
      </c>
      <c r="I2445" s="501">
        <v>22</v>
      </c>
      <c r="J2445" s="501">
        <v>0</v>
      </c>
      <c r="K2445" s="501">
        <v>0</v>
      </c>
      <c r="L2445" s="501">
        <v>0</v>
      </c>
      <c r="M2445" s="501">
        <v>0</v>
      </c>
      <c r="N2445" s="501">
        <v>0</v>
      </c>
      <c r="O2445" s="506">
        <v>22</v>
      </c>
    </row>
    <row r="2446" spans="1:15" x14ac:dyDescent="0.35">
      <c r="A2446" s="503" t="s">
        <v>1188</v>
      </c>
      <c r="B2446" s="504">
        <v>4760</v>
      </c>
      <c r="C2446" s="504" t="s">
        <v>1089</v>
      </c>
      <c r="D2446" s="504" t="s">
        <v>3392</v>
      </c>
      <c r="E2446" s="504" t="s">
        <v>3381</v>
      </c>
      <c r="F2446" s="504" t="s">
        <v>567</v>
      </c>
      <c r="G2446" s="504" t="s">
        <v>568</v>
      </c>
      <c r="H2446" s="504" t="s">
        <v>5299</v>
      </c>
      <c r="I2446" s="504">
        <v>6</v>
      </c>
      <c r="J2446" s="504">
        <v>0</v>
      </c>
      <c r="K2446" s="504">
        <v>0</v>
      </c>
      <c r="L2446" s="504">
        <v>6</v>
      </c>
      <c r="M2446" s="504">
        <v>0</v>
      </c>
      <c r="N2446" s="504">
        <v>0</v>
      </c>
      <c r="O2446" s="505">
        <v>0</v>
      </c>
    </row>
    <row r="2447" spans="1:15" x14ac:dyDescent="0.35">
      <c r="A2447" s="500" t="s">
        <v>1109</v>
      </c>
      <c r="B2447" s="501" t="s">
        <v>2959</v>
      </c>
      <c r="C2447" s="501" t="s">
        <v>1094</v>
      </c>
      <c r="D2447" s="501" t="s">
        <v>3380</v>
      </c>
      <c r="E2447" s="501" t="s">
        <v>3381</v>
      </c>
      <c r="F2447" s="501" t="s">
        <v>567</v>
      </c>
      <c r="G2447" s="501" t="s">
        <v>568</v>
      </c>
      <c r="H2447" s="501" t="s">
        <v>5300</v>
      </c>
      <c r="I2447" s="501">
        <v>183</v>
      </c>
      <c r="J2447" s="501">
        <v>0</v>
      </c>
      <c r="K2447" s="501">
        <v>0</v>
      </c>
      <c r="L2447" s="501">
        <v>0</v>
      </c>
      <c r="M2447" s="501">
        <v>172</v>
      </c>
      <c r="N2447" s="501">
        <v>0</v>
      </c>
      <c r="O2447" s="506">
        <v>11</v>
      </c>
    </row>
    <row r="2448" spans="1:15" x14ac:dyDescent="0.35">
      <c r="A2448" s="503" t="s">
        <v>1190</v>
      </c>
      <c r="B2448" s="504">
        <v>4662</v>
      </c>
      <c r="C2448" s="504" t="s">
        <v>1094</v>
      </c>
      <c r="D2448" s="504" t="s">
        <v>3380</v>
      </c>
      <c r="E2448" s="504" t="s">
        <v>3381</v>
      </c>
      <c r="F2448" s="504" t="s">
        <v>567</v>
      </c>
      <c r="G2448" s="504" t="s">
        <v>568</v>
      </c>
      <c r="H2448" s="504" t="s">
        <v>11765</v>
      </c>
      <c r="I2448" s="504">
        <v>19</v>
      </c>
      <c r="J2448" s="504">
        <v>0</v>
      </c>
      <c r="K2448" s="504">
        <v>0</v>
      </c>
      <c r="L2448" s="504">
        <v>19</v>
      </c>
      <c r="M2448" s="504">
        <v>0</v>
      </c>
      <c r="N2448" s="504">
        <v>0</v>
      </c>
      <c r="O2448" s="505">
        <v>0</v>
      </c>
    </row>
    <row r="2449" spans="1:15" x14ac:dyDescent="0.35">
      <c r="A2449" s="500" t="s">
        <v>1111</v>
      </c>
      <c r="B2449" s="501">
        <v>4873</v>
      </c>
      <c r="C2449" s="501" t="s">
        <v>1094</v>
      </c>
      <c r="D2449" s="501" t="s">
        <v>3380</v>
      </c>
      <c r="E2449" s="501" t="s">
        <v>3381</v>
      </c>
      <c r="F2449" s="501" t="s">
        <v>567</v>
      </c>
      <c r="G2449" s="501" t="s">
        <v>568</v>
      </c>
      <c r="H2449" s="501" t="s">
        <v>5301</v>
      </c>
      <c r="I2449" s="501">
        <v>69</v>
      </c>
      <c r="J2449" s="501">
        <v>44</v>
      </c>
      <c r="K2449" s="501">
        <v>0</v>
      </c>
      <c r="L2449" s="501">
        <v>0</v>
      </c>
      <c r="M2449" s="501">
        <v>0</v>
      </c>
      <c r="N2449" s="501">
        <v>0</v>
      </c>
      <c r="O2449" s="506">
        <v>25</v>
      </c>
    </row>
    <row r="2450" spans="1:15" x14ac:dyDescent="0.35">
      <c r="A2450" s="503" t="s">
        <v>1991</v>
      </c>
      <c r="B2450" s="504">
        <v>4844</v>
      </c>
      <c r="C2450" s="504" t="s">
        <v>1094</v>
      </c>
      <c r="D2450" s="504" t="s">
        <v>3380</v>
      </c>
      <c r="E2450" s="504" t="s">
        <v>3381</v>
      </c>
      <c r="F2450" s="504" t="s">
        <v>567</v>
      </c>
      <c r="G2450" s="504" t="s">
        <v>568</v>
      </c>
      <c r="H2450" s="504" t="s">
        <v>5302</v>
      </c>
      <c r="I2450" s="504">
        <v>5867</v>
      </c>
      <c r="J2450" s="504">
        <v>4187</v>
      </c>
      <c r="K2450" s="504">
        <v>0</v>
      </c>
      <c r="L2450" s="504">
        <v>84</v>
      </c>
      <c r="M2450" s="504">
        <v>1419</v>
      </c>
      <c r="N2450" s="504">
        <v>0</v>
      </c>
      <c r="O2450" s="505">
        <v>177</v>
      </c>
    </row>
    <row r="2451" spans="1:15" x14ac:dyDescent="0.35">
      <c r="A2451" s="500" t="s">
        <v>1114</v>
      </c>
      <c r="B2451" s="501" t="s">
        <v>2982</v>
      </c>
      <c r="C2451" s="501" t="s">
        <v>1094</v>
      </c>
      <c r="D2451" s="501" t="s">
        <v>3380</v>
      </c>
      <c r="E2451" s="501" t="s">
        <v>3381</v>
      </c>
      <c r="F2451" s="501" t="s">
        <v>567</v>
      </c>
      <c r="G2451" s="501" t="s">
        <v>568</v>
      </c>
      <c r="H2451" s="501" t="s">
        <v>5303</v>
      </c>
      <c r="I2451" s="501">
        <v>8</v>
      </c>
      <c r="J2451" s="501">
        <v>0</v>
      </c>
      <c r="K2451" s="501">
        <v>0</v>
      </c>
      <c r="L2451" s="501">
        <v>0</v>
      </c>
      <c r="M2451" s="501">
        <v>0</v>
      </c>
      <c r="N2451" s="501">
        <v>0</v>
      </c>
      <c r="O2451" s="506">
        <v>8</v>
      </c>
    </row>
    <row r="2452" spans="1:15" x14ac:dyDescent="0.35">
      <c r="A2452" s="503" t="s">
        <v>1995</v>
      </c>
      <c r="B2452" s="504" t="s">
        <v>2566</v>
      </c>
      <c r="C2452" s="504" t="s">
        <v>1089</v>
      </c>
      <c r="D2452" s="504" t="s">
        <v>3392</v>
      </c>
      <c r="E2452" s="504" t="s">
        <v>3381</v>
      </c>
      <c r="F2452" s="504" t="s">
        <v>567</v>
      </c>
      <c r="G2452" s="504" t="s">
        <v>568</v>
      </c>
      <c r="H2452" s="504" t="s">
        <v>11862</v>
      </c>
      <c r="I2452" s="504">
        <v>43</v>
      </c>
      <c r="J2452" s="504">
        <v>0</v>
      </c>
      <c r="K2452" s="504">
        <v>0</v>
      </c>
      <c r="L2452" s="504">
        <v>0</v>
      </c>
      <c r="M2452" s="504">
        <v>43</v>
      </c>
      <c r="N2452" s="504">
        <v>0</v>
      </c>
      <c r="O2452" s="505">
        <v>0</v>
      </c>
    </row>
    <row r="2453" spans="1:15" x14ac:dyDescent="0.35">
      <c r="A2453" s="500" t="s">
        <v>1120</v>
      </c>
      <c r="B2453" s="501" t="s">
        <v>3362</v>
      </c>
      <c r="C2453" s="501" t="s">
        <v>1094</v>
      </c>
      <c r="D2453" s="501" t="s">
        <v>3380</v>
      </c>
      <c r="E2453" s="501" t="s">
        <v>3381</v>
      </c>
      <c r="F2453" s="501" t="s">
        <v>567</v>
      </c>
      <c r="G2453" s="501" t="s">
        <v>568</v>
      </c>
      <c r="H2453" s="501" t="s">
        <v>11873</v>
      </c>
      <c r="I2453" s="501">
        <v>2</v>
      </c>
      <c r="J2453" s="501">
        <v>0</v>
      </c>
      <c r="K2453" s="501">
        <v>0</v>
      </c>
      <c r="L2453" s="501">
        <v>0</v>
      </c>
      <c r="M2453" s="501">
        <v>0</v>
      </c>
      <c r="N2453" s="501">
        <v>0</v>
      </c>
      <c r="O2453" s="506">
        <v>2</v>
      </c>
    </row>
    <row r="2454" spans="1:15" x14ac:dyDescent="0.35">
      <c r="A2454" s="503" t="s">
        <v>1221</v>
      </c>
      <c r="B2454" s="504">
        <v>4728</v>
      </c>
      <c r="C2454" s="504" t="s">
        <v>1089</v>
      </c>
      <c r="D2454" s="504" t="s">
        <v>3392</v>
      </c>
      <c r="E2454" s="504" t="s">
        <v>3381</v>
      </c>
      <c r="F2454" s="504" t="s">
        <v>567</v>
      </c>
      <c r="G2454" s="504" t="s">
        <v>568</v>
      </c>
      <c r="H2454" s="504" t="s">
        <v>5304</v>
      </c>
      <c r="I2454" s="504">
        <v>3</v>
      </c>
      <c r="J2454" s="504">
        <v>0</v>
      </c>
      <c r="K2454" s="504">
        <v>0</v>
      </c>
      <c r="L2454" s="504">
        <v>3</v>
      </c>
      <c r="M2454" s="504">
        <v>0</v>
      </c>
      <c r="N2454" s="504">
        <v>0</v>
      </c>
      <c r="O2454" s="505">
        <v>0</v>
      </c>
    </row>
    <row r="2455" spans="1:15" x14ac:dyDescent="0.35">
      <c r="A2455" s="500" t="s">
        <v>1122</v>
      </c>
      <c r="B2455" s="501" t="s">
        <v>2994</v>
      </c>
      <c r="C2455" s="501" t="s">
        <v>1094</v>
      </c>
      <c r="D2455" s="501" t="s">
        <v>3380</v>
      </c>
      <c r="E2455" s="501" t="s">
        <v>3381</v>
      </c>
      <c r="F2455" s="501" t="s">
        <v>567</v>
      </c>
      <c r="G2455" s="501" t="s">
        <v>568</v>
      </c>
      <c r="H2455" s="501" t="s">
        <v>5305</v>
      </c>
      <c r="I2455" s="501">
        <v>94</v>
      </c>
      <c r="J2455" s="501">
        <v>70</v>
      </c>
      <c r="K2455" s="501">
        <v>0</v>
      </c>
      <c r="L2455" s="501">
        <v>0</v>
      </c>
      <c r="M2455" s="501">
        <v>0</v>
      </c>
      <c r="N2455" s="501">
        <v>0</v>
      </c>
      <c r="O2455" s="506">
        <v>24</v>
      </c>
    </row>
    <row r="2456" spans="1:15" x14ac:dyDescent="0.35">
      <c r="A2456" s="503" t="s">
        <v>1124</v>
      </c>
      <c r="B2456" s="504">
        <v>4745</v>
      </c>
      <c r="C2456" s="504" t="s">
        <v>1094</v>
      </c>
      <c r="D2456" s="504" t="s">
        <v>3380</v>
      </c>
      <c r="E2456" s="504" t="s">
        <v>3381</v>
      </c>
      <c r="F2456" s="504" t="s">
        <v>567</v>
      </c>
      <c r="G2456" s="504" t="s">
        <v>568</v>
      </c>
      <c r="H2456" s="504" t="s">
        <v>5306</v>
      </c>
      <c r="I2456" s="504">
        <v>17</v>
      </c>
      <c r="J2456" s="504">
        <v>0</v>
      </c>
      <c r="K2456" s="504">
        <v>0</v>
      </c>
      <c r="L2456" s="504">
        <v>17</v>
      </c>
      <c r="M2456" s="504">
        <v>0</v>
      </c>
      <c r="N2456" s="504">
        <v>0</v>
      </c>
      <c r="O2456" s="505">
        <v>0</v>
      </c>
    </row>
    <row r="2457" spans="1:15" x14ac:dyDescent="0.35">
      <c r="A2457" s="500" t="s">
        <v>1233</v>
      </c>
      <c r="B2457" s="501">
        <v>4636</v>
      </c>
      <c r="C2457" s="501" t="s">
        <v>1094</v>
      </c>
      <c r="D2457" s="501" t="s">
        <v>3380</v>
      </c>
      <c r="E2457" s="501" t="s">
        <v>3381</v>
      </c>
      <c r="F2457" s="501" t="s">
        <v>567</v>
      </c>
      <c r="G2457" s="501" t="s">
        <v>568</v>
      </c>
      <c r="H2457" s="501" t="s">
        <v>14636</v>
      </c>
      <c r="I2457" s="501">
        <v>73</v>
      </c>
      <c r="J2457" s="501">
        <v>51</v>
      </c>
      <c r="K2457" s="501">
        <v>0</v>
      </c>
      <c r="L2457" s="501">
        <v>0</v>
      </c>
      <c r="M2457" s="501">
        <v>0</v>
      </c>
      <c r="N2457" s="501">
        <v>0</v>
      </c>
      <c r="O2457" s="506">
        <v>22</v>
      </c>
    </row>
    <row r="2458" spans="1:15" x14ac:dyDescent="0.35">
      <c r="A2458" s="503" t="s">
        <v>11368</v>
      </c>
      <c r="B2458" s="504">
        <v>5083</v>
      </c>
      <c r="C2458" s="504" t="s">
        <v>1094</v>
      </c>
      <c r="D2458" s="504" t="s">
        <v>3380</v>
      </c>
      <c r="E2458" s="504" t="s">
        <v>3381</v>
      </c>
      <c r="F2458" s="504" t="s">
        <v>567</v>
      </c>
      <c r="G2458" s="504" t="s">
        <v>568</v>
      </c>
      <c r="H2458" s="504" t="s">
        <v>14637</v>
      </c>
      <c r="I2458" s="504">
        <v>9</v>
      </c>
      <c r="J2458" s="504">
        <v>9</v>
      </c>
      <c r="K2458" s="504">
        <v>0</v>
      </c>
      <c r="L2458" s="504">
        <v>0</v>
      </c>
      <c r="M2458" s="504">
        <v>0</v>
      </c>
      <c r="N2458" s="504">
        <v>0</v>
      </c>
      <c r="O2458" s="505">
        <v>0</v>
      </c>
    </row>
    <row r="2459" spans="1:15" x14ac:dyDescent="0.35">
      <c r="A2459" s="500" t="s">
        <v>1126</v>
      </c>
      <c r="B2459" s="501" t="s">
        <v>2974</v>
      </c>
      <c r="C2459" s="501" t="s">
        <v>1094</v>
      </c>
      <c r="D2459" s="501" t="s">
        <v>3380</v>
      </c>
      <c r="E2459" s="501" t="s">
        <v>3381</v>
      </c>
      <c r="F2459" s="501" t="s">
        <v>567</v>
      </c>
      <c r="G2459" s="501" t="s">
        <v>568</v>
      </c>
      <c r="H2459" s="501" t="s">
        <v>5307</v>
      </c>
      <c r="I2459" s="501">
        <v>110</v>
      </c>
      <c r="J2459" s="501">
        <v>60</v>
      </c>
      <c r="K2459" s="501">
        <v>0</v>
      </c>
      <c r="L2459" s="501">
        <v>0</v>
      </c>
      <c r="M2459" s="501">
        <v>50</v>
      </c>
      <c r="N2459" s="501">
        <v>0</v>
      </c>
      <c r="O2459" s="506">
        <v>0</v>
      </c>
    </row>
    <row r="2460" spans="1:15" x14ac:dyDescent="0.35">
      <c r="A2460" s="503" t="s">
        <v>1128</v>
      </c>
      <c r="B2460" s="504" t="s">
        <v>3250</v>
      </c>
      <c r="C2460" s="504" t="s">
        <v>1089</v>
      </c>
      <c r="D2460" s="504" t="s">
        <v>3392</v>
      </c>
      <c r="E2460" s="504" t="s">
        <v>3381</v>
      </c>
      <c r="F2460" s="504" t="s">
        <v>567</v>
      </c>
      <c r="G2460" s="504" t="s">
        <v>568</v>
      </c>
      <c r="H2460" s="504" t="s">
        <v>5308</v>
      </c>
      <c r="I2460" s="504">
        <v>12</v>
      </c>
      <c r="J2460" s="504">
        <v>12</v>
      </c>
      <c r="K2460" s="504">
        <v>0</v>
      </c>
      <c r="L2460" s="504">
        <v>0</v>
      </c>
      <c r="M2460" s="504">
        <v>0</v>
      </c>
      <c r="N2460" s="504">
        <v>0</v>
      </c>
      <c r="O2460" s="505">
        <v>0</v>
      </c>
    </row>
    <row r="2461" spans="1:15" x14ac:dyDescent="0.35">
      <c r="A2461" s="500" t="s">
        <v>2017</v>
      </c>
      <c r="B2461" s="501" t="s">
        <v>3101</v>
      </c>
      <c r="C2461" s="501" t="s">
        <v>1089</v>
      </c>
      <c r="D2461" s="501" t="s">
        <v>3392</v>
      </c>
      <c r="E2461" s="501" t="s">
        <v>3381</v>
      </c>
      <c r="F2461" s="501" t="s">
        <v>567</v>
      </c>
      <c r="G2461" s="501" t="s">
        <v>568</v>
      </c>
      <c r="H2461" s="501" t="s">
        <v>5309</v>
      </c>
      <c r="I2461" s="501">
        <v>2</v>
      </c>
      <c r="J2461" s="501">
        <v>2</v>
      </c>
      <c r="K2461" s="501">
        <v>0</v>
      </c>
      <c r="L2461" s="501">
        <v>0</v>
      </c>
      <c r="M2461" s="501">
        <v>0</v>
      </c>
      <c r="N2461" s="501">
        <v>0</v>
      </c>
      <c r="O2461" s="506">
        <v>0</v>
      </c>
    </row>
    <row r="2462" spans="1:15" x14ac:dyDescent="0.35">
      <c r="A2462" s="503" t="s">
        <v>1132</v>
      </c>
      <c r="B2462" s="504">
        <v>4837</v>
      </c>
      <c r="C2462" s="504" t="s">
        <v>1094</v>
      </c>
      <c r="D2462" s="504" t="s">
        <v>3380</v>
      </c>
      <c r="E2462" s="504" t="s">
        <v>3381</v>
      </c>
      <c r="F2462" s="504" t="s">
        <v>567</v>
      </c>
      <c r="G2462" s="504" t="s">
        <v>568</v>
      </c>
      <c r="H2462" s="504" t="s">
        <v>5310</v>
      </c>
      <c r="I2462" s="504">
        <v>4650</v>
      </c>
      <c r="J2462" s="504">
        <v>3822</v>
      </c>
      <c r="K2462" s="504">
        <v>0</v>
      </c>
      <c r="L2462" s="504">
        <v>81</v>
      </c>
      <c r="M2462" s="504">
        <v>344</v>
      </c>
      <c r="N2462" s="504">
        <v>1</v>
      </c>
      <c r="O2462" s="505">
        <v>403</v>
      </c>
    </row>
    <row r="2463" spans="1:15" x14ac:dyDescent="0.35">
      <c r="A2463" s="500" t="s">
        <v>1241</v>
      </c>
      <c r="B2463" s="501">
        <v>4717</v>
      </c>
      <c r="C2463" s="501" t="s">
        <v>1094</v>
      </c>
      <c r="D2463" s="501" t="s">
        <v>3380</v>
      </c>
      <c r="E2463" s="501" t="s">
        <v>3381</v>
      </c>
      <c r="F2463" s="501" t="s">
        <v>567</v>
      </c>
      <c r="G2463" s="501" t="s">
        <v>568</v>
      </c>
      <c r="H2463" s="501" t="s">
        <v>5311</v>
      </c>
      <c r="I2463" s="501">
        <v>6</v>
      </c>
      <c r="J2463" s="501">
        <v>6</v>
      </c>
      <c r="K2463" s="501">
        <v>0</v>
      </c>
      <c r="L2463" s="501">
        <v>0</v>
      </c>
      <c r="M2463" s="501">
        <v>0</v>
      </c>
      <c r="N2463" s="501">
        <v>0</v>
      </c>
      <c r="O2463" s="506">
        <v>0</v>
      </c>
    </row>
    <row r="2464" spans="1:15" x14ac:dyDescent="0.35">
      <c r="A2464" s="503" t="s">
        <v>1134</v>
      </c>
      <c r="B2464" s="504" t="s">
        <v>3066</v>
      </c>
      <c r="C2464" s="504" t="s">
        <v>1094</v>
      </c>
      <c r="D2464" s="504" t="s">
        <v>3380</v>
      </c>
      <c r="E2464" s="504" t="s">
        <v>3381</v>
      </c>
      <c r="F2464" s="504" t="s">
        <v>567</v>
      </c>
      <c r="G2464" s="504" t="s">
        <v>568</v>
      </c>
      <c r="H2464" s="504" t="s">
        <v>5312</v>
      </c>
      <c r="I2464" s="504">
        <v>1216</v>
      </c>
      <c r="J2464" s="504">
        <v>1046</v>
      </c>
      <c r="K2464" s="504">
        <v>0</v>
      </c>
      <c r="L2464" s="504">
        <v>9</v>
      </c>
      <c r="M2464" s="504">
        <v>33</v>
      </c>
      <c r="N2464" s="504">
        <v>0</v>
      </c>
      <c r="O2464" s="505">
        <v>128</v>
      </c>
    </row>
    <row r="2465" spans="1:15" x14ac:dyDescent="0.35">
      <c r="A2465" s="500" t="s">
        <v>2020</v>
      </c>
      <c r="B2465" s="501">
        <v>5089</v>
      </c>
      <c r="C2465" s="501" t="s">
        <v>1089</v>
      </c>
      <c r="D2465" s="501" t="s">
        <v>3392</v>
      </c>
      <c r="E2465" s="501" t="s">
        <v>3381</v>
      </c>
      <c r="F2465" s="501" t="s">
        <v>567</v>
      </c>
      <c r="G2465" s="501" t="s">
        <v>568</v>
      </c>
      <c r="H2465" s="501" t="s">
        <v>5313</v>
      </c>
      <c r="I2465" s="501">
        <v>35</v>
      </c>
      <c r="J2465" s="501">
        <v>9</v>
      </c>
      <c r="K2465" s="501">
        <v>0</v>
      </c>
      <c r="L2465" s="501">
        <v>26</v>
      </c>
      <c r="M2465" s="501">
        <v>0</v>
      </c>
      <c r="N2465" s="501">
        <v>0</v>
      </c>
      <c r="O2465" s="506">
        <v>0</v>
      </c>
    </row>
    <row r="2466" spans="1:15" x14ac:dyDescent="0.35">
      <c r="A2466" s="503" t="s">
        <v>1136</v>
      </c>
      <c r="B2466" s="504">
        <v>4680</v>
      </c>
      <c r="C2466" s="504" t="s">
        <v>1094</v>
      </c>
      <c r="D2466" s="504" t="s">
        <v>3380</v>
      </c>
      <c r="E2466" s="504" t="s">
        <v>3381</v>
      </c>
      <c r="F2466" s="504" t="s">
        <v>567</v>
      </c>
      <c r="G2466" s="504" t="s">
        <v>568</v>
      </c>
      <c r="H2466" s="504" t="s">
        <v>5314</v>
      </c>
      <c r="I2466" s="504">
        <v>7531</v>
      </c>
      <c r="J2466" s="504">
        <v>5799</v>
      </c>
      <c r="K2466" s="504">
        <v>16</v>
      </c>
      <c r="L2466" s="504">
        <v>207</v>
      </c>
      <c r="M2466" s="504">
        <v>1272</v>
      </c>
      <c r="N2466" s="504">
        <v>1</v>
      </c>
      <c r="O2466" s="505">
        <v>237</v>
      </c>
    </row>
    <row r="2467" spans="1:15" x14ac:dyDescent="0.35">
      <c r="A2467" s="500" t="s">
        <v>2021</v>
      </c>
      <c r="B2467" s="501" t="s">
        <v>3099</v>
      </c>
      <c r="C2467" s="501" t="s">
        <v>1089</v>
      </c>
      <c r="D2467" s="501" t="s">
        <v>3392</v>
      </c>
      <c r="E2467" s="501" t="s">
        <v>3381</v>
      </c>
      <c r="F2467" s="501" t="s">
        <v>567</v>
      </c>
      <c r="G2467" s="501" t="s">
        <v>568</v>
      </c>
      <c r="H2467" s="501" t="s">
        <v>5315</v>
      </c>
      <c r="I2467" s="501">
        <v>39</v>
      </c>
      <c r="J2467" s="501">
        <v>39</v>
      </c>
      <c r="K2467" s="501">
        <v>0</v>
      </c>
      <c r="L2467" s="501">
        <v>0</v>
      </c>
      <c r="M2467" s="501">
        <v>0</v>
      </c>
      <c r="N2467" s="501">
        <v>0</v>
      </c>
      <c r="O2467" s="506">
        <v>0</v>
      </c>
    </row>
    <row r="2468" spans="1:15" x14ac:dyDescent="0.35">
      <c r="A2468" s="503" t="s">
        <v>1559</v>
      </c>
      <c r="B2468" s="504" t="s">
        <v>3252</v>
      </c>
      <c r="C2468" s="504" t="s">
        <v>1089</v>
      </c>
      <c r="D2468" s="504" t="s">
        <v>3392</v>
      </c>
      <c r="E2468" s="504" t="s">
        <v>3381</v>
      </c>
      <c r="F2468" s="504" t="s">
        <v>567</v>
      </c>
      <c r="G2468" s="504" t="s">
        <v>568</v>
      </c>
      <c r="H2468" s="504" t="s">
        <v>5316</v>
      </c>
      <c r="I2468" s="504">
        <v>29</v>
      </c>
      <c r="J2468" s="504">
        <v>0</v>
      </c>
      <c r="K2468" s="504">
        <v>0</v>
      </c>
      <c r="L2468" s="504">
        <v>0</v>
      </c>
      <c r="M2468" s="504">
        <v>29</v>
      </c>
      <c r="N2468" s="504">
        <v>0</v>
      </c>
      <c r="O2468" s="505">
        <v>0</v>
      </c>
    </row>
    <row r="2469" spans="1:15" x14ac:dyDescent="0.35">
      <c r="A2469" s="500" t="s">
        <v>11425</v>
      </c>
      <c r="B2469" s="501" t="s">
        <v>2893</v>
      </c>
      <c r="C2469" s="501" t="s">
        <v>1089</v>
      </c>
      <c r="D2469" s="501" t="s">
        <v>3392</v>
      </c>
      <c r="E2469" s="501" t="s">
        <v>3381</v>
      </c>
      <c r="F2469" s="501" t="s">
        <v>567</v>
      </c>
      <c r="G2469" s="501" t="s">
        <v>568</v>
      </c>
      <c r="H2469" s="501" t="s">
        <v>12188</v>
      </c>
      <c r="I2469" s="501">
        <v>9</v>
      </c>
      <c r="J2469" s="501">
        <v>0</v>
      </c>
      <c r="K2469" s="501">
        <v>0</v>
      </c>
      <c r="L2469" s="501">
        <v>0</v>
      </c>
      <c r="M2469" s="501">
        <v>9</v>
      </c>
      <c r="N2469" s="501">
        <v>0</v>
      </c>
      <c r="O2469" s="506">
        <v>0</v>
      </c>
    </row>
    <row r="2470" spans="1:15" x14ac:dyDescent="0.35">
      <c r="A2470" s="503" t="s">
        <v>2026</v>
      </c>
      <c r="B2470" s="504" t="s">
        <v>2832</v>
      </c>
      <c r="C2470" s="504" t="s">
        <v>1089</v>
      </c>
      <c r="D2470" s="504" t="s">
        <v>3392</v>
      </c>
      <c r="E2470" s="504" t="s">
        <v>3381</v>
      </c>
      <c r="F2470" s="504" t="s">
        <v>567</v>
      </c>
      <c r="G2470" s="504" t="s">
        <v>568</v>
      </c>
      <c r="H2470" s="504" t="s">
        <v>5317</v>
      </c>
      <c r="I2470" s="504">
        <v>10</v>
      </c>
      <c r="J2470" s="504">
        <v>0</v>
      </c>
      <c r="K2470" s="504">
        <v>0</v>
      </c>
      <c r="L2470" s="504">
        <v>0</v>
      </c>
      <c r="M2470" s="504">
        <v>10</v>
      </c>
      <c r="N2470" s="504">
        <v>0</v>
      </c>
      <c r="O2470" s="505">
        <v>0</v>
      </c>
    </row>
    <row r="2471" spans="1:15" x14ac:dyDescent="0.35">
      <c r="A2471" s="500" t="s">
        <v>1245</v>
      </c>
      <c r="B2471" s="501" t="s">
        <v>2859</v>
      </c>
      <c r="C2471" s="501" t="s">
        <v>1094</v>
      </c>
      <c r="D2471" s="501" t="s">
        <v>3380</v>
      </c>
      <c r="E2471" s="501" t="s">
        <v>3381</v>
      </c>
      <c r="F2471" s="501" t="s">
        <v>567</v>
      </c>
      <c r="G2471" s="501" t="s">
        <v>568</v>
      </c>
      <c r="H2471" s="501" t="s">
        <v>5318</v>
      </c>
      <c r="I2471" s="501">
        <v>29</v>
      </c>
      <c r="J2471" s="501">
        <v>0</v>
      </c>
      <c r="K2471" s="501">
        <v>0</v>
      </c>
      <c r="L2471" s="501">
        <v>0</v>
      </c>
      <c r="M2471" s="501">
        <v>29</v>
      </c>
      <c r="N2471" s="501">
        <v>0</v>
      </c>
      <c r="O2471" s="506">
        <v>0</v>
      </c>
    </row>
    <row r="2472" spans="1:15" x14ac:dyDescent="0.35">
      <c r="A2472" s="503" t="s">
        <v>1249</v>
      </c>
      <c r="B2472" s="504">
        <v>4729</v>
      </c>
      <c r="C2472" s="504" t="s">
        <v>1094</v>
      </c>
      <c r="D2472" s="504" t="s">
        <v>3380</v>
      </c>
      <c r="E2472" s="504" t="s">
        <v>3381</v>
      </c>
      <c r="F2472" s="504" t="s">
        <v>567</v>
      </c>
      <c r="G2472" s="504" t="s">
        <v>568</v>
      </c>
      <c r="H2472" s="504" t="s">
        <v>5319</v>
      </c>
      <c r="I2472" s="504">
        <v>279</v>
      </c>
      <c r="J2472" s="504">
        <v>234</v>
      </c>
      <c r="K2472" s="504">
        <v>0</v>
      </c>
      <c r="L2472" s="504">
        <v>0</v>
      </c>
      <c r="M2472" s="504">
        <v>0</v>
      </c>
      <c r="N2472" s="504">
        <v>0</v>
      </c>
      <c r="O2472" s="505">
        <v>45</v>
      </c>
    </row>
    <row r="2473" spans="1:15" x14ac:dyDescent="0.35">
      <c r="A2473" s="500" t="s">
        <v>2042</v>
      </c>
      <c r="B2473" s="501" t="s">
        <v>2619</v>
      </c>
      <c r="C2473" s="501" t="s">
        <v>1089</v>
      </c>
      <c r="D2473" s="501" t="s">
        <v>3392</v>
      </c>
      <c r="E2473" s="501" t="s">
        <v>3381</v>
      </c>
      <c r="F2473" s="501" t="s">
        <v>567</v>
      </c>
      <c r="G2473" s="501" t="s">
        <v>568</v>
      </c>
      <c r="H2473" s="501" t="s">
        <v>5320</v>
      </c>
      <c r="I2473" s="501">
        <v>3</v>
      </c>
      <c r="J2473" s="501">
        <v>3</v>
      </c>
      <c r="K2473" s="501">
        <v>0</v>
      </c>
      <c r="L2473" s="501">
        <v>0</v>
      </c>
      <c r="M2473" s="501">
        <v>0</v>
      </c>
      <c r="N2473" s="501">
        <v>0</v>
      </c>
      <c r="O2473" s="506">
        <v>0</v>
      </c>
    </row>
    <row r="2474" spans="1:15" x14ac:dyDescent="0.35">
      <c r="A2474" s="503" t="s">
        <v>11475</v>
      </c>
      <c r="B2474" s="504" t="s">
        <v>2884</v>
      </c>
      <c r="C2474" s="504" t="s">
        <v>1089</v>
      </c>
      <c r="D2474" s="504" t="s">
        <v>3392</v>
      </c>
      <c r="E2474" s="504" t="s">
        <v>3381</v>
      </c>
      <c r="F2474" s="504" t="s">
        <v>567</v>
      </c>
      <c r="G2474" s="504" t="s">
        <v>568</v>
      </c>
      <c r="H2474" s="504" t="s">
        <v>12225</v>
      </c>
      <c r="I2474" s="504">
        <v>15</v>
      </c>
      <c r="J2474" s="504">
        <v>0</v>
      </c>
      <c r="K2474" s="504">
        <v>0</v>
      </c>
      <c r="L2474" s="504">
        <v>15</v>
      </c>
      <c r="M2474" s="504">
        <v>0</v>
      </c>
      <c r="N2474" s="504">
        <v>0</v>
      </c>
      <c r="O2474" s="505">
        <v>0</v>
      </c>
    </row>
    <row r="2475" spans="1:15" x14ac:dyDescent="0.35">
      <c r="A2475" s="500" t="s">
        <v>1138</v>
      </c>
      <c r="B2475" s="501" t="s">
        <v>2998</v>
      </c>
      <c r="C2475" s="501" t="s">
        <v>1094</v>
      </c>
      <c r="D2475" s="501" t="s">
        <v>3380</v>
      </c>
      <c r="E2475" s="501" t="s">
        <v>3381</v>
      </c>
      <c r="F2475" s="501" t="s">
        <v>567</v>
      </c>
      <c r="G2475" s="501" t="s">
        <v>568</v>
      </c>
      <c r="H2475" s="501" t="s">
        <v>5321</v>
      </c>
      <c r="I2475" s="501">
        <v>87</v>
      </c>
      <c r="J2475" s="501">
        <v>42</v>
      </c>
      <c r="K2475" s="501">
        <v>0</v>
      </c>
      <c r="L2475" s="501">
        <v>0</v>
      </c>
      <c r="M2475" s="501">
        <v>0</v>
      </c>
      <c r="N2475" s="501">
        <v>0</v>
      </c>
      <c r="O2475" s="506">
        <v>45</v>
      </c>
    </row>
    <row r="2476" spans="1:15" x14ac:dyDescent="0.35">
      <c r="A2476" s="503" t="s">
        <v>2046</v>
      </c>
      <c r="B2476" s="504" t="s">
        <v>2425</v>
      </c>
      <c r="C2476" s="504" t="s">
        <v>1089</v>
      </c>
      <c r="D2476" s="504" t="s">
        <v>3392</v>
      </c>
      <c r="E2476" s="504" t="s">
        <v>3381</v>
      </c>
      <c r="F2476" s="504" t="s">
        <v>567</v>
      </c>
      <c r="G2476" s="504" t="s">
        <v>568</v>
      </c>
      <c r="H2476" s="504" t="s">
        <v>5322</v>
      </c>
      <c r="I2476" s="504">
        <v>4</v>
      </c>
      <c r="J2476" s="504">
        <v>0</v>
      </c>
      <c r="K2476" s="504">
        <v>0</v>
      </c>
      <c r="L2476" s="504">
        <v>0</v>
      </c>
      <c r="M2476" s="504">
        <v>4</v>
      </c>
      <c r="N2476" s="504">
        <v>0</v>
      </c>
      <c r="O2476" s="505">
        <v>0</v>
      </c>
    </row>
    <row r="2477" spans="1:15" x14ac:dyDescent="0.35">
      <c r="A2477" s="500" t="s">
        <v>1262</v>
      </c>
      <c r="B2477" s="501">
        <v>4772</v>
      </c>
      <c r="C2477" s="501" t="s">
        <v>1089</v>
      </c>
      <c r="D2477" s="501" t="s">
        <v>3392</v>
      </c>
      <c r="E2477" s="501" t="s">
        <v>3381</v>
      </c>
      <c r="F2477" s="501" t="s">
        <v>567</v>
      </c>
      <c r="G2477" s="501" t="s">
        <v>568</v>
      </c>
      <c r="H2477" s="501" t="s">
        <v>5323</v>
      </c>
      <c r="I2477" s="501">
        <v>34</v>
      </c>
      <c r="J2477" s="501">
        <v>0</v>
      </c>
      <c r="K2477" s="501">
        <v>0</v>
      </c>
      <c r="L2477" s="501">
        <v>34</v>
      </c>
      <c r="M2477" s="501">
        <v>0</v>
      </c>
      <c r="N2477" s="501">
        <v>0</v>
      </c>
      <c r="O2477" s="506">
        <v>0</v>
      </c>
    </row>
    <row r="2478" spans="1:15" x14ac:dyDescent="0.35">
      <c r="A2478" s="503" t="s">
        <v>1093</v>
      </c>
      <c r="B2478" s="504" t="s">
        <v>3248</v>
      </c>
      <c r="C2478" s="504" t="s">
        <v>1094</v>
      </c>
      <c r="D2478" s="504" t="s">
        <v>3380</v>
      </c>
      <c r="E2478" s="504" t="s">
        <v>3381</v>
      </c>
      <c r="F2478" s="504" t="s">
        <v>569</v>
      </c>
      <c r="G2478" s="504" t="s">
        <v>570</v>
      </c>
      <c r="H2478" s="504" t="s">
        <v>5324</v>
      </c>
      <c r="I2478" s="504">
        <v>1</v>
      </c>
      <c r="J2478" s="504">
        <v>0</v>
      </c>
      <c r="K2478" s="504">
        <v>0</v>
      </c>
      <c r="L2478" s="504">
        <v>0</v>
      </c>
      <c r="M2478" s="504">
        <v>0</v>
      </c>
      <c r="N2478" s="504">
        <v>0</v>
      </c>
      <c r="O2478" s="505">
        <v>1</v>
      </c>
    </row>
    <row r="2479" spans="1:15" x14ac:dyDescent="0.35">
      <c r="A2479" s="500" t="s">
        <v>1096</v>
      </c>
      <c r="B2479" s="501" t="s">
        <v>3326</v>
      </c>
      <c r="C2479" s="501" t="s">
        <v>1094</v>
      </c>
      <c r="D2479" s="501" t="s">
        <v>3380</v>
      </c>
      <c r="E2479" s="501" t="s">
        <v>3381</v>
      </c>
      <c r="F2479" s="501" t="s">
        <v>569</v>
      </c>
      <c r="G2479" s="501" t="s">
        <v>570</v>
      </c>
      <c r="H2479" s="501" t="s">
        <v>5325</v>
      </c>
      <c r="I2479" s="501">
        <v>103</v>
      </c>
      <c r="J2479" s="501">
        <v>0</v>
      </c>
      <c r="K2479" s="501">
        <v>0</v>
      </c>
      <c r="L2479" s="501">
        <v>0</v>
      </c>
      <c r="M2479" s="501">
        <v>103</v>
      </c>
      <c r="N2479" s="501">
        <v>0</v>
      </c>
      <c r="O2479" s="506">
        <v>0</v>
      </c>
    </row>
    <row r="2480" spans="1:15" x14ac:dyDescent="0.35">
      <c r="A2480" s="503" t="s">
        <v>11363</v>
      </c>
      <c r="B2480" s="504">
        <v>4718</v>
      </c>
      <c r="C2480" s="504" t="s">
        <v>1094</v>
      </c>
      <c r="D2480" s="504" t="s">
        <v>3380</v>
      </c>
      <c r="E2480" s="504" t="s">
        <v>3381</v>
      </c>
      <c r="F2480" s="504" t="s">
        <v>569</v>
      </c>
      <c r="G2480" s="504" t="s">
        <v>570</v>
      </c>
      <c r="H2480" s="504" t="s">
        <v>11534</v>
      </c>
      <c r="I2480" s="504">
        <v>14</v>
      </c>
      <c r="J2480" s="504">
        <v>0</v>
      </c>
      <c r="K2480" s="504">
        <v>0</v>
      </c>
      <c r="L2480" s="504">
        <v>14</v>
      </c>
      <c r="M2480" s="504">
        <v>0</v>
      </c>
      <c r="N2480" s="504">
        <v>0</v>
      </c>
      <c r="O2480" s="505">
        <v>0</v>
      </c>
    </row>
    <row r="2481" spans="1:15" x14ac:dyDescent="0.35">
      <c r="A2481" s="500" t="s">
        <v>1100</v>
      </c>
      <c r="B2481" s="501">
        <v>4865</v>
      </c>
      <c r="C2481" s="501" t="s">
        <v>1094</v>
      </c>
      <c r="D2481" s="501" t="s">
        <v>3380</v>
      </c>
      <c r="E2481" s="501" t="s">
        <v>3381</v>
      </c>
      <c r="F2481" s="501" t="s">
        <v>569</v>
      </c>
      <c r="G2481" s="501" t="s">
        <v>570</v>
      </c>
      <c r="H2481" s="501" t="s">
        <v>5326</v>
      </c>
      <c r="I2481" s="501">
        <v>64</v>
      </c>
      <c r="J2481" s="501">
        <v>52</v>
      </c>
      <c r="K2481" s="501">
        <v>0</v>
      </c>
      <c r="L2481" s="501">
        <v>12</v>
      </c>
      <c r="M2481" s="501">
        <v>0</v>
      </c>
      <c r="N2481" s="501">
        <v>0</v>
      </c>
      <c r="O2481" s="506">
        <v>0</v>
      </c>
    </row>
    <row r="2482" spans="1:15" x14ac:dyDescent="0.35">
      <c r="A2482" s="503" t="s">
        <v>1175</v>
      </c>
      <c r="B2482" s="504" t="s">
        <v>3141</v>
      </c>
      <c r="C2482" s="504" t="s">
        <v>1094</v>
      </c>
      <c r="D2482" s="504" t="s">
        <v>3380</v>
      </c>
      <c r="E2482" s="504" t="s">
        <v>3381</v>
      </c>
      <c r="F2482" s="504" t="s">
        <v>569</v>
      </c>
      <c r="G2482" s="504" t="s">
        <v>570</v>
      </c>
      <c r="H2482" s="504" t="s">
        <v>5327</v>
      </c>
      <c r="I2482" s="504">
        <v>28</v>
      </c>
      <c r="J2482" s="504">
        <v>19</v>
      </c>
      <c r="K2482" s="504">
        <v>0</v>
      </c>
      <c r="L2482" s="504">
        <v>0</v>
      </c>
      <c r="M2482" s="504">
        <v>0</v>
      </c>
      <c r="N2482" s="504">
        <v>0</v>
      </c>
      <c r="O2482" s="505">
        <v>9</v>
      </c>
    </row>
    <row r="2483" spans="1:15" x14ac:dyDescent="0.35">
      <c r="A2483" s="500" t="s">
        <v>14208</v>
      </c>
      <c r="B2483" s="501">
        <v>4803</v>
      </c>
      <c r="C2483" s="501" t="s">
        <v>1094</v>
      </c>
      <c r="D2483" s="501" t="s">
        <v>3380</v>
      </c>
      <c r="E2483" s="501" t="s">
        <v>3381</v>
      </c>
      <c r="F2483" s="501" t="s">
        <v>569</v>
      </c>
      <c r="G2483" s="501" t="s">
        <v>570</v>
      </c>
      <c r="H2483" s="501" t="s">
        <v>14638</v>
      </c>
      <c r="I2483" s="501">
        <v>6</v>
      </c>
      <c r="J2483" s="501">
        <v>0</v>
      </c>
      <c r="K2483" s="501">
        <v>0</v>
      </c>
      <c r="L2483" s="501">
        <v>6</v>
      </c>
      <c r="M2483" s="501">
        <v>0</v>
      </c>
      <c r="N2483" s="501">
        <v>0</v>
      </c>
      <c r="O2483" s="506">
        <v>0</v>
      </c>
    </row>
    <row r="2484" spans="1:15" x14ac:dyDescent="0.35">
      <c r="A2484" s="503" t="s">
        <v>1105</v>
      </c>
      <c r="B2484" s="504">
        <v>4668</v>
      </c>
      <c r="C2484" s="504" t="s">
        <v>1094</v>
      </c>
      <c r="D2484" s="504" t="s">
        <v>3380</v>
      </c>
      <c r="E2484" s="504" t="s">
        <v>3381</v>
      </c>
      <c r="F2484" s="504" t="s">
        <v>569</v>
      </c>
      <c r="G2484" s="504" t="s">
        <v>570</v>
      </c>
      <c r="H2484" s="504" t="s">
        <v>14639</v>
      </c>
      <c r="I2484" s="504">
        <v>2</v>
      </c>
      <c r="J2484" s="504">
        <v>0</v>
      </c>
      <c r="K2484" s="504">
        <v>0</v>
      </c>
      <c r="L2484" s="504">
        <v>0</v>
      </c>
      <c r="M2484" s="504">
        <v>0</v>
      </c>
      <c r="N2484" s="504">
        <v>0</v>
      </c>
      <c r="O2484" s="505">
        <v>2</v>
      </c>
    </row>
    <row r="2485" spans="1:15" x14ac:dyDescent="0.35">
      <c r="A2485" s="500" t="s">
        <v>1188</v>
      </c>
      <c r="B2485" s="501">
        <v>4760</v>
      </c>
      <c r="C2485" s="501" t="s">
        <v>1089</v>
      </c>
      <c r="D2485" s="501" t="s">
        <v>3392</v>
      </c>
      <c r="E2485" s="501" t="s">
        <v>3381</v>
      </c>
      <c r="F2485" s="501" t="s">
        <v>569</v>
      </c>
      <c r="G2485" s="501" t="s">
        <v>570</v>
      </c>
      <c r="H2485" s="501" t="s">
        <v>5328</v>
      </c>
      <c r="I2485" s="501">
        <v>3</v>
      </c>
      <c r="J2485" s="501">
        <v>0</v>
      </c>
      <c r="K2485" s="501">
        <v>0</v>
      </c>
      <c r="L2485" s="501">
        <v>3</v>
      </c>
      <c r="M2485" s="501">
        <v>0</v>
      </c>
      <c r="N2485" s="501">
        <v>0</v>
      </c>
      <c r="O2485" s="506">
        <v>0</v>
      </c>
    </row>
    <row r="2486" spans="1:15" x14ac:dyDescent="0.35">
      <c r="A2486" s="503" t="s">
        <v>1107</v>
      </c>
      <c r="B2486" s="504" t="s">
        <v>3109</v>
      </c>
      <c r="C2486" s="504" t="s">
        <v>1094</v>
      </c>
      <c r="D2486" s="504" t="s">
        <v>3380</v>
      </c>
      <c r="E2486" s="504" t="s">
        <v>3381</v>
      </c>
      <c r="F2486" s="504" t="s">
        <v>569</v>
      </c>
      <c r="G2486" s="504" t="s">
        <v>570</v>
      </c>
      <c r="H2486" s="504" t="s">
        <v>5329</v>
      </c>
      <c r="I2486" s="504">
        <v>64</v>
      </c>
      <c r="J2486" s="504">
        <v>32</v>
      </c>
      <c r="K2486" s="504">
        <v>0</v>
      </c>
      <c r="L2486" s="504">
        <v>32</v>
      </c>
      <c r="M2486" s="504">
        <v>0</v>
      </c>
      <c r="N2486" s="504">
        <v>0</v>
      </c>
      <c r="O2486" s="505">
        <v>0</v>
      </c>
    </row>
    <row r="2487" spans="1:15" x14ac:dyDescent="0.35">
      <c r="A2487" s="500" t="s">
        <v>1109</v>
      </c>
      <c r="B2487" s="501" t="s">
        <v>2959</v>
      </c>
      <c r="C2487" s="501" t="s">
        <v>1094</v>
      </c>
      <c r="D2487" s="501" t="s">
        <v>3380</v>
      </c>
      <c r="E2487" s="501" t="s">
        <v>3381</v>
      </c>
      <c r="F2487" s="501" t="s">
        <v>569</v>
      </c>
      <c r="G2487" s="501" t="s">
        <v>570</v>
      </c>
      <c r="H2487" s="501" t="s">
        <v>5330</v>
      </c>
      <c r="I2487" s="501">
        <v>209</v>
      </c>
      <c r="J2487" s="501">
        <v>0</v>
      </c>
      <c r="K2487" s="501">
        <v>0</v>
      </c>
      <c r="L2487" s="501">
        <v>0</v>
      </c>
      <c r="M2487" s="501">
        <v>209</v>
      </c>
      <c r="N2487" s="501">
        <v>0</v>
      </c>
      <c r="O2487" s="506">
        <v>0</v>
      </c>
    </row>
    <row r="2488" spans="1:15" x14ac:dyDescent="0.35">
      <c r="A2488" s="503" t="s">
        <v>1190</v>
      </c>
      <c r="B2488" s="504">
        <v>4662</v>
      </c>
      <c r="C2488" s="504" t="s">
        <v>1094</v>
      </c>
      <c r="D2488" s="504" t="s">
        <v>3380</v>
      </c>
      <c r="E2488" s="504" t="s">
        <v>3381</v>
      </c>
      <c r="F2488" s="504" t="s">
        <v>569</v>
      </c>
      <c r="G2488" s="504" t="s">
        <v>570</v>
      </c>
      <c r="H2488" s="504" t="s">
        <v>14640</v>
      </c>
      <c r="I2488" s="504">
        <v>9</v>
      </c>
      <c r="J2488" s="504">
        <v>0</v>
      </c>
      <c r="K2488" s="504">
        <v>0</v>
      </c>
      <c r="L2488" s="504">
        <v>9</v>
      </c>
      <c r="M2488" s="504">
        <v>0</v>
      </c>
      <c r="N2488" s="504">
        <v>0</v>
      </c>
      <c r="O2488" s="505">
        <v>0</v>
      </c>
    </row>
    <row r="2489" spans="1:15" x14ac:dyDescent="0.35">
      <c r="A2489" s="500" t="s">
        <v>1494</v>
      </c>
      <c r="B2489" s="501" t="s">
        <v>3235</v>
      </c>
      <c r="C2489" s="501" t="s">
        <v>1094</v>
      </c>
      <c r="D2489" s="501" t="s">
        <v>3380</v>
      </c>
      <c r="E2489" s="501" t="s">
        <v>3381</v>
      </c>
      <c r="F2489" s="501" t="s">
        <v>569</v>
      </c>
      <c r="G2489" s="501" t="s">
        <v>570</v>
      </c>
      <c r="H2489" s="501" t="s">
        <v>5331</v>
      </c>
      <c r="I2489" s="501">
        <v>10</v>
      </c>
      <c r="J2489" s="501">
        <v>0</v>
      </c>
      <c r="K2489" s="501">
        <v>0</v>
      </c>
      <c r="L2489" s="501">
        <v>10</v>
      </c>
      <c r="M2489" s="501">
        <v>0</v>
      </c>
      <c r="N2489" s="501">
        <v>1</v>
      </c>
      <c r="O2489" s="506">
        <v>0</v>
      </c>
    </row>
    <row r="2490" spans="1:15" x14ac:dyDescent="0.35">
      <c r="A2490" s="503" t="s">
        <v>1864</v>
      </c>
      <c r="B2490" s="504" t="s">
        <v>2737</v>
      </c>
      <c r="C2490" s="504" t="s">
        <v>1089</v>
      </c>
      <c r="D2490" s="504" t="s">
        <v>3392</v>
      </c>
      <c r="E2490" s="504" t="s">
        <v>3381</v>
      </c>
      <c r="F2490" s="504" t="s">
        <v>569</v>
      </c>
      <c r="G2490" s="504" t="s">
        <v>570</v>
      </c>
      <c r="H2490" s="504" t="s">
        <v>5332</v>
      </c>
      <c r="I2490" s="504">
        <v>52</v>
      </c>
      <c r="J2490" s="504">
        <v>52</v>
      </c>
      <c r="K2490" s="504">
        <v>0</v>
      </c>
      <c r="L2490" s="504">
        <v>0</v>
      </c>
      <c r="M2490" s="504">
        <v>0</v>
      </c>
      <c r="N2490" s="504">
        <v>0</v>
      </c>
      <c r="O2490" s="505">
        <v>0</v>
      </c>
    </row>
    <row r="2491" spans="1:15" x14ac:dyDescent="0.35">
      <c r="A2491" s="500" t="s">
        <v>1114</v>
      </c>
      <c r="B2491" s="501" t="s">
        <v>2982</v>
      </c>
      <c r="C2491" s="501" t="s">
        <v>1094</v>
      </c>
      <c r="D2491" s="501" t="s">
        <v>3380</v>
      </c>
      <c r="E2491" s="501" t="s">
        <v>3381</v>
      </c>
      <c r="F2491" s="501" t="s">
        <v>569</v>
      </c>
      <c r="G2491" s="501" t="s">
        <v>570</v>
      </c>
      <c r="H2491" s="501" t="s">
        <v>5333</v>
      </c>
      <c r="I2491" s="501">
        <v>212</v>
      </c>
      <c r="J2491" s="501">
        <v>105</v>
      </c>
      <c r="K2491" s="501">
        <v>0</v>
      </c>
      <c r="L2491" s="501">
        <v>9</v>
      </c>
      <c r="M2491" s="501">
        <v>15</v>
      </c>
      <c r="N2491" s="501">
        <v>0</v>
      </c>
      <c r="O2491" s="506">
        <v>83</v>
      </c>
    </row>
    <row r="2492" spans="1:15" x14ac:dyDescent="0.35">
      <c r="A2492" s="503" t="s">
        <v>1320</v>
      </c>
      <c r="B2492" s="504">
        <v>4720</v>
      </c>
      <c r="C2492" s="504" t="s">
        <v>1089</v>
      </c>
      <c r="D2492" s="504" t="s">
        <v>3392</v>
      </c>
      <c r="E2492" s="504" t="s">
        <v>3381</v>
      </c>
      <c r="F2492" s="504" t="s">
        <v>569</v>
      </c>
      <c r="G2492" s="504" t="s">
        <v>570</v>
      </c>
      <c r="H2492" s="504" t="s">
        <v>11877</v>
      </c>
      <c r="I2492" s="504">
        <v>26</v>
      </c>
      <c r="J2492" s="504">
        <v>26</v>
      </c>
      <c r="K2492" s="504">
        <v>0</v>
      </c>
      <c r="L2492" s="504">
        <v>0</v>
      </c>
      <c r="M2492" s="504">
        <v>0</v>
      </c>
      <c r="N2492" s="504">
        <v>0</v>
      </c>
      <c r="O2492" s="505">
        <v>0</v>
      </c>
    </row>
    <row r="2493" spans="1:15" x14ac:dyDescent="0.35">
      <c r="A2493" s="500" t="s">
        <v>1218</v>
      </c>
      <c r="B2493" s="501" t="s">
        <v>3147</v>
      </c>
      <c r="C2493" s="501" t="s">
        <v>1094</v>
      </c>
      <c r="D2493" s="501" t="s">
        <v>3380</v>
      </c>
      <c r="E2493" s="501" t="s">
        <v>3381</v>
      </c>
      <c r="F2493" s="501" t="s">
        <v>569</v>
      </c>
      <c r="G2493" s="501" t="s">
        <v>570</v>
      </c>
      <c r="H2493" s="501" t="s">
        <v>5334</v>
      </c>
      <c r="I2493" s="501">
        <v>20</v>
      </c>
      <c r="J2493" s="501">
        <v>0</v>
      </c>
      <c r="K2493" s="501">
        <v>0</v>
      </c>
      <c r="L2493" s="501">
        <v>0</v>
      </c>
      <c r="M2493" s="501">
        <v>0</v>
      </c>
      <c r="N2493" s="501">
        <v>0</v>
      </c>
      <c r="O2493" s="506">
        <v>20</v>
      </c>
    </row>
    <row r="2494" spans="1:15" x14ac:dyDescent="0.35">
      <c r="A2494" s="503" t="s">
        <v>11367</v>
      </c>
      <c r="B2494" s="504" t="s">
        <v>3143</v>
      </c>
      <c r="C2494" s="504" t="s">
        <v>1094</v>
      </c>
      <c r="D2494" s="504" t="s">
        <v>3380</v>
      </c>
      <c r="E2494" s="504" t="s">
        <v>3381</v>
      </c>
      <c r="F2494" s="504" t="s">
        <v>569</v>
      </c>
      <c r="G2494" s="504" t="s">
        <v>570</v>
      </c>
      <c r="H2494" s="504" t="s">
        <v>11915</v>
      </c>
      <c r="I2494" s="504">
        <v>239</v>
      </c>
      <c r="J2494" s="504">
        <v>154</v>
      </c>
      <c r="K2494" s="504">
        <v>0</v>
      </c>
      <c r="L2494" s="504">
        <v>0</v>
      </c>
      <c r="M2494" s="504">
        <v>66</v>
      </c>
      <c r="N2494" s="504">
        <v>0</v>
      </c>
      <c r="O2494" s="505">
        <v>19</v>
      </c>
    </row>
    <row r="2495" spans="1:15" x14ac:dyDescent="0.35">
      <c r="A2495" s="500" t="s">
        <v>1122</v>
      </c>
      <c r="B2495" s="501" t="s">
        <v>2994</v>
      </c>
      <c r="C2495" s="501" t="s">
        <v>1094</v>
      </c>
      <c r="D2495" s="501" t="s">
        <v>3380</v>
      </c>
      <c r="E2495" s="501" t="s">
        <v>3381</v>
      </c>
      <c r="F2495" s="501" t="s">
        <v>569</v>
      </c>
      <c r="G2495" s="501" t="s">
        <v>570</v>
      </c>
      <c r="H2495" s="501" t="s">
        <v>5335</v>
      </c>
      <c r="I2495" s="501">
        <v>121</v>
      </c>
      <c r="J2495" s="501">
        <v>121</v>
      </c>
      <c r="K2495" s="501">
        <v>0</v>
      </c>
      <c r="L2495" s="501">
        <v>0</v>
      </c>
      <c r="M2495" s="501">
        <v>0</v>
      </c>
      <c r="N2495" s="501">
        <v>0</v>
      </c>
      <c r="O2495" s="506">
        <v>0</v>
      </c>
    </row>
    <row r="2496" spans="1:15" x14ac:dyDescent="0.35">
      <c r="A2496" s="503" t="s">
        <v>1225</v>
      </c>
      <c r="B2496" s="504" t="s">
        <v>3315</v>
      </c>
      <c r="C2496" s="504" t="s">
        <v>1094</v>
      </c>
      <c r="D2496" s="504" t="s">
        <v>3380</v>
      </c>
      <c r="E2496" s="504" t="s">
        <v>3381</v>
      </c>
      <c r="F2496" s="504" t="s">
        <v>569</v>
      </c>
      <c r="G2496" s="504" t="s">
        <v>570</v>
      </c>
      <c r="H2496" s="504" t="s">
        <v>5336</v>
      </c>
      <c r="I2496" s="504">
        <v>2</v>
      </c>
      <c r="J2496" s="504">
        <v>0</v>
      </c>
      <c r="K2496" s="504">
        <v>0</v>
      </c>
      <c r="L2496" s="504">
        <v>2</v>
      </c>
      <c r="M2496" s="504">
        <v>0</v>
      </c>
      <c r="N2496" s="504">
        <v>0</v>
      </c>
      <c r="O2496" s="505">
        <v>0</v>
      </c>
    </row>
    <row r="2497" spans="1:15" x14ac:dyDescent="0.35">
      <c r="A2497" s="500" t="s">
        <v>1124</v>
      </c>
      <c r="B2497" s="501">
        <v>4745</v>
      </c>
      <c r="C2497" s="501" t="s">
        <v>1094</v>
      </c>
      <c r="D2497" s="501" t="s">
        <v>3380</v>
      </c>
      <c r="E2497" s="501" t="s">
        <v>3381</v>
      </c>
      <c r="F2497" s="501" t="s">
        <v>569</v>
      </c>
      <c r="G2497" s="501" t="s">
        <v>570</v>
      </c>
      <c r="H2497" s="501" t="s">
        <v>5337</v>
      </c>
      <c r="I2497" s="501">
        <v>9</v>
      </c>
      <c r="J2497" s="501">
        <v>0</v>
      </c>
      <c r="K2497" s="501">
        <v>0</v>
      </c>
      <c r="L2497" s="501">
        <v>9</v>
      </c>
      <c r="M2497" s="501">
        <v>0</v>
      </c>
      <c r="N2497" s="501">
        <v>0</v>
      </c>
      <c r="O2497" s="506">
        <v>0</v>
      </c>
    </row>
    <row r="2498" spans="1:15" x14ac:dyDescent="0.35">
      <c r="A2498" s="503" t="s">
        <v>1884</v>
      </c>
      <c r="B2498" s="504" t="s">
        <v>2635</v>
      </c>
      <c r="C2498" s="504" t="s">
        <v>1089</v>
      </c>
      <c r="D2498" s="504" t="s">
        <v>3392</v>
      </c>
      <c r="E2498" s="504" t="s">
        <v>3381</v>
      </c>
      <c r="F2498" s="504" t="s">
        <v>569</v>
      </c>
      <c r="G2498" s="504" t="s">
        <v>570</v>
      </c>
      <c r="H2498" s="504" t="s">
        <v>5338</v>
      </c>
      <c r="I2498" s="504">
        <v>6</v>
      </c>
      <c r="J2498" s="504">
        <v>0</v>
      </c>
      <c r="K2498" s="504">
        <v>0</v>
      </c>
      <c r="L2498" s="504">
        <v>0</v>
      </c>
      <c r="M2498" s="504">
        <v>6</v>
      </c>
      <c r="N2498" s="504">
        <v>0</v>
      </c>
      <c r="O2498" s="505">
        <v>0</v>
      </c>
    </row>
    <row r="2499" spans="1:15" x14ac:dyDescent="0.35">
      <c r="A2499" s="500" t="s">
        <v>1233</v>
      </c>
      <c r="B2499" s="501">
        <v>4636</v>
      </c>
      <c r="C2499" s="501" t="s">
        <v>1094</v>
      </c>
      <c r="D2499" s="501" t="s">
        <v>3380</v>
      </c>
      <c r="E2499" s="501" t="s">
        <v>3381</v>
      </c>
      <c r="F2499" s="501" t="s">
        <v>569</v>
      </c>
      <c r="G2499" s="501" t="s">
        <v>570</v>
      </c>
      <c r="H2499" s="501" t="s">
        <v>14641</v>
      </c>
      <c r="I2499" s="501">
        <v>4</v>
      </c>
      <c r="J2499" s="501">
        <v>2</v>
      </c>
      <c r="K2499" s="501">
        <v>0</v>
      </c>
      <c r="L2499" s="501">
        <v>0</v>
      </c>
      <c r="M2499" s="501">
        <v>0</v>
      </c>
      <c r="N2499" s="501">
        <v>0</v>
      </c>
      <c r="O2499" s="506">
        <v>2</v>
      </c>
    </row>
    <row r="2500" spans="1:15" x14ac:dyDescent="0.35">
      <c r="A2500" s="503" t="s">
        <v>1235</v>
      </c>
      <c r="B2500" s="504">
        <v>4684</v>
      </c>
      <c r="C2500" s="504" t="s">
        <v>1094</v>
      </c>
      <c r="D2500" s="504" t="s">
        <v>3380</v>
      </c>
      <c r="E2500" s="504" t="s">
        <v>3381</v>
      </c>
      <c r="F2500" s="504" t="s">
        <v>569</v>
      </c>
      <c r="G2500" s="504" t="s">
        <v>570</v>
      </c>
      <c r="H2500" s="504" t="s">
        <v>5339</v>
      </c>
      <c r="I2500" s="504">
        <v>85</v>
      </c>
      <c r="J2500" s="504">
        <v>57</v>
      </c>
      <c r="K2500" s="504">
        <v>0</v>
      </c>
      <c r="L2500" s="504">
        <v>0</v>
      </c>
      <c r="M2500" s="504">
        <v>0</v>
      </c>
      <c r="N2500" s="504">
        <v>0</v>
      </c>
      <c r="O2500" s="505">
        <v>28</v>
      </c>
    </row>
    <row r="2501" spans="1:15" x14ac:dyDescent="0.35">
      <c r="A2501" s="500" t="s">
        <v>1126</v>
      </c>
      <c r="B2501" s="501" t="s">
        <v>2974</v>
      </c>
      <c r="C2501" s="501" t="s">
        <v>1094</v>
      </c>
      <c r="D2501" s="501" t="s">
        <v>3380</v>
      </c>
      <c r="E2501" s="501" t="s">
        <v>3381</v>
      </c>
      <c r="F2501" s="501" t="s">
        <v>569</v>
      </c>
      <c r="G2501" s="501" t="s">
        <v>570</v>
      </c>
      <c r="H2501" s="501" t="s">
        <v>5340</v>
      </c>
      <c r="I2501" s="501">
        <v>230</v>
      </c>
      <c r="J2501" s="501">
        <v>178</v>
      </c>
      <c r="K2501" s="501">
        <v>0</v>
      </c>
      <c r="L2501" s="501">
        <v>11</v>
      </c>
      <c r="M2501" s="501">
        <v>12</v>
      </c>
      <c r="N2501" s="501">
        <v>2</v>
      </c>
      <c r="O2501" s="506">
        <v>29</v>
      </c>
    </row>
    <row r="2502" spans="1:15" x14ac:dyDescent="0.35">
      <c r="A2502" s="503" t="s">
        <v>1130</v>
      </c>
      <c r="B2502" s="504" t="s">
        <v>3234</v>
      </c>
      <c r="C2502" s="504" t="s">
        <v>1094</v>
      </c>
      <c r="D2502" s="504" t="s">
        <v>3380</v>
      </c>
      <c r="E2502" s="504" t="s">
        <v>3381</v>
      </c>
      <c r="F2502" s="504" t="s">
        <v>569</v>
      </c>
      <c r="G2502" s="504" t="s">
        <v>570</v>
      </c>
      <c r="H2502" s="504" t="s">
        <v>5341</v>
      </c>
      <c r="I2502" s="504">
        <v>777</v>
      </c>
      <c r="J2502" s="504">
        <v>666</v>
      </c>
      <c r="K2502" s="504">
        <v>4</v>
      </c>
      <c r="L2502" s="504">
        <v>4</v>
      </c>
      <c r="M2502" s="504">
        <v>89</v>
      </c>
      <c r="N2502" s="504">
        <v>19</v>
      </c>
      <c r="O2502" s="505">
        <v>14</v>
      </c>
    </row>
    <row r="2503" spans="1:15" x14ac:dyDescent="0.35">
      <c r="A2503" s="500" t="s">
        <v>1245</v>
      </c>
      <c r="B2503" s="501" t="s">
        <v>2859</v>
      </c>
      <c r="C2503" s="501" t="s">
        <v>1094</v>
      </c>
      <c r="D2503" s="501" t="s">
        <v>3380</v>
      </c>
      <c r="E2503" s="501" t="s">
        <v>3381</v>
      </c>
      <c r="F2503" s="501" t="s">
        <v>569</v>
      </c>
      <c r="G2503" s="501" t="s">
        <v>570</v>
      </c>
      <c r="H2503" s="501" t="s">
        <v>5342</v>
      </c>
      <c r="I2503" s="501">
        <v>10</v>
      </c>
      <c r="J2503" s="501">
        <v>0</v>
      </c>
      <c r="K2503" s="501">
        <v>0</v>
      </c>
      <c r="L2503" s="501">
        <v>0</v>
      </c>
      <c r="M2503" s="501">
        <v>10</v>
      </c>
      <c r="N2503" s="501">
        <v>0</v>
      </c>
      <c r="O2503" s="506">
        <v>0</v>
      </c>
    </row>
    <row r="2504" spans="1:15" x14ac:dyDescent="0.35">
      <c r="A2504" s="503" t="s">
        <v>1253</v>
      </c>
      <c r="B2504" s="504" t="s">
        <v>3232</v>
      </c>
      <c r="C2504" s="504" t="s">
        <v>1094</v>
      </c>
      <c r="D2504" s="504" t="s">
        <v>3380</v>
      </c>
      <c r="E2504" s="504" t="s">
        <v>3381</v>
      </c>
      <c r="F2504" s="504" t="s">
        <v>569</v>
      </c>
      <c r="G2504" s="504" t="s">
        <v>570</v>
      </c>
      <c r="H2504" s="504" t="s">
        <v>5343</v>
      </c>
      <c r="I2504" s="504">
        <v>66</v>
      </c>
      <c r="J2504" s="504">
        <v>43</v>
      </c>
      <c r="K2504" s="504">
        <v>0</v>
      </c>
      <c r="L2504" s="504">
        <v>18</v>
      </c>
      <c r="M2504" s="504">
        <v>0</v>
      </c>
      <c r="N2504" s="504">
        <v>0</v>
      </c>
      <c r="O2504" s="505">
        <v>5</v>
      </c>
    </row>
    <row r="2505" spans="1:15" x14ac:dyDescent="0.35">
      <c r="A2505" s="500" t="s">
        <v>1928</v>
      </c>
      <c r="B2505" s="501" t="s">
        <v>3167</v>
      </c>
      <c r="C2505" s="501" t="s">
        <v>1094</v>
      </c>
      <c r="D2505" s="501" t="s">
        <v>3380</v>
      </c>
      <c r="E2505" s="501" t="s">
        <v>3381</v>
      </c>
      <c r="F2505" s="501" t="s">
        <v>569</v>
      </c>
      <c r="G2505" s="501" t="s">
        <v>570</v>
      </c>
      <c r="H2505" s="501" t="s">
        <v>5344</v>
      </c>
      <c r="I2505" s="501">
        <v>659</v>
      </c>
      <c r="J2505" s="501">
        <v>605</v>
      </c>
      <c r="K2505" s="501">
        <v>0</v>
      </c>
      <c r="L2505" s="501">
        <v>0</v>
      </c>
      <c r="M2505" s="501">
        <v>0</v>
      </c>
      <c r="N2505" s="501">
        <v>0</v>
      </c>
      <c r="O2505" s="506">
        <v>54</v>
      </c>
    </row>
    <row r="2506" spans="1:15" x14ac:dyDescent="0.35">
      <c r="A2506" s="503" t="s">
        <v>1935</v>
      </c>
      <c r="B2506" s="504" t="s">
        <v>3305</v>
      </c>
      <c r="C2506" s="504" t="s">
        <v>1094</v>
      </c>
      <c r="D2506" s="504" t="s">
        <v>3380</v>
      </c>
      <c r="E2506" s="504" t="s">
        <v>3381</v>
      </c>
      <c r="F2506" s="504" t="s">
        <v>569</v>
      </c>
      <c r="G2506" s="504" t="s">
        <v>570</v>
      </c>
      <c r="H2506" s="504" t="s">
        <v>5345</v>
      </c>
      <c r="I2506" s="504">
        <v>70</v>
      </c>
      <c r="J2506" s="504">
        <v>13</v>
      </c>
      <c r="K2506" s="504">
        <v>0</v>
      </c>
      <c r="L2506" s="504">
        <v>0</v>
      </c>
      <c r="M2506" s="504">
        <v>40</v>
      </c>
      <c r="N2506" s="504">
        <v>0</v>
      </c>
      <c r="O2506" s="505">
        <v>17</v>
      </c>
    </row>
    <row r="2507" spans="1:15" x14ac:dyDescent="0.35">
      <c r="A2507" s="500" t="s">
        <v>1093</v>
      </c>
      <c r="B2507" s="501" t="s">
        <v>3248</v>
      </c>
      <c r="C2507" s="501" t="s">
        <v>1094</v>
      </c>
      <c r="D2507" s="501" t="s">
        <v>3380</v>
      </c>
      <c r="E2507" s="501" t="s">
        <v>3381</v>
      </c>
      <c r="F2507" s="501" t="s">
        <v>571</v>
      </c>
      <c r="G2507" s="501" t="s">
        <v>572</v>
      </c>
      <c r="H2507" s="501" t="s">
        <v>5346</v>
      </c>
      <c r="I2507" s="501">
        <v>4</v>
      </c>
      <c r="J2507" s="501">
        <v>0</v>
      </c>
      <c r="K2507" s="501">
        <v>0</v>
      </c>
      <c r="L2507" s="501">
        <v>0</v>
      </c>
      <c r="M2507" s="501">
        <v>0</v>
      </c>
      <c r="N2507" s="501">
        <v>0</v>
      </c>
      <c r="O2507" s="506">
        <v>4</v>
      </c>
    </row>
    <row r="2508" spans="1:15" x14ac:dyDescent="0.35">
      <c r="A2508" s="503" t="s">
        <v>1096</v>
      </c>
      <c r="B2508" s="504" t="s">
        <v>3326</v>
      </c>
      <c r="C2508" s="504" t="s">
        <v>1094</v>
      </c>
      <c r="D2508" s="504" t="s">
        <v>3380</v>
      </c>
      <c r="E2508" s="504" t="s">
        <v>3381</v>
      </c>
      <c r="F2508" s="504" t="s">
        <v>571</v>
      </c>
      <c r="G2508" s="504" t="s">
        <v>572</v>
      </c>
      <c r="H2508" s="504" t="s">
        <v>5347</v>
      </c>
      <c r="I2508" s="504">
        <v>43</v>
      </c>
      <c r="J2508" s="504">
        <v>0</v>
      </c>
      <c r="K2508" s="504">
        <v>0</v>
      </c>
      <c r="L2508" s="504">
        <v>0</v>
      </c>
      <c r="M2508" s="504">
        <v>43</v>
      </c>
      <c r="N2508" s="504">
        <v>0</v>
      </c>
      <c r="O2508" s="505">
        <v>0</v>
      </c>
    </row>
    <row r="2509" spans="1:15" x14ac:dyDescent="0.35">
      <c r="A2509" s="500" t="s">
        <v>11363</v>
      </c>
      <c r="B2509" s="501">
        <v>4718</v>
      </c>
      <c r="C2509" s="501" t="s">
        <v>1094</v>
      </c>
      <c r="D2509" s="501" t="s">
        <v>3380</v>
      </c>
      <c r="E2509" s="501" t="s">
        <v>3381</v>
      </c>
      <c r="F2509" s="501" t="s">
        <v>571</v>
      </c>
      <c r="G2509" s="501" t="s">
        <v>572</v>
      </c>
      <c r="H2509" s="501" t="s">
        <v>11535</v>
      </c>
      <c r="I2509" s="501">
        <v>1</v>
      </c>
      <c r="J2509" s="501">
        <v>0</v>
      </c>
      <c r="K2509" s="501">
        <v>0</v>
      </c>
      <c r="L2509" s="501">
        <v>1</v>
      </c>
      <c r="M2509" s="501">
        <v>0</v>
      </c>
      <c r="N2509" s="501">
        <v>0</v>
      </c>
      <c r="O2509" s="506">
        <v>0</v>
      </c>
    </row>
    <row r="2510" spans="1:15" x14ac:dyDescent="0.35">
      <c r="A2510" s="503" t="s">
        <v>2060</v>
      </c>
      <c r="B2510" s="504" t="s">
        <v>3068</v>
      </c>
      <c r="C2510" s="504" t="s">
        <v>1094</v>
      </c>
      <c r="D2510" s="504" t="s">
        <v>3380</v>
      </c>
      <c r="E2510" s="504" t="s">
        <v>3381</v>
      </c>
      <c r="F2510" s="504" t="s">
        <v>571</v>
      </c>
      <c r="G2510" s="504" t="s">
        <v>572</v>
      </c>
      <c r="H2510" s="504" t="s">
        <v>5348</v>
      </c>
      <c r="I2510" s="504">
        <v>677</v>
      </c>
      <c r="J2510" s="504">
        <v>474</v>
      </c>
      <c r="K2510" s="504">
        <v>0</v>
      </c>
      <c r="L2510" s="504">
        <v>49</v>
      </c>
      <c r="M2510" s="504">
        <v>116</v>
      </c>
      <c r="N2510" s="504">
        <v>0</v>
      </c>
      <c r="O2510" s="505">
        <v>38</v>
      </c>
    </row>
    <row r="2511" spans="1:15" x14ac:dyDescent="0.35">
      <c r="A2511" s="500" t="s">
        <v>1158</v>
      </c>
      <c r="B2511" s="501">
        <v>4819</v>
      </c>
      <c r="C2511" s="501" t="s">
        <v>1094</v>
      </c>
      <c r="D2511" s="501" t="s">
        <v>3380</v>
      </c>
      <c r="E2511" s="501" t="s">
        <v>3381</v>
      </c>
      <c r="F2511" s="501" t="s">
        <v>571</v>
      </c>
      <c r="G2511" s="501" t="s">
        <v>572</v>
      </c>
      <c r="H2511" s="501" t="s">
        <v>5350</v>
      </c>
      <c r="I2511" s="501">
        <v>628</v>
      </c>
      <c r="J2511" s="501">
        <v>505</v>
      </c>
      <c r="K2511" s="501">
        <v>0</v>
      </c>
      <c r="L2511" s="501">
        <v>65</v>
      </c>
      <c r="M2511" s="501">
        <v>0</v>
      </c>
      <c r="N2511" s="501">
        <v>0</v>
      </c>
      <c r="O2511" s="506">
        <v>58</v>
      </c>
    </row>
    <row r="2512" spans="1:15" x14ac:dyDescent="0.35">
      <c r="A2512" s="503" t="s">
        <v>11429</v>
      </c>
      <c r="B2512" s="504" t="s">
        <v>3292</v>
      </c>
      <c r="C2512" s="504" t="s">
        <v>1089</v>
      </c>
      <c r="D2512" s="504" t="s">
        <v>3392</v>
      </c>
      <c r="E2512" s="504" t="s">
        <v>3381</v>
      </c>
      <c r="F2512" s="504" t="s">
        <v>571</v>
      </c>
      <c r="G2512" s="504" t="s">
        <v>572</v>
      </c>
      <c r="H2512" s="504" t="s">
        <v>11645</v>
      </c>
      <c r="I2512" s="504">
        <v>247</v>
      </c>
      <c r="J2512" s="504">
        <v>0</v>
      </c>
      <c r="K2512" s="504">
        <v>0</v>
      </c>
      <c r="L2512" s="504">
        <v>152</v>
      </c>
      <c r="M2512" s="504">
        <v>95</v>
      </c>
      <c r="N2512" s="504">
        <v>0</v>
      </c>
      <c r="O2512" s="505">
        <v>0</v>
      </c>
    </row>
    <row r="2513" spans="1:15" x14ac:dyDescent="0.35">
      <c r="A2513" s="500" t="s">
        <v>1961</v>
      </c>
      <c r="B2513" s="501">
        <v>5075</v>
      </c>
      <c r="C2513" s="501" t="s">
        <v>1094</v>
      </c>
      <c r="D2513" s="501" t="s">
        <v>3380</v>
      </c>
      <c r="E2513" s="501" t="s">
        <v>3381</v>
      </c>
      <c r="F2513" s="501" t="s">
        <v>571</v>
      </c>
      <c r="G2513" s="501" t="s">
        <v>572</v>
      </c>
      <c r="H2513" s="501" t="s">
        <v>5351</v>
      </c>
      <c r="I2513" s="501">
        <v>290</v>
      </c>
      <c r="J2513" s="501">
        <v>231</v>
      </c>
      <c r="K2513" s="501">
        <v>0</v>
      </c>
      <c r="L2513" s="501">
        <v>6</v>
      </c>
      <c r="M2513" s="501">
        <v>0</v>
      </c>
      <c r="N2513" s="501">
        <v>0</v>
      </c>
      <c r="O2513" s="506">
        <v>53</v>
      </c>
    </row>
    <row r="2514" spans="1:15" x14ac:dyDescent="0.35">
      <c r="A2514" s="503" t="s">
        <v>1100</v>
      </c>
      <c r="B2514" s="504">
        <v>4865</v>
      </c>
      <c r="C2514" s="504" t="s">
        <v>1094</v>
      </c>
      <c r="D2514" s="504" t="s">
        <v>3380</v>
      </c>
      <c r="E2514" s="504" t="s">
        <v>3381</v>
      </c>
      <c r="F2514" s="504" t="s">
        <v>571</v>
      </c>
      <c r="G2514" s="504" t="s">
        <v>572</v>
      </c>
      <c r="H2514" s="504" t="s">
        <v>5352</v>
      </c>
      <c r="I2514" s="504">
        <v>1</v>
      </c>
      <c r="J2514" s="504">
        <v>0</v>
      </c>
      <c r="K2514" s="504">
        <v>0</v>
      </c>
      <c r="L2514" s="504">
        <v>0</v>
      </c>
      <c r="M2514" s="504">
        <v>0</v>
      </c>
      <c r="N2514" s="504">
        <v>0</v>
      </c>
      <c r="O2514" s="505">
        <v>1</v>
      </c>
    </row>
    <row r="2515" spans="1:15" x14ac:dyDescent="0.35">
      <c r="A2515" s="500" t="s">
        <v>14208</v>
      </c>
      <c r="B2515" s="501">
        <v>4803</v>
      </c>
      <c r="C2515" s="501" t="s">
        <v>1094</v>
      </c>
      <c r="D2515" s="501" t="s">
        <v>3380</v>
      </c>
      <c r="E2515" s="501" t="s">
        <v>3381</v>
      </c>
      <c r="F2515" s="501" t="s">
        <v>571</v>
      </c>
      <c r="G2515" s="501" t="s">
        <v>572</v>
      </c>
      <c r="H2515" s="501" t="s">
        <v>14642</v>
      </c>
      <c r="I2515" s="501">
        <v>18</v>
      </c>
      <c r="J2515" s="501">
        <v>0</v>
      </c>
      <c r="K2515" s="501">
        <v>0</v>
      </c>
      <c r="L2515" s="501">
        <v>18</v>
      </c>
      <c r="M2515" s="501">
        <v>0</v>
      </c>
      <c r="N2515" s="501">
        <v>0</v>
      </c>
      <c r="O2515" s="506">
        <v>0</v>
      </c>
    </row>
    <row r="2516" spans="1:15" x14ac:dyDescent="0.35">
      <c r="A2516" s="503" t="s">
        <v>14213</v>
      </c>
      <c r="B2516" s="504" t="s">
        <v>3312</v>
      </c>
      <c r="C2516" s="504" t="s">
        <v>1094</v>
      </c>
      <c r="D2516" s="504" t="s">
        <v>3380</v>
      </c>
      <c r="E2516" s="504" t="s">
        <v>3381</v>
      </c>
      <c r="F2516" s="504" t="s">
        <v>571</v>
      </c>
      <c r="G2516" s="504" t="s">
        <v>572</v>
      </c>
      <c r="H2516" s="504" t="s">
        <v>14643</v>
      </c>
      <c r="I2516" s="504">
        <v>919</v>
      </c>
      <c r="J2516" s="504">
        <v>714</v>
      </c>
      <c r="K2516" s="504">
        <v>0</v>
      </c>
      <c r="L2516" s="504">
        <v>4</v>
      </c>
      <c r="M2516" s="504">
        <v>0</v>
      </c>
      <c r="N2516" s="504">
        <v>0</v>
      </c>
      <c r="O2516" s="505">
        <v>201</v>
      </c>
    </row>
    <row r="2517" spans="1:15" x14ac:dyDescent="0.35">
      <c r="A2517" s="500" t="s">
        <v>1105</v>
      </c>
      <c r="B2517" s="501">
        <v>4668</v>
      </c>
      <c r="C2517" s="501" t="s">
        <v>1094</v>
      </c>
      <c r="D2517" s="501" t="s">
        <v>3380</v>
      </c>
      <c r="E2517" s="501" t="s">
        <v>3381</v>
      </c>
      <c r="F2517" s="501" t="s">
        <v>571</v>
      </c>
      <c r="G2517" s="501" t="s">
        <v>572</v>
      </c>
      <c r="H2517" s="501" t="s">
        <v>5353</v>
      </c>
      <c r="I2517" s="501">
        <v>19</v>
      </c>
      <c r="J2517" s="501">
        <v>0</v>
      </c>
      <c r="K2517" s="501">
        <v>0</v>
      </c>
      <c r="L2517" s="501">
        <v>0</v>
      </c>
      <c r="M2517" s="501">
        <v>0</v>
      </c>
      <c r="N2517" s="501">
        <v>0</v>
      </c>
      <c r="O2517" s="506">
        <v>19</v>
      </c>
    </row>
    <row r="2518" spans="1:15" x14ac:dyDescent="0.35">
      <c r="A2518" s="503" t="s">
        <v>1107</v>
      </c>
      <c r="B2518" s="504" t="s">
        <v>3109</v>
      </c>
      <c r="C2518" s="504" t="s">
        <v>1094</v>
      </c>
      <c r="D2518" s="504" t="s">
        <v>3380</v>
      </c>
      <c r="E2518" s="504" t="s">
        <v>3381</v>
      </c>
      <c r="F2518" s="504" t="s">
        <v>571</v>
      </c>
      <c r="G2518" s="504" t="s">
        <v>572</v>
      </c>
      <c r="H2518" s="504" t="s">
        <v>5354</v>
      </c>
      <c r="I2518" s="504">
        <v>9</v>
      </c>
      <c r="J2518" s="504">
        <v>0</v>
      </c>
      <c r="K2518" s="504">
        <v>0</v>
      </c>
      <c r="L2518" s="504">
        <v>9</v>
      </c>
      <c r="M2518" s="504">
        <v>0</v>
      </c>
      <c r="N2518" s="504">
        <v>0</v>
      </c>
      <c r="O2518" s="505">
        <v>0</v>
      </c>
    </row>
    <row r="2519" spans="1:15" x14ac:dyDescent="0.35">
      <c r="A2519" s="500" t="s">
        <v>14226</v>
      </c>
      <c r="B2519" s="501" t="s">
        <v>3329</v>
      </c>
      <c r="C2519" s="501" t="s">
        <v>1094</v>
      </c>
      <c r="D2519" s="501" t="s">
        <v>3380</v>
      </c>
      <c r="E2519" s="501" t="s">
        <v>3381</v>
      </c>
      <c r="F2519" s="501" t="s">
        <v>571</v>
      </c>
      <c r="G2519" s="501" t="s">
        <v>572</v>
      </c>
      <c r="H2519" s="501" t="s">
        <v>14644</v>
      </c>
      <c r="I2519" s="501">
        <v>3</v>
      </c>
      <c r="J2519" s="501">
        <v>0</v>
      </c>
      <c r="K2519" s="501">
        <v>0</v>
      </c>
      <c r="L2519" s="501">
        <v>0</v>
      </c>
      <c r="M2519" s="501">
        <v>0</v>
      </c>
      <c r="N2519" s="501">
        <v>0</v>
      </c>
      <c r="O2519" s="506">
        <v>3</v>
      </c>
    </row>
    <row r="2520" spans="1:15" x14ac:dyDescent="0.35">
      <c r="A2520" s="503" t="s">
        <v>1109</v>
      </c>
      <c r="B2520" s="504" t="s">
        <v>2959</v>
      </c>
      <c r="C2520" s="504" t="s">
        <v>1094</v>
      </c>
      <c r="D2520" s="504" t="s">
        <v>3380</v>
      </c>
      <c r="E2520" s="504" t="s">
        <v>3381</v>
      </c>
      <c r="F2520" s="504" t="s">
        <v>571</v>
      </c>
      <c r="G2520" s="504" t="s">
        <v>572</v>
      </c>
      <c r="H2520" s="504" t="s">
        <v>5355</v>
      </c>
      <c r="I2520" s="504">
        <v>103</v>
      </c>
      <c r="J2520" s="504">
        <v>0</v>
      </c>
      <c r="K2520" s="504">
        <v>0</v>
      </c>
      <c r="L2520" s="504">
        <v>0</v>
      </c>
      <c r="M2520" s="504">
        <v>103</v>
      </c>
      <c r="N2520" s="504">
        <v>0</v>
      </c>
      <c r="O2520" s="505">
        <v>0</v>
      </c>
    </row>
    <row r="2521" spans="1:15" x14ac:dyDescent="0.35">
      <c r="A2521" s="500" t="s">
        <v>1190</v>
      </c>
      <c r="B2521" s="501">
        <v>4662</v>
      </c>
      <c r="C2521" s="501" t="s">
        <v>1094</v>
      </c>
      <c r="D2521" s="501" t="s">
        <v>3380</v>
      </c>
      <c r="E2521" s="501" t="s">
        <v>3381</v>
      </c>
      <c r="F2521" s="501" t="s">
        <v>571</v>
      </c>
      <c r="G2521" s="501" t="s">
        <v>572</v>
      </c>
      <c r="H2521" s="501" t="s">
        <v>5356</v>
      </c>
      <c r="I2521" s="501">
        <v>41</v>
      </c>
      <c r="J2521" s="501">
        <v>0</v>
      </c>
      <c r="K2521" s="501">
        <v>0</v>
      </c>
      <c r="L2521" s="501">
        <v>41</v>
      </c>
      <c r="M2521" s="501">
        <v>0</v>
      </c>
      <c r="N2521" s="501">
        <v>0</v>
      </c>
      <c r="O2521" s="506">
        <v>0</v>
      </c>
    </row>
    <row r="2522" spans="1:15" x14ac:dyDescent="0.35">
      <c r="A2522" s="503" t="s">
        <v>1207</v>
      </c>
      <c r="B2522" s="504" t="s">
        <v>3202</v>
      </c>
      <c r="C2522" s="504" t="s">
        <v>1094</v>
      </c>
      <c r="D2522" s="504" t="s">
        <v>3380</v>
      </c>
      <c r="E2522" s="504" t="s">
        <v>3381</v>
      </c>
      <c r="F2522" s="504" t="s">
        <v>571</v>
      </c>
      <c r="G2522" s="504" t="s">
        <v>572</v>
      </c>
      <c r="H2522" s="504" t="s">
        <v>5357</v>
      </c>
      <c r="I2522" s="504">
        <v>1159</v>
      </c>
      <c r="J2522" s="504">
        <v>703</v>
      </c>
      <c r="K2522" s="504">
        <v>0</v>
      </c>
      <c r="L2522" s="504">
        <v>59</v>
      </c>
      <c r="M2522" s="504">
        <v>253</v>
      </c>
      <c r="N2522" s="504">
        <v>0</v>
      </c>
      <c r="O2522" s="505">
        <v>144</v>
      </c>
    </row>
    <row r="2523" spans="1:15" x14ac:dyDescent="0.35">
      <c r="A2523" s="500" t="s">
        <v>2090</v>
      </c>
      <c r="B2523" s="501" t="s">
        <v>3131</v>
      </c>
      <c r="C2523" s="501" t="s">
        <v>1094</v>
      </c>
      <c r="D2523" s="501" t="s">
        <v>3380</v>
      </c>
      <c r="E2523" s="501" t="s">
        <v>3381</v>
      </c>
      <c r="F2523" s="501" t="s">
        <v>571</v>
      </c>
      <c r="G2523" s="501" t="s">
        <v>572</v>
      </c>
      <c r="H2523" s="501" t="s">
        <v>5358</v>
      </c>
      <c r="I2523" s="501">
        <v>66</v>
      </c>
      <c r="J2523" s="501">
        <v>28</v>
      </c>
      <c r="K2523" s="501">
        <v>0</v>
      </c>
      <c r="L2523" s="501">
        <v>0</v>
      </c>
      <c r="M2523" s="501">
        <v>38</v>
      </c>
      <c r="N2523" s="501">
        <v>0</v>
      </c>
      <c r="O2523" s="506">
        <v>0</v>
      </c>
    </row>
    <row r="2524" spans="1:15" x14ac:dyDescent="0.35">
      <c r="A2524" s="503" t="s">
        <v>1226</v>
      </c>
      <c r="B2524" s="504">
        <v>5084</v>
      </c>
      <c r="C2524" s="504" t="s">
        <v>1094</v>
      </c>
      <c r="D2524" s="504" t="s">
        <v>3380</v>
      </c>
      <c r="E2524" s="504" t="s">
        <v>3381</v>
      </c>
      <c r="F2524" s="504" t="s">
        <v>571</v>
      </c>
      <c r="G2524" s="504" t="s">
        <v>572</v>
      </c>
      <c r="H2524" s="504" t="s">
        <v>5359</v>
      </c>
      <c r="I2524" s="504">
        <v>54</v>
      </c>
      <c r="J2524" s="504">
        <v>45</v>
      </c>
      <c r="K2524" s="504">
        <v>0</v>
      </c>
      <c r="L2524" s="504">
        <v>0</v>
      </c>
      <c r="M2524" s="504">
        <v>0</v>
      </c>
      <c r="N2524" s="504">
        <v>0</v>
      </c>
      <c r="O2524" s="505">
        <v>9</v>
      </c>
    </row>
    <row r="2525" spans="1:15" x14ac:dyDescent="0.35">
      <c r="A2525" s="500" t="s">
        <v>2008</v>
      </c>
      <c r="B2525" s="501" t="s">
        <v>3323</v>
      </c>
      <c r="C2525" s="501" t="s">
        <v>1094</v>
      </c>
      <c r="D2525" s="501" t="s">
        <v>3380</v>
      </c>
      <c r="E2525" s="501" t="s">
        <v>3381</v>
      </c>
      <c r="F2525" s="501" t="s">
        <v>571</v>
      </c>
      <c r="G2525" s="501" t="s">
        <v>572</v>
      </c>
      <c r="H2525" s="501" t="s">
        <v>5360</v>
      </c>
      <c r="I2525" s="501">
        <v>6</v>
      </c>
      <c r="J2525" s="501">
        <v>6</v>
      </c>
      <c r="K2525" s="501">
        <v>0</v>
      </c>
      <c r="L2525" s="501">
        <v>0</v>
      </c>
      <c r="M2525" s="501">
        <v>0</v>
      </c>
      <c r="N2525" s="501">
        <v>0</v>
      </c>
      <c r="O2525" s="506">
        <v>0</v>
      </c>
    </row>
    <row r="2526" spans="1:15" x14ac:dyDescent="0.35">
      <c r="A2526" s="503" t="s">
        <v>1233</v>
      </c>
      <c r="B2526" s="504">
        <v>4636</v>
      </c>
      <c r="C2526" s="504" t="s">
        <v>1094</v>
      </c>
      <c r="D2526" s="504" t="s">
        <v>3380</v>
      </c>
      <c r="E2526" s="504" t="s">
        <v>3381</v>
      </c>
      <c r="F2526" s="504" t="s">
        <v>571</v>
      </c>
      <c r="G2526" s="504" t="s">
        <v>572</v>
      </c>
      <c r="H2526" s="504" t="s">
        <v>14645</v>
      </c>
      <c r="I2526" s="504">
        <v>11</v>
      </c>
      <c r="J2526" s="504">
        <v>7</v>
      </c>
      <c r="K2526" s="504">
        <v>0</v>
      </c>
      <c r="L2526" s="504">
        <v>0</v>
      </c>
      <c r="M2526" s="504">
        <v>0</v>
      </c>
      <c r="N2526" s="504">
        <v>0</v>
      </c>
      <c r="O2526" s="505">
        <v>4</v>
      </c>
    </row>
    <row r="2527" spans="1:15" x14ac:dyDescent="0.35">
      <c r="A2527" s="500" t="s">
        <v>1126</v>
      </c>
      <c r="B2527" s="501" t="s">
        <v>2974</v>
      </c>
      <c r="C2527" s="501" t="s">
        <v>1094</v>
      </c>
      <c r="D2527" s="501" t="s">
        <v>3380</v>
      </c>
      <c r="E2527" s="501" t="s">
        <v>3381</v>
      </c>
      <c r="F2527" s="501" t="s">
        <v>571</v>
      </c>
      <c r="G2527" s="501" t="s">
        <v>572</v>
      </c>
      <c r="H2527" s="501" t="s">
        <v>5361</v>
      </c>
      <c r="I2527" s="501">
        <v>501</v>
      </c>
      <c r="J2527" s="501">
        <v>363</v>
      </c>
      <c r="K2527" s="501">
        <v>0</v>
      </c>
      <c r="L2527" s="501">
        <v>0</v>
      </c>
      <c r="M2527" s="501">
        <v>59</v>
      </c>
      <c r="N2527" s="501">
        <v>0</v>
      </c>
      <c r="O2527" s="506">
        <v>79</v>
      </c>
    </row>
    <row r="2528" spans="1:15" x14ac:dyDescent="0.35">
      <c r="A2528" s="503" t="s">
        <v>1240</v>
      </c>
      <c r="B2528" s="504" t="s">
        <v>2972</v>
      </c>
      <c r="C2528" s="504" t="s">
        <v>1094</v>
      </c>
      <c r="D2528" s="504" t="s">
        <v>3380</v>
      </c>
      <c r="E2528" s="504" t="s">
        <v>3381</v>
      </c>
      <c r="F2528" s="504" t="s">
        <v>571</v>
      </c>
      <c r="G2528" s="504" t="s">
        <v>572</v>
      </c>
      <c r="H2528" s="504" t="s">
        <v>5362</v>
      </c>
      <c r="I2528" s="504">
        <v>563</v>
      </c>
      <c r="J2528" s="504">
        <v>434</v>
      </c>
      <c r="K2528" s="504">
        <v>0</v>
      </c>
      <c r="L2528" s="504">
        <v>0</v>
      </c>
      <c r="M2528" s="504">
        <v>49</v>
      </c>
      <c r="N2528" s="504">
        <v>0</v>
      </c>
      <c r="O2528" s="505">
        <v>80</v>
      </c>
    </row>
    <row r="2529" spans="1:15" x14ac:dyDescent="0.35">
      <c r="A2529" s="500" t="s">
        <v>1134</v>
      </c>
      <c r="B2529" s="501" t="s">
        <v>3066</v>
      </c>
      <c r="C2529" s="501" t="s">
        <v>1094</v>
      </c>
      <c r="D2529" s="501" t="s">
        <v>3380</v>
      </c>
      <c r="E2529" s="501" t="s">
        <v>3381</v>
      </c>
      <c r="F2529" s="501" t="s">
        <v>571</v>
      </c>
      <c r="G2529" s="501" t="s">
        <v>572</v>
      </c>
      <c r="H2529" s="501" t="s">
        <v>12156</v>
      </c>
      <c r="I2529" s="501">
        <v>467</v>
      </c>
      <c r="J2529" s="501">
        <v>423</v>
      </c>
      <c r="K2529" s="501">
        <v>0</v>
      </c>
      <c r="L2529" s="501">
        <v>0</v>
      </c>
      <c r="M2529" s="501">
        <v>34</v>
      </c>
      <c r="N2529" s="501">
        <v>0</v>
      </c>
      <c r="O2529" s="506">
        <v>10</v>
      </c>
    </row>
    <row r="2530" spans="1:15" x14ac:dyDescent="0.35">
      <c r="A2530" s="503" t="s">
        <v>1259</v>
      </c>
      <c r="B2530" s="504" t="s">
        <v>3025</v>
      </c>
      <c r="C2530" s="504" t="s">
        <v>1094</v>
      </c>
      <c r="D2530" s="504" t="s">
        <v>3380</v>
      </c>
      <c r="E2530" s="504" t="s">
        <v>3381</v>
      </c>
      <c r="F2530" s="504" t="s">
        <v>571</v>
      </c>
      <c r="G2530" s="504" t="s">
        <v>572</v>
      </c>
      <c r="H2530" s="504" t="s">
        <v>14646</v>
      </c>
      <c r="I2530" s="504">
        <v>2</v>
      </c>
      <c r="J2530" s="504">
        <v>2</v>
      </c>
      <c r="K2530" s="504">
        <v>0</v>
      </c>
      <c r="L2530" s="504">
        <v>0</v>
      </c>
      <c r="M2530" s="504">
        <v>0</v>
      </c>
      <c r="N2530" s="504">
        <v>0</v>
      </c>
      <c r="O2530" s="505">
        <v>0</v>
      </c>
    </row>
    <row r="2531" spans="1:15" x14ac:dyDescent="0.35">
      <c r="A2531" s="500" t="s">
        <v>2127</v>
      </c>
      <c r="B2531" s="501" t="s">
        <v>3188</v>
      </c>
      <c r="C2531" s="501" t="s">
        <v>1094</v>
      </c>
      <c r="D2531" s="501" t="s">
        <v>3380</v>
      </c>
      <c r="E2531" s="501" t="s">
        <v>3381</v>
      </c>
      <c r="F2531" s="501" t="s">
        <v>571</v>
      </c>
      <c r="G2531" s="501" t="s">
        <v>572</v>
      </c>
      <c r="H2531" s="501" t="s">
        <v>5363</v>
      </c>
      <c r="I2531" s="501">
        <v>145</v>
      </c>
      <c r="J2531" s="501">
        <v>100</v>
      </c>
      <c r="K2531" s="501">
        <v>0</v>
      </c>
      <c r="L2531" s="501">
        <v>0</v>
      </c>
      <c r="M2531" s="501">
        <v>0</v>
      </c>
      <c r="N2531" s="501">
        <v>0</v>
      </c>
      <c r="O2531" s="506">
        <v>45</v>
      </c>
    </row>
    <row r="2532" spans="1:15" x14ac:dyDescent="0.35">
      <c r="A2532" s="503" t="s">
        <v>1262</v>
      </c>
      <c r="B2532" s="504">
        <v>4772</v>
      </c>
      <c r="C2532" s="504" t="s">
        <v>1089</v>
      </c>
      <c r="D2532" s="504" t="s">
        <v>3392</v>
      </c>
      <c r="E2532" s="504" t="s">
        <v>3381</v>
      </c>
      <c r="F2532" s="504" t="s">
        <v>571</v>
      </c>
      <c r="G2532" s="504" t="s">
        <v>572</v>
      </c>
      <c r="H2532" s="504" t="s">
        <v>5364</v>
      </c>
      <c r="I2532" s="504">
        <v>1</v>
      </c>
      <c r="J2532" s="504">
        <v>0</v>
      </c>
      <c r="K2532" s="504">
        <v>0</v>
      </c>
      <c r="L2532" s="504">
        <v>1</v>
      </c>
      <c r="M2532" s="504">
        <v>0</v>
      </c>
      <c r="N2532" s="504">
        <v>0</v>
      </c>
      <c r="O2532" s="505">
        <v>0</v>
      </c>
    </row>
    <row r="2533" spans="1:15" x14ac:dyDescent="0.35">
      <c r="A2533" s="500" t="s">
        <v>1156</v>
      </c>
      <c r="B2533" s="501" t="s">
        <v>3310</v>
      </c>
      <c r="C2533" s="501" t="s">
        <v>1094</v>
      </c>
      <c r="D2533" s="501" t="s">
        <v>3380</v>
      </c>
      <c r="E2533" s="501" t="s">
        <v>3381</v>
      </c>
      <c r="F2533" s="501" t="s">
        <v>571</v>
      </c>
      <c r="G2533" s="501" t="s">
        <v>572</v>
      </c>
      <c r="H2533" s="501" t="s">
        <v>5349</v>
      </c>
      <c r="I2533" s="501">
        <v>1</v>
      </c>
      <c r="J2533" s="501">
        <v>0</v>
      </c>
      <c r="K2533" s="501">
        <v>0</v>
      </c>
      <c r="L2533" s="501">
        <v>0</v>
      </c>
      <c r="M2533" s="501">
        <v>0</v>
      </c>
      <c r="N2533" s="501">
        <v>0</v>
      </c>
      <c r="O2533" s="506">
        <v>1</v>
      </c>
    </row>
    <row r="2534" spans="1:15" x14ac:dyDescent="0.35">
      <c r="A2534" s="503" t="s">
        <v>1385</v>
      </c>
      <c r="B2534" s="504" t="s">
        <v>3249</v>
      </c>
      <c r="C2534" s="504" t="s">
        <v>1094</v>
      </c>
      <c r="D2534" s="504" t="s">
        <v>3380</v>
      </c>
      <c r="E2534" s="504" t="s">
        <v>3381</v>
      </c>
      <c r="F2534" s="504" t="s">
        <v>573</v>
      </c>
      <c r="G2534" s="504" t="s">
        <v>574</v>
      </c>
      <c r="H2534" s="504" t="s">
        <v>5365</v>
      </c>
      <c r="I2534" s="504">
        <v>2626</v>
      </c>
      <c r="J2534" s="504">
        <v>1956</v>
      </c>
      <c r="K2534" s="504">
        <v>12</v>
      </c>
      <c r="L2534" s="504">
        <v>210</v>
      </c>
      <c r="M2534" s="504">
        <v>38</v>
      </c>
      <c r="N2534" s="504">
        <v>2</v>
      </c>
      <c r="O2534" s="505">
        <v>410</v>
      </c>
    </row>
    <row r="2535" spans="1:15" x14ac:dyDescent="0.35">
      <c r="A2535" s="500" t="s">
        <v>1386</v>
      </c>
      <c r="B2535" s="501" t="s">
        <v>3331</v>
      </c>
      <c r="C2535" s="501" t="s">
        <v>1094</v>
      </c>
      <c r="D2535" s="501" t="s">
        <v>3380</v>
      </c>
      <c r="E2535" s="501" t="s">
        <v>3381</v>
      </c>
      <c r="F2535" s="501" t="s">
        <v>573</v>
      </c>
      <c r="G2535" s="501" t="s">
        <v>574</v>
      </c>
      <c r="H2535" s="501" t="s">
        <v>5366</v>
      </c>
      <c r="I2535" s="501">
        <v>72</v>
      </c>
      <c r="J2535" s="501">
        <v>72</v>
      </c>
      <c r="K2535" s="501">
        <v>0</v>
      </c>
      <c r="L2535" s="501">
        <v>0</v>
      </c>
      <c r="M2535" s="501">
        <v>0</v>
      </c>
      <c r="N2535" s="501">
        <v>0</v>
      </c>
      <c r="O2535" s="506">
        <v>0</v>
      </c>
    </row>
    <row r="2536" spans="1:15" x14ac:dyDescent="0.35">
      <c r="A2536" s="503" t="s">
        <v>14139</v>
      </c>
      <c r="B2536" s="504">
        <v>5153</v>
      </c>
      <c r="C2536" s="504" t="s">
        <v>1089</v>
      </c>
      <c r="D2536" s="504" t="s">
        <v>3392</v>
      </c>
      <c r="E2536" s="504" t="s">
        <v>3381</v>
      </c>
      <c r="F2536" s="504" t="s">
        <v>573</v>
      </c>
      <c r="G2536" s="504" t="s">
        <v>574</v>
      </c>
      <c r="H2536" s="504" t="s">
        <v>14647</v>
      </c>
      <c r="I2536" s="504">
        <v>57</v>
      </c>
      <c r="J2536" s="504">
        <v>57</v>
      </c>
      <c r="K2536" s="504">
        <v>0</v>
      </c>
      <c r="L2536" s="504">
        <v>0</v>
      </c>
      <c r="M2536" s="504">
        <v>0</v>
      </c>
      <c r="N2536" s="504">
        <v>0</v>
      </c>
      <c r="O2536" s="505">
        <v>0</v>
      </c>
    </row>
    <row r="2537" spans="1:15" x14ac:dyDescent="0.35">
      <c r="A2537" s="500" t="s">
        <v>1096</v>
      </c>
      <c r="B2537" s="501" t="s">
        <v>3326</v>
      </c>
      <c r="C2537" s="501" t="s">
        <v>1094</v>
      </c>
      <c r="D2537" s="501" t="s">
        <v>3380</v>
      </c>
      <c r="E2537" s="501" t="s">
        <v>3381</v>
      </c>
      <c r="F2537" s="501" t="s">
        <v>573</v>
      </c>
      <c r="G2537" s="501" t="s">
        <v>574</v>
      </c>
      <c r="H2537" s="501" t="s">
        <v>5367</v>
      </c>
      <c r="I2537" s="501">
        <v>35</v>
      </c>
      <c r="J2537" s="501">
        <v>0</v>
      </c>
      <c r="K2537" s="501">
        <v>0</v>
      </c>
      <c r="L2537" s="501">
        <v>0</v>
      </c>
      <c r="M2537" s="501">
        <v>35</v>
      </c>
      <c r="N2537" s="501">
        <v>0</v>
      </c>
      <c r="O2537" s="506">
        <v>0</v>
      </c>
    </row>
    <row r="2538" spans="1:15" x14ac:dyDescent="0.35">
      <c r="A2538" s="503" t="s">
        <v>1393</v>
      </c>
      <c r="B2538" s="504" t="s">
        <v>3194</v>
      </c>
      <c r="C2538" s="504" t="s">
        <v>1089</v>
      </c>
      <c r="D2538" s="504" t="s">
        <v>3392</v>
      </c>
      <c r="E2538" s="504" t="s">
        <v>3381</v>
      </c>
      <c r="F2538" s="504" t="s">
        <v>573</v>
      </c>
      <c r="G2538" s="504" t="s">
        <v>574</v>
      </c>
      <c r="H2538" s="504" t="s">
        <v>5368</v>
      </c>
      <c r="I2538" s="504">
        <v>7</v>
      </c>
      <c r="J2538" s="504">
        <v>7</v>
      </c>
      <c r="K2538" s="504">
        <v>0</v>
      </c>
      <c r="L2538" s="504">
        <v>0</v>
      </c>
      <c r="M2538" s="504">
        <v>0</v>
      </c>
      <c r="N2538" s="504">
        <v>0</v>
      </c>
      <c r="O2538" s="505">
        <v>0</v>
      </c>
    </row>
    <row r="2539" spans="1:15" x14ac:dyDescent="0.35">
      <c r="A2539" s="500" t="s">
        <v>11363</v>
      </c>
      <c r="B2539" s="501">
        <v>4718</v>
      </c>
      <c r="C2539" s="501" t="s">
        <v>1094</v>
      </c>
      <c r="D2539" s="501" t="s">
        <v>3380</v>
      </c>
      <c r="E2539" s="501" t="s">
        <v>3381</v>
      </c>
      <c r="F2539" s="501" t="s">
        <v>573</v>
      </c>
      <c r="G2539" s="501" t="s">
        <v>574</v>
      </c>
      <c r="H2539" s="501" t="s">
        <v>11536</v>
      </c>
      <c r="I2539" s="501">
        <v>5</v>
      </c>
      <c r="J2539" s="501">
        <v>0</v>
      </c>
      <c r="K2539" s="501">
        <v>0</v>
      </c>
      <c r="L2539" s="501">
        <v>5</v>
      </c>
      <c r="M2539" s="501">
        <v>0</v>
      </c>
      <c r="N2539" s="501">
        <v>0</v>
      </c>
      <c r="O2539" s="506">
        <v>0</v>
      </c>
    </row>
    <row r="2540" spans="1:15" x14ac:dyDescent="0.35">
      <c r="A2540" s="503" t="s">
        <v>1277</v>
      </c>
      <c r="B2540" s="504" t="s">
        <v>3056</v>
      </c>
      <c r="C2540" s="504" t="s">
        <v>1089</v>
      </c>
      <c r="D2540" s="504" t="s">
        <v>3392</v>
      </c>
      <c r="E2540" s="504" t="s">
        <v>3381</v>
      </c>
      <c r="F2540" s="504" t="s">
        <v>573</v>
      </c>
      <c r="G2540" s="504" t="s">
        <v>574</v>
      </c>
      <c r="H2540" s="504" t="s">
        <v>5369</v>
      </c>
      <c r="I2540" s="504">
        <v>3</v>
      </c>
      <c r="J2540" s="504">
        <v>0</v>
      </c>
      <c r="K2540" s="504">
        <v>0</v>
      </c>
      <c r="L2540" s="504">
        <v>3</v>
      </c>
      <c r="M2540" s="504">
        <v>0</v>
      </c>
      <c r="N2540" s="504">
        <v>0</v>
      </c>
      <c r="O2540" s="505">
        <v>0</v>
      </c>
    </row>
    <row r="2541" spans="1:15" x14ac:dyDescent="0.35">
      <c r="A2541" s="500" t="s">
        <v>1403</v>
      </c>
      <c r="B2541" s="501">
        <v>4733</v>
      </c>
      <c r="C2541" s="501" t="s">
        <v>1089</v>
      </c>
      <c r="D2541" s="501" t="s">
        <v>3392</v>
      </c>
      <c r="E2541" s="501" t="s">
        <v>3381</v>
      </c>
      <c r="F2541" s="501" t="s">
        <v>573</v>
      </c>
      <c r="G2541" s="501" t="s">
        <v>574</v>
      </c>
      <c r="H2541" s="501" t="s">
        <v>5370</v>
      </c>
      <c r="I2541" s="501">
        <v>335</v>
      </c>
      <c r="J2541" s="501">
        <v>0</v>
      </c>
      <c r="K2541" s="501">
        <v>335</v>
      </c>
      <c r="L2541" s="501">
        <v>0</v>
      </c>
      <c r="M2541" s="501">
        <v>0</v>
      </c>
      <c r="N2541" s="501">
        <v>0</v>
      </c>
      <c r="O2541" s="506">
        <v>0</v>
      </c>
    </row>
    <row r="2542" spans="1:15" x14ac:dyDescent="0.35">
      <c r="A2542" s="503" t="s">
        <v>14154</v>
      </c>
      <c r="B2542" s="504">
        <v>5105</v>
      </c>
      <c r="C2542" s="504" t="s">
        <v>1089</v>
      </c>
      <c r="D2542" s="504" t="s">
        <v>3392</v>
      </c>
      <c r="E2542" s="504" t="s">
        <v>3381</v>
      </c>
      <c r="F2542" s="504" t="s">
        <v>573</v>
      </c>
      <c r="G2542" s="504" t="s">
        <v>574</v>
      </c>
      <c r="H2542" s="504" t="s">
        <v>14648</v>
      </c>
      <c r="I2542" s="504">
        <v>26</v>
      </c>
      <c r="J2542" s="504">
        <v>26</v>
      </c>
      <c r="K2542" s="504">
        <v>0</v>
      </c>
      <c r="L2542" s="504">
        <v>0</v>
      </c>
      <c r="M2542" s="504">
        <v>0</v>
      </c>
      <c r="N2542" s="504">
        <v>0</v>
      </c>
      <c r="O2542" s="505">
        <v>0</v>
      </c>
    </row>
    <row r="2543" spans="1:15" x14ac:dyDescent="0.35">
      <c r="A2543" s="500" t="s">
        <v>1161</v>
      </c>
      <c r="B2543" s="501" t="s">
        <v>3001</v>
      </c>
      <c r="C2543" s="501" t="s">
        <v>1094</v>
      </c>
      <c r="D2543" s="501" t="s">
        <v>3380</v>
      </c>
      <c r="E2543" s="501" t="s">
        <v>3381</v>
      </c>
      <c r="F2543" s="501" t="s">
        <v>573</v>
      </c>
      <c r="G2543" s="501" t="s">
        <v>574</v>
      </c>
      <c r="H2543" s="501" t="s">
        <v>5371</v>
      </c>
      <c r="I2543" s="501">
        <v>4485</v>
      </c>
      <c r="J2543" s="501">
        <v>3501</v>
      </c>
      <c r="K2543" s="501">
        <v>0</v>
      </c>
      <c r="L2543" s="501">
        <v>0</v>
      </c>
      <c r="M2543" s="501">
        <v>219</v>
      </c>
      <c r="N2543" s="501">
        <v>0</v>
      </c>
      <c r="O2543" s="506">
        <v>765</v>
      </c>
    </row>
    <row r="2544" spans="1:15" x14ac:dyDescent="0.35">
      <c r="A2544" s="503" t="s">
        <v>1410</v>
      </c>
      <c r="B2544" s="504" t="s">
        <v>2868</v>
      </c>
      <c r="C2544" s="504" t="s">
        <v>1094</v>
      </c>
      <c r="D2544" s="504" t="s">
        <v>3380</v>
      </c>
      <c r="E2544" s="504" t="s">
        <v>3381</v>
      </c>
      <c r="F2544" s="504" t="s">
        <v>573</v>
      </c>
      <c r="G2544" s="504" t="s">
        <v>574</v>
      </c>
      <c r="H2544" s="504" t="s">
        <v>5372</v>
      </c>
      <c r="I2544" s="504">
        <v>138</v>
      </c>
      <c r="J2544" s="504">
        <v>43</v>
      </c>
      <c r="K2544" s="504">
        <v>0</v>
      </c>
      <c r="L2544" s="504">
        <v>67</v>
      </c>
      <c r="M2544" s="504">
        <v>28</v>
      </c>
      <c r="N2544" s="504">
        <v>0</v>
      </c>
      <c r="O2544" s="505">
        <v>0</v>
      </c>
    </row>
    <row r="2545" spans="1:15" x14ac:dyDescent="0.35">
      <c r="A2545" s="500" t="s">
        <v>1411</v>
      </c>
      <c r="B2545" s="501" t="s">
        <v>2873</v>
      </c>
      <c r="C2545" s="501" t="s">
        <v>1089</v>
      </c>
      <c r="D2545" s="501" t="s">
        <v>3392</v>
      </c>
      <c r="E2545" s="501" t="s">
        <v>3381</v>
      </c>
      <c r="F2545" s="501" t="s">
        <v>573</v>
      </c>
      <c r="G2545" s="501" t="s">
        <v>574</v>
      </c>
      <c r="H2545" s="501" t="s">
        <v>5373</v>
      </c>
      <c r="I2545" s="501">
        <v>17</v>
      </c>
      <c r="J2545" s="501">
        <v>0</v>
      </c>
      <c r="K2545" s="501">
        <v>0</v>
      </c>
      <c r="L2545" s="501">
        <v>17</v>
      </c>
      <c r="M2545" s="501">
        <v>0</v>
      </c>
      <c r="N2545" s="501">
        <v>0</v>
      </c>
      <c r="O2545" s="506">
        <v>0</v>
      </c>
    </row>
    <row r="2546" spans="1:15" x14ac:dyDescent="0.35">
      <c r="A2546" s="503" t="s">
        <v>1164</v>
      </c>
      <c r="B2546" s="504">
        <v>4751</v>
      </c>
      <c r="C2546" s="504" t="s">
        <v>1089</v>
      </c>
      <c r="D2546" s="504" t="s">
        <v>3392</v>
      </c>
      <c r="E2546" s="504" t="s">
        <v>3381</v>
      </c>
      <c r="F2546" s="504" t="s">
        <v>573</v>
      </c>
      <c r="G2546" s="504" t="s">
        <v>574</v>
      </c>
      <c r="H2546" s="504" t="s">
        <v>5374</v>
      </c>
      <c r="I2546" s="504">
        <v>34</v>
      </c>
      <c r="J2546" s="504">
        <v>0</v>
      </c>
      <c r="K2546" s="504">
        <v>0</v>
      </c>
      <c r="L2546" s="504">
        <v>34</v>
      </c>
      <c r="M2546" s="504">
        <v>0</v>
      </c>
      <c r="N2546" s="504">
        <v>0</v>
      </c>
      <c r="O2546" s="505">
        <v>0</v>
      </c>
    </row>
    <row r="2547" spans="1:15" x14ac:dyDescent="0.35">
      <c r="A2547" s="500" t="s">
        <v>1100</v>
      </c>
      <c r="B2547" s="501">
        <v>4865</v>
      </c>
      <c r="C2547" s="501" t="s">
        <v>1094</v>
      </c>
      <c r="D2547" s="501" t="s">
        <v>3380</v>
      </c>
      <c r="E2547" s="501" t="s">
        <v>3381</v>
      </c>
      <c r="F2547" s="501" t="s">
        <v>573</v>
      </c>
      <c r="G2547" s="501" t="s">
        <v>574</v>
      </c>
      <c r="H2547" s="501" t="s">
        <v>5375</v>
      </c>
      <c r="I2547" s="501">
        <v>358</v>
      </c>
      <c r="J2547" s="501">
        <v>112</v>
      </c>
      <c r="K2547" s="501">
        <v>0</v>
      </c>
      <c r="L2547" s="501">
        <v>0</v>
      </c>
      <c r="M2547" s="501">
        <v>0</v>
      </c>
      <c r="N2547" s="501">
        <v>0</v>
      </c>
      <c r="O2547" s="506">
        <v>246</v>
      </c>
    </row>
    <row r="2548" spans="1:15" x14ac:dyDescent="0.35">
      <c r="A2548" s="503" t="s">
        <v>1287</v>
      </c>
      <c r="B2548" s="504" t="s">
        <v>2784</v>
      </c>
      <c r="C2548" s="504" t="s">
        <v>1089</v>
      </c>
      <c r="D2548" s="504" t="s">
        <v>3392</v>
      </c>
      <c r="E2548" s="504" t="s">
        <v>3381</v>
      </c>
      <c r="F2548" s="504" t="s">
        <v>573</v>
      </c>
      <c r="G2548" s="504" t="s">
        <v>574</v>
      </c>
      <c r="H2548" s="504" t="s">
        <v>5376</v>
      </c>
      <c r="I2548" s="504">
        <v>8</v>
      </c>
      <c r="J2548" s="504">
        <v>8</v>
      </c>
      <c r="K2548" s="504">
        <v>0</v>
      </c>
      <c r="L2548" s="504">
        <v>0</v>
      </c>
      <c r="M2548" s="504">
        <v>0</v>
      </c>
      <c r="N2548" s="504">
        <v>0</v>
      </c>
      <c r="O2548" s="505">
        <v>0</v>
      </c>
    </row>
    <row r="2549" spans="1:15" x14ac:dyDescent="0.35">
      <c r="A2549" s="500" t="s">
        <v>1692</v>
      </c>
      <c r="B2549" s="501">
        <v>4780</v>
      </c>
      <c r="C2549" s="501" t="s">
        <v>1089</v>
      </c>
      <c r="D2549" s="501" t="s">
        <v>3392</v>
      </c>
      <c r="E2549" s="501" t="s">
        <v>3381</v>
      </c>
      <c r="F2549" s="501" t="s">
        <v>573</v>
      </c>
      <c r="G2549" s="501" t="s">
        <v>574</v>
      </c>
      <c r="H2549" s="501" t="s">
        <v>11651</v>
      </c>
      <c r="I2549" s="501">
        <v>12</v>
      </c>
      <c r="J2549" s="501">
        <v>0</v>
      </c>
      <c r="K2549" s="501">
        <v>12</v>
      </c>
      <c r="L2549" s="501">
        <v>0</v>
      </c>
      <c r="M2549" s="501">
        <v>0</v>
      </c>
      <c r="N2549" s="501">
        <v>12</v>
      </c>
      <c r="O2549" s="506">
        <v>0</v>
      </c>
    </row>
    <row r="2550" spans="1:15" x14ac:dyDescent="0.35">
      <c r="A2550" s="503" t="s">
        <v>1420</v>
      </c>
      <c r="B2550" s="504">
        <v>4764</v>
      </c>
      <c r="C2550" s="504" t="s">
        <v>1089</v>
      </c>
      <c r="D2550" s="504" t="s">
        <v>3392</v>
      </c>
      <c r="E2550" s="504" t="s">
        <v>3381</v>
      </c>
      <c r="F2550" s="504" t="s">
        <v>573</v>
      </c>
      <c r="G2550" s="504" t="s">
        <v>574</v>
      </c>
      <c r="H2550" s="504" t="s">
        <v>11659</v>
      </c>
      <c r="I2550" s="504">
        <v>3</v>
      </c>
      <c r="J2550" s="504">
        <v>3</v>
      </c>
      <c r="K2550" s="504">
        <v>0</v>
      </c>
      <c r="L2550" s="504">
        <v>0</v>
      </c>
      <c r="M2550" s="504">
        <v>0</v>
      </c>
      <c r="N2550" s="504">
        <v>0</v>
      </c>
      <c r="O2550" s="505">
        <v>0</v>
      </c>
    </row>
    <row r="2551" spans="1:15" x14ac:dyDescent="0.35">
      <c r="A2551" s="500" t="s">
        <v>11384</v>
      </c>
      <c r="B2551" s="501">
        <v>5081</v>
      </c>
      <c r="C2551" s="501" t="s">
        <v>1089</v>
      </c>
      <c r="D2551" s="501" t="s">
        <v>3392</v>
      </c>
      <c r="E2551" s="501" t="s">
        <v>3381</v>
      </c>
      <c r="F2551" s="501" t="s">
        <v>573</v>
      </c>
      <c r="G2551" s="501" t="s">
        <v>574</v>
      </c>
      <c r="H2551" s="501" t="s">
        <v>14649</v>
      </c>
      <c r="I2551" s="501">
        <v>18</v>
      </c>
      <c r="J2551" s="501">
        <v>18</v>
      </c>
      <c r="K2551" s="501">
        <v>0</v>
      </c>
      <c r="L2551" s="501">
        <v>0</v>
      </c>
      <c r="M2551" s="501">
        <v>0</v>
      </c>
      <c r="N2551" s="501">
        <v>0</v>
      </c>
      <c r="O2551" s="506">
        <v>0</v>
      </c>
    </row>
    <row r="2552" spans="1:15" x14ac:dyDescent="0.35">
      <c r="A2552" s="503" t="s">
        <v>1439</v>
      </c>
      <c r="B2552" s="504">
        <v>4569</v>
      </c>
      <c r="C2552" s="504" t="s">
        <v>1089</v>
      </c>
      <c r="D2552" s="504" t="s">
        <v>3392</v>
      </c>
      <c r="E2552" s="504" t="s">
        <v>3381</v>
      </c>
      <c r="F2552" s="504" t="s">
        <v>573</v>
      </c>
      <c r="G2552" s="504" t="s">
        <v>574</v>
      </c>
      <c r="H2552" s="504" t="s">
        <v>5377</v>
      </c>
      <c r="I2552" s="504">
        <v>17</v>
      </c>
      <c r="J2552" s="504">
        <v>17</v>
      </c>
      <c r="K2552" s="504">
        <v>0</v>
      </c>
      <c r="L2552" s="504">
        <v>0</v>
      </c>
      <c r="M2552" s="504">
        <v>0</v>
      </c>
      <c r="N2552" s="504">
        <v>0</v>
      </c>
      <c r="O2552" s="505">
        <v>0</v>
      </c>
    </row>
    <row r="2553" spans="1:15" x14ac:dyDescent="0.35">
      <c r="A2553" s="500" t="s">
        <v>14208</v>
      </c>
      <c r="B2553" s="501">
        <v>4803</v>
      </c>
      <c r="C2553" s="501" t="s">
        <v>1094</v>
      </c>
      <c r="D2553" s="501" t="s">
        <v>3380</v>
      </c>
      <c r="E2553" s="501" t="s">
        <v>3381</v>
      </c>
      <c r="F2553" s="501" t="s">
        <v>573</v>
      </c>
      <c r="G2553" s="501" t="s">
        <v>574</v>
      </c>
      <c r="H2553" s="501" t="s">
        <v>14650</v>
      </c>
      <c r="I2553" s="501">
        <v>17</v>
      </c>
      <c r="J2553" s="501">
        <v>0</v>
      </c>
      <c r="K2553" s="501">
        <v>0</v>
      </c>
      <c r="L2553" s="501">
        <v>17</v>
      </c>
      <c r="M2553" s="501">
        <v>0</v>
      </c>
      <c r="N2553" s="501">
        <v>0</v>
      </c>
      <c r="O2553" s="506">
        <v>0</v>
      </c>
    </row>
    <row r="2554" spans="1:15" x14ac:dyDescent="0.35">
      <c r="A2554" s="503" t="s">
        <v>1185</v>
      </c>
      <c r="B2554" s="504" t="s">
        <v>3253</v>
      </c>
      <c r="C2554" s="504" t="s">
        <v>1094</v>
      </c>
      <c r="D2554" s="504" t="s">
        <v>3380</v>
      </c>
      <c r="E2554" s="504" t="s">
        <v>3381</v>
      </c>
      <c r="F2554" s="504" t="s">
        <v>573</v>
      </c>
      <c r="G2554" s="504" t="s">
        <v>574</v>
      </c>
      <c r="H2554" s="504" t="s">
        <v>5378</v>
      </c>
      <c r="I2554" s="504">
        <v>15</v>
      </c>
      <c r="J2554" s="504">
        <v>0</v>
      </c>
      <c r="K2554" s="504">
        <v>0</v>
      </c>
      <c r="L2554" s="504">
        <v>15</v>
      </c>
      <c r="M2554" s="504">
        <v>0</v>
      </c>
      <c r="N2554" s="504">
        <v>0</v>
      </c>
      <c r="O2554" s="505">
        <v>0</v>
      </c>
    </row>
    <row r="2555" spans="1:15" x14ac:dyDescent="0.35">
      <c r="A2555" s="500" t="s">
        <v>1458</v>
      </c>
      <c r="B2555" s="501" t="s">
        <v>3058</v>
      </c>
      <c r="C2555" s="501" t="s">
        <v>1089</v>
      </c>
      <c r="D2555" s="501" t="s">
        <v>3392</v>
      </c>
      <c r="E2555" s="501" t="s">
        <v>3381</v>
      </c>
      <c r="F2555" s="501" t="s">
        <v>573</v>
      </c>
      <c r="G2555" s="501" t="s">
        <v>574</v>
      </c>
      <c r="H2555" s="501" t="s">
        <v>5379</v>
      </c>
      <c r="I2555" s="501">
        <v>5</v>
      </c>
      <c r="J2555" s="501">
        <v>5</v>
      </c>
      <c r="K2555" s="501">
        <v>0</v>
      </c>
      <c r="L2555" s="501">
        <v>0</v>
      </c>
      <c r="M2555" s="501">
        <v>0</v>
      </c>
      <c r="N2555" s="501">
        <v>0</v>
      </c>
      <c r="O2555" s="506">
        <v>0</v>
      </c>
    </row>
    <row r="2556" spans="1:15" x14ac:dyDescent="0.35">
      <c r="A2556" s="503" t="s">
        <v>1188</v>
      </c>
      <c r="B2556" s="504">
        <v>4760</v>
      </c>
      <c r="C2556" s="504" t="s">
        <v>1089</v>
      </c>
      <c r="D2556" s="504" t="s">
        <v>3392</v>
      </c>
      <c r="E2556" s="504" t="s">
        <v>3381</v>
      </c>
      <c r="F2556" s="504" t="s">
        <v>573</v>
      </c>
      <c r="G2556" s="504" t="s">
        <v>574</v>
      </c>
      <c r="H2556" s="504" t="s">
        <v>5380</v>
      </c>
      <c r="I2556" s="504">
        <v>4</v>
      </c>
      <c r="J2556" s="504">
        <v>0</v>
      </c>
      <c r="K2556" s="504">
        <v>0</v>
      </c>
      <c r="L2556" s="504">
        <v>4</v>
      </c>
      <c r="M2556" s="504">
        <v>0</v>
      </c>
      <c r="N2556" s="504">
        <v>0</v>
      </c>
      <c r="O2556" s="505">
        <v>0</v>
      </c>
    </row>
    <row r="2557" spans="1:15" x14ac:dyDescent="0.35">
      <c r="A2557" s="500" t="s">
        <v>1107</v>
      </c>
      <c r="B2557" s="501" t="s">
        <v>3109</v>
      </c>
      <c r="C2557" s="501" t="s">
        <v>1094</v>
      </c>
      <c r="D2557" s="501" t="s">
        <v>3380</v>
      </c>
      <c r="E2557" s="501" t="s">
        <v>3381</v>
      </c>
      <c r="F2557" s="501" t="s">
        <v>573</v>
      </c>
      <c r="G2557" s="501" t="s">
        <v>574</v>
      </c>
      <c r="H2557" s="501" t="s">
        <v>5381</v>
      </c>
      <c r="I2557" s="501">
        <v>115</v>
      </c>
      <c r="J2557" s="501">
        <v>76</v>
      </c>
      <c r="K2557" s="501">
        <v>0</v>
      </c>
      <c r="L2557" s="501">
        <v>0</v>
      </c>
      <c r="M2557" s="501">
        <v>0</v>
      </c>
      <c r="N2557" s="501">
        <v>0</v>
      </c>
      <c r="O2557" s="506">
        <v>39</v>
      </c>
    </row>
    <row r="2558" spans="1:15" x14ac:dyDescent="0.35">
      <c r="A2558" s="503" t="s">
        <v>1469</v>
      </c>
      <c r="B2558" s="504" t="s">
        <v>3023</v>
      </c>
      <c r="C2558" s="504" t="s">
        <v>1089</v>
      </c>
      <c r="D2558" s="504" t="s">
        <v>3392</v>
      </c>
      <c r="E2558" s="504" t="s">
        <v>3381</v>
      </c>
      <c r="F2558" s="504" t="s">
        <v>573</v>
      </c>
      <c r="G2558" s="504" t="s">
        <v>574</v>
      </c>
      <c r="H2558" s="504" t="s">
        <v>5382</v>
      </c>
      <c r="I2558" s="504">
        <v>62</v>
      </c>
      <c r="J2558" s="504">
        <v>56</v>
      </c>
      <c r="K2558" s="504">
        <v>0</v>
      </c>
      <c r="L2558" s="504">
        <v>6</v>
      </c>
      <c r="M2558" s="504">
        <v>0</v>
      </c>
      <c r="N2558" s="504">
        <v>13</v>
      </c>
      <c r="O2558" s="505">
        <v>0</v>
      </c>
    </row>
    <row r="2559" spans="1:15" x14ac:dyDescent="0.35">
      <c r="A2559" s="500" t="s">
        <v>1470</v>
      </c>
      <c r="B2559" s="501" t="s">
        <v>2439</v>
      </c>
      <c r="C2559" s="501" t="s">
        <v>1089</v>
      </c>
      <c r="D2559" s="501" t="s">
        <v>3392</v>
      </c>
      <c r="E2559" s="501" t="s">
        <v>3381</v>
      </c>
      <c r="F2559" s="501" t="s">
        <v>573</v>
      </c>
      <c r="G2559" s="501" t="s">
        <v>574</v>
      </c>
      <c r="H2559" s="501" t="s">
        <v>5383</v>
      </c>
      <c r="I2559" s="501">
        <v>130</v>
      </c>
      <c r="J2559" s="501">
        <v>6</v>
      </c>
      <c r="K2559" s="501">
        <v>0</v>
      </c>
      <c r="L2559" s="501">
        <v>0</v>
      </c>
      <c r="M2559" s="501">
        <v>124</v>
      </c>
      <c r="N2559" s="501">
        <v>0</v>
      </c>
      <c r="O2559" s="506">
        <v>0</v>
      </c>
    </row>
    <row r="2560" spans="1:15" x14ac:dyDescent="0.35">
      <c r="A2560" s="503" t="s">
        <v>1190</v>
      </c>
      <c r="B2560" s="504">
        <v>4662</v>
      </c>
      <c r="C2560" s="504" t="s">
        <v>1094</v>
      </c>
      <c r="D2560" s="504" t="s">
        <v>3380</v>
      </c>
      <c r="E2560" s="504" t="s">
        <v>3381</v>
      </c>
      <c r="F2560" s="504" t="s">
        <v>573</v>
      </c>
      <c r="G2560" s="504" t="s">
        <v>574</v>
      </c>
      <c r="H2560" s="504" t="s">
        <v>5384</v>
      </c>
      <c r="I2560" s="504">
        <v>17</v>
      </c>
      <c r="J2560" s="504">
        <v>0</v>
      </c>
      <c r="K2560" s="504">
        <v>0</v>
      </c>
      <c r="L2560" s="504">
        <v>17</v>
      </c>
      <c r="M2560" s="504">
        <v>0</v>
      </c>
      <c r="N2560" s="504">
        <v>0</v>
      </c>
      <c r="O2560" s="505">
        <v>0</v>
      </c>
    </row>
    <row r="2561" spans="1:15" x14ac:dyDescent="0.35">
      <c r="A2561" s="500" t="s">
        <v>1307</v>
      </c>
      <c r="B2561" s="501" t="s">
        <v>3306</v>
      </c>
      <c r="C2561" s="501" t="s">
        <v>1089</v>
      </c>
      <c r="D2561" s="501" t="s">
        <v>3392</v>
      </c>
      <c r="E2561" s="501" t="s">
        <v>3381</v>
      </c>
      <c r="F2561" s="501" t="s">
        <v>573</v>
      </c>
      <c r="G2561" s="501" t="s">
        <v>574</v>
      </c>
      <c r="H2561" s="501" t="s">
        <v>5385</v>
      </c>
      <c r="I2561" s="501">
        <v>17</v>
      </c>
      <c r="J2561" s="501">
        <v>5</v>
      </c>
      <c r="K2561" s="501">
        <v>0</v>
      </c>
      <c r="L2561" s="501">
        <v>12</v>
      </c>
      <c r="M2561" s="501">
        <v>0</v>
      </c>
      <c r="N2561" s="501">
        <v>0</v>
      </c>
      <c r="O2561" s="506">
        <v>0</v>
      </c>
    </row>
    <row r="2562" spans="1:15" x14ac:dyDescent="0.35">
      <c r="A2562" s="503" t="s">
        <v>1474</v>
      </c>
      <c r="B2562" s="504" t="s">
        <v>3300</v>
      </c>
      <c r="C2562" s="504" t="s">
        <v>1094</v>
      </c>
      <c r="D2562" s="504" t="s">
        <v>3380</v>
      </c>
      <c r="E2562" s="504" t="s">
        <v>3381</v>
      </c>
      <c r="F2562" s="504" t="s">
        <v>573</v>
      </c>
      <c r="G2562" s="504" t="s">
        <v>574</v>
      </c>
      <c r="H2562" s="504" t="s">
        <v>5386</v>
      </c>
      <c r="I2562" s="504">
        <v>325</v>
      </c>
      <c r="J2562" s="504">
        <v>316</v>
      </c>
      <c r="K2562" s="504">
        <v>0</v>
      </c>
      <c r="L2562" s="504">
        <v>0</v>
      </c>
      <c r="M2562" s="504">
        <v>0</v>
      </c>
      <c r="N2562" s="504">
        <v>0</v>
      </c>
      <c r="O2562" s="505">
        <v>9</v>
      </c>
    </row>
    <row r="2563" spans="1:15" x14ac:dyDescent="0.35">
      <c r="A2563" s="500" t="s">
        <v>1483</v>
      </c>
      <c r="B2563" s="501">
        <v>4769</v>
      </c>
      <c r="C2563" s="501" t="s">
        <v>1089</v>
      </c>
      <c r="D2563" s="501" t="s">
        <v>3392</v>
      </c>
      <c r="E2563" s="501" t="s">
        <v>3381</v>
      </c>
      <c r="F2563" s="501" t="s">
        <v>573</v>
      </c>
      <c r="G2563" s="501" t="s">
        <v>574</v>
      </c>
      <c r="H2563" s="501" t="s">
        <v>5387</v>
      </c>
      <c r="I2563" s="501">
        <v>1</v>
      </c>
      <c r="J2563" s="501">
        <v>1</v>
      </c>
      <c r="K2563" s="501">
        <v>0</v>
      </c>
      <c r="L2563" s="501">
        <v>0</v>
      </c>
      <c r="M2563" s="501">
        <v>0</v>
      </c>
      <c r="N2563" s="501">
        <v>0</v>
      </c>
      <c r="O2563" s="506">
        <v>0</v>
      </c>
    </row>
    <row r="2564" spans="1:15" x14ac:dyDescent="0.35">
      <c r="A2564" s="503" t="s">
        <v>1202</v>
      </c>
      <c r="B2564" s="504" t="s">
        <v>3217</v>
      </c>
      <c r="C2564" s="504" t="s">
        <v>1094</v>
      </c>
      <c r="D2564" s="504" t="s">
        <v>3380</v>
      </c>
      <c r="E2564" s="504" t="s">
        <v>3381</v>
      </c>
      <c r="F2564" s="504" t="s">
        <v>573</v>
      </c>
      <c r="G2564" s="504" t="s">
        <v>574</v>
      </c>
      <c r="H2564" s="504" t="s">
        <v>5388</v>
      </c>
      <c r="I2564" s="504">
        <v>1012</v>
      </c>
      <c r="J2564" s="504">
        <v>737</v>
      </c>
      <c r="K2564" s="504">
        <v>0</v>
      </c>
      <c r="L2564" s="504">
        <v>7</v>
      </c>
      <c r="M2564" s="504">
        <v>0</v>
      </c>
      <c r="N2564" s="504">
        <v>0</v>
      </c>
      <c r="O2564" s="505">
        <v>268</v>
      </c>
    </row>
    <row r="2565" spans="1:15" x14ac:dyDescent="0.35">
      <c r="A2565" s="500" t="s">
        <v>1492</v>
      </c>
      <c r="B2565" s="501" t="s">
        <v>3354</v>
      </c>
      <c r="C2565" s="501" t="s">
        <v>1089</v>
      </c>
      <c r="D2565" s="501" t="s">
        <v>3392</v>
      </c>
      <c r="E2565" s="501" t="s">
        <v>3381</v>
      </c>
      <c r="F2565" s="501" t="s">
        <v>573</v>
      </c>
      <c r="G2565" s="501" t="s">
        <v>574</v>
      </c>
      <c r="H2565" s="501" t="s">
        <v>5389</v>
      </c>
      <c r="I2565" s="501">
        <v>18</v>
      </c>
      <c r="J2565" s="501">
        <v>0</v>
      </c>
      <c r="K2565" s="501">
        <v>0</v>
      </c>
      <c r="L2565" s="501">
        <v>18</v>
      </c>
      <c r="M2565" s="501">
        <v>0</v>
      </c>
      <c r="N2565" s="501">
        <v>0</v>
      </c>
      <c r="O2565" s="506">
        <v>0</v>
      </c>
    </row>
    <row r="2566" spans="1:15" x14ac:dyDescent="0.35">
      <c r="A2566" s="503" t="s">
        <v>1494</v>
      </c>
      <c r="B2566" s="504" t="s">
        <v>3235</v>
      </c>
      <c r="C2566" s="504" t="s">
        <v>1094</v>
      </c>
      <c r="D2566" s="504" t="s">
        <v>3380</v>
      </c>
      <c r="E2566" s="504" t="s">
        <v>3381</v>
      </c>
      <c r="F2566" s="504" t="s">
        <v>573</v>
      </c>
      <c r="G2566" s="504" t="s">
        <v>574</v>
      </c>
      <c r="H2566" s="504" t="s">
        <v>5390</v>
      </c>
      <c r="I2566" s="504">
        <v>40</v>
      </c>
      <c r="J2566" s="504">
        <v>0</v>
      </c>
      <c r="K2566" s="504">
        <v>0</v>
      </c>
      <c r="L2566" s="504">
        <v>40</v>
      </c>
      <c r="M2566" s="504">
        <v>0</v>
      </c>
      <c r="N2566" s="504">
        <v>1</v>
      </c>
      <c r="O2566" s="505">
        <v>0</v>
      </c>
    </row>
    <row r="2567" spans="1:15" x14ac:dyDescent="0.35">
      <c r="A2567" s="500" t="s">
        <v>1112</v>
      </c>
      <c r="B2567" s="501" t="s">
        <v>3008</v>
      </c>
      <c r="C2567" s="501" t="s">
        <v>1094</v>
      </c>
      <c r="D2567" s="501" t="s">
        <v>3380</v>
      </c>
      <c r="E2567" s="501" t="s">
        <v>3381</v>
      </c>
      <c r="F2567" s="501" t="s">
        <v>573</v>
      </c>
      <c r="G2567" s="501" t="s">
        <v>574</v>
      </c>
      <c r="H2567" s="501" t="s">
        <v>5391</v>
      </c>
      <c r="I2567" s="501">
        <v>212</v>
      </c>
      <c r="J2567" s="501">
        <v>128</v>
      </c>
      <c r="K2567" s="501">
        <v>0</v>
      </c>
      <c r="L2567" s="501">
        <v>0</v>
      </c>
      <c r="M2567" s="501">
        <v>0</v>
      </c>
      <c r="N2567" s="501">
        <v>1</v>
      </c>
      <c r="O2567" s="506">
        <v>84</v>
      </c>
    </row>
    <row r="2568" spans="1:15" x14ac:dyDescent="0.35">
      <c r="A2568" s="503" t="s">
        <v>1114</v>
      </c>
      <c r="B2568" s="504" t="s">
        <v>2982</v>
      </c>
      <c r="C2568" s="504" t="s">
        <v>1094</v>
      </c>
      <c r="D2568" s="504" t="s">
        <v>3380</v>
      </c>
      <c r="E2568" s="504" t="s">
        <v>3381</v>
      </c>
      <c r="F2568" s="504" t="s">
        <v>573</v>
      </c>
      <c r="G2568" s="504" t="s">
        <v>574</v>
      </c>
      <c r="H2568" s="504" t="s">
        <v>5392</v>
      </c>
      <c r="I2568" s="504">
        <v>1</v>
      </c>
      <c r="J2568" s="504">
        <v>0</v>
      </c>
      <c r="K2568" s="504">
        <v>0</v>
      </c>
      <c r="L2568" s="504">
        <v>0</v>
      </c>
      <c r="M2568" s="504">
        <v>0</v>
      </c>
      <c r="N2568" s="504">
        <v>0</v>
      </c>
      <c r="O2568" s="505">
        <v>1</v>
      </c>
    </row>
    <row r="2569" spans="1:15" x14ac:dyDescent="0.35">
      <c r="A2569" s="500" t="s">
        <v>1315</v>
      </c>
      <c r="B2569" s="501">
        <v>4825</v>
      </c>
      <c r="C2569" s="501" t="s">
        <v>1094</v>
      </c>
      <c r="D2569" s="501" t="s">
        <v>3380</v>
      </c>
      <c r="E2569" s="501" t="s">
        <v>3381</v>
      </c>
      <c r="F2569" s="501" t="s">
        <v>573</v>
      </c>
      <c r="G2569" s="501" t="s">
        <v>574</v>
      </c>
      <c r="H2569" s="501" t="s">
        <v>5393</v>
      </c>
      <c r="I2569" s="501">
        <v>915</v>
      </c>
      <c r="J2569" s="501">
        <v>662</v>
      </c>
      <c r="K2569" s="501">
        <v>0</v>
      </c>
      <c r="L2569" s="501">
        <v>0</v>
      </c>
      <c r="M2569" s="501">
        <v>0</v>
      </c>
      <c r="N2569" s="501">
        <v>1</v>
      </c>
      <c r="O2569" s="506">
        <v>253</v>
      </c>
    </row>
    <row r="2570" spans="1:15" x14ac:dyDescent="0.35">
      <c r="A2570" s="503" t="s">
        <v>1503</v>
      </c>
      <c r="B2570" s="504">
        <v>4666</v>
      </c>
      <c r="C2570" s="504" t="s">
        <v>1089</v>
      </c>
      <c r="D2570" s="504" t="s">
        <v>3392</v>
      </c>
      <c r="E2570" s="504" t="s">
        <v>3381</v>
      </c>
      <c r="F2570" s="504" t="s">
        <v>573</v>
      </c>
      <c r="G2570" s="504" t="s">
        <v>574</v>
      </c>
      <c r="H2570" s="504" t="s">
        <v>5394</v>
      </c>
      <c r="I2570" s="504">
        <v>5</v>
      </c>
      <c r="J2570" s="504">
        <v>0</v>
      </c>
      <c r="K2570" s="504">
        <v>0</v>
      </c>
      <c r="L2570" s="504">
        <v>5</v>
      </c>
      <c r="M2570" s="504">
        <v>0</v>
      </c>
      <c r="N2570" s="504">
        <v>0</v>
      </c>
      <c r="O2570" s="505">
        <v>0</v>
      </c>
    </row>
    <row r="2571" spans="1:15" x14ac:dyDescent="0.35">
      <c r="A2571" s="500" t="s">
        <v>1319</v>
      </c>
      <c r="B2571" s="501">
        <v>4880</v>
      </c>
      <c r="C2571" s="501" t="s">
        <v>1094</v>
      </c>
      <c r="D2571" s="501" t="s">
        <v>3380</v>
      </c>
      <c r="E2571" s="501" t="s">
        <v>3381</v>
      </c>
      <c r="F2571" s="501" t="s">
        <v>573</v>
      </c>
      <c r="G2571" s="501" t="s">
        <v>574</v>
      </c>
      <c r="H2571" s="501" t="s">
        <v>5395</v>
      </c>
      <c r="I2571" s="501">
        <v>2120</v>
      </c>
      <c r="J2571" s="501">
        <v>1701</v>
      </c>
      <c r="K2571" s="501">
        <v>0</v>
      </c>
      <c r="L2571" s="501">
        <v>167</v>
      </c>
      <c r="M2571" s="501">
        <v>80</v>
      </c>
      <c r="N2571" s="501">
        <v>4</v>
      </c>
      <c r="O2571" s="506">
        <v>172</v>
      </c>
    </row>
    <row r="2572" spans="1:15" x14ac:dyDescent="0.35">
      <c r="A2572" s="503" t="s">
        <v>1120</v>
      </c>
      <c r="B2572" s="504" t="s">
        <v>3362</v>
      </c>
      <c r="C2572" s="504" t="s">
        <v>1094</v>
      </c>
      <c r="D2572" s="504" t="s">
        <v>3380</v>
      </c>
      <c r="E2572" s="504" t="s">
        <v>3381</v>
      </c>
      <c r="F2572" s="504" t="s">
        <v>573</v>
      </c>
      <c r="G2572" s="504" t="s">
        <v>574</v>
      </c>
      <c r="H2572" s="504" t="s">
        <v>5396</v>
      </c>
      <c r="I2572" s="504">
        <v>406</v>
      </c>
      <c r="J2572" s="504">
        <v>0</v>
      </c>
      <c r="K2572" s="504">
        <v>0</v>
      </c>
      <c r="L2572" s="504">
        <v>0</v>
      </c>
      <c r="M2572" s="504">
        <v>0</v>
      </c>
      <c r="N2572" s="504">
        <v>0</v>
      </c>
      <c r="O2572" s="505">
        <v>406</v>
      </c>
    </row>
    <row r="2573" spans="1:15" x14ac:dyDescent="0.35">
      <c r="A2573" s="500" t="s">
        <v>1510</v>
      </c>
      <c r="B2573" s="501" t="s">
        <v>3004</v>
      </c>
      <c r="C2573" s="501" t="s">
        <v>1094</v>
      </c>
      <c r="D2573" s="501" t="s">
        <v>3380</v>
      </c>
      <c r="E2573" s="501" t="s">
        <v>3381</v>
      </c>
      <c r="F2573" s="501" t="s">
        <v>573</v>
      </c>
      <c r="G2573" s="501" t="s">
        <v>574</v>
      </c>
      <c r="H2573" s="501" t="s">
        <v>5397</v>
      </c>
      <c r="I2573" s="501">
        <v>97</v>
      </c>
      <c r="J2573" s="501">
        <v>32</v>
      </c>
      <c r="K2573" s="501">
        <v>0</v>
      </c>
      <c r="L2573" s="501">
        <v>0</v>
      </c>
      <c r="M2573" s="501">
        <v>0</v>
      </c>
      <c r="N2573" s="501">
        <v>0</v>
      </c>
      <c r="O2573" s="506">
        <v>65</v>
      </c>
    </row>
    <row r="2574" spans="1:15" x14ac:dyDescent="0.35">
      <c r="A2574" s="503" t="s">
        <v>1321</v>
      </c>
      <c r="B2574" s="504">
        <v>4635</v>
      </c>
      <c r="C2574" s="504" t="s">
        <v>1089</v>
      </c>
      <c r="D2574" s="504" t="s">
        <v>3392</v>
      </c>
      <c r="E2574" s="504" t="s">
        <v>3381</v>
      </c>
      <c r="F2574" s="504" t="s">
        <v>573</v>
      </c>
      <c r="G2574" s="504" t="s">
        <v>574</v>
      </c>
      <c r="H2574" s="504" t="s">
        <v>5398</v>
      </c>
      <c r="I2574" s="504">
        <v>73</v>
      </c>
      <c r="J2574" s="504">
        <v>73</v>
      </c>
      <c r="K2574" s="504">
        <v>0</v>
      </c>
      <c r="L2574" s="504">
        <v>0</v>
      </c>
      <c r="M2574" s="504">
        <v>0</v>
      </c>
      <c r="N2574" s="504">
        <v>0</v>
      </c>
      <c r="O2574" s="505">
        <v>0</v>
      </c>
    </row>
    <row r="2575" spans="1:15" x14ac:dyDescent="0.35">
      <c r="A2575" s="500" t="s">
        <v>1322</v>
      </c>
      <c r="B2575" s="501" t="s">
        <v>3244</v>
      </c>
      <c r="C2575" s="501" t="s">
        <v>1094</v>
      </c>
      <c r="D2575" s="501" t="s">
        <v>3380</v>
      </c>
      <c r="E2575" s="501" t="s">
        <v>3381</v>
      </c>
      <c r="F2575" s="501" t="s">
        <v>573</v>
      </c>
      <c r="G2575" s="501" t="s">
        <v>574</v>
      </c>
      <c r="H2575" s="501" t="s">
        <v>5399</v>
      </c>
      <c r="I2575" s="501">
        <v>38</v>
      </c>
      <c r="J2575" s="501">
        <v>14</v>
      </c>
      <c r="K2575" s="501">
        <v>0</v>
      </c>
      <c r="L2575" s="501">
        <v>0</v>
      </c>
      <c r="M2575" s="501">
        <v>0</v>
      </c>
      <c r="N2575" s="501">
        <v>0</v>
      </c>
      <c r="O2575" s="506">
        <v>24</v>
      </c>
    </row>
    <row r="2576" spans="1:15" x14ac:dyDescent="0.35">
      <c r="A2576" s="503" t="s">
        <v>1217</v>
      </c>
      <c r="B2576" s="504">
        <v>4851</v>
      </c>
      <c r="C2576" s="504" t="s">
        <v>1094</v>
      </c>
      <c r="D2576" s="504" t="s">
        <v>3380</v>
      </c>
      <c r="E2576" s="504" t="s">
        <v>3381</v>
      </c>
      <c r="F2576" s="504" t="s">
        <v>573</v>
      </c>
      <c r="G2576" s="504" t="s">
        <v>574</v>
      </c>
      <c r="H2576" s="504" t="s">
        <v>5400</v>
      </c>
      <c r="I2576" s="504">
        <v>31</v>
      </c>
      <c r="J2576" s="504">
        <v>10</v>
      </c>
      <c r="K2576" s="504">
        <v>0</v>
      </c>
      <c r="L2576" s="504">
        <v>0</v>
      </c>
      <c r="M2576" s="504">
        <v>0</v>
      </c>
      <c r="N2576" s="504">
        <v>0</v>
      </c>
      <c r="O2576" s="505">
        <v>21</v>
      </c>
    </row>
    <row r="2577" spans="1:15" x14ac:dyDescent="0.35">
      <c r="A2577" s="500" t="s">
        <v>14267</v>
      </c>
      <c r="B2577" s="501">
        <v>4699</v>
      </c>
      <c r="C2577" s="501" t="s">
        <v>1089</v>
      </c>
      <c r="D2577" s="501" t="s">
        <v>3392</v>
      </c>
      <c r="E2577" s="501" t="s">
        <v>3381</v>
      </c>
      <c r="F2577" s="501" t="s">
        <v>573</v>
      </c>
      <c r="G2577" s="501" t="s">
        <v>574</v>
      </c>
      <c r="H2577" s="501" t="s">
        <v>14651</v>
      </c>
      <c r="I2577" s="501">
        <v>1</v>
      </c>
      <c r="J2577" s="501">
        <v>1</v>
      </c>
      <c r="K2577" s="501">
        <v>0</v>
      </c>
      <c r="L2577" s="501">
        <v>0</v>
      </c>
      <c r="M2577" s="501">
        <v>0</v>
      </c>
      <c r="N2577" s="501">
        <v>0</v>
      </c>
      <c r="O2577" s="506">
        <v>0</v>
      </c>
    </row>
    <row r="2578" spans="1:15" x14ac:dyDescent="0.35">
      <c r="A2578" s="503" t="s">
        <v>1325</v>
      </c>
      <c r="B2578" s="504" t="s">
        <v>3011</v>
      </c>
      <c r="C2578" s="504" t="s">
        <v>1094</v>
      </c>
      <c r="D2578" s="504" t="s">
        <v>3380</v>
      </c>
      <c r="E2578" s="504" t="s">
        <v>3381</v>
      </c>
      <c r="F2578" s="504" t="s">
        <v>573</v>
      </c>
      <c r="G2578" s="504" t="s">
        <v>574</v>
      </c>
      <c r="H2578" s="504" t="s">
        <v>5401</v>
      </c>
      <c r="I2578" s="504">
        <v>1</v>
      </c>
      <c r="J2578" s="504">
        <v>0</v>
      </c>
      <c r="K2578" s="504">
        <v>0</v>
      </c>
      <c r="L2578" s="504">
        <v>0</v>
      </c>
      <c r="M2578" s="504">
        <v>0</v>
      </c>
      <c r="N2578" s="504">
        <v>0</v>
      </c>
      <c r="O2578" s="505">
        <v>1</v>
      </c>
    </row>
    <row r="2579" spans="1:15" x14ac:dyDescent="0.35">
      <c r="A2579" s="500" t="s">
        <v>1220</v>
      </c>
      <c r="B2579" s="501">
        <v>4849</v>
      </c>
      <c r="C2579" s="501" t="s">
        <v>1094</v>
      </c>
      <c r="D2579" s="501" t="s">
        <v>3380</v>
      </c>
      <c r="E2579" s="501" t="s">
        <v>3381</v>
      </c>
      <c r="F2579" s="501" t="s">
        <v>573</v>
      </c>
      <c r="G2579" s="501" t="s">
        <v>574</v>
      </c>
      <c r="H2579" s="501" t="s">
        <v>5402</v>
      </c>
      <c r="I2579" s="501">
        <v>362</v>
      </c>
      <c r="J2579" s="501">
        <v>289</v>
      </c>
      <c r="K2579" s="501">
        <v>0</v>
      </c>
      <c r="L2579" s="501">
        <v>0</v>
      </c>
      <c r="M2579" s="501">
        <v>63</v>
      </c>
      <c r="N2579" s="501">
        <v>0</v>
      </c>
      <c r="O2579" s="506">
        <v>10</v>
      </c>
    </row>
    <row r="2580" spans="1:15" x14ac:dyDescent="0.35">
      <c r="A2580" s="503" t="s">
        <v>1221</v>
      </c>
      <c r="B2580" s="504">
        <v>4728</v>
      </c>
      <c r="C2580" s="504" t="s">
        <v>1089</v>
      </c>
      <c r="D2580" s="504" t="s">
        <v>3392</v>
      </c>
      <c r="E2580" s="504" t="s">
        <v>3381</v>
      </c>
      <c r="F2580" s="504" t="s">
        <v>573</v>
      </c>
      <c r="G2580" s="504" t="s">
        <v>574</v>
      </c>
      <c r="H2580" s="504" t="s">
        <v>11972</v>
      </c>
      <c r="I2580" s="504">
        <v>11</v>
      </c>
      <c r="J2580" s="504">
        <v>0</v>
      </c>
      <c r="K2580" s="504">
        <v>0</v>
      </c>
      <c r="L2580" s="504">
        <v>11</v>
      </c>
      <c r="M2580" s="504">
        <v>0</v>
      </c>
      <c r="N2580" s="504">
        <v>0</v>
      </c>
      <c r="O2580" s="505">
        <v>0</v>
      </c>
    </row>
    <row r="2581" spans="1:15" x14ac:dyDescent="0.35">
      <c r="A2581" s="500" t="s">
        <v>1332</v>
      </c>
      <c r="B2581" s="501">
        <v>4878</v>
      </c>
      <c r="C2581" s="501" t="s">
        <v>1094</v>
      </c>
      <c r="D2581" s="501" t="s">
        <v>3380</v>
      </c>
      <c r="E2581" s="501" t="s">
        <v>3381</v>
      </c>
      <c r="F2581" s="501" t="s">
        <v>573</v>
      </c>
      <c r="G2581" s="501" t="s">
        <v>574</v>
      </c>
      <c r="H2581" s="501" t="s">
        <v>5403</v>
      </c>
      <c r="I2581" s="501">
        <v>520</v>
      </c>
      <c r="J2581" s="501">
        <v>469</v>
      </c>
      <c r="K2581" s="501">
        <v>1</v>
      </c>
      <c r="L2581" s="501">
        <v>2</v>
      </c>
      <c r="M2581" s="501">
        <v>0</v>
      </c>
      <c r="N2581" s="501">
        <v>0</v>
      </c>
      <c r="O2581" s="506">
        <v>48</v>
      </c>
    </row>
    <row r="2582" spans="1:15" x14ac:dyDescent="0.35">
      <c r="A2582" s="503" t="s">
        <v>1122</v>
      </c>
      <c r="B2582" s="504" t="s">
        <v>2994</v>
      </c>
      <c r="C2582" s="504" t="s">
        <v>1094</v>
      </c>
      <c r="D2582" s="504" t="s">
        <v>3380</v>
      </c>
      <c r="E2582" s="504" t="s">
        <v>3381</v>
      </c>
      <c r="F2582" s="504" t="s">
        <v>573</v>
      </c>
      <c r="G2582" s="504" t="s">
        <v>574</v>
      </c>
      <c r="H2582" s="504" t="s">
        <v>5404</v>
      </c>
      <c r="I2582" s="504">
        <v>1</v>
      </c>
      <c r="J2582" s="504">
        <v>0</v>
      </c>
      <c r="K2582" s="504">
        <v>0</v>
      </c>
      <c r="L2582" s="504">
        <v>0</v>
      </c>
      <c r="M2582" s="504">
        <v>0</v>
      </c>
      <c r="N2582" s="504">
        <v>0</v>
      </c>
      <c r="O2582" s="505">
        <v>1</v>
      </c>
    </row>
    <row r="2583" spans="1:15" x14ac:dyDescent="0.35">
      <c r="A2583" s="500" t="s">
        <v>1527</v>
      </c>
      <c r="B2583" s="501" t="s">
        <v>2966</v>
      </c>
      <c r="C2583" s="501" t="s">
        <v>1089</v>
      </c>
      <c r="D2583" s="501" t="s">
        <v>3392</v>
      </c>
      <c r="E2583" s="501" t="s">
        <v>3381</v>
      </c>
      <c r="F2583" s="501" t="s">
        <v>573</v>
      </c>
      <c r="G2583" s="501" t="s">
        <v>574</v>
      </c>
      <c r="H2583" s="501" t="s">
        <v>5405</v>
      </c>
      <c r="I2583" s="501">
        <v>42</v>
      </c>
      <c r="J2583" s="501">
        <v>0</v>
      </c>
      <c r="K2583" s="501">
        <v>0</v>
      </c>
      <c r="L2583" s="501">
        <v>0</v>
      </c>
      <c r="M2583" s="501">
        <v>42</v>
      </c>
      <c r="N2583" s="501">
        <v>0</v>
      </c>
      <c r="O2583" s="506">
        <v>0</v>
      </c>
    </row>
    <row r="2584" spans="1:15" x14ac:dyDescent="0.35">
      <c r="A2584" s="503" t="s">
        <v>1126</v>
      </c>
      <c r="B2584" s="504" t="s">
        <v>2974</v>
      </c>
      <c r="C2584" s="504" t="s">
        <v>1094</v>
      </c>
      <c r="D2584" s="504" t="s">
        <v>3380</v>
      </c>
      <c r="E2584" s="504" t="s">
        <v>3381</v>
      </c>
      <c r="F2584" s="504" t="s">
        <v>573</v>
      </c>
      <c r="G2584" s="504" t="s">
        <v>574</v>
      </c>
      <c r="H2584" s="504" t="s">
        <v>5406</v>
      </c>
      <c r="I2584" s="504">
        <v>134</v>
      </c>
      <c r="J2584" s="504">
        <v>22</v>
      </c>
      <c r="K2584" s="504">
        <v>0</v>
      </c>
      <c r="L2584" s="504">
        <v>25</v>
      </c>
      <c r="M2584" s="504">
        <v>87</v>
      </c>
      <c r="N2584" s="504">
        <v>0</v>
      </c>
      <c r="O2584" s="505">
        <v>0</v>
      </c>
    </row>
    <row r="2585" spans="1:15" x14ac:dyDescent="0.35">
      <c r="A2585" s="500" t="s">
        <v>1342</v>
      </c>
      <c r="B2585" s="501" t="s">
        <v>3237</v>
      </c>
      <c r="C2585" s="501" t="s">
        <v>1094</v>
      </c>
      <c r="D2585" s="501" t="s">
        <v>3380</v>
      </c>
      <c r="E2585" s="501" t="s">
        <v>3381</v>
      </c>
      <c r="F2585" s="501" t="s">
        <v>573</v>
      </c>
      <c r="G2585" s="501" t="s">
        <v>574</v>
      </c>
      <c r="H2585" s="501" t="s">
        <v>5407</v>
      </c>
      <c r="I2585" s="501">
        <v>546</v>
      </c>
      <c r="J2585" s="501">
        <v>286</v>
      </c>
      <c r="K2585" s="501">
        <v>0</v>
      </c>
      <c r="L2585" s="501">
        <v>0</v>
      </c>
      <c r="M2585" s="501">
        <v>0</v>
      </c>
      <c r="N2585" s="501">
        <v>14</v>
      </c>
      <c r="O2585" s="506">
        <v>260</v>
      </c>
    </row>
    <row r="2586" spans="1:15" x14ac:dyDescent="0.35">
      <c r="A2586" s="503" t="s">
        <v>1130</v>
      </c>
      <c r="B2586" s="504" t="s">
        <v>3234</v>
      </c>
      <c r="C2586" s="504" t="s">
        <v>1094</v>
      </c>
      <c r="D2586" s="504" t="s">
        <v>3380</v>
      </c>
      <c r="E2586" s="504" t="s">
        <v>3381</v>
      </c>
      <c r="F2586" s="504" t="s">
        <v>573</v>
      </c>
      <c r="G2586" s="504" t="s">
        <v>574</v>
      </c>
      <c r="H2586" s="504" t="s">
        <v>5408</v>
      </c>
      <c r="I2586" s="504">
        <v>1</v>
      </c>
      <c r="J2586" s="504">
        <v>0</v>
      </c>
      <c r="K2586" s="504">
        <v>0</v>
      </c>
      <c r="L2586" s="504">
        <v>0</v>
      </c>
      <c r="M2586" s="504">
        <v>0</v>
      </c>
      <c r="N2586" s="504">
        <v>0</v>
      </c>
      <c r="O2586" s="505">
        <v>1</v>
      </c>
    </row>
    <row r="2587" spans="1:15" x14ac:dyDescent="0.35">
      <c r="A2587" s="500" t="s">
        <v>1550</v>
      </c>
      <c r="B2587" s="501" t="s">
        <v>3282</v>
      </c>
      <c r="C2587" s="501" t="s">
        <v>1089</v>
      </c>
      <c r="D2587" s="501" t="s">
        <v>3392</v>
      </c>
      <c r="E2587" s="501" t="s">
        <v>3381</v>
      </c>
      <c r="F2587" s="501" t="s">
        <v>573</v>
      </c>
      <c r="G2587" s="501" t="s">
        <v>574</v>
      </c>
      <c r="H2587" s="501" t="s">
        <v>5409</v>
      </c>
      <c r="I2587" s="501">
        <v>7</v>
      </c>
      <c r="J2587" s="501">
        <v>0</v>
      </c>
      <c r="K2587" s="501">
        <v>0</v>
      </c>
      <c r="L2587" s="501">
        <v>7</v>
      </c>
      <c r="M2587" s="501">
        <v>0</v>
      </c>
      <c r="N2587" s="501">
        <v>0</v>
      </c>
      <c r="O2587" s="506">
        <v>0</v>
      </c>
    </row>
    <row r="2588" spans="1:15" x14ac:dyDescent="0.35">
      <c r="A2588" s="503" t="s">
        <v>1345</v>
      </c>
      <c r="B2588" s="504" t="s">
        <v>3247</v>
      </c>
      <c r="C2588" s="504" t="s">
        <v>1094</v>
      </c>
      <c r="D2588" s="504" t="s">
        <v>3380</v>
      </c>
      <c r="E2588" s="504" t="s">
        <v>3381</v>
      </c>
      <c r="F2588" s="504" t="s">
        <v>573</v>
      </c>
      <c r="G2588" s="504" t="s">
        <v>574</v>
      </c>
      <c r="H2588" s="504" t="s">
        <v>5410</v>
      </c>
      <c r="I2588" s="504">
        <v>19</v>
      </c>
      <c r="J2588" s="504">
        <v>0</v>
      </c>
      <c r="K2588" s="504">
        <v>19</v>
      </c>
      <c r="L2588" s="504">
        <v>0</v>
      </c>
      <c r="M2588" s="504">
        <v>0</v>
      </c>
      <c r="N2588" s="504">
        <v>0</v>
      </c>
      <c r="O2588" s="505">
        <v>0</v>
      </c>
    </row>
    <row r="2589" spans="1:15" x14ac:dyDescent="0.35">
      <c r="A2589" s="500" t="s">
        <v>1134</v>
      </c>
      <c r="B2589" s="501" t="s">
        <v>3066</v>
      </c>
      <c r="C2589" s="501" t="s">
        <v>1094</v>
      </c>
      <c r="D2589" s="501" t="s">
        <v>3380</v>
      </c>
      <c r="E2589" s="501" t="s">
        <v>3381</v>
      </c>
      <c r="F2589" s="501" t="s">
        <v>573</v>
      </c>
      <c r="G2589" s="501" t="s">
        <v>574</v>
      </c>
      <c r="H2589" s="501" t="s">
        <v>5411</v>
      </c>
      <c r="I2589" s="501">
        <v>1</v>
      </c>
      <c r="J2589" s="501">
        <v>1</v>
      </c>
      <c r="K2589" s="501">
        <v>0</v>
      </c>
      <c r="L2589" s="501">
        <v>0</v>
      </c>
      <c r="M2589" s="501">
        <v>0</v>
      </c>
      <c r="N2589" s="501">
        <v>0</v>
      </c>
      <c r="O2589" s="506">
        <v>0</v>
      </c>
    </row>
    <row r="2590" spans="1:15" x14ac:dyDescent="0.35">
      <c r="A2590" s="503" t="s">
        <v>1560</v>
      </c>
      <c r="B2590" s="504" t="s">
        <v>2990</v>
      </c>
      <c r="C2590" s="504" t="s">
        <v>1094</v>
      </c>
      <c r="D2590" s="504" t="s">
        <v>3380</v>
      </c>
      <c r="E2590" s="504" t="s">
        <v>3381</v>
      </c>
      <c r="F2590" s="504" t="s">
        <v>573</v>
      </c>
      <c r="G2590" s="504" t="s">
        <v>574</v>
      </c>
      <c r="H2590" s="504" t="s">
        <v>12187</v>
      </c>
      <c r="I2590" s="504">
        <v>111</v>
      </c>
      <c r="J2590" s="504">
        <v>0</v>
      </c>
      <c r="K2590" s="504">
        <v>0</v>
      </c>
      <c r="L2590" s="504">
        <v>0</v>
      </c>
      <c r="M2590" s="504">
        <v>0</v>
      </c>
      <c r="N2590" s="504">
        <v>0</v>
      </c>
      <c r="O2590" s="505">
        <v>111</v>
      </c>
    </row>
    <row r="2591" spans="1:15" x14ac:dyDescent="0.35">
      <c r="A2591" s="500" t="s">
        <v>1563</v>
      </c>
      <c r="B2591" s="501" t="s">
        <v>2917</v>
      </c>
      <c r="C2591" s="501" t="s">
        <v>1089</v>
      </c>
      <c r="D2591" s="501" t="s">
        <v>3392</v>
      </c>
      <c r="E2591" s="501" t="s">
        <v>3381</v>
      </c>
      <c r="F2591" s="501" t="s">
        <v>573</v>
      </c>
      <c r="G2591" s="501" t="s">
        <v>574</v>
      </c>
      <c r="H2591" s="501" t="s">
        <v>5412</v>
      </c>
      <c r="I2591" s="501">
        <v>8</v>
      </c>
      <c r="J2591" s="501">
        <v>0</v>
      </c>
      <c r="K2591" s="501">
        <v>0</v>
      </c>
      <c r="L2591" s="501">
        <v>8</v>
      </c>
      <c r="M2591" s="501">
        <v>0</v>
      </c>
      <c r="N2591" s="501">
        <v>0</v>
      </c>
      <c r="O2591" s="506">
        <v>0</v>
      </c>
    </row>
    <row r="2592" spans="1:15" x14ac:dyDescent="0.35">
      <c r="A2592" s="503" t="s">
        <v>1249</v>
      </c>
      <c r="B2592" s="504">
        <v>4729</v>
      </c>
      <c r="C2592" s="504" t="s">
        <v>1094</v>
      </c>
      <c r="D2592" s="504" t="s">
        <v>3380</v>
      </c>
      <c r="E2592" s="504" t="s">
        <v>3381</v>
      </c>
      <c r="F2592" s="504" t="s">
        <v>573</v>
      </c>
      <c r="G2592" s="504" t="s">
        <v>574</v>
      </c>
      <c r="H2592" s="504" t="s">
        <v>5413</v>
      </c>
      <c r="I2592" s="504">
        <v>1</v>
      </c>
      <c r="J2592" s="504">
        <v>1</v>
      </c>
      <c r="K2592" s="504">
        <v>0</v>
      </c>
      <c r="L2592" s="504">
        <v>0</v>
      </c>
      <c r="M2592" s="504">
        <v>0</v>
      </c>
      <c r="N2592" s="504">
        <v>0</v>
      </c>
      <c r="O2592" s="505">
        <v>0</v>
      </c>
    </row>
    <row r="2593" spans="1:15" x14ac:dyDescent="0.35">
      <c r="A2593" s="500" t="s">
        <v>1587</v>
      </c>
      <c r="B2593" s="501" t="s">
        <v>2978</v>
      </c>
      <c r="C2593" s="501" t="s">
        <v>1094</v>
      </c>
      <c r="D2593" s="501" t="s">
        <v>3380</v>
      </c>
      <c r="E2593" s="501" t="s">
        <v>3381</v>
      </c>
      <c r="F2593" s="501" t="s">
        <v>573</v>
      </c>
      <c r="G2593" s="501" t="s">
        <v>574</v>
      </c>
      <c r="H2593" s="501" t="s">
        <v>5414</v>
      </c>
      <c r="I2593" s="501">
        <v>1</v>
      </c>
      <c r="J2593" s="501">
        <v>0</v>
      </c>
      <c r="K2593" s="501">
        <v>0</v>
      </c>
      <c r="L2593" s="501">
        <v>0</v>
      </c>
      <c r="M2593" s="501">
        <v>0</v>
      </c>
      <c r="N2593" s="501">
        <v>0</v>
      </c>
      <c r="O2593" s="506">
        <v>1</v>
      </c>
    </row>
    <row r="2594" spans="1:15" x14ac:dyDescent="0.35">
      <c r="A2594" s="503" t="s">
        <v>1588</v>
      </c>
      <c r="B2594" s="504" t="s">
        <v>2697</v>
      </c>
      <c r="C2594" s="504" t="s">
        <v>1089</v>
      </c>
      <c r="D2594" s="504" t="s">
        <v>3392</v>
      </c>
      <c r="E2594" s="504" t="s">
        <v>3381</v>
      </c>
      <c r="F2594" s="504" t="s">
        <v>573</v>
      </c>
      <c r="G2594" s="504" t="s">
        <v>574</v>
      </c>
      <c r="H2594" s="504" t="s">
        <v>5415</v>
      </c>
      <c r="I2594" s="504">
        <v>42</v>
      </c>
      <c r="J2594" s="504">
        <v>42</v>
      </c>
      <c r="K2594" s="504">
        <v>0</v>
      </c>
      <c r="L2594" s="504">
        <v>0</v>
      </c>
      <c r="M2594" s="504">
        <v>0</v>
      </c>
      <c r="N2594" s="504">
        <v>0</v>
      </c>
      <c r="O2594" s="505">
        <v>0</v>
      </c>
    </row>
    <row r="2595" spans="1:15" x14ac:dyDescent="0.35">
      <c r="A2595" s="500" t="s">
        <v>1596</v>
      </c>
      <c r="B2595" s="501" t="s">
        <v>2936</v>
      </c>
      <c r="C2595" s="501" t="s">
        <v>1089</v>
      </c>
      <c r="D2595" s="501" t="s">
        <v>3392</v>
      </c>
      <c r="E2595" s="501" t="s">
        <v>3381</v>
      </c>
      <c r="F2595" s="501" t="s">
        <v>573</v>
      </c>
      <c r="G2595" s="501" t="s">
        <v>574</v>
      </c>
      <c r="H2595" s="501" t="s">
        <v>5416</v>
      </c>
      <c r="I2595" s="501">
        <v>241</v>
      </c>
      <c r="J2595" s="501">
        <v>0</v>
      </c>
      <c r="K2595" s="501">
        <v>0</v>
      </c>
      <c r="L2595" s="501">
        <v>241</v>
      </c>
      <c r="M2595" s="501">
        <v>0</v>
      </c>
      <c r="N2595" s="501">
        <v>0</v>
      </c>
      <c r="O2595" s="506">
        <v>0</v>
      </c>
    </row>
    <row r="2596" spans="1:15" x14ac:dyDescent="0.35">
      <c r="A2596" s="503" t="s">
        <v>1597</v>
      </c>
      <c r="B2596" s="504" t="s">
        <v>3251</v>
      </c>
      <c r="C2596" s="504" t="s">
        <v>1089</v>
      </c>
      <c r="D2596" s="504" t="s">
        <v>3392</v>
      </c>
      <c r="E2596" s="504" t="s">
        <v>3381</v>
      </c>
      <c r="F2596" s="504" t="s">
        <v>573</v>
      </c>
      <c r="G2596" s="504" t="s">
        <v>574</v>
      </c>
      <c r="H2596" s="504" t="s">
        <v>5417</v>
      </c>
      <c r="I2596" s="504">
        <v>26</v>
      </c>
      <c r="J2596" s="504">
        <v>0</v>
      </c>
      <c r="K2596" s="504">
        <v>0</v>
      </c>
      <c r="L2596" s="504">
        <v>0</v>
      </c>
      <c r="M2596" s="504">
        <v>26</v>
      </c>
      <c r="N2596" s="504">
        <v>0</v>
      </c>
      <c r="O2596" s="505">
        <v>0</v>
      </c>
    </row>
    <row r="2597" spans="1:15" x14ac:dyDescent="0.35">
      <c r="A2597" s="500" t="s">
        <v>1599</v>
      </c>
      <c r="B2597" s="501" t="s">
        <v>3303</v>
      </c>
      <c r="C2597" s="501" t="s">
        <v>1089</v>
      </c>
      <c r="D2597" s="501" t="s">
        <v>3392</v>
      </c>
      <c r="E2597" s="501" t="s">
        <v>3381</v>
      </c>
      <c r="F2597" s="501" t="s">
        <v>573</v>
      </c>
      <c r="G2597" s="501" t="s">
        <v>574</v>
      </c>
      <c r="H2597" s="501" t="s">
        <v>5418</v>
      </c>
      <c r="I2597" s="501">
        <v>129</v>
      </c>
      <c r="J2597" s="501">
        <v>129</v>
      </c>
      <c r="K2597" s="501">
        <v>0</v>
      </c>
      <c r="L2597" s="501">
        <v>0</v>
      </c>
      <c r="M2597" s="501">
        <v>0</v>
      </c>
      <c r="N2597" s="501">
        <v>0</v>
      </c>
      <c r="O2597" s="506">
        <v>0</v>
      </c>
    </row>
    <row r="2598" spans="1:15" x14ac:dyDescent="0.35">
      <c r="A2598" s="503" t="s">
        <v>1264</v>
      </c>
      <c r="B2598" s="504">
        <v>4671</v>
      </c>
      <c r="C2598" s="504" t="s">
        <v>1089</v>
      </c>
      <c r="D2598" s="504" t="s">
        <v>3392</v>
      </c>
      <c r="E2598" s="504" t="s">
        <v>3381</v>
      </c>
      <c r="F2598" s="504" t="s">
        <v>573</v>
      </c>
      <c r="G2598" s="504" t="s">
        <v>574</v>
      </c>
      <c r="H2598" s="504" t="s">
        <v>14652</v>
      </c>
      <c r="I2598" s="504">
        <v>57</v>
      </c>
      <c r="J2598" s="504">
        <v>0</v>
      </c>
      <c r="K2598" s="504">
        <v>0</v>
      </c>
      <c r="L2598" s="504">
        <v>57</v>
      </c>
      <c r="M2598" s="504">
        <v>0</v>
      </c>
      <c r="N2598" s="504">
        <v>0</v>
      </c>
      <c r="O2598" s="505">
        <v>0</v>
      </c>
    </row>
    <row r="2599" spans="1:15" x14ac:dyDescent="0.35">
      <c r="A2599" s="500" t="s">
        <v>1605</v>
      </c>
      <c r="B2599" s="501" t="s">
        <v>3064</v>
      </c>
      <c r="C2599" s="501" t="s">
        <v>1089</v>
      </c>
      <c r="D2599" s="501" t="s">
        <v>3392</v>
      </c>
      <c r="E2599" s="501" t="s">
        <v>3381</v>
      </c>
      <c r="F2599" s="501" t="s">
        <v>573</v>
      </c>
      <c r="G2599" s="501" t="s">
        <v>574</v>
      </c>
      <c r="H2599" s="501" t="s">
        <v>5419</v>
      </c>
      <c r="I2599" s="501">
        <v>38</v>
      </c>
      <c r="J2599" s="501">
        <v>38</v>
      </c>
      <c r="K2599" s="501">
        <v>0</v>
      </c>
      <c r="L2599" s="501">
        <v>0</v>
      </c>
      <c r="M2599" s="501">
        <v>0</v>
      </c>
      <c r="N2599" s="501">
        <v>0</v>
      </c>
      <c r="O2599" s="506">
        <v>0</v>
      </c>
    </row>
    <row r="2600" spans="1:15" x14ac:dyDescent="0.35">
      <c r="A2600" s="503" t="s">
        <v>1143</v>
      </c>
      <c r="B2600" s="504" t="s">
        <v>3281</v>
      </c>
      <c r="C2600" s="504" t="s">
        <v>1094</v>
      </c>
      <c r="D2600" s="504" t="s">
        <v>3380</v>
      </c>
      <c r="E2600" s="504" t="s">
        <v>3381</v>
      </c>
      <c r="F2600" s="504" t="s">
        <v>575</v>
      </c>
      <c r="G2600" s="504" t="s">
        <v>576</v>
      </c>
      <c r="H2600" s="504" t="s">
        <v>11486</v>
      </c>
      <c r="I2600" s="504">
        <v>27</v>
      </c>
      <c r="J2600" s="504">
        <v>12</v>
      </c>
      <c r="K2600" s="504">
        <v>0</v>
      </c>
      <c r="L2600" s="504">
        <v>0</v>
      </c>
      <c r="M2600" s="504">
        <v>0</v>
      </c>
      <c r="N2600" s="504">
        <v>0</v>
      </c>
      <c r="O2600" s="505">
        <v>15</v>
      </c>
    </row>
    <row r="2601" spans="1:15" x14ac:dyDescent="0.35">
      <c r="A2601" s="500" t="s">
        <v>1100</v>
      </c>
      <c r="B2601" s="501">
        <v>4865</v>
      </c>
      <c r="C2601" s="501" t="s">
        <v>1094</v>
      </c>
      <c r="D2601" s="501" t="s">
        <v>3380</v>
      </c>
      <c r="E2601" s="501" t="s">
        <v>3381</v>
      </c>
      <c r="F2601" s="501" t="s">
        <v>575</v>
      </c>
      <c r="G2601" s="501" t="s">
        <v>576</v>
      </c>
      <c r="H2601" s="501" t="s">
        <v>5421</v>
      </c>
      <c r="I2601" s="501">
        <v>159</v>
      </c>
      <c r="J2601" s="501">
        <v>101</v>
      </c>
      <c r="K2601" s="501">
        <v>0</v>
      </c>
      <c r="L2601" s="501">
        <v>0</v>
      </c>
      <c r="M2601" s="501">
        <v>0</v>
      </c>
      <c r="N2601" s="501">
        <v>0</v>
      </c>
      <c r="O2601" s="506">
        <v>58</v>
      </c>
    </row>
    <row r="2602" spans="1:15" x14ac:dyDescent="0.35">
      <c r="A2602" s="503" t="s">
        <v>1293</v>
      </c>
      <c r="B2602" s="504" t="s">
        <v>3212</v>
      </c>
      <c r="C2602" s="504" t="s">
        <v>1094</v>
      </c>
      <c r="D2602" s="504" t="s">
        <v>3380</v>
      </c>
      <c r="E2602" s="504" t="s">
        <v>3381</v>
      </c>
      <c r="F2602" s="504" t="s">
        <v>575</v>
      </c>
      <c r="G2602" s="504" t="s">
        <v>576</v>
      </c>
      <c r="H2602" s="504" t="s">
        <v>11681</v>
      </c>
      <c r="I2602" s="504">
        <v>8</v>
      </c>
      <c r="J2602" s="504">
        <v>0</v>
      </c>
      <c r="K2602" s="504">
        <v>0</v>
      </c>
      <c r="L2602" s="504">
        <v>0</v>
      </c>
      <c r="M2602" s="504">
        <v>0</v>
      </c>
      <c r="N2602" s="504">
        <v>0</v>
      </c>
      <c r="O2602" s="505">
        <v>8</v>
      </c>
    </row>
    <row r="2603" spans="1:15" x14ac:dyDescent="0.35">
      <c r="A2603" s="500" t="s">
        <v>1102</v>
      </c>
      <c r="B2603" s="501">
        <v>4663</v>
      </c>
      <c r="C2603" s="501" t="s">
        <v>1089</v>
      </c>
      <c r="D2603" s="501" t="s">
        <v>3392</v>
      </c>
      <c r="E2603" s="501" t="s">
        <v>3381</v>
      </c>
      <c r="F2603" s="501" t="s">
        <v>575</v>
      </c>
      <c r="G2603" s="501" t="s">
        <v>576</v>
      </c>
      <c r="H2603" s="501" t="s">
        <v>5422</v>
      </c>
      <c r="I2603" s="501">
        <v>7</v>
      </c>
      <c r="J2603" s="501">
        <v>0</v>
      </c>
      <c r="K2603" s="501">
        <v>0</v>
      </c>
      <c r="L2603" s="501">
        <v>7</v>
      </c>
      <c r="M2603" s="501">
        <v>0</v>
      </c>
      <c r="N2603" s="501">
        <v>0</v>
      </c>
      <c r="O2603" s="506">
        <v>0</v>
      </c>
    </row>
    <row r="2604" spans="1:15" x14ac:dyDescent="0.35">
      <c r="A2604" s="503" t="s">
        <v>1296</v>
      </c>
      <c r="B2604" s="504">
        <v>4651</v>
      </c>
      <c r="C2604" s="504" t="s">
        <v>1094</v>
      </c>
      <c r="D2604" s="504" t="s">
        <v>3380</v>
      </c>
      <c r="E2604" s="504" t="s">
        <v>3381</v>
      </c>
      <c r="F2604" s="504" t="s">
        <v>575</v>
      </c>
      <c r="G2604" s="504" t="s">
        <v>576</v>
      </c>
      <c r="H2604" s="504" t="s">
        <v>5423</v>
      </c>
      <c r="I2604" s="504">
        <v>159</v>
      </c>
      <c r="J2604" s="504">
        <v>134</v>
      </c>
      <c r="K2604" s="504">
        <v>0</v>
      </c>
      <c r="L2604" s="504">
        <v>0</v>
      </c>
      <c r="M2604" s="504">
        <v>0</v>
      </c>
      <c r="N2604" s="504">
        <v>0</v>
      </c>
      <c r="O2604" s="505">
        <v>25</v>
      </c>
    </row>
    <row r="2605" spans="1:15" x14ac:dyDescent="0.35">
      <c r="A2605" s="500" t="s">
        <v>1180</v>
      </c>
      <c r="B2605" s="501" t="s">
        <v>3184</v>
      </c>
      <c r="C2605" s="501" t="s">
        <v>1094</v>
      </c>
      <c r="D2605" s="501" t="s">
        <v>3380</v>
      </c>
      <c r="E2605" s="501" t="s">
        <v>3381</v>
      </c>
      <c r="F2605" s="501" t="s">
        <v>575</v>
      </c>
      <c r="G2605" s="501" t="s">
        <v>576</v>
      </c>
      <c r="H2605" s="501" t="s">
        <v>5424</v>
      </c>
      <c r="I2605" s="501">
        <v>2</v>
      </c>
      <c r="J2605" s="501">
        <v>2</v>
      </c>
      <c r="K2605" s="501">
        <v>0</v>
      </c>
      <c r="L2605" s="501">
        <v>0</v>
      </c>
      <c r="M2605" s="501">
        <v>0</v>
      </c>
      <c r="N2605" s="501">
        <v>0</v>
      </c>
      <c r="O2605" s="506">
        <v>0</v>
      </c>
    </row>
    <row r="2606" spans="1:15" x14ac:dyDescent="0.35">
      <c r="A2606" s="503" t="s">
        <v>1187</v>
      </c>
      <c r="B2606" s="504" t="s">
        <v>2951</v>
      </c>
      <c r="C2606" s="504" t="s">
        <v>1094</v>
      </c>
      <c r="D2606" s="504" t="s">
        <v>3380</v>
      </c>
      <c r="E2606" s="504" t="s">
        <v>3381</v>
      </c>
      <c r="F2606" s="504" t="s">
        <v>575</v>
      </c>
      <c r="G2606" s="504" t="s">
        <v>576</v>
      </c>
      <c r="H2606" s="504" t="s">
        <v>5425</v>
      </c>
      <c r="I2606" s="504">
        <v>118</v>
      </c>
      <c r="J2606" s="504">
        <v>93</v>
      </c>
      <c r="K2606" s="504">
        <v>0</v>
      </c>
      <c r="L2606" s="504">
        <v>0</v>
      </c>
      <c r="M2606" s="504">
        <v>0</v>
      </c>
      <c r="N2606" s="504">
        <v>0</v>
      </c>
      <c r="O2606" s="505">
        <v>25</v>
      </c>
    </row>
    <row r="2607" spans="1:15" x14ac:dyDescent="0.35">
      <c r="A2607" s="500" t="s">
        <v>1105</v>
      </c>
      <c r="B2607" s="501">
        <v>4668</v>
      </c>
      <c r="C2607" s="501" t="s">
        <v>1094</v>
      </c>
      <c r="D2607" s="501" t="s">
        <v>3380</v>
      </c>
      <c r="E2607" s="501" t="s">
        <v>3381</v>
      </c>
      <c r="F2607" s="501" t="s">
        <v>575</v>
      </c>
      <c r="G2607" s="501" t="s">
        <v>576</v>
      </c>
      <c r="H2607" s="501" t="s">
        <v>5426</v>
      </c>
      <c r="I2607" s="501">
        <v>31</v>
      </c>
      <c r="J2607" s="501">
        <v>0</v>
      </c>
      <c r="K2607" s="501">
        <v>0</v>
      </c>
      <c r="L2607" s="501">
        <v>0</v>
      </c>
      <c r="M2607" s="501">
        <v>0</v>
      </c>
      <c r="N2607" s="501">
        <v>0</v>
      </c>
      <c r="O2607" s="506">
        <v>31</v>
      </c>
    </row>
    <row r="2608" spans="1:15" x14ac:dyDescent="0.35">
      <c r="A2608" s="503" t="s">
        <v>1306</v>
      </c>
      <c r="B2608" s="504" t="s">
        <v>3005</v>
      </c>
      <c r="C2608" s="504" t="s">
        <v>1094</v>
      </c>
      <c r="D2608" s="504" t="s">
        <v>3380</v>
      </c>
      <c r="E2608" s="504" t="s">
        <v>3381</v>
      </c>
      <c r="F2608" s="504" t="s">
        <v>575</v>
      </c>
      <c r="G2608" s="504" t="s">
        <v>576</v>
      </c>
      <c r="H2608" s="504" t="s">
        <v>5427</v>
      </c>
      <c r="I2608" s="504">
        <v>112</v>
      </c>
      <c r="J2608" s="504">
        <v>89</v>
      </c>
      <c r="K2608" s="504">
        <v>0</v>
      </c>
      <c r="L2608" s="504">
        <v>0</v>
      </c>
      <c r="M2608" s="504">
        <v>0</v>
      </c>
      <c r="N2608" s="504">
        <v>0</v>
      </c>
      <c r="O2608" s="505">
        <v>23</v>
      </c>
    </row>
    <row r="2609" spans="1:15" x14ac:dyDescent="0.35">
      <c r="A2609" s="500" t="s">
        <v>1203</v>
      </c>
      <c r="B2609" s="501" t="s">
        <v>3170</v>
      </c>
      <c r="C2609" s="501" t="s">
        <v>1094</v>
      </c>
      <c r="D2609" s="501" t="s">
        <v>3380</v>
      </c>
      <c r="E2609" s="501" t="s">
        <v>3381</v>
      </c>
      <c r="F2609" s="501" t="s">
        <v>575</v>
      </c>
      <c r="G2609" s="501" t="s">
        <v>576</v>
      </c>
      <c r="H2609" s="501" t="s">
        <v>5428</v>
      </c>
      <c r="I2609" s="501">
        <v>150</v>
      </c>
      <c r="J2609" s="501">
        <v>64</v>
      </c>
      <c r="K2609" s="501">
        <v>0</v>
      </c>
      <c r="L2609" s="501">
        <v>0</v>
      </c>
      <c r="M2609" s="501">
        <v>65</v>
      </c>
      <c r="N2609" s="501">
        <v>0</v>
      </c>
      <c r="O2609" s="506">
        <v>21</v>
      </c>
    </row>
    <row r="2610" spans="1:15" x14ac:dyDescent="0.35">
      <c r="A2610" s="503" t="s">
        <v>1112</v>
      </c>
      <c r="B2610" s="504" t="s">
        <v>3008</v>
      </c>
      <c r="C2610" s="504" t="s">
        <v>1094</v>
      </c>
      <c r="D2610" s="504" t="s">
        <v>3380</v>
      </c>
      <c r="E2610" s="504" t="s">
        <v>3381</v>
      </c>
      <c r="F2610" s="504" t="s">
        <v>575</v>
      </c>
      <c r="G2610" s="504" t="s">
        <v>576</v>
      </c>
      <c r="H2610" s="504" t="s">
        <v>5429</v>
      </c>
      <c r="I2610" s="504">
        <v>76</v>
      </c>
      <c r="J2610" s="504">
        <v>63</v>
      </c>
      <c r="K2610" s="504">
        <v>0</v>
      </c>
      <c r="L2610" s="504">
        <v>4</v>
      </c>
      <c r="M2610" s="504">
        <v>0</v>
      </c>
      <c r="N2610" s="504">
        <v>0</v>
      </c>
      <c r="O2610" s="505">
        <v>9</v>
      </c>
    </row>
    <row r="2611" spans="1:15" x14ac:dyDescent="0.35">
      <c r="A2611" s="500" t="s">
        <v>1208</v>
      </c>
      <c r="B2611" s="501" t="s">
        <v>3096</v>
      </c>
      <c r="C2611" s="501" t="s">
        <v>1094</v>
      </c>
      <c r="D2611" s="501" t="s">
        <v>3380</v>
      </c>
      <c r="E2611" s="501" t="s">
        <v>3381</v>
      </c>
      <c r="F2611" s="501" t="s">
        <v>575</v>
      </c>
      <c r="G2611" s="501" t="s">
        <v>576</v>
      </c>
      <c r="H2611" s="501" t="s">
        <v>5430</v>
      </c>
      <c r="I2611" s="501">
        <v>1</v>
      </c>
      <c r="J2611" s="501">
        <v>0</v>
      </c>
      <c r="K2611" s="501">
        <v>0</v>
      </c>
      <c r="L2611" s="501">
        <v>0</v>
      </c>
      <c r="M2611" s="501">
        <v>0</v>
      </c>
      <c r="N2611" s="501">
        <v>0</v>
      </c>
      <c r="O2611" s="506">
        <v>1</v>
      </c>
    </row>
    <row r="2612" spans="1:15" x14ac:dyDescent="0.35">
      <c r="A2612" s="503" t="s">
        <v>1218</v>
      </c>
      <c r="B2612" s="504" t="s">
        <v>3147</v>
      </c>
      <c r="C2612" s="504" t="s">
        <v>1094</v>
      </c>
      <c r="D2612" s="504" t="s">
        <v>3380</v>
      </c>
      <c r="E2612" s="504" t="s">
        <v>3381</v>
      </c>
      <c r="F2612" s="504" t="s">
        <v>575</v>
      </c>
      <c r="G2612" s="504" t="s">
        <v>576</v>
      </c>
      <c r="H2612" s="504" t="s">
        <v>5431</v>
      </c>
      <c r="I2612" s="504">
        <v>4</v>
      </c>
      <c r="J2612" s="504">
        <v>0</v>
      </c>
      <c r="K2612" s="504">
        <v>0</v>
      </c>
      <c r="L2612" s="504">
        <v>0</v>
      </c>
      <c r="M2612" s="504">
        <v>0</v>
      </c>
      <c r="N2612" s="504">
        <v>0</v>
      </c>
      <c r="O2612" s="505">
        <v>4</v>
      </c>
    </row>
    <row r="2613" spans="1:15" x14ac:dyDescent="0.35">
      <c r="A2613" s="500" t="s">
        <v>11367</v>
      </c>
      <c r="B2613" s="501" t="s">
        <v>3143</v>
      </c>
      <c r="C2613" s="501" t="s">
        <v>1094</v>
      </c>
      <c r="D2613" s="501" t="s">
        <v>3380</v>
      </c>
      <c r="E2613" s="501" t="s">
        <v>3381</v>
      </c>
      <c r="F2613" s="501" t="s">
        <v>575</v>
      </c>
      <c r="G2613" s="501" t="s">
        <v>576</v>
      </c>
      <c r="H2613" s="501" t="s">
        <v>11916</v>
      </c>
      <c r="I2613" s="501">
        <v>34</v>
      </c>
      <c r="J2613" s="501">
        <v>34</v>
      </c>
      <c r="K2613" s="501">
        <v>0</v>
      </c>
      <c r="L2613" s="501">
        <v>0</v>
      </c>
      <c r="M2613" s="501">
        <v>0</v>
      </c>
      <c r="N2613" s="501">
        <v>0</v>
      </c>
      <c r="O2613" s="506">
        <v>0</v>
      </c>
    </row>
    <row r="2614" spans="1:15" x14ac:dyDescent="0.35">
      <c r="A2614" s="503" t="s">
        <v>1225</v>
      </c>
      <c r="B2614" s="504" t="s">
        <v>3315</v>
      </c>
      <c r="C2614" s="504" t="s">
        <v>1094</v>
      </c>
      <c r="D2614" s="504" t="s">
        <v>3380</v>
      </c>
      <c r="E2614" s="504" t="s">
        <v>3381</v>
      </c>
      <c r="F2614" s="504" t="s">
        <v>575</v>
      </c>
      <c r="G2614" s="504" t="s">
        <v>576</v>
      </c>
      <c r="H2614" s="504" t="s">
        <v>11986</v>
      </c>
      <c r="I2614" s="504">
        <v>4</v>
      </c>
      <c r="J2614" s="504">
        <v>0</v>
      </c>
      <c r="K2614" s="504">
        <v>0</v>
      </c>
      <c r="L2614" s="504">
        <v>4</v>
      </c>
      <c r="M2614" s="504">
        <v>0</v>
      </c>
      <c r="N2614" s="504">
        <v>0</v>
      </c>
      <c r="O2614" s="505">
        <v>0</v>
      </c>
    </row>
    <row r="2615" spans="1:15" x14ac:dyDescent="0.35">
      <c r="A2615" s="500" t="s">
        <v>1228</v>
      </c>
      <c r="B2615" s="501" t="s">
        <v>3321</v>
      </c>
      <c r="C2615" s="501" t="s">
        <v>1094</v>
      </c>
      <c r="D2615" s="501" t="s">
        <v>3380</v>
      </c>
      <c r="E2615" s="501" t="s">
        <v>3381</v>
      </c>
      <c r="F2615" s="501" t="s">
        <v>575</v>
      </c>
      <c r="G2615" s="501" t="s">
        <v>576</v>
      </c>
      <c r="H2615" s="501" t="s">
        <v>5432</v>
      </c>
      <c r="I2615" s="501">
        <v>6</v>
      </c>
      <c r="J2615" s="501">
        <v>0</v>
      </c>
      <c r="K2615" s="501">
        <v>0</v>
      </c>
      <c r="L2615" s="501">
        <v>6</v>
      </c>
      <c r="M2615" s="501">
        <v>0</v>
      </c>
      <c r="N2615" s="501">
        <v>0</v>
      </c>
      <c r="O2615" s="506">
        <v>0</v>
      </c>
    </row>
    <row r="2616" spans="1:15" x14ac:dyDescent="0.35">
      <c r="A2616" s="503" t="s">
        <v>1339</v>
      </c>
      <c r="B2616" s="504" t="s">
        <v>3358</v>
      </c>
      <c r="C2616" s="504" t="s">
        <v>1094</v>
      </c>
      <c r="D2616" s="504" t="s">
        <v>3380</v>
      </c>
      <c r="E2616" s="504" t="s">
        <v>3381</v>
      </c>
      <c r="F2616" s="504" t="s">
        <v>575</v>
      </c>
      <c r="G2616" s="504" t="s">
        <v>576</v>
      </c>
      <c r="H2616" s="504" t="s">
        <v>5433</v>
      </c>
      <c r="I2616" s="504">
        <v>6</v>
      </c>
      <c r="J2616" s="504">
        <v>0</v>
      </c>
      <c r="K2616" s="504">
        <v>0</v>
      </c>
      <c r="L2616" s="504">
        <v>5</v>
      </c>
      <c r="M2616" s="504">
        <v>0</v>
      </c>
      <c r="N2616" s="504">
        <v>0</v>
      </c>
      <c r="O2616" s="505">
        <v>1</v>
      </c>
    </row>
    <row r="2617" spans="1:15" x14ac:dyDescent="0.35">
      <c r="A2617" s="500" t="s">
        <v>1233</v>
      </c>
      <c r="B2617" s="501">
        <v>4636</v>
      </c>
      <c r="C2617" s="501" t="s">
        <v>1094</v>
      </c>
      <c r="D2617" s="501" t="s">
        <v>3380</v>
      </c>
      <c r="E2617" s="501" t="s">
        <v>3381</v>
      </c>
      <c r="F2617" s="501" t="s">
        <v>575</v>
      </c>
      <c r="G2617" s="501" t="s">
        <v>576</v>
      </c>
      <c r="H2617" s="501" t="s">
        <v>12010</v>
      </c>
      <c r="I2617" s="501">
        <v>49</v>
      </c>
      <c r="J2617" s="501">
        <v>23</v>
      </c>
      <c r="K2617" s="501">
        <v>0</v>
      </c>
      <c r="L2617" s="501">
        <v>0</v>
      </c>
      <c r="M2617" s="501">
        <v>0</v>
      </c>
      <c r="N2617" s="501">
        <v>0</v>
      </c>
      <c r="O2617" s="506">
        <v>26</v>
      </c>
    </row>
    <row r="2618" spans="1:15" x14ac:dyDescent="0.35">
      <c r="A2618" s="503" t="s">
        <v>11368</v>
      </c>
      <c r="B2618" s="504">
        <v>5083</v>
      </c>
      <c r="C2618" s="504" t="s">
        <v>1094</v>
      </c>
      <c r="D2618" s="504" t="s">
        <v>3380</v>
      </c>
      <c r="E2618" s="504" t="s">
        <v>3381</v>
      </c>
      <c r="F2618" s="504" t="s">
        <v>575</v>
      </c>
      <c r="G2618" s="504" t="s">
        <v>576</v>
      </c>
      <c r="H2618" s="504" t="s">
        <v>14653</v>
      </c>
      <c r="I2618" s="504">
        <v>17</v>
      </c>
      <c r="J2618" s="504">
        <v>17</v>
      </c>
      <c r="K2618" s="504">
        <v>0</v>
      </c>
      <c r="L2618" s="504">
        <v>0</v>
      </c>
      <c r="M2618" s="504">
        <v>0</v>
      </c>
      <c r="N2618" s="504">
        <v>0</v>
      </c>
      <c r="O2618" s="505">
        <v>0</v>
      </c>
    </row>
    <row r="2619" spans="1:15" x14ac:dyDescent="0.35">
      <c r="A2619" s="500" t="s">
        <v>1235</v>
      </c>
      <c r="B2619" s="501">
        <v>4684</v>
      </c>
      <c r="C2619" s="501" t="s">
        <v>1094</v>
      </c>
      <c r="D2619" s="501" t="s">
        <v>3380</v>
      </c>
      <c r="E2619" s="501" t="s">
        <v>3381</v>
      </c>
      <c r="F2619" s="501" t="s">
        <v>575</v>
      </c>
      <c r="G2619" s="501" t="s">
        <v>576</v>
      </c>
      <c r="H2619" s="501" t="s">
        <v>5434</v>
      </c>
      <c r="I2619" s="501">
        <v>58</v>
      </c>
      <c r="J2619" s="501">
        <v>44</v>
      </c>
      <c r="K2619" s="501">
        <v>0</v>
      </c>
      <c r="L2619" s="501">
        <v>0</v>
      </c>
      <c r="M2619" s="501">
        <v>0</v>
      </c>
      <c r="N2619" s="501">
        <v>0</v>
      </c>
      <c r="O2619" s="506">
        <v>14</v>
      </c>
    </row>
    <row r="2620" spans="1:15" x14ac:dyDescent="0.35">
      <c r="A2620" s="503" t="s">
        <v>1126</v>
      </c>
      <c r="B2620" s="504" t="s">
        <v>2974</v>
      </c>
      <c r="C2620" s="504" t="s">
        <v>1094</v>
      </c>
      <c r="D2620" s="504" t="s">
        <v>3380</v>
      </c>
      <c r="E2620" s="504" t="s">
        <v>3381</v>
      </c>
      <c r="F2620" s="504" t="s">
        <v>575</v>
      </c>
      <c r="G2620" s="504" t="s">
        <v>576</v>
      </c>
      <c r="H2620" s="504" t="s">
        <v>5435</v>
      </c>
      <c r="I2620" s="504">
        <v>4272</v>
      </c>
      <c r="J2620" s="504">
        <v>3173</v>
      </c>
      <c r="K2620" s="504">
        <v>5</v>
      </c>
      <c r="L2620" s="504">
        <v>52</v>
      </c>
      <c r="M2620" s="504">
        <v>951</v>
      </c>
      <c r="N2620" s="504">
        <v>11</v>
      </c>
      <c r="O2620" s="505">
        <v>91</v>
      </c>
    </row>
    <row r="2621" spans="1:15" x14ac:dyDescent="0.35">
      <c r="A2621" s="500" t="s">
        <v>1132</v>
      </c>
      <c r="B2621" s="501">
        <v>4837</v>
      </c>
      <c r="C2621" s="501" t="s">
        <v>1094</v>
      </c>
      <c r="D2621" s="501" t="s">
        <v>3380</v>
      </c>
      <c r="E2621" s="501" t="s">
        <v>3381</v>
      </c>
      <c r="F2621" s="501" t="s">
        <v>575</v>
      </c>
      <c r="G2621" s="501" t="s">
        <v>576</v>
      </c>
      <c r="H2621" s="501" t="s">
        <v>5436</v>
      </c>
      <c r="I2621" s="501">
        <v>1</v>
      </c>
      <c r="J2621" s="501">
        <v>0</v>
      </c>
      <c r="K2621" s="501">
        <v>0</v>
      </c>
      <c r="L2621" s="501">
        <v>0</v>
      </c>
      <c r="M2621" s="501">
        <v>0</v>
      </c>
      <c r="N2621" s="501">
        <v>0</v>
      </c>
      <c r="O2621" s="506">
        <v>1</v>
      </c>
    </row>
    <row r="2622" spans="1:15" x14ac:dyDescent="0.35">
      <c r="A2622" s="503" t="s">
        <v>1240</v>
      </c>
      <c r="B2622" s="504" t="s">
        <v>2972</v>
      </c>
      <c r="C2622" s="504" t="s">
        <v>1094</v>
      </c>
      <c r="D2622" s="504" t="s">
        <v>3380</v>
      </c>
      <c r="E2622" s="504" t="s">
        <v>3381</v>
      </c>
      <c r="F2622" s="504" t="s">
        <v>575</v>
      </c>
      <c r="G2622" s="504" t="s">
        <v>576</v>
      </c>
      <c r="H2622" s="504" t="s">
        <v>5437</v>
      </c>
      <c r="I2622" s="504">
        <v>34</v>
      </c>
      <c r="J2622" s="504">
        <v>25</v>
      </c>
      <c r="K2622" s="504">
        <v>0</v>
      </c>
      <c r="L2622" s="504">
        <v>0</v>
      </c>
      <c r="M2622" s="504">
        <v>0</v>
      </c>
      <c r="N2622" s="504">
        <v>0</v>
      </c>
      <c r="O2622" s="505">
        <v>9</v>
      </c>
    </row>
    <row r="2623" spans="1:15" x14ac:dyDescent="0.35">
      <c r="A2623" s="500" t="s">
        <v>1356</v>
      </c>
      <c r="B2623" s="501" t="s">
        <v>3026</v>
      </c>
      <c r="C2623" s="501" t="s">
        <v>1094</v>
      </c>
      <c r="D2623" s="501" t="s">
        <v>3380</v>
      </c>
      <c r="E2623" s="501" t="s">
        <v>3381</v>
      </c>
      <c r="F2623" s="501" t="s">
        <v>575</v>
      </c>
      <c r="G2623" s="501" t="s">
        <v>576</v>
      </c>
      <c r="H2623" s="501" t="s">
        <v>5438</v>
      </c>
      <c r="I2623" s="501">
        <v>516</v>
      </c>
      <c r="J2623" s="501">
        <v>363</v>
      </c>
      <c r="K2623" s="501">
        <v>0</v>
      </c>
      <c r="L2623" s="501">
        <v>33</v>
      </c>
      <c r="M2623" s="501">
        <v>0</v>
      </c>
      <c r="N2623" s="501">
        <v>0</v>
      </c>
      <c r="O2623" s="506">
        <v>120</v>
      </c>
    </row>
    <row r="2624" spans="1:15" x14ac:dyDescent="0.35">
      <c r="A2624" s="503" t="s">
        <v>1357</v>
      </c>
      <c r="B2624" s="504" t="s">
        <v>3013</v>
      </c>
      <c r="C2624" s="504" t="s">
        <v>1089</v>
      </c>
      <c r="D2624" s="504" t="s">
        <v>3392</v>
      </c>
      <c r="E2624" s="504" t="s">
        <v>3381</v>
      </c>
      <c r="F2624" s="504" t="s">
        <v>575</v>
      </c>
      <c r="G2624" s="504" t="s">
        <v>576</v>
      </c>
      <c r="H2624" s="504" t="s">
        <v>5439</v>
      </c>
      <c r="I2624" s="504">
        <v>8</v>
      </c>
      <c r="J2624" s="504">
        <v>8</v>
      </c>
      <c r="K2624" s="504">
        <v>0</v>
      </c>
      <c r="L2624" s="504">
        <v>0</v>
      </c>
      <c r="M2624" s="504">
        <v>0</v>
      </c>
      <c r="N2624" s="504">
        <v>0</v>
      </c>
      <c r="O2624" s="505">
        <v>0</v>
      </c>
    </row>
    <row r="2625" spans="1:15" x14ac:dyDescent="0.35">
      <c r="A2625" s="500" t="s">
        <v>1360</v>
      </c>
      <c r="B2625" s="501" t="s">
        <v>3350</v>
      </c>
      <c r="C2625" s="501" t="s">
        <v>1094</v>
      </c>
      <c r="D2625" s="501" t="s">
        <v>3380</v>
      </c>
      <c r="E2625" s="501" t="s">
        <v>3381</v>
      </c>
      <c r="F2625" s="501" t="s">
        <v>575</v>
      </c>
      <c r="G2625" s="501" t="s">
        <v>576</v>
      </c>
      <c r="H2625" s="501" t="s">
        <v>5440</v>
      </c>
      <c r="I2625" s="501">
        <v>54</v>
      </c>
      <c r="J2625" s="501">
        <v>28</v>
      </c>
      <c r="K2625" s="501">
        <v>0</v>
      </c>
      <c r="L2625" s="501">
        <v>0</v>
      </c>
      <c r="M2625" s="501">
        <v>0</v>
      </c>
      <c r="N2625" s="501">
        <v>0</v>
      </c>
      <c r="O2625" s="506">
        <v>26</v>
      </c>
    </row>
    <row r="2626" spans="1:15" x14ac:dyDescent="0.35">
      <c r="A2626" s="503" t="s">
        <v>11377</v>
      </c>
      <c r="B2626" s="504" t="s">
        <v>2609</v>
      </c>
      <c r="C2626" s="504" t="s">
        <v>1089</v>
      </c>
      <c r="D2626" s="504" t="s">
        <v>3392</v>
      </c>
      <c r="E2626" s="504" t="s">
        <v>3381</v>
      </c>
      <c r="F2626" s="504" t="s">
        <v>575</v>
      </c>
      <c r="G2626" s="504" t="s">
        <v>576</v>
      </c>
      <c r="H2626" s="504" t="s">
        <v>12218</v>
      </c>
      <c r="I2626" s="504">
        <v>6</v>
      </c>
      <c r="J2626" s="504">
        <v>0</v>
      </c>
      <c r="K2626" s="504">
        <v>0</v>
      </c>
      <c r="L2626" s="504">
        <v>0</v>
      </c>
      <c r="M2626" s="504">
        <v>6</v>
      </c>
      <c r="N2626" s="504">
        <v>0</v>
      </c>
      <c r="O2626" s="505">
        <v>0</v>
      </c>
    </row>
    <row r="2627" spans="1:15" x14ac:dyDescent="0.35">
      <c r="A2627" s="500" t="s">
        <v>1364</v>
      </c>
      <c r="B2627" s="501" t="s">
        <v>3277</v>
      </c>
      <c r="C2627" s="501" t="s">
        <v>1089</v>
      </c>
      <c r="D2627" s="501" t="s">
        <v>3392</v>
      </c>
      <c r="E2627" s="501" t="s">
        <v>3381</v>
      </c>
      <c r="F2627" s="501" t="s">
        <v>575</v>
      </c>
      <c r="G2627" s="501" t="s">
        <v>576</v>
      </c>
      <c r="H2627" s="501" t="s">
        <v>5441</v>
      </c>
      <c r="I2627" s="501">
        <v>4</v>
      </c>
      <c r="J2627" s="501">
        <v>0</v>
      </c>
      <c r="K2627" s="501">
        <v>0</v>
      </c>
      <c r="L2627" s="501">
        <v>4</v>
      </c>
      <c r="M2627" s="501">
        <v>0</v>
      </c>
      <c r="N2627" s="501">
        <v>0</v>
      </c>
      <c r="O2627" s="506">
        <v>0</v>
      </c>
    </row>
    <row r="2628" spans="1:15" x14ac:dyDescent="0.35">
      <c r="A2628" s="503" t="s">
        <v>1156</v>
      </c>
      <c r="B2628" s="504" t="s">
        <v>3310</v>
      </c>
      <c r="C2628" s="504" t="s">
        <v>1094</v>
      </c>
      <c r="D2628" s="504" t="s">
        <v>3380</v>
      </c>
      <c r="E2628" s="504" t="s">
        <v>3381</v>
      </c>
      <c r="F2628" s="504" t="s">
        <v>575</v>
      </c>
      <c r="G2628" s="504" t="s">
        <v>576</v>
      </c>
      <c r="H2628" s="504" t="s">
        <v>5420</v>
      </c>
      <c r="I2628" s="504">
        <v>23</v>
      </c>
      <c r="J2628" s="504">
        <v>8</v>
      </c>
      <c r="K2628" s="504">
        <v>0</v>
      </c>
      <c r="L2628" s="504">
        <v>0</v>
      </c>
      <c r="M2628" s="504">
        <v>0</v>
      </c>
      <c r="N2628" s="504">
        <v>0</v>
      </c>
      <c r="O2628" s="505">
        <v>15</v>
      </c>
    </row>
    <row r="2629" spans="1:15" x14ac:dyDescent="0.35">
      <c r="A2629" s="500" t="s">
        <v>14127</v>
      </c>
      <c r="B2629" s="501" t="s">
        <v>14126</v>
      </c>
      <c r="C2629" s="501" t="s">
        <v>1094</v>
      </c>
      <c r="D2629" s="501" t="s">
        <v>3380</v>
      </c>
      <c r="E2629" s="501" t="s">
        <v>3381</v>
      </c>
      <c r="F2629" s="501" t="s">
        <v>577</v>
      </c>
      <c r="G2629" s="501" t="s">
        <v>578</v>
      </c>
      <c r="H2629" s="501" t="s">
        <v>14654</v>
      </c>
      <c r="I2629" s="501">
        <v>181</v>
      </c>
      <c r="J2629" s="501">
        <v>127</v>
      </c>
      <c r="K2629" s="501">
        <v>0</v>
      </c>
      <c r="L2629" s="501">
        <v>0</v>
      </c>
      <c r="M2629" s="501">
        <v>0</v>
      </c>
      <c r="N2629" s="501">
        <v>0</v>
      </c>
      <c r="O2629" s="506">
        <v>54</v>
      </c>
    </row>
    <row r="2630" spans="1:15" x14ac:dyDescent="0.35">
      <c r="A2630" s="503" t="s">
        <v>1093</v>
      </c>
      <c r="B2630" s="504" t="s">
        <v>3248</v>
      </c>
      <c r="C2630" s="504" t="s">
        <v>1094</v>
      </c>
      <c r="D2630" s="504" t="s">
        <v>3380</v>
      </c>
      <c r="E2630" s="504" t="s">
        <v>3381</v>
      </c>
      <c r="F2630" s="504" t="s">
        <v>577</v>
      </c>
      <c r="G2630" s="504" t="s">
        <v>578</v>
      </c>
      <c r="H2630" s="504" t="s">
        <v>5442</v>
      </c>
      <c r="I2630" s="504">
        <v>2</v>
      </c>
      <c r="J2630" s="504">
        <v>0</v>
      </c>
      <c r="K2630" s="504">
        <v>0</v>
      </c>
      <c r="L2630" s="504">
        <v>0</v>
      </c>
      <c r="M2630" s="504">
        <v>0</v>
      </c>
      <c r="N2630" s="504">
        <v>0</v>
      </c>
      <c r="O2630" s="505">
        <v>2</v>
      </c>
    </row>
    <row r="2631" spans="1:15" x14ac:dyDescent="0.35">
      <c r="A2631" s="500" t="s">
        <v>1098</v>
      </c>
      <c r="B2631" s="501">
        <v>4691</v>
      </c>
      <c r="C2631" s="501" t="s">
        <v>1094</v>
      </c>
      <c r="D2631" s="501" t="s">
        <v>3380</v>
      </c>
      <c r="E2631" s="501" t="s">
        <v>3381</v>
      </c>
      <c r="F2631" s="501" t="s">
        <v>577</v>
      </c>
      <c r="G2631" s="501" t="s">
        <v>578</v>
      </c>
      <c r="H2631" s="501" t="s">
        <v>5443</v>
      </c>
      <c r="I2631" s="501">
        <v>45</v>
      </c>
      <c r="J2631" s="501">
        <v>29</v>
      </c>
      <c r="K2631" s="501">
        <v>0</v>
      </c>
      <c r="L2631" s="501">
        <v>0</v>
      </c>
      <c r="M2631" s="501">
        <v>0</v>
      </c>
      <c r="N2631" s="501">
        <v>0</v>
      </c>
      <c r="O2631" s="506">
        <v>16</v>
      </c>
    </row>
    <row r="2632" spans="1:15" x14ac:dyDescent="0.35">
      <c r="A2632" s="503" t="s">
        <v>1949</v>
      </c>
      <c r="B2632" s="504">
        <v>4807</v>
      </c>
      <c r="C2632" s="504" t="s">
        <v>1089</v>
      </c>
      <c r="D2632" s="504" t="s">
        <v>3392</v>
      </c>
      <c r="E2632" s="504" t="s">
        <v>3381</v>
      </c>
      <c r="F2632" s="504" t="s">
        <v>577</v>
      </c>
      <c r="G2632" s="504" t="s">
        <v>578</v>
      </c>
      <c r="H2632" s="504" t="s">
        <v>5444</v>
      </c>
      <c r="I2632" s="504">
        <v>4</v>
      </c>
      <c r="J2632" s="504">
        <v>4</v>
      </c>
      <c r="K2632" s="504">
        <v>0</v>
      </c>
      <c r="L2632" s="504">
        <v>0</v>
      </c>
      <c r="M2632" s="504">
        <v>0</v>
      </c>
      <c r="N2632" s="504">
        <v>0</v>
      </c>
      <c r="O2632" s="505">
        <v>0</v>
      </c>
    </row>
    <row r="2633" spans="1:15" x14ac:dyDescent="0.35">
      <c r="A2633" s="500" t="s">
        <v>11363</v>
      </c>
      <c r="B2633" s="501">
        <v>4718</v>
      </c>
      <c r="C2633" s="501" t="s">
        <v>1094</v>
      </c>
      <c r="D2633" s="501" t="s">
        <v>3380</v>
      </c>
      <c r="E2633" s="501" t="s">
        <v>3381</v>
      </c>
      <c r="F2633" s="501" t="s">
        <v>577</v>
      </c>
      <c r="G2633" s="501" t="s">
        <v>578</v>
      </c>
      <c r="H2633" s="501" t="s">
        <v>11537</v>
      </c>
      <c r="I2633" s="501">
        <v>21</v>
      </c>
      <c r="J2633" s="501">
        <v>0</v>
      </c>
      <c r="K2633" s="501">
        <v>0</v>
      </c>
      <c r="L2633" s="501">
        <v>21</v>
      </c>
      <c r="M2633" s="501">
        <v>0</v>
      </c>
      <c r="N2633" s="501">
        <v>0</v>
      </c>
      <c r="O2633" s="506">
        <v>0</v>
      </c>
    </row>
    <row r="2634" spans="1:15" x14ac:dyDescent="0.35">
      <c r="A2634" s="503" t="s">
        <v>1961</v>
      </c>
      <c r="B2634" s="504">
        <v>5075</v>
      </c>
      <c r="C2634" s="504" t="s">
        <v>1094</v>
      </c>
      <c r="D2634" s="504" t="s">
        <v>3380</v>
      </c>
      <c r="E2634" s="504" t="s">
        <v>3381</v>
      </c>
      <c r="F2634" s="504" t="s">
        <v>577</v>
      </c>
      <c r="G2634" s="504" t="s">
        <v>578</v>
      </c>
      <c r="H2634" s="504" t="s">
        <v>5445</v>
      </c>
      <c r="I2634" s="504">
        <v>1</v>
      </c>
      <c r="J2634" s="504">
        <v>0</v>
      </c>
      <c r="K2634" s="504">
        <v>0</v>
      </c>
      <c r="L2634" s="504">
        <v>0</v>
      </c>
      <c r="M2634" s="504">
        <v>0</v>
      </c>
      <c r="N2634" s="504">
        <v>0</v>
      </c>
      <c r="O2634" s="505">
        <v>1</v>
      </c>
    </row>
    <row r="2635" spans="1:15" x14ac:dyDescent="0.35">
      <c r="A2635" s="500" t="s">
        <v>1966</v>
      </c>
      <c r="B2635" s="501" t="s">
        <v>2969</v>
      </c>
      <c r="C2635" s="501" t="s">
        <v>1094</v>
      </c>
      <c r="D2635" s="501" t="s">
        <v>3380</v>
      </c>
      <c r="E2635" s="501" t="s">
        <v>3381</v>
      </c>
      <c r="F2635" s="501" t="s">
        <v>577</v>
      </c>
      <c r="G2635" s="501" t="s">
        <v>578</v>
      </c>
      <c r="H2635" s="501" t="s">
        <v>5446</v>
      </c>
      <c r="I2635" s="501">
        <v>79</v>
      </c>
      <c r="J2635" s="501">
        <v>55</v>
      </c>
      <c r="K2635" s="501">
        <v>0</v>
      </c>
      <c r="L2635" s="501">
        <v>0</v>
      </c>
      <c r="M2635" s="501">
        <v>0</v>
      </c>
      <c r="N2635" s="501">
        <v>0</v>
      </c>
      <c r="O2635" s="506">
        <v>24</v>
      </c>
    </row>
    <row r="2636" spans="1:15" x14ac:dyDescent="0.35">
      <c r="A2636" s="503" t="s">
        <v>1175</v>
      </c>
      <c r="B2636" s="504" t="s">
        <v>3141</v>
      </c>
      <c r="C2636" s="504" t="s">
        <v>1094</v>
      </c>
      <c r="D2636" s="504" t="s">
        <v>3380</v>
      </c>
      <c r="E2636" s="504" t="s">
        <v>3381</v>
      </c>
      <c r="F2636" s="504" t="s">
        <v>577</v>
      </c>
      <c r="G2636" s="504" t="s">
        <v>578</v>
      </c>
      <c r="H2636" s="504" t="s">
        <v>5447</v>
      </c>
      <c r="I2636" s="504">
        <v>10</v>
      </c>
      <c r="J2636" s="504">
        <v>6</v>
      </c>
      <c r="K2636" s="504">
        <v>0</v>
      </c>
      <c r="L2636" s="504">
        <v>0</v>
      </c>
      <c r="M2636" s="504">
        <v>0</v>
      </c>
      <c r="N2636" s="504">
        <v>0</v>
      </c>
      <c r="O2636" s="505">
        <v>4</v>
      </c>
    </row>
    <row r="2637" spans="1:15" x14ac:dyDescent="0.35">
      <c r="A2637" s="500" t="s">
        <v>14208</v>
      </c>
      <c r="B2637" s="501">
        <v>4803</v>
      </c>
      <c r="C2637" s="501" t="s">
        <v>1094</v>
      </c>
      <c r="D2637" s="501" t="s">
        <v>3380</v>
      </c>
      <c r="E2637" s="501" t="s">
        <v>3381</v>
      </c>
      <c r="F2637" s="501" t="s">
        <v>577</v>
      </c>
      <c r="G2637" s="501" t="s">
        <v>578</v>
      </c>
      <c r="H2637" s="501" t="s">
        <v>14655</v>
      </c>
      <c r="I2637" s="501">
        <v>13</v>
      </c>
      <c r="J2637" s="501">
        <v>0</v>
      </c>
      <c r="K2637" s="501">
        <v>0</v>
      </c>
      <c r="L2637" s="501">
        <v>13</v>
      </c>
      <c r="M2637" s="501">
        <v>0</v>
      </c>
      <c r="N2637" s="501">
        <v>0</v>
      </c>
      <c r="O2637" s="506">
        <v>0</v>
      </c>
    </row>
    <row r="2638" spans="1:15" x14ac:dyDescent="0.35">
      <c r="A2638" s="503" t="s">
        <v>1985</v>
      </c>
      <c r="B2638" s="504" t="s">
        <v>3210</v>
      </c>
      <c r="C2638" s="504" t="s">
        <v>1089</v>
      </c>
      <c r="D2638" s="504" t="s">
        <v>3392</v>
      </c>
      <c r="E2638" s="504" t="s">
        <v>3381</v>
      </c>
      <c r="F2638" s="504" t="s">
        <v>577</v>
      </c>
      <c r="G2638" s="504" t="s">
        <v>578</v>
      </c>
      <c r="H2638" s="504" t="s">
        <v>5448</v>
      </c>
      <c r="I2638" s="504">
        <v>55</v>
      </c>
      <c r="J2638" s="504">
        <v>33</v>
      </c>
      <c r="K2638" s="504">
        <v>0</v>
      </c>
      <c r="L2638" s="504">
        <v>20</v>
      </c>
      <c r="M2638" s="504">
        <v>2</v>
      </c>
      <c r="N2638" s="504">
        <v>0</v>
      </c>
      <c r="O2638" s="505">
        <v>0</v>
      </c>
    </row>
    <row r="2639" spans="1:15" x14ac:dyDescent="0.35">
      <c r="A2639" s="500" t="s">
        <v>1187</v>
      </c>
      <c r="B2639" s="501" t="s">
        <v>2951</v>
      </c>
      <c r="C2639" s="501" t="s">
        <v>1094</v>
      </c>
      <c r="D2639" s="501" t="s">
        <v>3380</v>
      </c>
      <c r="E2639" s="501" t="s">
        <v>3381</v>
      </c>
      <c r="F2639" s="501" t="s">
        <v>577</v>
      </c>
      <c r="G2639" s="501" t="s">
        <v>578</v>
      </c>
      <c r="H2639" s="501" t="s">
        <v>5449</v>
      </c>
      <c r="I2639" s="501">
        <v>140</v>
      </c>
      <c r="J2639" s="501">
        <v>124</v>
      </c>
      <c r="K2639" s="501">
        <v>0</v>
      </c>
      <c r="L2639" s="501">
        <v>0</v>
      </c>
      <c r="M2639" s="501">
        <v>0</v>
      </c>
      <c r="N2639" s="501">
        <v>0</v>
      </c>
      <c r="O2639" s="506">
        <v>16</v>
      </c>
    </row>
    <row r="2640" spans="1:15" x14ac:dyDescent="0.35">
      <c r="A2640" s="503" t="s">
        <v>1105</v>
      </c>
      <c r="B2640" s="504">
        <v>4668</v>
      </c>
      <c r="C2640" s="504" t="s">
        <v>1094</v>
      </c>
      <c r="D2640" s="504" t="s">
        <v>3380</v>
      </c>
      <c r="E2640" s="504" t="s">
        <v>3381</v>
      </c>
      <c r="F2640" s="504" t="s">
        <v>577</v>
      </c>
      <c r="G2640" s="504" t="s">
        <v>578</v>
      </c>
      <c r="H2640" s="504" t="s">
        <v>5450</v>
      </c>
      <c r="I2640" s="504">
        <v>61</v>
      </c>
      <c r="J2640" s="504">
        <v>0</v>
      </c>
      <c r="K2640" s="504">
        <v>0</v>
      </c>
      <c r="L2640" s="504">
        <v>0</v>
      </c>
      <c r="M2640" s="504">
        <v>0</v>
      </c>
      <c r="N2640" s="504">
        <v>0</v>
      </c>
      <c r="O2640" s="505">
        <v>61</v>
      </c>
    </row>
    <row r="2641" spans="1:15" x14ac:dyDescent="0.35">
      <c r="A2641" s="500" t="s">
        <v>1109</v>
      </c>
      <c r="B2641" s="501" t="s">
        <v>2959</v>
      </c>
      <c r="C2641" s="501" t="s">
        <v>1094</v>
      </c>
      <c r="D2641" s="501" t="s">
        <v>3380</v>
      </c>
      <c r="E2641" s="501" t="s">
        <v>3381</v>
      </c>
      <c r="F2641" s="501" t="s">
        <v>577</v>
      </c>
      <c r="G2641" s="501" t="s">
        <v>578</v>
      </c>
      <c r="H2641" s="501" t="s">
        <v>5451</v>
      </c>
      <c r="I2641" s="501">
        <v>86</v>
      </c>
      <c r="J2641" s="501">
        <v>0</v>
      </c>
      <c r="K2641" s="501">
        <v>0</v>
      </c>
      <c r="L2641" s="501">
        <v>0</v>
      </c>
      <c r="M2641" s="501">
        <v>86</v>
      </c>
      <c r="N2641" s="501">
        <v>0</v>
      </c>
      <c r="O2641" s="506">
        <v>0</v>
      </c>
    </row>
    <row r="2642" spans="1:15" x14ac:dyDescent="0.35">
      <c r="A2642" s="503" t="s">
        <v>1190</v>
      </c>
      <c r="B2642" s="504">
        <v>4662</v>
      </c>
      <c r="C2642" s="504" t="s">
        <v>1094</v>
      </c>
      <c r="D2642" s="504" t="s">
        <v>3380</v>
      </c>
      <c r="E2642" s="504" t="s">
        <v>3381</v>
      </c>
      <c r="F2642" s="504" t="s">
        <v>577</v>
      </c>
      <c r="G2642" s="504" t="s">
        <v>578</v>
      </c>
      <c r="H2642" s="504" t="s">
        <v>5452</v>
      </c>
      <c r="I2642" s="504">
        <v>4</v>
      </c>
      <c r="J2642" s="504">
        <v>0</v>
      </c>
      <c r="K2642" s="504">
        <v>0</v>
      </c>
      <c r="L2642" s="504">
        <v>4</v>
      </c>
      <c r="M2642" s="504">
        <v>0</v>
      </c>
      <c r="N2642" s="504">
        <v>0</v>
      </c>
      <c r="O2642" s="505">
        <v>0</v>
      </c>
    </row>
    <row r="2643" spans="1:15" x14ac:dyDescent="0.35">
      <c r="A2643" s="500" t="s">
        <v>1111</v>
      </c>
      <c r="B2643" s="501">
        <v>4873</v>
      </c>
      <c r="C2643" s="501" t="s">
        <v>1094</v>
      </c>
      <c r="D2643" s="501" t="s">
        <v>3380</v>
      </c>
      <c r="E2643" s="501" t="s">
        <v>3381</v>
      </c>
      <c r="F2643" s="501" t="s">
        <v>577</v>
      </c>
      <c r="G2643" s="501" t="s">
        <v>578</v>
      </c>
      <c r="H2643" s="501" t="s">
        <v>5453</v>
      </c>
      <c r="I2643" s="501">
        <v>1918</v>
      </c>
      <c r="J2643" s="501">
        <v>1389</v>
      </c>
      <c r="K2643" s="501">
        <v>1</v>
      </c>
      <c r="L2643" s="501">
        <v>18</v>
      </c>
      <c r="M2643" s="501">
        <v>0</v>
      </c>
      <c r="N2643" s="501">
        <v>0</v>
      </c>
      <c r="O2643" s="506">
        <v>510</v>
      </c>
    </row>
    <row r="2644" spans="1:15" x14ac:dyDescent="0.35">
      <c r="A2644" s="503" t="s">
        <v>1228</v>
      </c>
      <c r="B2644" s="504" t="s">
        <v>3321</v>
      </c>
      <c r="C2644" s="504" t="s">
        <v>1094</v>
      </c>
      <c r="D2644" s="504" t="s">
        <v>3380</v>
      </c>
      <c r="E2644" s="504" t="s">
        <v>3381</v>
      </c>
      <c r="F2644" s="504" t="s">
        <v>577</v>
      </c>
      <c r="G2644" s="504" t="s">
        <v>578</v>
      </c>
      <c r="H2644" s="504" t="s">
        <v>5454</v>
      </c>
      <c r="I2644" s="504">
        <v>14</v>
      </c>
      <c r="J2644" s="504">
        <v>0</v>
      </c>
      <c r="K2644" s="504">
        <v>0</v>
      </c>
      <c r="L2644" s="504">
        <v>14</v>
      </c>
      <c r="M2644" s="504">
        <v>0</v>
      </c>
      <c r="N2644" s="504">
        <v>0</v>
      </c>
      <c r="O2644" s="505">
        <v>0</v>
      </c>
    </row>
    <row r="2645" spans="1:15" x14ac:dyDescent="0.35">
      <c r="A2645" s="500" t="s">
        <v>1234</v>
      </c>
      <c r="B2645" s="501" t="s">
        <v>3291</v>
      </c>
      <c r="C2645" s="501" t="s">
        <v>1094</v>
      </c>
      <c r="D2645" s="501" t="s">
        <v>3380</v>
      </c>
      <c r="E2645" s="501" t="s">
        <v>3381</v>
      </c>
      <c r="F2645" s="501" t="s">
        <v>577</v>
      </c>
      <c r="G2645" s="501" t="s">
        <v>578</v>
      </c>
      <c r="H2645" s="501" t="s">
        <v>5455</v>
      </c>
      <c r="I2645" s="501">
        <v>24</v>
      </c>
      <c r="J2645" s="501">
        <v>0</v>
      </c>
      <c r="K2645" s="501">
        <v>0</v>
      </c>
      <c r="L2645" s="501">
        <v>24</v>
      </c>
      <c r="M2645" s="501">
        <v>0</v>
      </c>
      <c r="N2645" s="501">
        <v>0</v>
      </c>
      <c r="O2645" s="506">
        <v>0</v>
      </c>
    </row>
    <row r="2646" spans="1:15" x14ac:dyDescent="0.35">
      <c r="A2646" s="503" t="s">
        <v>1235</v>
      </c>
      <c r="B2646" s="504">
        <v>4684</v>
      </c>
      <c r="C2646" s="504" t="s">
        <v>1094</v>
      </c>
      <c r="D2646" s="504" t="s">
        <v>3380</v>
      </c>
      <c r="E2646" s="504" t="s">
        <v>3381</v>
      </c>
      <c r="F2646" s="504" t="s">
        <v>577</v>
      </c>
      <c r="G2646" s="504" t="s">
        <v>578</v>
      </c>
      <c r="H2646" s="504" t="s">
        <v>5456</v>
      </c>
      <c r="I2646" s="504">
        <v>10</v>
      </c>
      <c r="J2646" s="504">
        <v>10</v>
      </c>
      <c r="K2646" s="504">
        <v>0</v>
      </c>
      <c r="L2646" s="504">
        <v>0</v>
      </c>
      <c r="M2646" s="504">
        <v>0</v>
      </c>
      <c r="N2646" s="504">
        <v>0</v>
      </c>
      <c r="O2646" s="505">
        <v>0</v>
      </c>
    </row>
    <row r="2647" spans="1:15" x14ac:dyDescent="0.35">
      <c r="A2647" s="500" t="s">
        <v>1126</v>
      </c>
      <c r="B2647" s="501" t="s">
        <v>2974</v>
      </c>
      <c r="C2647" s="501" t="s">
        <v>1094</v>
      </c>
      <c r="D2647" s="501" t="s">
        <v>3380</v>
      </c>
      <c r="E2647" s="501" t="s">
        <v>3381</v>
      </c>
      <c r="F2647" s="501" t="s">
        <v>577</v>
      </c>
      <c r="G2647" s="501" t="s">
        <v>578</v>
      </c>
      <c r="H2647" s="501" t="s">
        <v>5457</v>
      </c>
      <c r="I2647" s="501">
        <v>146</v>
      </c>
      <c r="J2647" s="501">
        <v>146</v>
      </c>
      <c r="K2647" s="501">
        <v>0</v>
      </c>
      <c r="L2647" s="501">
        <v>0</v>
      </c>
      <c r="M2647" s="501">
        <v>0</v>
      </c>
      <c r="N2647" s="501">
        <v>0</v>
      </c>
      <c r="O2647" s="506">
        <v>0</v>
      </c>
    </row>
    <row r="2648" spans="1:15" x14ac:dyDescent="0.35">
      <c r="A2648" s="503" t="s">
        <v>1132</v>
      </c>
      <c r="B2648" s="504">
        <v>4837</v>
      </c>
      <c r="C2648" s="504" t="s">
        <v>1094</v>
      </c>
      <c r="D2648" s="504" t="s">
        <v>3380</v>
      </c>
      <c r="E2648" s="504" t="s">
        <v>3381</v>
      </c>
      <c r="F2648" s="504" t="s">
        <v>577</v>
      </c>
      <c r="G2648" s="504" t="s">
        <v>578</v>
      </c>
      <c r="H2648" s="504" t="s">
        <v>5458</v>
      </c>
      <c r="I2648" s="504">
        <v>649</v>
      </c>
      <c r="J2648" s="504">
        <v>454</v>
      </c>
      <c r="K2648" s="504">
        <v>0</v>
      </c>
      <c r="L2648" s="504">
        <v>36</v>
      </c>
      <c r="M2648" s="504">
        <v>0</v>
      </c>
      <c r="N2648" s="504">
        <v>0</v>
      </c>
      <c r="O2648" s="505">
        <v>159</v>
      </c>
    </row>
    <row r="2649" spans="1:15" x14ac:dyDescent="0.35">
      <c r="A2649" s="500" t="s">
        <v>1240</v>
      </c>
      <c r="B2649" s="501" t="s">
        <v>2972</v>
      </c>
      <c r="C2649" s="501" t="s">
        <v>1094</v>
      </c>
      <c r="D2649" s="501" t="s">
        <v>3380</v>
      </c>
      <c r="E2649" s="501" t="s">
        <v>3381</v>
      </c>
      <c r="F2649" s="501" t="s">
        <v>577</v>
      </c>
      <c r="G2649" s="501" t="s">
        <v>578</v>
      </c>
      <c r="H2649" s="501" t="s">
        <v>12145</v>
      </c>
      <c r="I2649" s="501">
        <v>27</v>
      </c>
      <c r="J2649" s="501">
        <v>19</v>
      </c>
      <c r="K2649" s="501">
        <v>0</v>
      </c>
      <c r="L2649" s="501">
        <v>0</v>
      </c>
      <c r="M2649" s="501">
        <v>0</v>
      </c>
      <c r="N2649" s="501">
        <v>0</v>
      </c>
      <c r="O2649" s="506">
        <v>8</v>
      </c>
    </row>
    <row r="2650" spans="1:15" x14ac:dyDescent="0.35">
      <c r="A2650" s="503" t="s">
        <v>1134</v>
      </c>
      <c r="B2650" s="504" t="s">
        <v>3066</v>
      </c>
      <c r="C2650" s="504" t="s">
        <v>1094</v>
      </c>
      <c r="D2650" s="504" t="s">
        <v>3380</v>
      </c>
      <c r="E2650" s="504" t="s">
        <v>3381</v>
      </c>
      <c r="F2650" s="504" t="s">
        <v>577</v>
      </c>
      <c r="G2650" s="504" t="s">
        <v>578</v>
      </c>
      <c r="H2650" s="504" t="s">
        <v>5459</v>
      </c>
      <c r="I2650" s="504">
        <v>37</v>
      </c>
      <c r="J2650" s="504">
        <v>37</v>
      </c>
      <c r="K2650" s="504">
        <v>0</v>
      </c>
      <c r="L2650" s="504">
        <v>0</v>
      </c>
      <c r="M2650" s="504">
        <v>0</v>
      </c>
      <c r="N2650" s="504">
        <v>0</v>
      </c>
      <c r="O2650" s="505">
        <v>0</v>
      </c>
    </row>
    <row r="2651" spans="1:15" x14ac:dyDescent="0.35">
      <c r="A2651" s="500" t="s">
        <v>1136</v>
      </c>
      <c r="B2651" s="501">
        <v>4680</v>
      </c>
      <c r="C2651" s="501" t="s">
        <v>1094</v>
      </c>
      <c r="D2651" s="501" t="s">
        <v>3380</v>
      </c>
      <c r="E2651" s="501" t="s">
        <v>3381</v>
      </c>
      <c r="F2651" s="501" t="s">
        <v>577</v>
      </c>
      <c r="G2651" s="501" t="s">
        <v>578</v>
      </c>
      <c r="H2651" s="501" t="s">
        <v>5460</v>
      </c>
      <c r="I2651" s="501">
        <v>108</v>
      </c>
      <c r="J2651" s="501">
        <v>80</v>
      </c>
      <c r="K2651" s="501">
        <v>0</v>
      </c>
      <c r="L2651" s="501">
        <v>0</v>
      </c>
      <c r="M2651" s="501">
        <v>0</v>
      </c>
      <c r="N2651" s="501">
        <v>0</v>
      </c>
      <c r="O2651" s="506">
        <v>28</v>
      </c>
    </row>
    <row r="2652" spans="1:15" x14ac:dyDescent="0.35">
      <c r="A2652" s="503" t="s">
        <v>2021</v>
      </c>
      <c r="B2652" s="504" t="s">
        <v>3099</v>
      </c>
      <c r="C2652" s="504" t="s">
        <v>1089</v>
      </c>
      <c r="D2652" s="504" t="s">
        <v>3392</v>
      </c>
      <c r="E2652" s="504" t="s">
        <v>3381</v>
      </c>
      <c r="F2652" s="504" t="s">
        <v>577</v>
      </c>
      <c r="G2652" s="504" t="s">
        <v>578</v>
      </c>
      <c r="H2652" s="504" t="s">
        <v>5461</v>
      </c>
      <c r="I2652" s="504">
        <v>6</v>
      </c>
      <c r="J2652" s="504">
        <v>6</v>
      </c>
      <c r="K2652" s="504">
        <v>0</v>
      </c>
      <c r="L2652" s="504">
        <v>0</v>
      </c>
      <c r="M2652" s="504">
        <v>0</v>
      </c>
      <c r="N2652" s="504">
        <v>0</v>
      </c>
      <c r="O2652" s="505">
        <v>0</v>
      </c>
    </row>
    <row r="2653" spans="1:15" x14ac:dyDescent="0.35">
      <c r="A2653" s="500" t="s">
        <v>2023</v>
      </c>
      <c r="B2653" s="501" t="s">
        <v>3357</v>
      </c>
      <c r="C2653" s="501" t="s">
        <v>1094</v>
      </c>
      <c r="D2653" s="501" t="s">
        <v>3380</v>
      </c>
      <c r="E2653" s="501" t="s">
        <v>3381</v>
      </c>
      <c r="F2653" s="501" t="s">
        <v>577</v>
      </c>
      <c r="G2653" s="501" t="s">
        <v>578</v>
      </c>
      <c r="H2653" s="501" t="s">
        <v>14656</v>
      </c>
      <c r="I2653" s="501">
        <v>18</v>
      </c>
      <c r="J2653" s="501">
        <v>11</v>
      </c>
      <c r="K2653" s="501">
        <v>0</v>
      </c>
      <c r="L2653" s="501">
        <v>0</v>
      </c>
      <c r="M2653" s="501">
        <v>0</v>
      </c>
      <c r="N2653" s="501">
        <v>0</v>
      </c>
      <c r="O2653" s="506">
        <v>7</v>
      </c>
    </row>
    <row r="2654" spans="1:15" x14ac:dyDescent="0.35">
      <c r="A2654" s="503" t="s">
        <v>2024</v>
      </c>
      <c r="B2654" s="504" t="s">
        <v>2896</v>
      </c>
      <c r="C2654" s="504" t="s">
        <v>1089</v>
      </c>
      <c r="D2654" s="504" t="s">
        <v>3392</v>
      </c>
      <c r="E2654" s="504" t="s">
        <v>3381</v>
      </c>
      <c r="F2654" s="504" t="s">
        <v>577</v>
      </c>
      <c r="G2654" s="504" t="s">
        <v>578</v>
      </c>
      <c r="H2654" s="504" t="s">
        <v>5462</v>
      </c>
      <c r="I2654" s="504">
        <v>15</v>
      </c>
      <c r="J2654" s="504">
        <v>0</v>
      </c>
      <c r="K2654" s="504">
        <v>0</v>
      </c>
      <c r="L2654" s="504">
        <v>15</v>
      </c>
      <c r="M2654" s="504">
        <v>0</v>
      </c>
      <c r="N2654" s="504">
        <v>0</v>
      </c>
      <c r="O2654" s="505">
        <v>0</v>
      </c>
    </row>
    <row r="2655" spans="1:15" x14ac:dyDescent="0.35">
      <c r="A2655" s="500" t="s">
        <v>2032</v>
      </c>
      <c r="B2655" s="501" t="s">
        <v>2841</v>
      </c>
      <c r="C2655" s="501" t="s">
        <v>1089</v>
      </c>
      <c r="D2655" s="501" t="s">
        <v>3392</v>
      </c>
      <c r="E2655" s="501" t="s">
        <v>3381</v>
      </c>
      <c r="F2655" s="501" t="s">
        <v>577</v>
      </c>
      <c r="G2655" s="501" t="s">
        <v>578</v>
      </c>
      <c r="H2655" s="501" t="s">
        <v>5463</v>
      </c>
      <c r="I2655" s="501">
        <v>57</v>
      </c>
      <c r="J2655" s="501">
        <v>0</v>
      </c>
      <c r="K2655" s="501">
        <v>0</v>
      </c>
      <c r="L2655" s="501">
        <v>0</v>
      </c>
      <c r="M2655" s="501">
        <v>57</v>
      </c>
      <c r="N2655" s="501">
        <v>0</v>
      </c>
      <c r="O2655" s="506">
        <v>0</v>
      </c>
    </row>
    <row r="2656" spans="1:15" x14ac:dyDescent="0.35">
      <c r="A2656" s="503" t="s">
        <v>2037</v>
      </c>
      <c r="B2656" s="504" t="s">
        <v>2544</v>
      </c>
      <c r="C2656" s="504" t="s">
        <v>1089</v>
      </c>
      <c r="D2656" s="504" t="s">
        <v>3392</v>
      </c>
      <c r="E2656" s="504" t="s">
        <v>3381</v>
      </c>
      <c r="F2656" s="504" t="s">
        <v>577</v>
      </c>
      <c r="G2656" s="504" t="s">
        <v>578</v>
      </c>
      <c r="H2656" s="504" t="s">
        <v>5464</v>
      </c>
      <c r="I2656" s="504">
        <v>2</v>
      </c>
      <c r="J2656" s="504">
        <v>2</v>
      </c>
      <c r="K2656" s="504">
        <v>0</v>
      </c>
      <c r="L2656" s="504">
        <v>0</v>
      </c>
      <c r="M2656" s="504">
        <v>0</v>
      </c>
      <c r="N2656" s="504">
        <v>0</v>
      </c>
      <c r="O2656" s="505">
        <v>0</v>
      </c>
    </row>
    <row r="2657" spans="1:15" x14ac:dyDescent="0.35">
      <c r="A2657" s="500" t="s">
        <v>1249</v>
      </c>
      <c r="B2657" s="501">
        <v>4729</v>
      </c>
      <c r="C2657" s="501" t="s">
        <v>1094</v>
      </c>
      <c r="D2657" s="501" t="s">
        <v>3380</v>
      </c>
      <c r="E2657" s="501" t="s">
        <v>3381</v>
      </c>
      <c r="F2657" s="501" t="s">
        <v>577</v>
      </c>
      <c r="G2657" s="501" t="s">
        <v>578</v>
      </c>
      <c r="H2657" s="501" t="s">
        <v>5465</v>
      </c>
      <c r="I2657" s="501">
        <v>137</v>
      </c>
      <c r="J2657" s="501">
        <v>106</v>
      </c>
      <c r="K2657" s="501">
        <v>0</v>
      </c>
      <c r="L2657" s="501">
        <v>0</v>
      </c>
      <c r="M2657" s="501">
        <v>0</v>
      </c>
      <c r="N2657" s="501">
        <v>0</v>
      </c>
      <c r="O2657" s="506">
        <v>31</v>
      </c>
    </row>
    <row r="2658" spans="1:15" x14ac:dyDescent="0.35">
      <c r="A2658" s="503" t="s">
        <v>1260</v>
      </c>
      <c r="B2658" s="504">
        <v>4645</v>
      </c>
      <c r="C2658" s="504" t="s">
        <v>1089</v>
      </c>
      <c r="D2658" s="504" t="s">
        <v>3392</v>
      </c>
      <c r="E2658" s="504" t="s">
        <v>3381</v>
      </c>
      <c r="F2658" s="504" t="s">
        <v>577</v>
      </c>
      <c r="G2658" s="504" t="s">
        <v>578</v>
      </c>
      <c r="H2658" s="504" t="s">
        <v>5466</v>
      </c>
      <c r="I2658" s="504">
        <v>5</v>
      </c>
      <c r="J2658" s="504">
        <v>0</v>
      </c>
      <c r="K2658" s="504">
        <v>0</v>
      </c>
      <c r="L2658" s="504">
        <v>5</v>
      </c>
      <c r="M2658" s="504">
        <v>0</v>
      </c>
      <c r="N2658" s="504">
        <v>0</v>
      </c>
      <c r="O2658" s="505">
        <v>0</v>
      </c>
    </row>
    <row r="2659" spans="1:15" x14ac:dyDescent="0.35">
      <c r="A2659" s="500" t="s">
        <v>2050</v>
      </c>
      <c r="B2659" s="501">
        <v>4826</v>
      </c>
      <c r="C2659" s="501" t="s">
        <v>1094</v>
      </c>
      <c r="D2659" s="501" t="s">
        <v>3380</v>
      </c>
      <c r="E2659" s="501" t="s">
        <v>3381</v>
      </c>
      <c r="F2659" s="501" t="s">
        <v>577</v>
      </c>
      <c r="G2659" s="501" t="s">
        <v>578</v>
      </c>
      <c r="H2659" s="501" t="s">
        <v>5467</v>
      </c>
      <c r="I2659" s="501">
        <v>59</v>
      </c>
      <c r="J2659" s="501">
        <v>12</v>
      </c>
      <c r="K2659" s="501">
        <v>0</v>
      </c>
      <c r="L2659" s="501">
        <v>23</v>
      </c>
      <c r="M2659" s="501">
        <v>0</v>
      </c>
      <c r="N2659" s="501">
        <v>0</v>
      </c>
      <c r="O2659" s="506">
        <v>24</v>
      </c>
    </row>
    <row r="2660" spans="1:15" x14ac:dyDescent="0.35">
      <c r="A2660" s="503" t="s">
        <v>1386</v>
      </c>
      <c r="B2660" s="504" t="s">
        <v>3331</v>
      </c>
      <c r="C2660" s="504" t="s">
        <v>1094</v>
      </c>
      <c r="D2660" s="504" t="s">
        <v>3380</v>
      </c>
      <c r="E2660" s="504" t="s">
        <v>3381</v>
      </c>
      <c r="F2660" s="504" t="s">
        <v>579</v>
      </c>
      <c r="G2660" s="504" t="s">
        <v>580</v>
      </c>
      <c r="H2660" s="504" t="s">
        <v>5468</v>
      </c>
      <c r="I2660" s="504">
        <v>78</v>
      </c>
      <c r="J2660" s="504">
        <v>47</v>
      </c>
      <c r="K2660" s="504">
        <v>0</v>
      </c>
      <c r="L2660" s="504">
        <v>15</v>
      </c>
      <c r="M2660" s="504">
        <v>0</v>
      </c>
      <c r="N2660" s="504">
        <v>0</v>
      </c>
      <c r="O2660" s="505">
        <v>16</v>
      </c>
    </row>
    <row r="2661" spans="1:15" x14ac:dyDescent="0.35">
      <c r="A2661" s="500" t="s">
        <v>1091</v>
      </c>
      <c r="B2661" s="501" t="s">
        <v>3288</v>
      </c>
      <c r="C2661" s="501" t="s">
        <v>1089</v>
      </c>
      <c r="D2661" s="501" t="s">
        <v>3392</v>
      </c>
      <c r="E2661" s="501" t="s">
        <v>3381</v>
      </c>
      <c r="F2661" s="501" t="s">
        <v>579</v>
      </c>
      <c r="G2661" s="501" t="s">
        <v>580</v>
      </c>
      <c r="H2661" s="501" t="s">
        <v>5469</v>
      </c>
      <c r="I2661" s="501">
        <v>18</v>
      </c>
      <c r="J2661" s="501">
        <v>10</v>
      </c>
      <c r="K2661" s="501">
        <v>0</v>
      </c>
      <c r="L2661" s="501">
        <v>8</v>
      </c>
      <c r="M2661" s="501">
        <v>0</v>
      </c>
      <c r="N2661" s="501">
        <v>0</v>
      </c>
      <c r="O2661" s="506">
        <v>0</v>
      </c>
    </row>
    <row r="2662" spans="1:15" x14ac:dyDescent="0.35">
      <c r="A2662" s="503" t="s">
        <v>14127</v>
      </c>
      <c r="B2662" s="504" t="s">
        <v>14126</v>
      </c>
      <c r="C2662" s="504" t="s">
        <v>1094</v>
      </c>
      <c r="D2662" s="504" t="s">
        <v>3380</v>
      </c>
      <c r="E2662" s="504" t="s">
        <v>3381</v>
      </c>
      <c r="F2662" s="504" t="s">
        <v>579</v>
      </c>
      <c r="G2662" s="504" t="s">
        <v>580</v>
      </c>
      <c r="H2662" s="504" t="s">
        <v>14657</v>
      </c>
      <c r="I2662" s="504">
        <v>4970</v>
      </c>
      <c r="J2662" s="504">
        <v>4183</v>
      </c>
      <c r="K2662" s="504">
        <v>0</v>
      </c>
      <c r="L2662" s="504">
        <v>4</v>
      </c>
      <c r="M2662" s="504">
        <v>617</v>
      </c>
      <c r="N2662" s="504">
        <v>0</v>
      </c>
      <c r="O2662" s="505">
        <v>166</v>
      </c>
    </row>
    <row r="2663" spans="1:15" x14ac:dyDescent="0.35">
      <c r="A2663" s="500" t="s">
        <v>1093</v>
      </c>
      <c r="B2663" s="501" t="s">
        <v>3248</v>
      </c>
      <c r="C2663" s="501" t="s">
        <v>1094</v>
      </c>
      <c r="D2663" s="501" t="s">
        <v>3380</v>
      </c>
      <c r="E2663" s="501" t="s">
        <v>3381</v>
      </c>
      <c r="F2663" s="501" t="s">
        <v>579</v>
      </c>
      <c r="G2663" s="501" t="s">
        <v>580</v>
      </c>
      <c r="H2663" s="501" t="s">
        <v>5470</v>
      </c>
      <c r="I2663" s="501">
        <v>7</v>
      </c>
      <c r="J2663" s="501">
        <v>0</v>
      </c>
      <c r="K2663" s="501">
        <v>0</v>
      </c>
      <c r="L2663" s="501">
        <v>3</v>
      </c>
      <c r="M2663" s="501">
        <v>0</v>
      </c>
      <c r="N2663" s="501">
        <v>0</v>
      </c>
      <c r="O2663" s="506">
        <v>4</v>
      </c>
    </row>
    <row r="2664" spans="1:15" x14ac:dyDescent="0.35">
      <c r="A2664" s="503" t="s">
        <v>1096</v>
      </c>
      <c r="B2664" s="504" t="s">
        <v>3326</v>
      </c>
      <c r="C2664" s="504" t="s">
        <v>1094</v>
      </c>
      <c r="D2664" s="504" t="s">
        <v>3380</v>
      </c>
      <c r="E2664" s="504" t="s">
        <v>3381</v>
      </c>
      <c r="F2664" s="504" t="s">
        <v>579</v>
      </c>
      <c r="G2664" s="504" t="s">
        <v>580</v>
      </c>
      <c r="H2664" s="504" t="s">
        <v>5471</v>
      </c>
      <c r="I2664" s="504">
        <v>59</v>
      </c>
      <c r="J2664" s="504">
        <v>0</v>
      </c>
      <c r="K2664" s="504">
        <v>0</v>
      </c>
      <c r="L2664" s="504">
        <v>0</v>
      </c>
      <c r="M2664" s="504">
        <v>59</v>
      </c>
      <c r="N2664" s="504">
        <v>0</v>
      </c>
      <c r="O2664" s="505">
        <v>0</v>
      </c>
    </row>
    <row r="2665" spans="1:15" x14ac:dyDescent="0.35">
      <c r="A2665" s="500" t="s">
        <v>1098</v>
      </c>
      <c r="B2665" s="501">
        <v>4691</v>
      </c>
      <c r="C2665" s="501" t="s">
        <v>1094</v>
      </c>
      <c r="D2665" s="501" t="s">
        <v>3380</v>
      </c>
      <c r="E2665" s="501" t="s">
        <v>3381</v>
      </c>
      <c r="F2665" s="501" t="s">
        <v>579</v>
      </c>
      <c r="G2665" s="501" t="s">
        <v>580</v>
      </c>
      <c r="H2665" s="501" t="s">
        <v>5472</v>
      </c>
      <c r="I2665" s="501">
        <v>130</v>
      </c>
      <c r="J2665" s="501">
        <v>86</v>
      </c>
      <c r="K2665" s="501">
        <v>0</v>
      </c>
      <c r="L2665" s="501">
        <v>0</v>
      </c>
      <c r="M2665" s="501">
        <v>0</v>
      </c>
      <c r="N2665" s="501">
        <v>0</v>
      </c>
      <c r="O2665" s="506">
        <v>44</v>
      </c>
    </row>
    <row r="2666" spans="1:15" x14ac:dyDescent="0.35">
      <c r="A2666" s="503" t="s">
        <v>1100</v>
      </c>
      <c r="B2666" s="504">
        <v>4865</v>
      </c>
      <c r="C2666" s="504" t="s">
        <v>1094</v>
      </c>
      <c r="D2666" s="504" t="s">
        <v>3380</v>
      </c>
      <c r="E2666" s="504" t="s">
        <v>3381</v>
      </c>
      <c r="F2666" s="504" t="s">
        <v>579</v>
      </c>
      <c r="G2666" s="504" t="s">
        <v>580</v>
      </c>
      <c r="H2666" s="504" t="s">
        <v>5473</v>
      </c>
      <c r="I2666" s="504">
        <v>93</v>
      </c>
      <c r="J2666" s="504">
        <v>79</v>
      </c>
      <c r="K2666" s="504">
        <v>0</v>
      </c>
      <c r="L2666" s="504">
        <v>3</v>
      </c>
      <c r="M2666" s="504">
        <v>0</v>
      </c>
      <c r="N2666" s="504">
        <v>0</v>
      </c>
      <c r="O2666" s="505">
        <v>11</v>
      </c>
    </row>
    <row r="2667" spans="1:15" x14ac:dyDescent="0.35">
      <c r="A2667" s="500" t="s">
        <v>14208</v>
      </c>
      <c r="B2667" s="501">
        <v>4803</v>
      </c>
      <c r="C2667" s="501" t="s">
        <v>1094</v>
      </c>
      <c r="D2667" s="501" t="s">
        <v>3380</v>
      </c>
      <c r="E2667" s="501" t="s">
        <v>3381</v>
      </c>
      <c r="F2667" s="501" t="s">
        <v>579</v>
      </c>
      <c r="G2667" s="501" t="s">
        <v>580</v>
      </c>
      <c r="H2667" s="501" t="s">
        <v>14658</v>
      </c>
      <c r="I2667" s="501">
        <v>1</v>
      </c>
      <c r="J2667" s="501">
        <v>0</v>
      </c>
      <c r="K2667" s="501">
        <v>0</v>
      </c>
      <c r="L2667" s="501">
        <v>1</v>
      </c>
      <c r="M2667" s="501">
        <v>0</v>
      </c>
      <c r="N2667" s="501">
        <v>0</v>
      </c>
      <c r="O2667" s="506">
        <v>0</v>
      </c>
    </row>
    <row r="2668" spans="1:15" x14ac:dyDescent="0.35">
      <c r="A2668" s="503" t="s">
        <v>1105</v>
      </c>
      <c r="B2668" s="504">
        <v>4668</v>
      </c>
      <c r="C2668" s="504" t="s">
        <v>1094</v>
      </c>
      <c r="D2668" s="504" t="s">
        <v>3380</v>
      </c>
      <c r="E2668" s="504" t="s">
        <v>3381</v>
      </c>
      <c r="F2668" s="504" t="s">
        <v>579</v>
      </c>
      <c r="G2668" s="504" t="s">
        <v>580</v>
      </c>
      <c r="H2668" s="504" t="s">
        <v>5474</v>
      </c>
      <c r="I2668" s="504">
        <v>1</v>
      </c>
      <c r="J2668" s="504">
        <v>0</v>
      </c>
      <c r="K2668" s="504">
        <v>0</v>
      </c>
      <c r="L2668" s="504">
        <v>0</v>
      </c>
      <c r="M2668" s="504">
        <v>0</v>
      </c>
      <c r="N2668" s="504">
        <v>0</v>
      </c>
      <c r="O2668" s="505">
        <v>1</v>
      </c>
    </row>
    <row r="2669" spans="1:15" x14ac:dyDescent="0.35">
      <c r="A2669" s="500" t="s">
        <v>1107</v>
      </c>
      <c r="B2669" s="501" t="s">
        <v>3109</v>
      </c>
      <c r="C2669" s="501" t="s">
        <v>1094</v>
      </c>
      <c r="D2669" s="501" t="s">
        <v>3380</v>
      </c>
      <c r="E2669" s="501" t="s">
        <v>3381</v>
      </c>
      <c r="F2669" s="501" t="s">
        <v>579</v>
      </c>
      <c r="G2669" s="501" t="s">
        <v>580</v>
      </c>
      <c r="H2669" s="501" t="s">
        <v>5475</v>
      </c>
      <c r="I2669" s="501">
        <v>135</v>
      </c>
      <c r="J2669" s="501">
        <v>118</v>
      </c>
      <c r="K2669" s="501">
        <v>0</v>
      </c>
      <c r="L2669" s="501">
        <v>9</v>
      </c>
      <c r="M2669" s="501">
        <v>0</v>
      </c>
      <c r="N2669" s="501">
        <v>0</v>
      </c>
      <c r="O2669" s="506">
        <v>8</v>
      </c>
    </row>
    <row r="2670" spans="1:15" x14ac:dyDescent="0.35">
      <c r="A2670" s="503" t="s">
        <v>1190</v>
      </c>
      <c r="B2670" s="504">
        <v>4662</v>
      </c>
      <c r="C2670" s="504" t="s">
        <v>1094</v>
      </c>
      <c r="D2670" s="504" t="s">
        <v>3380</v>
      </c>
      <c r="E2670" s="504" t="s">
        <v>3381</v>
      </c>
      <c r="F2670" s="504" t="s">
        <v>579</v>
      </c>
      <c r="G2670" s="504" t="s">
        <v>580</v>
      </c>
      <c r="H2670" s="504" t="s">
        <v>14659</v>
      </c>
      <c r="I2670" s="504">
        <v>8</v>
      </c>
      <c r="J2670" s="504">
        <v>0</v>
      </c>
      <c r="K2670" s="504">
        <v>0</v>
      </c>
      <c r="L2670" s="504">
        <v>8</v>
      </c>
      <c r="M2670" s="504">
        <v>0</v>
      </c>
      <c r="N2670" s="504">
        <v>0</v>
      </c>
      <c r="O2670" s="505">
        <v>0</v>
      </c>
    </row>
    <row r="2671" spans="1:15" x14ac:dyDescent="0.35">
      <c r="A2671" s="500" t="s">
        <v>1202</v>
      </c>
      <c r="B2671" s="501" t="s">
        <v>3217</v>
      </c>
      <c r="C2671" s="501" t="s">
        <v>1094</v>
      </c>
      <c r="D2671" s="501" t="s">
        <v>3380</v>
      </c>
      <c r="E2671" s="501" t="s">
        <v>3381</v>
      </c>
      <c r="F2671" s="501" t="s">
        <v>579</v>
      </c>
      <c r="G2671" s="501" t="s">
        <v>580</v>
      </c>
      <c r="H2671" s="501" t="s">
        <v>5476</v>
      </c>
      <c r="I2671" s="501">
        <v>7</v>
      </c>
      <c r="J2671" s="501">
        <v>0</v>
      </c>
      <c r="K2671" s="501">
        <v>0</v>
      </c>
      <c r="L2671" s="501">
        <v>6</v>
      </c>
      <c r="M2671" s="501">
        <v>0</v>
      </c>
      <c r="N2671" s="501">
        <v>0</v>
      </c>
      <c r="O2671" s="506">
        <v>1</v>
      </c>
    </row>
    <row r="2672" spans="1:15" x14ac:dyDescent="0.35">
      <c r="A2672" s="503" t="s">
        <v>1112</v>
      </c>
      <c r="B2672" s="504" t="s">
        <v>3008</v>
      </c>
      <c r="C2672" s="504" t="s">
        <v>1094</v>
      </c>
      <c r="D2672" s="504" t="s">
        <v>3380</v>
      </c>
      <c r="E2672" s="504" t="s">
        <v>3381</v>
      </c>
      <c r="F2672" s="504" t="s">
        <v>579</v>
      </c>
      <c r="G2672" s="504" t="s">
        <v>580</v>
      </c>
      <c r="H2672" s="504" t="s">
        <v>5477</v>
      </c>
      <c r="I2672" s="504">
        <v>7</v>
      </c>
      <c r="J2672" s="504">
        <v>0</v>
      </c>
      <c r="K2672" s="504">
        <v>0</v>
      </c>
      <c r="L2672" s="504">
        <v>0</v>
      </c>
      <c r="M2672" s="504">
        <v>0</v>
      </c>
      <c r="N2672" s="504">
        <v>0</v>
      </c>
      <c r="O2672" s="505">
        <v>7</v>
      </c>
    </row>
    <row r="2673" spans="1:15" x14ac:dyDescent="0.35">
      <c r="A2673" s="500" t="s">
        <v>1114</v>
      </c>
      <c r="B2673" s="501" t="s">
        <v>2982</v>
      </c>
      <c r="C2673" s="501" t="s">
        <v>1094</v>
      </c>
      <c r="D2673" s="501" t="s">
        <v>3380</v>
      </c>
      <c r="E2673" s="501" t="s">
        <v>3381</v>
      </c>
      <c r="F2673" s="501" t="s">
        <v>579</v>
      </c>
      <c r="G2673" s="501" t="s">
        <v>580</v>
      </c>
      <c r="H2673" s="501" t="s">
        <v>5478</v>
      </c>
      <c r="I2673" s="501">
        <v>3</v>
      </c>
      <c r="J2673" s="501">
        <v>0</v>
      </c>
      <c r="K2673" s="501">
        <v>0</v>
      </c>
      <c r="L2673" s="501">
        <v>0</v>
      </c>
      <c r="M2673" s="501">
        <v>0</v>
      </c>
      <c r="N2673" s="501">
        <v>0</v>
      </c>
      <c r="O2673" s="506">
        <v>3</v>
      </c>
    </row>
    <row r="2674" spans="1:15" x14ac:dyDescent="0.35">
      <c r="A2674" s="503" t="s">
        <v>11415</v>
      </c>
      <c r="B2674" s="504" t="s">
        <v>2973</v>
      </c>
      <c r="C2674" s="504" t="s">
        <v>1089</v>
      </c>
      <c r="D2674" s="504" t="s">
        <v>3392</v>
      </c>
      <c r="E2674" s="504" t="s">
        <v>3381</v>
      </c>
      <c r="F2674" s="504" t="s">
        <v>579</v>
      </c>
      <c r="G2674" s="504" t="s">
        <v>580</v>
      </c>
      <c r="H2674" s="504" t="s">
        <v>11979</v>
      </c>
      <c r="I2674" s="504">
        <v>268</v>
      </c>
      <c r="J2674" s="504">
        <v>264</v>
      </c>
      <c r="K2674" s="504">
        <v>0</v>
      </c>
      <c r="L2674" s="504">
        <v>4</v>
      </c>
      <c r="M2674" s="504">
        <v>0</v>
      </c>
      <c r="N2674" s="504">
        <v>0</v>
      </c>
      <c r="O2674" s="505">
        <v>0</v>
      </c>
    </row>
    <row r="2675" spans="1:15" x14ac:dyDescent="0.35">
      <c r="A2675" s="500" t="s">
        <v>1122</v>
      </c>
      <c r="B2675" s="501" t="s">
        <v>2994</v>
      </c>
      <c r="C2675" s="501" t="s">
        <v>1094</v>
      </c>
      <c r="D2675" s="501" t="s">
        <v>3380</v>
      </c>
      <c r="E2675" s="501" t="s">
        <v>3381</v>
      </c>
      <c r="F2675" s="501" t="s">
        <v>579</v>
      </c>
      <c r="G2675" s="501" t="s">
        <v>580</v>
      </c>
      <c r="H2675" s="501" t="s">
        <v>5479</v>
      </c>
      <c r="I2675" s="501">
        <v>6</v>
      </c>
      <c r="J2675" s="501">
        <v>0</v>
      </c>
      <c r="K2675" s="501">
        <v>0</v>
      </c>
      <c r="L2675" s="501">
        <v>0</v>
      </c>
      <c r="M2675" s="501">
        <v>0</v>
      </c>
      <c r="N2675" s="501">
        <v>0</v>
      </c>
      <c r="O2675" s="506">
        <v>6</v>
      </c>
    </row>
    <row r="2676" spans="1:15" x14ac:dyDescent="0.35">
      <c r="A2676" s="503" t="s">
        <v>1124</v>
      </c>
      <c r="B2676" s="504">
        <v>4745</v>
      </c>
      <c r="C2676" s="504" t="s">
        <v>1094</v>
      </c>
      <c r="D2676" s="504" t="s">
        <v>3380</v>
      </c>
      <c r="E2676" s="504" t="s">
        <v>3381</v>
      </c>
      <c r="F2676" s="504" t="s">
        <v>579</v>
      </c>
      <c r="G2676" s="504" t="s">
        <v>580</v>
      </c>
      <c r="H2676" s="504" t="s">
        <v>5480</v>
      </c>
      <c r="I2676" s="504">
        <v>4</v>
      </c>
      <c r="J2676" s="504">
        <v>0</v>
      </c>
      <c r="K2676" s="504">
        <v>0</v>
      </c>
      <c r="L2676" s="504">
        <v>4</v>
      </c>
      <c r="M2676" s="504">
        <v>0</v>
      </c>
      <c r="N2676" s="504">
        <v>0</v>
      </c>
      <c r="O2676" s="505">
        <v>0</v>
      </c>
    </row>
    <row r="2677" spans="1:15" x14ac:dyDescent="0.35">
      <c r="A2677" s="500" t="s">
        <v>1233</v>
      </c>
      <c r="B2677" s="501">
        <v>4636</v>
      </c>
      <c r="C2677" s="501" t="s">
        <v>1094</v>
      </c>
      <c r="D2677" s="501" t="s">
        <v>3380</v>
      </c>
      <c r="E2677" s="501" t="s">
        <v>3381</v>
      </c>
      <c r="F2677" s="501" t="s">
        <v>579</v>
      </c>
      <c r="G2677" s="501" t="s">
        <v>580</v>
      </c>
      <c r="H2677" s="501" t="s">
        <v>5481</v>
      </c>
      <c r="I2677" s="501">
        <v>24</v>
      </c>
      <c r="J2677" s="501">
        <v>10</v>
      </c>
      <c r="K2677" s="501">
        <v>0</v>
      </c>
      <c r="L2677" s="501">
        <v>0</v>
      </c>
      <c r="M2677" s="501">
        <v>0</v>
      </c>
      <c r="N2677" s="501">
        <v>0</v>
      </c>
      <c r="O2677" s="506">
        <v>14</v>
      </c>
    </row>
    <row r="2678" spans="1:15" x14ac:dyDescent="0.35">
      <c r="A2678" s="503" t="s">
        <v>11368</v>
      </c>
      <c r="B2678" s="504">
        <v>5083</v>
      </c>
      <c r="C2678" s="504" t="s">
        <v>1094</v>
      </c>
      <c r="D2678" s="504" t="s">
        <v>3380</v>
      </c>
      <c r="E2678" s="504" t="s">
        <v>3381</v>
      </c>
      <c r="F2678" s="504" t="s">
        <v>579</v>
      </c>
      <c r="G2678" s="504" t="s">
        <v>580</v>
      </c>
      <c r="H2678" s="504" t="s">
        <v>12047</v>
      </c>
      <c r="I2678" s="504">
        <v>6</v>
      </c>
      <c r="J2678" s="504">
        <v>6</v>
      </c>
      <c r="K2678" s="504">
        <v>0</v>
      </c>
      <c r="L2678" s="504">
        <v>0</v>
      </c>
      <c r="M2678" s="504">
        <v>0</v>
      </c>
      <c r="N2678" s="504">
        <v>0</v>
      </c>
      <c r="O2678" s="505">
        <v>0</v>
      </c>
    </row>
    <row r="2679" spans="1:15" x14ac:dyDescent="0.35">
      <c r="A2679" s="500" t="s">
        <v>1126</v>
      </c>
      <c r="B2679" s="501" t="s">
        <v>2974</v>
      </c>
      <c r="C2679" s="501" t="s">
        <v>1094</v>
      </c>
      <c r="D2679" s="501" t="s">
        <v>3380</v>
      </c>
      <c r="E2679" s="501" t="s">
        <v>3381</v>
      </c>
      <c r="F2679" s="501" t="s">
        <v>579</v>
      </c>
      <c r="G2679" s="501" t="s">
        <v>580</v>
      </c>
      <c r="H2679" s="501" t="s">
        <v>5482</v>
      </c>
      <c r="I2679" s="501">
        <v>83</v>
      </c>
      <c r="J2679" s="501">
        <v>0</v>
      </c>
      <c r="K2679" s="501">
        <v>0</v>
      </c>
      <c r="L2679" s="501">
        <v>0</v>
      </c>
      <c r="M2679" s="501">
        <v>83</v>
      </c>
      <c r="N2679" s="501">
        <v>0</v>
      </c>
      <c r="O2679" s="506">
        <v>0</v>
      </c>
    </row>
    <row r="2680" spans="1:15" x14ac:dyDescent="0.35">
      <c r="A2680" s="503" t="s">
        <v>1896</v>
      </c>
      <c r="B2680" s="504" t="s">
        <v>3216</v>
      </c>
      <c r="C2680" s="504" t="s">
        <v>1094</v>
      </c>
      <c r="D2680" s="504" t="s">
        <v>3380</v>
      </c>
      <c r="E2680" s="504" t="s">
        <v>3381</v>
      </c>
      <c r="F2680" s="504" t="s">
        <v>579</v>
      </c>
      <c r="G2680" s="504" t="s">
        <v>580</v>
      </c>
      <c r="H2680" s="504" t="s">
        <v>5483</v>
      </c>
      <c r="I2680" s="504">
        <v>30</v>
      </c>
      <c r="J2680" s="504">
        <v>21</v>
      </c>
      <c r="K2680" s="504">
        <v>0</v>
      </c>
      <c r="L2680" s="504">
        <v>0</v>
      </c>
      <c r="M2680" s="504">
        <v>0</v>
      </c>
      <c r="N2680" s="504">
        <v>0</v>
      </c>
      <c r="O2680" s="505">
        <v>9</v>
      </c>
    </row>
    <row r="2681" spans="1:15" x14ac:dyDescent="0.35">
      <c r="A2681" s="500" t="s">
        <v>1130</v>
      </c>
      <c r="B2681" s="501" t="s">
        <v>3234</v>
      </c>
      <c r="C2681" s="501" t="s">
        <v>1094</v>
      </c>
      <c r="D2681" s="501" t="s">
        <v>3380</v>
      </c>
      <c r="E2681" s="501" t="s">
        <v>3381</v>
      </c>
      <c r="F2681" s="501" t="s">
        <v>579</v>
      </c>
      <c r="G2681" s="501" t="s">
        <v>580</v>
      </c>
      <c r="H2681" s="501" t="s">
        <v>5484</v>
      </c>
      <c r="I2681" s="501">
        <v>10</v>
      </c>
      <c r="J2681" s="501">
        <v>10</v>
      </c>
      <c r="K2681" s="501">
        <v>0</v>
      </c>
      <c r="L2681" s="501">
        <v>0</v>
      </c>
      <c r="M2681" s="501">
        <v>0</v>
      </c>
      <c r="N2681" s="501">
        <v>0</v>
      </c>
      <c r="O2681" s="506">
        <v>0</v>
      </c>
    </row>
    <row r="2682" spans="1:15" x14ac:dyDescent="0.35">
      <c r="A2682" s="503" t="s">
        <v>1132</v>
      </c>
      <c r="B2682" s="504">
        <v>4837</v>
      </c>
      <c r="C2682" s="504" t="s">
        <v>1094</v>
      </c>
      <c r="D2682" s="504" t="s">
        <v>3380</v>
      </c>
      <c r="E2682" s="504" t="s">
        <v>3381</v>
      </c>
      <c r="F2682" s="504" t="s">
        <v>579</v>
      </c>
      <c r="G2682" s="504" t="s">
        <v>580</v>
      </c>
      <c r="H2682" s="504" t="s">
        <v>5485</v>
      </c>
      <c r="I2682" s="504">
        <v>779</v>
      </c>
      <c r="J2682" s="504">
        <v>587</v>
      </c>
      <c r="K2682" s="504">
        <v>0</v>
      </c>
      <c r="L2682" s="504">
        <v>39</v>
      </c>
      <c r="M2682" s="504">
        <v>25</v>
      </c>
      <c r="N2682" s="504">
        <v>0</v>
      </c>
      <c r="O2682" s="505">
        <v>128</v>
      </c>
    </row>
    <row r="2683" spans="1:15" x14ac:dyDescent="0.35">
      <c r="A2683" s="500" t="s">
        <v>1240</v>
      </c>
      <c r="B2683" s="501" t="s">
        <v>2972</v>
      </c>
      <c r="C2683" s="501" t="s">
        <v>1094</v>
      </c>
      <c r="D2683" s="501" t="s">
        <v>3380</v>
      </c>
      <c r="E2683" s="501" t="s">
        <v>3381</v>
      </c>
      <c r="F2683" s="501" t="s">
        <v>579</v>
      </c>
      <c r="G2683" s="501" t="s">
        <v>580</v>
      </c>
      <c r="H2683" s="501" t="s">
        <v>12146</v>
      </c>
      <c r="I2683" s="501">
        <v>23</v>
      </c>
      <c r="J2683" s="501">
        <v>13</v>
      </c>
      <c r="K2683" s="501">
        <v>0</v>
      </c>
      <c r="L2683" s="501">
        <v>0</v>
      </c>
      <c r="M2683" s="501">
        <v>0</v>
      </c>
      <c r="N2683" s="501">
        <v>0</v>
      </c>
      <c r="O2683" s="506">
        <v>10</v>
      </c>
    </row>
    <row r="2684" spans="1:15" x14ac:dyDescent="0.35">
      <c r="A2684" s="503" t="s">
        <v>1136</v>
      </c>
      <c r="B2684" s="504">
        <v>4680</v>
      </c>
      <c r="C2684" s="504" t="s">
        <v>1094</v>
      </c>
      <c r="D2684" s="504" t="s">
        <v>3380</v>
      </c>
      <c r="E2684" s="504" t="s">
        <v>3381</v>
      </c>
      <c r="F2684" s="504" t="s">
        <v>579</v>
      </c>
      <c r="G2684" s="504" t="s">
        <v>580</v>
      </c>
      <c r="H2684" s="504" t="s">
        <v>5486</v>
      </c>
      <c r="I2684" s="504">
        <v>105</v>
      </c>
      <c r="J2684" s="504">
        <v>69</v>
      </c>
      <c r="K2684" s="504">
        <v>0</v>
      </c>
      <c r="L2684" s="504">
        <v>0</v>
      </c>
      <c r="M2684" s="504">
        <v>0</v>
      </c>
      <c r="N2684" s="504">
        <v>0</v>
      </c>
      <c r="O2684" s="505">
        <v>36</v>
      </c>
    </row>
    <row r="2685" spans="1:15" x14ac:dyDescent="0.35">
      <c r="A2685" s="500" t="s">
        <v>1249</v>
      </c>
      <c r="B2685" s="501">
        <v>4729</v>
      </c>
      <c r="C2685" s="501" t="s">
        <v>1094</v>
      </c>
      <c r="D2685" s="501" t="s">
        <v>3380</v>
      </c>
      <c r="E2685" s="501" t="s">
        <v>3381</v>
      </c>
      <c r="F2685" s="501" t="s">
        <v>579</v>
      </c>
      <c r="G2685" s="501" t="s">
        <v>580</v>
      </c>
      <c r="H2685" s="501" t="s">
        <v>5487</v>
      </c>
      <c r="I2685" s="501">
        <v>22</v>
      </c>
      <c r="J2685" s="501">
        <v>18</v>
      </c>
      <c r="K2685" s="501">
        <v>0</v>
      </c>
      <c r="L2685" s="501">
        <v>0</v>
      </c>
      <c r="M2685" s="501">
        <v>0</v>
      </c>
      <c r="N2685" s="501">
        <v>0</v>
      </c>
      <c r="O2685" s="506">
        <v>4</v>
      </c>
    </row>
    <row r="2686" spans="1:15" x14ac:dyDescent="0.35">
      <c r="A2686" s="503" t="s">
        <v>1138</v>
      </c>
      <c r="B2686" s="504" t="s">
        <v>2998</v>
      </c>
      <c r="C2686" s="504" t="s">
        <v>1094</v>
      </c>
      <c r="D2686" s="504" t="s">
        <v>3380</v>
      </c>
      <c r="E2686" s="504" t="s">
        <v>3381</v>
      </c>
      <c r="F2686" s="504" t="s">
        <v>579</v>
      </c>
      <c r="G2686" s="504" t="s">
        <v>580</v>
      </c>
      <c r="H2686" s="504" t="s">
        <v>5488</v>
      </c>
      <c r="I2686" s="504">
        <v>352</v>
      </c>
      <c r="J2686" s="504">
        <v>186</v>
      </c>
      <c r="K2686" s="504">
        <v>0</v>
      </c>
      <c r="L2686" s="504">
        <v>8</v>
      </c>
      <c r="M2686" s="504">
        <v>0</v>
      </c>
      <c r="N2686" s="504">
        <v>0</v>
      </c>
      <c r="O2686" s="505">
        <v>158</v>
      </c>
    </row>
    <row r="2687" spans="1:15" x14ac:dyDescent="0.35">
      <c r="A2687" s="500" t="s">
        <v>1930</v>
      </c>
      <c r="B2687" s="501" t="s">
        <v>3313</v>
      </c>
      <c r="C2687" s="501" t="s">
        <v>1089</v>
      </c>
      <c r="D2687" s="501" t="s">
        <v>3392</v>
      </c>
      <c r="E2687" s="501" t="s">
        <v>3381</v>
      </c>
      <c r="F2687" s="501" t="s">
        <v>579</v>
      </c>
      <c r="G2687" s="501" t="s">
        <v>580</v>
      </c>
      <c r="H2687" s="501" t="s">
        <v>12243</v>
      </c>
      <c r="I2687" s="501">
        <v>7</v>
      </c>
      <c r="J2687" s="501">
        <v>0</v>
      </c>
      <c r="K2687" s="501">
        <v>0</v>
      </c>
      <c r="L2687" s="501">
        <v>7</v>
      </c>
      <c r="M2687" s="501">
        <v>0</v>
      </c>
      <c r="N2687" s="501">
        <v>0</v>
      </c>
      <c r="O2687" s="506">
        <v>0</v>
      </c>
    </row>
    <row r="2688" spans="1:15" x14ac:dyDescent="0.35">
      <c r="A2688" s="503" t="s">
        <v>1140</v>
      </c>
      <c r="B2688" s="504">
        <v>4850</v>
      </c>
      <c r="C2688" s="504" t="s">
        <v>1094</v>
      </c>
      <c r="D2688" s="504" t="s">
        <v>3380</v>
      </c>
      <c r="E2688" s="504" t="s">
        <v>3381</v>
      </c>
      <c r="F2688" s="504" t="s">
        <v>579</v>
      </c>
      <c r="G2688" s="504" t="s">
        <v>580</v>
      </c>
      <c r="H2688" s="504" t="s">
        <v>5489</v>
      </c>
      <c r="I2688" s="504">
        <v>277</v>
      </c>
      <c r="J2688" s="504">
        <v>175</v>
      </c>
      <c r="K2688" s="504">
        <v>0</v>
      </c>
      <c r="L2688" s="504">
        <v>0</v>
      </c>
      <c r="M2688" s="504">
        <v>0</v>
      </c>
      <c r="N2688" s="504">
        <v>0</v>
      </c>
      <c r="O2688" s="505">
        <v>102</v>
      </c>
    </row>
    <row r="2689" spans="1:15" x14ac:dyDescent="0.35">
      <c r="A2689" s="500" t="s">
        <v>1273</v>
      </c>
      <c r="B2689" s="501" t="s">
        <v>3197</v>
      </c>
      <c r="C2689" s="501" t="s">
        <v>1094</v>
      </c>
      <c r="D2689" s="501" t="s">
        <v>3380</v>
      </c>
      <c r="E2689" s="501" t="s">
        <v>3381</v>
      </c>
      <c r="F2689" s="501" t="s">
        <v>581</v>
      </c>
      <c r="G2689" s="501" t="s">
        <v>582</v>
      </c>
      <c r="H2689" s="501" t="s">
        <v>5490</v>
      </c>
      <c r="I2689" s="501">
        <v>154</v>
      </c>
      <c r="J2689" s="501">
        <v>104</v>
      </c>
      <c r="K2689" s="501">
        <v>0</v>
      </c>
      <c r="L2689" s="501">
        <v>0</v>
      </c>
      <c r="M2689" s="501">
        <v>0</v>
      </c>
      <c r="N2689" s="501">
        <v>0</v>
      </c>
      <c r="O2689" s="506">
        <v>50</v>
      </c>
    </row>
    <row r="2690" spans="1:15" x14ac:dyDescent="0.35">
      <c r="A2690" s="503" t="s">
        <v>11363</v>
      </c>
      <c r="B2690" s="504">
        <v>4718</v>
      </c>
      <c r="C2690" s="504" t="s">
        <v>1094</v>
      </c>
      <c r="D2690" s="504" t="s">
        <v>3380</v>
      </c>
      <c r="E2690" s="504" t="s">
        <v>3381</v>
      </c>
      <c r="F2690" s="504" t="s">
        <v>581</v>
      </c>
      <c r="G2690" s="504" t="s">
        <v>582</v>
      </c>
      <c r="H2690" s="504" t="s">
        <v>11538</v>
      </c>
      <c r="I2690" s="504">
        <v>4</v>
      </c>
      <c r="J2690" s="504">
        <v>0</v>
      </c>
      <c r="K2690" s="504">
        <v>0</v>
      </c>
      <c r="L2690" s="504">
        <v>4</v>
      </c>
      <c r="M2690" s="504">
        <v>0</v>
      </c>
      <c r="N2690" s="504">
        <v>0</v>
      </c>
      <c r="O2690" s="505">
        <v>0</v>
      </c>
    </row>
    <row r="2691" spans="1:15" x14ac:dyDescent="0.35">
      <c r="A2691" s="500" t="s">
        <v>1280</v>
      </c>
      <c r="B2691" s="501" t="s">
        <v>3031</v>
      </c>
      <c r="C2691" s="501" t="s">
        <v>1089</v>
      </c>
      <c r="D2691" s="501" t="s">
        <v>3392</v>
      </c>
      <c r="E2691" s="501" t="s">
        <v>3381</v>
      </c>
      <c r="F2691" s="501" t="s">
        <v>581</v>
      </c>
      <c r="G2691" s="501" t="s">
        <v>582</v>
      </c>
      <c r="H2691" s="501" t="s">
        <v>5491</v>
      </c>
      <c r="I2691" s="501">
        <v>6</v>
      </c>
      <c r="J2691" s="501">
        <v>0</v>
      </c>
      <c r="K2691" s="501">
        <v>0</v>
      </c>
      <c r="L2691" s="501">
        <v>0</v>
      </c>
      <c r="M2691" s="501">
        <v>6</v>
      </c>
      <c r="N2691" s="501">
        <v>0</v>
      </c>
      <c r="O2691" s="506">
        <v>0</v>
      </c>
    </row>
    <row r="2692" spans="1:15" x14ac:dyDescent="0.35">
      <c r="A2692" s="503" t="s">
        <v>1161</v>
      </c>
      <c r="B2692" s="504" t="s">
        <v>3001</v>
      </c>
      <c r="C2692" s="504" t="s">
        <v>1094</v>
      </c>
      <c r="D2692" s="504" t="s">
        <v>3380</v>
      </c>
      <c r="E2692" s="504" t="s">
        <v>3381</v>
      </c>
      <c r="F2692" s="504" t="s">
        <v>581</v>
      </c>
      <c r="G2692" s="504" t="s">
        <v>582</v>
      </c>
      <c r="H2692" s="504" t="s">
        <v>5492</v>
      </c>
      <c r="I2692" s="504">
        <v>457</v>
      </c>
      <c r="J2692" s="504">
        <v>339</v>
      </c>
      <c r="K2692" s="504">
        <v>0</v>
      </c>
      <c r="L2692" s="504">
        <v>48</v>
      </c>
      <c r="M2692" s="504">
        <v>0</v>
      </c>
      <c r="N2692" s="504">
        <v>0</v>
      </c>
      <c r="O2692" s="505">
        <v>70</v>
      </c>
    </row>
    <row r="2693" spans="1:15" x14ac:dyDescent="0.35">
      <c r="A2693" s="500" t="s">
        <v>1100</v>
      </c>
      <c r="B2693" s="501">
        <v>4865</v>
      </c>
      <c r="C2693" s="501" t="s">
        <v>1094</v>
      </c>
      <c r="D2693" s="501" t="s">
        <v>3380</v>
      </c>
      <c r="E2693" s="501" t="s">
        <v>3381</v>
      </c>
      <c r="F2693" s="501" t="s">
        <v>581</v>
      </c>
      <c r="G2693" s="501" t="s">
        <v>582</v>
      </c>
      <c r="H2693" s="501" t="s">
        <v>5493</v>
      </c>
      <c r="I2693" s="501">
        <v>3261</v>
      </c>
      <c r="J2693" s="501">
        <v>2551</v>
      </c>
      <c r="K2693" s="501">
        <v>0</v>
      </c>
      <c r="L2693" s="501">
        <v>32</v>
      </c>
      <c r="M2693" s="501">
        <v>475</v>
      </c>
      <c r="N2693" s="501">
        <v>0</v>
      </c>
      <c r="O2693" s="506">
        <v>203</v>
      </c>
    </row>
    <row r="2694" spans="1:15" x14ac:dyDescent="0.35">
      <c r="A2694" s="503" t="s">
        <v>1175</v>
      </c>
      <c r="B2694" s="504" t="s">
        <v>3141</v>
      </c>
      <c r="C2694" s="504" t="s">
        <v>1094</v>
      </c>
      <c r="D2694" s="504" t="s">
        <v>3380</v>
      </c>
      <c r="E2694" s="504" t="s">
        <v>3381</v>
      </c>
      <c r="F2694" s="504" t="s">
        <v>581</v>
      </c>
      <c r="G2694" s="504" t="s">
        <v>582</v>
      </c>
      <c r="H2694" s="504" t="s">
        <v>5494</v>
      </c>
      <c r="I2694" s="504">
        <v>7</v>
      </c>
      <c r="J2694" s="504">
        <v>5</v>
      </c>
      <c r="K2694" s="504">
        <v>0</v>
      </c>
      <c r="L2694" s="504">
        <v>0</v>
      </c>
      <c r="M2694" s="504">
        <v>0</v>
      </c>
      <c r="N2694" s="504">
        <v>0</v>
      </c>
      <c r="O2694" s="505">
        <v>2</v>
      </c>
    </row>
    <row r="2695" spans="1:15" x14ac:dyDescent="0.35">
      <c r="A2695" s="500" t="s">
        <v>1295</v>
      </c>
      <c r="B2695" s="501">
        <v>5090</v>
      </c>
      <c r="C2695" s="501" t="s">
        <v>1094</v>
      </c>
      <c r="D2695" s="501" t="s">
        <v>3380</v>
      </c>
      <c r="E2695" s="501" t="s">
        <v>3381</v>
      </c>
      <c r="F2695" s="501" t="s">
        <v>581</v>
      </c>
      <c r="G2695" s="501" t="s">
        <v>582</v>
      </c>
      <c r="H2695" s="501" t="s">
        <v>5495</v>
      </c>
      <c r="I2695" s="501">
        <v>19</v>
      </c>
      <c r="J2695" s="501">
        <v>19</v>
      </c>
      <c r="K2695" s="501">
        <v>0</v>
      </c>
      <c r="L2695" s="501">
        <v>0</v>
      </c>
      <c r="M2695" s="501">
        <v>0</v>
      </c>
      <c r="N2695" s="501">
        <v>0</v>
      </c>
      <c r="O2695" s="506">
        <v>0</v>
      </c>
    </row>
    <row r="2696" spans="1:15" x14ac:dyDescent="0.35">
      <c r="A2696" s="503" t="s">
        <v>1177</v>
      </c>
      <c r="B2696" s="504">
        <v>4702</v>
      </c>
      <c r="C2696" s="504" t="s">
        <v>1089</v>
      </c>
      <c r="D2696" s="504" t="s">
        <v>3392</v>
      </c>
      <c r="E2696" s="504" t="s">
        <v>3381</v>
      </c>
      <c r="F2696" s="504" t="s">
        <v>581</v>
      </c>
      <c r="G2696" s="504" t="s">
        <v>582</v>
      </c>
      <c r="H2696" s="504" t="s">
        <v>5496</v>
      </c>
      <c r="I2696" s="504">
        <v>1</v>
      </c>
      <c r="J2696" s="504">
        <v>0</v>
      </c>
      <c r="K2696" s="504">
        <v>0</v>
      </c>
      <c r="L2696" s="504">
        <v>1</v>
      </c>
      <c r="M2696" s="504">
        <v>0</v>
      </c>
      <c r="N2696" s="504">
        <v>0</v>
      </c>
      <c r="O2696" s="505">
        <v>0</v>
      </c>
    </row>
    <row r="2697" spans="1:15" x14ac:dyDescent="0.35">
      <c r="A2697" s="500" t="s">
        <v>1187</v>
      </c>
      <c r="B2697" s="501" t="s">
        <v>2951</v>
      </c>
      <c r="C2697" s="501" t="s">
        <v>1094</v>
      </c>
      <c r="D2697" s="501" t="s">
        <v>3380</v>
      </c>
      <c r="E2697" s="501" t="s">
        <v>3381</v>
      </c>
      <c r="F2697" s="501" t="s">
        <v>581</v>
      </c>
      <c r="G2697" s="501" t="s">
        <v>582</v>
      </c>
      <c r="H2697" s="501" t="s">
        <v>5497</v>
      </c>
      <c r="I2697" s="501">
        <v>26</v>
      </c>
      <c r="J2697" s="501">
        <v>24</v>
      </c>
      <c r="K2697" s="501">
        <v>0</v>
      </c>
      <c r="L2697" s="501">
        <v>0</v>
      </c>
      <c r="M2697" s="501">
        <v>0</v>
      </c>
      <c r="N2697" s="501">
        <v>0</v>
      </c>
      <c r="O2697" s="506">
        <v>2</v>
      </c>
    </row>
    <row r="2698" spans="1:15" x14ac:dyDescent="0.35">
      <c r="A2698" s="503" t="s">
        <v>1302</v>
      </c>
      <c r="B2698" s="504" t="s">
        <v>3094</v>
      </c>
      <c r="C2698" s="504" t="s">
        <v>1094</v>
      </c>
      <c r="D2698" s="504" t="s">
        <v>3380</v>
      </c>
      <c r="E2698" s="504" t="s">
        <v>3381</v>
      </c>
      <c r="F2698" s="504" t="s">
        <v>581</v>
      </c>
      <c r="G2698" s="504" t="s">
        <v>582</v>
      </c>
      <c r="H2698" s="504" t="s">
        <v>5498</v>
      </c>
      <c r="I2698" s="504">
        <v>319</v>
      </c>
      <c r="J2698" s="504">
        <v>233</v>
      </c>
      <c r="K2698" s="504">
        <v>0</v>
      </c>
      <c r="L2698" s="504">
        <v>0</v>
      </c>
      <c r="M2698" s="504">
        <v>0</v>
      </c>
      <c r="N2698" s="504">
        <v>0</v>
      </c>
      <c r="O2698" s="505">
        <v>86</v>
      </c>
    </row>
    <row r="2699" spans="1:15" x14ac:dyDescent="0.35">
      <c r="A2699" s="500" t="s">
        <v>1107</v>
      </c>
      <c r="B2699" s="501" t="s">
        <v>3109</v>
      </c>
      <c r="C2699" s="501" t="s">
        <v>1094</v>
      </c>
      <c r="D2699" s="501" t="s">
        <v>3380</v>
      </c>
      <c r="E2699" s="501" t="s">
        <v>3381</v>
      </c>
      <c r="F2699" s="501" t="s">
        <v>581</v>
      </c>
      <c r="G2699" s="501" t="s">
        <v>582</v>
      </c>
      <c r="H2699" s="501" t="s">
        <v>5499</v>
      </c>
      <c r="I2699" s="501">
        <v>147</v>
      </c>
      <c r="J2699" s="501">
        <v>107</v>
      </c>
      <c r="K2699" s="501">
        <v>0</v>
      </c>
      <c r="L2699" s="501">
        <v>6</v>
      </c>
      <c r="M2699" s="501">
        <v>0</v>
      </c>
      <c r="N2699" s="501">
        <v>0</v>
      </c>
      <c r="O2699" s="506">
        <v>34</v>
      </c>
    </row>
    <row r="2700" spans="1:15" x14ac:dyDescent="0.35">
      <c r="A2700" s="503" t="s">
        <v>1109</v>
      </c>
      <c r="B2700" s="504" t="s">
        <v>2959</v>
      </c>
      <c r="C2700" s="504" t="s">
        <v>1094</v>
      </c>
      <c r="D2700" s="504" t="s">
        <v>3380</v>
      </c>
      <c r="E2700" s="504" t="s">
        <v>3381</v>
      </c>
      <c r="F2700" s="504" t="s">
        <v>581</v>
      </c>
      <c r="G2700" s="504" t="s">
        <v>582</v>
      </c>
      <c r="H2700" s="504" t="s">
        <v>5500</v>
      </c>
      <c r="I2700" s="504">
        <v>55</v>
      </c>
      <c r="J2700" s="504">
        <v>0</v>
      </c>
      <c r="K2700" s="504">
        <v>0</v>
      </c>
      <c r="L2700" s="504">
        <v>0</v>
      </c>
      <c r="M2700" s="504">
        <v>55</v>
      </c>
      <c r="N2700" s="504">
        <v>0</v>
      </c>
      <c r="O2700" s="505">
        <v>0</v>
      </c>
    </row>
    <row r="2701" spans="1:15" x14ac:dyDescent="0.35">
      <c r="A2701" s="500" t="s">
        <v>1190</v>
      </c>
      <c r="B2701" s="501">
        <v>4662</v>
      </c>
      <c r="C2701" s="501" t="s">
        <v>1094</v>
      </c>
      <c r="D2701" s="501" t="s">
        <v>3380</v>
      </c>
      <c r="E2701" s="501" t="s">
        <v>3381</v>
      </c>
      <c r="F2701" s="501" t="s">
        <v>581</v>
      </c>
      <c r="G2701" s="501" t="s">
        <v>582</v>
      </c>
      <c r="H2701" s="501" t="s">
        <v>14660</v>
      </c>
      <c r="I2701" s="501">
        <v>9</v>
      </c>
      <c r="J2701" s="501">
        <v>0</v>
      </c>
      <c r="K2701" s="501">
        <v>0</v>
      </c>
      <c r="L2701" s="501">
        <v>9</v>
      </c>
      <c r="M2701" s="501">
        <v>0</v>
      </c>
      <c r="N2701" s="501">
        <v>0</v>
      </c>
      <c r="O2701" s="506">
        <v>0</v>
      </c>
    </row>
    <row r="2702" spans="1:15" x14ac:dyDescent="0.35">
      <c r="A2702" s="503" t="s">
        <v>14243</v>
      </c>
      <c r="B2702" s="504">
        <v>5149</v>
      </c>
      <c r="C2702" s="504" t="s">
        <v>1089</v>
      </c>
      <c r="D2702" s="504" t="s">
        <v>3392</v>
      </c>
      <c r="E2702" s="504" t="s">
        <v>3381</v>
      </c>
      <c r="F2702" s="504" t="s">
        <v>581</v>
      </c>
      <c r="G2702" s="504" t="s">
        <v>582</v>
      </c>
      <c r="H2702" s="504" t="s">
        <v>14661</v>
      </c>
      <c r="I2702" s="504">
        <v>24</v>
      </c>
      <c r="J2702" s="504">
        <v>24</v>
      </c>
      <c r="K2702" s="504">
        <v>0</v>
      </c>
      <c r="L2702" s="504">
        <v>0</v>
      </c>
      <c r="M2702" s="504">
        <v>0</v>
      </c>
      <c r="N2702" s="504">
        <v>0</v>
      </c>
      <c r="O2702" s="505">
        <v>0</v>
      </c>
    </row>
    <row r="2703" spans="1:15" x14ac:dyDescent="0.35">
      <c r="A2703" s="500" t="s">
        <v>1310</v>
      </c>
      <c r="B2703" s="501">
        <v>5062</v>
      </c>
      <c r="C2703" s="501" t="s">
        <v>1089</v>
      </c>
      <c r="D2703" s="501" t="s">
        <v>3380</v>
      </c>
      <c r="E2703" s="501" t="s">
        <v>3381</v>
      </c>
      <c r="F2703" s="501" t="s">
        <v>581</v>
      </c>
      <c r="G2703" s="501" t="s">
        <v>582</v>
      </c>
      <c r="H2703" s="501" t="s">
        <v>5501</v>
      </c>
      <c r="I2703" s="501">
        <v>30</v>
      </c>
      <c r="J2703" s="501">
        <v>2</v>
      </c>
      <c r="K2703" s="501">
        <v>0</v>
      </c>
      <c r="L2703" s="501">
        <v>0</v>
      </c>
      <c r="M2703" s="501">
        <v>0</v>
      </c>
      <c r="N2703" s="501">
        <v>0</v>
      </c>
      <c r="O2703" s="506">
        <v>28</v>
      </c>
    </row>
    <row r="2704" spans="1:15" x14ac:dyDescent="0.35">
      <c r="A2704" s="503" t="s">
        <v>1202</v>
      </c>
      <c r="B2704" s="504" t="s">
        <v>3217</v>
      </c>
      <c r="C2704" s="504" t="s">
        <v>1094</v>
      </c>
      <c r="D2704" s="504" t="s">
        <v>3380</v>
      </c>
      <c r="E2704" s="504" t="s">
        <v>3381</v>
      </c>
      <c r="F2704" s="504" t="s">
        <v>581</v>
      </c>
      <c r="G2704" s="504" t="s">
        <v>582</v>
      </c>
      <c r="H2704" s="504" t="s">
        <v>5502</v>
      </c>
      <c r="I2704" s="504">
        <v>5</v>
      </c>
      <c r="J2704" s="504">
        <v>0</v>
      </c>
      <c r="K2704" s="504">
        <v>0</v>
      </c>
      <c r="L2704" s="504">
        <v>0</v>
      </c>
      <c r="M2704" s="504">
        <v>0</v>
      </c>
      <c r="N2704" s="504">
        <v>0</v>
      </c>
      <c r="O2704" s="505">
        <v>5</v>
      </c>
    </row>
    <row r="2705" spans="1:15" x14ac:dyDescent="0.35">
      <c r="A2705" s="500" t="s">
        <v>1112</v>
      </c>
      <c r="B2705" s="501" t="s">
        <v>3008</v>
      </c>
      <c r="C2705" s="501" t="s">
        <v>1094</v>
      </c>
      <c r="D2705" s="501" t="s">
        <v>3380</v>
      </c>
      <c r="E2705" s="501" t="s">
        <v>3381</v>
      </c>
      <c r="F2705" s="501" t="s">
        <v>581</v>
      </c>
      <c r="G2705" s="501" t="s">
        <v>582</v>
      </c>
      <c r="H2705" s="501" t="s">
        <v>5503</v>
      </c>
      <c r="I2705" s="501">
        <v>198</v>
      </c>
      <c r="J2705" s="501">
        <v>59</v>
      </c>
      <c r="K2705" s="501">
        <v>0</v>
      </c>
      <c r="L2705" s="501">
        <v>3</v>
      </c>
      <c r="M2705" s="501">
        <v>24</v>
      </c>
      <c r="N2705" s="501">
        <v>0</v>
      </c>
      <c r="O2705" s="506">
        <v>112</v>
      </c>
    </row>
    <row r="2706" spans="1:15" x14ac:dyDescent="0.35">
      <c r="A2706" s="503" t="s">
        <v>1315</v>
      </c>
      <c r="B2706" s="504">
        <v>4825</v>
      </c>
      <c r="C2706" s="504" t="s">
        <v>1094</v>
      </c>
      <c r="D2706" s="504" t="s">
        <v>3380</v>
      </c>
      <c r="E2706" s="504" t="s">
        <v>3381</v>
      </c>
      <c r="F2706" s="504" t="s">
        <v>581</v>
      </c>
      <c r="G2706" s="504" t="s">
        <v>582</v>
      </c>
      <c r="H2706" s="504" t="s">
        <v>5504</v>
      </c>
      <c r="I2706" s="504">
        <v>3868</v>
      </c>
      <c r="J2706" s="504">
        <v>3232</v>
      </c>
      <c r="K2706" s="504">
        <v>0</v>
      </c>
      <c r="L2706" s="504">
        <v>3</v>
      </c>
      <c r="M2706" s="504">
        <v>427</v>
      </c>
      <c r="N2706" s="504">
        <v>129</v>
      </c>
      <c r="O2706" s="505">
        <v>206</v>
      </c>
    </row>
    <row r="2707" spans="1:15" x14ac:dyDescent="0.35">
      <c r="A2707" s="500" t="s">
        <v>1319</v>
      </c>
      <c r="B2707" s="501">
        <v>4880</v>
      </c>
      <c r="C2707" s="501" t="s">
        <v>1094</v>
      </c>
      <c r="D2707" s="501" t="s">
        <v>3380</v>
      </c>
      <c r="E2707" s="501" t="s">
        <v>3381</v>
      </c>
      <c r="F2707" s="501" t="s">
        <v>581</v>
      </c>
      <c r="G2707" s="501" t="s">
        <v>582</v>
      </c>
      <c r="H2707" s="501" t="s">
        <v>5505</v>
      </c>
      <c r="I2707" s="501">
        <v>117</v>
      </c>
      <c r="J2707" s="501">
        <v>8</v>
      </c>
      <c r="K2707" s="501">
        <v>0</v>
      </c>
      <c r="L2707" s="501">
        <v>24</v>
      </c>
      <c r="M2707" s="501">
        <v>27</v>
      </c>
      <c r="N2707" s="501">
        <v>8</v>
      </c>
      <c r="O2707" s="506">
        <v>58</v>
      </c>
    </row>
    <row r="2708" spans="1:15" x14ac:dyDescent="0.35">
      <c r="A2708" s="503" t="s">
        <v>1120</v>
      </c>
      <c r="B2708" s="504" t="s">
        <v>3362</v>
      </c>
      <c r="C2708" s="504" t="s">
        <v>1094</v>
      </c>
      <c r="D2708" s="504" t="s">
        <v>3380</v>
      </c>
      <c r="E2708" s="504" t="s">
        <v>3381</v>
      </c>
      <c r="F2708" s="504" t="s">
        <v>581</v>
      </c>
      <c r="G2708" s="504" t="s">
        <v>582</v>
      </c>
      <c r="H2708" s="504" t="s">
        <v>5506</v>
      </c>
      <c r="I2708" s="504">
        <v>16</v>
      </c>
      <c r="J2708" s="504">
        <v>0</v>
      </c>
      <c r="K2708" s="504">
        <v>0</v>
      </c>
      <c r="L2708" s="504">
        <v>0</v>
      </c>
      <c r="M2708" s="504">
        <v>0</v>
      </c>
      <c r="N2708" s="504">
        <v>0</v>
      </c>
      <c r="O2708" s="505">
        <v>16</v>
      </c>
    </row>
    <row r="2709" spans="1:15" x14ac:dyDescent="0.35">
      <c r="A2709" s="500" t="s">
        <v>1323</v>
      </c>
      <c r="B2709" s="501" t="s">
        <v>2946</v>
      </c>
      <c r="C2709" s="501" t="s">
        <v>1089</v>
      </c>
      <c r="D2709" s="501" t="s">
        <v>3392</v>
      </c>
      <c r="E2709" s="501" t="s">
        <v>3381</v>
      </c>
      <c r="F2709" s="501" t="s">
        <v>581</v>
      </c>
      <c r="G2709" s="501" t="s">
        <v>582</v>
      </c>
      <c r="H2709" s="501" t="s">
        <v>5507</v>
      </c>
      <c r="I2709" s="501">
        <v>29</v>
      </c>
      <c r="J2709" s="501">
        <v>0</v>
      </c>
      <c r="K2709" s="501">
        <v>0</v>
      </c>
      <c r="L2709" s="501">
        <v>29</v>
      </c>
      <c r="M2709" s="501">
        <v>0</v>
      </c>
      <c r="N2709" s="501">
        <v>0</v>
      </c>
      <c r="O2709" s="506">
        <v>0</v>
      </c>
    </row>
    <row r="2710" spans="1:15" x14ac:dyDescent="0.35">
      <c r="A2710" s="503" t="s">
        <v>1218</v>
      </c>
      <c r="B2710" s="504" t="s">
        <v>3147</v>
      </c>
      <c r="C2710" s="504" t="s">
        <v>1094</v>
      </c>
      <c r="D2710" s="504" t="s">
        <v>3380</v>
      </c>
      <c r="E2710" s="504" t="s">
        <v>3381</v>
      </c>
      <c r="F2710" s="504" t="s">
        <v>581</v>
      </c>
      <c r="G2710" s="504" t="s">
        <v>582</v>
      </c>
      <c r="H2710" s="504" t="s">
        <v>5508</v>
      </c>
      <c r="I2710" s="504">
        <v>2</v>
      </c>
      <c r="J2710" s="504">
        <v>0</v>
      </c>
      <c r="K2710" s="504">
        <v>0</v>
      </c>
      <c r="L2710" s="504">
        <v>0</v>
      </c>
      <c r="M2710" s="504">
        <v>0</v>
      </c>
      <c r="N2710" s="504">
        <v>0</v>
      </c>
      <c r="O2710" s="505">
        <v>2</v>
      </c>
    </row>
    <row r="2711" spans="1:15" x14ac:dyDescent="0.35">
      <c r="A2711" s="500" t="s">
        <v>11367</v>
      </c>
      <c r="B2711" s="501" t="s">
        <v>3143</v>
      </c>
      <c r="C2711" s="501" t="s">
        <v>1094</v>
      </c>
      <c r="D2711" s="501" t="s">
        <v>3380</v>
      </c>
      <c r="E2711" s="501" t="s">
        <v>3381</v>
      </c>
      <c r="F2711" s="501" t="s">
        <v>581</v>
      </c>
      <c r="G2711" s="501" t="s">
        <v>582</v>
      </c>
      <c r="H2711" s="501" t="s">
        <v>11917</v>
      </c>
      <c r="I2711" s="501">
        <v>174</v>
      </c>
      <c r="J2711" s="501">
        <v>174</v>
      </c>
      <c r="K2711" s="501">
        <v>0</v>
      </c>
      <c r="L2711" s="501">
        <v>0</v>
      </c>
      <c r="M2711" s="501">
        <v>0</v>
      </c>
      <c r="N2711" s="501">
        <v>0</v>
      </c>
      <c r="O2711" s="506">
        <v>0</v>
      </c>
    </row>
    <row r="2712" spans="1:15" x14ac:dyDescent="0.35">
      <c r="A2712" s="503" t="s">
        <v>1325</v>
      </c>
      <c r="B2712" s="504" t="s">
        <v>3011</v>
      </c>
      <c r="C2712" s="504" t="s">
        <v>1094</v>
      </c>
      <c r="D2712" s="504" t="s">
        <v>3380</v>
      </c>
      <c r="E2712" s="504" t="s">
        <v>3381</v>
      </c>
      <c r="F2712" s="504" t="s">
        <v>581</v>
      </c>
      <c r="G2712" s="504" t="s">
        <v>582</v>
      </c>
      <c r="H2712" s="504" t="s">
        <v>5509</v>
      </c>
      <c r="I2712" s="504">
        <v>20</v>
      </c>
      <c r="J2712" s="504">
        <v>11</v>
      </c>
      <c r="K2712" s="504">
        <v>0</v>
      </c>
      <c r="L2712" s="504">
        <v>0</v>
      </c>
      <c r="M2712" s="504">
        <v>0</v>
      </c>
      <c r="N2712" s="504">
        <v>0</v>
      </c>
      <c r="O2712" s="505">
        <v>9</v>
      </c>
    </row>
    <row r="2713" spans="1:15" x14ac:dyDescent="0.35">
      <c r="A2713" s="500" t="s">
        <v>1327</v>
      </c>
      <c r="B2713" s="501" t="s">
        <v>3330</v>
      </c>
      <c r="C2713" s="501" t="s">
        <v>1094</v>
      </c>
      <c r="D2713" s="501" t="s">
        <v>3380</v>
      </c>
      <c r="E2713" s="501" t="s">
        <v>3381</v>
      </c>
      <c r="F2713" s="501" t="s">
        <v>581</v>
      </c>
      <c r="G2713" s="501" t="s">
        <v>582</v>
      </c>
      <c r="H2713" s="501" t="s">
        <v>5510</v>
      </c>
      <c r="I2713" s="501">
        <v>269</v>
      </c>
      <c r="J2713" s="501">
        <v>187</v>
      </c>
      <c r="K2713" s="501">
        <v>0</v>
      </c>
      <c r="L2713" s="501">
        <v>10</v>
      </c>
      <c r="M2713" s="501">
        <v>0</v>
      </c>
      <c r="N2713" s="501">
        <v>0</v>
      </c>
      <c r="O2713" s="506">
        <v>72</v>
      </c>
    </row>
    <row r="2714" spans="1:15" x14ac:dyDescent="0.35">
      <c r="A2714" s="503" t="s">
        <v>1122</v>
      </c>
      <c r="B2714" s="504" t="s">
        <v>2994</v>
      </c>
      <c r="C2714" s="504" t="s">
        <v>1094</v>
      </c>
      <c r="D2714" s="504" t="s">
        <v>3380</v>
      </c>
      <c r="E2714" s="504" t="s">
        <v>3381</v>
      </c>
      <c r="F2714" s="504" t="s">
        <v>581</v>
      </c>
      <c r="G2714" s="504" t="s">
        <v>582</v>
      </c>
      <c r="H2714" s="504" t="s">
        <v>5511</v>
      </c>
      <c r="I2714" s="504">
        <v>23</v>
      </c>
      <c r="J2714" s="504">
        <v>23</v>
      </c>
      <c r="K2714" s="504">
        <v>0</v>
      </c>
      <c r="L2714" s="504">
        <v>0</v>
      </c>
      <c r="M2714" s="504">
        <v>0</v>
      </c>
      <c r="N2714" s="504">
        <v>0</v>
      </c>
      <c r="O2714" s="505">
        <v>0</v>
      </c>
    </row>
    <row r="2715" spans="1:15" x14ac:dyDescent="0.35">
      <c r="A2715" s="500" t="s">
        <v>1233</v>
      </c>
      <c r="B2715" s="501">
        <v>4636</v>
      </c>
      <c r="C2715" s="501" t="s">
        <v>1094</v>
      </c>
      <c r="D2715" s="501" t="s">
        <v>3380</v>
      </c>
      <c r="E2715" s="501" t="s">
        <v>3381</v>
      </c>
      <c r="F2715" s="501" t="s">
        <v>581</v>
      </c>
      <c r="G2715" s="501" t="s">
        <v>582</v>
      </c>
      <c r="H2715" s="501" t="s">
        <v>5512</v>
      </c>
      <c r="I2715" s="501">
        <v>66</v>
      </c>
      <c r="J2715" s="501">
        <v>31</v>
      </c>
      <c r="K2715" s="501">
        <v>0</v>
      </c>
      <c r="L2715" s="501">
        <v>0</v>
      </c>
      <c r="M2715" s="501">
        <v>0</v>
      </c>
      <c r="N2715" s="501">
        <v>0</v>
      </c>
      <c r="O2715" s="506">
        <v>35</v>
      </c>
    </row>
    <row r="2716" spans="1:15" x14ac:dyDescent="0.35">
      <c r="A2716" s="503" t="s">
        <v>11368</v>
      </c>
      <c r="B2716" s="504">
        <v>5083</v>
      </c>
      <c r="C2716" s="504" t="s">
        <v>1094</v>
      </c>
      <c r="D2716" s="504" t="s">
        <v>3380</v>
      </c>
      <c r="E2716" s="504" t="s">
        <v>3381</v>
      </c>
      <c r="F2716" s="504" t="s">
        <v>581</v>
      </c>
      <c r="G2716" s="504" t="s">
        <v>582</v>
      </c>
      <c r="H2716" s="504" t="s">
        <v>12048</v>
      </c>
      <c r="I2716" s="504">
        <v>74</v>
      </c>
      <c r="J2716" s="504">
        <v>74</v>
      </c>
      <c r="K2716" s="504">
        <v>0</v>
      </c>
      <c r="L2716" s="504">
        <v>0</v>
      </c>
      <c r="M2716" s="504">
        <v>0</v>
      </c>
      <c r="N2716" s="504">
        <v>0</v>
      </c>
      <c r="O2716" s="505">
        <v>0</v>
      </c>
    </row>
    <row r="2717" spans="1:15" x14ac:dyDescent="0.35">
      <c r="A2717" s="500" t="s">
        <v>1126</v>
      </c>
      <c r="B2717" s="501" t="s">
        <v>2974</v>
      </c>
      <c r="C2717" s="501" t="s">
        <v>1094</v>
      </c>
      <c r="D2717" s="501" t="s">
        <v>3380</v>
      </c>
      <c r="E2717" s="501" t="s">
        <v>3381</v>
      </c>
      <c r="F2717" s="501" t="s">
        <v>581</v>
      </c>
      <c r="G2717" s="501" t="s">
        <v>582</v>
      </c>
      <c r="H2717" s="501" t="s">
        <v>5513</v>
      </c>
      <c r="I2717" s="501">
        <v>126</v>
      </c>
      <c r="J2717" s="501">
        <v>71</v>
      </c>
      <c r="K2717" s="501">
        <v>0</v>
      </c>
      <c r="L2717" s="501">
        <v>0</v>
      </c>
      <c r="M2717" s="501">
        <v>41</v>
      </c>
      <c r="N2717" s="501">
        <v>0</v>
      </c>
      <c r="O2717" s="506">
        <v>14</v>
      </c>
    </row>
    <row r="2718" spans="1:15" x14ac:dyDescent="0.35">
      <c r="A2718" s="503" t="s">
        <v>1341</v>
      </c>
      <c r="B2718" s="504" t="s">
        <v>3183</v>
      </c>
      <c r="C2718" s="504" t="s">
        <v>1094</v>
      </c>
      <c r="D2718" s="504" t="s">
        <v>3380</v>
      </c>
      <c r="E2718" s="504" t="s">
        <v>3381</v>
      </c>
      <c r="F2718" s="504" t="s">
        <v>581</v>
      </c>
      <c r="G2718" s="504" t="s">
        <v>582</v>
      </c>
      <c r="H2718" s="504" t="s">
        <v>12112</v>
      </c>
      <c r="I2718" s="504">
        <v>11</v>
      </c>
      <c r="J2718" s="504">
        <v>2</v>
      </c>
      <c r="K2718" s="504">
        <v>0</v>
      </c>
      <c r="L2718" s="504">
        <v>0</v>
      </c>
      <c r="M2718" s="504">
        <v>0</v>
      </c>
      <c r="N2718" s="504">
        <v>0</v>
      </c>
      <c r="O2718" s="505">
        <v>9</v>
      </c>
    </row>
    <row r="2719" spans="1:15" x14ac:dyDescent="0.35">
      <c r="A2719" s="500" t="s">
        <v>1364</v>
      </c>
      <c r="B2719" s="501" t="s">
        <v>3277</v>
      </c>
      <c r="C2719" s="501" t="s">
        <v>1089</v>
      </c>
      <c r="D2719" s="501" t="s">
        <v>3392</v>
      </c>
      <c r="E2719" s="501" t="s">
        <v>3381</v>
      </c>
      <c r="F2719" s="501" t="s">
        <v>581</v>
      </c>
      <c r="G2719" s="501" t="s">
        <v>582</v>
      </c>
      <c r="H2719" s="501" t="s">
        <v>5514</v>
      </c>
      <c r="I2719" s="501">
        <v>6</v>
      </c>
      <c r="J2719" s="501">
        <v>0</v>
      </c>
      <c r="K2719" s="501">
        <v>0</v>
      </c>
      <c r="L2719" s="501">
        <v>6</v>
      </c>
      <c r="M2719" s="501">
        <v>0</v>
      </c>
      <c r="N2719" s="501">
        <v>1</v>
      </c>
      <c r="O2719" s="506">
        <v>0</v>
      </c>
    </row>
    <row r="2720" spans="1:15" x14ac:dyDescent="0.35">
      <c r="A2720" s="503" t="s">
        <v>1369</v>
      </c>
      <c r="B2720" s="504" t="s">
        <v>3218</v>
      </c>
      <c r="C2720" s="504" t="s">
        <v>1094</v>
      </c>
      <c r="D2720" s="504" t="s">
        <v>3380</v>
      </c>
      <c r="E2720" s="504" t="s">
        <v>3381</v>
      </c>
      <c r="F2720" s="504" t="s">
        <v>581</v>
      </c>
      <c r="G2720" s="504" t="s">
        <v>582</v>
      </c>
      <c r="H2720" s="504" t="s">
        <v>5515</v>
      </c>
      <c r="I2720" s="504">
        <v>2</v>
      </c>
      <c r="J2720" s="504">
        <v>1</v>
      </c>
      <c r="K2720" s="504">
        <v>0</v>
      </c>
      <c r="L2720" s="504">
        <v>0</v>
      </c>
      <c r="M2720" s="504">
        <v>0</v>
      </c>
      <c r="N2720" s="504">
        <v>0</v>
      </c>
      <c r="O2720" s="505">
        <v>1</v>
      </c>
    </row>
    <row r="2721" spans="1:15" x14ac:dyDescent="0.35">
      <c r="A2721" s="500" t="s">
        <v>1145</v>
      </c>
      <c r="B2721" s="501" t="s">
        <v>3164</v>
      </c>
      <c r="C2721" s="501" t="s">
        <v>1094</v>
      </c>
      <c r="D2721" s="501" t="s">
        <v>3380</v>
      </c>
      <c r="E2721" s="501" t="s">
        <v>3381</v>
      </c>
      <c r="F2721" s="501" t="s">
        <v>583</v>
      </c>
      <c r="G2721" s="501" t="s">
        <v>584</v>
      </c>
      <c r="H2721" s="501" t="s">
        <v>5516</v>
      </c>
      <c r="I2721" s="501">
        <v>47</v>
      </c>
      <c r="J2721" s="501">
        <v>25</v>
      </c>
      <c r="K2721" s="501">
        <v>0</v>
      </c>
      <c r="L2721" s="501">
        <v>0</v>
      </c>
      <c r="M2721" s="501">
        <v>0</v>
      </c>
      <c r="N2721" s="501">
        <v>0</v>
      </c>
      <c r="O2721" s="506">
        <v>22</v>
      </c>
    </row>
    <row r="2722" spans="1:15" x14ac:dyDescent="0.35">
      <c r="A2722" s="503" t="s">
        <v>1093</v>
      </c>
      <c r="B2722" s="504" t="s">
        <v>3248</v>
      </c>
      <c r="C2722" s="504" t="s">
        <v>1094</v>
      </c>
      <c r="D2722" s="504" t="s">
        <v>3380</v>
      </c>
      <c r="E2722" s="504" t="s">
        <v>3381</v>
      </c>
      <c r="F2722" s="504" t="s">
        <v>583</v>
      </c>
      <c r="G2722" s="504" t="s">
        <v>584</v>
      </c>
      <c r="H2722" s="504" t="s">
        <v>5517</v>
      </c>
      <c r="I2722" s="504">
        <v>21</v>
      </c>
      <c r="J2722" s="504">
        <v>0</v>
      </c>
      <c r="K2722" s="504">
        <v>0</v>
      </c>
      <c r="L2722" s="504">
        <v>20</v>
      </c>
      <c r="M2722" s="504">
        <v>0</v>
      </c>
      <c r="N2722" s="504">
        <v>0</v>
      </c>
      <c r="O2722" s="505">
        <v>1</v>
      </c>
    </row>
    <row r="2723" spans="1:15" x14ac:dyDescent="0.35">
      <c r="A2723" s="500" t="s">
        <v>1096</v>
      </c>
      <c r="B2723" s="501" t="s">
        <v>3326</v>
      </c>
      <c r="C2723" s="501" t="s">
        <v>1094</v>
      </c>
      <c r="D2723" s="501" t="s">
        <v>3380</v>
      </c>
      <c r="E2723" s="501" t="s">
        <v>3381</v>
      </c>
      <c r="F2723" s="501" t="s">
        <v>583</v>
      </c>
      <c r="G2723" s="501" t="s">
        <v>584</v>
      </c>
      <c r="H2723" s="501" t="s">
        <v>5518</v>
      </c>
      <c r="I2723" s="501">
        <v>124</v>
      </c>
      <c r="J2723" s="501">
        <v>18</v>
      </c>
      <c r="K2723" s="501">
        <v>0</v>
      </c>
      <c r="L2723" s="501">
        <v>0</v>
      </c>
      <c r="M2723" s="501">
        <v>106</v>
      </c>
      <c r="N2723" s="501">
        <v>0</v>
      </c>
      <c r="O2723" s="506">
        <v>0</v>
      </c>
    </row>
    <row r="2724" spans="1:15" x14ac:dyDescent="0.35">
      <c r="A2724" s="503" t="s">
        <v>1161</v>
      </c>
      <c r="B2724" s="504" t="s">
        <v>3001</v>
      </c>
      <c r="C2724" s="504" t="s">
        <v>1094</v>
      </c>
      <c r="D2724" s="504" t="s">
        <v>3380</v>
      </c>
      <c r="E2724" s="504" t="s">
        <v>3381</v>
      </c>
      <c r="F2724" s="504" t="s">
        <v>583</v>
      </c>
      <c r="G2724" s="504" t="s">
        <v>584</v>
      </c>
      <c r="H2724" s="504" t="s">
        <v>5519</v>
      </c>
      <c r="I2724" s="504">
        <v>1</v>
      </c>
      <c r="J2724" s="504">
        <v>0</v>
      </c>
      <c r="K2724" s="504">
        <v>0</v>
      </c>
      <c r="L2724" s="504">
        <v>0</v>
      </c>
      <c r="M2724" s="504">
        <v>0</v>
      </c>
      <c r="N2724" s="504">
        <v>0</v>
      </c>
      <c r="O2724" s="505">
        <v>1</v>
      </c>
    </row>
    <row r="2725" spans="1:15" x14ac:dyDescent="0.35">
      <c r="A2725" s="500" t="s">
        <v>1172</v>
      </c>
      <c r="B2725" s="501">
        <v>4648</v>
      </c>
      <c r="C2725" s="501" t="s">
        <v>1089</v>
      </c>
      <c r="D2725" s="501" t="s">
        <v>3392</v>
      </c>
      <c r="E2725" s="501" t="s">
        <v>3381</v>
      </c>
      <c r="F2725" s="501" t="s">
        <v>583</v>
      </c>
      <c r="G2725" s="501" t="s">
        <v>584</v>
      </c>
      <c r="H2725" s="501" t="s">
        <v>5520</v>
      </c>
      <c r="I2725" s="501">
        <v>6</v>
      </c>
      <c r="J2725" s="501">
        <v>0</v>
      </c>
      <c r="K2725" s="501">
        <v>0</v>
      </c>
      <c r="L2725" s="501">
        <v>6</v>
      </c>
      <c r="M2725" s="501">
        <v>0</v>
      </c>
      <c r="N2725" s="501">
        <v>0</v>
      </c>
      <c r="O2725" s="506">
        <v>0</v>
      </c>
    </row>
    <row r="2726" spans="1:15" x14ac:dyDescent="0.35">
      <c r="A2726" s="503" t="s">
        <v>1173</v>
      </c>
      <c r="B2726" s="504">
        <v>4775</v>
      </c>
      <c r="C2726" s="504" t="s">
        <v>1094</v>
      </c>
      <c r="D2726" s="504" t="s">
        <v>3380</v>
      </c>
      <c r="E2726" s="504" t="s">
        <v>3381</v>
      </c>
      <c r="F2726" s="504" t="s">
        <v>583</v>
      </c>
      <c r="G2726" s="504" t="s">
        <v>584</v>
      </c>
      <c r="H2726" s="504" t="s">
        <v>5521</v>
      </c>
      <c r="I2726" s="504">
        <v>2</v>
      </c>
      <c r="J2726" s="504">
        <v>0</v>
      </c>
      <c r="K2726" s="504">
        <v>0</v>
      </c>
      <c r="L2726" s="504">
        <v>0</v>
      </c>
      <c r="M2726" s="504">
        <v>0</v>
      </c>
      <c r="N2726" s="504">
        <v>0</v>
      </c>
      <c r="O2726" s="505">
        <v>2</v>
      </c>
    </row>
    <row r="2727" spans="1:15" x14ac:dyDescent="0.35">
      <c r="A2727" s="500" t="s">
        <v>1178</v>
      </c>
      <c r="B2727" s="501" t="s">
        <v>3334</v>
      </c>
      <c r="C2727" s="501" t="s">
        <v>1094</v>
      </c>
      <c r="D2727" s="501" t="s">
        <v>3380</v>
      </c>
      <c r="E2727" s="501" t="s">
        <v>3381</v>
      </c>
      <c r="F2727" s="501" t="s">
        <v>583</v>
      </c>
      <c r="G2727" s="501" t="s">
        <v>584</v>
      </c>
      <c r="H2727" s="501" t="s">
        <v>14662</v>
      </c>
      <c r="I2727" s="501">
        <v>6</v>
      </c>
      <c r="J2727" s="501">
        <v>0</v>
      </c>
      <c r="K2727" s="501">
        <v>0</v>
      </c>
      <c r="L2727" s="501">
        <v>6</v>
      </c>
      <c r="M2727" s="501">
        <v>0</v>
      </c>
      <c r="N2727" s="501">
        <v>0</v>
      </c>
      <c r="O2727" s="506">
        <v>0</v>
      </c>
    </row>
    <row r="2728" spans="1:15" x14ac:dyDescent="0.35">
      <c r="A2728" s="503" t="s">
        <v>1183</v>
      </c>
      <c r="B2728" s="504" t="s">
        <v>3038</v>
      </c>
      <c r="C2728" s="504" t="s">
        <v>1094</v>
      </c>
      <c r="D2728" s="504" t="s">
        <v>3380</v>
      </c>
      <c r="E2728" s="504" t="s">
        <v>3381</v>
      </c>
      <c r="F2728" s="504" t="s">
        <v>583</v>
      </c>
      <c r="G2728" s="504" t="s">
        <v>584</v>
      </c>
      <c r="H2728" s="504" t="s">
        <v>11711</v>
      </c>
      <c r="I2728" s="504">
        <v>1</v>
      </c>
      <c r="J2728" s="504">
        <v>0</v>
      </c>
      <c r="K2728" s="504">
        <v>0</v>
      </c>
      <c r="L2728" s="504">
        <v>0</v>
      </c>
      <c r="M2728" s="504">
        <v>0</v>
      </c>
      <c r="N2728" s="504">
        <v>0</v>
      </c>
      <c r="O2728" s="505">
        <v>1</v>
      </c>
    </row>
    <row r="2729" spans="1:15" x14ac:dyDescent="0.35">
      <c r="A2729" s="500" t="s">
        <v>1109</v>
      </c>
      <c r="B2729" s="501" t="s">
        <v>2959</v>
      </c>
      <c r="C2729" s="501" t="s">
        <v>1094</v>
      </c>
      <c r="D2729" s="501" t="s">
        <v>3380</v>
      </c>
      <c r="E2729" s="501" t="s">
        <v>3381</v>
      </c>
      <c r="F2729" s="501" t="s">
        <v>583</v>
      </c>
      <c r="G2729" s="501" t="s">
        <v>584</v>
      </c>
      <c r="H2729" s="501" t="s">
        <v>5522</v>
      </c>
      <c r="I2729" s="501">
        <v>37</v>
      </c>
      <c r="J2729" s="501">
        <v>0</v>
      </c>
      <c r="K2729" s="501">
        <v>0</v>
      </c>
      <c r="L2729" s="501">
        <v>0</v>
      </c>
      <c r="M2729" s="501">
        <v>37</v>
      </c>
      <c r="N2729" s="501">
        <v>0</v>
      </c>
      <c r="O2729" s="506">
        <v>0</v>
      </c>
    </row>
    <row r="2730" spans="1:15" x14ac:dyDescent="0.35">
      <c r="A2730" s="503" t="s">
        <v>1194</v>
      </c>
      <c r="B2730" s="504" t="s">
        <v>2985</v>
      </c>
      <c r="C2730" s="504" t="s">
        <v>1089</v>
      </c>
      <c r="D2730" s="504" t="s">
        <v>3392</v>
      </c>
      <c r="E2730" s="504" t="s">
        <v>3381</v>
      </c>
      <c r="F2730" s="504" t="s">
        <v>583</v>
      </c>
      <c r="G2730" s="504" t="s">
        <v>584</v>
      </c>
      <c r="H2730" s="504" t="s">
        <v>5523</v>
      </c>
      <c r="I2730" s="504">
        <v>17</v>
      </c>
      <c r="J2730" s="504">
        <v>17</v>
      </c>
      <c r="K2730" s="504">
        <v>0</v>
      </c>
      <c r="L2730" s="504">
        <v>0</v>
      </c>
      <c r="M2730" s="504">
        <v>0</v>
      </c>
      <c r="N2730" s="504">
        <v>0</v>
      </c>
      <c r="O2730" s="505">
        <v>0</v>
      </c>
    </row>
    <row r="2731" spans="1:15" x14ac:dyDescent="0.35">
      <c r="A2731" s="500" t="s">
        <v>1196</v>
      </c>
      <c r="B2731" s="501" t="s">
        <v>3269</v>
      </c>
      <c r="C2731" s="501" t="s">
        <v>1094</v>
      </c>
      <c r="D2731" s="501" t="s">
        <v>3380</v>
      </c>
      <c r="E2731" s="501" t="s">
        <v>3381</v>
      </c>
      <c r="F2731" s="501" t="s">
        <v>583</v>
      </c>
      <c r="G2731" s="501" t="s">
        <v>584</v>
      </c>
      <c r="H2731" s="501" t="s">
        <v>5524</v>
      </c>
      <c r="I2731" s="501">
        <v>1</v>
      </c>
      <c r="J2731" s="501">
        <v>0</v>
      </c>
      <c r="K2731" s="501">
        <v>0</v>
      </c>
      <c r="L2731" s="501">
        <v>0</v>
      </c>
      <c r="M2731" s="501">
        <v>0</v>
      </c>
      <c r="N2731" s="501">
        <v>0</v>
      </c>
      <c r="O2731" s="506">
        <v>1</v>
      </c>
    </row>
    <row r="2732" spans="1:15" x14ac:dyDescent="0.35">
      <c r="A2732" s="503" t="s">
        <v>1199</v>
      </c>
      <c r="B2732" s="504">
        <v>4877</v>
      </c>
      <c r="C2732" s="504" t="s">
        <v>1094</v>
      </c>
      <c r="D2732" s="504" t="s">
        <v>3380</v>
      </c>
      <c r="E2732" s="504" t="s">
        <v>3381</v>
      </c>
      <c r="F2732" s="504" t="s">
        <v>583</v>
      </c>
      <c r="G2732" s="504" t="s">
        <v>584</v>
      </c>
      <c r="H2732" s="504" t="s">
        <v>5525</v>
      </c>
      <c r="I2732" s="504">
        <v>286</v>
      </c>
      <c r="J2732" s="504">
        <v>167</v>
      </c>
      <c r="K2732" s="504">
        <v>8</v>
      </c>
      <c r="L2732" s="504">
        <v>20</v>
      </c>
      <c r="M2732" s="504">
        <v>0</v>
      </c>
      <c r="N2732" s="504">
        <v>0</v>
      </c>
      <c r="O2732" s="505">
        <v>91</v>
      </c>
    </row>
    <row r="2733" spans="1:15" x14ac:dyDescent="0.35">
      <c r="A2733" s="500" t="s">
        <v>1200</v>
      </c>
      <c r="B2733" s="501" t="s">
        <v>3122</v>
      </c>
      <c r="C2733" s="501" t="s">
        <v>1089</v>
      </c>
      <c r="D2733" s="501" t="s">
        <v>3392</v>
      </c>
      <c r="E2733" s="501" t="s">
        <v>3381</v>
      </c>
      <c r="F2733" s="501" t="s">
        <v>583</v>
      </c>
      <c r="G2733" s="501" t="s">
        <v>584</v>
      </c>
      <c r="H2733" s="501" t="s">
        <v>5526</v>
      </c>
      <c r="I2733" s="501">
        <v>138</v>
      </c>
      <c r="J2733" s="501">
        <v>138</v>
      </c>
      <c r="K2733" s="501">
        <v>0</v>
      </c>
      <c r="L2733" s="501">
        <v>0</v>
      </c>
      <c r="M2733" s="501">
        <v>0</v>
      </c>
      <c r="N2733" s="501">
        <v>0</v>
      </c>
      <c r="O2733" s="506">
        <v>0</v>
      </c>
    </row>
    <row r="2734" spans="1:15" x14ac:dyDescent="0.35">
      <c r="A2734" s="503" t="s">
        <v>1203</v>
      </c>
      <c r="B2734" s="504" t="s">
        <v>3170</v>
      </c>
      <c r="C2734" s="504" t="s">
        <v>1094</v>
      </c>
      <c r="D2734" s="504" t="s">
        <v>3380</v>
      </c>
      <c r="E2734" s="504" t="s">
        <v>3381</v>
      </c>
      <c r="F2734" s="504" t="s">
        <v>583</v>
      </c>
      <c r="G2734" s="504" t="s">
        <v>584</v>
      </c>
      <c r="H2734" s="504" t="s">
        <v>5527</v>
      </c>
      <c r="I2734" s="504">
        <v>617</v>
      </c>
      <c r="J2734" s="504">
        <v>482</v>
      </c>
      <c r="K2734" s="504">
        <v>0</v>
      </c>
      <c r="L2734" s="504">
        <v>2</v>
      </c>
      <c r="M2734" s="504">
        <v>33</v>
      </c>
      <c r="N2734" s="504">
        <v>1</v>
      </c>
      <c r="O2734" s="505">
        <v>100</v>
      </c>
    </row>
    <row r="2735" spans="1:15" x14ac:dyDescent="0.35">
      <c r="A2735" s="500" t="s">
        <v>1209</v>
      </c>
      <c r="B2735" s="501">
        <v>4779</v>
      </c>
      <c r="C2735" s="501" t="s">
        <v>1094</v>
      </c>
      <c r="D2735" s="501" t="s">
        <v>3380</v>
      </c>
      <c r="E2735" s="501" t="s">
        <v>3381</v>
      </c>
      <c r="F2735" s="501" t="s">
        <v>583</v>
      </c>
      <c r="G2735" s="501" t="s">
        <v>584</v>
      </c>
      <c r="H2735" s="501" t="s">
        <v>5528</v>
      </c>
      <c r="I2735" s="501">
        <v>51</v>
      </c>
      <c r="J2735" s="501">
        <v>0</v>
      </c>
      <c r="K2735" s="501">
        <v>0</v>
      </c>
      <c r="L2735" s="501">
        <v>51</v>
      </c>
      <c r="M2735" s="501">
        <v>0</v>
      </c>
      <c r="N2735" s="501">
        <v>0</v>
      </c>
      <c r="O2735" s="506">
        <v>0</v>
      </c>
    </row>
    <row r="2736" spans="1:15" x14ac:dyDescent="0.35">
      <c r="A2736" s="503" t="s">
        <v>1215</v>
      </c>
      <c r="B2736" s="504">
        <v>4817</v>
      </c>
      <c r="C2736" s="504" t="s">
        <v>1094</v>
      </c>
      <c r="D2736" s="504" t="s">
        <v>3380</v>
      </c>
      <c r="E2736" s="504" t="s">
        <v>3381</v>
      </c>
      <c r="F2736" s="504" t="s">
        <v>583</v>
      </c>
      <c r="G2736" s="504" t="s">
        <v>584</v>
      </c>
      <c r="H2736" s="504" t="s">
        <v>5529</v>
      </c>
      <c r="I2736" s="504">
        <v>2</v>
      </c>
      <c r="J2736" s="504">
        <v>0</v>
      </c>
      <c r="K2736" s="504">
        <v>0</v>
      </c>
      <c r="L2736" s="504">
        <v>0</v>
      </c>
      <c r="M2736" s="504">
        <v>0</v>
      </c>
      <c r="N2736" s="504">
        <v>0</v>
      </c>
      <c r="O2736" s="505">
        <v>2</v>
      </c>
    </row>
    <row r="2737" spans="1:15" x14ac:dyDescent="0.35">
      <c r="A2737" s="500" t="s">
        <v>1122</v>
      </c>
      <c r="B2737" s="501" t="s">
        <v>2994</v>
      </c>
      <c r="C2737" s="501" t="s">
        <v>1094</v>
      </c>
      <c r="D2737" s="501" t="s">
        <v>3380</v>
      </c>
      <c r="E2737" s="501" t="s">
        <v>3381</v>
      </c>
      <c r="F2737" s="501" t="s">
        <v>583</v>
      </c>
      <c r="G2737" s="501" t="s">
        <v>584</v>
      </c>
      <c r="H2737" s="501" t="s">
        <v>11982</v>
      </c>
      <c r="I2737" s="501">
        <v>3</v>
      </c>
      <c r="J2737" s="501">
        <v>0</v>
      </c>
      <c r="K2737" s="501">
        <v>0</v>
      </c>
      <c r="L2737" s="501">
        <v>0</v>
      </c>
      <c r="M2737" s="501">
        <v>0</v>
      </c>
      <c r="N2737" s="501">
        <v>0</v>
      </c>
      <c r="O2737" s="506">
        <v>3</v>
      </c>
    </row>
    <row r="2738" spans="1:15" x14ac:dyDescent="0.35">
      <c r="A2738" s="503" t="s">
        <v>1226</v>
      </c>
      <c r="B2738" s="504">
        <v>5084</v>
      </c>
      <c r="C2738" s="504" t="s">
        <v>1094</v>
      </c>
      <c r="D2738" s="504" t="s">
        <v>3380</v>
      </c>
      <c r="E2738" s="504" t="s">
        <v>3381</v>
      </c>
      <c r="F2738" s="504" t="s">
        <v>583</v>
      </c>
      <c r="G2738" s="504" t="s">
        <v>584</v>
      </c>
      <c r="H2738" s="504" t="s">
        <v>5530</v>
      </c>
      <c r="I2738" s="504">
        <v>6924</v>
      </c>
      <c r="J2738" s="504">
        <v>6046</v>
      </c>
      <c r="K2738" s="504">
        <v>0</v>
      </c>
      <c r="L2738" s="504">
        <v>82</v>
      </c>
      <c r="M2738" s="504">
        <v>378</v>
      </c>
      <c r="N2738" s="504">
        <v>0</v>
      </c>
      <c r="O2738" s="505">
        <v>418</v>
      </c>
    </row>
    <row r="2739" spans="1:15" x14ac:dyDescent="0.35">
      <c r="A2739" s="500" t="s">
        <v>1228</v>
      </c>
      <c r="B2739" s="501" t="s">
        <v>3321</v>
      </c>
      <c r="C2739" s="501" t="s">
        <v>1094</v>
      </c>
      <c r="D2739" s="501" t="s">
        <v>3380</v>
      </c>
      <c r="E2739" s="501" t="s">
        <v>3381</v>
      </c>
      <c r="F2739" s="501" t="s">
        <v>583</v>
      </c>
      <c r="G2739" s="501" t="s">
        <v>584</v>
      </c>
      <c r="H2739" s="501" t="s">
        <v>5531</v>
      </c>
      <c r="I2739" s="501">
        <v>30</v>
      </c>
      <c r="J2739" s="501">
        <v>0</v>
      </c>
      <c r="K2739" s="501">
        <v>0</v>
      </c>
      <c r="L2739" s="501">
        <v>30</v>
      </c>
      <c r="M2739" s="501">
        <v>0</v>
      </c>
      <c r="N2739" s="501">
        <v>0</v>
      </c>
      <c r="O2739" s="506">
        <v>0</v>
      </c>
    </row>
    <row r="2740" spans="1:15" x14ac:dyDescent="0.35">
      <c r="A2740" s="503" t="s">
        <v>1234</v>
      </c>
      <c r="B2740" s="504" t="s">
        <v>3291</v>
      </c>
      <c r="C2740" s="504" t="s">
        <v>1094</v>
      </c>
      <c r="D2740" s="504" t="s">
        <v>3380</v>
      </c>
      <c r="E2740" s="504" t="s">
        <v>3381</v>
      </c>
      <c r="F2740" s="504" t="s">
        <v>583</v>
      </c>
      <c r="G2740" s="504" t="s">
        <v>584</v>
      </c>
      <c r="H2740" s="504" t="s">
        <v>5532</v>
      </c>
      <c r="I2740" s="504">
        <v>30</v>
      </c>
      <c r="J2740" s="504">
        <v>0</v>
      </c>
      <c r="K2740" s="504">
        <v>0</v>
      </c>
      <c r="L2740" s="504">
        <v>30</v>
      </c>
      <c r="M2740" s="504">
        <v>0</v>
      </c>
      <c r="N2740" s="504">
        <v>0</v>
      </c>
      <c r="O2740" s="505">
        <v>0</v>
      </c>
    </row>
    <row r="2741" spans="1:15" x14ac:dyDescent="0.35">
      <c r="A2741" s="500" t="s">
        <v>1126</v>
      </c>
      <c r="B2741" s="501" t="s">
        <v>2974</v>
      </c>
      <c r="C2741" s="501" t="s">
        <v>1094</v>
      </c>
      <c r="D2741" s="501" t="s">
        <v>3380</v>
      </c>
      <c r="E2741" s="501" t="s">
        <v>3381</v>
      </c>
      <c r="F2741" s="501" t="s">
        <v>583</v>
      </c>
      <c r="G2741" s="501" t="s">
        <v>584</v>
      </c>
      <c r="H2741" s="501" t="s">
        <v>5533</v>
      </c>
      <c r="I2741" s="501">
        <v>1</v>
      </c>
      <c r="J2741" s="501">
        <v>1</v>
      </c>
      <c r="K2741" s="501">
        <v>0</v>
      </c>
      <c r="L2741" s="501">
        <v>0</v>
      </c>
      <c r="M2741" s="501">
        <v>0</v>
      </c>
      <c r="N2741" s="501">
        <v>0</v>
      </c>
      <c r="O2741" s="506">
        <v>0</v>
      </c>
    </row>
    <row r="2742" spans="1:15" x14ac:dyDescent="0.35">
      <c r="A2742" s="503" t="s">
        <v>1134</v>
      </c>
      <c r="B2742" s="504" t="s">
        <v>3066</v>
      </c>
      <c r="C2742" s="504" t="s">
        <v>1094</v>
      </c>
      <c r="D2742" s="504" t="s">
        <v>3380</v>
      </c>
      <c r="E2742" s="504" t="s">
        <v>3381</v>
      </c>
      <c r="F2742" s="504" t="s">
        <v>583</v>
      </c>
      <c r="G2742" s="504" t="s">
        <v>584</v>
      </c>
      <c r="H2742" s="504" t="s">
        <v>12157</v>
      </c>
      <c r="I2742" s="504">
        <v>23</v>
      </c>
      <c r="J2742" s="504">
        <v>0</v>
      </c>
      <c r="K2742" s="504">
        <v>0</v>
      </c>
      <c r="L2742" s="504">
        <v>0</v>
      </c>
      <c r="M2742" s="504">
        <v>23</v>
      </c>
      <c r="N2742" s="504">
        <v>0</v>
      </c>
      <c r="O2742" s="505">
        <v>0</v>
      </c>
    </row>
    <row r="2743" spans="1:15" x14ac:dyDescent="0.35">
      <c r="A2743" s="500" t="s">
        <v>1243</v>
      </c>
      <c r="B2743" s="501">
        <v>4864</v>
      </c>
      <c r="C2743" s="501" t="s">
        <v>1089</v>
      </c>
      <c r="D2743" s="501" t="s">
        <v>3392</v>
      </c>
      <c r="E2743" s="501" t="s">
        <v>3381</v>
      </c>
      <c r="F2743" s="501" t="s">
        <v>583</v>
      </c>
      <c r="G2743" s="501" t="s">
        <v>584</v>
      </c>
      <c r="H2743" s="501" t="s">
        <v>5534</v>
      </c>
      <c r="I2743" s="501">
        <v>2</v>
      </c>
      <c r="J2743" s="501">
        <v>2</v>
      </c>
      <c r="K2743" s="501">
        <v>0</v>
      </c>
      <c r="L2743" s="501">
        <v>0</v>
      </c>
      <c r="M2743" s="501">
        <v>0</v>
      </c>
      <c r="N2743" s="501">
        <v>0</v>
      </c>
      <c r="O2743" s="506">
        <v>0</v>
      </c>
    </row>
    <row r="2744" spans="1:15" x14ac:dyDescent="0.35">
      <c r="A2744" s="503" t="s">
        <v>1143</v>
      </c>
      <c r="B2744" s="504" t="s">
        <v>3281</v>
      </c>
      <c r="C2744" s="504" t="s">
        <v>1094</v>
      </c>
      <c r="D2744" s="504" t="s">
        <v>3380</v>
      </c>
      <c r="E2744" s="504" t="s">
        <v>3381</v>
      </c>
      <c r="F2744" s="504" t="s">
        <v>585</v>
      </c>
      <c r="G2744" s="504" t="s">
        <v>586</v>
      </c>
      <c r="H2744" s="504" t="s">
        <v>5535</v>
      </c>
      <c r="I2744" s="504">
        <v>78</v>
      </c>
      <c r="J2744" s="504">
        <v>44</v>
      </c>
      <c r="K2744" s="504">
        <v>0</v>
      </c>
      <c r="L2744" s="504">
        <v>0</v>
      </c>
      <c r="M2744" s="504">
        <v>0</v>
      </c>
      <c r="N2744" s="504">
        <v>1</v>
      </c>
      <c r="O2744" s="505">
        <v>34</v>
      </c>
    </row>
    <row r="2745" spans="1:15" x14ac:dyDescent="0.35">
      <c r="A2745" s="500" t="s">
        <v>1096</v>
      </c>
      <c r="B2745" s="501" t="s">
        <v>3326</v>
      </c>
      <c r="C2745" s="501" t="s">
        <v>1094</v>
      </c>
      <c r="D2745" s="501" t="s">
        <v>3380</v>
      </c>
      <c r="E2745" s="501" t="s">
        <v>3381</v>
      </c>
      <c r="F2745" s="501" t="s">
        <v>585</v>
      </c>
      <c r="G2745" s="501" t="s">
        <v>586</v>
      </c>
      <c r="H2745" s="501" t="s">
        <v>5536</v>
      </c>
      <c r="I2745" s="501">
        <v>384</v>
      </c>
      <c r="J2745" s="501">
        <v>0</v>
      </c>
      <c r="K2745" s="501">
        <v>0</v>
      </c>
      <c r="L2745" s="501">
        <v>0</v>
      </c>
      <c r="M2745" s="501">
        <v>370</v>
      </c>
      <c r="N2745" s="501">
        <v>0</v>
      </c>
      <c r="O2745" s="506">
        <v>14</v>
      </c>
    </row>
    <row r="2746" spans="1:15" x14ac:dyDescent="0.35">
      <c r="A2746" s="503" t="s">
        <v>1151</v>
      </c>
      <c r="B2746" s="504">
        <v>4726</v>
      </c>
      <c r="C2746" s="504" t="s">
        <v>1089</v>
      </c>
      <c r="D2746" s="504" t="s">
        <v>3392</v>
      </c>
      <c r="E2746" s="504" t="s">
        <v>3381</v>
      </c>
      <c r="F2746" s="504" t="s">
        <v>585</v>
      </c>
      <c r="G2746" s="504" t="s">
        <v>586</v>
      </c>
      <c r="H2746" s="504" t="s">
        <v>5537</v>
      </c>
      <c r="I2746" s="504">
        <v>1</v>
      </c>
      <c r="J2746" s="504">
        <v>1</v>
      </c>
      <c r="K2746" s="504">
        <v>0</v>
      </c>
      <c r="L2746" s="504">
        <v>0</v>
      </c>
      <c r="M2746" s="504">
        <v>0</v>
      </c>
      <c r="N2746" s="504">
        <v>0</v>
      </c>
      <c r="O2746" s="505">
        <v>0</v>
      </c>
    </row>
    <row r="2747" spans="1:15" x14ac:dyDescent="0.35">
      <c r="A2747" s="500" t="s">
        <v>11363</v>
      </c>
      <c r="B2747" s="501">
        <v>4718</v>
      </c>
      <c r="C2747" s="501" t="s">
        <v>1094</v>
      </c>
      <c r="D2747" s="501" t="s">
        <v>3380</v>
      </c>
      <c r="E2747" s="501" t="s">
        <v>3381</v>
      </c>
      <c r="F2747" s="501" t="s">
        <v>585</v>
      </c>
      <c r="G2747" s="501" t="s">
        <v>586</v>
      </c>
      <c r="H2747" s="501" t="s">
        <v>11539</v>
      </c>
      <c r="I2747" s="501">
        <v>14</v>
      </c>
      <c r="J2747" s="501">
        <v>0</v>
      </c>
      <c r="K2747" s="501">
        <v>0</v>
      </c>
      <c r="L2747" s="501">
        <v>14</v>
      </c>
      <c r="M2747" s="501">
        <v>0</v>
      </c>
      <c r="N2747" s="501">
        <v>0</v>
      </c>
      <c r="O2747" s="506">
        <v>0</v>
      </c>
    </row>
    <row r="2748" spans="1:15" x14ac:dyDescent="0.35">
      <c r="A2748" s="503" t="s">
        <v>1618</v>
      </c>
      <c r="B2748" s="504" t="s">
        <v>3355</v>
      </c>
      <c r="C2748" s="504" t="s">
        <v>1094</v>
      </c>
      <c r="D2748" s="504" t="s">
        <v>3380</v>
      </c>
      <c r="E2748" s="504" t="s">
        <v>3381</v>
      </c>
      <c r="F2748" s="504" t="s">
        <v>585</v>
      </c>
      <c r="G2748" s="504" t="s">
        <v>586</v>
      </c>
      <c r="H2748" s="504" t="s">
        <v>5538</v>
      </c>
      <c r="I2748" s="504">
        <v>9</v>
      </c>
      <c r="J2748" s="504">
        <v>9</v>
      </c>
      <c r="K2748" s="504">
        <v>0</v>
      </c>
      <c r="L2748" s="504">
        <v>0</v>
      </c>
      <c r="M2748" s="504">
        <v>0</v>
      </c>
      <c r="N2748" s="504">
        <v>0</v>
      </c>
      <c r="O2748" s="505">
        <v>0</v>
      </c>
    </row>
    <row r="2749" spans="1:15" x14ac:dyDescent="0.35">
      <c r="A2749" s="500" t="s">
        <v>1621</v>
      </c>
      <c r="B2749" s="501" t="s">
        <v>3319</v>
      </c>
      <c r="C2749" s="501" t="s">
        <v>1094</v>
      </c>
      <c r="D2749" s="501" t="s">
        <v>3380</v>
      </c>
      <c r="E2749" s="501" t="s">
        <v>3381</v>
      </c>
      <c r="F2749" s="501" t="s">
        <v>585</v>
      </c>
      <c r="G2749" s="501" t="s">
        <v>586</v>
      </c>
      <c r="H2749" s="501" t="s">
        <v>5539</v>
      </c>
      <c r="I2749" s="501">
        <v>30</v>
      </c>
      <c r="J2749" s="501">
        <v>28</v>
      </c>
      <c r="K2749" s="501">
        <v>0</v>
      </c>
      <c r="L2749" s="501">
        <v>0</v>
      </c>
      <c r="M2749" s="501">
        <v>0</v>
      </c>
      <c r="N2749" s="501">
        <v>0</v>
      </c>
      <c r="O2749" s="506">
        <v>2</v>
      </c>
    </row>
    <row r="2750" spans="1:15" x14ac:dyDescent="0.35">
      <c r="A2750" s="503" t="s">
        <v>1161</v>
      </c>
      <c r="B2750" s="504" t="s">
        <v>3001</v>
      </c>
      <c r="C2750" s="504" t="s">
        <v>1094</v>
      </c>
      <c r="D2750" s="504" t="s">
        <v>3380</v>
      </c>
      <c r="E2750" s="504" t="s">
        <v>3381</v>
      </c>
      <c r="F2750" s="504" t="s">
        <v>585</v>
      </c>
      <c r="G2750" s="504" t="s">
        <v>586</v>
      </c>
      <c r="H2750" s="504" t="s">
        <v>5540</v>
      </c>
      <c r="I2750" s="504">
        <v>1</v>
      </c>
      <c r="J2750" s="504">
        <v>0</v>
      </c>
      <c r="K2750" s="504">
        <v>0</v>
      </c>
      <c r="L2750" s="504">
        <v>0</v>
      </c>
      <c r="M2750" s="504">
        <v>0</v>
      </c>
      <c r="N2750" s="504">
        <v>0</v>
      </c>
      <c r="O2750" s="505">
        <v>1</v>
      </c>
    </row>
    <row r="2751" spans="1:15" x14ac:dyDescent="0.35">
      <c r="A2751" s="500" t="s">
        <v>1172</v>
      </c>
      <c r="B2751" s="501">
        <v>4648</v>
      </c>
      <c r="C2751" s="501" t="s">
        <v>1089</v>
      </c>
      <c r="D2751" s="501" t="s">
        <v>3392</v>
      </c>
      <c r="E2751" s="501" t="s">
        <v>3381</v>
      </c>
      <c r="F2751" s="501" t="s">
        <v>585</v>
      </c>
      <c r="G2751" s="501" t="s">
        <v>586</v>
      </c>
      <c r="H2751" s="501" t="s">
        <v>5541</v>
      </c>
      <c r="I2751" s="501">
        <v>9</v>
      </c>
      <c r="J2751" s="501">
        <v>0</v>
      </c>
      <c r="K2751" s="501">
        <v>0</v>
      </c>
      <c r="L2751" s="501">
        <v>9</v>
      </c>
      <c r="M2751" s="501">
        <v>0</v>
      </c>
      <c r="N2751" s="501">
        <v>0</v>
      </c>
      <c r="O2751" s="506">
        <v>0</v>
      </c>
    </row>
    <row r="2752" spans="1:15" x14ac:dyDescent="0.35">
      <c r="A2752" s="503" t="s">
        <v>14208</v>
      </c>
      <c r="B2752" s="504">
        <v>4803</v>
      </c>
      <c r="C2752" s="504" t="s">
        <v>1094</v>
      </c>
      <c r="D2752" s="504" t="s">
        <v>3380</v>
      </c>
      <c r="E2752" s="504" t="s">
        <v>3381</v>
      </c>
      <c r="F2752" s="504" t="s">
        <v>585</v>
      </c>
      <c r="G2752" s="504" t="s">
        <v>586</v>
      </c>
      <c r="H2752" s="504" t="s">
        <v>14663</v>
      </c>
      <c r="I2752" s="504">
        <v>16</v>
      </c>
      <c r="J2752" s="504">
        <v>0</v>
      </c>
      <c r="K2752" s="504">
        <v>0</v>
      </c>
      <c r="L2752" s="504">
        <v>16</v>
      </c>
      <c r="M2752" s="504">
        <v>0</v>
      </c>
      <c r="N2752" s="504">
        <v>0</v>
      </c>
      <c r="O2752" s="505">
        <v>0</v>
      </c>
    </row>
    <row r="2753" spans="1:15" x14ac:dyDescent="0.35">
      <c r="A2753" s="500" t="s">
        <v>1183</v>
      </c>
      <c r="B2753" s="501" t="s">
        <v>3038</v>
      </c>
      <c r="C2753" s="501" t="s">
        <v>1094</v>
      </c>
      <c r="D2753" s="501" t="s">
        <v>3380</v>
      </c>
      <c r="E2753" s="501" t="s">
        <v>3381</v>
      </c>
      <c r="F2753" s="501" t="s">
        <v>585</v>
      </c>
      <c r="G2753" s="501" t="s">
        <v>586</v>
      </c>
      <c r="H2753" s="501" t="s">
        <v>11712</v>
      </c>
      <c r="I2753" s="501">
        <v>1</v>
      </c>
      <c r="J2753" s="501">
        <v>0</v>
      </c>
      <c r="K2753" s="501">
        <v>0</v>
      </c>
      <c r="L2753" s="501">
        <v>0</v>
      </c>
      <c r="M2753" s="501">
        <v>0</v>
      </c>
      <c r="N2753" s="501">
        <v>0</v>
      </c>
      <c r="O2753" s="506">
        <v>1</v>
      </c>
    </row>
    <row r="2754" spans="1:15" x14ac:dyDescent="0.35">
      <c r="A2754" s="503" t="s">
        <v>1630</v>
      </c>
      <c r="B2754" s="504">
        <v>4744</v>
      </c>
      <c r="C2754" s="504" t="s">
        <v>1089</v>
      </c>
      <c r="D2754" s="504" t="s">
        <v>3392</v>
      </c>
      <c r="E2754" s="504" t="s">
        <v>3381</v>
      </c>
      <c r="F2754" s="504" t="s">
        <v>585</v>
      </c>
      <c r="G2754" s="504" t="s">
        <v>586</v>
      </c>
      <c r="H2754" s="504" t="s">
        <v>5542</v>
      </c>
      <c r="I2754" s="504">
        <v>21</v>
      </c>
      <c r="J2754" s="504">
        <v>21</v>
      </c>
      <c r="K2754" s="504">
        <v>0</v>
      </c>
      <c r="L2754" s="504">
        <v>0</v>
      </c>
      <c r="M2754" s="504">
        <v>0</v>
      </c>
      <c r="N2754" s="504">
        <v>0</v>
      </c>
      <c r="O2754" s="505">
        <v>0</v>
      </c>
    </row>
    <row r="2755" spans="1:15" x14ac:dyDescent="0.35">
      <c r="A2755" s="500" t="s">
        <v>1105</v>
      </c>
      <c r="B2755" s="501">
        <v>4668</v>
      </c>
      <c r="C2755" s="501" t="s">
        <v>1094</v>
      </c>
      <c r="D2755" s="501" t="s">
        <v>3380</v>
      </c>
      <c r="E2755" s="501" t="s">
        <v>3381</v>
      </c>
      <c r="F2755" s="501" t="s">
        <v>585</v>
      </c>
      <c r="G2755" s="501" t="s">
        <v>586</v>
      </c>
      <c r="H2755" s="501" t="s">
        <v>5543</v>
      </c>
      <c r="I2755" s="501">
        <v>78</v>
      </c>
      <c r="J2755" s="501">
        <v>0</v>
      </c>
      <c r="K2755" s="501">
        <v>0</v>
      </c>
      <c r="L2755" s="501">
        <v>0</v>
      </c>
      <c r="M2755" s="501">
        <v>0</v>
      </c>
      <c r="N2755" s="501">
        <v>0</v>
      </c>
      <c r="O2755" s="506">
        <v>78</v>
      </c>
    </row>
    <row r="2756" spans="1:15" x14ac:dyDescent="0.35">
      <c r="A2756" s="503" t="s">
        <v>1188</v>
      </c>
      <c r="B2756" s="504">
        <v>4760</v>
      </c>
      <c r="C2756" s="504" t="s">
        <v>1089</v>
      </c>
      <c r="D2756" s="504" t="s">
        <v>3392</v>
      </c>
      <c r="E2756" s="504" t="s">
        <v>3381</v>
      </c>
      <c r="F2756" s="504" t="s">
        <v>585</v>
      </c>
      <c r="G2756" s="504" t="s">
        <v>586</v>
      </c>
      <c r="H2756" s="504" t="s">
        <v>5544</v>
      </c>
      <c r="I2756" s="504">
        <v>11</v>
      </c>
      <c r="J2756" s="504">
        <v>0</v>
      </c>
      <c r="K2756" s="504">
        <v>0</v>
      </c>
      <c r="L2756" s="504">
        <v>11</v>
      </c>
      <c r="M2756" s="504">
        <v>0</v>
      </c>
      <c r="N2756" s="504">
        <v>0</v>
      </c>
      <c r="O2756" s="505">
        <v>0</v>
      </c>
    </row>
    <row r="2757" spans="1:15" x14ac:dyDescent="0.35">
      <c r="A2757" s="500" t="s">
        <v>1107</v>
      </c>
      <c r="B2757" s="501" t="s">
        <v>3109</v>
      </c>
      <c r="C2757" s="501" t="s">
        <v>1094</v>
      </c>
      <c r="D2757" s="501" t="s">
        <v>3380</v>
      </c>
      <c r="E2757" s="501" t="s">
        <v>3381</v>
      </c>
      <c r="F2757" s="501" t="s">
        <v>585</v>
      </c>
      <c r="G2757" s="501" t="s">
        <v>586</v>
      </c>
      <c r="H2757" s="501" t="s">
        <v>5545</v>
      </c>
      <c r="I2757" s="501">
        <v>155</v>
      </c>
      <c r="J2757" s="501">
        <v>134</v>
      </c>
      <c r="K2757" s="501">
        <v>0</v>
      </c>
      <c r="L2757" s="501">
        <v>4</v>
      </c>
      <c r="M2757" s="501">
        <v>0</v>
      </c>
      <c r="N2757" s="501">
        <v>1</v>
      </c>
      <c r="O2757" s="506">
        <v>17</v>
      </c>
    </row>
    <row r="2758" spans="1:15" x14ac:dyDescent="0.35">
      <c r="A2758" s="503" t="s">
        <v>1109</v>
      </c>
      <c r="B2758" s="504" t="s">
        <v>2959</v>
      </c>
      <c r="C2758" s="504" t="s">
        <v>1094</v>
      </c>
      <c r="D2758" s="504" t="s">
        <v>3380</v>
      </c>
      <c r="E2758" s="504" t="s">
        <v>3381</v>
      </c>
      <c r="F2758" s="504" t="s">
        <v>585</v>
      </c>
      <c r="G2758" s="504" t="s">
        <v>586</v>
      </c>
      <c r="H2758" s="504" t="s">
        <v>5546</v>
      </c>
      <c r="I2758" s="504">
        <v>112</v>
      </c>
      <c r="J2758" s="504">
        <v>0</v>
      </c>
      <c r="K2758" s="504">
        <v>0</v>
      </c>
      <c r="L2758" s="504">
        <v>1</v>
      </c>
      <c r="M2758" s="504">
        <v>105</v>
      </c>
      <c r="N2758" s="504">
        <v>0</v>
      </c>
      <c r="O2758" s="505">
        <v>6</v>
      </c>
    </row>
    <row r="2759" spans="1:15" x14ac:dyDescent="0.35">
      <c r="A2759" s="500" t="s">
        <v>2157</v>
      </c>
      <c r="B2759" s="501" t="s">
        <v>3112</v>
      </c>
      <c r="C2759" s="501" t="s">
        <v>1089</v>
      </c>
      <c r="D2759" s="501" t="s">
        <v>3392</v>
      </c>
      <c r="E2759" s="501" t="s">
        <v>3381</v>
      </c>
      <c r="F2759" s="501" t="s">
        <v>585</v>
      </c>
      <c r="G2759" s="501" t="s">
        <v>586</v>
      </c>
      <c r="H2759" s="501" t="s">
        <v>5547</v>
      </c>
      <c r="I2759" s="501">
        <v>118</v>
      </c>
      <c r="J2759" s="501">
        <v>118</v>
      </c>
      <c r="K2759" s="501">
        <v>0</v>
      </c>
      <c r="L2759" s="501">
        <v>0</v>
      </c>
      <c r="M2759" s="501">
        <v>0</v>
      </c>
      <c r="N2759" s="501">
        <v>0</v>
      </c>
      <c r="O2759" s="506">
        <v>0</v>
      </c>
    </row>
    <row r="2760" spans="1:15" x14ac:dyDescent="0.35">
      <c r="A2760" s="503" t="s">
        <v>1633</v>
      </c>
      <c r="B2760" s="504">
        <v>4713</v>
      </c>
      <c r="C2760" s="504" t="s">
        <v>1089</v>
      </c>
      <c r="D2760" s="504" t="s">
        <v>3392</v>
      </c>
      <c r="E2760" s="504" t="s">
        <v>3381</v>
      </c>
      <c r="F2760" s="504" t="s">
        <v>585</v>
      </c>
      <c r="G2760" s="504" t="s">
        <v>586</v>
      </c>
      <c r="H2760" s="504" t="s">
        <v>14664</v>
      </c>
      <c r="I2760" s="504">
        <v>8</v>
      </c>
      <c r="J2760" s="504">
        <v>1</v>
      </c>
      <c r="K2760" s="504">
        <v>0</v>
      </c>
      <c r="L2760" s="504">
        <v>7</v>
      </c>
      <c r="M2760" s="504">
        <v>0</v>
      </c>
      <c r="N2760" s="504">
        <v>0</v>
      </c>
      <c r="O2760" s="505">
        <v>0</v>
      </c>
    </row>
    <row r="2761" spans="1:15" x14ac:dyDescent="0.35">
      <c r="A2761" s="500" t="s">
        <v>1190</v>
      </c>
      <c r="B2761" s="501">
        <v>4662</v>
      </c>
      <c r="C2761" s="501" t="s">
        <v>1094</v>
      </c>
      <c r="D2761" s="501" t="s">
        <v>3380</v>
      </c>
      <c r="E2761" s="501" t="s">
        <v>3381</v>
      </c>
      <c r="F2761" s="501" t="s">
        <v>585</v>
      </c>
      <c r="G2761" s="501" t="s">
        <v>586</v>
      </c>
      <c r="H2761" s="501" t="s">
        <v>11766</v>
      </c>
      <c r="I2761" s="501">
        <v>3</v>
      </c>
      <c r="J2761" s="501">
        <v>0</v>
      </c>
      <c r="K2761" s="501">
        <v>0</v>
      </c>
      <c r="L2761" s="501">
        <v>3</v>
      </c>
      <c r="M2761" s="501">
        <v>0</v>
      </c>
      <c r="N2761" s="501">
        <v>0</v>
      </c>
      <c r="O2761" s="506">
        <v>0</v>
      </c>
    </row>
    <row r="2762" spans="1:15" x14ac:dyDescent="0.35">
      <c r="A2762" s="503" t="s">
        <v>1638</v>
      </c>
      <c r="B2762" s="504">
        <v>5079</v>
      </c>
      <c r="C2762" s="504" t="s">
        <v>1094</v>
      </c>
      <c r="D2762" s="504" t="s">
        <v>3380</v>
      </c>
      <c r="E2762" s="504" t="s">
        <v>3381</v>
      </c>
      <c r="F2762" s="504" t="s">
        <v>585</v>
      </c>
      <c r="G2762" s="504" t="s">
        <v>586</v>
      </c>
      <c r="H2762" s="504" t="s">
        <v>5548</v>
      </c>
      <c r="I2762" s="504">
        <v>44</v>
      </c>
      <c r="J2762" s="504">
        <v>0</v>
      </c>
      <c r="K2762" s="504">
        <v>0</v>
      </c>
      <c r="L2762" s="504">
        <v>15</v>
      </c>
      <c r="M2762" s="504">
        <v>0</v>
      </c>
      <c r="N2762" s="504">
        <v>0</v>
      </c>
      <c r="O2762" s="505">
        <v>29</v>
      </c>
    </row>
    <row r="2763" spans="1:15" x14ac:dyDescent="0.35">
      <c r="A2763" s="500" t="s">
        <v>1639</v>
      </c>
      <c r="B2763" s="501">
        <v>4846</v>
      </c>
      <c r="C2763" s="501" t="s">
        <v>1094</v>
      </c>
      <c r="D2763" s="501" t="s">
        <v>3380</v>
      </c>
      <c r="E2763" s="501" t="s">
        <v>3381</v>
      </c>
      <c r="F2763" s="501" t="s">
        <v>585</v>
      </c>
      <c r="G2763" s="501" t="s">
        <v>586</v>
      </c>
      <c r="H2763" s="501" t="s">
        <v>5549</v>
      </c>
      <c r="I2763" s="501">
        <v>178</v>
      </c>
      <c r="J2763" s="501">
        <v>147</v>
      </c>
      <c r="K2763" s="501">
        <v>0</v>
      </c>
      <c r="L2763" s="501">
        <v>0</v>
      </c>
      <c r="M2763" s="501">
        <v>0</v>
      </c>
      <c r="N2763" s="501">
        <v>0</v>
      </c>
      <c r="O2763" s="506">
        <v>31</v>
      </c>
    </row>
    <row r="2764" spans="1:15" x14ac:dyDescent="0.35">
      <c r="A2764" s="503" t="s">
        <v>1209</v>
      </c>
      <c r="B2764" s="504">
        <v>4779</v>
      </c>
      <c r="C2764" s="504" t="s">
        <v>1094</v>
      </c>
      <c r="D2764" s="504" t="s">
        <v>3380</v>
      </c>
      <c r="E2764" s="504" t="s">
        <v>3381</v>
      </c>
      <c r="F2764" s="504" t="s">
        <v>585</v>
      </c>
      <c r="G2764" s="504" t="s">
        <v>586</v>
      </c>
      <c r="H2764" s="504" t="s">
        <v>5550</v>
      </c>
      <c r="I2764" s="504">
        <v>32</v>
      </c>
      <c r="J2764" s="504">
        <v>0</v>
      </c>
      <c r="K2764" s="504">
        <v>0</v>
      </c>
      <c r="L2764" s="504">
        <v>32</v>
      </c>
      <c r="M2764" s="504">
        <v>0</v>
      </c>
      <c r="N2764" s="504">
        <v>0</v>
      </c>
      <c r="O2764" s="505">
        <v>0</v>
      </c>
    </row>
    <row r="2765" spans="1:15" x14ac:dyDescent="0.35">
      <c r="A2765" s="500" t="s">
        <v>14400</v>
      </c>
      <c r="B2765" s="501">
        <v>4727</v>
      </c>
      <c r="C2765" s="501" t="s">
        <v>1089</v>
      </c>
      <c r="D2765" s="501" t="s">
        <v>3392</v>
      </c>
      <c r="E2765" s="501" t="s">
        <v>3381</v>
      </c>
      <c r="F2765" s="501" t="s">
        <v>585</v>
      </c>
      <c r="G2765" s="501" t="s">
        <v>586</v>
      </c>
      <c r="H2765" s="501" t="s">
        <v>14665</v>
      </c>
      <c r="I2765" s="501">
        <v>8</v>
      </c>
      <c r="J2765" s="501">
        <v>0</v>
      </c>
      <c r="K2765" s="501">
        <v>0</v>
      </c>
      <c r="L2765" s="501">
        <v>8</v>
      </c>
      <c r="M2765" s="501">
        <v>0</v>
      </c>
      <c r="N2765" s="501">
        <v>0</v>
      </c>
      <c r="O2765" s="506">
        <v>0</v>
      </c>
    </row>
    <row r="2766" spans="1:15" x14ac:dyDescent="0.35">
      <c r="A2766" s="503" t="s">
        <v>2170</v>
      </c>
      <c r="B2766" s="504" t="s">
        <v>2621</v>
      </c>
      <c r="C2766" s="504" t="s">
        <v>1094</v>
      </c>
      <c r="D2766" s="504" t="s">
        <v>3380</v>
      </c>
      <c r="E2766" s="504" t="s">
        <v>3381</v>
      </c>
      <c r="F2766" s="504" t="s">
        <v>585</v>
      </c>
      <c r="G2766" s="504" t="s">
        <v>586</v>
      </c>
      <c r="H2766" s="504" t="s">
        <v>5551</v>
      </c>
      <c r="I2766" s="504">
        <v>26</v>
      </c>
      <c r="J2766" s="504">
        <v>26</v>
      </c>
      <c r="K2766" s="504">
        <v>0</v>
      </c>
      <c r="L2766" s="504">
        <v>0</v>
      </c>
      <c r="M2766" s="504">
        <v>0</v>
      </c>
      <c r="N2766" s="504">
        <v>0</v>
      </c>
      <c r="O2766" s="505">
        <v>0</v>
      </c>
    </row>
    <row r="2767" spans="1:15" x14ac:dyDescent="0.35">
      <c r="A2767" s="500" t="s">
        <v>1122</v>
      </c>
      <c r="B2767" s="501" t="s">
        <v>2994</v>
      </c>
      <c r="C2767" s="501" t="s">
        <v>1094</v>
      </c>
      <c r="D2767" s="501" t="s">
        <v>3380</v>
      </c>
      <c r="E2767" s="501" t="s">
        <v>3381</v>
      </c>
      <c r="F2767" s="501" t="s">
        <v>585</v>
      </c>
      <c r="G2767" s="501" t="s">
        <v>586</v>
      </c>
      <c r="H2767" s="501" t="s">
        <v>5552</v>
      </c>
      <c r="I2767" s="501">
        <v>377</v>
      </c>
      <c r="J2767" s="501">
        <v>347</v>
      </c>
      <c r="K2767" s="501">
        <v>0</v>
      </c>
      <c r="L2767" s="501">
        <v>8</v>
      </c>
      <c r="M2767" s="501">
        <v>0</v>
      </c>
      <c r="N2767" s="501">
        <v>0</v>
      </c>
      <c r="O2767" s="506">
        <v>22</v>
      </c>
    </row>
    <row r="2768" spans="1:15" x14ac:dyDescent="0.35">
      <c r="A2768" s="503" t="s">
        <v>1225</v>
      </c>
      <c r="B2768" s="504" t="s">
        <v>3315</v>
      </c>
      <c r="C2768" s="504" t="s">
        <v>1094</v>
      </c>
      <c r="D2768" s="504" t="s">
        <v>3380</v>
      </c>
      <c r="E2768" s="504" t="s">
        <v>3381</v>
      </c>
      <c r="F2768" s="504" t="s">
        <v>585</v>
      </c>
      <c r="G2768" s="504" t="s">
        <v>586</v>
      </c>
      <c r="H2768" s="504" t="s">
        <v>5553</v>
      </c>
      <c r="I2768" s="504">
        <v>45</v>
      </c>
      <c r="J2768" s="504">
        <v>2</v>
      </c>
      <c r="K2768" s="504">
        <v>0</v>
      </c>
      <c r="L2768" s="504">
        <v>43</v>
      </c>
      <c r="M2768" s="504">
        <v>0</v>
      </c>
      <c r="N2768" s="504">
        <v>0</v>
      </c>
      <c r="O2768" s="505">
        <v>0</v>
      </c>
    </row>
    <row r="2769" spans="1:15" x14ac:dyDescent="0.35">
      <c r="A2769" s="500" t="s">
        <v>1648</v>
      </c>
      <c r="B2769" s="501" t="s">
        <v>2496</v>
      </c>
      <c r="C2769" s="501" t="s">
        <v>1094</v>
      </c>
      <c r="D2769" s="501" t="s">
        <v>3380</v>
      </c>
      <c r="E2769" s="501" t="s">
        <v>3381</v>
      </c>
      <c r="F2769" s="501" t="s">
        <v>585</v>
      </c>
      <c r="G2769" s="501" t="s">
        <v>586</v>
      </c>
      <c r="H2769" s="501" t="s">
        <v>5554</v>
      </c>
      <c r="I2769" s="501">
        <v>90</v>
      </c>
      <c r="J2769" s="501">
        <v>12</v>
      </c>
      <c r="K2769" s="501">
        <v>0</v>
      </c>
      <c r="L2769" s="501">
        <v>36</v>
      </c>
      <c r="M2769" s="501">
        <v>42</v>
      </c>
      <c r="N2769" s="501">
        <v>0</v>
      </c>
      <c r="O2769" s="506">
        <v>0</v>
      </c>
    </row>
    <row r="2770" spans="1:15" x14ac:dyDescent="0.35">
      <c r="A2770" s="503" t="s">
        <v>1124</v>
      </c>
      <c r="B2770" s="504">
        <v>4745</v>
      </c>
      <c r="C2770" s="504" t="s">
        <v>1094</v>
      </c>
      <c r="D2770" s="504" t="s">
        <v>3380</v>
      </c>
      <c r="E2770" s="504" t="s">
        <v>3381</v>
      </c>
      <c r="F2770" s="504" t="s">
        <v>585</v>
      </c>
      <c r="G2770" s="504" t="s">
        <v>586</v>
      </c>
      <c r="H2770" s="504" t="s">
        <v>5555</v>
      </c>
      <c r="I2770" s="504">
        <v>14</v>
      </c>
      <c r="J2770" s="504">
        <v>0</v>
      </c>
      <c r="K2770" s="504">
        <v>0</v>
      </c>
      <c r="L2770" s="504">
        <v>14</v>
      </c>
      <c r="M2770" s="504">
        <v>0</v>
      </c>
      <c r="N2770" s="504">
        <v>0</v>
      </c>
      <c r="O2770" s="505">
        <v>0</v>
      </c>
    </row>
    <row r="2771" spans="1:15" x14ac:dyDescent="0.35">
      <c r="A2771" s="500" t="s">
        <v>1233</v>
      </c>
      <c r="B2771" s="501">
        <v>4636</v>
      </c>
      <c r="C2771" s="501" t="s">
        <v>1094</v>
      </c>
      <c r="D2771" s="501" t="s">
        <v>3380</v>
      </c>
      <c r="E2771" s="501" t="s">
        <v>3381</v>
      </c>
      <c r="F2771" s="501" t="s">
        <v>585</v>
      </c>
      <c r="G2771" s="501" t="s">
        <v>586</v>
      </c>
      <c r="H2771" s="501" t="s">
        <v>14666</v>
      </c>
      <c r="I2771" s="501">
        <v>31</v>
      </c>
      <c r="J2771" s="501">
        <v>25</v>
      </c>
      <c r="K2771" s="501">
        <v>0</v>
      </c>
      <c r="L2771" s="501">
        <v>0</v>
      </c>
      <c r="M2771" s="501">
        <v>0</v>
      </c>
      <c r="N2771" s="501">
        <v>0</v>
      </c>
      <c r="O2771" s="506">
        <v>6</v>
      </c>
    </row>
    <row r="2772" spans="1:15" x14ac:dyDescent="0.35">
      <c r="A2772" s="503" t="s">
        <v>11368</v>
      </c>
      <c r="B2772" s="504">
        <v>5083</v>
      </c>
      <c r="C2772" s="504" t="s">
        <v>1094</v>
      </c>
      <c r="D2772" s="504" t="s">
        <v>3380</v>
      </c>
      <c r="E2772" s="504" t="s">
        <v>3381</v>
      </c>
      <c r="F2772" s="504" t="s">
        <v>585</v>
      </c>
      <c r="G2772" s="504" t="s">
        <v>586</v>
      </c>
      <c r="H2772" s="504" t="s">
        <v>14667</v>
      </c>
      <c r="I2772" s="504">
        <v>2</v>
      </c>
      <c r="J2772" s="504">
        <v>2</v>
      </c>
      <c r="K2772" s="504">
        <v>0</v>
      </c>
      <c r="L2772" s="504">
        <v>0</v>
      </c>
      <c r="M2772" s="504">
        <v>0</v>
      </c>
      <c r="N2772" s="504">
        <v>0</v>
      </c>
      <c r="O2772" s="505">
        <v>0</v>
      </c>
    </row>
    <row r="2773" spans="1:15" x14ac:dyDescent="0.35">
      <c r="A2773" s="500" t="s">
        <v>1235</v>
      </c>
      <c r="B2773" s="501">
        <v>4684</v>
      </c>
      <c r="C2773" s="501" t="s">
        <v>1094</v>
      </c>
      <c r="D2773" s="501" t="s">
        <v>3380</v>
      </c>
      <c r="E2773" s="501" t="s">
        <v>3381</v>
      </c>
      <c r="F2773" s="501" t="s">
        <v>585</v>
      </c>
      <c r="G2773" s="501" t="s">
        <v>586</v>
      </c>
      <c r="H2773" s="501" t="s">
        <v>5556</v>
      </c>
      <c r="I2773" s="501">
        <v>3</v>
      </c>
      <c r="J2773" s="501">
        <v>3</v>
      </c>
      <c r="K2773" s="501">
        <v>0</v>
      </c>
      <c r="L2773" s="501">
        <v>0</v>
      </c>
      <c r="M2773" s="501">
        <v>0</v>
      </c>
      <c r="N2773" s="501">
        <v>0</v>
      </c>
      <c r="O2773" s="506">
        <v>0</v>
      </c>
    </row>
    <row r="2774" spans="1:15" x14ac:dyDescent="0.35">
      <c r="A2774" s="503" t="s">
        <v>1126</v>
      </c>
      <c r="B2774" s="504" t="s">
        <v>2974</v>
      </c>
      <c r="C2774" s="504" t="s">
        <v>1094</v>
      </c>
      <c r="D2774" s="504" t="s">
        <v>3380</v>
      </c>
      <c r="E2774" s="504" t="s">
        <v>3381</v>
      </c>
      <c r="F2774" s="504" t="s">
        <v>585</v>
      </c>
      <c r="G2774" s="504" t="s">
        <v>586</v>
      </c>
      <c r="H2774" s="504" t="s">
        <v>5557</v>
      </c>
      <c r="I2774" s="504">
        <v>340</v>
      </c>
      <c r="J2774" s="504">
        <v>224</v>
      </c>
      <c r="K2774" s="504">
        <v>0</v>
      </c>
      <c r="L2774" s="504">
        <v>35</v>
      </c>
      <c r="M2774" s="504">
        <v>49</v>
      </c>
      <c r="N2774" s="504">
        <v>0</v>
      </c>
      <c r="O2774" s="505">
        <v>32</v>
      </c>
    </row>
    <row r="2775" spans="1:15" x14ac:dyDescent="0.35">
      <c r="A2775" s="500" t="s">
        <v>2174</v>
      </c>
      <c r="B2775" s="501" t="s">
        <v>2677</v>
      </c>
      <c r="C2775" s="501" t="s">
        <v>1089</v>
      </c>
      <c r="D2775" s="501" t="s">
        <v>3392</v>
      </c>
      <c r="E2775" s="501" t="s">
        <v>3381</v>
      </c>
      <c r="F2775" s="501" t="s">
        <v>585</v>
      </c>
      <c r="G2775" s="501" t="s">
        <v>586</v>
      </c>
      <c r="H2775" s="501" t="s">
        <v>5558</v>
      </c>
      <c r="I2775" s="501">
        <v>78</v>
      </c>
      <c r="J2775" s="501">
        <v>41</v>
      </c>
      <c r="K2775" s="501">
        <v>0</v>
      </c>
      <c r="L2775" s="501">
        <v>0</v>
      </c>
      <c r="M2775" s="501">
        <v>37</v>
      </c>
      <c r="N2775" s="501">
        <v>0</v>
      </c>
      <c r="O2775" s="506">
        <v>0</v>
      </c>
    </row>
    <row r="2776" spans="1:15" x14ac:dyDescent="0.35">
      <c r="A2776" s="503" t="s">
        <v>1245</v>
      </c>
      <c r="B2776" s="504" t="s">
        <v>2859</v>
      </c>
      <c r="C2776" s="504" t="s">
        <v>1094</v>
      </c>
      <c r="D2776" s="504" t="s">
        <v>3380</v>
      </c>
      <c r="E2776" s="504" t="s">
        <v>3381</v>
      </c>
      <c r="F2776" s="504" t="s">
        <v>585</v>
      </c>
      <c r="G2776" s="504" t="s">
        <v>586</v>
      </c>
      <c r="H2776" s="504" t="s">
        <v>5559</v>
      </c>
      <c r="I2776" s="504">
        <v>15</v>
      </c>
      <c r="J2776" s="504">
        <v>0</v>
      </c>
      <c r="K2776" s="504">
        <v>0</v>
      </c>
      <c r="L2776" s="504">
        <v>0</v>
      </c>
      <c r="M2776" s="504">
        <v>15</v>
      </c>
      <c r="N2776" s="504">
        <v>0</v>
      </c>
      <c r="O2776" s="505">
        <v>0</v>
      </c>
    </row>
    <row r="2777" spans="1:15" x14ac:dyDescent="0.35">
      <c r="A2777" s="500" t="s">
        <v>1253</v>
      </c>
      <c r="B2777" s="501" t="s">
        <v>3232</v>
      </c>
      <c r="C2777" s="501" t="s">
        <v>1094</v>
      </c>
      <c r="D2777" s="501" t="s">
        <v>3380</v>
      </c>
      <c r="E2777" s="501" t="s">
        <v>3381</v>
      </c>
      <c r="F2777" s="501" t="s">
        <v>585</v>
      </c>
      <c r="G2777" s="501" t="s">
        <v>586</v>
      </c>
      <c r="H2777" s="501" t="s">
        <v>5560</v>
      </c>
      <c r="I2777" s="501">
        <v>53</v>
      </c>
      <c r="J2777" s="501">
        <v>53</v>
      </c>
      <c r="K2777" s="501">
        <v>0</v>
      </c>
      <c r="L2777" s="501">
        <v>0</v>
      </c>
      <c r="M2777" s="501">
        <v>0</v>
      </c>
      <c r="N2777" s="501">
        <v>0</v>
      </c>
      <c r="O2777" s="506">
        <v>0</v>
      </c>
    </row>
    <row r="2778" spans="1:15" x14ac:dyDescent="0.35">
      <c r="A2778" s="503" t="s">
        <v>1368</v>
      </c>
      <c r="B2778" s="504" t="s">
        <v>3220</v>
      </c>
      <c r="C2778" s="504" t="s">
        <v>1094</v>
      </c>
      <c r="D2778" s="504" t="s">
        <v>3380</v>
      </c>
      <c r="E2778" s="504" t="s">
        <v>3381</v>
      </c>
      <c r="F2778" s="504" t="s">
        <v>585</v>
      </c>
      <c r="G2778" s="504" t="s">
        <v>586</v>
      </c>
      <c r="H2778" s="504" t="s">
        <v>14668</v>
      </c>
      <c r="I2778" s="504">
        <v>6</v>
      </c>
      <c r="J2778" s="504">
        <v>6</v>
      </c>
      <c r="K2778" s="504">
        <v>0</v>
      </c>
      <c r="L2778" s="504">
        <v>0</v>
      </c>
      <c r="M2778" s="504">
        <v>0</v>
      </c>
      <c r="N2778" s="504">
        <v>0</v>
      </c>
      <c r="O2778" s="505">
        <v>0</v>
      </c>
    </row>
    <row r="2779" spans="1:15" x14ac:dyDescent="0.35">
      <c r="A2779" s="500" t="s">
        <v>1257</v>
      </c>
      <c r="B2779" s="501" t="s">
        <v>3151</v>
      </c>
      <c r="C2779" s="501" t="s">
        <v>1094</v>
      </c>
      <c r="D2779" s="501" t="s">
        <v>3380</v>
      </c>
      <c r="E2779" s="501" t="s">
        <v>3381</v>
      </c>
      <c r="F2779" s="501" t="s">
        <v>585</v>
      </c>
      <c r="G2779" s="501" t="s">
        <v>586</v>
      </c>
      <c r="H2779" s="501" t="s">
        <v>5561</v>
      </c>
      <c r="I2779" s="501">
        <v>583</v>
      </c>
      <c r="J2779" s="501">
        <v>545</v>
      </c>
      <c r="K2779" s="501">
        <v>0</v>
      </c>
      <c r="L2779" s="501">
        <v>10</v>
      </c>
      <c r="M2779" s="501">
        <v>0</v>
      </c>
      <c r="N2779" s="501">
        <v>0</v>
      </c>
      <c r="O2779" s="506">
        <v>28</v>
      </c>
    </row>
    <row r="2780" spans="1:15" x14ac:dyDescent="0.35">
      <c r="A2780" s="503" t="s">
        <v>2187</v>
      </c>
      <c r="B2780" s="504" t="s">
        <v>3193</v>
      </c>
      <c r="C2780" s="504" t="s">
        <v>1094</v>
      </c>
      <c r="D2780" s="504" t="s">
        <v>3380</v>
      </c>
      <c r="E2780" s="504" t="s">
        <v>3381</v>
      </c>
      <c r="F2780" s="504" t="s">
        <v>585</v>
      </c>
      <c r="G2780" s="504" t="s">
        <v>586</v>
      </c>
      <c r="H2780" s="504" t="s">
        <v>5562</v>
      </c>
      <c r="I2780" s="504">
        <v>432</v>
      </c>
      <c r="J2780" s="504">
        <v>324</v>
      </c>
      <c r="K2780" s="504">
        <v>0</v>
      </c>
      <c r="L2780" s="504">
        <v>0</v>
      </c>
      <c r="M2780" s="504">
        <v>0</v>
      </c>
      <c r="N2780" s="504">
        <v>0</v>
      </c>
      <c r="O2780" s="505">
        <v>108</v>
      </c>
    </row>
    <row r="2781" spans="1:15" x14ac:dyDescent="0.35">
      <c r="A2781" s="500" t="s">
        <v>1262</v>
      </c>
      <c r="B2781" s="501">
        <v>4772</v>
      </c>
      <c r="C2781" s="501" t="s">
        <v>1089</v>
      </c>
      <c r="D2781" s="501" t="s">
        <v>3392</v>
      </c>
      <c r="E2781" s="501" t="s">
        <v>3381</v>
      </c>
      <c r="F2781" s="501" t="s">
        <v>585</v>
      </c>
      <c r="G2781" s="501" t="s">
        <v>586</v>
      </c>
      <c r="H2781" s="501" t="s">
        <v>5563</v>
      </c>
      <c r="I2781" s="501">
        <v>3</v>
      </c>
      <c r="J2781" s="501">
        <v>0</v>
      </c>
      <c r="K2781" s="501">
        <v>0</v>
      </c>
      <c r="L2781" s="501">
        <v>3</v>
      </c>
      <c r="M2781" s="501">
        <v>0</v>
      </c>
      <c r="N2781" s="501">
        <v>0</v>
      </c>
      <c r="O2781" s="506">
        <v>0</v>
      </c>
    </row>
    <row r="2782" spans="1:15" x14ac:dyDescent="0.35">
      <c r="A2782" s="503" t="s">
        <v>14389</v>
      </c>
      <c r="B2782" s="504" t="s">
        <v>2910</v>
      </c>
      <c r="C2782" s="504" t="s">
        <v>1089</v>
      </c>
      <c r="D2782" s="504" t="s">
        <v>3392</v>
      </c>
      <c r="E2782" s="504" t="s">
        <v>3381</v>
      </c>
      <c r="F2782" s="504" t="s">
        <v>585</v>
      </c>
      <c r="G2782" s="504" t="s">
        <v>586</v>
      </c>
      <c r="H2782" s="504" t="s">
        <v>14669</v>
      </c>
      <c r="I2782" s="504">
        <v>21</v>
      </c>
      <c r="J2782" s="504">
        <v>0</v>
      </c>
      <c r="K2782" s="504">
        <v>0</v>
      </c>
      <c r="L2782" s="504">
        <v>21</v>
      </c>
      <c r="M2782" s="504">
        <v>0</v>
      </c>
      <c r="N2782" s="504">
        <v>0</v>
      </c>
      <c r="O2782" s="505">
        <v>0</v>
      </c>
    </row>
    <row r="2783" spans="1:15" x14ac:dyDescent="0.35">
      <c r="A2783" s="500" t="s">
        <v>2191</v>
      </c>
      <c r="B2783" s="501" t="s">
        <v>3033</v>
      </c>
      <c r="C2783" s="501" t="s">
        <v>1089</v>
      </c>
      <c r="D2783" s="501" t="s">
        <v>3392</v>
      </c>
      <c r="E2783" s="501" t="s">
        <v>3381</v>
      </c>
      <c r="F2783" s="501" t="s">
        <v>585</v>
      </c>
      <c r="G2783" s="501" t="s">
        <v>586</v>
      </c>
      <c r="H2783" s="501" t="s">
        <v>5564</v>
      </c>
      <c r="I2783" s="501">
        <v>59</v>
      </c>
      <c r="J2783" s="501">
        <v>44</v>
      </c>
      <c r="K2783" s="501">
        <v>0</v>
      </c>
      <c r="L2783" s="501">
        <v>15</v>
      </c>
      <c r="M2783" s="501">
        <v>0</v>
      </c>
      <c r="N2783" s="501">
        <v>0</v>
      </c>
      <c r="O2783" s="506">
        <v>0</v>
      </c>
    </row>
    <row r="2784" spans="1:15" x14ac:dyDescent="0.35">
      <c r="A2784" s="503" t="s">
        <v>1789</v>
      </c>
      <c r="B2784" s="504" t="s">
        <v>3219</v>
      </c>
      <c r="C2784" s="504" t="s">
        <v>1094</v>
      </c>
      <c r="D2784" s="504" t="s">
        <v>3380</v>
      </c>
      <c r="E2784" s="504" t="s">
        <v>3381</v>
      </c>
      <c r="F2784" s="504" t="s">
        <v>585</v>
      </c>
      <c r="G2784" s="504" t="s">
        <v>586</v>
      </c>
      <c r="H2784" s="504" t="s">
        <v>5565</v>
      </c>
      <c r="I2784" s="504">
        <v>376</v>
      </c>
      <c r="J2784" s="504">
        <v>312</v>
      </c>
      <c r="K2784" s="504">
        <v>0</v>
      </c>
      <c r="L2784" s="504">
        <v>0</v>
      </c>
      <c r="M2784" s="504">
        <v>0</v>
      </c>
      <c r="N2784" s="504">
        <v>0</v>
      </c>
      <c r="O2784" s="505">
        <v>64</v>
      </c>
    </row>
    <row r="2785" spans="1:15" x14ac:dyDescent="0.35">
      <c r="A2785" s="500" t="s">
        <v>1093</v>
      </c>
      <c r="B2785" s="501" t="s">
        <v>3248</v>
      </c>
      <c r="C2785" s="501" t="s">
        <v>1094</v>
      </c>
      <c r="D2785" s="501" t="s">
        <v>3380</v>
      </c>
      <c r="E2785" s="501" t="s">
        <v>3381</v>
      </c>
      <c r="F2785" s="501" t="s">
        <v>587</v>
      </c>
      <c r="G2785" s="501" t="s">
        <v>588</v>
      </c>
      <c r="H2785" s="501" t="s">
        <v>5566</v>
      </c>
      <c r="I2785" s="501">
        <v>1</v>
      </c>
      <c r="J2785" s="501">
        <v>0</v>
      </c>
      <c r="K2785" s="501">
        <v>0</v>
      </c>
      <c r="L2785" s="501">
        <v>0</v>
      </c>
      <c r="M2785" s="501">
        <v>0</v>
      </c>
      <c r="N2785" s="501">
        <v>0</v>
      </c>
      <c r="O2785" s="506">
        <v>1</v>
      </c>
    </row>
    <row r="2786" spans="1:15" x14ac:dyDescent="0.35">
      <c r="A2786" s="503" t="s">
        <v>1096</v>
      </c>
      <c r="B2786" s="504" t="s">
        <v>3326</v>
      </c>
      <c r="C2786" s="504" t="s">
        <v>1094</v>
      </c>
      <c r="D2786" s="504" t="s">
        <v>3380</v>
      </c>
      <c r="E2786" s="504" t="s">
        <v>3381</v>
      </c>
      <c r="F2786" s="504" t="s">
        <v>587</v>
      </c>
      <c r="G2786" s="504" t="s">
        <v>588</v>
      </c>
      <c r="H2786" s="504" t="s">
        <v>5567</v>
      </c>
      <c r="I2786" s="504">
        <v>50</v>
      </c>
      <c r="J2786" s="504">
        <v>0</v>
      </c>
      <c r="K2786" s="504">
        <v>0</v>
      </c>
      <c r="L2786" s="504">
        <v>0</v>
      </c>
      <c r="M2786" s="504">
        <v>50</v>
      </c>
      <c r="N2786" s="504">
        <v>0</v>
      </c>
      <c r="O2786" s="505">
        <v>0</v>
      </c>
    </row>
    <row r="2787" spans="1:15" x14ac:dyDescent="0.35">
      <c r="A2787" s="500" t="s">
        <v>1672</v>
      </c>
      <c r="B2787" s="501" t="s">
        <v>3166</v>
      </c>
      <c r="C2787" s="501" t="s">
        <v>1094</v>
      </c>
      <c r="D2787" s="501" t="s">
        <v>3380</v>
      </c>
      <c r="E2787" s="501" t="s">
        <v>3381</v>
      </c>
      <c r="F2787" s="501" t="s">
        <v>587</v>
      </c>
      <c r="G2787" s="501" t="s">
        <v>588</v>
      </c>
      <c r="H2787" s="501" t="s">
        <v>5568</v>
      </c>
      <c r="I2787" s="501">
        <v>31</v>
      </c>
      <c r="J2787" s="501">
        <v>20</v>
      </c>
      <c r="K2787" s="501">
        <v>0</v>
      </c>
      <c r="L2787" s="501">
        <v>0</v>
      </c>
      <c r="M2787" s="501">
        <v>0</v>
      </c>
      <c r="N2787" s="501">
        <v>0</v>
      </c>
      <c r="O2787" s="506">
        <v>11</v>
      </c>
    </row>
    <row r="2788" spans="1:15" x14ac:dyDescent="0.35">
      <c r="A2788" s="503" t="s">
        <v>1164</v>
      </c>
      <c r="B2788" s="504">
        <v>4751</v>
      </c>
      <c r="C2788" s="504" t="s">
        <v>1089</v>
      </c>
      <c r="D2788" s="504" t="s">
        <v>3392</v>
      </c>
      <c r="E2788" s="504" t="s">
        <v>3381</v>
      </c>
      <c r="F2788" s="504" t="s">
        <v>587</v>
      </c>
      <c r="G2788" s="504" t="s">
        <v>588</v>
      </c>
      <c r="H2788" s="504" t="s">
        <v>5569</v>
      </c>
      <c r="I2788" s="504">
        <v>3</v>
      </c>
      <c r="J2788" s="504">
        <v>0</v>
      </c>
      <c r="K2788" s="504">
        <v>0</v>
      </c>
      <c r="L2788" s="504">
        <v>3</v>
      </c>
      <c r="M2788" s="504">
        <v>0</v>
      </c>
      <c r="N2788" s="504">
        <v>0</v>
      </c>
      <c r="O2788" s="505">
        <v>0</v>
      </c>
    </row>
    <row r="2789" spans="1:15" x14ac:dyDescent="0.35">
      <c r="A2789" s="500" t="s">
        <v>1171</v>
      </c>
      <c r="B2789" s="501" t="s">
        <v>3003</v>
      </c>
      <c r="C2789" s="501" t="s">
        <v>1094</v>
      </c>
      <c r="D2789" s="501" t="s">
        <v>3380</v>
      </c>
      <c r="E2789" s="501" t="s">
        <v>3381</v>
      </c>
      <c r="F2789" s="501" t="s">
        <v>587</v>
      </c>
      <c r="G2789" s="501" t="s">
        <v>588</v>
      </c>
      <c r="H2789" s="501" t="s">
        <v>5570</v>
      </c>
      <c r="I2789" s="501">
        <v>17</v>
      </c>
      <c r="J2789" s="501">
        <v>16</v>
      </c>
      <c r="K2789" s="501">
        <v>0</v>
      </c>
      <c r="L2789" s="501">
        <v>0</v>
      </c>
      <c r="M2789" s="501">
        <v>0</v>
      </c>
      <c r="N2789" s="501">
        <v>0</v>
      </c>
      <c r="O2789" s="506">
        <v>1</v>
      </c>
    </row>
    <row r="2790" spans="1:15" x14ac:dyDescent="0.35">
      <c r="A2790" s="503" t="s">
        <v>1173</v>
      </c>
      <c r="B2790" s="504">
        <v>4775</v>
      </c>
      <c r="C2790" s="504" t="s">
        <v>1094</v>
      </c>
      <c r="D2790" s="504" t="s">
        <v>3380</v>
      </c>
      <c r="E2790" s="504" t="s">
        <v>3381</v>
      </c>
      <c r="F2790" s="504" t="s">
        <v>587</v>
      </c>
      <c r="G2790" s="504" t="s">
        <v>588</v>
      </c>
      <c r="H2790" s="504" t="s">
        <v>5571</v>
      </c>
      <c r="I2790" s="504">
        <v>1</v>
      </c>
      <c r="J2790" s="504">
        <v>0</v>
      </c>
      <c r="K2790" s="504">
        <v>0</v>
      </c>
      <c r="L2790" s="504">
        <v>0</v>
      </c>
      <c r="M2790" s="504">
        <v>0</v>
      </c>
      <c r="N2790" s="504">
        <v>0</v>
      </c>
      <c r="O2790" s="505">
        <v>1</v>
      </c>
    </row>
    <row r="2791" spans="1:15" x14ac:dyDescent="0.35">
      <c r="A2791" s="500" t="s">
        <v>14208</v>
      </c>
      <c r="B2791" s="501">
        <v>4803</v>
      </c>
      <c r="C2791" s="501" t="s">
        <v>1094</v>
      </c>
      <c r="D2791" s="501" t="s">
        <v>3380</v>
      </c>
      <c r="E2791" s="501" t="s">
        <v>3381</v>
      </c>
      <c r="F2791" s="501" t="s">
        <v>587</v>
      </c>
      <c r="G2791" s="501" t="s">
        <v>588</v>
      </c>
      <c r="H2791" s="501" t="s">
        <v>14670</v>
      </c>
      <c r="I2791" s="501">
        <v>2</v>
      </c>
      <c r="J2791" s="501">
        <v>0</v>
      </c>
      <c r="K2791" s="501">
        <v>0</v>
      </c>
      <c r="L2791" s="501">
        <v>2</v>
      </c>
      <c r="M2791" s="501">
        <v>0</v>
      </c>
      <c r="N2791" s="501">
        <v>0</v>
      </c>
      <c r="O2791" s="506">
        <v>0</v>
      </c>
    </row>
    <row r="2792" spans="1:15" x14ac:dyDescent="0.35">
      <c r="A2792" s="503" t="s">
        <v>1105</v>
      </c>
      <c r="B2792" s="504">
        <v>4668</v>
      </c>
      <c r="C2792" s="504" t="s">
        <v>1094</v>
      </c>
      <c r="D2792" s="504" t="s">
        <v>3380</v>
      </c>
      <c r="E2792" s="504" t="s">
        <v>3381</v>
      </c>
      <c r="F2792" s="504" t="s">
        <v>587</v>
      </c>
      <c r="G2792" s="504" t="s">
        <v>588</v>
      </c>
      <c r="H2792" s="504" t="s">
        <v>5572</v>
      </c>
      <c r="I2792" s="504">
        <v>14</v>
      </c>
      <c r="J2792" s="504">
        <v>0</v>
      </c>
      <c r="K2792" s="504">
        <v>0</v>
      </c>
      <c r="L2792" s="504">
        <v>0</v>
      </c>
      <c r="M2792" s="504">
        <v>0</v>
      </c>
      <c r="N2792" s="504">
        <v>0</v>
      </c>
      <c r="O2792" s="505">
        <v>14</v>
      </c>
    </row>
    <row r="2793" spans="1:15" x14ac:dyDescent="0.35">
      <c r="A2793" s="500" t="s">
        <v>1109</v>
      </c>
      <c r="B2793" s="501" t="s">
        <v>2959</v>
      </c>
      <c r="C2793" s="501" t="s">
        <v>1094</v>
      </c>
      <c r="D2793" s="501" t="s">
        <v>3380</v>
      </c>
      <c r="E2793" s="501" t="s">
        <v>3381</v>
      </c>
      <c r="F2793" s="501" t="s">
        <v>587</v>
      </c>
      <c r="G2793" s="501" t="s">
        <v>588</v>
      </c>
      <c r="H2793" s="501" t="s">
        <v>5573</v>
      </c>
      <c r="I2793" s="501">
        <v>39</v>
      </c>
      <c r="J2793" s="501">
        <v>0</v>
      </c>
      <c r="K2793" s="501">
        <v>0</v>
      </c>
      <c r="L2793" s="501">
        <v>0</v>
      </c>
      <c r="M2793" s="501">
        <v>39</v>
      </c>
      <c r="N2793" s="501">
        <v>0</v>
      </c>
      <c r="O2793" s="506">
        <v>0</v>
      </c>
    </row>
    <row r="2794" spans="1:15" x14ac:dyDescent="0.35">
      <c r="A2794" s="503" t="s">
        <v>1190</v>
      </c>
      <c r="B2794" s="504">
        <v>4662</v>
      </c>
      <c r="C2794" s="504" t="s">
        <v>1094</v>
      </c>
      <c r="D2794" s="504" t="s">
        <v>3380</v>
      </c>
      <c r="E2794" s="504" t="s">
        <v>3381</v>
      </c>
      <c r="F2794" s="504" t="s">
        <v>587</v>
      </c>
      <c r="G2794" s="504" t="s">
        <v>588</v>
      </c>
      <c r="H2794" s="504" t="s">
        <v>11767</v>
      </c>
      <c r="I2794" s="504">
        <v>3</v>
      </c>
      <c r="J2794" s="504">
        <v>0</v>
      </c>
      <c r="K2794" s="504">
        <v>0</v>
      </c>
      <c r="L2794" s="504">
        <v>3</v>
      </c>
      <c r="M2794" s="504">
        <v>0</v>
      </c>
      <c r="N2794" s="504">
        <v>0</v>
      </c>
      <c r="O2794" s="505">
        <v>0</v>
      </c>
    </row>
    <row r="2795" spans="1:15" x14ac:dyDescent="0.35">
      <c r="A2795" s="500" t="s">
        <v>1112</v>
      </c>
      <c r="B2795" s="501" t="s">
        <v>3008</v>
      </c>
      <c r="C2795" s="501" t="s">
        <v>1094</v>
      </c>
      <c r="D2795" s="501" t="s">
        <v>3380</v>
      </c>
      <c r="E2795" s="501" t="s">
        <v>3381</v>
      </c>
      <c r="F2795" s="501" t="s">
        <v>587</v>
      </c>
      <c r="G2795" s="501" t="s">
        <v>588</v>
      </c>
      <c r="H2795" s="501" t="s">
        <v>5574</v>
      </c>
      <c r="I2795" s="501">
        <v>47</v>
      </c>
      <c r="J2795" s="501">
        <v>17</v>
      </c>
      <c r="K2795" s="501">
        <v>0</v>
      </c>
      <c r="L2795" s="501">
        <v>11</v>
      </c>
      <c r="M2795" s="501">
        <v>19</v>
      </c>
      <c r="N2795" s="501">
        <v>0</v>
      </c>
      <c r="O2795" s="506">
        <v>0</v>
      </c>
    </row>
    <row r="2796" spans="1:15" x14ac:dyDescent="0.35">
      <c r="A2796" s="503" t="s">
        <v>1207</v>
      </c>
      <c r="B2796" s="504" t="s">
        <v>3202</v>
      </c>
      <c r="C2796" s="504" t="s">
        <v>1094</v>
      </c>
      <c r="D2796" s="504" t="s">
        <v>3380</v>
      </c>
      <c r="E2796" s="504" t="s">
        <v>3381</v>
      </c>
      <c r="F2796" s="504" t="s">
        <v>587</v>
      </c>
      <c r="G2796" s="504" t="s">
        <v>588</v>
      </c>
      <c r="H2796" s="504" t="s">
        <v>5575</v>
      </c>
      <c r="I2796" s="504">
        <v>894</v>
      </c>
      <c r="J2796" s="504">
        <v>631</v>
      </c>
      <c r="K2796" s="504">
        <v>0</v>
      </c>
      <c r="L2796" s="504">
        <v>87</v>
      </c>
      <c r="M2796" s="504">
        <v>60</v>
      </c>
      <c r="N2796" s="504">
        <v>0</v>
      </c>
      <c r="O2796" s="505">
        <v>116</v>
      </c>
    </row>
    <row r="2797" spans="1:15" x14ac:dyDescent="0.35">
      <c r="A2797" s="500" t="s">
        <v>1226</v>
      </c>
      <c r="B2797" s="501">
        <v>5084</v>
      </c>
      <c r="C2797" s="501" t="s">
        <v>1094</v>
      </c>
      <c r="D2797" s="501" t="s">
        <v>3380</v>
      </c>
      <c r="E2797" s="501" t="s">
        <v>3381</v>
      </c>
      <c r="F2797" s="501" t="s">
        <v>587</v>
      </c>
      <c r="G2797" s="501" t="s">
        <v>588</v>
      </c>
      <c r="H2797" s="501" t="s">
        <v>5576</v>
      </c>
      <c r="I2797" s="501">
        <v>103</v>
      </c>
      <c r="J2797" s="501">
        <v>98</v>
      </c>
      <c r="K2797" s="501">
        <v>0</v>
      </c>
      <c r="L2797" s="501">
        <v>0</v>
      </c>
      <c r="M2797" s="501">
        <v>0</v>
      </c>
      <c r="N2797" s="501">
        <v>0</v>
      </c>
      <c r="O2797" s="506">
        <v>5</v>
      </c>
    </row>
    <row r="2798" spans="1:15" x14ac:dyDescent="0.35">
      <c r="A2798" s="503" t="s">
        <v>1233</v>
      </c>
      <c r="B2798" s="504">
        <v>4636</v>
      </c>
      <c r="C2798" s="504" t="s">
        <v>1094</v>
      </c>
      <c r="D2798" s="504" t="s">
        <v>3380</v>
      </c>
      <c r="E2798" s="504" t="s">
        <v>3381</v>
      </c>
      <c r="F2798" s="504" t="s">
        <v>587</v>
      </c>
      <c r="G2798" s="504" t="s">
        <v>588</v>
      </c>
      <c r="H2798" s="504" t="s">
        <v>5577</v>
      </c>
      <c r="I2798" s="504">
        <v>27</v>
      </c>
      <c r="J2798" s="504">
        <v>8</v>
      </c>
      <c r="K2798" s="504">
        <v>0</v>
      </c>
      <c r="L2798" s="504">
        <v>0</v>
      </c>
      <c r="M2798" s="504">
        <v>0</v>
      </c>
      <c r="N2798" s="504">
        <v>0</v>
      </c>
      <c r="O2798" s="505">
        <v>19</v>
      </c>
    </row>
    <row r="2799" spans="1:15" x14ac:dyDescent="0.35">
      <c r="A2799" s="500" t="s">
        <v>11368</v>
      </c>
      <c r="B2799" s="501">
        <v>5083</v>
      </c>
      <c r="C2799" s="501" t="s">
        <v>1094</v>
      </c>
      <c r="D2799" s="501" t="s">
        <v>3380</v>
      </c>
      <c r="E2799" s="501" t="s">
        <v>3381</v>
      </c>
      <c r="F2799" s="501" t="s">
        <v>587</v>
      </c>
      <c r="G2799" s="501" t="s">
        <v>588</v>
      </c>
      <c r="H2799" s="501" t="s">
        <v>14671</v>
      </c>
      <c r="I2799" s="501">
        <v>4</v>
      </c>
      <c r="J2799" s="501">
        <v>4</v>
      </c>
      <c r="K2799" s="501">
        <v>0</v>
      </c>
      <c r="L2799" s="501">
        <v>0</v>
      </c>
      <c r="M2799" s="501">
        <v>0</v>
      </c>
      <c r="N2799" s="501">
        <v>0</v>
      </c>
      <c r="O2799" s="506">
        <v>0</v>
      </c>
    </row>
    <row r="2800" spans="1:15" x14ac:dyDescent="0.35">
      <c r="A2800" s="503" t="s">
        <v>1126</v>
      </c>
      <c r="B2800" s="504" t="s">
        <v>2974</v>
      </c>
      <c r="C2800" s="504" t="s">
        <v>1094</v>
      </c>
      <c r="D2800" s="504" t="s">
        <v>3380</v>
      </c>
      <c r="E2800" s="504" t="s">
        <v>3381</v>
      </c>
      <c r="F2800" s="504" t="s">
        <v>587</v>
      </c>
      <c r="G2800" s="504" t="s">
        <v>588</v>
      </c>
      <c r="H2800" s="504" t="s">
        <v>5578</v>
      </c>
      <c r="I2800" s="504">
        <v>155</v>
      </c>
      <c r="J2800" s="504">
        <v>89</v>
      </c>
      <c r="K2800" s="504">
        <v>0</v>
      </c>
      <c r="L2800" s="504">
        <v>13</v>
      </c>
      <c r="M2800" s="504">
        <v>48</v>
      </c>
      <c r="N2800" s="504">
        <v>0</v>
      </c>
      <c r="O2800" s="505">
        <v>5</v>
      </c>
    </row>
    <row r="2801" spans="1:15" x14ac:dyDescent="0.35">
      <c r="A2801" s="500" t="s">
        <v>1253</v>
      </c>
      <c r="B2801" s="501" t="s">
        <v>3232</v>
      </c>
      <c r="C2801" s="501" t="s">
        <v>1094</v>
      </c>
      <c r="D2801" s="501" t="s">
        <v>3380</v>
      </c>
      <c r="E2801" s="501" t="s">
        <v>3381</v>
      </c>
      <c r="F2801" s="501" t="s">
        <v>587</v>
      </c>
      <c r="G2801" s="501" t="s">
        <v>588</v>
      </c>
      <c r="H2801" s="501" t="s">
        <v>5579</v>
      </c>
      <c r="I2801" s="501">
        <v>14</v>
      </c>
      <c r="J2801" s="501">
        <v>0</v>
      </c>
      <c r="K2801" s="501">
        <v>0</v>
      </c>
      <c r="L2801" s="501">
        <v>14</v>
      </c>
      <c r="M2801" s="501">
        <v>0</v>
      </c>
      <c r="N2801" s="501">
        <v>0</v>
      </c>
      <c r="O2801" s="506">
        <v>0</v>
      </c>
    </row>
    <row r="2802" spans="1:15" x14ac:dyDescent="0.35">
      <c r="A2802" s="503" t="s">
        <v>1258</v>
      </c>
      <c r="B2802" s="504" t="s">
        <v>3174</v>
      </c>
      <c r="C2802" s="504" t="s">
        <v>1094</v>
      </c>
      <c r="D2802" s="504" t="s">
        <v>3380</v>
      </c>
      <c r="E2802" s="504" t="s">
        <v>3381</v>
      </c>
      <c r="F2802" s="504" t="s">
        <v>587</v>
      </c>
      <c r="G2802" s="504" t="s">
        <v>588</v>
      </c>
      <c r="H2802" s="504" t="s">
        <v>5580</v>
      </c>
      <c r="I2802" s="504">
        <v>5881</v>
      </c>
      <c r="J2802" s="504">
        <v>5543</v>
      </c>
      <c r="K2802" s="504">
        <v>0</v>
      </c>
      <c r="L2802" s="504">
        <v>2</v>
      </c>
      <c r="M2802" s="504">
        <v>165</v>
      </c>
      <c r="N2802" s="504">
        <v>0</v>
      </c>
      <c r="O2802" s="505">
        <v>171</v>
      </c>
    </row>
    <row r="2803" spans="1:15" x14ac:dyDescent="0.35">
      <c r="A2803" s="500" t="s">
        <v>1261</v>
      </c>
      <c r="B2803" s="501" t="s">
        <v>3130</v>
      </c>
      <c r="C2803" s="501" t="s">
        <v>1094</v>
      </c>
      <c r="D2803" s="501" t="s">
        <v>3380</v>
      </c>
      <c r="E2803" s="501" t="s">
        <v>3381</v>
      </c>
      <c r="F2803" s="501" t="s">
        <v>587</v>
      </c>
      <c r="G2803" s="501" t="s">
        <v>588</v>
      </c>
      <c r="H2803" s="501" t="s">
        <v>12241</v>
      </c>
      <c r="I2803" s="501">
        <v>35</v>
      </c>
      <c r="J2803" s="501">
        <v>35</v>
      </c>
      <c r="K2803" s="501">
        <v>0</v>
      </c>
      <c r="L2803" s="501">
        <v>0</v>
      </c>
      <c r="M2803" s="501">
        <v>0</v>
      </c>
      <c r="N2803" s="501">
        <v>0</v>
      </c>
      <c r="O2803" s="506">
        <v>0</v>
      </c>
    </row>
    <row r="2804" spans="1:15" x14ac:dyDescent="0.35">
      <c r="A2804" s="503" t="s">
        <v>1096</v>
      </c>
      <c r="B2804" s="504" t="s">
        <v>3326</v>
      </c>
      <c r="C2804" s="504" t="s">
        <v>1094</v>
      </c>
      <c r="D2804" s="504" t="s">
        <v>3380</v>
      </c>
      <c r="E2804" s="504" t="s">
        <v>3381</v>
      </c>
      <c r="F2804" s="504" t="s">
        <v>589</v>
      </c>
      <c r="G2804" s="504" t="s">
        <v>590</v>
      </c>
      <c r="H2804" s="504" t="s">
        <v>5581</v>
      </c>
      <c r="I2804" s="504">
        <v>122</v>
      </c>
      <c r="J2804" s="504">
        <v>0</v>
      </c>
      <c r="K2804" s="504">
        <v>0</v>
      </c>
      <c r="L2804" s="504">
        <v>0</v>
      </c>
      <c r="M2804" s="504">
        <v>122</v>
      </c>
      <c r="N2804" s="504">
        <v>0</v>
      </c>
      <c r="O2804" s="505">
        <v>0</v>
      </c>
    </row>
    <row r="2805" spans="1:15" x14ac:dyDescent="0.35">
      <c r="A2805" s="500" t="s">
        <v>1271</v>
      </c>
      <c r="B2805" s="501">
        <v>4856</v>
      </c>
      <c r="C2805" s="501" t="s">
        <v>1089</v>
      </c>
      <c r="D2805" s="501" t="s">
        <v>3392</v>
      </c>
      <c r="E2805" s="501" t="s">
        <v>3381</v>
      </c>
      <c r="F2805" s="501" t="s">
        <v>589</v>
      </c>
      <c r="G2805" s="501" t="s">
        <v>590</v>
      </c>
      <c r="H2805" s="501" t="s">
        <v>5582</v>
      </c>
      <c r="I2805" s="501">
        <v>6</v>
      </c>
      <c r="J2805" s="501">
        <v>6</v>
      </c>
      <c r="K2805" s="501">
        <v>0</v>
      </c>
      <c r="L2805" s="501">
        <v>0</v>
      </c>
      <c r="M2805" s="501">
        <v>0</v>
      </c>
      <c r="N2805" s="501">
        <v>0</v>
      </c>
      <c r="O2805" s="506">
        <v>0</v>
      </c>
    </row>
    <row r="2806" spans="1:15" x14ac:dyDescent="0.35">
      <c r="A2806" s="503" t="s">
        <v>1282</v>
      </c>
      <c r="B2806" s="504" t="s">
        <v>2953</v>
      </c>
      <c r="C2806" s="504" t="s">
        <v>1094</v>
      </c>
      <c r="D2806" s="504" t="s">
        <v>3380</v>
      </c>
      <c r="E2806" s="504" t="s">
        <v>3381</v>
      </c>
      <c r="F2806" s="504" t="s">
        <v>589</v>
      </c>
      <c r="G2806" s="504" t="s">
        <v>590</v>
      </c>
      <c r="H2806" s="504" t="s">
        <v>5583</v>
      </c>
      <c r="I2806" s="504">
        <v>395</v>
      </c>
      <c r="J2806" s="504">
        <v>314</v>
      </c>
      <c r="K2806" s="504">
        <v>0</v>
      </c>
      <c r="L2806" s="504">
        <v>7</v>
      </c>
      <c r="M2806" s="504">
        <v>74</v>
      </c>
      <c r="N2806" s="504">
        <v>3</v>
      </c>
      <c r="O2806" s="505">
        <v>0</v>
      </c>
    </row>
    <row r="2807" spans="1:15" x14ac:dyDescent="0.35">
      <c r="A2807" s="500" t="s">
        <v>1161</v>
      </c>
      <c r="B2807" s="501" t="s">
        <v>3001</v>
      </c>
      <c r="C2807" s="501" t="s">
        <v>1094</v>
      </c>
      <c r="D2807" s="501" t="s">
        <v>3380</v>
      </c>
      <c r="E2807" s="501" t="s">
        <v>3381</v>
      </c>
      <c r="F2807" s="501" t="s">
        <v>589</v>
      </c>
      <c r="G2807" s="501" t="s">
        <v>590</v>
      </c>
      <c r="H2807" s="501" t="s">
        <v>5584</v>
      </c>
      <c r="I2807" s="501">
        <v>1</v>
      </c>
      <c r="J2807" s="501">
        <v>0</v>
      </c>
      <c r="K2807" s="501">
        <v>0</v>
      </c>
      <c r="L2807" s="501">
        <v>0</v>
      </c>
      <c r="M2807" s="501">
        <v>0</v>
      </c>
      <c r="N2807" s="501">
        <v>0</v>
      </c>
      <c r="O2807" s="506">
        <v>1</v>
      </c>
    </row>
    <row r="2808" spans="1:15" x14ac:dyDescent="0.35">
      <c r="A2808" s="503" t="s">
        <v>1100</v>
      </c>
      <c r="B2808" s="504">
        <v>4865</v>
      </c>
      <c r="C2808" s="504" t="s">
        <v>1094</v>
      </c>
      <c r="D2808" s="504" t="s">
        <v>3380</v>
      </c>
      <c r="E2808" s="504" t="s">
        <v>3381</v>
      </c>
      <c r="F2808" s="504" t="s">
        <v>589</v>
      </c>
      <c r="G2808" s="504" t="s">
        <v>590</v>
      </c>
      <c r="H2808" s="504" t="s">
        <v>5585</v>
      </c>
      <c r="I2808" s="504">
        <v>17</v>
      </c>
      <c r="J2808" s="504">
        <v>13</v>
      </c>
      <c r="K2808" s="504">
        <v>0</v>
      </c>
      <c r="L2808" s="504">
        <v>0</v>
      </c>
      <c r="M2808" s="504">
        <v>0</v>
      </c>
      <c r="N2808" s="504">
        <v>0</v>
      </c>
      <c r="O2808" s="505">
        <v>4</v>
      </c>
    </row>
    <row r="2809" spans="1:15" x14ac:dyDescent="0.35">
      <c r="A2809" s="500" t="s">
        <v>1290</v>
      </c>
      <c r="B2809" s="501" t="s">
        <v>2979</v>
      </c>
      <c r="C2809" s="501" t="s">
        <v>1094</v>
      </c>
      <c r="D2809" s="501" t="s">
        <v>3380</v>
      </c>
      <c r="E2809" s="501" t="s">
        <v>3381</v>
      </c>
      <c r="F2809" s="501" t="s">
        <v>589</v>
      </c>
      <c r="G2809" s="501" t="s">
        <v>590</v>
      </c>
      <c r="H2809" s="501" t="s">
        <v>5586</v>
      </c>
      <c r="I2809" s="501">
        <v>143</v>
      </c>
      <c r="J2809" s="501">
        <v>143</v>
      </c>
      <c r="K2809" s="501">
        <v>0</v>
      </c>
      <c r="L2809" s="501">
        <v>0</v>
      </c>
      <c r="M2809" s="501">
        <v>0</v>
      </c>
      <c r="N2809" s="501">
        <v>0</v>
      </c>
      <c r="O2809" s="506">
        <v>0</v>
      </c>
    </row>
    <row r="2810" spans="1:15" x14ac:dyDescent="0.35">
      <c r="A2810" s="503" t="s">
        <v>1293</v>
      </c>
      <c r="B2810" s="504" t="s">
        <v>3212</v>
      </c>
      <c r="C2810" s="504" t="s">
        <v>1094</v>
      </c>
      <c r="D2810" s="504" t="s">
        <v>3380</v>
      </c>
      <c r="E2810" s="504" t="s">
        <v>3381</v>
      </c>
      <c r="F2810" s="504" t="s">
        <v>589</v>
      </c>
      <c r="G2810" s="504" t="s">
        <v>590</v>
      </c>
      <c r="H2810" s="504" t="s">
        <v>11682</v>
      </c>
      <c r="I2810" s="504">
        <v>89</v>
      </c>
      <c r="J2810" s="504">
        <v>84</v>
      </c>
      <c r="K2810" s="504">
        <v>0</v>
      </c>
      <c r="L2810" s="504">
        <v>0</v>
      </c>
      <c r="M2810" s="504">
        <v>0</v>
      </c>
      <c r="N2810" s="504">
        <v>0</v>
      </c>
      <c r="O2810" s="505">
        <v>5</v>
      </c>
    </row>
    <row r="2811" spans="1:15" x14ac:dyDescent="0.35">
      <c r="A2811" s="500" t="s">
        <v>1175</v>
      </c>
      <c r="B2811" s="501" t="s">
        <v>3141</v>
      </c>
      <c r="C2811" s="501" t="s">
        <v>1094</v>
      </c>
      <c r="D2811" s="501" t="s">
        <v>3380</v>
      </c>
      <c r="E2811" s="501" t="s">
        <v>3381</v>
      </c>
      <c r="F2811" s="501" t="s">
        <v>589</v>
      </c>
      <c r="G2811" s="501" t="s">
        <v>590</v>
      </c>
      <c r="H2811" s="501" t="s">
        <v>5587</v>
      </c>
      <c r="I2811" s="501">
        <v>24</v>
      </c>
      <c r="J2811" s="501">
        <v>13</v>
      </c>
      <c r="K2811" s="501">
        <v>0</v>
      </c>
      <c r="L2811" s="501">
        <v>0</v>
      </c>
      <c r="M2811" s="501">
        <v>0</v>
      </c>
      <c r="N2811" s="501">
        <v>0</v>
      </c>
      <c r="O2811" s="506">
        <v>11</v>
      </c>
    </row>
    <row r="2812" spans="1:15" x14ac:dyDescent="0.35">
      <c r="A2812" s="503" t="s">
        <v>1296</v>
      </c>
      <c r="B2812" s="504">
        <v>4651</v>
      </c>
      <c r="C2812" s="504" t="s">
        <v>1094</v>
      </c>
      <c r="D2812" s="504" t="s">
        <v>3380</v>
      </c>
      <c r="E2812" s="504" t="s">
        <v>3381</v>
      </c>
      <c r="F2812" s="504" t="s">
        <v>589</v>
      </c>
      <c r="G2812" s="504" t="s">
        <v>590</v>
      </c>
      <c r="H2812" s="504" t="s">
        <v>5588</v>
      </c>
      <c r="I2812" s="504">
        <v>6355</v>
      </c>
      <c r="J2812" s="504">
        <v>5721</v>
      </c>
      <c r="K2812" s="504">
        <v>0</v>
      </c>
      <c r="L2812" s="504">
        <v>35</v>
      </c>
      <c r="M2812" s="504">
        <v>480</v>
      </c>
      <c r="N2812" s="504">
        <v>0</v>
      </c>
      <c r="O2812" s="505">
        <v>119</v>
      </c>
    </row>
    <row r="2813" spans="1:15" x14ac:dyDescent="0.35">
      <c r="A2813" s="500" t="s">
        <v>14208</v>
      </c>
      <c r="B2813" s="501">
        <v>4803</v>
      </c>
      <c r="C2813" s="501" t="s">
        <v>1094</v>
      </c>
      <c r="D2813" s="501" t="s">
        <v>3380</v>
      </c>
      <c r="E2813" s="501" t="s">
        <v>3381</v>
      </c>
      <c r="F2813" s="501" t="s">
        <v>589</v>
      </c>
      <c r="G2813" s="501" t="s">
        <v>590</v>
      </c>
      <c r="H2813" s="501" t="s">
        <v>14672</v>
      </c>
      <c r="I2813" s="501">
        <v>7</v>
      </c>
      <c r="J2813" s="501">
        <v>0</v>
      </c>
      <c r="K2813" s="501">
        <v>0</v>
      </c>
      <c r="L2813" s="501">
        <v>7</v>
      </c>
      <c r="M2813" s="501">
        <v>0</v>
      </c>
      <c r="N2813" s="501">
        <v>0</v>
      </c>
      <c r="O2813" s="506">
        <v>0</v>
      </c>
    </row>
    <row r="2814" spans="1:15" x14ac:dyDescent="0.35">
      <c r="A2814" s="503" t="s">
        <v>1187</v>
      </c>
      <c r="B2814" s="504" t="s">
        <v>2951</v>
      </c>
      <c r="C2814" s="504" t="s">
        <v>1094</v>
      </c>
      <c r="D2814" s="504" t="s">
        <v>3380</v>
      </c>
      <c r="E2814" s="504" t="s">
        <v>3381</v>
      </c>
      <c r="F2814" s="504" t="s">
        <v>589</v>
      </c>
      <c r="G2814" s="504" t="s">
        <v>590</v>
      </c>
      <c r="H2814" s="504" t="s">
        <v>5589</v>
      </c>
      <c r="I2814" s="504">
        <v>118</v>
      </c>
      <c r="J2814" s="504">
        <v>84</v>
      </c>
      <c r="K2814" s="504">
        <v>0</v>
      </c>
      <c r="L2814" s="504">
        <v>0</v>
      </c>
      <c r="M2814" s="504">
        <v>0</v>
      </c>
      <c r="N2814" s="504">
        <v>0</v>
      </c>
      <c r="O2814" s="505">
        <v>34</v>
      </c>
    </row>
    <row r="2815" spans="1:15" x14ac:dyDescent="0.35">
      <c r="A2815" s="500" t="s">
        <v>1107</v>
      </c>
      <c r="B2815" s="501" t="s">
        <v>3109</v>
      </c>
      <c r="C2815" s="501" t="s">
        <v>1094</v>
      </c>
      <c r="D2815" s="501" t="s">
        <v>3380</v>
      </c>
      <c r="E2815" s="501" t="s">
        <v>3381</v>
      </c>
      <c r="F2815" s="501" t="s">
        <v>589</v>
      </c>
      <c r="G2815" s="501" t="s">
        <v>590</v>
      </c>
      <c r="H2815" s="501" t="s">
        <v>5590</v>
      </c>
      <c r="I2815" s="501">
        <v>33</v>
      </c>
      <c r="J2815" s="501">
        <v>0</v>
      </c>
      <c r="K2815" s="501">
        <v>0</v>
      </c>
      <c r="L2815" s="501">
        <v>33</v>
      </c>
      <c r="M2815" s="501">
        <v>0</v>
      </c>
      <c r="N2815" s="501">
        <v>0</v>
      </c>
      <c r="O2815" s="506">
        <v>0</v>
      </c>
    </row>
    <row r="2816" spans="1:15" x14ac:dyDescent="0.35">
      <c r="A2816" s="503" t="s">
        <v>1109</v>
      </c>
      <c r="B2816" s="504" t="s">
        <v>2959</v>
      </c>
      <c r="C2816" s="504" t="s">
        <v>1094</v>
      </c>
      <c r="D2816" s="504" t="s">
        <v>3380</v>
      </c>
      <c r="E2816" s="504" t="s">
        <v>3381</v>
      </c>
      <c r="F2816" s="504" t="s">
        <v>589</v>
      </c>
      <c r="G2816" s="504" t="s">
        <v>590</v>
      </c>
      <c r="H2816" s="504" t="s">
        <v>5591</v>
      </c>
      <c r="I2816" s="504">
        <v>278</v>
      </c>
      <c r="J2816" s="504">
        <v>0</v>
      </c>
      <c r="K2816" s="504">
        <v>0</v>
      </c>
      <c r="L2816" s="504">
        <v>0</v>
      </c>
      <c r="M2816" s="504">
        <v>278</v>
      </c>
      <c r="N2816" s="504">
        <v>0</v>
      </c>
      <c r="O2816" s="505">
        <v>0</v>
      </c>
    </row>
    <row r="2817" spans="1:15" x14ac:dyDescent="0.35">
      <c r="A2817" s="500" t="s">
        <v>1218</v>
      </c>
      <c r="B2817" s="501" t="s">
        <v>3147</v>
      </c>
      <c r="C2817" s="501" t="s">
        <v>1094</v>
      </c>
      <c r="D2817" s="501" t="s">
        <v>3380</v>
      </c>
      <c r="E2817" s="501" t="s">
        <v>3381</v>
      </c>
      <c r="F2817" s="501" t="s">
        <v>589</v>
      </c>
      <c r="G2817" s="501" t="s">
        <v>590</v>
      </c>
      <c r="H2817" s="501" t="s">
        <v>5592</v>
      </c>
      <c r="I2817" s="501">
        <v>26</v>
      </c>
      <c r="J2817" s="501">
        <v>0</v>
      </c>
      <c r="K2817" s="501">
        <v>0</v>
      </c>
      <c r="L2817" s="501">
        <v>0</v>
      </c>
      <c r="M2817" s="501">
        <v>0</v>
      </c>
      <c r="N2817" s="501">
        <v>0</v>
      </c>
      <c r="O2817" s="506">
        <v>26</v>
      </c>
    </row>
    <row r="2818" spans="1:15" x14ac:dyDescent="0.35">
      <c r="A2818" s="503" t="s">
        <v>11367</v>
      </c>
      <c r="B2818" s="504" t="s">
        <v>3143</v>
      </c>
      <c r="C2818" s="504" t="s">
        <v>1094</v>
      </c>
      <c r="D2818" s="504" t="s">
        <v>3380</v>
      </c>
      <c r="E2818" s="504" t="s">
        <v>3381</v>
      </c>
      <c r="F2818" s="504" t="s">
        <v>589</v>
      </c>
      <c r="G2818" s="504" t="s">
        <v>590</v>
      </c>
      <c r="H2818" s="504" t="s">
        <v>11918</v>
      </c>
      <c r="I2818" s="504">
        <v>463</v>
      </c>
      <c r="J2818" s="504">
        <v>386</v>
      </c>
      <c r="K2818" s="504">
        <v>0</v>
      </c>
      <c r="L2818" s="504">
        <v>38</v>
      </c>
      <c r="M2818" s="504">
        <v>39</v>
      </c>
      <c r="N2818" s="504">
        <v>0</v>
      </c>
      <c r="O2818" s="505">
        <v>0</v>
      </c>
    </row>
    <row r="2819" spans="1:15" x14ac:dyDescent="0.35">
      <c r="A2819" s="500" t="s">
        <v>1326</v>
      </c>
      <c r="B2819" s="501" t="s">
        <v>2954</v>
      </c>
      <c r="C2819" s="501" t="s">
        <v>1094</v>
      </c>
      <c r="D2819" s="501" t="s">
        <v>3380</v>
      </c>
      <c r="E2819" s="501" t="s">
        <v>3381</v>
      </c>
      <c r="F2819" s="501" t="s">
        <v>589</v>
      </c>
      <c r="G2819" s="501" t="s">
        <v>590</v>
      </c>
      <c r="H2819" s="501" t="s">
        <v>5593</v>
      </c>
      <c r="I2819" s="501">
        <v>1350</v>
      </c>
      <c r="J2819" s="501">
        <v>899</v>
      </c>
      <c r="K2819" s="501">
        <v>0</v>
      </c>
      <c r="L2819" s="501">
        <v>140</v>
      </c>
      <c r="M2819" s="501">
        <v>260</v>
      </c>
      <c r="N2819" s="501">
        <v>0</v>
      </c>
      <c r="O2819" s="506">
        <v>51</v>
      </c>
    </row>
    <row r="2820" spans="1:15" x14ac:dyDescent="0.35">
      <c r="A2820" s="503" t="s">
        <v>1333</v>
      </c>
      <c r="B2820" s="504">
        <v>5061</v>
      </c>
      <c r="C2820" s="504" t="s">
        <v>1089</v>
      </c>
      <c r="D2820" s="504" t="s">
        <v>3392</v>
      </c>
      <c r="E2820" s="504" t="s">
        <v>3381</v>
      </c>
      <c r="F2820" s="504" t="s">
        <v>589</v>
      </c>
      <c r="G2820" s="504" t="s">
        <v>590</v>
      </c>
      <c r="H2820" s="504" t="s">
        <v>5594</v>
      </c>
      <c r="I2820" s="504">
        <v>9</v>
      </c>
      <c r="J2820" s="504">
        <v>9</v>
      </c>
      <c r="K2820" s="504">
        <v>0</v>
      </c>
      <c r="L2820" s="504">
        <v>0</v>
      </c>
      <c r="M2820" s="504">
        <v>0</v>
      </c>
      <c r="N2820" s="504">
        <v>0</v>
      </c>
      <c r="O2820" s="505">
        <v>0</v>
      </c>
    </row>
    <row r="2821" spans="1:15" x14ac:dyDescent="0.35">
      <c r="A2821" s="500" t="s">
        <v>1122</v>
      </c>
      <c r="B2821" s="501" t="s">
        <v>2994</v>
      </c>
      <c r="C2821" s="501" t="s">
        <v>1094</v>
      </c>
      <c r="D2821" s="501" t="s">
        <v>3380</v>
      </c>
      <c r="E2821" s="501" t="s">
        <v>3381</v>
      </c>
      <c r="F2821" s="501" t="s">
        <v>589</v>
      </c>
      <c r="G2821" s="501" t="s">
        <v>590</v>
      </c>
      <c r="H2821" s="501" t="s">
        <v>5595</v>
      </c>
      <c r="I2821" s="501">
        <v>161</v>
      </c>
      <c r="J2821" s="501">
        <v>161</v>
      </c>
      <c r="K2821" s="501">
        <v>0</v>
      </c>
      <c r="L2821" s="501">
        <v>0</v>
      </c>
      <c r="M2821" s="501">
        <v>0</v>
      </c>
      <c r="N2821" s="501">
        <v>0</v>
      </c>
      <c r="O2821" s="506">
        <v>0</v>
      </c>
    </row>
    <row r="2822" spans="1:15" x14ac:dyDescent="0.35">
      <c r="A2822" s="503" t="s">
        <v>1228</v>
      </c>
      <c r="B2822" s="504" t="s">
        <v>3321</v>
      </c>
      <c r="C2822" s="504" t="s">
        <v>1094</v>
      </c>
      <c r="D2822" s="504" t="s">
        <v>3380</v>
      </c>
      <c r="E2822" s="504" t="s">
        <v>3381</v>
      </c>
      <c r="F2822" s="504" t="s">
        <v>589</v>
      </c>
      <c r="G2822" s="504" t="s">
        <v>590</v>
      </c>
      <c r="H2822" s="504" t="s">
        <v>5596</v>
      </c>
      <c r="I2822" s="504">
        <v>2</v>
      </c>
      <c r="J2822" s="504">
        <v>0</v>
      </c>
      <c r="K2822" s="504">
        <v>0</v>
      </c>
      <c r="L2822" s="504">
        <v>2</v>
      </c>
      <c r="M2822" s="504">
        <v>0</v>
      </c>
      <c r="N2822" s="504">
        <v>0</v>
      </c>
      <c r="O2822" s="505">
        <v>0</v>
      </c>
    </row>
    <row r="2823" spans="1:15" x14ac:dyDescent="0.35">
      <c r="A2823" s="500" t="s">
        <v>1336</v>
      </c>
      <c r="B2823" s="501">
        <v>4824</v>
      </c>
      <c r="C2823" s="501" t="s">
        <v>1089</v>
      </c>
      <c r="D2823" s="501" t="s">
        <v>3392</v>
      </c>
      <c r="E2823" s="501" t="s">
        <v>3381</v>
      </c>
      <c r="F2823" s="501" t="s">
        <v>589</v>
      </c>
      <c r="G2823" s="501" t="s">
        <v>590</v>
      </c>
      <c r="H2823" s="501" t="s">
        <v>5597</v>
      </c>
      <c r="I2823" s="501">
        <v>12</v>
      </c>
      <c r="J2823" s="501">
        <v>12</v>
      </c>
      <c r="K2823" s="501">
        <v>0</v>
      </c>
      <c r="L2823" s="501">
        <v>0</v>
      </c>
      <c r="M2823" s="501">
        <v>0</v>
      </c>
      <c r="N2823" s="501">
        <v>0</v>
      </c>
      <c r="O2823" s="506">
        <v>0</v>
      </c>
    </row>
    <row r="2824" spans="1:15" x14ac:dyDescent="0.35">
      <c r="A2824" s="503" t="s">
        <v>1339</v>
      </c>
      <c r="B2824" s="504" t="s">
        <v>3358</v>
      </c>
      <c r="C2824" s="504" t="s">
        <v>1094</v>
      </c>
      <c r="D2824" s="504" t="s">
        <v>3380</v>
      </c>
      <c r="E2824" s="504" t="s">
        <v>3381</v>
      </c>
      <c r="F2824" s="504" t="s">
        <v>589</v>
      </c>
      <c r="G2824" s="504" t="s">
        <v>590</v>
      </c>
      <c r="H2824" s="504" t="s">
        <v>5598</v>
      </c>
      <c r="I2824" s="504">
        <v>428</v>
      </c>
      <c r="J2824" s="504">
        <v>390</v>
      </c>
      <c r="K2824" s="504">
        <v>0</v>
      </c>
      <c r="L2824" s="504">
        <v>12</v>
      </c>
      <c r="M2824" s="504">
        <v>0</v>
      </c>
      <c r="N2824" s="504">
        <v>0</v>
      </c>
      <c r="O2824" s="505">
        <v>26</v>
      </c>
    </row>
    <row r="2825" spans="1:15" x14ac:dyDescent="0.35">
      <c r="A2825" s="500" t="s">
        <v>11368</v>
      </c>
      <c r="B2825" s="501">
        <v>5083</v>
      </c>
      <c r="C2825" s="501" t="s">
        <v>1094</v>
      </c>
      <c r="D2825" s="501" t="s">
        <v>3380</v>
      </c>
      <c r="E2825" s="501" t="s">
        <v>3381</v>
      </c>
      <c r="F2825" s="501" t="s">
        <v>589</v>
      </c>
      <c r="G2825" s="501" t="s">
        <v>590</v>
      </c>
      <c r="H2825" s="501" t="s">
        <v>12049</v>
      </c>
      <c r="I2825" s="501">
        <v>61</v>
      </c>
      <c r="J2825" s="501">
        <v>61</v>
      </c>
      <c r="K2825" s="501">
        <v>0</v>
      </c>
      <c r="L2825" s="501">
        <v>0</v>
      </c>
      <c r="M2825" s="501">
        <v>0</v>
      </c>
      <c r="N2825" s="501">
        <v>0</v>
      </c>
      <c r="O2825" s="506">
        <v>0</v>
      </c>
    </row>
    <row r="2826" spans="1:15" x14ac:dyDescent="0.35">
      <c r="A2826" s="503" t="s">
        <v>1235</v>
      </c>
      <c r="B2826" s="504">
        <v>4684</v>
      </c>
      <c r="C2826" s="504" t="s">
        <v>1094</v>
      </c>
      <c r="D2826" s="504" t="s">
        <v>3380</v>
      </c>
      <c r="E2826" s="504" t="s">
        <v>3381</v>
      </c>
      <c r="F2826" s="504" t="s">
        <v>589</v>
      </c>
      <c r="G2826" s="504" t="s">
        <v>590</v>
      </c>
      <c r="H2826" s="504" t="s">
        <v>5599</v>
      </c>
      <c r="I2826" s="504">
        <v>76</v>
      </c>
      <c r="J2826" s="504">
        <v>0</v>
      </c>
      <c r="K2826" s="504">
        <v>0</v>
      </c>
      <c r="L2826" s="504">
        <v>76</v>
      </c>
      <c r="M2826" s="504">
        <v>0</v>
      </c>
      <c r="N2826" s="504">
        <v>0</v>
      </c>
      <c r="O2826" s="505">
        <v>0</v>
      </c>
    </row>
    <row r="2827" spans="1:15" x14ac:dyDescent="0.35">
      <c r="A2827" s="500" t="s">
        <v>1126</v>
      </c>
      <c r="B2827" s="501" t="s">
        <v>2974</v>
      </c>
      <c r="C2827" s="501" t="s">
        <v>1094</v>
      </c>
      <c r="D2827" s="501" t="s">
        <v>3380</v>
      </c>
      <c r="E2827" s="501" t="s">
        <v>3381</v>
      </c>
      <c r="F2827" s="501" t="s">
        <v>589</v>
      </c>
      <c r="G2827" s="501" t="s">
        <v>590</v>
      </c>
      <c r="H2827" s="501" t="s">
        <v>5600</v>
      </c>
      <c r="I2827" s="501">
        <v>140</v>
      </c>
      <c r="J2827" s="501">
        <v>116</v>
      </c>
      <c r="K2827" s="501">
        <v>0</v>
      </c>
      <c r="L2827" s="501">
        <v>19</v>
      </c>
      <c r="M2827" s="501">
        <v>0</v>
      </c>
      <c r="N2827" s="501">
        <v>0</v>
      </c>
      <c r="O2827" s="506">
        <v>5</v>
      </c>
    </row>
    <row r="2828" spans="1:15" x14ac:dyDescent="0.35">
      <c r="A2828" s="503" t="s">
        <v>1245</v>
      </c>
      <c r="B2828" s="504" t="s">
        <v>2859</v>
      </c>
      <c r="C2828" s="504" t="s">
        <v>1094</v>
      </c>
      <c r="D2828" s="504" t="s">
        <v>3380</v>
      </c>
      <c r="E2828" s="504" t="s">
        <v>3381</v>
      </c>
      <c r="F2828" s="504" t="s">
        <v>589</v>
      </c>
      <c r="G2828" s="504" t="s">
        <v>590</v>
      </c>
      <c r="H2828" s="504" t="s">
        <v>5601</v>
      </c>
      <c r="I2828" s="504">
        <v>11</v>
      </c>
      <c r="J2828" s="504">
        <v>0</v>
      </c>
      <c r="K2828" s="504">
        <v>0</v>
      </c>
      <c r="L2828" s="504">
        <v>0</v>
      </c>
      <c r="M2828" s="504">
        <v>11</v>
      </c>
      <c r="N2828" s="504">
        <v>0</v>
      </c>
      <c r="O2828" s="505">
        <v>0</v>
      </c>
    </row>
    <row r="2829" spans="1:15" x14ac:dyDescent="0.35">
      <c r="A2829" s="500" t="s">
        <v>1360</v>
      </c>
      <c r="B2829" s="501" t="s">
        <v>3350</v>
      </c>
      <c r="C2829" s="501" t="s">
        <v>1094</v>
      </c>
      <c r="D2829" s="501" t="s">
        <v>3380</v>
      </c>
      <c r="E2829" s="501" t="s">
        <v>3381</v>
      </c>
      <c r="F2829" s="501" t="s">
        <v>589</v>
      </c>
      <c r="G2829" s="501" t="s">
        <v>590</v>
      </c>
      <c r="H2829" s="501" t="s">
        <v>5602</v>
      </c>
      <c r="I2829" s="501">
        <v>95</v>
      </c>
      <c r="J2829" s="501">
        <v>94</v>
      </c>
      <c r="K2829" s="501">
        <v>0</v>
      </c>
      <c r="L2829" s="501">
        <v>0</v>
      </c>
      <c r="M2829" s="501">
        <v>0</v>
      </c>
      <c r="N2829" s="501">
        <v>0</v>
      </c>
      <c r="O2829" s="506">
        <v>1</v>
      </c>
    </row>
    <row r="2830" spans="1:15" x14ac:dyDescent="0.35">
      <c r="A2830" s="503" t="s">
        <v>11376</v>
      </c>
      <c r="B2830" s="504" t="s">
        <v>2478</v>
      </c>
      <c r="C2830" s="504" t="s">
        <v>1089</v>
      </c>
      <c r="D2830" s="504" t="s">
        <v>3392</v>
      </c>
      <c r="E2830" s="504" t="s">
        <v>3381</v>
      </c>
      <c r="F2830" s="504" t="s">
        <v>589</v>
      </c>
      <c r="G2830" s="504" t="s">
        <v>590</v>
      </c>
      <c r="H2830" s="504" t="s">
        <v>12216</v>
      </c>
      <c r="I2830" s="504">
        <v>68</v>
      </c>
      <c r="J2830" s="504">
        <v>0</v>
      </c>
      <c r="K2830" s="504">
        <v>0</v>
      </c>
      <c r="L2830" s="504">
        <v>0</v>
      </c>
      <c r="M2830" s="504">
        <v>68</v>
      </c>
      <c r="N2830" s="504">
        <v>0</v>
      </c>
      <c r="O2830" s="505">
        <v>0</v>
      </c>
    </row>
    <row r="2831" spans="1:15" x14ac:dyDescent="0.35">
      <c r="A2831" s="500" t="s">
        <v>11473</v>
      </c>
      <c r="B2831" s="501" t="s">
        <v>2542</v>
      </c>
      <c r="C2831" s="501" t="s">
        <v>1089</v>
      </c>
      <c r="D2831" s="501" t="s">
        <v>3392</v>
      </c>
      <c r="E2831" s="501" t="s">
        <v>3381</v>
      </c>
      <c r="F2831" s="501" t="s">
        <v>589</v>
      </c>
      <c r="G2831" s="501" t="s">
        <v>590</v>
      </c>
      <c r="H2831" s="501" t="s">
        <v>12223</v>
      </c>
      <c r="I2831" s="501">
        <v>43</v>
      </c>
      <c r="J2831" s="501">
        <v>0</v>
      </c>
      <c r="K2831" s="501">
        <v>0</v>
      </c>
      <c r="L2831" s="501">
        <v>0</v>
      </c>
      <c r="M2831" s="501">
        <v>43</v>
      </c>
      <c r="N2831" s="501">
        <v>0</v>
      </c>
      <c r="O2831" s="506">
        <v>0</v>
      </c>
    </row>
    <row r="2832" spans="1:15" x14ac:dyDescent="0.35">
      <c r="A2832" s="503" t="s">
        <v>1364</v>
      </c>
      <c r="B2832" s="504" t="s">
        <v>3277</v>
      </c>
      <c r="C2832" s="504" t="s">
        <v>1089</v>
      </c>
      <c r="D2832" s="504" t="s">
        <v>3392</v>
      </c>
      <c r="E2832" s="504" t="s">
        <v>3381</v>
      </c>
      <c r="F2832" s="504" t="s">
        <v>589</v>
      </c>
      <c r="G2832" s="504" t="s">
        <v>590</v>
      </c>
      <c r="H2832" s="504" t="s">
        <v>5603</v>
      </c>
      <c r="I2832" s="504">
        <v>2</v>
      </c>
      <c r="J2832" s="504">
        <v>0</v>
      </c>
      <c r="K2832" s="504">
        <v>0</v>
      </c>
      <c r="L2832" s="504">
        <v>2</v>
      </c>
      <c r="M2832" s="504">
        <v>0</v>
      </c>
      <c r="N2832" s="504">
        <v>0</v>
      </c>
      <c r="O2832" s="505">
        <v>0</v>
      </c>
    </row>
    <row r="2833" spans="1:15" x14ac:dyDescent="0.35">
      <c r="A2833" s="500" t="s">
        <v>11379</v>
      </c>
      <c r="B2833" s="501" t="s">
        <v>2534</v>
      </c>
      <c r="C2833" s="501" t="s">
        <v>1089</v>
      </c>
      <c r="D2833" s="501" t="s">
        <v>3392</v>
      </c>
      <c r="E2833" s="501" t="s">
        <v>3381</v>
      </c>
      <c r="F2833" s="501" t="s">
        <v>589</v>
      </c>
      <c r="G2833" s="501" t="s">
        <v>590</v>
      </c>
      <c r="H2833" s="501" t="s">
        <v>12232</v>
      </c>
      <c r="I2833" s="501">
        <v>15</v>
      </c>
      <c r="J2833" s="501">
        <v>0</v>
      </c>
      <c r="K2833" s="501">
        <v>0</v>
      </c>
      <c r="L2833" s="501">
        <v>15</v>
      </c>
      <c r="M2833" s="501">
        <v>0</v>
      </c>
      <c r="N2833" s="501">
        <v>0</v>
      </c>
      <c r="O2833" s="506">
        <v>0</v>
      </c>
    </row>
    <row r="2834" spans="1:15" x14ac:dyDescent="0.35">
      <c r="A2834" s="503" t="s">
        <v>1385</v>
      </c>
      <c r="B2834" s="504" t="s">
        <v>3249</v>
      </c>
      <c r="C2834" s="504" t="s">
        <v>1094</v>
      </c>
      <c r="D2834" s="504" t="s">
        <v>3380</v>
      </c>
      <c r="E2834" s="504" t="s">
        <v>3381</v>
      </c>
      <c r="F2834" s="504" t="s">
        <v>591</v>
      </c>
      <c r="G2834" s="504" t="s">
        <v>592</v>
      </c>
      <c r="H2834" s="504" t="s">
        <v>5604</v>
      </c>
      <c r="I2834" s="504">
        <v>9</v>
      </c>
      <c r="J2834" s="504">
        <v>0</v>
      </c>
      <c r="K2834" s="504">
        <v>0</v>
      </c>
      <c r="L2834" s="504">
        <v>9</v>
      </c>
      <c r="M2834" s="504">
        <v>0</v>
      </c>
      <c r="N2834" s="504">
        <v>0</v>
      </c>
      <c r="O2834" s="505">
        <v>0</v>
      </c>
    </row>
    <row r="2835" spans="1:15" x14ac:dyDescent="0.35">
      <c r="A2835" s="500" t="s">
        <v>1792</v>
      </c>
      <c r="B2835" s="501" t="s">
        <v>2845</v>
      </c>
      <c r="C2835" s="501" t="s">
        <v>1089</v>
      </c>
      <c r="D2835" s="501" t="s">
        <v>3392</v>
      </c>
      <c r="E2835" s="501" t="s">
        <v>3381</v>
      </c>
      <c r="F2835" s="501" t="s">
        <v>591</v>
      </c>
      <c r="G2835" s="501" t="s">
        <v>592</v>
      </c>
      <c r="H2835" s="501" t="s">
        <v>5605</v>
      </c>
      <c r="I2835" s="501">
        <v>26</v>
      </c>
      <c r="J2835" s="501">
        <v>0</v>
      </c>
      <c r="K2835" s="501">
        <v>0</v>
      </c>
      <c r="L2835" s="501">
        <v>26</v>
      </c>
      <c r="M2835" s="501">
        <v>0</v>
      </c>
      <c r="N2835" s="501">
        <v>0</v>
      </c>
      <c r="O2835" s="506">
        <v>0</v>
      </c>
    </row>
    <row r="2836" spans="1:15" x14ac:dyDescent="0.35">
      <c r="A2836" s="503" t="s">
        <v>1096</v>
      </c>
      <c r="B2836" s="504" t="s">
        <v>3326</v>
      </c>
      <c r="C2836" s="504" t="s">
        <v>1094</v>
      </c>
      <c r="D2836" s="504" t="s">
        <v>3380</v>
      </c>
      <c r="E2836" s="504" t="s">
        <v>3381</v>
      </c>
      <c r="F2836" s="504" t="s">
        <v>591</v>
      </c>
      <c r="G2836" s="504" t="s">
        <v>592</v>
      </c>
      <c r="H2836" s="504" t="s">
        <v>5606</v>
      </c>
      <c r="I2836" s="504">
        <v>181</v>
      </c>
      <c r="J2836" s="504">
        <v>0</v>
      </c>
      <c r="K2836" s="504">
        <v>0</v>
      </c>
      <c r="L2836" s="504">
        <v>0</v>
      </c>
      <c r="M2836" s="504">
        <v>181</v>
      </c>
      <c r="N2836" s="504">
        <v>0</v>
      </c>
      <c r="O2836" s="505">
        <v>0</v>
      </c>
    </row>
    <row r="2837" spans="1:15" x14ac:dyDescent="0.35">
      <c r="A2837" s="500" t="s">
        <v>1151</v>
      </c>
      <c r="B2837" s="501">
        <v>4726</v>
      </c>
      <c r="C2837" s="501" t="s">
        <v>1089</v>
      </c>
      <c r="D2837" s="501" t="s">
        <v>3392</v>
      </c>
      <c r="E2837" s="501" t="s">
        <v>3381</v>
      </c>
      <c r="F2837" s="501" t="s">
        <v>591</v>
      </c>
      <c r="G2837" s="501" t="s">
        <v>592</v>
      </c>
      <c r="H2837" s="501" t="s">
        <v>5607</v>
      </c>
      <c r="I2837" s="501">
        <v>1</v>
      </c>
      <c r="J2837" s="501">
        <v>1</v>
      </c>
      <c r="K2837" s="501">
        <v>0</v>
      </c>
      <c r="L2837" s="501">
        <v>0</v>
      </c>
      <c r="M2837" s="501">
        <v>0</v>
      </c>
      <c r="N2837" s="501">
        <v>0</v>
      </c>
      <c r="O2837" s="506">
        <v>0</v>
      </c>
    </row>
    <row r="2838" spans="1:15" x14ac:dyDescent="0.35">
      <c r="A2838" s="503" t="s">
        <v>11363</v>
      </c>
      <c r="B2838" s="504">
        <v>4718</v>
      </c>
      <c r="C2838" s="504" t="s">
        <v>1094</v>
      </c>
      <c r="D2838" s="504" t="s">
        <v>3380</v>
      </c>
      <c r="E2838" s="504" t="s">
        <v>3381</v>
      </c>
      <c r="F2838" s="504" t="s">
        <v>591</v>
      </c>
      <c r="G2838" s="504" t="s">
        <v>592</v>
      </c>
      <c r="H2838" s="504" t="s">
        <v>11540</v>
      </c>
      <c r="I2838" s="504">
        <v>10</v>
      </c>
      <c r="J2838" s="504">
        <v>0</v>
      </c>
      <c r="K2838" s="504">
        <v>0</v>
      </c>
      <c r="L2838" s="504">
        <v>10</v>
      </c>
      <c r="M2838" s="504">
        <v>0</v>
      </c>
      <c r="N2838" s="504">
        <v>0</v>
      </c>
      <c r="O2838" s="505">
        <v>0</v>
      </c>
    </row>
    <row r="2839" spans="1:15" x14ac:dyDescent="0.35">
      <c r="A2839" s="500" t="s">
        <v>1100</v>
      </c>
      <c r="B2839" s="501">
        <v>4865</v>
      </c>
      <c r="C2839" s="501" t="s">
        <v>1094</v>
      </c>
      <c r="D2839" s="501" t="s">
        <v>3380</v>
      </c>
      <c r="E2839" s="501" t="s">
        <v>3381</v>
      </c>
      <c r="F2839" s="501" t="s">
        <v>591</v>
      </c>
      <c r="G2839" s="501" t="s">
        <v>592</v>
      </c>
      <c r="H2839" s="501" t="s">
        <v>5608</v>
      </c>
      <c r="I2839" s="501">
        <v>105</v>
      </c>
      <c r="J2839" s="501">
        <v>42</v>
      </c>
      <c r="K2839" s="501">
        <v>0</v>
      </c>
      <c r="L2839" s="501">
        <v>0</v>
      </c>
      <c r="M2839" s="501">
        <v>50</v>
      </c>
      <c r="N2839" s="501">
        <v>0</v>
      </c>
      <c r="O2839" s="506">
        <v>13</v>
      </c>
    </row>
    <row r="2840" spans="1:15" x14ac:dyDescent="0.35">
      <c r="A2840" s="503" t="s">
        <v>1177</v>
      </c>
      <c r="B2840" s="504">
        <v>4702</v>
      </c>
      <c r="C2840" s="504" t="s">
        <v>1089</v>
      </c>
      <c r="D2840" s="504" t="s">
        <v>3392</v>
      </c>
      <c r="E2840" s="504" t="s">
        <v>3381</v>
      </c>
      <c r="F2840" s="504" t="s">
        <v>591</v>
      </c>
      <c r="G2840" s="504" t="s">
        <v>592</v>
      </c>
      <c r="H2840" s="504" t="s">
        <v>5609</v>
      </c>
      <c r="I2840" s="504">
        <v>11</v>
      </c>
      <c r="J2840" s="504">
        <v>0</v>
      </c>
      <c r="K2840" s="504">
        <v>0</v>
      </c>
      <c r="L2840" s="504">
        <v>11</v>
      </c>
      <c r="M2840" s="504">
        <v>0</v>
      </c>
      <c r="N2840" s="504">
        <v>0</v>
      </c>
      <c r="O2840" s="505">
        <v>0</v>
      </c>
    </row>
    <row r="2841" spans="1:15" x14ac:dyDescent="0.35">
      <c r="A2841" s="500" t="s">
        <v>14208</v>
      </c>
      <c r="B2841" s="501">
        <v>4803</v>
      </c>
      <c r="C2841" s="501" t="s">
        <v>1094</v>
      </c>
      <c r="D2841" s="501" t="s">
        <v>3380</v>
      </c>
      <c r="E2841" s="501" t="s">
        <v>3381</v>
      </c>
      <c r="F2841" s="501" t="s">
        <v>591</v>
      </c>
      <c r="G2841" s="501" t="s">
        <v>592</v>
      </c>
      <c r="H2841" s="501" t="s">
        <v>14673</v>
      </c>
      <c r="I2841" s="501">
        <v>2</v>
      </c>
      <c r="J2841" s="501">
        <v>0</v>
      </c>
      <c r="K2841" s="501">
        <v>0</v>
      </c>
      <c r="L2841" s="501">
        <v>2</v>
      </c>
      <c r="M2841" s="501">
        <v>0</v>
      </c>
      <c r="N2841" s="501">
        <v>0</v>
      </c>
      <c r="O2841" s="506">
        <v>0</v>
      </c>
    </row>
    <row r="2842" spans="1:15" x14ac:dyDescent="0.35">
      <c r="A2842" s="503" t="s">
        <v>1187</v>
      </c>
      <c r="B2842" s="504" t="s">
        <v>2951</v>
      </c>
      <c r="C2842" s="504" t="s">
        <v>1094</v>
      </c>
      <c r="D2842" s="504" t="s">
        <v>3380</v>
      </c>
      <c r="E2842" s="504" t="s">
        <v>3381</v>
      </c>
      <c r="F2842" s="504" t="s">
        <v>591</v>
      </c>
      <c r="G2842" s="504" t="s">
        <v>592</v>
      </c>
      <c r="H2842" s="504" t="s">
        <v>5610</v>
      </c>
      <c r="I2842" s="504">
        <v>36</v>
      </c>
      <c r="J2842" s="504">
        <v>23</v>
      </c>
      <c r="K2842" s="504">
        <v>0</v>
      </c>
      <c r="L2842" s="504">
        <v>0</v>
      </c>
      <c r="M2842" s="504">
        <v>0</v>
      </c>
      <c r="N2842" s="504">
        <v>0</v>
      </c>
      <c r="O2842" s="505">
        <v>13</v>
      </c>
    </row>
    <row r="2843" spans="1:15" x14ac:dyDescent="0.35">
      <c r="A2843" s="500" t="s">
        <v>1105</v>
      </c>
      <c r="B2843" s="501">
        <v>4668</v>
      </c>
      <c r="C2843" s="501" t="s">
        <v>1094</v>
      </c>
      <c r="D2843" s="501" t="s">
        <v>3380</v>
      </c>
      <c r="E2843" s="501" t="s">
        <v>3381</v>
      </c>
      <c r="F2843" s="501" t="s">
        <v>591</v>
      </c>
      <c r="G2843" s="501" t="s">
        <v>592</v>
      </c>
      <c r="H2843" s="501" t="s">
        <v>5611</v>
      </c>
      <c r="I2843" s="501">
        <v>7</v>
      </c>
      <c r="J2843" s="501">
        <v>0</v>
      </c>
      <c r="K2843" s="501">
        <v>0</v>
      </c>
      <c r="L2843" s="501">
        <v>0</v>
      </c>
      <c r="M2843" s="501">
        <v>0</v>
      </c>
      <c r="N2843" s="501">
        <v>0</v>
      </c>
      <c r="O2843" s="506">
        <v>7</v>
      </c>
    </row>
    <row r="2844" spans="1:15" x14ac:dyDescent="0.35">
      <c r="A2844" s="503" t="s">
        <v>1107</v>
      </c>
      <c r="B2844" s="504" t="s">
        <v>3109</v>
      </c>
      <c r="C2844" s="504" t="s">
        <v>1094</v>
      </c>
      <c r="D2844" s="504" t="s">
        <v>3380</v>
      </c>
      <c r="E2844" s="504" t="s">
        <v>3381</v>
      </c>
      <c r="F2844" s="504" t="s">
        <v>591</v>
      </c>
      <c r="G2844" s="504" t="s">
        <v>592</v>
      </c>
      <c r="H2844" s="504" t="s">
        <v>5612</v>
      </c>
      <c r="I2844" s="504">
        <v>146</v>
      </c>
      <c r="J2844" s="504">
        <v>146</v>
      </c>
      <c r="K2844" s="504">
        <v>0</v>
      </c>
      <c r="L2844" s="504">
        <v>0</v>
      </c>
      <c r="M2844" s="504">
        <v>0</v>
      </c>
      <c r="N2844" s="504">
        <v>0</v>
      </c>
      <c r="O2844" s="505">
        <v>0</v>
      </c>
    </row>
    <row r="2845" spans="1:15" x14ac:dyDescent="0.35">
      <c r="A2845" s="500" t="s">
        <v>1109</v>
      </c>
      <c r="B2845" s="501" t="s">
        <v>2959</v>
      </c>
      <c r="C2845" s="501" t="s">
        <v>1094</v>
      </c>
      <c r="D2845" s="501" t="s">
        <v>3380</v>
      </c>
      <c r="E2845" s="501" t="s">
        <v>3381</v>
      </c>
      <c r="F2845" s="501" t="s">
        <v>591</v>
      </c>
      <c r="G2845" s="501" t="s">
        <v>592</v>
      </c>
      <c r="H2845" s="501" t="s">
        <v>5613</v>
      </c>
      <c r="I2845" s="501">
        <v>90</v>
      </c>
      <c r="J2845" s="501">
        <v>0</v>
      </c>
      <c r="K2845" s="501">
        <v>0</v>
      </c>
      <c r="L2845" s="501">
        <v>0</v>
      </c>
      <c r="M2845" s="501">
        <v>90</v>
      </c>
      <c r="N2845" s="501">
        <v>0</v>
      </c>
      <c r="O2845" s="506">
        <v>0</v>
      </c>
    </row>
    <row r="2846" spans="1:15" x14ac:dyDescent="0.35">
      <c r="A2846" s="503" t="s">
        <v>1202</v>
      </c>
      <c r="B2846" s="504" t="s">
        <v>3217</v>
      </c>
      <c r="C2846" s="504" t="s">
        <v>1094</v>
      </c>
      <c r="D2846" s="504" t="s">
        <v>3380</v>
      </c>
      <c r="E2846" s="504" t="s">
        <v>3381</v>
      </c>
      <c r="F2846" s="504" t="s">
        <v>591</v>
      </c>
      <c r="G2846" s="504" t="s">
        <v>592</v>
      </c>
      <c r="H2846" s="504" t="s">
        <v>11832</v>
      </c>
      <c r="I2846" s="504">
        <v>3</v>
      </c>
      <c r="J2846" s="504">
        <v>0</v>
      </c>
      <c r="K2846" s="504">
        <v>0</v>
      </c>
      <c r="L2846" s="504">
        <v>0</v>
      </c>
      <c r="M2846" s="504">
        <v>0</v>
      </c>
      <c r="N2846" s="504">
        <v>0</v>
      </c>
      <c r="O2846" s="505">
        <v>3</v>
      </c>
    </row>
    <row r="2847" spans="1:15" x14ac:dyDescent="0.35">
      <c r="A2847" s="500" t="s">
        <v>1114</v>
      </c>
      <c r="B2847" s="501" t="s">
        <v>2982</v>
      </c>
      <c r="C2847" s="501" t="s">
        <v>1094</v>
      </c>
      <c r="D2847" s="501" t="s">
        <v>3380</v>
      </c>
      <c r="E2847" s="501" t="s">
        <v>3381</v>
      </c>
      <c r="F2847" s="501" t="s">
        <v>591</v>
      </c>
      <c r="G2847" s="501" t="s">
        <v>592</v>
      </c>
      <c r="H2847" s="501" t="s">
        <v>5614</v>
      </c>
      <c r="I2847" s="501">
        <v>4</v>
      </c>
      <c r="J2847" s="501">
        <v>2</v>
      </c>
      <c r="K2847" s="501">
        <v>0</v>
      </c>
      <c r="L2847" s="501">
        <v>0</v>
      </c>
      <c r="M2847" s="501">
        <v>0</v>
      </c>
      <c r="N2847" s="501">
        <v>0</v>
      </c>
      <c r="O2847" s="506">
        <v>2</v>
      </c>
    </row>
    <row r="2848" spans="1:15" x14ac:dyDescent="0.35">
      <c r="A2848" s="503" t="s">
        <v>1217</v>
      </c>
      <c r="B2848" s="504">
        <v>4851</v>
      </c>
      <c r="C2848" s="504" t="s">
        <v>1094</v>
      </c>
      <c r="D2848" s="504" t="s">
        <v>3380</v>
      </c>
      <c r="E2848" s="504" t="s">
        <v>3381</v>
      </c>
      <c r="F2848" s="504" t="s">
        <v>591</v>
      </c>
      <c r="G2848" s="504" t="s">
        <v>592</v>
      </c>
      <c r="H2848" s="504" t="s">
        <v>5615</v>
      </c>
      <c r="I2848" s="504">
        <v>412</v>
      </c>
      <c r="J2848" s="504">
        <v>335</v>
      </c>
      <c r="K2848" s="504">
        <v>0</v>
      </c>
      <c r="L2848" s="504">
        <v>9</v>
      </c>
      <c r="M2848" s="504">
        <v>0</v>
      </c>
      <c r="N2848" s="504">
        <v>7</v>
      </c>
      <c r="O2848" s="505">
        <v>68</v>
      </c>
    </row>
    <row r="2849" spans="1:15" x14ac:dyDescent="0.35">
      <c r="A2849" s="500" t="s">
        <v>1218</v>
      </c>
      <c r="B2849" s="501" t="s">
        <v>3147</v>
      </c>
      <c r="C2849" s="501" t="s">
        <v>1094</v>
      </c>
      <c r="D2849" s="501" t="s">
        <v>3380</v>
      </c>
      <c r="E2849" s="501" t="s">
        <v>3381</v>
      </c>
      <c r="F2849" s="501" t="s">
        <v>591</v>
      </c>
      <c r="G2849" s="501" t="s">
        <v>592</v>
      </c>
      <c r="H2849" s="501" t="s">
        <v>5616</v>
      </c>
      <c r="I2849" s="501">
        <v>35</v>
      </c>
      <c r="J2849" s="501">
        <v>0</v>
      </c>
      <c r="K2849" s="501">
        <v>0</v>
      </c>
      <c r="L2849" s="501">
        <v>0</v>
      </c>
      <c r="M2849" s="501">
        <v>0</v>
      </c>
      <c r="N2849" s="501">
        <v>0</v>
      </c>
      <c r="O2849" s="506">
        <v>35</v>
      </c>
    </row>
    <row r="2850" spans="1:15" x14ac:dyDescent="0.35">
      <c r="A2850" s="503" t="s">
        <v>11367</v>
      </c>
      <c r="B2850" s="504" t="s">
        <v>3143</v>
      </c>
      <c r="C2850" s="504" t="s">
        <v>1094</v>
      </c>
      <c r="D2850" s="504" t="s">
        <v>3380</v>
      </c>
      <c r="E2850" s="504" t="s">
        <v>3381</v>
      </c>
      <c r="F2850" s="504" t="s">
        <v>591</v>
      </c>
      <c r="G2850" s="504" t="s">
        <v>592</v>
      </c>
      <c r="H2850" s="504" t="s">
        <v>11919</v>
      </c>
      <c r="I2850" s="504">
        <v>60</v>
      </c>
      <c r="J2850" s="504">
        <v>60</v>
      </c>
      <c r="K2850" s="504">
        <v>0</v>
      </c>
      <c r="L2850" s="504">
        <v>0</v>
      </c>
      <c r="M2850" s="504">
        <v>0</v>
      </c>
      <c r="N2850" s="504">
        <v>0</v>
      </c>
      <c r="O2850" s="505">
        <v>0</v>
      </c>
    </row>
    <row r="2851" spans="1:15" x14ac:dyDescent="0.35">
      <c r="A2851" s="500" t="s">
        <v>1122</v>
      </c>
      <c r="B2851" s="501" t="s">
        <v>2994</v>
      </c>
      <c r="C2851" s="501" t="s">
        <v>1094</v>
      </c>
      <c r="D2851" s="501" t="s">
        <v>3380</v>
      </c>
      <c r="E2851" s="501" t="s">
        <v>3381</v>
      </c>
      <c r="F2851" s="501" t="s">
        <v>591</v>
      </c>
      <c r="G2851" s="501" t="s">
        <v>592</v>
      </c>
      <c r="H2851" s="501" t="s">
        <v>5617</v>
      </c>
      <c r="I2851" s="501">
        <v>546</v>
      </c>
      <c r="J2851" s="501">
        <v>460</v>
      </c>
      <c r="K2851" s="501">
        <v>0</v>
      </c>
      <c r="L2851" s="501">
        <v>0</v>
      </c>
      <c r="M2851" s="501">
        <v>81</v>
      </c>
      <c r="N2851" s="501">
        <v>0</v>
      </c>
      <c r="O2851" s="506">
        <v>5</v>
      </c>
    </row>
    <row r="2852" spans="1:15" x14ac:dyDescent="0.35">
      <c r="A2852" s="503" t="s">
        <v>1234</v>
      </c>
      <c r="B2852" s="504" t="s">
        <v>3291</v>
      </c>
      <c r="C2852" s="504" t="s">
        <v>1094</v>
      </c>
      <c r="D2852" s="504" t="s">
        <v>3380</v>
      </c>
      <c r="E2852" s="504" t="s">
        <v>3381</v>
      </c>
      <c r="F2852" s="504" t="s">
        <v>591</v>
      </c>
      <c r="G2852" s="504" t="s">
        <v>592</v>
      </c>
      <c r="H2852" s="504" t="s">
        <v>5618</v>
      </c>
      <c r="I2852" s="504">
        <v>5</v>
      </c>
      <c r="J2852" s="504">
        <v>0</v>
      </c>
      <c r="K2852" s="504">
        <v>0</v>
      </c>
      <c r="L2852" s="504">
        <v>5</v>
      </c>
      <c r="M2852" s="504">
        <v>0</v>
      </c>
      <c r="N2852" s="504">
        <v>0</v>
      </c>
      <c r="O2852" s="505">
        <v>0</v>
      </c>
    </row>
    <row r="2853" spans="1:15" x14ac:dyDescent="0.35">
      <c r="A2853" s="500" t="s">
        <v>1126</v>
      </c>
      <c r="B2853" s="501" t="s">
        <v>2974</v>
      </c>
      <c r="C2853" s="501" t="s">
        <v>1094</v>
      </c>
      <c r="D2853" s="501" t="s">
        <v>3380</v>
      </c>
      <c r="E2853" s="501" t="s">
        <v>3381</v>
      </c>
      <c r="F2853" s="501" t="s">
        <v>591</v>
      </c>
      <c r="G2853" s="501" t="s">
        <v>592</v>
      </c>
      <c r="H2853" s="501" t="s">
        <v>5619</v>
      </c>
      <c r="I2853" s="501">
        <v>28</v>
      </c>
      <c r="J2853" s="501">
        <v>0</v>
      </c>
      <c r="K2853" s="501">
        <v>0</v>
      </c>
      <c r="L2853" s="501">
        <v>28</v>
      </c>
      <c r="M2853" s="501">
        <v>0</v>
      </c>
      <c r="N2853" s="501">
        <v>0</v>
      </c>
      <c r="O2853" s="506">
        <v>0</v>
      </c>
    </row>
    <row r="2854" spans="1:15" x14ac:dyDescent="0.35">
      <c r="A2854" s="503" t="s">
        <v>1892</v>
      </c>
      <c r="B2854" s="504" t="s">
        <v>3172</v>
      </c>
      <c r="C2854" s="504" t="s">
        <v>1094</v>
      </c>
      <c r="D2854" s="504" t="s">
        <v>3380</v>
      </c>
      <c r="E2854" s="504" t="s">
        <v>3381</v>
      </c>
      <c r="F2854" s="504" t="s">
        <v>591</v>
      </c>
      <c r="G2854" s="504" t="s">
        <v>592</v>
      </c>
      <c r="H2854" s="504" t="s">
        <v>5620</v>
      </c>
      <c r="I2854" s="504">
        <v>80</v>
      </c>
      <c r="J2854" s="504">
        <v>0</v>
      </c>
      <c r="K2854" s="504">
        <v>0</v>
      </c>
      <c r="L2854" s="504">
        <v>18</v>
      </c>
      <c r="M2854" s="504">
        <v>52</v>
      </c>
      <c r="N2854" s="504">
        <v>0</v>
      </c>
      <c r="O2854" s="505">
        <v>10</v>
      </c>
    </row>
    <row r="2855" spans="1:15" x14ac:dyDescent="0.35">
      <c r="A2855" s="500" t="s">
        <v>1899</v>
      </c>
      <c r="B2855" s="501" t="s">
        <v>3078</v>
      </c>
      <c r="C2855" s="501" t="s">
        <v>1089</v>
      </c>
      <c r="D2855" s="501" t="s">
        <v>3392</v>
      </c>
      <c r="E2855" s="501" t="s">
        <v>3381</v>
      </c>
      <c r="F2855" s="501" t="s">
        <v>591</v>
      </c>
      <c r="G2855" s="501" t="s">
        <v>592</v>
      </c>
      <c r="H2855" s="501" t="s">
        <v>5621</v>
      </c>
      <c r="I2855" s="501">
        <v>56</v>
      </c>
      <c r="J2855" s="501">
        <v>0</v>
      </c>
      <c r="K2855" s="501">
        <v>0</v>
      </c>
      <c r="L2855" s="501">
        <v>56</v>
      </c>
      <c r="M2855" s="501">
        <v>0</v>
      </c>
      <c r="N2855" s="501">
        <v>0</v>
      </c>
      <c r="O2855" s="506">
        <v>0</v>
      </c>
    </row>
    <row r="2856" spans="1:15" x14ac:dyDescent="0.35">
      <c r="A2856" s="503" t="s">
        <v>1130</v>
      </c>
      <c r="B2856" s="504" t="s">
        <v>3234</v>
      </c>
      <c r="C2856" s="504" t="s">
        <v>1094</v>
      </c>
      <c r="D2856" s="504" t="s">
        <v>3380</v>
      </c>
      <c r="E2856" s="504" t="s">
        <v>3381</v>
      </c>
      <c r="F2856" s="504" t="s">
        <v>591</v>
      </c>
      <c r="G2856" s="504" t="s">
        <v>592</v>
      </c>
      <c r="H2856" s="504" t="s">
        <v>5622</v>
      </c>
      <c r="I2856" s="504">
        <v>2</v>
      </c>
      <c r="J2856" s="504">
        <v>0</v>
      </c>
      <c r="K2856" s="504">
        <v>0</v>
      </c>
      <c r="L2856" s="504">
        <v>0</v>
      </c>
      <c r="M2856" s="504">
        <v>0</v>
      </c>
      <c r="N2856" s="504">
        <v>0</v>
      </c>
      <c r="O2856" s="505">
        <v>2</v>
      </c>
    </row>
    <row r="2857" spans="1:15" x14ac:dyDescent="0.35">
      <c r="A2857" s="500" t="s">
        <v>1240</v>
      </c>
      <c r="B2857" s="501" t="s">
        <v>2972</v>
      </c>
      <c r="C2857" s="501" t="s">
        <v>1094</v>
      </c>
      <c r="D2857" s="501" t="s">
        <v>3380</v>
      </c>
      <c r="E2857" s="501" t="s">
        <v>3381</v>
      </c>
      <c r="F2857" s="501" t="s">
        <v>591</v>
      </c>
      <c r="G2857" s="501" t="s">
        <v>592</v>
      </c>
      <c r="H2857" s="501" t="s">
        <v>5623</v>
      </c>
      <c r="I2857" s="501">
        <v>45</v>
      </c>
      <c r="J2857" s="501">
        <v>45</v>
      </c>
      <c r="K2857" s="501">
        <v>0</v>
      </c>
      <c r="L2857" s="501">
        <v>0</v>
      </c>
      <c r="M2857" s="501">
        <v>0</v>
      </c>
      <c r="N2857" s="501">
        <v>0</v>
      </c>
      <c r="O2857" s="506">
        <v>0</v>
      </c>
    </row>
    <row r="2858" spans="1:15" x14ac:dyDescent="0.35">
      <c r="A2858" s="503" t="s">
        <v>1241</v>
      </c>
      <c r="B2858" s="504">
        <v>4717</v>
      </c>
      <c r="C2858" s="504" t="s">
        <v>1094</v>
      </c>
      <c r="D2858" s="504" t="s">
        <v>3380</v>
      </c>
      <c r="E2858" s="504" t="s">
        <v>3381</v>
      </c>
      <c r="F2858" s="504" t="s">
        <v>591</v>
      </c>
      <c r="G2858" s="504" t="s">
        <v>592</v>
      </c>
      <c r="H2858" s="504" t="s">
        <v>5624</v>
      </c>
      <c r="I2858" s="504">
        <v>19</v>
      </c>
      <c r="J2858" s="504">
        <v>19</v>
      </c>
      <c r="K2858" s="504">
        <v>0</v>
      </c>
      <c r="L2858" s="504">
        <v>0</v>
      </c>
      <c r="M2858" s="504">
        <v>0</v>
      </c>
      <c r="N2858" s="504">
        <v>0</v>
      </c>
      <c r="O2858" s="505">
        <v>0</v>
      </c>
    </row>
    <row r="2859" spans="1:15" x14ac:dyDescent="0.35">
      <c r="A2859" s="500" t="s">
        <v>1134</v>
      </c>
      <c r="B2859" s="501" t="s">
        <v>3066</v>
      </c>
      <c r="C2859" s="501" t="s">
        <v>1094</v>
      </c>
      <c r="D2859" s="501" t="s">
        <v>3380</v>
      </c>
      <c r="E2859" s="501" t="s">
        <v>3381</v>
      </c>
      <c r="F2859" s="501" t="s">
        <v>591</v>
      </c>
      <c r="G2859" s="501" t="s">
        <v>592</v>
      </c>
      <c r="H2859" s="501" t="s">
        <v>5625</v>
      </c>
      <c r="I2859" s="501">
        <v>742</v>
      </c>
      <c r="J2859" s="501">
        <v>566</v>
      </c>
      <c r="K2859" s="501">
        <v>0</v>
      </c>
      <c r="L2859" s="501">
        <v>0</v>
      </c>
      <c r="M2859" s="501">
        <v>167</v>
      </c>
      <c r="N2859" s="501">
        <v>0</v>
      </c>
      <c r="O2859" s="506">
        <v>9</v>
      </c>
    </row>
    <row r="2860" spans="1:15" x14ac:dyDescent="0.35">
      <c r="A2860" s="503" t="s">
        <v>1904</v>
      </c>
      <c r="B2860" s="504" t="s">
        <v>3238</v>
      </c>
      <c r="C2860" s="504" t="s">
        <v>1089</v>
      </c>
      <c r="D2860" s="504" t="s">
        <v>3392</v>
      </c>
      <c r="E2860" s="504" t="s">
        <v>3381</v>
      </c>
      <c r="F2860" s="504" t="s">
        <v>591</v>
      </c>
      <c r="G2860" s="504" t="s">
        <v>592</v>
      </c>
      <c r="H2860" s="504" t="s">
        <v>5626</v>
      </c>
      <c r="I2860" s="504">
        <v>11</v>
      </c>
      <c r="J2860" s="504">
        <v>0</v>
      </c>
      <c r="K2860" s="504">
        <v>0</v>
      </c>
      <c r="L2860" s="504">
        <v>0</v>
      </c>
      <c r="M2860" s="504">
        <v>11</v>
      </c>
      <c r="N2860" s="504">
        <v>0</v>
      </c>
      <c r="O2860" s="505">
        <v>0</v>
      </c>
    </row>
    <row r="2861" spans="1:15" x14ac:dyDescent="0.35">
      <c r="A2861" s="500" t="s">
        <v>1928</v>
      </c>
      <c r="B2861" s="501" t="s">
        <v>3167</v>
      </c>
      <c r="C2861" s="501" t="s">
        <v>1094</v>
      </c>
      <c r="D2861" s="501" t="s">
        <v>3380</v>
      </c>
      <c r="E2861" s="501" t="s">
        <v>3381</v>
      </c>
      <c r="F2861" s="501" t="s">
        <v>591</v>
      </c>
      <c r="G2861" s="501" t="s">
        <v>592</v>
      </c>
      <c r="H2861" s="501" t="s">
        <v>5627</v>
      </c>
      <c r="I2861" s="501">
        <v>14</v>
      </c>
      <c r="J2861" s="501">
        <v>12</v>
      </c>
      <c r="K2861" s="501">
        <v>0</v>
      </c>
      <c r="L2861" s="501">
        <v>0</v>
      </c>
      <c r="M2861" s="501">
        <v>0</v>
      </c>
      <c r="N2861" s="501">
        <v>0</v>
      </c>
      <c r="O2861" s="506">
        <v>2</v>
      </c>
    </row>
    <row r="2862" spans="1:15" x14ac:dyDescent="0.35">
      <c r="A2862" s="503" t="s">
        <v>1944</v>
      </c>
      <c r="B2862" s="504">
        <v>4644</v>
      </c>
      <c r="C2862" s="504" t="s">
        <v>1089</v>
      </c>
      <c r="D2862" s="504" t="s">
        <v>3392</v>
      </c>
      <c r="E2862" s="504" t="s">
        <v>3381</v>
      </c>
      <c r="F2862" s="504" t="s">
        <v>591</v>
      </c>
      <c r="G2862" s="504" t="s">
        <v>592</v>
      </c>
      <c r="H2862" s="504" t="s">
        <v>5628</v>
      </c>
      <c r="I2862" s="504">
        <v>62</v>
      </c>
      <c r="J2862" s="504">
        <v>0</v>
      </c>
      <c r="K2862" s="504">
        <v>0</v>
      </c>
      <c r="L2862" s="504">
        <v>62</v>
      </c>
      <c r="M2862" s="504">
        <v>0</v>
      </c>
      <c r="N2862" s="504">
        <v>0</v>
      </c>
      <c r="O2862" s="505">
        <v>0</v>
      </c>
    </row>
    <row r="2863" spans="1:15" x14ac:dyDescent="0.35">
      <c r="A2863" s="500" t="s">
        <v>1386</v>
      </c>
      <c r="B2863" s="501" t="s">
        <v>3331</v>
      </c>
      <c r="C2863" s="501" t="s">
        <v>1094</v>
      </c>
      <c r="D2863" s="501" t="s">
        <v>3380</v>
      </c>
      <c r="E2863" s="501" t="s">
        <v>3381</v>
      </c>
      <c r="F2863" s="501" t="s">
        <v>593</v>
      </c>
      <c r="G2863" s="501" t="s">
        <v>594</v>
      </c>
      <c r="H2863" s="501" t="s">
        <v>5629</v>
      </c>
      <c r="I2863" s="501">
        <v>53</v>
      </c>
      <c r="J2863" s="501">
        <v>53</v>
      </c>
      <c r="K2863" s="501">
        <v>0</v>
      </c>
      <c r="L2863" s="501">
        <v>0</v>
      </c>
      <c r="M2863" s="501">
        <v>0</v>
      </c>
      <c r="N2863" s="501">
        <v>0</v>
      </c>
      <c r="O2863" s="506">
        <v>0</v>
      </c>
    </row>
    <row r="2864" spans="1:15" x14ac:dyDescent="0.35">
      <c r="A2864" s="503" t="s">
        <v>14127</v>
      </c>
      <c r="B2864" s="504" t="s">
        <v>14126</v>
      </c>
      <c r="C2864" s="504" t="s">
        <v>1094</v>
      </c>
      <c r="D2864" s="504" t="s">
        <v>3380</v>
      </c>
      <c r="E2864" s="504" t="s">
        <v>3381</v>
      </c>
      <c r="F2864" s="504" t="s">
        <v>593</v>
      </c>
      <c r="G2864" s="504" t="s">
        <v>594</v>
      </c>
      <c r="H2864" s="504" t="s">
        <v>14674</v>
      </c>
      <c r="I2864" s="504">
        <v>524</v>
      </c>
      <c r="J2864" s="504">
        <v>488</v>
      </c>
      <c r="K2864" s="504">
        <v>0</v>
      </c>
      <c r="L2864" s="504">
        <v>2</v>
      </c>
      <c r="M2864" s="504">
        <v>0</v>
      </c>
      <c r="N2864" s="504">
        <v>0</v>
      </c>
      <c r="O2864" s="505">
        <v>34</v>
      </c>
    </row>
    <row r="2865" spans="1:15" x14ac:dyDescent="0.35">
      <c r="A2865" s="500" t="s">
        <v>1093</v>
      </c>
      <c r="B2865" s="501" t="s">
        <v>3248</v>
      </c>
      <c r="C2865" s="501" t="s">
        <v>1094</v>
      </c>
      <c r="D2865" s="501" t="s">
        <v>3380</v>
      </c>
      <c r="E2865" s="501" t="s">
        <v>3381</v>
      </c>
      <c r="F2865" s="501" t="s">
        <v>593</v>
      </c>
      <c r="G2865" s="501" t="s">
        <v>594</v>
      </c>
      <c r="H2865" s="501" t="s">
        <v>5630</v>
      </c>
      <c r="I2865" s="501">
        <v>12</v>
      </c>
      <c r="J2865" s="501">
        <v>0</v>
      </c>
      <c r="K2865" s="501">
        <v>0</v>
      </c>
      <c r="L2865" s="501">
        <v>0</v>
      </c>
      <c r="M2865" s="501">
        <v>0</v>
      </c>
      <c r="N2865" s="501">
        <v>0</v>
      </c>
      <c r="O2865" s="506">
        <v>12</v>
      </c>
    </row>
    <row r="2866" spans="1:15" x14ac:dyDescent="0.35">
      <c r="A2866" s="503" t="s">
        <v>1096</v>
      </c>
      <c r="B2866" s="504" t="s">
        <v>3326</v>
      </c>
      <c r="C2866" s="504" t="s">
        <v>1094</v>
      </c>
      <c r="D2866" s="504" t="s">
        <v>3380</v>
      </c>
      <c r="E2866" s="504" t="s">
        <v>3381</v>
      </c>
      <c r="F2866" s="504" t="s">
        <v>593</v>
      </c>
      <c r="G2866" s="504" t="s">
        <v>594</v>
      </c>
      <c r="H2866" s="504" t="s">
        <v>5631</v>
      </c>
      <c r="I2866" s="504">
        <v>22</v>
      </c>
      <c r="J2866" s="504">
        <v>0</v>
      </c>
      <c r="K2866" s="504">
        <v>0</v>
      </c>
      <c r="L2866" s="504">
        <v>0</v>
      </c>
      <c r="M2866" s="504">
        <v>22</v>
      </c>
      <c r="N2866" s="504">
        <v>0</v>
      </c>
      <c r="O2866" s="505">
        <v>0</v>
      </c>
    </row>
    <row r="2867" spans="1:15" x14ac:dyDescent="0.35">
      <c r="A2867" s="500" t="s">
        <v>1802</v>
      </c>
      <c r="B2867" s="501">
        <v>4872</v>
      </c>
      <c r="C2867" s="501" t="s">
        <v>1089</v>
      </c>
      <c r="D2867" s="501" t="s">
        <v>3380</v>
      </c>
      <c r="E2867" s="501" t="s">
        <v>3381</v>
      </c>
      <c r="F2867" s="501" t="s">
        <v>593</v>
      </c>
      <c r="G2867" s="501" t="s">
        <v>594</v>
      </c>
      <c r="H2867" s="501" t="s">
        <v>11501</v>
      </c>
      <c r="I2867" s="501">
        <v>16</v>
      </c>
      <c r="J2867" s="501">
        <v>11</v>
      </c>
      <c r="K2867" s="501">
        <v>0</v>
      </c>
      <c r="L2867" s="501">
        <v>0</v>
      </c>
      <c r="M2867" s="501">
        <v>0</v>
      </c>
      <c r="N2867" s="501">
        <v>0</v>
      </c>
      <c r="O2867" s="506">
        <v>5</v>
      </c>
    </row>
    <row r="2868" spans="1:15" x14ac:dyDescent="0.35">
      <c r="A2868" s="503" t="s">
        <v>1098</v>
      </c>
      <c r="B2868" s="504">
        <v>4691</v>
      </c>
      <c r="C2868" s="504" t="s">
        <v>1094</v>
      </c>
      <c r="D2868" s="504" t="s">
        <v>3380</v>
      </c>
      <c r="E2868" s="504" t="s">
        <v>3381</v>
      </c>
      <c r="F2868" s="504" t="s">
        <v>593</v>
      </c>
      <c r="G2868" s="504" t="s">
        <v>594</v>
      </c>
      <c r="H2868" s="504" t="s">
        <v>5632</v>
      </c>
      <c r="I2868" s="504">
        <v>153</v>
      </c>
      <c r="J2868" s="504">
        <v>95</v>
      </c>
      <c r="K2868" s="504">
        <v>0</v>
      </c>
      <c r="L2868" s="504">
        <v>0</v>
      </c>
      <c r="M2868" s="504">
        <v>0</v>
      </c>
      <c r="N2868" s="504">
        <v>0</v>
      </c>
      <c r="O2868" s="505">
        <v>58</v>
      </c>
    </row>
    <row r="2869" spans="1:15" x14ac:dyDescent="0.35">
      <c r="A2869" s="500" t="s">
        <v>11363</v>
      </c>
      <c r="B2869" s="501">
        <v>4718</v>
      </c>
      <c r="C2869" s="501" t="s">
        <v>1094</v>
      </c>
      <c r="D2869" s="501" t="s">
        <v>3380</v>
      </c>
      <c r="E2869" s="501" t="s">
        <v>3381</v>
      </c>
      <c r="F2869" s="501" t="s">
        <v>593</v>
      </c>
      <c r="G2869" s="501" t="s">
        <v>594</v>
      </c>
      <c r="H2869" s="501" t="s">
        <v>11541</v>
      </c>
      <c r="I2869" s="501">
        <v>4</v>
      </c>
      <c r="J2869" s="501">
        <v>0</v>
      </c>
      <c r="K2869" s="501">
        <v>0</v>
      </c>
      <c r="L2869" s="501">
        <v>4</v>
      </c>
      <c r="M2869" s="501">
        <v>0</v>
      </c>
      <c r="N2869" s="501">
        <v>0</v>
      </c>
      <c r="O2869" s="506">
        <v>0</v>
      </c>
    </row>
    <row r="2870" spans="1:15" x14ac:dyDescent="0.35">
      <c r="A2870" s="503" t="s">
        <v>1100</v>
      </c>
      <c r="B2870" s="504">
        <v>4865</v>
      </c>
      <c r="C2870" s="504" t="s">
        <v>1094</v>
      </c>
      <c r="D2870" s="504" t="s">
        <v>3380</v>
      </c>
      <c r="E2870" s="504" t="s">
        <v>3381</v>
      </c>
      <c r="F2870" s="504" t="s">
        <v>593</v>
      </c>
      <c r="G2870" s="504" t="s">
        <v>594</v>
      </c>
      <c r="H2870" s="504" t="s">
        <v>5633</v>
      </c>
      <c r="I2870" s="504">
        <v>33</v>
      </c>
      <c r="J2870" s="504">
        <v>16</v>
      </c>
      <c r="K2870" s="504">
        <v>0</v>
      </c>
      <c r="L2870" s="504">
        <v>9</v>
      </c>
      <c r="M2870" s="504">
        <v>0</v>
      </c>
      <c r="N2870" s="504">
        <v>0</v>
      </c>
      <c r="O2870" s="505">
        <v>8</v>
      </c>
    </row>
    <row r="2871" spans="1:15" x14ac:dyDescent="0.35">
      <c r="A2871" s="500" t="s">
        <v>1817</v>
      </c>
      <c r="B2871" s="501" t="s">
        <v>2525</v>
      </c>
      <c r="C2871" s="501" t="s">
        <v>1089</v>
      </c>
      <c r="D2871" s="501" t="s">
        <v>3392</v>
      </c>
      <c r="E2871" s="501" t="s">
        <v>3381</v>
      </c>
      <c r="F2871" s="501" t="s">
        <v>593</v>
      </c>
      <c r="G2871" s="501" t="s">
        <v>594</v>
      </c>
      <c r="H2871" s="501" t="s">
        <v>5634</v>
      </c>
      <c r="I2871" s="501">
        <v>45</v>
      </c>
      <c r="J2871" s="501">
        <v>0</v>
      </c>
      <c r="K2871" s="501">
        <v>0</v>
      </c>
      <c r="L2871" s="501">
        <v>0</v>
      </c>
      <c r="M2871" s="501">
        <v>45</v>
      </c>
      <c r="N2871" s="501">
        <v>0</v>
      </c>
      <c r="O2871" s="506">
        <v>0</v>
      </c>
    </row>
    <row r="2872" spans="1:15" x14ac:dyDescent="0.35">
      <c r="A2872" s="503" t="s">
        <v>1174</v>
      </c>
      <c r="B2872" s="504">
        <v>4784</v>
      </c>
      <c r="C2872" s="504" t="s">
        <v>1089</v>
      </c>
      <c r="D2872" s="504" t="s">
        <v>3392</v>
      </c>
      <c r="E2872" s="504" t="s">
        <v>3381</v>
      </c>
      <c r="F2872" s="504" t="s">
        <v>593</v>
      </c>
      <c r="G2872" s="504" t="s">
        <v>594</v>
      </c>
      <c r="H2872" s="504" t="s">
        <v>5635</v>
      </c>
      <c r="I2872" s="504">
        <v>9</v>
      </c>
      <c r="J2872" s="504">
        <v>0</v>
      </c>
      <c r="K2872" s="504">
        <v>0</v>
      </c>
      <c r="L2872" s="504">
        <v>9</v>
      </c>
      <c r="M2872" s="504">
        <v>0</v>
      </c>
      <c r="N2872" s="504">
        <v>0</v>
      </c>
      <c r="O2872" s="505">
        <v>0</v>
      </c>
    </row>
    <row r="2873" spans="1:15" x14ac:dyDescent="0.35">
      <c r="A2873" s="500" t="s">
        <v>14208</v>
      </c>
      <c r="B2873" s="501">
        <v>4803</v>
      </c>
      <c r="C2873" s="501" t="s">
        <v>1094</v>
      </c>
      <c r="D2873" s="501" t="s">
        <v>3380</v>
      </c>
      <c r="E2873" s="501" t="s">
        <v>3381</v>
      </c>
      <c r="F2873" s="501" t="s">
        <v>593</v>
      </c>
      <c r="G2873" s="501" t="s">
        <v>594</v>
      </c>
      <c r="H2873" s="501" t="s">
        <v>14675</v>
      </c>
      <c r="I2873" s="501">
        <v>43</v>
      </c>
      <c r="J2873" s="501">
        <v>0</v>
      </c>
      <c r="K2873" s="501">
        <v>0</v>
      </c>
      <c r="L2873" s="501">
        <v>43</v>
      </c>
      <c r="M2873" s="501">
        <v>0</v>
      </c>
      <c r="N2873" s="501">
        <v>0</v>
      </c>
      <c r="O2873" s="506">
        <v>0</v>
      </c>
    </row>
    <row r="2874" spans="1:15" x14ac:dyDescent="0.35">
      <c r="A2874" s="503" t="s">
        <v>1105</v>
      </c>
      <c r="B2874" s="504">
        <v>4668</v>
      </c>
      <c r="C2874" s="504" t="s">
        <v>1094</v>
      </c>
      <c r="D2874" s="504" t="s">
        <v>3380</v>
      </c>
      <c r="E2874" s="504" t="s">
        <v>3381</v>
      </c>
      <c r="F2874" s="504" t="s">
        <v>593</v>
      </c>
      <c r="G2874" s="504" t="s">
        <v>594</v>
      </c>
      <c r="H2874" s="504" t="s">
        <v>5636</v>
      </c>
      <c r="I2874" s="504">
        <v>29</v>
      </c>
      <c r="J2874" s="504">
        <v>0</v>
      </c>
      <c r="K2874" s="504">
        <v>0</v>
      </c>
      <c r="L2874" s="504">
        <v>0</v>
      </c>
      <c r="M2874" s="504">
        <v>0</v>
      </c>
      <c r="N2874" s="504">
        <v>0</v>
      </c>
      <c r="O2874" s="505">
        <v>29</v>
      </c>
    </row>
    <row r="2875" spans="1:15" x14ac:dyDescent="0.35">
      <c r="A2875" s="500" t="s">
        <v>1188</v>
      </c>
      <c r="B2875" s="501">
        <v>4760</v>
      </c>
      <c r="C2875" s="501" t="s">
        <v>1089</v>
      </c>
      <c r="D2875" s="501" t="s">
        <v>3392</v>
      </c>
      <c r="E2875" s="501" t="s">
        <v>3381</v>
      </c>
      <c r="F2875" s="501" t="s">
        <v>593</v>
      </c>
      <c r="G2875" s="501" t="s">
        <v>594</v>
      </c>
      <c r="H2875" s="501" t="s">
        <v>11747</v>
      </c>
      <c r="I2875" s="501">
        <v>6</v>
      </c>
      <c r="J2875" s="501">
        <v>0</v>
      </c>
      <c r="K2875" s="501">
        <v>0</v>
      </c>
      <c r="L2875" s="501">
        <v>6</v>
      </c>
      <c r="M2875" s="501">
        <v>0</v>
      </c>
      <c r="N2875" s="501">
        <v>0</v>
      </c>
      <c r="O2875" s="506">
        <v>0</v>
      </c>
    </row>
    <row r="2876" spans="1:15" x14ac:dyDescent="0.35">
      <c r="A2876" s="503" t="s">
        <v>1107</v>
      </c>
      <c r="B2876" s="504" t="s">
        <v>3109</v>
      </c>
      <c r="C2876" s="504" t="s">
        <v>1094</v>
      </c>
      <c r="D2876" s="504" t="s">
        <v>3380</v>
      </c>
      <c r="E2876" s="504" t="s">
        <v>3381</v>
      </c>
      <c r="F2876" s="504" t="s">
        <v>593</v>
      </c>
      <c r="G2876" s="504" t="s">
        <v>594</v>
      </c>
      <c r="H2876" s="504" t="s">
        <v>5637</v>
      </c>
      <c r="I2876" s="504">
        <v>28</v>
      </c>
      <c r="J2876" s="504">
        <v>0</v>
      </c>
      <c r="K2876" s="504">
        <v>0</v>
      </c>
      <c r="L2876" s="504">
        <v>25</v>
      </c>
      <c r="M2876" s="504">
        <v>0</v>
      </c>
      <c r="N2876" s="504">
        <v>0</v>
      </c>
      <c r="O2876" s="505">
        <v>3</v>
      </c>
    </row>
    <row r="2877" spans="1:15" x14ac:dyDescent="0.35">
      <c r="A2877" s="500" t="s">
        <v>1109</v>
      </c>
      <c r="B2877" s="501" t="s">
        <v>2959</v>
      </c>
      <c r="C2877" s="501" t="s">
        <v>1094</v>
      </c>
      <c r="D2877" s="501" t="s">
        <v>3380</v>
      </c>
      <c r="E2877" s="501" t="s">
        <v>3381</v>
      </c>
      <c r="F2877" s="501" t="s">
        <v>593</v>
      </c>
      <c r="G2877" s="501" t="s">
        <v>594</v>
      </c>
      <c r="H2877" s="501" t="s">
        <v>5638</v>
      </c>
      <c r="I2877" s="501">
        <v>135</v>
      </c>
      <c r="J2877" s="501">
        <v>0</v>
      </c>
      <c r="K2877" s="501">
        <v>0</v>
      </c>
      <c r="L2877" s="501">
        <v>0</v>
      </c>
      <c r="M2877" s="501">
        <v>123</v>
      </c>
      <c r="N2877" s="501">
        <v>0</v>
      </c>
      <c r="O2877" s="506">
        <v>12</v>
      </c>
    </row>
    <row r="2878" spans="1:15" x14ac:dyDescent="0.35">
      <c r="A2878" s="503" t="s">
        <v>1189</v>
      </c>
      <c r="B2878" s="504" t="s">
        <v>3236</v>
      </c>
      <c r="C2878" s="504" t="s">
        <v>1094</v>
      </c>
      <c r="D2878" s="504" t="s">
        <v>3380</v>
      </c>
      <c r="E2878" s="504" t="s">
        <v>3381</v>
      </c>
      <c r="F2878" s="504" t="s">
        <v>593</v>
      </c>
      <c r="G2878" s="504" t="s">
        <v>594</v>
      </c>
      <c r="H2878" s="504" t="s">
        <v>5639</v>
      </c>
      <c r="I2878" s="504">
        <v>188</v>
      </c>
      <c r="J2878" s="504">
        <v>164</v>
      </c>
      <c r="K2878" s="504">
        <v>0</v>
      </c>
      <c r="L2878" s="504">
        <v>0</v>
      </c>
      <c r="M2878" s="504">
        <v>0</v>
      </c>
      <c r="N2878" s="504">
        <v>0</v>
      </c>
      <c r="O2878" s="505">
        <v>24</v>
      </c>
    </row>
    <row r="2879" spans="1:15" x14ac:dyDescent="0.35">
      <c r="A2879" s="500" t="s">
        <v>1202</v>
      </c>
      <c r="B2879" s="501" t="s">
        <v>3217</v>
      </c>
      <c r="C2879" s="501" t="s">
        <v>1094</v>
      </c>
      <c r="D2879" s="501" t="s">
        <v>3380</v>
      </c>
      <c r="E2879" s="501" t="s">
        <v>3381</v>
      </c>
      <c r="F2879" s="501" t="s">
        <v>593</v>
      </c>
      <c r="G2879" s="501" t="s">
        <v>594</v>
      </c>
      <c r="H2879" s="501" t="s">
        <v>11833</v>
      </c>
      <c r="I2879" s="501">
        <v>2</v>
      </c>
      <c r="J2879" s="501">
        <v>0</v>
      </c>
      <c r="K2879" s="501">
        <v>0</v>
      </c>
      <c r="L2879" s="501">
        <v>0</v>
      </c>
      <c r="M2879" s="501">
        <v>0</v>
      </c>
      <c r="N2879" s="501">
        <v>0</v>
      </c>
      <c r="O2879" s="506">
        <v>2</v>
      </c>
    </row>
    <row r="2880" spans="1:15" x14ac:dyDescent="0.35">
      <c r="A2880" s="503" t="s">
        <v>1112</v>
      </c>
      <c r="B2880" s="504" t="s">
        <v>3008</v>
      </c>
      <c r="C2880" s="504" t="s">
        <v>1094</v>
      </c>
      <c r="D2880" s="504" t="s">
        <v>3380</v>
      </c>
      <c r="E2880" s="504" t="s">
        <v>3381</v>
      </c>
      <c r="F2880" s="504" t="s">
        <v>593</v>
      </c>
      <c r="G2880" s="504" t="s">
        <v>594</v>
      </c>
      <c r="H2880" s="504" t="s">
        <v>5640</v>
      </c>
      <c r="I2880" s="504">
        <v>56</v>
      </c>
      <c r="J2880" s="504">
        <v>44</v>
      </c>
      <c r="K2880" s="504">
        <v>0</v>
      </c>
      <c r="L2880" s="504">
        <v>0</v>
      </c>
      <c r="M2880" s="504">
        <v>0</v>
      </c>
      <c r="N2880" s="504">
        <v>0</v>
      </c>
      <c r="O2880" s="505">
        <v>12</v>
      </c>
    </row>
    <row r="2881" spans="1:15" x14ac:dyDescent="0.35">
      <c r="A2881" s="500" t="s">
        <v>1120</v>
      </c>
      <c r="B2881" s="501" t="s">
        <v>3362</v>
      </c>
      <c r="C2881" s="501" t="s">
        <v>1094</v>
      </c>
      <c r="D2881" s="501" t="s">
        <v>3380</v>
      </c>
      <c r="E2881" s="501" t="s">
        <v>3381</v>
      </c>
      <c r="F2881" s="501" t="s">
        <v>593</v>
      </c>
      <c r="G2881" s="501" t="s">
        <v>594</v>
      </c>
      <c r="H2881" s="501" t="s">
        <v>5641</v>
      </c>
      <c r="I2881" s="501">
        <v>1</v>
      </c>
      <c r="J2881" s="501">
        <v>0</v>
      </c>
      <c r="K2881" s="501">
        <v>0</v>
      </c>
      <c r="L2881" s="501">
        <v>0</v>
      </c>
      <c r="M2881" s="501">
        <v>0</v>
      </c>
      <c r="N2881" s="501">
        <v>0</v>
      </c>
      <c r="O2881" s="506">
        <v>1</v>
      </c>
    </row>
    <row r="2882" spans="1:15" x14ac:dyDescent="0.35">
      <c r="A2882" s="503" t="s">
        <v>1221</v>
      </c>
      <c r="B2882" s="504">
        <v>4728</v>
      </c>
      <c r="C2882" s="504" t="s">
        <v>1089</v>
      </c>
      <c r="D2882" s="504" t="s">
        <v>3392</v>
      </c>
      <c r="E2882" s="504" t="s">
        <v>3381</v>
      </c>
      <c r="F2882" s="504" t="s">
        <v>593</v>
      </c>
      <c r="G2882" s="504" t="s">
        <v>594</v>
      </c>
      <c r="H2882" s="504" t="s">
        <v>5642</v>
      </c>
      <c r="I2882" s="504">
        <v>13</v>
      </c>
      <c r="J2882" s="504">
        <v>0</v>
      </c>
      <c r="K2882" s="504">
        <v>0</v>
      </c>
      <c r="L2882" s="504">
        <v>13</v>
      </c>
      <c r="M2882" s="504">
        <v>0</v>
      </c>
      <c r="N2882" s="504">
        <v>0</v>
      </c>
      <c r="O2882" s="505">
        <v>0</v>
      </c>
    </row>
    <row r="2883" spans="1:15" x14ac:dyDescent="0.35">
      <c r="A2883" s="500" t="s">
        <v>1122</v>
      </c>
      <c r="B2883" s="501" t="s">
        <v>2994</v>
      </c>
      <c r="C2883" s="501" t="s">
        <v>1094</v>
      </c>
      <c r="D2883" s="501" t="s">
        <v>3380</v>
      </c>
      <c r="E2883" s="501" t="s">
        <v>3381</v>
      </c>
      <c r="F2883" s="501" t="s">
        <v>593</v>
      </c>
      <c r="G2883" s="501" t="s">
        <v>594</v>
      </c>
      <c r="H2883" s="501" t="s">
        <v>5643</v>
      </c>
      <c r="I2883" s="501">
        <v>123</v>
      </c>
      <c r="J2883" s="501">
        <v>123</v>
      </c>
      <c r="K2883" s="501">
        <v>0</v>
      </c>
      <c r="L2883" s="501">
        <v>0</v>
      </c>
      <c r="M2883" s="501">
        <v>0</v>
      </c>
      <c r="N2883" s="501">
        <v>0</v>
      </c>
      <c r="O2883" s="506">
        <v>0</v>
      </c>
    </row>
    <row r="2884" spans="1:15" x14ac:dyDescent="0.35">
      <c r="A2884" s="503" t="s">
        <v>1124</v>
      </c>
      <c r="B2884" s="504">
        <v>4745</v>
      </c>
      <c r="C2884" s="504" t="s">
        <v>1094</v>
      </c>
      <c r="D2884" s="504" t="s">
        <v>3380</v>
      </c>
      <c r="E2884" s="504" t="s">
        <v>3381</v>
      </c>
      <c r="F2884" s="504" t="s">
        <v>593</v>
      </c>
      <c r="G2884" s="504" t="s">
        <v>594</v>
      </c>
      <c r="H2884" s="504" t="s">
        <v>5644</v>
      </c>
      <c r="I2884" s="504">
        <v>7</v>
      </c>
      <c r="J2884" s="504">
        <v>0</v>
      </c>
      <c r="K2884" s="504">
        <v>0</v>
      </c>
      <c r="L2884" s="504">
        <v>7</v>
      </c>
      <c r="M2884" s="504">
        <v>0</v>
      </c>
      <c r="N2884" s="504">
        <v>0</v>
      </c>
      <c r="O2884" s="505">
        <v>0</v>
      </c>
    </row>
    <row r="2885" spans="1:15" x14ac:dyDescent="0.35">
      <c r="A2885" s="500" t="s">
        <v>1892</v>
      </c>
      <c r="B2885" s="501" t="s">
        <v>3172</v>
      </c>
      <c r="C2885" s="501" t="s">
        <v>1094</v>
      </c>
      <c r="D2885" s="501" t="s">
        <v>3380</v>
      </c>
      <c r="E2885" s="501" t="s">
        <v>3381</v>
      </c>
      <c r="F2885" s="501" t="s">
        <v>593</v>
      </c>
      <c r="G2885" s="501" t="s">
        <v>594</v>
      </c>
      <c r="H2885" s="501" t="s">
        <v>5645</v>
      </c>
      <c r="I2885" s="501">
        <v>160</v>
      </c>
      <c r="J2885" s="501">
        <v>57</v>
      </c>
      <c r="K2885" s="501">
        <v>0</v>
      </c>
      <c r="L2885" s="501">
        <v>0</v>
      </c>
      <c r="M2885" s="501">
        <v>95</v>
      </c>
      <c r="N2885" s="501">
        <v>0</v>
      </c>
      <c r="O2885" s="506">
        <v>8</v>
      </c>
    </row>
    <row r="2886" spans="1:15" x14ac:dyDescent="0.35">
      <c r="A2886" s="503" t="s">
        <v>1130</v>
      </c>
      <c r="B2886" s="504" t="s">
        <v>3234</v>
      </c>
      <c r="C2886" s="504" t="s">
        <v>1094</v>
      </c>
      <c r="D2886" s="504" t="s">
        <v>3380</v>
      </c>
      <c r="E2886" s="504" t="s">
        <v>3381</v>
      </c>
      <c r="F2886" s="504" t="s">
        <v>593</v>
      </c>
      <c r="G2886" s="504" t="s">
        <v>594</v>
      </c>
      <c r="H2886" s="504" t="s">
        <v>5646</v>
      </c>
      <c r="I2886" s="504">
        <v>46</v>
      </c>
      <c r="J2886" s="504">
        <v>46</v>
      </c>
      <c r="K2886" s="504">
        <v>0</v>
      </c>
      <c r="L2886" s="504">
        <v>0</v>
      </c>
      <c r="M2886" s="504">
        <v>0</v>
      </c>
      <c r="N2886" s="504">
        <v>0</v>
      </c>
      <c r="O2886" s="505">
        <v>0</v>
      </c>
    </row>
    <row r="2887" spans="1:15" x14ac:dyDescent="0.35">
      <c r="A2887" s="500" t="s">
        <v>1132</v>
      </c>
      <c r="B2887" s="501">
        <v>4837</v>
      </c>
      <c r="C2887" s="501" t="s">
        <v>1094</v>
      </c>
      <c r="D2887" s="501" t="s">
        <v>3380</v>
      </c>
      <c r="E2887" s="501" t="s">
        <v>3381</v>
      </c>
      <c r="F2887" s="501" t="s">
        <v>593</v>
      </c>
      <c r="G2887" s="501" t="s">
        <v>594</v>
      </c>
      <c r="H2887" s="501" t="s">
        <v>5647</v>
      </c>
      <c r="I2887" s="501">
        <v>75</v>
      </c>
      <c r="J2887" s="501">
        <v>50</v>
      </c>
      <c r="K2887" s="501">
        <v>0</v>
      </c>
      <c r="L2887" s="501">
        <v>16</v>
      </c>
      <c r="M2887" s="501">
        <v>0</v>
      </c>
      <c r="N2887" s="501">
        <v>0</v>
      </c>
      <c r="O2887" s="506">
        <v>9</v>
      </c>
    </row>
    <row r="2888" spans="1:15" x14ac:dyDescent="0.35">
      <c r="A2888" s="503" t="s">
        <v>1134</v>
      </c>
      <c r="B2888" s="504" t="s">
        <v>3066</v>
      </c>
      <c r="C2888" s="504" t="s">
        <v>1094</v>
      </c>
      <c r="D2888" s="504" t="s">
        <v>3380</v>
      </c>
      <c r="E2888" s="504" t="s">
        <v>3381</v>
      </c>
      <c r="F2888" s="504" t="s">
        <v>593</v>
      </c>
      <c r="G2888" s="504" t="s">
        <v>594</v>
      </c>
      <c r="H2888" s="504" t="s">
        <v>5648</v>
      </c>
      <c r="I2888" s="504">
        <v>185</v>
      </c>
      <c r="J2888" s="504">
        <v>141</v>
      </c>
      <c r="K2888" s="504">
        <v>0</v>
      </c>
      <c r="L2888" s="504">
        <v>0</v>
      </c>
      <c r="M2888" s="504">
        <v>5</v>
      </c>
      <c r="N2888" s="504">
        <v>0</v>
      </c>
      <c r="O2888" s="505">
        <v>39</v>
      </c>
    </row>
    <row r="2889" spans="1:15" x14ac:dyDescent="0.35">
      <c r="A2889" s="500" t="s">
        <v>1136</v>
      </c>
      <c r="B2889" s="501">
        <v>4680</v>
      </c>
      <c r="C2889" s="501" t="s">
        <v>1094</v>
      </c>
      <c r="D2889" s="501" t="s">
        <v>3380</v>
      </c>
      <c r="E2889" s="501" t="s">
        <v>3381</v>
      </c>
      <c r="F2889" s="501" t="s">
        <v>593</v>
      </c>
      <c r="G2889" s="501" t="s">
        <v>594</v>
      </c>
      <c r="H2889" s="501" t="s">
        <v>5649</v>
      </c>
      <c r="I2889" s="501">
        <v>298</v>
      </c>
      <c r="J2889" s="501">
        <v>195</v>
      </c>
      <c r="K2889" s="501">
        <v>0</v>
      </c>
      <c r="L2889" s="501">
        <v>0</v>
      </c>
      <c r="M2889" s="501">
        <v>0</v>
      </c>
      <c r="N2889" s="501">
        <v>0</v>
      </c>
      <c r="O2889" s="506">
        <v>103</v>
      </c>
    </row>
    <row r="2890" spans="1:15" x14ac:dyDescent="0.35">
      <c r="A2890" s="503" t="s">
        <v>1138</v>
      </c>
      <c r="B2890" s="504" t="s">
        <v>2998</v>
      </c>
      <c r="C2890" s="504" t="s">
        <v>1094</v>
      </c>
      <c r="D2890" s="504" t="s">
        <v>3380</v>
      </c>
      <c r="E2890" s="504" t="s">
        <v>3381</v>
      </c>
      <c r="F2890" s="504" t="s">
        <v>593</v>
      </c>
      <c r="G2890" s="504" t="s">
        <v>594</v>
      </c>
      <c r="H2890" s="504" t="s">
        <v>5650</v>
      </c>
      <c r="I2890" s="504">
        <v>1140</v>
      </c>
      <c r="J2890" s="504">
        <v>719</v>
      </c>
      <c r="K2890" s="504">
        <v>0</v>
      </c>
      <c r="L2890" s="504">
        <v>4</v>
      </c>
      <c r="M2890" s="504">
        <v>95</v>
      </c>
      <c r="N2890" s="504">
        <v>0</v>
      </c>
      <c r="O2890" s="505">
        <v>322</v>
      </c>
    </row>
    <row r="2891" spans="1:15" x14ac:dyDescent="0.35">
      <c r="A2891" s="500" t="s">
        <v>1930</v>
      </c>
      <c r="B2891" s="501" t="s">
        <v>3313</v>
      </c>
      <c r="C2891" s="501" t="s">
        <v>1089</v>
      </c>
      <c r="D2891" s="501" t="s">
        <v>3392</v>
      </c>
      <c r="E2891" s="501" t="s">
        <v>3381</v>
      </c>
      <c r="F2891" s="501" t="s">
        <v>593</v>
      </c>
      <c r="G2891" s="501" t="s">
        <v>594</v>
      </c>
      <c r="H2891" s="501" t="s">
        <v>5651</v>
      </c>
      <c r="I2891" s="501">
        <v>5</v>
      </c>
      <c r="J2891" s="501">
        <v>0</v>
      </c>
      <c r="K2891" s="501">
        <v>0</v>
      </c>
      <c r="L2891" s="501">
        <v>5</v>
      </c>
      <c r="M2891" s="501">
        <v>0</v>
      </c>
      <c r="N2891" s="501">
        <v>0</v>
      </c>
      <c r="O2891" s="506">
        <v>0</v>
      </c>
    </row>
    <row r="2892" spans="1:15" x14ac:dyDescent="0.35">
      <c r="A2892" s="503" t="s">
        <v>1140</v>
      </c>
      <c r="B2892" s="504">
        <v>4850</v>
      </c>
      <c r="C2892" s="504" t="s">
        <v>1094</v>
      </c>
      <c r="D2892" s="504" t="s">
        <v>3380</v>
      </c>
      <c r="E2892" s="504" t="s">
        <v>3381</v>
      </c>
      <c r="F2892" s="504" t="s">
        <v>593</v>
      </c>
      <c r="G2892" s="504" t="s">
        <v>594</v>
      </c>
      <c r="H2892" s="504" t="s">
        <v>5652</v>
      </c>
      <c r="I2892" s="504">
        <v>5494</v>
      </c>
      <c r="J2892" s="504">
        <v>4591</v>
      </c>
      <c r="K2892" s="504">
        <v>0</v>
      </c>
      <c r="L2892" s="504">
        <v>26</v>
      </c>
      <c r="M2892" s="504">
        <v>329</v>
      </c>
      <c r="N2892" s="504">
        <v>0</v>
      </c>
      <c r="O2892" s="505">
        <v>548</v>
      </c>
    </row>
    <row r="2893" spans="1:15" x14ac:dyDescent="0.35">
      <c r="A2893" s="500" t="s">
        <v>1096</v>
      </c>
      <c r="B2893" s="501" t="s">
        <v>3326</v>
      </c>
      <c r="C2893" s="501" t="s">
        <v>1094</v>
      </c>
      <c r="D2893" s="501" t="s">
        <v>3380</v>
      </c>
      <c r="E2893" s="501" t="s">
        <v>3381</v>
      </c>
      <c r="F2893" s="501" t="s">
        <v>595</v>
      </c>
      <c r="G2893" s="501" t="s">
        <v>596</v>
      </c>
      <c r="H2893" s="501" t="s">
        <v>5653</v>
      </c>
      <c r="I2893" s="501">
        <v>118</v>
      </c>
      <c r="J2893" s="501">
        <v>0</v>
      </c>
      <c r="K2893" s="501">
        <v>0</v>
      </c>
      <c r="L2893" s="501">
        <v>0</v>
      </c>
      <c r="M2893" s="501">
        <v>118</v>
      </c>
      <c r="N2893" s="501">
        <v>0</v>
      </c>
      <c r="O2893" s="506">
        <v>0</v>
      </c>
    </row>
    <row r="2894" spans="1:15" x14ac:dyDescent="0.35">
      <c r="A2894" s="503" t="s">
        <v>1623</v>
      </c>
      <c r="B2894" s="504">
        <v>4858</v>
      </c>
      <c r="C2894" s="504" t="s">
        <v>1094</v>
      </c>
      <c r="D2894" s="504" t="s">
        <v>3380</v>
      </c>
      <c r="E2894" s="504" t="s">
        <v>3381</v>
      </c>
      <c r="F2894" s="504" t="s">
        <v>595</v>
      </c>
      <c r="G2894" s="504" t="s">
        <v>596</v>
      </c>
      <c r="H2894" s="504" t="s">
        <v>5654</v>
      </c>
      <c r="I2894" s="504">
        <v>380</v>
      </c>
      <c r="J2894" s="504">
        <v>335</v>
      </c>
      <c r="K2894" s="504">
        <v>0</v>
      </c>
      <c r="L2894" s="504">
        <v>0</v>
      </c>
      <c r="M2894" s="504">
        <v>0</v>
      </c>
      <c r="N2894" s="504">
        <v>1</v>
      </c>
      <c r="O2894" s="505">
        <v>45</v>
      </c>
    </row>
    <row r="2895" spans="1:15" x14ac:dyDescent="0.35">
      <c r="A2895" s="500" t="s">
        <v>1698</v>
      </c>
      <c r="B2895" s="501" t="s">
        <v>3149</v>
      </c>
      <c r="C2895" s="501" t="s">
        <v>1094</v>
      </c>
      <c r="D2895" s="501" t="s">
        <v>3380</v>
      </c>
      <c r="E2895" s="501" t="s">
        <v>3381</v>
      </c>
      <c r="F2895" s="501" t="s">
        <v>595</v>
      </c>
      <c r="G2895" s="501" t="s">
        <v>596</v>
      </c>
      <c r="H2895" s="501" t="s">
        <v>5655</v>
      </c>
      <c r="I2895" s="501">
        <v>1687</v>
      </c>
      <c r="J2895" s="501">
        <v>1505</v>
      </c>
      <c r="K2895" s="501">
        <v>0</v>
      </c>
      <c r="L2895" s="501">
        <v>81</v>
      </c>
      <c r="M2895" s="501">
        <v>38</v>
      </c>
      <c r="N2895" s="501">
        <v>9</v>
      </c>
      <c r="O2895" s="506">
        <v>63</v>
      </c>
    </row>
    <row r="2896" spans="1:15" x14ac:dyDescent="0.35">
      <c r="A2896" s="503" t="s">
        <v>14208</v>
      </c>
      <c r="B2896" s="504">
        <v>4803</v>
      </c>
      <c r="C2896" s="504" t="s">
        <v>1094</v>
      </c>
      <c r="D2896" s="504" t="s">
        <v>3380</v>
      </c>
      <c r="E2896" s="504" t="s">
        <v>3381</v>
      </c>
      <c r="F2896" s="504" t="s">
        <v>595</v>
      </c>
      <c r="G2896" s="504" t="s">
        <v>596</v>
      </c>
      <c r="H2896" s="504" t="s">
        <v>14676</v>
      </c>
      <c r="I2896" s="504">
        <v>7</v>
      </c>
      <c r="J2896" s="504">
        <v>0</v>
      </c>
      <c r="K2896" s="504">
        <v>0</v>
      </c>
      <c r="L2896" s="504">
        <v>7</v>
      </c>
      <c r="M2896" s="504">
        <v>0</v>
      </c>
      <c r="N2896" s="504">
        <v>0</v>
      </c>
      <c r="O2896" s="505">
        <v>0</v>
      </c>
    </row>
    <row r="2897" spans="1:15" x14ac:dyDescent="0.35">
      <c r="A2897" s="500" t="s">
        <v>1105</v>
      </c>
      <c r="B2897" s="501">
        <v>4668</v>
      </c>
      <c r="C2897" s="501" t="s">
        <v>1094</v>
      </c>
      <c r="D2897" s="501" t="s">
        <v>3380</v>
      </c>
      <c r="E2897" s="501" t="s">
        <v>3381</v>
      </c>
      <c r="F2897" s="501" t="s">
        <v>595</v>
      </c>
      <c r="G2897" s="501" t="s">
        <v>596</v>
      </c>
      <c r="H2897" s="501" t="s">
        <v>5656</v>
      </c>
      <c r="I2897" s="501">
        <v>3</v>
      </c>
      <c r="J2897" s="501">
        <v>0</v>
      </c>
      <c r="K2897" s="501">
        <v>0</v>
      </c>
      <c r="L2897" s="501">
        <v>0</v>
      </c>
      <c r="M2897" s="501">
        <v>0</v>
      </c>
      <c r="N2897" s="501">
        <v>0</v>
      </c>
      <c r="O2897" s="506">
        <v>3</v>
      </c>
    </row>
    <row r="2898" spans="1:15" x14ac:dyDescent="0.35">
      <c r="A2898" s="503" t="s">
        <v>1107</v>
      </c>
      <c r="B2898" s="504" t="s">
        <v>3109</v>
      </c>
      <c r="C2898" s="504" t="s">
        <v>1094</v>
      </c>
      <c r="D2898" s="504" t="s">
        <v>3380</v>
      </c>
      <c r="E2898" s="504" t="s">
        <v>3381</v>
      </c>
      <c r="F2898" s="504" t="s">
        <v>595</v>
      </c>
      <c r="G2898" s="504" t="s">
        <v>596</v>
      </c>
      <c r="H2898" s="504" t="s">
        <v>5657</v>
      </c>
      <c r="I2898" s="504">
        <v>130</v>
      </c>
      <c r="J2898" s="504">
        <v>99</v>
      </c>
      <c r="K2898" s="504">
        <v>0</v>
      </c>
      <c r="L2898" s="504">
        <v>11</v>
      </c>
      <c r="M2898" s="504">
        <v>0</v>
      </c>
      <c r="N2898" s="504">
        <v>0</v>
      </c>
      <c r="O2898" s="505">
        <v>20</v>
      </c>
    </row>
    <row r="2899" spans="1:15" x14ac:dyDescent="0.35">
      <c r="A2899" s="500" t="s">
        <v>1109</v>
      </c>
      <c r="B2899" s="501" t="s">
        <v>2959</v>
      </c>
      <c r="C2899" s="501" t="s">
        <v>1094</v>
      </c>
      <c r="D2899" s="501" t="s">
        <v>3380</v>
      </c>
      <c r="E2899" s="501" t="s">
        <v>3381</v>
      </c>
      <c r="F2899" s="501" t="s">
        <v>595</v>
      </c>
      <c r="G2899" s="501" t="s">
        <v>596</v>
      </c>
      <c r="H2899" s="501" t="s">
        <v>5658</v>
      </c>
      <c r="I2899" s="501">
        <v>83</v>
      </c>
      <c r="J2899" s="501">
        <v>0</v>
      </c>
      <c r="K2899" s="501">
        <v>0</v>
      </c>
      <c r="L2899" s="501">
        <v>0</v>
      </c>
      <c r="M2899" s="501">
        <v>55</v>
      </c>
      <c r="N2899" s="501">
        <v>0</v>
      </c>
      <c r="O2899" s="506">
        <v>28</v>
      </c>
    </row>
    <row r="2900" spans="1:15" x14ac:dyDescent="0.35">
      <c r="A2900" s="503" t="s">
        <v>1733</v>
      </c>
      <c r="B2900" s="504">
        <v>4630</v>
      </c>
      <c r="C2900" s="504" t="s">
        <v>1089</v>
      </c>
      <c r="D2900" s="504" t="s">
        <v>3392</v>
      </c>
      <c r="E2900" s="504" t="s">
        <v>3381</v>
      </c>
      <c r="F2900" s="504" t="s">
        <v>595</v>
      </c>
      <c r="G2900" s="504" t="s">
        <v>596</v>
      </c>
      <c r="H2900" s="504" t="s">
        <v>5659</v>
      </c>
      <c r="I2900" s="504">
        <v>10</v>
      </c>
      <c r="J2900" s="504">
        <v>10</v>
      </c>
      <c r="K2900" s="504">
        <v>0</v>
      </c>
      <c r="L2900" s="504">
        <v>0</v>
      </c>
      <c r="M2900" s="504">
        <v>0</v>
      </c>
      <c r="N2900" s="504">
        <v>0</v>
      </c>
      <c r="O2900" s="505">
        <v>0</v>
      </c>
    </row>
    <row r="2901" spans="1:15" x14ac:dyDescent="0.35">
      <c r="A2901" s="500" t="s">
        <v>1738</v>
      </c>
      <c r="B2901" s="501" t="s">
        <v>3280</v>
      </c>
      <c r="C2901" s="501" t="s">
        <v>1089</v>
      </c>
      <c r="D2901" s="501" t="s">
        <v>3392</v>
      </c>
      <c r="E2901" s="501" t="s">
        <v>3381</v>
      </c>
      <c r="F2901" s="501" t="s">
        <v>595</v>
      </c>
      <c r="G2901" s="501" t="s">
        <v>596</v>
      </c>
      <c r="H2901" s="501" t="s">
        <v>5660</v>
      </c>
      <c r="I2901" s="501">
        <v>28</v>
      </c>
      <c r="J2901" s="501">
        <v>28</v>
      </c>
      <c r="K2901" s="501">
        <v>0</v>
      </c>
      <c r="L2901" s="501">
        <v>0</v>
      </c>
      <c r="M2901" s="501">
        <v>0</v>
      </c>
      <c r="N2901" s="501">
        <v>0</v>
      </c>
      <c r="O2901" s="506">
        <v>0</v>
      </c>
    </row>
    <row r="2902" spans="1:15" x14ac:dyDescent="0.35">
      <c r="A2902" s="503" t="s">
        <v>1209</v>
      </c>
      <c r="B2902" s="504">
        <v>4779</v>
      </c>
      <c r="C2902" s="504" t="s">
        <v>1094</v>
      </c>
      <c r="D2902" s="504" t="s">
        <v>3380</v>
      </c>
      <c r="E2902" s="504" t="s">
        <v>3381</v>
      </c>
      <c r="F2902" s="504" t="s">
        <v>595</v>
      </c>
      <c r="G2902" s="504" t="s">
        <v>596</v>
      </c>
      <c r="H2902" s="504" t="s">
        <v>5661</v>
      </c>
      <c r="I2902" s="504">
        <v>20</v>
      </c>
      <c r="J2902" s="504">
        <v>0</v>
      </c>
      <c r="K2902" s="504">
        <v>0</v>
      </c>
      <c r="L2902" s="504">
        <v>20</v>
      </c>
      <c r="M2902" s="504">
        <v>0</v>
      </c>
      <c r="N2902" s="504">
        <v>0</v>
      </c>
      <c r="O2902" s="505">
        <v>0</v>
      </c>
    </row>
    <row r="2903" spans="1:15" x14ac:dyDescent="0.35">
      <c r="A2903" s="500" t="s">
        <v>1503</v>
      </c>
      <c r="B2903" s="501">
        <v>4666</v>
      </c>
      <c r="C2903" s="501" t="s">
        <v>1089</v>
      </c>
      <c r="D2903" s="501" t="s">
        <v>3392</v>
      </c>
      <c r="E2903" s="501" t="s">
        <v>3381</v>
      </c>
      <c r="F2903" s="501" t="s">
        <v>595</v>
      </c>
      <c r="G2903" s="501" t="s">
        <v>596</v>
      </c>
      <c r="H2903" s="501" t="s">
        <v>5662</v>
      </c>
      <c r="I2903" s="501">
        <v>13</v>
      </c>
      <c r="J2903" s="501">
        <v>0</v>
      </c>
      <c r="K2903" s="501">
        <v>0</v>
      </c>
      <c r="L2903" s="501">
        <v>13</v>
      </c>
      <c r="M2903" s="501">
        <v>0</v>
      </c>
      <c r="N2903" s="501">
        <v>0</v>
      </c>
      <c r="O2903" s="506">
        <v>0</v>
      </c>
    </row>
    <row r="2904" spans="1:15" x14ac:dyDescent="0.35">
      <c r="A2904" s="503" t="s">
        <v>1122</v>
      </c>
      <c r="B2904" s="504" t="s">
        <v>2994</v>
      </c>
      <c r="C2904" s="504" t="s">
        <v>1094</v>
      </c>
      <c r="D2904" s="504" t="s">
        <v>3380</v>
      </c>
      <c r="E2904" s="504" t="s">
        <v>3381</v>
      </c>
      <c r="F2904" s="504" t="s">
        <v>595</v>
      </c>
      <c r="G2904" s="504" t="s">
        <v>596</v>
      </c>
      <c r="H2904" s="504" t="s">
        <v>5663</v>
      </c>
      <c r="I2904" s="504">
        <v>1</v>
      </c>
      <c r="J2904" s="504">
        <v>0</v>
      </c>
      <c r="K2904" s="504">
        <v>0</v>
      </c>
      <c r="L2904" s="504">
        <v>0</v>
      </c>
      <c r="M2904" s="504">
        <v>0</v>
      </c>
      <c r="N2904" s="504">
        <v>0</v>
      </c>
      <c r="O2904" s="505">
        <v>1</v>
      </c>
    </row>
    <row r="2905" spans="1:15" x14ac:dyDescent="0.35">
      <c r="A2905" s="500" t="s">
        <v>1253</v>
      </c>
      <c r="B2905" s="501" t="s">
        <v>3232</v>
      </c>
      <c r="C2905" s="501" t="s">
        <v>1094</v>
      </c>
      <c r="D2905" s="501" t="s">
        <v>3380</v>
      </c>
      <c r="E2905" s="501" t="s">
        <v>3381</v>
      </c>
      <c r="F2905" s="501" t="s">
        <v>595</v>
      </c>
      <c r="G2905" s="501" t="s">
        <v>596</v>
      </c>
      <c r="H2905" s="501" t="s">
        <v>5664</v>
      </c>
      <c r="I2905" s="501">
        <v>317</v>
      </c>
      <c r="J2905" s="501">
        <v>222</v>
      </c>
      <c r="K2905" s="501">
        <v>0</v>
      </c>
      <c r="L2905" s="501">
        <v>50</v>
      </c>
      <c r="M2905" s="501">
        <v>0</v>
      </c>
      <c r="N2905" s="501">
        <v>0</v>
      </c>
      <c r="O2905" s="506">
        <v>45</v>
      </c>
    </row>
    <row r="2906" spans="1:15" x14ac:dyDescent="0.35">
      <c r="A2906" s="503" t="s">
        <v>1386</v>
      </c>
      <c r="B2906" s="504" t="s">
        <v>3331</v>
      </c>
      <c r="C2906" s="504" t="s">
        <v>1094</v>
      </c>
      <c r="D2906" s="504" t="s">
        <v>3380</v>
      </c>
      <c r="E2906" s="504" t="s">
        <v>3381</v>
      </c>
      <c r="F2906" s="504" t="s">
        <v>597</v>
      </c>
      <c r="G2906" s="504" t="s">
        <v>598</v>
      </c>
      <c r="H2906" s="504" t="s">
        <v>5665</v>
      </c>
      <c r="I2906" s="504">
        <v>404</v>
      </c>
      <c r="J2906" s="504">
        <v>304</v>
      </c>
      <c r="K2906" s="504">
        <v>0</v>
      </c>
      <c r="L2906" s="504">
        <v>13</v>
      </c>
      <c r="M2906" s="504">
        <v>0</v>
      </c>
      <c r="N2906" s="504">
        <v>0</v>
      </c>
      <c r="O2906" s="505">
        <v>87</v>
      </c>
    </row>
    <row r="2907" spans="1:15" x14ac:dyDescent="0.35">
      <c r="A2907" s="500" t="s">
        <v>1093</v>
      </c>
      <c r="B2907" s="501" t="s">
        <v>3248</v>
      </c>
      <c r="C2907" s="501" t="s">
        <v>1094</v>
      </c>
      <c r="D2907" s="501" t="s">
        <v>3380</v>
      </c>
      <c r="E2907" s="501" t="s">
        <v>3381</v>
      </c>
      <c r="F2907" s="501" t="s">
        <v>597</v>
      </c>
      <c r="G2907" s="501" t="s">
        <v>598</v>
      </c>
      <c r="H2907" s="501" t="s">
        <v>5666</v>
      </c>
      <c r="I2907" s="501">
        <v>1</v>
      </c>
      <c r="J2907" s="501">
        <v>0</v>
      </c>
      <c r="K2907" s="501">
        <v>0</v>
      </c>
      <c r="L2907" s="501">
        <v>0</v>
      </c>
      <c r="M2907" s="501">
        <v>0</v>
      </c>
      <c r="N2907" s="501">
        <v>0</v>
      </c>
      <c r="O2907" s="506">
        <v>1</v>
      </c>
    </row>
    <row r="2908" spans="1:15" x14ac:dyDescent="0.35">
      <c r="A2908" s="503" t="s">
        <v>11363</v>
      </c>
      <c r="B2908" s="504">
        <v>4718</v>
      </c>
      <c r="C2908" s="504" t="s">
        <v>1094</v>
      </c>
      <c r="D2908" s="504" t="s">
        <v>3380</v>
      </c>
      <c r="E2908" s="504" t="s">
        <v>3381</v>
      </c>
      <c r="F2908" s="504" t="s">
        <v>597</v>
      </c>
      <c r="G2908" s="504" t="s">
        <v>598</v>
      </c>
      <c r="H2908" s="504" t="s">
        <v>11542</v>
      </c>
      <c r="I2908" s="504">
        <v>10</v>
      </c>
      <c r="J2908" s="504">
        <v>0</v>
      </c>
      <c r="K2908" s="504">
        <v>0</v>
      </c>
      <c r="L2908" s="504">
        <v>10</v>
      </c>
      <c r="M2908" s="504">
        <v>0</v>
      </c>
      <c r="N2908" s="504">
        <v>0</v>
      </c>
      <c r="O2908" s="505">
        <v>0</v>
      </c>
    </row>
    <row r="2909" spans="1:15" x14ac:dyDescent="0.35">
      <c r="A2909" s="500" t="s">
        <v>1161</v>
      </c>
      <c r="B2909" s="501" t="s">
        <v>3001</v>
      </c>
      <c r="C2909" s="501" t="s">
        <v>1094</v>
      </c>
      <c r="D2909" s="501" t="s">
        <v>3380</v>
      </c>
      <c r="E2909" s="501" t="s">
        <v>3381</v>
      </c>
      <c r="F2909" s="501" t="s">
        <v>597</v>
      </c>
      <c r="G2909" s="501" t="s">
        <v>598</v>
      </c>
      <c r="H2909" s="501" t="s">
        <v>5667</v>
      </c>
      <c r="I2909" s="501">
        <v>1</v>
      </c>
      <c r="J2909" s="501">
        <v>0</v>
      </c>
      <c r="K2909" s="501">
        <v>0</v>
      </c>
      <c r="L2909" s="501">
        <v>0</v>
      </c>
      <c r="M2909" s="501">
        <v>0</v>
      </c>
      <c r="N2909" s="501">
        <v>0</v>
      </c>
      <c r="O2909" s="506">
        <v>1</v>
      </c>
    </row>
    <row r="2910" spans="1:15" x14ac:dyDescent="0.35">
      <c r="A2910" s="503" t="s">
        <v>1187</v>
      </c>
      <c r="B2910" s="504" t="s">
        <v>2951</v>
      </c>
      <c r="C2910" s="504" t="s">
        <v>1094</v>
      </c>
      <c r="D2910" s="504" t="s">
        <v>3380</v>
      </c>
      <c r="E2910" s="504" t="s">
        <v>3381</v>
      </c>
      <c r="F2910" s="504" t="s">
        <v>597</v>
      </c>
      <c r="G2910" s="504" t="s">
        <v>598</v>
      </c>
      <c r="H2910" s="504" t="s">
        <v>5668</v>
      </c>
      <c r="I2910" s="504">
        <v>34</v>
      </c>
      <c r="J2910" s="504">
        <v>34</v>
      </c>
      <c r="K2910" s="504">
        <v>0</v>
      </c>
      <c r="L2910" s="504">
        <v>0</v>
      </c>
      <c r="M2910" s="504">
        <v>0</v>
      </c>
      <c r="N2910" s="504">
        <v>0</v>
      </c>
      <c r="O2910" s="505">
        <v>0</v>
      </c>
    </row>
    <row r="2911" spans="1:15" x14ac:dyDescent="0.35">
      <c r="A2911" s="500" t="s">
        <v>1105</v>
      </c>
      <c r="B2911" s="501">
        <v>4668</v>
      </c>
      <c r="C2911" s="501" t="s">
        <v>1094</v>
      </c>
      <c r="D2911" s="501" t="s">
        <v>3380</v>
      </c>
      <c r="E2911" s="501" t="s">
        <v>3381</v>
      </c>
      <c r="F2911" s="501" t="s">
        <v>597</v>
      </c>
      <c r="G2911" s="501" t="s">
        <v>598</v>
      </c>
      <c r="H2911" s="501" t="s">
        <v>5669</v>
      </c>
      <c r="I2911" s="501">
        <v>14</v>
      </c>
      <c r="J2911" s="501">
        <v>0</v>
      </c>
      <c r="K2911" s="501">
        <v>0</v>
      </c>
      <c r="L2911" s="501">
        <v>0</v>
      </c>
      <c r="M2911" s="501">
        <v>0</v>
      </c>
      <c r="N2911" s="501">
        <v>0</v>
      </c>
      <c r="O2911" s="506">
        <v>14</v>
      </c>
    </row>
    <row r="2912" spans="1:15" x14ac:dyDescent="0.35">
      <c r="A2912" s="503" t="s">
        <v>1474</v>
      </c>
      <c r="B2912" s="504" t="s">
        <v>3300</v>
      </c>
      <c r="C2912" s="504" t="s">
        <v>1094</v>
      </c>
      <c r="D2912" s="504" t="s">
        <v>3380</v>
      </c>
      <c r="E2912" s="504" t="s">
        <v>3381</v>
      </c>
      <c r="F2912" s="504" t="s">
        <v>597</v>
      </c>
      <c r="G2912" s="504" t="s">
        <v>598</v>
      </c>
      <c r="H2912" s="504" t="s">
        <v>5670</v>
      </c>
      <c r="I2912" s="504">
        <v>4</v>
      </c>
      <c r="J2912" s="504">
        <v>4</v>
      </c>
      <c r="K2912" s="504">
        <v>0</v>
      </c>
      <c r="L2912" s="504">
        <v>0</v>
      </c>
      <c r="M2912" s="504">
        <v>0</v>
      </c>
      <c r="N2912" s="504">
        <v>0</v>
      </c>
      <c r="O2912" s="505">
        <v>0</v>
      </c>
    </row>
    <row r="2913" spans="1:15" x14ac:dyDescent="0.35">
      <c r="A2913" s="500" t="s">
        <v>1482</v>
      </c>
      <c r="B2913" s="501" t="s">
        <v>3014</v>
      </c>
      <c r="C2913" s="501" t="s">
        <v>1089</v>
      </c>
      <c r="D2913" s="501" t="s">
        <v>3392</v>
      </c>
      <c r="E2913" s="501" t="s">
        <v>3381</v>
      </c>
      <c r="F2913" s="501" t="s">
        <v>597</v>
      </c>
      <c r="G2913" s="501" t="s">
        <v>598</v>
      </c>
      <c r="H2913" s="501" t="s">
        <v>5671</v>
      </c>
      <c r="I2913" s="501">
        <v>11</v>
      </c>
      <c r="J2913" s="501">
        <v>0</v>
      </c>
      <c r="K2913" s="501">
        <v>0</v>
      </c>
      <c r="L2913" s="501">
        <v>0</v>
      </c>
      <c r="M2913" s="501">
        <v>11</v>
      </c>
      <c r="N2913" s="501">
        <v>0</v>
      </c>
      <c r="O2913" s="506">
        <v>0</v>
      </c>
    </row>
    <row r="2914" spans="1:15" x14ac:dyDescent="0.35">
      <c r="A2914" s="503" t="s">
        <v>1202</v>
      </c>
      <c r="B2914" s="504" t="s">
        <v>3217</v>
      </c>
      <c r="C2914" s="504" t="s">
        <v>1094</v>
      </c>
      <c r="D2914" s="504" t="s">
        <v>3380</v>
      </c>
      <c r="E2914" s="504" t="s">
        <v>3381</v>
      </c>
      <c r="F2914" s="504" t="s">
        <v>597</v>
      </c>
      <c r="G2914" s="504" t="s">
        <v>598</v>
      </c>
      <c r="H2914" s="504" t="s">
        <v>5672</v>
      </c>
      <c r="I2914" s="504">
        <v>17</v>
      </c>
      <c r="J2914" s="504">
        <v>0</v>
      </c>
      <c r="K2914" s="504">
        <v>0</v>
      </c>
      <c r="L2914" s="504">
        <v>0</v>
      </c>
      <c r="M2914" s="504">
        <v>0</v>
      </c>
      <c r="N2914" s="504">
        <v>0</v>
      </c>
      <c r="O2914" s="505">
        <v>17</v>
      </c>
    </row>
    <row r="2915" spans="1:15" x14ac:dyDescent="0.35">
      <c r="A2915" s="500" t="s">
        <v>1112</v>
      </c>
      <c r="B2915" s="501" t="s">
        <v>3008</v>
      </c>
      <c r="C2915" s="501" t="s">
        <v>1094</v>
      </c>
      <c r="D2915" s="501" t="s">
        <v>3380</v>
      </c>
      <c r="E2915" s="501" t="s">
        <v>3381</v>
      </c>
      <c r="F2915" s="501" t="s">
        <v>597</v>
      </c>
      <c r="G2915" s="501" t="s">
        <v>598</v>
      </c>
      <c r="H2915" s="501" t="s">
        <v>5673</v>
      </c>
      <c r="I2915" s="501">
        <v>256</v>
      </c>
      <c r="J2915" s="501">
        <v>142</v>
      </c>
      <c r="K2915" s="501">
        <v>0</v>
      </c>
      <c r="L2915" s="501">
        <v>0</v>
      </c>
      <c r="M2915" s="501">
        <v>0</v>
      </c>
      <c r="N2915" s="501">
        <v>2</v>
      </c>
      <c r="O2915" s="506">
        <v>114</v>
      </c>
    </row>
    <row r="2916" spans="1:15" x14ac:dyDescent="0.35">
      <c r="A2916" s="503" t="s">
        <v>1501</v>
      </c>
      <c r="B2916" s="504" t="s">
        <v>2956</v>
      </c>
      <c r="C2916" s="504" t="s">
        <v>1094</v>
      </c>
      <c r="D2916" s="504" t="s">
        <v>3380</v>
      </c>
      <c r="E2916" s="504" t="s">
        <v>3381</v>
      </c>
      <c r="F2916" s="504" t="s">
        <v>597</v>
      </c>
      <c r="G2916" s="504" t="s">
        <v>598</v>
      </c>
      <c r="H2916" s="504" t="s">
        <v>5674</v>
      </c>
      <c r="I2916" s="504">
        <v>1</v>
      </c>
      <c r="J2916" s="504">
        <v>1</v>
      </c>
      <c r="K2916" s="504">
        <v>0</v>
      </c>
      <c r="L2916" s="504">
        <v>0</v>
      </c>
      <c r="M2916" s="504">
        <v>0</v>
      </c>
      <c r="N2916" s="504">
        <v>0</v>
      </c>
      <c r="O2916" s="505">
        <v>0</v>
      </c>
    </row>
    <row r="2917" spans="1:15" x14ac:dyDescent="0.35">
      <c r="A2917" s="500" t="s">
        <v>1217</v>
      </c>
      <c r="B2917" s="501">
        <v>4851</v>
      </c>
      <c r="C2917" s="501" t="s">
        <v>1094</v>
      </c>
      <c r="D2917" s="501" t="s">
        <v>3380</v>
      </c>
      <c r="E2917" s="501" t="s">
        <v>3381</v>
      </c>
      <c r="F2917" s="501" t="s">
        <v>597</v>
      </c>
      <c r="G2917" s="501" t="s">
        <v>598</v>
      </c>
      <c r="H2917" s="501" t="s">
        <v>5675</v>
      </c>
      <c r="I2917" s="501">
        <v>21</v>
      </c>
      <c r="J2917" s="501">
        <v>0</v>
      </c>
      <c r="K2917" s="501">
        <v>0</v>
      </c>
      <c r="L2917" s="501">
        <v>0</v>
      </c>
      <c r="M2917" s="501">
        <v>0</v>
      </c>
      <c r="N2917" s="501">
        <v>0</v>
      </c>
      <c r="O2917" s="506">
        <v>21</v>
      </c>
    </row>
    <row r="2918" spans="1:15" x14ac:dyDescent="0.35">
      <c r="A2918" s="503" t="s">
        <v>1220</v>
      </c>
      <c r="B2918" s="504">
        <v>4849</v>
      </c>
      <c r="C2918" s="504" t="s">
        <v>1094</v>
      </c>
      <c r="D2918" s="504" t="s">
        <v>3380</v>
      </c>
      <c r="E2918" s="504" t="s">
        <v>3381</v>
      </c>
      <c r="F2918" s="504" t="s">
        <v>597</v>
      </c>
      <c r="G2918" s="504" t="s">
        <v>598</v>
      </c>
      <c r="H2918" s="504" t="s">
        <v>5676</v>
      </c>
      <c r="I2918" s="504">
        <v>4782</v>
      </c>
      <c r="J2918" s="504">
        <v>3802</v>
      </c>
      <c r="K2918" s="504">
        <v>0</v>
      </c>
      <c r="L2918" s="504">
        <v>25</v>
      </c>
      <c r="M2918" s="504">
        <v>727</v>
      </c>
      <c r="N2918" s="504">
        <v>0</v>
      </c>
      <c r="O2918" s="505">
        <v>228</v>
      </c>
    </row>
    <row r="2919" spans="1:15" x14ac:dyDescent="0.35">
      <c r="A2919" s="500" t="s">
        <v>1124</v>
      </c>
      <c r="B2919" s="501">
        <v>4745</v>
      </c>
      <c r="C2919" s="501" t="s">
        <v>1094</v>
      </c>
      <c r="D2919" s="501" t="s">
        <v>3380</v>
      </c>
      <c r="E2919" s="501" t="s">
        <v>3381</v>
      </c>
      <c r="F2919" s="501" t="s">
        <v>597</v>
      </c>
      <c r="G2919" s="501" t="s">
        <v>598</v>
      </c>
      <c r="H2919" s="501" t="s">
        <v>5677</v>
      </c>
      <c r="I2919" s="501">
        <v>19</v>
      </c>
      <c r="J2919" s="501">
        <v>0</v>
      </c>
      <c r="K2919" s="501">
        <v>0</v>
      </c>
      <c r="L2919" s="501">
        <v>19</v>
      </c>
      <c r="M2919" s="501">
        <v>0</v>
      </c>
      <c r="N2919" s="501">
        <v>0</v>
      </c>
      <c r="O2919" s="506">
        <v>0</v>
      </c>
    </row>
    <row r="2920" spans="1:15" x14ac:dyDescent="0.35">
      <c r="A2920" s="503" t="s">
        <v>1540</v>
      </c>
      <c r="B2920" s="504" t="s">
        <v>3271</v>
      </c>
      <c r="C2920" s="504" t="s">
        <v>1089</v>
      </c>
      <c r="D2920" s="504" t="s">
        <v>3392</v>
      </c>
      <c r="E2920" s="504" t="s">
        <v>3381</v>
      </c>
      <c r="F2920" s="504" t="s">
        <v>597</v>
      </c>
      <c r="G2920" s="504" t="s">
        <v>598</v>
      </c>
      <c r="H2920" s="504" t="s">
        <v>5678</v>
      </c>
      <c r="I2920" s="504">
        <v>191</v>
      </c>
      <c r="J2920" s="504">
        <v>164</v>
      </c>
      <c r="K2920" s="504">
        <v>0</v>
      </c>
      <c r="L2920" s="504">
        <v>0</v>
      </c>
      <c r="M2920" s="504">
        <v>27</v>
      </c>
      <c r="N2920" s="504">
        <v>11</v>
      </c>
      <c r="O2920" s="505">
        <v>0</v>
      </c>
    </row>
    <row r="2921" spans="1:15" x14ac:dyDescent="0.35">
      <c r="A2921" s="500" t="s">
        <v>1235</v>
      </c>
      <c r="B2921" s="501">
        <v>4684</v>
      </c>
      <c r="C2921" s="501" t="s">
        <v>1094</v>
      </c>
      <c r="D2921" s="501" t="s">
        <v>3380</v>
      </c>
      <c r="E2921" s="501" t="s">
        <v>3381</v>
      </c>
      <c r="F2921" s="501" t="s">
        <v>597</v>
      </c>
      <c r="G2921" s="501" t="s">
        <v>598</v>
      </c>
      <c r="H2921" s="501" t="s">
        <v>5679</v>
      </c>
      <c r="I2921" s="501">
        <v>8</v>
      </c>
      <c r="J2921" s="501">
        <v>6</v>
      </c>
      <c r="K2921" s="501">
        <v>0</v>
      </c>
      <c r="L2921" s="501">
        <v>0</v>
      </c>
      <c r="M2921" s="501">
        <v>0</v>
      </c>
      <c r="N2921" s="501">
        <v>0</v>
      </c>
      <c r="O2921" s="506">
        <v>2</v>
      </c>
    </row>
    <row r="2922" spans="1:15" x14ac:dyDescent="0.35">
      <c r="A2922" s="503" t="s">
        <v>1130</v>
      </c>
      <c r="B2922" s="504" t="s">
        <v>3234</v>
      </c>
      <c r="C2922" s="504" t="s">
        <v>1094</v>
      </c>
      <c r="D2922" s="504" t="s">
        <v>3380</v>
      </c>
      <c r="E2922" s="504" t="s">
        <v>3381</v>
      </c>
      <c r="F2922" s="504" t="s">
        <v>597</v>
      </c>
      <c r="G2922" s="504" t="s">
        <v>598</v>
      </c>
      <c r="H2922" s="504" t="s">
        <v>5680</v>
      </c>
      <c r="I2922" s="504">
        <v>171</v>
      </c>
      <c r="J2922" s="504">
        <v>131</v>
      </c>
      <c r="K2922" s="504">
        <v>0</v>
      </c>
      <c r="L2922" s="504">
        <v>0</v>
      </c>
      <c r="M2922" s="504">
        <v>0</v>
      </c>
      <c r="N2922" s="504">
        <v>0</v>
      </c>
      <c r="O2922" s="505">
        <v>40</v>
      </c>
    </row>
    <row r="2923" spans="1:15" x14ac:dyDescent="0.35">
      <c r="A2923" s="500" t="s">
        <v>1907</v>
      </c>
      <c r="B2923" s="501" t="s">
        <v>2971</v>
      </c>
      <c r="C2923" s="501" t="s">
        <v>1089</v>
      </c>
      <c r="D2923" s="501" t="s">
        <v>3392</v>
      </c>
      <c r="E2923" s="501" t="s">
        <v>3381</v>
      </c>
      <c r="F2923" s="501" t="s">
        <v>597</v>
      </c>
      <c r="G2923" s="501" t="s">
        <v>598</v>
      </c>
      <c r="H2923" s="501" t="s">
        <v>5681</v>
      </c>
      <c r="I2923" s="501">
        <v>15</v>
      </c>
      <c r="J2923" s="501">
        <v>0</v>
      </c>
      <c r="K2923" s="501">
        <v>0</v>
      </c>
      <c r="L2923" s="501">
        <v>0</v>
      </c>
      <c r="M2923" s="501">
        <v>15</v>
      </c>
      <c r="N2923" s="501">
        <v>0</v>
      </c>
      <c r="O2923" s="506">
        <v>0</v>
      </c>
    </row>
    <row r="2924" spans="1:15" x14ac:dyDescent="0.35">
      <c r="A2924" s="503" t="s">
        <v>1575</v>
      </c>
      <c r="B2924" s="504" t="s">
        <v>3349</v>
      </c>
      <c r="C2924" s="504" t="s">
        <v>1089</v>
      </c>
      <c r="D2924" s="504" t="s">
        <v>3392</v>
      </c>
      <c r="E2924" s="504" t="s">
        <v>3381</v>
      </c>
      <c r="F2924" s="504" t="s">
        <v>597</v>
      </c>
      <c r="G2924" s="504" t="s">
        <v>598</v>
      </c>
      <c r="H2924" s="504" t="s">
        <v>5682</v>
      </c>
      <c r="I2924" s="504">
        <v>16</v>
      </c>
      <c r="J2924" s="504">
        <v>10</v>
      </c>
      <c r="K2924" s="504">
        <v>6</v>
      </c>
      <c r="L2924" s="504">
        <v>0</v>
      </c>
      <c r="M2924" s="504">
        <v>0</v>
      </c>
      <c r="N2924" s="504">
        <v>0</v>
      </c>
      <c r="O2924" s="505">
        <v>0</v>
      </c>
    </row>
    <row r="2925" spans="1:15" x14ac:dyDescent="0.35">
      <c r="A2925" s="500" t="s">
        <v>1581</v>
      </c>
      <c r="B2925" s="501" t="s">
        <v>2888</v>
      </c>
      <c r="C2925" s="501" t="s">
        <v>1089</v>
      </c>
      <c r="D2925" s="501" t="s">
        <v>3392</v>
      </c>
      <c r="E2925" s="501" t="s">
        <v>3381</v>
      </c>
      <c r="F2925" s="501" t="s">
        <v>597</v>
      </c>
      <c r="G2925" s="501" t="s">
        <v>598</v>
      </c>
      <c r="H2925" s="501" t="s">
        <v>5683</v>
      </c>
      <c r="I2925" s="501">
        <v>50</v>
      </c>
      <c r="J2925" s="501">
        <v>0</v>
      </c>
      <c r="K2925" s="501">
        <v>0</v>
      </c>
      <c r="L2925" s="501">
        <v>50</v>
      </c>
      <c r="M2925" s="501">
        <v>0</v>
      </c>
      <c r="N2925" s="501">
        <v>0</v>
      </c>
      <c r="O2925" s="506">
        <v>0</v>
      </c>
    </row>
    <row r="2926" spans="1:15" x14ac:dyDescent="0.35">
      <c r="A2926" s="503" t="s">
        <v>1932</v>
      </c>
      <c r="B2926" s="504" t="s">
        <v>2428</v>
      </c>
      <c r="C2926" s="504" t="s">
        <v>1089</v>
      </c>
      <c r="D2926" s="504" t="s">
        <v>3392</v>
      </c>
      <c r="E2926" s="504" t="s">
        <v>3381</v>
      </c>
      <c r="F2926" s="504" t="s">
        <v>597</v>
      </c>
      <c r="G2926" s="504" t="s">
        <v>598</v>
      </c>
      <c r="H2926" s="504" t="s">
        <v>5684</v>
      </c>
      <c r="I2926" s="504">
        <v>104</v>
      </c>
      <c r="J2926" s="504">
        <v>0</v>
      </c>
      <c r="K2926" s="504">
        <v>0</v>
      </c>
      <c r="L2926" s="504">
        <v>0</v>
      </c>
      <c r="M2926" s="504">
        <v>104</v>
      </c>
      <c r="N2926" s="504">
        <v>0</v>
      </c>
      <c r="O2926" s="505">
        <v>0</v>
      </c>
    </row>
    <row r="2927" spans="1:15" x14ac:dyDescent="0.35">
      <c r="A2927" s="500" t="s">
        <v>1262</v>
      </c>
      <c r="B2927" s="501">
        <v>4772</v>
      </c>
      <c r="C2927" s="501" t="s">
        <v>1089</v>
      </c>
      <c r="D2927" s="501" t="s">
        <v>3392</v>
      </c>
      <c r="E2927" s="501" t="s">
        <v>3381</v>
      </c>
      <c r="F2927" s="501" t="s">
        <v>597</v>
      </c>
      <c r="G2927" s="501" t="s">
        <v>598</v>
      </c>
      <c r="H2927" s="501" t="s">
        <v>5685</v>
      </c>
      <c r="I2927" s="501">
        <v>7</v>
      </c>
      <c r="J2927" s="501">
        <v>0</v>
      </c>
      <c r="K2927" s="501">
        <v>0</v>
      </c>
      <c r="L2927" s="501">
        <v>7</v>
      </c>
      <c r="M2927" s="501">
        <v>0</v>
      </c>
      <c r="N2927" s="501">
        <v>0</v>
      </c>
      <c r="O2927" s="506">
        <v>0</v>
      </c>
    </row>
    <row r="2928" spans="1:15" x14ac:dyDescent="0.35">
      <c r="A2928" s="503" t="s">
        <v>1385</v>
      </c>
      <c r="B2928" s="504" t="s">
        <v>3249</v>
      </c>
      <c r="C2928" s="504" t="s">
        <v>1094</v>
      </c>
      <c r="D2928" s="504" t="s">
        <v>3380</v>
      </c>
      <c r="E2928" s="504" t="s">
        <v>3381</v>
      </c>
      <c r="F2928" s="504" t="s">
        <v>599</v>
      </c>
      <c r="G2928" s="504" t="s">
        <v>600</v>
      </c>
      <c r="H2928" s="504" t="s">
        <v>5686</v>
      </c>
      <c r="I2928" s="504">
        <v>65</v>
      </c>
      <c r="J2928" s="504">
        <v>0</v>
      </c>
      <c r="K2928" s="504">
        <v>0</v>
      </c>
      <c r="L2928" s="504">
        <v>0</v>
      </c>
      <c r="M2928" s="504">
        <v>0</v>
      </c>
      <c r="N2928" s="504">
        <v>0</v>
      </c>
      <c r="O2928" s="505">
        <v>65</v>
      </c>
    </row>
    <row r="2929" spans="1:15" x14ac:dyDescent="0.35">
      <c r="A2929" s="500" t="s">
        <v>1096</v>
      </c>
      <c r="B2929" s="501" t="s">
        <v>3326</v>
      </c>
      <c r="C2929" s="501" t="s">
        <v>1094</v>
      </c>
      <c r="D2929" s="501" t="s">
        <v>3380</v>
      </c>
      <c r="E2929" s="501" t="s">
        <v>3381</v>
      </c>
      <c r="F2929" s="501" t="s">
        <v>599</v>
      </c>
      <c r="G2929" s="501" t="s">
        <v>600</v>
      </c>
      <c r="H2929" s="501" t="s">
        <v>5687</v>
      </c>
      <c r="I2929" s="501">
        <v>159</v>
      </c>
      <c r="J2929" s="501">
        <v>0</v>
      </c>
      <c r="K2929" s="501">
        <v>0</v>
      </c>
      <c r="L2929" s="501">
        <v>0</v>
      </c>
      <c r="M2929" s="501">
        <v>159</v>
      </c>
      <c r="N2929" s="501">
        <v>0</v>
      </c>
      <c r="O2929" s="506">
        <v>0</v>
      </c>
    </row>
    <row r="2930" spans="1:15" x14ac:dyDescent="0.35">
      <c r="A2930" s="503" t="s">
        <v>1270</v>
      </c>
      <c r="B2930" s="504" t="s">
        <v>3304</v>
      </c>
      <c r="C2930" s="504" t="s">
        <v>1089</v>
      </c>
      <c r="D2930" s="504" t="s">
        <v>3392</v>
      </c>
      <c r="E2930" s="504" t="s">
        <v>3381</v>
      </c>
      <c r="F2930" s="504" t="s">
        <v>599</v>
      </c>
      <c r="G2930" s="504" t="s">
        <v>600</v>
      </c>
      <c r="H2930" s="504" t="s">
        <v>5688</v>
      </c>
      <c r="I2930" s="504">
        <v>56</v>
      </c>
      <c r="J2930" s="504">
        <v>56</v>
      </c>
      <c r="K2930" s="504">
        <v>0</v>
      </c>
      <c r="L2930" s="504">
        <v>0</v>
      </c>
      <c r="M2930" s="504">
        <v>0</v>
      </c>
      <c r="N2930" s="504">
        <v>0</v>
      </c>
      <c r="O2930" s="505">
        <v>0</v>
      </c>
    </row>
    <row r="2931" spans="1:15" x14ac:dyDescent="0.35">
      <c r="A2931" s="500" t="s">
        <v>1151</v>
      </c>
      <c r="B2931" s="501">
        <v>4726</v>
      </c>
      <c r="C2931" s="501" t="s">
        <v>1089</v>
      </c>
      <c r="D2931" s="501" t="s">
        <v>3392</v>
      </c>
      <c r="E2931" s="501" t="s">
        <v>3381</v>
      </c>
      <c r="F2931" s="501" t="s">
        <v>599</v>
      </c>
      <c r="G2931" s="501" t="s">
        <v>600</v>
      </c>
      <c r="H2931" s="501" t="s">
        <v>14677</v>
      </c>
      <c r="I2931" s="501">
        <v>1</v>
      </c>
      <c r="J2931" s="501">
        <v>0</v>
      </c>
      <c r="K2931" s="501">
        <v>0</v>
      </c>
      <c r="L2931" s="501">
        <v>1</v>
      </c>
      <c r="M2931" s="501">
        <v>0</v>
      </c>
      <c r="N2931" s="501">
        <v>0</v>
      </c>
      <c r="O2931" s="506">
        <v>0</v>
      </c>
    </row>
    <row r="2932" spans="1:15" x14ac:dyDescent="0.35">
      <c r="A2932" s="503" t="s">
        <v>1403</v>
      </c>
      <c r="B2932" s="504">
        <v>4733</v>
      </c>
      <c r="C2932" s="504" t="s">
        <v>1089</v>
      </c>
      <c r="D2932" s="504" t="s">
        <v>3392</v>
      </c>
      <c r="E2932" s="504" t="s">
        <v>3381</v>
      </c>
      <c r="F2932" s="504" t="s">
        <v>599</v>
      </c>
      <c r="G2932" s="504" t="s">
        <v>600</v>
      </c>
      <c r="H2932" s="504" t="s">
        <v>5689</v>
      </c>
      <c r="I2932" s="504">
        <v>24</v>
      </c>
      <c r="J2932" s="504">
        <v>0</v>
      </c>
      <c r="K2932" s="504">
        <v>0</v>
      </c>
      <c r="L2932" s="504">
        <v>24</v>
      </c>
      <c r="M2932" s="504">
        <v>0</v>
      </c>
      <c r="N2932" s="504">
        <v>0</v>
      </c>
      <c r="O2932" s="505">
        <v>0</v>
      </c>
    </row>
    <row r="2933" spans="1:15" x14ac:dyDescent="0.35">
      <c r="A2933" s="500" t="s">
        <v>1161</v>
      </c>
      <c r="B2933" s="501" t="s">
        <v>3001</v>
      </c>
      <c r="C2933" s="501" t="s">
        <v>1094</v>
      </c>
      <c r="D2933" s="501" t="s">
        <v>3380</v>
      </c>
      <c r="E2933" s="501" t="s">
        <v>3381</v>
      </c>
      <c r="F2933" s="501" t="s">
        <v>599</v>
      </c>
      <c r="G2933" s="501" t="s">
        <v>600</v>
      </c>
      <c r="H2933" s="501" t="s">
        <v>5690</v>
      </c>
      <c r="I2933" s="501">
        <v>10</v>
      </c>
      <c r="J2933" s="501">
        <v>8</v>
      </c>
      <c r="K2933" s="501">
        <v>0</v>
      </c>
      <c r="L2933" s="501">
        <v>0</v>
      </c>
      <c r="M2933" s="501">
        <v>0</v>
      </c>
      <c r="N2933" s="501">
        <v>0</v>
      </c>
      <c r="O2933" s="506">
        <v>2</v>
      </c>
    </row>
    <row r="2934" spans="1:15" x14ac:dyDescent="0.35">
      <c r="A2934" s="503" t="s">
        <v>1417</v>
      </c>
      <c r="B2934" s="504" t="s">
        <v>3257</v>
      </c>
      <c r="C2934" s="504" t="s">
        <v>1094</v>
      </c>
      <c r="D2934" s="504" t="s">
        <v>3380</v>
      </c>
      <c r="E2934" s="504" t="s">
        <v>3381</v>
      </c>
      <c r="F2934" s="504" t="s">
        <v>599</v>
      </c>
      <c r="G2934" s="504" t="s">
        <v>600</v>
      </c>
      <c r="H2934" s="504" t="s">
        <v>5691</v>
      </c>
      <c r="I2934" s="504">
        <v>765</v>
      </c>
      <c r="J2934" s="504">
        <v>436</v>
      </c>
      <c r="K2934" s="504">
        <v>0</v>
      </c>
      <c r="L2934" s="504">
        <v>182</v>
      </c>
      <c r="M2934" s="504">
        <v>130</v>
      </c>
      <c r="N2934" s="504">
        <v>0</v>
      </c>
      <c r="O2934" s="505">
        <v>17</v>
      </c>
    </row>
    <row r="2935" spans="1:15" x14ac:dyDescent="0.35">
      <c r="A2935" s="500" t="s">
        <v>1100</v>
      </c>
      <c r="B2935" s="501">
        <v>4865</v>
      </c>
      <c r="C2935" s="501" t="s">
        <v>1094</v>
      </c>
      <c r="D2935" s="501" t="s">
        <v>3380</v>
      </c>
      <c r="E2935" s="501" t="s">
        <v>3381</v>
      </c>
      <c r="F2935" s="501" t="s">
        <v>599</v>
      </c>
      <c r="G2935" s="501" t="s">
        <v>600</v>
      </c>
      <c r="H2935" s="501" t="s">
        <v>5692</v>
      </c>
      <c r="I2935" s="501">
        <v>442</v>
      </c>
      <c r="J2935" s="501">
        <v>175</v>
      </c>
      <c r="K2935" s="501">
        <v>0</v>
      </c>
      <c r="L2935" s="501">
        <v>0</v>
      </c>
      <c r="M2935" s="501">
        <v>43</v>
      </c>
      <c r="N2935" s="501">
        <v>0</v>
      </c>
      <c r="O2935" s="506">
        <v>224</v>
      </c>
    </row>
    <row r="2936" spans="1:15" x14ac:dyDescent="0.35">
      <c r="A2936" s="503" t="s">
        <v>1692</v>
      </c>
      <c r="B2936" s="504">
        <v>4780</v>
      </c>
      <c r="C2936" s="504" t="s">
        <v>1089</v>
      </c>
      <c r="D2936" s="504" t="s">
        <v>3392</v>
      </c>
      <c r="E2936" s="504" t="s">
        <v>3381</v>
      </c>
      <c r="F2936" s="504" t="s">
        <v>599</v>
      </c>
      <c r="G2936" s="504" t="s">
        <v>600</v>
      </c>
      <c r="H2936" s="504" t="s">
        <v>11652</v>
      </c>
      <c r="I2936" s="504">
        <v>8</v>
      </c>
      <c r="J2936" s="504">
        <v>0</v>
      </c>
      <c r="K2936" s="504">
        <v>8</v>
      </c>
      <c r="L2936" s="504">
        <v>0</v>
      </c>
      <c r="M2936" s="504">
        <v>0</v>
      </c>
      <c r="N2936" s="504">
        <v>8</v>
      </c>
      <c r="O2936" s="505">
        <v>0</v>
      </c>
    </row>
    <row r="2937" spans="1:15" x14ac:dyDescent="0.35">
      <c r="A2937" s="500" t="s">
        <v>1420</v>
      </c>
      <c r="B2937" s="501">
        <v>4764</v>
      </c>
      <c r="C2937" s="501" t="s">
        <v>1089</v>
      </c>
      <c r="D2937" s="501" t="s">
        <v>3392</v>
      </c>
      <c r="E2937" s="501" t="s">
        <v>3381</v>
      </c>
      <c r="F2937" s="501" t="s">
        <v>599</v>
      </c>
      <c r="G2937" s="501" t="s">
        <v>600</v>
      </c>
      <c r="H2937" s="501" t="s">
        <v>11660</v>
      </c>
      <c r="I2937" s="501">
        <v>2</v>
      </c>
      <c r="J2937" s="501">
        <v>2</v>
      </c>
      <c r="K2937" s="501">
        <v>0</v>
      </c>
      <c r="L2937" s="501">
        <v>0</v>
      </c>
      <c r="M2937" s="501">
        <v>0</v>
      </c>
      <c r="N2937" s="501">
        <v>0</v>
      </c>
      <c r="O2937" s="506">
        <v>0</v>
      </c>
    </row>
    <row r="2938" spans="1:15" x14ac:dyDescent="0.35">
      <c r="A2938" s="503" t="s">
        <v>1428</v>
      </c>
      <c r="B2938" s="504">
        <v>4852</v>
      </c>
      <c r="C2938" s="504" t="s">
        <v>1089</v>
      </c>
      <c r="D2938" s="504" t="s">
        <v>3392</v>
      </c>
      <c r="E2938" s="504" t="s">
        <v>3381</v>
      </c>
      <c r="F2938" s="504" t="s">
        <v>599</v>
      </c>
      <c r="G2938" s="504" t="s">
        <v>600</v>
      </c>
      <c r="H2938" s="504" t="s">
        <v>5693</v>
      </c>
      <c r="I2938" s="504">
        <v>12</v>
      </c>
      <c r="J2938" s="504">
        <v>12</v>
      </c>
      <c r="K2938" s="504">
        <v>0</v>
      </c>
      <c r="L2938" s="504">
        <v>0</v>
      </c>
      <c r="M2938" s="504">
        <v>0</v>
      </c>
      <c r="N2938" s="504">
        <v>0</v>
      </c>
      <c r="O2938" s="505">
        <v>0</v>
      </c>
    </row>
    <row r="2939" spans="1:15" x14ac:dyDescent="0.35">
      <c r="A2939" s="500" t="s">
        <v>14208</v>
      </c>
      <c r="B2939" s="501">
        <v>4803</v>
      </c>
      <c r="C2939" s="501" t="s">
        <v>1094</v>
      </c>
      <c r="D2939" s="501" t="s">
        <v>3380</v>
      </c>
      <c r="E2939" s="501" t="s">
        <v>3381</v>
      </c>
      <c r="F2939" s="501" t="s">
        <v>599</v>
      </c>
      <c r="G2939" s="501" t="s">
        <v>600</v>
      </c>
      <c r="H2939" s="501" t="s">
        <v>14678</v>
      </c>
      <c r="I2939" s="501">
        <v>9</v>
      </c>
      <c r="J2939" s="501">
        <v>0</v>
      </c>
      <c r="K2939" s="501">
        <v>0</v>
      </c>
      <c r="L2939" s="501">
        <v>9</v>
      </c>
      <c r="M2939" s="501">
        <v>0</v>
      </c>
      <c r="N2939" s="501">
        <v>0</v>
      </c>
      <c r="O2939" s="506">
        <v>0</v>
      </c>
    </row>
    <row r="2940" spans="1:15" x14ac:dyDescent="0.35">
      <c r="A2940" s="503" t="s">
        <v>1185</v>
      </c>
      <c r="B2940" s="504" t="s">
        <v>3253</v>
      </c>
      <c r="C2940" s="504" t="s">
        <v>1094</v>
      </c>
      <c r="D2940" s="504" t="s">
        <v>3380</v>
      </c>
      <c r="E2940" s="504" t="s">
        <v>3381</v>
      </c>
      <c r="F2940" s="504" t="s">
        <v>599</v>
      </c>
      <c r="G2940" s="504" t="s">
        <v>600</v>
      </c>
      <c r="H2940" s="504" t="s">
        <v>5694</v>
      </c>
      <c r="I2940" s="504">
        <v>39</v>
      </c>
      <c r="J2940" s="504">
        <v>30</v>
      </c>
      <c r="K2940" s="504">
        <v>0</v>
      </c>
      <c r="L2940" s="504">
        <v>8</v>
      </c>
      <c r="M2940" s="504">
        <v>1</v>
      </c>
      <c r="N2940" s="504">
        <v>0</v>
      </c>
      <c r="O2940" s="505">
        <v>0</v>
      </c>
    </row>
    <row r="2941" spans="1:15" x14ac:dyDescent="0.35">
      <c r="A2941" s="500" t="s">
        <v>1188</v>
      </c>
      <c r="B2941" s="501">
        <v>4760</v>
      </c>
      <c r="C2941" s="501" t="s">
        <v>1089</v>
      </c>
      <c r="D2941" s="501" t="s">
        <v>3392</v>
      </c>
      <c r="E2941" s="501" t="s">
        <v>3381</v>
      </c>
      <c r="F2941" s="501" t="s">
        <v>599</v>
      </c>
      <c r="G2941" s="501" t="s">
        <v>600</v>
      </c>
      <c r="H2941" s="501" t="s">
        <v>5695</v>
      </c>
      <c r="I2941" s="501">
        <v>13</v>
      </c>
      <c r="J2941" s="501">
        <v>0</v>
      </c>
      <c r="K2941" s="501">
        <v>0</v>
      </c>
      <c r="L2941" s="501">
        <v>13</v>
      </c>
      <c r="M2941" s="501">
        <v>0</v>
      </c>
      <c r="N2941" s="501">
        <v>0</v>
      </c>
      <c r="O2941" s="506">
        <v>0</v>
      </c>
    </row>
    <row r="2942" spans="1:15" x14ac:dyDescent="0.35">
      <c r="A2942" s="503" t="s">
        <v>1107</v>
      </c>
      <c r="B2942" s="504" t="s">
        <v>3109</v>
      </c>
      <c r="C2942" s="504" t="s">
        <v>1094</v>
      </c>
      <c r="D2942" s="504" t="s">
        <v>3380</v>
      </c>
      <c r="E2942" s="504" t="s">
        <v>3381</v>
      </c>
      <c r="F2942" s="504" t="s">
        <v>599</v>
      </c>
      <c r="G2942" s="504" t="s">
        <v>600</v>
      </c>
      <c r="H2942" s="504" t="s">
        <v>5696</v>
      </c>
      <c r="I2942" s="504">
        <v>48</v>
      </c>
      <c r="J2942" s="504">
        <v>35</v>
      </c>
      <c r="K2942" s="504">
        <v>0</v>
      </c>
      <c r="L2942" s="504">
        <v>0</v>
      </c>
      <c r="M2942" s="504">
        <v>0</v>
      </c>
      <c r="N2942" s="504">
        <v>0</v>
      </c>
      <c r="O2942" s="505">
        <v>13</v>
      </c>
    </row>
    <row r="2943" spans="1:15" x14ac:dyDescent="0.35">
      <c r="A2943" s="500" t="s">
        <v>1109</v>
      </c>
      <c r="B2943" s="501" t="s">
        <v>2959</v>
      </c>
      <c r="C2943" s="501" t="s">
        <v>1094</v>
      </c>
      <c r="D2943" s="501" t="s">
        <v>3380</v>
      </c>
      <c r="E2943" s="501" t="s">
        <v>3381</v>
      </c>
      <c r="F2943" s="501" t="s">
        <v>599</v>
      </c>
      <c r="G2943" s="501" t="s">
        <v>600</v>
      </c>
      <c r="H2943" s="501" t="s">
        <v>5697</v>
      </c>
      <c r="I2943" s="501">
        <v>47</v>
      </c>
      <c r="J2943" s="501">
        <v>0</v>
      </c>
      <c r="K2943" s="501">
        <v>0</v>
      </c>
      <c r="L2943" s="501">
        <v>0</v>
      </c>
      <c r="M2943" s="501">
        <v>47</v>
      </c>
      <c r="N2943" s="501">
        <v>0</v>
      </c>
      <c r="O2943" s="506">
        <v>0</v>
      </c>
    </row>
    <row r="2944" spans="1:15" x14ac:dyDescent="0.35">
      <c r="A2944" s="503" t="s">
        <v>1190</v>
      </c>
      <c r="B2944" s="504">
        <v>4662</v>
      </c>
      <c r="C2944" s="504" t="s">
        <v>1094</v>
      </c>
      <c r="D2944" s="504" t="s">
        <v>3380</v>
      </c>
      <c r="E2944" s="504" t="s">
        <v>3381</v>
      </c>
      <c r="F2944" s="504" t="s">
        <v>599</v>
      </c>
      <c r="G2944" s="504" t="s">
        <v>600</v>
      </c>
      <c r="H2944" s="504" t="s">
        <v>5698</v>
      </c>
      <c r="I2944" s="504">
        <v>55</v>
      </c>
      <c r="J2944" s="504">
        <v>0</v>
      </c>
      <c r="K2944" s="504">
        <v>0</v>
      </c>
      <c r="L2944" s="504">
        <v>55</v>
      </c>
      <c r="M2944" s="504">
        <v>0</v>
      </c>
      <c r="N2944" s="504">
        <v>0</v>
      </c>
      <c r="O2944" s="505">
        <v>0</v>
      </c>
    </row>
    <row r="2945" spans="1:15" x14ac:dyDescent="0.35">
      <c r="A2945" s="500" t="s">
        <v>1307</v>
      </c>
      <c r="B2945" s="501" t="s">
        <v>3306</v>
      </c>
      <c r="C2945" s="501" t="s">
        <v>1089</v>
      </c>
      <c r="D2945" s="501" t="s">
        <v>3392</v>
      </c>
      <c r="E2945" s="501" t="s">
        <v>3381</v>
      </c>
      <c r="F2945" s="501" t="s">
        <v>599</v>
      </c>
      <c r="G2945" s="501" t="s">
        <v>600</v>
      </c>
      <c r="H2945" s="501" t="s">
        <v>5699</v>
      </c>
      <c r="I2945" s="501">
        <v>24</v>
      </c>
      <c r="J2945" s="501">
        <v>24</v>
      </c>
      <c r="K2945" s="501">
        <v>0</v>
      </c>
      <c r="L2945" s="501">
        <v>0</v>
      </c>
      <c r="M2945" s="501">
        <v>0</v>
      </c>
      <c r="N2945" s="501">
        <v>0</v>
      </c>
      <c r="O2945" s="506">
        <v>0</v>
      </c>
    </row>
    <row r="2946" spans="1:15" x14ac:dyDescent="0.35">
      <c r="A2946" s="503" t="s">
        <v>1310</v>
      </c>
      <c r="B2946" s="504">
        <v>5062</v>
      </c>
      <c r="C2946" s="504" t="s">
        <v>1089</v>
      </c>
      <c r="D2946" s="504" t="s">
        <v>3380</v>
      </c>
      <c r="E2946" s="504" t="s">
        <v>3381</v>
      </c>
      <c r="F2946" s="504" t="s">
        <v>599</v>
      </c>
      <c r="G2946" s="504" t="s">
        <v>600</v>
      </c>
      <c r="H2946" s="504" t="s">
        <v>14679</v>
      </c>
      <c r="I2946" s="504">
        <v>76</v>
      </c>
      <c r="J2946" s="504">
        <v>0</v>
      </c>
      <c r="K2946" s="504">
        <v>0</v>
      </c>
      <c r="L2946" s="504">
        <v>0</v>
      </c>
      <c r="M2946" s="504">
        <v>0</v>
      </c>
      <c r="N2946" s="504">
        <v>0</v>
      </c>
      <c r="O2946" s="505">
        <v>76</v>
      </c>
    </row>
    <row r="2947" spans="1:15" x14ac:dyDescent="0.35">
      <c r="A2947" s="500" t="s">
        <v>1311</v>
      </c>
      <c r="B2947" s="501" t="s">
        <v>3361</v>
      </c>
      <c r="C2947" s="501" t="s">
        <v>1094</v>
      </c>
      <c r="D2947" s="501" t="s">
        <v>3380</v>
      </c>
      <c r="E2947" s="501" t="s">
        <v>3381</v>
      </c>
      <c r="F2947" s="501" t="s">
        <v>599</v>
      </c>
      <c r="G2947" s="501" t="s">
        <v>600</v>
      </c>
      <c r="H2947" s="501" t="s">
        <v>5700</v>
      </c>
      <c r="I2947" s="501">
        <v>27</v>
      </c>
      <c r="J2947" s="501">
        <v>27</v>
      </c>
      <c r="K2947" s="501">
        <v>0</v>
      </c>
      <c r="L2947" s="501">
        <v>0</v>
      </c>
      <c r="M2947" s="501">
        <v>0</v>
      </c>
      <c r="N2947" s="501">
        <v>0</v>
      </c>
      <c r="O2947" s="506">
        <v>0</v>
      </c>
    </row>
    <row r="2948" spans="1:15" x14ac:dyDescent="0.35">
      <c r="A2948" s="503" t="s">
        <v>1202</v>
      </c>
      <c r="B2948" s="504" t="s">
        <v>3217</v>
      </c>
      <c r="C2948" s="504" t="s">
        <v>1094</v>
      </c>
      <c r="D2948" s="504" t="s">
        <v>3380</v>
      </c>
      <c r="E2948" s="504" t="s">
        <v>3381</v>
      </c>
      <c r="F2948" s="504" t="s">
        <v>599</v>
      </c>
      <c r="G2948" s="504" t="s">
        <v>600</v>
      </c>
      <c r="H2948" s="504" t="s">
        <v>5701</v>
      </c>
      <c r="I2948" s="504">
        <v>2072</v>
      </c>
      <c r="J2948" s="504">
        <v>1820</v>
      </c>
      <c r="K2948" s="504">
        <v>0</v>
      </c>
      <c r="L2948" s="504">
        <v>33</v>
      </c>
      <c r="M2948" s="504">
        <v>0</v>
      </c>
      <c r="N2948" s="504">
        <v>0</v>
      </c>
      <c r="O2948" s="505">
        <v>219</v>
      </c>
    </row>
    <row r="2949" spans="1:15" x14ac:dyDescent="0.35">
      <c r="A2949" s="500" t="s">
        <v>1112</v>
      </c>
      <c r="B2949" s="501" t="s">
        <v>3008</v>
      </c>
      <c r="C2949" s="501" t="s">
        <v>1094</v>
      </c>
      <c r="D2949" s="501" t="s">
        <v>3380</v>
      </c>
      <c r="E2949" s="501" t="s">
        <v>3381</v>
      </c>
      <c r="F2949" s="501" t="s">
        <v>599</v>
      </c>
      <c r="G2949" s="501" t="s">
        <v>600</v>
      </c>
      <c r="H2949" s="501" t="s">
        <v>5702</v>
      </c>
      <c r="I2949" s="501">
        <v>1493</v>
      </c>
      <c r="J2949" s="501">
        <v>1022</v>
      </c>
      <c r="K2949" s="501">
        <v>0</v>
      </c>
      <c r="L2949" s="501">
        <v>19</v>
      </c>
      <c r="M2949" s="501">
        <v>184</v>
      </c>
      <c r="N2949" s="501">
        <v>0</v>
      </c>
      <c r="O2949" s="506">
        <v>268</v>
      </c>
    </row>
    <row r="2950" spans="1:15" x14ac:dyDescent="0.35">
      <c r="A2950" s="503" t="s">
        <v>1114</v>
      </c>
      <c r="B2950" s="504" t="s">
        <v>2982</v>
      </c>
      <c r="C2950" s="504" t="s">
        <v>1094</v>
      </c>
      <c r="D2950" s="504" t="s">
        <v>3380</v>
      </c>
      <c r="E2950" s="504" t="s">
        <v>3381</v>
      </c>
      <c r="F2950" s="504" t="s">
        <v>599</v>
      </c>
      <c r="G2950" s="504" t="s">
        <v>600</v>
      </c>
      <c r="H2950" s="504" t="s">
        <v>5703</v>
      </c>
      <c r="I2950" s="504">
        <v>1</v>
      </c>
      <c r="J2950" s="504">
        <v>0</v>
      </c>
      <c r="K2950" s="504">
        <v>0</v>
      </c>
      <c r="L2950" s="504">
        <v>0</v>
      </c>
      <c r="M2950" s="504">
        <v>0</v>
      </c>
      <c r="N2950" s="504">
        <v>0</v>
      </c>
      <c r="O2950" s="505">
        <v>1</v>
      </c>
    </row>
    <row r="2951" spans="1:15" x14ac:dyDescent="0.35">
      <c r="A2951" s="500" t="s">
        <v>1315</v>
      </c>
      <c r="B2951" s="501">
        <v>4825</v>
      </c>
      <c r="C2951" s="501" t="s">
        <v>1094</v>
      </c>
      <c r="D2951" s="501" t="s">
        <v>3380</v>
      </c>
      <c r="E2951" s="501" t="s">
        <v>3381</v>
      </c>
      <c r="F2951" s="501" t="s">
        <v>599</v>
      </c>
      <c r="G2951" s="501" t="s">
        <v>600</v>
      </c>
      <c r="H2951" s="501" t="s">
        <v>5704</v>
      </c>
      <c r="I2951" s="501">
        <v>1</v>
      </c>
      <c r="J2951" s="501">
        <v>1</v>
      </c>
      <c r="K2951" s="501">
        <v>0</v>
      </c>
      <c r="L2951" s="501">
        <v>0</v>
      </c>
      <c r="M2951" s="501">
        <v>0</v>
      </c>
      <c r="N2951" s="501">
        <v>0</v>
      </c>
      <c r="O2951" s="506">
        <v>0</v>
      </c>
    </row>
    <row r="2952" spans="1:15" x14ac:dyDescent="0.35">
      <c r="A2952" s="503" t="s">
        <v>1316</v>
      </c>
      <c r="B2952" s="504" t="s">
        <v>2949</v>
      </c>
      <c r="C2952" s="504" t="s">
        <v>1094</v>
      </c>
      <c r="D2952" s="504" t="s">
        <v>3380</v>
      </c>
      <c r="E2952" s="504" t="s">
        <v>3381</v>
      </c>
      <c r="F2952" s="504" t="s">
        <v>599</v>
      </c>
      <c r="G2952" s="504" t="s">
        <v>600</v>
      </c>
      <c r="H2952" s="504" t="s">
        <v>5705</v>
      </c>
      <c r="I2952" s="504">
        <v>549</v>
      </c>
      <c r="J2952" s="504">
        <v>391</v>
      </c>
      <c r="K2952" s="504">
        <v>0</v>
      </c>
      <c r="L2952" s="504">
        <v>43</v>
      </c>
      <c r="M2952" s="504">
        <v>0</v>
      </c>
      <c r="N2952" s="504">
        <v>0</v>
      </c>
      <c r="O2952" s="505">
        <v>115</v>
      </c>
    </row>
    <row r="2953" spans="1:15" x14ac:dyDescent="0.35">
      <c r="A2953" s="500" t="s">
        <v>1508</v>
      </c>
      <c r="B2953" s="501" t="s">
        <v>3307</v>
      </c>
      <c r="C2953" s="501" t="s">
        <v>1089</v>
      </c>
      <c r="D2953" s="501" t="s">
        <v>3380</v>
      </c>
      <c r="E2953" s="501" t="s">
        <v>3381</v>
      </c>
      <c r="F2953" s="501" t="s">
        <v>599</v>
      </c>
      <c r="G2953" s="501" t="s">
        <v>600</v>
      </c>
      <c r="H2953" s="501" t="s">
        <v>5706</v>
      </c>
      <c r="I2953" s="501">
        <v>65</v>
      </c>
      <c r="J2953" s="501">
        <v>65</v>
      </c>
      <c r="K2953" s="501">
        <v>0</v>
      </c>
      <c r="L2953" s="501">
        <v>0</v>
      </c>
      <c r="M2953" s="501">
        <v>0</v>
      </c>
      <c r="N2953" s="501">
        <v>0</v>
      </c>
      <c r="O2953" s="506">
        <v>0</v>
      </c>
    </row>
    <row r="2954" spans="1:15" x14ac:dyDescent="0.35">
      <c r="A2954" s="503" t="s">
        <v>1319</v>
      </c>
      <c r="B2954" s="504">
        <v>4880</v>
      </c>
      <c r="C2954" s="504" t="s">
        <v>1094</v>
      </c>
      <c r="D2954" s="504" t="s">
        <v>3380</v>
      </c>
      <c r="E2954" s="504" t="s">
        <v>3381</v>
      </c>
      <c r="F2954" s="504" t="s">
        <v>599</v>
      </c>
      <c r="G2954" s="504" t="s">
        <v>600</v>
      </c>
      <c r="H2954" s="504" t="s">
        <v>5707</v>
      </c>
      <c r="I2954" s="504">
        <v>814</v>
      </c>
      <c r="J2954" s="504">
        <v>814</v>
      </c>
      <c r="K2954" s="504">
        <v>0</v>
      </c>
      <c r="L2954" s="504">
        <v>0</v>
      </c>
      <c r="M2954" s="504">
        <v>0</v>
      </c>
      <c r="N2954" s="504">
        <v>0</v>
      </c>
      <c r="O2954" s="505">
        <v>0</v>
      </c>
    </row>
    <row r="2955" spans="1:15" x14ac:dyDescent="0.35">
      <c r="A2955" s="500" t="s">
        <v>1120</v>
      </c>
      <c r="B2955" s="501" t="s">
        <v>3362</v>
      </c>
      <c r="C2955" s="501" t="s">
        <v>1094</v>
      </c>
      <c r="D2955" s="501" t="s">
        <v>3380</v>
      </c>
      <c r="E2955" s="501" t="s">
        <v>3381</v>
      </c>
      <c r="F2955" s="501" t="s">
        <v>599</v>
      </c>
      <c r="G2955" s="501" t="s">
        <v>600</v>
      </c>
      <c r="H2955" s="501" t="s">
        <v>5708</v>
      </c>
      <c r="I2955" s="501">
        <v>155</v>
      </c>
      <c r="J2955" s="501">
        <v>0</v>
      </c>
      <c r="K2955" s="501">
        <v>0</v>
      </c>
      <c r="L2955" s="501">
        <v>0</v>
      </c>
      <c r="M2955" s="501">
        <v>0</v>
      </c>
      <c r="N2955" s="501">
        <v>0</v>
      </c>
      <c r="O2955" s="506">
        <v>155</v>
      </c>
    </row>
    <row r="2956" spans="1:15" x14ac:dyDescent="0.35">
      <c r="A2956" s="503" t="s">
        <v>1321</v>
      </c>
      <c r="B2956" s="504">
        <v>4635</v>
      </c>
      <c r="C2956" s="504" t="s">
        <v>1089</v>
      </c>
      <c r="D2956" s="504" t="s">
        <v>3392</v>
      </c>
      <c r="E2956" s="504" t="s">
        <v>3381</v>
      </c>
      <c r="F2956" s="504" t="s">
        <v>599</v>
      </c>
      <c r="G2956" s="504" t="s">
        <v>600</v>
      </c>
      <c r="H2956" s="504" t="s">
        <v>14680</v>
      </c>
      <c r="I2956" s="504">
        <v>31</v>
      </c>
      <c r="J2956" s="504">
        <v>31</v>
      </c>
      <c r="K2956" s="504">
        <v>0</v>
      </c>
      <c r="L2956" s="504">
        <v>0</v>
      </c>
      <c r="M2956" s="504">
        <v>0</v>
      </c>
      <c r="N2956" s="504">
        <v>0</v>
      </c>
      <c r="O2956" s="505">
        <v>0</v>
      </c>
    </row>
    <row r="2957" spans="1:15" x14ac:dyDescent="0.35">
      <c r="A2957" s="500" t="s">
        <v>1322</v>
      </c>
      <c r="B2957" s="501" t="s">
        <v>3244</v>
      </c>
      <c r="C2957" s="501" t="s">
        <v>1094</v>
      </c>
      <c r="D2957" s="501" t="s">
        <v>3380</v>
      </c>
      <c r="E2957" s="501" t="s">
        <v>3381</v>
      </c>
      <c r="F2957" s="501" t="s">
        <v>599</v>
      </c>
      <c r="G2957" s="501" t="s">
        <v>600</v>
      </c>
      <c r="H2957" s="501" t="s">
        <v>5709</v>
      </c>
      <c r="I2957" s="501">
        <v>419</v>
      </c>
      <c r="J2957" s="501">
        <v>257</v>
      </c>
      <c r="K2957" s="501">
        <v>0</v>
      </c>
      <c r="L2957" s="501">
        <v>91</v>
      </c>
      <c r="M2957" s="501">
        <v>0</v>
      </c>
      <c r="N2957" s="501">
        <v>0</v>
      </c>
      <c r="O2957" s="506">
        <v>71</v>
      </c>
    </row>
    <row r="2958" spans="1:15" x14ac:dyDescent="0.35">
      <c r="A2958" s="503" t="s">
        <v>1217</v>
      </c>
      <c r="B2958" s="504">
        <v>4851</v>
      </c>
      <c r="C2958" s="504" t="s">
        <v>1094</v>
      </c>
      <c r="D2958" s="504" t="s">
        <v>3380</v>
      </c>
      <c r="E2958" s="504" t="s">
        <v>3381</v>
      </c>
      <c r="F2958" s="504" t="s">
        <v>599</v>
      </c>
      <c r="G2958" s="504" t="s">
        <v>600</v>
      </c>
      <c r="H2958" s="504" t="s">
        <v>5710</v>
      </c>
      <c r="I2958" s="504">
        <v>510</v>
      </c>
      <c r="J2958" s="504">
        <v>441</v>
      </c>
      <c r="K2958" s="504">
        <v>0</v>
      </c>
      <c r="L2958" s="504">
        <v>0</v>
      </c>
      <c r="M2958" s="504">
        <v>34</v>
      </c>
      <c r="N2958" s="504">
        <v>0</v>
      </c>
      <c r="O2958" s="505">
        <v>35</v>
      </c>
    </row>
    <row r="2959" spans="1:15" x14ac:dyDescent="0.35">
      <c r="A2959" s="500" t="s">
        <v>1218</v>
      </c>
      <c r="B2959" s="501" t="s">
        <v>3147</v>
      </c>
      <c r="C2959" s="501" t="s">
        <v>1094</v>
      </c>
      <c r="D2959" s="501" t="s">
        <v>3380</v>
      </c>
      <c r="E2959" s="501" t="s">
        <v>3381</v>
      </c>
      <c r="F2959" s="501" t="s">
        <v>599</v>
      </c>
      <c r="G2959" s="501" t="s">
        <v>600</v>
      </c>
      <c r="H2959" s="501" t="s">
        <v>5711</v>
      </c>
      <c r="I2959" s="501">
        <v>10</v>
      </c>
      <c r="J2959" s="501">
        <v>0</v>
      </c>
      <c r="K2959" s="501">
        <v>0</v>
      </c>
      <c r="L2959" s="501">
        <v>0</v>
      </c>
      <c r="M2959" s="501">
        <v>0</v>
      </c>
      <c r="N2959" s="501">
        <v>0</v>
      </c>
      <c r="O2959" s="506">
        <v>10</v>
      </c>
    </row>
    <row r="2960" spans="1:15" x14ac:dyDescent="0.35">
      <c r="A2960" s="503" t="s">
        <v>11367</v>
      </c>
      <c r="B2960" s="504" t="s">
        <v>3143</v>
      </c>
      <c r="C2960" s="504" t="s">
        <v>1094</v>
      </c>
      <c r="D2960" s="504" t="s">
        <v>3380</v>
      </c>
      <c r="E2960" s="504" t="s">
        <v>3381</v>
      </c>
      <c r="F2960" s="504" t="s">
        <v>599</v>
      </c>
      <c r="G2960" s="504" t="s">
        <v>600</v>
      </c>
      <c r="H2960" s="504" t="s">
        <v>11920</v>
      </c>
      <c r="I2960" s="504">
        <v>33</v>
      </c>
      <c r="J2960" s="504">
        <v>0</v>
      </c>
      <c r="K2960" s="504">
        <v>0</v>
      </c>
      <c r="L2960" s="504">
        <v>0</v>
      </c>
      <c r="M2960" s="504">
        <v>0</v>
      </c>
      <c r="N2960" s="504">
        <v>0</v>
      </c>
      <c r="O2960" s="505">
        <v>33</v>
      </c>
    </row>
    <row r="2961" spans="1:15" x14ac:dyDescent="0.35">
      <c r="A2961" s="500" t="s">
        <v>1324</v>
      </c>
      <c r="B2961" s="501">
        <v>4766</v>
      </c>
      <c r="C2961" s="501" t="s">
        <v>1089</v>
      </c>
      <c r="D2961" s="501" t="s">
        <v>3392</v>
      </c>
      <c r="E2961" s="501" t="s">
        <v>3381</v>
      </c>
      <c r="F2961" s="501" t="s">
        <v>599</v>
      </c>
      <c r="G2961" s="501" t="s">
        <v>600</v>
      </c>
      <c r="H2961" s="501" t="s">
        <v>5712</v>
      </c>
      <c r="I2961" s="501">
        <v>190</v>
      </c>
      <c r="J2961" s="501">
        <v>180</v>
      </c>
      <c r="K2961" s="501">
        <v>0</v>
      </c>
      <c r="L2961" s="501">
        <v>10</v>
      </c>
      <c r="M2961" s="501">
        <v>0</v>
      </c>
      <c r="N2961" s="501">
        <v>0</v>
      </c>
      <c r="O2961" s="506">
        <v>0</v>
      </c>
    </row>
    <row r="2962" spans="1:15" x14ac:dyDescent="0.35">
      <c r="A2962" s="503" t="s">
        <v>1325</v>
      </c>
      <c r="B2962" s="504" t="s">
        <v>3011</v>
      </c>
      <c r="C2962" s="504" t="s">
        <v>1094</v>
      </c>
      <c r="D2962" s="504" t="s">
        <v>3380</v>
      </c>
      <c r="E2962" s="504" t="s">
        <v>3381</v>
      </c>
      <c r="F2962" s="504" t="s">
        <v>599</v>
      </c>
      <c r="G2962" s="504" t="s">
        <v>600</v>
      </c>
      <c r="H2962" s="504" t="s">
        <v>5713</v>
      </c>
      <c r="I2962" s="504">
        <v>925</v>
      </c>
      <c r="J2962" s="504">
        <v>518</v>
      </c>
      <c r="K2962" s="504">
        <v>329</v>
      </c>
      <c r="L2962" s="504">
        <v>0</v>
      </c>
      <c r="M2962" s="504">
        <v>0</v>
      </c>
      <c r="N2962" s="504">
        <v>0</v>
      </c>
      <c r="O2962" s="505">
        <v>78</v>
      </c>
    </row>
    <row r="2963" spans="1:15" x14ac:dyDescent="0.35">
      <c r="A2963" s="500" t="s">
        <v>1327</v>
      </c>
      <c r="B2963" s="501" t="s">
        <v>3330</v>
      </c>
      <c r="C2963" s="501" t="s">
        <v>1094</v>
      </c>
      <c r="D2963" s="501" t="s">
        <v>3380</v>
      </c>
      <c r="E2963" s="501" t="s">
        <v>3381</v>
      </c>
      <c r="F2963" s="501" t="s">
        <v>599</v>
      </c>
      <c r="G2963" s="501" t="s">
        <v>600</v>
      </c>
      <c r="H2963" s="501" t="s">
        <v>5714</v>
      </c>
      <c r="I2963" s="501">
        <v>126</v>
      </c>
      <c r="J2963" s="501">
        <v>82</v>
      </c>
      <c r="K2963" s="501">
        <v>0</v>
      </c>
      <c r="L2963" s="501">
        <v>0</v>
      </c>
      <c r="M2963" s="501">
        <v>0</v>
      </c>
      <c r="N2963" s="501">
        <v>0</v>
      </c>
      <c r="O2963" s="506">
        <v>44</v>
      </c>
    </row>
    <row r="2964" spans="1:15" x14ac:dyDescent="0.35">
      <c r="A2964" s="503" t="s">
        <v>1221</v>
      </c>
      <c r="B2964" s="504">
        <v>4728</v>
      </c>
      <c r="C2964" s="504" t="s">
        <v>1089</v>
      </c>
      <c r="D2964" s="504" t="s">
        <v>3392</v>
      </c>
      <c r="E2964" s="504" t="s">
        <v>3381</v>
      </c>
      <c r="F2964" s="504" t="s">
        <v>599</v>
      </c>
      <c r="G2964" s="504" t="s">
        <v>600</v>
      </c>
      <c r="H2964" s="504" t="s">
        <v>5715</v>
      </c>
      <c r="I2964" s="504">
        <v>58</v>
      </c>
      <c r="J2964" s="504">
        <v>0</v>
      </c>
      <c r="K2964" s="504">
        <v>0</v>
      </c>
      <c r="L2964" s="504">
        <v>58</v>
      </c>
      <c r="M2964" s="504">
        <v>0</v>
      </c>
      <c r="N2964" s="504">
        <v>0</v>
      </c>
      <c r="O2964" s="505">
        <v>0</v>
      </c>
    </row>
    <row r="2965" spans="1:15" x14ac:dyDescent="0.35">
      <c r="A2965" s="500" t="s">
        <v>1332</v>
      </c>
      <c r="B2965" s="501">
        <v>4878</v>
      </c>
      <c r="C2965" s="501" t="s">
        <v>1094</v>
      </c>
      <c r="D2965" s="501" t="s">
        <v>3380</v>
      </c>
      <c r="E2965" s="501" t="s">
        <v>3381</v>
      </c>
      <c r="F2965" s="501" t="s">
        <v>599</v>
      </c>
      <c r="G2965" s="501" t="s">
        <v>600</v>
      </c>
      <c r="H2965" s="501" t="s">
        <v>5716</v>
      </c>
      <c r="I2965" s="501">
        <v>67</v>
      </c>
      <c r="J2965" s="501">
        <v>67</v>
      </c>
      <c r="K2965" s="501">
        <v>0</v>
      </c>
      <c r="L2965" s="501">
        <v>0</v>
      </c>
      <c r="M2965" s="501">
        <v>0</v>
      </c>
      <c r="N2965" s="501">
        <v>0</v>
      </c>
      <c r="O2965" s="506">
        <v>0</v>
      </c>
    </row>
    <row r="2966" spans="1:15" x14ac:dyDescent="0.35">
      <c r="A2966" s="503" t="s">
        <v>1122</v>
      </c>
      <c r="B2966" s="504" t="s">
        <v>2994</v>
      </c>
      <c r="C2966" s="504" t="s">
        <v>1094</v>
      </c>
      <c r="D2966" s="504" t="s">
        <v>3380</v>
      </c>
      <c r="E2966" s="504" t="s">
        <v>3381</v>
      </c>
      <c r="F2966" s="504" t="s">
        <v>599</v>
      </c>
      <c r="G2966" s="504" t="s">
        <v>600</v>
      </c>
      <c r="H2966" s="504" t="s">
        <v>5717</v>
      </c>
      <c r="I2966" s="504">
        <v>92</v>
      </c>
      <c r="J2966" s="504">
        <v>87</v>
      </c>
      <c r="K2966" s="504">
        <v>0</v>
      </c>
      <c r="L2966" s="504">
        <v>0</v>
      </c>
      <c r="M2966" s="504">
        <v>0</v>
      </c>
      <c r="N2966" s="504">
        <v>0</v>
      </c>
      <c r="O2966" s="505">
        <v>5</v>
      </c>
    </row>
    <row r="2967" spans="1:15" x14ac:dyDescent="0.35">
      <c r="A2967" s="500" t="s">
        <v>1126</v>
      </c>
      <c r="B2967" s="501" t="s">
        <v>2974</v>
      </c>
      <c r="C2967" s="501" t="s">
        <v>1094</v>
      </c>
      <c r="D2967" s="501" t="s">
        <v>3380</v>
      </c>
      <c r="E2967" s="501" t="s">
        <v>3381</v>
      </c>
      <c r="F2967" s="501" t="s">
        <v>599</v>
      </c>
      <c r="G2967" s="501" t="s">
        <v>600</v>
      </c>
      <c r="H2967" s="501" t="s">
        <v>5718</v>
      </c>
      <c r="I2967" s="501">
        <v>245</v>
      </c>
      <c r="J2967" s="501">
        <v>210</v>
      </c>
      <c r="K2967" s="501">
        <v>0</v>
      </c>
      <c r="L2967" s="501">
        <v>32</v>
      </c>
      <c r="M2967" s="501">
        <v>0</v>
      </c>
      <c r="N2967" s="501">
        <v>0</v>
      </c>
      <c r="O2967" s="506">
        <v>3</v>
      </c>
    </row>
    <row r="2968" spans="1:15" x14ac:dyDescent="0.35">
      <c r="A2968" s="503" t="s">
        <v>1342</v>
      </c>
      <c r="B2968" s="504" t="s">
        <v>3237</v>
      </c>
      <c r="C2968" s="504" t="s">
        <v>1094</v>
      </c>
      <c r="D2968" s="504" t="s">
        <v>3380</v>
      </c>
      <c r="E2968" s="504" t="s">
        <v>3381</v>
      </c>
      <c r="F2968" s="504" t="s">
        <v>599</v>
      </c>
      <c r="G2968" s="504" t="s">
        <v>600</v>
      </c>
      <c r="H2968" s="504" t="s">
        <v>5719</v>
      </c>
      <c r="I2968" s="504">
        <v>1</v>
      </c>
      <c r="J2968" s="504">
        <v>0</v>
      </c>
      <c r="K2968" s="504">
        <v>0</v>
      </c>
      <c r="L2968" s="504">
        <v>0</v>
      </c>
      <c r="M2968" s="504">
        <v>0</v>
      </c>
      <c r="N2968" s="504">
        <v>0</v>
      </c>
      <c r="O2968" s="505">
        <v>1</v>
      </c>
    </row>
    <row r="2969" spans="1:15" x14ac:dyDescent="0.35">
      <c r="A2969" s="500" t="s">
        <v>1130</v>
      </c>
      <c r="B2969" s="501" t="s">
        <v>3234</v>
      </c>
      <c r="C2969" s="501" t="s">
        <v>1094</v>
      </c>
      <c r="D2969" s="501" t="s">
        <v>3380</v>
      </c>
      <c r="E2969" s="501" t="s">
        <v>3381</v>
      </c>
      <c r="F2969" s="501" t="s">
        <v>599</v>
      </c>
      <c r="G2969" s="501" t="s">
        <v>600</v>
      </c>
      <c r="H2969" s="501" t="s">
        <v>5720</v>
      </c>
      <c r="I2969" s="501">
        <v>14</v>
      </c>
      <c r="J2969" s="501">
        <v>0</v>
      </c>
      <c r="K2969" s="501">
        <v>0</v>
      </c>
      <c r="L2969" s="501">
        <v>0</v>
      </c>
      <c r="M2969" s="501">
        <v>0</v>
      </c>
      <c r="N2969" s="501">
        <v>0</v>
      </c>
      <c r="O2969" s="506">
        <v>14</v>
      </c>
    </row>
    <row r="2970" spans="1:15" x14ac:dyDescent="0.35">
      <c r="A2970" s="503" t="s">
        <v>1345</v>
      </c>
      <c r="B2970" s="504" t="s">
        <v>3247</v>
      </c>
      <c r="C2970" s="504" t="s">
        <v>1094</v>
      </c>
      <c r="D2970" s="504" t="s">
        <v>3380</v>
      </c>
      <c r="E2970" s="504" t="s">
        <v>3381</v>
      </c>
      <c r="F2970" s="504" t="s">
        <v>599</v>
      </c>
      <c r="G2970" s="504" t="s">
        <v>600</v>
      </c>
      <c r="H2970" s="504" t="s">
        <v>5721</v>
      </c>
      <c r="I2970" s="504">
        <v>13</v>
      </c>
      <c r="J2970" s="504">
        <v>0</v>
      </c>
      <c r="K2970" s="504">
        <v>0</v>
      </c>
      <c r="L2970" s="504">
        <v>13</v>
      </c>
      <c r="M2970" s="504">
        <v>0</v>
      </c>
      <c r="N2970" s="504">
        <v>0</v>
      </c>
      <c r="O2970" s="505">
        <v>0</v>
      </c>
    </row>
    <row r="2971" spans="1:15" x14ac:dyDescent="0.35">
      <c r="A2971" s="500" t="s">
        <v>1554</v>
      </c>
      <c r="B2971" s="501" t="s">
        <v>2672</v>
      </c>
      <c r="C2971" s="501" t="s">
        <v>1089</v>
      </c>
      <c r="D2971" s="501" t="s">
        <v>3392</v>
      </c>
      <c r="E2971" s="501" t="s">
        <v>3381</v>
      </c>
      <c r="F2971" s="501" t="s">
        <v>599</v>
      </c>
      <c r="G2971" s="501" t="s">
        <v>600</v>
      </c>
      <c r="H2971" s="501" t="s">
        <v>5722</v>
      </c>
      <c r="I2971" s="501">
        <v>1</v>
      </c>
      <c r="J2971" s="501">
        <v>1</v>
      </c>
      <c r="K2971" s="501">
        <v>0</v>
      </c>
      <c r="L2971" s="501">
        <v>0</v>
      </c>
      <c r="M2971" s="501">
        <v>0</v>
      </c>
      <c r="N2971" s="501">
        <v>0</v>
      </c>
      <c r="O2971" s="506">
        <v>0</v>
      </c>
    </row>
    <row r="2972" spans="1:15" x14ac:dyDescent="0.35">
      <c r="A2972" s="503" t="s">
        <v>1558</v>
      </c>
      <c r="B2972" s="504">
        <v>4843</v>
      </c>
      <c r="C2972" s="504" t="s">
        <v>1089</v>
      </c>
      <c r="D2972" s="504" t="s">
        <v>3392</v>
      </c>
      <c r="E2972" s="504" t="s">
        <v>3381</v>
      </c>
      <c r="F2972" s="504" t="s">
        <v>599</v>
      </c>
      <c r="G2972" s="504" t="s">
        <v>600</v>
      </c>
      <c r="H2972" s="504" t="s">
        <v>14681</v>
      </c>
      <c r="I2972" s="504">
        <v>77</v>
      </c>
      <c r="J2972" s="504">
        <v>77</v>
      </c>
      <c r="K2972" s="504">
        <v>0</v>
      </c>
      <c r="L2972" s="504">
        <v>0</v>
      </c>
      <c r="M2972" s="504">
        <v>0</v>
      </c>
      <c r="N2972" s="504">
        <v>0</v>
      </c>
      <c r="O2972" s="505">
        <v>0</v>
      </c>
    </row>
    <row r="2973" spans="1:15" x14ac:dyDescent="0.35">
      <c r="A2973" s="500" t="s">
        <v>1347</v>
      </c>
      <c r="B2973" s="501" t="s">
        <v>3185</v>
      </c>
      <c r="C2973" s="501" t="s">
        <v>1089</v>
      </c>
      <c r="D2973" s="501" t="s">
        <v>3392</v>
      </c>
      <c r="E2973" s="501" t="s">
        <v>3381</v>
      </c>
      <c r="F2973" s="501" t="s">
        <v>599</v>
      </c>
      <c r="G2973" s="501" t="s">
        <v>600</v>
      </c>
      <c r="H2973" s="501" t="s">
        <v>5723</v>
      </c>
      <c r="I2973" s="501">
        <v>21</v>
      </c>
      <c r="J2973" s="501">
        <v>21</v>
      </c>
      <c r="K2973" s="501">
        <v>0</v>
      </c>
      <c r="L2973" s="501">
        <v>0</v>
      </c>
      <c r="M2973" s="501">
        <v>0</v>
      </c>
      <c r="N2973" s="501">
        <v>0</v>
      </c>
      <c r="O2973" s="506">
        <v>0</v>
      </c>
    </row>
    <row r="2974" spans="1:15" x14ac:dyDescent="0.35">
      <c r="A2974" s="503" t="s">
        <v>1573</v>
      </c>
      <c r="B2974" s="504" t="s">
        <v>2473</v>
      </c>
      <c r="C2974" s="504" t="s">
        <v>1089</v>
      </c>
      <c r="D2974" s="504" t="s">
        <v>3392</v>
      </c>
      <c r="E2974" s="504" t="s">
        <v>3381</v>
      </c>
      <c r="F2974" s="504" t="s">
        <v>599</v>
      </c>
      <c r="G2974" s="504" t="s">
        <v>600</v>
      </c>
      <c r="H2974" s="504" t="s">
        <v>5724</v>
      </c>
      <c r="I2974" s="504">
        <v>12</v>
      </c>
      <c r="J2974" s="504">
        <v>0</v>
      </c>
      <c r="K2974" s="504">
        <v>0</v>
      </c>
      <c r="L2974" s="504">
        <v>0</v>
      </c>
      <c r="M2974" s="504">
        <v>12</v>
      </c>
      <c r="N2974" s="504">
        <v>0</v>
      </c>
      <c r="O2974" s="505">
        <v>0</v>
      </c>
    </row>
    <row r="2975" spans="1:15" x14ac:dyDescent="0.35">
      <c r="A2975" s="500" t="s">
        <v>1253</v>
      </c>
      <c r="B2975" s="501" t="s">
        <v>3232</v>
      </c>
      <c r="C2975" s="501" t="s">
        <v>1094</v>
      </c>
      <c r="D2975" s="501" t="s">
        <v>3380</v>
      </c>
      <c r="E2975" s="501" t="s">
        <v>3381</v>
      </c>
      <c r="F2975" s="501" t="s">
        <v>599</v>
      </c>
      <c r="G2975" s="501" t="s">
        <v>600</v>
      </c>
      <c r="H2975" s="501" t="s">
        <v>5725</v>
      </c>
      <c r="I2975" s="501">
        <v>209</v>
      </c>
      <c r="J2975" s="501">
        <v>169</v>
      </c>
      <c r="K2975" s="501">
        <v>0</v>
      </c>
      <c r="L2975" s="501">
        <v>4</v>
      </c>
      <c r="M2975" s="501">
        <v>36</v>
      </c>
      <c r="N2975" s="501">
        <v>0</v>
      </c>
      <c r="O2975" s="506">
        <v>0</v>
      </c>
    </row>
    <row r="2976" spans="1:15" x14ac:dyDescent="0.35">
      <c r="A2976" s="503" t="s">
        <v>1574</v>
      </c>
      <c r="B2976" s="504" t="s">
        <v>2552</v>
      </c>
      <c r="C2976" s="504" t="s">
        <v>1089</v>
      </c>
      <c r="D2976" s="504" t="s">
        <v>3392</v>
      </c>
      <c r="E2976" s="504" t="s">
        <v>3381</v>
      </c>
      <c r="F2976" s="504" t="s">
        <v>599</v>
      </c>
      <c r="G2976" s="504" t="s">
        <v>600</v>
      </c>
      <c r="H2976" s="504" t="s">
        <v>5726</v>
      </c>
      <c r="I2976" s="504">
        <v>49</v>
      </c>
      <c r="J2976" s="504">
        <v>0</v>
      </c>
      <c r="K2976" s="504">
        <v>0</v>
      </c>
      <c r="L2976" s="504">
        <v>0</v>
      </c>
      <c r="M2976" s="504">
        <v>49</v>
      </c>
      <c r="N2976" s="504">
        <v>0</v>
      </c>
      <c r="O2976" s="505">
        <v>0</v>
      </c>
    </row>
    <row r="2977" spans="1:15" x14ac:dyDescent="0.35">
      <c r="A2977" s="500" t="s">
        <v>1599</v>
      </c>
      <c r="B2977" s="501" t="s">
        <v>3303</v>
      </c>
      <c r="C2977" s="501" t="s">
        <v>1089</v>
      </c>
      <c r="D2977" s="501" t="s">
        <v>3392</v>
      </c>
      <c r="E2977" s="501" t="s">
        <v>3381</v>
      </c>
      <c r="F2977" s="501" t="s">
        <v>599</v>
      </c>
      <c r="G2977" s="501" t="s">
        <v>600</v>
      </c>
      <c r="H2977" s="501" t="s">
        <v>5727</v>
      </c>
      <c r="I2977" s="501">
        <v>43</v>
      </c>
      <c r="J2977" s="501">
        <v>43</v>
      </c>
      <c r="K2977" s="501">
        <v>0</v>
      </c>
      <c r="L2977" s="501">
        <v>0</v>
      </c>
      <c r="M2977" s="501">
        <v>0</v>
      </c>
      <c r="N2977" s="501">
        <v>0</v>
      </c>
      <c r="O2977" s="506">
        <v>0</v>
      </c>
    </row>
    <row r="2978" spans="1:15" x14ac:dyDescent="0.35">
      <c r="A2978" s="503" t="s">
        <v>1091</v>
      </c>
      <c r="B2978" s="504" t="s">
        <v>3288</v>
      </c>
      <c r="C2978" s="504" t="s">
        <v>1089</v>
      </c>
      <c r="D2978" s="504" t="s">
        <v>3392</v>
      </c>
      <c r="E2978" s="504" t="s">
        <v>3381</v>
      </c>
      <c r="F2978" s="504" t="s">
        <v>601</v>
      </c>
      <c r="G2978" s="504" t="s">
        <v>602</v>
      </c>
      <c r="H2978" s="504" t="s">
        <v>5728</v>
      </c>
      <c r="I2978" s="504">
        <v>10</v>
      </c>
      <c r="J2978" s="504">
        <v>0</v>
      </c>
      <c r="K2978" s="504">
        <v>0</v>
      </c>
      <c r="L2978" s="504">
        <v>10</v>
      </c>
      <c r="M2978" s="504">
        <v>0</v>
      </c>
      <c r="N2978" s="504">
        <v>0</v>
      </c>
      <c r="O2978" s="505">
        <v>0</v>
      </c>
    </row>
    <row r="2979" spans="1:15" x14ac:dyDescent="0.35">
      <c r="A2979" s="500" t="s">
        <v>1096</v>
      </c>
      <c r="B2979" s="501" t="s">
        <v>3326</v>
      </c>
      <c r="C2979" s="501" t="s">
        <v>1094</v>
      </c>
      <c r="D2979" s="501" t="s">
        <v>3380</v>
      </c>
      <c r="E2979" s="501" t="s">
        <v>3381</v>
      </c>
      <c r="F2979" s="501" t="s">
        <v>601</v>
      </c>
      <c r="G2979" s="501" t="s">
        <v>602</v>
      </c>
      <c r="H2979" s="501" t="s">
        <v>5729</v>
      </c>
      <c r="I2979" s="501">
        <v>101</v>
      </c>
      <c r="J2979" s="501">
        <v>0</v>
      </c>
      <c r="K2979" s="501">
        <v>0</v>
      </c>
      <c r="L2979" s="501">
        <v>0</v>
      </c>
      <c r="M2979" s="501">
        <v>101</v>
      </c>
      <c r="N2979" s="501">
        <v>0</v>
      </c>
      <c r="O2979" s="506">
        <v>0</v>
      </c>
    </row>
    <row r="2980" spans="1:15" x14ac:dyDescent="0.35">
      <c r="A2980" s="503" t="s">
        <v>1273</v>
      </c>
      <c r="B2980" s="504" t="s">
        <v>3197</v>
      </c>
      <c r="C2980" s="504" t="s">
        <v>1094</v>
      </c>
      <c r="D2980" s="504" t="s">
        <v>3380</v>
      </c>
      <c r="E2980" s="504" t="s">
        <v>3381</v>
      </c>
      <c r="F2980" s="504" t="s">
        <v>601</v>
      </c>
      <c r="G2980" s="504" t="s">
        <v>602</v>
      </c>
      <c r="H2980" s="504" t="s">
        <v>5730</v>
      </c>
      <c r="I2980" s="504">
        <v>17</v>
      </c>
      <c r="J2980" s="504">
        <v>5</v>
      </c>
      <c r="K2980" s="504">
        <v>0</v>
      </c>
      <c r="L2980" s="504">
        <v>0</v>
      </c>
      <c r="M2980" s="504">
        <v>0</v>
      </c>
      <c r="N2980" s="504">
        <v>0</v>
      </c>
      <c r="O2980" s="505">
        <v>12</v>
      </c>
    </row>
    <row r="2981" spans="1:15" x14ac:dyDescent="0.35">
      <c r="A2981" s="500" t="s">
        <v>1161</v>
      </c>
      <c r="B2981" s="501" t="s">
        <v>3001</v>
      </c>
      <c r="C2981" s="501" t="s">
        <v>1094</v>
      </c>
      <c r="D2981" s="501" t="s">
        <v>3380</v>
      </c>
      <c r="E2981" s="501" t="s">
        <v>3381</v>
      </c>
      <c r="F2981" s="501" t="s">
        <v>601</v>
      </c>
      <c r="G2981" s="501" t="s">
        <v>602</v>
      </c>
      <c r="H2981" s="501" t="s">
        <v>5731</v>
      </c>
      <c r="I2981" s="501">
        <v>20</v>
      </c>
      <c r="J2981" s="501">
        <v>0</v>
      </c>
      <c r="K2981" s="501">
        <v>0</v>
      </c>
      <c r="L2981" s="501">
        <v>0</v>
      </c>
      <c r="M2981" s="501">
        <v>0</v>
      </c>
      <c r="N2981" s="501">
        <v>0</v>
      </c>
      <c r="O2981" s="506">
        <v>20</v>
      </c>
    </row>
    <row r="2982" spans="1:15" x14ac:dyDescent="0.35">
      <c r="A2982" s="503" t="s">
        <v>1100</v>
      </c>
      <c r="B2982" s="504">
        <v>4865</v>
      </c>
      <c r="C2982" s="504" t="s">
        <v>1094</v>
      </c>
      <c r="D2982" s="504" t="s">
        <v>3380</v>
      </c>
      <c r="E2982" s="504" t="s">
        <v>3381</v>
      </c>
      <c r="F2982" s="504" t="s">
        <v>601</v>
      </c>
      <c r="G2982" s="504" t="s">
        <v>602</v>
      </c>
      <c r="H2982" s="504" t="s">
        <v>5732</v>
      </c>
      <c r="I2982" s="504">
        <v>9</v>
      </c>
      <c r="J2982" s="504">
        <v>8</v>
      </c>
      <c r="K2982" s="504">
        <v>0</v>
      </c>
      <c r="L2982" s="504">
        <v>0</v>
      </c>
      <c r="M2982" s="504">
        <v>0</v>
      </c>
      <c r="N2982" s="504">
        <v>0</v>
      </c>
      <c r="O2982" s="505">
        <v>1</v>
      </c>
    </row>
    <row r="2983" spans="1:15" x14ac:dyDescent="0.35">
      <c r="A2983" s="500" t="s">
        <v>1294</v>
      </c>
      <c r="B2983" s="501" t="s">
        <v>3114</v>
      </c>
      <c r="C2983" s="501" t="s">
        <v>1094</v>
      </c>
      <c r="D2983" s="501" t="s">
        <v>3380</v>
      </c>
      <c r="E2983" s="501" t="s">
        <v>3381</v>
      </c>
      <c r="F2983" s="501" t="s">
        <v>601</v>
      </c>
      <c r="G2983" s="501" t="s">
        <v>602</v>
      </c>
      <c r="H2983" s="501" t="s">
        <v>5733</v>
      </c>
      <c r="I2983" s="501">
        <v>193</v>
      </c>
      <c r="J2983" s="501">
        <v>170</v>
      </c>
      <c r="K2983" s="501">
        <v>0</v>
      </c>
      <c r="L2983" s="501">
        <v>0</v>
      </c>
      <c r="M2983" s="501">
        <v>0</v>
      </c>
      <c r="N2983" s="501">
        <v>1</v>
      </c>
      <c r="O2983" s="506">
        <v>23</v>
      </c>
    </row>
    <row r="2984" spans="1:15" x14ac:dyDescent="0.35">
      <c r="A2984" s="503" t="s">
        <v>1187</v>
      </c>
      <c r="B2984" s="504" t="s">
        <v>2951</v>
      </c>
      <c r="C2984" s="504" t="s">
        <v>1094</v>
      </c>
      <c r="D2984" s="504" t="s">
        <v>3380</v>
      </c>
      <c r="E2984" s="504" t="s">
        <v>3381</v>
      </c>
      <c r="F2984" s="504" t="s">
        <v>601</v>
      </c>
      <c r="G2984" s="504" t="s">
        <v>602</v>
      </c>
      <c r="H2984" s="504" t="s">
        <v>5734</v>
      </c>
      <c r="I2984" s="504">
        <v>81</v>
      </c>
      <c r="J2984" s="504">
        <v>76</v>
      </c>
      <c r="K2984" s="504">
        <v>0</v>
      </c>
      <c r="L2984" s="504">
        <v>0</v>
      </c>
      <c r="M2984" s="504">
        <v>0</v>
      </c>
      <c r="N2984" s="504">
        <v>0</v>
      </c>
      <c r="O2984" s="505">
        <v>5</v>
      </c>
    </row>
    <row r="2985" spans="1:15" x14ac:dyDescent="0.35">
      <c r="A2985" s="500" t="s">
        <v>1107</v>
      </c>
      <c r="B2985" s="501" t="s">
        <v>3109</v>
      </c>
      <c r="C2985" s="501" t="s">
        <v>1094</v>
      </c>
      <c r="D2985" s="501" t="s">
        <v>3380</v>
      </c>
      <c r="E2985" s="501" t="s">
        <v>3381</v>
      </c>
      <c r="F2985" s="501" t="s">
        <v>601</v>
      </c>
      <c r="G2985" s="501" t="s">
        <v>602</v>
      </c>
      <c r="H2985" s="501" t="s">
        <v>5735</v>
      </c>
      <c r="I2985" s="501">
        <v>398</v>
      </c>
      <c r="J2985" s="501">
        <v>326</v>
      </c>
      <c r="K2985" s="501">
        <v>0</v>
      </c>
      <c r="L2985" s="501">
        <v>0</v>
      </c>
      <c r="M2985" s="501">
        <v>56</v>
      </c>
      <c r="N2985" s="501">
        <v>0</v>
      </c>
      <c r="O2985" s="506">
        <v>16</v>
      </c>
    </row>
    <row r="2986" spans="1:15" x14ac:dyDescent="0.35">
      <c r="A2986" s="503" t="s">
        <v>1202</v>
      </c>
      <c r="B2986" s="504" t="s">
        <v>3217</v>
      </c>
      <c r="C2986" s="504" t="s">
        <v>1094</v>
      </c>
      <c r="D2986" s="504" t="s">
        <v>3380</v>
      </c>
      <c r="E2986" s="504" t="s">
        <v>3381</v>
      </c>
      <c r="F2986" s="504" t="s">
        <v>601</v>
      </c>
      <c r="G2986" s="504" t="s">
        <v>602</v>
      </c>
      <c r="H2986" s="504" t="s">
        <v>5736</v>
      </c>
      <c r="I2986" s="504">
        <v>571</v>
      </c>
      <c r="J2986" s="504">
        <v>449</v>
      </c>
      <c r="K2986" s="504">
        <v>0</v>
      </c>
      <c r="L2986" s="504">
        <v>38</v>
      </c>
      <c r="M2986" s="504">
        <v>0</v>
      </c>
      <c r="N2986" s="504">
        <v>0</v>
      </c>
      <c r="O2986" s="505">
        <v>84</v>
      </c>
    </row>
    <row r="2987" spans="1:15" x14ac:dyDescent="0.35">
      <c r="A2987" s="500" t="s">
        <v>1112</v>
      </c>
      <c r="B2987" s="501" t="s">
        <v>3008</v>
      </c>
      <c r="C2987" s="501" t="s">
        <v>1094</v>
      </c>
      <c r="D2987" s="501" t="s">
        <v>3380</v>
      </c>
      <c r="E2987" s="501" t="s">
        <v>3381</v>
      </c>
      <c r="F2987" s="501" t="s">
        <v>601</v>
      </c>
      <c r="G2987" s="501" t="s">
        <v>602</v>
      </c>
      <c r="H2987" s="501" t="s">
        <v>5737</v>
      </c>
      <c r="I2987" s="501">
        <v>4</v>
      </c>
      <c r="J2987" s="501">
        <v>0</v>
      </c>
      <c r="K2987" s="501">
        <v>0</v>
      </c>
      <c r="L2987" s="501">
        <v>0</v>
      </c>
      <c r="M2987" s="501">
        <v>0</v>
      </c>
      <c r="N2987" s="501">
        <v>0</v>
      </c>
      <c r="O2987" s="506">
        <v>4</v>
      </c>
    </row>
    <row r="2988" spans="1:15" x14ac:dyDescent="0.35">
      <c r="A2988" s="503" t="s">
        <v>1114</v>
      </c>
      <c r="B2988" s="504" t="s">
        <v>2982</v>
      </c>
      <c r="C2988" s="504" t="s">
        <v>1094</v>
      </c>
      <c r="D2988" s="504" t="s">
        <v>3380</v>
      </c>
      <c r="E2988" s="504" t="s">
        <v>3381</v>
      </c>
      <c r="F2988" s="504" t="s">
        <v>601</v>
      </c>
      <c r="G2988" s="504" t="s">
        <v>602</v>
      </c>
      <c r="H2988" s="504" t="s">
        <v>5738</v>
      </c>
      <c r="I2988" s="504">
        <v>196</v>
      </c>
      <c r="J2988" s="504">
        <v>116</v>
      </c>
      <c r="K2988" s="504">
        <v>0</v>
      </c>
      <c r="L2988" s="504">
        <v>0</v>
      </c>
      <c r="M2988" s="504">
        <v>0</v>
      </c>
      <c r="N2988" s="504">
        <v>0</v>
      </c>
      <c r="O2988" s="505">
        <v>80</v>
      </c>
    </row>
    <row r="2989" spans="1:15" x14ac:dyDescent="0.35">
      <c r="A2989" s="500" t="s">
        <v>1210</v>
      </c>
      <c r="B2989" s="501">
        <v>4781</v>
      </c>
      <c r="C2989" s="501" t="s">
        <v>1089</v>
      </c>
      <c r="D2989" s="501" t="s">
        <v>3392</v>
      </c>
      <c r="E2989" s="501" t="s">
        <v>3381</v>
      </c>
      <c r="F2989" s="501" t="s">
        <v>601</v>
      </c>
      <c r="G2989" s="501" t="s">
        <v>602</v>
      </c>
      <c r="H2989" s="501" t="s">
        <v>5739</v>
      </c>
      <c r="I2989" s="501">
        <v>31</v>
      </c>
      <c r="J2989" s="501">
        <v>0</v>
      </c>
      <c r="K2989" s="501">
        <v>0</v>
      </c>
      <c r="L2989" s="501">
        <v>31</v>
      </c>
      <c r="M2989" s="501">
        <v>0</v>
      </c>
      <c r="N2989" s="501">
        <v>0</v>
      </c>
      <c r="O2989" s="506">
        <v>0</v>
      </c>
    </row>
    <row r="2990" spans="1:15" x14ac:dyDescent="0.35">
      <c r="A2990" s="503" t="s">
        <v>1319</v>
      </c>
      <c r="B2990" s="504">
        <v>4880</v>
      </c>
      <c r="C2990" s="504" t="s">
        <v>1094</v>
      </c>
      <c r="D2990" s="504" t="s">
        <v>3380</v>
      </c>
      <c r="E2990" s="504" t="s">
        <v>3381</v>
      </c>
      <c r="F2990" s="504" t="s">
        <v>601</v>
      </c>
      <c r="G2990" s="504" t="s">
        <v>602</v>
      </c>
      <c r="H2990" s="504" t="s">
        <v>5740</v>
      </c>
      <c r="I2990" s="504">
        <v>201</v>
      </c>
      <c r="J2990" s="504">
        <v>52</v>
      </c>
      <c r="K2990" s="504">
        <v>0</v>
      </c>
      <c r="L2990" s="504">
        <v>8</v>
      </c>
      <c r="M2990" s="504">
        <v>22</v>
      </c>
      <c r="N2990" s="504">
        <v>1</v>
      </c>
      <c r="O2990" s="505">
        <v>119</v>
      </c>
    </row>
    <row r="2991" spans="1:15" x14ac:dyDescent="0.35">
      <c r="A2991" s="500" t="s">
        <v>1322</v>
      </c>
      <c r="B2991" s="501" t="s">
        <v>3244</v>
      </c>
      <c r="C2991" s="501" t="s">
        <v>1094</v>
      </c>
      <c r="D2991" s="501" t="s">
        <v>3380</v>
      </c>
      <c r="E2991" s="501" t="s">
        <v>3381</v>
      </c>
      <c r="F2991" s="501" t="s">
        <v>601</v>
      </c>
      <c r="G2991" s="501" t="s">
        <v>602</v>
      </c>
      <c r="H2991" s="501" t="s">
        <v>5741</v>
      </c>
      <c r="I2991" s="501">
        <v>5</v>
      </c>
      <c r="J2991" s="501">
        <v>0</v>
      </c>
      <c r="K2991" s="501">
        <v>0</v>
      </c>
      <c r="L2991" s="501">
        <v>0</v>
      </c>
      <c r="M2991" s="501">
        <v>0</v>
      </c>
      <c r="N2991" s="501">
        <v>0</v>
      </c>
      <c r="O2991" s="506">
        <v>5</v>
      </c>
    </row>
    <row r="2992" spans="1:15" x14ac:dyDescent="0.35">
      <c r="A2992" s="503" t="s">
        <v>1218</v>
      </c>
      <c r="B2992" s="504" t="s">
        <v>3147</v>
      </c>
      <c r="C2992" s="504" t="s">
        <v>1094</v>
      </c>
      <c r="D2992" s="504" t="s">
        <v>3380</v>
      </c>
      <c r="E2992" s="504" t="s">
        <v>3381</v>
      </c>
      <c r="F2992" s="504" t="s">
        <v>601</v>
      </c>
      <c r="G2992" s="504" t="s">
        <v>602</v>
      </c>
      <c r="H2992" s="504" t="s">
        <v>5742</v>
      </c>
      <c r="I2992" s="504">
        <v>5</v>
      </c>
      <c r="J2992" s="504">
        <v>0</v>
      </c>
      <c r="K2992" s="504">
        <v>0</v>
      </c>
      <c r="L2992" s="504">
        <v>0</v>
      </c>
      <c r="M2992" s="504">
        <v>0</v>
      </c>
      <c r="N2992" s="504">
        <v>0</v>
      </c>
      <c r="O2992" s="505">
        <v>5</v>
      </c>
    </row>
    <row r="2993" spans="1:15" x14ac:dyDescent="0.35">
      <c r="A2993" s="500" t="s">
        <v>11367</v>
      </c>
      <c r="B2993" s="501" t="s">
        <v>3143</v>
      </c>
      <c r="C2993" s="501" t="s">
        <v>1094</v>
      </c>
      <c r="D2993" s="501" t="s">
        <v>3380</v>
      </c>
      <c r="E2993" s="501" t="s">
        <v>3381</v>
      </c>
      <c r="F2993" s="501" t="s">
        <v>601</v>
      </c>
      <c r="G2993" s="501" t="s">
        <v>602</v>
      </c>
      <c r="H2993" s="501" t="s">
        <v>11921</v>
      </c>
      <c r="I2993" s="501">
        <v>62</v>
      </c>
      <c r="J2993" s="501">
        <v>62</v>
      </c>
      <c r="K2993" s="501">
        <v>0</v>
      </c>
      <c r="L2993" s="501">
        <v>0</v>
      </c>
      <c r="M2993" s="501">
        <v>0</v>
      </c>
      <c r="N2993" s="501">
        <v>0</v>
      </c>
      <c r="O2993" s="506">
        <v>0</v>
      </c>
    </row>
    <row r="2994" spans="1:15" x14ac:dyDescent="0.35">
      <c r="A2994" s="503" t="s">
        <v>1332</v>
      </c>
      <c r="B2994" s="504">
        <v>4878</v>
      </c>
      <c r="C2994" s="504" t="s">
        <v>1094</v>
      </c>
      <c r="D2994" s="504" t="s">
        <v>3380</v>
      </c>
      <c r="E2994" s="504" t="s">
        <v>3381</v>
      </c>
      <c r="F2994" s="504" t="s">
        <v>601</v>
      </c>
      <c r="G2994" s="504" t="s">
        <v>602</v>
      </c>
      <c r="H2994" s="504" t="s">
        <v>14682</v>
      </c>
      <c r="I2994" s="504">
        <v>10</v>
      </c>
      <c r="J2994" s="504">
        <v>4</v>
      </c>
      <c r="K2994" s="504">
        <v>0</v>
      </c>
      <c r="L2994" s="504">
        <v>6</v>
      </c>
      <c r="M2994" s="504">
        <v>0</v>
      </c>
      <c r="N2994" s="504">
        <v>0</v>
      </c>
      <c r="O2994" s="505">
        <v>0</v>
      </c>
    </row>
    <row r="2995" spans="1:15" x14ac:dyDescent="0.35">
      <c r="A2995" s="500" t="s">
        <v>1122</v>
      </c>
      <c r="B2995" s="501" t="s">
        <v>2994</v>
      </c>
      <c r="C2995" s="501" t="s">
        <v>1094</v>
      </c>
      <c r="D2995" s="501" t="s">
        <v>3380</v>
      </c>
      <c r="E2995" s="501" t="s">
        <v>3381</v>
      </c>
      <c r="F2995" s="501" t="s">
        <v>601</v>
      </c>
      <c r="G2995" s="501" t="s">
        <v>602</v>
      </c>
      <c r="H2995" s="501" t="s">
        <v>5743</v>
      </c>
      <c r="I2995" s="501">
        <v>42</v>
      </c>
      <c r="J2995" s="501">
        <v>2</v>
      </c>
      <c r="K2995" s="501">
        <v>0</v>
      </c>
      <c r="L2995" s="501">
        <v>0</v>
      </c>
      <c r="M2995" s="501">
        <v>40</v>
      </c>
      <c r="N2995" s="501">
        <v>0</v>
      </c>
      <c r="O2995" s="506">
        <v>0</v>
      </c>
    </row>
    <row r="2996" spans="1:15" x14ac:dyDescent="0.35">
      <c r="A2996" s="503" t="s">
        <v>1339</v>
      </c>
      <c r="B2996" s="504" t="s">
        <v>3358</v>
      </c>
      <c r="C2996" s="504" t="s">
        <v>1094</v>
      </c>
      <c r="D2996" s="504" t="s">
        <v>3380</v>
      </c>
      <c r="E2996" s="504" t="s">
        <v>3381</v>
      </c>
      <c r="F2996" s="504" t="s">
        <v>601</v>
      </c>
      <c r="G2996" s="504" t="s">
        <v>602</v>
      </c>
      <c r="H2996" s="504" t="s">
        <v>5744</v>
      </c>
      <c r="I2996" s="504">
        <v>1</v>
      </c>
      <c r="J2996" s="504">
        <v>0</v>
      </c>
      <c r="K2996" s="504">
        <v>0</v>
      </c>
      <c r="L2996" s="504">
        <v>0</v>
      </c>
      <c r="M2996" s="504">
        <v>0</v>
      </c>
      <c r="N2996" s="504">
        <v>0</v>
      </c>
      <c r="O2996" s="505">
        <v>1</v>
      </c>
    </row>
    <row r="2997" spans="1:15" x14ac:dyDescent="0.35">
      <c r="A2997" s="500" t="s">
        <v>1126</v>
      </c>
      <c r="B2997" s="501" t="s">
        <v>2974</v>
      </c>
      <c r="C2997" s="501" t="s">
        <v>1094</v>
      </c>
      <c r="D2997" s="501" t="s">
        <v>3380</v>
      </c>
      <c r="E2997" s="501" t="s">
        <v>3381</v>
      </c>
      <c r="F2997" s="501" t="s">
        <v>601</v>
      </c>
      <c r="G2997" s="501" t="s">
        <v>602</v>
      </c>
      <c r="H2997" s="501" t="s">
        <v>5745</v>
      </c>
      <c r="I2997" s="501">
        <v>190</v>
      </c>
      <c r="J2997" s="501">
        <v>190</v>
      </c>
      <c r="K2997" s="501">
        <v>0</v>
      </c>
      <c r="L2997" s="501">
        <v>0</v>
      </c>
      <c r="M2997" s="501">
        <v>0</v>
      </c>
      <c r="N2997" s="501">
        <v>0</v>
      </c>
      <c r="O2997" s="506">
        <v>0</v>
      </c>
    </row>
    <row r="2998" spans="1:15" x14ac:dyDescent="0.35">
      <c r="A2998" s="503" t="s">
        <v>1346</v>
      </c>
      <c r="B2998" s="504" t="s">
        <v>3150</v>
      </c>
      <c r="C2998" s="504" t="s">
        <v>1094</v>
      </c>
      <c r="D2998" s="504" t="s">
        <v>3380</v>
      </c>
      <c r="E2998" s="504" t="s">
        <v>3381</v>
      </c>
      <c r="F2998" s="504" t="s">
        <v>601</v>
      </c>
      <c r="G2998" s="504" t="s">
        <v>602</v>
      </c>
      <c r="H2998" s="504" t="s">
        <v>5746</v>
      </c>
      <c r="I2998" s="504">
        <v>2</v>
      </c>
      <c r="J2998" s="504">
        <v>0</v>
      </c>
      <c r="K2998" s="504">
        <v>0</v>
      </c>
      <c r="L2998" s="504">
        <v>2</v>
      </c>
      <c r="M2998" s="504">
        <v>0</v>
      </c>
      <c r="N2998" s="504">
        <v>0</v>
      </c>
      <c r="O2998" s="505">
        <v>0</v>
      </c>
    </row>
    <row r="2999" spans="1:15" x14ac:dyDescent="0.35">
      <c r="A2999" s="500" t="s">
        <v>1355</v>
      </c>
      <c r="B2999" s="501" t="s">
        <v>2476</v>
      </c>
      <c r="C2999" s="501" t="s">
        <v>1089</v>
      </c>
      <c r="D2999" s="501" t="s">
        <v>3392</v>
      </c>
      <c r="E2999" s="501" t="s">
        <v>3381</v>
      </c>
      <c r="F2999" s="501" t="s">
        <v>601</v>
      </c>
      <c r="G2999" s="501" t="s">
        <v>602</v>
      </c>
      <c r="H2999" s="501" t="s">
        <v>5747</v>
      </c>
      <c r="I2999" s="501">
        <v>47</v>
      </c>
      <c r="J2999" s="501">
        <v>0</v>
      </c>
      <c r="K2999" s="501">
        <v>0</v>
      </c>
      <c r="L2999" s="501">
        <v>47</v>
      </c>
      <c r="M2999" s="501">
        <v>0</v>
      </c>
      <c r="N2999" s="501">
        <v>0</v>
      </c>
      <c r="O2999" s="506">
        <v>0</v>
      </c>
    </row>
    <row r="3000" spans="1:15" x14ac:dyDescent="0.35">
      <c r="A3000" s="503" t="s">
        <v>1364</v>
      </c>
      <c r="B3000" s="504" t="s">
        <v>3277</v>
      </c>
      <c r="C3000" s="504" t="s">
        <v>1089</v>
      </c>
      <c r="D3000" s="504" t="s">
        <v>3392</v>
      </c>
      <c r="E3000" s="504" t="s">
        <v>3381</v>
      </c>
      <c r="F3000" s="504" t="s">
        <v>601</v>
      </c>
      <c r="G3000" s="504" t="s">
        <v>602</v>
      </c>
      <c r="H3000" s="504" t="s">
        <v>5748</v>
      </c>
      <c r="I3000" s="504">
        <v>12</v>
      </c>
      <c r="J3000" s="504">
        <v>0</v>
      </c>
      <c r="K3000" s="504">
        <v>0</v>
      </c>
      <c r="L3000" s="504">
        <v>12</v>
      </c>
      <c r="M3000" s="504">
        <v>0</v>
      </c>
      <c r="N3000" s="504">
        <v>0</v>
      </c>
      <c r="O3000" s="505">
        <v>0</v>
      </c>
    </row>
    <row r="3001" spans="1:15" x14ac:dyDescent="0.35">
      <c r="A3001" s="500" t="s">
        <v>1253</v>
      </c>
      <c r="B3001" s="501" t="s">
        <v>3232</v>
      </c>
      <c r="C3001" s="501" t="s">
        <v>1094</v>
      </c>
      <c r="D3001" s="501" t="s">
        <v>3380</v>
      </c>
      <c r="E3001" s="501" t="s">
        <v>3381</v>
      </c>
      <c r="F3001" s="501" t="s">
        <v>601</v>
      </c>
      <c r="G3001" s="501" t="s">
        <v>602</v>
      </c>
      <c r="H3001" s="501" t="s">
        <v>5749</v>
      </c>
      <c r="I3001" s="501">
        <v>8</v>
      </c>
      <c r="J3001" s="501">
        <v>0</v>
      </c>
      <c r="K3001" s="501">
        <v>0</v>
      </c>
      <c r="L3001" s="501">
        <v>0</v>
      </c>
      <c r="M3001" s="501">
        <v>8</v>
      </c>
      <c r="N3001" s="501">
        <v>0</v>
      </c>
      <c r="O3001" s="506">
        <v>0</v>
      </c>
    </row>
    <row r="3002" spans="1:15" x14ac:dyDescent="0.35">
      <c r="A3002" s="503" t="s">
        <v>1386</v>
      </c>
      <c r="B3002" s="504" t="s">
        <v>3331</v>
      </c>
      <c r="C3002" s="504" t="s">
        <v>1094</v>
      </c>
      <c r="D3002" s="504" t="s">
        <v>3380</v>
      </c>
      <c r="E3002" s="504" t="s">
        <v>3381</v>
      </c>
      <c r="F3002" s="504" t="s">
        <v>603</v>
      </c>
      <c r="G3002" s="504" t="s">
        <v>604</v>
      </c>
      <c r="H3002" s="504" t="s">
        <v>5750</v>
      </c>
      <c r="I3002" s="504">
        <v>32</v>
      </c>
      <c r="J3002" s="504">
        <v>31</v>
      </c>
      <c r="K3002" s="504">
        <v>0</v>
      </c>
      <c r="L3002" s="504">
        <v>0</v>
      </c>
      <c r="M3002" s="504">
        <v>0</v>
      </c>
      <c r="N3002" s="504">
        <v>0</v>
      </c>
      <c r="O3002" s="505">
        <v>1</v>
      </c>
    </row>
    <row r="3003" spans="1:15" x14ac:dyDescent="0.35">
      <c r="A3003" s="500" t="s">
        <v>1387</v>
      </c>
      <c r="B3003" s="501" t="s">
        <v>2861</v>
      </c>
      <c r="C3003" s="501" t="s">
        <v>1089</v>
      </c>
      <c r="D3003" s="501" t="s">
        <v>3392</v>
      </c>
      <c r="E3003" s="501" t="s">
        <v>3381</v>
      </c>
      <c r="F3003" s="501" t="s">
        <v>603</v>
      </c>
      <c r="G3003" s="501" t="s">
        <v>604</v>
      </c>
      <c r="H3003" s="501" t="s">
        <v>5751</v>
      </c>
      <c r="I3003" s="501">
        <v>34</v>
      </c>
      <c r="J3003" s="501">
        <v>0</v>
      </c>
      <c r="K3003" s="501">
        <v>0</v>
      </c>
      <c r="L3003" s="501">
        <v>0</v>
      </c>
      <c r="M3003" s="501">
        <v>34</v>
      </c>
      <c r="N3003" s="501">
        <v>0</v>
      </c>
      <c r="O3003" s="506">
        <v>0</v>
      </c>
    </row>
    <row r="3004" spans="1:15" x14ac:dyDescent="0.35">
      <c r="A3004" s="503" t="s">
        <v>1093</v>
      </c>
      <c r="B3004" s="504" t="s">
        <v>3248</v>
      </c>
      <c r="C3004" s="504" t="s">
        <v>1094</v>
      </c>
      <c r="D3004" s="504" t="s">
        <v>3380</v>
      </c>
      <c r="E3004" s="504" t="s">
        <v>3381</v>
      </c>
      <c r="F3004" s="504" t="s">
        <v>603</v>
      </c>
      <c r="G3004" s="504" t="s">
        <v>604</v>
      </c>
      <c r="H3004" s="504" t="s">
        <v>5752</v>
      </c>
      <c r="I3004" s="504">
        <v>3</v>
      </c>
      <c r="J3004" s="504">
        <v>0</v>
      </c>
      <c r="K3004" s="504">
        <v>0</v>
      </c>
      <c r="L3004" s="504">
        <v>3</v>
      </c>
      <c r="M3004" s="504">
        <v>0</v>
      </c>
      <c r="N3004" s="504">
        <v>0</v>
      </c>
      <c r="O3004" s="505">
        <v>0</v>
      </c>
    </row>
    <row r="3005" spans="1:15" x14ac:dyDescent="0.35">
      <c r="A3005" s="500" t="s">
        <v>11363</v>
      </c>
      <c r="B3005" s="501">
        <v>4718</v>
      </c>
      <c r="C3005" s="501" t="s">
        <v>1094</v>
      </c>
      <c r="D3005" s="501" t="s">
        <v>3380</v>
      </c>
      <c r="E3005" s="501" t="s">
        <v>3381</v>
      </c>
      <c r="F3005" s="501" t="s">
        <v>603</v>
      </c>
      <c r="G3005" s="501" t="s">
        <v>604</v>
      </c>
      <c r="H3005" s="501" t="s">
        <v>11543</v>
      </c>
      <c r="I3005" s="501">
        <v>9</v>
      </c>
      <c r="J3005" s="501">
        <v>0</v>
      </c>
      <c r="K3005" s="501">
        <v>0</v>
      </c>
      <c r="L3005" s="501">
        <v>9</v>
      </c>
      <c r="M3005" s="501">
        <v>0</v>
      </c>
      <c r="N3005" s="501">
        <v>0</v>
      </c>
      <c r="O3005" s="506">
        <v>0</v>
      </c>
    </row>
    <row r="3006" spans="1:15" x14ac:dyDescent="0.35">
      <c r="A3006" s="503" t="s">
        <v>1100</v>
      </c>
      <c r="B3006" s="504">
        <v>4865</v>
      </c>
      <c r="C3006" s="504" t="s">
        <v>1094</v>
      </c>
      <c r="D3006" s="504" t="s">
        <v>3380</v>
      </c>
      <c r="E3006" s="504" t="s">
        <v>3381</v>
      </c>
      <c r="F3006" s="504" t="s">
        <v>603</v>
      </c>
      <c r="G3006" s="504" t="s">
        <v>604</v>
      </c>
      <c r="H3006" s="504" t="s">
        <v>5753</v>
      </c>
      <c r="I3006" s="504">
        <v>54</v>
      </c>
      <c r="J3006" s="504">
        <v>36</v>
      </c>
      <c r="K3006" s="504">
        <v>0</v>
      </c>
      <c r="L3006" s="504">
        <v>0</v>
      </c>
      <c r="M3006" s="504">
        <v>0</v>
      </c>
      <c r="N3006" s="504">
        <v>0</v>
      </c>
      <c r="O3006" s="505">
        <v>18</v>
      </c>
    </row>
    <row r="3007" spans="1:15" x14ac:dyDescent="0.35">
      <c r="A3007" s="500" t="s">
        <v>1831</v>
      </c>
      <c r="B3007" s="501" t="s">
        <v>2955</v>
      </c>
      <c r="C3007" s="501" t="s">
        <v>1089</v>
      </c>
      <c r="D3007" s="501" t="s">
        <v>3392</v>
      </c>
      <c r="E3007" s="501" t="s">
        <v>3381</v>
      </c>
      <c r="F3007" s="501" t="s">
        <v>603</v>
      </c>
      <c r="G3007" s="501" t="s">
        <v>604</v>
      </c>
      <c r="H3007" s="501" t="s">
        <v>5754</v>
      </c>
      <c r="I3007" s="501">
        <v>91</v>
      </c>
      <c r="J3007" s="501">
        <v>0</v>
      </c>
      <c r="K3007" s="501">
        <v>0</v>
      </c>
      <c r="L3007" s="501">
        <v>0</v>
      </c>
      <c r="M3007" s="501">
        <v>91</v>
      </c>
      <c r="N3007" s="501">
        <v>0</v>
      </c>
      <c r="O3007" s="506">
        <v>0</v>
      </c>
    </row>
    <row r="3008" spans="1:15" x14ac:dyDescent="0.35">
      <c r="A3008" s="503" t="s">
        <v>1188</v>
      </c>
      <c r="B3008" s="504">
        <v>4760</v>
      </c>
      <c r="C3008" s="504" t="s">
        <v>1089</v>
      </c>
      <c r="D3008" s="504" t="s">
        <v>3392</v>
      </c>
      <c r="E3008" s="504" t="s">
        <v>3381</v>
      </c>
      <c r="F3008" s="504" t="s">
        <v>603</v>
      </c>
      <c r="G3008" s="504" t="s">
        <v>604</v>
      </c>
      <c r="H3008" s="504" t="s">
        <v>5755</v>
      </c>
      <c r="I3008" s="504">
        <v>5</v>
      </c>
      <c r="J3008" s="504">
        <v>0</v>
      </c>
      <c r="K3008" s="504">
        <v>0</v>
      </c>
      <c r="L3008" s="504">
        <v>5</v>
      </c>
      <c r="M3008" s="504">
        <v>0</v>
      </c>
      <c r="N3008" s="504">
        <v>0</v>
      </c>
      <c r="O3008" s="505">
        <v>0</v>
      </c>
    </row>
    <row r="3009" spans="1:15" x14ac:dyDescent="0.35">
      <c r="A3009" s="500" t="s">
        <v>1107</v>
      </c>
      <c r="B3009" s="501" t="s">
        <v>3109</v>
      </c>
      <c r="C3009" s="501" t="s">
        <v>1094</v>
      </c>
      <c r="D3009" s="501" t="s">
        <v>3380</v>
      </c>
      <c r="E3009" s="501" t="s">
        <v>3381</v>
      </c>
      <c r="F3009" s="501" t="s">
        <v>603</v>
      </c>
      <c r="G3009" s="501" t="s">
        <v>604</v>
      </c>
      <c r="H3009" s="501" t="s">
        <v>5756</v>
      </c>
      <c r="I3009" s="501">
        <v>3</v>
      </c>
      <c r="J3009" s="501">
        <v>0</v>
      </c>
      <c r="K3009" s="501">
        <v>0</v>
      </c>
      <c r="L3009" s="501">
        <v>0</v>
      </c>
      <c r="M3009" s="501">
        <v>0</v>
      </c>
      <c r="N3009" s="501">
        <v>0</v>
      </c>
      <c r="O3009" s="506">
        <v>3</v>
      </c>
    </row>
    <row r="3010" spans="1:15" x14ac:dyDescent="0.35">
      <c r="A3010" s="503" t="s">
        <v>1190</v>
      </c>
      <c r="B3010" s="504">
        <v>4662</v>
      </c>
      <c r="C3010" s="504" t="s">
        <v>1094</v>
      </c>
      <c r="D3010" s="504" t="s">
        <v>3380</v>
      </c>
      <c r="E3010" s="504" t="s">
        <v>3381</v>
      </c>
      <c r="F3010" s="504" t="s">
        <v>603</v>
      </c>
      <c r="G3010" s="504" t="s">
        <v>604</v>
      </c>
      <c r="H3010" s="504" t="s">
        <v>5757</v>
      </c>
      <c r="I3010" s="504">
        <v>5</v>
      </c>
      <c r="J3010" s="504">
        <v>0</v>
      </c>
      <c r="K3010" s="504">
        <v>0</v>
      </c>
      <c r="L3010" s="504">
        <v>5</v>
      </c>
      <c r="M3010" s="504">
        <v>0</v>
      </c>
      <c r="N3010" s="504">
        <v>0</v>
      </c>
      <c r="O3010" s="505">
        <v>0</v>
      </c>
    </row>
    <row r="3011" spans="1:15" x14ac:dyDescent="0.35">
      <c r="A3011" s="500" t="s">
        <v>1202</v>
      </c>
      <c r="B3011" s="501" t="s">
        <v>3217</v>
      </c>
      <c r="C3011" s="501" t="s">
        <v>1094</v>
      </c>
      <c r="D3011" s="501" t="s">
        <v>3380</v>
      </c>
      <c r="E3011" s="501" t="s">
        <v>3381</v>
      </c>
      <c r="F3011" s="501" t="s">
        <v>603</v>
      </c>
      <c r="G3011" s="501" t="s">
        <v>604</v>
      </c>
      <c r="H3011" s="501" t="s">
        <v>5758</v>
      </c>
      <c r="I3011" s="501">
        <v>124</v>
      </c>
      <c r="J3011" s="501">
        <v>78</v>
      </c>
      <c r="K3011" s="501">
        <v>0</v>
      </c>
      <c r="L3011" s="501">
        <v>0</v>
      </c>
      <c r="M3011" s="501">
        <v>0</v>
      </c>
      <c r="N3011" s="501">
        <v>0</v>
      </c>
      <c r="O3011" s="506">
        <v>46</v>
      </c>
    </row>
    <row r="3012" spans="1:15" x14ac:dyDescent="0.35">
      <c r="A3012" s="503" t="s">
        <v>1862</v>
      </c>
      <c r="B3012" s="504">
        <v>4777</v>
      </c>
      <c r="C3012" s="504" t="s">
        <v>1089</v>
      </c>
      <c r="D3012" s="504" t="s">
        <v>3392</v>
      </c>
      <c r="E3012" s="504" t="s">
        <v>3381</v>
      </c>
      <c r="F3012" s="504" t="s">
        <v>603</v>
      </c>
      <c r="G3012" s="504" t="s">
        <v>604</v>
      </c>
      <c r="H3012" s="504" t="s">
        <v>14683</v>
      </c>
      <c r="I3012" s="504">
        <v>2</v>
      </c>
      <c r="J3012" s="504">
        <v>2</v>
      </c>
      <c r="K3012" s="504">
        <v>0</v>
      </c>
      <c r="L3012" s="504">
        <v>0</v>
      </c>
      <c r="M3012" s="504">
        <v>0</v>
      </c>
      <c r="N3012" s="504">
        <v>0</v>
      </c>
      <c r="O3012" s="505">
        <v>0</v>
      </c>
    </row>
    <row r="3013" spans="1:15" x14ac:dyDescent="0.35">
      <c r="A3013" s="500" t="s">
        <v>1112</v>
      </c>
      <c r="B3013" s="501" t="s">
        <v>3008</v>
      </c>
      <c r="C3013" s="501" t="s">
        <v>1094</v>
      </c>
      <c r="D3013" s="501" t="s">
        <v>3380</v>
      </c>
      <c r="E3013" s="501" t="s">
        <v>3381</v>
      </c>
      <c r="F3013" s="501" t="s">
        <v>603</v>
      </c>
      <c r="G3013" s="501" t="s">
        <v>604</v>
      </c>
      <c r="H3013" s="501" t="s">
        <v>5759</v>
      </c>
      <c r="I3013" s="501">
        <v>83</v>
      </c>
      <c r="J3013" s="501">
        <v>21</v>
      </c>
      <c r="K3013" s="501">
        <v>0</v>
      </c>
      <c r="L3013" s="501">
        <v>0</v>
      </c>
      <c r="M3013" s="501">
        <v>0</v>
      </c>
      <c r="N3013" s="501">
        <v>0</v>
      </c>
      <c r="O3013" s="506">
        <v>62</v>
      </c>
    </row>
    <row r="3014" spans="1:15" x14ac:dyDescent="0.35">
      <c r="A3014" s="503" t="s">
        <v>1501</v>
      </c>
      <c r="B3014" s="504" t="s">
        <v>2956</v>
      </c>
      <c r="C3014" s="504" t="s">
        <v>1094</v>
      </c>
      <c r="D3014" s="504" t="s">
        <v>3380</v>
      </c>
      <c r="E3014" s="504" t="s">
        <v>3381</v>
      </c>
      <c r="F3014" s="504" t="s">
        <v>603</v>
      </c>
      <c r="G3014" s="504" t="s">
        <v>604</v>
      </c>
      <c r="H3014" s="504" t="s">
        <v>5760</v>
      </c>
      <c r="I3014" s="504">
        <v>204</v>
      </c>
      <c r="J3014" s="504">
        <v>62</v>
      </c>
      <c r="K3014" s="504">
        <v>0</v>
      </c>
      <c r="L3014" s="504">
        <v>10</v>
      </c>
      <c r="M3014" s="504">
        <v>106</v>
      </c>
      <c r="N3014" s="504">
        <v>0</v>
      </c>
      <c r="O3014" s="505">
        <v>26</v>
      </c>
    </row>
    <row r="3015" spans="1:15" x14ac:dyDescent="0.35">
      <c r="A3015" s="500" t="s">
        <v>1120</v>
      </c>
      <c r="B3015" s="501" t="s">
        <v>3362</v>
      </c>
      <c r="C3015" s="501" t="s">
        <v>1094</v>
      </c>
      <c r="D3015" s="501" t="s">
        <v>3380</v>
      </c>
      <c r="E3015" s="501" t="s">
        <v>3381</v>
      </c>
      <c r="F3015" s="501" t="s">
        <v>603</v>
      </c>
      <c r="G3015" s="501" t="s">
        <v>604</v>
      </c>
      <c r="H3015" s="501" t="s">
        <v>5761</v>
      </c>
      <c r="I3015" s="501">
        <v>1</v>
      </c>
      <c r="J3015" s="501">
        <v>0</v>
      </c>
      <c r="K3015" s="501">
        <v>0</v>
      </c>
      <c r="L3015" s="501">
        <v>0</v>
      </c>
      <c r="M3015" s="501">
        <v>0</v>
      </c>
      <c r="N3015" s="501">
        <v>0</v>
      </c>
      <c r="O3015" s="506">
        <v>1</v>
      </c>
    </row>
    <row r="3016" spans="1:15" x14ac:dyDescent="0.35">
      <c r="A3016" s="503" t="s">
        <v>1218</v>
      </c>
      <c r="B3016" s="504" t="s">
        <v>3147</v>
      </c>
      <c r="C3016" s="504" t="s">
        <v>1094</v>
      </c>
      <c r="D3016" s="504" t="s">
        <v>3380</v>
      </c>
      <c r="E3016" s="504" t="s">
        <v>3381</v>
      </c>
      <c r="F3016" s="504" t="s">
        <v>603</v>
      </c>
      <c r="G3016" s="504" t="s">
        <v>604</v>
      </c>
      <c r="H3016" s="504" t="s">
        <v>5762</v>
      </c>
      <c r="I3016" s="504">
        <v>52</v>
      </c>
      <c r="J3016" s="504">
        <v>0</v>
      </c>
      <c r="K3016" s="504">
        <v>0</v>
      </c>
      <c r="L3016" s="504">
        <v>0</v>
      </c>
      <c r="M3016" s="504">
        <v>0</v>
      </c>
      <c r="N3016" s="504">
        <v>0</v>
      </c>
      <c r="O3016" s="505">
        <v>52</v>
      </c>
    </row>
    <row r="3017" spans="1:15" x14ac:dyDescent="0.35">
      <c r="A3017" s="500" t="s">
        <v>11367</v>
      </c>
      <c r="B3017" s="501" t="s">
        <v>3143</v>
      </c>
      <c r="C3017" s="501" t="s">
        <v>1094</v>
      </c>
      <c r="D3017" s="501" t="s">
        <v>3380</v>
      </c>
      <c r="E3017" s="501" t="s">
        <v>3381</v>
      </c>
      <c r="F3017" s="501" t="s">
        <v>603</v>
      </c>
      <c r="G3017" s="501" t="s">
        <v>604</v>
      </c>
      <c r="H3017" s="501" t="s">
        <v>11922</v>
      </c>
      <c r="I3017" s="501">
        <v>206</v>
      </c>
      <c r="J3017" s="501">
        <v>206</v>
      </c>
      <c r="K3017" s="501">
        <v>0</v>
      </c>
      <c r="L3017" s="501">
        <v>0</v>
      </c>
      <c r="M3017" s="501">
        <v>0</v>
      </c>
      <c r="N3017" s="501">
        <v>0</v>
      </c>
      <c r="O3017" s="506">
        <v>0</v>
      </c>
    </row>
    <row r="3018" spans="1:15" x14ac:dyDescent="0.35">
      <c r="A3018" s="503" t="s">
        <v>1220</v>
      </c>
      <c r="B3018" s="504">
        <v>4849</v>
      </c>
      <c r="C3018" s="504" t="s">
        <v>1094</v>
      </c>
      <c r="D3018" s="504" t="s">
        <v>3380</v>
      </c>
      <c r="E3018" s="504" t="s">
        <v>3381</v>
      </c>
      <c r="F3018" s="504" t="s">
        <v>603</v>
      </c>
      <c r="G3018" s="504" t="s">
        <v>604</v>
      </c>
      <c r="H3018" s="504" t="s">
        <v>5763</v>
      </c>
      <c r="I3018" s="504">
        <v>31</v>
      </c>
      <c r="J3018" s="504">
        <v>24</v>
      </c>
      <c r="K3018" s="504">
        <v>0</v>
      </c>
      <c r="L3018" s="504">
        <v>0</v>
      </c>
      <c r="M3018" s="504">
        <v>0</v>
      </c>
      <c r="N3018" s="504">
        <v>0</v>
      </c>
      <c r="O3018" s="505">
        <v>7</v>
      </c>
    </row>
    <row r="3019" spans="1:15" x14ac:dyDescent="0.35">
      <c r="A3019" s="500" t="s">
        <v>1536</v>
      </c>
      <c r="B3019" s="501" t="s">
        <v>3178</v>
      </c>
      <c r="C3019" s="501" t="s">
        <v>1094</v>
      </c>
      <c r="D3019" s="501" t="s">
        <v>3380</v>
      </c>
      <c r="E3019" s="501" t="s">
        <v>3381</v>
      </c>
      <c r="F3019" s="501" t="s">
        <v>603</v>
      </c>
      <c r="G3019" s="501" t="s">
        <v>604</v>
      </c>
      <c r="H3019" s="501" t="s">
        <v>5764</v>
      </c>
      <c r="I3019" s="501">
        <v>46</v>
      </c>
      <c r="J3019" s="501">
        <v>46</v>
      </c>
      <c r="K3019" s="501">
        <v>0</v>
      </c>
      <c r="L3019" s="501">
        <v>0</v>
      </c>
      <c r="M3019" s="501">
        <v>0</v>
      </c>
      <c r="N3019" s="501">
        <v>0</v>
      </c>
      <c r="O3019" s="506">
        <v>0</v>
      </c>
    </row>
    <row r="3020" spans="1:15" x14ac:dyDescent="0.35">
      <c r="A3020" s="503" t="s">
        <v>1887</v>
      </c>
      <c r="B3020" s="504" t="s">
        <v>3320</v>
      </c>
      <c r="C3020" s="504" t="s">
        <v>1094</v>
      </c>
      <c r="D3020" s="504" t="s">
        <v>3380</v>
      </c>
      <c r="E3020" s="504" t="s">
        <v>3381</v>
      </c>
      <c r="F3020" s="504" t="s">
        <v>603</v>
      </c>
      <c r="G3020" s="504" t="s">
        <v>604</v>
      </c>
      <c r="H3020" s="504" t="s">
        <v>5765</v>
      </c>
      <c r="I3020" s="504">
        <v>2052</v>
      </c>
      <c r="J3020" s="504">
        <v>1731</v>
      </c>
      <c r="K3020" s="504">
        <v>0</v>
      </c>
      <c r="L3020" s="504">
        <v>6</v>
      </c>
      <c r="M3020" s="504">
        <v>185</v>
      </c>
      <c r="N3020" s="504">
        <v>0</v>
      </c>
      <c r="O3020" s="505">
        <v>130</v>
      </c>
    </row>
    <row r="3021" spans="1:15" x14ac:dyDescent="0.35">
      <c r="A3021" s="500" t="s">
        <v>1235</v>
      </c>
      <c r="B3021" s="501">
        <v>4684</v>
      </c>
      <c r="C3021" s="501" t="s">
        <v>1094</v>
      </c>
      <c r="D3021" s="501" t="s">
        <v>3380</v>
      </c>
      <c r="E3021" s="501" t="s">
        <v>3381</v>
      </c>
      <c r="F3021" s="501" t="s">
        <v>603</v>
      </c>
      <c r="G3021" s="501" t="s">
        <v>604</v>
      </c>
      <c r="H3021" s="501" t="s">
        <v>5766</v>
      </c>
      <c r="I3021" s="501">
        <v>21</v>
      </c>
      <c r="J3021" s="501">
        <v>0</v>
      </c>
      <c r="K3021" s="501">
        <v>0</v>
      </c>
      <c r="L3021" s="501">
        <v>21</v>
      </c>
      <c r="M3021" s="501">
        <v>0</v>
      </c>
      <c r="N3021" s="501">
        <v>0</v>
      </c>
      <c r="O3021" s="506">
        <v>0</v>
      </c>
    </row>
    <row r="3022" spans="1:15" x14ac:dyDescent="0.35">
      <c r="A3022" s="503" t="s">
        <v>1342</v>
      </c>
      <c r="B3022" s="504" t="s">
        <v>3237</v>
      </c>
      <c r="C3022" s="504" t="s">
        <v>1094</v>
      </c>
      <c r="D3022" s="504" t="s">
        <v>3380</v>
      </c>
      <c r="E3022" s="504" t="s">
        <v>3381</v>
      </c>
      <c r="F3022" s="504" t="s">
        <v>603</v>
      </c>
      <c r="G3022" s="504" t="s">
        <v>604</v>
      </c>
      <c r="H3022" s="504" t="s">
        <v>5767</v>
      </c>
      <c r="I3022" s="504">
        <v>1</v>
      </c>
      <c r="J3022" s="504">
        <v>0</v>
      </c>
      <c r="K3022" s="504">
        <v>0</v>
      </c>
      <c r="L3022" s="504">
        <v>0</v>
      </c>
      <c r="M3022" s="504">
        <v>0</v>
      </c>
      <c r="N3022" s="504">
        <v>0</v>
      </c>
      <c r="O3022" s="505">
        <v>1</v>
      </c>
    </row>
    <row r="3023" spans="1:15" x14ac:dyDescent="0.35">
      <c r="A3023" s="500" t="s">
        <v>11393</v>
      </c>
      <c r="B3023" s="501" t="s">
        <v>3227</v>
      </c>
      <c r="C3023" s="501" t="s">
        <v>1089</v>
      </c>
      <c r="D3023" s="501" t="s">
        <v>3392</v>
      </c>
      <c r="E3023" s="501" t="s">
        <v>3381</v>
      </c>
      <c r="F3023" s="501" t="s">
        <v>603</v>
      </c>
      <c r="G3023" s="501" t="s">
        <v>604</v>
      </c>
      <c r="H3023" s="501" t="s">
        <v>14684</v>
      </c>
      <c r="I3023" s="501">
        <v>1</v>
      </c>
      <c r="J3023" s="501">
        <v>1</v>
      </c>
      <c r="K3023" s="501">
        <v>0</v>
      </c>
      <c r="L3023" s="501">
        <v>0</v>
      </c>
      <c r="M3023" s="501">
        <v>0</v>
      </c>
      <c r="N3023" s="501">
        <v>0</v>
      </c>
      <c r="O3023" s="506">
        <v>0</v>
      </c>
    </row>
    <row r="3024" spans="1:15" x14ac:dyDescent="0.35">
      <c r="A3024" s="503" t="s">
        <v>1920</v>
      </c>
      <c r="B3024" s="504" t="s">
        <v>2919</v>
      </c>
      <c r="C3024" s="504" t="s">
        <v>1089</v>
      </c>
      <c r="D3024" s="504" t="s">
        <v>3392</v>
      </c>
      <c r="E3024" s="504" t="s">
        <v>3381</v>
      </c>
      <c r="F3024" s="504" t="s">
        <v>603</v>
      </c>
      <c r="G3024" s="504" t="s">
        <v>604</v>
      </c>
      <c r="H3024" s="504" t="s">
        <v>5768</v>
      </c>
      <c r="I3024" s="504">
        <v>4</v>
      </c>
      <c r="J3024" s="504">
        <v>0</v>
      </c>
      <c r="K3024" s="504">
        <v>0</v>
      </c>
      <c r="L3024" s="504">
        <v>4</v>
      </c>
      <c r="M3024" s="504">
        <v>0</v>
      </c>
      <c r="N3024" s="504">
        <v>0</v>
      </c>
      <c r="O3024" s="505">
        <v>0</v>
      </c>
    </row>
    <row r="3025" spans="1:15" x14ac:dyDescent="0.35">
      <c r="A3025" s="500" t="s">
        <v>1253</v>
      </c>
      <c r="B3025" s="501" t="s">
        <v>3232</v>
      </c>
      <c r="C3025" s="501" t="s">
        <v>1094</v>
      </c>
      <c r="D3025" s="501" t="s">
        <v>3380</v>
      </c>
      <c r="E3025" s="501" t="s">
        <v>3381</v>
      </c>
      <c r="F3025" s="501" t="s">
        <v>603</v>
      </c>
      <c r="G3025" s="501" t="s">
        <v>604</v>
      </c>
      <c r="H3025" s="501" t="s">
        <v>5769</v>
      </c>
      <c r="I3025" s="501">
        <v>3</v>
      </c>
      <c r="J3025" s="501">
        <v>0</v>
      </c>
      <c r="K3025" s="501">
        <v>0</v>
      </c>
      <c r="L3025" s="501">
        <v>3</v>
      </c>
      <c r="M3025" s="501">
        <v>0</v>
      </c>
      <c r="N3025" s="501">
        <v>0</v>
      </c>
      <c r="O3025" s="506">
        <v>0</v>
      </c>
    </row>
    <row r="3026" spans="1:15" x14ac:dyDescent="0.35">
      <c r="A3026" s="503" t="s">
        <v>1581</v>
      </c>
      <c r="B3026" s="504" t="s">
        <v>2888</v>
      </c>
      <c r="C3026" s="504" t="s">
        <v>1089</v>
      </c>
      <c r="D3026" s="504" t="s">
        <v>3392</v>
      </c>
      <c r="E3026" s="504" t="s">
        <v>3381</v>
      </c>
      <c r="F3026" s="504" t="s">
        <v>603</v>
      </c>
      <c r="G3026" s="504" t="s">
        <v>604</v>
      </c>
      <c r="H3026" s="504" t="s">
        <v>5770</v>
      </c>
      <c r="I3026" s="504">
        <v>63</v>
      </c>
      <c r="J3026" s="504">
        <v>0</v>
      </c>
      <c r="K3026" s="504">
        <v>0</v>
      </c>
      <c r="L3026" s="504">
        <v>63</v>
      </c>
      <c r="M3026" s="504">
        <v>0</v>
      </c>
      <c r="N3026" s="504">
        <v>0</v>
      </c>
      <c r="O3026" s="505">
        <v>0</v>
      </c>
    </row>
    <row r="3027" spans="1:15" x14ac:dyDescent="0.35">
      <c r="A3027" s="500" t="s">
        <v>1587</v>
      </c>
      <c r="B3027" s="501" t="s">
        <v>2978</v>
      </c>
      <c r="C3027" s="501" t="s">
        <v>1094</v>
      </c>
      <c r="D3027" s="501" t="s">
        <v>3380</v>
      </c>
      <c r="E3027" s="501" t="s">
        <v>3381</v>
      </c>
      <c r="F3027" s="501" t="s">
        <v>603</v>
      </c>
      <c r="G3027" s="501" t="s">
        <v>604</v>
      </c>
      <c r="H3027" s="501" t="s">
        <v>5771</v>
      </c>
      <c r="I3027" s="501">
        <v>1</v>
      </c>
      <c r="J3027" s="501">
        <v>0</v>
      </c>
      <c r="K3027" s="501">
        <v>0</v>
      </c>
      <c r="L3027" s="501">
        <v>0</v>
      </c>
      <c r="M3027" s="501">
        <v>0</v>
      </c>
      <c r="N3027" s="501">
        <v>0</v>
      </c>
      <c r="O3027" s="506">
        <v>1</v>
      </c>
    </row>
    <row r="3028" spans="1:15" x14ac:dyDescent="0.35">
      <c r="A3028" s="503" t="s">
        <v>1262</v>
      </c>
      <c r="B3028" s="504">
        <v>4772</v>
      </c>
      <c r="C3028" s="504" t="s">
        <v>1089</v>
      </c>
      <c r="D3028" s="504" t="s">
        <v>3392</v>
      </c>
      <c r="E3028" s="504" t="s">
        <v>3381</v>
      </c>
      <c r="F3028" s="504" t="s">
        <v>603</v>
      </c>
      <c r="G3028" s="504" t="s">
        <v>604</v>
      </c>
      <c r="H3028" s="504" t="s">
        <v>5772</v>
      </c>
      <c r="I3028" s="504">
        <v>10</v>
      </c>
      <c r="J3028" s="504">
        <v>0</v>
      </c>
      <c r="K3028" s="504">
        <v>0</v>
      </c>
      <c r="L3028" s="504">
        <v>10</v>
      </c>
      <c r="M3028" s="504">
        <v>0</v>
      </c>
      <c r="N3028" s="504">
        <v>0</v>
      </c>
      <c r="O3028" s="505">
        <v>0</v>
      </c>
    </row>
    <row r="3029" spans="1:15" x14ac:dyDescent="0.35">
      <c r="A3029" s="500" t="s">
        <v>11364</v>
      </c>
      <c r="B3029" s="501">
        <v>4677</v>
      </c>
      <c r="C3029" s="501" t="s">
        <v>1089</v>
      </c>
      <c r="D3029" s="501" t="s">
        <v>3392</v>
      </c>
      <c r="E3029" s="501" t="s">
        <v>3381</v>
      </c>
      <c r="F3029" s="501" t="s">
        <v>605</v>
      </c>
      <c r="G3029" s="501" t="s">
        <v>606</v>
      </c>
      <c r="H3029" s="501" t="s">
        <v>11668</v>
      </c>
      <c r="I3029" s="501">
        <v>3</v>
      </c>
      <c r="J3029" s="501">
        <v>0</v>
      </c>
      <c r="K3029" s="501">
        <v>0</v>
      </c>
      <c r="L3029" s="501">
        <v>3</v>
      </c>
      <c r="M3029" s="501">
        <v>0</v>
      </c>
      <c r="N3029" s="501">
        <v>0</v>
      </c>
      <c r="O3029" s="506">
        <v>0</v>
      </c>
    </row>
    <row r="3030" spans="1:15" x14ac:dyDescent="0.35">
      <c r="A3030" s="503" t="s">
        <v>1171</v>
      </c>
      <c r="B3030" s="504" t="s">
        <v>3003</v>
      </c>
      <c r="C3030" s="504" t="s">
        <v>1094</v>
      </c>
      <c r="D3030" s="504" t="s">
        <v>3380</v>
      </c>
      <c r="E3030" s="504" t="s">
        <v>3381</v>
      </c>
      <c r="F3030" s="504" t="s">
        <v>605</v>
      </c>
      <c r="G3030" s="504" t="s">
        <v>606</v>
      </c>
      <c r="H3030" s="504" t="s">
        <v>5773</v>
      </c>
      <c r="I3030" s="504">
        <v>196</v>
      </c>
      <c r="J3030" s="504">
        <v>169</v>
      </c>
      <c r="K3030" s="504">
        <v>0</v>
      </c>
      <c r="L3030" s="504">
        <v>3</v>
      </c>
      <c r="M3030" s="504">
        <v>8</v>
      </c>
      <c r="N3030" s="504">
        <v>0</v>
      </c>
      <c r="O3030" s="505">
        <v>16</v>
      </c>
    </row>
    <row r="3031" spans="1:15" x14ac:dyDescent="0.35">
      <c r="A3031" s="500" t="s">
        <v>1173</v>
      </c>
      <c r="B3031" s="501">
        <v>4775</v>
      </c>
      <c r="C3031" s="501" t="s">
        <v>1094</v>
      </c>
      <c r="D3031" s="501" t="s">
        <v>3380</v>
      </c>
      <c r="E3031" s="501" t="s">
        <v>3381</v>
      </c>
      <c r="F3031" s="501" t="s">
        <v>605</v>
      </c>
      <c r="G3031" s="501" t="s">
        <v>606</v>
      </c>
      <c r="H3031" s="501" t="s">
        <v>5774</v>
      </c>
      <c r="I3031" s="501">
        <v>5270</v>
      </c>
      <c r="J3031" s="501">
        <v>3404</v>
      </c>
      <c r="K3031" s="501">
        <v>0</v>
      </c>
      <c r="L3031" s="501">
        <v>0</v>
      </c>
      <c r="M3031" s="501">
        <v>1790</v>
      </c>
      <c r="N3031" s="501">
        <v>0</v>
      </c>
      <c r="O3031" s="506">
        <v>76</v>
      </c>
    </row>
    <row r="3032" spans="1:15" x14ac:dyDescent="0.35">
      <c r="A3032" s="503" t="s">
        <v>1178</v>
      </c>
      <c r="B3032" s="504" t="s">
        <v>3334</v>
      </c>
      <c r="C3032" s="504" t="s">
        <v>1094</v>
      </c>
      <c r="D3032" s="504" t="s">
        <v>3380</v>
      </c>
      <c r="E3032" s="504" t="s">
        <v>3381</v>
      </c>
      <c r="F3032" s="504" t="s">
        <v>605</v>
      </c>
      <c r="G3032" s="504" t="s">
        <v>606</v>
      </c>
      <c r="H3032" s="504" t="s">
        <v>5775</v>
      </c>
      <c r="I3032" s="504">
        <v>18</v>
      </c>
      <c r="J3032" s="504">
        <v>0</v>
      </c>
      <c r="K3032" s="504">
        <v>0</v>
      </c>
      <c r="L3032" s="504">
        <v>18</v>
      </c>
      <c r="M3032" s="504">
        <v>0</v>
      </c>
      <c r="N3032" s="504">
        <v>0</v>
      </c>
      <c r="O3032" s="505">
        <v>0</v>
      </c>
    </row>
    <row r="3033" spans="1:15" x14ac:dyDescent="0.35">
      <c r="A3033" s="500" t="s">
        <v>1180</v>
      </c>
      <c r="B3033" s="501" t="s">
        <v>3184</v>
      </c>
      <c r="C3033" s="501" t="s">
        <v>1094</v>
      </c>
      <c r="D3033" s="501" t="s">
        <v>3380</v>
      </c>
      <c r="E3033" s="501" t="s">
        <v>3381</v>
      </c>
      <c r="F3033" s="501" t="s">
        <v>605</v>
      </c>
      <c r="G3033" s="501" t="s">
        <v>606</v>
      </c>
      <c r="H3033" s="501" t="s">
        <v>5776</v>
      </c>
      <c r="I3033" s="501">
        <v>169</v>
      </c>
      <c r="J3033" s="501">
        <v>142</v>
      </c>
      <c r="K3033" s="501">
        <v>0</v>
      </c>
      <c r="L3033" s="501">
        <v>5</v>
      </c>
      <c r="M3033" s="501">
        <v>0</v>
      </c>
      <c r="N3033" s="501">
        <v>0</v>
      </c>
      <c r="O3033" s="506">
        <v>22</v>
      </c>
    </row>
    <row r="3034" spans="1:15" x14ac:dyDescent="0.35">
      <c r="A3034" s="503" t="s">
        <v>1181</v>
      </c>
      <c r="B3034" s="504" t="s">
        <v>3211</v>
      </c>
      <c r="C3034" s="504" t="s">
        <v>1094</v>
      </c>
      <c r="D3034" s="504" t="s">
        <v>3380</v>
      </c>
      <c r="E3034" s="504" t="s">
        <v>3381</v>
      </c>
      <c r="F3034" s="504" t="s">
        <v>605</v>
      </c>
      <c r="G3034" s="504" t="s">
        <v>606</v>
      </c>
      <c r="H3034" s="504" t="s">
        <v>5777</v>
      </c>
      <c r="I3034" s="504">
        <v>12</v>
      </c>
      <c r="J3034" s="504">
        <v>6</v>
      </c>
      <c r="K3034" s="504">
        <v>0</v>
      </c>
      <c r="L3034" s="504">
        <v>0</v>
      </c>
      <c r="M3034" s="504">
        <v>0</v>
      </c>
      <c r="N3034" s="504">
        <v>0</v>
      </c>
      <c r="O3034" s="505">
        <v>6</v>
      </c>
    </row>
    <row r="3035" spans="1:15" x14ac:dyDescent="0.35">
      <c r="A3035" s="500" t="s">
        <v>14208</v>
      </c>
      <c r="B3035" s="501">
        <v>4803</v>
      </c>
      <c r="C3035" s="501" t="s">
        <v>1094</v>
      </c>
      <c r="D3035" s="501" t="s">
        <v>3380</v>
      </c>
      <c r="E3035" s="501" t="s">
        <v>3381</v>
      </c>
      <c r="F3035" s="501" t="s">
        <v>605</v>
      </c>
      <c r="G3035" s="501" t="s">
        <v>606</v>
      </c>
      <c r="H3035" s="501" t="s">
        <v>14685</v>
      </c>
      <c r="I3035" s="501">
        <v>9</v>
      </c>
      <c r="J3035" s="501">
        <v>0</v>
      </c>
      <c r="K3035" s="501">
        <v>0</v>
      </c>
      <c r="L3035" s="501">
        <v>9</v>
      </c>
      <c r="M3035" s="501">
        <v>0</v>
      </c>
      <c r="N3035" s="501">
        <v>0</v>
      </c>
      <c r="O3035" s="506">
        <v>0</v>
      </c>
    </row>
    <row r="3036" spans="1:15" x14ac:dyDescent="0.35">
      <c r="A3036" s="503" t="s">
        <v>1109</v>
      </c>
      <c r="B3036" s="504" t="s">
        <v>2959</v>
      </c>
      <c r="C3036" s="504" t="s">
        <v>1094</v>
      </c>
      <c r="D3036" s="504" t="s">
        <v>3380</v>
      </c>
      <c r="E3036" s="504" t="s">
        <v>3381</v>
      </c>
      <c r="F3036" s="504" t="s">
        <v>605</v>
      </c>
      <c r="G3036" s="504" t="s">
        <v>606</v>
      </c>
      <c r="H3036" s="504" t="s">
        <v>14686</v>
      </c>
      <c r="I3036" s="504">
        <v>61</v>
      </c>
      <c r="J3036" s="504">
        <v>0</v>
      </c>
      <c r="K3036" s="504">
        <v>0</v>
      </c>
      <c r="L3036" s="504">
        <v>0</v>
      </c>
      <c r="M3036" s="504">
        <v>40</v>
      </c>
      <c r="N3036" s="504">
        <v>0</v>
      </c>
      <c r="O3036" s="505">
        <v>21</v>
      </c>
    </row>
    <row r="3037" spans="1:15" x14ac:dyDescent="0.35">
      <c r="A3037" s="500" t="s">
        <v>1203</v>
      </c>
      <c r="B3037" s="501" t="s">
        <v>3170</v>
      </c>
      <c r="C3037" s="501" t="s">
        <v>1094</v>
      </c>
      <c r="D3037" s="501" t="s">
        <v>3380</v>
      </c>
      <c r="E3037" s="501" t="s">
        <v>3381</v>
      </c>
      <c r="F3037" s="501" t="s">
        <v>605</v>
      </c>
      <c r="G3037" s="501" t="s">
        <v>606</v>
      </c>
      <c r="H3037" s="501" t="s">
        <v>5778</v>
      </c>
      <c r="I3037" s="501">
        <v>114</v>
      </c>
      <c r="J3037" s="501">
        <v>114</v>
      </c>
      <c r="K3037" s="501">
        <v>0</v>
      </c>
      <c r="L3037" s="501">
        <v>0</v>
      </c>
      <c r="M3037" s="501">
        <v>0</v>
      </c>
      <c r="N3037" s="501">
        <v>2</v>
      </c>
      <c r="O3037" s="506">
        <v>0</v>
      </c>
    </row>
    <row r="3038" spans="1:15" x14ac:dyDescent="0.35">
      <c r="A3038" s="503" t="s">
        <v>1112</v>
      </c>
      <c r="B3038" s="504" t="s">
        <v>3008</v>
      </c>
      <c r="C3038" s="504" t="s">
        <v>1094</v>
      </c>
      <c r="D3038" s="504" t="s">
        <v>3380</v>
      </c>
      <c r="E3038" s="504" t="s">
        <v>3381</v>
      </c>
      <c r="F3038" s="504" t="s">
        <v>605</v>
      </c>
      <c r="G3038" s="504" t="s">
        <v>606</v>
      </c>
      <c r="H3038" s="504" t="s">
        <v>5779</v>
      </c>
      <c r="I3038" s="504">
        <v>391</v>
      </c>
      <c r="J3038" s="504">
        <v>282</v>
      </c>
      <c r="K3038" s="504">
        <v>0</v>
      </c>
      <c r="L3038" s="504">
        <v>29</v>
      </c>
      <c r="M3038" s="504">
        <v>45</v>
      </c>
      <c r="N3038" s="504">
        <v>0</v>
      </c>
      <c r="O3038" s="505">
        <v>35</v>
      </c>
    </row>
    <row r="3039" spans="1:15" x14ac:dyDescent="0.35">
      <c r="A3039" s="500" t="s">
        <v>1207</v>
      </c>
      <c r="B3039" s="501" t="s">
        <v>3202</v>
      </c>
      <c r="C3039" s="501" t="s">
        <v>1094</v>
      </c>
      <c r="D3039" s="501" t="s">
        <v>3380</v>
      </c>
      <c r="E3039" s="501" t="s">
        <v>3381</v>
      </c>
      <c r="F3039" s="501" t="s">
        <v>605</v>
      </c>
      <c r="G3039" s="501" t="s">
        <v>606</v>
      </c>
      <c r="H3039" s="501" t="s">
        <v>5780</v>
      </c>
      <c r="I3039" s="501">
        <v>2</v>
      </c>
      <c r="J3039" s="501">
        <v>0</v>
      </c>
      <c r="K3039" s="501">
        <v>0</v>
      </c>
      <c r="L3039" s="501">
        <v>0</v>
      </c>
      <c r="M3039" s="501">
        <v>0</v>
      </c>
      <c r="N3039" s="501">
        <v>0</v>
      </c>
      <c r="O3039" s="506">
        <v>2</v>
      </c>
    </row>
    <row r="3040" spans="1:15" x14ac:dyDescent="0.35">
      <c r="A3040" s="503" t="s">
        <v>1215</v>
      </c>
      <c r="B3040" s="504">
        <v>4817</v>
      </c>
      <c r="C3040" s="504" t="s">
        <v>1094</v>
      </c>
      <c r="D3040" s="504" t="s">
        <v>3380</v>
      </c>
      <c r="E3040" s="504" t="s">
        <v>3381</v>
      </c>
      <c r="F3040" s="504" t="s">
        <v>605</v>
      </c>
      <c r="G3040" s="504" t="s">
        <v>606</v>
      </c>
      <c r="H3040" s="504" t="s">
        <v>5781</v>
      </c>
      <c r="I3040" s="504">
        <v>79</v>
      </c>
      <c r="J3040" s="504">
        <v>79</v>
      </c>
      <c r="K3040" s="504">
        <v>0</v>
      </c>
      <c r="L3040" s="504">
        <v>0</v>
      </c>
      <c r="M3040" s="504">
        <v>0</v>
      </c>
      <c r="N3040" s="504">
        <v>0</v>
      </c>
      <c r="O3040" s="505">
        <v>0</v>
      </c>
    </row>
    <row r="3041" spans="1:15" x14ac:dyDescent="0.35">
      <c r="A3041" s="500" t="s">
        <v>1219</v>
      </c>
      <c r="B3041" s="501">
        <v>4876</v>
      </c>
      <c r="C3041" s="501" t="s">
        <v>1089</v>
      </c>
      <c r="D3041" s="501" t="s">
        <v>3392</v>
      </c>
      <c r="E3041" s="501" t="s">
        <v>3381</v>
      </c>
      <c r="F3041" s="501" t="s">
        <v>605</v>
      </c>
      <c r="G3041" s="501" t="s">
        <v>606</v>
      </c>
      <c r="H3041" s="501" t="s">
        <v>5782</v>
      </c>
      <c r="I3041" s="501">
        <v>34</v>
      </c>
      <c r="J3041" s="501">
        <v>0</v>
      </c>
      <c r="K3041" s="501">
        <v>0</v>
      </c>
      <c r="L3041" s="501">
        <v>34</v>
      </c>
      <c r="M3041" s="501">
        <v>0</v>
      </c>
      <c r="N3041" s="501">
        <v>0</v>
      </c>
      <c r="O3041" s="506">
        <v>0</v>
      </c>
    </row>
    <row r="3042" spans="1:15" x14ac:dyDescent="0.35">
      <c r="A3042" s="503" t="s">
        <v>1122</v>
      </c>
      <c r="B3042" s="504" t="s">
        <v>2994</v>
      </c>
      <c r="C3042" s="504" t="s">
        <v>1094</v>
      </c>
      <c r="D3042" s="504" t="s">
        <v>3380</v>
      </c>
      <c r="E3042" s="504" t="s">
        <v>3381</v>
      </c>
      <c r="F3042" s="504" t="s">
        <v>605</v>
      </c>
      <c r="G3042" s="504" t="s">
        <v>606</v>
      </c>
      <c r="H3042" s="504" t="s">
        <v>5783</v>
      </c>
      <c r="I3042" s="504">
        <v>1</v>
      </c>
      <c r="J3042" s="504">
        <v>1</v>
      </c>
      <c r="K3042" s="504">
        <v>0</v>
      </c>
      <c r="L3042" s="504">
        <v>0</v>
      </c>
      <c r="M3042" s="504">
        <v>0</v>
      </c>
      <c r="N3042" s="504">
        <v>0</v>
      </c>
      <c r="O3042" s="505">
        <v>0</v>
      </c>
    </row>
    <row r="3043" spans="1:15" x14ac:dyDescent="0.35">
      <c r="A3043" s="500" t="s">
        <v>1226</v>
      </c>
      <c r="B3043" s="501">
        <v>5084</v>
      </c>
      <c r="C3043" s="501" t="s">
        <v>1094</v>
      </c>
      <c r="D3043" s="501" t="s">
        <v>3380</v>
      </c>
      <c r="E3043" s="501" t="s">
        <v>3381</v>
      </c>
      <c r="F3043" s="501" t="s">
        <v>605</v>
      </c>
      <c r="G3043" s="501" t="s">
        <v>606</v>
      </c>
      <c r="H3043" s="501" t="s">
        <v>5784</v>
      </c>
      <c r="I3043" s="501">
        <v>85</v>
      </c>
      <c r="J3043" s="501">
        <v>77</v>
      </c>
      <c r="K3043" s="501">
        <v>0</v>
      </c>
      <c r="L3043" s="501">
        <v>0</v>
      </c>
      <c r="M3043" s="501">
        <v>0</v>
      </c>
      <c r="N3043" s="501">
        <v>0</v>
      </c>
      <c r="O3043" s="506">
        <v>8</v>
      </c>
    </row>
    <row r="3044" spans="1:15" x14ac:dyDescent="0.35">
      <c r="A3044" s="503" t="s">
        <v>1234</v>
      </c>
      <c r="B3044" s="504" t="s">
        <v>3291</v>
      </c>
      <c r="C3044" s="504" t="s">
        <v>1094</v>
      </c>
      <c r="D3044" s="504" t="s">
        <v>3380</v>
      </c>
      <c r="E3044" s="504" t="s">
        <v>3381</v>
      </c>
      <c r="F3044" s="504" t="s">
        <v>605</v>
      </c>
      <c r="G3044" s="504" t="s">
        <v>606</v>
      </c>
      <c r="H3044" s="504" t="s">
        <v>5785</v>
      </c>
      <c r="I3044" s="504">
        <v>14</v>
      </c>
      <c r="J3044" s="504">
        <v>14</v>
      </c>
      <c r="K3044" s="504">
        <v>0</v>
      </c>
      <c r="L3044" s="504">
        <v>0</v>
      </c>
      <c r="M3044" s="504">
        <v>0</v>
      </c>
      <c r="N3044" s="504">
        <v>0</v>
      </c>
      <c r="O3044" s="505">
        <v>0</v>
      </c>
    </row>
    <row r="3045" spans="1:15" x14ac:dyDescent="0.35">
      <c r="A3045" s="500" t="s">
        <v>1249</v>
      </c>
      <c r="B3045" s="501">
        <v>4729</v>
      </c>
      <c r="C3045" s="501" t="s">
        <v>1094</v>
      </c>
      <c r="D3045" s="501" t="s">
        <v>3380</v>
      </c>
      <c r="E3045" s="501" t="s">
        <v>3381</v>
      </c>
      <c r="F3045" s="501" t="s">
        <v>605</v>
      </c>
      <c r="G3045" s="501" t="s">
        <v>606</v>
      </c>
      <c r="H3045" s="501" t="s">
        <v>5786</v>
      </c>
      <c r="I3045" s="501">
        <v>117</v>
      </c>
      <c r="J3045" s="501">
        <v>117</v>
      </c>
      <c r="K3045" s="501">
        <v>0</v>
      </c>
      <c r="L3045" s="501">
        <v>0</v>
      </c>
      <c r="M3045" s="501">
        <v>0</v>
      </c>
      <c r="N3045" s="501">
        <v>0</v>
      </c>
      <c r="O3045" s="506">
        <v>0</v>
      </c>
    </row>
    <row r="3046" spans="1:15" x14ac:dyDescent="0.35">
      <c r="A3046" s="503" t="s">
        <v>1253</v>
      </c>
      <c r="B3046" s="504" t="s">
        <v>3232</v>
      </c>
      <c r="C3046" s="504" t="s">
        <v>1094</v>
      </c>
      <c r="D3046" s="504" t="s">
        <v>3380</v>
      </c>
      <c r="E3046" s="504" t="s">
        <v>3381</v>
      </c>
      <c r="F3046" s="504" t="s">
        <v>605</v>
      </c>
      <c r="G3046" s="504" t="s">
        <v>606</v>
      </c>
      <c r="H3046" s="504" t="s">
        <v>5787</v>
      </c>
      <c r="I3046" s="504">
        <v>233</v>
      </c>
      <c r="J3046" s="504">
        <v>166</v>
      </c>
      <c r="K3046" s="504">
        <v>0</v>
      </c>
      <c r="L3046" s="504">
        <v>0</v>
      </c>
      <c r="M3046" s="504">
        <v>55</v>
      </c>
      <c r="N3046" s="504">
        <v>0</v>
      </c>
      <c r="O3046" s="505">
        <v>12</v>
      </c>
    </row>
    <row r="3047" spans="1:15" x14ac:dyDescent="0.35">
      <c r="A3047" s="500" t="s">
        <v>1259</v>
      </c>
      <c r="B3047" s="501" t="s">
        <v>3025</v>
      </c>
      <c r="C3047" s="501" t="s">
        <v>1094</v>
      </c>
      <c r="D3047" s="501" t="s">
        <v>3380</v>
      </c>
      <c r="E3047" s="501" t="s">
        <v>3381</v>
      </c>
      <c r="F3047" s="501" t="s">
        <v>605</v>
      </c>
      <c r="G3047" s="501" t="s">
        <v>606</v>
      </c>
      <c r="H3047" s="501" t="s">
        <v>5788</v>
      </c>
      <c r="I3047" s="501">
        <v>6</v>
      </c>
      <c r="J3047" s="501">
        <v>6</v>
      </c>
      <c r="K3047" s="501">
        <v>0</v>
      </c>
      <c r="L3047" s="501">
        <v>0</v>
      </c>
      <c r="M3047" s="501">
        <v>0</v>
      </c>
      <c r="N3047" s="501">
        <v>0</v>
      </c>
      <c r="O3047" s="506">
        <v>0</v>
      </c>
    </row>
    <row r="3048" spans="1:15" x14ac:dyDescent="0.35">
      <c r="A3048" s="503" t="s">
        <v>1261</v>
      </c>
      <c r="B3048" s="504" t="s">
        <v>3130</v>
      </c>
      <c r="C3048" s="504" t="s">
        <v>1094</v>
      </c>
      <c r="D3048" s="504" t="s">
        <v>3380</v>
      </c>
      <c r="E3048" s="504" t="s">
        <v>3381</v>
      </c>
      <c r="F3048" s="504" t="s">
        <v>605</v>
      </c>
      <c r="G3048" s="504" t="s">
        <v>606</v>
      </c>
      <c r="H3048" s="504" t="s">
        <v>5789</v>
      </c>
      <c r="I3048" s="504">
        <v>146</v>
      </c>
      <c r="J3048" s="504">
        <v>115</v>
      </c>
      <c r="K3048" s="504">
        <v>0</v>
      </c>
      <c r="L3048" s="504">
        <v>20</v>
      </c>
      <c r="M3048" s="504">
        <v>0</v>
      </c>
      <c r="N3048" s="504">
        <v>0</v>
      </c>
      <c r="O3048" s="505">
        <v>11</v>
      </c>
    </row>
    <row r="3049" spans="1:15" x14ac:dyDescent="0.35">
      <c r="A3049" s="500" t="s">
        <v>1093</v>
      </c>
      <c r="B3049" s="501" t="s">
        <v>3248</v>
      </c>
      <c r="C3049" s="501" t="s">
        <v>1094</v>
      </c>
      <c r="D3049" s="501" t="s">
        <v>3380</v>
      </c>
      <c r="E3049" s="501" t="s">
        <v>3381</v>
      </c>
      <c r="F3049" s="501" t="s">
        <v>607</v>
      </c>
      <c r="G3049" s="501" t="s">
        <v>608</v>
      </c>
      <c r="H3049" s="501" t="s">
        <v>5790</v>
      </c>
      <c r="I3049" s="501">
        <v>2</v>
      </c>
      <c r="J3049" s="501">
        <v>0</v>
      </c>
      <c r="K3049" s="501">
        <v>0</v>
      </c>
      <c r="L3049" s="501">
        <v>0</v>
      </c>
      <c r="M3049" s="501">
        <v>0</v>
      </c>
      <c r="N3049" s="501">
        <v>0</v>
      </c>
      <c r="O3049" s="506">
        <v>2</v>
      </c>
    </row>
    <row r="3050" spans="1:15" x14ac:dyDescent="0.35">
      <c r="A3050" s="503" t="s">
        <v>1098</v>
      </c>
      <c r="B3050" s="504">
        <v>4691</v>
      </c>
      <c r="C3050" s="504" t="s">
        <v>1094</v>
      </c>
      <c r="D3050" s="504" t="s">
        <v>3380</v>
      </c>
      <c r="E3050" s="504" t="s">
        <v>3381</v>
      </c>
      <c r="F3050" s="504" t="s">
        <v>607</v>
      </c>
      <c r="G3050" s="504" t="s">
        <v>608</v>
      </c>
      <c r="H3050" s="504" t="s">
        <v>5791</v>
      </c>
      <c r="I3050" s="504">
        <v>185</v>
      </c>
      <c r="J3050" s="504">
        <v>130</v>
      </c>
      <c r="K3050" s="504">
        <v>0</v>
      </c>
      <c r="L3050" s="504">
        <v>0</v>
      </c>
      <c r="M3050" s="504">
        <v>0</v>
      </c>
      <c r="N3050" s="504">
        <v>0</v>
      </c>
      <c r="O3050" s="505">
        <v>55</v>
      </c>
    </row>
    <row r="3051" spans="1:15" x14ac:dyDescent="0.35">
      <c r="A3051" s="500" t="s">
        <v>1808</v>
      </c>
      <c r="B3051" s="501" t="s">
        <v>3242</v>
      </c>
      <c r="C3051" s="501" t="s">
        <v>1094</v>
      </c>
      <c r="D3051" s="501" t="s">
        <v>3380</v>
      </c>
      <c r="E3051" s="501" t="s">
        <v>3381</v>
      </c>
      <c r="F3051" s="501" t="s">
        <v>607</v>
      </c>
      <c r="G3051" s="501" t="s">
        <v>608</v>
      </c>
      <c r="H3051" s="501" t="s">
        <v>5792</v>
      </c>
      <c r="I3051" s="501">
        <v>82</v>
      </c>
      <c r="J3051" s="501">
        <v>11</v>
      </c>
      <c r="K3051" s="501">
        <v>2</v>
      </c>
      <c r="L3051" s="501">
        <v>69</v>
      </c>
      <c r="M3051" s="501">
        <v>0</v>
      </c>
      <c r="N3051" s="501">
        <v>0</v>
      </c>
      <c r="O3051" s="506">
        <v>0</v>
      </c>
    </row>
    <row r="3052" spans="1:15" x14ac:dyDescent="0.35">
      <c r="A3052" s="503" t="s">
        <v>1962</v>
      </c>
      <c r="B3052" s="504" t="s">
        <v>2929</v>
      </c>
      <c r="C3052" s="504" t="s">
        <v>1089</v>
      </c>
      <c r="D3052" s="504" t="s">
        <v>3392</v>
      </c>
      <c r="E3052" s="504" t="s">
        <v>3381</v>
      </c>
      <c r="F3052" s="504" t="s">
        <v>607</v>
      </c>
      <c r="G3052" s="504" t="s">
        <v>608</v>
      </c>
      <c r="H3052" s="504" t="s">
        <v>5793</v>
      </c>
      <c r="I3052" s="504">
        <v>86</v>
      </c>
      <c r="J3052" s="504">
        <v>0</v>
      </c>
      <c r="K3052" s="504">
        <v>0</v>
      </c>
      <c r="L3052" s="504">
        <v>86</v>
      </c>
      <c r="M3052" s="504">
        <v>0</v>
      </c>
      <c r="N3052" s="504">
        <v>0</v>
      </c>
      <c r="O3052" s="505">
        <v>0</v>
      </c>
    </row>
    <row r="3053" spans="1:15" x14ac:dyDescent="0.35">
      <c r="A3053" s="500" t="s">
        <v>1100</v>
      </c>
      <c r="B3053" s="501">
        <v>4865</v>
      </c>
      <c r="C3053" s="501" t="s">
        <v>1094</v>
      </c>
      <c r="D3053" s="501" t="s">
        <v>3380</v>
      </c>
      <c r="E3053" s="501" t="s">
        <v>3381</v>
      </c>
      <c r="F3053" s="501" t="s">
        <v>607</v>
      </c>
      <c r="G3053" s="501" t="s">
        <v>608</v>
      </c>
      <c r="H3053" s="501" t="s">
        <v>5794</v>
      </c>
      <c r="I3053" s="501">
        <v>155</v>
      </c>
      <c r="J3053" s="501">
        <v>155</v>
      </c>
      <c r="K3053" s="501">
        <v>0</v>
      </c>
      <c r="L3053" s="501">
        <v>0</v>
      </c>
      <c r="M3053" s="501">
        <v>0</v>
      </c>
      <c r="N3053" s="501">
        <v>0</v>
      </c>
      <c r="O3053" s="506">
        <v>0</v>
      </c>
    </row>
    <row r="3054" spans="1:15" x14ac:dyDescent="0.35">
      <c r="A3054" s="503" t="s">
        <v>1966</v>
      </c>
      <c r="B3054" s="504" t="s">
        <v>2969</v>
      </c>
      <c r="C3054" s="504" t="s">
        <v>1094</v>
      </c>
      <c r="D3054" s="504" t="s">
        <v>3380</v>
      </c>
      <c r="E3054" s="504" t="s">
        <v>3381</v>
      </c>
      <c r="F3054" s="504" t="s">
        <v>607</v>
      </c>
      <c r="G3054" s="504" t="s">
        <v>608</v>
      </c>
      <c r="H3054" s="504" t="s">
        <v>5795</v>
      </c>
      <c r="I3054" s="504">
        <v>1182</v>
      </c>
      <c r="J3054" s="504">
        <v>1169</v>
      </c>
      <c r="K3054" s="504">
        <v>0</v>
      </c>
      <c r="L3054" s="504">
        <v>0</v>
      </c>
      <c r="M3054" s="504">
        <v>0</v>
      </c>
      <c r="N3054" s="504">
        <v>0</v>
      </c>
      <c r="O3054" s="505">
        <v>13</v>
      </c>
    </row>
    <row r="3055" spans="1:15" x14ac:dyDescent="0.35">
      <c r="A3055" s="500" t="s">
        <v>1977</v>
      </c>
      <c r="B3055" s="501" t="s">
        <v>2499</v>
      </c>
      <c r="C3055" s="501" t="s">
        <v>1089</v>
      </c>
      <c r="D3055" s="501" t="s">
        <v>3392</v>
      </c>
      <c r="E3055" s="501" t="s">
        <v>3381</v>
      </c>
      <c r="F3055" s="501" t="s">
        <v>607</v>
      </c>
      <c r="G3055" s="501" t="s">
        <v>608</v>
      </c>
      <c r="H3055" s="501" t="s">
        <v>5796</v>
      </c>
      <c r="I3055" s="501">
        <v>143</v>
      </c>
      <c r="J3055" s="501">
        <v>0</v>
      </c>
      <c r="K3055" s="501">
        <v>0</v>
      </c>
      <c r="L3055" s="501">
        <v>0</v>
      </c>
      <c r="M3055" s="501">
        <v>143</v>
      </c>
      <c r="N3055" s="501">
        <v>0</v>
      </c>
      <c r="O3055" s="506">
        <v>0</v>
      </c>
    </row>
    <row r="3056" spans="1:15" x14ac:dyDescent="0.35">
      <c r="A3056" s="503" t="s">
        <v>1177</v>
      </c>
      <c r="B3056" s="504">
        <v>4702</v>
      </c>
      <c r="C3056" s="504" t="s">
        <v>1089</v>
      </c>
      <c r="D3056" s="504" t="s">
        <v>3392</v>
      </c>
      <c r="E3056" s="504" t="s">
        <v>3381</v>
      </c>
      <c r="F3056" s="504" t="s">
        <v>607</v>
      </c>
      <c r="G3056" s="504" t="s">
        <v>608</v>
      </c>
      <c r="H3056" s="504" t="s">
        <v>5797</v>
      </c>
      <c r="I3056" s="504">
        <v>4</v>
      </c>
      <c r="J3056" s="504">
        <v>0</v>
      </c>
      <c r="K3056" s="504">
        <v>0</v>
      </c>
      <c r="L3056" s="504">
        <v>4</v>
      </c>
      <c r="M3056" s="504">
        <v>0</v>
      </c>
      <c r="N3056" s="504">
        <v>0</v>
      </c>
      <c r="O3056" s="505">
        <v>0</v>
      </c>
    </row>
    <row r="3057" spans="1:15" x14ac:dyDescent="0.35">
      <c r="A3057" s="500" t="s">
        <v>1179</v>
      </c>
      <c r="B3057" s="501">
        <v>4829</v>
      </c>
      <c r="C3057" s="501" t="s">
        <v>1089</v>
      </c>
      <c r="D3057" s="501" t="s">
        <v>3392</v>
      </c>
      <c r="E3057" s="501" t="s">
        <v>3381</v>
      </c>
      <c r="F3057" s="501" t="s">
        <v>607</v>
      </c>
      <c r="G3057" s="501" t="s">
        <v>608</v>
      </c>
      <c r="H3057" s="501" t="s">
        <v>5798</v>
      </c>
      <c r="I3057" s="501">
        <v>1</v>
      </c>
      <c r="J3057" s="501">
        <v>0</v>
      </c>
      <c r="K3057" s="501">
        <v>0</v>
      </c>
      <c r="L3057" s="501">
        <v>1</v>
      </c>
      <c r="M3057" s="501">
        <v>0</v>
      </c>
      <c r="N3057" s="501">
        <v>0</v>
      </c>
      <c r="O3057" s="506">
        <v>0</v>
      </c>
    </row>
    <row r="3058" spans="1:15" x14ac:dyDescent="0.35">
      <c r="A3058" s="503" t="s">
        <v>14208</v>
      </c>
      <c r="B3058" s="504">
        <v>4803</v>
      </c>
      <c r="C3058" s="504" t="s">
        <v>1094</v>
      </c>
      <c r="D3058" s="504" t="s">
        <v>3380</v>
      </c>
      <c r="E3058" s="504" t="s">
        <v>3381</v>
      </c>
      <c r="F3058" s="504" t="s">
        <v>607</v>
      </c>
      <c r="G3058" s="504" t="s">
        <v>608</v>
      </c>
      <c r="H3058" s="504" t="s">
        <v>14687</v>
      </c>
      <c r="I3058" s="504">
        <v>6</v>
      </c>
      <c r="J3058" s="504">
        <v>0</v>
      </c>
      <c r="K3058" s="504">
        <v>0</v>
      </c>
      <c r="L3058" s="504">
        <v>6</v>
      </c>
      <c r="M3058" s="504">
        <v>0</v>
      </c>
      <c r="N3058" s="504">
        <v>0</v>
      </c>
      <c r="O3058" s="505">
        <v>0</v>
      </c>
    </row>
    <row r="3059" spans="1:15" x14ac:dyDescent="0.35">
      <c r="A3059" s="500" t="s">
        <v>1985</v>
      </c>
      <c r="B3059" s="501" t="s">
        <v>3210</v>
      </c>
      <c r="C3059" s="501" t="s">
        <v>1089</v>
      </c>
      <c r="D3059" s="501" t="s">
        <v>3392</v>
      </c>
      <c r="E3059" s="501" t="s">
        <v>3381</v>
      </c>
      <c r="F3059" s="501" t="s">
        <v>607</v>
      </c>
      <c r="G3059" s="501" t="s">
        <v>608</v>
      </c>
      <c r="H3059" s="501" t="s">
        <v>5799</v>
      </c>
      <c r="I3059" s="501">
        <v>261</v>
      </c>
      <c r="J3059" s="501">
        <v>22</v>
      </c>
      <c r="K3059" s="501">
        <v>0</v>
      </c>
      <c r="L3059" s="501">
        <v>58</v>
      </c>
      <c r="M3059" s="501">
        <v>181</v>
      </c>
      <c r="N3059" s="501">
        <v>0</v>
      </c>
      <c r="O3059" s="506">
        <v>0</v>
      </c>
    </row>
    <row r="3060" spans="1:15" x14ac:dyDescent="0.35">
      <c r="A3060" s="503" t="s">
        <v>1107</v>
      </c>
      <c r="B3060" s="504" t="s">
        <v>3109</v>
      </c>
      <c r="C3060" s="504" t="s">
        <v>1094</v>
      </c>
      <c r="D3060" s="504" t="s">
        <v>3380</v>
      </c>
      <c r="E3060" s="504" t="s">
        <v>3381</v>
      </c>
      <c r="F3060" s="504" t="s">
        <v>607</v>
      </c>
      <c r="G3060" s="504" t="s">
        <v>608</v>
      </c>
      <c r="H3060" s="504" t="s">
        <v>5800</v>
      </c>
      <c r="I3060" s="504">
        <v>35</v>
      </c>
      <c r="J3060" s="504">
        <v>0</v>
      </c>
      <c r="K3060" s="504">
        <v>0</v>
      </c>
      <c r="L3060" s="504">
        <v>35</v>
      </c>
      <c r="M3060" s="504">
        <v>0</v>
      </c>
      <c r="N3060" s="504">
        <v>0</v>
      </c>
      <c r="O3060" s="505">
        <v>0</v>
      </c>
    </row>
    <row r="3061" spans="1:15" x14ac:dyDescent="0.35">
      <c r="A3061" s="500" t="s">
        <v>1190</v>
      </c>
      <c r="B3061" s="501">
        <v>4662</v>
      </c>
      <c r="C3061" s="501" t="s">
        <v>1094</v>
      </c>
      <c r="D3061" s="501" t="s">
        <v>3380</v>
      </c>
      <c r="E3061" s="501" t="s">
        <v>3381</v>
      </c>
      <c r="F3061" s="501" t="s">
        <v>607</v>
      </c>
      <c r="G3061" s="501" t="s">
        <v>608</v>
      </c>
      <c r="H3061" s="501" t="s">
        <v>5801</v>
      </c>
      <c r="I3061" s="501">
        <v>30</v>
      </c>
      <c r="J3061" s="501">
        <v>0</v>
      </c>
      <c r="K3061" s="501">
        <v>0</v>
      </c>
      <c r="L3061" s="501">
        <v>30</v>
      </c>
      <c r="M3061" s="501">
        <v>0</v>
      </c>
      <c r="N3061" s="501">
        <v>0</v>
      </c>
      <c r="O3061" s="506">
        <v>0</v>
      </c>
    </row>
    <row r="3062" spans="1:15" x14ac:dyDescent="0.35">
      <c r="A3062" s="503" t="s">
        <v>1111</v>
      </c>
      <c r="B3062" s="504">
        <v>4873</v>
      </c>
      <c r="C3062" s="504" t="s">
        <v>1094</v>
      </c>
      <c r="D3062" s="504" t="s">
        <v>3380</v>
      </c>
      <c r="E3062" s="504" t="s">
        <v>3381</v>
      </c>
      <c r="F3062" s="504" t="s">
        <v>607</v>
      </c>
      <c r="G3062" s="504" t="s">
        <v>608</v>
      </c>
      <c r="H3062" s="504" t="s">
        <v>5802</v>
      </c>
      <c r="I3062" s="504">
        <v>912</v>
      </c>
      <c r="J3062" s="504">
        <v>726</v>
      </c>
      <c r="K3062" s="504">
        <v>0</v>
      </c>
      <c r="L3062" s="504">
        <v>23</v>
      </c>
      <c r="M3062" s="504">
        <v>0</v>
      </c>
      <c r="N3062" s="504">
        <v>0</v>
      </c>
      <c r="O3062" s="505">
        <v>163</v>
      </c>
    </row>
    <row r="3063" spans="1:15" x14ac:dyDescent="0.35">
      <c r="A3063" s="500" t="s">
        <v>1202</v>
      </c>
      <c r="B3063" s="501" t="s">
        <v>3217</v>
      </c>
      <c r="C3063" s="501" t="s">
        <v>1094</v>
      </c>
      <c r="D3063" s="501" t="s">
        <v>3380</v>
      </c>
      <c r="E3063" s="501" t="s">
        <v>3381</v>
      </c>
      <c r="F3063" s="501" t="s">
        <v>607</v>
      </c>
      <c r="G3063" s="501" t="s">
        <v>608</v>
      </c>
      <c r="H3063" s="501" t="s">
        <v>5803</v>
      </c>
      <c r="I3063" s="501">
        <v>1</v>
      </c>
      <c r="J3063" s="501">
        <v>0</v>
      </c>
      <c r="K3063" s="501">
        <v>0</v>
      </c>
      <c r="L3063" s="501">
        <v>0</v>
      </c>
      <c r="M3063" s="501">
        <v>0</v>
      </c>
      <c r="N3063" s="501">
        <v>0</v>
      </c>
      <c r="O3063" s="506">
        <v>1</v>
      </c>
    </row>
    <row r="3064" spans="1:15" x14ac:dyDescent="0.35">
      <c r="A3064" s="503" t="s">
        <v>1991</v>
      </c>
      <c r="B3064" s="504">
        <v>4844</v>
      </c>
      <c r="C3064" s="504" t="s">
        <v>1094</v>
      </c>
      <c r="D3064" s="504" t="s">
        <v>3380</v>
      </c>
      <c r="E3064" s="504" t="s">
        <v>3381</v>
      </c>
      <c r="F3064" s="504" t="s">
        <v>607</v>
      </c>
      <c r="G3064" s="504" t="s">
        <v>608</v>
      </c>
      <c r="H3064" s="504" t="s">
        <v>5804</v>
      </c>
      <c r="I3064" s="504">
        <v>8</v>
      </c>
      <c r="J3064" s="504">
        <v>1</v>
      </c>
      <c r="K3064" s="504">
        <v>0</v>
      </c>
      <c r="L3064" s="504">
        <v>7</v>
      </c>
      <c r="M3064" s="504">
        <v>0</v>
      </c>
      <c r="N3064" s="504">
        <v>0</v>
      </c>
      <c r="O3064" s="505">
        <v>0</v>
      </c>
    </row>
    <row r="3065" spans="1:15" x14ac:dyDescent="0.35">
      <c r="A3065" s="500" t="s">
        <v>1114</v>
      </c>
      <c r="B3065" s="501" t="s">
        <v>2982</v>
      </c>
      <c r="C3065" s="501" t="s">
        <v>1094</v>
      </c>
      <c r="D3065" s="501" t="s">
        <v>3380</v>
      </c>
      <c r="E3065" s="501" t="s">
        <v>3381</v>
      </c>
      <c r="F3065" s="501" t="s">
        <v>607</v>
      </c>
      <c r="G3065" s="501" t="s">
        <v>608</v>
      </c>
      <c r="H3065" s="501" t="s">
        <v>5805</v>
      </c>
      <c r="I3065" s="501">
        <v>1</v>
      </c>
      <c r="J3065" s="501">
        <v>0</v>
      </c>
      <c r="K3065" s="501">
        <v>0</v>
      </c>
      <c r="L3065" s="501">
        <v>0</v>
      </c>
      <c r="M3065" s="501">
        <v>0</v>
      </c>
      <c r="N3065" s="501">
        <v>0</v>
      </c>
      <c r="O3065" s="506">
        <v>1</v>
      </c>
    </row>
    <row r="3066" spans="1:15" x14ac:dyDescent="0.35">
      <c r="A3066" s="503" t="s">
        <v>1122</v>
      </c>
      <c r="B3066" s="504" t="s">
        <v>2994</v>
      </c>
      <c r="C3066" s="504" t="s">
        <v>1094</v>
      </c>
      <c r="D3066" s="504" t="s">
        <v>3380</v>
      </c>
      <c r="E3066" s="504" t="s">
        <v>3381</v>
      </c>
      <c r="F3066" s="504" t="s">
        <v>607</v>
      </c>
      <c r="G3066" s="504" t="s">
        <v>608</v>
      </c>
      <c r="H3066" s="504" t="s">
        <v>5806</v>
      </c>
      <c r="I3066" s="504">
        <v>1</v>
      </c>
      <c r="J3066" s="504">
        <v>0</v>
      </c>
      <c r="K3066" s="504">
        <v>0</v>
      </c>
      <c r="L3066" s="504">
        <v>0</v>
      </c>
      <c r="M3066" s="504">
        <v>0</v>
      </c>
      <c r="N3066" s="504">
        <v>0</v>
      </c>
      <c r="O3066" s="505">
        <v>1</v>
      </c>
    </row>
    <row r="3067" spans="1:15" x14ac:dyDescent="0.35">
      <c r="A3067" s="500" t="s">
        <v>1228</v>
      </c>
      <c r="B3067" s="501" t="s">
        <v>3321</v>
      </c>
      <c r="C3067" s="501" t="s">
        <v>1094</v>
      </c>
      <c r="D3067" s="501" t="s">
        <v>3380</v>
      </c>
      <c r="E3067" s="501" t="s">
        <v>3381</v>
      </c>
      <c r="F3067" s="501" t="s">
        <v>607</v>
      </c>
      <c r="G3067" s="501" t="s">
        <v>608</v>
      </c>
      <c r="H3067" s="501" t="s">
        <v>5807</v>
      </c>
      <c r="I3067" s="501">
        <v>20</v>
      </c>
      <c r="J3067" s="501">
        <v>0</v>
      </c>
      <c r="K3067" s="501">
        <v>0</v>
      </c>
      <c r="L3067" s="501">
        <v>17</v>
      </c>
      <c r="M3067" s="501">
        <v>0</v>
      </c>
      <c r="N3067" s="501">
        <v>0</v>
      </c>
      <c r="O3067" s="506">
        <v>3</v>
      </c>
    </row>
    <row r="3068" spans="1:15" x14ac:dyDescent="0.35">
      <c r="A3068" s="503" t="s">
        <v>1234</v>
      </c>
      <c r="B3068" s="504" t="s">
        <v>3291</v>
      </c>
      <c r="C3068" s="504" t="s">
        <v>1094</v>
      </c>
      <c r="D3068" s="504" t="s">
        <v>3380</v>
      </c>
      <c r="E3068" s="504" t="s">
        <v>3381</v>
      </c>
      <c r="F3068" s="504" t="s">
        <v>607</v>
      </c>
      <c r="G3068" s="504" t="s">
        <v>608</v>
      </c>
      <c r="H3068" s="504" t="s">
        <v>5808</v>
      </c>
      <c r="I3068" s="504">
        <v>27</v>
      </c>
      <c r="J3068" s="504">
        <v>0</v>
      </c>
      <c r="K3068" s="504">
        <v>0</v>
      </c>
      <c r="L3068" s="504">
        <v>27</v>
      </c>
      <c r="M3068" s="504">
        <v>0</v>
      </c>
      <c r="N3068" s="504">
        <v>0</v>
      </c>
      <c r="O3068" s="505">
        <v>0</v>
      </c>
    </row>
    <row r="3069" spans="1:15" x14ac:dyDescent="0.35">
      <c r="A3069" s="500" t="s">
        <v>1126</v>
      </c>
      <c r="B3069" s="501" t="s">
        <v>2974</v>
      </c>
      <c r="C3069" s="501" t="s">
        <v>1094</v>
      </c>
      <c r="D3069" s="501" t="s">
        <v>3380</v>
      </c>
      <c r="E3069" s="501" t="s">
        <v>3381</v>
      </c>
      <c r="F3069" s="501" t="s">
        <v>607</v>
      </c>
      <c r="G3069" s="501" t="s">
        <v>608</v>
      </c>
      <c r="H3069" s="501" t="s">
        <v>5809</v>
      </c>
      <c r="I3069" s="501">
        <v>240</v>
      </c>
      <c r="J3069" s="501">
        <v>209</v>
      </c>
      <c r="K3069" s="501">
        <v>0</v>
      </c>
      <c r="L3069" s="501">
        <v>11</v>
      </c>
      <c r="M3069" s="501">
        <v>12</v>
      </c>
      <c r="N3069" s="501">
        <v>0</v>
      </c>
      <c r="O3069" s="506">
        <v>8</v>
      </c>
    </row>
    <row r="3070" spans="1:15" x14ac:dyDescent="0.35">
      <c r="A3070" s="503" t="s">
        <v>2016</v>
      </c>
      <c r="B3070" s="504" t="s">
        <v>3265</v>
      </c>
      <c r="C3070" s="504" t="s">
        <v>1089</v>
      </c>
      <c r="D3070" s="504" t="s">
        <v>3392</v>
      </c>
      <c r="E3070" s="504" t="s">
        <v>3381</v>
      </c>
      <c r="F3070" s="504" t="s">
        <v>607</v>
      </c>
      <c r="G3070" s="504" t="s">
        <v>608</v>
      </c>
      <c r="H3070" s="504" t="s">
        <v>12123</v>
      </c>
      <c r="I3070" s="504">
        <v>16</v>
      </c>
      <c r="J3070" s="504">
        <v>0</v>
      </c>
      <c r="K3070" s="504">
        <v>0</v>
      </c>
      <c r="L3070" s="504">
        <v>0</v>
      </c>
      <c r="M3070" s="504">
        <v>16</v>
      </c>
      <c r="N3070" s="504">
        <v>0</v>
      </c>
      <c r="O3070" s="505">
        <v>0</v>
      </c>
    </row>
    <row r="3071" spans="1:15" x14ac:dyDescent="0.35">
      <c r="A3071" s="500" t="s">
        <v>1132</v>
      </c>
      <c r="B3071" s="501">
        <v>4837</v>
      </c>
      <c r="C3071" s="501" t="s">
        <v>1094</v>
      </c>
      <c r="D3071" s="501" t="s">
        <v>3380</v>
      </c>
      <c r="E3071" s="501" t="s">
        <v>3381</v>
      </c>
      <c r="F3071" s="501" t="s">
        <v>607</v>
      </c>
      <c r="G3071" s="501" t="s">
        <v>608</v>
      </c>
      <c r="H3071" s="501" t="s">
        <v>5810</v>
      </c>
      <c r="I3071" s="501">
        <v>1062</v>
      </c>
      <c r="J3071" s="501">
        <v>842</v>
      </c>
      <c r="K3071" s="501">
        <v>0</v>
      </c>
      <c r="L3071" s="501">
        <v>54</v>
      </c>
      <c r="M3071" s="501">
        <v>0</v>
      </c>
      <c r="N3071" s="501">
        <v>0</v>
      </c>
      <c r="O3071" s="506">
        <v>166</v>
      </c>
    </row>
    <row r="3072" spans="1:15" x14ac:dyDescent="0.35">
      <c r="A3072" s="503" t="s">
        <v>1134</v>
      </c>
      <c r="B3072" s="504" t="s">
        <v>3066</v>
      </c>
      <c r="C3072" s="504" t="s">
        <v>1094</v>
      </c>
      <c r="D3072" s="504" t="s">
        <v>3380</v>
      </c>
      <c r="E3072" s="504" t="s">
        <v>3381</v>
      </c>
      <c r="F3072" s="504" t="s">
        <v>607</v>
      </c>
      <c r="G3072" s="504" t="s">
        <v>608</v>
      </c>
      <c r="H3072" s="504" t="s">
        <v>5811</v>
      </c>
      <c r="I3072" s="504">
        <v>43</v>
      </c>
      <c r="J3072" s="504">
        <v>5</v>
      </c>
      <c r="K3072" s="504">
        <v>0</v>
      </c>
      <c r="L3072" s="504">
        <v>36</v>
      </c>
      <c r="M3072" s="504">
        <v>0</v>
      </c>
      <c r="N3072" s="504">
        <v>0</v>
      </c>
      <c r="O3072" s="505">
        <v>2</v>
      </c>
    </row>
    <row r="3073" spans="1:15" x14ac:dyDescent="0.35">
      <c r="A3073" s="500" t="s">
        <v>1136</v>
      </c>
      <c r="B3073" s="501">
        <v>4680</v>
      </c>
      <c r="C3073" s="501" t="s">
        <v>1094</v>
      </c>
      <c r="D3073" s="501" t="s">
        <v>3380</v>
      </c>
      <c r="E3073" s="501" t="s">
        <v>3381</v>
      </c>
      <c r="F3073" s="501" t="s">
        <v>607</v>
      </c>
      <c r="G3073" s="501" t="s">
        <v>608</v>
      </c>
      <c r="H3073" s="501" t="s">
        <v>5812</v>
      </c>
      <c r="I3073" s="501">
        <v>86</v>
      </c>
      <c r="J3073" s="501">
        <v>60</v>
      </c>
      <c r="K3073" s="501">
        <v>0</v>
      </c>
      <c r="L3073" s="501">
        <v>0</v>
      </c>
      <c r="M3073" s="501">
        <v>0</v>
      </c>
      <c r="N3073" s="501">
        <v>0</v>
      </c>
      <c r="O3073" s="506">
        <v>26</v>
      </c>
    </row>
    <row r="3074" spans="1:15" x14ac:dyDescent="0.35">
      <c r="A3074" s="503" t="s">
        <v>2023</v>
      </c>
      <c r="B3074" s="504" t="s">
        <v>3357</v>
      </c>
      <c r="C3074" s="504" t="s">
        <v>1094</v>
      </c>
      <c r="D3074" s="504" t="s">
        <v>3380</v>
      </c>
      <c r="E3074" s="504" t="s">
        <v>3381</v>
      </c>
      <c r="F3074" s="504" t="s">
        <v>607</v>
      </c>
      <c r="G3074" s="504" t="s">
        <v>608</v>
      </c>
      <c r="H3074" s="504" t="s">
        <v>5813</v>
      </c>
      <c r="I3074" s="504">
        <v>17</v>
      </c>
      <c r="J3074" s="504">
        <v>12</v>
      </c>
      <c r="K3074" s="504">
        <v>0</v>
      </c>
      <c r="L3074" s="504">
        <v>0</v>
      </c>
      <c r="M3074" s="504">
        <v>0</v>
      </c>
      <c r="N3074" s="504">
        <v>0</v>
      </c>
      <c r="O3074" s="505">
        <v>5</v>
      </c>
    </row>
    <row r="3075" spans="1:15" x14ac:dyDescent="0.35">
      <c r="A3075" s="500" t="s">
        <v>1249</v>
      </c>
      <c r="B3075" s="501">
        <v>4729</v>
      </c>
      <c r="C3075" s="501" t="s">
        <v>1094</v>
      </c>
      <c r="D3075" s="501" t="s">
        <v>3380</v>
      </c>
      <c r="E3075" s="501" t="s">
        <v>3381</v>
      </c>
      <c r="F3075" s="501" t="s">
        <v>607</v>
      </c>
      <c r="G3075" s="501" t="s">
        <v>608</v>
      </c>
      <c r="H3075" s="501" t="s">
        <v>5814</v>
      </c>
      <c r="I3075" s="501">
        <v>340</v>
      </c>
      <c r="J3075" s="501">
        <v>246</v>
      </c>
      <c r="K3075" s="501">
        <v>0</v>
      </c>
      <c r="L3075" s="501">
        <v>0</v>
      </c>
      <c r="M3075" s="501">
        <v>43</v>
      </c>
      <c r="N3075" s="501">
        <v>0</v>
      </c>
      <c r="O3075" s="506">
        <v>51</v>
      </c>
    </row>
    <row r="3076" spans="1:15" x14ac:dyDescent="0.35">
      <c r="A3076" s="503" t="s">
        <v>2050</v>
      </c>
      <c r="B3076" s="504">
        <v>4826</v>
      </c>
      <c r="C3076" s="504" t="s">
        <v>1094</v>
      </c>
      <c r="D3076" s="504" t="s">
        <v>3380</v>
      </c>
      <c r="E3076" s="504" t="s">
        <v>3381</v>
      </c>
      <c r="F3076" s="504" t="s">
        <v>607</v>
      </c>
      <c r="G3076" s="504" t="s">
        <v>608</v>
      </c>
      <c r="H3076" s="504" t="s">
        <v>5815</v>
      </c>
      <c r="I3076" s="504">
        <v>225</v>
      </c>
      <c r="J3076" s="504">
        <v>102</v>
      </c>
      <c r="K3076" s="504">
        <v>0</v>
      </c>
      <c r="L3076" s="504">
        <v>106</v>
      </c>
      <c r="M3076" s="504">
        <v>0</v>
      </c>
      <c r="N3076" s="504">
        <v>0</v>
      </c>
      <c r="O3076" s="505">
        <v>17</v>
      </c>
    </row>
    <row r="3077" spans="1:15" x14ac:dyDescent="0.35">
      <c r="A3077" s="500" t="s">
        <v>1386</v>
      </c>
      <c r="B3077" s="501" t="s">
        <v>3331</v>
      </c>
      <c r="C3077" s="501" t="s">
        <v>1094</v>
      </c>
      <c r="D3077" s="501" t="s">
        <v>3380</v>
      </c>
      <c r="E3077" s="501" t="s">
        <v>3381</v>
      </c>
      <c r="F3077" s="501" t="s">
        <v>609</v>
      </c>
      <c r="G3077" s="501" t="s">
        <v>610</v>
      </c>
      <c r="H3077" s="501" t="s">
        <v>5816</v>
      </c>
      <c r="I3077" s="501">
        <v>4</v>
      </c>
      <c r="J3077" s="501">
        <v>4</v>
      </c>
      <c r="K3077" s="501">
        <v>0</v>
      </c>
      <c r="L3077" s="501">
        <v>0</v>
      </c>
      <c r="M3077" s="501">
        <v>0</v>
      </c>
      <c r="N3077" s="501">
        <v>0</v>
      </c>
      <c r="O3077" s="506">
        <v>0</v>
      </c>
    </row>
    <row r="3078" spans="1:15" x14ac:dyDescent="0.35">
      <c r="A3078" s="503" t="s">
        <v>14127</v>
      </c>
      <c r="B3078" s="504" t="s">
        <v>14126</v>
      </c>
      <c r="C3078" s="504" t="s">
        <v>1094</v>
      </c>
      <c r="D3078" s="504" t="s">
        <v>3380</v>
      </c>
      <c r="E3078" s="504" t="s">
        <v>3381</v>
      </c>
      <c r="F3078" s="504" t="s">
        <v>609</v>
      </c>
      <c r="G3078" s="504" t="s">
        <v>610</v>
      </c>
      <c r="H3078" s="504" t="s">
        <v>14688</v>
      </c>
      <c r="I3078" s="504">
        <v>135</v>
      </c>
      <c r="J3078" s="504">
        <v>135</v>
      </c>
      <c r="K3078" s="504">
        <v>0</v>
      </c>
      <c r="L3078" s="504">
        <v>0</v>
      </c>
      <c r="M3078" s="504">
        <v>0</v>
      </c>
      <c r="N3078" s="504">
        <v>0</v>
      </c>
      <c r="O3078" s="505">
        <v>0</v>
      </c>
    </row>
    <row r="3079" spans="1:15" x14ac:dyDescent="0.35">
      <c r="A3079" s="500" t="s">
        <v>1093</v>
      </c>
      <c r="B3079" s="501" t="s">
        <v>3248</v>
      </c>
      <c r="C3079" s="501" t="s">
        <v>1094</v>
      </c>
      <c r="D3079" s="501" t="s">
        <v>3380</v>
      </c>
      <c r="E3079" s="501" t="s">
        <v>3381</v>
      </c>
      <c r="F3079" s="501" t="s">
        <v>609</v>
      </c>
      <c r="G3079" s="501" t="s">
        <v>610</v>
      </c>
      <c r="H3079" s="501" t="s">
        <v>5817</v>
      </c>
      <c r="I3079" s="501">
        <v>11</v>
      </c>
      <c r="J3079" s="501">
        <v>0</v>
      </c>
      <c r="K3079" s="501">
        <v>0</v>
      </c>
      <c r="L3079" s="501">
        <v>9</v>
      </c>
      <c r="M3079" s="501">
        <v>0</v>
      </c>
      <c r="N3079" s="501">
        <v>0</v>
      </c>
      <c r="O3079" s="506">
        <v>2</v>
      </c>
    </row>
    <row r="3080" spans="1:15" x14ac:dyDescent="0.35">
      <c r="A3080" s="503" t="s">
        <v>1096</v>
      </c>
      <c r="B3080" s="504" t="s">
        <v>3326</v>
      </c>
      <c r="C3080" s="504" t="s">
        <v>1094</v>
      </c>
      <c r="D3080" s="504" t="s">
        <v>3380</v>
      </c>
      <c r="E3080" s="504" t="s">
        <v>3381</v>
      </c>
      <c r="F3080" s="504" t="s">
        <v>609</v>
      </c>
      <c r="G3080" s="504" t="s">
        <v>610</v>
      </c>
      <c r="H3080" s="504" t="s">
        <v>5818</v>
      </c>
      <c r="I3080" s="504">
        <v>37</v>
      </c>
      <c r="J3080" s="504">
        <v>0</v>
      </c>
      <c r="K3080" s="504">
        <v>0</v>
      </c>
      <c r="L3080" s="504">
        <v>0</v>
      </c>
      <c r="M3080" s="504">
        <v>37</v>
      </c>
      <c r="N3080" s="504">
        <v>0</v>
      </c>
      <c r="O3080" s="505">
        <v>0</v>
      </c>
    </row>
    <row r="3081" spans="1:15" x14ac:dyDescent="0.35">
      <c r="A3081" s="500" t="s">
        <v>1098</v>
      </c>
      <c r="B3081" s="501">
        <v>4691</v>
      </c>
      <c r="C3081" s="501" t="s">
        <v>1094</v>
      </c>
      <c r="D3081" s="501" t="s">
        <v>3380</v>
      </c>
      <c r="E3081" s="501" t="s">
        <v>3381</v>
      </c>
      <c r="F3081" s="501" t="s">
        <v>609</v>
      </c>
      <c r="G3081" s="501" t="s">
        <v>610</v>
      </c>
      <c r="H3081" s="501" t="s">
        <v>5819</v>
      </c>
      <c r="I3081" s="501">
        <v>7</v>
      </c>
      <c r="J3081" s="501">
        <v>5</v>
      </c>
      <c r="K3081" s="501">
        <v>0</v>
      </c>
      <c r="L3081" s="501">
        <v>0</v>
      </c>
      <c r="M3081" s="501">
        <v>0</v>
      </c>
      <c r="N3081" s="501">
        <v>0</v>
      </c>
      <c r="O3081" s="506">
        <v>2</v>
      </c>
    </row>
    <row r="3082" spans="1:15" x14ac:dyDescent="0.35">
      <c r="A3082" s="503" t="s">
        <v>11363</v>
      </c>
      <c r="B3082" s="504">
        <v>4718</v>
      </c>
      <c r="C3082" s="504" t="s">
        <v>1094</v>
      </c>
      <c r="D3082" s="504" t="s">
        <v>3380</v>
      </c>
      <c r="E3082" s="504" t="s">
        <v>3381</v>
      </c>
      <c r="F3082" s="504" t="s">
        <v>609</v>
      </c>
      <c r="G3082" s="504" t="s">
        <v>610</v>
      </c>
      <c r="H3082" s="504" t="s">
        <v>11544</v>
      </c>
      <c r="I3082" s="504">
        <v>12</v>
      </c>
      <c r="J3082" s="504">
        <v>0</v>
      </c>
      <c r="K3082" s="504">
        <v>0</v>
      </c>
      <c r="L3082" s="504">
        <v>12</v>
      </c>
      <c r="M3082" s="504">
        <v>0</v>
      </c>
      <c r="N3082" s="504">
        <v>0</v>
      </c>
      <c r="O3082" s="505">
        <v>0</v>
      </c>
    </row>
    <row r="3083" spans="1:15" x14ac:dyDescent="0.35">
      <c r="A3083" s="500" t="s">
        <v>1808</v>
      </c>
      <c r="B3083" s="501" t="s">
        <v>3242</v>
      </c>
      <c r="C3083" s="501" t="s">
        <v>1094</v>
      </c>
      <c r="D3083" s="501" t="s">
        <v>3380</v>
      </c>
      <c r="E3083" s="501" t="s">
        <v>3381</v>
      </c>
      <c r="F3083" s="501" t="s">
        <v>609</v>
      </c>
      <c r="G3083" s="501" t="s">
        <v>610</v>
      </c>
      <c r="H3083" s="501" t="s">
        <v>5820</v>
      </c>
      <c r="I3083" s="501">
        <v>25</v>
      </c>
      <c r="J3083" s="501">
        <v>0</v>
      </c>
      <c r="K3083" s="501">
        <v>0</v>
      </c>
      <c r="L3083" s="501">
        <v>25</v>
      </c>
      <c r="M3083" s="501">
        <v>0</v>
      </c>
      <c r="N3083" s="501">
        <v>3</v>
      </c>
      <c r="O3083" s="506">
        <v>0</v>
      </c>
    </row>
    <row r="3084" spans="1:15" x14ac:dyDescent="0.35">
      <c r="A3084" s="503" t="s">
        <v>11412</v>
      </c>
      <c r="B3084" s="504" t="s">
        <v>2965</v>
      </c>
      <c r="C3084" s="504" t="s">
        <v>1089</v>
      </c>
      <c r="D3084" s="504" t="s">
        <v>3392</v>
      </c>
      <c r="E3084" s="504" t="s">
        <v>3381</v>
      </c>
      <c r="F3084" s="504" t="s">
        <v>609</v>
      </c>
      <c r="G3084" s="504" t="s">
        <v>610</v>
      </c>
      <c r="H3084" s="504" t="s">
        <v>11642</v>
      </c>
      <c r="I3084" s="504">
        <v>55</v>
      </c>
      <c r="J3084" s="504">
        <v>0</v>
      </c>
      <c r="K3084" s="504">
        <v>0</v>
      </c>
      <c r="L3084" s="504">
        <v>0</v>
      </c>
      <c r="M3084" s="504">
        <v>55</v>
      </c>
      <c r="N3084" s="504">
        <v>0</v>
      </c>
      <c r="O3084" s="505">
        <v>0</v>
      </c>
    </row>
    <row r="3085" spans="1:15" x14ac:dyDescent="0.35">
      <c r="A3085" s="500" t="s">
        <v>1100</v>
      </c>
      <c r="B3085" s="501">
        <v>4865</v>
      </c>
      <c r="C3085" s="501" t="s">
        <v>1094</v>
      </c>
      <c r="D3085" s="501" t="s">
        <v>3380</v>
      </c>
      <c r="E3085" s="501" t="s">
        <v>3381</v>
      </c>
      <c r="F3085" s="501" t="s">
        <v>609</v>
      </c>
      <c r="G3085" s="501" t="s">
        <v>610</v>
      </c>
      <c r="H3085" s="501" t="s">
        <v>5821</v>
      </c>
      <c r="I3085" s="501">
        <v>78</v>
      </c>
      <c r="J3085" s="501">
        <v>56</v>
      </c>
      <c r="K3085" s="501">
        <v>0</v>
      </c>
      <c r="L3085" s="501">
        <v>17</v>
      </c>
      <c r="M3085" s="501">
        <v>0</v>
      </c>
      <c r="N3085" s="501">
        <v>0</v>
      </c>
      <c r="O3085" s="506">
        <v>5</v>
      </c>
    </row>
    <row r="3086" spans="1:15" x14ac:dyDescent="0.35">
      <c r="A3086" s="503" t="s">
        <v>1172</v>
      </c>
      <c r="B3086" s="504">
        <v>4648</v>
      </c>
      <c r="C3086" s="504" t="s">
        <v>1089</v>
      </c>
      <c r="D3086" s="504" t="s">
        <v>3392</v>
      </c>
      <c r="E3086" s="504" t="s">
        <v>3381</v>
      </c>
      <c r="F3086" s="504" t="s">
        <v>609</v>
      </c>
      <c r="G3086" s="504" t="s">
        <v>610</v>
      </c>
      <c r="H3086" s="504" t="s">
        <v>5822</v>
      </c>
      <c r="I3086" s="504">
        <v>7</v>
      </c>
      <c r="J3086" s="504">
        <v>0</v>
      </c>
      <c r="K3086" s="504">
        <v>0</v>
      </c>
      <c r="L3086" s="504">
        <v>7</v>
      </c>
      <c r="M3086" s="504">
        <v>0</v>
      </c>
      <c r="N3086" s="504">
        <v>0</v>
      </c>
      <c r="O3086" s="505">
        <v>0</v>
      </c>
    </row>
    <row r="3087" spans="1:15" x14ac:dyDescent="0.35">
      <c r="A3087" s="500" t="s">
        <v>14208</v>
      </c>
      <c r="B3087" s="501">
        <v>4803</v>
      </c>
      <c r="C3087" s="501" t="s">
        <v>1094</v>
      </c>
      <c r="D3087" s="501" t="s">
        <v>3380</v>
      </c>
      <c r="E3087" s="501" t="s">
        <v>3381</v>
      </c>
      <c r="F3087" s="501" t="s">
        <v>609</v>
      </c>
      <c r="G3087" s="501" t="s">
        <v>610</v>
      </c>
      <c r="H3087" s="501" t="s">
        <v>14689</v>
      </c>
      <c r="I3087" s="501">
        <v>13</v>
      </c>
      <c r="J3087" s="501">
        <v>0</v>
      </c>
      <c r="K3087" s="501">
        <v>0</v>
      </c>
      <c r="L3087" s="501">
        <v>13</v>
      </c>
      <c r="M3087" s="501">
        <v>0</v>
      </c>
      <c r="N3087" s="501">
        <v>0</v>
      </c>
      <c r="O3087" s="506">
        <v>0</v>
      </c>
    </row>
    <row r="3088" spans="1:15" x14ac:dyDescent="0.35">
      <c r="A3088" s="503" t="s">
        <v>1105</v>
      </c>
      <c r="B3088" s="504">
        <v>4668</v>
      </c>
      <c r="C3088" s="504" t="s">
        <v>1094</v>
      </c>
      <c r="D3088" s="504" t="s">
        <v>3380</v>
      </c>
      <c r="E3088" s="504" t="s">
        <v>3381</v>
      </c>
      <c r="F3088" s="504" t="s">
        <v>609</v>
      </c>
      <c r="G3088" s="504" t="s">
        <v>610</v>
      </c>
      <c r="H3088" s="504" t="s">
        <v>5823</v>
      </c>
      <c r="I3088" s="504">
        <v>1</v>
      </c>
      <c r="J3088" s="504">
        <v>0</v>
      </c>
      <c r="K3088" s="504">
        <v>0</v>
      </c>
      <c r="L3088" s="504">
        <v>0</v>
      </c>
      <c r="M3088" s="504">
        <v>0</v>
      </c>
      <c r="N3088" s="504">
        <v>0</v>
      </c>
      <c r="O3088" s="505">
        <v>1</v>
      </c>
    </row>
    <row r="3089" spans="1:15" x14ac:dyDescent="0.35">
      <c r="A3089" s="500" t="s">
        <v>1188</v>
      </c>
      <c r="B3089" s="501">
        <v>4760</v>
      </c>
      <c r="C3089" s="501" t="s">
        <v>1089</v>
      </c>
      <c r="D3089" s="501" t="s">
        <v>3392</v>
      </c>
      <c r="E3089" s="501" t="s">
        <v>3381</v>
      </c>
      <c r="F3089" s="501" t="s">
        <v>609</v>
      </c>
      <c r="G3089" s="501" t="s">
        <v>610</v>
      </c>
      <c r="H3089" s="501" t="s">
        <v>5824</v>
      </c>
      <c r="I3089" s="501">
        <v>6</v>
      </c>
      <c r="J3089" s="501">
        <v>0</v>
      </c>
      <c r="K3089" s="501">
        <v>0</v>
      </c>
      <c r="L3089" s="501">
        <v>6</v>
      </c>
      <c r="M3089" s="501">
        <v>0</v>
      </c>
      <c r="N3089" s="501">
        <v>0</v>
      </c>
      <c r="O3089" s="506">
        <v>0</v>
      </c>
    </row>
    <row r="3090" spans="1:15" x14ac:dyDescent="0.35">
      <c r="A3090" s="503" t="s">
        <v>1107</v>
      </c>
      <c r="B3090" s="504" t="s">
        <v>3109</v>
      </c>
      <c r="C3090" s="504" t="s">
        <v>1094</v>
      </c>
      <c r="D3090" s="504" t="s">
        <v>3380</v>
      </c>
      <c r="E3090" s="504" t="s">
        <v>3381</v>
      </c>
      <c r="F3090" s="504" t="s">
        <v>609</v>
      </c>
      <c r="G3090" s="504" t="s">
        <v>610</v>
      </c>
      <c r="H3090" s="504" t="s">
        <v>5825</v>
      </c>
      <c r="I3090" s="504">
        <v>9</v>
      </c>
      <c r="J3090" s="504">
        <v>9</v>
      </c>
      <c r="K3090" s="504">
        <v>0</v>
      </c>
      <c r="L3090" s="504">
        <v>0</v>
      </c>
      <c r="M3090" s="504">
        <v>0</v>
      </c>
      <c r="N3090" s="504">
        <v>0</v>
      </c>
      <c r="O3090" s="505">
        <v>0</v>
      </c>
    </row>
    <row r="3091" spans="1:15" x14ac:dyDescent="0.35">
      <c r="A3091" s="500" t="s">
        <v>1189</v>
      </c>
      <c r="B3091" s="501" t="s">
        <v>3236</v>
      </c>
      <c r="C3091" s="501" t="s">
        <v>1094</v>
      </c>
      <c r="D3091" s="501" t="s">
        <v>3380</v>
      </c>
      <c r="E3091" s="501" t="s">
        <v>3381</v>
      </c>
      <c r="F3091" s="501" t="s">
        <v>609</v>
      </c>
      <c r="G3091" s="501" t="s">
        <v>610</v>
      </c>
      <c r="H3091" s="501" t="s">
        <v>5826</v>
      </c>
      <c r="I3091" s="501">
        <v>358</v>
      </c>
      <c r="J3091" s="501">
        <v>298</v>
      </c>
      <c r="K3091" s="501">
        <v>0</v>
      </c>
      <c r="L3091" s="501">
        <v>0</v>
      </c>
      <c r="M3091" s="501">
        <v>31</v>
      </c>
      <c r="N3091" s="501">
        <v>0</v>
      </c>
      <c r="O3091" s="506">
        <v>29</v>
      </c>
    </row>
    <row r="3092" spans="1:15" x14ac:dyDescent="0.35">
      <c r="A3092" s="503" t="s">
        <v>1202</v>
      </c>
      <c r="B3092" s="504" t="s">
        <v>3217</v>
      </c>
      <c r="C3092" s="504" t="s">
        <v>1094</v>
      </c>
      <c r="D3092" s="504" t="s">
        <v>3380</v>
      </c>
      <c r="E3092" s="504" t="s">
        <v>3381</v>
      </c>
      <c r="F3092" s="504" t="s">
        <v>609</v>
      </c>
      <c r="G3092" s="504" t="s">
        <v>610</v>
      </c>
      <c r="H3092" s="504" t="s">
        <v>11834</v>
      </c>
      <c r="I3092" s="504">
        <v>1</v>
      </c>
      <c r="J3092" s="504">
        <v>0</v>
      </c>
      <c r="K3092" s="504">
        <v>0</v>
      </c>
      <c r="L3092" s="504">
        <v>0</v>
      </c>
      <c r="M3092" s="504">
        <v>0</v>
      </c>
      <c r="N3092" s="504">
        <v>0</v>
      </c>
      <c r="O3092" s="505">
        <v>1</v>
      </c>
    </row>
    <row r="3093" spans="1:15" x14ac:dyDescent="0.35">
      <c r="A3093" s="500" t="s">
        <v>1863</v>
      </c>
      <c r="B3093" s="501" t="s">
        <v>3173</v>
      </c>
      <c r="C3093" s="501" t="s">
        <v>1094</v>
      </c>
      <c r="D3093" s="501" t="s">
        <v>3380</v>
      </c>
      <c r="E3093" s="501" t="s">
        <v>3381</v>
      </c>
      <c r="F3093" s="501" t="s">
        <v>609</v>
      </c>
      <c r="G3093" s="501" t="s">
        <v>610</v>
      </c>
      <c r="H3093" s="501" t="s">
        <v>5827</v>
      </c>
      <c r="I3093" s="501">
        <v>31</v>
      </c>
      <c r="J3093" s="501">
        <v>31</v>
      </c>
      <c r="K3093" s="501">
        <v>0</v>
      </c>
      <c r="L3093" s="501">
        <v>0</v>
      </c>
      <c r="M3093" s="501">
        <v>0</v>
      </c>
      <c r="N3093" s="501">
        <v>0</v>
      </c>
      <c r="O3093" s="506">
        <v>0</v>
      </c>
    </row>
    <row r="3094" spans="1:15" x14ac:dyDescent="0.35">
      <c r="A3094" s="503" t="s">
        <v>1112</v>
      </c>
      <c r="B3094" s="504" t="s">
        <v>3008</v>
      </c>
      <c r="C3094" s="504" t="s">
        <v>1094</v>
      </c>
      <c r="D3094" s="504" t="s">
        <v>3380</v>
      </c>
      <c r="E3094" s="504" t="s">
        <v>3381</v>
      </c>
      <c r="F3094" s="504" t="s">
        <v>609</v>
      </c>
      <c r="G3094" s="504" t="s">
        <v>610</v>
      </c>
      <c r="H3094" s="504" t="s">
        <v>5828</v>
      </c>
      <c r="I3094" s="504">
        <v>18</v>
      </c>
      <c r="J3094" s="504">
        <v>18</v>
      </c>
      <c r="K3094" s="504">
        <v>0</v>
      </c>
      <c r="L3094" s="504">
        <v>0</v>
      </c>
      <c r="M3094" s="504">
        <v>0</v>
      </c>
      <c r="N3094" s="504">
        <v>0</v>
      </c>
      <c r="O3094" s="505">
        <v>0</v>
      </c>
    </row>
    <row r="3095" spans="1:15" x14ac:dyDescent="0.35">
      <c r="A3095" s="500" t="s">
        <v>1114</v>
      </c>
      <c r="B3095" s="501" t="s">
        <v>2982</v>
      </c>
      <c r="C3095" s="501" t="s">
        <v>1094</v>
      </c>
      <c r="D3095" s="501" t="s">
        <v>3380</v>
      </c>
      <c r="E3095" s="501" t="s">
        <v>3381</v>
      </c>
      <c r="F3095" s="501" t="s">
        <v>609</v>
      </c>
      <c r="G3095" s="501" t="s">
        <v>610</v>
      </c>
      <c r="H3095" s="501" t="s">
        <v>5829</v>
      </c>
      <c r="I3095" s="501">
        <v>1</v>
      </c>
      <c r="J3095" s="501">
        <v>0</v>
      </c>
      <c r="K3095" s="501">
        <v>0</v>
      </c>
      <c r="L3095" s="501">
        <v>0</v>
      </c>
      <c r="M3095" s="501">
        <v>0</v>
      </c>
      <c r="N3095" s="501">
        <v>0</v>
      </c>
      <c r="O3095" s="506">
        <v>1</v>
      </c>
    </row>
    <row r="3096" spans="1:15" x14ac:dyDescent="0.35">
      <c r="A3096" s="503" t="s">
        <v>1325</v>
      </c>
      <c r="B3096" s="504" t="s">
        <v>3011</v>
      </c>
      <c r="C3096" s="504" t="s">
        <v>1094</v>
      </c>
      <c r="D3096" s="504" t="s">
        <v>3380</v>
      </c>
      <c r="E3096" s="504" t="s">
        <v>3381</v>
      </c>
      <c r="F3096" s="504" t="s">
        <v>609</v>
      </c>
      <c r="G3096" s="504" t="s">
        <v>610</v>
      </c>
      <c r="H3096" s="504" t="s">
        <v>5830</v>
      </c>
      <c r="I3096" s="504">
        <v>1</v>
      </c>
      <c r="J3096" s="504">
        <v>0</v>
      </c>
      <c r="K3096" s="504">
        <v>0</v>
      </c>
      <c r="L3096" s="504">
        <v>0</v>
      </c>
      <c r="M3096" s="504">
        <v>0</v>
      </c>
      <c r="N3096" s="504">
        <v>0</v>
      </c>
      <c r="O3096" s="505">
        <v>1</v>
      </c>
    </row>
    <row r="3097" spans="1:15" x14ac:dyDescent="0.35">
      <c r="A3097" s="500" t="s">
        <v>1122</v>
      </c>
      <c r="B3097" s="501" t="s">
        <v>2994</v>
      </c>
      <c r="C3097" s="501" t="s">
        <v>1094</v>
      </c>
      <c r="D3097" s="501" t="s">
        <v>3380</v>
      </c>
      <c r="E3097" s="501" t="s">
        <v>3381</v>
      </c>
      <c r="F3097" s="501" t="s">
        <v>609</v>
      </c>
      <c r="G3097" s="501" t="s">
        <v>610</v>
      </c>
      <c r="H3097" s="501" t="s">
        <v>5831</v>
      </c>
      <c r="I3097" s="501">
        <v>14</v>
      </c>
      <c r="J3097" s="501">
        <v>14</v>
      </c>
      <c r="K3097" s="501">
        <v>0</v>
      </c>
      <c r="L3097" s="501">
        <v>0</v>
      </c>
      <c r="M3097" s="501">
        <v>0</v>
      </c>
      <c r="N3097" s="501">
        <v>0</v>
      </c>
      <c r="O3097" s="506">
        <v>0</v>
      </c>
    </row>
    <row r="3098" spans="1:15" x14ac:dyDescent="0.35">
      <c r="A3098" s="503" t="s">
        <v>1880</v>
      </c>
      <c r="B3098" s="504" t="s">
        <v>2997</v>
      </c>
      <c r="C3098" s="504" t="s">
        <v>1089</v>
      </c>
      <c r="D3098" s="504" t="s">
        <v>3392</v>
      </c>
      <c r="E3098" s="504" t="s">
        <v>3381</v>
      </c>
      <c r="F3098" s="504" t="s">
        <v>609</v>
      </c>
      <c r="G3098" s="504" t="s">
        <v>610</v>
      </c>
      <c r="H3098" s="504" t="s">
        <v>5832</v>
      </c>
      <c r="I3098" s="504">
        <v>12</v>
      </c>
      <c r="J3098" s="504">
        <v>12</v>
      </c>
      <c r="K3098" s="504">
        <v>0</v>
      </c>
      <c r="L3098" s="504">
        <v>0</v>
      </c>
      <c r="M3098" s="504">
        <v>0</v>
      </c>
      <c r="N3098" s="504">
        <v>0</v>
      </c>
      <c r="O3098" s="505">
        <v>0</v>
      </c>
    </row>
    <row r="3099" spans="1:15" x14ac:dyDescent="0.35">
      <c r="A3099" s="500" t="s">
        <v>1228</v>
      </c>
      <c r="B3099" s="501" t="s">
        <v>3321</v>
      </c>
      <c r="C3099" s="501" t="s">
        <v>1094</v>
      </c>
      <c r="D3099" s="501" t="s">
        <v>3380</v>
      </c>
      <c r="E3099" s="501" t="s">
        <v>3381</v>
      </c>
      <c r="F3099" s="501" t="s">
        <v>609</v>
      </c>
      <c r="G3099" s="501" t="s">
        <v>610</v>
      </c>
      <c r="H3099" s="501" t="s">
        <v>5833</v>
      </c>
      <c r="I3099" s="501">
        <v>22</v>
      </c>
      <c r="J3099" s="501">
        <v>0</v>
      </c>
      <c r="K3099" s="501">
        <v>0</v>
      </c>
      <c r="L3099" s="501">
        <v>22</v>
      </c>
      <c r="M3099" s="501">
        <v>0</v>
      </c>
      <c r="N3099" s="501">
        <v>0</v>
      </c>
      <c r="O3099" s="506">
        <v>0</v>
      </c>
    </row>
    <row r="3100" spans="1:15" x14ac:dyDescent="0.35">
      <c r="A3100" s="503" t="s">
        <v>1233</v>
      </c>
      <c r="B3100" s="504">
        <v>4636</v>
      </c>
      <c r="C3100" s="504" t="s">
        <v>1094</v>
      </c>
      <c r="D3100" s="504" t="s">
        <v>3380</v>
      </c>
      <c r="E3100" s="504" t="s">
        <v>3381</v>
      </c>
      <c r="F3100" s="504" t="s">
        <v>609</v>
      </c>
      <c r="G3100" s="504" t="s">
        <v>610</v>
      </c>
      <c r="H3100" s="504" t="s">
        <v>5834</v>
      </c>
      <c r="I3100" s="504">
        <v>14</v>
      </c>
      <c r="J3100" s="504">
        <v>0</v>
      </c>
      <c r="K3100" s="504">
        <v>0</v>
      </c>
      <c r="L3100" s="504">
        <v>0</v>
      </c>
      <c r="M3100" s="504">
        <v>0</v>
      </c>
      <c r="N3100" s="504">
        <v>0</v>
      </c>
      <c r="O3100" s="505">
        <v>14</v>
      </c>
    </row>
    <row r="3101" spans="1:15" x14ac:dyDescent="0.35">
      <c r="A3101" s="500" t="s">
        <v>11368</v>
      </c>
      <c r="B3101" s="501">
        <v>5083</v>
      </c>
      <c r="C3101" s="501" t="s">
        <v>1094</v>
      </c>
      <c r="D3101" s="501" t="s">
        <v>3380</v>
      </c>
      <c r="E3101" s="501" t="s">
        <v>3381</v>
      </c>
      <c r="F3101" s="501" t="s">
        <v>609</v>
      </c>
      <c r="G3101" s="501" t="s">
        <v>610</v>
      </c>
      <c r="H3101" s="501" t="s">
        <v>12050</v>
      </c>
      <c r="I3101" s="501">
        <v>34</v>
      </c>
      <c r="J3101" s="501">
        <v>34</v>
      </c>
      <c r="K3101" s="501">
        <v>0</v>
      </c>
      <c r="L3101" s="501">
        <v>0</v>
      </c>
      <c r="M3101" s="501">
        <v>0</v>
      </c>
      <c r="N3101" s="501">
        <v>0</v>
      </c>
      <c r="O3101" s="506">
        <v>0</v>
      </c>
    </row>
    <row r="3102" spans="1:15" x14ac:dyDescent="0.35">
      <c r="A3102" s="503" t="s">
        <v>1126</v>
      </c>
      <c r="B3102" s="504" t="s">
        <v>2974</v>
      </c>
      <c r="C3102" s="504" t="s">
        <v>1094</v>
      </c>
      <c r="D3102" s="504" t="s">
        <v>3380</v>
      </c>
      <c r="E3102" s="504" t="s">
        <v>3381</v>
      </c>
      <c r="F3102" s="504" t="s">
        <v>609</v>
      </c>
      <c r="G3102" s="504" t="s">
        <v>610</v>
      </c>
      <c r="H3102" s="504" t="s">
        <v>5835</v>
      </c>
      <c r="I3102" s="504">
        <v>53</v>
      </c>
      <c r="J3102" s="504">
        <v>53</v>
      </c>
      <c r="K3102" s="504">
        <v>0</v>
      </c>
      <c r="L3102" s="504">
        <v>0</v>
      </c>
      <c r="M3102" s="504">
        <v>0</v>
      </c>
      <c r="N3102" s="504">
        <v>0</v>
      </c>
      <c r="O3102" s="505">
        <v>0</v>
      </c>
    </row>
    <row r="3103" spans="1:15" x14ac:dyDescent="0.35">
      <c r="A3103" s="500" t="s">
        <v>1134</v>
      </c>
      <c r="B3103" s="501" t="s">
        <v>3066</v>
      </c>
      <c r="C3103" s="501" t="s">
        <v>1094</v>
      </c>
      <c r="D3103" s="501" t="s">
        <v>3380</v>
      </c>
      <c r="E3103" s="501" t="s">
        <v>3381</v>
      </c>
      <c r="F3103" s="501" t="s">
        <v>609</v>
      </c>
      <c r="G3103" s="501" t="s">
        <v>610</v>
      </c>
      <c r="H3103" s="501" t="s">
        <v>5836</v>
      </c>
      <c r="I3103" s="501">
        <v>41</v>
      </c>
      <c r="J3103" s="501">
        <v>11</v>
      </c>
      <c r="K3103" s="501">
        <v>0</v>
      </c>
      <c r="L3103" s="501">
        <v>0</v>
      </c>
      <c r="M3103" s="501">
        <v>30</v>
      </c>
      <c r="N3103" s="501">
        <v>0</v>
      </c>
      <c r="O3103" s="506">
        <v>0</v>
      </c>
    </row>
    <row r="3104" spans="1:15" x14ac:dyDescent="0.35">
      <c r="A3104" s="503" t="s">
        <v>1911</v>
      </c>
      <c r="B3104" s="504" t="s">
        <v>2838</v>
      </c>
      <c r="C3104" s="504" t="s">
        <v>1089</v>
      </c>
      <c r="D3104" s="504" t="s">
        <v>3392</v>
      </c>
      <c r="E3104" s="504" t="s">
        <v>3381</v>
      </c>
      <c r="F3104" s="504" t="s">
        <v>609</v>
      </c>
      <c r="G3104" s="504" t="s">
        <v>610</v>
      </c>
      <c r="H3104" s="504" t="s">
        <v>5837</v>
      </c>
      <c r="I3104" s="504">
        <v>16</v>
      </c>
      <c r="J3104" s="504">
        <v>0</v>
      </c>
      <c r="K3104" s="504">
        <v>0</v>
      </c>
      <c r="L3104" s="504">
        <v>0</v>
      </c>
      <c r="M3104" s="504">
        <v>16</v>
      </c>
      <c r="N3104" s="504">
        <v>0</v>
      </c>
      <c r="O3104" s="505">
        <v>0</v>
      </c>
    </row>
    <row r="3105" spans="1:15" x14ac:dyDescent="0.35">
      <c r="A3105" s="500" t="s">
        <v>1245</v>
      </c>
      <c r="B3105" s="501" t="s">
        <v>2859</v>
      </c>
      <c r="C3105" s="501" t="s">
        <v>1094</v>
      </c>
      <c r="D3105" s="501" t="s">
        <v>3380</v>
      </c>
      <c r="E3105" s="501" t="s">
        <v>3381</v>
      </c>
      <c r="F3105" s="501" t="s">
        <v>609</v>
      </c>
      <c r="G3105" s="501" t="s">
        <v>610</v>
      </c>
      <c r="H3105" s="501" t="s">
        <v>5838</v>
      </c>
      <c r="I3105" s="501">
        <v>16</v>
      </c>
      <c r="J3105" s="501">
        <v>0</v>
      </c>
      <c r="K3105" s="501">
        <v>0</v>
      </c>
      <c r="L3105" s="501">
        <v>0</v>
      </c>
      <c r="M3105" s="501">
        <v>14</v>
      </c>
      <c r="N3105" s="501">
        <v>0</v>
      </c>
      <c r="O3105" s="506">
        <v>2</v>
      </c>
    </row>
    <row r="3106" spans="1:15" x14ac:dyDescent="0.35">
      <c r="A3106" s="503" t="s">
        <v>1249</v>
      </c>
      <c r="B3106" s="504">
        <v>4729</v>
      </c>
      <c r="C3106" s="504" t="s">
        <v>1094</v>
      </c>
      <c r="D3106" s="504" t="s">
        <v>3380</v>
      </c>
      <c r="E3106" s="504" t="s">
        <v>3381</v>
      </c>
      <c r="F3106" s="504" t="s">
        <v>609</v>
      </c>
      <c r="G3106" s="504" t="s">
        <v>610</v>
      </c>
      <c r="H3106" s="504" t="s">
        <v>5839</v>
      </c>
      <c r="I3106" s="504">
        <v>89</v>
      </c>
      <c r="J3106" s="504">
        <v>65</v>
      </c>
      <c r="K3106" s="504">
        <v>0</v>
      </c>
      <c r="L3106" s="504">
        <v>0</v>
      </c>
      <c r="M3106" s="504">
        <v>0</v>
      </c>
      <c r="N3106" s="504">
        <v>0</v>
      </c>
      <c r="O3106" s="505">
        <v>24</v>
      </c>
    </row>
    <row r="3107" spans="1:15" x14ac:dyDescent="0.35">
      <c r="A3107" s="500" t="s">
        <v>1138</v>
      </c>
      <c r="B3107" s="501" t="s">
        <v>2998</v>
      </c>
      <c r="C3107" s="501" t="s">
        <v>1094</v>
      </c>
      <c r="D3107" s="501" t="s">
        <v>3380</v>
      </c>
      <c r="E3107" s="501" t="s">
        <v>3381</v>
      </c>
      <c r="F3107" s="501" t="s">
        <v>609</v>
      </c>
      <c r="G3107" s="501" t="s">
        <v>610</v>
      </c>
      <c r="H3107" s="501" t="s">
        <v>5840</v>
      </c>
      <c r="I3107" s="501">
        <v>241</v>
      </c>
      <c r="J3107" s="501">
        <v>195</v>
      </c>
      <c r="K3107" s="501">
        <v>0</v>
      </c>
      <c r="L3107" s="501">
        <v>3</v>
      </c>
      <c r="M3107" s="501">
        <v>0</v>
      </c>
      <c r="N3107" s="501">
        <v>0</v>
      </c>
      <c r="O3107" s="506">
        <v>43</v>
      </c>
    </row>
    <row r="3108" spans="1:15" x14ac:dyDescent="0.35">
      <c r="A3108" s="503" t="s">
        <v>1930</v>
      </c>
      <c r="B3108" s="504" t="s">
        <v>3313</v>
      </c>
      <c r="C3108" s="504" t="s">
        <v>1089</v>
      </c>
      <c r="D3108" s="504" t="s">
        <v>3392</v>
      </c>
      <c r="E3108" s="504" t="s">
        <v>3381</v>
      </c>
      <c r="F3108" s="504" t="s">
        <v>609</v>
      </c>
      <c r="G3108" s="504" t="s">
        <v>610</v>
      </c>
      <c r="H3108" s="504" t="s">
        <v>5841</v>
      </c>
      <c r="I3108" s="504">
        <v>49</v>
      </c>
      <c r="J3108" s="504">
        <v>0</v>
      </c>
      <c r="K3108" s="504">
        <v>0</v>
      </c>
      <c r="L3108" s="504">
        <v>49</v>
      </c>
      <c r="M3108" s="504">
        <v>0</v>
      </c>
      <c r="N3108" s="504">
        <v>0</v>
      </c>
      <c r="O3108" s="505">
        <v>0</v>
      </c>
    </row>
    <row r="3109" spans="1:15" x14ac:dyDescent="0.35">
      <c r="A3109" s="500" t="s">
        <v>1140</v>
      </c>
      <c r="B3109" s="501">
        <v>4850</v>
      </c>
      <c r="C3109" s="501" t="s">
        <v>1094</v>
      </c>
      <c r="D3109" s="501" t="s">
        <v>3380</v>
      </c>
      <c r="E3109" s="501" t="s">
        <v>3381</v>
      </c>
      <c r="F3109" s="501" t="s">
        <v>609</v>
      </c>
      <c r="G3109" s="501" t="s">
        <v>610</v>
      </c>
      <c r="H3109" s="501" t="s">
        <v>5842</v>
      </c>
      <c r="I3109" s="501">
        <v>749</v>
      </c>
      <c r="J3109" s="501">
        <v>598</v>
      </c>
      <c r="K3109" s="501">
        <v>0</v>
      </c>
      <c r="L3109" s="501">
        <v>24</v>
      </c>
      <c r="M3109" s="501">
        <v>0</v>
      </c>
      <c r="N3109" s="501">
        <v>0</v>
      </c>
      <c r="O3109" s="506">
        <v>127</v>
      </c>
    </row>
    <row r="3110" spans="1:15" x14ac:dyDescent="0.35">
      <c r="A3110" s="503" t="s">
        <v>1143</v>
      </c>
      <c r="B3110" s="504" t="s">
        <v>3281</v>
      </c>
      <c r="C3110" s="504" t="s">
        <v>1094</v>
      </c>
      <c r="D3110" s="504" t="s">
        <v>3380</v>
      </c>
      <c r="E3110" s="504" t="s">
        <v>3381</v>
      </c>
      <c r="F3110" s="504" t="s">
        <v>611</v>
      </c>
      <c r="G3110" s="504" t="s">
        <v>612</v>
      </c>
      <c r="H3110" s="504" t="s">
        <v>5843</v>
      </c>
      <c r="I3110" s="504">
        <v>430</v>
      </c>
      <c r="J3110" s="504">
        <v>348</v>
      </c>
      <c r="K3110" s="504">
        <v>0</v>
      </c>
      <c r="L3110" s="504">
        <v>0</v>
      </c>
      <c r="M3110" s="504">
        <v>68</v>
      </c>
      <c r="N3110" s="504">
        <v>3</v>
      </c>
      <c r="O3110" s="505">
        <v>14</v>
      </c>
    </row>
    <row r="3111" spans="1:15" x14ac:dyDescent="0.35">
      <c r="A3111" s="500" t="s">
        <v>1096</v>
      </c>
      <c r="B3111" s="501" t="s">
        <v>3326</v>
      </c>
      <c r="C3111" s="501" t="s">
        <v>1094</v>
      </c>
      <c r="D3111" s="501" t="s">
        <v>3380</v>
      </c>
      <c r="E3111" s="501" t="s">
        <v>3381</v>
      </c>
      <c r="F3111" s="501" t="s">
        <v>611</v>
      </c>
      <c r="G3111" s="501" t="s">
        <v>612</v>
      </c>
      <c r="H3111" s="501" t="s">
        <v>5844</v>
      </c>
      <c r="I3111" s="501">
        <v>27</v>
      </c>
      <c r="J3111" s="501">
        <v>0</v>
      </c>
      <c r="K3111" s="501">
        <v>0</v>
      </c>
      <c r="L3111" s="501">
        <v>0</v>
      </c>
      <c r="M3111" s="501">
        <v>27</v>
      </c>
      <c r="N3111" s="501">
        <v>0</v>
      </c>
      <c r="O3111" s="506">
        <v>0</v>
      </c>
    </row>
    <row r="3112" spans="1:15" x14ac:dyDescent="0.35">
      <c r="A3112" s="503" t="s">
        <v>11363</v>
      </c>
      <c r="B3112" s="504">
        <v>4718</v>
      </c>
      <c r="C3112" s="504" t="s">
        <v>1094</v>
      </c>
      <c r="D3112" s="504" t="s">
        <v>3380</v>
      </c>
      <c r="E3112" s="504" t="s">
        <v>3381</v>
      </c>
      <c r="F3112" s="504" t="s">
        <v>611</v>
      </c>
      <c r="G3112" s="504" t="s">
        <v>612</v>
      </c>
      <c r="H3112" s="504" t="s">
        <v>11545</v>
      </c>
      <c r="I3112" s="504">
        <v>12</v>
      </c>
      <c r="J3112" s="504">
        <v>0</v>
      </c>
      <c r="K3112" s="504">
        <v>0</v>
      </c>
      <c r="L3112" s="504">
        <v>12</v>
      </c>
      <c r="M3112" s="504">
        <v>0</v>
      </c>
      <c r="N3112" s="504">
        <v>0</v>
      </c>
      <c r="O3112" s="505">
        <v>0</v>
      </c>
    </row>
    <row r="3113" spans="1:15" x14ac:dyDescent="0.35">
      <c r="A3113" s="500" t="s">
        <v>1161</v>
      </c>
      <c r="B3113" s="501" t="s">
        <v>3001</v>
      </c>
      <c r="C3113" s="501" t="s">
        <v>1094</v>
      </c>
      <c r="D3113" s="501" t="s">
        <v>3380</v>
      </c>
      <c r="E3113" s="501" t="s">
        <v>3381</v>
      </c>
      <c r="F3113" s="501" t="s">
        <v>611</v>
      </c>
      <c r="G3113" s="501" t="s">
        <v>612</v>
      </c>
      <c r="H3113" s="501" t="s">
        <v>5846</v>
      </c>
      <c r="I3113" s="501">
        <v>4</v>
      </c>
      <c r="J3113" s="501">
        <v>4</v>
      </c>
      <c r="K3113" s="501">
        <v>0</v>
      </c>
      <c r="L3113" s="501">
        <v>0</v>
      </c>
      <c r="M3113" s="501">
        <v>0</v>
      </c>
      <c r="N3113" s="501">
        <v>0</v>
      </c>
      <c r="O3113" s="506">
        <v>0</v>
      </c>
    </row>
    <row r="3114" spans="1:15" x14ac:dyDescent="0.35">
      <c r="A3114" s="503" t="s">
        <v>1286</v>
      </c>
      <c r="B3114" s="504" t="s">
        <v>3341</v>
      </c>
      <c r="C3114" s="504" t="s">
        <v>1094</v>
      </c>
      <c r="D3114" s="504" t="s">
        <v>3380</v>
      </c>
      <c r="E3114" s="504" t="s">
        <v>3381</v>
      </c>
      <c r="F3114" s="504" t="s">
        <v>611</v>
      </c>
      <c r="G3114" s="504" t="s">
        <v>612</v>
      </c>
      <c r="H3114" s="504" t="s">
        <v>5847</v>
      </c>
      <c r="I3114" s="504">
        <v>36</v>
      </c>
      <c r="J3114" s="504">
        <v>14</v>
      </c>
      <c r="K3114" s="504">
        <v>0</v>
      </c>
      <c r="L3114" s="504">
        <v>22</v>
      </c>
      <c r="M3114" s="504">
        <v>0</v>
      </c>
      <c r="N3114" s="504">
        <v>0</v>
      </c>
      <c r="O3114" s="505">
        <v>0</v>
      </c>
    </row>
    <row r="3115" spans="1:15" x14ac:dyDescent="0.35">
      <c r="A3115" s="500" t="s">
        <v>1164</v>
      </c>
      <c r="B3115" s="501">
        <v>4751</v>
      </c>
      <c r="C3115" s="501" t="s">
        <v>1089</v>
      </c>
      <c r="D3115" s="501" t="s">
        <v>3392</v>
      </c>
      <c r="E3115" s="501" t="s">
        <v>3381</v>
      </c>
      <c r="F3115" s="501" t="s">
        <v>611</v>
      </c>
      <c r="G3115" s="501" t="s">
        <v>612</v>
      </c>
      <c r="H3115" s="501" t="s">
        <v>5848</v>
      </c>
      <c r="I3115" s="501">
        <v>3</v>
      </c>
      <c r="J3115" s="501">
        <v>0</v>
      </c>
      <c r="K3115" s="501">
        <v>0</v>
      </c>
      <c r="L3115" s="501">
        <v>3</v>
      </c>
      <c r="M3115" s="501">
        <v>0</v>
      </c>
      <c r="N3115" s="501">
        <v>0</v>
      </c>
      <c r="O3115" s="506">
        <v>0</v>
      </c>
    </row>
    <row r="3116" spans="1:15" x14ac:dyDescent="0.35">
      <c r="A3116" s="503" t="s">
        <v>1100</v>
      </c>
      <c r="B3116" s="504">
        <v>4865</v>
      </c>
      <c r="C3116" s="504" t="s">
        <v>1094</v>
      </c>
      <c r="D3116" s="504" t="s">
        <v>3380</v>
      </c>
      <c r="E3116" s="504" t="s">
        <v>3381</v>
      </c>
      <c r="F3116" s="504" t="s">
        <v>611</v>
      </c>
      <c r="G3116" s="504" t="s">
        <v>612</v>
      </c>
      <c r="H3116" s="504" t="s">
        <v>5849</v>
      </c>
      <c r="I3116" s="504">
        <v>4075</v>
      </c>
      <c r="J3116" s="504">
        <v>3569</v>
      </c>
      <c r="K3116" s="504">
        <v>0</v>
      </c>
      <c r="L3116" s="504">
        <v>0</v>
      </c>
      <c r="M3116" s="504">
        <v>419</v>
      </c>
      <c r="N3116" s="504">
        <v>0</v>
      </c>
      <c r="O3116" s="505">
        <v>87</v>
      </c>
    </row>
    <row r="3117" spans="1:15" x14ac:dyDescent="0.35">
      <c r="A3117" s="500" t="s">
        <v>1290</v>
      </c>
      <c r="B3117" s="501" t="s">
        <v>2979</v>
      </c>
      <c r="C3117" s="501" t="s">
        <v>1094</v>
      </c>
      <c r="D3117" s="501" t="s">
        <v>3380</v>
      </c>
      <c r="E3117" s="501" t="s">
        <v>3381</v>
      </c>
      <c r="F3117" s="501" t="s">
        <v>611</v>
      </c>
      <c r="G3117" s="501" t="s">
        <v>612</v>
      </c>
      <c r="H3117" s="501" t="s">
        <v>5850</v>
      </c>
      <c r="I3117" s="501">
        <v>5</v>
      </c>
      <c r="J3117" s="501">
        <v>5</v>
      </c>
      <c r="K3117" s="501">
        <v>0</v>
      </c>
      <c r="L3117" s="501">
        <v>0</v>
      </c>
      <c r="M3117" s="501">
        <v>0</v>
      </c>
      <c r="N3117" s="501">
        <v>0</v>
      </c>
      <c r="O3117" s="506">
        <v>0</v>
      </c>
    </row>
    <row r="3118" spans="1:15" x14ac:dyDescent="0.35">
      <c r="A3118" s="503" t="s">
        <v>1168</v>
      </c>
      <c r="B3118" s="504" t="s">
        <v>3360</v>
      </c>
      <c r="C3118" s="504" t="s">
        <v>1094</v>
      </c>
      <c r="D3118" s="504" t="s">
        <v>3380</v>
      </c>
      <c r="E3118" s="504" t="s">
        <v>3381</v>
      </c>
      <c r="F3118" s="504" t="s">
        <v>611</v>
      </c>
      <c r="G3118" s="504" t="s">
        <v>612</v>
      </c>
      <c r="H3118" s="504" t="s">
        <v>5851</v>
      </c>
      <c r="I3118" s="504">
        <v>67</v>
      </c>
      <c r="J3118" s="504">
        <v>47</v>
      </c>
      <c r="K3118" s="504">
        <v>0</v>
      </c>
      <c r="L3118" s="504">
        <v>0</v>
      </c>
      <c r="M3118" s="504">
        <v>0</v>
      </c>
      <c r="N3118" s="504">
        <v>0</v>
      </c>
      <c r="O3118" s="505">
        <v>20</v>
      </c>
    </row>
    <row r="3119" spans="1:15" x14ac:dyDescent="0.35">
      <c r="A3119" s="500" t="s">
        <v>1177</v>
      </c>
      <c r="B3119" s="501">
        <v>4702</v>
      </c>
      <c r="C3119" s="501" t="s">
        <v>1089</v>
      </c>
      <c r="D3119" s="501" t="s">
        <v>3392</v>
      </c>
      <c r="E3119" s="501" t="s">
        <v>3381</v>
      </c>
      <c r="F3119" s="501" t="s">
        <v>611</v>
      </c>
      <c r="G3119" s="501" t="s">
        <v>612</v>
      </c>
      <c r="H3119" s="501" t="s">
        <v>5852</v>
      </c>
      <c r="I3119" s="501">
        <v>3</v>
      </c>
      <c r="J3119" s="501">
        <v>0</v>
      </c>
      <c r="K3119" s="501">
        <v>0</v>
      </c>
      <c r="L3119" s="501">
        <v>3</v>
      </c>
      <c r="M3119" s="501">
        <v>0</v>
      </c>
      <c r="N3119" s="501">
        <v>0</v>
      </c>
      <c r="O3119" s="506">
        <v>0</v>
      </c>
    </row>
    <row r="3120" spans="1:15" x14ac:dyDescent="0.35">
      <c r="A3120" s="503" t="s">
        <v>1296</v>
      </c>
      <c r="B3120" s="504">
        <v>4651</v>
      </c>
      <c r="C3120" s="504" t="s">
        <v>1094</v>
      </c>
      <c r="D3120" s="504" t="s">
        <v>3380</v>
      </c>
      <c r="E3120" s="504" t="s">
        <v>3381</v>
      </c>
      <c r="F3120" s="504" t="s">
        <v>611</v>
      </c>
      <c r="G3120" s="504" t="s">
        <v>612</v>
      </c>
      <c r="H3120" s="504" t="s">
        <v>5853</v>
      </c>
      <c r="I3120" s="504">
        <v>3</v>
      </c>
      <c r="J3120" s="504">
        <v>3</v>
      </c>
      <c r="K3120" s="504">
        <v>0</v>
      </c>
      <c r="L3120" s="504">
        <v>0</v>
      </c>
      <c r="M3120" s="504">
        <v>0</v>
      </c>
      <c r="N3120" s="504">
        <v>0</v>
      </c>
      <c r="O3120" s="505">
        <v>0</v>
      </c>
    </row>
    <row r="3121" spans="1:15" x14ac:dyDescent="0.35">
      <c r="A3121" s="500" t="s">
        <v>1179</v>
      </c>
      <c r="B3121" s="501">
        <v>4829</v>
      </c>
      <c r="C3121" s="501" t="s">
        <v>1089</v>
      </c>
      <c r="D3121" s="501" t="s">
        <v>3392</v>
      </c>
      <c r="E3121" s="501" t="s">
        <v>3381</v>
      </c>
      <c r="F3121" s="501" t="s">
        <v>611</v>
      </c>
      <c r="G3121" s="501" t="s">
        <v>612</v>
      </c>
      <c r="H3121" s="501" t="s">
        <v>5854</v>
      </c>
      <c r="I3121" s="501">
        <v>1</v>
      </c>
      <c r="J3121" s="501">
        <v>0</v>
      </c>
      <c r="K3121" s="501">
        <v>0</v>
      </c>
      <c r="L3121" s="501">
        <v>1</v>
      </c>
      <c r="M3121" s="501">
        <v>0</v>
      </c>
      <c r="N3121" s="501">
        <v>0</v>
      </c>
      <c r="O3121" s="506">
        <v>0</v>
      </c>
    </row>
    <row r="3122" spans="1:15" x14ac:dyDescent="0.35">
      <c r="A3122" s="503" t="s">
        <v>1180</v>
      </c>
      <c r="B3122" s="504" t="s">
        <v>3184</v>
      </c>
      <c r="C3122" s="504" t="s">
        <v>1094</v>
      </c>
      <c r="D3122" s="504" t="s">
        <v>3380</v>
      </c>
      <c r="E3122" s="504" t="s">
        <v>3381</v>
      </c>
      <c r="F3122" s="504" t="s">
        <v>611</v>
      </c>
      <c r="G3122" s="504" t="s">
        <v>612</v>
      </c>
      <c r="H3122" s="504" t="s">
        <v>5855</v>
      </c>
      <c r="I3122" s="504">
        <v>9</v>
      </c>
      <c r="J3122" s="504">
        <v>9</v>
      </c>
      <c r="K3122" s="504">
        <v>0</v>
      </c>
      <c r="L3122" s="504">
        <v>0</v>
      </c>
      <c r="M3122" s="504">
        <v>0</v>
      </c>
      <c r="N3122" s="504">
        <v>0</v>
      </c>
      <c r="O3122" s="505">
        <v>0</v>
      </c>
    </row>
    <row r="3123" spans="1:15" x14ac:dyDescent="0.35">
      <c r="A3123" s="500" t="s">
        <v>14208</v>
      </c>
      <c r="B3123" s="501">
        <v>4803</v>
      </c>
      <c r="C3123" s="501" t="s">
        <v>1094</v>
      </c>
      <c r="D3123" s="501" t="s">
        <v>3380</v>
      </c>
      <c r="E3123" s="501" t="s">
        <v>3381</v>
      </c>
      <c r="F3123" s="501" t="s">
        <v>611</v>
      </c>
      <c r="G3123" s="501" t="s">
        <v>612</v>
      </c>
      <c r="H3123" s="501" t="s">
        <v>14690</v>
      </c>
      <c r="I3123" s="501">
        <v>6</v>
      </c>
      <c r="J3123" s="501">
        <v>0</v>
      </c>
      <c r="K3123" s="501">
        <v>0</v>
      </c>
      <c r="L3123" s="501">
        <v>6</v>
      </c>
      <c r="M3123" s="501">
        <v>0</v>
      </c>
      <c r="N3123" s="501">
        <v>0</v>
      </c>
      <c r="O3123" s="506">
        <v>0</v>
      </c>
    </row>
    <row r="3124" spans="1:15" x14ac:dyDescent="0.35">
      <c r="A3124" s="503" t="s">
        <v>1107</v>
      </c>
      <c r="B3124" s="504" t="s">
        <v>3109</v>
      </c>
      <c r="C3124" s="504" t="s">
        <v>1094</v>
      </c>
      <c r="D3124" s="504" t="s">
        <v>3380</v>
      </c>
      <c r="E3124" s="504" t="s">
        <v>3381</v>
      </c>
      <c r="F3124" s="504" t="s">
        <v>611</v>
      </c>
      <c r="G3124" s="504" t="s">
        <v>612</v>
      </c>
      <c r="H3124" s="504" t="s">
        <v>5856</v>
      </c>
      <c r="I3124" s="504">
        <v>112</v>
      </c>
      <c r="J3124" s="504">
        <v>75</v>
      </c>
      <c r="K3124" s="504">
        <v>0</v>
      </c>
      <c r="L3124" s="504">
        <v>21</v>
      </c>
      <c r="M3124" s="504">
        <v>0</v>
      </c>
      <c r="N3124" s="504">
        <v>0</v>
      </c>
      <c r="O3124" s="505">
        <v>16</v>
      </c>
    </row>
    <row r="3125" spans="1:15" x14ac:dyDescent="0.35">
      <c r="A3125" s="500" t="s">
        <v>1109</v>
      </c>
      <c r="B3125" s="501" t="s">
        <v>2959</v>
      </c>
      <c r="C3125" s="501" t="s">
        <v>1094</v>
      </c>
      <c r="D3125" s="501" t="s">
        <v>3380</v>
      </c>
      <c r="E3125" s="501" t="s">
        <v>3381</v>
      </c>
      <c r="F3125" s="501" t="s">
        <v>611</v>
      </c>
      <c r="G3125" s="501" t="s">
        <v>612</v>
      </c>
      <c r="H3125" s="501" t="s">
        <v>5857</v>
      </c>
      <c r="I3125" s="501">
        <v>31</v>
      </c>
      <c r="J3125" s="501">
        <v>0</v>
      </c>
      <c r="K3125" s="501">
        <v>0</v>
      </c>
      <c r="L3125" s="501">
        <v>0</v>
      </c>
      <c r="M3125" s="501">
        <v>31</v>
      </c>
      <c r="N3125" s="501">
        <v>0</v>
      </c>
      <c r="O3125" s="506">
        <v>0</v>
      </c>
    </row>
    <row r="3126" spans="1:15" x14ac:dyDescent="0.35">
      <c r="A3126" s="503" t="s">
        <v>1306</v>
      </c>
      <c r="B3126" s="504" t="s">
        <v>3005</v>
      </c>
      <c r="C3126" s="504" t="s">
        <v>1094</v>
      </c>
      <c r="D3126" s="504" t="s">
        <v>3380</v>
      </c>
      <c r="E3126" s="504" t="s">
        <v>3381</v>
      </c>
      <c r="F3126" s="504" t="s">
        <v>611</v>
      </c>
      <c r="G3126" s="504" t="s">
        <v>612</v>
      </c>
      <c r="H3126" s="504" t="s">
        <v>5858</v>
      </c>
      <c r="I3126" s="504">
        <v>36</v>
      </c>
      <c r="J3126" s="504">
        <v>35</v>
      </c>
      <c r="K3126" s="504">
        <v>0</v>
      </c>
      <c r="L3126" s="504">
        <v>0</v>
      </c>
      <c r="M3126" s="504">
        <v>0</v>
      </c>
      <c r="N3126" s="504">
        <v>0</v>
      </c>
      <c r="O3126" s="505">
        <v>1</v>
      </c>
    </row>
    <row r="3127" spans="1:15" x14ac:dyDescent="0.35">
      <c r="A3127" s="500" t="s">
        <v>1190</v>
      </c>
      <c r="B3127" s="501">
        <v>4662</v>
      </c>
      <c r="C3127" s="501" t="s">
        <v>1094</v>
      </c>
      <c r="D3127" s="501" t="s">
        <v>3380</v>
      </c>
      <c r="E3127" s="501" t="s">
        <v>3381</v>
      </c>
      <c r="F3127" s="501" t="s">
        <v>611</v>
      </c>
      <c r="G3127" s="501" t="s">
        <v>612</v>
      </c>
      <c r="H3127" s="501" t="s">
        <v>5859</v>
      </c>
      <c r="I3127" s="501">
        <v>38</v>
      </c>
      <c r="J3127" s="501">
        <v>0</v>
      </c>
      <c r="K3127" s="501">
        <v>0</v>
      </c>
      <c r="L3127" s="501">
        <v>38</v>
      </c>
      <c r="M3127" s="501">
        <v>0</v>
      </c>
      <c r="N3127" s="501">
        <v>0</v>
      </c>
      <c r="O3127" s="506">
        <v>0</v>
      </c>
    </row>
    <row r="3128" spans="1:15" x14ac:dyDescent="0.35">
      <c r="A3128" s="503" t="s">
        <v>1203</v>
      </c>
      <c r="B3128" s="504" t="s">
        <v>3170</v>
      </c>
      <c r="C3128" s="504" t="s">
        <v>1094</v>
      </c>
      <c r="D3128" s="504" t="s">
        <v>3380</v>
      </c>
      <c r="E3128" s="504" t="s">
        <v>3381</v>
      </c>
      <c r="F3128" s="504" t="s">
        <v>611</v>
      </c>
      <c r="G3128" s="504" t="s">
        <v>612</v>
      </c>
      <c r="H3128" s="504" t="s">
        <v>5860</v>
      </c>
      <c r="I3128" s="504">
        <v>405</v>
      </c>
      <c r="J3128" s="504">
        <v>259</v>
      </c>
      <c r="K3128" s="504">
        <v>0</v>
      </c>
      <c r="L3128" s="504">
        <v>23</v>
      </c>
      <c r="M3128" s="504">
        <v>60</v>
      </c>
      <c r="N3128" s="504">
        <v>0</v>
      </c>
      <c r="O3128" s="505">
        <v>63</v>
      </c>
    </row>
    <row r="3129" spans="1:15" x14ac:dyDescent="0.35">
      <c r="A3129" s="500" t="s">
        <v>1112</v>
      </c>
      <c r="B3129" s="501" t="s">
        <v>3008</v>
      </c>
      <c r="C3129" s="501" t="s">
        <v>1094</v>
      </c>
      <c r="D3129" s="501" t="s">
        <v>3380</v>
      </c>
      <c r="E3129" s="501" t="s">
        <v>3381</v>
      </c>
      <c r="F3129" s="501" t="s">
        <v>611</v>
      </c>
      <c r="G3129" s="501" t="s">
        <v>612</v>
      </c>
      <c r="H3129" s="501" t="s">
        <v>5861</v>
      </c>
      <c r="I3129" s="501">
        <v>60</v>
      </c>
      <c r="J3129" s="501">
        <v>59</v>
      </c>
      <c r="K3129" s="501">
        <v>0</v>
      </c>
      <c r="L3129" s="501">
        <v>0</v>
      </c>
      <c r="M3129" s="501">
        <v>0</v>
      </c>
      <c r="N3129" s="501">
        <v>0</v>
      </c>
      <c r="O3129" s="506">
        <v>1</v>
      </c>
    </row>
    <row r="3130" spans="1:15" x14ac:dyDescent="0.35">
      <c r="A3130" s="503" t="s">
        <v>1208</v>
      </c>
      <c r="B3130" s="504" t="s">
        <v>3096</v>
      </c>
      <c r="C3130" s="504" t="s">
        <v>1094</v>
      </c>
      <c r="D3130" s="504" t="s">
        <v>3380</v>
      </c>
      <c r="E3130" s="504" t="s">
        <v>3381</v>
      </c>
      <c r="F3130" s="504" t="s">
        <v>611</v>
      </c>
      <c r="G3130" s="504" t="s">
        <v>612</v>
      </c>
      <c r="H3130" s="504" t="s">
        <v>5862</v>
      </c>
      <c r="I3130" s="504">
        <v>124</v>
      </c>
      <c r="J3130" s="504">
        <v>98</v>
      </c>
      <c r="K3130" s="504">
        <v>0</v>
      </c>
      <c r="L3130" s="504">
        <v>19</v>
      </c>
      <c r="M3130" s="504">
        <v>0</v>
      </c>
      <c r="N3130" s="504">
        <v>0</v>
      </c>
      <c r="O3130" s="505">
        <v>7</v>
      </c>
    </row>
    <row r="3131" spans="1:15" x14ac:dyDescent="0.35">
      <c r="A3131" s="500" t="s">
        <v>1209</v>
      </c>
      <c r="B3131" s="501">
        <v>4779</v>
      </c>
      <c r="C3131" s="501" t="s">
        <v>1094</v>
      </c>
      <c r="D3131" s="501" t="s">
        <v>3380</v>
      </c>
      <c r="E3131" s="501" t="s">
        <v>3381</v>
      </c>
      <c r="F3131" s="501" t="s">
        <v>611</v>
      </c>
      <c r="G3131" s="501" t="s">
        <v>612</v>
      </c>
      <c r="H3131" s="501" t="s">
        <v>5863</v>
      </c>
      <c r="I3131" s="501">
        <v>10</v>
      </c>
      <c r="J3131" s="501">
        <v>0</v>
      </c>
      <c r="K3131" s="501">
        <v>0</v>
      </c>
      <c r="L3131" s="501">
        <v>10</v>
      </c>
      <c r="M3131" s="501">
        <v>0</v>
      </c>
      <c r="N3131" s="501">
        <v>0</v>
      </c>
      <c r="O3131" s="506">
        <v>0</v>
      </c>
    </row>
    <row r="3132" spans="1:15" x14ac:dyDescent="0.35">
      <c r="A3132" s="503" t="s">
        <v>1122</v>
      </c>
      <c r="B3132" s="504" t="s">
        <v>2994</v>
      </c>
      <c r="C3132" s="504" t="s">
        <v>1094</v>
      </c>
      <c r="D3132" s="504" t="s">
        <v>3380</v>
      </c>
      <c r="E3132" s="504" t="s">
        <v>3381</v>
      </c>
      <c r="F3132" s="504" t="s">
        <v>611</v>
      </c>
      <c r="G3132" s="504" t="s">
        <v>612</v>
      </c>
      <c r="H3132" s="504" t="s">
        <v>5864</v>
      </c>
      <c r="I3132" s="504">
        <v>1</v>
      </c>
      <c r="J3132" s="504">
        <v>1</v>
      </c>
      <c r="K3132" s="504">
        <v>0</v>
      </c>
      <c r="L3132" s="504">
        <v>0</v>
      </c>
      <c r="M3132" s="504">
        <v>0</v>
      </c>
      <c r="N3132" s="504">
        <v>0</v>
      </c>
      <c r="O3132" s="505">
        <v>0</v>
      </c>
    </row>
    <row r="3133" spans="1:15" x14ac:dyDescent="0.35">
      <c r="A3133" s="500" t="s">
        <v>1225</v>
      </c>
      <c r="B3133" s="501" t="s">
        <v>3315</v>
      </c>
      <c r="C3133" s="501" t="s">
        <v>1094</v>
      </c>
      <c r="D3133" s="501" t="s">
        <v>3380</v>
      </c>
      <c r="E3133" s="501" t="s">
        <v>3381</v>
      </c>
      <c r="F3133" s="501" t="s">
        <v>611</v>
      </c>
      <c r="G3133" s="501" t="s">
        <v>612</v>
      </c>
      <c r="H3133" s="501" t="s">
        <v>5865</v>
      </c>
      <c r="I3133" s="501">
        <v>14</v>
      </c>
      <c r="J3133" s="501">
        <v>0</v>
      </c>
      <c r="K3133" s="501">
        <v>0</v>
      </c>
      <c r="L3133" s="501">
        <v>14</v>
      </c>
      <c r="M3133" s="501">
        <v>0</v>
      </c>
      <c r="N3133" s="501">
        <v>0</v>
      </c>
      <c r="O3133" s="506">
        <v>0</v>
      </c>
    </row>
    <row r="3134" spans="1:15" x14ac:dyDescent="0.35">
      <c r="A3134" s="503" t="s">
        <v>1124</v>
      </c>
      <c r="B3134" s="504">
        <v>4745</v>
      </c>
      <c r="C3134" s="504" t="s">
        <v>1094</v>
      </c>
      <c r="D3134" s="504" t="s">
        <v>3380</v>
      </c>
      <c r="E3134" s="504" t="s">
        <v>3381</v>
      </c>
      <c r="F3134" s="504" t="s">
        <v>611</v>
      </c>
      <c r="G3134" s="504" t="s">
        <v>612</v>
      </c>
      <c r="H3134" s="504" t="s">
        <v>5866</v>
      </c>
      <c r="I3134" s="504">
        <v>16</v>
      </c>
      <c r="J3134" s="504">
        <v>0</v>
      </c>
      <c r="K3134" s="504">
        <v>0</v>
      </c>
      <c r="L3134" s="504">
        <v>16</v>
      </c>
      <c r="M3134" s="504">
        <v>0</v>
      </c>
      <c r="N3134" s="504">
        <v>0</v>
      </c>
      <c r="O3134" s="505">
        <v>0</v>
      </c>
    </row>
    <row r="3135" spans="1:15" x14ac:dyDescent="0.35">
      <c r="A3135" s="500" t="s">
        <v>1339</v>
      </c>
      <c r="B3135" s="501" t="s">
        <v>3358</v>
      </c>
      <c r="C3135" s="501" t="s">
        <v>1094</v>
      </c>
      <c r="D3135" s="501" t="s">
        <v>3380</v>
      </c>
      <c r="E3135" s="501" t="s">
        <v>3381</v>
      </c>
      <c r="F3135" s="501" t="s">
        <v>611</v>
      </c>
      <c r="G3135" s="501" t="s">
        <v>612</v>
      </c>
      <c r="H3135" s="501" t="s">
        <v>5867</v>
      </c>
      <c r="I3135" s="501">
        <v>1</v>
      </c>
      <c r="J3135" s="501">
        <v>0</v>
      </c>
      <c r="K3135" s="501">
        <v>0</v>
      </c>
      <c r="L3135" s="501">
        <v>0</v>
      </c>
      <c r="M3135" s="501">
        <v>0</v>
      </c>
      <c r="N3135" s="501">
        <v>0</v>
      </c>
      <c r="O3135" s="506">
        <v>1</v>
      </c>
    </row>
    <row r="3136" spans="1:15" x14ac:dyDescent="0.35">
      <c r="A3136" s="503" t="s">
        <v>1235</v>
      </c>
      <c r="B3136" s="504">
        <v>4684</v>
      </c>
      <c r="C3136" s="504" t="s">
        <v>1094</v>
      </c>
      <c r="D3136" s="504" t="s">
        <v>3380</v>
      </c>
      <c r="E3136" s="504" t="s">
        <v>3381</v>
      </c>
      <c r="F3136" s="504" t="s">
        <v>611</v>
      </c>
      <c r="G3136" s="504" t="s">
        <v>612</v>
      </c>
      <c r="H3136" s="504" t="s">
        <v>5868</v>
      </c>
      <c r="I3136" s="504">
        <v>52</v>
      </c>
      <c r="J3136" s="504">
        <v>52</v>
      </c>
      <c r="K3136" s="504">
        <v>0</v>
      </c>
      <c r="L3136" s="504">
        <v>0</v>
      </c>
      <c r="M3136" s="504">
        <v>0</v>
      </c>
      <c r="N3136" s="504">
        <v>0</v>
      </c>
      <c r="O3136" s="505">
        <v>0</v>
      </c>
    </row>
    <row r="3137" spans="1:15" x14ac:dyDescent="0.35">
      <c r="A3137" s="500" t="s">
        <v>1126</v>
      </c>
      <c r="B3137" s="501" t="s">
        <v>2974</v>
      </c>
      <c r="C3137" s="501" t="s">
        <v>1094</v>
      </c>
      <c r="D3137" s="501" t="s">
        <v>3380</v>
      </c>
      <c r="E3137" s="501" t="s">
        <v>3381</v>
      </c>
      <c r="F3137" s="501" t="s">
        <v>611</v>
      </c>
      <c r="G3137" s="501" t="s">
        <v>612</v>
      </c>
      <c r="H3137" s="501" t="s">
        <v>5869</v>
      </c>
      <c r="I3137" s="501">
        <v>242</v>
      </c>
      <c r="J3137" s="501">
        <v>93</v>
      </c>
      <c r="K3137" s="501">
        <v>0</v>
      </c>
      <c r="L3137" s="501">
        <v>14</v>
      </c>
      <c r="M3137" s="501">
        <v>130</v>
      </c>
      <c r="N3137" s="501">
        <v>0</v>
      </c>
      <c r="O3137" s="506">
        <v>5</v>
      </c>
    </row>
    <row r="3138" spans="1:15" x14ac:dyDescent="0.35">
      <c r="A3138" s="503" t="s">
        <v>1356</v>
      </c>
      <c r="B3138" s="504" t="s">
        <v>3026</v>
      </c>
      <c r="C3138" s="504" t="s">
        <v>1094</v>
      </c>
      <c r="D3138" s="504" t="s">
        <v>3380</v>
      </c>
      <c r="E3138" s="504" t="s">
        <v>3381</v>
      </c>
      <c r="F3138" s="504" t="s">
        <v>611</v>
      </c>
      <c r="G3138" s="504" t="s">
        <v>612</v>
      </c>
      <c r="H3138" s="504" t="s">
        <v>5870</v>
      </c>
      <c r="I3138" s="504">
        <v>209</v>
      </c>
      <c r="J3138" s="504">
        <v>180</v>
      </c>
      <c r="K3138" s="504">
        <v>0</v>
      </c>
      <c r="L3138" s="504">
        <v>28</v>
      </c>
      <c r="M3138" s="504">
        <v>0</v>
      </c>
      <c r="N3138" s="504">
        <v>0</v>
      </c>
      <c r="O3138" s="505">
        <v>1</v>
      </c>
    </row>
    <row r="3139" spans="1:15" x14ac:dyDescent="0.35">
      <c r="A3139" s="500" t="s">
        <v>1364</v>
      </c>
      <c r="B3139" s="501" t="s">
        <v>3277</v>
      </c>
      <c r="C3139" s="501" t="s">
        <v>1089</v>
      </c>
      <c r="D3139" s="501" t="s">
        <v>3392</v>
      </c>
      <c r="E3139" s="501" t="s">
        <v>3381</v>
      </c>
      <c r="F3139" s="501" t="s">
        <v>611</v>
      </c>
      <c r="G3139" s="501" t="s">
        <v>612</v>
      </c>
      <c r="H3139" s="501" t="s">
        <v>5871</v>
      </c>
      <c r="I3139" s="501">
        <v>20</v>
      </c>
      <c r="J3139" s="501">
        <v>0</v>
      </c>
      <c r="K3139" s="501">
        <v>0</v>
      </c>
      <c r="L3139" s="501">
        <v>20</v>
      </c>
      <c r="M3139" s="501">
        <v>0</v>
      </c>
      <c r="N3139" s="501">
        <v>0</v>
      </c>
      <c r="O3139" s="506">
        <v>0</v>
      </c>
    </row>
    <row r="3140" spans="1:15" x14ac:dyDescent="0.35">
      <c r="A3140" s="503" t="s">
        <v>1380</v>
      </c>
      <c r="B3140" s="504" t="s">
        <v>2508</v>
      </c>
      <c r="C3140" s="504" t="s">
        <v>1089</v>
      </c>
      <c r="D3140" s="504" t="s">
        <v>3392</v>
      </c>
      <c r="E3140" s="504" t="s">
        <v>3381</v>
      </c>
      <c r="F3140" s="504" t="s">
        <v>611</v>
      </c>
      <c r="G3140" s="504" t="s">
        <v>612</v>
      </c>
      <c r="H3140" s="504" t="s">
        <v>5872</v>
      </c>
      <c r="I3140" s="504">
        <v>21</v>
      </c>
      <c r="J3140" s="504">
        <v>0</v>
      </c>
      <c r="K3140" s="504">
        <v>0</v>
      </c>
      <c r="L3140" s="504">
        <v>0</v>
      </c>
      <c r="M3140" s="504">
        <v>21</v>
      </c>
      <c r="N3140" s="504">
        <v>0</v>
      </c>
      <c r="O3140" s="505">
        <v>0</v>
      </c>
    </row>
    <row r="3141" spans="1:15" x14ac:dyDescent="0.35">
      <c r="A3141" s="500" t="s">
        <v>1156</v>
      </c>
      <c r="B3141" s="501" t="s">
        <v>3310</v>
      </c>
      <c r="C3141" s="501" t="s">
        <v>1094</v>
      </c>
      <c r="D3141" s="501" t="s">
        <v>3380</v>
      </c>
      <c r="E3141" s="501" t="s">
        <v>3381</v>
      </c>
      <c r="F3141" s="501" t="s">
        <v>611</v>
      </c>
      <c r="G3141" s="501" t="s">
        <v>612</v>
      </c>
      <c r="H3141" s="501" t="s">
        <v>5845</v>
      </c>
      <c r="I3141" s="501">
        <v>5</v>
      </c>
      <c r="J3141" s="501">
        <v>2</v>
      </c>
      <c r="K3141" s="501">
        <v>0</v>
      </c>
      <c r="L3141" s="501">
        <v>0</v>
      </c>
      <c r="M3141" s="501">
        <v>0</v>
      </c>
      <c r="N3141" s="501">
        <v>0</v>
      </c>
      <c r="O3141" s="506">
        <v>3</v>
      </c>
    </row>
    <row r="3142" spans="1:15" x14ac:dyDescent="0.35">
      <c r="A3142" s="503" t="s">
        <v>1096</v>
      </c>
      <c r="B3142" s="504" t="s">
        <v>3326</v>
      </c>
      <c r="C3142" s="504" t="s">
        <v>1094</v>
      </c>
      <c r="D3142" s="504" t="s">
        <v>3380</v>
      </c>
      <c r="E3142" s="504" t="s">
        <v>3381</v>
      </c>
      <c r="F3142" s="504" t="s">
        <v>613</v>
      </c>
      <c r="G3142" s="504" t="s">
        <v>614</v>
      </c>
      <c r="H3142" s="504" t="s">
        <v>5873</v>
      </c>
      <c r="I3142" s="504">
        <v>136</v>
      </c>
      <c r="J3142" s="504">
        <v>0</v>
      </c>
      <c r="K3142" s="504">
        <v>0</v>
      </c>
      <c r="L3142" s="504">
        <v>0</v>
      </c>
      <c r="M3142" s="504">
        <v>121</v>
      </c>
      <c r="N3142" s="504">
        <v>0</v>
      </c>
      <c r="O3142" s="505">
        <v>15</v>
      </c>
    </row>
    <row r="3143" spans="1:15" x14ac:dyDescent="0.35">
      <c r="A3143" s="500" t="s">
        <v>1806</v>
      </c>
      <c r="B3143" s="501" t="s">
        <v>2825</v>
      </c>
      <c r="C3143" s="501" t="s">
        <v>1089</v>
      </c>
      <c r="D3143" s="501" t="s">
        <v>3392</v>
      </c>
      <c r="E3143" s="501" t="s">
        <v>3381</v>
      </c>
      <c r="F3143" s="501" t="s">
        <v>613</v>
      </c>
      <c r="G3143" s="501" t="s">
        <v>614</v>
      </c>
      <c r="H3143" s="501" t="s">
        <v>5874</v>
      </c>
      <c r="I3143" s="501">
        <v>42</v>
      </c>
      <c r="J3143" s="501">
        <v>42</v>
      </c>
      <c r="K3143" s="501">
        <v>0</v>
      </c>
      <c r="L3143" s="501">
        <v>0</v>
      </c>
      <c r="M3143" s="501">
        <v>0</v>
      </c>
      <c r="N3143" s="501">
        <v>0</v>
      </c>
      <c r="O3143" s="506">
        <v>0</v>
      </c>
    </row>
    <row r="3144" spans="1:15" x14ac:dyDescent="0.35">
      <c r="A3144" s="503" t="s">
        <v>1164</v>
      </c>
      <c r="B3144" s="504">
        <v>4751</v>
      </c>
      <c r="C3144" s="504" t="s">
        <v>1089</v>
      </c>
      <c r="D3144" s="504" t="s">
        <v>3392</v>
      </c>
      <c r="E3144" s="504" t="s">
        <v>3381</v>
      </c>
      <c r="F3144" s="504" t="s">
        <v>613</v>
      </c>
      <c r="G3144" s="504" t="s">
        <v>614</v>
      </c>
      <c r="H3144" s="504" t="s">
        <v>14691</v>
      </c>
      <c r="I3144" s="504">
        <v>10</v>
      </c>
      <c r="J3144" s="504">
        <v>0</v>
      </c>
      <c r="K3144" s="504">
        <v>0</v>
      </c>
      <c r="L3144" s="504">
        <v>10</v>
      </c>
      <c r="M3144" s="504">
        <v>0</v>
      </c>
      <c r="N3144" s="504">
        <v>0</v>
      </c>
      <c r="O3144" s="505">
        <v>0</v>
      </c>
    </row>
    <row r="3145" spans="1:15" x14ac:dyDescent="0.35">
      <c r="A3145" s="500" t="s">
        <v>1100</v>
      </c>
      <c r="B3145" s="501">
        <v>4865</v>
      </c>
      <c r="C3145" s="501" t="s">
        <v>1094</v>
      </c>
      <c r="D3145" s="501" t="s">
        <v>3380</v>
      </c>
      <c r="E3145" s="501" t="s">
        <v>3381</v>
      </c>
      <c r="F3145" s="501" t="s">
        <v>613</v>
      </c>
      <c r="G3145" s="501" t="s">
        <v>614</v>
      </c>
      <c r="H3145" s="501" t="s">
        <v>5875</v>
      </c>
      <c r="I3145" s="501">
        <v>18</v>
      </c>
      <c r="J3145" s="501">
        <v>18</v>
      </c>
      <c r="K3145" s="501">
        <v>0</v>
      </c>
      <c r="L3145" s="501">
        <v>0</v>
      </c>
      <c r="M3145" s="501">
        <v>0</v>
      </c>
      <c r="N3145" s="501">
        <v>0</v>
      </c>
      <c r="O3145" s="506">
        <v>0</v>
      </c>
    </row>
    <row r="3146" spans="1:15" x14ac:dyDescent="0.35">
      <c r="A3146" s="503" t="s">
        <v>1288</v>
      </c>
      <c r="B3146" s="504" t="s">
        <v>3243</v>
      </c>
      <c r="C3146" s="504" t="s">
        <v>1089</v>
      </c>
      <c r="D3146" s="504" t="s">
        <v>3392</v>
      </c>
      <c r="E3146" s="504" t="s">
        <v>3381</v>
      </c>
      <c r="F3146" s="504" t="s">
        <v>613</v>
      </c>
      <c r="G3146" s="504" t="s">
        <v>614</v>
      </c>
      <c r="H3146" s="504" t="s">
        <v>5876</v>
      </c>
      <c r="I3146" s="504">
        <v>45</v>
      </c>
      <c r="J3146" s="504">
        <v>45</v>
      </c>
      <c r="K3146" s="504">
        <v>0</v>
      </c>
      <c r="L3146" s="504">
        <v>0</v>
      </c>
      <c r="M3146" s="504">
        <v>0</v>
      </c>
      <c r="N3146" s="504">
        <v>0</v>
      </c>
      <c r="O3146" s="505">
        <v>0</v>
      </c>
    </row>
    <row r="3147" spans="1:15" x14ac:dyDescent="0.35">
      <c r="A3147" s="500" t="s">
        <v>1175</v>
      </c>
      <c r="B3147" s="501" t="s">
        <v>3141</v>
      </c>
      <c r="C3147" s="501" t="s">
        <v>1094</v>
      </c>
      <c r="D3147" s="501" t="s">
        <v>3380</v>
      </c>
      <c r="E3147" s="501" t="s">
        <v>3381</v>
      </c>
      <c r="F3147" s="501" t="s">
        <v>613</v>
      </c>
      <c r="G3147" s="501" t="s">
        <v>614</v>
      </c>
      <c r="H3147" s="501" t="s">
        <v>5877</v>
      </c>
      <c r="I3147" s="501">
        <v>18</v>
      </c>
      <c r="J3147" s="501">
        <v>7</v>
      </c>
      <c r="K3147" s="501">
        <v>0</v>
      </c>
      <c r="L3147" s="501">
        <v>0</v>
      </c>
      <c r="M3147" s="501">
        <v>0</v>
      </c>
      <c r="N3147" s="501">
        <v>0</v>
      </c>
      <c r="O3147" s="506">
        <v>11</v>
      </c>
    </row>
    <row r="3148" spans="1:15" x14ac:dyDescent="0.35">
      <c r="A3148" s="503" t="s">
        <v>14208</v>
      </c>
      <c r="B3148" s="504">
        <v>4803</v>
      </c>
      <c r="C3148" s="504" t="s">
        <v>1094</v>
      </c>
      <c r="D3148" s="504" t="s">
        <v>3380</v>
      </c>
      <c r="E3148" s="504" t="s">
        <v>3381</v>
      </c>
      <c r="F3148" s="504" t="s">
        <v>613</v>
      </c>
      <c r="G3148" s="504" t="s">
        <v>614</v>
      </c>
      <c r="H3148" s="504" t="s">
        <v>14692</v>
      </c>
      <c r="I3148" s="504">
        <v>18</v>
      </c>
      <c r="J3148" s="504">
        <v>0</v>
      </c>
      <c r="K3148" s="504">
        <v>0</v>
      </c>
      <c r="L3148" s="504">
        <v>18</v>
      </c>
      <c r="M3148" s="504">
        <v>0</v>
      </c>
      <c r="N3148" s="504">
        <v>0</v>
      </c>
      <c r="O3148" s="505">
        <v>0</v>
      </c>
    </row>
    <row r="3149" spans="1:15" x14ac:dyDescent="0.35">
      <c r="A3149" s="500" t="s">
        <v>1105</v>
      </c>
      <c r="B3149" s="501">
        <v>4668</v>
      </c>
      <c r="C3149" s="501" t="s">
        <v>1094</v>
      </c>
      <c r="D3149" s="501" t="s">
        <v>3380</v>
      </c>
      <c r="E3149" s="501" t="s">
        <v>3381</v>
      </c>
      <c r="F3149" s="501" t="s">
        <v>613</v>
      </c>
      <c r="G3149" s="501" t="s">
        <v>614</v>
      </c>
      <c r="H3149" s="501" t="s">
        <v>5878</v>
      </c>
      <c r="I3149" s="501">
        <v>3</v>
      </c>
      <c r="J3149" s="501">
        <v>0</v>
      </c>
      <c r="K3149" s="501">
        <v>0</v>
      </c>
      <c r="L3149" s="501">
        <v>0</v>
      </c>
      <c r="M3149" s="501">
        <v>0</v>
      </c>
      <c r="N3149" s="501">
        <v>0</v>
      </c>
      <c r="O3149" s="506">
        <v>3</v>
      </c>
    </row>
    <row r="3150" spans="1:15" x14ac:dyDescent="0.35">
      <c r="A3150" s="503" t="s">
        <v>1109</v>
      </c>
      <c r="B3150" s="504" t="s">
        <v>2959</v>
      </c>
      <c r="C3150" s="504" t="s">
        <v>1094</v>
      </c>
      <c r="D3150" s="504" t="s">
        <v>3380</v>
      </c>
      <c r="E3150" s="504" t="s">
        <v>3381</v>
      </c>
      <c r="F3150" s="504" t="s">
        <v>613</v>
      </c>
      <c r="G3150" s="504" t="s">
        <v>614</v>
      </c>
      <c r="H3150" s="504" t="s">
        <v>5879</v>
      </c>
      <c r="I3150" s="504">
        <v>59</v>
      </c>
      <c r="J3150" s="504">
        <v>0</v>
      </c>
      <c r="K3150" s="504">
        <v>0</v>
      </c>
      <c r="L3150" s="504">
        <v>0</v>
      </c>
      <c r="M3150" s="504">
        <v>59</v>
      </c>
      <c r="N3150" s="504">
        <v>0</v>
      </c>
      <c r="O3150" s="505">
        <v>0</v>
      </c>
    </row>
    <row r="3151" spans="1:15" x14ac:dyDescent="0.35">
      <c r="A3151" s="500" t="s">
        <v>1189</v>
      </c>
      <c r="B3151" s="501" t="s">
        <v>3236</v>
      </c>
      <c r="C3151" s="501" t="s">
        <v>1094</v>
      </c>
      <c r="D3151" s="501" t="s">
        <v>3380</v>
      </c>
      <c r="E3151" s="501" t="s">
        <v>3381</v>
      </c>
      <c r="F3151" s="501" t="s">
        <v>613</v>
      </c>
      <c r="G3151" s="501" t="s">
        <v>614</v>
      </c>
      <c r="H3151" s="501" t="s">
        <v>5880</v>
      </c>
      <c r="I3151" s="501">
        <v>170</v>
      </c>
      <c r="J3151" s="501">
        <v>130</v>
      </c>
      <c r="K3151" s="501">
        <v>0</v>
      </c>
      <c r="L3151" s="501">
        <v>26</v>
      </c>
      <c r="M3151" s="501">
        <v>0</v>
      </c>
      <c r="N3151" s="501">
        <v>0</v>
      </c>
      <c r="O3151" s="506">
        <v>14</v>
      </c>
    </row>
    <row r="3152" spans="1:15" x14ac:dyDescent="0.35">
      <c r="A3152" s="503" t="s">
        <v>1190</v>
      </c>
      <c r="B3152" s="504">
        <v>4662</v>
      </c>
      <c r="C3152" s="504" t="s">
        <v>1094</v>
      </c>
      <c r="D3152" s="504" t="s">
        <v>3380</v>
      </c>
      <c r="E3152" s="504" t="s">
        <v>3381</v>
      </c>
      <c r="F3152" s="504" t="s">
        <v>613</v>
      </c>
      <c r="G3152" s="504" t="s">
        <v>614</v>
      </c>
      <c r="H3152" s="504" t="s">
        <v>5881</v>
      </c>
      <c r="I3152" s="504">
        <v>33</v>
      </c>
      <c r="J3152" s="504">
        <v>0</v>
      </c>
      <c r="K3152" s="504">
        <v>0</v>
      </c>
      <c r="L3152" s="504">
        <v>33</v>
      </c>
      <c r="M3152" s="504">
        <v>0</v>
      </c>
      <c r="N3152" s="504">
        <v>0</v>
      </c>
      <c r="O3152" s="505">
        <v>0</v>
      </c>
    </row>
    <row r="3153" spans="1:15" x14ac:dyDescent="0.35">
      <c r="A3153" s="500" t="s">
        <v>1855</v>
      </c>
      <c r="B3153" s="501" t="s">
        <v>2446</v>
      </c>
      <c r="C3153" s="501" t="s">
        <v>1089</v>
      </c>
      <c r="D3153" s="501" t="s">
        <v>3392</v>
      </c>
      <c r="E3153" s="501" t="s">
        <v>3381</v>
      </c>
      <c r="F3153" s="501" t="s">
        <v>613</v>
      </c>
      <c r="G3153" s="501" t="s">
        <v>614</v>
      </c>
      <c r="H3153" s="501" t="s">
        <v>5882</v>
      </c>
      <c r="I3153" s="501">
        <v>16</v>
      </c>
      <c r="J3153" s="501">
        <v>16</v>
      </c>
      <c r="K3153" s="501">
        <v>0</v>
      </c>
      <c r="L3153" s="501">
        <v>0</v>
      </c>
      <c r="M3153" s="501">
        <v>0</v>
      </c>
      <c r="N3153" s="501">
        <v>0</v>
      </c>
      <c r="O3153" s="506">
        <v>0</v>
      </c>
    </row>
    <row r="3154" spans="1:15" x14ac:dyDescent="0.35">
      <c r="A3154" s="503" t="s">
        <v>1202</v>
      </c>
      <c r="B3154" s="504" t="s">
        <v>3217</v>
      </c>
      <c r="C3154" s="504" t="s">
        <v>1094</v>
      </c>
      <c r="D3154" s="504" t="s">
        <v>3380</v>
      </c>
      <c r="E3154" s="504" t="s">
        <v>3381</v>
      </c>
      <c r="F3154" s="504" t="s">
        <v>613</v>
      </c>
      <c r="G3154" s="504" t="s">
        <v>614</v>
      </c>
      <c r="H3154" s="504" t="s">
        <v>5883</v>
      </c>
      <c r="I3154" s="504">
        <v>6</v>
      </c>
      <c r="J3154" s="504">
        <v>0</v>
      </c>
      <c r="K3154" s="504">
        <v>0</v>
      </c>
      <c r="L3154" s="504">
        <v>0</v>
      </c>
      <c r="M3154" s="504">
        <v>0</v>
      </c>
      <c r="N3154" s="504">
        <v>0</v>
      </c>
      <c r="O3154" s="505">
        <v>6</v>
      </c>
    </row>
    <row r="3155" spans="1:15" x14ac:dyDescent="0.35">
      <c r="A3155" s="500" t="s">
        <v>1494</v>
      </c>
      <c r="B3155" s="501" t="s">
        <v>3235</v>
      </c>
      <c r="C3155" s="501" t="s">
        <v>1094</v>
      </c>
      <c r="D3155" s="501" t="s">
        <v>3380</v>
      </c>
      <c r="E3155" s="501" t="s">
        <v>3381</v>
      </c>
      <c r="F3155" s="501" t="s">
        <v>613</v>
      </c>
      <c r="G3155" s="501" t="s">
        <v>614</v>
      </c>
      <c r="H3155" s="501" t="s">
        <v>5884</v>
      </c>
      <c r="I3155" s="501">
        <v>7</v>
      </c>
      <c r="J3155" s="501">
        <v>0</v>
      </c>
      <c r="K3155" s="501">
        <v>0</v>
      </c>
      <c r="L3155" s="501">
        <v>7</v>
      </c>
      <c r="M3155" s="501">
        <v>0</v>
      </c>
      <c r="N3155" s="501">
        <v>0</v>
      </c>
      <c r="O3155" s="506">
        <v>0</v>
      </c>
    </row>
    <row r="3156" spans="1:15" x14ac:dyDescent="0.35">
      <c r="A3156" s="503" t="s">
        <v>1497</v>
      </c>
      <c r="B3156" s="504" t="s">
        <v>3290</v>
      </c>
      <c r="C3156" s="504" t="s">
        <v>1089</v>
      </c>
      <c r="D3156" s="504" t="s">
        <v>3392</v>
      </c>
      <c r="E3156" s="504" t="s">
        <v>3381</v>
      </c>
      <c r="F3156" s="504" t="s">
        <v>613</v>
      </c>
      <c r="G3156" s="504" t="s">
        <v>614</v>
      </c>
      <c r="H3156" s="504" t="s">
        <v>5885</v>
      </c>
      <c r="I3156" s="504">
        <v>27</v>
      </c>
      <c r="J3156" s="504">
        <v>0</v>
      </c>
      <c r="K3156" s="504">
        <v>0</v>
      </c>
      <c r="L3156" s="504">
        <v>0</v>
      </c>
      <c r="M3156" s="504">
        <v>27</v>
      </c>
      <c r="N3156" s="504">
        <v>0</v>
      </c>
      <c r="O3156" s="505">
        <v>0</v>
      </c>
    </row>
    <row r="3157" spans="1:15" x14ac:dyDescent="0.35">
      <c r="A3157" s="500" t="s">
        <v>1867</v>
      </c>
      <c r="B3157" s="501" t="s">
        <v>2775</v>
      </c>
      <c r="C3157" s="501" t="s">
        <v>1089</v>
      </c>
      <c r="D3157" s="501" t="s">
        <v>3392</v>
      </c>
      <c r="E3157" s="501" t="s">
        <v>3381</v>
      </c>
      <c r="F3157" s="501" t="s">
        <v>613</v>
      </c>
      <c r="G3157" s="501" t="s">
        <v>614</v>
      </c>
      <c r="H3157" s="501" t="s">
        <v>5886</v>
      </c>
      <c r="I3157" s="501">
        <v>27</v>
      </c>
      <c r="J3157" s="501">
        <v>27</v>
      </c>
      <c r="K3157" s="501">
        <v>0</v>
      </c>
      <c r="L3157" s="501">
        <v>0</v>
      </c>
      <c r="M3157" s="501">
        <v>0</v>
      </c>
      <c r="N3157" s="501">
        <v>0</v>
      </c>
      <c r="O3157" s="506">
        <v>0</v>
      </c>
    </row>
    <row r="3158" spans="1:15" x14ac:dyDescent="0.35">
      <c r="A3158" s="503" t="s">
        <v>1114</v>
      </c>
      <c r="B3158" s="504" t="s">
        <v>2982</v>
      </c>
      <c r="C3158" s="504" t="s">
        <v>1094</v>
      </c>
      <c r="D3158" s="504" t="s">
        <v>3380</v>
      </c>
      <c r="E3158" s="504" t="s">
        <v>3381</v>
      </c>
      <c r="F3158" s="504" t="s">
        <v>613</v>
      </c>
      <c r="G3158" s="504" t="s">
        <v>614</v>
      </c>
      <c r="H3158" s="504" t="s">
        <v>5887</v>
      </c>
      <c r="I3158" s="504">
        <v>186</v>
      </c>
      <c r="J3158" s="504">
        <v>43</v>
      </c>
      <c r="K3158" s="504">
        <v>0</v>
      </c>
      <c r="L3158" s="504">
        <v>0</v>
      </c>
      <c r="M3158" s="504">
        <v>57</v>
      </c>
      <c r="N3158" s="504">
        <v>0</v>
      </c>
      <c r="O3158" s="505">
        <v>86</v>
      </c>
    </row>
    <row r="3159" spans="1:15" x14ac:dyDescent="0.35">
      <c r="A3159" s="500" t="s">
        <v>14400</v>
      </c>
      <c r="B3159" s="501">
        <v>4727</v>
      </c>
      <c r="C3159" s="501" t="s">
        <v>1089</v>
      </c>
      <c r="D3159" s="501" t="s">
        <v>3392</v>
      </c>
      <c r="E3159" s="501" t="s">
        <v>3381</v>
      </c>
      <c r="F3159" s="501" t="s">
        <v>613</v>
      </c>
      <c r="G3159" s="501" t="s">
        <v>614</v>
      </c>
      <c r="H3159" s="501" t="s">
        <v>14693</v>
      </c>
      <c r="I3159" s="501">
        <v>19</v>
      </c>
      <c r="J3159" s="501">
        <v>0</v>
      </c>
      <c r="K3159" s="501">
        <v>0</v>
      </c>
      <c r="L3159" s="501">
        <v>19</v>
      </c>
      <c r="M3159" s="501">
        <v>0</v>
      </c>
      <c r="N3159" s="501">
        <v>0</v>
      </c>
      <c r="O3159" s="506">
        <v>0</v>
      </c>
    </row>
    <row r="3160" spans="1:15" x14ac:dyDescent="0.35">
      <c r="A3160" s="503" t="s">
        <v>1320</v>
      </c>
      <c r="B3160" s="504">
        <v>4720</v>
      </c>
      <c r="C3160" s="504" t="s">
        <v>1089</v>
      </c>
      <c r="D3160" s="504" t="s">
        <v>3392</v>
      </c>
      <c r="E3160" s="504" t="s">
        <v>3381</v>
      </c>
      <c r="F3160" s="504" t="s">
        <v>613</v>
      </c>
      <c r="G3160" s="504" t="s">
        <v>614</v>
      </c>
      <c r="H3160" s="504" t="s">
        <v>11878</v>
      </c>
      <c r="I3160" s="504">
        <v>2</v>
      </c>
      <c r="J3160" s="504">
        <v>2</v>
      </c>
      <c r="K3160" s="504">
        <v>0</v>
      </c>
      <c r="L3160" s="504">
        <v>0</v>
      </c>
      <c r="M3160" s="504">
        <v>0</v>
      </c>
      <c r="N3160" s="504">
        <v>0</v>
      </c>
      <c r="O3160" s="505">
        <v>0</v>
      </c>
    </row>
    <row r="3161" spans="1:15" x14ac:dyDescent="0.35">
      <c r="A3161" s="500" t="s">
        <v>1218</v>
      </c>
      <c r="B3161" s="501" t="s">
        <v>3147</v>
      </c>
      <c r="C3161" s="501" t="s">
        <v>1094</v>
      </c>
      <c r="D3161" s="501" t="s">
        <v>3380</v>
      </c>
      <c r="E3161" s="501" t="s">
        <v>3381</v>
      </c>
      <c r="F3161" s="501" t="s">
        <v>613</v>
      </c>
      <c r="G3161" s="501" t="s">
        <v>614</v>
      </c>
      <c r="H3161" s="501" t="s">
        <v>5888</v>
      </c>
      <c r="I3161" s="501">
        <v>1</v>
      </c>
      <c r="J3161" s="501">
        <v>0</v>
      </c>
      <c r="K3161" s="501">
        <v>0</v>
      </c>
      <c r="L3161" s="501">
        <v>0</v>
      </c>
      <c r="M3161" s="501">
        <v>0</v>
      </c>
      <c r="N3161" s="501">
        <v>0</v>
      </c>
      <c r="O3161" s="506">
        <v>1</v>
      </c>
    </row>
    <row r="3162" spans="1:15" x14ac:dyDescent="0.35">
      <c r="A3162" s="503" t="s">
        <v>11367</v>
      </c>
      <c r="B3162" s="504" t="s">
        <v>3143</v>
      </c>
      <c r="C3162" s="504" t="s">
        <v>1094</v>
      </c>
      <c r="D3162" s="504" t="s">
        <v>3380</v>
      </c>
      <c r="E3162" s="504" t="s">
        <v>3381</v>
      </c>
      <c r="F3162" s="504" t="s">
        <v>613</v>
      </c>
      <c r="G3162" s="504" t="s">
        <v>614</v>
      </c>
      <c r="H3162" s="504" t="s">
        <v>11923</v>
      </c>
      <c r="I3162" s="504">
        <v>175</v>
      </c>
      <c r="J3162" s="504">
        <v>175</v>
      </c>
      <c r="K3162" s="504">
        <v>0</v>
      </c>
      <c r="L3162" s="504">
        <v>0</v>
      </c>
      <c r="M3162" s="504">
        <v>0</v>
      </c>
      <c r="N3162" s="504">
        <v>0</v>
      </c>
      <c r="O3162" s="505">
        <v>0</v>
      </c>
    </row>
    <row r="3163" spans="1:15" x14ac:dyDescent="0.35">
      <c r="A3163" s="500" t="s">
        <v>1122</v>
      </c>
      <c r="B3163" s="501" t="s">
        <v>2994</v>
      </c>
      <c r="C3163" s="501" t="s">
        <v>1094</v>
      </c>
      <c r="D3163" s="501" t="s">
        <v>3380</v>
      </c>
      <c r="E3163" s="501" t="s">
        <v>3381</v>
      </c>
      <c r="F3163" s="501" t="s">
        <v>613</v>
      </c>
      <c r="G3163" s="501" t="s">
        <v>614</v>
      </c>
      <c r="H3163" s="501" t="s">
        <v>5889</v>
      </c>
      <c r="I3163" s="501">
        <v>228</v>
      </c>
      <c r="J3163" s="501">
        <v>228</v>
      </c>
      <c r="K3163" s="501">
        <v>0</v>
      </c>
      <c r="L3163" s="501">
        <v>0</v>
      </c>
      <c r="M3163" s="501">
        <v>0</v>
      </c>
      <c r="N3163" s="501">
        <v>0</v>
      </c>
      <c r="O3163" s="506">
        <v>0</v>
      </c>
    </row>
    <row r="3164" spans="1:15" x14ac:dyDescent="0.35">
      <c r="A3164" s="503" t="s">
        <v>1124</v>
      </c>
      <c r="B3164" s="504">
        <v>4745</v>
      </c>
      <c r="C3164" s="504" t="s">
        <v>1094</v>
      </c>
      <c r="D3164" s="504" t="s">
        <v>3380</v>
      </c>
      <c r="E3164" s="504" t="s">
        <v>3381</v>
      </c>
      <c r="F3164" s="504" t="s">
        <v>613</v>
      </c>
      <c r="G3164" s="504" t="s">
        <v>614</v>
      </c>
      <c r="H3164" s="504" t="s">
        <v>5890</v>
      </c>
      <c r="I3164" s="504">
        <v>8</v>
      </c>
      <c r="J3164" s="504">
        <v>0</v>
      </c>
      <c r="K3164" s="504">
        <v>0</v>
      </c>
      <c r="L3164" s="504">
        <v>8</v>
      </c>
      <c r="M3164" s="504">
        <v>0</v>
      </c>
      <c r="N3164" s="504">
        <v>0</v>
      </c>
      <c r="O3164" s="505">
        <v>0</v>
      </c>
    </row>
    <row r="3165" spans="1:15" x14ac:dyDescent="0.35">
      <c r="A3165" s="500" t="s">
        <v>1233</v>
      </c>
      <c r="B3165" s="501">
        <v>4636</v>
      </c>
      <c r="C3165" s="501" t="s">
        <v>1094</v>
      </c>
      <c r="D3165" s="501" t="s">
        <v>3380</v>
      </c>
      <c r="E3165" s="501" t="s">
        <v>3381</v>
      </c>
      <c r="F3165" s="501" t="s">
        <v>613</v>
      </c>
      <c r="G3165" s="501" t="s">
        <v>614</v>
      </c>
      <c r="H3165" s="501" t="s">
        <v>5891</v>
      </c>
      <c r="I3165" s="501">
        <v>4</v>
      </c>
      <c r="J3165" s="501">
        <v>0</v>
      </c>
      <c r="K3165" s="501">
        <v>0</v>
      </c>
      <c r="L3165" s="501">
        <v>0</v>
      </c>
      <c r="M3165" s="501">
        <v>0</v>
      </c>
      <c r="N3165" s="501">
        <v>0</v>
      </c>
      <c r="O3165" s="506">
        <v>4</v>
      </c>
    </row>
    <row r="3166" spans="1:15" x14ac:dyDescent="0.35">
      <c r="A3166" s="503" t="s">
        <v>11368</v>
      </c>
      <c r="B3166" s="504">
        <v>5083</v>
      </c>
      <c r="C3166" s="504" t="s">
        <v>1094</v>
      </c>
      <c r="D3166" s="504" t="s">
        <v>3380</v>
      </c>
      <c r="E3166" s="504" t="s">
        <v>3381</v>
      </c>
      <c r="F3166" s="504" t="s">
        <v>613</v>
      </c>
      <c r="G3166" s="504" t="s">
        <v>614</v>
      </c>
      <c r="H3166" s="504" t="s">
        <v>12051</v>
      </c>
      <c r="I3166" s="504">
        <v>5</v>
      </c>
      <c r="J3166" s="504">
        <v>5</v>
      </c>
      <c r="K3166" s="504">
        <v>0</v>
      </c>
      <c r="L3166" s="504">
        <v>0</v>
      </c>
      <c r="M3166" s="504">
        <v>0</v>
      </c>
      <c r="N3166" s="504">
        <v>0</v>
      </c>
      <c r="O3166" s="505">
        <v>0</v>
      </c>
    </row>
    <row r="3167" spans="1:15" x14ac:dyDescent="0.35">
      <c r="A3167" s="500" t="s">
        <v>1234</v>
      </c>
      <c r="B3167" s="501" t="s">
        <v>3291</v>
      </c>
      <c r="C3167" s="501" t="s">
        <v>1094</v>
      </c>
      <c r="D3167" s="501" t="s">
        <v>3380</v>
      </c>
      <c r="E3167" s="501" t="s">
        <v>3381</v>
      </c>
      <c r="F3167" s="501" t="s">
        <v>613</v>
      </c>
      <c r="G3167" s="501" t="s">
        <v>614</v>
      </c>
      <c r="H3167" s="501" t="s">
        <v>5892</v>
      </c>
      <c r="I3167" s="501">
        <v>11</v>
      </c>
      <c r="J3167" s="501">
        <v>0</v>
      </c>
      <c r="K3167" s="501">
        <v>0</v>
      </c>
      <c r="L3167" s="501">
        <v>11</v>
      </c>
      <c r="M3167" s="501">
        <v>0</v>
      </c>
      <c r="N3167" s="501">
        <v>0</v>
      </c>
      <c r="O3167" s="506">
        <v>0</v>
      </c>
    </row>
    <row r="3168" spans="1:15" x14ac:dyDescent="0.35">
      <c r="A3168" s="503" t="s">
        <v>1235</v>
      </c>
      <c r="B3168" s="504">
        <v>4684</v>
      </c>
      <c r="C3168" s="504" t="s">
        <v>1094</v>
      </c>
      <c r="D3168" s="504" t="s">
        <v>3380</v>
      </c>
      <c r="E3168" s="504" t="s">
        <v>3381</v>
      </c>
      <c r="F3168" s="504" t="s">
        <v>613</v>
      </c>
      <c r="G3168" s="504" t="s">
        <v>614</v>
      </c>
      <c r="H3168" s="504" t="s">
        <v>5893</v>
      </c>
      <c r="I3168" s="504">
        <v>69</v>
      </c>
      <c r="J3168" s="504">
        <v>47</v>
      </c>
      <c r="K3168" s="504">
        <v>0</v>
      </c>
      <c r="L3168" s="504">
        <v>0</v>
      </c>
      <c r="M3168" s="504">
        <v>0</v>
      </c>
      <c r="N3168" s="504">
        <v>0</v>
      </c>
      <c r="O3168" s="505">
        <v>22</v>
      </c>
    </row>
    <row r="3169" spans="1:15" x14ac:dyDescent="0.35">
      <c r="A3169" s="500" t="s">
        <v>1126</v>
      </c>
      <c r="B3169" s="501" t="s">
        <v>2974</v>
      </c>
      <c r="C3169" s="501" t="s">
        <v>1094</v>
      </c>
      <c r="D3169" s="501" t="s">
        <v>3380</v>
      </c>
      <c r="E3169" s="501" t="s">
        <v>3381</v>
      </c>
      <c r="F3169" s="501" t="s">
        <v>613</v>
      </c>
      <c r="G3169" s="501" t="s">
        <v>614</v>
      </c>
      <c r="H3169" s="501" t="s">
        <v>5894</v>
      </c>
      <c r="I3169" s="501">
        <v>129</v>
      </c>
      <c r="J3169" s="501">
        <v>64</v>
      </c>
      <c r="K3169" s="501">
        <v>0</v>
      </c>
      <c r="L3169" s="501">
        <v>18</v>
      </c>
      <c r="M3169" s="501">
        <v>0</v>
      </c>
      <c r="N3169" s="501">
        <v>0</v>
      </c>
      <c r="O3169" s="506">
        <v>47</v>
      </c>
    </row>
    <row r="3170" spans="1:15" x14ac:dyDescent="0.35">
      <c r="A3170" s="503" t="s">
        <v>1342</v>
      </c>
      <c r="B3170" s="504" t="s">
        <v>3237</v>
      </c>
      <c r="C3170" s="504" t="s">
        <v>1094</v>
      </c>
      <c r="D3170" s="504" t="s">
        <v>3380</v>
      </c>
      <c r="E3170" s="504" t="s">
        <v>3381</v>
      </c>
      <c r="F3170" s="504" t="s">
        <v>613</v>
      </c>
      <c r="G3170" s="504" t="s">
        <v>614</v>
      </c>
      <c r="H3170" s="504" t="s">
        <v>5895</v>
      </c>
      <c r="I3170" s="504">
        <v>1</v>
      </c>
      <c r="J3170" s="504">
        <v>0</v>
      </c>
      <c r="K3170" s="504">
        <v>0</v>
      </c>
      <c r="L3170" s="504">
        <v>0</v>
      </c>
      <c r="M3170" s="504">
        <v>0</v>
      </c>
      <c r="N3170" s="504">
        <v>0</v>
      </c>
      <c r="O3170" s="505">
        <v>1</v>
      </c>
    </row>
    <row r="3171" spans="1:15" x14ac:dyDescent="0.35">
      <c r="A3171" s="500" t="s">
        <v>1895</v>
      </c>
      <c r="B3171" s="501" t="s">
        <v>2823</v>
      </c>
      <c r="C3171" s="501" t="s">
        <v>1089</v>
      </c>
      <c r="D3171" s="501" t="s">
        <v>3392</v>
      </c>
      <c r="E3171" s="501" t="s">
        <v>3381</v>
      </c>
      <c r="F3171" s="501" t="s">
        <v>613</v>
      </c>
      <c r="G3171" s="501" t="s">
        <v>614</v>
      </c>
      <c r="H3171" s="501" t="s">
        <v>5896</v>
      </c>
      <c r="I3171" s="501">
        <v>19</v>
      </c>
      <c r="J3171" s="501">
        <v>19</v>
      </c>
      <c r="K3171" s="501">
        <v>0</v>
      </c>
      <c r="L3171" s="501">
        <v>0</v>
      </c>
      <c r="M3171" s="501">
        <v>0</v>
      </c>
      <c r="N3171" s="501">
        <v>0</v>
      </c>
      <c r="O3171" s="506">
        <v>0</v>
      </c>
    </row>
    <row r="3172" spans="1:15" x14ac:dyDescent="0.35">
      <c r="A3172" s="503" t="s">
        <v>1130</v>
      </c>
      <c r="B3172" s="504" t="s">
        <v>3234</v>
      </c>
      <c r="C3172" s="504" t="s">
        <v>1094</v>
      </c>
      <c r="D3172" s="504" t="s">
        <v>3380</v>
      </c>
      <c r="E3172" s="504" t="s">
        <v>3381</v>
      </c>
      <c r="F3172" s="504" t="s">
        <v>613</v>
      </c>
      <c r="G3172" s="504" t="s">
        <v>614</v>
      </c>
      <c r="H3172" s="504" t="s">
        <v>5897</v>
      </c>
      <c r="I3172" s="504">
        <v>546</v>
      </c>
      <c r="J3172" s="504">
        <v>491</v>
      </c>
      <c r="K3172" s="504">
        <v>0</v>
      </c>
      <c r="L3172" s="504">
        <v>1</v>
      </c>
      <c r="M3172" s="504">
        <v>0</v>
      </c>
      <c r="N3172" s="504">
        <v>16</v>
      </c>
      <c r="O3172" s="505">
        <v>54</v>
      </c>
    </row>
    <row r="3173" spans="1:15" x14ac:dyDescent="0.35">
      <c r="A3173" s="500" t="s">
        <v>1900</v>
      </c>
      <c r="B3173" s="501" t="s">
        <v>2507</v>
      </c>
      <c r="C3173" s="501" t="s">
        <v>1089</v>
      </c>
      <c r="D3173" s="501" t="s">
        <v>3392</v>
      </c>
      <c r="E3173" s="501" t="s">
        <v>3381</v>
      </c>
      <c r="F3173" s="501" t="s">
        <v>613</v>
      </c>
      <c r="G3173" s="501" t="s">
        <v>614</v>
      </c>
      <c r="H3173" s="501" t="s">
        <v>5898</v>
      </c>
      <c r="I3173" s="501">
        <v>10</v>
      </c>
      <c r="J3173" s="501">
        <v>10</v>
      </c>
      <c r="K3173" s="501">
        <v>0</v>
      </c>
      <c r="L3173" s="501">
        <v>0</v>
      </c>
      <c r="M3173" s="501">
        <v>0</v>
      </c>
      <c r="N3173" s="501">
        <v>0</v>
      </c>
      <c r="O3173" s="506">
        <v>0</v>
      </c>
    </row>
    <row r="3174" spans="1:15" x14ac:dyDescent="0.35">
      <c r="A3174" s="503" t="s">
        <v>1253</v>
      </c>
      <c r="B3174" s="504" t="s">
        <v>3232</v>
      </c>
      <c r="C3174" s="504" t="s">
        <v>1094</v>
      </c>
      <c r="D3174" s="504" t="s">
        <v>3380</v>
      </c>
      <c r="E3174" s="504" t="s">
        <v>3381</v>
      </c>
      <c r="F3174" s="504" t="s">
        <v>613</v>
      </c>
      <c r="G3174" s="504" t="s">
        <v>614</v>
      </c>
      <c r="H3174" s="504" t="s">
        <v>5899</v>
      </c>
      <c r="I3174" s="504">
        <v>18</v>
      </c>
      <c r="J3174" s="504">
        <v>18</v>
      </c>
      <c r="K3174" s="504">
        <v>0</v>
      </c>
      <c r="L3174" s="504">
        <v>0</v>
      </c>
      <c r="M3174" s="504">
        <v>0</v>
      </c>
      <c r="N3174" s="504">
        <v>0</v>
      </c>
      <c r="O3174" s="505">
        <v>0</v>
      </c>
    </row>
    <row r="3175" spans="1:15" x14ac:dyDescent="0.35">
      <c r="A3175" s="500" t="s">
        <v>1928</v>
      </c>
      <c r="B3175" s="501" t="s">
        <v>3167</v>
      </c>
      <c r="C3175" s="501" t="s">
        <v>1094</v>
      </c>
      <c r="D3175" s="501" t="s">
        <v>3380</v>
      </c>
      <c r="E3175" s="501" t="s">
        <v>3381</v>
      </c>
      <c r="F3175" s="501" t="s">
        <v>613</v>
      </c>
      <c r="G3175" s="501" t="s">
        <v>614</v>
      </c>
      <c r="H3175" s="501" t="s">
        <v>5900</v>
      </c>
      <c r="I3175" s="501">
        <v>268</v>
      </c>
      <c r="J3175" s="501">
        <v>223</v>
      </c>
      <c r="K3175" s="501">
        <v>0</v>
      </c>
      <c r="L3175" s="501">
        <v>7</v>
      </c>
      <c r="M3175" s="501">
        <v>0</v>
      </c>
      <c r="N3175" s="501">
        <v>0</v>
      </c>
      <c r="O3175" s="506">
        <v>38</v>
      </c>
    </row>
    <row r="3176" spans="1:15" x14ac:dyDescent="0.35">
      <c r="A3176" s="503" t="s">
        <v>1260</v>
      </c>
      <c r="B3176" s="504">
        <v>4645</v>
      </c>
      <c r="C3176" s="504" t="s">
        <v>1089</v>
      </c>
      <c r="D3176" s="504" t="s">
        <v>3392</v>
      </c>
      <c r="E3176" s="504" t="s">
        <v>3381</v>
      </c>
      <c r="F3176" s="504" t="s">
        <v>613</v>
      </c>
      <c r="G3176" s="504" t="s">
        <v>614</v>
      </c>
      <c r="H3176" s="504" t="s">
        <v>5901</v>
      </c>
      <c r="I3176" s="504">
        <v>10</v>
      </c>
      <c r="J3176" s="504">
        <v>0</v>
      </c>
      <c r="K3176" s="504">
        <v>0</v>
      </c>
      <c r="L3176" s="504">
        <v>10</v>
      </c>
      <c r="M3176" s="504">
        <v>0</v>
      </c>
      <c r="N3176" s="504">
        <v>0</v>
      </c>
      <c r="O3176" s="505">
        <v>0</v>
      </c>
    </row>
    <row r="3177" spans="1:15" x14ac:dyDescent="0.35">
      <c r="A3177" s="500" t="s">
        <v>1093</v>
      </c>
      <c r="B3177" s="501" t="s">
        <v>3248</v>
      </c>
      <c r="C3177" s="501" t="s">
        <v>1094</v>
      </c>
      <c r="D3177" s="501" t="s">
        <v>3380</v>
      </c>
      <c r="E3177" s="501" t="s">
        <v>3381</v>
      </c>
      <c r="F3177" s="501" t="s">
        <v>615</v>
      </c>
      <c r="G3177" s="501" t="s">
        <v>616</v>
      </c>
      <c r="H3177" s="501" t="s">
        <v>5902</v>
      </c>
      <c r="I3177" s="501">
        <v>10</v>
      </c>
      <c r="J3177" s="501">
        <v>0</v>
      </c>
      <c r="K3177" s="501">
        <v>0</v>
      </c>
      <c r="L3177" s="501">
        <v>6</v>
      </c>
      <c r="M3177" s="501">
        <v>0</v>
      </c>
      <c r="N3177" s="501">
        <v>0</v>
      </c>
      <c r="O3177" s="506">
        <v>4</v>
      </c>
    </row>
    <row r="3178" spans="1:15" x14ac:dyDescent="0.35">
      <c r="A3178" s="503" t="s">
        <v>1096</v>
      </c>
      <c r="B3178" s="504" t="s">
        <v>3326</v>
      </c>
      <c r="C3178" s="504" t="s">
        <v>1094</v>
      </c>
      <c r="D3178" s="504" t="s">
        <v>3380</v>
      </c>
      <c r="E3178" s="504" t="s">
        <v>3381</v>
      </c>
      <c r="F3178" s="504" t="s">
        <v>615</v>
      </c>
      <c r="G3178" s="504" t="s">
        <v>616</v>
      </c>
      <c r="H3178" s="504" t="s">
        <v>5903</v>
      </c>
      <c r="I3178" s="504">
        <v>73</v>
      </c>
      <c r="J3178" s="504">
        <v>0</v>
      </c>
      <c r="K3178" s="504">
        <v>0</v>
      </c>
      <c r="L3178" s="504">
        <v>0</v>
      </c>
      <c r="M3178" s="504">
        <v>73</v>
      </c>
      <c r="N3178" s="504">
        <v>0</v>
      </c>
      <c r="O3178" s="505">
        <v>0</v>
      </c>
    </row>
    <row r="3179" spans="1:15" x14ac:dyDescent="0.35">
      <c r="A3179" s="500" t="s">
        <v>11423</v>
      </c>
      <c r="B3179" s="501" t="s">
        <v>3128</v>
      </c>
      <c r="C3179" s="501" t="s">
        <v>1094</v>
      </c>
      <c r="D3179" s="501" t="s">
        <v>3380</v>
      </c>
      <c r="E3179" s="501" t="s">
        <v>3381</v>
      </c>
      <c r="F3179" s="501" t="s">
        <v>615</v>
      </c>
      <c r="G3179" s="501" t="s">
        <v>616</v>
      </c>
      <c r="H3179" s="501" t="s">
        <v>14694</v>
      </c>
      <c r="I3179" s="501">
        <v>14</v>
      </c>
      <c r="J3179" s="501">
        <v>14</v>
      </c>
      <c r="K3179" s="501">
        <v>0</v>
      </c>
      <c r="L3179" s="501">
        <v>0</v>
      </c>
      <c r="M3179" s="501">
        <v>0</v>
      </c>
      <c r="N3179" s="501">
        <v>6</v>
      </c>
      <c r="O3179" s="506">
        <v>0</v>
      </c>
    </row>
    <row r="3180" spans="1:15" x14ac:dyDescent="0.35">
      <c r="A3180" s="503" t="s">
        <v>1158</v>
      </c>
      <c r="B3180" s="504">
        <v>4819</v>
      </c>
      <c r="C3180" s="504" t="s">
        <v>1094</v>
      </c>
      <c r="D3180" s="504" t="s">
        <v>3380</v>
      </c>
      <c r="E3180" s="504" t="s">
        <v>3381</v>
      </c>
      <c r="F3180" s="504" t="s">
        <v>615</v>
      </c>
      <c r="G3180" s="504" t="s">
        <v>616</v>
      </c>
      <c r="H3180" s="504" t="s">
        <v>5904</v>
      </c>
      <c r="I3180" s="504">
        <v>242</v>
      </c>
      <c r="J3180" s="504">
        <v>218</v>
      </c>
      <c r="K3180" s="504">
        <v>0</v>
      </c>
      <c r="L3180" s="504">
        <v>3</v>
      </c>
      <c r="M3180" s="504">
        <v>0</v>
      </c>
      <c r="N3180" s="504">
        <v>0</v>
      </c>
      <c r="O3180" s="505">
        <v>21</v>
      </c>
    </row>
    <row r="3181" spans="1:15" x14ac:dyDescent="0.35">
      <c r="A3181" s="500" t="s">
        <v>1961</v>
      </c>
      <c r="B3181" s="501">
        <v>5075</v>
      </c>
      <c r="C3181" s="501" t="s">
        <v>1094</v>
      </c>
      <c r="D3181" s="501" t="s">
        <v>3380</v>
      </c>
      <c r="E3181" s="501" t="s">
        <v>3381</v>
      </c>
      <c r="F3181" s="501" t="s">
        <v>615</v>
      </c>
      <c r="G3181" s="501" t="s">
        <v>616</v>
      </c>
      <c r="H3181" s="501" t="s">
        <v>5905</v>
      </c>
      <c r="I3181" s="501">
        <v>1</v>
      </c>
      <c r="J3181" s="501">
        <v>0</v>
      </c>
      <c r="K3181" s="501">
        <v>0</v>
      </c>
      <c r="L3181" s="501">
        <v>0</v>
      </c>
      <c r="M3181" s="501">
        <v>0</v>
      </c>
      <c r="N3181" s="501">
        <v>0</v>
      </c>
      <c r="O3181" s="506">
        <v>1</v>
      </c>
    </row>
    <row r="3182" spans="1:15" x14ac:dyDescent="0.35">
      <c r="A3182" s="503" t="s">
        <v>1984</v>
      </c>
      <c r="B3182" s="504" t="s">
        <v>3118</v>
      </c>
      <c r="C3182" s="504" t="s">
        <v>1089</v>
      </c>
      <c r="D3182" s="504" t="s">
        <v>3392</v>
      </c>
      <c r="E3182" s="504" t="s">
        <v>3381</v>
      </c>
      <c r="F3182" s="504" t="s">
        <v>615</v>
      </c>
      <c r="G3182" s="504" t="s">
        <v>616</v>
      </c>
      <c r="H3182" s="504" t="s">
        <v>5906</v>
      </c>
      <c r="I3182" s="504">
        <v>43</v>
      </c>
      <c r="J3182" s="504">
        <v>43</v>
      </c>
      <c r="K3182" s="504">
        <v>0</v>
      </c>
      <c r="L3182" s="504">
        <v>0</v>
      </c>
      <c r="M3182" s="504">
        <v>0</v>
      </c>
      <c r="N3182" s="504">
        <v>0</v>
      </c>
      <c r="O3182" s="505">
        <v>0</v>
      </c>
    </row>
    <row r="3183" spans="1:15" x14ac:dyDescent="0.35">
      <c r="A3183" s="500" t="s">
        <v>14208</v>
      </c>
      <c r="B3183" s="501">
        <v>4803</v>
      </c>
      <c r="C3183" s="501" t="s">
        <v>1094</v>
      </c>
      <c r="D3183" s="501" t="s">
        <v>3380</v>
      </c>
      <c r="E3183" s="501" t="s">
        <v>3381</v>
      </c>
      <c r="F3183" s="501" t="s">
        <v>615</v>
      </c>
      <c r="G3183" s="501" t="s">
        <v>616</v>
      </c>
      <c r="H3183" s="501" t="s">
        <v>14695</v>
      </c>
      <c r="I3183" s="501">
        <v>12</v>
      </c>
      <c r="J3183" s="501">
        <v>0</v>
      </c>
      <c r="K3183" s="501">
        <v>0</v>
      </c>
      <c r="L3183" s="501">
        <v>12</v>
      </c>
      <c r="M3183" s="501">
        <v>0</v>
      </c>
      <c r="N3183" s="501">
        <v>0</v>
      </c>
      <c r="O3183" s="506">
        <v>0</v>
      </c>
    </row>
    <row r="3184" spans="1:15" x14ac:dyDescent="0.35">
      <c r="A3184" s="503" t="s">
        <v>1105</v>
      </c>
      <c r="B3184" s="504">
        <v>4668</v>
      </c>
      <c r="C3184" s="504" t="s">
        <v>1094</v>
      </c>
      <c r="D3184" s="504" t="s">
        <v>3380</v>
      </c>
      <c r="E3184" s="504" t="s">
        <v>3381</v>
      </c>
      <c r="F3184" s="504" t="s">
        <v>615</v>
      </c>
      <c r="G3184" s="504" t="s">
        <v>616</v>
      </c>
      <c r="H3184" s="504" t="s">
        <v>5907</v>
      </c>
      <c r="I3184" s="504">
        <v>35</v>
      </c>
      <c r="J3184" s="504">
        <v>0</v>
      </c>
      <c r="K3184" s="504">
        <v>0</v>
      </c>
      <c r="L3184" s="504">
        <v>0</v>
      </c>
      <c r="M3184" s="504">
        <v>0</v>
      </c>
      <c r="N3184" s="504">
        <v>0</v>
      </c>
      <c r="O3184" s="505">
        <v>35</v>
      </c>
    </row>
    <row r="3185" spans="1:15" x14ac:dyDescent="0.35">
      <c r="A3185" s="500" t="s">
        <v>1188</v>
      </c>
      <c r="B3185" s="501">
        <v>4760</v>
      </c>
      <c r="C3185" s="501" t="s">
        <v>1089</v>
      </c>
      <c r="D3185" s="501" t="s">
        <v>3392</v>
      </c>
      <c r="E3185" s="501" t="s">
        <v>3381</v>
      </c>
      <c r="F3185" s="501" t="s">
        <v>615</v>
      </c>
      <c r="G3185" s="501" t="s">
        <v>616</v>
      </c>
      <c r="H3185" s="501" t="s">
        <v>14696</v>
      </c>
      <c r="I3185" s="501">
        <v>6</v>
      </c>
      <c r="J3185" s="501">
        <v>0</v>
      </c>
      <c r="K3185" s="501">
        <v>0</v>
      </c>
      <c r="L3185" s="501">
        <v>6</v>
      </c>
      <c r="M3185" s="501">
        <v>0</v>
      </c>
      <c r="N3185" s="501">
        <v>0</v>
      </c>
      <c r="O3185" s="506">
        <v>0</v>
      </c>
    </row>
    <row r="3186" spans="1:15" x14ac:dyDescent="0.35">
      <c r="A3186" s="503" t="s">
        <v>1109</v>
      </c>
      <c r="B3186" s="504" t="s">
        <v>2959</v>
      </c>
      <c r="C3186" s="504" t="s">
        <v>1094</v>
      </c>
      <c r="D3186" s="504" t="s">
        <v>3380</v>
      </c>
      <c r="E3186" s="504" t="s">
        <v>3381</v>
      </c>
      <c r="F3186" s="504" t="s">
        <v>615</v>
      </c>
      <c r="G3186" s="504" t="s">
        <v>616</v>
      </c>
      <c r="H3186" s="504" t="s">
        <v>5908</v>
      </c>
      <c r="I3186" s="504">
        <v>52</v>
      </c>
      <c r="J3186" s="504">
        <v>0</v>
      </c>
      <c r="K3186" s="504">
        <v>0</v>
      </c>
      <c r="L3186" s="504">
        <v>0</v>
      </c>
      <c r="M3186" s="504">
        <v>52</v>
      </c>
      <c r="N3186" s="504">
        <v>0</v>
      </c>
      <c r="O3186" s="505">
        <v>0</v>
      </c>
    </row>
    <row r="3187" spans="1:15" x14ac:dyDescent="0.35">
      <c r="A3187" s="500" t="s">
        <v>14243</v>
      </c>
      <c r="B3187" s="501">
        <v>5149</v>
      </c>
      <c r="C3187" s="501" t="s">
        <v>1089</v>
      </c>
      <c r="D3187" s="501" t="s">
        <v>3392</v>
      </c>
      <c r="E3187" s="501" t="s">
        <v>3381</v>
      </c>
      <c r="F3187" s="501" t="s">
        <v>615</v>
      </c>
      <c r="G3187" s="501" t="s">
        <v>616</v>
      </c>
      <c r="H3187" s="501" t="s">
        <v>14697</v>
      </c>
      <c r="I3187" s="501">
        <v>8</v>
      </c>
      <c r="J3187" s="501">
        <v>8</v>
      </c>
      <c r="K3187" s="501">
        <v>0</v>
      </c>
      <c r="L3187" s="501">
        <v>0</v>
      </c>
      <c r="M3187" s="501">
        <v>0</v>
      </c>
      <c r="N3187" s="501">
        <v>0</v>
      </c>
      <c r="O3187" s="506">
        <v>0</v>
      </c>
    </row>
    <row r="3188" spans="1:15" x14ac:dyDescent="0.35">
      <c r="A3188" s="503" t="s">
        <v>1310</v>
      </c>
      <c r="B3188" s="504">
        <v>5062</v>
      </c>
      <c r="C3188" s="504" t="s">
        <v>1089</v>
      </c>
      <c r="D3188" s="504" t="s">
        <v>3380</v>
      </c>
      <c r="E3188" s="504" t="s">
        <v>3381</v>
      </c>
      <c r="F3188" s="504" t="s">
        <v>615</v>
      </c>
      <c r="G3188" s="504" t="s">
        <v>616</v>
      </c>
      <c r="H3188" s="504" t="s">
        <v>14698</v>
      </c>
      <c r="I3188" s="504">
        <v>38</v>
      </c>
      <c r="J3188" s="504">
        <v>13</v>
      </c>
      <c r="K3188" s="504">
        <v>0</v>
      </c>
      <c r="L3188" s="504">
        <v>0</v>
      </c>
      <c r="M3188" s="504">
        <v>0</v>
      </c>
      <c r="N3188" s="504">
        <v>0</v>
      </c>
      <c r="O3188" s="505">
        <v>25</v>
      </c>
    </row>
    <row r="3189" spans="1:15" x14ac:dyDescent="0.35">
      <c r="A3189" s="500" t="s">
        <v>1111</v>
      </c>
      <c r="B3189" s="501">
        <v>4873</v>
      </c>
      <c r="C3189" s="501" t="s">
        <v>1094</v>
      </c>
      <c r="D3189" s="501" t="s">
        <v>3380</v>
      </c>
      <c r="E3189" s="501" t="s">
        <v>3381</v>
      </c>
      <c r="F3189" s="501" t="s">
        <v>615</v>
      </c>
      <c r="G3189" s="501" t="s">
        <v>616</v>
      </c>
      <c r="H3189" s="501" t="s">
        <v>5909</v>
      </c>
      <c r="I3189" s="501">
        <v>16</v>
      </c>
      <c r="J3189" s="501">
        <v>0</v>
      </c>
      <c r="K3189" s="501">
        <v>0</v>
      </c>
      <c r="L3189" s="501">
        <v>0</v>
      </c>
      <c r="M3189" s="501">
        <v>0</v>
      </c>
      <c r="N3189" s="501">
        <v>0</v>
      </c>
      <c r="O3189" s="506">
        <v>16</v>
      </c>
    </row>
    <row r="3190" spans="1:15" x14ac:dyDescent="0.35">
      <c r="A3190" s="503" t="s">
        <v>1202</v>
      </c>
      <c r="B3190" s="504" t="s">
        <v>3217</v>
      </c>
      <c r="C3190" s="504" t="s">
        <v>1094</v>
      </c>
      <c r="D3190" s="504" t="s">
        <v>3380</v>
      </c>
      <c r="E3190" s="504" t="s">
        <v>3381</v>
      </c>
      <c r="F3190" s="504" t="s">
        <v>615</v>
      </c>
      <c r="G3190" s="504" t="s">
        <v>616</v>
      </c>
      <c r="H3190" s="504" t="s">
        <v>11835</v>
      </c>
      <c r="I3190" s="504">
        <v>1</v>
      </c>
      <c r="J3190" s="504">
        <v>0</v>
      </c>
      <c r="K3190" s="504">
        <v>0</v>
      </c>
      <c r="L3190" s="504">
        <v>0</v>
      </c>
      <c r="M3190" s="504">
        <v>0</v>
      </c>
      <c r="N3190" s="504">
        <v>0</v>
      </c>
      <c r="O3190" s="505">
        <v>1</v>
      </c>
    </row>
    <row r="3191" spans="1:15" x14ac:dyDescent="0.35">
      <c r="A3191" s="500" t="s">
        <v>1994</v>
      </c>
      <c r="B3191" s="501" t="s">
        <v>3206</v>
      </c>
      <c r="C3191" s="501" t="s">
        <v>1094</v>
      </c>
      <c r="D3191" s="501" t="s">
        <v>3380</v>
      </c>
      <c r="E3191" s="501" t="s">
        <v>3381</v>
      </c>
      <c r="F3191" s="501" t="s">
        <v>615</v>
      </c>
      <c r="G3191" s="501" t="s">
        <v>616</v>
      </c>
      <c r="H3191" s="501" t="s">
        <v>5910</v>
      </c>
      <c r="I3191" s="501">
        <v>33</v>
      </c>
      <c r="J3191" s="501">
        <v>17</v>
      </c>
      <c r="K3191" s="501">
        <v>0</v>
      </c>
      <c r="L3191" s="501">
        <v>0</v>
      </c>
      <c r="M3191" s="501">
        <v>0</v>
      </c>
      <c r="N3191" s="501">
        <v>0</v>
      </c>
      <c r="O3191" s="506">
        <v>16</v>
      </c>
    </row>
    <row r="3192" spans="1:15" x14ac:dyDescent="0.35">
      <c r="A3192" s="503" t="s">
        <v>1219</v>
      </c>
      <c r="B3192" s="504">
        <v>4876</v>
      </c>
      <c r="C3192" s="504" t="s">
        <v>1089</v>
      </c>
      <c r="D3192" s="504" t="s">
        <v>3392</v>
      </c>
      <c r="E3192" s="504" t="s">
        <v>3381</v>
      </c>
      <c r="F3192" s="504" t="s">
        <v>615</v>
      </c>
      <c r="G3192" s="504" t="s">
        <v>616</v>
      </c>
      <c r="H3192" s="504" t="s">
        <v>11967</v>
      </c>
      <c r="I3192" s="504">
        <v>10</v>
      </c>
      <c r="J3192" s="504">
        <v>0</v>
      </c>
      <c r="K3192" s="504">
        <v>0</v>
      </c>
      <c r="L3192" s="504">
        <v>10</v>
      </c>
      <c r="M3192" s="504">
        <v>0</v>
      </c>
      <c r="N3192" s="504">
        <v>0</v>
      </c>
      <c r="O3192" s="505">
        <v>0</v>
      </c>
    </row>
    <row r="3193" spans="1:15" x14ac:dyDescent="0.35">
      <c r="A3193" s="500" t="s">
        <v>2008</v>
      </c>
      <c r="B3193" s="501" t="s">
        <v>3323</v>
      </c>
      <c r="C3193" s="501" t="s">
        <v>1094</v>
      </c>
      <c r="D3193" s="501" t="s">
        <v>3380</v>
      </c>
      <c r="E3193" s="501" t="s">
        <v>3381</v>
      </c>
      <c r="F3193" s="501" t="s">
        <v>615</v>
      </c>
      <c r="G3193" s="501" t="s">
        <v>616</v>
      </c>
      <c r="H3193" s="501" t="s">
        <v>5911</v>
      </c>
      <c r="I3193" s="501">
        <v>98</v>
      </c>
      <c r="J3193" s="501">
        <v>35</v>
      </c>
      <c r="K3193" s="501">
        <v>0</v>
      </c>
      <c r="L3193" s="501">
        <v>19</v>
      </c>
      <c r="M3193" s="501">
        <v>44</v>
      </c>
      <c r="N3193" s="501">
        <v>0</v>
      </c>
      <c r="O3193" s="506">
        <v>0</v>
      </c>
    </row>
    <row r="3194" spans="1:15" x14ac:dyDescent="0.35">
      <c r="A3194" s="503" t="s">
        <v>1126</v>
      </c>
      <c r="B3194" s="504" t="s">
        <v>2974</v>
      </c>
      <c r="C3194" s="504" t="s">
        <v>1094</v>
      </c>
      <c r="D3194" s="504" t="s">
        <v>3380</v>
      </c>
      <c r="E3194" s="504" t="s">
        <v>3381</v>
      </c>
      <c r="F3194" s="504" t="s">
        <v>615</v>
      </c>
      <c r="G3194" s="504" t="s">
        <v>616</v>
      </c>
      <c r="H3194" s="504" t="s">
        <v>5912</v>
      </c>
      <c r="I3194" s="504">
        <v>12</v>
      </c>
      <c r="J3194" s="504">
        <v>12</v>
      </c>
      <c r="K3194" s="504">
        <v>0</v>
      </c>
      <c r="L3194" s="504">
        <v>0</v>
      </c>
      <c r="M3194" s="504">
        <v>0</v>
      </c>
      <c r="N3194" s="504">
        <v>0</v>
      </c>
      <c r="O3194" s="505">
        <v>0</v>
      </c>
    </row>
    <row r="3195" spans="1:15" x14ac:dyDescent="0.35">
      <c r="A3195" s="500" t="s">
        <v>1132</v>
      </c>
      <c r="B3195" s="501">
        <v>4837</v>
      </c>
      <c r="C3195" s="501" t="s">
        <v>1094</v>
      </c>
      <c r="D3195" s="501" t="s">
        <v>3380</v>
      </c>
      <c r="E3195" s="501" t="s">
        <v>3381</v>
      </c>
      <c r="F3195" s="501" t="s">
        <v>615</v>
      </c>
      <c r="G3195" s="501" t="s">
        <v>616</v>
      </c>
      <c r="H3195" s="501" t="s">
        <v>5913</v>
      </c>
      <c r="I3195" s="501">
        <v>2</v>
      </c>
      <c r="J3195" s="501">
        <v>2</v>
      </c>
      <c r="K3195" s="501">
        <v>0</v>
      </c>
      <c r="L3195" s="501">
        <v>0</v>
      </c>
      <c r="M3195" s="501">
        <v>0</v>
      </c>
      <c r="N3195" s="501">
        <v>0</v>
      </c>
      <c r="O3195" s="506">
        <v>0</v>
      </c>
    </row>
    <row r="3196" spans="1:15" x14ac:dyDescent="0.35">
      <c r="A3196" s="503" t="s">
        <v>1240</v>
      </c>
      <c r="B3196" s="504" t="s">
        <v>2972</v>
      </c>
      <c r="C3196" s="504" t="s">
        <v>1094</v>
      </c>
      <c r="D3196" s="504" t="s">
        <v>3380</v>
      </c>
      <c r="E3196" s="504" t="s">
        <v>3381</v>
      </c>
      <c r="F3196" s="504" t="s">
        <v>615</v>
      </c>
      <c r="G3196" s="504" t="s">
        <v>616</v>
      </c>
      <c r="H3196" s="504" t="s">
        <v>5914</v>
      </c>
      <c r="I3196" s="504">
        <v>90</v>
      </c>
      <c r="J3196" s="504">
        <v>75</v>
      </c>
      <c r="K3196" s="504">
        <v>0</v>
      </c>
      <c r="L3196" s="504">
        <v>0</v>
      </c>
      <c r="M3196" s="504">
        <v>0</v>
      </c>
      <c r="N3196" s="504">
        <v>0</v>
      </c>
      <c r="O3196" s="505">
        <v>15</v>
      </c>
    </row>
    <row r="3197" spans="1:15" x14ac:dyDescent="0.35">
      <c r="A3197" s="500" t="s">
        <v>1134</v>
      </c>
      <c r="B3197" s="501" t="s">
        <v>3066</v>
      </c>
      <c r="C3197" s="501" t="s">
        <v>1094</v>
      </c>
      <c r="D3197" s="501" t="s">
        <v>3380</v>
      </c>
      <c r="E3197" s="501" t="s">
        <v>3381</v>
      </c>
      <c r="F3197" s="501" t="s">
        <v>615</v>
      </c>
      <c r="G3197" s="501" t="s">
        <v>616</v>
      </c>
      <c r="H3197" s="501" t="s">
        <v>5915</v>
      </c>
      <c r="I3197" s="501">
        <v>176</v>
      </c>
      <c r="J3197" s="501">
        <v>135</v>
      </c>
      <c r="K3197" s="501">
        <v>0</v>
      </c>
      <c r="L3197" s="501">
        <v>0</v>
      </c>
      <c r="M3197" s="501">
        <v>0</v>
      </c>
      <c r="N3197" s="501">
        <v>0</v>
      </c>
      <c r="O3197" s="506">
        <v>41</v>
      </c>
    </row>
    <row r="3198" spans="1:15" x14ac:dyDescent="0.35">
      <c r="A3198" s="503" t="s">
        <v>1249</v>
      </c>
      <c r="B3198" s="504">
        <v>4729</v>
      </c>
      <c r="C3198" s="504" t="s">
        <v>1094</v>
      </c>
      <c r="D3198" s="504" t="s">
        <v>3380</v>
      </c>
      <c r="E3198" s="504" t="s">
        <v>3381</v>
      </c>
      <c r="F3198" s="504" t="s">
        <v>615</v>
      </c>
      <c r="G3198" s="504" t="s">
        <v>616</v>
      </c>
      <c r="H3198" s="504" t="s">
        <v>5916</v>
      </c>
      <c r="I3198" s="504">
        <v>267</v>
      </c>
      <c r="J3198" s="504">
        <v>221</v>
      </c>
      <c r="K3198" s="504">
        <v>0</v>
      </c>
      <c r="L3198" s="504">
        <v>10</v>
      </c>
      <c r="M3198" s="504">
        <v>0</v>
      </c>
      <c r="N3198" s="504">
        <v>0</v>
      </c>
      <c r="O3198" s="505">
        <v>36</v>
      </c>
    </row>
    <row r="3199" spans="1:15" x14ac:dyDescent="0.35">
      <c r="A3199" s="500" t="s">
        <v>2047</v>
      </c>
      <c r="B3199" s="501" t="s">
        <v>3187</v>
      </c>
      <c r="C3199" s="501" t="s">
        <v>1094</v>
      </c>
      <c r="D3199" s="501" t="s">
        <v>3380</v>
      </c>
      <c r="E3199" s="501" t="s">
        <v>3381</v>
      </c>
      <c r="F3199" s="501" t="s">
        <v>615</v>
      </c>
      <c r="G3199" s="501" t="s">
        <v>616</v>
      </c>
      <c r="H3199" s="501" t="s">
        <v>5917</v>
      </c>
      <c r="I3199" s="501">
        <v>3875</v>
      </c>
      <c r="J3199" s="501">
        <v>3159</v>
      </c>
      <c r="K3199" s="501">
        <v>0</v>
      </c>
      <c r="L3199" s="501">
        <v>0</v>
      </c>
      <c r="M3199" s="501">
        <v>595</v>
      </c>
      <c r="N3199" s="501">
        <v>0</v>
      </c>
      <c r="O3199" s="506">
        <v>121</v>
      </c>
    </row>
    <row r="3200" spans="1:15" x14ac:dyDescent="0.35">
      <c r="A3200" s="503" t="s">
        <v>1262</v>
      </c>
      <c r="B3200" s="504">
        <v>4772</v>
      </c>
      <c r="C3200" s="504" t="s">
        <v>1089</v>
      </c>
      <c r="D3200" s="504" t="s">
        <v>3392</v>
      </c>
      <c r="E3200" s="504" t="s">
        <v>3381</v>
      </c>
      <c r="F3200" s="504" t="s">
        <v>615</v>
      </c>
      <c r="G3200" s="504" t="s">
        <v>616</v>
      </c>
      <c r="H3200" s="504" t="s">
        <v>5918</v>
      </c>
      <c r="I3200" s="504">
        <v>7</v>
      </c>
      <c r="J3200" s="504">
        <v>0</v>
      </c>
      <c r="K3200" s="504">
        <v>0</v>
      </c>
      <c r="L3200" s="504">
        <v>7</v>
      </c>
      <c r="M3200" s="504">
        <v>0</v>
      </c>
      <c r="N3200" s="504">
        <v>0</v>
      </c>
      <c r="O3200" s="505">
        <v>0</v>
      </c>
    </row>
    <row r="3201" spans="1:15" x14ac:dyDescent="0.35">
      <c r="A3201" s="500" t="s">
        <v>2052</v>
      </c>
      <c r="B3201" s="501" t="s">
        <v>3080</v>
      </c>
      <c r="C3201" s="501" t="s">
        <v>1089</v>
      </c>
      <c r="D3201" s="501" t="s">
        <v>3392</v>
      </c>
      <c r="E3201" s="501" t="s">
        <v>3381</v>
      </c>
      <c r="F3201" s="501" t="s">
        <v>615</v>
      </c>
      <c r="G3201" s="501" t="s">
        <v>616</v>
      </c>
      <c r="H3201" s="501" t="s">
        <v>5919</v>
      </c>
      <c r="I3201" s="501">
        <v>412</v>
      </c>
      <c r="J3201" s="501">
        <v>390</v>
      </c>
      <c r="K3201" s="501">
        <v>0</v>
      </c>
      <c r="L3201" s="501">
        <v>0</v>
      </c>
      <c r="M3201" s="501">
        <v>22</v>
      </c>
      <c r="N3201" s="501">
        <v>3</v>
      </c>
      <c r="O3201" s="506">
        <v>0</v>
      </c>
    </row>
    <row r="3202" spans="1:15" x14ac:dyDescent="0.35">
      <c r="A3202" s="503" t="s">
        <v>1143</v>
      </c>
      <c r="B3202" s="504" t="s">
        <v>3281</v>
      </c>
      <c r="C3202" s="504" t="s">
        <v>1094</v>
      </c>
      <c r="D3202" s="504" t="s">
        <v>3380</v>
      </c>
      <c r="E3202" s="504" t="s">
        <v>3381</v>
      </c>
      <c r="F3202" s="504" t="s">
        <v>617</v>
      </c>
      <c r="G3202" s="504" t="s">
        <v>618</v>
      </c>
      <c r="H3202" s="504" t="s">
        <v>5920</v>
      </c>
      <c r="I3202" s="504">
        <v>26</v>
      </c>
      <c r="J3202" s="504">
        <v>26</v>
      </c>
      <c r="K3202" s="504">
        <v>0</v>
      </c>
      <c r="L3202" s="504">
        <v>0</v>
      </c>
      <c r="M3202" s="504">
        <v>0</v>
      </c>
      <c r="N3202" s="504">
        <v>0</v>
      </c>
      <c r="O3202" s="505">
        <v>0</v>
      </c>
    </row>
    <row r="3203" spans="1:15" x14ac:dyDescent="0.35">
      <c r="A3203" s="500" t="s">
        <v>1151</v>
      </c>
      <c r="B3203" s="501">
        <v>4726</v>
      </c>
      <c r="C3203" s="501" t="s">
        <v>1089</v>
      </c>
      <c r="D3203" s="501" t="s">
        <v>3392</v>
      </c>
      <c r="E3203" s="501" t="s">
        <v>3381</v>
      </c>
      <c r="F3203" s="501" t="s">
        <v>617</v>
      </c>
      <c r="G3203" s="501" t="s">
        <v>618</v>
      </c>
      <c r="H3203" s="501" t="s">
        <v>5921</v>
      </c>
      <c r="I3203" s="501">
        <v>2</v>
      </c>
      <c r="J3203" s="501">
        <v>2</v>
      </c>
      <c r="K3203" s="501">
        <v>0</v>
      </c>
      <c r="L3203" s="501">
        <v>0</v>
      </c>
      <c r="M3203" s="501">
        <v>0</v>
      </c>
      <c r="N3203" s="501">
        <v>0</v>
      </c>
      <c r="O3203" s="506">
        <v>0</v>
      </c>
    </row>
    <row r="3204" spans="1:15" x14ac:dyDescent="0.35">
      <c r="A3204" s="503" t="s">
        <v>1674</v>
      </c>
      <c r="B3204" s="504">
        <v>4765</v>
      </c>
      <c r="C3204" s="504" t="s">
        <v>1089</v>
      </c>
      <c r="D3204" s="504" t="s">
        <v>3392</v>
      </c>
      <c r="E3204" s="504" t="s">
        <v>3381</v>
      </c>
      <c r="F3204" s="504" t="s">
        <v>617</v>
      </c>
      <c r="G3204" s="504" t="s">
        <v>618</v>
      </c>
      <c r="H3204" s="504" t="s">
        <v>5922</v>
      </c>
      <c r="I3204" s="504">
        <v>12</v>
      </c>
      <c r="J3204" s="504">
        <v>12</v>
      </c>
      <c r="K3204" s="504">
        <v>0</v>
      </c>
      <c r="L3204" s="504">
        <v>0</v>
      </c>
      <c r="M3204" s="504">
        <v>0</v>
      </c>
      <c r="N3204" s="504">
        <v>0</v>
      </c>
      <c r="O3204" s="505">
        <v>0</v>
      </c>
    </row>
    <row r="3205" spans="1:15" x14ac:dyDescent="0.35">
      <c r="A3205" s="500" t="s">
        <v>1278</v>
      </c>
      <c r="B3205" s="501">
        <v>4639</v>
      </c>
      <c r="C3205" s="501" t="s">
        <v>1089</v>
      </c>
      <c r="D3205" s="501" t="s">
        <v>3392</v>
      </c>
      <c r="E3205" s="501" t="s">
        <v>3381</v>
      </c>
      <c r="F3205" s="501" t="s">
        <v>617</v>
      </c>
      <c r="G3205" s="501" t="s">
        <v>618</v>
      </c>
      <c r="H3205" s="501" t="s">
        <v>14699</v>
      </c>
      <c r="I3205" s="501">
        <v>5</v>
      </c>
      <c r="J3205" s="501">
        <v>5</v>
      </c>
      <c r="K3205" s="501">
        <v>0</v>
      </c>
      <c r="L3205" s="501">
        <v>0</v>
      </c>
      <c r="M3205" s="501">
        <v>0</v>
      </c>
      <c r="N3205" s="501">
        <v>0</v>
      </c>
      <c r="O3205" s="506">
        <v>0</v>
      </c>
    </row>
    <row r="3206" spans="1:15" x14ac:dyDescent="0.35">
      <c r="A3206" s="503" t="s">
        <v>1160</v>
      </c>
      <c r="B3206" s="504">
        <v>4672</v>
      </c>
      <c r="C3206" s="504" t="s">
        <v>1089</v>
      </c>
      <c r="D3206" s="504" t="s">
        <v>3392</v>
      </c>
      <c r="E3206" s="504" t="s">
        <v>3381</v>
      </c>
      <c r="F3206" s="504" t="s">
        <v>617</v>
      </c>
      <c r="G3206" s="504" t="s">
        <v>618</v>
      </c>
      <c r="H3206" s="504" t="s">
        <v>5923</v>
      </c>
      <c r="I3206" s="504">
        <v>7</v>
      </c>
      <c r="J3206" s="504">
        <v>0</v>
      </c>
      <c r="K3206" s="504">
        <v>0</v>
      </c>
      <c r="L3206" s="504">
        <v>7</v>
      </c>
      <c r="M3206" s="504">
        <v>0</v>
      </c>
      <c r="N3206" s="504">
        <v>0</v>
      </c>
      <c r="O3206" s="505">
        <v>0</v>
      </c>
    </row>
    <row r="3207" spans="1:15" x14ac:dyDescent="0.35">
      <c r="A3207" s="500" t="s">
        <v>1691</v>
      </c>
      <c r="B3207" s="501" t="s">
        <v>3199</v>
      </c>
      <c r="C3207" s="501" t="s">
        <v>1094</v>
      </c>
      <c r="D3207" s="501" t="s">
        <v>3380</v>
      </c>
      <c r="E3207" s="501" t="s">
        <v>3381</v>
      </c>
      <c r="F3207" s="501" t="s">
        <v>617</v>
      </c>
      <c r="G3207" s="501" t="s">
        <v>618</v>
      </c>
      <c r="H3207" s="501" t="s">
        <v>5924</v>
      </c>
      <c r="I3207" s="501">
        <v>8</v>
      </c>
      <c r="J3207" s="501">
        <v>2</v>
      </c>
      <c r="K3207" s="501">
        <v>0</v>
      </c>
      <c r="L3207" s="501">
        <v>6</v>
      </c>
      <c r="M3207" s="501">
        <v>0</v>
      </c>
      <c r="N3207" s="501">
        <v>0</v>
      </c>
      <c r="O3207" s="506">
        <v>0</v>
      </c>
    </row>
    <row r="3208" spans="1:15" x14ac:dyDescent="0.35">
      <c r="A3208" s="503" t="s">
        <v>1102</v>
      </c>
      <c r="B3208" s="504">
        <v>4663</v>
      </c>
      <c r="C3208" s="504" t="s">
        <v>1089</v>
      </c>
      <c r="D3208" s="504" t="s">
        <v>3392</v>
      </c>
      <c r="E3208" s="504" t="s">
        <v>3381</v>
      </c>
      <c r="F3208" s="504" t="s">
        <v>617</v>
      </c>
      <c r="G3208" s="504" t="s">
        <v>618</v>
      </c>
      <c r="H3208" s="504" t="s">
        <v>5925</v>
      </c>
      <c r="I3208" s="504">
        <v>12</v>
      </c>
      <c r="J3208" s="504">
        <v>0</v>
      </c>
      <c r="K3208" s="504">
        <v>0</v>
      </c>
      <c r="L3208" s="504">
        <v>12</v>
      </c>
      <c r="M3208" s="504">
        <v>0</v>
      </c>
      <c r="N3208" s="504">
        <v>0</v>
      </c>
      <c r="O3208" s="505">
        <v>0</v>
      </c>
    </row>
    <row r="3209" spans="1:15" x14ac:dyDescent="0.35">
      <c r="A3209" s="500" t="s">
        <v>1704</v>
      </c>
      <c r="B3209" s="501" t="s">
        <v>3221</v>
      </c>
      <c r="C3209" s="501" t="s">
        <v>1094</v>
      </c>
      <c r="D3209" s="501" t="s">
        <v>3380</v>
      </c>
      <c r="E3209" s="501" t="s">
        <v>3381</v>
      </c>
      <c r="F3209" s="501" t="s">
        <v>617</v>
      </c>
      <c r="G3209" s="501" t="s">
        <v>618</v>
      </c>
      <c r="H3209" s="501" t="s">
        <v>5926</v>
      </c>
      <c r="I3209" s="501">
        <v>183</v>
      </c>
      <c r="J3209" s="501">
        <v>167</v>
      </c>
      <c r="K3209" s="501">
        <v>0</v>
      </c>
      <c r="L3209" s="501">
        <v>0</v>
      </c>
      <c r="M3209" s="501">
        <v>0</v>
      </c>
      <c r="N3209" s="501">
        <v>0</v>
      </c>
      <c r="O3209" s="506">
        <v>16</v>
      </c>
    </row>
    <row r="3210" spans="1:15" x14ac:dyDescent="0.35">
      <c r="A3210" s="503" t="s">
        <v>14208</v>
      </c>
      <c r="B3210" s="504">
        <v>4803</v>
      </c>
      <c r="C3210" s="504" t="s">
        <v>1094</v>
      </c>
      <c r="D3210" s="504" t="s">
        <v>3380</v>
      </c>
      <c r="E3210" s="504" t="s">
        <v>3381</v>
      </c>
      <c r="F3210" s="504" t="s">
        <v>617</v>
      </c>
      <c r="G3210" s="504" t="s">
        <v>618</v>
      </c>
      <c r="H3210" s="504" t="s">
        <v>14700</v>
      </c>
      <c r="I3210" s="504">
        <v>5</v>
      </c>
      <c r="J3210" s="504">
        <v>0</v>
      </c>
      <c r="K3210" s="504">
        <v>0</v>
      </c>
      <c r="L3210" s="504">
        <v>5</v>
      </c>
      <c r="M3210" s="504">
        <v>0</v>
      </c>
      <c r="N3210" s="504">
        <v>0</v>
      </c>
      <c r="O3210" s="505">
        <v>0</v>
      </c>
    </row>
    <row r="3211" spans="1:15" x14ac:dyDescent="0.35">
      <c r="A3211" s="500" t="s">
        <v>1183</v>
      </c>
      <c r="B3211" s="501" t="s">
        <v>3038</v>
      </c>
      <c r="C3211" s="501" t="s">
        <v>1094</v>
      </c>
      <c r="D3211" s="501" t="s">
        <v>3380</v>
      </c>
      <c r="E3211" s="501" t="s">
        <v>3381</v>
      </c>
      <c r="F3211" s="501" t="s">
        <v>617</v>
      </c>
      <c r="G3211" s="501" t="s">
        <v>618</v>
      </c>
      <c r="H3211" s="501" t="s">
        <v>5927</v>
      </c>
      <c r="I3211" s="501">
        <v>222</v>
      </c>
      <c r="J3211" s="501">
        <v>167</v>
      </c>
      <c r="K3211" s="501">
        <v>0</v>
      </c>
      <c r="L3211" s="501">
        <v>6</v>
      </c>
      <c r="M3211" s="501">
        <v>0</v>
      </c>
      <c r="N3211" s="501">
        <v>0</v>
      </c>
      <c r="O3211" s="506">
        <v>49</v>
      </c>
    </row>
    <row r="3212" spans="1:15" x14ac:dyDescent="0.35">
      <c r="A3212" s="503" t="s">
        <v>1105</v>
      </c>
      <c r="B3212" s="504">
        <v>4668</v>
      </c>
      <c r="C3212" s="504" t="s">
        <v>1094</v>
      </c>
      <c r="D3212" s="504" t="s">
        <v>3380</v>
      </c>
      <c r="E3212" s="504" t="s">
        <v>3381</v>
      </c>
      <c r="F3212" s="504" t="s">
        <v>617</v>
      </c>
      <c r="G3212" s="504" t="s">
        <v>618</v>
      </c>
      <c r="H3212" s="504" t="s">
        <v>5928</v>
      </c>
      <c r="I3212" s="504">
        <v>48</v>
      </c>
      <c r="J3212" s="504">
        <v>0</v>
      </c>
      <c r="K3212" s="504">
        <v>0</v>
      </c>
      <c r="L3212" s="504">
        <v>0</v>
      </c>
      <c r="M3212" s="504">
        <v>0</v>
      </c>
      <c r="N3212" s="504">
        <v>0</v>
      </c>
      <c r="O3212" s="505">
        <v>48</v>
      </c>
    </row>
    <row r="3213" spans="1:15" x14ac:dyDescent="0.35">
      <c r="A3213" s="500" t="s">
        <v>1190</v>
      </c>
      <c r="B3213" s="501">
        <v>4662</v>
      </c>
      <c r="C3213" s="501" t="s">
        <v>1094</v>
      </c>
      <c r="D3213" s="501" t="s">
        <v>3380</v>
      </c>
      <c r="E3213" s="501" t="s">
        <v>3381</v>
      </c>
      <c r="F3213" s="501" t="s">
        <v>617</v>
      </c>
      <c r="G3213" s="501" t="s">
        <v>618</v>
      </c>
      <c r="H3213" s="501" t="s">
        <v>14701</v>
      </c>
      <c r="I3213" s="501">
        <v>4</v>
      </c>
      <c r="J3213" s="501">
        <v>0</v>
      </c>
      <c r="K3213" s="501">
        <v>0</v>
      </c>
      <c r="L3213" s="501">
        <v>4</v>
      </c>
      <c r="M3213" s="501">
        <v>0</v>
      </c>
      <c r="N3213" s="501">
        <v>0</v>
      </c>
      <c r="O3213" s="506">
        <v>0</v>
      </c>
    </row>
    <row r="3214" spans="1:15" x14ac:dyDescent="0.35">
      <c r="A3214" s="503" t="s">
        <v>11401</v>
      </c>
      <c r="B3214" s="504" t="s">
        <v>3241</v>
      </c>
      <c r="C3214" s="504" t="s">
        <v>1094</v>
      </c>
      <c r="D3214" s="504" t="s">
        <v>3380</v>
      </c>
      <c r="E3214" s="504" t="s">
        <v>3381</v>
      </c>
      <c r="F3214" s="504" t="s">
        <v>617</v>
      </c>
      <c r="G3214" s="504" t="s">
        <v>618</v>
      </c>
      <c r="H3214" s="504" t="s">
        <v>11780</v>
      </c>
      <c r="I3214" s="504">
        <v>79</v>
      </c>
      <c r="J3214" s="504">
        <v>53</v>
      </c>
      <c r="K3214" s="504">
        <v>0</v>
      </c>
      <c r="L3214" s="504">
        <v>0</v>
      </c>
      <c r="M3214" s="504">
        <v>0</v>
      </c>
      <c r="N3214" s="504">
        <v>0</v>
      </c>
      <c r="O3214" s="505">
        <v>26</v>
      </c>
    </row>
    <row r="3215" spans="1:15" x14ac:dyDescent="0.35">
      <c r="A3215" s="500" t="s">
        <v>1310</v>
      </c>
      <c r="B3215" s="501">
        <v>5062</v>
      </c>
      <c r="C3215" s="501" t="s">
        <v>1089</v>
      </c>
      <c r="D3215" s="501" t="s">
        <v>3380</v>
      </c>
      <c r="E3215" s="501" t="s">
        <v>3381</v>
      </c>
      <c r="F3215" s="501" t="s">
        <v>617</v>
      </c>
      <c r="G3215" s="501" t="s">
        <v>618</v>
      </c>
      <c r="H3215" s="501" t="s">
        <v>14702</v>
      </c>
      <c r="I3215" s="501">
        <v>12</v>
      </c>
      <c r="J3215" s="501">
        <v>2</v>
      </c>
      <c r="K3215" s="501">
        <v>0</v>
      </c>
      <c r="L3215" s="501">
        <v>0</v>
      </c>
      <c r="M3215" s="501">
        <v>0</v>
      </c>
      <c r="N3215" s="501">
        <v>0</v>
      </c>
      <c r="O3215" s="506">
        <v>10</v>
      </c>
    </row>
    <row r="3216" spans="1:15" x14ac:dyDescent="0.35">
      <c r="A3216" s="503" t="s">
        <v>1735</v>
      </c>
      <c r="B3216" s="504" t="s">
        <v>3072</v>
      </c>
      <c r="C3216" s="504" t="s">
        <v>1089</v>
      </c>
      <c r="D3216" s="504" t="s">
        <v>3392</v>
      </c>
      <c r="E3216" s="504" t="s">
        <v>3381</v>
      </c>
      <c r="F3216" s="504" t="s">
        <v>617</v>
      </c>
      <c r="G3216" s="504" t="s">
        <v>618</v>
      </c>
      <c r="H3216" s="504" t="s">
        <v>5929</v>
      </c>
      <c r="I3216" s="504">
        <v>22</v>
      </c>
      <c r="J3216" s="504">
        <v>0</v>
      </c>
      <c r="K3216" s="504">
        <v>0</v>
      </c>
      <c r="L3216" s="504">
        <v>0</v>
      </c>
      <c r="M3216" s="504">
        <v>22</v>
      </c>
      <c r="N3216" s="504">
        <v>0</v>
      </c>
      <c r="O3216" s="505">
        <v>0</v>
      </c>
    </row>
    <row r="3217" spans="1:15" x14ac:dyDescent="0.35">
      <c r="A3217" s="500" t="s">
        <v>1208</v>
      </c>
      <c r="B3217" s="501" t="s">
        <v>3096</v>
      </c>
      <c r="C3217" s="501" t="s">
        <v>1094</v>
      </c>
      <c r="D3217" s="501" t="s">
        <v>3380</v>
      </c>
      <c r="E3217" s="501" t="s">
        <v>3381</v>
      </c>
      <c r="F3217" s="501" t="s">
        <v>617</v>
      </c>
      <c r="G3217" s="501" t="s">
        <v>618</v>
      </c>
      <c r="H3217" s="501" t="s">
        <v>5930</v>
      </c>
      <c r="I3217" s="501">
        <v>117</v>
      </c>
      <c r="J3217" s="501">
        <v>94</v>
      </c>
      <c r="K3217" s="501">
        <v>0</v>
      </c>
      <c r="L3217" s="501">
        <v>0</v>
      </c>
      <c r="M3217" s="501">
        <v>0</v>
      </c>
      <c r="N3217" s="501">
        <v>0</v>
      </c>
      <c r="O3217" s="506">
        <v>23</v>
      </c>
    </row>
    <row r="3218" spans="1:15" x14ac:dyDescent="0.35">
      <c r="A3218" s="503" t="s">
        <v>1221</v>
      </c>
      <c r="B3218" s="504">
        <v>4728</v>
      </c>
      <c r="C3218" s="504" t="s">
        <v>1089</v>
      </c>
      <c r="D3218" s="504" t="s">
        <v>3392</v>
      </c>
      <c r="E3218" s="504" t="s">
        <v>3381</v>
      </c>
      <c r="F3218" s="504" t="s">
        <v>617</v>
      </c>
      <c r="G3218" s="504" t="s">
        <v>618</v>
      </c>
      <c r="H3218" s="504" t="s">
        <v>5931</v>
      </c>
      <c r="I3218" s="504">
        <v>12</v>
      </c>
      <c r="J3218" s="504">
        <v>0</v>
      </c>
      <c r="K3218" s="504">
        <v>0</v>
      </c>
      <c r="L3218" s="504">
        <v>12</v>
      </c>
      <c r="M3218" s="504">
        <v>0</v>
      </c>
      <c r="N3218" s="504">
        <v>0</v>
      </c>
      <c r="O3218" s="505">
        <v>0</v>
      </c>
    </row>
    <row r="3219" spans="1:15" x14ac:dyDescent="0.35">
      <c r="A3219" s="500" t="s">
        <v>1122</v>
      </c>
      <c r="B3219" s="501" t="s">
        <v>2994</v>
      </c>
      <c r="C3219" s="501" t="s">
        <v>1094</v>
      </c>
      <c r="D3219" s="501" t="s">
        <v>3380</v>
      </c>
      <c r="E3219" s="501" t="s">
        <v>3381</v>
      </c>
      <c r="F3219" s="501" t="s">
        <v>617</v>
      </c>
      <c r="G3219" s="501" t="s">
        <v>618</v>
      </c>
      <c r="H3219" s="501" t="s">
        <v>5932</v>
      </c>
      <c r="I3219" s="501">
        <v>233</v>
      </c>
      <c r="J3219" s="501">
        <v>212</v>
      </c>
      <c r="K3219" s="501">
        <v>0</v>
      </c>
      <c r="L3219" s="501">
        <v>6</v>
      </c>
      <c r="M3219" s="501">
        <v>0</v>
      </c>
      <c r="N3219" s="501">
        <v>0</v>
      </c>
      <c r="O3219" s="506">
        <v>15</v>
      </c>
    </row>
    <row r="3220" spans="1:15" x14ac:dyDescent="0.35">
      <c r="A3220" s="503" t="s">
        <v>1225</v>
      </c>
      <c r="B3220" s="504" t="s">
        <v>3315</v>
      </c>
      <c r="C3220" s="504" t="s">
        <v>1094</v>
      </c>
      <c r="D3220" s="504" t="s">
        <v>3380</v>
      </c>
      <c r="E3220" s="504" t="s">
        <v>3381</v>
      </c>
      <c r="F3220" s="504" t="s">
        <v>617</v>
      </c>
      <c r="G3220" s="504" t="s">
        <v>618</v>
      </c>
      <c r="H3220" s="504" t="s">
        <v>5933</v>
      </c>
      <c r="I3220" s="504">
        <v>18</v>
      </c>
      <c r="J3220" s="504">
        <v>0</v>
      </c>
      <c r="K3220" s="504">
        <v>0</v>
      </c>
      <c r="L3220" s="504">
        <v>18</v>
      </c>
      <c r="M3220" s="504">
        <v>0</v>
      </c>
      <c r="N3220" s="504">
        <v>0</v>
      </c>
      <c r="O3220" s="505">
        <v>0</v>
      </c>
    </row>
    <row r="3221" spans="1:15" x14ac:dyDescent="0.35">
      <c r="A3221" s="500" t="s">
        <v>1228</v>
      </c>
      <c r="B3221" s="501" t="s">
        <v>3321</v>
      </c>
      <c r="C3221" s="501" t="s">
        <v>1094</v>
      </c>
      <c r="D3221" s="501" t="s">
        <v>3380</v>
      </c>
      <c r="E3221" s="501" t="s">
        <v>3381</v>
      </c>
      <c r="F3221" s="501" t="s">
        <v>617</v>
      </c>
      <c r="G3221" s="501" t="s">
        <v>618</v>
      </c>
      <c r="H3221" s="501" t="s">
        <v>5934</v>
      </c>
      <c r="I3221" s="501">
        <v>2108</v>
      </c>
      <c r="J3221" s="501">
        <v>1654</v>
      </c>
      <c r="K3221" s="501">
        <v>0</v>
      </c>
      <c r="L3221" s="501">
        <v>67</v>
      </c>
      <c r="M3221" s="501">
        <v>368</v>
      </c>
      <c r="N3221" s="501">
        <v>0</v>
      </c>
      <c r="O3221" s="506">
        <v>19</v>
      </c>
    </row>
    <row r="3222" spans="1:15" x14ac:dyDescent="0.35">
      <c r="A3222" s="503" t="s">
        <v>1752</v>
      </c>
      <c r="B3222" s="504">
        <v>4653</v>
      </c>
      <c r="C3222" s="504" t="s">
        <v>1094</v>
      </c>
      <c r="D3222" s="504" t="s">
        <v>3380</v>
      </c>
      <c r="E3222" s="504" t="s">
        <v>3381</v>
      </c>
      <c r="F3222" s="504" t="s">
        <v>617</v>
      </c>
      <c r="G3222" s="504" t="s">
        <v>618</v>
      </c>
      <c r="H3222" s="504" t="s">
        <v>5935</v>
      </c>
      <c r="I3222" s="504">
        <v>29</v>
      </c>
      <c r="J3222" s="504">
        <v>20</v>
      </c>
      <c r="K3222" s="504">
        <v>0</v>
      </c>
      <c r="L3222" s="504">
        <v>9</v>
      </c>
      <c r="M3222" s="504">
        <v>0</v>
      </c>
      <c r="N3222" s="504">
        <v>0</v>
      </c>
      <c r="O3222" s="505">
        <v>0</v>
      </c>
    </row>
    <row r="3223" spans="1:15" x14ac:dyDescent="0.35">
      <c r="A3223" s="500" t="s">
        <v>1233</v>
      </c>
      <c r="B3223" s="501">
        <v>4636</v>
      </c>
      <c r="C3223" s="501" t="s">
        <v>1094</v>
      </c>
      <c r="D3223" s="501" t="s">
        <v>3380</v>
      </c>
      <c r="E3223" s="501" t="s">
        <v>3381</v>
      </c>
      <c r="F3223" s="501" t="s">
        <v>617</v>
      </c>
      <c r="G3223" s="501" t="s">
        <v>618</v>
      </c>
      <c r="H3223" s="501" t="s">
        <v>5936</v>
      </c>
      <c r="I3223" s="501">
        <v>49</v>
      </c>
      <c r="J3223" s="501">
        <v>12</v>
      </c>
      <c r="K3223" s="501">
        <v>0</v>
      </c>
      <c r="L3223" s="501">
        <v>0</v>
      </c>
      <c r="M3223" s="501">
        <v>0</v>
      </c>
      <c r="N3223" s="501">
        <v>0</v>
      </c>
      <c r="O3223" s="506">
        <v>37</v>
      </c>
    </row>
    <row r="3224" spans="1:15" x14ac:dyDescent="0.35">
      <c r="A3224" s="503" t="s">
        <v>11368</v>
      </c>
      <c r="B3224" s="504">
        <v>5083</v>
      </c>
      <c r="C3224" s="504" t="s">
        <v>1094</v>
      </c>
      <c r="D3224" s="504" t="s">
        <v>3380</v>
      </c>
      <c r="E3224" s="504" t="s">
        <v>3381</v>
      </c>
      <c r="F3224" s="504" t="s">
        <v>617</v>
      </c>
      <c r="G3224" s="504" t="s">
        <v>618</v>
      </c>
      <c r="H3224" s="504" t="s">
        <v>12052</v>
      </c>
      <c r="I3224" s="504">
        <v>80</v>
      </c>
      <c r="J3224" s="504">
        <v>80</v>
      </c>
      <c r="K3224" s="504">
        <v>0</v>
      </c>
      <c r="L3224" s="504">
        <v>0</v>
      </c>
      <c r="M3224" s="504">
        <v>0</v>
      </c>
      <c r="N3224" s="504">
        <v>0</v>
      </c>
      <c r="O3224" s="505">
        <v>0</v>
      </c>
    </row>
    <row r="3225" spans="1:15" x14ac:dyDescent="0.35">
      <c r="A3225" s="500" t="s">
        <v>1249</v>
      </c>
      <c r="B3225" s="501">
        <v>4729</v>
      </c>
      <c r="C3225" s="501" t="s">
        <v>1094</v>
      </c>
      <c r="D3225" s="501" t="s">
        <v>3380</v>
      </c>
      <c r="E3225" s="501" t="s">
        <v>3381</v>
      </c>
      <c r="F3225" s="501" t="s">
        <v>617</v>
      </c>
      <c r="G3225" s="501" t="s">
        <v>618</v>
      </c>
      <c r="H3225" s="501" t="s">
        <v>5937</v>
      </c>
      <c r="I3225" s="501">
        <v>2</v>
      </c>
      <c r="J3225" s="501">
        <v>0</v>
      </c>
      <c r="K3225" s="501">
        <v>0</v>
      </c>
      <c r="L3225" s="501">
        <v>0</v>
      </c>
      <c r="M3225" s="501">
        <v>0</v>
      </c>
      <c r="N3225" s="501">
        <v>0</v>
      </c>
      <c r="O3225" s="506">
        <v>2</v>
      </c>
    </row>
    <row r="3226" spans="1:15" x14ac:dyDescent="0.35">
      <c r="A3226" s="503" t="s">
        <v>1266</v>
      </c>
      <c r="B3226" s="504" t="s">
        <v>3071</v>
      </c>
      <c r="C3226" s="504" t="s">
        <v>1094</v>
      </c>
      <c r="D3226" s="504" t="s">
        <v>3380</v>
      </c>
      <c r="E3226" s="504" t="s">
        <v>3381</v>
      </c>
      <c r="F3226" s="504" t="s">
        <v>617</v>
      </c>
      <c r="G3226" s="504" t="s">
        <v>618</v>
      </c>
      <c r="H3226" s="504" t="s">
        <v>5938</v>
      </c>
      <c r="I3226" s="504">
        <v>143</v>
      </c>
      <c r="J3226" s="504">
        <v>25</v>
      </c>
      <c r="K3226" s="504">
        <v>0</v>
      </c>
      <c r="L3226" s="504">
        <v>0</v>
      </c>
      <c r="M3226" s="504">
        <v>114</v>
      </c>
      <c r="N3226" s="504">
        <v>0</v>
      </c>
      <c r="O3226" s="505">
        <v>4</v>
      </c>
    </row>
    <row r="3227" spans="1:15" x14ac:dyDescent="0.35">
      <c r="A3227" s="500" t="s">
        <v>1193</v>
      </c>
      <c r="B3227" s="501" t="s">
        <v>3039</v>
      </c>
      <c r="C3227" s="501" t="s">
        <v>1094</v>
      </c>
      <c r="D3227" s="501" t="s">
        <v>3380</v>
      </c>
      <c r="E3227" s="501" t="s">
        <v>3381</v>
      </c>
      <c r="F3227" s="501" t="s">
        <v>619</v>
      </c>
      <c r="G3227" s="501" t="s">
        <v>620</v>
      </c>
      <c r="H3227" s="501" t="s">
        <v>5949</v>
      </c>
      <c r="I3227" s="501">
        <v>127</v>
      </c>
      <c r="J3227" s="501">
        <v>61</v>
      </c>
      <c r="K3227" s="501">
        <v>0</v>
      </c>
      <c r="L3227" s="501">
        <v>0</v>
      </c>
      <c r="M3227" s="501">
        <v>66</v>
      </c>
      <c r="N3227" s="501">
        <v>0</v>
      </c>
      <c r="O3227" s="506">
        <v>0</v>
      </c>
    </row>
    <row r="3228" spans="1:15" x14ac:dyDescent="0.35">
      <c r="A3228" s="503" t="s">
        <v>1143</v>
      </c>
      <c r="B3228" s="504" t="s">
        <v>3281</v>
      </c>
      <c r="C3228" s="504" t="s">
        <v>1094</v>
      </c>
      <c r="D3228" s="504" t="s">
        <v>3380</v>
      </c>
      <c r="E3228" s="504" t="s">
        <v>3381</v>
      </c>
      <c r="F3228" s="504" t="s">
        <v>619</v>
      </c>
      <c r="G3228" s="504" t="s">
        <v>620</v>
      </c>
      <c r="H3228" s="504" t="s">
        <v>5939</v>
      </c>
      <c r="I3228" s="504">
        <v>100</v>
      </c>
      <c r="J3228" s="504">
        <v>78</v>
      </c>
      <c r="K3228" s="504">
        <v>0</v>
      </c>
      <c r="L3228" s="504">
        <v>0</v>
      </c>
      <c r="M3228" s="504">
        <v>22</v>
      </c>
      <c r="N3228" s="504">
        <v>7</v>
      </c>
      <c r="O3228" s="505">
        <v>0</v>
      </c>
    </row>
    <row r="3229" spans="1:15" x14ac:dyDescent="0.35">
      <c r="A3229" s="500" t="s">
        <v>1611</v>
      </c>
      <c r="B3229" s="501">
        <v>4788</v>
      </c>
      <c r="C3229" s="501" t="s">
        <v>1089</v>
      </c>
      <c r="D3229" s="501" t="s">
        <v>3392</v>
      </c>
      <c r="E3229" s="501" t="s">
        <v>3381</v>
      </c>
      <c r="F3229" s="501" t="s">
        <v>619</v>
      </c>
      <c r="G3229" s="501" t="s">
        <v>620</v>
      </c>
      <c r="H3229" s="501" t="s">
        <v>5940</v>
      </c>
      <c r="I3229" s="501">
        <v>12</v>
      </c>
      <c r="J3229" s="501">
        <v>12</v>
      </c>
      <c r="K3229" s="501">
        <v>0</v>
      </c>
      <c r="L3229" s="501">
        <v>0</v>
      </c>
      <c r="M3229" s="501">
        <v>0</v>
      </c>
      <c r="N3229" s="501">
        <v>0</v>
      </c>
      <c r="O3229" s="506">
        <v>0</v>
      </c>
    </row>
    <row r="3230" spans="1:15" x14ac:dyDescent="0.35">
      <c r="A3230" s="503" t="s">
        <v>1096</v>
      </c>
      <c r="B3230" s="504" t="s">
        <v>3326</v>
      </c>
      <c r="C3230" s="504" t="s">
        <v>1094</v>
      </c>
      <c r="D3230" s="504" t="s">
        <v>3380</v>
      </c>
      <c r="E3230" s="504" t="s">
        <v>3381</v>
      </c>
      <c r="F3230" s="504" t="s">
        <v>619</v>
      </c>
      <c r="G3230" s="504" t="s">
        <v>620</v>
      </c>
      <c r="H3230" s="504" t="s">
        <v>5941</v>
      </c>
      <c r="I3230" s="504">
        <v>295</v>
      </c>
      <c r="J3230" s="504">
        <v>0</v>
      </c>
      <c r="K3230" s="504">
        <v>0</v>
      </c>
      <c r="L3230" s="504">
        <v>0</v>
      </c>
      <c r="M3230" s="504">
        <v>276</v>
      </c>
      <c r="N3230" s="504">
        <v>0</v>
      </c>
      <c r="O3230" s="505">
        <v>19</v>
      </c>
    </row>
    <row r="3231" spans="1:15" x14ac:dyDescent="0.35">
      <c r="A3231" s="500" t="s">
        <v>1617</v>
      </c>
      <c r="B3231" s="501">
        <v>4868</v>
      </c>
      <c r="C3231" s="501" t="s">
        <v>1094</v>
      </c>
      <c r="D3231" s="501" t="s">
        <v>3380</v>
      </c>
      <c r="E3231" s="501" t="s">
        <v>3381</v>
      </c>
      <c r="F3231" s="501" t="s">
        <v>619</v>
      </c>
      <c r="G3231" s="501" t="s">
        <v>620</v>
      </c>
      <c r="H3231" s="501" t="s">
        <v>5942</v>
      </c>
      <c r="I3231" s="501">
        <v>574</v>
      </c>
      <c r="J3231" s="501">
        <v>325</v>
      </c>
      <c r="K3231" s="501">
        <v>0</v>
      </c>
      <c r="L3231" s="501">
        <v>86</v>
      </c>
      <c r="M3231" s="501">
        <v>158</v>
      </c>
      <c r="N3231" s="501">
        <v>0</v>
      </c>
      <c r="O3231" s="506">
        <v>5</v>
      </c>
    </row>
    <row r="3232" spans="1:15" x14ac:dyDescent="0.35">
      <c r="A3232" s="503" t="s">
        <v>11363</v>
      </c>
      <c r="B3232" s="504">
        <v>4718</v>
      </c>
      <c r="C3232" s="504" t="s">
        <v>1094</v>
      </c>
      <c r="D3232" s="504" t="s">
        <v>3380</v>
      </c>
      <c r="E3232" s="504" t="s">
        <v>3381</v>
      </c>
      <c r="F3232" s="504" t="s">
        <v>619</v>
      </c>
      <c r="G3232" s="504" t="s">
        <v>620</v>
      </c>
      <c r="H3232" s="504" t="s">
        <v>11546</v>
      </c>
      <c r="I3232" s="504">
        <v>25</v>
      </c>
      <c r="J3232" s="504">
        <v>0</v>
      </c>
      <c r="K3232" s="504">
        <v>0</v>
      </c>
      <c r="L3232" s="504">
        <v>25</v>
      </c>
      <c r="M3232" s="504">
        <v>0</v>
      </c>
      <c r="N3232" s="504">
        <v>0</v>
      </c>
      <c r="O3232" s="505">
        <v>0</v>
      </c>
    </row>
    <row r="3233" spans="1:15" x14ac:dyDescent="0.35">
      <c r="A3233" s="500" t="s">
        <v>1618</v>
      </c>
      <c r="B3233" s="501" t="s">
        <v>3355</v>
      </c>
      <c r="C3233" s="501" t="s">
        <v>1094</v>
      </c>
      <c r="D3233" s="501" t="s">
        <v>3380</v>
      </c>
      <c r="E3233" s="501" t="s">
        <v>3381</v>
      </c>
      <c r="F3233" s="501" t="s">
        <v>619</v>
      </c>
      <c r="G3233" s="501" t="s">
        <v>620</v>
      </c>
      <c r="H3233" s="501" t="s">
        <v>5943</v>
      </c>
      <c r="I3233" s="501">
        <v>3</v>
      </c>
      <c r="J3233" s="501">
        <v>3</v>
      </c>
      <c r="K3233" s="501">
        <v>0</v>
      </c>
      <c r="L3233" s="501">
        <v>0</v>
      </c>
      <c r="M3233" s="501">
        <v>0</v>
      </c>
      <c r="N3233" s="501">
        <v>0</v>
      </c>
      <c r="O3233" s="506">
        <v>0</v>
      </c>
    </row>
    <row r="3234" spans="1:15" x14ac:dyDescent="0.35">
      <c r="A3234" s="503" t="s">
        <v>1623</v>
      </c>
      <c r="B3234" s="504">
        <v>4858</v>
      </c>
      <c r="C3234" s="504" t="s">
        <v>1094</v>
      </c>
      <c r="D3234" s="504" t="s">
        <v>3380</v>
      </c>
      <c r="E3234" s="504" t="s">
        <v>3381</v>
      </c>
      <c r="F3234" s="504" t="s">
        <v>619</v>
      </c>
      <c r="G3234" s="504" t="s">
        <v>620</v>
      </c>
      <c r="H3234" s="504" t="s">
        <v>5944</v>
      </c>
      <c r="I3234" s="504">
        <v>312</v>
      </c>
      <c r="J3234" s="504">
        <v>204</v>
      </c>
      <c r="K3234" s="504">
        <v>0</v>
      </c>
      <c r="L3234" s="504">
        <v>0</v>
      </c>
      <c r="M3234" s="504">
        <v>107</v>
      </c>
      <c r="N3234" s="504">
        <v>0</v>
      </c>
      <c r="O3234" s="505">
        <v>1</v>
      </c>
    </row>
    <row r="3235" spans="1:15" x14ac:dyDescent="0.35">
      <c r="A3235" s="500" t="s">
        <v>1626</v>
      </c>
      <c r="B3235" s="501">
        <v>5125</v>
      </c>
      <c r="C3235" s="501" t="s">
        <v>1094</v>
      </c>
      <c r="D3235" s="501" t="s">
        <v>3380</v>
      </c>
      <c r="E3235" s="501" t="s">
        <v>3381</v>
      </c>
      <c r="F3235" s="501" t="s">
        <v>619</v>
      </c>
      <c r="G3235" s="501" t="s">
        <v>620</v>
      </c>
      <c r="H3235" s="501" t="s">
        <v>5945</v>
      </c>
      <c r="I3235" s="501">
        <v>145</v>
      </c>
      <c r="J3235" s="501">
        <v>145</v>
      </c>
      <c r="K3235" s="501">
        <v>0</v>
      </c>
      <c r="L3235" s="501">
        <v>0</v>
      </c>
      <c r="M3235" s="501">
        <v>0</v>
      </c>
      <c r="N3235" s="501">
        <v>0</v>
      </c>
      <c r="O3235" s="506">
        <v>0</v>
      </c>
    </row>
    <row r="3236" spans="1:15" x14ac:dyDescent="0.35">
      <c r="A3236" s="503" t="s">
        <v>14208</v>
      </c>
      <c r="B3236" s="504">
        <v>4803</v>
      </c>
      <c r="C3236" s="504" t="s">
        <v>1094</v>
      </c>
      <c r="D3236" s="504" t="s">
        <v>3380</v>
      </c>
      <c r="E3236" s="504" t="s">
        <v>3381</v>
      </c>
      <c r="F3236" s="504" t="s">
        <v>619</v>
      </c>
      <c r="G3236" s="504" t="s">
        <v>620</v>
      </c>
      <c r="H3236" s="504" t="s">
        <v>14703</v>
      </c>
      <c r="I3236" s="504">
        <v>7</v>
      </c>
      <c r="J3236" s="504">
        <v>0</v>
      </c>
      <c r="K3236" s="504">
        <v>0</v>
      </c>
      <c r="L3236" s="504">
        <v>7</v>
      </c>
      <c r="M3236" s="504">
        <v>0</v>
      </c>
      <c r="N3236" s="504">
        <v>0</v>
      </c>
      <c r="O3236" s="505">
        <v>0</v>
      </c>
    </row>
    <row r="3237" spans="1:15" x14ac:dyDescent="0.35">
      <c r="A3237" s="500" t="s">
        <v>1107</v>
      </c>
      <c r="B3237" s="501" t="s">
        <v>3109</v>
      </c>
      <c r="C3237" s="501" t="s">
        <v>1094</v>
      </c>
      <c r="D3237" s="501" t="s">
        <v>3380</v>
      </c>
      <c r="E3237" s="501" t="s">
        <v>3381</v>
      </c>
      <c r="F3237" s="501" t="s">
        <v>619</v>
      </c>
      <c r="G3237" s="501" t="s">
        <v>620</v>
      </c>
      <c r="H3237" s="501" t="s">
        <v>5946</v>
      </c>
      <c r="I3237" s="501">
        <v>1901</v>
      </c>
      <c r="J3237" s="501">
        <v>1583</v>
      </c>
      <c r="K3237" s="501">
        <v>0</v>
      </c>
      <c r="L3237" s="501">
        <v>224</v>
      </c>
      <c r="M3237" s="501">
        <v>25</v>
      </c>
      <c r="N3237" s="501">
        <v>11</v>
      </c>
      <c r="O3237" s="506">
        <v>69</v>
      </c>
    </row>
    <row r="3238" spans="1:15" x14ac:dyDescent="0.35">
      <c r="A3238" s="503" t="s">
        <v>1109</v>
      </c>
      <c r="B3238" s="504" t="s">
        <v>2959</v>
      </c>
      <c r="C3238" s="504" t="s">
        <v>1094</v>
      </c>
      <c r="D3238" s="504" t="s">
        <v>3380</v>
      </c>
      <c r="E3238" s="504" t="s">
        <v>3381</v>
      </c>
      <c r="F3238" s="504" t="s">
        <v>619</v>
      </c>
      <c r="G3238" s="504" t="s">
        <v>620</v>
      </c>
      <c r="H3238" s="504" t="s">
        <v>5947</v>
      </c>
      <c r="I3238" s="504">
        <v>254</v>
      </c>
      <c r="J3238" s="504">
        <v>0</v>
      </c>
      <c r="K3238" s="504">
        <v>0</v>
      </c>
      <c r="L3238" s="504">
        <v>0</v>
      </c>
      <c r="M3238" s="504">
        <v>254</v>
      </c>
      <c r="N3238" s="504">
        <v>0</v>
      </c>
      <c r="O3238" s="505">
        <v>0</v>
      </c>
    </row>
    <row r="3239" spans="1:15" x14ac:dyDescent="0.35">
      <c r="A3239" s="500" t="s">
        <v>1190</v>
      </c>
      <c r="B3239" s="501">
        <v>4662</v>
      </c>
      <c r="C3239" s="501" t="s">
        <v>1094</v>
      </c>
      <c r="D3239" s="501" t="s">
        <v>3380</v>
      </c>
      <c r="E3239" s="501" t="s">
        <v>3381</v>
      </c>
      <c r="F3239" s="501" t="s">
        <v>619</v>
      </c>
      <c r="G3239" s="501" t="s">
        <v>620</v>
      </c>
      <c r="H3239" s="501" t="s">
        <v>5948</v>
      </c>
      <c r="I3239" s="501">
        <v>2</v>
      </c>
      <c r="J3239" s="501">
        <v>0</v>
      </c>
      <c r="K3239" s="501">
        <v>0</v>
      </c>
      <c r="L3239" s="501">
        <v>2</v>
      </c>
      <c r="M3239" s="501">
        <v>0</v>
      </c>
      <c r="N3239" s="501">
        <v>0</v>
      </c>
      <c r="O3239" s="506">
        <v>0</v>
      </c>
    </row>
    <row r="3240" spans="1:15" x14ac:dyDescent="0.35">
      <c r="A3240" s="503" t="s">
        <v>1639</v>
      </c>
      <c r="B3240" s="504">
        <v>4846</v>
      </c>
      <c r="C3240" s="504" t="s">
        <v>1094</v>
      </c>
      <c r="D3240" s="504" t="s">
        <v>3380</v>
      </c>
      <c r="E3240" s="504" t="s">
        <v>3381</v>
      </c>
      <c r="F3240" s="504" t="s">
        <v>619</v>
      </c>
      <c r="G3240" s="504" t="s">
        <v>620</v>
      </c>
      <c r="H3240" s="504" t="s">
        <v>5950</v>
      </c>
      <c r="I3240" s="504">
        <v>794</v>
      </c>
      <c r="J3240" s="504">
        <v>614</v>
      </c>
      <c r="K3240" s="504">
        <v>0</v>
      </c>
      <c r="L3240" s="504">
        <v>36</v>
      </c>
      <c r="M3240" s="504">
        <v>7</v>
      </c>
      <c r="N3240" s="504">
        <v>0</v>
      </c>
      <c r="O3240" s="505">
        <v>137</v>
      </c>
    </row>
    <row r="3241" spans="1:15" x14ac:dyDescent="0.35">
      <c r="A3241" s="500" t="s">
        <v>1640</v>
      </c>
      <c r="B3241" s="501">
        <v>4647</v>
      </c>
      <c r="C3241" s="501" t="s">
        <v>1089</v>
      </c>
      <c r="D3241" s="501" t="s">
        <v>3392</v>
      </c>
      <c r="E3241" s="501" t="s">
        <v>3381</v>
      </c>
      <c r="F3241" s="501" t="s">
        <v>619</v>
      </c>
      <c r="G3241" s="501" t="s">
        <v>620</v>
      </c>
      <c r="H3241" s="501" t="s">
        <v>5951</v>
      </c>
      <c r="I3241" s="501">
        <v>284</v>
      </c>
      <c r="J3241" s="501">
        <v>280</v>
      </c>
      <c r="K3241" s="501">
        <v>0</v>
      </c>
      <c r="L3241" s="501">
        <v>0</v>
      </c>
      <c r="M3241" s="501">
        <v>4</v>
      </c>
      <c r="N3241" s="501">
        <v>2</v>
      </c>
      <c r="O3241" s="506">
        <v>0</v>
      </c>
    </row>
    <row r="3242" spans="1:15" x14ac:dyDescent="0.35">
      <c r="A3242" s="503" t="s">
        <v>1209</v>
      </c>
      <c r="B3242" s="504">
        <v>4779</v>
      </c>
      <c r="C3242" s="504" t="s">
        <v>1094</v>
      </c>
      <c r="D3242" s="504" t="s">
        <v>3380</v>
      </c>
      <c r="E3242" s="504" t="s">
        <v>3381</v>
      </c>
      <c r="F3242" s="504" t="s">
        <v>619</v>
      </c>
      <c r="G3242" s="504" t="s">
        <v>620</v>
      </c>
      <c r="H3242" s="504" t="s">
        <v>5952</v>
      </c>
      <c r="I3242" s="504">
        <v>8</v>
      </c>
      <c r="J3242" s="504">
        <v>0</v>
      </c>
      <c r="K3242" s="504">
        <v>0</v>
      </c>
      <c r="L3242" s="504">
        <v>8</v>
      </c>
      <c r="M3242" s="504">
        <v>0</v>
      </c>
      <c r="N3242" s="504">
        <v>0</v>
      </c>
      <c r="O3242" s="505">
        <v>0</v>
      </c>
    </row>
    <row r="3243" spans="1:15" x14ac:dyDescent="0.35">
      <c r="A3243" s="500" t="s">
        <v>1122</v>
      </c>
      <c r="B3243" s="501" t="s">
        <v>2994</v>
      </c>
      <c r="C3243" s="501" t="s">
        <v>1094</v>
      </c>
      <c r="D3243" s="501" t="s">
        <v>3380</v>
      </c>
      <c r="E3243" s="501" t="s">
        <v>3381</v>
      </c>
      <c r="F3243" s="501" t="s">
        <v>619</v>
      </c>
      <c r="G3243" s="501" t="s">
        <v>620</v>
      </c>
      <c r="H3243" s="501" t="s">
        <v>5953</v>
      </c>
      <c r="I3243" s="501">
        <v>511</v>
      </c>
      <c r="J3243" s="501">
        <v>416</v>
      </c>
      <c r="K3243" s="501">
        <v>0</v>
      </c>
      <c r="L3243" s="501">
        <v>11</v>
      </c>
      <c r="M3243" s="501">
        <v>58</v>
      </c>
      <c r="N3243" s="501">
        <v>0</v>
      </c>
      <c r="O3243" s="506">
        <v>26</v>
      </c>
    </row>
    <row r="3244" spans="1:15" x14ac:dyDescent="0.35">
      <c r="A3244" s="503" t="s">
        <v>1225</v>
      </c>
      <c r="B3244" s="504" t="s">
        <v>3315</v>
      </c>
      <c r="C3244" s="504" t="s">
        <v>1094</v>
      </c>
      <c r="D3244" s="504" t="s">
        <v>3380</v>
      </c>
      <c r="E3244" s="504" t="s">
        <v>3381</v>
      </c>
      <c r="F3244" s="504" t="s">
        <v>619</v>
      </c>
      <c r="G3244" s="504" t="s">
        <v>620</v>
      </c>
      <c r="H3244" s="504" t="s">
        <v>5954</v>
      </c>
      <c r="I3244" s="504">
        <v>6</v>
      </c>
      <c r="J3244" s="504">
        <v>0</v>
      </c>
      <c r="K3244" s="504">
        <v>0</v>
      </c>
      <c r="L3244" s="504">
        <v>6</v>
      </c>
      <c r="M3244" s="504">
        <v>0</v>
      </c>
      <c r="N3244" s="504">
        <v>0</v>
      </c>
      <c r="O3244" s="505">
        <v>0</v>
      </c>
    </row>
    <row r="3245" spans="1:15" x14ac:dyDescent="0.35">
      <c r="A3245" s="500" t="s">
        <v>1648</v>
      </c>
      <c r="B3245" s="501" t="s">
        <v>2496</v>
      </c>
      <c r="C3245" s="501" t="s">
        <v>1094</v>
      </c>
      <c r="D3245" s="501" t="s">
        <v>3380</v>
      </c>
      <c r="E3245" s="501" t="s">
        <v>3381</v>
      </c>
      <c r="F3245" s="501" t="s">
        <v>619</v>
      </c>
      <c r="G3245" s="501" t="s">
        <v>620</v>
      </c>
      <c r="H3245" s="501" t="s">
        <v>5955</v>
      </c>
      <c r="I3245" s="501">
        <v>50</v>
      </c>
      <c r="J3245" s="501">
        <v>18</v>
      </c>
      <c r="K3245" s="501">
        <v>0</v>
      </c>
      <c r="L3245" s="501">
        <v>32</v>
      </c>
      <c r="M3245" s="501">
        <v>0</v>
      </c>
      <c r="N3245" s="501">
        <v>0</v>
      </c>
      <c r="O3245" s="506">
        <v>0</v>
      </c>
    </row>
    <row r="3246" spans="1:15" x14ac:dyDescent="0.35">
      <c r="A3246" s="503" t="s">
        <v>1656</v>
      </c>
      <c r="B3246" s="504">
        <v>4756</v>
      </c>
      <c r="C3246" s="504" t="s">
        <v>1089</v>
      </c>
      <c r="D3246" s="504" t="s">
        <v>3392</v>
      </c>
      <c r="E3246" s="504" t="s">
        <v>3381</v>
      </c>
      <c r="F3246" s="504" t="s">
        <v>619</v>
      </c>
      <c r="G3246" s="504" t="s">
        <v>620</v>
      </c>
      <c r="H3246" s="504" t="s">
        <v>5956</v>
      </c>
      <c r="I3246" s="504">
        <v>20</v>
      </c>
      <c r="J3246" s="504">
        <v>20</v>
      </c>
      <c r="K3246" s="504">
        <v>0</v>
      </c>
      <c r="L3246" s="504">
        <v>0</v>
      </c>
      <c r="M3246" s="504">
        <v>0</v>
      </c>
      <c r="N3246" s="504">
        <v>0</v>
      </c>
      <c r="O3246" s="505">
        <v>0</v>
      </c>
    </row>
    <row r="3247" spans="1:15" x14ac:dyDescent="0.35">
      <c r="A3247" s="500" t="s">
        <v>1252</v>
      </c>
      <c r="B3247" s="501" t="s">
        <v>2875</v>
      </c>
      <c r="C3247" s="501" t="s">
        <v>1089</v>
      </c>
      <c r="D3247" s="501" t="s">
        <v>3392</v>
      </c>
      <c r="E3247" s="501" t="s">
        <v>3381</v>
      </c>
      <c r="F3247" s="501" t="s">
        <v>619</v>
      </c>
      <c r="G3247" s="501" t="s">
        <v>620</v>
      </c>
      <c r="H3247" s="501" t="s">
        <v>5957</v>
      </c>
      <c r="I3247" s="501">
        <v>6</v>
      </c>
      <c r="J3247" s="501">
        <v>0</v>
      </c>
      <c r="K3247" s="501">
        <v>0</v>
      </c>
      <c r="L3247" s="501">
        <v>6</v>
      </c>
      <c r="M3247" s="501">
        <v>0</v>
      </c>
      <c r="N3247" s="501">
        <v>0</v>
      </c>
      <c r="O3247" s="506">
        <v>0</v>
      </c>
    </row>
    <row r="3248" spans="1:15" x14ac:dyDescent="0.35">
      <c r="A3248" s="503" t="s">
        <v>1253</v>
      </c>
      <c r="B3248" s="504" t="s">
        <v>3232</v>
      </c>
      <c r="C3248" s="504" t="s">
        <v>1094</v>
      </c>
      <c r="D3248" s="504" t="s">
        <v>3380</v>
      </c>
      <c r="E3248" s="504" t="s">
        <v>3381</v>
      </c>
      <c r="F3248" s="504" t="s">
        <v>619</v>
      </c>
      <c r="G3248" s="504" t="s">
        <v>620</v>
      </c>
      <c r="H3248" s="504" t="s">
        <v>5958</v>
      </c>
      <c r="I3248" s="504">
        <v>214</v>
      </c>
      <c r="J3248" s="504">
        <v>148</v>
      </c>
      <c r="K3248" s="504">
        <v>0</v>
      </c>
      <c r="L3248" s="504">
        <v>41</v>
      </c>
      <c r="M3248" s="504">
        <v>0</v>
      </c>
      <c r="N3248" s="504">
        <v>0</v>
      </c>
      <c r="O3248" s="505">
        <v>25</v>
      </c>
    </row>
    <row r="3249" spans="1:15" x14ac:dyDescent="0.35">
      <c r="A3249" s="500" t="s">
        <v>1368</v>
      </c>
      <c r="B3249" s="501" t="s">
        <v>3220</v>
      </c>
      <c r="C3249" s="501" t="s">
        <v>1094</v>
      </c>
      <c r="D3249" s="501" t="s">
        <v>3380</v>
      </c>
      <c r="E3249" s="501" t="s">
        <v>3381</v>
      </c>
      <c r="F3249" s="501" t="s">
        <v>619</v>
      </c>
      <c r="G3249" s="501" t="s">
        <v>620</v>
      </c>
      <c r="H3249" s="501" t="s">
        <v>5959</v>
      </c>
      <c r="I3249" s="501">
        <v>197</v>
      </c>
      <c r="J3249" s="501">
        <v>117</v>
      </c>
      <c r="K3249" s="501">
        <v>0</v>
      </c>
      <c r="L3249" s="501">
        <v>0</v>
      </c>
      <c r="M3249" s="501">
        <v>59</v>
      </c>
      <c r="N3249" s="501">
        <v>0</v>
      </c>
      <c r="O3249" s="506">
        <v>21</v>
      </c>
    </row>
    <row r="3250" spans="1:15" x14ac:dyDescent="0.35">
      <c r="A3250" s="503" t="s">
        <v>1661</v>
      </c>
      <c r="B3250" s="504" t="s">
        <v>3345</v>
      </c>
      <c r="C3250" s="504" t="s">
        <v>1089</v>
      </c>
      <c r="D3250" s="504" t="s">
        <v>3392</v>
      </c>
      <c r="E3250" s="504" t="s">
        <v>3381</v>
      </c>
      <c r="F3250" s="504" t="s">
        <v>619</v>
      </c>
      <c r="G3250" s="504" t="s">
        <v>620</v>
      </c>
      <c r="H3250" s="504" t="s">
        <v>5960</v>
      </c>
      <c r="I3250" s="504">
        <v>20</v>
      </c>
      <c r="J3250" s="504">
        <v>7</v>
      </c>
      <c r="K3250" s="504">
        <v>0</v>
      </c>
      <c r="L3250" s="504">
        <v>13</v>
      </c>
      <c r="M3250" s="504">
        <v>0</v>
      </c>
      <c r="N3250" s="504">
        <v>0</v>
      </c>
      <c r="O3250" s="505">
        <v>0</v>
      </c>
    </row>
    <row r="3251" spans="1:15" x14ac:dyDescent="0.35">
      <c r="A3251" s="500" t="s">
        <v>1143</v>
      </c>
      <c r="B3251" s="501" t="s">
        <v>3281</v>
      </c>
      <c r="C3251" s="501" t="s">
        <v>1094</v>
      </c>
      <c r="D3251" s="501" t="s">
        <v>3380</v>
      </c>
      <c r="E3251" s="501" t="s">
        <v>3381</v>
      </c>
      <c r="F3251" s="501" t="s">
        <v>621</v>
      </c>
      <c r="G3251" s="501" t="s">
        <v>622</v>
      </c>
      <c r="H3251" s="501" t="s">
        <v>5961</v>
      </c>
      <c r="I3251" s="501">
        <v>307</v>
      </c>
      <c r="J3251" s="501">
        <v>218</v>
      </c>
      <c r="K3251" s="501">
        <v>0</v>
      </c>
      <c r="L3251" s="501">
        <v>0</v>
      </c>
      <c r="M3251" s="501">
        <v>87</v>
      </c>
      <c r="N3251" s="501">
        <v>0</v>
      </c>
      <c r="O3251" s="506">
        <v>2</v>
      </c>
    </row>
    <row r="3252" spans="1:15" x14ac:dyDescent="0.35">
      <c r="A3252" s="503" t="s">
        <v>1145</v>
      </c>
      <c r="B3252" s="504" t="s">
        <v>3164</v>
      </c>
      <c r="C3252" s="504" t="s">
        <v>1094</v>
      </c>
      <c r="D3252" s="504" t="s">
        <v>3380</v>
      </c>
      <c r="E3252" s="504" t="s">
        <v>3381</v>
      </c>
      <c r="F3252" s="504" t="s">
        <v>621</v>
      </c>
      <c r="G3252" s="504" t="s">
        <v>622</v>
      </c>
      <c r="H3252" s="504" t="s">
        <v>5962</v>
      </c>
      <c r="I3252" s="504">
        <v>12</v>
      </c>
      <c r="J3252" s="504">
        <v>0</v>
      </c>
      <c r="K3252" s="504">
        <v>0</v>
      </c>
      <c r="L3252" s="504">
        <v>0</v>
      </c>
      <c r="M3252" s="504">
        <v>0</v>
      </c>
      <c r="N3252" s="504">
        <v>0</v>
      </c>
      <c r="O3252" s="505">
        <v>12</v>
      </c>
    </row>
    <row r="3253" spans="1:15" x14ac:dyDescent="0.35">
      <c r="A3253" s="500" t="s">
        <v>1093</v>
      </c>
      <c r="B3253" s="501" t="s">
        <v>3248</v>
      </c>
      <c r="C3253" s="501" t="s">
        <v>1094</v>
      </c>
      <c r="D3253" s="501" t="s">
        <v>3380</v>
      </c>
      <c r="E3253" s="501" t="s">
        <v>3381</v>
      </c>
      <c r="F3253" s="501" t="s">
        <v>621</v>
      </c>
      <c r="G3253" s="501" t="s">
        <v>622</v>
      </c>
      <c r="H3253" s="501" t="s">
        <v>5963</v>
      </c>
      <c r="I3253" s="501">
        <v>21</v>
      </c>
      <c r="J3253" s="501">
        <v>0</v>
      </c>
      <c r="K3253" s="501">
        <v>0</v>
      </c>
      <c r="L3253" s="501">
        <v>15</v>
      </c>
      <c r="M3253" s="501">
        <v>0</v>
      </c>
      <c r="N3253" s="501">
        <v>0</v>
      </c>
      <c r="O3253" s="506">
        <v>6</v>
      </c>
    </row>
    <row r="3254" spans="1:15" x14ac:dyDescent="0.35">
      <c r="A3254" s="503" t="s">
        <v>1096</v>
      </c>
      <c r="B3254" s="504" t="s">
        <v>3326</v>
      </c>
      <c r="C3254" s="504" t="s">
        <v>1094</v>
      </c>
      <c r="D3254" s="504" t="s">
        <v>3380</v>
      </c>
      <c r="E3254" s="504" t="s">
        <v>3381</v>
      </c>
      <c r="F3254" s="504" t="s">
        <v>621</v>
      </c>
      <c r="G3254" s="504" t="s">
        <v>622</v>
      </c>
      <c r="H3254" s="504" t="s">
        <v>5964</v>
      </c>
      <c r="I3254" s="504">
        <v>29</v>
      </c>
      <c r="J3254" s="504">
        <v>0</v>
      </c>
      <c r="K3254" s="504">
        <v>0</v>
      </c>
      <c r="L3254" s="504">
        <v>0</v>
      </c>
      <c r="M3254" s="504">
        <v>29</v>
      </c>
      <c r="N3254" s="504">
        <v>0</v>
      </c>
      <c r="O3254" s="505">
        <v>0</v>
      </c>
    </row>
    <row r="3255" spans="1:15" x14ac:dyDescent="0.35">
      <c r="A3255" s="500" t="s">
        <v>11363</v>
      </c>
      <c r="B3255" s="501">
        <v>4718</v>
      </c>
      <c r="C3255" s="501" t="s">
        <v>1094</v>
      </c>
      <c r="D3255" s="501" t="s">
        <v>3380</v>
      </c>
      <c r="E3255" s="501" t="s">
        <v>3381</v>
      </c>
      <c r="F3255" s="501" t="s">
        <v>621</v>
      </c>
      <c r="G3255" s="501" t="s">
        <v>622</v>
      </c>
      <c r="H3255" s="501" t="s">
        <v>11547</v>
      </c>
      <c r="I3255" s="501">
        <v>9</v>
      </c>
      <c r="J3255" s="501">
        <v>0</v>
      </c>
      <c r="K3255" s="501">
        <v>0</v>
      </c>
      <c r="L3255" s="501">
        <v>9</v>
      </c>
      <c r="M3255" s="501">
        <v>0</v>
      </c>
      <c r="N3255" s="501">
        <v>0</v>
      </c>
      <c r="O3255" s="506">
        <v>0</v>
      </c>
    </row>
    <row r="3256" spans="1:15" x14ac:dyDescent="0.35">
      <c r="A3256" s="503" t="s">
        <v>1173</v>
      </c>
      <c r="B3256" s="504">
        <v>4775</v>
      </c>
      <c r="C3256" s="504" t="s">
        <v>1094</v>
      </c>
      <c r="D3256" s="504" t="s">
        <v>3380</v>
      </c>
      <c r="E3256" s="504" t="s">
        <v>3381</v>
      </c>
      <c r="F3256" s="504" t="s">
        <v>621</v>
      </c>
      <c r="G3256" s="504" t="s">
        <v>622</v>
      </c>
      <c r="H3256" s="504" t="s">
        <v>5965</v>
      </c>
      <c r="I3256" s="504">
        <v>303</v>
      </c>
      <c r="J3256" s="504">
        <v>211</v>
      </c>
      <c r="K3256" s="504">
        <v>0</v>
      </c>
      <c r="L3256" s="504">
        <v>9</v>
      </c>
      <c r="M3256" s="504">
        <v>58</v>
      </c>
      <c r="N3256" s="504">
        <v>0</v>
      </c>
      <c r="O3256" s="505">
        <v>25</v>
      </c>
    </row>
    <row r="3257" spans="1:15" x14ac:dyDescent="0.35">
      <c r="A3257" s="500" t="s">
        <v>1102</v>
      </c>
      <c r="B3257" s="501">
        <v>4663</v>
      </c>
      <c r="C3257" s="501" t="s">
        <v>1089</v>
      </c>
      <c r="D3257" s="501" t="s">
        <v>3392</v>
      </c>
      <c r="E3257" s="501" t="s">
        <v>3381</v>
      </c>
      <c r="F3257" s="501" t="s">
        <v>621</v>
      </c>
      <c r="G3257" s="501" t="s">
        <v>622</v>
      </c>
      <c r="H3257" s="501" t="s">
        <v>5966</v>
      </c>
      <c r="I3257" s="501">
        <v>3</v>
      </c>
      <c r="J3257" s="501">
        <v>0</v>
      </c>
      <c r="K3257" s="501">
        <v>0</v>
      </c>
      <c r="L3257" s="501">
        <v>3</v>
      </c>
      <c r="M3257" s="501">
        <v>0</v>
      </c>
      <c r="N3257" s="501">
        <v>0</v>
      </c>
      <c r="O3257" s="506">
        <v>0</v>
      </c>
    </row>
    <row r="3258" spans="1:15" x14ac:dyDescent="0.35">
      <c r="A3258" s="503" t="s">
        <v>1178</v>
      </c>
      <c r="B3258" s="504" t="s">
        <v>3334</v>
      </c>
      <c r="C3258" s="504" t="s">
        <v>1094</v>
      </c>
      <c r="D3258" s="504" t="s">
        <v>3380</v>
      </c>
      <c r="E3258" s="504" t="s">
        <v>3381</v>
      </c>
      <c r="F3258" s="504" t="s">
        <v>621</v>
      </c>
      <c r="G3258" s="504" t="s">
        <v>622</v>
      </c>
      <c r="H3258" s="504" t="s">
        <v>5967</v>
      </c>
      <c r="I3258" s="504">
        <v>63</v>
      </c>
      <c r="J3258" s="504">
        <v>0</v>
      </c>
      <c r="K3258" s="504">
        <v>0</v>
      </c>
      <c r="L3258" s="504">
        <v>63</v>
      </c>
      <c r="M3258" s="504">
        <v>0</v>
      </c>
      <c r="N3258" s="504">
        <v>0</v>
      </c>
      <c r="O3258" s="505">
        <v>0</v>
      </c>
    </row>
    <row r="3259" spans="1:15" x14ac:dyDescent="0.35">
      <c r="A3259" s="500" t="s">
        <v>14208</v>
      </c>
      <c r="B3259" s="501">
        <v>4803</v>
      </c>
      <c r="C3259" s="501" t="s">
        <v>1094</v>
      </c>
      <c r="D3259" s="501" t="s">
        <v>3380</v>
      </c>
      <c r="E3259" s="501" t="s">
        <v>3381</v>
      </c>
      <c r="F3259" s="501" t="s">
        <v>621</v>
      </c>
      <c r="G3259" s="501" t="s">
        <v>622</v>
      </c>
      <c r="H3259" s="501" t="s">
        <v>14704</v>
      </c>
      <c r="I3259" s="501">
        <v>39</v>
      </c>
      <c r="J3259" s="501">
        <v>0</v>
      </c>
      <c r="K3259" s="501">
        <v>0</v>
      </c>
      <c r="L3259" s="501">
        <v>39</v>
      </c>
      <c r="M3259" s="501">
        <v>0</v>
      </c>
      <c r="N3259" s="501">
        <v>0</v>
      </c>
      <c r="O3259" s="506">
        <v>0</v>
      </c>
    </row>
    <row r="3260" spans="1:15" x14ac:dyDescent="0.35">
      <c r="A3260" s="503" t="s">
        <v>1188</v>
      </c>
      <c r="B3260" s="504">
        <v>4760</v>
      </c>
      <c r="C3260" s="504" t="s">
        <v>1089</v>
      </c>
      <c r="D3260" s="504" t="s">
        <v>3392</v>
      </c>
      <c r="E3260" s="504" t="s">
        <v>3381</v>
      </c>
      <c r="F3260" s="504" t="s">
        <v>621</v>
      </c>
      <c r="G3260" s="504" t="s">
        <v>622</v>
      </c>
      <c r="H3260" s="504" t="s">
        <v>11748</v>
      </c>
      <c r="I3260" s="504">
        <v>6</v>
      </c>
      <c r="J3260" s="504">
        <v>0</v>
      </c>
      <c r="K3260" s="504">
        <v>0</v>
      </c>
      <c r="L3260" s="504">
        <v>6</v>
      </c>
      <c r="M3260" s="504">
        <v>0</v>
      </c>
      <c r="N3260" s="504">
        <v>0</v>
      </c>
      <c r="O3260" s="505">
        <v>0</v>
      </c>
    </row>
    <row r="3261" spans="1:15" x14ac:dyDescent="0.35">
      <c r="A3261" s="500" t="s">
        <v>1107</v>
      </c>
      <c r="B3261" s="501" t="s">
        <v>3109</v>
      </c>
      <c r="C3261" s="501" t="s">
        <v>1094</v>
      </c>
      <c r="D3261" s="501" t="s">
        <v>3380</v>
      </c>
      <c r="E3261" s="501" t="s">
        <v>3381</v>
      </c>
      <c r="F3261" s="501" t="s">
        <v>621</v>
      </c>
      <c r="G3261" s="501" t="s">
        <v>622</v>
      </c>
      <c r="H3261" s="501" t="s">
        <v>5968</v>
      </c>
      <c r="I3261" s="501">
        <v>9</v>
      </c>
      <c r="J3261" s="501">
        <v>9</v>
      </c>
      <c r="K3261" s="501">
        <v>0</v>
      </c>
      <c r="L3261" s="501">
        <v>0</v>
      </c>
      <c r="M3261" s="501">
        <v>0</v>
      </c>
      <c r="N3261" s="501">
        <v>0</v>
      </c>
      <c r="O3261" s="506">
        <v>0</v>
      </c>
    </row>
    <row r="3262" spans="1:15" x14ac:dyDescent="0.35">
      <c r="A3262" s="503" t="s">
        <v>1109</v>
      </c>
      <c r="B3262" s="504" t="s">
        <v>2959</v>
      </c>
      <c r="C3262" s="504" t="s">
        <v>1094</v>
      </c>
      <c r="D3262" s="504" t="s">
        <v>3380</v>
      </c>
      <c r="E3262" s="504" t="s">
        <v>3381</v>
      </c>
      <c r="F3262" s="504" t="s">
        <v>621</v>
      </c>
      <c r="G3262" s="504" t="s">
        <v>622</v>
      </c>
      <c r="H3262" s="504" t="s">
        <v>5969</v>
      </c>
      <c r="I3262" s="504">
        <v>39</v>
      </c>
      <c r="J3262" s="504">
        <v>0</v>
      </c>
      <c r="K3262" s="504">
        <v>0</v>
      </c>
      <c r="L3262" s="504">
        <v>0</v>
      </c>
      <c r="M3262" s="504">
        <v>39</v>
      </c>
      <c r="N3262" s="504">
        <v>0</v>
      </c>
      <c r="O3262" s="505">
        <v>0</v>
      </c>
    </row>
    <row r="3263" spans="1:15" x14ac:dyDescent="0.35">
      <c r="A3263" s="500" t="s">
        <v>1190</v>
      </c>
      <c r="B3263" s="501">
        <v>4662</v>
      </c>
      <c r="C3263" s="501" t="s">
        <v>1094</v>
      </c>
      <c r="D3263" s="501" t="s">
        <v>3380</v>
      </c>
      <c r="E3263" s="501" t="s">
        <v>3381</v>
      </c>
      <c r="F3263" s="501" t="s">
        <v>621</v>
      </c>
      <c r="G3263" s="501" t="s">
        <v>622</v>
      </c>
      <c r="H3263" s="501" t="s">
        <v>5970</v>
      </c>
      <c r="I3263" s="501">
        <v>8</v>
      </c>
      <c r="J3263" s="501">
        <v>0</v>
      </c>
      <c r="K3263" s="501">
        <v>0</v>
      </c>
      <c r="L3263" s="501">
        <v>8</v>
      </c>
      <c r="M3263" s="501">
        <v>0</v>
      </c>
      <c r="N3263" s="501">
        <v>0</v>
      </c>
      <c r="O3263" s="506">
        <v>0</v>
      </c>
    </row>
    <row r="3264" spans="1:15" x14ac:dyDescent="0.35">
      <c r="A3264" s="503" t="s">
        <v>1191</v>
      </c>
      <c r="B3264" s="504" t="s">
        <v>3222</v>
      </c>
      <c r="C3264" s="504" t="s">
        <v>1094</v>
      </c>
      <c r="D3264" s="504" t="s">
        <v>3380</v>
      </c>
      <c r="E3264" s="504" t="s">
        <v>3381</v>
      </c>
      <c r="F3264" s="504" t="s">
        <v>621</v>
      </c>
      <c r="G3264" s="504" t="s">
        <v>622</v>
      </c>
      <c r="H3264" s="504" t="s">
        <v>5971</v>
      </c>
      <c r="I3264" s="504">
        <v>3179</v>
      </c>
      <c r="J3264" s="504">
        <v>2326</v>
      </c>
      <c r="K3264" s="504">
        <v>0</v>
      </c>
      <c r="L3264" s="504">
        <v>0</v>
      </c>
      <c r="M3264" s="504">
        <v>831</v>
      </c>
      <c r="N3264" s="504">
        <v>0</v>
      </c>
      <c r="O3264" s="505">
        <v>22</v>
      </c>
    </row>
    <row r="3265" spans="1:15" x14ac:dyDescent="0.35">
      <c r="A3265" s="500" t="s">
        <v>1203</v>
      </c>
      <c r="B3265" s="501" t="s">
        <v>3170</v>
      </c>
      <c r="C3265" s="501" t="s">
        <v>1094</v>
      </c>
      <c r="D3265" s="501" t="s">
        <v>3380</v>
      </c>
      <c r="E3265" s="501" t="s">
        <v>3381</v>
      </c>
      <c r="F3265" s="501" t="s">
        <v>621</v>
      </c>
      <c r="G3265" s="501" t="s">
        <v>622</v>
      </c>
      <c r="H3265" s="501" t="s">
        <v>5972</v>
      </c>
      <c r="I3265" s="501">
        <v>136</v>
      </c>
      <c r="J3265" s="501">
        <v>61</v>
      </c>
      <c r="K3265" s="501">
        <v>0</v>
      </c>
      <c r="L3265" s="501">
        <v>0</v>
      </c>
      <c r="M3265" s="501">
        <v>51</v>
      </c>
      <c r="N3265" s="501">
        <v>0</v>
      </c>
      <c r="O3265" s="506">
        <v>24</v>
      </c>
    </row>
    <row r="3266" spans="1:15" x14ac:dyDescent="0.35">
      <c r="A3266" s="503" t="s">
        <v>1112</v>
      </c>
      <c r="B3266" s="504" t="s">
        <v>3008</v>
      </c>
      <c r="C3266" s="504" t="s">
        <v>1094</v>
      </c>
      <c r="D3266" s="504" t="s">
        <v>3380</v>
      </c>
      <c r="E3266" s="504" t="s">
        <v>3381</v>
      </c>
      <c r="F3266" s="504" t="s">
        <v>621</v>
      </c>
      <c r="G3266" s="504" t="s">
        <v>622</v>
      </c>
      <c r="H3266" s="504" t="s">
        <v>5973</v>
      </c>
      <c r="I3266" s="504">
        <v>90</v>
      </c>
      <c r="J3266" s="504">
        <v>59</v>
      </c>
      <c r="K3266" s="504">
        <v>0</v>
      </c>
      <c r="L3266" s="504">
        <v>1</v>
      </c>
      <c r="M3266" s="504">
        <v>0</v>
      </c>
      <c r="N3266" s="504">
        <v>0</v>
      </c>
      <c r="O3266" s="505">
        <v>30</v>
      </c>
    </row>
    <row r="3267" spans="1:15" x14ac:dyDescent="0.35">
      <c r="A3267" s="500" t="s">
        <v>1215</v>
      </c>
      <c r="B3267" s="501">
        <v>4817</v>
      </c>
      <c r="C3267" s="501" t="s">
        <v>1094</v>
      </c>
      <c r="D3267" s="501" t="s">
        <v>3380</v>
      </c>
      <c r="E3267" s="501" t="s">
        <v>3381</v>
      </c>
      <c r="F3267" s="501" t="s">
        <v>621</v>
      </c>
      <c r="G3267" s="501" t="s">
        <v>622</v>
      </c>
      <c r="H3267" s="501" t="s">
        <v>5974</v>
      </c>
      <c r="I3267" s="501">
        <v>332</v>
      </c>
      <c r="J3267" s="501">
        <v>258</v>
      </c>
      <c r="K3267" s="501">
        <v>0</v>
      </c>
      <c r="L3267" s="501">
        <v>26</v>
      </c>
      <c r="M3267" s="501">
        <v>0</v>
      </c>
      <c r="N3267" s="501">
        <v>0</v>
      </c>
      <c r="O3267" s="506">
        <v>48</v>
      </c>
    </row>
    <row r="3268" spans="1:15" x14ac:dyDescent="0.35">
      <c r="A3268" s="503" t="s">
        <v>1220</v>
      </c>
      <c r="B3268" s="504">
        <v>4849</v>
      </c>
      <c r="C3268" s="504" t="s">
        <v>1094</v>
      </c>
      <c r="D3268" s="504" t="s">
        <v>3380</v>
      </c>
      <c r="E3268" s="504" t="s">
        <v>3381</v>
      </c>
      <c r="F3268" s="504" t="s">
        <v>621</v>
      </c>
      <c r="G3268" s="504" t="s">
        <v>622</v>
      </c>
      <c r="H3268" s="504" t="s">
        <v>5975</v>
      </c>
      <c r="I3268" s="504">
        <v>156</v>
      </c>
      <c r="J3268" s="504">
        <v>156</v>
      </c>
      <c r="K3268" s="504">
        <v>0</v>
      </c>
      <c r="L3268" s="504">
        <v>0</v>
      </c>
      <c r="M3268" s="504">
        <v>0</v>
      </c>
      <c r="N3268" s="504">
        <v>0</v>
      </c>
      <c r="O3268" s="505">
        <v>0</v>
      </c>
    </row>
    <row r="3269" spans="1:15" x14ac:dyDescent="0.35">
      <c r="A3269" s="500" t="s">
        <v>1122</v>
      </c>
      <c r="B3269" s="501" t="s">
        <v>2994</v>
      </c>
      <c r="C3269" s="501" t="s">
        <v>1094</v>
      </c>
      <c r="D3269" s="501" t="s">
        <v>3380</v>
      </c>
      <c r="E3269" s="501" t="s">
        <v>3381</v>
      </c>
      <c r="F3269" s="501" t="s">
        <v>621</v>
      </c>
      <c r="G3269" s="501" t="s">
        <v>622</v>
      </c>
      <c r="H3269" s="501" t="s">
        <v>5976</v>
      </c>
      <c r="I3269" s="501">
        <v>102</v>
      </c>
      <c r="J3269" s="501">
        <v>66</v>
      </c>
      <c r="K3269" s="501">
        <v>0</v>
      </c>
      <c r="L3269" s="501">
        <v>0</v>
      </c>
      <c r="M3269" s="501">
        <v>0</v>
      </c>
      <c r="N3269" s="501">
        <v>0</v>
      </c>
      <c r="O3269" s="506">
        <v>36</v>
      </c>
    </row>
    <row r="3270" spans="1:15" x14ac:dyDescent="0.35">
      <c r="A3270" s="503" t="s">
        <v>1226</v>
      </c>
      <c r="B3270" s="504">
        <v>5084</v>
      </c>
      <c r="C3270" s="504" t="s">
        <v>1094</v>
      </c>
      <c r="D3270" s="504" t="s">
        <v>3380</v>
      </c>
      <c r="E3270" s="504" t="s">
        <v>3381</v>
      </c>
      <c r="F3270" s="504" t="s">
        <v>621</v>
      </c>
      <c r="G3270" s="504" t="s">
        <v>622</v>
      </c>
      <c r="H3270" s="504" t="s">
        <v>5977</v>
      </c>
      <c r="I3270" s="504">
        <v>51</v>
      </c>
      <c r="J3270" s="504">
        <v>45</v>
      </c>
      <c r="K3270" s="504">
        <v>0</v>
      </c>
      <c r="L3270" s="504">
        <v>0</v>
      </c>
      <c r="M3270" s="504">
        <v>0</v>
      </c>
      <c r="N3270" s="504">
        <v>0</v>
      </c>
      <c r="O3270" s="505">
        <v>6</v>
      </c>
    </row>
    <row r="3271" spans="1:15" x14ac:dyDescent="0.35">
      <c r="A3271" s="500" t="s">
        <v>1228</v>
      </c>
      <c r="B3271" s="501" t="s">
        <v>3321</v>
      </c>
      <c r="C3271" s="501" t="s">
        <v>1094</v>
      </c>
      <c r="D3271" s="501" t="s">
        <v>3380</v>
      </c>
      <c r="E3271" s="501" t="s">
        <v>3381</v>
      </c>
      <c r="F3271" s="501" t="s">
        <v>621</v>
      </c>
      <c r="G3271" s="501" t="s">
        <v>622</v>
      </c>
      <c r="H3271" s="501" t="s">
        <v>5978</v>
      </c>
      <c r="I3271" s="501">
        <v>13</v>
      </c>
      <c r="J3271" s="501">
        <v>0</v>
      </c>
      <c r="K3271" s="501">
        <v>0</v>
      </c>
      <c r="L3271" s="501">
        <v>13</v>
      </c>
      <c r="M3271" s="501">
        <v>0</v>
      </c>
      <c r="N3271" s="501">
        <v>0</v>
      </c>
      <c r="O3271" s="506">
        <v>0</v>
      </c>
    </row>
    <row r="3272" spans="1:15" x14ac:dyDescent="0.35">
      <c r="A3272" s="503" t="s">
        <v>1249</v>
      </c>
      <c r="B3272" s="504">
        <v>4729</v>
      </c>
      <c r="C3272" s="504" t="s">
        <v>1094</v>
      </c>
      <c r="D3272" s="504" t="s">
        <v>3380</v>
      </c>
      <c r="E3272" s="504" t="s">
        <v>3381</v>
      </c>
      <c r="F3272" s="504" t="s">
        <v>621</v>
      </c>
      <c r="G3272" s="504" t="s">
        <v>622</v>
      </c>
      <c r="H3272" s="504" t="s">
        <v>5979</v>
      </c>
      <c r="I3272" s="504">
        <v>271</v>
      </c>
      <c r="J3272" s="504">
        <v>207</v>
      </c>
      <c r="K3272" s="504">
        <v>0</v>
      </c>
      <c r="L3272" s="504">
        <v>0</v>
      </c>
      <c r="M3272" s="504">
        <v>64</v>
      </c>
      <c r="N3272" s="504">
        <v>0</v>
      </c>
      <c r="O3272" s="505">
        <v>0</v>
      </c>
    </row>
    <row r="3273" spans="1:15" x14ac:dyDescent="0.35">
      <c r="A3273" s="500" t="s">
        <v>1261</v>
      </c>
      <c r="B3273" s="501" t="s">
        <v>3130</v>
      </c>
      <c r="C3273" s="501" t="s">
        <v>1094</v>
      </c>
      <c r="D3273" s="501" t="s">
        <v>3380</v>
      </c>
      <c r="E3273" s="501" t="s">
        <v>3381</v>
      </c>
      <c r="F3273" s="501" t="s">
        <v>621</v>
      </c>
      <c r="G3273" s="501" t="s">
        <v>622</v>
      </c>
      <c r="H3273" s="501" t="s">
        <v>5980</v>
      </c>
      <c r="I3273" s="501">
        <v>24</v>
      </c>
      <c r="J3273" s="501">
        <v>24</v>
      </c>
      <c r="K3273" s="501">
        <v>0</v>
      </c>
      <c r="L3273" s="501">
        <v>0</v>
      </c>
      <c r="M3273" s="501">
        <v>0</v>
      </c>
      <c r="N3273" s="501">
        <v>0</v>
      </c>
      <c r="O3273" s="506">
        <v>0</v>
      </c>
    </row>
    <row r="3274" spans="1:15" x14ac:dyDescent="0.35">
      <c r="A3274" s="503" t="s">
        <v>1093</v>
      </c>
      <c r="B3274" s="504" t="s">
        <v>3248</v>
      </c>
      <c r="C3274" s="504" t="s">
        <v>1094</v>
      </c>
      <c r="D3274" s="504" t="s">
        <v>3380</v>
      </c>
      <c r="E3274" s="504" t="s">
        <v>3381</v>
      </c>
      <c r="F3274" s="504" t="s">
        <v>623</v>
      </c>
      <c r="G3274" s="504" t="s">
        <v>624</v>
      </c>
      <c r="H3274" s="504" t="s">
        <v>5981</v>
      </c>
      <c r="I3274" s="504">
        <v>37</v>
      </c>
      <c r="J3274" s="504">
        <v>0</v>
      </c>
      <c r="K3274" s="504">
        <v>0</v>
      </c>
      <c r="L3274" s="504">
        <v>35</v>
      </c>
      <c r="M3274" s="504">
        <v>0</v>
      </c>
      <c r="N3274" s="504">
        <v>0</v>
      </c>
      <c r="O3274" s="505">
        <v>2</v>
      </c>
    </row>
    <row r="3275" spans="1:15" x14ac:dyDescent="0.35">
      <c r="A3275" s="500" t="s">
        <v>1096</v>
      </c>
      <c r="B3275" s="501" t="s">
        <v>3326</v>
      </c>
      <c r="C3275" s="501" t="s">
        <v>1094</v>
      </c>
      <c r="D3275" s="501" t="s">
        <v>3380</v>
      </c>
      <c r="E3275" s="501" t="s">
        <v>3381</v>
      </c>
      <c r="F3275" s="501" t="s">
        <v>623</v>
      </c>
      <c r="G3275" s="501" t="s">
        <v>624</v>
      </c>
      <c r="H3275" s="501" t="s">
        <v>5982</v>
      </c>
      <c r="I3275" s="501">
        <v>144</v>
      </c>
      <c r="J3275" s="501">
        <v>0</v>
      </c>
      <c r="K3275" s="501">
        <v>0</v>
      </c>
      <c r="L3275" s="501">
        <v>0</v>
      </c>
      <c r="M3275" s="501">
        <v>144</v>
      </c>
      <c r="N3275" s="501">
        <v>0</v>
      </c>
      <c r="O3275" s="506">
        <v>0</v>
      </c>
    </row>
    <row r="3276" spans="1:15" x14ac:dyDescent="0.35">
      <c r="A3276" s="503" t="s">
        <v>11363</v>
      </c>
      <c r="B3276" s="504">
        <v>4718</v>
      </c>
      <c r="C3276" s="504" t="s">
        <v>1094</v>
      </c>
      <c r="D3276" s="504" t="s">
        <v>3380</v>
      </c>
      <c r="E3276" s="504" t="s">
        <v>3381</v>
      </c>
      <c r="F3276" s="504" t="s">
        <v>623</v>
      </c>
      <c r="G3276" s="504" t="s">
        <v>624</v>
      </c>
      <c r="H3276" s="504" t="s">
        <v>11548</v>
      </c>
      <c r="I3276" s="504">
        <v>3</v>
      </c>
      <c r="J3276" s="504">
        <v>0</v>
      </c>
      <c r="K3276" s="504">
        <v>0</v>
      </c>
      <c r="L3276" s="504">
        <v>3</v>
      </c>
      <c r="M3276" s="504">
        <v>0</v>
      </c>
      <c r="N3276" s="504">
        <v>0</v>
      </c>
      <c r="O3276" s="505">
        <v>0</v>
      </c>
    </row>
    <row r="3277" spans="1:15" x14ac:dyDescent="0.35">
      <c r="A3277" s="500" t="s">
        <v>11423</v>
      </c>
      <c r="B3277" s="501" t="s">
        <v>3128</v>
      </c>
      <c r="C3277" s="501" t="s">
        <v>1094</v>
      </c>
      <c r="D3277" s="501" t="s">
        <v>3380</v>
      </c>
      <c r="E3277" s="501" t="s">
        <v>3381</v>
      </c>
      <c r="F3277" s="501" t="s">
        <v>623</v>
      </c>
      <c r="G3277" s="501" t="s">
        <v>624</v>
      </c>
      <c r="H3277" s="501" t="s">
        <v>14705</v>
      </c>
      <c r="I3277" s="501">
        <v>5</v>
      </c>
      <c r="J3277" s="501">
        <v>0</v>
      </c>
      <c r="K3277" s="501">
        <v>0</v>
      </c>
      <c r="L3277" s="501">
        <v>5</v>
      </c>
      <c r="M3277" s="501">
        <v>0</v>
      </c>
      <c r="N3277" s="501">
        <v>0</v>
      </c>
      <c r="O3277" s="506">
        <v>0</v>
      </c>
    </row>
    <row r="3278" spans="1:15" x14ac:dyDescent="0.35">
      <c r="A3278" s="503" t="s">
        <v>1158</v>
      </c>
      <c r="B3278" s="504">
        <v>4819</v>
      </c>
      <c r="C3278" s="504" t="s">
        <v>1094</v>
      </c>
      <c r="D3278" s="504" t="s">
        <v>3380</v>
      </c>
      <c r="E3278" s="504" t="s">
        <v>3381</v>
      </c>
      <c r="F3278" s="504" t="s">
        <v>623</v>
      </c>
      <c r="G3278" s="504" t="s">
        <v>624</v>
      </c>
      <c r="H3278" s="504" t="s">
        <v>5983</v>
      </c>
      <c r="I3278" s="504">
        <v>381</v>
      </c>
      <c r="J3278" s="504">
        <v>306</v>
      </c>
      <c r="K3278" s="504">
        <v>0</v>
      </c>
      <c r="L3278" s="504">
        <v>15</v>
      </c>
      <c r="M3278" s="504">
        <v>0</v>
      </c>
      <c r="N3278" s="504">
        <v>0</v>
      </c>
      <c r="O3278" s="505">
        <v>60</v>
      </c>
    </row>
    <row r="3279" spans="1:15" x14ac:dyDescent="0.35">
      <c r="A3279" s="500" t="s">
        <v>1958</v>
      </c>
      <c r="B3279" s="501" t="s">
        <v>2941</v>
      </c>
      <c r="C3279" s="501" t="s">
        <v>1089</v>
      </c>
      <c r="D3279" s="501" t="s">
        <v>3392</v>
      </c>
      <c r="E3279" s="501" t="s">
        <v>3381</v>
      </c>
      <c r="F3279" s="501" t="s">
        <v>623</v>
      </c>
      <c r="G3279" s="501" t="s">
        <v>624</v>
      </c>
      <c r="H3279" s="501" t="s">
        <v>5984</v>
      </c>
      <c r="I3279" s="501">
        <v>64</v>
      </c>
      <c r="J3279" s="501">
        <v>0</v>
      </c>
      <c r="K3279" s="501">
        <v>0</v>
      </c>
      <c r="L3279" s="501">
        <v>64</v>
      </c>
      <c r="M3279" s="501">
        <v>0</v>
      </c>
      <c r="N3279" s="501">
        <v>0</v>
      </c>
      <c r="O3279" s="506">
        <v>0</v>
      </c>
    </row>
    <row r="3280" spans="1:15" x14ac:dyDescent="0.35">
      <c r="A3280" s="503" t="s">
        <v>1819</v>
      </c>
      <c r="B3280" s="504" t="s">
        <v>3175</v>
      </c>
      <c r="C3280" s="504" t="s">
        <v>1094</v>
      </c>
      <c r="D3280" s="504" t="s">
        <v>3380</v>
      </c>
      <c r="E3280" s="504" t="s">
        <v>3381</v>
      </c>
      <c r="F3280" s="504" t="s">
        <v>623</v>
      </c>
      <c r="G3280" s="504" t="s">
        <v>624</v>
      </c>
      <c r="H3280" s="504" t="s">
        <v>5985</v>
      </c>
      <c r="I3280" s="504">
        <v>81</v>
      </c>
      <c r="J3280" s="504">
        <v>79</v>
      </c>
      <c r="K3280" s="504">
        <v>0</v>
      </c>
      <c r="L3280" s="504">
        <v>0</v>
      </c>
      <c r="M3280" s="504">
        <v>0</v>
      </c>
      <c r="N3280" s="504">
        <v>0</v>
      </c>
      <c r="O3280" s="505">
        <v>2</v>
      </c>
    </row>
    <row r="3281" spans="1:15" x14ac:dyDescent="0.35">
      <c r="A3281" s="500" t="s">
        <v>1975</v>
      </c>
      <c r="B3281" s="501" t="s">
        <v>3268</v>
      </c>
      <c r="C3281" s="501" t="s">
        <v>1089</v>
      </c>
      <c r="D3281" s="501" t="s">
        <v>3392</v>
      </c>
      <c r="E3281" s="501" t="s">
        <v>3381</v>
      </c>
      <c r="F3281" s="501" t="s">
        <v>623</v>
      </c>
      <c r="G3281" s="501" t="s">
        <v>624</v>
      </c>
      <c r="H3281" s="501" t="s">
        <v>5986</v>
      </c>
      <c r="I3281" s="501">
        <v>116</v>
      </c>
      <c r="J3281" s="501">
        <v>51</v>
      </c>
      <c r="K3281" s="501">
        <v>0</v>
      </c>
      <c r="L3281" s="501">
        <v>65</v>
      </c>
      <c r="M3281" s="501">
        <v>0</v>
      </c>
      <c r="N3281" s="501">
        <v>0</v>
      </c>
      <c r="O3281" s="506">
        <v>0</v>
      </c>
    </row>
    <row r="3282" spans="1:15" x14ac:dyDescent="0.35">
      <c r="A3282" s="503" t="s">
        <v>1102</v>
      </c>
      <c r="B3282" s="504">
        <v>4663</v>
      </c>
      <c r="C3282" s="504" t="s">
        <v>1089</v>
      </c>
      <c r="D3282" s="504" t="s">
        <v>3392</v>
      </c>
      <c r="E3282" s="504" t="s">
        <v>3381</v>
      </c>
      <c r="F3282" s="504" t="s">
        <v>623</v>
      </c>
      <c r="G3282" s="504" t="s">
        <v>624</v>
      </c>
      <c r="H3282" s="504" t="s">
        <v>5987</v>
      </c>
      <c r="I3282" s="504">
        <v>3</v>
      </c>
      <c r="J3282" s="504">
        <v>0</v>
      </c>
      <c r="K3282" s="504">
        <v>0</v>
      </c>
      <c r="L3282" s="504">
        <v>3</v>
      </c>
      <c r="M3282" s="504">
        <v>0</v>
      </c>
      <c r="N3282" s="504">
        <v>0</v>
      </c>
      <c r="O3282" s="505">
        <v>0</v>
      </c>
    </row>
    <row r="3283" spans="1:15" x14ac:dyDescent="0.35">
      <c r="A3283" s="500" t="s">
        <v>1177</v>
      </c>
      <c r="B3283" s="501">
        <v>4702</v>
      </c>
      <c r="C3283" s="501" t="s">
        <v>1089</v>
      </c>
      <c r="D3283" s="501" t="s">
        <v>3392</v>
      </c>
      <c r="E3283" s="501" t="s">
        <v>3381</v>
      </c>
      <c r="F3283" s="501" t="s">
        <v>623</v>
      </c>
      <c r="G3283" s="501" t="s">
        <v>624</v>
      </c>
      <c r="H3283" s="501" t="s">
        <v>5988</v>
      </c>
      <c r="I3283" s="501">
        <v>4</v>
      </c>
      <c r="J3283" s="501">
        <v>0</v>
      </c>
      <c r="K3283" s="501">
        <v>0</v>
      </c>
      <c r="L3283" s="501">
        <v>4</v>
      </c>
      <c r="M3283" s="501">
        <v>0</v>
      </c>
      <c r="N3283" s="501">
        <v>0</v>
      </c>
      <c r="O3283" s="506">
        <v>0</v>
      </c>
    </row>
    <row r="3284" spans="1:15" x14ac:dyDescent="0.35">
      <c r="A3284" s="503" t="s">
        <v>1983</v>
      </c>
      <c r="B3284" s="504">
        <v>4584</v>
      </c>
      <c r="C3284" s="504" t="s">
        <v>1094</v>
      </c>
      <c r="D3284" s="504" t="s">
        <v>3380</v>
      </c>
      <c r="E3284" s="504" t="s">
        <v>3381</v>
      </c>
      <c r="F3284" s="504" t="s">
        <v>623</v>
      </c>
      <c r="G3284" s="504" t="s">
        <v>624</v>
      </c>
      <c r="H3284" s="504" t="s">
        <v>5989</v>
      </c>
      <c r="I3284" s="504">
        <v>4526</v>
      </c>
      <c r="J3284" s="504">
        <v>4100</v>
      </c>
      <c r="K3284" s="504">
        <v>0</v>
      </c>
      <c r="L3284" s="504">
        <v>72</v>
      </c>
      <c r="M3284" s="504">
        <v>293</v>
      </c>
      <c r="N3284" s="504">
        <v>0</v>
      </c>
      <c r="O3284" s="505">
        <v>61</v>
      </c>
    </row>
    <row r="3285" spans="1:15" x14ac:dyDescent="0.35">
      <c r="A3285" s="500" t="s">
        <v>14208</v>
      </c>
      <c r="B3285" s="501">
        <v>4803</v>
      </c>
      <c r="C3285" s="501" t="s">
        <v>1094</v>
      </c>
      <c r="D3285" s="501" t="s">
        <v>3380</v>
      </c>
      <c r="E3285" s="501" t="s">
        <v>3381</v>
      </c>
      <c r="F3285" s="501" t="s">
        <v>623</v>
      </c>
      <c r="G3285" s="501" t="s">
        <v>624</v>
      </c>
      <c r="H3285" s="501" t="s">
        <v>14706</v>
      </c>
      <c r="I3285" s="501">
        <v>7</v>
      </c>
      <c r="J3285" s="501">
        <v>0</v>
      </c>
      <c r="K3285" s="501">
        <v>0</v>
      </c>
      <c r="L3285" s="501">
        <v>7</v>
      </c>
      <c r="M3285" s="501">
        <v>0</v>
      </c>
      <c r="N3285" s="501">
        <v>0</v>
      </c>
      <c r="O3285" s="506">
        <v>0</v>
      </c>
    </row>
    <row r="3286" spans="1:15" x14ac:dyDescent="0.35">
      <c r="A3286" s="503" t="s">
        <v>14213</v>
      </c>
      <c r="B3286" s="504" t="s">
        <v>3312</v>
      </c>
      <c r="C3286" s="504" t="s">
        <v>1094</v>
      </c>
      <c r="D3286" s="504" t="s">
        <v>3380</v>
      </c>
      <c r="E3286" s="504" t="s">
        <v>3381</v>
      </c>
      <c r="F3286" s="504" t="s">
        <v>623</v>
      </c>
      <c r="G3286" s="504" t="s">
        <v>624</v>
      </c>
      <c r="H3286" s="504" t="s">
        <v>14707</v>
      </c>
      <c r="I3286" s="504">
        <v>683</v>
      </c>
      <c r="J3286" s="504">
        <v>604</v>
      </c>
      <c r="K3286" s="504">
        <v>0</v>
      </c>
      <c r="L3286" s="504">
        <v>6</v>
      </c>
      <c r="M3286" s="504">
        <v>17</v>
      </c>
      <c r="N3286" s="504">
        <v>0</v>
      </c>
      <c r="O3286" s="505">
        <v>56</v>
      </c>
    </row>
    <row r="3287" spans="1:15" x14ac:dyDescent="0.35">
      <c r="A3287" s="500" t="s">
        <v>1986</v>
      </c>
      <c r="B3287" s="501" t="s">
        <v>3103</v>
      </c>
      <c r="C3287" s="501" t="s">
        <v>1089</v>
      </c>
      <c r="D3287" s="501" t="s">
        <v>3392</v>
      </c>
      <c r="E3287" s="501" t="s">
        <v>3381</v>
      </c>
      <c r="F3287" s="501" t="s">
        <v>623</v>
      </c>
      <c r="G3287" s="501" t="s">
        <v>624</v>
      </c>
      <c r="H3287" s="501" t="s">
        <v>5990</v>
      </c>
      <c r="I3287" s="501">
        <v>8</v>
      </c>
      <c r="J3287" s="501">
        <v>8</v>
      </c>
      <c r="K3287" s="501">
        <v>0</v>
      </c>
      <c r="L3287" s="501">
        <v>0</v>
      </c>
      <c r="M3287" s="501">
        <v>0</v>
      </c>
      <c r="N3287" s="501">
        <v>0</v>
      </c>
      <c r="O3287" s="506">
        <v>0</v>
      </c>
    </row>
    <row r="3288" spans="1:15" x14ac:dyDescent="0.35">
      <c r="A3288" s="503" t="s">
        <v>1987</v>
      </c>
      <c r="B3288" s="504" t="s">
        <v>3295</v>
      </c>
      <c r="C3288" s="504" t="s">
        <v>1089</v>
      </c>
      <c r="D3288" s="504" t="s">
        <v>3392</v>
      </c>
      <c r="E3288" s="504" t="s">
        <v>3381</v>
      </c>
      <c r="F3288" s="504" t="s">
        <v>623</v>
      </c>
      <c r="G3288" s="504" t="s">
        <v>624</v>
      </c>
      <c r="H3288" s="504" t="s">
        <v>14708</v>
      </c>
      <c r="I3288" s="504">
        <v>9</v>
      </c>
      <c r="J3288" s="504">
        <v>0</v>
      </c>
      <c r="K3288" s="504">
        <v>0</v>
      </c>
      <c r="L3288" s="504">
        <v>9</v>
      </c>
      <c r="M3288" s="504">
        <v>0</v>
      </c>
      <c r="N3288" s="504">
        <v>0</v>
      </c>
      <c r="O3288" s="505">
        <v>0</v>
      </c>
    </row>
    <row r="3289" spans="1:15" x14ac:dyDescent="0.35">
      <c r="A3289" s="500" t="s">
        <v>1105</v>
      </c>
      <c r="B3289" s="501">
        <v>4668</v>
      </c>
      <c r="C3289" s="501" t="s">
        <v>1094</v>
      </c>
      <c r="D3289" s="501" t="s">
        <v>3380</v>
      </c>
      <c r="E3289" s="501" t="s">
        <v>3381</v>
      </c>
      <c r="F3289" s="501" t="s">
        <v>623</v>
      </c>
      <c r="G3289" s="501" t="s">
        <v>624</v>
      </c>
      <c r="H3289" s="501" t="s">
        <v>5991</v>
      </c>
      <c r="I3289" s="501">
        <v>14</v>
      </c>
      <c r="J3289" s="501">
        <v>0</v>
      </c>
      <c r="K3289" s="501">
        <v>0</v>
      </c>
      <c r="L3289" s="501">
        <v>0</v>
      </c>
      <c r="M3289" s="501">
        <v>0</v>
      </c>
      <c r="N3289" s="501">
        <v>0</v>
      </c>
      <c r="O3289" s="506">
        <v>14</v>
      </c>
    </row>
    <row r="3290" spans="1:15" x14ac:dyDescent="0.35">
      <c r="A3290" s="503" t="s">
        <v>1107</v>
      </c>
      <c r="B3290" s="504" t="s">
        <v>3109</v>
      </c>
      <c r="C3290" s="504" t="s">
        <v>1094</v>
      </c>
      <c r="D3290" s="504" t="s">
        <v>3380</v>
      </c>
      <c r="E3290" s="504" t="s">
        <v>3381</v>
      </c>
      <c r="F3290" s="504" t="s">
        <v>623</v>
      </c>
      <c r="G3290" s="504" t="s">
        <v>624</v>
      </c>
      <c r="H3290" s="504" t="s">
        <v>5992</v>
      </c>
      <c r="I3290" s="504">
        <v>62</v>
      </c>
      <c r="J3290" s="504">
        <v>0</v>
      </c>
      <c r="K3290" s="504">
        <v>0</v>
      </c>
      <c r="L3290" s="504">
        <v>62</v>
      </c>
      <c r="M3290" s="504">
        <v>0</v>
      </c>
      <c r="N3290" s="504">
        <v>3</v>
      </c>
      <c r="O3290" s="505">
        <v>0</v>
      </c>
    </row>
    <row r="3291" spans="1:15" x14ac:dyDescent="0.35">
      <c r="A3291" s="500" t="s">
        <v>1109</v>
      </c>
      <c r="B3291" s="501" t="s">
        <v>2959</v>
      </c>
      <c r="C3291" s="501" t="s">
        <v>1094</v>
      </c>
      <c r="D3291" s="501" t="s">
        <v>3380</v>
      </c>
      <c r="E3291" s="501" t="s">
        <v>3381</v>
      </c>
      <c r="F3291" s="501" t="s">
        <v>623</v>
      </c>
      <c r="G3291" s="501" t="s">
        <v>624</v>
      </c>
      <c r="H3291" s="501" t="s">
        <v>5993</v>
      </c>
      <c r="I3291" s="501">
        <v>48</v>
      </c>
      <c r="J3291" s="501">
        <v>0</v>
      </c>
      <c r="K3291" s="501">
        <v>0</v>
      </c>
      <c r="L3291" s="501">
        <v>0</v>
      </c>
      <c r="M3291" s="501">
        <v>48</v>
      </c>
      <c r="N3291" s="501">
        <v>0</v>
      </c>
      <c r="O3291" s="506">
        <v>0</v>
      </c>
    </row>
    <row r="3292" spans="1:15" x14ac:dyDescent="0.35">
      <c r="A3292" s="503" t="s">
        <v>1190</v>
      </c>
      <c r="B3292" s="504">
        <v>4662</v>
      </c>
      <c r="C3292" s="504" t="s">
        <v>1094</v>
      </c>
      <c r="D3292" s="504" t="s">
        <v>3380</v>
      </c>
      <c r="E3292" s="504" t="s">
        <v>3381</v>
      </c>
      <c r="F3292" s="504" t="s">
        <v>623</v>
      </c>
      <c r="G3292" s="504" t="s">
        <v>624</v>
      </c>
      <c r="H3292" s="504" t="s">
        <v>5994</v>
      </c>
      <c r="I3292" s="504">
        <v>2</v>
      </c>
      <c r="J3292" s="504">
        <v>0</v>
      </c>
      <c r="K3292" s="504">
        <v>0</v>
      </c>
      <c r="L3292" s="504">
        <v>2</v>
      </c>
      <c r="M3292" s="504">
        <v>0</v>
      </c>
      <c r="N3292" s="504">
        <v>0</v>
      </c>
      <c r="O3292" s="505">
        <v>0</v>
      </c>
    </row>
    <row r="3293" spans="1:15" x14ac:dyDescent="0.35">
      <c r="A3293" s="500" t="s">
        <v>1111</v>
      </c>
      <c r="B3293" s="501">
        <v>4873</v>
      </c>
      <c r="C3293" s="501" t="s">
        <v>1094</v>
      </c>
      <c r="D3293" s="501" t="s">
        <v>3380</v>
      </c>
      <c r="E3293" s="501" t="s">
        <v>3381</v>
      </c>
      <c r="F3293" s="501" t="s">
        <v>623</v>
      </c>
      <c r="G3293" s="501" t="s">
        <v>624</v>
      </c>
      <c r="H3293" s="501" t="s">
        <v>5995</v>
      </c>
      <c r="I3293" s="501">
        <v>64</v>
      </c>
      <c r="J3293" s="501">
        <v>51</v>
      </c>
      <c r="K3293" s="501">
        <v>0</v>
      </c>
      <c r="L3293" s="501">
        <v>0</v>
      </c>
      <c r="M3293" s="501">
        <v>0</v>
      </c>
      <c r="N3293" s="501">
        <v>0</v>
      </c>
      <c r="O3293" s="506">
        <v>13</v>
      </c>
    </row>
    <row r="3294" spans="1:15" x14ac:dyDescent="0.35">
      <c r="A3294" s="503" t="s">
        <v>1994</v>
      </c>
      <c r="B3294" s="504" t="s">
        <v>3206</v>
      </c>
      <c r="C3294" s="504" t="s">
        <v>1094</v>
      </c>
      <c r="D3294" s="504" t="s">
        <v>3380</v>
      </c>
      <c r="E3294" s="504" t="s">
        <v>3381</v>
      </c>
      <c r="F3294" s="504" t="s">
        <v>623</v>
      </c>
      <c r="G3294" s="504" t="s">
        <v>624</v>
      </c>
      <c r="H3294" s="504" t="s">
        <v>5996</v>
      </c>
      <c r="I3294" s="504">
        <v>310</v>
      </c>
      <c r="J3294" s="504">
        <v>248</v>
      </c>
      <c r="K3294" s="504">
        <v>0</v>
      </c>
      <c r="L3294" s="504">
        <v>0</v>
      </c>
      <c r="M3294" s="504">
        <v>0</v>
      </c>
      <c r="N3294" s="504">
        <v>0</v>
      </c>
      <c r="O3294" s="505">
        <v>62</v>
      </c>
    </row>
    <row r="3295" spans="1:15" x14ac:dyDescent="0.35">
      <c r="A3295" s="500" t="s">
        <v>1114</v>
      </c>
      <c r="B3295" s="501" t="s">
        <v>2982</v>
      </c>
      <c r="C3295" s="501" t="s">
        <v>1094</v>
      </c>
      <c r="D3295" s="501" t="s">
        <v>3380</v>
      </c>
      <c r="E3295" s="501" t="s">
        <v>3381</v>
      </c>
      <c r="F3295" s="501" t="s">
        <v>623</v>
      </c>
      <c r="G3295" s="501" t="s">
        <v>624</v>
      </c>
      <c r="H3295" s="501" t="s">
        <v>5997</v>
      </c>
      <c r="I3295" s="501">
        <v>1</v>
      </c>
      <c r="J3295" s="501">
        <v>0</v>
      </c>
      <c r="K3295" s="501">
        <v>0</v>
      </c>
      <c r="L3295" s="501">
        <v>0</v>
      </c>
      <c r="M3295" s="501">
        <v>0</v>
      </c>
      <c r="N3295" s="501">
        <v>0</v>
      </c>
      <c r="O3295" s="506">
        <v>1</v>
      </c>
    </row>
    <row r="3296" spans="1:15" x14ac:dyDescent="0.35">
      <c r="A3296" s="503" t="s">
        <v>2002</v>
      </c>
      <c r="B3296" s="504">
        <v>4747</v>
      </c>
      <c r="C3296" s="504" t="s">
        <v>1089</v>
      </c>
      <c r="D3296" s="504" t="s">
        <v>3392</v>
      </c>
      <c r="E3296" s="504" t="s">
        <v>3381</v>
      </c>
      <c r="F3296" s="504" t="s">
        <v>623</v>
      </c>
      <c r="G3296" s="504" t="s">
        <v>624</v>
      </c>
      <c r="H3296" s="504" t="s">
        <v>5998</v>
      </c>
      <c r="I3296" s="504">
        <v>19</v>
      </c>
      <c r="J3296" s="504">
        <v>0</v>
      </c>
      <c r="K3296" s="504">
        <v>0</v>
      </c>
      <c r="L3296" s="504">
        <v>19</v>
      </c>
      <c r="M3296" s="504">
        <v>0</v>
      </c>
      <c r="N3296" s="504">
        <v>0</v>
      </c>
      <c r="O3296" s="505">
        <v>0</v>
      </c>
    </row>
    <row r="3297" spans="1:15" x14ac:dyDescent="0.35">
      <c r="A3297" s="500" t="s">
        <v>1122</v>
      </c>
      <c r="B3297" s="501" t="s">
        <v>2994</v>
      </c>
      <c r="C3297" s="501" t="s">
        <v>1094</v>
      </c>
      <c r="D3297" s="501" t="s">
        <v>3380</v>
      </c>
      <c r="E3297" s="501" t="s">
        <v>3381</v>
      </c>
      <c r="F3297" s="501" t="s">
        <v>623</v>
      </c>
      <c r="G3297" s="501" t="s">
        <v>624</v>
      </c>
      <c r="H3297" s="501" t="s">
        <v>5999</v>
      </c>
      <c r="I3297" s="501">
        <v>2</v>
      </c>
      <c r="J3297" s="501">
        <v>0</v>
      </c>
      <c r="K3297" s="501">
        <v>0</v>
      </c>
      <c r="L3297" s="501">
        <v>0</v>
      </c>
      <c r="M3297" s="501">
        <v>0</v>
      </c>
      <c r="N3297" s="501">
        <v>0</v>
      </c>
      <c r="O3297" s="506">
        <v>2</v>
      </c>
    </row>
    <row r="3298" spans="1:15" x14ac:dyDescent="0.35">
      <c r="A3298" s="503" t="s">
        <v>1225</v>
      </c>
      <c r="B3298" s="504" t="s">
        <v>3315</v>
      </c>
      <c r="C3298" s="504" t="s">
        <v>1094</v>
      </c>
      <c r="D3298" s="504" t="s">
        <v>3380</v>
      </c>
      <c r="E3298" s="504" t="s">
        <v>3381</v>
      </c>
      <c r="F3298" s="504" t="s">
        <v>623</v>
      </c>
      <c r="G3298" s="504" t="s">
        <v>624</v>
      </c>
      <c r="H3298" s="504" t="s">
        <v>6000</v>
      </c>
      <c r="I3298" s="504">
        <v>5</v>
      </c>
      <c r="J3298" s="504">
        <v>1</v>
      </c>
      <c r="K3298" s="504">
        <v>0</v>
      </c>
      <c r="L3298" s="504">
        <v>0</v>
      </c>
      <c r="M3298" s="504">
        <v>0</v>
      </c>
      <c r="N3298" s="504">
        <v>0</v>
      </c>
      <c r="O3298" s="505">
        <v>4</v>
      </c>
    </row>
    <row r="3299" spans="1:15" x14ac:dyDescent="0.35">
      <c r="A3299" s="500" t="s">
        <v>1226</v>
      </c>
      <c r="B3299" s="501">
        <v>5084</v>
      </c>
      <c r="C3299" s="501" t="s">
        <v>1094</v>
      </c>
      <c r="D3299" s="501" t="s">
        <v>3380</v>
      </c>
      <c r="E3299" s="501" t="s">
        <v>3381</v>
      </c>
      <c r="F3299" s="501" t="s">
        <v>623</v>
      </c>
      <c r="G3299" s="501" t="s">
        <v>624</v>
      </c>
      <c r="H3299" s="501" t="s">
        <v>6001</v>
      </c>
      <c r="I3299" s="501">
        <v>1</v>
      </c>
      <c r="J3299" s="501">
        <v>0</v>
      </c>
      <c r="K3299" s="501">
        <v>0</v>
      </c>
      <c r="L3299" s="501">
        <v>0</v>
      </c>
      <c r="M3299" s="501">
        <v>0</v>
      </c>
      <c r="N3299" s="501">
        <v>0</v>
      </c>
      <c r="O3299" s="506">
        <v>1</v>
      </c>
    </row>
    <row r="3300" spans="1:15" x14ac:dyDescent="0.35">
      <c r="A3300" s="503" t="s">
        <v>2008</v>
      </c>
      <c r="B3300" s="504" t="s">
        <v>3323</v>
      </c>
      <c r="C3300" s="504" t="s">
        <v>1094</v>
      </c>
      <c r="D3300" s="504" t="s">
        <v>3380</v>
      </c>
      <c r="E3300" s="504" t="s">
        <v>3381</v>
      </c>
      <c r="F3300" s="504" t="s">
        <v>623</v>
      </c>
      <c r="G3300" s="504" t="s">
        <v>624</v>
      </c>
      <c r="H3300" s="504" t="s">
        <v>6002</v>
      </c>
      <c r="I3300" s="504">
        <v>503</v>
      </c>
      <c r="J3300" s="504">
        <v>308</v>
      </c>
      <c r="K3300" s="504">
        <v>0</v>
      </c>
      <c r="L3300" s="504">
        <v>59</v>
      </c>
      <c r="M3300" s="504">
        <v>80</v>
      </c>
      <c r="N3300" s="504">
        <v>9</v>
      </c>
      <c r="O3300" s="505">
        <v>56</v>
      </c>
    </row>
    <row r="3301" spans="1:15" x14ac:dyDescent="0.35">
      <c r="A3301" s="500" t="s">
        <v>1235</v>
      </c>
      <c r="B3301" s="501">
        <v>4684</v>
      </c>
      <c r="C3301" s="501" t="s">
        <v>1094</v>
      </c>
      <c r="D3301" s="501" t="s">
        <v>3380</v>
      </c>
      <c r="E3301" s="501" t="s">
        <v>3381</v>
      </c>
      <c r="F3301" s="501" t="s">
        <v>623</v>
      </c>
      <c r="G3301" s="501" t="s">
        <v>624</v>
      </c>
      <c r="H3301" s="501" t="s">
        <v>12102</v>
      </c>
      <c r="I3301" s="501">
        <v>79</v>
      </c>
      <c r="J3301" s="501">
        <v>53</v>
      </c>
      <c r="K3301" s="501">
        <v>0</v>
      </c>
      <c r="L3301" s="501">
        <v>0</v>
      </c>
      <c r="M3301" s="501">
        <v>0</v>
      </c>
      <c r="N3301" s="501">
        <v>0</v>
      </c>
      <c r="O3301" s="506">
        <v>26</v>
      </c>
    </row>
    <row r="3302" spans="1:15" x14ac:dyDescent="0.35">
      <c r="A3302" s="503" t="s">
        <v>1132</v>
      </c>
      <c r="B3302" s="504">
        <v>4837</v>
      </c>
      <c r="C3302" s="504" t="s">
        <v>1094</v>
      </c>
      <c r="D3302" s="504" t="s">
        <v>3380</v>
      </c>
      <c r="E3302" s="504" t="s">
        <v>3381</v>
      </c>
      <c r="F3302" s="504" t="s">
        <v>623</v>
      </c>
      <c r="G3302" s="504" t="s">
        <v>624</v>
      </c>
      <c r="H3302" s="504" t="s">
        <v>6003</v>
      </c>
      <c r="I3302" s="504">
        <v>131</v>
      </c>
      <c r="J3302" s="504">
        <v>113</v>
      </c>
      <c r="K3302" s="504">
        <v>0</v>
      </c>
      <c r="L3302" s="504">
        <v>0</v>
      </c>
      <c r="M3302" s="504">
        <v>0</v>
      </c>
      <c r="N3302" s="504">
        <v>0</v>
      </c>
      <c r="O3302" s="505">
        <v>18</v>
      </c>
    </row>
    <row r="3303" spans="1:15" x14ac:dyDescent="0.35">
      <c r="A3303" s="500" t="s">
        <v>1240</v>
      </c>
      <c r="B3303" s="501" t="s">
        <v>2972</v>
      </c>
      <c r="C3303" s="501" t="s">
        <v>1094</v>
      </c>
      <c r="D3303" s="501" t="s">
        <v>3380</v>
      </c>
      <c r="E3303" s="501" t="s">
        <v>3381</v>
      </c>
      <c r="F3303" s="501" t="s">
        <v>623</v>
      </c>
      <c r="G3303" s="501" t="s">
        <v>624</v>
      </c>
      <c r="H3303" s="501" t="s">
        <v>6004</v>
      </c>
      <c r="I3303" s="501">
        <v>57</v>
      </c>
      <c r="J3303" s="501">
        <v>54</v>
      </c>
      <c r="K3303" s="501">
        <v>0</v>
      </c>
      <c r="L3303" s="501">
        <v>0</v>
      </c>
      <c r="M3303" s="501">
        <v>0</v>
      </c>
      <c r="N3303" s="501">
        <v>0</v>
      </c>
      <c r="O3303" s="506">
        <v>3</v>
      </c>
    </row>
    <row r="3304" spans="1:15" x14ac:dyDescent="0.35">
      <c r="A3304" s="503" t="s">
        <v>1134</v>
      </c>
      <c r="B3304" s="504" t="s">
        <v>3066</v>
      </c>
      <c r="C3304" s="504" t="s">
        <v>1094</v>
      </c>
      <c r="D3304" s="504" t="s">
        <v>3380</v>
      </c>
      <c r="E3304" s="504" t="s">
        <v>3381</v>
      </c>
      <c r="F3304" s="504" t="s">
        <v>623</v>
      </c>
      <c r="G3304" s="504" t="s">
        <v>624</v>
      </c>
      <c r="H3304" s="504" t="s">
        <v>12158</v>
      </c>
      <c r="I3304" s="504">
        <v>13</v>
      </c>
      <c r="J3304" s="504">
        <v>1</v>
      </c>
      <c r="K3304" s="504">
        <v>0</v>
      </c>
      <c r="L3304" s="504">
        <v>0</v>
      </c>
      <c r="M3304" s="504">
        <v>0</v>
      </c>
      <c r="N3304" s="504">
        <v>0</v>
      </c>
      <c r="O3304" s="505">
        <v>12</v>
      </c>
    </row>
    <row r="3305" spans="1:15" x14ac:dyDescent="0.35">
      <c r="A3305" s="500" t="s">
        <v>1245</v>
      </c>
      <c r="B3305" s="501" t="s">
        <v>2859</v>
      </c>
      <c r="C3305" s="501" t="s">
        <v>1094</v>
      </c>
      <c r="D3305" s="501" t="s">
        <v>3380</v>
      </c>
      <c r="E3305" s="501" t="s">
        <v>3381</v>
      </c>
      <c r="F3305" s="501" t="s">
        <v>623</v>
      </c>
      <c r="G3305" s="501" t="s">
        <v>624</v>
      </c>
      <c r="H3305" s="501" t="s">
        <v>6005</v>
      </c>
      <c r="I3305" s="501">
        <v>9</v>
      </c>
      <c r="J3305" s="501">
        <v>0</v>
      </c>
      <c r="K3305" s="501">
        <v>0</v>
      </c>
      <c r="L3305" s="501">
        <v>0</v>
      </c>
      <c r="M3305" s="501">
        <v>9</v>
      </c>
      <c r="N3305" s="501">
        <v>0</v>
      </c>
      <c r="O3305" s="506">
        <v>0</v>
      </c>
    </row>
    <row r="3306" spans="1:15" x14ac:dyDescent="0.35">
      <c r="A3306" s="503" t="s">
        <v>2041</v>
      </c>
      <c r="B3306" s="504" t="s">
        <v>2434</v>
      </c>
      <c r="C3306" s="504" t="s">
        <v>1089</v>
      </c>
      <c r="D3306" s="504" t="s">
        <v>3392</v>
      </c>
      <c r="E3306" s="504" t="s">
        <v>3381</v>
      </c>
      <c r="F3306" s="504" t="s">
        <v>623</v>
      </c>
      <c r="G3306" s="504" t="s">
        <v>624</v>
      </c>
      <c r="H3306" s="504" t="s">
        <v>6006</v>
      </c>
      <c r="I3306" s="504">
        <v>137</v>
      </c>
      <c r="J3306" s="504">
        <v>0</v>
      </c>
      <c r="K3306" s="504">
        <v>0</v>
      </c>
      <c r="L3306" s="504">
        <v>0</v>
      </c>
      <c r="M3306" s="504">
        <v>137</v>
      </c>
      <c r="N3306" s="504">
        <v>0</v>
      </c>
      <c r="O3306" s="505">
        <v>0</v>
      </c>
    </row>
    <row r="3307" spans="1:15" x14ac:dyDescent="0.35">
      <c r="A3307" s="500" t="s">
        <v>1249</v>
      </c>
      <c r="B3307" s="501">
        <v>4729</v>
      </c>
      <c r="C3307" s="501" t="s">
        <v>1094</v>
      </c>
      <c r="D3307" s="501" t="s">
        <v>3380</v>
      </c>
      <c r="E3307" s="501" t="s">
        <v>3381</v>
      </c>
      <c r="F3307" s="501" t="s">
        <v>623</v>
      </c>
      <c r="G3307" s="501" t="s">
        <v>624</v>
      </c>
      <c r="H3307" s="501" t="s">
        <v>6007</v>
      </c>
      <c r="I3307" s="501">
        <v>1294</v>
      </c>
      <c r="J3307" s="501">
        <v>965</v>
      </c>
      <c r="K3307" s="501">
        <v>0</v>
      </c>
      <c r="L3307" s="501">
        <v>28</v>
      </c>
      <c r="M3307" s="501">
        <v>65</v>
      </c>
      <c r="N3307" s="501">
        <v>0</v>
      </c>
      <c r="O3307" s="506">
        <v>236</v>
      </c>
    </row>
    <row r="3308" spans="1:15" x14ac:dyDescent="0.35">
      <c r="A3308" s="503" t="s">
        <v>1253</v>
      </c>
      <c r="B3308" s="504" t="s">
        <v>3232</v>
      </c>
      <c r="C3308" s="504" t="s">
        <v>1094</v>
      </c>
      <c r="D3308" s="504" t="s">
        <v>3380</v>
      </c>
      <c r="E3308" s="504" t="s">
        <v>3381</v>
      </c>
      <c r="F3308" s="504" t="s">
        <v>623</v>
      </c>
      <c r="G3308" s="504" t="s">
        <v>624</v>
      </c>
      <c r="H3308" s="504" t="s">
        <v>6008</v>
      </c>
      <c r="I3308" s="504">
        <v>83</v>
      </c>
      <c r="J3308" s="504">
        <v>0</v>
      </c>
      <c r="K3308" s="504">
        <v>0</v>
      </c>
      <c r="L3308" s="504">
        <v>83</v>
      </c>
      <c r="M3308" s="504">
        <v>0</v>
      </c>
      <c r="N3308" s="504">
        <v>0</v>
      </c>
      <c r="O3308" s="505">
        <v>0</v>
      </c>
    </row>
    <row r="3309" spans="1:15" x14ac:dyDescent="0.35">
      <c r="A3309" s="500" t="s">
        <v>1260</v>
      </c>
      <c r="B3309" s="501">
        <v>4645</v>
      </c>
      <c r="C3309" s="501" t="s">
        <v>1089</v>
      </c>
      <c r="D3309" s="501" t="s">
        <v>3392</v>
      </c>
      <c r="E3309" s="501" t="s">
        <v>3381</v>
      </c>
      <c r="F3309" s="501" t="s">
        <v>623</v>
      </c>
      <c r="G3309" s="501" t="s">
        <v>624</v>
      </c>
      <c r="H3309" s="501" t="s">
        <v>6009</v>
      </c>
      <c r="I3309" s="501">
        <v>12</v>
      </c>
      <c r="J3309" s="501">
        <v>0</v>
      </c>
      <c r="K3309" s="501">
        <v>0</v>
      </c>
      <c r="L3309" s="501">
        <v>12</v>
      </c>
      <c r="M3309" s="501">
        <v>0</v>
      </c>
      <c r="N3309" s="501">
        <v>0</v>
      </c>
      <c r="O3309" s="506">
        <v>0</v>
      </c>
    </row>
    <row r="3310" spans="1:15" x14ac:dyDescent="0.35">
      <c r="A3310" s="503" t="s">
        <v>2047</v>
      </c>
      <c r="B3310" s="504" t="s">
        <v>3187</v>
      </c>
      <c r="C3310" s="504" t="s">
        <v>1094</v>
      </c>
      <c r="D3310" s="504" t="s">
        <v>3380</v>
      </c>
      <c r="E3310" s="504" t="s">
        <v>3381</v>
      </c>
      <c r="F3310" s="504" t="s">
        <v>623</v>
      </c>
      <c r="G3310" s="504" t="s">
        <v>624</v>
      </c>
      <c r="H3310" s="504" t="s">
        <v>6010</v>
      </c>
      <c r="I3310" s="504">
        <v>117</v>
      </c>
      <c r="J3310" s="504">
        <v>109</v>
      </c>
      <c r="K3310" s="504">
        <v>0</v>
      </c>
      <c r="L3310" s="504">
        <v>0</v>
      </c>
      <c r="M3310" s="504">
        <v>0</v>
      </c>
      <c r="N3310" s="504">
        <v>0</v>
      </c>
      <c r="O3310" s="505">
        <v>8</v>
      </c>
    </row>
    <row r="3311" spans="1:15" x14ac:dyDescent="0.35">
      <c r="A3311" s="500" t="s">
        <v>1262</v>
      </c>
      <c r="B3311" s="501">
        <v>4772</v>
      </c>
      <c r="C3311" s="501" t="s">
        <v>1089</v>
      </c>
      <c r="D3311" s="501" t="s">
        <v>3392</v>
      </c>
      <c r="E3311" s="501" t="s">
        <v>3381</v>
      </c>
      <c r="F3311" s="501" t="s">
        <v>623</v>
      </c>
      <c r="G3311" s="501" t="s">
        <v>624</v>
      </c>
      <c r="H3311" s="501" t="s">
        <v>6011</v>
      </c>
      <c r="I3311" s="501">
        <v>36</v>
      </c>
      <c r="J3311" s="501">
        <v>0</v>
      </c>
      <c r="K3311" s="501">
        <v>0</v>
      </c>
      <c r="L3311" s="501">
        <v>36</v>
      </c>
      <c r="M3311" s="501">
        <v>0</v>
      </c>
      <c r="N3311" s="501">
        <v>0</v>
      </c>
      <c r="O3311" s="506">
        <v>0</v>
      </c>
    </row>
    <row r="3312" spans="1:15" x14ac:dyDescent="0.35">
      <c r="A3312" s="503" t="s">
        <v>14127</v>
      </c>
      <c r="B3312" s="504" t="s">
        <v>14126</v>
      </c>
      <c r="C3312" s="504" t="s">
        <v>1094</v>
      </c>
      <c r="D3312" s="504" t="s">
        <v>3380</v>
      </c>
      <c r="E3312" s="504" t="s">
        <v>3381</v>
      </c>
      <c r="F3312" s="504" t="s">
        <v>625</v>
      </c>
      <c r="G3312" s="504" t="s">
        <v>626</v>
      </c>
      <c r="H3312" s="504" t="s">
        <v>14709</v>
      </c>
      <c r="I3312" s="504">
        <v>214</v>
      </c>
      <c r="J3312" s="504">
        <v>113</v>
      </c>
      <c r="K3312" s="504">
        <v>0</v>
      </c>
      <c r="L3312" s="504">
        <v>5</v>
      </c>
      <c r="M3312" s="504">
        <v>0</v>
      </c>
      <c r="N3312" s="504">
        <v>0</v>
      </c>
      <c r="O3312" s="505">
        <v>96</v>
      </c>
    </row>
    <row r="3313" spans="1:15" x14ac:dyDescent="0.35">
      <c r="A3313" s="500" t="s">
        <v>1093</v>
      </c>
      <c r="B3313" s="501" t="s">
        <v>3248</v>
      </c>
      <c r="C3313" s="501" t="s">
        <v>1094</v>
      </c>
      <c r="D3313" s="501" t="s">
        <v>3380</v>
      </c>
      <c r="E3313" s="501" t="s">
        <v>3381</v>
      </c>
      <c r="F3313" s="501" t="s">
        <v>625</v>
      </c>
      <c r="G3313" s="501" t="s">
        <v>626</v>
      </c>
      <c r="H3313" s="501" t="s">
        <v>6012</v>
      </c>
      <c r="I3313" s="501">
        <v>2</v>
      </c>
      <c r="J3313" s="501">
        <v>0</v>
      </c>
      <c r="K3313" s="501">
        <v>0</v>
      </c>
      <c r="L3313" s="501">
        <v>0</v>
      </c>
      <c r="M3313" s="501">
        <v>0</v>
      </c>
      <c r="N3313" s="501">
        <v>0</v>
      </c>
      <c r="O3313" s="506">
        <v>2</v>
      </c>
    </row>
    <row r="3314" spans="1:15" x14ac:dyDescent="0.35">
      <c r="A3314" s="503" t="s">
        <v>1795</v>
      </c>
      <c r="B3314" s="504" t="s">
        <v>3018</v>
      </c>
      <c r="C3314" s="504" t="s">
        <v>1089</v>
      </c>
      <c r="D3314" s="504" t="s">
        <v>3392</v>
      </c>
      <c r="E3314" s="504" t="s">
        <v>3381</v>
      </c>
      <c r="F3314" s="504" t="s">
        <v>625</v>
      </c>
      <c r="G3314" s="504" t="s">
        <v>626</v>
      </c>
      <c r="H3314" s="504" t="s">
        <v>6013</v>
      </c>
      <c r="I3314" s="504">
        <v>74</v>
      </c>
      <c r="J3314" s="504">
        <v>0</v>
      </c>
      <c r="K3314" s="504">
        <v>0</v>
      </c>
      <c r="L3314" s="504">
        <v>0</v>
      </c>
      <c r="M3314" s="504">
        <v>74</v>
      </c>
      <c r="N3314" s="504">
        <v>37</v>
      </c>
      <c r="O3314" s="505">
        <v>0</v>
      </c>
    </row>
    <row r="3315" spans="1:15" x14ac:dyDescent="0.35">
      <c r="A3315" s="500" t="s">
        <v>1096</v>
      </c>
      <c r="B3315" s="501" t="s">
        <v>3326</v>
      </c>
      <c r="C3315" s="501" t="s">
        <v>1094</v>
      </c>
      <c r="D3315" s="501" t="s">
        <v>3380</v>
      </c>
      <c r="E3315" s="501" t="s">
        <v>3381</v>
      </c>
      <c r="F3315" s="501" t="s">
        <v>625</v>
      </c>
      <c r="G3315" s="501" t="s">
        <v>626</v>
      </c>
      <c r="H3315" s="501" t="s">
        <v>6014</v>
      </c>
      <c r="I3315" s="501">
        <v>84</v>
      </c>
      <c r="J3315" s="501">
        <v>0</v>
      </c>
      <c r="K3315" s="501">
        <v>0</v>
      </c>
      <c r="L3315" s="501">
        <v>0</v>
      </c>
      <c r="M3315" s="501">
        <v>84</v>
      </c>
      <c r="N3315" s="501">
        <v>0</v>
      </c>
      <c r="O3315" s="506">
        <v>0</v>
      </c>
    </row>
    <row r="3316" spans="1:15" x14ac:dyDescent="0.35">
      <c r="A3316" s="503" t="s">
        <v>11412</v>
      </c>
      <c r="B3316" s="504" t="s">
        <v>2965</v>
      </c>
      <c r="C3316" s="504" t="s">
        <v>1089</v>
      </c>
      <c r="D3316" s="504" t="s">
        <v>3392</v>
      </c>
      <c r="E3316" s="504" t="s">
        <v>3381</v>
      </c>
      <c r="F3316" s="504" t="s">
        <v>625</v>
      </c>
      <c r="G3316" s="504" t="s">
        <v>626</v>
      </c>
      <c r="H3316" s="504" t="s">
        <v>11643</v>
      </c>
      <c r="I3316" s="504">
        <v>56</v>
      </c>
      <c r="J3316" s="504">
        <v>0</v>
      </c>
      <c r="K3316" s="504">
        <v>0</v>
      </c>
      <c r="L3316" s="504">
        <v>0</v>
      </c>
      <c r="M3316" s="504">
        <v>56</v>
      </c>
      <c r="N3316" s="504">
        <v>0</v>
      </c>
      <c r="O3316" s="505">
        <v>0</v>
      </c>
    </row>
    <row r="3317" spans="1:15" x14ac:dyDescent="0.35">
      <c r="A3317" s="500" t="s">
        <v>1100</v>
      </c>
      <c r="B3317" s="501">
        <v>4865</v>
      </c>
      <c r="C3317" s="501" t="s">
        <v>1094</v>
      </c>
      <c r="D3317" s="501" t="s">
        <v>3380</v>
      </c>
      <c r="E3317" s="501" t="s">
        <v>3381</v>
      </c>
      <c r="F3317" s="501" t="s">
        <v>625</v>
      </c>
      <c r="G3317" s="501" t="s">
        <v>626</v>
      </c>
      <c r="H3317" s="501" t="s">
        <v>6015</v>
      </c>
      <c r="I3317" s="501">
        <v>67</v>
      </c>
      <c r="J3317" s="501">
        <v>24</v>
      </c>
      <c r="K3317" s="501">
        <v>0</v>
      </c>
      <c r="L3317" s="501">
        <v>0</v>
      </c>
      <c r="M3317" s="501">
        <v>0</v>
      </c>
      <c r="N3317" s="501">
        <v>0</v>
      </c>
      <c r="O3317" s="506">
        <v>43</v>
      </c>
    </row>
    <row r="3318" spans="1:15" x14ac:dyDescent="0.35">
      <c r="A3318" s="503" t="s">
        <v>1107</v>
      </c>
      <c r="B3318" s="504" t="s">
        <v>3109</v>
      </c>
      <c r="C3318" s="504" t="s">
        <v>1094</v>
      </c>
      <c r="D3318" s="504" t="s">
        <v>3380</v>
      </c>
      <c r="E3318" s="504" t="s">
        <v>3381</v>
      </c>
      <c r="F3318" s="504" t="s">
        <v>625</v>
      </c>
      <c r="G3318" s="504" t="s">
        <v>626</v>
      </c>
      <c r="H3318" s="504" t="s">
        <v>6016</v>
      </c>
      <c r="I3318" s="504">
        <v>271</v>
      </c>
      <c r="J3318" s="504">
        <v>260</v>
      </c>
      <c r="K3318" s="504">
        <v>0</v>
      </c>
      <c r="L3318" s="504">
        <v>0</v>
      </c>
      <c r="M3318" s="504">
        <v>0</v>
      </c>
      <c r="N3318" s="504">
        <v>0</v>
      </c>
      <c r="O3318" s="505">
        <v>11</v>
      </c>
    </row>
    <row r="3319" spans="1:15" x14ac:dyDescent="0.35">
      <c r="A3319" s="500" t="s">
        <v>1190</v>
      </c>
      <c r="B3319" s="501">
        <v>4662</v>
      </c>
      <c r="C3319" s="501" t="s">
        <v>1094</v>
      </c>
      <c r="D3319" s="501" t="s">
        <v>3380</v>
      </c>
      <c r="E3319" s="501" t="s">
        <v>3381</v>
      </c>
      <c r="F3319" s="501" t="s">
        <v>625</v>
      </c>
      <c r="G3319" s="501" t="s">
        <v>626</v>
      </c>
      <c r="H3319" s="501" t="s">
        <v>14710</v>
      </c>
      <c r="I3319" s="501">
        <v>10</v>
      </c>
      <c r="J3319" s="501">
        <v>0</v>
      </c>
      <c r="K3319" s="501">
        <v>0</v>
      </c>
      <c r="L3319" s="501">
        <v>10</v>
      </c>
      <c r="M3319" s="501">
        <v>0</v>
      </c>
      <c r="N3319" s="501">
        <v>0</v>
      </c>
      <c r="O3319" s="506">
        <v>0</v>
      </c>
    </row>
    <row r="3320" spans="1:15" x14ac:dyDescent="0.35">
      <c r="A3320" s="503" t="s">
        <v>1863</v>
      </c>
      <c r="B3320" s="504" t="s">
        <v>3173</v>
      </c>
      <c r="C3320" s="504" t="s">
        <v>1094</v>
      </c>
      <c r="D3320" s="504" t="s">
        <v>3380</v>
      </c>
      <c r="E3320" s="504" t="s">
        <v>3381</v>
      </c>
      <c r="F3320" s="504" t="s">
        <v>625</v>
      </c>
      <c r="G3320" s="504" t="s">
        <v>626</v>
      </c>
      <c r="H3320" s="504" t="s">
        <v>6017</v>
      </c>
      <c r="I3320" s="504">
        <v>386</v>
      </c>
      <c r="J3320" s="504">
        <v>376</v>
      </c>
      <c r="K3320" s="504">
        <v>0</v>
      </c>
      <c r="L3320" s="504">
        <v>0</v>
      </c>
      <c r="M3320" s="504">
        <v>0</v>
      </c>
      <c r="N3320" s="504">
        <v>2</v>
      </c>
      <c r="O3320" s="505">
        <v>10</v>
      </c>
    </row>
    <row r="3321" spans="1:15" x14ac:dyDescent="0.35">
      <c r="A3321" s="500" t="s">
        <v>1114</v>
      </c>
      <c r="B3321" s="501" t="s">
        <v>2982</v>
      </c>
      <c r="C3321" s="501" t="s">
        <v>1094</v>
      </c>
      <c r="D3321" s="501" t="s">
        <v>3380</v>
      </c>
      <c r="E3321" s="501" t="s">
        <v>3381</v>
      </c>
      <c r="F3321" s="501" t="s">
        <v>625</v>
      </c>
      <c r="G3321" s="501" t="s">
        <v>626</v>
      </c>
      <c r="H3321" s="501" t="s">
        <v>6018</v>
      </c>
      <c r="I3321" s="501">
        <v>6</v>
      </c>
      <c r="J3321" s="501">
        <v>0</v>
      </c>
      <c r="K3321" s="501">
        <v>0</v>
      </c>
      <c r="L3321" s="501">
        <v>0</v>
      </c>
      <c r="M3321" s="501">
        <v>0</v>
      </c>
      <c r="N3321" s="501">
        <v>0</v>
      </c>
      <c r="O3321" s="506">
        <v>6</v>
      </c>
    </row>
    <row r="3322" spans="1:15" x14ac:dyDescent="0.35">
      <c r="A3322" s="503" t="s">
        <v>1122</v>
      </c>
      <c r="B3322" s="504" t="s">
        <v>2994</v>
      </c>
      <c r="C3322" s="504" t="s">
        <v>1094</v>
      </c>
      <c r="D3322" s="504" t="s">
        <v>3380</v>
      </c>
      <c r="E3322" s="504" t="s">
        <v>3381</v>
      </c>
      <c r="F3322" s="504" t="s">
        <v>625</v>
      </c>
      <c r="G3322" s="504" t="s">
        <v>626</v>
      </c>
      <c r="H3322" s="504" t="s">
        <v>6019</v>
      </c>
      <c r="I3322" s="504">
        <v>42</v>
      </c>
      <c r="J3322" s="504">
        <v>42</v>
      </c>
      <c r="K3322" s="504">
        <v>0</v>
      </c>
      <c r="L3322" s="504">
        <v>0</v>
      </c>
      <c r="M3322" s="504">
        <v>0</v>
      </c>
      <c r="N3322" s="504">
        <v>0</v>
      </c>
      <c r="O3322" s="505">
        <v>0</v>
      </c>
    </row>
    <row r="3323" spans="1:15" x14ac:dyDescent="0.35">
      <c r="A3323" s="500" t="s">
        <v>1228</v>
      </c>
      <c r="B3323" s="501" t="s">
        <v>3321</v>
      </c>
      <c r="C3323" s="501" t="s">
        <v>1094</v>
      </c>
      <c r="D3323" s="501" t="s">
        <v>3380</v>
      </c>
      <c r="E3323" s="501" t="s">
        <v>3381</v>
      </c>
      <c r="F3323" s="501" t="s">
        <v>625</v>
      </c>
      <c r="G3323" s="501" t="s">
        <v>626</v>
      </c>
      <c r="H3323" s="501" t="s">
        <v>6020</v>
      </c>
      <c r="I3323" s="501">
        <v>13</v>
      </c>
      <c r="J3323" s="501">
        <v>0</v>
      </c>
      <c r="K3323" s="501">
        <v>0</v>
      </c>
      <c r="L3323" s="501">
        <v>13</v>
      </c>
      <c r="M3323" s="501">
        <v>0</v>
      </c>
      <c r="N3323" s="501">
        <v>0</v>
      </c>
      <c r="O3323" s="506">
        <v>0</v>
      </c>
    </row>
    <row r="3324" spans="1:15" x14ac:dyDescent="0.35">
      <c r="A3324" s="503" t="s">
        <v>1124</v>
      </c>
      <c r="B3324" s="504">
        <v>4745</v>
      </c>
      <c r="C3324" s="504" t="s">
        <v>1094</v>
      </c>
      <c r="D3324" s="504" t="s">
        <v>3380</v>
      </c>
      <c r="E3324" s="504" t="s">
        <v>3381</v>
      </c>
      <c r="F3324" s="504" t="s">
        <v>625</v>
      </c>
      <c r="G3324" s="504" t="s">
        <v>626</v>
      </c>
      <c r="H3324" s="504" t="s">
        <v>6021</v>
      </c>
      <c r="I3324" s="504">
        <v>1</v>
      </c>
      <c r="J3324" s="504">
        <v>0</v>
      </c>
      <c r="K3324" s="504">
        <v>0</v>
      </c>
      <c r="L3324" s="504">
        <v>1</v>
      </c>
      <c r="M3324" s="504">
        <v>0</v>
      </c>
      <c r="N3324" s="504">
        <v>0</v>
      </c>
      <c r="O3324" s="505">
        <v>0</v>
      </c>
    </row>
    <row r="3325" spans="1:15" x14ac:dyDescent="0.35">
      <c r="A3325" s="500" t="s">
        <v>1126</v>
      </c>
      <c r="B3325" s="501" t="s">
        <v>2974</v>
      </c>
      <c r="C3325" s="501" t="s">
        <v>1094</v>
      </c>
      <c r="D3325" s="501" t="s">
        <v>3380</v>
      </c>
      <c r="E3325" s="501" t="s">
        <v>3381</v>
      </c>
      <c r="F3325" s="501" t="s">
        <v>625</v>
      </c>
      <c r="G3325" s="501" t="s">
        <v>626</v>
      </c>
      <c r="H3325" s="501" t="s">
        <v>6022</v>
      </c>
      <c r="I3325" s="501">
        <v>4</v>
      </c>
      <c r="J3325" s="501">
        <v>0</v>
      </c>
      <c r="K3325" s="501">
        <v>0</v>
      </c>
      <c r="L3325" s="501">
        <v>4</v>
      </c>
      <c r="M3325" s="501">
        <v>0</v>
      </c>
      <c r="N3325" s="501">
        <v>0</v>
      </c>
      <c r="O3325" s="506">
        <v>0</v>
      </c>
    </row>
    <row r="3326" spans="1:15" x14ac:dyDescent="0.35">
      <c r="A3326" s="503" t="s">
        <v>1130</v>
      </c>
      <c r="B3326" s="504" t="s">
        <v>3234</v>
      </c>
      <c r="C3326" s="504" t="s">
        <v>1094</v>
      </c>
      <c r="D3326" s="504" t="s">
        <v>3380</v>
      </c>
      <c r="E3326" s="504" t="s">
        <v>3381</v>
      </c>
      <c r="F3326" s="504" t="s">
        <v>625</v>
      </c>
      <c r="G3326" s="504" t="s">
        <v>626</v>
      </c>
      <c r="H3326" s="504" t="s">
        <v>6023</v>
      </c>
      <c r="I3326" s="504">
        <v>145</v>
      </c>
      <c r="J3326" s="504">
        <v>38</v>
      </c>
      <c r="K3326" s="504">
        <v>0</v>
      </c>
      <c r="L3326" s="504">
        <v>0</v>
      </c>
      <c r="M3326" s="504">
        <v>107</v>
      </c>
      <c r="N3326" s="504">
        <v>0</v>
      </c>
      <c r="O3326" s="505">
        <v>0</v>
      </c>
    </row>
    <row r="3327" spans="1:15" x14ac:dyDescent="0.35">
      <c r="A3327" s="500" t="s">
        <v>1134</v>
      </c>
      <c r="B3327" s="501" t="s">
        <v>3066</v>
      </c>
      <c r="C3327" s="501" t="s">
        <v>1094</v>
      </c>
      <c r="D3327" s="501" t="s">
        <v>3380</v>
      </c>
      <c r="E3327" s="501" t="s">
        <v>3381</v>
      </c>
      <c r="F3327" s="501" t="s">
        <v>625</v>
      </c>
      <c r="G3327" s="501" t="s">
        <v>626</v>
      </c>
      <c r="H3327" s="501" t="s">
        <v>6024</v>
      </c>
      <c r="I3327" s="501">
        <v>33</v>
      </c>
      <c r="J3327" s="501">
        <v>0</v>
      </c>
      <c r="K3327" s="501">
        <v>0</v>
      </c>
      <c r="L3327" s="501">
        <v>0</v>
      </c>
      <c r="M3327" s="501">
        <v>33</v>
      </c>
      <c r="N3327" s="501">
        <v>0</v>
      </c>
      <c r="O3327" s="506">
        <v>0</v>
      </c>
    </row>
    <row r="3328" spans="1:15" x14ac:dyDescent="0.35">
      <c r="A3328" s="503" t="s">
        <v>1245</v>
      </c>
      <c r="B3328" s="504" t="s">
        <v>2859</v>
      </c>
      <c r="C3328" s="504" t="s">
        <v>1094</v>
      </c>
      <c r="D3328" s="504" t="s">
        <v>3380</v>
      </c>
      <c r="E3328" s="504" t="s">
        <v>3381</v>
      </c>
      <c r="F3328" s="504" t="s">
        <v>625</v>
      </c>
      <c r="G3328" s="504" t="s">
        <v>626</v>
      </c>
      <c r="H3328" s="504" t="s">
        <v>6025</v>
      </c>
      <c r="I3328" s="504">
        <v>17</v>
      </c>
      <c r="J3328" s="504">
        <v>0</v>
      </c>
      <c r="K3328" s="504">
        <v>0</v>
      </c>
      <c r="L3328" s="504">
        <v>0</v>
      </c>
      <c r="M3328" s="504">
        <v>17</v>
      </c>
      <c r="N3328" s="504">
        <v>0</v>
      </c>
      <c r="O3328" s="505">
        <v>0</v>
      </c>
    </row>
    <row r="3329" spans="1:15" x14ac:dyDescent="0.35">
      <c r="A3329" s="500" t="s">
        <v>1249</v>
      </c>
      <c r="B3329" s="501">
        <v>4729</v>
      </c>
      <c r="C3329" s="501" t="s">
        <v>1094</v>
      </c>
      <c r="D3329" s="501" t="s">
        <v>3380</v>
      </c>
      <c r="E3329" s="501" t="s">
        <v>3381</v>
      </c>
      <c r="F3329" s="501" t="s">
        <v>625</v>
      </c>
      <c r="G3329" s="501" t="s">
        <v>626</v>
      </c>
      <c r="H3329" s="501" t="s">
        <v>6026</v>
      </c>
      <c r="I3329" s="501">
        <v>399</v>
      </c>
      <c r="J3329" s="501">
        <v>207</v>
      </c>
      <c r="K3329" s="501">
        <v>0</v>
      </c>
      <c r="L3329" s="501">
        <v>4</v>
      </c>
      <c r="M3329" s="501">
        <v>89</v>
      </c>
      <c r="N3329" s="501">
        <v>0</v>
      </c>
      <c r="O3329" s="506">
        <v>99</v>
      </c>
    </row>
    <row r="3330" spans="1:15" x14ac:dyDescent="0.35">
      <c r="A3330" s="503" t="s">
        <v>1924</v>
      </c>
      <c r="B3330" s="504" t="s">
        <v>3348</v>
      </c>
      <c r="C3330" s="504" t="s">
        <v>1089</v>
      </c>
      <c r="D3330" s="504" t="s">
        <v>3392</v>
      </c>
      <c r="E3330" s="504" t="s">
        <v>3381</v>
      </c>
      <c r="F3330" s="504" t="s">
        <v>625</v>
      </c>
      <c r="G3330" s="504" t="s">
        <v>626</v>
      </c>
      <c r="H3330" s="504" t="s">
        <v>6027</v>
      </c>
      <c r="I3330" s="504">
        <v>8</v>
      </c>
      <c r="J3330" s="504">
        <v>0</v>
      </c>
      <c r="K3330" s="504">
        <v>0</v>
      </c>
      <c r="L3330" s="504">
        <v>8</v>
      </c>
      <c r="M3330" s="504">
        <v>0</v>
      </c>
      <c r="N3330" s="504">
        <v>0</v>
      </c>
      <c r="O3330" s="505">
        <v>0</v>
      </c>
    </row>
    <row r="3331" spans="1:15" x14ac:dyDescent="0.35">
      <c r="A3331" s="500" t="s">
        <v>1138</v>
      </c>
      <c r="B3331" s="501" t="s">
        <v>2998</v>
      </c>
      <c r="C3331" s="501" t="s">
        <v>1094</v>
      </c>
      <c r="D3331" s="501" t="s">
        <v>3380</v>
      </c>
      <c r="E3331" s="501" t="s">
        <v>3381</v>
      </c>
      <c r="F3331" s="501" t="s">
        <v>625</v>
      </c>
      <c r="G3331" s="501" t="s">
        <v>626</v>
      </c>
      <c r="H3331" s="501" t="s">
        <v>6028</v>
      </c>
      <c r="I3331" s="501">
        <v>67</v>
      </c>
      <c r="J3331" s="501">
        <v>65</v>
      </c>
      <c r="K3331" s="501">
        <v>0</v>
      </c>
      <c r="L3331" s="501">
        <v>0</v>
      </c>
      <c r="M3331" s="501">
        <v>0</v>
      </c>
      <c r="N3331" s="501">
        <v>0</v>
      </c>
      <c r="O3331" s="506">
        <v>2</v>
      </c>
    </row>
    <row r="3332" spans="1:15" x14ac:dyDescent="0.35">
      <c r="A3332" s="503" t="s">
        <v>1926</v>
      </c>
      <c r="B3332" s="504">
        <v>4839</v>
      </c>
      <c r="C3332" s="504" t="s">
        <v>1089</v>
      </c>
      <c r="D3332" s="504" t="s">
        <v>3392</v>
      </c>
      <c r="E3332" s="504" t="s">
        <v>3381</v>
      </c>
      <c r="F3332" s="504" t="s">
        <v>625</v>
      </c>
      <c r="G3332" s="504" t="s">
        <v>626</v>
      </c>
      <c r="H3332" s="504" t="s">
        <v>6029</v>
      </c>
      <c r="I3332" s="504">
        <v>124</v>
      </c>
      <c r="J3332" s="504">
        <v>0</v>
      </c>
      <c r="K3332" s="504">
        <v>0</v>
      </c>
      <c r="L3332" s="504">
        <v>0</v>
      </c>
      <c r="M3332" s="504">
        <v>124</v>
      </c>
      <c r="N3332" s="504">
        <v>0</v>
      </c>
      <c r="O3332" s="505">
        <v>0</v>
      </c>
    </row>
    <row r="3333" spans="1:15" x14ac:dyDescent="0.35">
      <c r="A3333" s="500" t="s">
        <v>1930</v>
      </c>
      <c r="B3333" s="501" t="s">
        <v>3313</v>
      </c>
      <c r="C3333" s="501" t="s">
        <v>1089</v>
      </c>
      <c r="D3333" s="501" t="s">
        <v>3392</v>
      </c>
      <c r="E3333" s="501" t="s">
        <v>3381</v>
      </c>
      <c r="F3333" s="501" t="s">
        <v>625</v>
      </c>
      <c r="G3333" s="501" t="s">
        <v>626</v>
      </c>
      <c r="H3333" s="501" t="s">
        <v>6030</v>
      </c>
      <c r="I3333" s="501">
        <v>19</v>
      </c>
      <c r="J3333" s="501">
        <v>0</v>
      </c>
      <c r="K3333" s="501">
        <v>0</v>
      </c>
      <c r="L3333" s="501">
        <v>19</v>
      </c>
      <c r="M3333" s="501">
        <v>0</v>
      </c>
      <c r="N3333" s="501">
        <v>0</v>
      </c>
      <c r="O3333" s="506">
        <v>0</v>
      </c>
    </row>
    <row r="3334" spans="1:15" x14ac:dyDescent="0.35">
      <c r="A3334" s="503" t="s">
        <v>1140</v>
      </c>
      <c r="B3334" s="504">
        <v>4850</v>
      </c>
      <c r="C3334" s="504" t="s">
        <v>1094</v>
      </c>
      <c r="D3334" s="504" t="s">
        <v>3380</v>
      </c>
      <c r="E3334" s="504" t="s">
        <v>3381</v>
      </c>
      <c r="F3334" s="504" t="s">
        <v>625</v>
      </c>
      <c r="G3334" s="504" t="s">
        <v>626</v>
      </c>
      <c r="H3334" s="504" t="s">
        <v>6031</v>
      </c>
      <c r="I3334" s="504">
        <v>1467</v>
      </c>
      <c r="J3334" s="504">
        <v>1220</v>
      </c>
      <c r="K3334" s="504">
        <v>0</v>
      </c>
      <c r="L3334" s="504">
        <v>22</v>
      </c>
      <c r="M3334" s="504">
        <v>0</v>
      </c>
      <c r="N3334" s="504">
        <v>0</v>
      </c>
      <c r="O3334" s="505">
        <v>225</v>
      </c>
    </row>
    <row r="3335" spans="1:15" x14ac:dyDescent="0.35">
      <c r="A3335" s="500" t="s">
        <v>1093</v>
      </c>
      <c r="B3335" s="501" t="s">
        <v>3248</v>
      </c>
      <c r="C3335" s="501" t="s">
        <v>1094</v>
      </c>
      <c r="D3335" s="501" t="s">
        <v>3380</v>
      </c>
      <c r="E3335" s="501" t="s">
        <v>3381</v>
      </c>
      <c r="F3335" s="501" t="s">
        <v>627</v>
      </c>
      <c r="G3335" s="501" t="s">
        <v>628</v>
      </c>
      <c r="H3335" s="501" t="s">
        <v>6032</v>
      </c>
      <c r="I3335" s="501">
        <v>6</v>
      </c>
      <c r="J3335" s="501">
        <v>0</v>
      </c>
      <c r="K3335" s="501">
        <v>0</v>
      </c>
      <c r="L3335" s="501">
        <v>6</v>
      </c>
      <c r="M3335" s="501">
        <v>0</v>
      </c>
      <c r="N3335" s="501">
        <v>0</v>
      </c>
      <c r="O3335" s="506">
        <v>0</v>
      </c>
    </row>
    <row r="3336" spans="1:15" x14ac:dyDescent="0.35">
      <c r="A3336" s="503" t="s">
        <v>1100</v>
      </c>
      <c r="B3336" s="504">
        <v>4865</v>
      </c>
      <c r="C3336" s="504" t="s">
        <v>1094</v>
      </c>
      <c r="D3336" s="504" t="s">
        <v>3380</v>
      </c>
      <c r="E3336" s="504" t="s">
        <v>3381</v>
      </c>
      <c r="F3336" s="504" t="s">
        <v>627</v>
      </c>
      <c r="G3336" s="504" t="s">
        <v>628</v>
      </c>
      <c r="H3336" s="504" t="s">
        <v>6033</v>
      </c>
      <c r="I3336" s="504">
        <v>98</v>
      </c>
      <c r="J3336" s="504">
        <v>86</v>
      </c>
      <c r="K3336" s="504">
        <v>0</v>
      </c>
      <c r="L3336" s="504">
        <v>0</v>
      </c>
      <c r="M3336" s="504">
        <v>0</v>
      </c>
      <c r="N3336" s="504">
        <v>0</v>
      </c>
      <c r="O3336" s="505">
        <v>12</v>
      </c>
    </row>
    <row r="3337" spans="1:15" x14ac:dyDescent="0.35">
      <c r="A3337" s="500" t="s">
        <v>14208</v>
      </c>
      <c r="B3337" s="501">
        <v>4803</v>
      </c>
      <c r="C3337" s="501" t="s">
        <v>1094</v>
      </c>
      <c r="D3337" s="501" t="s">
        <v>3380</v>
      </c>
      <c r="E3337" s="501" t="s">
        <v>3381</v>
      </c>
      <c r="F3337" s="501" t="s">
        <v>627</v>
      </c>
      <c r="G3337" s="501" t="s">
        <v>628</v>
      </c>
      <c r="H3337" s="501" t="s">
        <v>14711</v>
      </c>
      <c r="I3337" s="501">
        <v>4</v>
      </c>
      <c r="J3337" s="501">
        <v>0</v>
      </c>
      <c r="K3337" s="501">
        <v>0</v>
      </c>
      <c r="L3337" s="501">
        <v>4</v>
      </c>
      <c r="M3337" s="501">
        <v>0</v>
      </c>
      <c r="N3337" s="501">
        <v>0</v>
      </c>
      <c r="O3337" s="506">
        <v>0</v>
      </c>
    </row>
    <row r="3338" spans="1:15" x14ac:dyDescent="0.35">
      <c r="A3338" s="503" t="s">
        <v>1838</v>
      </c>
      <c r="B3338" s="504" t="s">
        <v>3260</v>
      </c>
      <c r="C3338" s="504" t="s">
        <v>1089</v>
      </c>
      <c r="D3338" s="504" t="s">
        <v>3392</v>
      </c>
      <c r="E3338" s="504" t="s">
        <v>3381</v>
      </c>
      <c r="F3338" s="504" t="s">
        <v>627</v>
      </c>
      <c r="G3338" s="504" t="s">
        <v>628</v>
      </c>
      <c r="H3338" s="504" t="s">
        <v>6034</v>
      </c>
      <c r="I3338" s="504">
        <v>403</v>
      </c>
      <c r="J3338" s="504">
        <v>390</v>
      </c>
      <c r="K3338" s="504">
        <v>0</v>
      </c>
      <c r="L3338" s="504">
        <v>13</v>
      </c>
      <c r="M3338" s="504">
        <v>0</v>
      </c>
      <c r="N3338" s="504">
        <v>0</v>
      </c>
      <c r="O3338" s="505">
        <v>0</v>
      </c>
    </row>
    <row r="3339" spans="1:15" x14ac:dyDescent="0.35">
      <c r="A3339" s="500" t="s">
        <v>1105</v>
      </c>
      <c r="B3339" s="501">
        <v>4668</v>
      </c>
      <c r="C3339" s="501" t="s">
        <v>1094</v>
      </c>
      <c r="D3339" s="501" t="s">
        <v>3380</v>
      </c>
      <c r="E3339" s="501" t="s">
        <v>3381</v>
      </c>
      <c r="F3339" s="501" t="s">
        <v>627</v>
      </c>
      <c r="G3339" s="501" t="s">
        <v>628</v>
      </c>
      <c r="H3339" s="501" t="s">
        <v>6035</v>
      </c>
      <c r="I3339" s="501">
        <v>1</v>
      </c>
      <c r="J3339" s="501">
        <v>0</v>
      </c>
      <c r="K3339" s="501">
        <v>0</v>
      </c>
      <c r="L3339" s="501">
        <v>0</v>
      </c>
      <c r="M3339" s="501">
        <v>0</v>
      </c>
      <c r="N3339" s="501">
        <v>0</v>
      </c>
      <c r="O3339" s="506">
        <v>1</v>
      </c>
    </row>
    <row r="3340" spans="1:15" x14ac:dyDescent="0.35">
      <c r="A3340" s="503" t="s">
        <v>1107</v>
      </c>
      <c r="B3340" s="504" t="s">
        <v>3109</v>
      </c>
      <c r="C3340" s="504" t="s">
        <v>1094</v>
      </c>
      <c r="D3340" s="504" t="s">
        <v>3380</v>
      </c>
      <c r="E3340" s="504" t="s">
        <v>3381</v>
      </c>
      <c r="F3340" s="504" t="s">
        <v>627</v>
      </c>
      <c r="G3340" s="504" t="s">
        <v>628</v>
      </c>
      <c r="H3340" s="504" t="s">
        <v>14712</v>
      </c>
      <c r="I3340" s="504">
        <v>1</v>
      </c>
      <c r="J3340" s="504">
        <v>0</v>
      </c>
      <c r="K3340" s="504">
        <v>0</v>
      </c>
      <c r="L3340" s="504">
        <v>1</v>
      </c>
      <c r="M3340" s="504">
        <v>0</v>
      </c>
      <c r="N3340" s="504">
        <v>0</v>
      </c>
      <c r="O3340" s="505">
        <v>0</v>
      </c>
    </row>
    <row r="3341" spans="1:15" x14ac:dyDescent="0.35">
      <c r="A3341" s="500" t="s">
        <v>1189</v>
      </c>
      <c r="B3341" s="501" t="s">
        <v>3236</v>
      </c>
      <c r="C3341" s="501" t="s">
        <v>1094</v>
      </c>
      <c r="D3341" s="501" t="s">
        <v>3380</v>
      </c>
      <c r="E3341" s="501" t="s">
        <v>3381</v>
      </c>
      <c r="F3341" s="501" t="s">
        <v>627</v>
      </c>
      <c r="G3341" s="501" t="s">
        <v>628</v>
      </c>
      <c r="H3341" s="501" t="s">
        <v>6036</v>
      </c>
      <c r="I3341" s="501">
        <v>415</v>
      </c>
      <c r="J3341" s="501">
        <v>311</v>
      </c>
      <c r="K3341" s="501">
        <v>0</v>
      </c>
      <c r="L3341" s="501">
        <v>37</v>
      </c>
      <c r="M3341" s="501">
        <v>0</v>
      </c>
      <c r="N3341" s="501">
        <v>2</v>
      </c>
      <c r="O3341" s="506">
        <v>67</v>
      </c>
    </row>
    <row r="3342" spans="1:15" x14ac:dyDescent="0.35">
      <c r="A3342" s="503" t="s">
        <v>1202</v>
      </c>
      <c r="B3342" s="504" t="s">
        <v>3217</v>
      </c>
      <c r="C3342" s="504" t="s">
        <v>1094</v>
      </c>
      <c r="D3342" s="504" t="s">
        <v>3380</v>
      </c>
      <c r="E3342" s="504" t="s">
        <v>3381</v>
      </c>
      <c r="F3342" s="504" t="s">
        <v>627</v>
      </c>
      <c r="G3342" s="504" t="s">
        <v>628</v>
      </c>
      <c r="H3342" s="504" t="s">
        <v>6037</v>
      </c>
      <c r="I3342" s="504">
        <v>100</v>
      </c>
      <c r="J3342" s="504">
        <v>43</v>
      </c>
      <c r="K3342" s="504">
        <v>0</v>
      </c>
      <c r="L3342" s="504">
        <v>0</v>
      </c>
      <c r="M3342" s="504">
        <v>0</v>
      </c>
      <c r="N3342" s="504">
        <v>0</v>
      </c>
      <c r="O3342" s="505">
        <v>57</v>
      </c>
    </row>
    <row r="3343" spans="1:15" x14ac:dyDescent="0.35">
      <c r="A3343" s="500" t="s">
        <v>1114</v>
      </c>
      <c r="B3343" s="501" t="s">
        <v>2982</v>
      </c>
      <c r="C3343" s="501" t="s">
        <v>1094</v>
      </c>
      <c r="D3343" s="501" t="s">
        <v>3380</v>
      </c>
      <c r="E3343" s="501" t="s">
        <v>3381</v>
      </c>
      <c r="F3343" s="501" t="s">
        <v>627</v>
      </c>
      <c r="G3343" s="501" t="s">
        <v>628</v>
      </c>
      <c r="H3343" s="501" t="s">
        <v>6038</v>
      </c>
      <c r="I3343" s="501">
        <v>585</v>
      </c>
      <c r="J3343" s="501">
        <v>355</v>
      </c>
      <c r="K3343" s="501">
        <v>0</v>
      </c>
      <c r="L3343" s="501">
        <v>0</v>
      </c>
      <c r="M3343" s="501">
        <v>15</v>
      </c>
      <c r="N3343" s="501">
        <v>0</v>
      </c>
      <c r="O3343" s="506">
        <v>215</v>
      </c>
    </row>
    <row r="3344" spans="1:15" x14ac:dyDescent="0.35">
      <c r="A3344" s="503" t="s">
        <v>14400</v>
      </c>
      <c r="B3344" s="504">
        <v>4727</v>
      </c>
      <c r="C3344" s="504" t="s">
        <v>1089</v>
      </c>
      <c r="D3344" s="504" t="s">
        <v>3392</v>
      </c>
      <c r="E3344" s="504" t="s">
        <v>3381</v>
      </c>
      <c r="F3344" s="504" t="s">
        <v>627</v>
      </c>
      <c r="G3344" s="504" t="s">
        <v>628</v>
      </c>
      <c r="H3344" s="504" t="s">
        <v>14713</v>
      </c>
      <c r="I3344" s="504">
        <v>12</v>
      </c>
      <c r="J3344" s="504">
        <v>0</v>
      </c>
      <c r="K3344" s="504">
        <v>0</v>
      </c>
      <c r="L3344" s="504">
        <v>12</v>
      </c>
      <c r="M3344" s="504">
        <v>0</v>
      </c>
      <c r="N3344" s="504">
        <v>0</v>
      </c>
      <c r="O3344" s="505">
        <v>0</v>
      </c>
    </row>
    <row r="3345" spans="1:15" x14ac:dyDescent="0.35">
      <c r="A3345" s="500" t="s">
        <v>1320</v>
      </c>
      <c r="B3345" s="501">
        <v>4720</v>
      </c>
      <c r="C3345" s="501" t="s">
        <v>1089</v>
      </c>
      <c r="D3345" s="501" t="s">
        <v>3392</v>
      </c>
      <c r="E3345" s="501" t="s">
        <v>3381</v>
      </c>
      <c r="F3345" s="501" t="s">
        <v>627</v>
      </c>
      <c r="G3345" s="501" t="s">
        <v>628</v>
      </c>
      <c r="H3345" s="501" t="s">
        <v>11879</v>
      </c>
      <c r="I3345" s="501">
        <v>2</v>
      </c>
      <c r="J3345" s="501">
        <v>2</v>
      </c>
      <c r="K3345" s="501">
        <v>0</v>
      </c>
      <c r="L3345" s="501">
        <v>0</v>
      </c>
      <c r="M3345" s="501">
        <v>0</v>
      </c>
      <c r="N3345" s="501">
        <v>0</v>
      </c>
      <c r="O3345" s="506">
        <v>0</v>
      </c>
    </row>
    <row r="3346" spans="1:15" x14ac:dyDescent="0.35">
      <c r="A3346" s="503" t="s">
        <v>1217</v>
      </c>
      <c r="B3346" s="504">
        <v>4851</v>
      </c>
      <c r="C3346" s="504" t="s">
        <v>1094</v>
      </c>
      <c r="D3346" s="504" t="s">
        <v>3380</v>
      </c>
      <c r="E3346" s="504" t="s">
        <v>3381</v>
      </c>
      <c r="F3346" s="504" t="s">
        <v>627</v>
      </c>
      <c r="G3346" s="504" t="s">
        <v>628</v>
      </c>
      <c r="H3346" s="504" t="s">
        <v>6039</v>
      </c>
      <c r="I3346" s="504">
        <v>102</v>
      </c>
      <c r="J3346" s="504">
        <v>83</v>
      </c>
      <c r="K3346" s="504">
        <v>0</v>
      </c>
      <c r="L3346" s="504">
        <v>0</v>
      </c>
      <c r="M3346" s="504">
        <v>0</v>
      </c>
      <c r="N3346" s="504">
        <v>0</v>
      </c>
      <c r="O3346" s="505">
        <v>19</v>
      </c>
    </row>
    <row r="3347" spans="1:15" x14ac:dyDescent="0.35">
      <c r="A3347" s="500" t="s">
        <v>1218</v>
      </c>
      <c r="B3347" s="501" t="s">
        <v>3147</v>
      </c>
      <c r="C3347" s="501" t="s">
        <v>1094</v>
      </c>
      <c r="D3347" s="501" t="s">
        <v>3380</v>
      </c>
      <c r="E3347" s="501" t="s">
        <v>3381</v>
      </c>
      <c r="F3347" s="501" t="s">
        <v>627</v>
      </c>
      <c r="G3347" s="501" t="s">
        <v>628</v>
      </c>
      <c r="H3347" s="501" t="s">
        <v>6040</v>
      </c>
      <c r="I3347" s="501">
        <v>34</v>
      </c>
      <c r="J3347" s="501">
        <v>0</v>
      </c>
      <c r="K3347" s="501">
        <v>0</v>
      </c>
      <c r="L3347" s="501">
        <v>0</v>
      </c>
      <c r="M3347" s="501">
        <v>0</v>
      </c>
      <c r="N3347" s="501">
        <v>0</v>
      </c>
      <c r="O3347" s="506">
        <v>34</v>
      </c>
    </row>
    <row r="3348" spans="1:15" x14ac:dyDescent="0.35">
      <c r="A3348" s="503" t="s">
        <v>11367</v>
      </c>
      <c r="B3348" s="504" t="s">
        <v>3143</v>
      </c>
      <c r="C3348" s="504" t="s">
        <v>1094</v>
      </c>
      <c r="D3348" s="504" t="s">
        <v>3380</v>
      </c>
      <c r="E3348" s="504" t="s">
        <v>3381</v>
      </c>
      <c r="F3348" s="504" t="s">
        <v>627</v>
      </c>
      <c r="G3348" s="504" t="s">
        <v>628</v>
      </c>
      <c r="H3348" s="504" t="s">
        <v>11924</v>
      </c>
      <c r="I3348" s="504">
        <v>14</v>
      </c>
      <c r="J3348" s="504">
        <v>14</v>
      </c>
      <c r="K3348" s="504">
        <v>0</v>
      </c>
      <c r="L3348" s="504">
        <v>0</v>
      </c>
      <c r="M3348" s="504">
        <v>0</v>
      </c>
      <c r="N3348" s="504">
        <v>0</v>
      </c>
      <c r="O3348" s="505">
        <v>0</v>
      </c>
    </row>
    <row r="3349" spans="1:15" x14ac:dyDescent="0.35">
      <c r="A3349" s="500" t="s">
        <v>1122</v>
      </c>
      <c r="B3349" s="501" t="s">
        <v>2994</v>
      </c>
      <c r="C3349" s="501" t="s">
        <v>1094</v>
      </c>
      <c r="D3349" s="501" t="s">
        <v>3380</v>
      </c>
      <c r="E3349" s="501" t="s">
        <v>3381</v>
      </c>
      <c r="F3349" s="501" t="s">
        <v>627</v>
      </c>
      <c r="G3349" s="501" t="s">
        <v>628</v>
      </c>
      <c r="H3349" s="501" t="s">
        <v>6041</v>
      </c>
      <c r="I3349" s="501">
        <v>2</v>
      </c>
      <c r="J3349" s="501">
        <v>2</v>
      </c>
      <c r="K3349" s="501">
        <v>0</v>
      </c>
      <c r="L3349" s="501">
        <v>0</v>
      </c>
      <c r="M3349" s="501">
        <v>0</v>
      </c>
      <c r="N3349" s="501">
        <v>0</v>
      </c>
      <c r="O3349" s="506">
        <v>0</v>
      </c>
    </row>
    <row r="3350" spans="1:15" x14ac:dyDescent="0.35">
      <c r="A3350" s="503" t="s">
        <v>1225</v>
      </c>
      <c r="B3350" s="504" t="s">
        <v>3315</v>
      </c>
      <c r="C3350" s="504" t="s">
        <v>1094</v>
      </c>
      <c r="D3350" s="504" t="s">
        <v>3380</v>
      </c>
      <c r="E3350" s="504" t="s">
        <v>3381</v>
      </c>
      <c r="F3350" s="504" t="s">
        <v>627</v>
      </c>
      <c r="G3350" s="504" t="s">
        <v>628</v>
      </c>
      <c r="H3350" s="504" t="s">
        <v>6042</v>
      </c>
      <c r="I3350" s="504">
        <v>6</v>
      </c>
      <c r="J3350" s="504">
        <v>0</v>
      </c>
      <c r="K3350" s="504">
        <v>0</v>
      </c>
      <c r="L3350" s="504">
        <v>6</v>
      </c>
      <c r="M3350" s="504">
        <v>0</v>
      </c>
      <c r="N3350" s="504">
        <v>0</v>
      </c>
      <c r="O3350" s="505">
        <v>0</v>
      </c>
    </row>
    <row r="3351" spans="1:15" x14ac:dyDescent="0.35">
      <c r="A3351" s="500" t="s">
        <v>1535</v>
      </c>
      <c r="B3351" s="501" t="s">
        <v>2885</v>
      </c>
      <c r="C3351" s="501" t="s">
        <v>1089</v>
      </c>
      <c r="D3351" s="501" t="s">
        <v>3392</v>
      </c>
      <c r="E3351" s="501" t="s">
        <v>3381</v>
      </c>
      <c r="F3351" s="501" t="s">
        <v>627</v>
      </c>
      <c r="G3351" s="501" t="s">
        <v>628</v>
      </c>
      <c r="H3351" s="501" t="s">
        <v>6043</v>
      </c>
      <c r="I3351" s="501">
        <v>56</v>
      </c>
      <c r="J3351" s="501">
        <v>0</v>
      </c>
      <c r="K3351" s="501">
        <v>0</v>
      </c>
      <c r="L3351" s="501">
        <v>0</v>
      </c>
      <c r="M3351" s="501">
        <v>56</v>
      </c>
      <c r="N3351" s="501">
        <v>0</v>
      </c>
      <c r="O3351" s="506">
        <v>0</v>
      </c>
    </row>
    <row r="3352" spans="1:15" x14ac:dyDescent="0.35">
      <c r="A3352" s="503" t="s">
        <v>1233</v>
      </c>
      <c r="B3352" s="504">
        <v>4636</v>
      </c>
      <c r="C3352" s="504" t="s">
        <v>1094</v>
      </c>
      <c r="D3352" s="504" t="s">
        <v>3380</v>
      </c>
      <c r="E3352" s="504" t="s">
        <v>3381</v>
      </c>
      <c r="F3352" s="504" t="s">
        <v>627</v>
      </c>
      <c r="G3352" s="504" t="s">
        <v>628</v>
      </c>
      <c r="H3352" s="504" t="s">
        <v>12011</v>
      </c>
      <c r="I3352" s="504">
        <v>34</v>
      </c>
      <c r="J3352" s="504">
        <v>10</v>
      </c>
      <c r="K3352" s="504">
        <v>0</v>
      </c>
      <c r="L3352" s="504">
        <v>0</v>
      </c>
      <c r="M3352" s="504">
        <v>0</v>
      </c>
      <c r="N3352" s="504">
        <v>0</v>
      </c>
      <c r="O3352" s="505">
        <v>24</v>
      </c>
    </row>
    <row r="3353" spans="1:15" x14ac:dyDescent="0.35">
      <c r="A3353" s="500" t="s">
        <v>11368</v>
      </c>
      <c r="B3353" s="501">
        <v>5083</v>
      </c>
      <c r="C3353" s="501" t="s">
        <v>1094</v>
      </c>
      <c r="D3353" s="501" t="s">
        <v>3380</v>
      </c>
      <c r="E3353" s="501" t="s">
        <v>3381</v>
      </c>
      <c r="F3353" s="501" t="s">
        <v>627</v>
      </c>
      <c r="G3353" s="501" t="s">
        <v>628</v>
      </c>
      <c r="H3353" s="501" t="s">
        <v>14714</v>
      </c>
      <c r="I3353" s="501">
        <v>20</v>
      </c>
      <c r="J3353" s="501">
        <v>20</v>
      </c>
      <c r="K3353" s="501">
        <v>0</v>
      </c>
      <c r="L3353" s="501">
        <v>0</v>
      </c>
      <c r="M3353" s="501">
        <v>0</v>
      </c>
      <c r="N3353" s="501">
        <v>0</v>
      </c>
      <c r="O3353" s="506">
        <v>0</v>
      </c>
    </row>
    <row r="3354" spans="1:15" x14ac:dyDescent="0.35">
      <c r="A3354" s="503" t="s">
        <v>1235</v>
      </c>
      <c r="B3354" s="504">
        <v>4684</v>
      </c>
      <c r="C3354" s="504" t="s">
        <v>1094</v>
      </c>
      <c r="D3354" s="504" t="s">
        <v>3380</v>
      </c>
      <c r="E3354" s="504" t="s">
        <v>3381</v>
      </c>
      <c r="F3354" s="504" t="s">
        <v>627</v>
      </c>
      <c r="G3354" s="504" t="s">
        <v>628</v>
      </c>
      <c r="H3354" s="504" t="s">
        <v>6044</v>
      </c>
      <c r="I3354" s="504">
        <v>70</v>
      </c>
      <c r="J3354" s="504">
        <v>0</v>
      </c>
      <c r="K3354" s="504">
        <v>0</v>
      </c>
      <c r="L3354" s="504">
        <v>10</v>
      </c>
      <c r="M3354" s="504">
        <v>47</v>
      </c>
      <c r="N3354" s="504">
        <v>0</v>
      </c>
      <c r="O3354" s="505">
        <v>13</v>
      </c>
    </row>
    <row r="3355" spans="1:15" x14ac:dyDescent="0.35">
      <c r="A3355" s="500" t="s">
        <v>11418</v>
      </c>
      <c r="B3355" s="501" t="s">
        <v>2614</v>
      </c>
      <c r="C3355" s="501" t="s">
        <v>1089</v>
      </c>
      <c r="D3355" s="501" t="s">
        <v>3392</v>
      </c>
      <c r="E3355" s="501" t="s">
        <v>3381</v>
      </c>
      <c r="F3355" s="501" t="s">
        <v>627</v>
      </c>
      <c r="G3355" s="501" t="s">
        <v>628</v>
      </c>
      <c r="H3355" s="501" t="s">
        <v>12212</v>
      </c>
      <c r="I3355" s="501">
        <v>60</v>
      </c>
      <c r="J3355" s="501">
        <v>0</v>
      </c>
      <c r="K3355" s="501">
        <v>0</v>
      </c>
      <c r="L3355" s="501">
        <v>0</v>
      </c>
      <c r="M3355" s="501">
        <v>60</v>
      </c>
      <c r="N3355" s="501">
        <v>0</v>
      </c>
      <c r="O3355" s="506">
        <v>0</v>
      </c>
    </row>
    <row r="3356" spans="1:15" x14ac:dyDescent="0.35">
      <c r="A3356" s="503" t="s">
        <v>1928</v>
      </c>
      <c r="B3356" s="504" t="s">
        <v>3167</v>
      </c>
      <c r="C3356" s="504" t="s">
        <v>1094</v>
      </c>
      <c r="D3356" s="504" t="s">
        <v>3380</v>
      </c>
      <c r="E3356" s="504" t="s">
        <v>3381</v>
      </c>
      <c r="F3356" s="504" t="s">
        <v>627</v>
      </c>
      <c r="G3356" s="504" t="s">
        <v>628</v>
      </c>
      <c r="H3356" s="504" t="s">
        <v>6045</v>
      </c>
      <c r="I3356" s="504">
        <v>355</v>
      </c>
      <c r="J3356" s="504">
        <v>218</v>
      </c>
      <c r="K3356" s="504">
        <v>0</v>
      </c>
      <c r="L3356" s="504">
        <v>0</v>
      </c>
      <c r="M3356" s="504">
        <v>0</v>
      </c>
      <c r="N3356" s="504">
        <v>10</v>
      </c>
      <c r="O3356" s="505">
        <v>137</v>
      </c>
    </row>
    <row r="3357" spans="1:15" x14ac:dyDescent="0.35">
      <c r="A3357" s="500" t="s">
        <v>1935</v>
      </c>
      <c r="B3357" s="501" t="s">
        <v>3305</v>
      </c>
      <c r="C3357" s="501" t="s">
        <v>1094</v>
      </c>
      <c r="D3357" s="501" t="s">
        <v>3380</v>
      </c>
      <c r="E3357" s="501" t="s">
        <v>3381</v>
      </c>
      <c r="F3357" s="501" t="s">
        <v>627</v>
      </c>
      <c r="G3357" s="501" t="s">
        <v>628</v>
      </c>
      <c r="H3357" s="501" t="s">
        <v>6046</v>
      </c>
      <c r="I3357" s="501">
        <v>98</v>
      </c>
      <c r="J3357" s="501">
        <v>42</v>
      </c>
      <c r="K3357" s="501">
        <v>0</v>
      </c>
      <c r="L3357" s="501">
        <v>1</v>
      </c>
      <c r="M3357" s="501">
        <v>0</v>
      </c>
      <c r="N3357" s="501">
        <v>0</v>
      </c>
      <c r="O3357" s="506">
        <v>55</v>
      </c>
    </row>
    <row r="3358" spans="1:15" x14ac:dyDescent="0.35">
      <c r="A3358" s="503" t="s">
        <v>1096</v>
      </c>
      <c r="B3358" s="504" t="s">
        <v>3326</v>
      </c>
      <c r="C3358" s="504" t="s">
        <v>1094</v>
      </c>
      <c r="D3358" s="504" t="s">
        <v>3380</v>
      </c>
      <c r="E3358" s="504" t="s">
        <v>3381</v>
      </c>
      <c r="F3358" s="504" t="s">
        <v>629</v>
      </c>
      <c r="G3358" s="504" t="s">
        <v>630</v>
      </c>
      <c r="H3358" s="504" t="s">
        <v>6047</v>
      </c>
      <c r="I3358" s="504">
        <v>30</v>
      </c>
      <c r="J3358" s="504">
        <v>0</v>
      </c>
      <c r="K3358" s="504">
        <v>0</v>
      </c>
      <c r="L3358" s="504">
        <v>0</v>
      </c>
      <c r="M3358" s="504">
        <v>30</v>
      </c>
      <c r="N3358" s="504">
        <v>0</v>
      </c>
      <c r="O3358" s="505">
        <v>0</v>
      </c>
    </row>
    <row r="3359" spans="1:15" x14ac:dyDescent="0.35">
      <c r="A3359" s="500" t="s">
        <v>1282</v>
      </c>
      <c r="B3359" s="501" t="s">
        <v>2953</v>
      </c>
      <c r="C3359" s="501" t="s">
        <v>1094</v>
      </c>
      <c r="D3359" s="501" t="s">
        <v>3380</v>
      </c>
      <c r="E3359" s="501" t="s">
        <v>3381</v>
      </c>
      <c r="F3359" s="501" t="s">
        <v>629</v>
      </c>
      <c r="G3359" s="501" t="s">
        <v>630</v>
      </c>
      <c r="H3359" s="501" t="s">
        <v>6048</v>
      </c>
      <c r="I3359" s="501">
        <v>405</v>
      </c>
      <c r="J3359" s="501">
        <v>357</v>
      </c>
      <c r="K3359" s="501">
        <v>0</v>
      </c>
      <c r="L3359" s="501">
        <v>0</v>
      </c>
      <c r="M3359" s="501">
        <v>31</v>
      </c>
      <c r="N3359" s="501">
        <v>0</v>
      </c>
      <c r="O3359" s="506">
        <v>17</v>
      </c>
    </row>
    <row r="3360" spans="1:15" x14ac:dyDescent="0.35">
      <c r="A3360" s="503" t="s">
        <v>1100</v>
      </c>
      <c r="B3360" s="504">
        <v>4865</v>
      </c>
      <c r="C3360" s="504" t="s">
        <v>1094</v>
      </c>
      <c r="D3360" s="504" t="s">
        <v>3380</v>
      </c>
      <c r="E3360" s="504" t="s">
        <v>3381</v>
      </c>
      <c r="F3360" s="504" t="s">
        <v>629</v>
      </c>
      <c r="G3360" s="504" t="s">
        <v>630</v>
      </c>
      <c r="H3360" s="504" t="s">
        <v>6049</v>
      </c>
      <c r="I3360" s="504">
        <v>82</v>
      </c>
      <c r="J3360" s="504">
        <v>76</v>
      </c>
      <c r="K3360" s="504">
        <v>0</v>
      </c>
      <c r="L3360" s="504">
        <v>0</v>
      </c>
      <c r="M3360" s="504">
        <v>0</v>
      </c>
      <c r="N3360" s="504">
        <v>0</v>
      </c>
      <c r="O3360" s="505">
        <v>6</v>
      </c>
    </row>
    <row r="3361" spans="1:15" x14ac:dyDescent="0.35">
      <c r="A3361" s="500" t="s">
        <v>1290</v>
      </c>
      <c r="B3361" s="501" t="s">
        <v>2979</v>
      </c>
      <c r="C3361" s="501" t="s">
        <v>1094</v>
      </c>
      <c r="D3361" s="501" t="s">
        <v>3380</v>
      </c>
      <c r="E3361" s="501" t="s">
        <v>3381</v>
      </c>
      <c r="F3361" s="501" t="s">
        <v>629</v>
      </c>
      <c r="G3361" s="501" t="s">
        <v>630</v>
      </c>
      <c r="H3361" s="501" t="s">
        <v>6050</v>
      </c>
      <c r="I3361" s="501">
        <v>66</v>
      </c>
      <c r="J3361" s="501">
        <v>31</v>
      </c>
      <c r="K3361" s="501">
        <v>0</v>
      </c>
      <c r="L3361" s="501">
        <v>35</v>
      </c>
      <c r="M3361" s="501">
        <v>0</v>
      </c>
      <c r="N3361" s="501">
        <v>0</v>
      </c>
      <c r="O3361" s="506">
        <v>0</v>
      </c>
    </row>
    <row r="3362" spans="1:15" x14ac:dyDescent="0.35">
      <c r="A3362" s="503" t="s">
        <v>1173</v>
      </c>
      <c r="B3362" s="504">
        <v>4775</v>
      </c>
      <c r="C3362" s="504" t="s">
        <v>1094</v>
      </c>
      <c r="D3362" s="504" t="s">
        <v>3380</v>
      </c>
      <c r="E3362" s="504" t="s">
        <v>3381</v>
      </c>
      <c r="F3362" s="504" t="s">
        <v>629</v>
      </c>
      <c r="G3362" s="504" t="s">
        <v>630</v>
      </c>
      <c r="H3362" s="504" t="s">
        <v>6051</v>
      </c>
      <c r="I3362" s="504">
        <v>1</v>
      </c>
      <c r="J3362" s="504">
        <v>0</v>
      </c>
      <c r="K3362" s="504">
        <v>0</v>
      </c>
      <c r="L3362" s="504">
        <v>0</v>
      </c>
      <c r="M3362" s="504">
        <v>0</v>
      </c>
      <c r="N3362" s="504">
        <v>0</v>
      </c>
      <c r="O3362" s="505">
        <v>1</v>
      </c>
    </row>
    <row r="3363" spans="1:15" x14ac:dyDescent="0.35">
      <c r="A3363" s="500" t="s">
        <v>1296</v>
      </c>
      <c r="B3363" s="501">
        <v>4651</v>
      </c>
      <c r="C3363" s="501" t="s">
        <v>1094</v>
      </c>
      <c r="D3363" s="501" t="s">
        <v>3380</v>
      </c>
      <c r="E3363" s="501" t="s">
        <v>3381</v>
      </c>
      <c r="F3363" s="501" t="s">
        <v>629</v>
      </c>
      <c r="G3363" s="501" t="s">
        <v>630</v>
      </c>
      <c r="H3363" s="501" t="s">
        <v>6052</v>
      </c>
      <c r="I3363" s="501">
        <v>527</v>
      </c>
      <c r="J3363" s="501">
        <v>507</v>
      </c>
      <c r="K3363" s="501">
        <v>0</v>
      </c>
      <c r="L3363" s="501">
        <v>13</v>
      </c>
      <c r="M3363" s="501">
        <v>0</v>
      </c>
      <c r="N3363" s="501">
        <v>0</v>
      </c>
      <c r="O3363" s="506">
        <v>7</v>
      </c>
    </row>
    <row r="3364" spans="1:15" x14ac:dyDescent="0.35">
      <c r="A3364" s="503" t="s">
        <v>14208</v>
      </c>
      <c r="B3364" s="504">
        <v>4803</v>
      </c>
      <c r="C3364" s="504" t="s">
        <v>1094</v>
      </c>
      <c r="D3364" s="504" t="s">
        <v>3380</v>
      </c>
      <c r="E3364" s="504" t="s">
        <v>3381</v>
      </c>
      <c r="F3364" s="504" t="s">
        <v>629</v>
      </c>
      <c r="G3364" s="504" t="s">
        <v>630</v>
      </c>
      <c r="H3364" s="504" t="s">
        <v>14715</v>
      </c>
      <c r="I3364" s="504">
        <v>2</v>
      </c>
      <c r="J3364" s="504">
        <v>0</v>
      </c>
      <c r="K3364" s="504">
        <v>0</v>
      </c>
      <c r="L3364" s="504">
        <v>2</v>
      </c>
      <c r="M3364" s="504">
        <v>0</v>
      </c>
      <c r="N3364" s="504">
        <v>0</v>
      </c>
      <c r="O3364" s="505">
        <v>0</v>
      </c>
    </row>
    <row r="3365" spans="1:15" x14ac:dyDescent="0.35">
      <c r="A3365" s="500" t="s">
        <v>11372</v>
      </c>
      <c r="B3365" s="501" t="s">
        <v>3342</v>
      </c>
      <c r="C3365" s="501" t="s">
        <v>1089</v>
      </c>
      <c r="D3365" s="501" t="s">
        <v>3392</v>
      </c>
      <c r="E3365" s="501" t="s">
        <v>3381</v>
      </c>
      <c r="F3365" s="501" t="s">
        <v>629</v>
      </c>
      <c r="G3365" s="501" t="s">
        <v>630</v>
      </c>
      <c r="H3365" s="501" t="s">
        <v>11731</v>
      </c>
      <c r="I3365" s="501">
        <v>57</v>
      </c>
      <c r="J3365" s="501">
        <v>0</v>
      </c>
      <c r="K3365" s="501">
        <v>0</v>
      </c>
      <c r="L3365" s="501">
        <v>57</v>
      </c>
      <c r="M3365" s="501">
        <v>0</v>
      </c>
      <c r="N3365" s="501">
        <v>0</v>
      </c>
      <c r="O3365" s="506">
        <v>0</v>
      </c>
    </row>
    <row r="3366" spans="1:15" x14ac:dyDescent="0.35">
      <c r="A3366" s="503" t="s">
        <v>1105</v>
      </c>
      <c r="B3366" s="504">
        <v>4668</v>
      </c>
      <c r="C3366" s="504" t="s">
        <v>1094</v>
      </c>
      <c r="D3366" s="504" t="s">
        <v>3380</v>
      </c>
      <c r="E3366" s="504" t="s">
        <v>3381</v>
      </c>
      <c r="F3366" s="504" t="s">
        <v>629</v>
      </c>
      <c r="G3366" s="504" t="s">
        <v>630</v>
      </c>
      <c r="H3366" s="504" t="s">
        <v>6053</v>
      </c>
      <c r="I3366" s="504">
        <v>1</v>
      </c>
      <c r="J3366" s="504">
        <v>0</v>
      </c>
      <c r="K3366" s="504">
        <v>0</v>
      </c>
      <c r="L3366" s="504">
        <v>0</v>
      </c>
      <c r="M3366" s="504">
        <v>0</v>
      </c>
      <c r="N3366" s="504">
        <v>0</v>
      </c>
      <c r="O3366" s="505">
        <v>1</v>
      </c>
    </row>
    <row r="3367" spans="1:15" x14ac:dyDescent="0.35">
      <c r="A3367" s="500" t="s">
        <v>1109</v>
      </c>
      <c r="B3367" s="501" t="s">
        <v>2959</v>
      </c>
      <c r="C3367" s="501" t="s">
        <v>1094</v>
      </c>
      <c r="D3367" s="501" t="s">
        <v>3380</v>
      </c>
      <c r="E3367" s="501" t="s">
        <v>3381</v>
      </c>
      <c r="F3367" s="501" t="s">
        <v>629</v>
      </c>
      <c r="G3367" s="501" t="s">
        <v>630</v>
      </c>
      <c r="H3367" s="501" t="s">
        <v>6054</v>
      </c>
      <c r="I3367" s="501">
        <v>47</v>
      </c>
      <c r="J3367" s="501">
        <v>0</v>
      </c>
      <c r="K3367" s="501">
        <v>0</v>
      </c>
      <c r="L3367" s="501">
        <v>0</v>
      </c>
      <c r="M3367" s="501">
        <v>47</v>
      </c>
      <c r="N3367" s="501">
        <v>0</v>
      </c>
      <c r="O3367" s="506">
        <v>0</v>
      </c>
    </row>
    <row r="3368" spans="1:15" x14ac:dyDescent="0.35">
      <c r="A3368" s="503" t="s">
        <v>1218</v>
      </c>
      <c r="B3368" s="504" t="s">
        <v>3147</v>
      </c>
      <c r="C3368" s="504" t="s">
        <v>1094</v>
      </c>
      <c r="D3368" s="504" t="s">
        <v>3380</v>
      </c>
      <c r="E3368" s="504" t="s">
        <v>3381</v>
      </c>
      <c r="F3368" s="504" t="s">
        <v>629</v>
      </c>
      <c r="G3368" s="504" t="s">
        <v>630</v>
      </c>
      <c r="H3368" s="504" t="s">
        <v>6055</v>
      </c>
      <c r="I3368" s="504">
        <v>16</v>
      </c>
      <c r="J3368" s="504">
        <v>1</v>
      </c>
      <c r="K3368" s="504">
        <v>0</v>
      </c>
      <c r="L3368" s="504">
        <v>0</v>
      </c>
      <c r="M3368" s="504">
        <v>0</v>
      </c>
      <c r="N3368" s="504">
        <v>0</v>
      </c>
      <c r="O3368" s="505">
        <v>15</v>
      </c>
    </row>
    <row r="3369" spans="1:15" x14ac:dyDescent="0.35">
      <c r="A3369" s="500" t="s">
        <v>11367</v>
      </c>
      <c r="B3369" s="501" t="s">
        <v>3143</v>
      </c>
      <c r="C3369" s="501" t="s">
        <v>1094</v>
      </c>
      <c r="D3369" s="501" t="s">
        <v>3380</v>
      </c>
      <c r="E3369" s="501" t="s">
        <v>3381</v>
      </c>
      <c r="F3369" s="501" t="s">
        <v>629</v>
      </c>
      <c r="G3369" s="501" t="s">
        <v>630</v>
      </c>
      <c r="H3369" s="501" t="s">
        <v>11925</v>
      </c>
      <c r="I3369" s="501">
        <v>298</v>
      </c>
      <c r="J3369" s="501">
        <v>245</v>
      </c>
      <c r="K3369" s="501">
        <v>0</v>
      </c>
      <c r="L3369" s="501">
        <v>0</v>
      </c>
      <c r="M3369" s="501">
        <v>24</v>
      </c>
      <c r="N3369" s="501">
        <v>0</v>
      </c>
      <c r="O3369" s="506">
        <v>29</v>
      </c>
    </row>
    <row r="3370" spans="1:15" x14ac:dyDescent="0.35">
      <c r="A3370" s="503" t="s">
        <v>1326</v>
      </c>
      <c r="B3370" s="504" t="s">
        <v>2954</v>
      </c>
      <c r="C3370" s="504" t="s">
        <v>1094</v>
      </c>
      <c r="D3370" s="504" t="s">
        <v>3380</v>
      </c>
      <c r="E3370" s="504" t="s">
        <v>3381</v>
      </c>
      <c r="F3370" s="504" t="s">
        <v>629</v>
      </c>
      <c r="G3370" s="504" t="s">
        <v>630</v>
      </c>
      <c r="H3370" s="504" t="s">
        <v>6056</v>
      </c>
      <c r="I3370" s="504">
        <v>162</v>
      </c>
      <c r="J3370" s="504">
        <v>145</v>
      </c>
      <c r="K3370" s="504">
        <v>0</v>
      </c>
      <c r="L3370" s="504">
        <v>17</v>
      </c>
      <c r="M3370" s="504">
        <v>0</v>
      </c>
      <c r="N3370" s="504">
        <v>0</v>
      </c>
      <c r="O3370" s="505">
        <v>0</v>
      </c>
    </row>
    <row r="3371" spans="1:15" x14ac:dyDescent="0.35">
      <c r="A3371" s="500" t="s">
        <v>1122</v>
      </c>
      <c r="B3371" s="501" t="s">
        <v>2994</v>
      </c>
      <c r="C3371" s="501" t="s">
        <v>1094</v>
      </c>
      <c r="D3371" s="501" t="s">
        <v>3380</v>
      </c>
      <c r="E3371" s="501" t="s">
        <v>3381</v>
      </c>
      <c r="F3371" s="501" t="s">
        <v>629</v>
      </c>
      <c r="G3371" s="501" t="s">
        <v>630</v>
      </c>
      <c r="H3371" s="501" t="s">
        <v>6057</v>
      </c>
      <c r="I3371" s="501">
        <v>22</v>
      </c>
      <c r="J3371" s="501">
        <v>22</v>
      </c>
      <c r="K3371" s="501">
        <v>0</v>
      </c>
      <c r="L3371" s="501">
        <v>0</v>
      </c>
      <c r="M3371" s="501">
        <v>0</v>
      </c>
      <c r="N3371" s="501">
        <v>0</v>
      </c>
      <c r="O3371" s="506">
        <v>0</v>
      </c>
    </row>
    <row r="3372" spans="1:15" x14ac:dyDescent="0.35">
      <c r="A3372" s="503" t="s">
        <v>1228</v>
      </c>
      <c r="B3372" s="504" t="s">
        <v>3321</v>
      </c>
      <c r="C3372" s="504" t="s">
        <v>1094</v>
      </c>
      <c r="D3372" s="504" t="s">
        <v>3380</v>
      </c>
      <c r="E3372" s="504" t="s">
        <v>3381</v>
      </c>
      <c r="F3372" s="504" t="s">
        <v>629</v>
      </c>
      <c r="G3372" s="504" t="s">
        <v>630</v>
      </c>
      <c r="H3372" s="504" t="s">
        <v>6058</v>
      </c>
      <c r="I3372" s="504">
        <v>18</v>
      </c>
      <c r="J3372" s="504">
        <v>0</v>
      </c>
      <c r="K3372" s="504">
        <v>0</v>
      </c>
      <c r="L3372" s="504">
        <v>18</v>
      </c>
      <c r="M3372" s="504">
        <v>0</v>
      </c>
      <c r="N3372" s="504">
        <v>0</v>
      </c>
      <c r="O3372" s="505">
        <v>0</v>
      </c>
    </row>
    <row r="3373" spans="1:15" x14ac:dyDescent="0.35">
      <c r="A3373" s="500" t="s">
        <v>1339</v>
      </c>
      <c r="B3373" s="501" t="s">
        <v>3358</v>
      </c>
      <c r="C3373" s="501" t="s">
        <v>1094</v>
      </c>
      <c r="D3373" s="501" t="s">
        <v>3380</v>
      </c>
      <c r="E3373" s="501" t="s">
        <v>3381</v>
      </c>
      <c r="F3373" s="501" t="s">
        <v>629</v>
      </c>
      <c r="G3373" s="501" t="s">
        <v>630</v>
      </c>
      <c r="H3373" s="501" t="s">
        <v>6059</v>
      </c>
      <c r="I3373" s="501">
        <v>79</v>
      </c>
      <c r="J3373" s="501">
        <v>53</v>
      </c>
      <c r="K3373" s="501">
        <v>0</v>
      </c>
      <c r="L3373" s="501">
        <v>21</v>
      </c>
      <c r="M3373" s="501">
        <v>0</v>
      </c>
      <c r="N3373" s="501">
        <v>0</v>
      </c>
      <c r="O3373" s="506">
        <v>5</v>
      </c>
    </row>
    <row r="3374" spans="1:15" x14ac:dyDescent="0.35">
      <c r="A3374" s="503" t="s">
        <v>1233</v>
      </c>
      <c r="B3374" s="504">
        <v>4636</v>
      </c>
      <c r="C3374" s="504" t="s">
        <v>1094</v>
      </c>
      <c r="D3374" s="504" t="s">
        <v>3380</v>
      </c>
      <c r="E3374" s="504" t="s">
        <v>3381</v>
      </c>
      <c r="F3374" s="504" t="s">
        <v>629</v>
      </c>
      <c r="G3374" s="504" t="s">
        <v>630</v>
      </c>
      <c r="H3374" s="504" t="s">
        <v>6060</v>
      </c>
      <c r="I3374" s="504">
        <v>16</v>
      </c>
      <c r="J3374" s="504">
        <v>0</v>
      </c>
      <c r="K3374" s="504">
        <v>0</v>
      </c>
      <c r="L3374" s="504">
        <v>0</v>
      </c>
      <c r="M3374" s="504">
        <v>0</v>
      </c>
      <c r="N3374" s="504">
        <v>0</v>
      </c>
      <c r="O3374" s="505">
        <v>16</v>
      </c>
    </row>
    <row r="3375" spans="1:15" x14ac:dyDescent="0.35">
      <c r="A3375" s="500" t="s">
        <v>11368</v>
      </c>
      <c r="B3375" s="501">
        <v>5083</v>
      </c>
      <c r="C3375" s="501" t="s">
        <v>1094</v>
      </c>
      <c r="D3375" s="501" t="s">
        <v>3380</v>
      </c>
      <c r="E3375" s="501" t="s">
        <v>3381</v>
      </c>
      <c r="F3375" s="501" t="s">
        <v>629</v>
      </c>
      <c r="G3375" s="501" t="s">
        <v>630</v>
      </c>
      <c r="H3375" s="501" t="s">
        <v>12053</v>
      </c>
      <c r="I3375" s="501">
        <v>22</v>
      </c>
      <c r="J3375" s="501">
        <v>22</v>
      </c>
      <c r="K3375" s="501">
        <v>0</v>
      </c>
      <c r="L3375" s="501">
        <v>0</v>
      </c>
      <c r="M3375" s="501">
        <v>0</v>
      </c>
      <c r="N3375" s="501">
        <v>0</v>
      </c>
      <c r="O3375" s="506">
        <v>0</v>
      </c>
    </row>
    <row r="3376" spans="1:15" x14ac:dyDescent="0.35">
      <c r="A3376" s="503" t="s">
        <v>1235</v>
      </c>
      <c r="B3376" s="504">
        <v>4684</v>
      </c>
      <c r="C3376" s="504" t="s">
        <v>1094</v>
      </c>
      <c r="D3376" s="504" t="s">
        <v>3380</v>
      </c>
      <c r="E3376" s="504" t="s">
        <v>3381</v>
      </c>
      <c r="F3376" s="504" t="s">
        <v>629</v>
      </c>
      <c r="G3376" s="504" t="s">
        <v>630</v>
      </c>
      <c r="H3376" s="504" t="s">
        <v>6061</v>
      </c>
      <c r="I3376" s="504">
        <v>29</v>
      </c>
      <c r="J3376" s="504">
        <v>0</v>
      </c>
      <c r="K3376" s="504">
        <v>0</v>
      </c>
      <c r="L3376" s="504">
        <v>29</v>
      </c>
      <c r="M3376" s="504">
        <v>0</v>
      </c>
      <c r="N3376" s="504">
        <v>0</v>
      </c>
      <c r="O3376" s="505">
        <v>0</v>
      </c>
    </row>
    <row r="3377" spans="1:15" x14ac:dyDescent="0.35">
      <c r="A3377" s="500" t="s">
        <v>11375</v>
      </c>
      <c r="B3377" s="501">
        <v>4696</v>
      </c>
      <c r="C3377" s="501" t="s">
        <v>1089</v>
      </c>
      <c r="D3377" s="501" t="s">
        <v>3392</v>
      </c>
      <c r="E3377" s="501" t="s">
        <v>3381</v>
      </c>
      <c r="F3377" s="501" t="s">
        <v>629</v>
      </c>
      <c r="G3377" s="501" t="s">
        <v>630</v>
      </c>
      <c r="H3377" s="501" t="s">
        <v>12120</v>
      </c>
      <c r="I3377" s="501">
        <v>30</v>
      </c>
      <c r="J3377" s="501">
        <v>0</v>
      </c>
      <c r="K3377" s="501">
        <v>0</v>
      </c>
      <c r="L3377" s="501">
        <v>30</v>
      </c>
      <c r="M3377" s="501">
        <v>0</v>
      </c>
      <c r="N3377" s="501">
        <v>0</v>
      </c>
      <c r="O3377" s="506">
        <v>0</v>
      </c>
    </row>
    <row r="3378" spans="1:15" x14ac:dyDescent="0.35">
      <c r="A3378" s="503" t="s">
        <v>1245</v>
      </c>
      <c r="B3378" s="504" t="s">
        <v>2859</v>
      </c>
      <c r="C3378" s="504" t="s">
        <v>1094</v>
      </c>
      <c r="D3378" s="504" t="s">
        <v>3380</v>
      </c>
      <c r="E3378" s="504" t="s">
        <v>3381</v>
      </c>
      <c r="F3378" s="504" t="s">
        <v>629</v>
      </c>
      <c r="G3378" s="504" t="s">
        <v>630</v>
      </c>
      <c r="H3378" s="504" t="s">
        <v>6062</v>
      </c>
      <c r="I3378" s="504">
        <v>9</v>
      </c>
      <c r="J3378" s="504">
        <v>0</v>
      </c>
      <c r="K3378" s="504">
        <v>0</v>
      </c>
      <c r="L3378" s="504">
        <v>0</v>
      </c>
      <c r="M3378" s="504">
        <v>9</v>
      </c>
      <c r="N3378" s="504">
        <v>0</v>
      </c>
      <c r="O3378" s="505">
        <v>0</v>
      </c>
    </row>
    <row r="3379" spans="1:15" x14ac:dyDescent="0.35">
      <c r="A3379" s="500" t="s">
        <v>1359</v>
      </c>
      <c r="B3379" s="501" t="s">
        <v>2579</v>
      </c>
      <c r="C3379" s="501" t="s">
        <v>1089</v>
      </c>
      <c r="D3379" s="501" t="s">
        <v>3392</v>
      </c>
      <c r="E3379" s="501" t="s">
        <v>3381</v>
      </c>
      <c r="F3379" s="501" t="s">
        <v>629</v>
      </c>
      <c r="G3379" s="501" t="s">
        <v>630</v>
      </c>
      <c r="H3379" s="501" t="s">
        <v>6063</v>
      </c>
      <c r="I3379" s="501">
        <v>8</v>
      </c>
      <c r="J3379" s="501">
        <v>0</v>
      </c>
      <c r="K3379" s="501">
        <v>0</v>
      </c>
      <c r="L3379" s="501">
        <v>0</v>
      </c>
      <c r="M3379" s="501">
        <v>8</v>
      </c>
      <c r="N3379" s="501">
        <v>0</v>
      </c>
      <c r="O3379" s="506">
        <v>0</v>
      </c>
    </row>
    <row r="3380" spans="1:15" x14ac:dyDescent="0.35">
      <c r="A3380" s="503" t="s">
        <v>1383</v>
      </c>
      <c r="B3380" s="504" t="s">
        <v>2928</v>
      </c>
      <c r="C3380" s="504" t="s">
        <v>1089</v>
      </c>
      <c r="D3380" s="504" t="s">
        <v>3392</v>
      </c>
      <c r="E3380" s="504" t="s">
        <v>3381</v>
      </c>
      <c r="F3380" s="504" t="s">
        <v>629</v>
      </c>
      <c r="G3380" s="504" t="s">
        <v>630</v>
      </c>
      <c r="H3380" s="504" t="s">
        <v>6064</v>
      </c>
      <c r="I3380" s="504">
        <v>37</v>
      </c>
      <c r="J3380" s="504">
        <v>0</v>
      </c>
      <c r="K3380" s="504">
        <v>0</v>
      </c>
      <c r="L3380" s="504">
        <v>37</v>
      </c>
      <c r="M3380" s="504">
        <v>0</v>
      </c>
      <c r="N3380" s="504">
        <v>0</v>
      </c>
      <c r="O3380" s="505">
        <v>0</v>
      </c>
    </row>
    <row r="3381" spans="1:15" x14ac:dyDescent="0.35">
      <c r="A3381" s="500" t="s">
        <v>1385</v>
      </c>
      <c r="B3381" s="501" t="s">
        <v>3249</v>
      </c>
      <c r="C3381" s="501" t="s">
        <v>1094</v>
      </c>
      <c r="D3381" s="501" t="s">
        <v>3380</v>
      </c>
      <c r="E3381" s="501" t="s">
        <v>3381</v>
      </c>
      <c r="F3381" s="501" t="s">
        <v>631</v>
      </c>
      <c r="G3381" s="501" t="s">
        <v>632</v>
      </c>
      <c r="H3381" s="501" t="s">
        <v>6065</v>
      </c>
      <c r="I3381" s="501">
        <v>12</v>
      </c>
      <c r="J3381" s="501">
        <v>4</v>
      </c>
      <c r="K3381" s="501">
        <v>0</v>
      </c>
      <c r="L3381" s="501">
        <v>8</v>
      </c>
      <c r="M3381" s="501">
        <v>0</v>
      </c>
      <c r="N3381" s="501">
        <v>0</v>
      </c>
      <c r="O3381" s="506">
        <v>0</v>
      </c>
    </row>
    <row r="3382" spans="1:15" x14ac:dyDescent="0.35">
      <c r="A3382" s="503" t="s">
        <v>1096</v>
      </c>
      <c r="B3382" s="504" t="s">
        <v>3326</v>
      </c>
      <c r="C3382" s="504" t="s">
        <v>1094</v>
      </c>
      <c r="D3382" s="504" t="s">
        <v>3380</v>
      </c>
      <c r="E3382" s="504" t="s">
        <v>3381</v>
      </c>
      <c r="F3382" s="504" t="s">
        <v>631</v>
      </c>
      <c r="G3382" s="504" t="s">
        <v>632</v>
      </c>
      <c r="H3382" s="504" t="s">
        <v>6066</v>
      </c>
      <c r="I3382" s="504">
        <v>41</v>
      </c>
      <c r="J3382" s="504">
        <v>0</v>
      </c>
      <c r="K3382" s="504">
        <v>0</v>
      </c>
      <c r="L3382" s="504">
        <v>0</v>
      </c>
      <c r="M3382" s="504">
        <v>41</v>
      </c>
      <c r="N3382" s="504">
        <v>0</v>
      </c>
      <c r="O3382" s="505">
        <v>0</v>
      </c>
    </row>
    <row r="3383" spans="1:15" x14ac:dyDescent="0.35">
      <c r="A3383" s="500" t="s">
        <v>11363</v>
      </c>
      <c r="B3383" s="501">
        <v>4718</v>
      </c>
      <c r="C3383" s="501" t="s">
        <v>1094</v>
      </c>
      <c r="D3383" s="501" t="s">
        <v>3380</v>
      </c>
      <c r="E3383" s="501" t="s">
        <v>3381</v>
      </c>
      <c r="F3383" s="501" t="s">
        <v>631</v>
      </c>
      <c r="G3383" s="501" t="s">
        <v>632</v>
      </c>
      <c r="H3383" s="501" t="s">
        <v>11549</v>
      </c>
      <c r="I3383" s="501">
        <v>9</v>
      </c>
      <c r="J3383" s="501">
        <v>0</v>
      </c>
      <c r="K3383" s="501">
        <v>0</v>
      </c>
      <c r="L3383" s="501">
        <v>9</v>
      </c>
      <c r="M3383" s="501">
        <v>0</v>
      </c>
      <c r="N3383" s="501">
        <v>0</v>
      </c>
      <c r="O3383" s="506">
        <v>0</v>
      </c>
    </row>
    <row r="3384" spans="1:15" x14ac:dyDescent="0.35">
      <c r="A3384" s="503" t="s">
        <v>1411</v>
      </c>
      <c r="B3384" s="504" t="s">
        <v>2873</v>
      </c>
      <c r="C3384" s="504" t="s">
        <v>1089</v>
      </c>
      <c r="D3384" s="504" t="s">
        <v>3392</v>
      </c>
      <c r="E3384" s="504" t="s">
        <v>3381</v>
      </c>
      <c r="F3384" s="504" t="s">
        <v>631</v>
      </c>
      <c r="G3384" s="504" t="s">
        <v>632</v>
      </c>
      <c r="H3384" s="504" t="s">
        <v>6067</v>
      </c>
      <c r="I3384" s="504">
        <v>5</v>
      </c>
      <c r="J3384" s="504">
        <v>0</v>
      </c>
      <c r="K3384" s="504">
        <v>0</v>
      </c>
      <c r="L3384" s="504">
        <v>5</v>
      </c>
      <c r="M3384" s="504">
        <v>0</v>
      </c>
      <c r="N3384" s="504">
        <v>0</v>
      </c>
      <c r="O3384" s="505">
        <v>0</v>
      </c>
    </row>
    <row r="3385" spans="1:15" x14ac:dyDescent="0.35">
      <c r="A3385" s="500" t="s">
        <v>1412</v>
      </c>
      <c r="B3385" s="501">
        <v>4641</v>
      </c>
      <c r="C3385" s="501" t="s">
        <v>1089</v>
      </c>
      <c r="D3385" s="501" t="s">
        <v>3392</v>
      </c>
      <c r="E3385" s="501" t="s">
        <v>3381</v>
      </c>
      <c r="F3385" s="501" t="s">
        <v>631</v>
      </c>
      <c r="G3385" s="501" t="s">
        <v>632</v>
      </c>
      <c r="H3385" s="501" t="s">
        <v>6068</v>
      </c>
      <c r="I3385" s="501">
        <v>111</v>
      </c>
      <c r="J3385" s="501">
        <v>2</v>
      </c>
      <c r="K3385" s="501">
        <v>95</v>
      </c>
      <c r="L3385" s="501">
        <v>14</v>
      </c>
      <c r="M3385" s="501">
        <v>0</v>
      </c>
      <c r="N3385" s="501">
        <v>0</v>
      </c>
      <c r="O3385" s="506">
        <v>0</v>
      </c>
    </row>
    <row r="3386" spans="1:15" x14ac:dyDescent="0.35">
      <c r="A3386" s="503" t="s">
        <v>1413</v>
      </c>
      <c r="B3386" s="504" t="s">
        <v>3160</v>
      </c>
      <c r="C3386" s="504" t="s">
        <v>1089</v>
      </c>
      <c r="D3386" s="504" t="s">
        <v>3392</v>
      </c>
      <c r="E3386" s="504" t="s">
        <v>3381</v>
      </c>
      <c r="F3386" s="504" t="s">
        <v>631</v>
      </c>
      <c r="G3386" s="504" t="s">
        <v>632</v>
      </c>
      <c r="H3386" s="504" t="s">
        <v>6069</v>
      </c>
      <c r="I3386" s="504">
        <v>990</v>
      </c>
      <c r="J3386" s="504">
        <v>990</v>
      </c>
      <c r="K3386" s="504">
        <v>0</v>
      </c>
      <c r="L3386" s="504">
        <v>0</v>
      </c>
      <c r="M3386" s="504">
        <v>0</v>
      </c>
      <c r="N3386" s="504">
        <v>0</v>
      </c>
      <c r="O3386" s="505">
        <v>0</v>
      </c>
    </row>
    <row r="3387" spans="1:15" x14ac:dyDescent="0.35">
      <c r="A3387" s="500" t="s">
        <v>1285</v>
      </c>
      <c r="B3387" s="501" t="s">
        <v>3120</v>
      </c>
      <c r="C3387" s="501" t="s">
        <v>1089</v>
      </c>
      <c r="D3387" s="501" t="s">
        <v>3392</v>
      </c>
      <c r="E3387" s="501" t="s">
        <v>3381</v>
      </c>
      <c r="F3387" s="501" t="s">
        <v>631</v>
      </c>
      <c r="G3387" s="501" t="s">
        <v>632</v>
      </c>
      <c r="H3387" s="501" t="s">
        <v>6070</v>
      </c>
      <c r="I3387" s="501">
        <v>36</v>
      </c>
      <c r="J3387" s="501">
        <v>36</v>
      </c>
      <c r="K3387" s="501">
        <v>0</v>
      </c>
      <c r="L3387" s="501">
        <v>0</v>
      </c>
      <c r="M3387" s="501">
        <v>0</v>
      </c>
      <c r="N3387" s="501">
        <v>0</v>
      </c>
      <c r="O3387" s="506">
        <v>0</v>
      </c>
    </row>
    <row r="3388" spans="1:15" x14ac:dyDescent="0.35">
      <c r="A3388" s="503" t="s">
        <v>1420</v>
      </c>
      <c r="B3388" s="504">
        <v>4764</v>
      </c>
      <c r="C3388" s="504" t="s">
        <v>1089</v>
      </c>
      <c r="D3388" s="504" t="s">
        <v>3392</v>
      </c>
      <c r="E3388" s="504" t="s">
        <v>3381</v>
      </c>
      <c r="F3388" s="504" t="s">
        <v>631</v>
      </c>
      <c r="G3388" s="504" t="s">
        <v>632</v>
      </c>
      <c r="H3388" s="504" t="s">
        <v>11661</v>
      </c>
      <c r="I3388" s="504">
        <v>27</v>
      </c>
      <c r="J3388" s="504">
        <v>27</v>
      </c>
      <c r="K3388" s="504">
        <v>0</v>
      </c>
      <c r="L3388" s="504">
        <v>0</v>
      </c>
      <c r="M3388" s="504">
        <v>0</v>
      </c>
      <c r="N3388" s="504">
        <v>0</v>
      </c>
      <c r="O3388" s="505">
        <v>0</v>
      </c>
    </row>
    <row r="3389" spans="1:15" x14ac:dyDescent="0.35">
      <c r="A3389" s="500" t="s">
        <v>11385</v>
      </c>
      <c r="B3389" s="501">
        <v>4787</v>
      </c>
      <c r="C3389" s="501" t="s">
        <v>1089</v>
      </c>
      <c r="D3389" s="501" t="s">
        <v>3392</v>
      </c>
      <c r="E3389" s="501" t="s">
        <v>3381</v>
      </c>
      <c r="F3389" s="501" t="s">
        <v>631</v>
      </c>
      <c r="G3389" s="501" t="s">
        <v>632</v>
      </c>
      <c r="H3389" s="501" t="s">
        <v>11673</v>
      </c>
      <c r="I3389" s="501">
        <v>5</v>
      </c>
      <c r="J3389" s="501">
        <v>5</v>
      </c>
      <c r="K3389" s="501">
        <v>0</v>
      </c>
      <c r="L3389" s="501">
        <v>0</v>
      </c>
      <c r="M3389" s="501">
        <v>0</v>
      </c>
      <c r="N3389" s="501">
        <v>0</v>
      </c>
      <c r="O3389" s="506">
        <v>0</v>
      </c>
    </row>
    <row r="3390" spans="1:15" x14ac:dyDescent="0.35">
      <c r="A3390" s="503" t="s">
        <v>1433</v>
      </c>
      <c r="B3390" s="504" t="s">
        <v>3316</v>
      </c>
      <c r="C3390" s="504" t="s">
        <v>1089</v>
      </c>
      <c r="D3390" s="504" t="s">
        <v>3392</v>
      </c>
      <c r="E3390" s="504" t="s">
        <v>3381</v>
      </c>
      <c r="F3390" s="504" t="s">
        <v>631</v>
      </c>
      <c r="G3390" s="504" t="s">
        <v>632</v>
      </c>
      <c r="H3390" s="504" t="s">
        <v>6071</v>
      </c>
      <c r="I3390" s="504">
        <v>1</v>
      </c>
      <c r="J3390" s="504">
        <v>1</v>
      </c>
      <c r="K3390" s="504">
        <v>0</v>
      </c>
      <c r="L3390" s="504">
        <v>0</v>
      </c>
      <c r="M3390" s="504">
        <v>0</v>
      </c>
      <c r="N3390" s="504">
        <v>0</v>
      </c>
      <c r="O3390" s="505">
        <v>0</v>
      </c>
    </row>
    <row r="3391" spans="1:15" x14ac:dyDescent="0.35">
      <c r="A3391" s="500" t="s">
        <v>14208</v>
      </c>
      <c r="B3391" s="501">
        <v>4803</v>
      </c>
      <c r="C3391" s="501" t="s">
        <v>1094</v>
      </c>
      <c r="D3391" s="501" t="s">
        <v>3380</v>
      </c>
      <c r="E3391" s="501" t="s">
        <v>3381</v>
      </c>
      <c r="F3391" s="501" t="s">
        <v>631</v>
      </c>
      <c r="G3391" s="501" t="s">
        <v>632</v>
      </c>
      <c r="H3391" s="501" t="s">
        <v>14716</v>
      </c>
      <c r="I3391" s="501">
        <v>1</v>
      </c>
      <c r="J3391" s="501">
        <v>0</v>
      </c>
      <c r="K3391" s="501">
        <v>0</v>
      </c>
      <c r="L3391" s="501">
        <v>1</v>
      </c>
      <c r="M3391" s="501">
        <v>0</v>
      </c>
      <c r="N3391" s="501">
        <v>0</v>
      </c>
      <c r="O3391" s="506">
        <v>0</v>
      </c>
    </row>
    <row r="3392" spans="1:15" x14ac:dyDescent="0.35">
      <c r="A3392" s="503" t="s">
        <v>1448</v>
      </c>
      <c r="B3392" s="504" t="s">
        <v>2981</v>
      </c>
      <c r="C3392" s="504" t="s">
        <v>1089</v>
      </c>
      <c r="D3392" s="504" t="s">
        <v>3392</v>
      </c>
      <c r="E3392" s="504" t="s">
        <v>3381</v>
      </c>
      <c r="F3392" s="504" t="s">
        <v>631</v>
      </c>
      <c r="G3392" s="504" t="s">
        <v>632</v>
      </c>
      <c r="H3392" s="504" t="s">
        <v>6072</v>
      </c>
      <c r="I3392" s="504">
        <v>17</v>
      </c>
      <c r="J3392" s="504">
        <v>17</v>
      </c>
      <c r="K3392" s="504">
        <v>0</v>
      </c>
      <c r="L3392" s="504">
        <v>0</v>
      </c>
      <c r="M3392" s="504">
        <v>0</v>
      </c>
      <c r="N3392" s="504">
        <v>0</v>
      </c>
      <c r="O3392" s="505">
        <v>0</v>
      </c>
    </row>
    <row r="3393" spans="1:15" x14ac:dyDescent="0.35">
      <c r="A3393" s="500" t="s">
        <v>1185</v>
      </c>
      <c r="B3393" s="501" t="s">
        <v>3253</v>
      </c>
      <c r="C3393" s="501" t="s">
        <v>1094</v>
      </c>
      <c r="D3393" s="501" t="s">
        <v>3380</v>
      </c>
      <c r="E3393" s="501" t="s">
        <v>3381</v>
      </c>
      <c r="F3393" s="501" t="s">
        <v>631</v>
      </c>
      <c r="G3393" s="501" t="s">
        <v>632</v>
      </c>
      <c r="H3393" s="501" t="s">
        <v>6073</v>
      </c>
      <c r="I3393" s="501">
        <v>1</v>
      </c>
      <c r="J3393" s="501">
        <v>0</v>
      </c>
      <c r="K3393" s="501">
        <v>0</v>
      </c>
      <c r="L3393" s="501">
        <v>1</v>
      </c>
      <c r="M3393" s="501">
        <v>0</v>
      </c>
      <c r="N3393" s="501">
        <v>0</v>
      </c>
      <c r="O3393" s="506">
        <v>0</v>
      </c>
    </row>
    <row r="3394" spans="1:15" x14ac:dyDescent="0.35">
      <c r="A3394" s="503" t="s">
        <v>1459</v>
      </c>
      <c r="B3394" s="504" t="s">
        <v>3063</v>
      </c>
      <c r="C3394" s="504" t="s">
        <v>1094</v>
      </c>
      <c r="D3394" s="504" t="s">
        <v>3380</v>
      </c>
      <c r="E3394" s="504" t="s">
        <v>3381</v>
      </c>
      <c r="F3394" s="504" t="s">
        <v>631</v>
      </c>
      <c r="G3394" s="504" t="s">
        <v>632</v>
      </c>
      <c r="H3394" s="504" t="s">
        <v>6074</v>
      </c>
      <c r="I3394" s="504">
        <v>577</v>
      </c>
      <c r="J3394" s="504">
        <v>502</v>
      </c>
      <c r="K3394" s="504">
        <v>0</v>
      </c>
      <c r="L3394" s="504">
        <v>8</v>
      </c>
      <c r="M3394" s="504">
        <v>0</v>
      </c>
      <c r="N3394" s="504">
        <v>0</v>
      </c>
      <c r="O3394" s="505">
        <v>67</v>
      </c>
    </row>
    <row r="3395" spans="1:15" x14ac:dyDescent="0.35">
      <c r="A3395" s="500" t="s">
        <v>1107</v>
      </c>
      <c r="B3395" s="501" t="s">
        <v>3109</v>
      </c>
      <c r="C3395" s="501" t="s">
        <v>1094</v>
      </c>
      <c r="D3395" s="501" t="s">
        <v>3380</v>
      </c>
      <c r="E3395" s="501" t="s">
        <v>3381</v>
      </c>
      <c r="F3395" s="501" t="s">
        <v>631</v>
      </c>
      <c r="G3395" s="501" t="s">
        <v>632</v>
      </c>
      <c r="H3395" s="501" t="s">
        <v>6075</v>
      </c>
      <c r="I3395" s="501">
        <v>67</v>
      </c>
      <c r="J3395" s="501">
        <v>39</v>
      </c>
      <c r="K3395" s="501">
        <v>0</v>
      </c>
      <c r="L3395" s="501">
        <v>0</v>
      </c>
      <c r="M3395" s="501">
        <v>0</v>
      </c>
      <c r="N3395" s="501">
        <v>0</v>
      </c>
      <c r="O3395" s="506">
        <v>28</v>
      </c>
    </row>
    <row r="3396" spans="1:15" x14ac:dyDescent="0.35">
      <c r="A3396" s="503" t="s">
        <v>1469</v>
      </c>
      <c r="B3396" s="504" t="s">
        <v>3023</v>
      </c>
      <c r="C3396" s="504" t="s">
        <v>1089</v>
      </c>
      <c r="D3396" s="504" t="s">
        <v>3392</v>
      </c>
      <c r="E3396" s="504" t="s">
        <v>3381</v>
      </c>
      <c r="F3396" s="504" t="s">
        <v>631</v>
      </c>
      <c r="G3396" s="504" t="s">
        <v>632</v>
      </c>
      <c r="H3396" s="504" t="s">
        <v>6076</v>
      </c>
      <c r="I3396" s="504">
        <v>175</v>
      </c>
      <c r="J3396" s="504">
        <v>164</v>
      </c>
      <c r="K3396" s="504">
        <v>2</v>
      </c>
      <c r="L3396" s="504">
        <v>9</v>
      </c>
      <c r="M3396" s="504">
        <v>0</v>
      </c>
      <c r="N3396" s="504">
        <v>6</v>
      </c>
      <c r="O3396" s="505">
        <v>0</v>
      </c>
    </row>
    <row r="3397" spans="1:15" x14ac:dyDescent="0.35">
      <c r="A3397" s="500" t="s">
        <v>1189</v>
      </c>
      <c r="B3397" s="501" t="s">
        <v>3236</v>
      </c>
      <c r="C3397" s="501" t="s">
        <v>1094</v>
      </c>
      <c r="D3397" s="501" t="s">
        <v>3380</v>
      </c>
      <c r="E3397" s="501" t="s">
        <v>3381</v>
      </c>
      <c r="F3397" s="501" t="s">
        <v>631</v>
      </c>
      <c r="G3397" s="501" t="s">
        <v>632</v>
      </c>
      <c r="H3397" s="501" t="s">
        <v>6077</v>
      </c>
      <c r="I3397" s="501">
        <v>2454</v>
      </c>
      <c r="J3397" s="501">
        <v>2135</v>
      </c>
      <c r="K3397" s="501">
        <v>63</v>
      </c>
      <c r="L3397" s="501">
        <v>58</v>
      </c>
      <c r="M3397" s="501">
        <v>11</v>
      </c>
      <c r="N3397" s="501">
        <v>18</v>
      </c>
      <c r="O3397" s="506">
        <v>187</v>
      </c>
    </row>
    <row r="3398" spans="1:15" x14ac:dyDescent="0.35">
      <c r="A3398" s="503" t="s">
        <v>1190</v>
      </c>
      <c r="B3398" s="504">
        <v>4662</v>
      </c>
      <c r="C3398" s="504" t="s">
        <v>1094</v>
      </c>
      <c r="D3398" s="504" t="s">
        <v>3380</v>
      </c>
      <c r="E3398" s="504" t="s">
        <v>3381</v>
      </c>
      <c r="F3398" s="504" t="s">
        <v>631</v>
      </c>
      <c r="G3398" s="504" t="s">
        <v>632</v>
      </c>
      <c r="H3398" s="504" t="s">
        <v>14717</v>
      </c>
      <c r="I3398" s="504">
        <v>5</v>
      </c>
      <c r="J3398" s="504">
        <v>0</v>
      </c>
      <c r="K3398" s="504">
        <v>0</v>
      </c>
      <c r="L3398" s="504">
        <v>5</v>
      </c>
      <c r="M3398" s="504">
        <v>0</v>
      </c>
      <c r="N3398" s="504">
        <v>0</v>
      </c>
      <c r="O3398" s="505">
        <v>0</v>
      </c>
    </row>
    <row r="3399" spans="1:15" x14ac:dyDescent="0.35">
      <c r="A3399" s="500" t="s">
        <v>1195</v>
      </c>
      <c r="B3399" s="501">
        <v>4693</v>
      </c>
      <c r="C3399" s="501" t="s">
        <v>1089</v>
      </c>
      <c r="D3399" s="501" t="s">
        <v>3392</v>
      </c>
      <c r="E3399" s="501" t="s">
        <v>3381</v>
      </c>
      <c r="F3399" s="501" t="s">
        <v>631</v>
      </c>
      <c r="G3399" s="501" t="s">
        <v>632</v>
      </c>
      <c r="H3399" s="501" t="s">
        <v>6078</v>
      </c>
      <c r="I3399" s="501">
        <v>10</v>
      </c>
      <c r="J3399" s="501">
        <v>0</v>
      </c>
      <c r="K3399" s="501">
        <v>0</v>
      </c>
      <c r="L3399" s="501">
        <v>10</v>
      </c>
      <c r="M3399" s="501">
        <v>0</v>
      </c>
      <c r="N3399" s="501">
        <v>0</v>
      </c>
      <c r="O3399" s="506">
        <v>0</v>
      </c>
    </row>
    <row r="3400" spans="1:15" x14ac:dyDescent="0.35">
      <c r="A3400" s="503" t="s">
        <v>1311</v>
      </c>
      <c r="B3400" s="504" t="s">
        <v>3361</v>
      </c>
      <c r="C3400" s="504" t="s">
        <v>1094</v>
      </c>
      <c r="D3400" s="504" t="s">
        <v>3380</v>
      </c>
      <c r="E3400" s="504" t="s">
        <v>3381</v>
      </c>
      <c r="F3400" s="504" t="s">
        <v>631</v>
      </c>
      <c r="G3400" s="504" t="s">
        <v>632</v>
      </c>
      <c r="H3400" s="504" t="s">
        <v>6079</v>
      </c>
      <c r="I3400" s="504">
        <v>4</v>
      </c>
      <c r="J3400" s="504">
        <v>4</v>
      </c>
      <c r="K3400" s="504">
        <v>0</v>
      </c>
      <c r="L3400" s="504">
        <v>0</v>
      </c>
      <c r="M3400" s="504">
        <v>0</v>
      </c>
      <c r="N3400" s="504">
        <v>0</v>
      </c>
      <c r="O3400" s="505">
        <v>0</v>
      </c>
    </row>
    <row r="3401" spans="1:15" x14ac:dyDescent="0.35">
      <c r="A3401" s="500" t="s">
        <v>1202</v>
      </c>
      <c r="B3401" s="501" t="s">
        <v>3217</v>
      </c>
      <c r="C3401" s="501" t="s">
        <v>1094</v>
      </c>
      <c r="D3401" s="501" t="s">
        <v>3380</v>
      </c>
      <c r="E3401" s="501" t="s">
        <v>3381</v>
      </c>
      <c r="F3401" s="501" t="s">
        <v>631</v>
      </c>
      <c r="G3401" s="501" t="s">
        <v>632</v>
      </c>
      <c r="H3401" s="501" t="s">
        <v>6080</v>
      </c>
      <c r="I3401" s="501">
        <v>5547</v>
      </c>
      <c r="J3401" s="501">
        <v>4047</v>
      </c>
      <c r="K3401" s="501">
        <v>0</v>
      </c>
      <c r="L3401" s="501">
        <v>141</v>
      </c>
      <c r="M3401" s="501">
        <v>217</v>
      </c>
      <c r="N3401" s="501">
        <v>22</v>
      </c>
      <c r="O3401" s="506">
        <v>1142</v>
      </c>
    </row>
    <row r="3402" spans="1:15" x14ac:dyDescent="0.35">
      <c r="A3402" s="503" t="s">
        <v>1114</v>
      </c>
      <c r="B3402" s="504" t="s">
        <v>2982</v>
      </c>
      <c r="C3402" s="504" t="s">
        <v>1094</v>
      </c>
      <c r="D3402" s="504" t="s">
        <v>3380</v>
      </c>
      <c r="E3402" s="504" t="s">
        <v>3381</v>
      </c>
      <c r="F3402" s="504" t="s">
        <v>631</v>
      </c>
      <c r="G3402" s="504" t="s">
        <v>632</v>
      </c>
      <c r="H3402" s="504" t="s">
        <v>6081</v>
      </c>
      <c r="I3402" s="504">
        <v>871</v>
      </c>
      <c r="J3402" s="504">
        <v>458</v>
      </c>
      <c r="K3402" s="504">
        <v>0</v>
      </c>
      <c r="L3402" s="504">
        <v>0</v>
      </c>
      <c r="M3402" s="504">
        <v>43</v>
      </c>
      <c r="N3402" s="504">
        <v>0</v>
      </c>
      <c r="O3402" s="505">
        <v>370</v>
      </c>
    </row>
    <row r="3403" spans="1:15" x14ac:dyDescent="0.35">
      <c r="A3403" s="500" t="s">
        <v>1506</v>
      </c>
      <c r="B3403" s="501" t="s">
        <v>3318</v>
      </c>
      <c r="C3403" s="501" t="s">
        <v>1089</v>
      </c>
      <c r="D3403" s="501" t="s">
        <v>3392</v>
      </c>
      <c r="E3403" s="501" t="s">
        <v>3381</v>
      </c>
      <c r="F3403" s="501" t="s">
        <v>631</v>
      </c>
      <c r="G3403" s="501" t="s">
        <v>632</v>
      </c>
      <c r="H3403" s="501" t="s">
        <v>6082</v>
      </c>
      <c r="I3403" s="501">
        <v>68</v>
      </c>
      <c r="J3403" s="501">
        <v>55</v>
      </c>
      <c r="K3403" s="501">
        <v>0</v>
      </c>
      <c r="L3403" s="501">
        <v>0</v>
      </c>
      <c r="M3403" s="501">
        <v>13</v>
      </c>
      <c r="N3403" s="501">
        <v>5</v>
      </c>
      <c r="O3403" s="506">
        <v>0</v>
      </c>
    </row>
    <row r="3404" spans="1:15" x14ac:dyDescent="0.35">
      <c r="A3404" s="503" t="s">
        <v>1319</v>
      </c>
      <c r="B3404" s="504">
        <v>4880</v>
      </c>
      <c r="C3404" s="504" t="s">
        <v>1094</v>
      </c>
      <c r="D3404" s="504" t="s">
        <v>3380</v>
      </c>
      <c r="E3404" s="504" t="s">
        <v>3381</v>
      </c>
      <c r="F3404" s="504" t="s">
        <v>631</v>
      </c>
      <c r="G3404" s="504" t="s">
        <v>632</v>
      </c>
      <c r="H3404" s="504" t="s">
        <v>6083</v>
      </c>
      <c r="I3404" s="504">
        <v>67</v>
      </c>
      <c r="J3404" s="504">
        <v>51</v>
      </c>
      <c r="K3404" s="504">
        <v>0</v>
      </c>
      <c r="L3404" s="504">
        <v>0</v>
      </c>
      <c r="M3404" s="504">
        <v>0</v>
      </c>
      <c r="N3404" s="504">
        <v>0</v>
      </c>
      <c r="O3404" s="505">
        <v>16</v>
      </c>
    </row>
    <row r="3405" spans="1:15" x14ac:dyDescent="0.35">
      <c r="A3405" s="500" t="s">
        <v>1120</v>
      </c>
      <c r="B3405" s="501" t="s">
        <v>3362</v>
      </c>
      <c r="C3405" s="501" t="s">
        <v>1094</v>
      </c>
      <c r="D3405" s="501" t="s">
        <v>3380</v>
      </c>
      <c r="E3405" s="501" t="s">
        <v>3381</v>
      </c>
      <c r="F3405" s="501" t="s">
        <v>631</v>
      </c>
      <c r="G3405" s="501" t="s">
        <v>632</v>
      </c>
      <c r="H3405" s="501" t="s">
        <v>6084</v>
      </c>
      <c r="I3405" s="501">
        <v>66</v>
      </c>
      <c r="J3405" s="501">
        <v>0</v>
      </c>
      <c r="K3405" s="501">
        <v>0</v>
      </c>
      <c r="L3405" s="501">
        <v>0</v>
      </c>
      <c r="M3405" s="501">
        <v>0</v>
      </c>
      <c r="N3405" s="501">
        <v>0</v>
      </c>
      <c r="O3405" s="506">
        <v>66</v>
      </c>
    </row>
    <row r="3406" spans="1:15" x14ac:dyDescent="0.35">
      <c r="A3406" s="503" t="s">
        <v>1322</v>
      </c>
      <c r="B3406" s="504" t="s">
        <v>3244</v>
      </c>
      <c r="C3406" s="504" t="s">
        <v>1094</v>
      </c>
      <c r="D3406" s="504" t="s">
        <v>3380</v>
      </c>
      <c r="E3406" s="504" t="s">
        <v>3381</v>
      </c>
      <c r="F3406" s="504" t="s">
        <v>631</v>
      </c>
      <c r="G3406" s="504" t="s">
        <v>632</v>
      </c>
      <c r="H3406" s="504" t="s">
        <v>6085</v>
      </c>
      <c r="I3406" s="504">
        <v>38</v>
      </c>
      <c r="J3406" s="504">
        <v>24</v>
      </c>
      <c r="K3406" s="504">
        <v>0</v>
      </c>
      <c r="L3406" s="504">
        <v>0</v>
      </c>
      <c r="M3406" s="504">
        <v>0</v>
      </c>
      <c r="N3406" s="504">
        <v>0</v>
      </c>
      <c r="O3406" s="505">
        <v>14</v>
      </c>
    </row>
    <row r="3407" spans="1:15" x14ac:dyDescent="0.35">
      <c r="A3407" s="500" t="s">
        <v>1217</v>
      </c>
      <c r="B3407" s="501">
        <v>4851</v>
      </c>
      <c r="C3407" s="501" t="s">
        <v>1094</v>
      </c>
      <c r="D3407" s="501" t="s">
        <v>3380</v>
      </c>
      <c r="E3407" s="501" t="s">
        <v>3381</v>
      </c>
      <c r="F3407" s="501" t="s">
        <v>631</v>
      </c>
      <c r="G3407" s="501" t="s">
        <v>632</v>
      </c>
      <c r="H3407" s="501" t="s">
        <v>6086</v>
      </c>
      <c r="I3407" s="501">
        <v>1125</v>
      </c>
      <c r="J3407" s="501">
        <v>530</v>
      </c>
      <c r="K3407" s="501">
        <v>0</v>
      </c>
      <c r="L3407" s="501">
        <v>0</v>
      </c>
      <c r="M3407" s="501">
        <v>402</v>
      </c>
      <c r="N3407" s="501">
        <v>2</v>
      </c>
      <c r="O3407" s="506">
        <v>193</v>
      </c>
    </row>
    <row r="3408" spans="1:15" x14ac:dyDescent="0.35">
      <c r="A3408" s="503" t="s">
        <v>1218</v>
      </c>
      <c r="B3408" s="504" t="s">
        <v>3147</v>
      </c>
      <c r="C3408" s="504" t="s">
        <v>1094</v>
      </c>
      <c r="D3408" s="504" t="s">
        <v>3380</v>
      </c>
      <c r="E3408" s="504" t="s">
        <v>3381</v>
      </c>
      <c r="F3408" s="504" t="s">
        <v>631</v>
      </c>
      <c r="G3408" s="504" t="s">
        <v>632</v>
      </c>
      <c r="H3408" s="504" t="s">
        <v>6087</v>
      </c>
      <c r="I3408" s="504">
        <v>1</v>
      </c>
      <c r="J3408" s="504">
        <v>0</v>
      </c>
      <c r="K3408" s="504">
        <v>0</v>
      </c>
      <c r="L3408" s="504">
        <v>0</v>
      </c>
      <c r="M3408" s="504">
        <v>0</v>
      </c>
      <c r="N3408" s="504">
        <v>0</v>
      </c>
      <c r="O3408" s="505">
        <v>1</v>
      </c>
    </row>
    <row r="3409" spans="1:15" x14ac:dyDescent="0.35">
      <c r="A3409" s="500" t="s">
        <v>11367</v>
      </c>
      <c r="B3409" s="501" t="s">
        <v>3143</v>
      </c>
      <c r="C3409" s="501" t="s">
        <v>1094</v>
      </c>
      <c r="D3409" s="501" t="s">
        <v>3380</v>
      </c>
      <c r="E3409" s="501" t="s">
        <v>3381</v>
      </c>
      <c r="F3409" s="501" t="s">
        <v>631</v>
      </c>
      <c r="G3409" s="501" t="s">
        <v>632</v>
      </c>
      <c r="H3409" s="501" t="s">
        <v>11926</v>
      </c>
      <c r="I3409" s="501">
        <v>1</v>
      </c>
      <c r="J3409" s="501">
        <v>1</v>
      </c>
      <c r="K3409" s="501">
        <v>0</v>
      </c>
      <c r="L3409" s="501">
        <v>0</v>
      </c>
      <c r="M3409" s="501">
        <v>0</v>
      </c>
      <c r="N3409" s="501">
        <v>0</v>
      </c>
      <c r="O3409" s="506">
        <v>0</v>
      </c>
    </row>
    <row r="3410" spans="1:15" x14ac:dyDescent="0.35">
      <c r="A3410" s="503" t="s">
        <v>1220</v>
      </c>
      <c r="B3410" s="504">
        <v>4849</v>
      </c>
      <c r="C3410" s="504" t="s">
        <v>1094</v>
      </c>
      <c r="D3410" s="504" t="s">
        <v>3380</v>
      </c>
      <c r="E3410" s="504" t="s">
        <v>3381</v>
      </c>
      <c r="F3410" s="504" t="s">
        <v>631</v>
      </c>
      <c r="G3410" s="504" t="s">
        <v>632</v>
      </c>
      <c r="H3410" s="504" t="s">
        <v>6088</v>
      </c>
      <c r="I3410" s="504">
        <v>1014</v>
      </c>
      <c r="J3410" s="504">
        <v>807</v>
      </c>
      <c r="K3410" s="504">
        <v>0</v>
      </c>
      <c r="L3410" s="504">
        <v>8</v>
      </c>
      <c r="M3410" s="504">
        <v>31</v>
      </c>
      <c r="N3410" s="504">
        <v>0</v>
      </c>
      <c r="O3410" s="505">
        <v>168</v>
      </c>
    </row>
    <row r="3411" spans="1:15" x14ac:dyDescent="0.35">
      <c r="A3411" s="500" t="s">
        <v>1221</v>
      </c>
      <c r="B3411" s="501">
        <v>4728</v>
      </c>
      <c r="C3411" s="501" t="s">
        <v>1089</v>
      </c>
      <c r="D3411" s="501" t="s">
        <v>3392</v>
      </c>
      <c r="E3411" s="501" t="s">
        <v>3381</v>
      </c>
      <c r="F3411" s="501" t="s">
        <v>631</v>
      </c>
      <c r="G3411" s="501" t="s">
        <v>632</v>
      </c>
      <c r="H3411" s="501" t="s">
        <v>6089</v>
      </c>
      <c r="I3411" s="501">
        <v>9</v>
      </c>
      <c r="J3411" s="501">
        <v>0</v>
      </c>
      <c r="K3411" s="501">
        <v>0</v>
      </c>
      <c r="L3411" s="501">
        <v>9</v>
      </c>
      <c r="M3411" s="501">
        <v>0</v>
      </c>
      <c r="N3411" s="501">
        <v>0</v>
      </c>
      <c r="O3411" s="506">
        <v>0</v>
      </c>
    </row>
    <row r="3412" spans="1:15" x14ac:dyDescent="0.35">
      <c r="A3412" s="503" t="s">
        <v>1332</v>
      </c>
      <c r="B3412" s="504">
        <v>4878</v>
      </c>
      <c r="C3412" s="504" t="s">
        <v>1094</v>
      </c>
      <c r="D3412" s="504" t="s">
        <v>3380</v>
      </c>
      <c r="E3412" s="504" t="s">
        <v>3381</v>
      </c>
      <c r="F3412" s="504" t="s">
        <v>631</v>
      </c>
      <c r="G3412" s="504" t="s">
        <v>632</v>
      </c>
      <c r="H3412" s="504" t="s">
        <v>6090</v>
      </c>
      <c r="I3412" s="504">
        <v>3283</v>
      </c>
      <c r="J3412" s="504">
        <v>2825</v>
      </c>
      <c r="K3412" s="504">
        <v>0</v>
      </c>
      <c r="L3412" s="504">
        <v>66</v>
      </c>
      <c r="M3412" s="504">
        <v>58</v>
      </c>
      <c r="N3412" s="504">
        <v>0</v>
      </c>
      <c r="O3412" s="505">
        <v>334</v>
      </c>
    </row>
    <row r="3413" spans="1:15" x14ac:dyDescent="0.35">
      <c r="A3413" s="500" t="s">
        <v>1520</v>
      </c>
      <c r="B3413" s="501" t="s">
        <v>2516</v>
      </c>
      <c r="C3413" s="501" t="s">
        <v>1089</v>
      </c>
      <c r="D3413" s="501" t="s">
        <v>3392</v>
      </c>
      <c r="E3413" s="501" t="s">
        <v>3381</v>
      </c>
      <c r="F3413" s="501" t="s">
        <v>631</v>
      </c>
      <c r="G3413" s="501" t="s">
        <v>632</v>
      </c>
      <c r="H3413" s="501" t="s">
        <v>6091</v>
      </c>
      <c r="I3413" s="501">
        <v>10</v>
      </c>
      <c r="J3413" s="501">
        <v>0</v>
      </c>
      <c r="K3413" s="501">
        <v>0</v>
      </c>
      <c r="L3413" s="501">
        <v>0</v>
      </c>
      <c r="M3413" s="501">
        <v>10</v>
      </c>
      <c r="N3413" s="501">
        <v>0</v>
      </c>
      <c r="O3413" s="506">
        <v>0</v>
      </c>
    </row>
    <row r="3414" spans="1:15" x14ac:dyDescent="0.35">
      <c r="A3414" s="503" t="s">
        <v>1124</v>
      </c>
      <c r="B3414" s="504">
        <v>4745</v>
      </c>
      <c r="C3414" s="504" t="s">
        <v>1094</v>
      </c>
      <c r="D3414" s="504" t="s">
        <v>3380</v>
      </c>
      <c r="E3414" s="504" t="s">
        <v>3381</v>
      </c>
      <c r="F3414" s="504" t="s">
        <v>631</v>
      </c>
      <c r="G3414" s="504" t="s">
        <v>632</v>
      </c>
      <c r="H3414" s="504" t="s">
        <v>6092</v>
      </c>
      <c r="I3414" s="504">
        <v>16</v>
      </c>
      <c r="J3414" s="504">
        <v>0</v>
      </c>
      <c r="K3414" s="504">
        <v>0</v>
      </c>
      <c r="L3414" s="504">
        <v>16</v>
      </c>
      <c r="M3414" s="504">
        <v>0</v>
      </c>
      <c r="N3414" s="504">
        <v>0</v>
      </c>
      <c r="O3414" s="505">
        <v>0</v>
      </c>
    </row>
    <row r="3415" spans="1:15" x14ac:dyDescent="0.35">
      <c r="A3415" s="500" t="s">
        <v>1540</v>
      </c>
      <c r="B3415" s="501" t="s">
        <v>3271</v>
      </c>
      <c r="C3415" s="501" t="s">
        <v>1089</v>
      </c>
      <c r="D3415" s="501" t="s">
        <v>3392</v>
      </c>
      <c r="E3415" s="501" t="s">
        <v>3381</v>
      </c>
      <c r="F3415" s="501" t="s">
        <v>631</v>
      </c>
      <c r="G3415" s="501" t="s">
        <v>632</v>
      </c>
      <c r="H3415" s="501" t="s">
        <v>6093</v>
      </c>
      <c r="I3415" s="501">
        <v>6</v>
      </c>
      <c r="J3415" s="501">
        <v>6</v>
      </c>
      <c r="K3415" s="501">
        <v>0</v>
      </c>
      <c r="L3415" s="501">
        <v>0</v>
      </c>
      <c r="M3415" s="501">
        <v>0</v>
      </c>
      <c r="N3415" s="501">
        <v>0</v>
      </c>
      <c r="O3415" s="506">
        <v>0</v>
      </c>
    </row>
    <row r="3416" spans="1:15" x14ac:dyDescent="0.35">
      <c r="A3416" s="503" t="s">
        <v>1126</v>
      </c>
      <c r="B3416" s="504" t="s">
        <v>2974</v>
      </c>
      <c r="C3416" s="504" t="s">
        <v>1094</v>
      </c>
      <c r="D3416" s="504" t="s">
        <v>3380</v>
      </c>
      <c r="E3416" s="504" t="s">
        <v>3381</v>
      </c>
      <c r="F3416" s="504" t="s">
        <v>631</v>
      </c>
      <c r="G3416" s="504" t="s">
        <v>632</v>
      </c>
      <c r="H3416" s="504" t="s">
        <v>6094</v>
      </c>
      <c r="I3416" s="504">
        <v>43</v>
      </c>
      <c r="J3416" s="504">
        <v>0</v>
      </c>
      <c r="K3416" s="504">
        <v>0</v>
      </c>
      <c r="L3416" s="504">
        <v>43</v>
      </c>
      <c r="M3416" s="504">
        <v>0</v>
      </c>
      <c r="N3416" s="504">
        <v>0</v>
      </c>
      <c r="O3416" s="505">
        <v>0</v>
      </c>
    </row>
    <row r="3417" spans="1:15" x14ac:dyDescent="0.35">
      <c r="A3417" s="500" t="s">
        <v>1342</v>
      </c>
      <c r="B3417" s="501" t="s">
        <v>3237</v>
      </c>
      <c r="C3417" s="501" t="s">
        <v>1094</v>
      </c>
      <c r="D3417" s="501" t="s">
        <v>3380</v>
      </c>
      <c r="E3417" s="501" t="s">
        <v>3381</v>
      </c>
      <c r="F3417" s="501" t="s">
        <v>631</v>
      </c>
      <c r="G3417" s="501" t="s">
        <v>632</v>
      </c>
      <c r="H3417" s="501" t="s">
        <v>6095</v>
      </c>
      <c r="I3417" s="501">
        <v>1</v>
      </c>
      <c r="J3417" s="501">
        <v>0</v>
      </c>
      <c r="K3417" s="501">
        <v>0</v>
      </c>
      <c r="L3417" s="501">
        <v>0</v>
      </c>
      <c r="M3417" s="501">
        <v>0</v>
      </c>
      <c r="N3417" s="501">
        <v>0</v>
      </c>
      <c r="O3417" s="506">
        <v>1</v>
      </c>
    </row>
    <row r="3418" spans="1:15" x14ac:dyDescent="0.35">
      <c r="A3418" s="503" t="s">
        <v>1130</v>
      </c>
      <c r="B3418" s="504" t="s">
        <v>3234</v>
      </c>
      <c r="C3418" s="504" t="s">
        <v>1094</v>
      </c>
      <c r="D3418" s="504" t="s">
        <v>3380</v>
      </c>
      <c r="E3418" s="504" t="s">
        <v>3381</v>
      </c>
      <c r="F3418" s="504" t="s">
        <v>631</v>
      </c>
      <c r="G3418" s="504" t="s">
        <v>632</v>
      </c>
      <c r="H3418" s="504" t="s">
        <v>6096</v>
      </c>
      <c r="I3418" s="504">
        <v>823</v>
      </c>
      <c r="J3418" s="504">
        <v>531</v>
      </c>
      <c r="K3418" s="504">
        <v>0</v>
      </c>
      <c r="L3418" s="504">
        <v>0</v>
      </c>
      <c r="M3418" s="504">
        <v>0</v>
      </c>
      <c r="N3418" s="504">
        <v>4</v>
      </c>
      <c r="O3418" s="505">
        <v>292</v>
      </c>
    </row>
    <row r="3419" spans="1:15" x14ac:dyDescent="0.35">
      <c r="A3419" s="500" t="s">
        <v>1347</v>
      </c>
      <c r="B3419" s="501" t="s">
        <v>3185</v>
      </c>
      <c r="C3419" s="501" t="s">
        <v>1089</v>
      </c>
      <c r="D3419" s="501" t="s">
        <v>3392</v>
      </c>
      <c r="E3419" s="501" t="s">
        <v>3381</v>
      </c>
      <c r="F3419" s="501" t="s">
        <v>631</v>
      </c>
      <c r="G3419" s="501" t="s">
        <v>632</v>
      </c>
      <c r="H3419" s="501" t="s">
        <v>6097</v>
      </c>
      <c r="I3419" s="501">
        <v>4</v>
      </c>
      <c r="J3419" s="501">
        <v>4</v>
      </c>
      <c r="K3419" s="501">
        <v>0</v>
      </c>
      <c r="L3419" s="501">
        <v>0</v>
      </c>
      <c r="M3419" s="501">
        <v>0</v>
      </c>
      <c r="N3419" s="501">
        <v>0</v>
      </c>
      <c r="O3419" s="506">
        <v>0</v>
      </c>
    </row>
    <row r="3420" spans="1:15" x14ac:dyDescent="0.35">
      <c r="A3420" s="503" t="s">
        <v>1568</v>
      </c>
      <c r="B3420" s="504" t="s">
        <v>2591</v>
      </c>
      <c r="C3420" s="504" t="s">
        <v>1089</v>
      </c>
      <c r="D3420" s="504" t="s">
        <v>3392</v>
      </c>
      <c r="E3420" s="504" t="s">
        <v>3381</v>
      </c>
      <c r="F3420" s="504" t="s">
        <v>631</v>
      </c>
      <c r="G3420" s="504" t="s">
        <v>632</v>
      </c>
      <c r="H3420" s="504" t="s">
        <v>6098</v>
      </c>
      <c r="I3420" s="504">
        <v>72</v>
      </c>
      <c r="J3420" s="504">
        <v>0</v>
      </c>
      <c r="K3420" s="504">
        <v>0</v>
      </c>
      <c r="L3420" s="504">
        <v>0</v>
      </c>
      <c r="M3420" s="504">
        <v>72</v>
      </c>
      <c r="N3420" s="504">
        <v>28</v>
      </c>
      <c r="O3420" s="505">
        <v>0</v>
      </c>
    </row>
    <row r="3421" spans="1:15" x14ac:dyDescent="0.35">
      <c r="A3421" s="500" t="s">
        <v>1573</v>
      </c>
      <c r="B3421" s="501" t="s">
        <v>2473</v>
      </c>
      <c r="C3421" s="501" t="s">
        <v>1089</v>
      </c>
      <c r="D3421" s="501" t="s">
        <v>3392</v>
      </c>
      <c r="E3421" s="501" t="s">
        <v>3381</v>
      </c>
      <c r="F3421" s="501" t="s">
        <v>631</v>
      </c>
      <c r="G3421" s="501" t="s">
        <v>632</v>
      </c>
      <c r="H3421" s="501" t="s">
        <v>6099</v>
      </c>
      <c r="I3421" s="501">
        <v>34</v>
      </c>
      <c r="J3421" s="501">
        <v>0</v>
      </c>
      <c r="K3421" s="501">
        <v>0</v>
      </c>
      <c r="L3421" s="501">
        <v>0</v>
      </c>
      <c r="M3421" s="501">
        <v>34</v>
      </c>
      <c r="N3421" s="501">
        <v>0</v>
      </c>
      <c r="O3421" s="506">
        <v>0</v>
      </c>
    </row>
    <row r="3422" spans="1:15" x14ac:dyDescent="0.35">
      <c r="A3422" s="503" t="s">
        <v>1253</v>
      </c>
      <c r="B3422" s="504" t="s">
        <v>3232</v>
      </c>
      <c r="C3422" s="504" t="s">
        <v>1094</v>
      </c>
      <c r="D3422" s="504" t="s">
        <v>3380</v>
      </c>
      <c r="E3422" s="504" t="s">
        <v>3381</v>
      </c>
      <c r="F3422" s="504" t="s">
        <v>631</v>
      </c>
      <c r="G3422" s="504" t="s">
        <v>632</v>
      </c>
      <c r="H3422" s="504" t="s">
        <v>6100</v>
      </c>
      <c r="I3422" s="504">
        <v>69</v>
      </c>
      <c r="J3422" s="504">
        <v>21</v>
      </c>
      <c r="K3422" s="504">
        <v>0</v>
      </c>
      <c r="L3422" s="504">
        <v>0</v>
      </c>
      <c r="M3422" s="504">
        <v>48</v>
      </c>
      <c r="N3422" s="504">
        <v>0</v>
      </c>
      <c r="O3422" s="505">
        <v>0</v>
      </c>
    </row>
    <row r="3423" spans="1:15" x14ac:dyDescent="0.35">
      <c r="A3423" s="500" t="s">
        <v>1262</v>
      </c>
      <c r="B3423" s="501">
        <v>4772</v>
      </c>
      <c r="C3423" s="501" t="s">
        <v>1089</v>
      </c>
      <c r="D3423" s="501" t="s">
        <v>3392</v>
      </c>
      <c r="E3423" s="501" t="s">
        <v>3381</v>
      </c>
      <c r="F3423" s="501" t="s">
        <v>631</v>
      </c>
      <c r="G3423" s="501" t="s">
        <v>632</v>
      </c>
      <c r="H3423" s="501" t="s">
        <v>6101</v>
      </c>
      <c r="I3423" s="501">
        <v>8</v>
      </c>
      <c r="J3423" s="501">
        <v>0</v>
      </c>
      <c r="K3423" s="501">
        <v>0</v>
      </c>
      <c r="L3423" s="501">
        <v>8</v>
      </c>
      <c r="M3423" s="501">
        <v>0</v>
      </c>
      <c r="N3423" s="501">
        <v>0</v>
      </c>
      <c r="O3423" s="506">
        <v>0</v>
      </c>
    </row>
    <row r="3424" spans="1:15" x14ac:dyDescent="0.35">
      <c r="A3424" s="503" t="s">
        <v>1386</v>
      </c>
      <c r="B3424" s="504" t="s">
        <v>3331</v>
      </c>
      <c r="C3424" s="504" t="s">
        <v>1094</v>
      </c>
      <c r="D3424" s="504" t="s">
        <v>3380</v>
      </c>
      <c r="E3424" s="504" t="s">
        <v>3381</v>
      </c>
      <c r="F3424" s="504" t="s">
        <v>633</v>
      </c>
      <c r="G3424" s="504" t="s">
        <v>634</v>
      </c>
      <c r="H3424" s="504" t="s">
        <v>6102</v>
      </c>
      <c r="I3424" s="504">
        <v>110</v>
      </c>
      <c r="J3424" s="504">
        <v>62</v>
      </c>
      <c r="K3424" s="504">
        <v>0</v>
      </c>
      <c r="L3424" s="504">
        <v>13</v>
      </c>
      <c r="M3424" s="504">
        <v>0</v>
      </c>
      <c r="N3424" s="504">
        <v>0</v>
      </c>
      <c r="O3424" s="505">
        <v>35</v>
      </c>
    </row>
    <row r="3425" spans="1:15" x14ac:dyDescent="0.35">
      <c r="A3425" s="500" t="s">
        <v>1793</v>
      </c>
      <c r="B3425" s="501" t="s">
        <v>2911</v>
      </c>
      <c r="C3425" s="501" t="s">
        <v>1089</v>
      </c>
      <c r="D3425" s="501" t="s">
        <v>3392</v>
      </c>
      <c r="E3425" s="501" t="s">
        <v>3381</v>
      </c>
      <c r="F3425" s="501" t="s">
        <v>633</v>
      </c>
      <c r="G3425" s="501" t="s">
        <v>634</v>
      </c>
      <c r="H3425" s="501" t="s">
        <v>6103</v>
      </c>
      <c r="I3425" s="501">
        <v>10</v>
      </c>
      <c r="J3425" s="501">
        <v>0</v>
      </c>
      <c r="K3425" s="501">
        <v>0</v>
      </c>
      <c r="L3425" s="501">
        <v>0</v>
      </c>
      <c r="M3425" s="501">
        <v>10</v>
      </c>
      <c r="N3425" s="501">
        <v>0</v>
      </c>
      <c r="O3425" s="506">
        <v>0</v>
      </c>
    </row>
    <row r="3426" spans="1:15" x14ac:dyDescent="0.35">
      <c r="A3426" s="503" t="s">
        <v>14127</v>
      </c>
      <c r="B3426" s="504" t="s">
        <v>14126</v>
      </c>
      <c r="C3426" s="504" t="s">
        <v>1094</v>
      </c>
      <c r="D3426" s="504" t="s">
        <v>3380</v>
      </c>
      <c r="E3426" s="504" t="s">
        <v>3381</v>
      </c>
      <c r="F3426" s="504" t="s">
        <v>633</v>
      </c>
      <c r="G3426" s="504" t="s">
        <v>634</v>
      </c>
      <c r="H3426" s="504" t="s">
        <v>14718</v>
      </c>
      <c r="I3426" s="504">
        <v>75</v>
      </c>
      <c r="J3426" s="504">
        <v>62</v>
      </c>
      <c r="K3426" s="504">
        <v>0</v>
      </c>
      <c r="L3426" s="504">
        <v>0</v>
      </c>
      <c r="M3426" s="504">
        <v>0</v>
      </c>
      <c r="N3426" s="504">
        <v>0</v>
      </c>
      <c r="O3426" s="505">
        <v>13</v>
      </c>
    </row>
    <row r="3427" spans="1:15" x14ac:dyDescent="0.35">
      <c r="A3427" s="500" t="s">
        <v>1093</v>
      </c>
      <c r="B3427" s="501" t="s">
        <v>3248</v>
      </c>
      <c r="C3427" s="501" t="s">
        <v>1094</v>
      </c>
      <c r="D3427" s="501" t="s">
        <v>3380</v>
      </c>
      <c r="E3427" s="501" t="s">
        <v>3381</v>
      </c>
      <c r="F3427" s="501" t="s">
        <v>633</v>
      </c>
      <c r="G3427" s="501" t="s">
        <v>634</v>
      </c>
      <c r="H3427" s="501" t="s">
        <v>6104</v>
      </c>
      <c r="I3427" s="501">
        <v>9</v>
      </c>
      <c r="J3427" s="501">
        <v>0</v>
      </c>
      <c r="K3427" s="501">
        <v>0</v>
      </c>
      <c r="L3427" s="501">
        <v>7</v>
      </c>
      <c r="M3427" s="501">
        <v>0</v>
      </c>
      <c r="N3427" s="501">
        <v>0</v>
      </c>
      <c r="O3427" s="506">
        <v>2</v>
      </c>
    </row>
    <row r="3428" spans="1:15" x14ac:dyDescent="0.35">
      <c r="A3428" s="503" t="s">
        <v>1803</v>
      </c>
      <c r="B3428" s="504" t="s">
        <v>2745</v>
      </c>
      <c r="C3428" s="504" t="s">
        <v>1089</v>
      </c>
      <c r="D3428" s="504" t="s">
        <v>3392</v>
      </c>
      <c r="E3428" s="504" t="s">
        <v>3381</v>
      </c>
      <c r="F3428" s="504" t="s">
        <v>633</v>
      </c>
      <c r="G3428" s="504" t="s">
        <v>634</v>
      </c>
      <c r="H3428" s="504" t="s">
        <v>6105</v>
      </c>
      <c r="I3428" s="504">
        <v>45</v>
      </c>
      <c r="J3428" s="504">
        <v>45</v>
      </c>
      <c r="K3428" s="504">
        <v>0</v>
      </c>
      <c r="L3428" s="504">
        <v>0</v>
      </c>
      <c r="M3428" s="504">
        <v>0</v>
      </c>
      <c r="N3428" s="504">
        <v>0</v>
      </c>
      <c r="O3428" s="505">
        <v>0</v>
      </c>
    </row>
    <row r="3429" spans="1:15" x14ac:dyDescent="0.35">
      <c r="A3429" s="500" t="s">
        <v>1100</v>
      </c>
      <c r="B3429" s="501">
        <v>4865</v>
      </c>
      <c r="C3429" s="501" t="s">
        <v>1094</v>
      </c>
      <c r="D3429" s="501" t="s">
        <v>3380</v>
      </c>
      <c r="E3429" s="501" t="s">
        <v>3381</v>
      </c>
      <c r="F3429" s="501" t="s">
        <v>633</v>
      </c>
      <c r="G3429" s="501" t="s">
        <v>634</v>
      </c>
      <c r="H3429" s="501" t="s">
        <v>6106</v>
      </c>
      <c r="I3429" s="501">
        <v>378</v>
      </c>
      <c r="J3429" s="501">
        <v>254</v>
      </c>
      <c r="K3429" s="501">
        <v>0</v>
      </c>
      <c r="L3429" s="501">
        <v>0</v>
      </c>
      <c r="M3429" s="501">
        <v>65</v>
      </c>
      <c r="N3429" s="501">
        <v>0</v>
      </c>
      <c r="O3429" s="506">
        <v>59</v>
      </c>
    </row>
    <row r="3430" spans="1:15" x14ac:dyDescent="0.35">
      <c r="A3430" s="503" t="s">
        <v>1175</v>
      </c>
      <c r="B3430" s="504" t="s">
        <v>3141</v>
      </c>
      <c r="C3430" s="504" t="s">
        <v>1094</v>
      </c>
      <c r="D3430" s="504" t="s">
        <v>3380</v>
      </c>
      <c r="E3430" s="504" t="s">
        <v>3381</v>
      </c>
      <c r="F3430" s="504" t="s">
        <v>633</v>
      </c>
      <c r="G3430" s="504" t="s">
        <v>634</v>
      </c>
      <c r="H3430" s="504" t="s">
        <v>6107</v>
      </c>
      <c r="I3430" s="504">
        <v>40</v>
      </c>
      <c r="J3430" s="504">
        <v>27</v>
      </c>
      <c r="K3430" s="504">
        <v>0</v>
      </c>
      <c r="L3430" s="504">
        <v>0</v>
      </c>
      <c r="M3430" s="504">
        <v>0</v>
      </c>
      <c r="N3430" s="504">
        <v>0</v>
      </c>
      <c r="O3430" s="505">
        <v>13</v>
      </c>
    </row>
    <row r="3431" spans="1:15" x14ac:dyDescent="0.35">
      <c r="A3431" s="500" t="s">
        <v>1839</v>
      </c>
      <c r="B3431" s="501" t="s">
        <v>3050</v>
      </c>
      <c r="C3431" s="501" t="s">
        <v>1089</v>
      </c>
      <c r="D3431" s="501" t="s">
        <v>3392</v>
      </c>
      <c r="E3431" s="501" t="s">
        <v>3381</v>
      </c>
      <c r="F3431" s="501" t="s">
        <v>633</v>
      </c>
      <c r="G3431" s="501" t="s">
        <v>634</v>
      </c>
      <c r="H3431" s="501" t="s">
        <v>6108</v>
      </c>
      <c r="I3431" s="501">
        <v>18</v>
      </c>
      <c r="J3431" s="501">
        <v>18</v>
      </c>
      <c r="K3431" s="501">
        <v>0</v>
      </c>
      <c r="L3431" s="501">
        <v>0</v>
      </c>
      <c r="M3431" s="501">
        <v>0</v>
      </c>
      <c r="N3431" s="501">
        <v>0</v>
      </c>
      <c r="O3431" s="506">
        <v>0</v>
      </c>
    </row>
    <row r="3432" spans="1:15" x14ac:dyDescent="0.35">
      <c r="A3432" s="503" t="s">
        <v>1842</v>
      </c>
      <c r="B3432" s="504" t="s">
        <v>3267</v>
      </c>
      <c r="C3432" s="504" t="s">
        <v>1089</v>
      </c>
      <c r="D3432" s="504" t="s">
        <v>3392</v>
      </c>
      <c r="E3432" s="504" t="s">
        <v>3381</v>
      </c>
      <c r="F3432" s="504" t="s">
        <v>633</v>
      </c>
      <c r="G3432" s="504" t="s">
        <v>634</v>
      </c>
      <c r="H3432" s="504" t="s">
        <v>6109</v>
      </c>
      <c r="I3432" s="504">
        <v>87</v>
      </c>
      <c r="J3432" s="504">
        <v>0</v>
      </c>
      <c r="K3432" s="504">
        <v>0</v>
      </c>
      <c r="L3432" s="504">
        <v>0</v>
      </c>
      <c r="M3432" s="504">
        <v>87</v>
      </c>
      <c r="N3432" s="504">
        <v>0</v>
      </c>
      <c r="O3432" s="505">
        <v>0</v>
      </c>
    </row>
    <row r="3433" spans="1:15" x14ac:dyDescent="0.35">
      <c r="A3433" s="500" t="s">
        <v>1852</v>
      </c>
      <c r="B3433" s="501" t="s">
        <v>3085</v>
      </c>
      <c r="C3433" s="501" t="s">
        <v>1089</v>
      </c>
      <c r="D3433" s="501" t="s">
        <v>3392</v>
      </c>
      <c r="E3433" s="501" t="s">
        <v>3381</v>
      </c>
      <c r="F3433" s="501" t="s">
        <v>633</v>
      </c>
      <c r="G3433" s="501" t="s">
        <v>634</v>
      </c>
      <c r="H3433" s="501" t="s">
        <v>6110</v>
      </c>
      <c r="I3433" s="501">
        <v>30</v>
      </c>
      <c r="J3433" s="501">
        <v>0</v>
      </c>
      <c r="K3433" s="501">
        <v>0</v>
      </c>
      <c r="L3433" s="501">
        <v>0</v>
      </c>
      <c r="M3433" s="501">
        <v>30</v>
      </c>
      <c r="N3433" s="501">
        <v>0</v>
      </c>
      <c r="O3433" s="506">
        <v>0</v>
      </c>
    </row>
    <row r="3434" spans="1:15" x14ac:dyDescent="0.35">
      <c r="A3434" s="503" t="s">
        <v>1107</v>
      </c>
      <c r="B3434" s="504" t="s">
        <v>3109</v>
      </c>
      <c r="C3434" s="504" t="s">
        <v>1094</v>
      </c>
      <c r="D3434" s="504" t="s">
        <v>3380</v>
      </c>
      <c r="E3434" s="504" t="s">
        <v>3381</v>
      </c>
      <c r="F3434" s="504" t="s">
        <v>633</v>
      </c>
      <c r="G3434" s="504" t="s">
        <v>634</v>
      </c>
      <c r="H3434" s="504" t="s">
        <v>6111</v>
      </c>
      <c r="I3434" s="504">
        <v>396</v>
      </c>
      <c r="J3434" s="504">
        <v>298</v>
      </c>
      <c r="K3434" s="504">
        <v>0</v>
      </c>
      <c r="L3434" s="504">
        <v>36</v>
      </c>
      <c r="M3434" s="504">
        <v>0</v>
      </c>
      <c r="N3434" s="504">
        <v>0</v>
      </c>
      <c r="O3434" s="505">
        <v>62</v>
      </c>
    </row>
    <row r="3435" spans="1:15" x14ac:dyDescent="0.35">
      <c r="A3435" s="500" t="s">
        <v>1202</v>
      </c>
      <c r="B3435" s="501" t="s">
        <v>3217</v>
      </c>
      <c r="C3435" s="501" t="s">
        <v>1094</v>
      </c>
      <c r="D3435" s="501" t="s">
        <v>3380</v>
      </c>
      <c r="E3435" s="501" t="s">
        <v>3381</v>
      </c>
      <c r="F3435" s="501" t="s">
        <v>633</v>
      </c>
      <c r="G3435" s="501" t="s">
        <v>634</v>
      </c>
      <c r="H3435" s="501" t="s">
        <v>6112</v>
      </c>
      <c r="I3435" s="501">
        <v>46</v>
      </c>
      <c r="J3435" s="501">
        <v>39</v>
      </c>
      <c r="K3435" s="501">
        <v>0</v>
      </c>
      <c r="L3435" s="501">
        <v>0</v>
      </c>
      <c r="M3435" s="501">
        <v>0</v>
      </c>
      <c r="N3435" s="501">
        <v>0</v>
      </c>
      <c r="O3435" s="506">
        <v>7</v>
      </c>
    </row>
    <row r="3436" spans="1:15" x14ac:dyDescent="0.35">
      <c r="A3436" s="503" t="s">
        <v>1112</v>
      </c>
      <c r="B3436" s="504" t="s">
        <v>3008</v>
      </c>
      <c r="C3436" s="504" t="s">
        <v>1094</v>
      </c>
      <c r="D3436" s="504" t="s">
        <v>3380</v>
      </c>
      <c r="E3436" s="504" t="s">
        <v>3381</v>
      </c>
      <c r="F3436" s="504" t="s">
        <v>633</v>
      </c>
      <c r="G3436" s="504" t="s">
        <v>634</v>
      </c>
      <c r="H3436" s="504" t="s">
        <v>6113</v>
      </c>
      <c r="I3436" s="504">
        <v>434</v>
      </c>
      <c r="J3436" s="504">
        <v>341</v>
      </c>
      <c r="K3436" s="504">
        <v>0</v>
      </c>
      <c r="L3436" s="504">
        <v>0</v>
      </c>
      <c r="M3436" s="504">
        <v>0</v>
      </c>
      <c r="N3436" s="504">
        <v>0</v>
      </c>
      <c r="O3436" s="505">
        <v>93</v>
      </c>
    </row>
    <row r="3437" spans="1:15" x14ac:dyDescent="0.35">
      <c r="A3437" s="500" t="s">
        <v>1501</v>
      </c>
      <c r="B3437" s="501" t="s">
        <v>2956</v>
      </c>
      <c r="C3437" s="501" t="s">
        <v>1094</v>
      </c>
      <c r="D3437" s="501" t="s">
        <v>3380</v>
      </c>
      <c r="E3437" s="501" t="s">
        <v>3381</v>
      </c>
      <c r="F3437" s="501" t="s">
        <v>633</v>
      </c>
      <c r="G3437" s="501" t="s">
        <v>634</v>
      </c>
      <c r="H3437" s="501" t="s">
        <v>6114</v>
      </c>
      <c r="I3437" s="501">
        <v>150</v>
      </c>
      <c r="J3437" s="501">
        <v>121</v>
      </c>
      <c r="K3437" s="501">
        <v>0</v>
      </c>
      <c r="L3437" s="501">
        <v>0</v>
      </c>
      <c r="M3437" s="501">
        <v>0</v>
      </c>
      <c r="N3437" s="501">
        <v>0</v>
      </c>
      <c r="O3437" s="506">
        <v>29</v>
      </c>
    </row>
    <row r="3438" spans="1:15" x14ac:dyDescent="0.35">
      <c r="A3438" s="503" t="s">
        <v>1321</v>
      </c>
      <c r="B3438" s="504">
        <v>4635</v>
      </c>
      <c r="C3438" s="504" t="s">
        <v>1089</v>
      </c>
      <c r="D3438" s="504" t="s">
        <v>3392</v>
      </c>
      <c r="E3438" s="504" t="s">
        <v>3381</v>
      </c>
      <c r="F3438" s="504" t="s">
        <v>633</v>
      </c>
      <c r="G3438" s="504" t="s">
        <v>634</v>
      </c>
      <c r="H3438" s="504" t="s">
        <v>14719</v>
      </c>
      <c r="I3438" s="504">
        <v>2</v>
      </c>
      <c r="J3438" s="504">
        <v>2</v>
      </c>
      <c r="K3438" s="504">
        <v>0</v>
      </c>
      <c r="L3438" s="504">
        <v>0</v>
      </c>
      <c r="M3438" s="504">
        <v>0</v>
      </c>
      <c r="N3438" s="504">
        <v>0</v>
      </c>
      <c r="O3438" s="505">
        <v>0</v>
      </c>
    </row>
    <row r="3439" spans="1:15" x14ac:dyDescent="0.35">
      <c r="A3439" s="500" t="s">
        <v>1220</v>
      </c>
      <c r="B3439" s="501">
        <v>4849</v>
      </c>
      <c r="C3439" s="501" t="s">
        <v>1094</v>
      </c>
      <c r="D3439" s="501" t="s">
        <v>3380</v>
      </c>
      <c r="E3439" s="501" t="s">
        <v>3381</v>
      </c>
      <c r="F3439" s="501" t="s">
        <v>633</v>
      </c>
      <c r="G3439" s="501" t="s">
        <v>634</v>
      </c>
      <c r="H3439" s="501" t="s">
        <v>6115</v>
      </c>
      <c r="I3439" s="501">
        <v>119</v>
      </c>
      <c r="J3439" s="501">
        <v>74</v>
      </c>
      <c r="K3439" s="501">
        <v>0</v>
      </c>
      <c r="L3439" s="501">
        <v>0</v>
      </c>
      <c r="M3439" s="501">
        <v>0</v>
      </c>
      <c r="N3439" s="501">
        <v>0</v>
      </c>
      <c r="O3439" s="506">
        <v>45</v>
      </c>
    </row>
    <row r="3440" spans="1:15" x14ac:dyDescent="0.35">
      <c r="A3440" s="503" t="s">
        <v>1225</v>
      </c>
      <c r="B3440" s="504" t="s">
        <v>3315</v>
      </c>
      <c r="C3440" s="504" t="s">
        <v>1094</v>
      </c>
      <c r="D3440" s="504" t="s">
        <v>3380</v>
      </c>
      <c r="E3440" s="504" t="s">
        <v>3381</v>
      </c>
      <c r="F3440" s="504" t="s">
        <v>633</v>
      </c>
      <c r="G3440" s="504" t="s">
        <v>634</v>
      </c>
      <c r="H3440" s="504" t="s">
        <v>6116</v>
      </c>
      <c r="I3440" s="504">
        <v>4</v>
      </c>
      <c r="J3440" s="504">
        <v>0</v>
      </c>
      <c r="K3440" s="504">
        <v>0</v>
      </c>
      <c r="L3440" s="504">
        <v>4</v>
      </c>
      <c r="M3440" s="504">
        <v>0</v>
      </c>
      <c r="N3440" s="504">
        <v>0</v>
      </c>
      <c r="O3440" s="505">
        <v>0</v>
      </c>
    </row>
    <row r="3441" spans="1:15" x14ac:dyDescent="0.35">
      <c r="A3441" s="500" t="s">
        <v>1881</v>
      </c>
      <c r="B3441" s="501" t="s">
        <v>3016</v>
      </c>
      <c r="C3441" s="501" t="s">
        <v>1089</v>
      </c>
      <c r="D3441" s="501" t="s">
        <v>3392</v>
      </c>
      <c r="E3441" s="501" t="s">
        <v>3381</v>
      </c>
      <c r="F3441" s="501" t="s">
        <v>633</v>
      </c>
      <c r="G3441" s="501" t="s">
        <v>634</v>
      </c>
      <c r="H3441" s="501" t="s">
        <v>6117</v>
      </c>
      <c r="I3441" s="501">
        <v>15</v>
      </c>
      <c r="J3441" s="501">
        <v>15</v>
      </c>
      <c r="K3441" s="501">
        <v>0</v>
      </c>
      <c r="L3441" s="501">
        <v>0</v>
      </c>
      <c r="M3441" s="501">
        <v>0</v>
      </c>
      <c r="N3441" s="501">
        <v>0</v>
      </c>
      <c r="O3441" s="506">
        <v>0</v>
      </c>
    </row>
    <row r="3442" spans="1:15" x14ac:dyDescent="0.35">
      <c r="A3442" s="503" t="s">
        <v>1887</v>
      </c>
      <c r="B3442" s="504" t="s">
        <v>3320</v>
      </c>
      <c r="C3442" s="504" t="s">
        <v>1094</v>
      </c>
      <c r="D3442" s="504" t="s">
        <v>3380</v>
      </c>
      <c r="E3442" s="504" t="s">
        <v>3381</v>
      </c>
      <c r="F3442" s="504" t="s">
        <v>633</v>
      </c>
      <c r="G3442" s="504" t="s">
        <v>634</v>
      </c>
      <c r="H3442" s="504" t="s">
        <v>6118</v>
      </c>
      <c r="I3442" s="504">
        <v>42</v>
      </c>
      <c r="J3442" s="504">
        <v>29</v>
      </c>
      <c r="K3442" s="504">
        <v>0</v>
      </c>
      <c r="L3442" s="504">
        <v>0</v>
      </c>
      <c r="M3442" s="504">
        <v>0</v>
      </c>
      <c r="N3442" s="504">
        <v>0</v>
      </c>
      <c r="O3442" s="505">
        <v>13</v>
      </c>
    </row>
    <row r="3443" spans="1:15" x14ac:dyDescent="0.35">
      <c r="A3443" s="500" t="s">
        <v>1540</v>
      </c>
      <c r="B3443" s="501" t="s">
        <v>3271</v>
      </c>
      <c r="C3443" s="501" t="s">
        <v>1089</v>
      </c>
      <c r="D3443" s="501" t="s">
        <v>3392</v>
      </c>
      <c r="E3443" s="501" t="s">
        <v>3381</v>
      </c>
      <c r="F3443" s="501" t="s">
        <v>633</v>
      </c>
      <c r="G3443" s="501" t="s">
        <v>634</v>
      </c>
      <c r="H3443" s="501" t="s">
        <v>6119</v>
      </c>
      <c r="I3443" s="501">
        <v>85</v>
      </c>
      <c r="J3443" s="501">
        <v>85</v>
      </c>
      <c r="K3443" s="501">
        <v>0</v>
      </c>
      <c r="L3443" s="501">
        <v>0</v>
      </c>
      <c r="M3443" s="501">
        <v>0</v>
      </c>
      <c r="N3443" s="501">
        <v>2</v>
      </c>
      <c r="O3443" s="506">
        <v>0</v>
      </c>
    </row>
    <row r="3444" spans="1:15" x14ac:dyDescent="0.35">
      <c r="A3444" s="503" t="s">
        <v>1233</v>
      </c>
      <c r="B3444" s="504">
        <v>4636</v>
      </c>
      <c r="C3444" s="504" t="s">
        <v>1094</v>
      </c>
      <c r="D3444" s="504" t="s">
        <v>3380</v>
      </c>
      <c r="E3444" s="504" t="s">
        <v>3381</v>
      </c>
      <c r="F3444" s="504" t="s">
        <v>633</v>
      </c>
      <c r="G3444" s="504" t="s">
        <v>634</v>
      </c>
      <c r="H3444" s="504" t="s">
        <v>14720</v>
      </c>
      <c r="I3444" s="504">
        <v>3</v>
      </c>
      <c r="J3444" s="504">
        <v>0</v>
      </c>
      <c r="K3444" s="504">
        <v>0</v>
      </c>
      <c r="L3444" s="504">
        <v>0</v>
      </c>
      <c r="M3444" s="504">
        <v>0</v>
      </c>
      <c r="N3444" s="504">
        <v>0</v>
      </c>
      <c r="O3444" s="505">
        <v>3</v>
      </c>
    </row>
    <row r="3445" spans="1:15" x14ac:dyDescent="0.35">
      <c r="A3445" s="500" t="s">
        <v>1234</v>
      </c>
      <c r="B3445" s="501" t="s">
        <v>3291</v>
      </c>
      <c r="C3445" s="501" t="s">
        <v>1094</v>
      </c>
      <c r="D3445" s="501" t="s">
        <v>3380</v>
      </c>
      <c r="E3445" s="501" t="s">
        <v>3381</v>
      </c>
      <c r="F3445" s="501" t="s">
        <v>633</v>
      </c>
      <c r="G3445" s="501" t="s">
        <v>634</v>
      </c>
      <c r="H3445" s="501" t="s">
        <v>6120</v>
      </c>
      <c r="I3445" s="501">
        <v>25</v>
      </c>
      <c r="J3445" s="501">
        <v>0</v>
      </c>
      <c r="K3445" s="501">
        <v>0</v>
      </c>
      <c r="L3445" s="501">
        <v>25</v>
      </c>
      <c r="M3445" s="501">
        <v>0</v>
      </c>
      <c r="N3445" s="501">
        <v>0</v>
      </c>
      <c r="O3445" s="506">
        <v>0</v>
      </c>
    </row>
    <row r="3446" spans="1:15" x14ac:dyDescent="0.35">
      <c r="A3446" s="503" t="s">
        <v>1342</v>
      </c>
      <c r="B3446" s="504" t="s">
        <v>3237</v>
      </c>
      <c r="C3446" s="504" t="s">
        <v>1094</v>
      </c>
      <c r="D3446" s="504" t="s">
        <v>3380</v>
      </c>
      <c r="E3446" s="504" t="s">
        <v>3381</v>
      </c>
      <c r="F3446" s="504" t="s">
        <v>633</v>
      </c>
      <c r="G3446" s="504" t="s">
        <v>634</v>
      </c>
      <c r="H3446" s="504" t="s">
        <v>6121</v>
      </c>
      <c r="I3446" s="504">
        <v>1</v>
      </c>
      <c r="J3446" s="504">
        <v>0</v>
      </c>
      <c r="K3446" s="504">
        <v>0</v>
      </c>
      <c r="L3446" s="504">
        <v>0</v>
      </c>
      <c r="M3446" s="504">
        <v>0</v>
      </c>
      <c r="N3446" s="504">
        <v>0</v>
      </c>
      <c r="O3446" s="505">
        <v>1</v>
      </c>
    </row>
    <row r="3447" spans="1:15" x14ac:dyDescent="0.35">
      <c r="A3447" s="500" t="s">
        <v>1132</v>
      </c>
      <c r="B3447" s="501">
        <v>4837</v>
      </c>
      <c r="C3447" s="501" t="s">
        <v>1094</v>
      </c>
      <c r="D3447" s="501" t="s">
        <v>3380</v>
      </c>
      <c r="E3447" s="501" t="s">
        <v>3381</v>
      </c>
      <c r="F3447" s="501" t="s">
        <v>633</v>
      </c>
      <c r="G3447" s="501" t="s">
        <v>634</v>
      </c>
      <c r="H3447" s="501" t="s">
        <v>6122</v>
      </c>
      <c r="I3447" s="501">
        <v>46</v>
      </c>
      <c r="J3447" s="501">
        <v>13</v>
      </c>
      <c r="K3447" s="501">
        <v>0</v>
      </c>
      <c r="L3447" s="501">
        <v>0</v>
      </c>
      <c r="M3447" s="501">
        <v>0</v>
      </c>
      <c r="N3447" s="501">
        <v>0</v>
      </c>
      <c r="O3447" s="506">
        <v>33</v>
      </c>
    </row>
    <row r="3448" spans="1:15" x14ac:dyDescent="0.35">
      <c r="A3448" s="503" t="s">
        <v>1134</v>
      </c>
      <c r="B3448" s="504" t="s">
        <v>3066</v>
      </c>
      <c r="C3448" s="504" t="s">
        <v>1094</v>
      </c>
      <c r="D3448" s="504" t="s">
        <v>3380</v>
      </c>
      <c r="E3448" s="504" t="s">
        <v>3381</v>
      </c>
      <c r="F3448" s="504" t="s">
        <v>633</v>
      </c>
      <c r="G3448" s="504" t="s">
        <v>634</v>
      </c>
      <c r="H3448" s="504" t="s">
        <v>6123</v>
      </c>
      <c r="I3448" s="504">
        <v>10</v>
      </c>
      <c r="J3448" s="504">
        <v>10</v>
      </c>
      <c r="K3448" s="504">
        <v>0</v>
      </c>
      <c r="L3448" s="504">
        <v>0</v>
      </c>
      <c r="M3448" s="504">
        <v>0</v>
      </c>
      <c r="N3448" s="504">
        <v>0</v>
      </c>
      <c r="O3448" s="505">
        <v>0</v>
      </c>
    </row>
    <row r="3449" spans="1:15" x14ac:dyDescent="0.35">
      <c r="A3449" s="500" t="s">
        <v>1915</v>
      </c>
      <c r="B3449" s="501" t="s">
        <v>2901</v>
      </c>
      <c r="C3449" s="501" t="s">
        <v>1089</v>
      </c>
      <c r="D3449" s="501" t="s">
        <v>3392</v>
      </c>
      <c r="E3449" s="501" t="s">
        <v>3381</v>
      </c>
      <c r="F3449" s="501" t="s">
        <v>633</v>
      </c>
      <c r="G3449" s="501" t="s">
        <v>634</v>
      </c>
      <c r="H3449" s="501" t="s">
        <v>6124</v>
      </c>
      <c r="I3449" s="501">
        <v>9</v>
      </c>
      <c r="J3449" s="501">
        <v>0</v>
      </c>
      <c r="K3449" s="501">
        <v>0</v>
      </c>
      <c r="L3449" s="501">
        <v>0</v>
      </c>
      <c r="M3449" s="501">
        <v>9</v>
      </c>
      <c r="N3449" s="501">
        <v>0</v>
      </c>
      <c r="O3449" s="506">
        <v>0</v>
      </c>
    </row>
    <row r="3450" spans="1:15" x14ac:dyDescent="0.35">
      <c r="A3450" s="503" t="s">
        <v>14357</v>
      </c>
      <c r="B3450" s="504">
        <v>5131</v>
      </c>
      <c r="C3450" s="504" t="s">
        <v>1089</v>
      </c>
      <c r="D3450" s="504" t="s">
        <v>3392</v>
      </c>
      <c r="E3450" s="504" t="s">
        <v>3381</v>
      </c>
      <c r="F3450" s="504" t="s">
        <v>633</v>
      </c>
      <c r="G3450" s="504" t="s">
        <v>634</v>
      </c>
      <c r="H3450" s="504" t="s">
        <v>14721</v>
      </c>
      <c r="I3450" s="504">
        <v>14</v>
      </c>
      <c r="J3450" s="504">
        <v>0</v>
      </c>
      <c r="K3450" s="504">
        <v>0</v>
      </c>
      <c r="L3450" s="504">
        <v>0</v>
      </c>
      <c r="M3450" s="504">
        <v>14</v>
      </c>
      <c r="N3450" s="504">
        <v>0</v>
      </c>
      <c r="O3450" s="505">
        <v>0</v>
      </c>
    </row>
    <row r="3451" spans="1:15" x14ac:dyDescent="0.35">
      <c r="A3451" s="500" t="s">
        <v>1253</v>
      </c>
      <c r="B3451" s="501" t="s">
        <v>3232</v>
      </c>
      <c r="C3451" s="501" t="s">
        <v>1094</v>
      </c>
      <c r="D3451" s="501" t="s">
        <v>3380</v>
      </c>
      <c r="E3451" s="501" t="s">
        <v>3381</v>
      </c>
      <c r="F3451" s="501" t="s">
        <v>633</v>
      </c>
      <c r="G3451" s="501" t="s">
        <v>634</v>
      </c>
      <c r="H3451" s="501" t="s">
        <v>6125</v>
      </c>
      <c r="I3451" s="501">
        <v>70</v>
      </c>
      <c r="J3451" s="501">
        <v>0</v>
      </c>
      <c r="K3451" s="501">
        <v>0</v>
      </c>
      <c r="L3451" s="501">
        <v>70</v>
      </c>
      <c r="M3451" s="501">
        <v>0</v>
      </c>
      <c r="N3451" s="501">
        <v>0</v>
      </c>
      <c r="O3451" s="506">
        <v>0</v>
      </c>
    </row>
    <row r="3452" spans="1:15" x14ac:dyDescent="0.35">
      <c r="A3452" s="503" t="s">
        <v>1138</v>
      </c>
      <c r="B3452" s="504" t="s">
        <v>2998</v>
      </c>
      <c r="C3452" s="504" t="s">
        <v>1094</v>
      </c>
      <c r="D3452" s="504" t="s">
        <v>3380</v>
      </c>
      <c r="E3452" s="504" t="s">
        <v>3381</v>
      </c>
      <c r="F3452" s="504" t="s">
        <v>633</v>
      </c>
      <c r="G3452" s="504" t="s">
        <v>634</v>
      </c>
      <c r="H3452" s="504" t="s">
        <v>6126</v>
      </c>
      <c r="I3452" s="504">
        <v>3</v>
      </c>
      <c r="J3452" s="504">
        <v>0</v>
      </c>
      <c r="K3452" s="504">
        <v>0</v>
      </c>
      <c r="L3452" s="504">
        <v>0</v>
      </c>
      <c r="M3452" s="504">
        <v>0</v>
      </c>
      <c r="N3452" s="504">
        <v>0</v>
      </c>
      <c r="O3452" s="505">
        <v>3</v>
      </c>
    </row>
    <row r="3453" spans="1:15" x14ac:dyDescent="0.35">
      <c r="A3453" s="500" t="s">
        <v>1581</v>
      </c>
      <c r="B3453" s="501" t="s">
        <v>2888</v>
      </c>
      <c r="C3453" s="501" t="s">
        <v>1089</v>
      </c>
      <c r="D3453" s="501" t="s">
        <v>3392</v>
      </c>
      <c r="E3453" s="501" t="s">
        <v>3381</v>
      </c>
      <c r="F3453" s="501" t="s">
        <v>633</v>
      </c>
      <c r="G3453" s="501" t="s">
        <v>634</v>
      </c>
      <c r="H3453" s="501" t="s">
        <v>6127</v>
      </c>
      <c r="I3453" s="501">
        <v>75</v>
      </c>
      <c r="J3453" s="501">
        <v>0</v>
      </c>
      <c r="K3453" s="501">
        <v>0</v>
      </c>
      <c r="L3453" s="501">
        <v>75</v>
      </c>
      <c r="M3453" s="501">
        <v>0</v>
      </c>
      <c r="N3453" s="501">
        <v>0</v>
      </c>
      <c r="O3453" s="506">
        <v>0</v>
      </c>
    </row>
    <row r="3454" spans="1:15" x14ac:dyDescent="0.35">
      <c r="A3454" s="503" t="s">
        <v>1140</v>
      </c>
      <c r="B3454" s="504">
        <v>4850</v>
      </c>
      <c r="C3454" s="504" t="s">
        <v>1094</v>
      </c>
      <c r="D3454" s="504" t="s">
        <v>3380</v>
      </c>
      <c r="E3454" s="504" t="s">
        <v>3381</v>
      </c>
      <c r="F3454" s="504" t="s">
        <v>633</v>
      </c>
      <c r="G3454" s="504" t="s">
        <v>634</v>
      </c>
      <c r="H3454" s="504" t="s">
        <v>6128</v>
      </c>
      <c r="I3454" s="504">
        <v>493</v>
      </c>
      <c r="J3454" s="504">
        <v>399</v>
      </c>
      <c r="K3454" s="504">
        <v>0</v>
      </c>
      <c r="L3454" s="504">
        <v>0</v>
      </c>
      <c r="M3454" s="504">
        <v>0</v>
      </c>
      <c r="N3454" s="504">
        <v>0</v>
      </c>
      <c r="O3454" s="505">
        <v>94</v>
      </c>
    </row>
    <row r="3455" spans="1:15" x14ac:dyDescent="0.35">
      <c r="A3455" s="500" t="s">
        <v>1262</v>
      </c>
      <c r="B3455" s="501">
        <v>4772</v>
      </c>
      <c r="C3455" s="501" t="s">
        <v>1089</v>
      </c>
      <c r="D3455" s="501" t="s">
        <v>3392</v>
      </c>
      <c r="E3455" s="501" t="s">
        <v>3381</v>
      </c>
      <c r="F3455" s="501" t="s">
        <v>633</v>
      </c>
      <c r="G3455" s="501" t="s">
        <v>634</v>
      </c>
      <c r="H3455" s="501" t="s">
        <v>6129</v>
      </c>
      <c r="I3455" s="501">
        <v>4</v>
      </c>
      <c r="J3455" s="501">
        <v>0</v>
      </c>
      <c r="K3455" s="501">
        <v>0</v>
      </c>
      <c r="L3455" s="501">
        <v>4</v>
      </c>
      <c r="M3455" s="501">
        <v>0</v>
      </c>
      <c r="N3455" s="501">
        <v>0</v>
      </c>
      <c r="O3455" s="506">
        <v>0</v>
      </c>
    </row>
    <row r="3456" spans="1:15" x14ac:dyDescent="0.35">
      <c r="A3456" s="503" t="s">
        <v>1264</v>
      </c>
      <c r="B3456" s="504">
        <v>4671</v>
      </c>
      <c r="C3456" s="504" t="s">
        <v>1089</v>
      </c>
      <c r="D3456" s="504" t="s">
        <v>3392</v>
      </c>
      <c r="E3456" s="504" t="s">
        <v>3381</v>
      </c>
      <c r="F3456" s="504" t="s">
        <v>633</v>
      </c>
      <c r="G3456" s="504" t="s">
        <v>634</v>
      </c>
      <c r="H3456" s="504" t="s">
        <v>14722</v>
      </c>
      <c r="I3456" s="504">
        <v>4</v>
      </c>
      <c r="J3456" s="504">
        <v>0</v>
      </c>
      <c r="K3456" s="504">
        <v>0</v>
      </c>
      <c r="L3456" s="504">
        <v>4</v>
      </c>
      <c r="M3456" s="504">
        <v>0</v>
      </c>
      <c r="N3456" s="504">
        <v>0</v>
      </c>
      <c r="O3456" s="505">
        <v>0</v>
      </c>
    </row>
    <row r="3457" spans="1:15" x14ac:dyDescent="0.35">
      <c r="A3457" s="500" t="s">
        <v>1944</v>
      </c>
      <c r="B3457" s="501">
        <v>4644</v>
      </c>
      <c r="C3457" s="501" t="s">
        <v>1089</v>
      </c>
      <c r="D3457" s="501" t="s">
        <v>3392</v>
      </c>
      <c r="E3457" s="501" t="s">
        <v>3381</v>
      </c>
      <c r="F3457" s="501" t="s">
        <v>633</v>
      </c>
      <c r="G3457" s="501" t="s">
        <v>634</v>
      </c>
      <c r="H3457" s="501" t="s">
        <v>6130</v>
      </c>
      <c r="I3457" s="501">
        <v>34</v>
      </c>
      <c r="J3457" s="501">
        <v>0</v>
      </c>
      <c r="K3457" s="501">
        <v>0</v>
      </c>
      <c r="L3457" s="501">
        <v>34</v>
      </c>
      <c r="M3457" s="501">
        <v>0</v>
      </c>
      <c r="N3457" s="501">
        <v>0</v>
      </c>
      <c r="O3457" s="506">
        <v>0</v>
      </c>
    </row>
    <row r="3458" spans="1:15" x14ac:dyDescent="0.35">
      <c r="A3458" s="503" t="s">
        <v>1385</v>
      </c>
      <c r="B3458" s="504" t="s">
        <v>3249</v>
      </c>
      <c r="C3458" s="504" t="s">
        <v>1094</v>
      </c>
      <c r="D3458" s="504" t="s">
        <v>3380</v>
      </c>
      <c r="E3458" s="504" t="s">
        <v>3381</v>
      </c>
      <c r="F3458" s="504" t="s">
        <v>635</v>
      </c>
      <c r="G3458" s="504" t="s">
        <v>636</v>
      </c>
      <c r="H3458" s="504" t="s">
        <v>6131</v>
      </c>
      <c r="I3458" s="504">
        <v>143</v>
      </c>
      <c r="J3458" s="504">
        <v>83</v>
      </c>
      <c r="K3458" s="504">
        <v>0</v>
      </c>
      <c r="L3458" s="504">
        <v>0</v>
      </c>
      <c r="M3458" s="504">
        <v>0</v>
      </c>
      <c r="N3458" s="504">
        <v>0</v>
      </c>
      <c r="O3458" s="505">
        <v>60</v>
      </c>
    </row>
    <row r="3459" spans="1:15" x14ac:dyDescent="0.35">
      <c r="A3459" s="500" t="s">
        <v>1389</v>
      </c>
      <c r="B3459" s="501" t="s">
        <v>3366</v>
      </c>
      <c r="C3459" s="501" t="s">
        <v>1089</v>
      </c>
      <c r="D3459" s="501" t="s">
        <v>3392</v>
      </c>
      <c r="E3459" s="501" t="s">
        <v>3381</v>
      </c>
      <c r="F3459" s="501" t="s">
        <v>635</v>
      </c>
      <c r="G3459" s="501" t="s">
        <v>636</v>
      </c>
      <c r="H3459" s="501" t="s">
        <v>6132</v>
      </c>
      <c r="I3459" s="501">
        <v>7</v>
      </c>
      <c r="J3459" s="501">
        <v>7</v>
      </c>
      <c r="K3459" s="501">
        <v>0</v>
      </c>
      <c r="L3459" s="501">
        <v>0</v>
      </c>
      <c r="M3459" s="501">
        <v>0</v>
      </c>
      <c r="N3459" s="501">
        <v>0</v>
      </c>
      <c r="O3459" s="506">
        <v>0</v>
      </c>
    </row>
    <row r="3460" spans="1:15" x14ac:dyDescent="0.35">
      <c r="A3460" s="503" t="s">
        <v>1093</v>
      </c>
      <c r="B3460" s="504" t="s">
        <v>3248</v>
      </c>
      <c r="C3460" s="504" t="s">
        <v>1094</v>
      </c>
      <c r="D3460" s="504" t="s">
        <v>3380</v>
      </c>
      <c r="E3460" s="504" t="s">
        <v>3381</v>
      </c>
      <c r="F3460" s="504" t="s">
        <v>635</v>
      </c>
      <c r="G3460" s="504" t="s">
        <v>636</v>
      </c>
      <c r="H3460" s="504" t="s">
        <v>6133</v>
      </c>
      <c r="I3460" s="504">
        <v>20</v>
      </c>
      <c r="J3460" s="504">
        <v>0</v>
      </c>
      <c r="K3460" s="504">
        <v>0</v>
      </c>
      <c r="L3460" s="504">
        <v>20</v>
      </c>
      <c r="M3460" s="504">
        <v>0</v>
      </c>
      <c r="N3460" s="504">
        <v>0</v>
      </c>
      <c r="O3460" s="505">
        <v>0</v>
      </c>
    </row>
    <row r="3461" spans="1:15" x14ac:dyDescent="0.35">
      <c r="A3461" s="500" t="s">
        <v>1391</v>
      </c>
      <c r="B3461" s="501" t="s">
        <v>3297</v>
      </c>
      <c r="C3461" s="501" t="s">
        <v>1089</v>
      </c>
      <c r="D3461" s="501" t="s">
        <v>3392</v>
      </c>
      <c r="E3461" s="501" t="s">
        <v>3381</v>
      </c>
      <c r="F3461" s="501" t="s">
        <v>635</v>
      </c>
      <c r="G3461" s="501" t="s">
        <v>636</v>
      </c>
      <c r="H3461" s="501" t="s">
        <v>6134</v>
      </c>
      <c r="I3461" s="501">
        <v>521</v>
      </c>
      <c r="J3461" s="501">
        <v>444</v>
      </c>
      <c r="K3461" s="501">
        <v>2</v>
      </c>
      <c r="L3461" s="501">
        <v>34</v>
      </c>
      <c r="M3461" s="501">
        <v>41</v>
      </c>
      <c r="N3461" s="501">
        <v>0</v>
      </c>
      <c r="O3461" s="506">
        <v>0</v>
      </c>
    </row>
    <row r="3462" spans="1:15" x14ac:dyDescent="0.35">
      <c r="A3462" s="503" t="s">
        <v>1096</v>
      </c>
      <c r="B3462" s="504" t="s">
        <v>3326</v>
      </c>
      <c r="C3462" s="504" t="s">
        <v>1094</v>
      </c>
      <c r="D3462" s="504" t="s">
        <v>3380</v>
      </c>
      <c r="E3462" s="504" t="s">
        <v>3381</v>
      </c>
      <c r="F3462" s="504" t="s">
        <v>635</v>
      </c>
      <c r="G3462" s="504" t="s">
        <v>636</v>
      </c>
      <c r="H3462" s="504" t="s">
        <v>6135</v>
      </c>
      <c r="I3462" s="504">
        <v>892</v>
      </c>
      <c r="J3462" s="504">
        <v>3</v>
      </c>
      <c r="K3462" s="504">
        <v>0</v>
      </c>
      <c r="L3462" s="504">
        <v>0</v>
      </c>
      <c r="M3462" s="504">
        <v>877</v>
      </c>
      <c r="N3462" s="504">
        <v>0</v>
      </c>
      <c r="O3462" s="505">
        <v>12</v>
      </c>
    </row>
    <row r="3463" spans="1:15" x14ac:dyDescent="0.35">
      <c r="A3463" s="500" t="s">
        <v>1393</v>
      </c>
      <c r="B3463" s="501" t="s">
        <v>3194</v>
      </c>
      <c r="C3463" s="501" t="s">
        <v>1089</v>
      </c>
      <c r="D3463" s="501" t="s">
        <v>3392</v>
      </c>
      <c r="E3463" s="501" t="s">
        <v>3381</v>
      </c>
      <c r="F3463" s="501" t="s">
        <v>635</v>
      </c>
      <c r="G3463" s="501" t="s">
        <v>636</v>
      </c>
      <c r="H3463" s="501" t="s">
        <v>6136</v>
      </c>
      <c r="I3463" s="501">
        <v>10</v>
      </c>
      <c r="J3463" s="501">
        <v>10</v>
      </c>
      <c r="K3463" s="501">
        <v>0</v>
      </c>
      <c r="L3463" s="501">
        <v>0</v>
      </c>
      <c r="M3463" s="501">
        <v>0</v>
      </c>
      <c r="N3463" s="501">
        <v>0</v>
      </c>
      <c r="O3463" s="506">
        <v>0</v>
      </c>
    </row>
    <row r="3464" spans="1:15" x14ac:dyDescent="0.35">
      <c r="A3464" s="503" t="s">
        <v>11382</v>
      </c>
      <c r="B3464" s="504" t="s">
        <v>3223</v>
      </c>
      <c r="C3464" s="504" t="s">
        <v>1089</v>
      </c>
      <c r="D3464" s="504" t="s">
        <v>3392</v>
      </c>
      <c r="E3464" s="504" t="s">
        <v>3381</v>
      </c>
      <c r="F3464" s="504" t="s">
        <v>635</v>
      </c>
      <c r="G3464" s="504" t="s">
        <v>636</v>
      </c>
      <c r="H3464" s="504" t="s">
        <v>11509</v>
      </c>
      <c r="I3464" s="504">
        <v>95</v>
      </c>
      <c r="J3464" s="504">
        <v>95</v>
      </c>
      <c r="K3464" s="504">
        <v>0</v>
      </c>
      <c r="L3464" s="504">
        <v>0</v>
      </c>
      <c r="M3464" s="504">
        <v>0</v>
      </c>
      <c r="N3464" s="504">
        <v>0</v>
      </c>
      <c r="O3464" s="505">
        <v>0</v>
      </c>
    </row>
    <row r="3465" spans="1:15" x14ac:dyDescent="0.35">
      <c r="A3465" s="500" t="s">
        <v>1161</v>
      </c>
      <c r="B3465" s="501" t="s">
        <v>3001</v>
      </c>
      <c r="C3465" s="501" t="s">
        <v>1094</v>
      </c>
      <c r="D3465" s="501" t="s">
        <v>3380</v>
      </c>
      <c r="E3465" s="501" t="s">
        <v>3381</v>
      </c>
      <c r="F3465" s="501" t="s">
        <v>635</v>
      </c>
      <c r="G3465" s="501" t="s">
        <v>636</v>
      </c>
      <c r="H3465" s="501" t="s">
        <v>6137</v>
      </c>
      <c r="I3465" s="501">
        <v>92</v>
      </c>
      <c r="J3465" s="501">
        <v>5</v>
      </c>
      <c r="K3465" s="501">
        <v>87</v>
      </c>
      <c r="L3465" s="501">
        <v>0</v>
      </c>
      <c r="M3465" s="501">
        <v>0</v>
      </c>
      <c r="N3465" s="501">
        <v>0</v>
      </c>
      <c r="O3465" s="506">
        <v>0</v>
      </c>
    </row>
    <row r="3466" spans="1:15" x14ac:dyDescent="0.35">
      <c r="A3466" s="503" t="s">
        <v>1410</v>
      </c>
      <c r="B3466" s="504" t="s">
        <v>2868</v>
      </c>
      <c r="C3466" s="504" t="s">
        <v>1094</v>
      </c>
      <c r="D3466" s="504" t="s">
        <v>3380</v>
      </c>
      <c r="E3466" s="504" t="s">
        <v>3381</v>
      </c>
      <c r="F3466" s="504" t="s">
        <v>635</v>
      </c>
      <c r="G3466" s="504" t="s">
        <v>636</v>
      </c>
      <c r="H3466" s="504" t="s">
        <v>6138</v>
      </c>
      <c r="I3466" s="504">
        <v>63</v>
      </c>
      <c r="J3466" s="504">
        <v>63</v>
      </c>
      <c r="K3466" s="504">
        <v>0</v>
      </c>
      <c r="L3466" s="504">
        <v>0</v>
      </c>
      <c r="M3466" s="504">
        <v>0</v>
      </c>
      <c r="N3466" s="504">
        <v>0</v>
      </c>
      <c r="O3466" s="505">
        <v>0</v>
      </c>
    </row>
    <row r="3467" spans="1:15" x14ac:dyDescent="0.35">
      <c r="A3467" s="500" t="s">
        <v>1411</v>
      </c>
      <c r="B3467" s="501" t="s">
        <v>2873</v>
      </c>
      <c r="C3467" s="501" t="s">
        <v>1089</v>
      </c>
      <c r="D3467" s="501" t="s">
        <v>3392</v>
      </c>
      <c r="E3467" s="501" t="s">
        <v>3381</v>
      </c>
      <c r="F3467" s="501" t="s">
        <v>635</v>
      </c>
      <c r="G3467" s="501" t="s">
        <v>636</v>
      </c>
      <c r="H3467" s="501" t="s">
        <v>6139</v>
      </c>
      <c r="I3467" s="501">
        <v>6</v>
      </c>
      <c r="J3467" s="501">
        <v>6</v>
      </c>
      <c r="K3467" s="501">
        <v>0</v>
      </c>
      <c r="L3467" s="501">
        <v>0</v>
      </c>
      <c r="M3467" s="501">
        <v>0</v>
      </c>
      <c r="N3467" s="501">
        <v>0</v>
      </c>
      <c r="O3467" s="506">
        <v>0</v>
      </c>
    </row>
    <row r="3468" spans="1:15" x14ac:dyDescent="0.35">
      <c r="A3468" s="503" t="s">
        <v>1100</v>
      </c>
      <c r="B3468" s="504">
        <v>4865</v>
      </c>
      <c r="C3468" s="504" t="s">
        <v>1094</v>
      </c>
      <c r="D3468" s="504" t="s">
        <v>3380</v>
      </c>
      <c r="E3468" s="504" t="s">
        <v>3381</v>
      </c>
      <c r="F3468" s="504" t="s">
        <v>635</v>
      </c>
      <c r="G3468" s="504" t="s">
        <v>636</v>
      </c>
      <c r="H3468" s="504" t="s">
        <v>6140</v>
      </c>
      <c r="I3468" s="504">
        <v>1614</v>
      </c>
      <c r="J3468" s="504">
        <v>1261</v>
      </c>
      <c r="K3468" s="504">
        <v>53</v>
      </c>
      <c r="L3468" s="504">
        <v>49</v>
      </c>
      <c r="M3468" s="504">
        <v>139</v>
      </c>
      <c r="N3468" s="504">
        <v>0</v>
      </c>
      <c r="O3468" s="505">
        <v>112</v>
      </c>
    </row>
    <row r="3469" spans="1:15" x14ac:dyDescent="0.35">
      <c r="A3469" s="500" t="s">
        <v>1418</v>
      </c>
      <c r="B3469" s="501" t="s">
        <v>2715</v>
      </c>
      <c r="C3469" s="501" t="s">
        <v>1089</v>
      </c>
      <c r="D3469" s="501" t="s">
        <v>3392</v>
      </c>
      <c r="E3469" s="501" t="s">
        <v>3381</v>
      </c>
      <c r="F3469" s="501" t="s">
        <v>635</v>
      </c>
      <c r="G3469" s="501" t="s">
        <v>636</v>
      </c>
      <c r="H3469" s="501" t="s">
        <v>6141</v>
      </c>
      <c r="I3469" s="501">
        <v>24</v>
      </c>
      <c r="J3469" s="501">
        <v>24</v>
      </c>
      <c r="K3469" s="501">
        <v>0</v>
      </c>
      <c r="L3469" s="501">
        <v>0</v>
      </c>
      <c r="M3469" s="501">
        <v>0</v>
      </c>
      <c r="N3469" s="501">
        <v>0</v>
      </c>
      <c r="O3469" s="506">
        <v>0</v>
      </c>
    </row>
    <row r="3470" spans="1:15" x14ac:dyDescent="0.35">
      <c r="A3470" s="503" t="s">
        <v>1436</v>
      </c>
      <c r="B3470" s="504" t="s">
        <v>2711</v>
      </c>
      <c r="C3470" s="504" t="s">
        <v>1089</v>
      </c>
      <c r="D3470" s="504" t="s">
        <v>3392</v>
      </c>
      <c r="E3470" s="504" t="s">
        <v>3381</v>
      </c>
      <c r="F3470" s="504" t="s">
        <v>635</v>
      </c>
      <c r="G3470" s="504" t="s">
        <v>636</v>
      </c>
      <c r="H3470" s="504" t="s">
        <v>6142</v>
      </c>
      <c r="I3470" s="504">
        <v>62</v>
      </c>
      <c r="J3470" s="504">
        <v>62</v>
      </c>
      <c r="K3470" s="504">
        <v>0</v>
      </c>
      <c r="L3470" s="504">
        <v>0</v>
      </c>
      <c r="M3470" s="504">
        <v>0</v>
      </c>
      <c r="N3470" s="504">
        <v>0</v>
      </c>
      <c r="O3470" s="505">
        <v>0</v>
      </c>
    </row>
    <row r="3471" spans="1:15" x14ac:dyDescent="0.35">
      <c r="A3471" s="500" t="s">
        <v>1298</v>
      </c>
      <c r="B3471" s="501" t="s">
        <v>2991</v>
      </c>
      <c r="C3471" s="501" t="s">
        <v>1094</v>
      </c>
      <c r="D3471" s="501" t="s">
        <v>3380</v>
      </c>
      <c r="E3471" s="501" t="s">
        <v>3381</v>
      </c>
      <c r="F3471" s="501" t="s">
        <v>635</v>
      </c>
      <c r="G3471" s="501" t="s">
        <v>636</v>
      </c>
      <c r="H3471" s="501" t="s">
        <v>6143</v>
      </c>
      <c r="I3471" s="501">
        <v>56</v>
      </c>
      <c r="J3471" s="501">
        <v>41</v>
      </c>
      <c r="K3471" s="501">
        <v>0</v>
      </c>
      <c r="L3471" s="501">
        <v>15</v>
      </c>
      <c r="M3471" s="501">
        <v>0</v>
      </c>
      <c r="N3471" s="501">
        <v>0</v>
      </c>
      <c r="O3471" s="506">
        <v>0</v>
      </c>
    </row>
    <row r="3472" spans="1:15" x14ac:dyDescent="0.35">
      <c r="A3472" s="503" t="s">
        <v>1185</v>
      </c>
      <c r="B3472" s="504" t="s">
        <v>3253</v>
      </c>
      <c r="C3472" s="504" t="s">
        <v>1094</v>
      </c>
      <c r="D3472" s="504" t="s">
        <v>3380</v>
      </c>
      <c r="E3472" s="504" t="s">
        <v>3381</v>
      </c>
      <c r="F3472" s="504" t="s">
        <v>635</v>
      </c>
      <c r="G3472" s="504" t="s">
        <v>636</v>
      </c>
      <c r="H3472" s="504" t="s">
        <v>6144</v>
      </c>
      <c r="I3472" s="504">
        <v>93</v>
      </c>
      <c r="J3472" s="504">
        <v>41</v>
      </c>
      <c r="K3472" s="504">
        <v>0</v>
      </c>
      <c r="L3472" s="504">
        <v>41</v>
      </c>
      <c r="M3472" s="504">
        <v>11</v>
      </c>
      <c r="N3472" s="504">
        <v>0</v>
      </c>
      <c r="O3472" s="505">
        <v>0</v>
      </c>
    </row>
    <row r="3473" spans="1:15" x14ac:dyDescent="0.35">
      <c r="A3473" s="500" t="s">
        <v>1449</v>
      </c>
      <c r="B3473" s="501" t="s">
        <v>2694</v>
      </c>
      <c r="C3473" s="501" t="s">
        <v>1089</v>
      </c>
      <c r="D3473" s="501" t="s">
        <v>3392</v>
      </c>
      <c r="E3473" s="501" t="s">
        <v>3381</v>
      </c>
      <c r="F3473" s="501" t="s">
        <v>635</v>
      </c>
      <c r="G3473" s="501" t="s">
        <v>636</v>
      </c>
      <c r="H3473" s="501" t="s">
        <v>6145</v>
      </c>
      <c r="I3473" s="501">
        <v>86</v>
      </c>
      <c r="J3473" s="501">
        <v>86</v>
      </c>
      <c r="K3473" s="501">
        <v>0</v>
      </c>
      <c r="L3473" s="501">
        <v>0</v>
      </c>
      <c r="M3473" s="501">
        <v>0</v>
      </c>
      <c r="N3473" s="501">
        <v>0</v>
      </c>
      <c r="O3473" s="506">
        <v>0</v>
      </c>
    </row>
    <row r="3474" spans="1:15" x14ac:dyDescent="0.35">
      <c r="A3474" s="503" t="s">
        <v>1450</v>
      </c>
      <c r="B3474" s="504">
        <v>4695</v>
      </c>
      <c r="C3474" s="504" t="s">
        <v>1089</v>
      </c>
      <c r="D3474" s="504" t="s">
        <v>3392</v>
      </c>
      <c r="E3474" s="504" t="s">
        <v>3381</v>
      </c>
      <c r="F3474" s="504" t="s">
        <v>635</v>
      </c>
      <c r="G3474" s="504" t="s">
        <v>636</v>
      </c>
      <c r="H3474" s="504" t="s">
        <v>6146</v>
      </c>
      <c r="I3474" s="504">
        <v>46</v>
      </c>
      <c r="J3474" s="504">
        <v>46</v>
      </c>
      <c r="K3474" s="504">
        <v>0</v>
      </c>
      <c r="L3474" s="504">
        <v>0</v>
      </c>
      <c r="M3474" s="504">
        <v>0</v>
      </c>
      <c r="N3474" s="504">
        <v>0</v>
      </c>
      <c r="O3474" s="505">
        <v>0</v>
      </c>
    </row>
    <row r="3475" spans="1:15" x14ac:dyDescent="0.35">
      <c r="A3475" s="500" t="s">
        <v>1472</v>
      </c>
      <c r="B3475" s="501" t="s">
        <v>2839</v>
      </c>
      <c r="C3475" s="501" t="s">
        <v>1089</v>
      </c>
      <c r="D3475" s="501" t="s">
        <v>3392</v>
      </c>
      <c r="E3475" s="501" t="s">
        <v>3381</v>
      </c>
      <c r="F3475" s="501" t="s">
        <v>635</v>
      </c>
      <c r="G3475" s="501" t="s">
        <v>636</v>
      </c>
      <c r="H3475" s="501" t="s">
        <v>6147</v>
      </c>
      <c r="I3475" s="501">
        <v>74</v>
      </c>
      <c r="J3475" s="501">
        <v>0</v>
      </c>
      <c r="K3475" s="501">
        <v>74</v>
      </c>
      <c r="L3475" s="501">
        <v>0</v>
      </c>
      <c r="M3475" s="501">
        <v>0</v>
      </c>
      <c r="N3475" s="501">
        <v>0</v>
      </c>
      <c r="O3475" s="506">
        <v>0</v>
      </c>
    </row>
    <row r="3476" spans="1:15" x14ac:dyDescent="0.35">
      <c r="A3476" s="503" t="s">
        <v>1476</v>
      </c>
      <c r="B3476" s="504" t="s">
        <v>2988</v>
      </c>
      <c r="C3476" s="504" t="s">
        <v>1094</v>
      </c>
      <c r="D3476" s="504" t="s">
        <v>3380</v>
      </c>
      <c r="E3476" s="504" t="s">
        <v>3381</v>
      </c>
      <c r="F3476" s="504" t="s">
        <v>635</v>
      </c>
      <c r="G3476" s="504" t="s">
        <v>636</v>
      </c>
      <c r="H3476" s="504" t="s">
        <v>6148</v>
      </c>
      <c r="I3476" s="504">
        <v>856</v>
      </c>
      <c r="J3476" s="504">
        <v>646</v>
      </c>
      <c r="K3476" s="504">
        <v>0</v>
      </c>
      <c r="L3476" s="504">
        <v>19</v>
      </c>
      <c r="M3476" s="504">
        <v>30</v>
      </c>
      <c r="N3476" s="504">
        <v>67</v>
      </c>
      <c r="O3476" s="505">
        <v>161</v>
      </c>
    </row>
    <row r="3477" spans="1:15" x14ac:dyDescent="0.35">
      <c r="A3477" s="500" t="s">
        <v>1480</v>
      </c>
      <c r="B3477" s="501">
        <v>4770</v>
      </c>
      <c r="C3477" s="501" t="s">
        <v>1089</v>
      </c>
      <c r="D3477" s="501" t="s">
        <v>3392</v>
      </c>
      <c r="E3477" s="501" t="s">
        <v>3381</v>
      </c>
      <c r="F3477" s="501" t="s">
        <v>635</v>
      </c>
      <c r="G3477" s="501" t="s">
        <v>636</v>
      </c>
      <c r="H3477" s="501" t="s">
        <v>6149</v>
      </c>
      <c r="I3477" s="501">
        <v>4</v>
      </c>
      <c r="J3477" s="501">
        <v>4</v>
      </c>
      <c r="K3477" s="501">
        <v>0</v>
      </c>
      <c r="L3477" s="501">
        <v>0</v>
      </c>
      <c r="M3477" s="501">
        <v>0</v>
      </c>
      <c r="N3477" s="501">
        <v>0</v>
      </c>
      <c r="O3477" s="506">
        <v>0</v>
      </c>
    </row>
    <row r="3478" spans="1:15" x14ac:dyDescent="0.35">
      <c r="A3478" s="503" t="s">
        <v>1483</v>
      </c>
      <c r="B3478" s="504">
        <v>4769</v>
      </c>
      <c r="C3478" s="504" t="s">
        <v>1089</v>
      </c>
      <c r="D3478" s="504" t="s">
        <v>3392</v>
      </c>
      <c r="E3478" s="504" t="s">
        <v>3381</v>
      </c>
      <c r="F3478" s="504" t="s">
        <v>635</v>
      </c>
      <c r="G3478" s="504" t="s">
        <v>636</v>
      </c>
      <c r="H3478" s="504" t="s">
        <v>6150</v>
      </c>
      <c r="I3478" s="504">
        <v>1</v>
      </c>
      <c r="J3478" s="504">
        <v>1</v>
      </c>
      <c r="K3478" s="504">
        <v>0</v>
      </c>
      <c r="L3478" s="504">
        <v>0</v>
      </c>
      <c r="M3478" s="504">
        <v>0</v>
      </c>
      <c r="N3478" s="504">
        <v>0</v>
      </c>
      <c r="O3478" s="505">
        <v>0</v>
      </c>
    </row>
    <row r="3479" spans="1:15" x14ac:dyDescent="0.35">
      <c r="A3479" s="500" t="s">
        <v>1311</v>
      </c>
      <c r="B3479" s="501" t="s">
        <v>3361</v>
      </c>
      <c r="C3479" s="501" t="s">
        <v>1094</v>
      </c>
      <c r="D3479" s="501" t="s">
        <v>3380</v>
      </c>
      <c r="E3479" s="501" t="s">
        <v>3381</v>
      </c>
      <c r="F3479" s="501" t="s">
        <v>635</v>
      </c>
      <c r="G3479" s="501" t="s">
        <v>636</v>
      </c>
      <c r="H3479" s="501" t="s">
        <v>6151</v>
      </c>
      <c r="I3479" s="501">
        <v>90</v>
      </c>
      <c r="J3479" s="501">
        <v>90</v>
      </c>
      <c r="K3479" s="501">
        <v>0</v>
      </c>
      <c r="L3479" s="501">
        <v>0</v>
      </c>
      <c r="M3479" s="501">
        <v>0</v>
      </c>
      <c r="N3479" s="501">
        <v>0</v>
      </c>
      <c r="O3479" s="506">
        <v>0</v>
      </c>
    </row>
    <row r="3480" spans="1:15" x14ac:dyDescent="0.35">
      <c r="A3480" s="503" t="s">
        <v>1202</v>
      </c>
      <c r="B3480" s="504" t="s">
        <v>3217</v>
      </c>
      <c r="C3480" s="504" t="s">
        <v>1094</v>
      </c>
      <c r="D3480" s="504" t="s">
        <v>3380</v>
      </c>
      <c r="E3480" s="504" t="s">
        <v>3381</v>
      </c>
      <c r="F3480" s="504" t="s">
        <v>635</v>
      </c>
      <c r="G3480" s="504" t="s">
        <v>636</v>
      </c>
      <c r="H3480" s="504" t="s">
        <v>6152</v>
      </c>
      <c r="I3480" s="504">
        <v>1543</v>
      </c>
      <c r="J3480" s="504">
        <v>1302</v>
      </c>
      <c r="K3480" s="504">
        <v>3</v>
      </c>
      <c r="L3480" s="504">
        <v>23</v>
      </c>
      <c r="M3480" s="504">
        <v>0</v>
      </c>
      <c r="N3480" s="504">
        <v>6</v>
      </c>
      <c r="O3480" s="505">
        <v>215</v>
      </c>
    </row>
    <row r="3481" spans="1:15" x14ac:dyDescent="0.35">
      <c r="A3481" s="500" t="s">
        <v>1112</v>
      </c>
      <c r="B3481" s="501" t="s">
        <v>3008</v>
      </c>
      <c r="C3481" s="501" t="s">
        <v>1094</v>
      </c>
      <c r="D3481" s="501" t="s">
        <v>3380</v>
      </c>
      <c r="E3481" s="501" t="s">
        <v>3381</v>
      </c>
      <c r="F3481" s="501" t="s">
        <v>635</v>
      </c>
      <c r="G3481" s="501" t="s">
        <v>636</v>
      </c>
      <c r="H3481" s="501" t="s">
        <v>6153</v>
      </c>
      <c r="I3481" s="501">
        <v>653</v>
      </c>
      <c r="J3481" s="501">
        <v>467</v>
      </c>
      <c r="K3481" s="501">
        <v>0</v>
      </c>
      <c r="L3481" s="501">
        <v>0</v>
      </c>
      <c r="M3481" s="501">
        <v>0</v>
      </c>
      <c r="N3481" s="501">
        <v>0</v>
      </c>
      <c r="O3481" s="506">
        <v>186</v>
      </c>
    </row>
    <row r="3482" spans="1:15" x14ac:dyDescent="0.35">
      <c r="A3482" s="503" t="s">
        <v>1210</v>
      </c>
      <c r="B3482" s="504">
        <v>4781</v>
      </c>
      <c r="C3482" s="504" t="s">
        <v>1089</v>
      </c>
      <c r="D3482" s="504" t="s">
        <v>3392</v>
      </c>
      <c r="E3482" s="504" t="s">
        <v>3381</v>
      </c>
      <c r="F3482" s="504" t="s">
        <v>635</v>
      </c>
      <c r="G3482" s="504" t="s">
        <v>636</v>
      </c>
      <c r="H3482" s="504" t="s">
        <v>6154</v>
      </c>
      <c r="I3482" s="504">
        <v>23</v>
      </c>
      <c r="J3482" s="504">
        <v>0</v>
      </c>
      <c r="K3482" s="504">
        <v>0</v>
      </c>
      <c r="L3482" s="504">
        <v>23</v>
      </c>
      <c r="M3482" s="504">
        <v>0</v>
      </c>
      <c r="N3482" s="504">
        <v>0</v>
      </c>
      <c r="O3482" s="505">
        <v>0</v>
      </c>
    </row>
    <row r="3483" spans="1:15" x14ac:dyDescent="0.35">
      <c r="A3483" s="500" t="s">
        <v>1315</v>
      </c>
      <c r="B3483" s="501">
        <v>4825</v>
      </c>
      <c r="C3483" s="501" t="s">
        <v>1094</v>
      </c>
      <c r="D3483" s="501" t="s">
        <v>3380</v>
      </c>
      <c r="E3483" s="501" t="s">
        <v>3381</v>
      </c>
      <c r="F3483" s="501" t="s">
        <v>635</v>
      </c>
      <c r="G3483" s="501" t="s">
        <v>636</v>
      </c>
      <c r="H3483" s="501" t="s">
        <v>6155</v>
      </c>
      <c r="I3483" s="501">
        <v>652</v>
      </c>
      <c r="J3483" s="501">
        <v>319</v>
      </c>
      <c r="K3483" s="501">
        <v>303</v>
      </c>
      <c r="L3483" s="501">
        <v>0</v>
      </c>
      <c r="M3483" s="501">
        <v>0</v>
      </c>
      <c r="N3483" s="501">
        <v>0</v>
      </c>
      <c r="O3483" s="506">
        <v>30</v>
      </c>
    </row>
    <row r="3484" spans="1:15" x14ac:dyDescent="0.35">
      <c r="A3484" s="503" t="s">
        <v>1316</v>
      </c>
      <c r="B3484" s="504" t="s">
        <v>2949</v>
      </c>
      <c r="C3484" s="504" t="s">
        <v>1094</v>
      </c>
      <c r="D3484" s="504" t="s">
        <v>3380</v>
      </c>
      <c r="E3484" s="504" t="s">
        <v>3381</v>
      </c>
      <c r="F3484" s="504" t="s">
        <v>635</v>
      </c>
      <c r="G3484" s="504" t="s">
        <v>636</v>
      </c>
      <c r="H3484" s="504" t="s">
        <v>6156</v>
      </c>
      <c r="I3484" s="504">
        <v>1943</v>
      </c>
      <c r="J3484" s="504">
        <v>1484</v>
      </c>
      <c r="K3484" s="504">
        <v>0</v>
      </c>
      <c r="L3484" s="504">
        <v>228</v>
      </c>
      <c r="M3484" s="504">
        <v>158</v>
      </c>
      <c r="N3484" s="504">
        <v>2</v>
      </c>
      <c r="O3484" s="505">
        <v>73</v>
      </c>
    </row>
    <row r="3485" spans="1:15" x14ac:dyDescent="0.35">
      <c r="A3485" s="500" t="s">
        <v>1508</v>
      </c>
      <c r="B3485" s="501" t="s">
        <v>3307</v>
      </c>
      <c r="C3485" s="501" t="s">
        <v>1089</v>
      </c>
      <c r="D3485" s="501" t="s">
        <v>3380</v>
      </c>
      <c r="E3485" s="501" t="s">
        <v>3381</v>
      </c>
      <c r="F3485" s="501" t="s">
        <v>635</v>
      </c>
      <c r="G3485" s="501" t="s">
        <v>636</v>
      </c>
      <c r="H3485" s="501" t="s">
        <v>6157</v>
      </c>
      <c r="I3485" s="501">
        <v>515</v>
      </c>
      <c r="J3485" s="501">
        <v>498</v>
      </c>
      <c r="K3485" s="501">
        <v>0</v>
      </c>
      <c r="L3485" s="501">
        <v>0</v>
      </c>
      <c r="M3485" s="501">
        <v>0</v>
      </c>
      <c r="N3485" s="501">
        <v>0</v>
      </c>
      <c r="O3485" s="506">
        <v>17</v>
      </c>
    </row>
    <row r="3486" spans="1:15" x14ac:dyDescent="0.35">
      <c r="A3486" s="503" t="s">
        <v>1319</v>
      </c>
      <c r="B3486" s="504">
        <v>4880</v>
      </c>
      <c r="C3486" s="504" t="s">
        <v>1094</v>
      </c>
      <c r="D3486" s="504" t="s">
        <v>3380</v>
      </c>
      <c r="E3486" s="504" t="s">
        <v>3381</v>
      </c>
      <c r="F3486" s="504" t="s">
        <v>635</v>
      </c>
      <c r="G3486" s="504" t="s">
        <v>636</v>
      </c>
      <c r="H3486" s="504" t="s">
        <v>6158</v>
      </c>
      <c r="I3486" s="504">
        <v>1066</v>
      </c>
      <c r="J3486" s="504">
        <v>879</v>
      </c>
      <c r="K3486" s="504">
        <v>0</v>
      </c>
      <c r="L3486" s="504">
        <v>1</v>
      </c>
      <c r="M3486" s="504">
        <v>0</v>
      </c>
      <c r="N3486" s="504">
        <v>0</v>
      </c>
      <c r="O3486" s="505">
        <v>186</v>
      </c>
    </row>
    <row r="3487" spans="1:15" x14ac:dyDescent="0.35">
      <c r="A3487" s="500" t="s">
        <v>1120</v>
      </c>
      <c r="B3487" s="501" t="s">
        <v>3362</v>
      </c>
      <c r="C3487" s="501" t="s">
        <v>1094</v>
      </c>
      <c r="D3487" s="501" t="s">
        <v>3380</v>
      </c>
      <c r="E3487" s="501" t="s">
        <v>3381</v>
      </c>
      <c r="F3487" s="501" t="s">
        <v>635</v>
      </c>
      <c r="G3487" s="501" t="s">
        <v>636</v>
      </c>
      <c r="H3487" s="501" t="s">
        <v>6159</v>
      </c>
      <c r="I3487" s="501">
        <v>241</v>
      </c>
      <c r="J3487" s="501">
        <v>0</v>
      </c>
      <c r="K3487" s="501">
        <v>0</v>
      </c>
      <c r="L3487" s="501">
        <v>0</v>
      </c>
      <c r="M3487" s="501">
        <v>0</v>
      </c>
      <c r="N3487" s="501">
        <v>0</v>
      </c>
      <c r="O3487" s="506">
        <v>241</v>
      </c>
    </row>
    <row r="3488" spans="1:15" x14ac:dyDescent="0.35">
      <c r="A3488" s="503" t="s">
        <v>1320</v>
      </c>
      <c r="B3488" s="504">
        <v>4720</v>
      </c>
      <c r="C3488" s="504" t="s">
        <v>1089</v>
      </c>
      <c r="D3488" s="504" t="s">
        <v>3392</v>
      </c>
      <c r="E3488" s="504" t="s">
        <v>3381</v>
      </c>
      <c r="F3488" s="504" t="s">
        <v>635</v>
      </c>
      <c r="G3488" s="504" t="s">
        <v>636</v>
      </c>
      <c r="H3488" s="504" t="s">
        <v>14723</v>
      </c>
      <c r="I3488" s="504">
        <v>33</v>
      </c>
      <c r="J3488" s="504">
        <v>33</v>
      </c>
      <c r="K3488" s="504">
        <v>0</v>
      </c>
      <c r="L3488" s="504">
        <v>0</v>
      </c>
      <c r="M3488" s="504">
        <v>0</v>
      </c>
      <c r="N3488" s="504">
        <v>0</v>
      </c>
      <c r="O3488" s="505">
        <v>0</v>
      </c>
    </row>
    <row r="3489" spans="1:15" x14ac:dyDescent="0.35">
      <c r="A3489" s="500" t="s">
        <v>1322</v>
      </c>
      <c r="B3489" s="501" t="s">
        <v>3244</v>
      </c>
      <c r="C3489" s="501" t="s">
        <v>1094</v>
      </c>
      <c r="D3489" s="501" t="s">
        <v>3380</v>
      </c>
      <c r="E3489" s="501" t="s">
        <v>3381</v>
      </c>
      <c r="F3489" s="501" t="s">
        <v>635</v>
      </c>
      <c r="G3489" s="501" t="s">
        <v>636</v>
      </c>
      <c r="H3489" s="501" t="s">
        <v>6160</v>
      </c>
      <c r="I3489" s="501">
        <v>561</v>
      </c>
      <c r="J3489" s="501">
        <v>264</v>
      </c>
      <c r="K3489" s="501">
        <v>0</v>
      </c>
      <c r="L3489" s="501">
        <v>99</v>
      </c>
      <c r="M3489" s="501">
        <v>0</v>
      </c>
      <c r="N3489" s="501">
        <v>0</v>
      </c>
      <c r="O3489" s="506">
        <v>198</v>
      </c>
    </row>
    <row r="3490" spans="1:15" x14ac:dyDescent="0.35">
      <c r="A3490" s="503" t="s">
        <v>1217</v>
      </c>
      <c r="B3490" s="504">
        <v>4851</v>
      </c>
      <c r="C3490" s="504" t="s">
        <v>1094</v>
      </c>
      <c r="D3490" s="504" t="s">
        <v>3380</v>
      </c>
      <c r="E3490" s="504" t="s">
        <v>3381</v>
      </c>
      <c r="F3490" s="504" t="s">
        <v>635</v>
      </c>
      <c r="G3490" s="504" t="s">
        <v>636</v>
      </c>
      <c r="H3490" s="504" t="s">
        <v>6161</v>
      </c>
      <c r="I3490" s="504">
        <v>87</v>
      </c>
      <c r="J3490" s="504">
        <v>41</v>
      </c>
      <c r="K3490" s="504">
        <v>0</v>
      </c>
      <c r="L3490" s="504">
        <v>0</v>
      </c>
      <c r="M3490" s="504">
        <v>0</v>
      </c>
      <c r="N3490" s="504">
        <v>0</v>
      </c>
      <c r="O3490" s="505">
        <v>46</v>
      </c>
    </row>
    <row r="3491" spans="1:15" x14ac:dyDescent="0.35">
      <c r="A3491" s="500" t="s">
        <v>1325</v>
      </c>
      <c r="B3491" s="501" t="s">
        <v>3011</v>
      </c>
      <c r="C3491" s="501" t="s">
        <v>1094</v>
      </c>
      <c r="D3491" s="501" t="s">
        <v>3380</v>
      </c>
      <c r="E3491" s="501" t="s">
        <v>3381</v>
      </c>
      <c r="F3491" s="501" t="s">
        <v>635</v>
      </c>
      <c r="G3491" s="501" t="s">
        <v>636</v>
      </c>
      <c r="H3491" s="501" t="s">
        <v>6162</v>
      </c>
      <c r="I3491" s="501">
        <v>11</v>
      </c>
      <c r="J3491" s="501">
        <v>0</v>
      </c>
      <c r="K3491" s="501">
        <v>0</v>
      </c>
      <c r="L3491" s="501">
        <v>0</v>
      </c>
      <c r="M3491" s="501">
        <v>0</v>
      </c>
      <c r="N3491" s="501">
        <v>0</v>
      </c>
      <c r="O3491" s="506">
        <v>11</v>
      </c>
    </row>
    <row r="3492" spans="1:15" x14ac:dyDescent="0.35">
      <c r="A3492" s="503" t="s">
        <v>11388</v>
      </c>
      <c r="B3492" s="504">
        <v>5095</v>
      </c>
      <c r="C3492" s="504" t="s">
        <v>1089</v>
      </c>
      <c r="D3492" s="504" t="s">
        <v>3392</v>
      </c>
      <c r="E3492" s="504" t="s">
        <v>3381</v>
      </c>
      <c r="F3492" s="504" t="s">
        <v>635</v>
      </c>
      <c r="G3492" s="504" t="s">
        <v>636</v>
      </c>
      <c r="H3492" s="504" t="s">
        <v>11966</v>
      </c>
      <c r="I3492" s="504">
        <v>1</v>
      </c>
      <c r="J3492" s="504">
        <v>1</v>
      </c>
      <c r="K3492" s="504">
        <v>0</v>
      </c>
      <c r="L3492" s="504">
        <v>0</v>
      </c>
      <c r="M3492" s="504">
        <v>0</v>
      </c>
      <c r="N3492" s="504">
        <v>0</v>
      </c>
      <c r="O3492" s="505">
        <v>0</v>
      </c>
    </row>
    <row r="3493" spans="1:15" x14ac:dyDescent="0.35">
      <c r="A3493" s="500" t="s">
        <v>1327</v>
      </c>
      <c r="B3493" s="501" t="s">
        <v>3330</v>
      </c>
      <c r="C3493" s="501" t="s">
        <v>1094</v>
      </c>
      <c r="D3493" s="501" t="s">
        <v>3380</v>
      </c>
      <c r="E3493" s="501" t="s">
        <v>3381</v>
      </c>
      <c r="F3493" s="501" t="s">
        <v>635</v>
      </c>
      <c r="G3493" s="501" t="s">
        <v>636</v>
      </c>
      <c r="H3493" s="501" t="s">
        <v>6163</v>
      </c>
      <c r="I3493" s="501">
        <v>11</v>
      </c>
      <c r="J3493" s="501">
        <v>0</v>
      </c>
      <c r="K3493" s="501">
        <v>0</v>
      </c>
      <c r="L3493" s="501">
        <v>0</v>
      </c>
      <c r="M3493" s="501">
        <v>0</v>
      </c>
      <c r="N3493" s="501">
        <v>0</v>
      </c>
      <c r="O3493" s="506">
        <v>11</v>
      </c>
    </row>
    <row r="3494" spans="1:15" x14ac:dyDescent="0.35">
      <c r="A3494" s="503" t="s">
        <v>1220</v>
      </c>
      <c r="B3494" s="504">
        <v>4849</v>
      </c>
      <c r="C3494" s="504" t="s">
        <v>1094</v>
      </c>
      <c r="D3494" s="504" t="s">
        <v>3380</v>
      </c>
      <c r="E3494" s="504" t="s">
        <v>3381</v>
      </c>
      <c r="F3494" s="504" t="s">
        <v>635</v>
      </c>
      <c r="G3494" s="504" t="s">
        <v>636</v>
      </c>
      <c r="H3494" s="504" t="s">
        <v>11971</v>
      </c>
      <c r="I3494" s="504">
        <v>14</v>
      </c>
      <c r="J3494" s="504">
        <v>0</v>
      </c>
      <c r="K3494" s="504">
        <v>0</v>
      </c>
      <c r="L3494" s="504">
        <v>0</v>
      </c>
      <c r="M3494" s="504">
        <v>0</v>
      </c>
      <c r="N3494" s="504">
        <v>0</v>
      </c>
      <c r="O3494" s="505">
        <v>14</v>
      </c>
    </row>
    <row r="3495" spans="1:15" x14ac:dyDescent="0.35">
      <c r="A3495" s="500" t="s">
        <v>1332</v>
      </c>
      <c r="B3495" s="501">
        <v>4878</v>
      </c>
      <c r="C3495" s="501" t="s">
        <v>1094</v>
      </c>
      <c r="D3495" s="501" t="s">
        <v>3380</v>
      </c>
      <c r="E3495" s="501" t="s">
        <v>3381</v>
      </c>
      <c r="F3495" s="501" t="s">
        <v>635</v>
      </c>
      <c r="G3495" s="501" t="s">
        <v>636</v>
      </c>
      <c r="H3495" s="501" t="s">
        <v>6164</v>
      </c>
      <c r="I3495" s="501">
        <v>5366</v>
      </c>
      <c r="J3495" s="501">
        <v>4144</v>
      </c>
      <c r="K3495" s="501">
        <v>0</v>
      </c>
      <c r="L3495" s="501">
        <v>542</v>
      </c>
      <c r="M3495" s="501">
        <v>176</v>
      </c>
      <c r="N3495" s="501">
        <v>0</v>
      </c>
      <c r="O3495" s="506">
        <v>504</v>
      </c>
    </row>
    <row r="3496" spans="1:15" x14ac:dyDescent="0.35">
      <c r="A3496" s="503" t="s">
        <v>1522</v>
      </c>
      <c r="B3496" s="504" t="s">
        <v>3262</v>
      </c>
      <c r="C3496" s="504" t="s">
        <v>1089</v>
      </c>
      <c r="D3496" s="504" t="s">
        <v>3392</v>
      </c>
      <c r="E3496" s="504" t="s">
        <v>3381</v>
      </c>
      <c r="F3496" s="504" t="s">
        <v>635</v>
      </c>
      <c r="G3496" s="504" t="s">
        <v>636</v>
      </c>
      <c r="H3496" s="504" t="s">
        <v>6165</v>
      </c>
      <c r="I3496" s="504">
        <v>114</v>
      </c>
      <c r="J3496" s="504">
        <v>21</v>
      </c>
      <c r="K3496" s="504">
        <v>5</v>
      </c>
      <c r="L3496" s="504">
        <v>82</v>
      </c>
      <c r="M3496" s="504">
        <v>6</v>
      </c>
      <c r="N3496" s="504">
        <v>8</v>
      </c>
      <c r="O3496" s="505">
        <v>0</v>
      </c>
    </row>
    <row r="3497" spans="1:15" x14ac:dyDescent="0.35">
      <c r="A3497" s="500" t="s">
        <v>1524</v>
      </c>
      <c r="B3497" s="501" t="s">
        <v>2767</v>
      </c>
      <c r="C3497" s="501" t="s">
        <v>1089</v>
      </c>
      <c r="D3497" s="501" t="s">
        <v>3392</v>
      </c>
      <c r="E3497" s="501" t="s">
        <v>3381</v>
      </c>
      <c r="F3497" s="501" t="s">
        <v>635</v>
      </c>
      <c r="G3497" s="501" t="s">
        <v>636</v>
      </c>
      <c r="H3497" s="501" t="s">
        <v>6166</v>
      </c>
      <c r="I3497" s="501">
        <v>46</v>
      </c>
      <c r="J3497" s="501">
        <v>3</v>
      </c>
      <c r="K3497" s="501">
        <v>43</v>
      </c>
      <c r="L3497" s="501">
        <v>0</v>
      </c>
      <c r="M3497" s="501">
        <v>0</v>
      </c>
      <c r="N3497" s="501">
        <v>0</v>
      </c>
      <c r="O3497" s="506">
        <v>0</v>
      </c>
    </row>
    <row r="3498" spans="1:15" x14ac:dyDescent="0.35">
      <c r="A3498" s="503" t="s">
        <v>1122</v>
      </c>
      <c r="B3498" s="504" t="s">
        <v>2994</v>
      </c>
      <c r="C3498" s="504" t="s">
        <v>1094</v>
      </c>
      <c r="D3498" s="504" t="s">
        <v>3380</v>
      </c>
      <c r="E3498" s="504" t="s">
        <v>3381</v>
      </c>
      <c r="F3498" s="504" t="s">
        <v>635</v>
      </c>
      <c r="G3498" s="504" t="s">
        <v>636</v>
      </c>
      <c r="H3498" s="504" t="s">
        <v>6167</v>
      </c>
      <c r="I3498" s="504">
        <v>30</v>
      </c>
      <c r="J3498" s="504">
        <v>18</v>
      </c>
      <c r="K3498" s="504">
        <v>0</v>
      </c>
      <c r="L3498" s="504">
        <v>0</v>
      </c>
      <c r="M3498" s="504">
        <v>0</v>
      </c>
      <c r="N3498" s="504">
        <v>0</v>
      </c>
      <c r="O3498" s="505">
        <v>12</v>
      </c>
    </row>
    <row r="3499" spans="1:15" x14ac:dyDescent="0.35">
      <c r="A3499" s="500" t="s">
        <v>1225</v>
      </c>
      <c r="B3499" s="501" t="s">
        <v>3315</v>
      </c>
      <c r="C3499" s="501" t="s">
        <v>1094</v>
      </c>
      <c r="D3499" s="501" t="s">
        <v>3380</v>
      </c>
      <c r="E3499" s="501" t="s">
        <v>3381</v>
      </c>
      <c r="F3499" s="501" t="s">
        <v>635</v>
      </c>
      <c r="G3499" s="501" t="s">
        <v>636</v>
      </c>
      <c r="H3499" s="501" t="s">
        <v>6168</v>
      </c>
      <c r="I3499" s="501">
        <v>437</v>
      </c>
      <c r="J3499" s="501">
        <v>432</v>
      </c>
      <c r="K3499" s="501">
        <v>0</v>
      </c>
      <c r="L3499" s="501">
        <v>5</v>
      </c>
      <c r="M3499" s="501">
        <v>0</v>
      </c>
      <c r="N3499" s="501">
        <v>0</v>
      </c>
      <c r="O3499" s="506">
        <v>0</v>
      </c>
    </row>
    <row r="3500" spans="1:15" x14ac:dyDescent="0.35">
      <c r="A3500" s="503" t="s">
        <v>1528</v>
      </c>
      <c r="B3500" s="504" t="s">
        <v>3153</v>
      </c>
      <c r="C3500" s="504" t="s">
        <v>1094</v>
      </c>
      <c r="D3500" s="504" t="s">
        <v>3380</v>
      </c>
      <c r="E3500" s="504" t="s">
        <v>3381</v>
      </c>
      <c r="F3500" s="504" t="s">
        <v>635</v>
      </c>
      <c r="G3500" s="504" t="s">
        <v>636</v>
      </c>
      <c r="H3500" s="504" t="s">
        <v>14724</v>
      </c>
      <c r="I3500" s="504">
        <v>10</v>
      </c>
      <c r="J3500" s="504">
        <v>6</v>
      </c>
      <c r="K3500" s="504">
        <v>0</v>
      </c>
      <c r="L3500" s="504">
        <v>0</v>
      </c>
      <c r="M3500" s="504">
        <v>0</v>
      </c>
      <c r="N3500" s="504">
        <v>0</v>
      </c>
      <c r="O3500" s="505">
        <v>4</v>
      </c>
    </row>
    <row r="3501" spans="1:15" x14ac:dyDescent="0.35">
      <c r="A3501" s="500" t="s">
        <v>1531</v>
      </c>
      <c r="B3501" s="501" t="s">
        <v>3000</v>
      </c>
      <c r="C3501" s="501" t="s">
        <v>1089</v>
      </c>
      <c r="D3501" s="501" t="s">
        <v>3392</v>
      </c>
      <c r="E3501" s="501" t="s">
        <v>3381</v>
      </c>
      <c r="F3501" s="501" t="s">
        <v>635</v>
      </c>
      <c r="G3501" s="501" t="s">
        <v>636</v>
      </c>
      <c r="H3501" s="501" t="s">
        <v>6169</v>
      </c>
      <c r="I3501" s="501">
        <v>15</v>
      </c>
      <c r="J3501" s="501">
        <v>0</v>
      </c>
      <c r="K3501" s="501">
        <v>0</v>
      </c>
      <c r="L3501" s="501">
        <v>15</v>
      </c>
      <c r="M3501" s="501">
        <v>0</v>
      </c>
      <c r="N3501" s="501">
        <v>0</v>
      </c>
      <c r="O3501" s="506">
        <v>0</v>
      </c>
    </row>
    <row r="3502" spans="1:15" x14ac:dyDescent="0.35">
      <c r="A3502" s="503" t="s">
        <v>1532</v>
      </c>
      <c r="B3502" s="504" t="s">
        <v>2659</v>
      </c>
      <c r="C3502" s="504" t="s">
        <v>1089</v>
      </c>
      <c r="D3502" s="504" t="s">
        <v>3392</v>
      </c>
      <c r="E3502" s="504" t="s">
        <v>3381</v>
      </c>
      <c r="F3502" s="504" t="s">
        <v>635</v>
      </c>
      <c r="G3502" s="504" t="s">
        <v>636</v>
      </c>
      <c r="H3502" s="504" t="s">
        <v>6170</v>
      </c>
      <c r="I3502" s="504">
        <v>57</v>
      </c>
      <c r="J3502" s="504">
        <v>57</v>
      </c>
      <c r="K3502" s="504">
        <v>0</v>
      </c>
      <c r="L3502" s="504">
        <v>0</v>
      </c>
      <c r="M3502" s="504">
        <v>0</v>
      </c>
      <c r="N3502" s="504">
        <v>0</v>
      </c>
      <c r="O3502" s="505">
        <v>0</v>
      </c>
    </row>
    <row r="3503" spans="1:15" x14ac:dyDescent="0.35">
      <c r="A3503" s="500" t="s">
        <v>1235</v>
      </c>
      <c r="B3503" s="501">
        <v>4684</v>
      </c>
      <c r="C3503" s="501" t="s">
        <v>1094</v>
      </c>
      <c r="D3503" s="501" t="s">
        <v>3380</v>
      </c>
      <c r="E3503" s="501" t="s">
        <v>3381</v>
      </c>
      <c r="F3503" s="501" t="s">
        <v>635</v>
      </c>
      <c r="G3503" s="501" t="s">
        <v>636</v>
      </c>
      <c r="H3503" s="501" t="s">
        <v>6171</v>
      </c>
      <c r="I3503" s="501">
        <v>18</v>
      </c>
      <c r="J3503" s="501">
        <v>12</v>
      </c>
      <c r="K3503" s="501">
        <v>0</v>
      </c>
      <c r="L3503" s="501">
        <v>0</v>
      </c>
      <c r="M3503" s="501">
        <v>0</v>
      </c>
      <c r="N3503" s="501">
        <v>0</v>
      </c>
      <c r="O3503" s="506">
        <v>6</v>
      </c>
    </row>
    <row r="3504" spans="1:15" x14ac:dyDescent="0.35">
      <c r="A3504" s="503" t="s">
        <v>1126</v>
      </c>
      <c r="B3504" s="504" t="s">
        <v>2974</v>
      </c>
      <c r="C3504" s="504" t="s">
        <v>1094</v>
      </c>
      <c r="D3504" s="504" t="s">
        <v>3380</v>
      </c>
      <c r="E3504" s="504" t="s">
        <v>3381</v>
      </c>
      <c r="F3504" s="504" t="s">
        <v>635</v>
      </c>
      <c r="G3504" s="504" t="s">
        <v>636</v>
      </c>
      <c r="H3504" s="504" t="s">
        <v>6172</v>
      </c>
      <c r="I3504" s="504">
        <v>2849</v>
      </c>
      <c r="J3504" s="504">
        <v>2623</v>
      </c>
      <c r="K3504" s="504">
        <v>8</v>
      </c>
      <c r="L3504" s="504">
        <v>93</v>
      </c>
      <c r="M3504" s="504">
        <v>67</v>
      </c>
      <c r="N3504" s="504">
        <v>0</v>
      </c>
      <c r="O3504" s="505">
        <v>58</v>
      </c>
    </row>
    <row r="3505" spans="1:15" x14ac:dyDescent="0.35">
      <c r="A3505" s="500" t="s">
        <v>1342</v>
      </c>
      <c r="B3505" s="501" t="s">
        <v>3237</v>
      </c>
      <c r="C3505" s="501" t="s">
        <v>1094</v>
      </c>
      <c r="D3505" s="501" t="s">
        <v>3380</v>
      </c>
      <c r="E3505" s="501" t="s">
        <v>3381</v>
      </c>
      <c r="F3505" s="501" t="s">
        <v>635</v>
      </c>
      <c r="G3505" s="501" t="s">
        <v>636</v>
      </c>
      <c r="H3505" s="501" t="s">
        <v>6173</v>
      </c>
      <c r="I3505" s="501">
        <v>1</v>
      </c>
      <c r="J3505" s="501">
        <v>0</v>
      </c>
      <c r="K3505" s="501">
        <v>0</v>
      </c>
      <c r="L3505" s="501">
        <v>0</v>
      </c>
      <c r="M3505" s="501">
        <v>0</v>
      </c>
      <c r="N3505" s="501">
        <v>0</v>
      </c>
      <c r="O3505" s="506">
        <v>1</v>
      </c>
    </row>
    <row r="3506" spans="1:15" x14ac:dyDescent="0.35">
      <c r="A3506" s="503" t="s">
        <v>1543</v>
      </c>
      <c r="B3506" s="504" t="s">
        <v>3309</v>
      </c>
      <c r="C3506" s="504" t="s">
        <v>1089</v>
      </c>
      <c r="D3506" s="504" t="s">
        <v>3392</v>
      </c>
      <c r="E3506" s="504" t="s">
        <v>3381</v>
      </c>
      <c r="F3506" s="504" t="s">
        <v>635</v>
      </c>
      <c r="G3506" s="504" t="s">
        <v>636</v>
      </c>
      <c r="H3506" s="504" t="s">
        <v>6174</v>
      </c>
      <c r="I3506" s="504">
        <v>269</v>
      </c>
      <c r="J3506" s="504">
        <v>245</v>
      </c>
      <c r="K3506" s="504">
        <v>0</v>
      </c>
      <c r="L3506" s="504">
        <v>24</v>
      </c>
      <c r="M3506" s="504">
        <v>0</v>
      </c>
      <c r="N3506" s="504">
        <v>0</v>
      </c>
      <c r="O3506" s="505">
        <v>0</v>
      </c>
    </row>
    <row r="3507" spans="1:15" x14ac:dyDescent="0.35">
      <c r="A3507" s="500" t="s">
        <v>1547</v>
      </c>
      <c r="B3507" s="501" t="s">
        <v>3279</v>
      </c>
      <c r="C3507" s="501" t="s">
        <v>1089</v>
      </c>
      <c r="D3507" s="501" t="s">
        <v>3392</v>
      </c>
      <c r="E3507" s="501" t="s">
        <v>3381</v>
      </c>
      <c r="F3507" s="501" t="s">
        <v>635</v>
      </c>
      <c r="G3507" s="501" t="s">
        <v>636</v>
      </c>
      <c r="H3507" s="501" t="s">
        <v>6175</v>
      </c>
      <c r="I3507" s="501">
        <v>7</v>
      </c>
      <c r="J3507" s="501">
        <v>7</v>
      </c>
      <c r="K3507" s="501">
        <v>0</v>
      </c>
      <c r="L3507" s="501">
        <v>0</v>
      </c>
      <c r="M3507" s="501">
        <v>0</v>
      </c>
      <c r="N3507" s="501">
        <v>0</v>
      </c>
      <c r="O3507" s="506">
        <v>0</v>
      </c>
    </row>
    <row r="3508" spans="1:15" x14ac:dyDescent="0.35">
      <c r="A3508" s="503" t="s">
        <v>1130</v>
      </c>
      <c r="B3508" s="504" t="s">
        <v>3234</v>
      </c>
      <c r="C3508" s="504" t="s">
        <v>1094</v>
      </c>
      <c r="D3508" s="504" t="s">
        <v>3380</v>
      </c>
      <c r="E3508" s="504" t="s">
        <v>3381</v>
      </c>
      <c r="F3508" s="504" t="s">
        <v>635</v>
      </c>
      <c r="G3508" s="504" t="s">
        <v>636</v>
      </c>
      <c r="H3508" s="504" t="s">
        <v>6176</v>
      </c>
      <c r="I3508" s="504">
        <v>2200</v>
      </c>
      <c r="J3508" s="504">
        <v>1744</v>
      </c>
      <c r="K3508" s="504">
        <v>0</v>
      </c>
      <c r="L3508" s="504">
        <v>0</v>
      </c>
      <c r="M3508" s="504">
        <v>115</v>
      </c>
      <c r="N3508" s="504">
        <v>31</v>
      </c>
      <c r="O3508" s="505">
        <v>341</v>
      </c>
    </row>
    <row r="3509" spans="1:15" x14ac:dyDescent="0.35">
      <c r="A3509" s="500" t="s">
        <v>1345</v>
      </c>
      <c r="B3509" s="501" t="s">
        <v>3247</v>
      </c>
      <c r="C3509" s="501" t="s">
        <v>1094</v>
      </c>
      <c r="D3509" s="501" t="s">
        <v>3380</v>
      </c>
      <c r="E3509" s="501" t="s">
        <v>3381</v>
      </c>
      <c r="F3509" s="501" t="s">
        <v>635</v>
      </c>
      <c r="G3509" s="501" t="s">
        <v>636</v>
      </c>
      <c r="H3509" s="501" t="s">
        <v>6177</v>
      </c>
      <c r="I3509" s="501">
        <v>155</v>
      </c>
      <c r="J3509" s="501">
        <v>0</v>
      </c>
      <c r="K3509" s="501">
        <v>18</v>
      </c>
      <c r="L3509" s="501">
        <v>137</v>
      </c>
      <c r="M3509" s="501">
        <v>0</v>
      </c>
      <c r="N3509" s="501">
        <v>0</v>
      </c>
      <c r="O3509" s="506">
        <v>0</v>
      </c>
    </row>
    <row r="3510" spans="1:15" x14ac:dyDescent="0.35">
      <c r="A3510" s="503" t="s">
        <v>1347</v>
      </c>
      <c r="B3510" s="504" t="s">
        <v>3185</v>
      </c>
      <c r="C3510" s="504" t="s">
        <v>1089</v>
      </c>
      <c r="D3510" s="504" t="s">
        <v>3392</v>
      </c>
      <c r="E3510" s="504" t="s">
        <v>3381</v>
      </c>
      <c r="F3510" s="504" t="s">
        <v>635</v>
      </c>
      <c r="G3510" s="504" t="s">
        <v>636</v>
      </c>
      <c r="H3510" s="504" t="s">
        <v>6178</v>
      </c>
      <c r="I3510" s="504">
        <v>9</v>
      </c>
      <c r="J3510" s="504">
        <v>9</v>
      </c>
      <c r="K3510" s="504">
        <v>0</v>
      </c>
      <c r="L3510" s="504">
        <v>0</v>
      </c>
      <c r="M3510" s="504">
        <v>0</v>
      </c>
      <c r="N3510" s="504">
        <v>0</v>
      </c>
      <c r="O3510" s="505">
        <v>0</v>
      </c>
    </row>
    <row r="3511" spans="1:15" x14ac:dyDescent="0.35">
      <c r="A3511" s="500" t="s">
        <v>1249</v>
      </c>
      <c r="B3511" s="501">
        <v>4729</v>
      </c>
      <c r="C3511" s="501" t="s">
        <v>1094</v>
      </c>
      <c r="D3511" s="501" t="s">
        <v>3380</v>
      </c>
      <c r="E3511" s="501" t="s">
        <v>3381</v>
      </c>
      <c r="F3511" s="501" t="s">
        <v>635</v>
      </c>
      <c r="G3511" s="501" t="s">
        <v>636</v>
      </c>
      <c r="H3511" s="501" t="s">
        <v>6179</v>
      </c>
      <c r="I3511" s="501">
        <v>1434</v>
      </c>
      <c r="J3511" s="501">
        <v>1378</v>
      </c>
      <c r="K3511" s="501">
        <v>0</v>
      </c>
      <c r="L3511" s="501">
        <v>0</v>
      </c>
      <c r="M3511" s="501">
        <v>53</v>
      </c>
      <c r="N3511" s="501">
        <v>0</v>
      </c>
      <c r="O3511" s="506">
        <v>3</v>
      </c>
    </row>
    <row r="3512" spans="1:15" x14ac:dyDescent="0.35">
      <c r="A3512" s="503" t="s">
        <v>1362</v>
      </c>
      <c r="B3512" s="504" t="s">
        <v>2977</v>
      </c>
      <c r="C3512" s="504" t="s">
        <v>1094</v>
      </c>
      <c r="D3512" s="504" t="s">
        <v>3380</v>
      </c>
      <c r="E3512" s="504" t="s">
        <v>3381</v>
      </c>
      <c r="F3512" s="504" t="s">
        <v>635</v>
      </c>
      <c r="G3512" s="504" t="s">
        <v>636</v>
      </c>
      <c r="H3512" s="504" t="s">
        <v>6180</v>
      </c>
      <c r="I3512" s="504">
        <v>1022</v>
      </c>
      <c r="J3512" s="504">
        <v>896</v>
      </c>
      <c r="K3512" s="504">
        <v>0</v>
      </c>
      <c r="L3512" s="504">
        <v>3</v>
      </c>
      <c r="M3512" s="504">
        <v>106</v>
      </c>
      <c r="N3512" s="504">
        <v>0</v>
      </c>
      <c r="O3512" s="505">
        <v>17</v>
      </c>
    </row>
    <row r="3513" spans="1:15" x14ac:dyDescent="0.35">
      <c r="A3513" s="500" t="s">
        <v>1573</v>
      </c>
      <c r="B3513" s="501" t="s">
        <v>2473</v>
      </c>
      <c r="C3513" s="501" t="s">
        <v>1089</v>
      </c>
      <c r="D3513" s="501" t="s">
        <v>3392</v>
      </c>
      <c r="E3513" s="501" t="s">
        <v>3381</v>
      </c>
      <c r="F3513" s="501" t="s">
        <v>635</v>
      </c>
      <c r="G3513" s="501" t="s">
        <v>636</v>
      </c>
      <c r="H3513" s="501" t="s">
        <v>6181</v>
      </c>
      <c r="I3513" s="501">
        <v>7</v>
      </c>
      <c r="J3513" s="501">
        <v>0</v>
      </c>
      <c r="K3513" s="501">
        <v>0</v>
      </c>
      <c r="L3513" s="501">
        <v>0</v>
      </c>
      <c r="M3513" s="501">
        <v>7</v>
      </c>
      <c r="N3513" s="501">
        <v>0</v>
      </c>
      <c r="O3513" s="506">
        <v>0</v>
      </c>
    </row>
    <row r="3514" spans="1:15" x14ac:dyDescent="0.35">
      <c r="A3514" s="503" t="s">
        <v>1576</v>
      </c>
      <c r="B3514" s="504">
        <v>5154</v>
      </c>
      <c r="C3514" s="504" t="s">
        <v>1089</v>
      </c>
      <c r="D3514" s="504" t="s">
        <v>3392</v>
      </c>
      <c r="E3514" s="504" t="s">
        <v>3381</v>
      </c>
      <c r="F3514" s="504" t="s">
        <v>635</v>
      </c>
      <c r="G3514" s="504" t="s">
        <v>636</v>
      </c>
      <c r="H3514" s="504" t="s">
        <v>6182</v>
      </c>
      <c r="I3514" s="504">
        <v>9</v>
      </c>
      <c r="J3514" s="504">
        <v>9</v>
      </c>
      <c r="K3514" s="504">
        <v>0</v>
      </c>
      <c r="L3514" s="504">
        <v>0</v>
      </c>
      <c r="M3514" s="504">
        <v>0</v>
      </c>
      <c r="N3514" s="504">
        <v>0</v>
      </c>
      <c r="O3514" s="505">
        <v>0</v>
      </c>
    </row>
    <row r="3515" spans="1:15" x14ac:dyDescent="0.35">
      <c r="A3515" s="500" t="s">
        <v>1264</v>
      </c>
      <c r="B3515" s="501">
        <v>4671</v>
      </c>
      <c r="C3515" s="501" t="s">
        <v>1089</v>
      </c>
      <c r="D3515" s="501" t="s">
        <v>3392</v>
      </c>
      <c r="E3515" s="501" t="s">
        <v>3381</v>
      </c>
      <c r="F3515" s="501" t="s">
        <v>635</v>
      </c>
      <c r="G3515" s="501" t="s">
        <v>636</v>
      </c>
      <c r="H3515" s="501" t="s">
        <v>14725</v>
      </c>
      <c r="I3515" s="501">
        <v>10</v>
      </c>
      <c r="J3515" s="501">
        <v>0</v>
      </c>
      <c r="K3515" s="501">
        <v>0</v>
      </c>
      <c r="L3515" s="501">
        <v>10</v>
      </c>
      <c r="M3515" s="501">
        <v>0</v>
      </c>
      <c r="N3515" s="501">
        <v>0</v>
      </c>
      <c r="O3515" s="506">
        <v>0</v>
      </c>
    </row>
    <row r="3516" spans="1:15" x14ac:dyDescent="0.35">
      <c r="A3516" s="503" t="s">
        <v>11479</v>
      </c>
      <c r="B3516" s="504" t="s">
        <v>2934</v>
      </c>
      <c r="C3516" s="504" t="s">
        <v>1089</v>
      </c>
      <c r="D3516" s="504" t="s">
        <v>3392</v>
      </c>
      <c r="E3516" s="504" t="s">
        <v>3381</v>
      </c>
      <c r="F3516" s="504" t="s">
        <v>635</v>
      </c>
      <c r="G3516" s="504" t="s">
        <v>636</v>
      </c>
      <c r="H3516" s="504" t="s">
        <v>12258</v>
      </c>
      <c r="I3516" s="504">
        <v>87</v>
      </c>
      <c r="J3516" s="504">
        <v>0</v>
      </c>
      <c r="K3516" s="504">
        <v>0</v>
      </c>
      <c r="L3516" s="504">
        <v>87</v>
      </c>
      <c r="M3516" s="504">
        <v>0</v>
      </c>
      <c r="N3516" s="504">
        <v>0</v>
      </c>
      <c r="O3516" s="505">
        <v>0</v>
      </c>
    </row>
    <row r="3517" spans="1:15" x14ac:dyDescent="0.35">
      <c r="A3517" s="500" t="s">
        <v>1096</v>
      </c>
      <c r="B3517" s="501" t="s">
        <v>3326</v>
      </c>
      <c r="C3517" s="501" t="s">
        <v>1094</v>
      </c>
      <c r="D3517" s="501" t="s">
        <v>3380</v>
      </c>
      <c r="E3517" s="501" t="s">
        <v>3381</v>
      </c>
      <c r="F3517" s="501" t="s">
        <v>637</v>
      </c>
      <c r="G3517" s="501" t="s">
        <v>638</v>
      </c>
      <c r="H3517" s="501" t="s">
        <v>6183</v>
      </c>
      <c r="I3517" s="501">
        <v>149</v>
      </c>
      <c r="J3517" s="501">
        <v>0</v>
      </c>
      <c r="K3517" s="501">
        <v>0</v>
      </c>
      <c r="L3517" s="501">
        <v>0</v>
      </c>
      <c r="M3517" s="501">
        <v>149</v>
      </c>
      <c r="N3517" s="501">
        <v>0</v>
      </c>
      <c r="O3517" s="506">
        <v>0</v>
      </c>
    </row>
    <row r="3518" spans="1:15" x14ac:dyDescent="0.35">
      <c r="A3518" s="503" t="s">
        <v>1278</v>
      </c>
      <c r="B3518" s="504">
        <v>4639</v>
      </c>
      <c r="C3518" s="504" t="s">
        <v>1089</v>
      </c>
      <c r="D3518" s="504" t="s">
        <v>3392</v>
      </c>
      <c r="E3518" s="504" t="s">
        <v>3381</v>
      </c>
      <c r="F3518" s="504" t="s">
        <v>637</v>
      </c>
      <c r="G3518" s="504" t="s">
        <v>638</v>
      </c>
      <c r="H3518" s="504" t="s">
        <v>6184</v>
      </c>
      <c r="I3518" s="504">
        <v>66</v>
      </c>
      <c r="J3518" s="504">
        <v>0</v>
      </c>
      <c r="K3518" s="504">
        <v>0</v>
      </c>
      <c r="L3518" s="504">
        <v>66</v>
      </c>
      <c r="M3518" s="504">
        <v>0</v>
      </c>
      <c r="N3518" s="504">
        <v>0</v>
      </c>
      <c r="O3518" s="505">
        <v>0</v>
      </c>
    </row>
    <row r="3519" spans="1:15" x14ac:dyDescent="0.35">
      <c r="A3519" s="500" t="s">
        <v>1160</v>
      </c>
      <c r="B3519" s="501">
        <v>4672</v>
      </c>
      <c r="C3519" s="501" t="s">
        <v>1089</v>
      </c>
      <c r="D3519" s="501" t="s">
        <v>3392</v>
      </c>
      <c r="E3519" s="501" t="s">
        <v>3381</v>
      </c>
      <c r="F3519" s="501" t="s">
        <v>637</v>
      </c>
      <c r="G3519" s="501" t="s">
        <v>638</v>
      </c>
      <c r="H3519" s="501" t="s">
        <v>6185</v>
      </c>
      <c r="I3519" s="501">
        <v>1</v>
      </c>
      <c r="J3519" s="501">
        <v>0</v>
      </c>
      <c r="K3519" s="501">
        <v>0</v>
      </c>
      <c r="L3519" s="501">
        <v>1</v>
      </c>
      <c r="M3519" s="501">
        <v>0</v>
      </c>
      <c r="N3519" s="501">
        <v>0</v>
      </c>
      <c r="O3519" s="506">
        <v>0</v>
      </c>
    </row>
    <row r="3520" spans="1:15" x14ac:dyDescent="0.35">
      <c r="A3520" s="503" t="s">
        <v>1100</v>
      </c>
      <c r="B3520" s="504">
        <v>4865</v>
      </c>
      <c r="C3520" s="504" t="s">
        <v>1094</v>
      </c>
      <c r="D3520" s="504" t="s">
        <v>3380</v>
      </c>
      <c r="E3520" s="504" t="s">
        <v>3381</v>
      </c>
      <c r="F3520" s="504" t="s">
        <v>637</v>
      </c>
      <c r="G3520" s="504" t="s">
        <v>638</v>
      </c>
      <c r="H3520" s="504" t="s">
        <v>6186</v>
      </c>
      <c r="I3520" s="504">
        <v>453</v>
      </c>
      <c r="J3520" s="504">
        <v>435</v>
      </c>
      <c r="K3520" s="504">
        <v>0</v>
      </c>
      <c r="L3520" s="504">
        <v>1</v>
      </c>
      <c r="M3520" s="504">
        <v>17</v>
      </c>
      <c r="N3520" s="504">
        <v>0</v>
      </c>
      <c r="O3520" s="505">
        <v>0</v>
      </c>
    </row>
    <row r="3521" spans="1:15" x14ac:dyDescent="0.35">
      <c r="A3521" s="500" t="s">
        <v>1167</v>
      </c>
      <c r="B3521" s="501">
        <v>4689</v>
      </c>
      <c r="C3521" s="501" t="s">
        <v>1089</v>
      </c>
      <c r="D3521" s="501" t="s">
        <v>3392</v>
      </c>
      <c r="E3521" s="501" t="s">
        <v>3381</v>
      </c>
      <c r="F3521" s="501" t="s">
        <v>637</v>
      </c>
      <c r="G3521" s="501" t="s">
        <v>638</v>
      </c>
      <c r="H3521" s="501" t="s">
        <v>6187</v>
      </c>
      <c r="I3521" s="501">
        <v>6</v>
      </c>
      <c r="J3521" s="501">
        <v>0</v>
      </c>
      <c r="K3521" s="501">
        <v>0</v>
      </c>
      <c r="L3521" s="501">
        <v>6</v>
      </c>
      <c r="M3521" s="501">
        <v>0</v>
      </c>
      <c r="N3521" s="501">
        <v>0</v>
      </c>
      <c r="O3521" s="506">
        <v>0</v>
      </c>
    </row>
    <row r="3522" spans="1:15" x14ac:dyDescent="0.35">
      <c r="A3522" s="503" t="s">
        <v>1174</v>
      </c>
      <c r="B3522" s="504">
        <v>4784</v>
      </c>
      <c r="C3522" s="504" t="s">
        <v>1089</v>
      </c>
      <c r="D3522" s="504" t="s">
        <v>3392</v>
      </c>
      <c r="E3522" s="504" t="s">
        <v>3381</v>
      </c>
      <c r="F3522" s="504" t="s">
        <v>637</v>
      </c>
      <c r="G3522" s="504" t="s">
        <v>638</v>
      </c>
      <c r="H3522" s="504" t="s">
        <v>11690</v>
      </c>
      <c r="I3522" s="504">
        <v>22</v>
      </c>
      <c r="J3522" s="504">
        <v>0</v>
      </c>
      <c r="K3522" s="504">
        <v>0</v>
      </c>
      <c r="L3522" s="504">
        <v>22</v>
      </c>
      <c r="M3522" s="504">
        <v>0</v>
      </c>
      <c r="N3522" s="504">
        <v>0</v>
      </c>
      <c r="O3522" s="505">
        <v>0</v>
      </c>
    </row>
    <row r="3523" spans="1:15" x14ac:dyDescent="0.35">
      <c r="A3523" s="500" t="s">
        <v>14208</v>
      </c>
      <c r="B3523" s="501">
        <v>4803</v>
      </c>
      <c r="C3523" s="501" t="s">
        <v>1094</v>
      </c>
      <c r="D3523" s="501" t="s">
        <v>3380</v>
      </c>
      <c r="E3523" s="501" t="s">
        <v>3381</v>
      </c>
      <c r="F3523" s="501" t="s">
        <v>637</v>
      </c>
      <c r="G3523" s="501" t="s">
        <v>638</v>
      </c>
      <c r="H3523" s="501" t="s">
        <v>14726</v>
      </c>
      <c r="I3523" s="501">
        <v>12</v>
      </c>
      <c r="J3523" s="501">
        <v>0</v>
      </c>
      <c r="K3523" s="501">
        <v>0</v>
      </c>
      <c r="L3523" s="501">
        <v>12</v>
      </c>
      <c r="M3523" s="501">
        <v>0</v>
      </c>
      <c r="N3523" s="501">
        <v>0</v>
      </c>
      <c r="O3523" s="506">
        <v>0</v>
      </c>
    </row>
    <row r="3524" spans="1:15" x14ac:dyDescent="0.35">
      <c r="A3524" s="503" t="s">
        <v>1707</v>
      </c>
      <c r="B3524" s="504" t="s">
        <v>3198</v>
      </c>
      <c r="C3524" s="504" t="s">
        <v>1094</v>
      </c>
      <c r="D3524" s="504" t="s">
        <v>3380</v>
      </c>
      <c r="E3524" s="504" t="s">
        <v>3381</v>
      </c>
      <c r="F3524" s="504" t="s">
        <v>637</v>
      </c>
      <c r="G3524" s="504" t="s">
        <v>638</v>
      </c>
      <c r="H3524" s="504" t="s">
        <v>6188</v>
      </c>
      <c r="I3524" s="504">
        <v>7073</v>
      </c>
      <c r="J3524" s="504">
        <v>6764</v>
      </c>
      <c r="K3524" s="504">
        <v>0</v>
      </c>
      <c r="L3524" s="504">
        <v>206</v>
      </c>
      <c r="M3524" s="504">
        <v>0</v>
      </c>
      <c r="N3524" s="504">
        <v>0</v>
      </c>
      <c r="O3524" s="505">
        <v>103</v>
      </c>
    </row>
    <row r="3525" spans="1:15" x14ac:dyDescent="0.35">
      <c r="A3525" s="500" t="s">
        <v>1105</v>
      </c>
      <c r="B3525" s="501">
        <v>4668</v>
      </c>
      <c r="C3525" s="501" t="s">
        <v>1094</v>
      </c>
      <c r="D3525" s="501" t="s">
        <v>3380</v>
      </c>
      <c r="E3525" s="501" t="s">
        <v>3381</v>
      </c>
      <c r="F3525" s="501" t="s">
        <v>637</v>
      </c>
      <c r="G3525" s="501" t="s">
        <v>638</v>
      </c>
      <c r="H3525" s="501" t="s">
        <v>6189</v>
      </c>
      <c r="I3525" s="501">
        <v>4</v>
      </c>
      <c r="J3525" s="501">
        <v>0</v>
      </c>
      <c r="K3525" s="501">
        <v>0</v>
      </c>
      <c r="L3525" s="501">
        <v>0</v>
      </c>
      <c r="M3525" s="501">
        <v>0</v>
      </c>
      <c r="N3525" s="501">
        <v>0</v>
      </c>
      <c r="O3525" s="506">
        <v>4</v>
      </c>
    </row>
    <row r="3526" spans="1:15" x14ac:dyDescent="0.35">
      <c r="A3526" s="503" t="s">
        <v>1109</v>
      </c>
      <c r="B3526" s="504" t="s">
        <v>2959</v>
      </c>
      <c r="C3526" s="504" t="s">
        <v>1094</v>
      </c>
      <c r="D3526" s="504" t="s">
        <v>3380</v>
      </c>
      <c r="E3526" s="504" t="s">
        <v>3381</v>
      </c>
      <c r="F3526" s="504" t="s">
        <v>637</v>
      </c>
      <c r="G3526" s="504" t="s">
        <v>638</v>
      </c>
      <c r="H3526" s="504" t="s">
        <v>6190</v>
      </c>
      <c r="I3526" s="504">
        <v>28</v>
      </c>
      <c r="J3526" s="504">
        <v>0</v>
      </c>
      <c r="K3526" s="504">
        <v>0</v>
      </c>
      <c r="L3526" s="504">
        <v>0</v>
      </c>
      <c r="M3526" s="504">
        <v>28</v>
      </c>
      <c r="N3526" s="504">
        <v>0</v>
      </c>
      <c r="O3526" s="505">
        <v>0</v>
      </c>
    </row>
    <row r="3527" spans="1:15" x14ac:dyDescent="0.35">
      <c r="A3527" s="500" t="s">
        <v>1190</v>
      </c>
      <c r="B3527" s="501">
        <v>4662</v>
      </c>
      <c r="C3527" s="501" t="s">
        <v>1094</v>
      </c>
      <c r="D3527" s="501" t="s">
        <v>3380</v>
      </c>
      <c r="E3527" s="501" t="s">
        <v>3381</v>
      </c>
      <c r="F3527" s="501" t="s">
        <v>637</v>
      </c>
      <c r="G3527" s="501" t="s">
        <v>638</v>
      </c>
      <c r="H3527" s="501" t="s">
        <v>6191</v>
      </c>
      <c r="I3527" s="501">
        <v>8</v>
      </c>
      <c r="J3527" s="501">
        <v>0</v>
      </c>
      <c r="K3527" s="501">
        <v>0</v>
      </c>
      <c r="L3527" s="501">
        <v>8</v>
      </c>
      <c r="M3527" s="501">
        <v>0</v>
      </c>
      <c r="N3527" s="501">
        <v>0</v>
      </c>
      <c r="O3527" s="506">
        <v>0</v>
      </c>
    </row>
    <row r="3528" spans="1:15" x14ac:dyDescent="0.35">
      <c r="A3528" s="503" t="s">
        <v>1730</v>
      </c>
      <c r="B3528" s="504" t="s">
        <v>3351</v>
      </c>
      <c r="C3528" s="504" t="s">
        <v>1094</v>
      </c>
      <c r="D3528" s="504" t="s">
        <v>3380</v>
      </c>
      <c r="E3528" s="504" t="s">
        <v>3381</v>
      </c>
      <c r="F3528" s="504" t="s">
        <v>637</v>
      </c>
      <c r="G3528" s="504" t="s">
        <v>638</v>
      </c>
      <c r="H3528" s="504" t="s">
        <v>6192</v>
      </c>
      <c r="I3528" s="504">
        <v>6</v>
      </c>
      <c r="J3528" s="504">
        <v>0</v>
      </c>
      <c r="K3528" s="504">
        <v>0</v>
      </c>
      <c r="L3528" s="504">
        <v>0</v>
      </c>
      <c r="M3528" s="504">
        <v>0</v>
      </c>
      <c r="N3528" s="504">
        <v>0</v>
      </c>
      <c r="O3528" s="505">
        <v>6</v>
      </c>
    </row>
    <row r="3529" spans="1:15" x14ac:dyDescent="0.35">
      <c r="A3529" s="500" t="s">
        <v>1209</v>
      </c>
      <c r="B3529" s="501">
        <v>4779</v>
      </c>
      <c r="C3529" s="501" t="s">
        <v>1094</v>
      </c>
      <c r="D3529" s="501" t="s">
        <v>3380</v>
      </c>
      <c r="E3529" s="501" t="s">
        <v>3381</v>
      </c>
      <c r="F3529" s="501" t="s">
        <v>637</v>
      </c>
      <c r="G3529" s="501" t="s">
        <v>638</v>
      </c>
      <c r="H3529" s="501" t="s">
        <v>6193</v>
      </c>
      <c r="I3529" s="501">
        <v>8</v>
      </c>
      <c r="J3529" s="501">
        <v>0</v>
      </c>
      <c r="K3529" s="501">
        <v>0</v>
      </c>
      <c r="L3529" s="501">
        <v>8</v>
      </c>
      <c r="M3529" s="501">
        <v>0</v>
      </c>
      <c r="N3529" s="501">
        <v>0</v>
      </c>
      <c r="O3529" s="506">
        <v>0</v>
      </c>
    </row>
    <row r="3530" spans="1:15" x14ac:dyDescent="0.35">
      <c r="A3530" s="503" t="s">
        <v>1744</v>
      </c>
      <c r="B3530" s="504" t="s">
        <v>3245</v>
      </c>
      <c r="C3530" s="504" t="s">
        <v>1094</v>
      </c>
      <c r="D3530" s="504" t="s">
        <v>3380</v>
      </c>
      <c r="E3530" s="504" t="s">
        <v>3381</v>
      </c>
      <c r="F3530" s="504" t="s">
        <v>637</v>
      </c>
      <c r="G3530" s="504" t="s">
        <v>638</v>
      </c>
      <c r="H3530" s="504" t="s">
        <v>6194</v>
      </c>
      <c r="I3530" s="504">
        <v>2455</v>
      </c>
      <c r="J3530" s="504">
        <v>2268</v>
      </c>
      <c r="K3530" s="504">
        <v>0</v>
      </c>
      <c r="L3530" s="504">
        <v>84</v>
      </c>
      <c r="M3530" s="504">
        <v>0</v>
      </c>
      <c r="N3530" s="504">
        <v>13</v>
      </c>
      <c r="O3530" s="505">
        <v>103</v>
      </c>
    </row>
    <row r="3531" spans="1:15" x14ac:dyDescent="0.35">
      <c r="A3531" s="500" t="s">
        <v>1122</v>
      </c>
      <c r="B3531" s="501" t="s">
        <v>2994</v>
      </c>
      <c r="C3531" s="501" t="s">
        <v>1094</v>
      </c>
      <c r="D3531" s="501" t="s">
        <v>3380</v>
      </c>
      <c r="E3531" s="501" t="s">
        <v>3381</v>
      </c>
      <c r="F3531" s="501" t="s">
        <v>637</v>
      </c>
      <c r="G3531" s="501" t="s">
        <v>638</v>
      </c>
      <c r="H3531" s="501" t="s">
        <v>6195</v>
      </c>
      <c r="I3531" s="501">
        <v>75</v>
      </c>
      <c r="J3531" s="501">
        <v>71</v>
      </c>
      <c r="K3531" s="501">
        <v>0</v>
      </c>
      <c r="L3531" s="501">
        <v>0</v>
      </c>
      <c r="M3531" s="501">
        <v>0</v>
      </c>
      <c r="N3531" s="501">
        <v>0</v>
      </c>
      <c r="O3531" s="506">
        <v>4</v>
      </c>
    </row>
    <row r="3532" spans="1:15" x14ac:dyDescent="0.35">
      <c r="A3532" s="503" t="s">
        <v>1748</v>
      </c>
      <c r="B3532" s="504" t="s">
        <v>3233</v>
      </c>
      <c r="C3532" s="504" t="s">
        <v>1094</v>
      </c>
      <c r="D3532" s="504" t="s">
        <v>3380</v>
      </c>
      <c r="E3532" s="504" t="s">
        <v>3381</v>
      </c>
      <c r="F3532" s="504" t="s">
        <v>637</v>
      </c>
      <c r="G3532" s="504" t="s">
        <v>638</v>
      </c>
      <c r="H3532" s="504" t="s">
        <v>6196</v>
      </c>
      <c r="I3532" s="504">
        <v>813</v>
      </c>
      <c r="J3532" s="504">
        <v>747</v>
      </c>
      <c r="K3532" s="504">
        <v>0</v>
      </c>
      <c r="L3532" s="504">
        <v>22</v>
      </c>
      <c r="M3532" s="504">
        <v>0</v>
      </c>
      <c r="N3532" s="504">
        <v>0</v>
      </c>
      <c r="O3532" s="505">
        <v>44</v>
      </c>
    </row>
    <row r="3533" spans="1:15" x14ac:dyDescent="0.35">
      <c r="A3533" s="500" t="s">
        <v>1228</v>
      </c>
      <c r="B3533" s="501" t="s">
        <v>3321</v>
      </c>
      <c r="C3533" s="501" t="s">
        <v>1094</v>
      </c>
      <c r="D3533" s="501" t="s">
        <v>3380</v>
      </c>
      <c r="E3533" s="501" t="s">
        <v>3381</v>
      </c>
      <c r="F3533" s="501" t="s">
        <v>637</v>
      </c>
      <c r="G3533" s="501" t="s">
        <v>638</v>
      </c>
      <c r="H3533" s="501" t="s">
        <v>6197</v>
      </c>
      <c r="I3533" s="501">
        <v>15</v>
      </c>
      <c r="J3533" s="501">
        <v>0</v>
      </c>
      <c r="K3533" s="501">
        <v>0</v>
      </c>
      <c r="L3533" s="501">
        <v>15</v>
      </c>
      <c r="M3533" s="501">
        <v>0</v>
      </c>
      <c r="N3533" s="501">
        <v>0</v>
      </c>
      <c r="O3533" s="506">
        <v>0</v>
      </c>
    </row>
    <row r="3534" spans="1:15" x14ac:dyDescent="0.35">
      <c r="A3534" s="503" t="s">
        <v>1124</v>
      </c>
      <c r="B3534" s="504">
        <v>4745</v>
      </c>
      <c r="C3534" s="504" t="s">
        <v>1094</v>
      </c>
      <c r="D3534" s="504" t="s">
        <v>3380</v>
      </c>
      <c r="E3534" s="504" t="s">
        <v>3381</v>
      </c>
      <c r="F3534" s="504" t="s">
        <v>637</v>
      </c>
      <c r="G3534" s="504" t="s">
        <v>638</v>
      </c>
      <c r="H3534" s="504" t="s">
        <v>6198</v>
      </c>
      <c r="I3534" s="504">
        <v>14</v>
      </c>
      <c r="J3534" s="504">
        <v>0</v>
      </c>
      <c r="K3534" s="504">
        <v>0</v>
      </c>
      <c r="L3534" s="504">
        <v>14</v>
      </c>
      <c r="M3534" s="504">
        <v>0</v>
      </c>
      <c r="N3534" s="504">
        <v>0</v>
      </c>
      <c r="O3534" s="505">
        <v>0</v>
      </c>
    </row>
    <row r="3535" spans="1:15" x14ac:dyDescent="0.35">
      <c r="A3535" s="500" t="s">
        <v>1126</v>
      </c>
      <c r="B3535" s="501" t="s">
        <v>2974</v>
      </c>
      <c r="C3535" s="501" t="s">
        <v>1094</v>
      </c>
      <c r="D3535" s="501" t="s">
        <v>3380</v>
      </c>
      <c r="E3535" s="501" t="s">
        <v>3381</v>
      </c>
      <c r="F3535" s="501" t="s">
        <v>637</v>
      </c>
      <c r="G3535" s="501" t="s">
        <v>638</v>
      </c>
      <c r="H3535" s="501" t="s">
        <v>6199</v>
      </c>
      <c r="I3535" s="501">
        <v>15</v>
      </c>
      <c r="J3535" s="501">
        <v>0</v>
      </c>
      <c r="K3535" s="501">
        <v>0</v>
      </c>
      <c r="L3535" s="501">
        <v>15</v>
      </c>
      <c r="M3535" s="501">
        <v>0</v>
      </c>
      <c r="N3535" s="501">
        <v>0</v>
      </c>
      <c r="O3535" s="506">
        <v>0</v>
      </c>
    </row>
    <row r="3536" spans="1:15" x14ac:dyDescent="0.35">
      <c r="A3536" s="503" t="s">
        <v>1253</v>
      </c>
      <c r="B3536" s="504" t="s">
        <v>3232</v>
      </c>
      <c r="C3536" s="504" t="s">
        <v>1094</v>
      </c>
      <c r="D3536" s="504" t="s">
        <v>3380</v>
      </c>
      <c r="E3536" s="504" t="s">
        <v>3381</v>
      </c>
      <c r="F3536" s="504" t="s">
        <v>637</v>
      </c>
      <c r="G3536" s="504" t="s">
        <v>638</v>
      </c>
      <c r="H3536" s="504" t="s">
        <v>6200</v>
      </c>
      <c r="I3536" s="504">
        <v>2702</v>
      </c>
      <c r="J3536" s="504">
        <v>2408</v>
      </c>
      <c r="K3536" s="504">
        <v>0</v>
      </c>
      <c r="L3536" s="504">
        <v>14</v>
      </c>
      <c r="M3536" s="504">
        <v>245</v>
      </c>
      <c r="N3536" s="504">
        <v>2</v>
      </c>
      <c r="O3536" s="505">
        <v>35</v>
      </c>
    </row>
    <row r="3537" spans="1:15" x14ac:dyDescent="0.35">
      <c r="A3537" s="500" t="s">
        <v>1266</v>
      </c>
      <c r="B3537" s="501" t="s">
        <v>3071</v>
      </c>
      <c r="C3537" s="501" t="s">
        <v>1094</v>
      </c>
      <c r="D3537" s="501" t="s">
        <v>3380</v>
      </c>
      <c r="E3537" s="501" t="s">
        <v>3381</v>
      </c>
      <c r="F3537" s="501" t="s">
        <v>637</v>
      </c>
      <c r="G3537" s="501" t="s">
        <v>638</v>
      </c>
      <c r="H3537" s="501" t="s">
        <v>6201</v>
      </c>
      <c r="I3537" s="501">
        <v>753</v>
      </c>
      <c r="J3537" s="501">
        <v>667</v>
      </c>
      <c r="K3537" s="501">
        <v>0</v>
      </c>
      <c r="L3537" s="501">
        <v>0</v>
      </c>
      <c r="M3537" s="501">
        <v>28</v>
      </c>
      <c r="N3537" s="501">
        <v>0</v>
      </c>
      <c r="O3537" s="506">
        <v>58</v>
      </c>
    </row>
    <row r="3538" spans="1:15" x14ac:dyDescent="0.35">
      <c r="A3538" s="503" t="s">
        <v>1143</v>
      </c>
      <c r="B3538" s="504" t="s">
        <v>3281</v>
      </c>
      <c r="C3538" s="504" t="s">
        <v>1094</v>
      </c>
      <c r="D3538" s="504" t="s">
        <v>3380</v>
      </c>
      <c r="E3538" s="504" t="s">
        <v>3381</v>
      </c>
      <c r="F3538" s="504" t="s">
        <v>639</v>
      </c>
      <c r="G3538" s="504" t="s">
        <v>640</v>
      </c>
      <c r="H3538" s="504" t="s">
        <v>6202</v>
      </c>
      <c r="I3538" s="504">
        <v>53</v>
      </c>
      <c r="J3538" s="504">
        <v>40</v>
      </c>
      <c r="K3538" s="504">
        <v>0</v>
      </c>
      <c r="L3538" s="504">
        <v>0</v>
      </c>
      <c r="M3538" s="504">
        <v>0</v>
      </c>
      <c r="N3538" s="504">
        <v>0</v>
      </c>
      <c r="O3538" s="505">
        <v>13</v>
      </c>
    </row>
    <row r="3539" spans="1:15" x14ac:dyDescent="0.35">
      <c r="A3539" s="500" t="s">
        <v>11363</v>
      </c>
      <c r="B3539" s="501">
        <v>4718</v>
      </c>
      <c r="C3539" s="501" t="s">
        <v>1094</v>
      </c>
      <c r="D3539" s="501" t="s">
        <v>3380</v>
      </c>
      <c r="E3539" s="501" t="s">
        <v>3381</v>
      </c>
      <c r="F3539" s="501" t="s">
        <v>639</v>
      </c>
      <c r="G3539" s="501" t="s">
        <v>640</v>
      </c>
      <c r="H3539" s="501" t="s">
        <v>14727</v>
      </c>
      <c r="I3539" s="501">
        <v>11</v>
      </c>
      <c r="J3539" s="501">
        <v>0</v>
      </c>
      <c r="K3539" s="501">
        <v>0</v>
      </c>
      <c r="L3539" s="501">
        <v>11</v>
      </c>
      <c r="M3539" s="501">
        <v>0</v>
      </c>
      <c r="N3539" s="501">
        <v>0</v>
      </c>
      <c r="O3539" s="506">
        <v>0</v>
      </c>
    </row>
    <row r="3540" spans="1:15" x14ac:dyDescent="0.35">
      <c r="A3540" s="503" t="s">
        <v>1618</v>
      </c>
      <c r="B3540" s="504" t="s">
        <v>3355</v>
      </c>
      <c r="C3540" s="504" t="s">
        <v>1094</v>
      </c>
      <c r="D3540" s="504" t="s">
        <v>3380</v>
      </c>
      <c r="E3540" s="504" t="s">
        <v>3381</v>
      </c>
      <c r="F3540" s="504" t="s">
        <v>639</v>
      </c>
      <c r="G3540" s="504" t="s">
        <v>640</v>
      </c>
      <c r="H3540" s="504" t="s">
        <v>6203</v>
      </c>
      <c r="I3540" s="504">
        <v>31</v>
      </c>
      <c r="J3540" s="504">
        <v>22</v>
      </c>
      <c r="K3540" s="504">
        <v>0</v>
      </c>
      <c r="L3540" s="504">
        <v>0</v>
      </c>
      <c r="M3540" s="504">
        <v>0</v>
      </c>
      <c r="N3540" s="504">
        <v>0</v>
      </c>
      <c r="O3540" s="505">
        <v>9</v>
      </c>
    </row>
    <row r="3541" spans="1:15" x14ac:dyDescent="0.35">
      <c r="A3541" s="500" t="s">
        <v>1621</v>
      </c>
      <c r="B3541" s="501" t="s">
        <v>3319</v>
      </c>
      <c r="C3541" s="501" t="s">
        <v>1094</v>
      </c>
      <c r="D3541" s="501" t="s">
        <v>3380</v>
      </c>
      <c r="E3541" s="501" t="s">
        <v>3381</v>
      </c>
      <c r="F3541" s="501" t="s">
        <v>639</v>
      </c>
      <c r="G3541" s="501" t="s">
        <v>640</v>
      </c>
      <c r="H3541" s="501" t="s">
        <v>6204</v>
      </c>
      <c r="I3541" s="501">
        <v>4972</v>
      </c>
      <c r="J3541" s="501">
        <v>4587</v>
      </c>
      <c r="K3541" s="501">
        <v>5</v>
      </c>
      <c r="L3541" s="501">
        <v>261</v>
      </c>
      <c r="M3541" s="501">
        <v>0</v>
      </c>
      <c r="N3541" s="501">
        <v>37</v>
      </c>
      <c r="O3541" s="506">
        <v>119</v>
      </c>
    </row>
    <row r="3542" spans="1:15" x14ac:dyDescent="0.35">
      <c r="A3542" s="503" t="s">
        <v>1623</v>
      </c>
      <c r="B3542" s="504">
        <v>4858</v>
      </c>
      <c r="C3542" s="504" t="s">
        <v>1094</v>
      </c>
      <c r="D3542" s="504" t="s">
        <v>3380</v>
      </c>
      <c r="E3542" s="504" t="s">
        <v>3381</v>
      </c>
      <c r="F3542" s="504" t="s">
        <v>639</v>
      </c>
      <c r="G3542" s="504" t="s">
        <v>640</v>
      </c>
      <c r="H3542" s="504" t="s">
        <v>6205</v>
      </c>
      <c r="I3542" s="504">
        <v>4</v>
      </c>
      <c r="J3542" s="504">
        <v>4</v>
      </c>
      <c r="K3542" s="504">
        <v>0</v>
      </c>
      <c r="L3542" s="504">
        <v>0</v>
      </c>
      <c r="M3542" s="504">
        <v>0</v>
      </c>
      <c r="N3542" s="504">
        <v>0</v>
      </c>
      <c r="O3542" s="505">
        <v>0</v>
      </c>
    </row>
    <row r="3543" spans="1:15" x14ac:dyDescent="0.35">
      <c r="A3543" s="500" t="s">
        <v>1172</v>
      </c>
      <c r="B3543" s="501">
        <v>4648</v>
      </c>
      <c r="C3543" s="501" t="s">
        <v>1089</v>
      </c>
      <c r="D3543" s="501" t="s">
        <v>3392</v>
      </c>
      <c r="E3543" s="501" t="s">
        <v>3381</v>
      </c>
      <c r="F3543" s="501" t="s">
        <v>639</v>
      </c>
      <c r="G3543" s="501" t="s">
        <v>640</v>
      </c>
      <c r="H3543" s="501" t="s">
        <v>6206</v>
      </c>
      <c r="I3543" s="501">
        <v>13</v>
      </c>
      <c r="J3543" s="501">
        <v>0</v>
      </c>
      <c r="K3543" s="501">
        <v>0</v>
      </c>
      <c r="L3543" s="501">
        <v>13</v>
      </c>
      <c r="M3543" s="501">
        <v>0</v>
      </c>
      <c r="N3543" s="501">
        <v>0</v>
      </c>
      <c r="O3543" s="506">
        <v>0</v>
      </c>
    </row>
    <row r="3544" spans="1:15" x14ac:dyDescent="0.35">
      <c r="A3544" s="503" t="s">
        <v>14208</v>
      </c>
      <c r="B3544" s="504">
        <v>4803</v>
      </c>
      <c r="C3544" s="504" t="s">
        <v>1094</v>
      </c>
      <c r="D3544" s="504" t="s">
        <v>3380</v>
      </c>
      <c r="E3544" s="504" t="s">
        <v>3381</v>
      </c>
      <c r="F3544" s="504" t="s">
        <v>639</v>
      </c>
      <c r="G3544" s="504" t="s">
        <v>640</v>
      </c>
      <c r="H3544" s="504" t="s">
        <v>14728</v>
      </c>
      <c r="I3544" s="504">
        <v>45</v>
      </c>
      <c r="J3544" s="504">
        <v>0</v>
      </c>
      <c r="K3544" s="504">
        <v>0</v>
      </c>
      <c r="L3544" s="504">
        <v>45</v>
      </c>
      <c r="M3544" s="504">
        <v>0</v>
      </c>
      <c r="N3544" s="504">
        <v>0</v>
      </c>
      <c r="O3544" s="505">
        <v>0</v>
      </c>
    </row>
    <row r="3545" spans="1:15" x14ac:dyDescent="0.35">
      <c r="A3545" s="500" t="s">
        <v>1105</v>
      </c>
      <c r="B3545" s="501">
        <v>4668</v>
      </c>
      <c r="C3545" s="501" t="s">
        <v>1094</v>
      </c>
      <c r="D3545" s="501" t="s">
        <v>3380</v>
      </c>
      <c r="E3545" s="501" t="s">
        <v>3381</v>
      </c>
      <c r="F3545" s="501" t="s">
        <v>639</v>
      </c>
      <c r="G3545" s="501" t="s">
        <v>640</v>
      </c>
      <c r="H3545" s="501" t="s">
        <v>6207</v>
      </c>
      <c r="I3545" s="501">
        <v>91</v>
      </c>
      <c r="J3545" s="501">
        <v>0</v>
      </c>
      <c r="K3545" s="501">
        <v>0</v>
      </c>
      <c r="L3545" s="501">
        <v>0</v>
      </c>
      <c r="M3545" s="501">
        <v>0</v>
      </c>
      <c r="N3545" s="501">
        <v>0</v>
      </c>
      <c r="O3545" s="506">
        <v>91</v>
      </c>
    </row>
    <row r="3546" spans="1:15" x14ac:dyDescent="0.35">
      <c r="A3546" s="503" t="s">
        <v>1107</v>
      </c>
      <c r="B3546" s="504" t="s">
        <v>3109</v>
      </c>
      <c r="C3546" s="504" t="s">
        <v>1094</v>
      </c>
      <c r="D3546" s="504" t="s">
        <v>3380</v>
      </c>
      <c r="E3546" s="504" t="s">
        <v>3381</v>
      </c>
      <c r="F3546" s="504" t="s">
        <v>639</v>
      </c>
      <c r="G3546" s="504" t="s">
        <v>640</v>
      </c>
      <c r="H3546" s="504" t="s">
        <v>6208</v>
      </c>
      <c r="I3546" s="504">
        <v>117</v>
      </c>
      <c r="J3546" s="504">
        <v>116</v>
      </c>
      <c r="K3546" s="504">
        <v>0</v>
      </c>
      <c r="L3546" s="504">
        <v>0</v>
      </c>
      <c r="M3546" s="504">
        <v>0</v>
      </c>
      <c r="N3546" s="504">
        <v>0</v>
      </c>
      <c r="O3546" s="505">
        <v>1</v>
      </c>
    </row>
    <row r="3547" spans="1:15" x14ac:dyDescent="0.35">
      <c r="A3547" s="500" t="s">
        <v>1109</v>
      </c>
      <c r="B3547" s="501" t="s">
        <v>2959</v>
      </c>
      <c r="C3547" s="501" t="s">
        <v>1094</v>
      </c>
      <c r="D3547" s="501" t="s">
        <v>3380</v>
      </c>
      <c r="E3547" s="501" t="s">
        <v>3381</v>
      </c>
      <c r="F3547" s="501" t="s">
        <v>639</v>
      </c>
      <c r="G3547" s="501" t="s">
        <v>640</v>
      </c>
      <c r="H3547" s="501" t="s">
        <v>6209</v>
      </c>
      <c r="I3547" s="501">
        <v>138</v>
      </c>
      <c r="J3547" s="501">
        <v>0</v>
      </c>
      <c r="K3547" s="501">
        <v>0</v>
      </c>
      <c r="L3547" s="501">
        <v>0</v>
      </c>
      <c r="M3547" s="501">
        <v>98</v>
      </c>
      <c r="N3547" s="501">
        <v>0</v>
      </c>
      <c r="O3547" s="506">
        <v>40</v>
      </c>
    </row>
    <row r="3548" spans="1:15" x14ac:dyDescent="0.35">
      <c r="A3548" s="503" t="s">
        <v>2162</v>
      </c>
      <c r="B3548" s="504" t="s">
        <v>2615</v>
      </c>
      <c r="C3548" s="504" t="s">
        <v>1089</v>
      </c>
      <c r="D3548" s="504" t="s">
        <v>3392</v>
      </c>
      <c r="E3548" s="504" t="s">
        <v>3381</v>
      </c>
      <c r="F3548" s="504" t="s">
        <v>639</v>
      </c>
      <c r="G3548" s="504" t="s">
        <v>640</v>
      </c>
      <c r="H3548" s="504" t="s">
        <v>6210</v>
      </c>
      <c r="I3548" s="504">
        <v>4</v>
      </c>
      <c r="J3548" s="504">
        <v>4</v>
      </c>
      <c r="K3548" s="504">
        <v>0</v>
      </c>
      <c r="L3548" s="504">
        <v>0</v>
      </c>
      <c r="M3548" s="504">
        <v>0</v>
      </c>
      <c r="N3548" s="504">
        <v>0</v>
      </c>
      <c r="O3548" s="505">
        <v>0</v>
      </c>
    </row>
    <row r="3549" spans="1:15" x14ac:dyDescent="0.35">
      <c r="A3549" s="500" t="s">
        <v>1638</v>
      </c>
      <c r="B3549" s="501">
        <v>5079</v>
      </c>
      <c r="C3549" s="501" t="s">
        <v>1094</v>
      </c>
      <c r="D3549" s="501" t="s">
        <v>3380</v>
      </c>
      <c r="E3549" s="501" t="s">
        <v>3381</v>
      </c>
      <c r="F3549" s="501" t="s">
        <v>639</v>
      </c>
      <c r="G3549" s="501" t="s">
        <v>640</v>
      </c>
      <c r="H3549" s="501" t="s">
        <v>6211</v>
      </c>
      <c r="I3549" s="501">
        <v>2</v>
      </c>
      <c r="J3549" s="501">
        <v>0</v>
      </c>
      <c r="K3549" s="501">
        <v>0</v>
      </c>
      <c r="L3549" s="501">
        <v>0</v>
      </c>
      <c r="M3549" s="501">
        <v>0</v>
      </c>
      <c r="N3549" s="501">
        <v>0</v>
      </c>
      <c r="O3549" s="506">
        <v>2</v>
      </c>
    </row>
    <row r="3550" spans="1:15" x14ac:dyDescent="0.35">
      <c r="A3550" s="503" t="s">
        <v>1639</v>
      </c>
      <c r="B3550" s="504">
        <v>4846</v>
      </c>
      <c r="C3550" s="504" t="s">
        <v>1094</v>
      </c>
      <c r="D3550" s="504" t="s">
        <v>3380</v>
      </c>
      <c r="E3550" s="504" t="s">
        <v>3381</v>
      </c>
      <c r="F3550" s="504" t="s">
        <v>639</v>
      </c>
      <c r="G3550" s="504" t="s">
        <v>640</v>
      </c>
      <c r="H3550" s="504" t="s">
        <v>6212</v>
      </c>
      <c r="I3550" s="504">
        <v>18</v>
      </c>
      <c r="J3550" s="504">
        <v>18</v>
      </c>
      <c r="K3550" s="504">
        <v>0</v>
      </c>
      <c r="L3550" s="504">
        <v>0</v>
      </c>
      <c r="M3550" s="504">
        <v>0</v>
      </c>
      <c r="N3550" s="504">
        <v>0</v>
      </c>
      <c r="O3550" s="505">
        <v>0</v>
      </c>
    </row>
    <row r="3551" spans="1:15" x14ac:dyDescent="0.35">
      <c r="A3551" s="500" t="s">
        <v>1208</v>
      </c>
      <c r="B3551" s="501" t="s">
        <v>3096</v>
      </c>
      <c r="C3551" s="501" t="s">
        <v>1094</v>
      </c>
      <c r="D3551" s="501" t="s">
        <v>3380</v>
      </c>
      <c r="E3551" s="501" t="s">
        <v>3381</v>
      </c>
      <c r="F3551" s="501" t="s">
        <v>639</v>
      </c>
      <c r="G3551" s="501" t="s">
        <v>640</v>
      </c>
      <c r="H3551" s="501" t="s">
        <v>6213</v>
      </c>
      <c r="I3551" s="501">
        <v>83</v>
      </c>
      <c r="J3551" s="501">
        <v>83</v>
      </c>
      <c r="K3551" s="501">
        <v>0</v>
      </c>
      <c r="L3551" s="501">
        <v>0</v>
      </c>
      <c r="M3551" s="501">
        <v>0</v>
      </c>
      <c r="N3551" s="501">
        <v>0</v>
      </c>
      <c r="O3551" s="506">
        <v>0</v>
      </c>
    </row>
    <row r="3552" spans="1:15" x14ac:dyDescent="0.35">
      <c r="A3552" s="503" t="s">
        <v>1503</v>
      </c>
      <c r="B3552" s="504">
        <v>4666</v>
      </c>
      <c r="C3552" s="504" t="s">
        <v>1089</v>
      </c>
      <c r="D3552" s="504" t="s">
        <v>3392</v>
      </c>
      <c r="E3552" s="504" t="s">
        <v>3381</v>
      </c>
      <c r="F3552" s="504" t="s">
        <v>639</v>
      </c>
      <c r="G3552" s="504" t="s">
        <v>640</v>
      </c>
      <c r="H3552" s="504" t="s">
        <v>6214</v>
      </c>
      <c r="I3552" s="504">
        <v>3</v>
      </c>
      <c r="J3552" s="504">
        <v>0</v>
      </c>
      <c r="K3552" s="504">
        <v>0</v>
      </c>
      <c r="L3552" s="504">
        <v>3</v>
      </c>
      <c r="M3552" s="504">
        <v>0</v>
      </c>
      <c r="N3552" s="504">
        <v>0</v>
      </c>
      <c r="O3552" s="505">
        <v>0</v>
      </c>
    </row>
    <row r="3553" spans="1:15" x14ac:dyDescent="0.35">
      <c r="A3553" s="500" t="s">
        <v>1645</v>
      </c>
      <c r="B3553" s="501" t="s">
        <v>3239</v>
      </c>
      <c r="C3553" s="501" t="s">
        <v>1094</v>
      </c>
      <c r="D3553" s="501" t="s">
        <v>3380</v>
      </c>
      <c r="E3553" s="501" t="s">
        <v>3381</v>
      </c>
      <c r="F3553" s="501" t="s">
        <v>639</v>
      </c>
      <c r="G3553" s="501" t="s">
        <v>640</v>
      </c>
      <c r="H3553" s="501" t="s">
        <v>6215</v>
      </c>
      <c r="I3553" s="501">
        <v>70</v>
      </c>
      <c r="J3553" s="501">
        <v>68</v>
      </c>
      <c r="K3553" s="501">
        <v>0</v>
      </c>
      <c r="L3553" s="501">
        <v>2</v>
      </c>
      <c r="M3553" s="501">
        <v>0</v>
      </c>
      <c r="N3553" s="501">
        <v>0</v>
      </c>
      <c r="O3553" s="506">
        <v>0</v>
      </c>
    </row>
    <row r="3554" spans="1:15" x14ac:dyDescent="0.35">
      <c r="A3554" s="503" t="s">
        <v>1122</v>
      </c>
      <c r="B3554" s="504" t="s">
        <v>2994</v>
      </c>
      <c r="C3554" s="504" t="s">
        <v>1094</v>
      </c>
      <c r="D3554" s="504" t="s">
        <v>3380</v>
      </c>
      <c r="E3554" s="504" t="s">
        <v>3381</v>
      </c>
      <c r="F3554" s="504" t="s">
        <v>639</v>
      </c>
      <c r="G3554" s="504" t="s">
        <v>640</v>
      </c>
      <c r="H3554" s="504" t="s">
        <v>6216</v>
      </c>
      <c r="I3554" s="504">
        <v>2</v>
      </c>
      <c r="J3554" s="504">
        <v>0</v>
      </c>
      <c r="K3554" s="504">
        <v>0</v>
      </c>
      <c r="L3554" s="504">
        <v>0</v>
      </c>
      <c r="M3554" s="504">
        <v>0</v>
      </c>
      <c r="N3554" s="504">
        <v>0</v>
      </c>
      <c r="O3554" s="505">
        <v>2</v>
      </c>
    </row>
    <row r="3555" spans="1:15" x14ac:dyDescent="0.35">
      <c r="A3555" s="500" t="s">
        <v>1228</v>
      </c>
      <c r="B3555" s="501" t="s">
        <v>3321</v>
      </c>
      <c r="C3555" s="501" t="s">
        <v>1094</v>
      </c>
      <c r="D3555" s="501" t="s">
        <v>3380</v>
      </c>
      <c r="E3555" s="501" t="s">
        <v>3381</v>
      </c>
      <c r="F3555" s="501" t="s">
        <v>639</v>
      </c>
      <c r="G3555" s="501" t="s">
        <v>640</v>
      </c>
      <c r="H3555" s="501" t="s">
        <v>6217</v>
      </c>
      <c r="I3555" s="501">
        <v>4</v>
      </c>
      <c r="J3555" s="501">
        <v>0</v>
      </c>
      <c r="K3555" s="501">
        <v>0</v>
      </c>
      <c r="L3555" s="501">
        <v>4</v>
      </c>
      <c r="M3555" s="501">
        <v>0</v>
      </c>
      <c r="N3555" s="501">
        <v>0</v>
      </c>
      <c r="O3555" s="506">
        <v>0</v>
      </c>
    </row>
    <row r="3556" spans="1:15" x14ac:dyDescent="0.35">
      <c r="A3556" s="503" t="s">
        <v>1648</v>
      </c>
      <c r="B3556" s="504" t="s">
        <v>2496</v>
      </c>
      <c r="C3556" s="504" t="s">
        <v>1094</v>
      </c>
      <c r="D3556" s="504" t="s">
        <v>3380</v>
      </c>
      <c r="E3556" s="504" t="s">
        <v>3381</v>
      </c>
      <c r="F3556" s="504" t="s">
        <v>639</v>
      </c>
      <c r="G3556" s="504" t="s">
        <v>640</v>
      </c>
      <c r="H3556" s="504" t="s">
        <v>6218</v>
      </c>
      <c r="I3556" s="504">
        <v>6</v>
      </c>
      <c r="J3556" s="504">
        <v>6</v>
      </c>
      <c r="K3556" s="504">
        <v>0</v>
      </c>
      <c r="L3556" s="504">
        <v>0</v>
      </c>
      <c r="M3556" s="504">
        <v>0</v>
      </c>
      <c r="N3556" s="504">
        <v>0</v>
      </c>
      <c r="O3556" s="505">
        <v>0</v>
      </c>
    </row>
    <row r="3557" spans="1:15" x14ac:dyDescent="0.35">
      <c r="A3557" s="500" t="s">
        <v>1126</v>
      </c>
      <c r="B3557" s="501" t="s">
        <v>2974</v>
      </c>
      <c r="C3557" s="501" t="s">
        <v>1094</v>
      </c>
      <c r="D3557" s="501" t="s">
        <v>3380</v>
      </c>
      <c r="E3557" s="501" t="s">
        <v>3381</v>
      </c>
      <c r="F3557" s="501" t="s">
        <v>639</v>
      </c>
      <c r="G3557" s="501" t="s">
        <v>640</v>
      </c>
      <c r="H3557" s="501" t="s">
        <v>6219</v>
      </c>
      <c r="I3557" s="501">
        <v>21</v>
      </c>
      <c r="J3557" s="501">
        <v>21</v>
      </c>
      <c r="K3557" s="501">
        <v>0</v>
      </c>
      <c r="L3557" s="501">
        <v>0</v>
      </c>
      <c r="M3557" s="501">
        <v>0</v>
      </c>
      <c r="N3557" s="501">
        <v>0</v>
      </c>
      <c r="O3557" s="506">
        <v>0</v>
      </c>
    </row>
    <row r="3558" spans="1:15" x14ac:dyDescent="0.35">
      <c r="A3558" s="503" t="s">
        <v>2178</v>
      </c>
      <c r="B3558" s="504" t="s">
        <v>2914</v>
      </c>
      <c r="C3558" s="504" t="s">
        <v>1089</v>
      </c>
      <c r="D3558" s="504" t="s">
        <v>3392</v>
      </c>
      <c r="E3558" s="504" t="s">
        <v>3381</v>
      </c>
      <c r="F3558" s="504" t="s">
        <v>639</v>
      </c>
      <c r="G3558" s="504" t="s">
        <v>640</v>
      </c>
      <c r="H3558" s="504" t="s">
        <v>6220</v>
      </c>
      <c r="I3558" s="504">
        <v>20</v>
      </c>
      <c r="J3558" s="504">
        <v>8</v>
      </c>
      <c r="K3558" s="504">
        <v>0</v>
      </c>
      <c r="L3558" s="504">
        <v>0</v>
      </c>
      <c r="M3558" s="504">
        <v>12</v>
      </c>
      <c r="N3558" s="504">
        <v>0</v>
      </c>
      <c r="O3558" s="505">
        <v>0</v>
      </c>
    </row>
    <row r="3559" spans="1:15" x14ac:dyDescent="0.35">
      <c r="A3559" s="500" t="s">
        <v>1253</v>
      </c>
      <c r="B3559" s="501" t="s">
        <v>3232</v>
      </c>
      <c r="C3559" s="501" t="s">
        <v>1094</v>
      </c>
      <c r="D3559" s="501" t="s">
        <v>3380</v>
      </c>
      <c r="E3559" s="501" t="s">
        <v>3381</v>
      </c>
      <c r="F3559" s="501" t="s">
        <v>639</v>
      </c>
      <c r="G3559" s="501" t="s">
        <v>640</v>
      </c>
      <c r="H3559" s="501" t="s">
        <v>6221</v>
      </c>
      <c r="I3559" s="501">
        <v>16</v>
      </c>
      <c r="J3559" s="501">
        <v>0</v>
      </c>
      <c r="K3559" s="501">
        <v>0</v>
      </c>
      <c r="L3559" s="501">
        <v>16</v>
      </c>
      <c r="M3559" s="501">
        <v>0</v>
      </c>
      <c r="N3559" s="501">
        <v>0</v>
      </c>
      <c r="O3559" s="506">
        <v>0</v>
      </c>
    </row>
    <row r="3560" spans="1:15" x14ac:dyDescent="0.35">
      <c r="A3560" s="503" t="s">
        <v>1368</v>
      </c>
      <c r="B3560" s="504" t="s">
        <v>3220</v>
      </c>
      <c r="C3560" s="504" t="s">
        <v>1094</v>
      </c>
      <c r="D3560" s="504" t="s">
        <v>3380</v>
      </c>
      <c r="E3560" s="504" t="s">
        <v>3381</v>
      </c>
      <c r="F3560" s="504" t="s">
        <v>639</v>
      </c>
      <c r="G3560" s="504" t="s">
        <v>640</v>
      </c>
      <c r="H3560" s="504" t="s">
        <v>6222</v>
      </c>
      <c r="I3560" s="504">
        <v>167</v>
      </c>
      <c r="J3560" s="504">
        <v>70</v>
      </c>
      <c r="K3560" s="504">
        <v>0</v>
      </c>
      <c r="L3560" s="504">
        <v>0</v>
      </c>
      <c r="M3560" s="504">
        <v>71</v>
      </c>
      <c r="N3560" s="504">
        <v>0</v>
      </c>
      <c r="O3560" s="505">
        <v>26</v>
      </c>
    </row>
    <row r="3561" spans="1:15" x14ac:dyDescent="0.35">
      <c r="A3561" s="500" t="s">
        <v>1257</v>
      </c>
      <c r="B3561" s="501" t="s">
        <v>3151</v>
      </c>
      <c r="C3561" s="501" t="s">
        <v>1094</v>
      </c>
      <c r="D3561" s="501" t="s">
        <v>3380</v>
      </c>
      <c r="E3561" s="501" t="s">
        <v>3381</v>
      </c>
      <c r="F3561" s="501" t="s">
        <v>639</v>
      </c>
      <c r="G3561" s="501" t="s">
        <v>640</v>
      </c>
      <c r="H3561" s="501" t="s">
        <v>6223</v>
      </c>
      <c r="I3561" s="501">
        <v>191</v>
      </c>
      <c r="J3561" s="501">
        <v>156</v>
      </c>
      <c r="K3561" s="501">
        <v>0</v>
      </c>
      <c r="L3561" s="501">
        <v>0</v>
      </c>
      <c r="M3561" s="501">
        <v>0</v>
      </c>
      <c r="N3561" s="501">
        <v>0</v>
      </c>
      <c r="O3561" s="506">
        <v>35</v>
      </c>
    </row>
    <row r="3562" spans="1:15" x14ac:dyDescent="0.35">
      <c r="A3562" s="503" t="s">
        <v>2187</v>
      </c>
      <c r="B3562" s="504" t="s">
        <v>3193</v>
      </c>
      <c r="C3562" s="504" t="s">
        <v>1094</v>
      </c>
      <c r="D3562" s="504" t="s">
        <v>3380</v>
      </c>
      <c r="E3562" s="504" t="s">
        <v>3381</v>
      </c>
      <c r="F3562" s="504" t="s">
        <v>639</v>
      </c>
      <c r="G3562" s="504" t="s">
        <v>640</v>
      </c>
      <c r="H3562" s="504" t="s">
        <v>6224</v>
      </c>
      <c r="I3562" s="504">
        <v>98</v>
      </c>
      <c r="J3562" s="504">
        <v>63</v>
      </c>
      <c r="K3562" s="504">
        <v>0</v>
      </c>
      <c r="L3562" s="504">
        <v>0</v>
      </c>
      <c r="M3562" s="504">
        <v>0</v>
      </c>
      <c r="N3562" s="504">
        <v>0</v>
      </c>
      <c r="O3562" s="505">
        <v>35</v>
      </c>
    </row>
    <row r="3563" spans="1:15" x14ac:dyDescent="0.35">
      <c r="A3563" s="500" t="s">
        <v>2191</v>
      </c>
      <c r="B3563" s="501" t="s">
        <v>3033</v>
      </c>
      <c r="C3563" s="501" t="s">
        <v>1089</v>
      </c>
      <c r="D3563" s="501" t="s">
        <v>3392</v>
      </c>
      <c r="E3563" s="501" t="s">
        <v>3381</v>
      </c>
      <c r="F3563" s="501" t="s">
        <v>639</v>
      </c>
      <c r="G3563" s="501" t="s">
        <v>640</v>
      </c>
      <c r="H3563" s="501" t="s">
        <v>12262</v>
      </c>
      <c r="I3563" s="501">
        <v>2</v>
      </c>
      <c r="J3563" s="501">
        <v>2</v>
      </c>
      <c r="K3563" s="501">
        <v>0</v>
      </c>
      <c r="L3563" s="501">
        <v>0</v>
      </c>
      <c r="M3563" s="501">
        <v>0</v>
      </c>
      <c r="N3563" s="501">
        <v>0</v>
      </c>
      <c r="O3563" s="506">
        <v>0</v>
      </c>
    </row>
    <row r="3564" spans="1:15" x14ac:dyDescent="0.35">
      <c r="A3564" s="503" t="s">
        <v>1789</v>
      </c>
      <c r="B3564" s="504" t="s">
        <v>3219</v>
      </c>
      <c r="C3564" s="504" t="s">
        <v>1094</v>
      </c>
      <c r="D3564" s="504" t="s">
        <v>3380</v>
      </c>
      <c r="E3564" s="504" t="s">
        <v>3381</v>
      </c>
      <c r="F3564" s="504" t="s">
        <v>639</v>
      </c>
      <c r="G3564" s="504" t="s">
        <v>640</v>
      </c>
      <c r="H3564" s="504" t="s">
        <v>6225</v>
      </c>
      <c r="I3564" s="504">
        <v>28</v>
      </c>
      <c r="J3564" s="504">
        <v>28</v>
      </c>
      <c r="K3564" s="504">
        <v>0</v>
      </c>
      <c r="L3564" s="504">
        <v>0</v>
      </c>
      <c r="M3564" s="504">
        <v>0</v>
      </c>
      <c r="N3564" s="504">
        <v>0</v>
      </c>
      <c r="O3564" s="505">
        <v>0</v>
      </c>
    </row>
    <row r="3565" spans="1:15" x14ac:dyDescent="0.35">
      <c r="A3565" s="500" t="s">
        <v>1385</v>
      </c>
      <c r="B3565" s="501" t="s">
        <v>3249</v>
      </c>
      <c r="C3565" s="501" t="s">
        <v>1094</v>
      </c>
      <c r="D3565" s="501" t="s">
        <v>3380</v>
      </c>
      <c r="E3565" s="501" t="s">
        <v>3381</v>
      </c>
      <c r="F3565" s="501" t="s">
        <v>641</v>
      </c>
      <c r="G3565" s="501" t="s">
        <v>642</v>
      </c>
      <c r="H3565" s="501" t="s">
        <v>6226</v>
      </c>
      <c r="I3565" s="501">
        <v>515</v>
      </c>
      <c r="J3565" s="501">
        <v>350</v>
      </c>
      <c r="K3565" s="501">
        <v>0</v>
      </c>
      <c r="L3565" s="501">
        <v>86</v>
      </c>
      <c r="M3565" s="501">
        <v>0</v>
      </c>
      <c r="N3565" s="501">
        <v>0</v>
      </c>
      <c r="O3565" s="506">
        <v>79</v>
      </c>
    </row>
    <row r="3566" spans="1:15" x14ac:dyDescent="0.35">
      <c r="A3566" s="503" t="s">
        <v>1392</v>
      </c>
      <c r="B3566" s="504" t="s">
        <v>2477</v>
      </c>
      <c r="C3566" s="504" t="s">
        <v>1089</v>
      </c>
      <c r="D3566" s="504" t="s">
        <v>3392</v>
      </c>
      <c r="E3566" s="504" t="s">
        <v>3381</v>
      </c>
      <c r="F3566" s="504" t="s">
        <v>641</v>
      </c>
      <c r="G3566" s="504" t="s">
        <v>642</v>
      </c>
      <c r="H3566" s="504" t="s">
        <v>11491</v>
      </c>
      <c r="I3566" s="504">
        <v>12</v>
      </c>
      <c r="J3566" s="504">
        <v>0</v>
      </c>
      <c r="K3566" s="504">
        <v>0</v>
      </c>
      <c r="L3566" s="504">
        <v>0</v>
      </c>
      <c r="M3566" s="504">
        <v>12</v>
      </c>
      <c r="N3566" s="504">
        <v>0</v>
      </c>
      <c r="O3566" s="505">
        <v>0</v>
      </c>
    </row>
    <row r="3567" spans="1:15" x14ac:dyDescent="0.35">
      <c r="A3567" s="500" t="s">
        <v>1096</v>
      </c>
      <c r="B3567" s="501" t="s">
        <v>3326</v>
      </c>
      <c r="C3567" s="501" t="s">
        <v>1094</v>
      </c>
      <c r="D3567" s="501" t="s">
        <v>3380</v>
      </c>
      <c r="E3567" s="501" t="s">
        <v>3381</v>
      </c>
      <c r="F3567" s="501" t="s">
        <v>641</v>
      </c>
      <c r="G3567" s="501" t="s">
        <v>642</v>
      </c>
      <c r="H3567" s="501" t="s">
        <v>6227</v>
      </c>
      <c r="I3567" s="501">
        <v>50</v>
      </c>
      <c r="J3567" s="501">
        <v>0</v>
      </c>
      <c r="K3567" s="501">
        <v>0</v>
      </c>
      <c r="L3567" s="501">
        <v>0</v>
      </c>
      <c r="M3567" s="501">
        <v>50</v>
      </c>
      <c r="N3567" s="501">
        <v>0</v>
      </c>
      <c r="O3567" s="506">
        <v>0</v>
      </c>
    </row>
    <row r="3568" spans="1:15" x14ac:dyDescent="0.35">
      <c r="A3568" s="503" t="s">
        <v>1270</v>
      </c>
      <c r="B3568" s="504" t="s">
        <v>3304</v>
      </c>
      <c r="C3568" s="504" t="s">
        <v>1089</v>
      </c>
      <c r="D3568" s="504" t="s">
        <v>3392</v>
      </c>
      <c r="E3568" s="504" t="s">
        <v>3381</v>
      </c>
      <c r="F3568" s="504" t="s">
        <v>641</v>
      </c>
      <c r="G3568" s="504" t="s">
        <v>642</v>
      </c>
      <c r="H3568" s="504" t="s">
        <v>6228</v>
      </c>
      <c r="I3568" s="504">
        <v>63</v>
      </c>
      <c r="J3568" s="504">
        <v>63</v>
      </c>
      <c r="K3568" s="504">
        <v>0</v>
      </c>
      <c r="L3568" s="504">
        <v>0</v>
      </c>
      <c r="M3568" s="504">
        <v>0</v>
      </c>
      <c r="N3568" s="504">
        <v>0</v>
      </c>
      <c r="O3568" s="505">
        <v>0</v>
      </c>
    </row>
    <row r="3569" spans="1:15" x14ac:dyDescent="0.35">
      <c r="A3569" s="500" t="s">
        <v>1161</v>
      </c>
      <c r="B3569" s="501" t="s">
        <v>3001</v>
      </c>
      <c r="C3569" s="501" t="s">
        <v>1094</v>
      </c>
      <c r="D3569" s="501" t="s">
        <v>3380</v>
      </c>
      <c r="E3569" s="501" t="s">
        <v>3381</v>
      </c>
      <c r="F3569" s="501" t="s">
        <v>641</v>
      </c>
      <c r="G3569" s="501" t="s">
        <v>642</v>
      </c>
      <c r="H3569" s="501" t="s">
        <v>6229</v>
      </c>
      <c r="I3569" s="501">
        <v>330</v>
      </c>
      <c r="J3569" s="501">
        <v>242</v>
      </c>
      <c r="K3569" s="501">
        <v>0</v>
      </c>
      <c r="L3569" s="501">
        <v>0</v>
      </c>
      <c r="M3569" s="501">
        <v>0</v>
      </c>
      <c r="N3569" s="501">
        <v>0</v>
      </c>
      <c r="O3569" s="506">
        <v>88</v>
      </c>
    </row>
    <row r="3570" spans="1:15" x14ac:dyDescent="0.35">
      <c r="A3570" s="503" t="s">
        <v>1410</v>
      </c>
      <c r="B3570" s="504" t="s">
        <v>2868</v>
      </c>
      <c r="C3570" s="504" t="s">
        <v>1094</v>
      </c>
      <c r="D3570" s="504" t="s">
        <v>3380</v>
      </c>
      <c r="E3570" s="504" t="s">
        <v>3381</v>
      </c>
      <c r="F3570" s="504" t="s">
        <v>641</v>
      </c>
      <c r="G3570" s="504" t="s">
        <v>642</v>
      </c>
      <c r="H3570" s="504" t="s">
        <v>6230</v>
      </c>
      <c r="I3570" s="504">
        <v>14</v>
      </c>
      <c r="J3570" s="504">
        <v>8</v>
      </c>
      <c r="K3570" s="504">
        <v>6</v>
      </c>
      <c r="L3570" s="504">
        <v>0</v>
      </c>
      <c r="M3570" s="504">
        <v>0</v>
      </c>
      <c r="N3570" s="504">
        <v>0</v>
      </c>
      <c r="O3570" s="505">
        <v>0</v>
      </c>
    </row>
    <row r="3571" spans="1:15" x14ac:dyDescent="0.35">
      <c r="A3571" s="500" t="s">
        <v>1411</v>
      </c>
      <c r="B3571" s="501" t="s">
        <v>2873</v>
      </c>
      <c r="C3571" s="501" t="s">
        <v>1089</v>
      </c>
      <c r="D3571" s="501" t="s">
        <v>3392</v>
      </c>
      <c r="E3571" s="501" t="s">
        <v>3381</v>
      </c>
      <c r="F3571" s="501" t="s">
        <v>641</v>
      </c>
      <c r="G3571" s="501" t="s">
        <v>642</v>
      </c>
      <c r="H3571" s="501" t="s">
        <v>6231</v>
      </c>
      <c r="I3571" s="501">
        <v>21</v>
      </c>
      <c r="J3571" s="501">
        <v>0</v>
      </c>
      <c r="K3571" s="501">
        <v>0</v>
      </c>
      <c r="L3571" s="501">
        <v>21</v>
      </c>
      <c r="M3571" s="501">
        <v>0</v>
      </c>
      <c r="N3571" s="501">
        <v>0</v>
      </c>
      <c r="O3571" s="506">
        <v>0</v>
      </c>
    </row>
    <row r="3572" spans="1:15" x14ac:dyDescent="0.35">
      <c r="A3572" s="503" t="s">
        <v>1100</v>
      </c>
      <c r="B3572" s="504">
        <v>4865</v>
      </c>
      <c r="C3572" s="504" t="s">
        <v>1094</v>
      </c>
      <c r="D3572" s="504" t="s">
        <v>3380</v>
      </c>
      <c r="E3572" s="504" t="s">
        <v>3381</v>
      </c>
      <c r="F3572" s="504" t="s">
        <v>641</v>
      </c>
      <c r="G3572" s="504" t="s">
        <v>642</v>
      </c>
      <c r="H3572" s="504" t="s">
        <v>6232</v>
      </c>
      <c r="I3572" s="504">
        <v>359</v>
      </c>
      <c r="J3572" s="504">
        <v>237</v>
      </c>
      <c r="K3572" s="504">
        <v>8</v>
      </c>
      <c r="L3572" s="504">
        <v>0</v>
      </c>
      <c r="M3572" s="504">
        <v>0</v>
      </c>
      <c r="N3572" s="504">
        <v>0</v>
      </c>
      <c r="O3572" s="505">
        <v>114</v>
      </c>
    </row>
    <row r="3573" spans="1:15" x14ac:dyDescent="0.35">
      <c r="A3573" s="500" t="s">
        <v>1287</v>
      </c>
      <c r="B3573" s="501" t="s">
        <v>2784</v>
      </c>
      <c r="C3573" s="501" t="s">
        <v>1089</v>
      </c>
      <c r="D3573" s="501" t="s">
        <v>3392</v>
      </c>
      <c r="E3573" s="501" t="s">
        <v>3381</v>
      </c>
      <c r="F3573" s="501" t="s">
        <v>641</v>
      </c>
      <c r="G3573" s="501" t="s">
        <v>642</v>
      </c>
      <c r="H3573" s="501" t="s">
        <v>6233</v>
      </c>
      <c r="I3573" s="501">
        <v>18</v>
      </c>
      <c r="J3573" s="501">
        <v>18</v>
      </c>
      <c r="K3573" s="501">
        <v>0</v>
      </c>
      <c r="L3573" s="501">
        <v>0</v>
      </c>
      <c r="M3573" s="501">
        <v>0</v>
      </c>
      <c r="N3573" s="501">
        <v>0</v>
      </c>
      <c r="O3573" s="506">
        <v>0</v>
      </c>
    </row>
    <row r="3574" spans="1:15" x14ac:dyDescent="0.35">
      <c r="A3574" s="503" t="s">
        <v>1430</v>
      </c>
      <c r="B3574" s="504" t="s">
        <v>3308</v>
      </c>
      <c r="C3574" s="504" t="s">
        <v>1089</v>
      </c>
      <c r="D3574" s="504" t="s">
        <v>3392</v>
      </c>
      <c r="E3574" s="504" t="s">
        <v>3381</v>
      </c>
      <c r="F3574" s="504" t="s">
        <v>641</v>
      </c>
      <c r="G3574" s="504" t="s">
        <v>642</v>
      </c>
      <c r="H3574" s="504" t="s">
        <v>6234</v>
      </c>
      <c r="I3574" s="504">
        <v>33</v>
      </c>
      <c r="J3574" s="504">
        <v>8</v>
      </c>
      <c r="K3574" s="504">
        <v>25</v>
      </c>
      <c r="L3574" s="504">
        <v>0</v>
      </c>
      <c r="M3574" s="504">
        <v>0</v>
      </c>
      <c r="N3574" s="504">
        <v>0</v>
      </c>
      <c r="O3574" s="505">
        <v>0</v>
      </c>
    </row>
    <row r="3575" spans="1:15" x14ac:dyDescent="0.35">
      <c r="A3575" s="500" t="s">
        <v>14208</v>
      </c>
      <c r="B3575" s="501">
        <v>4803</v>
      </c>
      <c r="C3575" s="501" t="s">
        <v>1094</v>
      </c>
      <c r="D3575" s="501" t="s">
        <v>3380</v>
      </c>
      <c r="E3575" s="501" t="s">
        <v>3381</v>
      </c>
      <c r="F3575" s="501" t="s">
        <v>641</v>
      </c>
      <c r="G3575" s="501" t="s">
        <v>642</v>
      </c>
      <c r="H3575" s="501" t="s">
        <v>14729</v>
      </c>
      <c r="I3575" s="501">
        <v>1</v>
      </c>
      <c r="J3575" s="501">
        <v>0</v>
      </c>
      <c r="K3575" s="501">
        <v>0</v>
      </c>
      <c r="L3575" s="501">
        <v>1</v>
      </c>
      <c r="M3575" s="501">
        <v>0</v>
      </c>
      <c r="N3575" s="501">
        <v>0</v>
      </c>
      <c r="O3575" s="506">
        <v>0</v>
      </c>
    </row>
    <row r="3576" spans="1:15" x14ac:dyDescent="0.35">
      <c r="A3576" s="503" t="s">
        <v>1185</v>
      </c>
      <c r="B3576" s="504" t="s">
        <v>3253</v>
      </c>
      <c r="C3576" s="504" t="s">
        <v>1094</v>
      </c>
      <c r="D3576" s="504" t="s">
        <v>3380</v>
      </c>
      <c r="E3576" s="504" t="s">
        <v>3381</v>
      </c>
      <c r="F3576" s="504" t="s">
        <v>641</v>
      </c>
      <c r="G3576" s="504" t="s">
        <v>642</v>
      </c>
      <c r="H3576" s="504" t="s">
        <v>6235</v>
      </c>
      <c r="I3576" s="504">
        <v>58</v>
      </c>
      <c r="J3576" s="504">
        <v>32</v>
      </c>
      <c r="K3576" s="504">
        <v>0</v>
      </c>
      <c r="L3576" s="504">
        <v>18</v>
      </c>
      <c r="M3576" s="504">
        <v>8</v>
      </c>
      <c r="N3576" s="504">
        <v>0</v>
      </c>
      <c r="O3576" s="505">
        <v>0</v>
      </c>
    </row>
    <row r="3577" spans="1:15" x14ac:dyDescent="0.35">
      <c r="A3577" s="500" t="s">
        <v>1451</v>
      </c>
      <c r="B3577" s="501" t="s">
        <v>2494</v>
      </c>
      <c r="C3577" s="501" t="s">
        <v>1089</v>
      </c>
      <c r="D3577" s="501" t="s">
        <v>3392</v>
      </c>
      <c r="E3577" s="501" t="s">
        <v>3381</v>
      </c>
      <c r="F3577" s="501" t="s">
        <v>641</v>
      </c>
      <c r="G3577" s="501" t="s">
        <v>642</v>
      </c>
      <c r="H3577" s="501" t="s">
        <v>6236</v>
      </c>
      <c r="I3577" s="501">
        <v>91</v>
      </c>
      <c r="J3577" s="501">
        <v>0</v>
      </c>
      <c r="K3577" s="501">
        <v>0</v>
      </c>
      <c r="L3577" s="501">
        <v>0</v>
      </c>
      <c r="M3577" s="501">
        <v>91</v>
      </c>
      <c r="N3577" s="501">
        <v>0</v>
      </c>
      <c r="O3577" s="506">
        <v>0</v>
      </c>
    </row>
    <row r="3578" spans="1:15" x14ac:dyDescent="0.35">
      <c r="A3578" s="503" t="s">
        <v>1453</v>
      </c>
      <c r="B3578" s="504" t="s">
        <v>2648</v>
      </c>
      <c r="C3578" s="504" t="s">
        <v>1089</v>
      </c>
      <c r="D3578" s="504" t="s">
        <v>3392</v>
      </c>
      <c r="E3578" s="504" t="s">
        <v>3381</v>
      </c>
      <c r="F3578" s="504" t="s">
        <v>641</v>
      </c>
      <c r="G3578" s="504" t="s">
        <v>642</v>
      </c>
      <c r="H3578" s="504" t="s">
        <v>6237</v>
      </c>
      <c r="I3578" s="504">
        <v>20</v>
      </c>
      <c r="J3578" s="504">
        <v>0</v>
      </c>
      <c r="K3578" s="504">
        <v>0</v>
      </c>
      <c r="L3578" s="504">
        <v>0</v>
      </c>
      <c r="M3578" s="504">
        <v>20</v>
      </c>
      <c r="N3578" s="504">
        <v>0</v>
      </c>
      <c r="O3578" s="505">
        <v>0</v>
      </c>
    </row>
    <row r="3579" spans="1:15" x14ac:dyDescent="0.35">
      <c r="A3579" s="500" t="s">
        <v>1107</v>
      </c>
      <c r="B3579" s="501" t="s">
        <v>3109</v>
      </c>
      <c r="C3579" s="501" t="s">
        <v>1094</v>
      </c>
      <c r="D3579" s="501" t="s">
        <v>3380</v>
      </c>
      <c r="E3579" s="501" t="s">
        <v>3381</v>
      </c>
      <c r="F3579" s="501" t="s">
        <v>641</v>
      </c>
      <c r="G3579" s="501" t="s">
        <v>642</v>
      </c>
      <c r="H3579" s="501" t="s">
        <v>6238</v>
      </c>
      <c r="I3579" s="501">
        <v>13</v>
      </c>
      <c r="J3579" s="501">
        <v>0</v>
      </c>
      <c r="K3579" s="501">
        <v>0</v>
      </c>
      <c r="L3579" s="501">
        <v>13</v>
      </c>
      <c r="M3579" s="501">
        <v>0</v>
      </c>
      <c r="N3579" s="501">
        <v>0</v>
      </c>
      <c r="O3579" s="506">
        <v>0</v>
      </c>
    </row>
    <row r="3580" spans="1:15" x14ac:dyDescent="0.35">
      <c r="A3580" s="503" t="s">
        <v>1307</v>
      </c>
      <c r="B3580" s="504" t="s">
        <v>3306</v>
      </c>
      <c r="C3580" s="504" t="s">
        <v>1089</v>
      </c>
      <c r="D3580" s="504" t="s">
        <v>3392</v>
      </c>
      <c r="E3580" s="504" t="s">
        <v>3381</v>
      </c>
      <c r="F3580" s="504" t="s">
        <v>641</v>
      </c>
      <c r="G3580" s="504" t="s">
        <v>642</v>
      </c>
      <c r="H3580" s="504" t="s">
        <v>6239</v>
      </c>
      <c r="I3580" s="504">
        <v>44</v>
      </c>
      <c r="J3580" s="504">
        <v>44</v>
      </c>
      <c r="K3580" s="504">
        <v>0</v>
      </c>
      <c r="L3580" s="504">
        <v>0</v>
      </c>
      <c r="M3580" s="504">
        <v>0</v>
      </c>
      <c r="N3580" s="504">
        <v>0</v>
      </c>
      <c r="O3580" s="505">
        <v>0</v>
      </c>
    </row>
    <row r="3581" spans="1:15" x14ac:dyDescent="0.35">
      <c r="A3581" s="500" t="s">
        <v>1202</v>
      </c>
      <c r="B3581" s="501" t="s">
        <v>3217</v>
      </c>
      <c r="C3581" s="501" t="s">
        <v>1094</v>
      </c>
      <c r="D3581" s="501" t="s">
        <v>3380</v>
      </c>
      <c r="E3581" s="501" t="s">
        <v>3381</v>
      </c>
      <c r="F3581" s="501" t="s">
        <v>641</v>
      </c>
      <c r="G3581" s="501" t="s">
        <v>642</v>
      </c>
      <c r="H3581" s="501" t="s">
        <v>6240</v>
      </c>
      <c r="I3581" s="501">
        <v>578</v>
      </c>
      <c r="J3581" s="501">
        <v>473</v>
      </c>
      <c r="K3581" s="501">
        <v>0</v>
      </c>
      <c r="L3581" s="501">
        <v>32</v>
      </c>
      <c r="M3581" s="501">
        <v>0</v>
      </c>
      <c r="N3581" s="501">
        <v>1</v>
      </c>
      <c r="O3581" s="506">
        <v>73</v>
      </c>
    </row>
    <row r="3582" spans="1:15" x14ac:dyDescent="0.35">
      <c r="A3582" s="503" t="s">
        <v>1494</v>
      </c>
      <c r="B3582" s="504" t="s">
        <v>3235</v>
      </c>
      <c r="C3582" s="504" t="s">
        <v>1094</v>
      </c>
      <c r="D3582" s="504" t="s">
        <v>3380</v>
      </c>
      <c r="E3582" s="504" t="s">
        <v>3381</v>
      </c>
      <c r="F3582" s="504" t="s">
        <v>641</v>
      </c>
      <c r="G3582" s="504" t="s">
        <v>642</v>
      </c>
      <c r="H3582" s="504" t="s">
        <v>6241</v>
      </c>
      <c r="I3582" s="504">
        <v>32</v>
      </c>
      <c r="J3582" s="504">
        <v>0</v>
      </c>
      <c r="K3582" s="504">
        <v>0</v>
      </c>
      <c r="L3582" s="504">
        <v>32</v>
      </c>
      <c r="M3582" s="504">
        <v>0</v>
      </c>
      <c r="N3582" s="504">
        <v>2</v>
      </c>
      <c r="O3582" s="505">
        <v>0</v>
      </c>
    </row>
    <row r="3583" spans="1:15" x14ac:dyDescent="0.35">
      <c r="A3583" s="500" t="s">
        <v>1112</v>
      </c>
      <c r="B3583" s="501" t="s">
        <v>3008</v>
      </c>
      <c r="C3583" s="501" t="s">
        <v>1094</v>
      </c>
      <c r="D3583" s="501" t="s">
        <v>3380</v>
      </c>
      <c r="E3583" s="501" t="s">
        <v>3381</v>
      </c>
      <c r="F3583" s="501" t="s">
        <v>641</v>
      </c>
      <c r="G3583" s="501" t="s">
        <v>642</v>
      </c>
      <c r="H3583" s="501" t="s">
        <v>6242</v>
      </c>
      <c r="I3583" s="501">
        <v>92</v>
      </c>
      <c r="J3583" s="501">
        <v>7</v>
      </c>
      <c r="K3583" s="501">
        <v>7</v>
      </c>
      <c r="L3583" s="501">
        <v>78</v>
      </c>
      <c r="M3583" s="501">
        <v>0</v>
      </c>
      <c r="N3583" s="501">
        <v>0</v>
      </c>
      <c r="O3583" s="506">
        <v>0</v>
      </c>
    </row>
    <row r="3584" spans="1:15" x14ac:dyDescent="0.35">
      <c r="A3584" s="503" t="s">
        <v>1315</v>
      </c>
      <c r="B3584" s="504">
        <v>4825</v>
      </c>
      <c r="C3584" s="504" t="s">
        <v>1094</v>
      </c>
      <c r="D3584" s="504" t="s">
        <v>3380</v>
      </c>
      <c r="E3584" s="504" t="s">
        <v>3381</v>
      </c>
      <c r="F3584" s="504" t="s">
        <v>641</v>
      </c>
      <c r="G3584" s="504" t="s">
        <v>642</v>
      </c>
      <c r="H3584" s="504" t="s">
        <v>6243</v>
      </c>
      <c r="I3584" s="504">
        <v>125</v>
      </c>
      <c r="J3584" s="504">
        <v>116</v>
      </c>
      <c r="K3584" s="504">
        <v>0</v>
      </c>
      <c r="L3584" s="504">
        <v>2</v>
      </c>
      <c r="M3584" s="504">
        <v>0</v>
      </c>
      <c r="N3584" s="504">
        <v>0</v>
      </c>
      <c r="O3584" s="505">
        <v>7</v>
      </c>
    </row>
    <row r="3585" spans="1:15" x14ac:dyDescent="0.35">
      <c r="A3585" s="500" t="s">
        <v>1319</v>
      </c>
      <c r="B3585" s="501">
        <v>4880</v>
      </c>
      <c r="C3585" s="501" t="s">
        <v>1094</v>
      </c>
      <c r="D3585" s="501" t="s">
        <v>3380</v>
      </c>
      <c r="E3585" s="501" t="s">
        <v>3381</v>
      </c>
      <c r="F3585" s="501" t="s">
        <v>641</v>
      </c>
      <c r="G3585" s="501" t="s">
        <v>642</v>
      </c>
      <c r="H3585" s="501" t="s">
        <v>6244</v>
      </c>
      <c r="I3585" s="501">
        <v>5012</v>
      </c>
      <c r="J3585" s="501">
        <v>4284</v>
      </c>
      <c r="K3585" s="501">
        <v>0</v>
      </c>
      <c r="L3585" s="501">
        <v>430</v>
      </c>
      <c r="M3585" s="501">
        <v>176</v>
      </c>
      <c r="N3585" s="501">
        <v>8</v>
      </c>
      <c r="O3585" s="506">
        <v>122</v>
      </c>
    </row>
    <row r="3586" spans="1:15" x14ac:dyDescent="0.35">
      <c r="A3586" s="503" t="s">
        <v>1120</v>
      </c>
      <c r="B3586" s="504" t="s">
        <v>3362</v>
      </c>
      <c r="C3586" s="504" t="s">
        <v>1094</v>
      </c>
      <c r="D3586" s="504" t="s">
        <v>3380</v>
      </c>
      <c r="E3586" s="504" t="s">
        <v>3381</v>
      </c>
      <c r="F3586" s="504" t="s">
        <v>641</v>
      </c>
      <c r="G3586" s="504" t="s">
        <v>642</v>
      </c>
      <c r="H3586" s="504" t="s">
        <v>6245</v>
      </c>
      <c r="I3586" s="504">
        <v>262</v>
      </c>
      <c r="J3586" s="504">
        <v>0</v>
      </c>
      <c r="K3586" s="504">
        <v>0</v>
      </c>
      <c r="L3586" s="504">
        <v>0</v>
      </c>
      <c r="M3586" s="504">
        <v>0</v>
      </c>
      <c r="N3586" s="504">
        <v>0</v>
      </c>
      <c r="O3586" s="505">
        <v>262</v>
      </c>
    </row>
    <row r="3587" spans="1:15" x14ac:dyDescent="0.35">
      <c r="A3587" s="500" t="s">
        <v>1510</v>
      </c>
      <c r="B3587" s="501" t="s">
        <v>3004</v>
      </c>
      <c r="C3587" s="501" t="s">
        <v>1094</v>
      </c>
      <c r="D3587" s="501" t="s">
        <v>3380</v>
      </c>
      <c r="E3587" s="501" t="s">
        <v>3381</v>
      </c>
      <c r="F3587" s="501" t="s">
        <v>641</v>
      </c>
      <c r="G3587" s="501" t="s">
        <v>642</v>
      </c>
      <c r="H3587" s="501" t="s">
        <v>6246</v>
      </c>
      <c r="I3587" s="501">
        <v>520</v>
      </c>
      <c r="J3587" s="501">
        <v>485</v>
      </c>
      <c r="K3587" s="501">
        <v>0</v>
      </c>
      <c r="L3587" s="501">
        <v>0</v>
      </c>
      <c r="M3587" s="501">
        <v>0</v>
      </c>
      <c r="N3587" s="501">
        <v>0</v>
      </c>
      <c r="O3587" s="506">
        <v>35</v>
      </c>
    </row>
    <row r="3588" spans="1:15" x14ac:dyDescent="0.35">
      <c r="A3588" s="503" t="s">
        <v>1322</v>
      </c>
      <c r="B3588" s="504" t="s">
        <v>3244</v>
      </c>
      <c r="C3588" s="504" t="s">
        <v>1094</v>
      </c>
      <c r="D3588" s="504" t="s">
        <v>3380</v>
      </c>
      <c r="E3588" s="504" t="s">
        <v>3381</v>
      </c>
      <c r="F3588" s="504" t="s">
        <v>641</v>
      </c>
      <c r="G3588" s="504" t="s">
        <v>642</v>
      </c>
      <c r="H3588" s="504" t="s">
        <v>6247</v>
      </c>
      <c r="I3588" s="504">
        <v>21</v>
      </c>
      <c r="J3588" s="504">
        <v>0</v>
      </c>
      <c r="K3588" s="504">
        <v>0</v>
      </c>
      <c r="L3588" s="504">
        <v>3</v>
      </c>
      <c r="M3588" s="504">
        <v>0</v>
      </c>
      <c r="N3588" s="504">
        <v>0</v>
      </c>
      <c r="O3588" s="505">
        <v>18</v>
      </c>
    </row>
    <row r="3589" spans="1:15" x14ac:dyDescent="0.35">
      <c r="A3589" s="500" t="s">
        <v>1217</v>
      </c>
      <c r="B3589" s="501">
        <v>4851</v>
      </c>
      <c r="C3589" s="501" t="s">
        <v>1094</v>
      </c>
      <c r="D3589" s="501" t="s">
        <v>3380</v>
      </c>
      <c r="E3589" s="501" t="s">
        <v>3381</v>
      </c>
      <c r="F3589" s="501" t="s">
        <v>641</v>
      </c>
      <c r="G3589" s="501" t="s">
        <v>642</v>
      </c>
      <c r="H3589" s="501" t="s">
        <v>6248</v>
      </c>
      <c r="I3589" s="501">
        <v>200</v>
      </c>
      <c r="J3589" s="501">
        <v>192</v>
      </c>
      <c r="K3589" s="501">
        <v>0</v>
      </c>
      <c r="L3589" s="501">
        <v>0</v>
      </c>
      <c r="M3589" s="501">
        <v>0</v>
      </c>
      <c r="N3589" s="501">
        <v>0</v>
      </c>
      <c r="O3589" s="506">
        <v>8</v>
      </c>
    </row>
    <row r="3590" spans="1:15" x14ac:dyDescent="0.35">
      <c r="A3590" s="503" t="s">
        <v>11367</v>
      </c>
      <c r="B3590" s="504" t="s">
        <v>3143</v>
      </c>
      <c r="C3590" s="504" t="s">
        <v>1094</v>
      </c>
      <c r="D3590" s="504" t="s">
        <v>3380</v>
      </c>
      <c r="E3590" s="504" t="s">
        <v>3381</v>
      </c>
      <c r="F3590" s="504" t="s">
        <v>641</v>
      </c>
      <c r="G3590" s="504" t="s">
        <v>642</v>
      </c>
      <c r="H3590" s="504" t="s">
        <v>11927</v>
      </c>
      <c r="I3590" s="504">
        <v>29</v>
      </c>
      <c r="J3590" s="504">
        <v>29</v>
      </c>
      <c r="K3590" s="504">
        <v>0</v>
      </c>
      <c r="L3590" s="504">
        <v>0</v>
      </c>
      <c r="M3590" s="504">
        <v>0</v>
      </c>
      <c r="N3590" s="504">
        <v>0</v>
      </c>
      <c r="O3590" s="505">
        <v>0</v>
      </c>
    </row>
    <row r="3591" spans="1:15" x14ac:dyDescent="0.35">
      <c r="A3591" s="500" t="s">
        <v>1220</v>
      </c>
      <c r="B3591" s="501">
        <v>4849</v>
      </c>
      <c r="C3591" s="501" t="s">
        <v>1094</v>
      </c>
      <c r="D3591" s="501" t="s">
        <v>3380</v>
      </c>
      <c r="E3591" s="501" t="s">
        <v>3381</v>
      </c>
      <c r="F3591" s="501" t="s">
        <v>641</v>
      </c>
      <c r="G3591" s="501" t="s">
        <v>642</v>
      </c>
      <c r="H3591" s="501" t="s">
        <v>6249</v>
      </c>
      <c r="I3591" s="501">
        <v>40</v>
      </c>
      <c r="J3591" s="501">
        <v>40</v>
      </c>
      <c r="K3591" s="501">
        <v>0</v>
      </c>
      <c r="L3591" s="501">
        <v>0</v>
      </c>
      <c r="M3591" s="501">
        <v>0</v>
      </c>
      <c r="N3591" s="501">
        <v>0</v>
      </c>
      <c r="O3591" s="506">
        <v>0</v>
      </c>
    </row>
    <row r="3592" spans="1:15" x14ac:dyDescent="0.35">
      <c r="A3592" s="503" t="s">
        <v>1332</v>
      </c>
      <c r="B3592" s="504">
        <v>4878</v>
      </c>
      <c r="C3592" s="504" t="s">
        <v>1094</v>
      </c>
      <c r="D3592" s="504" t="s">
        <v>3380</v>
      </c>
      <c r="E3592" s="504" t="s">
        <v>3381</v>
      </c>
      <c r="F3592" s="504" t="s">
        <v>641</v>
      </c>
      <c r="G3592" s="504" t="s">
        <v>642</v>
      </c>
      <c r="H3592" s="504" t="s">
        <v>6250</v>
      </c>
      <c r="I3592" s="504">
        <v>1987</v>
      </c>
      <c r="J3592" s="504">
        <v>1874</v>
      </c>
      <c r="K3592" s="504">
        <v>0</v>
      </c>
      <c r="L3592" s="504">
        <v>46</v>
      </c>
      <c r="M3592" s="504">
        <v>0</v>
      </c>
      <c r="N3592" s="504">
        <v>0</v>
      </c>
      <c r="O3592" s="505">
        <v>67</v>
      </c>
    </row>
    <row r="3593" spans="1:15" x14ac:dyDescent="0.35">
      <c r="A3593" s="500" t="s">
        <v>1122</v>
      </c>
      <c r="B3593" s="501" t="s">
        <v>2994</v>
      </c>
      <c r="C3593" s="501" t="s">
        <v>1094</v>
      </c>
      <c r="D3593" s="501" t="s">
        <v>3380</v>
      </c>
      <c r="E3593" s="501" t="s">
        <v>3381</v>
      </c>
      <c r="F3593" s="501" t="s">
        <v>641</v>
      </c>
      <c r="G3593" s="501" t="s">
        <v>642</v>
      </c>
      <c r="H3593" s="501" t="s">
        <v>6251</v>
      </c>
      <c r="I3593" s="501">
        <v>62</v>
      </c>
      <c r="J3593" s="501">
        <v>62</v>
      </c>
      <c r="K3593" s="501">
        <v>0</v>
      </c>
      <c r="L3593" s="501">
        <v>0</v>
      </c>
      <c r="M3593" s="501">
        <v>0</v>
      </c>
      <c r="N3593" s="501">
        <v>0</v>
      </c>
      <c r="O3593" s="506">
        <v>0</v>
      </c>
    </row>
    <row r="3594" spans="1:15" x14ac:dyDescent="0.35">
      <c r="A3594" s="503" t="s">
        <v>1234</v>
      </c>
      <c r="B3594" s="504" t="s">
        <v>3291</v>
      </c>
      <c r="C3594" s="504" t="s">
        <v>1094</v>
      </c>
      <c r="D3594" s="504" t="s">
        <v>3380</v>
      </c>
      <c r="E3594" s="504" t="s">
        <v>3381</v>
      </c>
      <c r="F3594" s="504" t="s">
        <v>641</v>
      </c>
      <c r="G3594" s="504" t="s">
        <v>642</v>
      </c>
      <c r="H3594" s="504" t="s">
        <v>6252</v>
      </c>
      <c r="I3594" s="504">
        <v>24</v>
      </c>
      <c r="J3594" s="504">
        <v>0</v>
      </c>
      <c r="K3594" s="504">
        <v>0</v>
      </c>
      <c r="L3594" s="504">
        <v>24</v>
      </c>
      <c r="M3594" s="504">
        <v>0</v>
      </c>
      <c r="N3594" s="504">
        <v>0</v>
      </c>
      <c r="O3594" s="505">
        <v>0</v>
      </c>
    </row>
    <row r="3595" spans="1:15" x14ac:dyDescent="0.35">
      <c r="A3595" s="500" t="s">
        <v>1342</v>
      </c>
      <c r="B3595" s="501" t="s">
        <v>3237</v>
      </c>
      <c r="C3595" s="501" t="s">
        <v>1094</v>
      </c>
      <c r="D3595" s="501" t="s">
        <v>3380</v>
      </c>
      <c r="E3595" s="501" t="s">
        <v>3381</v>
      </c>
      <c r="F3595" s="501" t="s">
        <v>641</v>
      </c>
      <c r="G3595" s="501" t="s">
        <v>642</v>
      </c>
      <c r="H3595" s="501" t="s">
        <v>6253</v>
      </c>
      <c r="I3595" s="501">
        <v>2547</v>
      </c>
      <c r="J3595" s="501">
        <v>2227</v>
      </c>
      <c r="K3595" s="501">
        <v>0</v>
      </c>
      <c r="L3595" s="501">
        <v>123</v>
      </c>
      <c r="M3595" s="501">
        <v>73</v>
      </c>
      <c r="N3595" s="501">
        <v>244</v>
      </c>
      <c r="O3595" s="506">
        <v>124</v>
      </c>
    </row>
    <row r="3596" spans="1:15" x14ac:dyDescent="0.35">
      <c r="A3596" s="503" t="s">
        <v>1130</v>
      </c>
      <c r="B3596" s="504" t="s">
        <v>3234</v>
      </c>
      <c r="C3596" s="504" t="s">
        <v>1094</v>
      </c>
      <c r="D3596" s="504" t="s">
        <v>3380</v>
      </c>
      <c r="E3596" s="504" t="s">
        <v>3381</v>
      </c>
      <c r="F3596" s="504" t="s">
        <v>641</v>
      </c>
      <c r="G3596" s="504" t="s">
        <v>642</v>
      </c>
      <c r="H3596" s="504" t="s">
        <v>6254</v>
      </c>
      <c r="I3596" s="504">
        <v>527</v>
      </c>
      <c r="J3596" s="504">
        <v>421</v>
      </c>
      <c r="K3596" s="504">
        <v>0</v>
      </c>
      <c r="L3596" s="504">
        <v>0</v>
      </c>
      <c r="M3596" s="504">
        <v>81</v>
      </c>
      <c r="N3596" s="504">
        <v>10</v>
      </c>
      <c r="O3596" s="505">
        <v>25</v>
      </c>
    </row>
    <row r="3597" spans="1:15" x14ac:dyDescent="0.35">
      <c r="A3597" s="500" t="s">
        <v>1550</v>
      </c>
      <c r="B3597" s="501" t="s">
        <v>3282</v>
      </c>
      <c r="C3597" s="501" t="s">
        <v>1089</v>
      </c>
      <c r="D3597" s="501" t="s">
        <v>3392</v>
      </c>
      <c r="E3597" s="501" t="s">
        <v>3381</v>
      </c>
      <c r="F3597" s="501" t="s">
        <v>641</v>
      </c>
      <c r="G3597" s="501" t="s">
        <v>642</v>
      </c>
      <c r="H3597" s="501" t="s">
        <v>6255</v>
      </c>
      <c r="I3597" s="501">
        <v>9</v>
      </c>
      <c r="J3597" s="501">
        <v>0</v>
      </c>
      <c r="K3597" s="501">
        <v>0</v>
      </c>
      <c r="L3597" s="501">
        <v>9</v>
      </c>
      <c r="M3597" s="501">
        <v>0</v>
      </c>
      <c r="N3597" s="501">
        <v>0</v>
      </c>
      <c r="O3597" s="506">
        <v>0</v>
      </c>
    </row>
    <row r="3598" spans="1:15" x14ac:dyDescent="0.35">
      <c r="A3598" s="503" t="s">
        <v>1345</v>
      </c>
      <c r="B3598" s="504" t="s">
        <v>3247</v>
      </c>
      <c r="C3598" s="504" t="s">
        <v>1094</v>
      </c>
      <c r="D3598" s="504" t="s">
        <v>3380</v>
      </c>
      <c r="E3598" s="504" t="s">
        <v>3381</v>
      </c>
      <c r="F3598" s="504" t="s">
        <v>641</v>
      </c>
      <c r="G3598" s="504" t="s">
        <v>642</v>
      </c>
      <c r="H3598" s="504" t="s">
        <v>6256</v>
      </c>
      <c r="I3598" s="504">
        <v>52</v>
      </c>
      <c r="J3598" s="504">
        <v>20</v>
      </c>
      <c r="K3598" s="504">
        <v>32</v>
      </c>
      <c r="L3598" s="504">
        <v>0</v>
      </c>
      <c r="M3598" s="504">
        <v>0</v>
      </c>
      <c r="N3598" s="504">
        <v>0</v>
      </c>
      <c r="O3598" s="505">
        <v>0</v>
      </c>
    </row>
    <row r="3599" spans="1:15" x14ac:dyDescent="0.35">
      <c r="A3599" s="500" t="s">
        <v>1560</v>
      </c>
      <c r="B3599" s="501" t="s">
        <v>2990</v>
      </c>
      <c r="C3599" s="501" t="s">
        <v>1094</v>
      </c>
      <c r="D3599" s="501" t="s">
        <v>3380</v>
      </c>
      <c r="E3599" s="501" t="s">
        <v>3381</v>
      </c>
      <c r="F3599" s="501" t="s">
        <v>641</v>
      </c>
      <c r="G3599" s="501" t="s">
        <v>642</v>
      </c>
      <c r="H3599" s="501" t="s">
        <v>6257</v>
      </c>
      <c r="I3599" s="501">
        <v>295</v>
      </c>
      <c r="J3599" s="501">
        <v>295</v>
      </c>
      <c r="K3599" s="501">
        <v>0</v>
      </c>
      <c r="L3599" s="501">
        <v>0</v>
      </c>
      <c r="M3599" s="501">
        <v>0</v>
      </c>
      <c r="N3599" s="501">
        <v>0</v>
      </c>
      <c r="O3599" s="506">
        <v>0</v>
      </c>
    </row>
    <row r="3600" spans="1:15" x14ac:dyDescent="0.35">
      <c r="A3600" s="503" t="s">
        <v>11394</v>
      </c>
      <c r="B3600" s="504" t="s">
        <v>2881</v>
      </c>
      <c r="C3600" s="504" t="s">
        <v>1089</v>
      </c>
      <c r="D3600" s="504" t="s">
        <v>3392</v>
      </c>
      <c r="E3600" s="504" t="s">
        <v>3381</v>
      </c>
      <c r="F3600" s="504" t="s">
        <v>641</v>
      </c>
      <c r="G3600" s="504" t="s">
        <v>642</v>
      </c>
      <c r="H3600" s="504" t="s">
        <v>12193</v>
      </c>
      <c r="I3600" s="504">
        <v>8</v>
      </c>
      <c r="J3600" s="504">
        <v>0</v>
      </c>
      <c r="K3600" s="504">
        <v>0</v>
      </c>
      <c r="L3600" s="504">
        <v>0</v>
      </c>
      <c r="M3600" s="504">
        <v>8</v>
      </c>
      <c r="N3600" s="504">
        <v>0</v>
      </c>
      <c r="O3600" s="505">
        <v>0</v>
      </c>
    </row>
    <row r="3601" spans="1:15" x14ac:dyDescent="0.35">
      <c r="A3601" s="500" t="s">
        <v>1249</v>
      </c>
      <c r="B3601" s="501">
        <v>4729</v>
      </c>
      <c r="C3601" s="501" t="s">
        <v>1094</v>
      </c>
      <c r="D3601" s="501" t="s">
        <v>3380</v>
      </c>
      <c r="E3601" s="501" t="s">
        <v>3381</v>
      </c>
      <c r="F3601" s="501" t="s">
        <v>641</v>
      </c>
      <c r="G3601" s="501" t="s">
        <v>642</v>
      </c>
      <c r="H3601" s="501" t="s">
        <v>6258</v>
      </c>
      <c r="I3601" s="501">
        <v>150</v>
      </c>
      <c r="J3601" s="501">
        <v>150</v>
      </c>
      <c r="K3601" s="501">
        <v>0</v>
      </c>
      <c r="L3601" s="501">
        <v>0</v>
      </c>
      <c r="M3601" s="501">
        <v>0</v>
      </c>
      <c r="N3601" s="501">
        <v>0</v>
      </c>
      <c r="O3601" s="506">
        <v>0</v>
      </c>
    </row>
    <row r="3602" spans="1:15" x14ac:dyDescent="0.35">
      <c r="A3602" s="503" t="s">
        <v>11395</v>
      </c>
      <c r="B3602" s="504" t="s">
        <v>11470</v>
      </c>
      <c r="C3602" s="504" t="s">
        <v>1089</v>
      </c>
      <c r="D3602" s="504" t="s">
        <v>3392</v>
      </c>
      <c r="E3602" s="504" t="s">
        <v>3381</v>
      </c>
      <c r="F3602" s="504" t="s">
        <v>641</v>
      </c>
      <c r="G3602" s="504" t="s">
        <v>642</v>
      </c>
      <c r="H3602" s="504" t="s">
        <v>12217</v>
      </c>
      <c r="I3602" s="504">
        <v>40</v>
      </c>
      <c r="J3602" s="504">
        <v>0</v>
      </c>
      <c r="K3602" s="504">
        <v>0</v>
      </c>
      <c r="L3602" s="504">
        <v>0</v>
      </c>
      <c r="M3602" s="504">
        <v>40</v>
      </c>
      <c r="N3602" s="504">
        <v>0</v>
      </c>
      <c r="O3602" s="505">
        <v>0</v>
      </c>
    </row>
    <row r="3603" spans="1:15" x14ac:dyDescent="0.35">
      <c r="A3603" s="500" t="s">
        <v>14365</v>
      </c>
      <c r="B3603" s="501" t="s">
        <v>2574</v>
      </c>
      <c r="C3603" s="501" t="s">
        <v>1089</v>
      </c>
      <c r="D3603" s="501" t="s">
        <v>3392</v>
      </c>
      <c r="E3603" s="501" t="s">
        <v>3381</v>
      </c>
      <c r="F3603" s="501" t="s">
        <v>641</v>
      </c>
      <c r="G3603" s="501" t="s">
        <v>642</v>
      </c>
      <c r="H3603" s="501" t="s">
        <v>14730</v>
      </c>
      <c r="I3603" s="501">
        <v>217</v>
      </c>
      <c r="J3603" s="501">
        <v>4</v>
      </c>
      <c r="K3603" s="501">
        <v>0</v>
      </c>
      <c r="L3603" s="501">
        <v>213</v>
      </c>
      <c r="M3603" s="501">
        <v>0</v>
      </c>
      <c r="N3603" s="501">
        <v>0</v>
      </c>
      <c r="O3603" s="506">
        <v>0</v>
      </c>
    </row>
    <row r="3604" spans="1:15" x14ac:dyDescent="0.35">
      <c r="A3604" s="503" t="s">
        <v>1599</v>
      </c>
      <c r="B3604" s="504" t="s">
        <v>3303</v>
      </c>
      <c r="C3604" s="504" t="s">
        <v>1089</v>
      </c>
      <c r="D3604" s="504" t="s">
        <v>3392</v>
      </c>
      <c r="E3604" s="504" t="s">
        <v>3381</v>
      </c>
      <c r="F3604" s="504" t="s">
        <v>641</v>
      </c>
      <c r="G3604" s="504" t="s">
        <v>642</v>
      </c>
      <c r="H3604" s="504" t="s">
        <v>6259</v>
      </c>
      <c r="I3604" s="504">
        <v>72</v>
      </c>
      <c r="J3604" s="504">
        <v>72</v>
      </c>
      <c r="K3604" s="504">
        <v>0</v>
      </c>
      <c r="L3604" s="504">
        <v>0</v>
      </c>
      <c r="M3604" s="504">
        <v>0</v>
      </c>
      <c r="N3604" s="504">
        <v>0</v>
      </c>
      <c r="O3604" s="505">
        <v>0</v>
      </c>
    </row>
    <row r="3605" spans="1:15" x14ac:dyDescent="0.35">
      <c r="A3605" s="500" t="s">
        <v>1605</v>
      </c>
      <c r="B3605" s="501" t="s">
        <v>3064</v>
      </c>
      <c r="C3605" s="501" t="s">
        <v>1089</v>
      </c>
      <c r="D3605" s="501" t="s">
        <v>3392</v>
      </c>
      <c r="E3605" s="501" t="s">
        <v>3381</v>
      </c>
      <c r="F3605" s="501" t="s">
        <v>641</v>
      </c>
      <c r="G3605" s="501" t="s">
        <v>642</v>
      </c>
      <c r="H3605" s="501" t="s">
        <v>6260</v>
      </c>
      <c r="I3605" s="501">
        <v>187</v>
      </c>
      <c r="J3605" s="501">
        <v>187</v>
      </c>
      <c r="K3605" s="501">
        <v>0</v>
      </c>
      <c r="L3605" s="501">
        <v>0</v>
      </c>
      <c r="M3605" s="501">
        <v>0</v>
      </c>
      <c r="N3605" s="501">
        <v>0</v>
      </c>
      <c r="O3605" s="506">
        <v>0</v>
      </c>
    </row>
    <row r="3606" spans="1:15" x14ac:dyDescent="0.35">
      <c r="A3606" s="503" t="s">
        <v>1607</v>
      </c>
      <c r="B3606" s="504" t="s">
        <v>3324</v>
      </c>
      <c r="C3606" s="504" t="s">
        <v>1094</v>
      </c>
      <c r="D3606" s="504" t="s">
        <v>3392</v>
      </c>
      <c r="E3606" s="504" t="s">
        <v>3381</v>
      </c>
      <c r="F3606" s="504" t="s">
        <v>641</v>
      </c>
      <c r="G3606" s="504" t="s">
        <v>642</v>
      </c>
      <c r="H3606" s="504" t="s">
        <v>6261</v>
      </c>
      <c r="I3606" s="504">
        <v>27</v>
      </c>
      <c r="J3606" s="504">
        <v>0</v>
      </c>
      <c r="K3606" s="504">
        <v>0</v>
      </c>
      <c r="L3606" s="504">
        <v>27</v>
      </c>
      <c r="M3606" s="504">
        <v>0</v>
      </c>
      <c r="N3606" s="504">
        <v>0</v>
      </c>
      <c r="O3606" s="505">
        <v>0</v>
      </c>
    </row>
    <row r="3607" spans="1:15" x14ac:dyDescent="0.35">
      <c r="A3607" s="500" t="s">
        <v>1093</v>
      </c>
      <c r="B3607" s="501" t="s">
        <v>3248</v>
      </c>
      <c r="C3607" s="501" t="s">
        <v>1094</v>
      </c>
      <c r="D3607" s="501" t="s">
        <v>3380</v>
      </c>
      <c r="E3607" s="501" t="s">
        <v>3381</v>
      </c>
      <c r="F3607" s="501" t="s">
        <v>643</v>
      </c>
      <c r="G3607" s="501" t="s">
        <v>644</v>
      </c>
      <c r="H3607" s="501" t="s">
        <v>6262</v>
      </c>
      <c r="I3607" s="501">
        <v>19</v>
      </c>
      <c r="J3607" s="501">
        <v>0</v>
      </c>
      <c r="K3607" s="501">
        <v>0</v>
      </c>
      <c r="L3607" s="501">
        <v>19</v>
      </c>
      <c r="M3607" s="501">
        <v>0</v>
      </c>
      <c r="N3607" s="501">
        <v>0</v>
      </c>
      <c r="O3607" s="506">
        <v>0</v>
      </c>
    </row>
    <row r="3608" spans="1:15" x14ac:dyDescent="0.35">
      <c r="A3608" s="503" t="s">
        <v>1171</v>
      </c>
      <c r="B3608" s="504" t="s">
        <v>3003</v>
      </c>
      <c r="C3608" s="504" t="s">
        <v>1094</v>
      </c>
      <c r="D3608" s="504" t="s">
        <v>3380</v>
      </c>
      <c r="E3608" s="504" t="s">
        <v>3381</v>
      </c>
      <c r="F3608" s="504" t="s">
        <v>643</v>
      </c>
      <c r="G3608" s="504" t="s">
        <v>644</v>
      </c>
      <c r="H3608" s="504" t="s">
        <v>6264</v>
      </c>
      <c r="I3608" s="504">
        <v>49</v>
      </c>
      <c r="J3608" s="504">
        <v>47</v>
      </c>
      <c r="K3608" s="504">
        <v>0</v>
      </c>
      <c r="L3608" s="504">
        <v>0</v>
      </c>
      <c r="M3608" s="504">
        <v>0</v>
      </c>
      <c r="N3608" s="504">
        <v>0</v>
      </c>
      <c r="O3608" s="505">
        <v>2</v>
      </c>
    </row>
    <row r="3609" spans="1:15" x14ac:dyDescent="0.35">
      <c r="A3609" s="500" t="s">
        <v>1172</v>
      </c>
      <c r="B3609" s="501">
        <v>4648</v>
      </c>
      <c r="C3609" s="501" t="s">
        <v>1089</v>
      </c>
      <c r="D3609" s="501" t="s">
        <v>3392</v>
      </c>
      <c r="E3609" s="501" t="s">
        <v>3381</v>
      </c>
      <c r="F3609" s="501" t="s">
        <v>643</v>
      </c>
      <c r="G3609" s="501" t="s">
        <v>644</v>
      </c>
      <c r="H3609" s="501" t="s">
        <v>6265</v>
      </c>
      <c r="I3609" s="501">
        <v>8</v>
      </c>
      <c r="J3609" s="501">
        <v>0</v>
      </c>
      <c r="K3609" s="501">
        <v>0</v>
      </c>
      <c r="L3609" s="501">
        <v>8</v>
      </c>
      <c r="M3609" s="501">
        <v>0</v>
      </c>
      <c r="N3609" s="501">
        <v>0</v>
      </c>
      <c r="O3609" s="506">
        <v>0</v>
      </c>
    </row>
    <row r="3610" spans="1:15" x14ac:dyDescent="0.35">
      <c r="A3610" s="503" t="s">
        <v>1173</v>
      </c>
      <c r="B3610" s="504">
        <v>4775</v>
      </c>
      <c r="C3610" s="504" t="s">
        <v>1094</v>
      </c>
      <c r="D3610" s="504" t="s">
        <v>3380</v>
      </c>
      <c r="E3610" s="504" t="s">
        <v>3381</v>
      </c>
      <c r="F3610" s="504" t="s">
        <v>643</v>
      </c>
      <c r="G3610" s="504" t="s">
        <v>644</v>
      </c>
      <c r="H3610" s="504" t="s">
        <v>6266</v>
      </c>
      <c r="I3610" s="504">
        <v>714</v>
      </c>
      <c r="J3610" s="504">
        <v>400</v>
      </c>
      <c r="K3610" s="504">
        <v>0</v>
      </c>
      <c r="L3610" s="504">
        <v>34</v>
      </c>
      <c r="M3610" s="504">
        <v>43</v>
      </c>
      <c r="N3610" s="504">
        <v>0</v>
      </c>
      <c r="O3610" s="505">
        <v>237</v>
      </c>
    </row>
    <row r="3611" spans="1:15" x14ac:dyDescent="0.35">
      <c r="A3611" s="500" t="s">
        <v>1178</v>
      </c>
      <c r="B3611" s="501" t="s">
        <v>3334</v>
      </c>
      <c r="C3611" s="501" t="s">
        <v>1094</v>
      </c>
      <c r="D3611" s="501" t="s">
        <v>3380</v>
      </c>
      <c r="E3611" s="501" t="s">
        <v>3381</v>
      </c>
      <c r="F3611" s="501" t="s">
        <v>643</v>
      </c>
      <c r="G3611" s="501" t="s">
        <v>644</v>
      </c>
      <c r="H3611" s="501" t="s">
        <v>6267</v>
      </c>
      <c r="I3611" s="501">
        <v>5</v>
      </c>
      <c r="J3611" s="501">
        <v>0</v>
      </c>
      <c r="K3611" s="501">
        <v>0</v>
      </c>
      <c r="L3611" s="501">
        <v>5</v>
      </c>
      <c r="M3611" s="501">
        <v>0</v>
      </c>
      <c r="N3611" s="501">
        <v>0</v>
      </c>
      <c r="O3611" s="506">
        <v>0</v>
      </c>
    </row>
    <row r="3612" spans="1:15" x14ac:dyDescent="0.35">
      <c r="A3612" s="503" t="s">
        <v>14208</v>
      </c>
      <c r="B3612" s="504">
        <v>4803</v>
      </c>
      <c r="C3612" s="504" t="s">
        <v>1094</v>
      </c>
      <c r="D3612" s="504" t="s">
        <v>3380</v>
      </c>
      <c r="E3612" s="504" t="s">
        <v>3381</v>
      </c>
      <c r="F3612" s="504" t="s">
        <v>643</v>
      </c>
      <c r="G3612" s="504" t="s">
        <v>644</v>
      </c>
      <c r="H3612" s="504" t="s">
        <v>14731</v>
      </c>
      <c r="I3612" s="504">
        <v>3</v>
      </c>
      <c r="J3612" s="504">
        <v>0</v>
      </c>
      <c r="K3612" s="504">
        <v>0</v>
      </c>
      <c r="L3612" s="504">
        <v>3</v>
      </c>
      <c r="M3612" s="504">
        <v>0</v>
      </c>
      <c r="N3612" s="504">
        <v>0</v>
      </c>
      <c r="O3612" s="505">
        <v>0</v>
      </c>
    </row>
    <row r="3613" spans="1:15" x14ac:dyDescent="0.35">
      <c r="A3613" s="500" t="s">
        <v>1105</v>
      </c>
      <c r="B3613" s="501">
        <v>4668</v>
      </c>
      <c r="C3613" s="501" t="s">
        <v>1094</v>
      </c>
      <c r="D3613" s="501" t="s">
        <v>3380</v>
      </c>
      <c r="E3613" s="501" t="s">
        <v>3381</v>
      </c>
      <c r="F3613" s="501" t="s">
        <v>643</v>
      </c>
      <c r="G3613" s="501" t="s">
        <v>644</v>
      </c>
      <c r="H3613" s="501" t="s">
        <v>6268</v>
      </c>
      <c r="I3613" s="501">
        <v>15</v>
      </c>
      <c r="J3613" s="501">
        <v>0</v>
      </c>
      <c r="K3613" s="501">
        <v>0</v>
      </c>
      <c r="L3613" s="501">
        <v>0</v>
      </c>
      <c r="M3613" s="501">
        <v>0</v>
      </c>
      <c r="N3613" s="501">
        <v>0</v>
      </c>
      <c r="O3613" s="506">
        <v>15</v>
      </c>
    </row>
    <row r="3614" spans="1:15" x14ac:dyDescent="0.35">
      <c r="A3614" s="503" t="s">
        <v>1111</v>
      </c>
      <c r="B3614" s="504">
        <v>4873</v>
      </c>
      <c r="C3614" s="504" t="s">
        <v>1094</v>
      </c>
      <c r="D3614" s="504" t="s">
        <v>3380</v>
      </c>
      <c r="E3614" s="504" t="s">
        <v>3381</v>
      </c>
      <c r="F3614" s="504" t="s">
        <v>643</v>
      </c>
      <c r="G3614" s="504" t="s">
        <v>644</v>
      </c>
      <c r="H3614" s="504" t="s">
        <v>6269</v>
      </c>
      <c r="I3614" s="504">
        <v>1</v>
      </c>
      <c r="J3614" s="504">
        <v>0</v>
      </c>
      <c r="K3614" s="504">
        <v>0</v>
      </c>
      <c r="L3614" s="504">
        <v>0</v>
      </c>
      <c r="M3614" s="504">
        <v>0</v>
      </c>
      <c r="N3614" s="504">
        <v>0</v>
      </c>
      <c r="O3614" s="505">
        <v>1</v>
      </c>
    </row>
    <row r="3615" spans="1:15" x14ac:dyDescent="0.35">
      <c r="A3615" s="500" t="s">
        <v>1203</v>
      </c>
      <c r="B3615" s="501" t="s">
        <v>3170</v>
      </c>
      <c r="C3615" s="501" t="s">
        <v>1094</v>
      </c>
      <c r="D3615" s="501" t="s">
        <v>3380</v>
      </c>
      <c r="E3615" s="501" t="s">
        <v>3381</v>
      </c>
      <c r="F3615" s="501" t="s">
        <v>643</v>
      </c>
      <c r="G3615" s="501" t="s">
        <v>644</v>
      </c>
      <c r="H3615" s="501" t="s">
        <v>6270</v>
      </c>
      <c r="I3615" s="501">
        <v>222</v>
      </c>
      <c r="J3615" s="501">
        <v>118</v>
      </c>
      <c r="K3615" s="501">
        <v>0</v>
      </c>
      <c r="L3615" s="501">
        <v>0</v>
      </c>
      <c r="M3615" s="501">
        <v>0</v>
      </c>
      <c r="N3615" s="501">
        <v>0</v>
      </c>
      <c r="O3615" s="506">
        <v>104</v>
      </c>
    </row>
    <row r="3616" spans="1:15" x14ac:dyDescent="0.35">
      <c r="A3616" s="503" t="s">
        <v>1207</v>
      </c>
      <c r="B3616" s="504" t="s">
        <v>3202</v>
      </c>
      <c r="C3616" s="504" t="s">
        <v>1094</v>
      </c>
      <c r="D3616" s="504" t="s">
        <v>3380</v>
      </c>
      <c r="E3616" s="504" t="s">
        <v>3381</v>
      </c>
      <c r="F3616" s="504" t="s">
        <v>643</v>
      </c>
      <c r="G3616" s="504" t="s">
        <v>644</v>
      </c>
      <c r="H3616" s="504" t="s">
        <v>6271</v>
      </c>
      <c r="I3616" s="504">
        <v>204</v>
      </c>
      <c r="J3616" s="504">
        <v>144</v>
      </c>
      <c r="K3616" s="504">
        <v>0</v>
      </c>
      <c r="L3616" s="504">
        <v>0</v>
      </c>
      <c r="M3616" s="504">
        <v>0</v>
      </c>
      <c r="N3616" s="504">
        <v>0</v>
      </c>
      <c r="O3616" s="505">
        <v>60</v>
      </c>
    </row>
    <row r="3617" spans="1:15" x14ac:dyDescent="0.35">
      <c r="A3617" s="500" t="s">
        <v>1215</v>
      </c>
      <c r="B3617" s="501">
        <v>4817</v>
      </c>
      <c r="C3617" s="501" t="s">
        <v>1094</v>
      </c>
      <c r="D3617" s="501" t="s">
        <v>3380</v>
      </c>
      <c r="E3617" s="501" t="s">
        <v>3381</v>
      </c>
      <c r="F3617" s="501" t="s">
        <v>643</v>
      </c>
      <c r="G3617" s="501" t="s">
        <v>644</v>
      </c>
      <c r="H3617" s="501" t="s">
        <v>6272</v>
      </c>
      <c r="I3617" s="501">
        <v>64</v>
      </c>
      <c r="J3617" s="501">
        <v>26</v>
      </c>
      <c r="K3617" s="501">
        <v>0</v>
      </c>
      <c r="L3617" s="501">
        <v>20</v>
      </c>
      <c r="M3617" s="501">
        <v>0</v>
      </c>
      <c r="N3617" s="501">
        <v>0</v>
      </c>
      <c r="O3617" s="506">
        <v>18</v>
      </c>
    </row>
    <row r="3618" spans="1:15" x14ac:dyDescent="0.35">
      <c r="A3618" s="503" t="s">
        <v>11367</v>
      </c>
      <c r="B3618" s="504" t="s">
        <v>3143</v>
      </c>
      <c r="C3618" s="504" t="s">
        <v>1094</v>
      </c>
      <c r="D3618" s="504" t="s">
        <v>3380</v>
      </c>
      <c r="E3618" s="504" t="s">
        <v>3381</v>
      </c>
      <c r="F3618" s="504" t="s">
        <v>643</v>
      </c>
      <c r="G3618" s="504" t="s">
        <v>644</v>
      </c>
      <c r="H3618" s="504" t="s">
        <v>11928</v>
      </c>
      <c r="I3618" s="504">
        <v>21</v>
      </c>
      <c r="J3618" s="504">
        <v>21</v>
      </c>
      <c r="K3618" s="504">
        <v>0</v>
      </c>
      <c r="L3618" s="504">
        <v>0</v>
      </c>
      <c r="M3618" s="504">
        <v>0</v>
      </c>
      <c r="N3618" s="504">
        <v>0</v>
      </c>
      <c r="O3618" s="505">
        <v>0</v>
      </c>
    </row>
    <row r="3619" spans="1:15" x14ac:dyDescent="0.35">
      <c r="A3619" s="500" t="s">
        <v>1220</v>
      </c>
      <c r="B3619" s="501">
        <v>4849</v>
      </c>
      <c r="C3619" s="501" t="s">
        <v>1094</v>
      </c>
      <c r="D3619" s="501" t="s">
        <v>3380</v>
      </c>
      <c r="E3619" s="501" t="s">
        <v>3381</v>
      </c>
      <c r="F3619" s="501" t="s">
        <v>643</v>
      </c>
      <c r="G3619" s="501" t="s">
        <v>644</v>
      </c>
      <c r="H3619" s="501" t="s">
        <v>6273</v>
      </c>
      <c r="I3619" s="501">
        <v>197</v>
      </c>
      <c r="J3619" s="501">
        <v>145</v>
      </c>
      <c r="K3619" s="501">
        <v>0</v>
      </c>
      <c r="L3619" s="501">
        <v>0</v>
      </c>
      <c r="M3619" s="501">
        <v>0</v>
      </c>
      <c r="N3619" s="501">
        <v>0</v>
      </c>
      <c r="O3619" s="506">
        <v>52</v>
      </c>
    </row>
    <row r="3620" spans="1:15" x14ac:dyDescent="0.35">
      <c r="A3620" s="503" t="s">
        <v>1226</v>
      </c>
      <c r="B3620" s="504">
        <v>5084</v>
      </c>
      <c r="C3620" s="504" t="s">
        <v>1094</v>
      </c>
      <c r="D3620" s="504" t="s">
        <v>3380</v>
      </c>
      <c r="E3620" s="504" t="s">
        <v>3381</v>
      </c>
      <c r="F3620" s="504" t="s">
        <v>643</v>
      </c>
      <c r="G3620" s="504" t="s">
        <v>644</v>
      </c>
      <c r="H3620" s="504" t="s">
        <v>6274</v>
      </c>
      <c r="I3620" s="504">
        <v>2643</v>
      </c>
      <c r="J3620" s="504">
        <v>2174</v>
      </c>
      <c r="K3620" s="504">
        <v>0</v>
      </c>
      <c r="L3620" s="504">
        <v>12</v>
      </c>
      <c r="M3620" s="504">
        <v>239</v>
      </c>
      <c r="N3620" s="504">
        <v>0</v>
      </c>
      <c r="O3620" s="505">
        <v>218</v>
      </c>
    </row>
    <row r="3621" spans="1:15" x14ac:dyDescent="0.35">
      <c r="A3621" s="500" t="s">
        <v>1233</v>
      </c>
      <c r="B3621" s="501">
        <v>4636</v>
      </c>
      <c r="C3621" s="501" t="s">
        <v>1094</v>
      </c>
      <c r="D3621" s="501" t="s">
        <v>3380</v>
      </c>
      <c r="E3621" s="501" t="s">
        <v>3381</v>
      </c>
      <c r="F3621" s="501" t="s">
        <v>643</v>
      </c>
      <c r="G3621" s="501" t="s">
        <v>644</v>
      </c>
      <c r="H3621" s="501" t="s">
        <v>6275</v>
      </c>
      <c r="I3621" s="501">
        <v>112</v>
      </c>
      <c r="J3621" s="501">
        <v>27</v>
      </c>
      <c r="K3621" s="501">
        <v>0</v>
      </c>
      <c r="L3621" s="501">
        <v>0</v>
      </c>
      <c r="M3621" s="501">
        <v>0</v>
      </c>
      <c r="N3621" s="501">
        <v>0</v>
      </c>
      <c r="O3621" s="506">
        <v>85</v>
      </c>
    </row>
    <row r="3622" spans="1:15" x14ac:dyDescent="0.35">
      <c r="A3622" s="503" t="s">
        <v>11368</v>
      </c>
      <c r="B3622" s="504">
        <v>5083</v>
      </c>
      <c r="C3622" s="504" t="s">
        <v>1094</v>
      </c>
      <c r="D3622" s="504" t="s">
        <v>3380</v>
      </c>
      <c r="E3622" s="504" t="s">
        <v>3381</v>
      </c>
      <c r="F3622" s="504" t="s">
        <v>643</v>
      </c>
      <c r="G3622" s="504" t="s">
        <v>644</v>
      </c>
      <c r="H3622" s="504" t="s">
        <v>12054</v>
      </c>
      <c r="I3622" s="504">
        <v>48</v>
      </c>
      <c r="J3622" s="504">
        <v>48</v>
      </c>
      <c r="K3622" s="504">
        <v>0</v>
      </c>
      <c r="L3622" s="504">
        <v>0</v>
      </c>
      <c r="M3622" s="504">
        <v>0</v>
      </c>
      <c r="N3622" s="504">
        <v>0</v>
      </c>
      <c r="O3622" s="505">
        <v>0</v>
      </c>
    </row>
    <row r="3623" spans="1:15" x14ac:dyDescent="0.35">
      <c r="A3623" s="500" t="s">
        <v>1240</v>
      </c>
      <c r="B3623" s="501" t="s">
        <v>2972</v>
      </c>
      <c r="C3623" s="501" t="s">
        <v>1094</v>
      </c>
      <c r="D3623" s="501" t="s">
        <v>3380</v>
      </c>
      <c r="E3623" s="501" t="s">
        <v>3381</v>
      </c>
      <c r="F3623" s="501" t="s">
        <v>643</v>
      </c>
      <c r="G3623" s="501" t="s">
        <v>644</v>
      </c>
      <c r="H3623" s="501" t="s">
        <v>6276</v>
      </c>
      <c r="I3623" s="501">
        <v>56</v>
      </c>
      <c r="J3623" s="501">
        <v>31</v>
      </c>
      <c r="K3623" s="501">
        <v>0</v>
      </c>
      <c r="L3623" s="501">
        <v>0</v>
      </c>
      <c r="M3623" s="501">
        <v>0</v>
      </c>
      <c r="N3623" s="501">
        <v>0</v>
      </c>
      <c r="O3623" s="506">
        <v>25</v>
      </c>
    </row>
    <row r="3624" spans="1:15" x14ac:dyDescent="0.35">
      <c r="A3624" s="503" t="s">
        <v>1134</v>
      </c>
      <c r="B3624" s="504" t="s">
        <v>3066</v>
      </c>
      <c r="C3624" s="504" t="s">
        <v>1094</v>
      </c>
      <c r="D3624" s="504" t="s">
        <v>3380</v>
      </c>
      <c r="E3624" s="504" t="s">
        <v>3381</v>
      </c>
      <c r="F3624" s="504" t="s">
        <v>643</v>
      </c>
      <c r="G3624" s="504" t="s">
        <v>644</v>
      </c>
      <c r="H3624" s="504" t="s">
        <v>12159</v>
      </c>
      <c r="I3624" s="504">
        <v>57</v>
      </c>
      <c r="J3624" s="504">
        <v>33</v>
      </c>
      <c r="K3624" s="504">
        <v>0</v>
      </c>
      <c r="L3624" s="504">
        <v>0</v>
      </c>
      <c r="M3624" s="504">
        <v>0</v>
      </c>
      <c r="N3624" s="504">
        <v>0</v>
      </c>
      <c r="O3624" s="505">
        <v>24</v>
      </c>
    </row>
    <row r="3625" spans="1:15" x14ac:dyDescent="0.35">
      <c r="A3625" s="500" t="s">
        <v>1249</v>
      </c>
      <c r="B3625" s="501">
        <v>4729</v>
      </c>
      <c r="C3625" s="501" t="s">
        <v>1094</v>
      </c>
      <c r="D3625" s="501" t="s">
        <v>3380</v>
      </c>
      <c r="E3625" s="501" t="s">
        <v>3381</v>
      </c>
      <c r="F3625" s="501" t="s">
        <v>643</v>
      </c>
      <c r="G3625" s="501" t="s">
        <v>644</v>
      </c>
      <c r="H3625" s="501" t="s">
        <v>6277</v>
      </c>
      <c r="I3625" s="501">
        <v>5</v>
      </c>
      <c r="J3625" s="501">
        <v>0</v>
      </c>
      <c r="K3625" s="501">
        <v>0</v>
      </c>
      <c r="L3625" s="501">
        <v>0</v>
      </c>
      <c r="M3625" s="501">
        <v>0</v>
      </c>
      <c r="N3625" s="501">
        <v>0</v>
      </c>
      <c r="O3625" s="506">
        <v>5</v>
      </c>
    </row>
    <row r="3626" spans="1:15" x14ac:dyDescent="0.35">
      <c r="A3626" s="503" t="s">
        <v>1253</v>
      </c>
      <c r="B3626" s="504" t="s">
        <v>3232</v>
      </c>
      <c r="C3626" s="504" t="s">
        <v>1094</v>
      </c>
      <c r="D3626" s="504" t="s">
        <v>3380</v>
      </c>
      <c r="E3626" s="504" t="s">
        <v>3381</v>
      </c>
      <c r="F3626" s="504" t="s">
        <v>643</v>
      </c>
      <c r="G3626" s="504" t="s">
        <v>644</v>
      </c>
      <c r="H3626" s="504" t="s">
        <v>6278</v>
      </c>
      <c r="I3626" s="504">
        <v>126</v>
      </c>
      <c r="J3626" s="504">
        <v>78</v>
      </c>
      <c r="K3626" s="504">
        <v>0</v>
      </c>
      <c r="L3626" s="504">
        <v>0</v>
      </c>
      <c r="M3626" s="504">
        <v>10</v>
      </c>
      <c r="N3626" s="504">
        <v>0</v>
      </c>
      <c r="O3626" s="505">
        <v>38</v>
      </c>
    </row>
    <row r="3627" spans="1:15" x14ac:dyDescent="0.35">
      <c r="A3627" s="500" t="s">
        <v>1260</v>
      </c>
      <c r="B3627" s="501">
        <v>4645</v>
      </c>
      <c r="C3627" s="501" t="s">
        <v>1089</v>
      </c>
      <c r="D3627" s="501" t="s">
        <v>3392</v>
      </c>
      <c r="E3627" s="501" t="s">
        <v>3381</v>
      </c>
      <c r="F3627" s="501" t="s">
        <v>643</v>
      </c>
      <c r="G3627" s="501" t="s">
        <v>644</v>
      </c>
      <c r="H3627" s="501" t="s">
        <v>6279</v>
      </c>
      <c r="I3627" s="501">
        <v>8</v>
      </c>
      <c r="J3627" s="501">
        <v>0</v>
      </c>
      <c r="K3627" s="501">
        <v>0</v>
      </c>
      <c r="L3627" s="501">
        <v>8</v>
      </c>
      <c r="M3627" s="501">
        <v>0</v>
      </c>
      <c r="N3627" s="501">
        <v>0</v>
      </c>
      <c r="O3627" s="506">
        <v>0</v>
      </c>
    </row>
    <row r="3628" spans="1:15" x14ac:dyDescent="0.35">
      <c r="A3628" s="503" t="s">
        <v>1156</v>
      </c>
      <c r="B3628" s="504" t="s">
        <v>3310</v>
      </c>
      <c r="C3628" s="504" t="s">
        <v>1094</v>
      </c>
      <c r="D3628" s="504" t="s">
        <v>3380</v>
      </c>
      <c r="E3628" s="504" t="s">
        <v>3381</v>
      </c>
      <c r="F3628" s="504" t="s">
        <v>643</v>
      </c>
      <c r="G3628" s="504" t="s">
        <v>644</v>
      </c>
      <c r="H3628" s="504" t="s">
        <v>6263</v>
      </c>
      <c r="I3628" s="504">
        <v>1</v>
      </c>
      <c r="J3628" s="504">
        <v>0</v>
      </c>
      <c r="K3628" s="504">
        <v>0</v>
      </c>
      <c r="L3628" s="504">
        <v>0</v>
      </c>
      <c r="M3628" s="504">
        <v>0</v>
      </c>
      <c r="N3628" s="504">
        <v>0</v>
      </c>
      <c r="O3628" s="505">
        <v>1</v>
      </c>
    </row>
    <row r="3629" spans="1:15" x14ac:dyDescent="0.35">
      <c r="A3629" s="500" t="s">
        <v>1391</v>
      </c>
      <c r="B3629" s="501" t="s">
        <v>3297</v>
      </c>
      <c r="C3629" s="501" t="s">
        <v>1089</v>
      </c>
      <c r="D3629" s="501" t="s">
        <v>3392</v>
      </c>
      <c r="E3629" s="501" t="s">
        <v>3381</v>
      </c>
      <c r="F3629" s="501" t="s">
        <v>645</v>
      </c>
      <c r="G3629" s="501" t="s">
        <v>646</v>
      </c>
      <c r="H3629" s="501" t="s">
        <v>6280</v>
      </c>
      <c r="I3629" s="501">
        <v>21</v>
      </c>
      <c r="J3629" s="501">
        <v>21</v>
      </c>
      <c r="K3629" s="501">
        <v>0</v>
      </c>
      <c r="L3629" s="501">
        <v>0</v>
      </c>
      <c r="M3629" s="501">
        <v>0</v>
      </c>
      <c r="N3629" s="501">
        <v>0</v>
      </c>
      <c r="O3629" s="506">
        <v>0</v>
      </c>
    </row>
    <row r="3630" spans="1:15" x14ac:dyDescent="0.35">
      <c r="A3630" s="503" t="s">
        <v>1096</v>
      </c>
      <c r="B3630" s="504" t="s">
        <v>3326</v>
      </c>
      <c r="C3630" s="504" t="s">
        <v>1094</v>
      </c>
      <c r="D3630" s="504" t="s">
        <v>3380</v>
      </c>
      <c r="E3630" s="504" t="s">
        <v>3381</v>
      </c>
      <c r="F3630" s="504" t="s">
        <v>645</v>
      </c>
      <c r="G3630" s="504" t="s">
        <v>646</v>
      </c>
      <c r="H3630" s="504" t="s">
        <v>6281</v>
      </c>
      <c r="I3630" s="504">
        <v>105</v>
      </c>
      <c r="J3630" s="504">
        <v>8</v>
      </c>
      <c r="K3630" s="504">
        <v>0</v>
      </c>
      <c r="L3630" s="504">
        <v>0</v>
      </c>
      <c r="M3630" s="504">
        <v>84</v>
      </c>
      <c r="N3630" s="504">
        <v>0</v>
      </c>
      <c r="O3630" s="505">
        <v>13</v>
      </c>
    </row>
    <row r="3631" spans="1:15" x14ac:dyDescent="0.35">
      <c r="A3631" s="500" t="s">
        <v>1393</v>
      </c>
      <c r="B3631" s="501" t="s">
        <v>3194</v>
      </c>
      <c r="C3631" s="501" t="s">
        <v>1089</v>
      </c>
      <c r="D3631" s="501" t="s">
        <v>3392</v>
      </c>
      <c r="E3631" s="501" t="s">
        <v>3381</v>
      </c>
      <c r="F3631" s="501" t="s">
        <v>645</v>
      </c>
      <c r="G3631" s="501" t="s">
        <v>646</v>
      </c>
      <c r="H3631" s="501" t="s">
        <v>6282</v>
      </c>
      <c r="I3631" s="501">
        <v>11</v>
      </c>
      <c r="J3631" s="501">
        <v>11</v>
      </c>
      <c r="K3631" s="501">
        <v>0</v>
      </c>
      <c r="L3631" s="501">
        <v>0</v>
      </c>
      <c r="M3631" s="501">
        <v>0</v>
      </c>
      <c r="N3631" s="501">
        <v>0</v>
      </c>
      <c r="O3631" s="506">
        <v>0</v>
      </c>
    </row>
    <row r="3632" spans="1:15" x14ac:dyDescent="0.35">
      <c r="A3632" s="503" t="s">
        <v>1270</v>
      </c>
      <c r="B3632" s="504" t="s">
        <v>3304</v>
      </c>
      <c r="C3632" s="504" t="s">
        <v>1089</v>
      </c>
      <c r="D3632" s="504" t="s">
        <v>3392</v>
      </c>
      <c r="E3632" s="504" t="s">
        <v>3381</v>
      </c>
      <c r="F3632" s="504" t="s">
        <v>645</v>
      </c>
      <c r="G3632" s="504" t="s">
        <v>646</v>
      </c>
      <c r="H3632" s="504" t="s">
        <v>6283</v>
      </c>
      <c r="I3632" s="504">
        <v>92</v>
      </c>
      <c r="J3632" s="504">
        <v>92</v>
      </c>
      <c r="K3632" s="504">
        <v>0</v>
      </c>
      <c r="L3632" s="504">
        <v>0</v>
      </c>
      <c r="M3632" s="504">
        <v>0</v>
      </c>
      <c r="N3632" s="504">
        <v>0</v>
      </c>
      <c r="O3632" s="505">
        <v>0</v>
      </c>
    </row>
    <row r="3633" spans="1:15" x14ac:dyDescent="0.35">
      <c r="A3633" s="500" t="s">
        <v>1403</v>
      </c>
      <c r="B3633" s="501">
        <v>4733</v>
      </c>
      <c r="C3633" s="501" t="s">
        <v>1089</v>
      </c>
      <c r="D3633" s="501" t="s">
        <v>3392</v>
      </c>
      <c r="E3633" s="501" t="s">
        <v>3381</v>
      </c>
      <c r="F3633" s="501" t="s">
        <v>645</v>
      </c>
      <c r="G3633" s="501" t="s">
        <v>646</v>
      </c>
      <c r="H3633" s="501" t="s">
        <v>6284</v>
      </c>
      <c r="I3633" s="501">
        <v>16</v>
      </c>
      <c r="J3633" s="501">
        <v>0</v>
      </c>
      <c r="K3633" s="501">
        <v>0</v>
      </c>
      <c r="L3633" s="501">
        <v>16</v>
      </c>
      <c r="M3633" s="501">
        <v>0</v>
      </c>
      <c r="N3633" s="501">
        <v>0</v>
      </c>
      <c r="O3633" s="506">
        <v>0</v>
      </c>
    </row>
    <row r="3634" spans="1:15" x14ac:dyDescent="0.35">
      <c r="A3634" s="503" t="s">
        <v>1161</v>
      </c>
      <c r="B3634" s="504" t="s">
        <v>3001</v>
      </c>
      <c r="C3634" s="504" t="s">
        <v>1094</v>
      </c>
      <c r="D3634" s="504" t="s">
        <v>3380</v>
      </c>
      <c r="E3634" s="504" t="s">
        <v>3381</v>
      </c>
      <c r="F3634" s="504" t="s">
        <v>645</v>
      </c>
      <c r="G3634" s="504" t="s">
        <v>646</v>
      </c>
      <c r="H3634" s="504" t="s">
        <v>6285</v>
      </c>
      <c r="I3634" s="504">
        <v>2</v>
      </c>
      <c r="J3634" s="504">
        <v>1</v>
      </c>
      <c r="K3634" s="504">
        <v>0</v>
      </c>
      <c r="L3634" s="504">
        <v>0</v>
      </c>
      <c r="M3634" s="504">
        <v>0</v>
      </c>
      <c r="N3634" s="504">
        <v>0</v>
      </c>
      <c r="O3634" s="505">
        <v>1</v>
      </c>
    </row>
    <row r="3635" spans="1:15" x14ac:dyDescent="0.35">
      <c r="A3635" s="500" t="s">
        <v>1410</v>
      </c>
      <c r="B3635" s="501" t="s">
        <v>2868</v>
      </c>
      <c r="C3635" s="501" t="s">
        <v>1094</v>
      </c>
      <c r="D3635" s="501" t="s">
        <v>3380</v>
      </c>
      <c r="E3635" s="501" t="s">
        <v>3381</v>
      </c>
      <c r="F3635" s="501" t="s">
        <v>645</v>
      </c>
      <c r="G3635" s="501" t="s">
        <v>646</v>
      </c>
      <c r="H3635" s="501" t="s">
        <v>6286</v>
      </c>
      <c r="I3635" s="501">
        <v>50</v>
      </c>
      <c r="J3635" s="501">
        <v>26</v>
      </c>
      <c r="K3635" s="501">
        <v>18</v>
      </c>
      <c r="L3635" s="501">
        <v>0</v>
      </c>
      <c r="M3635" s="501">
        <v>6</v>
      </c>
      <c r="N3635" s="501">
        <v>0</v>
      </c>
      <c r="O3635" s="506">
        <v>0</v>
      </c>
    </row>
    <row r="3636" spans="1:15" x14ac:dyDescent="0.35">
      <c r="A3636" s="503" t="s">
        <v>1417</v>
      </c>
      <c r="B3636" s="504" t="s">
        <v>3257</v>
      </c>
      <c r="C3636" s="504" t="s">
        <v>1094</v>
      </c>
      <c r="D3636" s="504" t="s">
        <v>3380</v>
      </c>
      <c r="E3636" s="504" t="s">
        <v>3381</v>
      </c>
      <c r="F3636" s="504" t="s">
        <v>645</v>
      </c>
      <c r="G3636" s="504" t="s">
        <v>646</v>
      </c>
      <c r="H3636" s="504" t="s">
        <v>6287</v>
      </c>
      <c r="I3636" s="504">
        <v>137</v>
      </c>
      <c r="J3636" s="504">
        <v>82</v>
      </c>
      <c r="K3636" s="504">
        <v>0</v>
      </c>
      <c r="L3636" s="504">
        <v>17</v>
      </c>
      <c r="M3636" s="504">
        <v>38</v>
      </c>
      <c r="N3636" s="504">
        <v>0</v>
      </c>
      <c r="O3636" s="505">
        <v>0</v>
      </c>
    </row>
    <row r="3637" spans="1:15" x14ac:dyDescent="0.35">
      <c r="A3637" s="500" t="s">
        <v>1100</v>
      </c>
      <c r="B3637" s="501">
        <v>4865</v>
      </c>
      <c r="C3637" s="501" t="s">
        <v>1094</v>
      </c>
      <c r="D3637" s="501" t="s">
        <v>3380</v>
      </c>
      <c r="E3637" s="501" t="s">
        <v>3381</v>
      </c>
      <c r="F3637" s="501" t="s">
        <v>645</v>
      </c>
      <c r="G3637" s="501" t="s">
        <v>646</v>
      </c>
      <c r="H3637" s="501" t="s">
        <v>6288</v>
      </c>
      <c r="I3637" s="501">
        <v>1708</v>
      </c>
      <c r="J3637" s="501">
        <v>1422</v>
      </c>
      <c r="K3637" s="501">
        <v>30</v>
      </c>
      <c r="L3637" s="501">
        <v>47</v>
      </c>
      <c r="M3637" s="501">
        <v>47</v>
      </c>
      <c r="N3637" s="501">
        <v>0</v>
      </c>
      <c r="O3637" s="506">
        <v>162</v>
      </c>
    </row>
    <row r="3638" spans="1:15" x14ac:dyDescent="0.35">
      <c r="A3638" s="503" t="s">
        <v>1287</v>
      </c>
      <c r="B3638" s="504" t="s">
        <v>2784</v>
      </c>
      <c r="C3638" s="504" t="s">
        <v>1089</v>
      </c>
      <c r="D3638" s="504" t="s">
        <v>3392</v>
      </c>
      <c r="E3638" s="504" t="s">
        <v>3381</v>
      </c>
      <c r="F3638" s="504" t="s">
        <v>645</v>
      </c>
      <c r="G3638" s="504" t="s">
        <v>646</v>
      </c>
      <c r="H3638" s="504" t="s">
        <v>6289</v>
      </c>
      <c r="I3638" s="504">
        <v>9</v>
      </c>
      <c r="J3638" s="504">
        <v>9</v>
      </c>
      <c r="K3638" s="504">
        <v>0</v>
      </c>
      <c r="L3638" s="504">
        <v>0</v>
      </c>
      <c r="M3638" s="504">
        <v>0</v>
      </c>
      <c r="N3638" s="504">
        <v>0</v>
      </c>
      <c r="O3638" s="505">
        <v>0</v>
      </c>
    </row>
    <row r="3639" spans="1:15" x14ac:dyDescent="0.35">
      <c r="A3639" s="500" t="s">
        <v>11385</v>
      </c>
      <c r="B3639" s="501">
        <v>4787</v>
      </c>
      <c r="C3639" s="501" t="s">
        <v>1089</v>
      </c>
      <c r="D3639" s="501" t="s">
        <v>3392</v>
      </c>
      <c r="E3639" s="501" t="s">
        <v>3381</v>
      </c>
      <c r="F3639" s="501" t="s">
        <v>645</v>
      </c>
      <c r="G3639" s="501" t="s">
        <v>646</v>
      </c>
      <c r="H3639" s="501" t="s">
        <v>11674</v>
      </c>
      <c r="I3639" s="501">
        <v>6</v>
      </c>
      <c r="J3639" s="501">
        <v>6</v>
      </c>
      <c r="K3639" s="501">
        <v>0</v>
      </c>
      <c r="L3639" s="501">
        <v>0</v>
      </c>
      <c r="M3639" s="501">
        <v>0</v>
      </c>
      <c r="N3639" s="501">
        <v>0</v>
      </c>
      <c r="O3639" s="506">
        <v>0</v>
      </c>
    </row>
    <row r="3640" spans="1:15" x14ac:dyDescent="0.35">
      <c r="A3640" s="503" t="s">
        <v>1177</v>
      </c>
      <c r="B3640" s="504">
        <v>4702</v>
      </c>
      <c r="C3640" s="504" t="s">
        <v>1089</v>
      </c>
      <c r="D3640" s="504" t="s">
        <v>3392</v>
      </c>
      <c r="E3640" s="504" t="s">
        <v>3381</v>
      </c>
      <c r="F3640" s="504" t="s">
        <v>645</v>
      </c>
      <c r="G3640" s="504" t="s">
        <v>646</v>
      </c>
      <c r="H3640" s="504" t="s">
        <v>6290</v>
      </c>
      <c r="I3640" s="504">
        <v>5</v>
      </c>
      <c r="J3640" s="504">
        <v>0</v>
      </c>
      <c r="K3640" s="504">
        <v>0</v>
      </c>
      <c r="L3640" s="504">
        <v>5</v>
      </c>
      <c r="M3640" s="504">
        <v>0</v>
      </c>
      <c r="N3640" s="504">
        <v>0</v>
      </c>
      <c r="O3640" s="505">
        <v>0</v>
      </c>
    </row>
    <row r="3641" spans="1:15" x14ac:dyDescent="0.35">
      <c r="A3641" s="500" t="s">
        <v>14208</v>
      </c>
      <c r="B3641" s="501">
        <v>4803</v>
      </c>
      <c r="C3641" s="501" t="s">
        <v>1094</v>
      </c>
      <c r="D3641" s="501" t="s">
        <v>3380</v>
      </c>
      <c r="E3641" s="501" t="s">
        <v>3381</v>
      </c>
      <c r="F3641" s="501" t="s">
        <v>645</v>
      </c>
      <c r="G3641" s="501" t="s">
        <v>646</v>
      </c>
      <c r="H3641" s="501" t="s">
        <v>14732</v>
      </c>
      <c r="I3641" s="501">
        <v>19</v>
      </c>
      <c r="J3641" s="501">
        <v>0</v>
      </c>
      <c r="K3641" s="501">
        <v>0</v>
      </c>
      <c r="L3641" s="501">
        <v>19</v>
      </c>
      <c r="M3641" s="501">
        <v>0</v>
      </c>
      <c r="N3641" s="501">
        <v>0</v>
      </c>
      <c r="O3641" s="506">
        <v>0</v>
      </c>
    </row>
    <row r="3642" spans="1:15" x14ac:dyDescent="0.35">
      <c r="A3642" s="503" t="s">
        <v>1444</v>
      </c>
      <c r="B3642" s="504">
        <v>4743</v>
      </c>
      <c r="C3642" s="504" t="s">
        <v>1089</v>
      </c>
      <c r="D3642" s="504" t="s">
        <v>3392</v>
      </c>
      <c r="E3642" s="504" t="s">
        <v>3381</v>
      </c>
      <c r="F3642" s="504" t="s">
        <v>645</v>
      </c>
      <c r="G3642" s="504" t="s">
        <v>646</v>
      </c>
      <c r="H3642" s="504" t="s">
        <v>14733</v>
      </c>
      <c r="I3642" s="504">
        <v>59</v>
      </c>
      <c r="J3642" s="504">
        <v>59</v>
      </c>
      <c r="K3642" s="504">
        <v>0</v>
      </c>
      <c r="L3642" s="504">
        <v>0</v>
      </c>
      <c r="M3642" s="504">
        <v>0</v>
      </c>
      <c r="N3642" s="504">
        <v>0</v>
      </c>
      <c r="O3642" s="505">
        <v>0</v>
      </c>
    </row>
    <row r="3643" spans="1:15" x14ac:dyDescent="0.35">
      <c r="A3643" s="500" t="s">
        <v>1185</v>
      </c>
      <c r="B3643" s="501" t="s">
        <v>3253</v>
      </c>
      <c r="C3643" s="501" t="s">
        <v>1094</v>
      </c>
      <c r="D3643" s="501" t="s">
        <v>3380</v>
      </c>
      <c r="E3643" s="501" t="s">
        <v>3381</v>
      </c>
      <c r="F3643" s="501" t="s">
        <v>645</v>
      </c>
      <c r="G3643" s="501" t="s">
        <v>646</v>
      </c>
      <c r="H3643" s="501" t="s">
        <v>6291</v>
      </c>
      <c r="I3643" s="501">
        <v>75</v>
      </c>
      <c r="J3643" s="501">
        <v>56</v>
      </c>
      <c r="K3643" s="501">
        <v>0</v>
      </c>
      <c r="L3643" s="501">
        <v>19</v>
      </c>
      <c r="M3643" s="501">
        <v>0</v>
      </c>
      <c r="N3643" s="501">
        <v>0</v>
      </c>
      <c r="O3643" s="506">
        <v>0</v>
      </c>
    </row>
    <row r="3644" spans="1:15" x14ac:dyDescent="0.35">
      <c r="A3644" s="503" t="s">
        <v>1105</v>
      </c>
      <c r="B3644" s="504">
        <v>4668</v>
      </c>
      <c r="C3644" s="504" t="s">
        <v>1094</v>
      </c>
      <c r="D3644" s="504" t="s">
        <v>3380</v>
      </c>
      <c r="E3644" s="504" t="s">
        <v>3381</v>
      </c>
      <c r="F3644" s="504" t="s">
        <v>645</v>
      </c>
      <c r="G3644" s="504" t="s">
        <v>646</v>
      </c>
      <c r="H3644" s="504" t="s">
        <v>6292</v>
      </c>
      <c r="I3644" s="504">
        <v>1</v>
      </c>
      <c r="J3644" s="504">
        <v>0</v>
      </c>
      <c r="K3644" s="504">
        <v>0</v>
      </c>
      <c r="L3644" s="504">
        <v>0</v>
      </c>
      <c r="M3644" s="504">
        <v>0</v>
      </c>
      <c r="N3644" s="504">
        <v>0</v>
      </c>
      <c r="O3644" s="505">
        <v>1</v>
      </c>
    </row>
    <row r="3645" spans="1:15" x14ac:dyDescent="0.35">
      <c r="A3645" s="500" t="s">
        <v>1462</v>
      </c>
      <c r="B3645" s="501" t="s">
        <v>3272</v>
      </c>
      <c r="C3645" s="501" t="s">
        <v>1089</v>
      </c>
      <c r="D3645" s="501" t="s">
        <v>3392</v>
      </c>
      <c r="E3645" s="501" t="s">
        <v>3381</v>
      </c>
      <c r="F3645" s="501" t="s">
        <v>645</v>
      </c>
      <c r="G3645" s="501" t="s">
        <v>646</v>
      </c>
      <c r="H3645" s="501" t="s">
        <v>6293</v>
      </c>
      <c r="I3645" s="501">
        <v>65</v>
      </c>
      <c r="J3645" s="501">
        <v>0</v>
      </c>
      <c r="K3645" s="501">
        <v>0</v>
      </c>
      <c r="L3645" s="501">
        <v>0</v>
      </c>
      <c r="M3645" s="501">
        <v>65</v>
      </c>
      <c r="N3645" s="501">
        <v>0</v>
      </c>
      <c r="O3645" s="506">
        <v>0</v>
      </c>
    </row>
    <row r="3646" spans="1:15" x14ac:dyDescent="0.35">
      <c r="A3646" s="503" t="s">
        <v>1107</v>
      </c>
      <c r="B3646" s="504" t="s">
        <v>3109</v>
      </c>
      <c r="C3646" s="504" t="s">
        <v>1094</v>
      </c>
      <c r="D3646" s="504" t="s">
        <v>3380</v>
      </c>
      <c r="E3646" s="504" t="s">
        <v>3381</v>
      </c>
      <c r="F3646" s="504" t="s">
        <v>645</v>
      </c>
      <c r="G3646" s="504" t="s">
        <v>646</v>
      </c>
      <c r="H3646" s="504" t="s">
        <v>6294</v>
      </c>
      <c r="I3646" s="504">
        <v>24</v>
      </c>
      <c r="J3646" s="504">
        <v>19</v>
      </c>
      <c r="K3646" s="504">
        <v>0</v>
      </c>
      <c r="L3646" s="504">
        <v>0</v>
      </c>
      <c r="M3646" s="504">
        <v>0</v>
      </c>
      <c r="N3646" s="504">
        <v>0</v>
      </c>
      <c r="O3646" s="505">
        <v>5</v>
      </c>
    </row>
    <row r="3647" spans="1:15" x14ac:dyDescent="0.35">
      <c r="A3647" s="500" t="s">
        <v>1467</v>
      </c>
      <c r="B3647" s="501" t="s">
        <v>3006</v>
      </c>
      <c r="C3647" s="501" t="s">
        <v>1089</v>
      </c>
      <c r="D3647" s="501" t="s">
        <v>3392</v>
      </c>
      <c r="E3647" s="501" t="s">
        <v>3381</v>
      </c>
      <c r="F3647" s="501" t="s">
        <v>645</v>
      </c>
      <c r="G3647" s="501" t="s">
        <v>646</v>
      </c>
      <c r="H3647" s="501" t="s">
        <v>6295</v>
      </c>
      <c r="I3647" s="501">
        <v>393</v>
      </c>
      <c r="J3647" s="501">
        <v>225</v>
      </c>
      <c r="K3647" s="501">
        <v>0</v>
      </c>
      <c r="L3647" s="501">
        <v>168</v>
      </c>
      <c r="M3647" s="501">
        <v>0</v>
      </c>
      <c r="N3647" s="501">
        <v>0</v>
      </c>
      <c r="O3647" s="506">
        <v>0</v>
      </c>
    </row>
    <row r="3648" spans="1:15" x14ac:dyDescent="0.35">
      <c r="A3648" s="503" t="s">
        <v>1307</v>
      </c>
      <c r="B3648" s="504" t="s">
        <v>3306</v>
      </c>
      <c r="C3648" s="504" t="s">
        <v>1089</v>
      </c>
      <c r="D3648" s="504" t="s">
        <v>3392</v>
      </c>
      <c r="E3648" s="504" t="s">
        <v>3381</v>
      </c>
      <c r="F3648" s="504" t="s">
        <v>645</v>
      </c>
      <c r="G3648" s="504" t="s">
        <v>646</v>
      </c>
      <c r="H3648" s="504" t="s">
        <v>6296</v>
      </c>
      <c r="I3648" s="504">
        <v>49</v>
      </c>
      <c r="J3648" s="504">
        <v>49</v>
      </c>
      <c r="K3648" s="504">
        <v>0</v>
      </c>
      <c r="L3648" s="504">
        <v>0</v>
      </c>
      <c r="M3648" s="504">
        <v>0</v>
      </c>
      <c r="N3648" s="504">
        <v>0</v>
      </c>
      <c r="O3648" s="505">
        <v>0</v>
      </c>
    </row>
    <row r="3649" spans="1:15" x14ac:dyDescent="0.35">
      <c r="A3649" s="500" t="s">
        <v>1476</v>
      </c>
      <c r="B3649" s="501" t="s">
        <v>2988</v>
      </c>
      <c r="C3649" s="501" t="s">
        <v>1094</v>
      </c>
      <c r="D3649" s="501" t="s">
        <v>3380</v>
      </c>
      <c r="E3649" s="501" t="s">
        <v>3381</v>
      </c>
      <c r="F3649" s="501" t="s">
        <v>645</v>
      </c>
      <c r="G3649" s="501" t="s">
        <v>646</v>
      </c>
      <c r="H3649" s="501" t="s">
        <v>6297</v>
      </c>
      <c r="I3649" s="501">
        <v>42</v>
      </c>
      <c r="J3649" s="501">
        <v>42</v>
      </c>
      <c r="K3649" s="501">
        <v>0</v>
      </c>
      <c r="L3649" s="501">
        <v>0</v>
      </c>
      <c r="M3649" s="501">
        <v>0</v>
      </c>
      <c r="N3649" s="501">
        <v>1</v>
      </c>
      <c r="O3649" s="506">
        <v>0</v>
      </c>
    </row>
    <row r="3650" spans="1:15" x14ac:dyDescent="0.35">
      <c r="A3650" s="503" t="s">
        <v>1308</v>
      </c>
      <c r="B3650" s="504" t="s">
        <v>3263</v>
      </c>
      <c r="C3650" s="504" t="s">
        <v>1089</v>
      </c>
      <c r="D3650" s="504" t="s">
        <v>3392</v>
      </c>
      <c r="E3650" s="504" t="s">
        <v>3381</v>
      </c>
      <c r="F3650" s="504" t="s">
        <v>645</v>
      </c>
      <c r="G3650" s="504" t="s">
        <v>646</v>
      </c>
      <c r="H3650" s="504" t="s">
        <v>11773</v>
      </c>
      <c r="I3650" s="504">
        <v>1</v>
      </c>
      <c r="J3650" s="504">
        <v>1</v>
      </c>
      <c r="K3650" s="504">
        <v>0</v>
      </c>
      <c r="L3650" s="504">
        <v>0</v>
      </c>
      <c r="M3650" s="504">
        <v>0</v>
      </c>
      <c r="N3650" s="504">
        <v>0</v>
      </c>
      <c r="O3650" s="505">
        <v>0</v>
      </c>
    </row>
    <row r="3651" spans="1:15" x14ac:dyDescent="0.35">
      <c r="A3651" s="500" t="s">
        <v>1480</v>
      </c>
      <c r="B3651" s="501">
        <v>4770</v>
      </c>
      <c r="C3651" s="501" t="s">
        <v>1089</v>
      </c>
      <c r="D3651" s="501" t="s">
        <v>3392</v>
      </c>
      <c r="E3651" s="501" t="s">
        <v>3381</v>
      </c>
      <c r="F3651" s="501" t="s">
        <v>645</v>
      </c>
      <c r="G3651" s="501" t="s">
        <v>646</v>
      </c>
      <c r="H3651" s="501" t="s">
        <v>14734</v>
      </c>
      <c r="I3651" s="501">
        <v>14</v>
      </c>
      <c r="J3651" s="501">
        <v>14</v>
      </c>
      <c r="K3651" s="501">
        <v>0</v>
      </c>
      <c r="L3651" s="501">
        <v>0</v>
      </c>
      <c r="M3651" s="501">
        <v>0</v>
      </c>
      <c r="N3651" s="501">
        <v>0</v>
      </c>
      <c r="O3651" s="506">
        <v>0</v>
      </c>
    </row>
    <row r="3652" spans="1:15" x14ac:dyDescent="0.35">
      <c r="A3652" s="503" t="s">
        <v>1485</v>
      </c>
      <c r="B3652" s="504" t="s">
        <v>2654</v>
      </c>
      <c r="C3652" s="504" t="s">
        <v>1089</v>
      </c>
      <c r="D3652" s="504" t="s">
        <v>3392</v>
      </c>
      <c r="E3652" s="504" t="s">
        <v>3381</v>
      </c>
      <c r="F3652" s="504" t="s">
        <v>645</v>
      </c>
      <c r="G3652" s="504" t="s">
        <v>646</v>
      </c>
      <c r="H3652" s="504" t="s">
        <v>6298</v>
      </c>
      <c r="I3652" s="504">
        <v>158</v>
      </c>
      <c r="J3652" s="504">
        <v>158</v>
      </c>
      <c r="K3652" s="504">
        <v>0</v>
      </c>
      <c r="L3652" s="504">
        <v>0</v>
      </c>
      <c r="M3652" s="504">
        <v>0</v>
      </c>
      <c r="N3652" s="504">
        <v>0</v>
      </c>
      <c r="O3652" s="505">
        <v>0</v>
      </c>
    </row>
    <row r="3653" spans="1:15" x14ac:dyDescent="0.35">
      <c r="A3653" s="500" t="s">
        <v>1311</v>
      </c>
      <c r="B3653" s="501" t="s">
        <v>3361</v>
      </c>
      <c r="C3653" s="501" t="s">
        <v>1094</v>
      </c>
      <c r="D3653" s="501" t="s">
        <v>3380</v>
      </c>
      <c r="E3653" s="501" t="s">
        <v>3381</v>
      </c>
      <c r="F3653" s="501" t="s">
        <v>645</v>
      </c>
      <c r="G3653" s="501" t="s">
        <v>646</v>
      </c>
      <c r="H3653" s="501" t="s">
        <v>6299</v>
      </c>
      <c r="I3653" s="501">
        <v>10</v>
      </c>
      <c r="J3653" s="501">
        <v>10</v>
      </c>
      <c r="K3653" s="501">
        <v>0</v>
      </c>
      <c r="L3653" s="501">
        <v>0</v>
      </c>
      <c r="M3653" s="501">
        <v>0</v>
      </c>
      <c r="N3653" s="501">
        <v>0</v>
      </c>
      <c r="O3653" s="506">
        <v>0</v>
      </c>
    </row>
    <row r="3654" spans="1:15" x14ac:dyDescent="0.35">
      <c r="A3654" s="503" t="s">
        <v>1202</v>
      </c>
      <c r="B3654" s="504" t="s">
        <v>3217</v>
      </c>
      <c r="C3654" s="504" t="s">
        <v>1094</v>
      </c>
      <c r="D3654" s="504" t="s">
        <v>3380</v>
      </c>
      <c r="E3654" s="504" t="s">
        <v>3381</v>
      </c>
      <c r="F3654" s="504" t="s">
        <v>645</v>
      </c>
      <c r="G3654" s="504" t="s">
        <v>646</v>
      </c>
      <c r="H3654" s="504" t="s">
        <v>6300</v>
      </c>
      <c r="I3654" s="504">
        <v>2465</v>
      </c>
      <c r="J3654" s="504">
        <v>2098</v>
      </c>
      <c r="K3654" s="504">
        <v>2</v>
      </c>
      <c r="L3654" s="504">
        <v>89</v>
      </c>
      <c r="M3654" s="504">
        <v>107</v>
      </c>
      <c r="N3654" s="504">
        <v>11</v>
      </c>
      <c r="O3654" s="505">
        <v>169</v>
      </c>
    </row>
    <row r="3655" spans="1:15" x14ac:dyDescent="0.35">
      <c r="A3655" s="500" t="s">
        <v>1497</v>
      </c>
      <c r="B3655" s="501" t="s">
        <v>3290</v>
      </c>
      <c r="C3655" s="501" t="s">
        <v>1089</v>
      </c>
      <c r="D3655" s="501" t="s">
        <v>3392</v>
      </c>
      <c r="E3655" s="501" t="s">
        <v>3381</v>
      </c>
      <c r="F3655" s="501" t="s">
        <v>645</v>
      </c>
      <c r="G3655" s="501" t="s">
        <v>646</v>
      </c>
      <c r="H3655" s="501" t="s">
        <v>6301</v>
      </c>
      <c r="I3655" s="501">
        <v>31</v>
      </c>
      <c r="J3655" s="501">
        <v>0</v>
      </c>
      <c r="K3655" s="501">
        <v>0</v>
      </c>
      <c r="L3655" s="501">
        <v>0</v>
      </c>
      <c r="M3655" s="501">
        <v>31</v>
      </c>
      <c r="N3655" s="501">
        <v>0</v>
      </c>
      <c r="O3655" s="506">
        <v>0</v>
      </c>
    </row>
    <row r="3656" spans="1:15" x14ac:dyDescent="0.35">
      <c r="A3656" s="503" t="s">
        <v>1112</v>
      </c>
      <c r="B3656" s="504" t="s">
        <v>3008</v>
      </c>
      <c r="C3656" s="504" t="s">
        <v>1094</v>
      </c>
      <c r="D3656" s="504" t="s">
        <v>3380</v>
      </c>
      <c r="E3656" s="504" t="s">
        <v>3381</v>
      </c>
      <c r="F3656" s="504" t="s">
        <v>645</v>
      </c>
      <c r="G3656" s="504" t="s">
        <v>646</v>
      </c>
      <c r="H3656" s="504" t="s">
        <v>6302</v>
      </c>
      <c r="I3656" s="504">
        <v>2060</v>
      </c>
      <c r="J3656" s="504">
        <v>1564</v>
      </c>
      <c r="K3656" s="504">
        <v>0</v>
      </c>
      <c r="L3656" s="504">
        <v>109</v>
      </c>
      <c r="M3656" s="504">
        <v>92</v>
      </c>
      <c r="N3656" s="504">
        <v>9</v>
      </c>
      <c r="O3656" s="505">
        <v>295</v>
      </c>
    </row>
    <row r="3657" spans="1:15" x14ac:dyDescent="0.35">
      <c r="A3657" s="500" t="s">
        <v>1114</v>
      </c>
      <c r="B3657" s="501" t="s">
        <v>2982</v>
      </c>
      <c r="C3657" s="501" t="s">
        <v>1094</v>
      </c>
      <c r="D3657" s="501" t="s">
        <v>3380</v>
      </c>
      <c r="E3657" s="501" t="s">
        <v>3381</v>
      </c>
      <c r="F3657" s="501" t="s">
        <v>645</v>
      </c>
      <c r="G3657" s="501" t="s">
        <v>646</v>
      </c>
      <c r="H3657" s="501" t="s">
        <v>6303</v>
      </c>
      <c r="I3657" s="501">
        <v>1</v>
      </c>
      <c r="J3657" s="501">
        <v>0</v>
      </c>
      <c r="K3657" s="501">
        <v>0</v>
      </c>
      <c r="L3657" s="501">
        <v>0</v>
      </c>
      <c r="M3657" s="501">
        <v>0</v>
      </c>
      <c r="N3657" s="501">
        <v>0</v>
      </c>
      <c r="O3657" s="506">
        <v>1</v>
      </c>
    </row>
    <row r="3658" spans="1:15" x14ac:dyDescent="0.35">
      <c r="A3658" s="503" t="s">
        <v>1315</v>
      </c>
      <c r="B3658" s="504">
        <v>4825</v>
      </c>
      <c r="C3658" s="504" t="s">
        <v>1094</v>
      </c>
      <c r="D3658" s="504" t="s">
        <v>3380</v>
      </c>
      <c r="E3658" s="504" t="s">
        <v>3381</v>
      </c>
      <c r="F3658" s="504" t="s">
        <v>645</v>
      </c>
      <c r="G3658" s="504" t="s">
        <v>646</v>
      </c>
      <c r="H3658" s="504" t="s">
        <v>6304</v>
      </c>
      <c r="I3658" s="504">
        <v>141</v>
      </c>
      <c r="J3658" s="504">
        <v>46</v>
      </c>
      <c r="K3658" s="504">
        <v>0</v>
      </c>
      <c r="L3658" s="504">
        <v>0</v>
      </c>
      <c r="M3658" s="504">
        <v>63</v>
      </c>
      <c r="N3658" s="504">
        <v>5</v>
      </c>
      <c r="O3658" s="505">
        <v>32</v>
      </c>
    </row>
    <row r="3659" spans="1:15" x14ac:dyDescent="0.35">
      <c r="A3659" s="500" t="s">
        <v>1504</v>
      </c>
      <c r="B3659" s="501" t="s">
        <v>2680</v>
      </c>
      <c r="C3659" s="501" t="s">
        <v>1089</v>
      </c>
      <c r="D3659" s="501" t="s">
        <v>3392</v>
      </c>
      <c r="E3659" s="501" t="s">
        <v>3381</v>
      </c>
      <c r="F3659" s="501" t="s">
        <v>645</v>
      </c>
      <c r="G3659" s="501" t="s">
        <v>646</v>
      </c>
      <c r="H3659" s="501" t="s">
        <v>6305</v>
      </c>
      <c r="I3659" s="501">
        <v>33</v>
      </c>
      <c r="J3659" s="501">
        <v>33</v>
      </c>
      <c r="K3659" s="501">
        <v>0</v>
      </c>
      <c r="L3659" s="501">
        <v>0</v>
      </c>
      <c r="M3659" s="501">
        <v>0</v>
      </c>
      <c r="N3659" s="501">
        <v>0</v>
      </c>
      <c r="O3659" s="506">
        <v>0</v>
      </c>
    </row>
    <row r="3660" spans="1:15" x14ac:dyDescent="0.35">
      <c r="A3660" s="503" t="s">
        <v>1316</v>
      </c>
      <c r="B3660" s="504" t="s">
        <v>2949</v>
      </c>
      <c r="C3660" s="504" t="s">
        <v>1094</v>
      </c>
      <c r="D3660" s="504" t="s">
        <v>3380</v>
      </c>
      <c r="E3660" s="504" t="s">
        <v>3381</v>
      </c>
      <c r="F3660" s="504" t="s">
        <v>645</v>
      </c>
      <c r="G3660" s="504" t="s">
        <v>646</v>
      </c>
      <c r="H3660" s="504" t="s">
        <v>6306</v>
      </c>
      <c r="I3660" s="504">
        <v>1173</v>
      </c>
      <c r="J3660" s="504">
        <v>769</v>
      </c>
      <c r="K3660" s="504">
        <v>0</v>
      </c>
      <c r="L3660" s="504">
        <v>0</v>
      </c>
      <c r="M3660" s="504">
        <v>0</v>
      </c>
      <c r="N3660" s="504">
        <v>0</v>
      </c>
      <c r="O3660" s="505">
        <v>404</v>
      </c>
    </row>
    <row r="3661" spans="1:15" x14ac:dyDescent="0.35">
      <c r="A3661" s="500" t="s">
        <v>1319</v>
      </c>
      <c r="B3661" s="501">
        <v>4880</v>
      </c>
      <c r="C3661" s="501" t="s">
        <v>1094</v>
      </c>
      <c r="D3661" s="501" t="s">
        <v>3380</v>
      </c>
      <c r="E3661" s="501" t="s">
        <v>3381</v>
      </c>
      <c r="F3661" s="501" t="s">
        <v>645</v>
      </c>
      <c r="G3661" s="501" t="s">
        <v>646</v>
      </c>
      <c r="H3661" s="501" t="s">
        <v>6307</v>
      </c>
      <c r="I3661" s="501">
        <v>699</v>
      </c>
      <c r="J3661" s="501">
        <v>536</v>
      </c>
      <c r="K3661" s="501">
        <v>0</v>
      </c>
      <c r="L3661" s="501">
        <v>20</v>
      </c>
      <c r="M3661" s="501">
        <v>23</v>
      </c>
      <c r="N3661" s="501">
        <v>1</v>
      </c>
      <c r="O3661" s="506">
        <v>120</v>
      </c>
    </row>
    <row r="3662" spans="1:15" x14ac:dyDescent="0.35">
      <c r="A3662" s="503" t="s">
        <v>1120</v>
      </c>
      <c r="B3662" s="504" t="s">
        <v>3362</v>
      </c>
      <c r="C3662" s="504" t="s">
        <v>1094</v>
      </c>
      <c r="D3662" s="504" t="s">
        <v>3380</v>
      </c>
      <c r="E3662" s="504" t="s">
        <v>3381</v>
      </c>
      <c r="F3662" s="504" t="s">
        <v>645</v>
      </c>
      <c r="G3662" s="504" t="s">
        <v>646</v>
      </c>
      <c r="H3662" s="504" t="s">
        <v>6308</v>
      </c>
      <c r="I3662" s="504">
        <v>95</v>
      </c>
      <c r="J3662" s="504">
        <v>0</v>
      </c>
      <c r="K3662" s="504">
        <v>0</v>
      </c>
      <c r="L3662" s="504">
        <v>0</v>
      </c>
      <c r="M3662" s="504">
        <v>0</v>
      </c>
      <c r="N3662" s="504">
        <v>0</v>
      </c>
      <c r="O3662" s="505">
        <v>95</v>
      </c>
    </row>
    <row r="3663" spans="1:15" x14ac:dyDescent="0.35">
      <c r="A3663" s="500" t="s">
        <v>11387</v>
      </c>
      <c r="B3663" s="501" t="s">
        <v>3087</v>
      </c>
      <c r="C3663" s="501" t="s">
        <v>1089</v>
      </c>
      <c r="D3663" s="501" t="s">
        <v>3392</v>
      </c>
      <c r="E3663" s="501" t="s">
        <v>3381</v>
      </c>
      <c r="F3663" s="501" t="s">
        <v>645</v>
      </c>
      <c r="G3663" s="501" t="s">
        <v>646</v>
      </c>
      <c r="H3663" s="501" t="s">
        <v>11892</v>
      </c>
      <c r="I3663" s="501">
        <v>1</v>
      </c>
      <c r="J3663" s="501">
        <v>1</v>
      </c>
      <c r="K3663" s="501">
        <v>0</v>
      </c>
      <c r="L3663" s="501">
        <v>0</v>
      </c>
      <c r="M3663" s="501">
        <v>0</v>
      </c>
      <c r="N3663" s="501">
        <v>0</v>
      </c>
      <c r="O3663" s="506">
        <v>0</v>
      </c>
    </row>
    <row r="3664" spans="1:15" x14ac:dyDescent="0.35">
      <c r="A3664" s="503" t="s">
        <v>1322</v>
      </c>
      <c r="B3664" s="504" t="s">
        <v>3244</v>
      </c>
      <c r="C3664" s="504" t="s">
        <v>1094</v>
      </c>
      <c r="D3664" s="504" t="s">
        <v>3380</v>
      </c>
      <c r="E3664" s="504" t="s">
        <v>3381</v>
      </c>
      <c r="F3664" s="504" t="s">
        <v>645</v>
      </c>
      <c r="G3664" s="504" t="s">
        <v>646</v>
      </c>
      <c r="H3664" s="504" t="s">
        <v>6309</v>
      </c>
      <c r="I3664" s="504">
        <v>237</v>
      </c>
      <c r="J3664" s="504">
        <v>69</v>
      </c>
      <c r="K3664" s="504">
        <v>0</v>
      </c>
      <c r="L3664" s="504">
        <v>103</v>
      </c>
      <c r="M3664" s="504">
        <v>40</v>
      </c>
      <c r="N3664" s="504">
        <v>0</v>
      </c>
      <c r="O3664" s="505">
        <v>25</v>
      </c>
    </row>
    <row r="3665" spans="1:15" x14ac:dyDescent="0.35">
      <c r="A3665" s="500" t="s">
        <v>1217</v>
      </c>
      <c r="B3665" s="501">
        <v>4851</v>
      </c>
      <c r="C3665" s="501" t="s">
        <v>1094</v>
      </c>
      <c r="D3665" s="501" t="s">
        <v>3380</v>
      </c>
      <c r="E3665" s="501" t="s">
        <v>3381</v>
      </c>
      <c r="F3665" s="501" t="s">
        <v>645</v>
      </c>
      <c r="G3665" s="501" t="s">
        <v>646</v>
      </c>
      <c r="H3665" s="501" t="s">
        <v>6310</v>
      </c>
      <c r="I3665" s="501">
        <v>149</v>
      </c>
      <c r="J3665" s="501">
        <v>52</v>
      </c>
      <c r="K3665" s="501">
        <v>0</v>
      </c>
      <c r="L3665" s="501">
        <v>0</v>
      </c>
      <c r="M3665" s="501">
        <v>76</v>
      </c>
      <c r="N3665" s="501">
        <v>0</v>
      </c>
      <c r="O3665" s="506">
        <v>21</v>
      </c>
    </row>
    <row r="3666" spans="1:15" x14ac:dyDescent="0.35">
      <c r="A3666" s="503" t="s">
        <v>1325</v>
      </c>
      <c r="B3666" s="504" t="s">
        <v>3011</v>
      </c>
      <c r="C3666" s="504" t="s">
        <v>1094</v>
      </c>
      <c r="D3666" s="504" t="s">
        <v>3380</v>
      </c>
      <c r="E3666" s="504" t="s">
        <v>3381</v>
      </c>
      <c r="F3666" s="504" t="s">
        <v>645</v>
      </c>
      <c r="G3666" s="504" t="s">
        <v>646</v>
      </c>
      <c r="H3666" s="504" t="s">
        <v>6311</v>
      </c>
      <c r="I3666" s="504">
        <v>46</v>
      </c>
      <c r="J3666" s="504">
        <v>19</v>
      </c>
      <c r="K3666" s="504">
        <v>0</v>
      </c>
      <c r="L3666" s="504">
        <v>0</v>
      </c>
      <c r="M3666" s="504">
        <v>0</v>
      </c>
      <c r="N3666" s="504">
        <v>0</v>
      </c>
      <c r="O3666" s="505">
        <v>27</v>
      </c>
    </row>
    <row r="3667" spans="1:15" x14ac:dyDescent="0.35">
      <c r="A3667" s="500" t="s">
        <v>1220</v>
      </c>
      <c r="B3667" s="501">
        <v>4849</v>
      </c>
      <c r="C3667" s="501" t="s">
        <v>1094</v>
      </c>
      <c r="D3667" s="501" t="s">
        <v>3380</v>
      </c>
      <c r="E3667" s="501" t="s">
        <v>3381</v>
      </c>
      <c r="F3667" s="501" t="s">
        <v>645</v>
      </c>
      <c r="G3667" s="501" t="s">
        <v>646</v>
      </c>
      <c r="H3667" s="501" t="s">
        <v>6312</v>
      </c>
      <c r="I3667" s="501">
        <v>264</v>
      </c>
      <c r="J3667" s="501">
        <v>213</v>
      </c>
      <c r="K3667" s="501">
        <v>0</v>
      </c>
      <c r="L3667" s="501">
        <v>8</v>
      </c>
      <c r="M3667" s="501">
        <v>35</v>
      </c>
      <c r="N3667" s="501">
        <v>0</v>
      </c>
      <c r="O3667" s="506">
        <v>8</v>
      </c>
    </row>
    <row r="3668" spans="1:15" x14ac:dyDescent="0.35">
      <c r="A3668" s="503" t="s">
        <v>1221</v>
      </c>
      <c r="B3668" s="504">
        <v>4728</v>
      </c>
      <c r="C3668" s="504" t="s">
        <v>1089</v>
      </c>
      <c r="D3668" s="504" t="s">
        <v>3392</v>
      </c>
      <c r="E3668" s="504" t="s">
        <v>3381</v>
      </c>
      <c r="F3668" s="504" t="s">
        <v>645</v>
      </c>
      <c r="G3668" s="504" t="s">
        <v>646</v>
      </c>
      <c r="H3668" s="504" t="s">
        <v>6313</v>
      </c>
      <c r="I3668" s="504">
        <v>23</v>
      </c>
      <c r="J3668" s="504">
        <v>0</v>
      </c>
      <c r="K3668" s="504">
        <v>0</v>
      </c>
      <c r="L3668" s="504">
        <v>23</v>
      </c>
      <c r="M3668" s="504">
        <v>0</v>
      </c>
      <c r="N3668" s="504">
        <v>0</v>
      </c>
      <c r="O3668" s="505">
        <v>0</v>
      </c>
    </row>
    <row r="3669" spans="1:15" x14ac:dyDescent="0.35">
      <c r="A3669" s="500" t="s">
        <v>1332</v>
      </c>
      <c r="B3669" s="501">
        <v>4878</v>
      </c>
      <c r="C3669" s="501" t="s">
        <v>1094</v>
      </c>
      <c r="D3669" s="501" t="s">
        <v>3380</v>
      </c>
      <c r="E3669" s="501" t="s">
        <v>3381</v>
      </c>
      <c r="F3669" s="501" t="s">
        <v>645</v>
      </c>
      <c r="G3669" s="501" t="s">
        <v>646</v>
      </c>
      <c r="H3669" s="501" t="s">
        <v>6314</v>
      </c>
      <c r="I3669" s="501">
        <v>1149</v>
      </c>
      <c r="J3669" s="501">
        <v>981</v>
      </c>
      <c r="K3669" s="501">
        <v>0</v>
      </c>
      <c r="L3669" s="501">
        <v>46</v>
      </c>
      <c r="M3669" s="501">
        <v>0</v>
      </c>
      <c r="N3669" s="501">
        <v>0</v>
      </c>
      <c r="O3669" s="506">
        <v>122</v>
      </c>
    </row>
    <row r="3670" spans="1:15" x14ac:dyDescent="0.35">
      <c r="A3670" s="503" t="s">
        <v>1122</v>
      </c>
      <c r="B3670" s="504" t="s">
        <v>2994</v>
      </c>
      <c r="C3670" s="504" t="s">
        <v>1094</v>
      </c>
      <c r="D3670" s="504" t="s">
        <v>3380</v>
      </c>
      <c r="E3670" s="504" t="s">
        <v>3381</v>
      </c>
      <c r="F3670" s="504" t="s">
        <v>645</v>
      </c>
      <c r="G3670" s="504" t="s">
        <v>646</v>
      </c>
      <c r="H3670" s="504" t="s">
        <v>6315</v>
      </c>
      <c r="I3670" s="504">
        <v>4</v>
      </c>
      <c r="J3670" s="504">
        <v>4</v>
      </c>
      <c r="K3670" s="504">
        <v>0</v>
      </c>
      <c r="L3670" s="504">
        <v>0</v>
      </c>
      <c r="M3670" s="504">
        <v>0</v>
      </c>
      <c r="N3670" s="504">
        <v>0</v>
      </c>
      <c r="O3670" s="505">
        <v>0</v>
      </c>
    </row>
    <row r="3671" spans="1:15" x14ac:dyDescent="0.35">
      <c r="A3671" s="500" t="s">
        <v>1225</v>
      </c>
      <c r="B3671" s="501" t="s">
        <v>3315</v>
      </c>
      <c r="C3671" s="501" t="s">
        <v>1094</v>
      </c>
      <c r="D3671" s="501" t="s">
        <v>3380</v>
      </c>
      <c r="E3671" s="501" t="s">
        <v>3381</v>
      </c>
      <c r="F3671" s="501" t="s">
        <v>645</v>
      </c>
      <c r="G3671" s="501" t="s">
        <v>646</v>
      </c>
      <c r="H3671" s="501" t="s">
        <v>6316</v>
      </c>
      <c r="I3671" s="501">
        <v>106</v>
      </c>
      <c r="J3671" s="501">
        <v>106</v>
      </c>
      <c r="K3671" s="501">
        <v>0</v>
      </c>
      <c r="L3671" s="501">
        <v>0</v>
      </c>
      <c r="M3671" s="501">
        <v>0</v>
      </c>
      <c r="N3671" s="501">
        <v>0</v>
      </c>
      <c r="O3671" s="506">
        <v>0</v>
      </c>
    </row>
    <row r="3672" spans="1:15" x14ac:dyDescent="0.35">
      <c r="A3672" s="503" t="s">
        <v>1532</v>
      </c>
      <c r="B3672" s="504" t="s">
        <v>2659</v>
      </c>
      <c r="C3672" s="504" t="s">
        <v>1089</v>
      </c>
      <c r="D3672" s="504" t="s">
        <v>3392</v>
      </c>
      <c r="E3672" s="504" t="s">
        <v>3381</v>
      </c>
      <c r="F3672" s="504" t="s">
        <v>645</v>
      </c>
      <c r="G3672" s="504" t="s">
        <v>646</v>
      </c>
      <c r="H3672" s="504" t="s">
        <v>6317</v>
      </c>
      <c r="I3672" s="504">
        <v>1</v>
      </c>
      <c r="J3672" s="504">
        <v>1</v>
      </c>
      <c r="K3672" s="504">
        <v>0</v>
      </c>
      <c r="L3672" s="504">
        <v>0</v>
      </c>
      <c r="M3672" s="504">
        <v>0</v>
      </c>
      <c r="N3672" s="504">
        <v>0</v>
      </c>
      <c r="O3672" s="505">
        <v>0</v>
      </c>
    </row>
    <row r="3673" spans="1:15" x14ac:dyDescent="0.35">
      <c r="A3673" s="500" t="s">
        <v>1124</v>
      </c>
      <c r="B3673" s="501">
        <v>4745</v>
      </c>
      <c r="C3673" s="501" t="s">
        <v>1094</v>
      </c>
      <c r="D3673" s="501" t="s">
        <v>3380</v>
      </c>
      <c r="E3673" s="501" t="s">
        <v>3381</v>
      </c>
      <c r="F3673" s="501" t="s">
        <v>645</v>
      </c>
      <c r="G3673" s="501" t="s">
        <v>646</v>
      </c>
      <c r="H3673" s="501" t="s">
        <v>6318</v>
      </c>
      <c r="I3673" s="501">
        <v>14</v>
      </c>
      <c r="J3673" s="501">
        <v>0</v>
      </c>
      <c r="K3673" s="501">
        <v>0</v>
      </c>
      <c r="L3673" s="501">
        <v>14</v>
      </c>
      <c r="M3673" s="501">
        <v>0</v>
      </c>
      <c r="N3673" s="501">
        <v>0</v>
      </c>
      <c r="O3673" s="506">
        <v>0</v>
      </c>
    </row>
    <row r="3674" spans="1:15" x14ac:dyDescent="0.35">
      <c r="A3674" s="503" t="s">
        <v>1235</v>
      </c>
      <c r="B3674" s="504">
        <v>4684</v>
      </c>
      <c r="C3674" s="504" t="s">
        <v>1094</v>
      </c>
      <c r="D3674" s="504" t="s">
        <v>3380</v>
      </c>
      <c r="E3674" s="504" t="s">
        <v>3381</v>
      </c>
      <c r="F3674" s="504" t="s">
        <v>645</v>
      </c>
      <c r="G3674" s="504" t="s">
        <v>646</v>
      </c>
      <c r="H3674" s="504" t="s">
        <v>6319</v>
      </c>
      <c r="I3674" s="504">
        <v>302</v>
      </c>
      <c r="J3674" s="504">
        <v>170</v>
      </c>
      <c r="K3674" s="504">
        <v>0</v>
      </c>
      <c r="L3674" s="504">
        <v>0</v>
      </c>
      <c r="M3674" s="504">
        <v>0</v>
      </c>
      <c r="N3674" s="504">
        <v>0</v>
      </c>
      <c r="O3674" s="505">
        <v>132</v>
      </c>
    </row>
    <row r="3675" spans="1:15" x14ac:dyDescent="0.35">
      <c r="A3675" s="500" t="s">
        <v>1126</v>
      </c>
      <c r="B3675" s="501" t="s">
        <v>2974</v>
      </c>
      <c r="C3675" s="501" t="s">
        <v>1094</v>
      </c>
      <c r="D3675" s="501" t="s">
        <v>3380</v>
      </c>
      <c r="E3675" s="501" t="s">
        <v>3381</v>
      </c>
      <c r="F3675" s="501" t="s">
        <v>645</v>
      </c>
      <c r="G3675" s="501" t="s">
        <v>646</v>
      </c>
      <c r="H3675" s="501" t="s">
        <v>6320</v>
      </c>
      <c r="I3675" s="501">
        <v>869</v>
      </c>
      <c r="J3675" s="501">
        <v>722</v>
      </c>
      <c r="K3675" s="501">
        <v>0</v>
      </c>
      <c r="L3675" s="501">
        <v>83</v>
      </c>
      <c r="M3675" s="501">
        <v>64</v>
      </c>
      <c r="N3675" s="501">
        <v>1</v>
      </c>
      <c r="O3675" s="506">
        <v>0</v>
      </c>
    </row>
    <row r="3676" spans="1:15" x14ac:dyDescent="0.35">
      <c r="A3676" s="503" t="s">
        <v>1543</v>
      </c>
      <c r="B3676" s="504" t="s">
        <v>3309</v>
      </c>
      <c r="C3676" s="504" t="s">
        <v>1089</v>
      </c>
      <c r="D3676" s="504" t="s">
        <v>3392</v>
      </c>
      <c r="E3676" s="504" t="s">
        <v>3381</v>
      </c>
      <c r="F3676" s="504" t="s">
        <v>645</v>
      </c>
      <c r="G3676" s="504" t="s">
        <v>646</v>
      </c>
      <c r="H3676" s="504" t="s">
        <v>6321</v>
      </c>
      <c r="I3676" s="504">
        <v>152</v>
      </c>
      <c r="J3676" s="504">
        <v>142</v>
      </c>
      <c r="K3676" s="504">
        <v>0</v>
      </c>
      <c r="L3676" s="504">
        <v>10</v>
      </c>
      <c r="M3676" s="504">
        <v>0</v>
      </c>
      <c r="N3676" s="504">
        <v>0</v>
      </c>
      <c r="O3676" s="505">
        <v>0</v>
      </c>
    </row>
    <row r="3677" spans="1:15" x14ac:dyDescent="0.35">
      <c r="A3677" s="500" t="s">
        <v>1130</v>
      </c>
      <c r="B3677" s="501" t="s">
        <v>3234</v>
      </c>
      <c r="C3677" s="501" t="s">
        <v>1094</v>
      </c>
      <c r="D3677" s="501" t="s">
        <v>3380</v>
      </c>
      <c r="E3677" s="501" t="s">
        <v>3381</v>
      </c>
      <c r="F3677" s="501" t="s">
        <v>645</v>
      </c>
      <c r="G3677" s="501" t="s">
        <v>646</v>
      </c>
      <c r="H3677" s="501" t="s">
        <v>6322</v>
      </c>
      <c r="I3677" s="501">
        <v>37</v>
      </c>
      <c r="J3677" s="501">
        <v>3</v>
      </c>
      <c r="K3677" s="501">
        <v>0</v>
      </c>
      <c r="L3677" s="501">
        <v>0</v>
      </c>
      <c r="M3677" s="501">
        <v>0</v>
      </c>
      <c r="N3677" s="501">
        <v>0</v>
      </c>
      <c r="O3677" s="506">
        <v>34</v>
      </c>
    </row>
    <row r="3678" spans="1:15" x14ac:dyDescent="0.35">
      <c r="A3678" s="503" t="s">
        <v>1345</v>
      </c>
      <c r="B3678" s="504" t="s">
        <v>3247</v>
      </c>
      <c r="C3678" s="504" t="s">
        <v>1094</v>
      </c>
      <c r="D3678" s="504" t="s">
        <v>3380</v>
      </c>
      <c r="E3678" s="504" t="s">
        <v>3381</v>
      </c>
      <c r="F3678" s="504" t="s">
        <v>645</v>
      </c>
      <c r="G3678" s="504" t="s">
        <v>646</v>
      </c>
      <c r="H3678" s="504" t="s">
        <v>6323</v>
      </c>
      <c r="I3678" s="504">
        <v>107</v>
      </c>
      <c r="J3678" s="504">
        <v>4</v>
      </c>
      <c r="K3678" s="504">
        <v>42</v>
      </c>
      <c r="L3678" s="504">
        <v>61</v>
      </c>
      <c r="M3678" s="504">
        <v>0</v>
      </c>
      <c r="N3678" s="504">
        <v>0</v>
      </c>
      <c r="O3678" s="505">
        <v>0</v>
      </c>
    </row>
    <row r="3679" spans="1:15" x14ac:dyDescent="0.35">
      <c r="A3679" s="500" t="s">
        <v>1554</v>
      </c>
      <c r="B3679" s="501" t="s">
        <v>2672</v>
      </c>
      <c r="C3679" s="501" t="s">
        <v>1089</v>
      </c>
      <c r="D3679" s="501" t="s">
        <v>3392</v>
      </c>
      <c r="E3679" s="501" t="s">
        <v>3381</v>
      </c>
      <c r="F3679" s="501" t="s">
        <v>645</v>
      </c>
      <c r="G3679" s="501" t="s">
        <v>646</v>
      </c>
      <c r="H3679" s="501" t="s">
        <v>6324</v>
      </c>
      <c r="I3679" s="501">
        <v>62</v>
      </c>
      <c r="J3679" s="501">
        <v>62</v>
      </c>
      <c r="K3679" s="501">
        <v>0</v>
      </c>
      <c r="L3679" s="501">
        <v>0</v>
      </c>
      <c r="M3679" s="501">
        <v>0</v>
      </c>
      <c r="N3679" s="501">
        <v>2</v>
      </c>
      <c r="O3679" s="506">
        <v>0</v>
      </c>
    </row>
    <row r="3680" spans="1:15" x14ac:dyDescent="0.35">
      <c r="A3680" s="503" t="s">
        <v>1558</v>
      </c>
      <c r="B3680" s="504">
        <v>4843</v>
      </c>
      <c r="C3680" s="504" t="s">
        <v>1089</v>
      </c>
      <c r="D3680" s="504" t="s">
        <v>3392</v>
      </c>
      <c r="E3680" s="504" t="s">
        <v>3381</v>
      </c>
      <c r="F3680" s="504" t="s">
        <v>645</v>
      </c>
      <c r="G3680" s="504" t="s">
        <v>646</v>
      </c>
      <c r="H3680" s="504" t="s">
        <v>14735</v>
      </c>
      <c r="I3680" s="504">
        <v>7</v>
      </c>
      <c r="J3680" s="504">
        <v>7</v>
      </c>
      <c r="K3680" s="504">
        <v>0</v>
      </c>
      <c r="L3680" s="504">
        <v>0</v>
      </c>
      <c r="M3680" s="504">
        <v>0</v>
      </c>
      <c r="N3680" s="504">
        <v>0</v>
      </c>
      <c r="O3680" s="505">
        <v>0</v>
      </c>
    </row>
    <row r="3681" spans="1:15" x14ac:dyDescent="0.35">
      <c r="A3681" s="500" t="s">
        <v>1347</v>
      </c>
      <c r="B3681" s="501" t="s">
        <v>3185</v>
      </c>
      <c r="C3681" s="501" t="s">
        <v>1089</v>
      </c>
      <c r="D3681" s="501" t="s">
        <v>3392</v>
      </c>
      <c r="E3681" s="501" t="s">
        <v>3381</v>
      </c>
      <c r="F3681" s="501" t="s">
        <v>645</v>
      </c>
      <c r="G3681" s="501" t="s">
        <v>646</v>
      </c>
      <c r="H3681" s="501" t="s">
        <v>6325</v>
      </c>
      <c r="I3681" s="501">
        <v>9</v>
      </c>
      <c r="J3681" s="501">
        <v>9</v>
      </c>
      <c r="K3681" s="501">
        <v>0</v>
      </c>
      <c r="L3681" s="501">
        <v>0</v>
      </c>
      <c r="M3681" s="501">
        <v>0</v>
      </c>
      <c r="N3681" s="501">
        <v>0</v>
      </c>
      <c r="O3681" s="506">
        <v>0</v>
      </c>
    </row>
    <row r="3682" spans="1:15" x14ac:dyDescent="0.35">
      <c r="A3682" s="503" t="s">
        <v>1559</v>
      </c>
      <c r="B3682" s="504" t="s">
        <v>3252</v>
      </c>
      <c r="C3682" s="504" t="s">
        <v>1089</v>
      </c>
      <c r="D3682" s="504" t="s">
        <v>3392</v>
      </c>
      <c r="E3682" s="504" t="s">
        <v>3381</v>
      </c>
      <c r="F3682" s="504" t="s">
        <v>645</v>
      </c>
      <c r="G3682" s="504" t="s">
        <v>646</v>
      </c>
      <c r="H3682" s="504" t="s">
        <v>6326</v>
      </c>
      <c r="I3682" s="504">
        <v>112</v>
      </c>
      <c r="J3682" s="504">
        <v>97</v>
      </c>
      <c r="K3682" s="504">
        <v>15</v>
      </c>
      <c r="L3682" s="504">
        <v>0</v>
      </c>
      <c r="M3682" s="504">
        <v>0</v>
      </c>
      <c r="N3682" s="504">
        <v>0</v>
      </c>
      <c r="O3682" s="505">
        <v>0</v>
      </c>
    </row>
    <row r="3683" spans="1:15" x14ac:dyDescent="0.35">
      <c r="A3683" s="500" t="s">
        <v>1245</v>
      </c>
      <c r="B3683" s="501" t="s">
        <v>2859</v>
      </c>
      <c r="C3683" s="501" t="s">
        <v>1094</v>
      </c>
      <c r="D3683" s="501" t="s">
        <v>3380</v>
      </c>
      <c r="E3683" s="501" t="s">
        <v>3381</v>
      </c>
      <c r="F3683" s="501" t="s">
        <v>645</v>
      </c>
      <c r="G3683" s="501" t="s">
        <v>646</v>
      </c>
      <c r="H3683" s="501" t="s">
        <v>6327</v>
      </c>
      <c r="I3683" s="501">
        <v>13</v>
      </c>
      <c r="J3683" s="501">
        <v>0</v>
      </c>
      <c r="K3683" s="501">
        <v>0</v>
      </c>
      <c r="L3683" s="501">
        <v>0</v>
      </c>
      <c r="M3683" s="501">
        <v>13</v>
      </c>
      <c r="N3683" s="501">
        <v>0</v>
      </c>
      <c r="O3683" s="506">
        <v>0</v>
      </c>
    </row>
    <row r="3684" spans="1:15" x14ac:dyDescent="0.35">
      <c r="A3684" s="503" t="s">
        <v>1568</v>
      </c>
      <c r="B3684" s="504" t="s">
        <v>2591</v>
      </c>
      <c r="C3684" s="504" t="s">
        <v>1089</v>
      </c>
      <c r="D3684" s="504" t="s">
        <v>3392</v>
      </c>
      <c r="E3684" s="504" t="s">
        <v>3381</v>
      </c>
      <c r="F3684" s="504" t="s">
        <v>645</v>
      </c>
      <c r="G3684" s="504" t="s">
        <v>646</v>
      </c>
      <c r="H3684" s="504" t="s">
        <v>6328</v>
      </c>
      <c r="I3684" s="504">
        <v>60</v>
      </c>
      <c r="J3684" s="504">
        <v>0</v>
      </c>
      <c r="K3684" s="504">
        <v>0</v>
      </c>
      <c r="L3684" s="504">
        <v>0</v>
      </c>
      <c r="M3684" s="504">
        <v>60</v>
      </c>
      <c r="N3684" s="504">
        <v>0</v>
      </c>
      <c r="O3684" s="505">
        <v>0</v>
      </c>
    </row>
    <row r="3685" spans="1:15" x14ac:dyDescent="0.35">
      <c r="A3685" s="500" t="s">
        <v>1362</v>
      </c>
      <c r="B3685" s="501" t="s">
        <v>2977</v>
      </c>
      <c r="C3685" s="501" t="s">
        <v>1094</v>
      </c>
      <c r="D3685" s="501" t="s">
        <v>3380</v>
      </c>
      <c r="E3685" s="501" t="s">
        <v>3381</v>
      </c>
      <c r="F3685" s="501" t="s">
        <v>645</v>
      </c>
      <c r="G3685" s="501" t="s">
        <v>646</v>
      </c>
      <c r="H3685" s="501" t="s">
        <v>6329</v>
      </c>
      <c r="I3685" s="501">
        <v>5</v>
      </c>
      <c r="J3685" s="501">
        <v>5</v>
      </c>
      <c r="K3685" s="501">
        <v>0</v>
      </c>
      <c r="L3685" s="501">
        <v>0</v>
      </c>
      <c r="M3685" s="501">
        <v>0</v>
      </c>
      <c r="N3685" s="501">
        <v>0</v>
      </c>
      <c r="O3685" s="506">
        <v>0</v>
      </c>
    </row>
    <row r="3686" spans="1:15" x14ac:dyDescent="0.35">
      <c r="A3686" s="503" t="s">
        <v>1573</v>
      </c>
      <c r="B3686" s="504" t="s">
        <v>2473</v>
      </c>
      <c r="C3686" s="504" t="s">
        <v>1089</v>
      </c>
      <c r="D3686" s="504" t="s">
        <v>3392</v>
      </c>
      <c r="E3686" s="504" t="s">
        <v>3381</v>
      </c>
      <c r="F3686" s="504" t="s">
        <v>645</v>
      </c>
      <c r="G3686" s="504" t="s">
        <v>646</v>
      </c>
      <c r="H3686" s="504" t="s">
        <v>6330</v>
      </c>
      <c r="I3686" s="504">
        <v>4</v>
      </c>
      <c r="J3686" s="504">
        <v>0</v>
      </c>
      <c r="K3686" s="504">
        <v>0</v>
      </c>
      <c r="L3686" s="504">
        <v>0</v>
      </c>
      <c r="M3686" s="504">
        <v>4</v>
      </c>
      <c r="N3686" s="504">
        <v>0</v>
      </c>
      <c r="O3686" s="505">
        <v>0</v>
      </c>
    </row>
    <row r="3687" spans="1:15" x14ac:dyDescent="0.35">
      <c r="A3687" s="500" t="s">
        <v>1253</v>
      </c>
      <c r="B3687" s="501" t="s">
        <v>3232</v>
      </c>
      <c r="C3687" s="501" t="s">
        <v>1094</v>
      </c>
      <c r="D3687" s="501" t="s">
        <v>3380</v>
      </c>
      <c r="E3687" s="501" t="s">
        <v>3381</v>
      </c>
      <c r="F3687" s="501" t="s">
        <v>645</v>
      </c>
      <c r="G3687" s="501" t="s">
        <v>646</v>
      </c>
      <c r="H3687" s="501" t="s">
        <v>6331</v>
      </c>
      <c r="I3687" s="501">
        <v>24</v>
      </c>
      <c r="J3687" s="501">
        <v>24</v>
      </c>
      <c r="K3687" s="501">
        <v>0</v>
      </c>
      <c r="L3687" s="501">
        <v>0</v>
      </c>
      <c r="M3687" s="501">
        <v>0</v>
      </c>
      <c r="N3687" s="501">
        <v>0</v>
      </c>
      <c r="O3687" s="506">
        <v>0</v>
      </c>
    </row>
    <row r="3688" spans="1:15" x14ac:dyDescent="0.35">
      <c r="A3688" s="503" t="s">
        <v>1604</v>
      </c>
      <c r="B3688" s="504" t="s">
        <v>2581</v>
      </c>
      <c r="C3688" s="504" t="s">
        <v>1089</v>
      </c>
      <c r="D3688" s="504" t="s">
        <v>3392</v>
      </c>
      <c r="E3688" s="504" t="s">
        <v>3381</v>
      </c>
      <c r="F3688" s="504" t="s">
        <v>645</v>
      </c>
      <c r="G3688" s="504" t="s">
        <v>646</v>
      </c>
      <c r="H3688" s="504" t="s">
        <v>6332</v>
      </c>
      <c r="I3688" s="504">
        <v>6</v>
      </c>
      <c r="J3688" s="504">
        <v>0</v>
      </c>
      <c r="K3688" s="504">
        <v>0</v>
      </c>
      <c r="L3688" s="504">
        <v>0</v>
      </c>
      <c r="M3688" s="504">
        <v>6</v>
      </c>
      <c r="N3688" s="504">
        <v>0</v>
      </c>
      <c r="O3688" s="505">
        <v>0</v>
      </c>
    </row>
    <row r="3689" spans="1:15" x14ac:dyDescent="0.35">
      <c r="A3689" s="500" t="s">
        <v>1606</v>
      </c>
      <c r="B3689" s="501" t="s">
        <v>2761</v>
      </c>
      <c r="C3689" s="501" t="s">
        <v>1089</v>
      </c>
      <c r="D3689" s="501" t="s">
        <v>3392</v>
      </c>
      <c r="E3689" s="501" t="s">
        <v>3381</v>
      </c>
      <c r="F3689" s="501" t="s">
        <v>645</v>
      </c>
      <c r="G3689" s="501" t="s">
        <v>646</v>
      </c>
      <c r="H3689" s="501" t="s">
        <v>6333</v>
      </c>
      <c r="I3689" s="501">
        <v>4</v>
      </c>
      <c r="J3689" s="501">
        <v>2</v>
      </c>
      <c r="K3689" s="501">
        <v>2</v>
      </c>
      <c r="L3689" s="501">
        <v>0</v>
      </c>
      <c r="M3689" s="501">
        <v>0</v>
      </c>
      <c r="N3689" s="501">
        <v>0</v>
      </c>
      <c r="O3689" s="506">
        <v>0</v>
      </c>
    </row>
    <row r="3690" spans="1:15" x14ac:dyDescent="0.35">
      <c r="A3690" s="503" t="s">
        <v>11479</v>
      </c>
      <c r="B3690" s="504" t="s">
        <v>2934</v>
      </c>
      <c r="C3690" s="504" t="s">
        <v>1089</v>
      </c>
      <c r="D3690" s="504" t="s">
        <v>3392</v>
      </c>
      <c r="E3690" s="504" t="s">
        <v>3381</v>
      </c>
      <c r="F3690" s="504" t="s">
        <v>645</v>
      </c>
      <c r="G3690" s="504" t="s">
        <v>646</v>
      </c>
      <c r="H3690" s="504" t="s">
        <v>12259</v>
      </c>
      <c r="I3690" s="504">
        <v>162</v>
      </c>
      <c r="J3690" s="504">
        <v>0</v>
      </c>
      <c r="K3690" s="504">
        <v>8</v>
      </c>
      <c r="L3690" s="504">
        <v>154</v>
      </c>
      <c r="M3690" s="504">
        <v>0</v>
      </c>
      <c r="N3690" s="504">
        <v>0</v>
      </c>
      <c r="O3690" s="505">
        <v>0</v>
      </c>
    </row>
    <row r="3691" spans="1:15" x14ac:dyDescent="0.35">
      <c r="A3691" s="500" t="s">
        <v>1096</v>
      </c>
      <c r="B3691" s="501" t="s">
        <v>3326</v>
      </c>
      <c r="C3691" s="501" t="s">
        <v>1094</v>
      </c>
      <c r="D3691" s="501" t="s">
        <v>3380</v>
      </c>
      <c r="E3691" s="501" t="s">
        <v>3381</v>
      </c>
      <c r="F3691" s="501" t="s">
        <v>647</v>
      </c>
      <c r="G3691" s="501" t="s">
        <v>648</v>
      </c>
      <c r="H3691" s="501" t="s">
        <v>6334</v>
      </c>
      <c r="I3691" s="501">
        <v>75</v>
      </c>
      <c r="J3691" s="501">
        <v>0</v>
      </c>
      <c r="K3691" s="501">
        <v>0</v>
      </c>
      <c r="L3691" s="501">
        <v>0</v>
      </c>
      <c r="M3691" s="501">
        <v>75</v>
      </c>
      <c r="N3691" s="501">
        <v>0</v>
      </c>
      <c r="O3691" s="506">
        <v>0</v>
      </c>
    </row>
    <row r="3692" spans="1:15" x14ac:dyDescent="0.35">
      <c r="A3692" s="503" t="s">
        <v>1273</v>
      </c>
      <c r="B3692" s="504" t="s">
        <v>3197</v>
      </c>
      <c r="C3692" s="504" t="s">
        <v>1094</v>
      </c>
      <c r="D3692" s="504" t="s">
        <v>3380</v>
      </c>
      <c r="E3692" s="504" t="s">
        <v>3381</v>
      </c>
      <c r="F3692" s="504" t="s">
        <v>647</v>
      </c>
      <c r="G3692" s="504" t="s">
        <v>648</v>
      </c>
      <c r="H3692" s="504" t="s">
        <v>6335</v>
      </c>
      <c r="I3692" s="504">
        <v>2</v>
      </c>
      <c r="J3692" s="504">
        <v>0</v>
      </c>
      <c r="K3692" s="504">
        <v>0</v>
      </c>
      <c r="L3692" s="504">
        <v>0</v>
      </c>
      <c r="M3692" s="504">
        <v>0</v>
      </c>
      <c r="N3692" s="504">
        <v>0</v>
      </c>
      <c r="O3692" s="505">
        <v>2</v>
      </c>
    </row>
    <row r="3693" spans="1:15" x14ac:dyDescent="0.35">
      <c r="A3693" s="500" t="s">
        <v>1283</v>
      </c>
      <c r="B3693" s="501" t="s">
        <v>3177</v>
      </c>
      <c r="C3693" s="501" t="s">
        <v>1094</v>
      </c>
      <c r="D3693" s="501" t="s">
        <v>3380</v>
      </c>
      <c r="E3693" s="501" t="s">
        <v>3381</v>
      </c>
      <c r="F3693" s="501" t="s">
        <v>647</v>
      </c>
      <c r="G3693" s="501" t="s">
        <v>648</v>
      </c>
      <c r="H3693" s="501" t="s">
        <v>6336</v>
      </c>
      <c r="I3693" s="501">
        <v>34</v>
      </c>
      <c r="J3693" s="501">
        <v>17</v>
      </c>
      <c r="K3693" s="501">
        <v>0</v>
      </c>
      <c r="L3693" s="501">
        <v>0</v>
      </c>
      <c r="M3693" s="501">
        <v>0</v>
      </c>
      <c r="N3693" s="501">
        <v>0</v>
      </c>
      <c r="O3693" s="506">
        <v>17</v>
      </c>
    </row>
    <row r="3694" spans="1:15" x14ac:dyDescent="0.35">
      <c r="A3694" s="503" t="s">
        <v>1286</v>
      </c>
      <c r="B3694" s="504" t="s">
        <v>3341</v>
      </c>
      <c r="C3694" s="504" t="s">
        <v>1094</v>
      </c>
      <c r="D3694" s="504" t="s">
        <v>3380</v>
      </c>
      <c r="E3694" s="504" t="s">
        <v>3381</v>
      </c>
      <c r="F3694" s="504" t="s">
        <v>647</v>
      </c>
      <c r="G3694" s="504" t="s">
        <v>648</v>
      </c>
      <c r="H3694" s="504" t="s">
        <v>6337</v>
      </c>
      <c r="I3694" s="504">
        <v>49</v>
      </c>
      <c r="J3694" s="504">
        <v>40</v>
      </c>
      <c r="K3694" s="504">
        <v>0</v>
      </c>
      <c r="L3694" s="504">
        <v>0</v>
      </c>
      <c r="M3694" s="504">
        <v>0</v>
      </c>
      <c r="N3694" s="504">
        <v>0</v>
      </c>
      <c r="O3694" s="505">
        <v>9</v>
      </c>
    </row>
    <row r="3695" spans="1:15" x14ac:dyDescent="0.35">
      <c r="A3695" s="500" t="s">
        <v>1100</v>
      </c>
      <c r="B3695" s="501">
        <v>4865</v>
      </c>
      <c r="C3695" s="501" t="s">
        <v>1094</v>
      </c>
      <c r="D3695" s="501" t="s">
        <v>3380</v>
      </c>
      <c r="E3695" s="501" t="s">
        <v>3381</v>
      </c>
      <c r="F3695" s="501" t="s">
        <v>647</v>
      </c>
      <c r="G3695" s="501" t="s">
        <v>648</v>
      </c>
      <c r="H3695" s="501" t="s">
        <v>6338</v>
      </c>
      <c r="I3695" s="501">
        <v>438</v>
      </c>
      <c r="J3695" s="501">
        <v>195</v>
      </c>
      <c r="K3695" s="501">
        <v>236</v>
      </c>
      <c r="L3695" s="501">
        <v>0</v>
      </c>
      <c r="M3695" s="501">
        <v>0</v>
      </c>
      <c r="N3695" s="501">
        <v>0</v>
      </c>
      <c r="O3695" s="506">
        <v>7</v>
      </c>
    </row>
    <row r="3696" spans="1:15" x14ac:dyDescent="0.35">
      <c r="A3696" s="503" t="s">
        <v>1294</v>
      </c>
      <c r="B3696" s="504" t="s">
        <v>3114</v>
      </c>
      <c r="C3696" s="504" t="s">
        <v>1094</v>
      </c>
      <c r="D3696" s="504" t="s">
        <v>3380</v>
      </c>
      <c r="E3696" s="504" t="s">
        <v>3381</v>
      </c>
      <c r="F3696" s="504" t="s">
        <v>647</v>
      </c>
      <c r="G3696" s="504" t="s">
        <v>648</v>
      </c>
      <c r="H3696" s="504" t="s">
        <v>6339</v>
      </c>
      <c r="I3696" s="504">
        <v>3</v>
      </c>
      <c r="J3696" s="504">
        <v>0</v>
      </c>
      <c r="K3696" s="504">
        <v>0</v>
      </c>
      <c r="L3696" s="504">
        <v>3</v>
      </c>
      <c r="M3696" s="504">
        <v>0</v>
      </c>
      <c r="N3696" s="504">
        <v>0</v>
      </c>
      <c r="O3696" s="505">
        <v>0</v>
      </c>
    </row>
    <row r="3697" spans="1:15" x14ac:dyDescent="0.35">
      <c r="A3697" s="500" t="s">
        <v>1301</v>
      </c>
      <c r="B3697" s="501" t="s">
        <v>2429</v>
      </c>
      <c r="C3697" s="501" t="s">
        <v>1089</v>
      </c>
      <c r="D3697" s="501" t="s">
        <v>3392</v>
      </c>
      <c r="E3697" s="501" t="s">
        <v>3381</v>
      </c>
      <c r="F3697" s="501" t="s">
        <v>647</v>
      </c>
      <c r="G3697" s="501" t="s">
        <v>648</v>
      </c>
      <c r="H3697" s="501" t="s">
        <v>6340</v>
      </c>
      <c r="I3697" s="501">
        <v>14</v>
      </c>
      <c r="J3697" s="501">
        <v>0</v>
      </c>
      <c r="K3697" s="501">
        <v>0</v>
      </c>
      <c r="L3697" s="501">
        <v>0</v>
      </c>
      <c r="M3697" s="501">
        <v>14</v>
      </c>
      <c r="N3697" s="501">
        <v>0</v>
      </c>
      <c r="O3697" s="506">
        <v>0</v>
      </c>
    </row>
    <row r="3698" spans="1:15" x14ac:dyDescent="0.35">
      <c r="A3698" s="503" t="s">
        <v>1105</v>
      </c>
      <c r="B3698" s="504">
        <v>4668</v>
      </c>
      <c r="C3698" s="504" t="s">
        <v>1094</v>
      </c>
      <c r="D3698" s="504" t="s">
        <v>3380</v>
      </c>
      <c r="E3698" s="504" t="s">
        <v>3381</v>
      </c>
      <c r="F3698" s="504" t="s">
        <v>647</v>
      </c>
      <c r="G3698" s="504" t="s">
        <v>648</v>
      </c>
      <c r="H3698" s="504" t="s">
        <v>11733</v>
      </c>
      <c r="I3698" s="504">
        <v>15</v>
      </c>
      <c r="J3698" s="504">
        <v>0</v>
      </c>
      <c r="K3698" s="504">
        <v>0</v>
      </c>
      <c r="L3698" s="504">
        <v>0</v>
      </c>
      <c r="M3698" s="504">
        <v>0</v>
      </c>
      <c r="N3698" s="504">
        <v>0</v>
      </c>
      <c r="O3698" s="505">
        <v>15</v>
      </c>
    </row>
    <row r="3699" spans="1:15" x14ac:dyDescent="0.35">
      <c r="A3699" s="500" t="s">
        <v>1107</v>
      </c>
      <c r="B3699" s="501" t="s">
        <v>3109</v>
      </c>
      <c r="C3699" s="501" t="s">
        <v>1094</v>
      </c>
      <c r="D3699" s="501" t="s">
        <v>3380</v>
      </c>
      <c r="E3699" s="501" t="s">
        <v>3381</v>
      </c>
      <c r="F3699" s="501" t="s">
        <v>647</v>
      </c>
      <c r="G3699" s="501" t="s">
        <v>648</v>
      </c>
      <c r="H3699" s="501" t="s">
        <v>6341</v>
      </c>
      <c r="I3699" s="501">
        <v>669</v>
      </c>
      <c r="J3699" s="501">
        <v>556</v>
      </c>
      <c r="K3699" s="501">
        <v>0</v>
      </c>
      <c r="L3699" s="501">
        <v>0</v>
      </c>
      <c r="M3699" s="501">
        <v>68</v>
      </c>
      <c r="N3699" s="501">
        <v>1</v>
      </c>
      <c r="O3699" s="506">
        <v>45</v>
      </c>
    </row>
    <row r="3700" spans="1:15" x14ac:dyDescent="0.35">
      <c r="A3700" s="503" t="s">
        <v>14243</v>
      </c>
      <c r="B3700" s="504">
        <v>5149</v>
      </c>
      <c r="C3700" s="504" t="s">
        <v>1089</v>
      </c>
      <c r="D3700" s="504" t="s">
        <v>3392</v>
      </c>
      <c r="E3700" s="504" t="s">
        <v>3381</v>
      </c>
      <c r="F3700" s="504" t="s">
        <v>647</v>
      </c>
      <c r="G3700" s="504" t="s">
        <v>648</v>
      </c>
      <c r="H3700" s="504" t="s">
        <v>14736</v>
      </c>
      <c r="I3700" s="504">
        <v>8</v>
      </c>
      <c r="J3700" s="504">
        <v>8</v>
      </c>
      <c r="K3700" s="504">
        <v>0</v>
      </c>
      <c r="L3700" s="504">
        <v>0</v>
      </c>
      <c r="M3700" s="504">
        <v>0</v>
      </c>
      <c r="N3700" s="504">
        <v>0</v>
      </c>
      <c r="O3700" s="505">
        <v>0</v>
      </c>
    </row>
    <row r="3701" spans="1:15" x14ac:dyDescent="0.35">
      <c r="A3701" s="500" t="s">
        <v>1310</v>
      </c>
      <c r="B3701" s="501">
        <v>5062</v>
      </c>
      <c r="C3701" s="501" t="s">
        <v>1089</v>
      </c>
      <c r="D3701" s="501" t="s">
        <v>3380</v>
      </c>
      <c r="E3701" s="501" t="s">
        <v>3381</v>
      </c>
      <c r="F3701" s="501" t="s">
        <v>647</v>
      </c>
      <c r="G3701" s="501" t="s">
        <v>648</v>
      </c>
      <c r="H3701" s="501" t="s">
        <v>11809</v>
      </c>
      <c r="I3701" s="501">
        <v>16</v>
      </c>
      <c r="J3701" s="501">
        <v>4</v>
      </c>
      <c r="K3701" s="501">
        <v>0</v>
      </c>
      <c r="L3701" s="501">
        <v>0</v>
      </c>
      <c r="M3701" s="501">
        <v>0</v>
      </c>
      <c r="N3701" s="501">
        <v>0</v>
      </c>
      <c r="O3701" s="506">
        <v>12</v>
      </c>
    </row>
    <row r="3702" spans="1:15" x14ac:dyDescent="0.35">
      <c r="A3702" s="503" t="s">
        <v>1202</v>
      </c>
      <c r="B3702" s="504" t="s">
        <v>3217</v>
      </c>
      <c r="C3702" s="504" t="s">
        <v>1094</v>
      </c>
      <c r="D3702" s="504" t="s">
        <v>3380</v>
      </c>
      <c r="E3702" s="504" t="s">
        <v>3381</v>
      </c>
      <c r="F3702" s="504" t="s">
        <v>647</v>
      </c>
      <c r="G3702" s="504" t="s">
        <v>648</v>
      </c>
      <c r="H3702" s="504" t="s">
        <v>6342</v>
      </c>
      <c r="I3702" s="504">
        <v>300</v>
      </c>
      <c r="J3702" s="504">
        <v>282</v>
      </c>
      <c r="K3702" s="504">
        <v>0</v>
      </c>
      <c r="L3702" s="504">
        <v>0</v>
      </c>
      <c r="M3702" s="504">
        <v>0</v>
      </c>
      <c r="N3702" s="504">
        <v>0</v>
      </c>
      <c r="O3702" s="505">
        <v>18</v>
      </c>
    </row>
    <row r="3703" spans="1:15" x14ac:dyDescent="0.35">
      <c r="A3703" s="500" t="s">
        <v>1112</v>
      </c>
      <c r="B3703" s="501" t="s">
        <v>3008</v>
      </c>
      <c r="C3703" s="501" t="s">
        <v>1094</v>
      </c>
      <c r="D3703" s="501" t="s">
        <v>3380</v>
      </c>
      <c r="E3703" s="501" t="s">
        <v>3381</v>
      </c>
      <c r="F3703" s="501" t="s">
        <v>647</v>
      </c>
      <c r="G3703" s="501" t="s">
        <v>648</v>
      </c>
      <c r="H3703" s="501" t="s">
        <v>6343</v>
      </c>
      <c r="I3703" s="501">
        <v>9</v>
      </c>
      <c r="J3703" s="501">
        <v>0</v>
      </c>
      <c r="K3703" s="501">
        <v>0</v>
      </c>
      <c r="L3703" s="501">
        <v>8</v>
      </c>
      <c r="M3703" s="501">
        <v>0</v>
      </c>
      <c r="N3703" s="501">
        <v>0</v>
      </c>
      <c r="O3703" s="506">
        <v>1</v>
      </c>
    </row>
    <row r="3704" spans="1:15" x14ac:dyDescent="0.35">
      <c r="A3704" s="503" t="s">
        <v>1114</v>
      </c>
      <c r="B3704" s="504" t="s">
        <v>2982</v>
      </c>
      <c r="C3704" s="504" t="s">
        <v>1094</v>
      </c>
      <c r="D3704" s="504" t="s">
        <v>3380</v>
      </c>
      <c r="E3704" s="504" t="s">
        <v>3381</v>
      </c>
      <c r="F3704" s="504" t="s">
        <v>647</v>
      </c>
      <c r="G3704" s="504" t="s">
        <v>648</v>
      </c>
      <c r="H3704" s="504" t="s">
        <v>6344</v>
      </c>
      <c r="I3704" s="504">
        <v>494</v>
      </c>
      <c r="J3704" s="504">
        <v>247</v>
      </c>
      <c r="K3704" s="504">
        <v>0</v>
      </c>
      <c r="L3704" s="504">
        <v>3</v>
      </c>
      <c r="M3704" s="504">
        <v>24</v>
      </c>
      <c r="N3704" s="504">
        <v>0</v>
      </c>
      <c r="O3704" s="505">
        <v>220</v>
      </c>
    </row>
    <row r="3705" spans="1:15" x14ac:dyDescent="0.35">
      <c r="A3705" s="500" t="s">
        <v>1314</v>
      </c>
      <c r="B3705" s="501" t="s">
        <v>3142</v>
      </c>
      <c r="C3705" s="501" t="s">
        <v>1089</v>
      </c>
      <c r="D3705" s="501" t="s">
        <v>3392</v>
      </c>
      <c r="E3705" s="501" t="s">
        <v>3381</v>
      </c>
      <c r="F3705" s="501" t="s">
        <v>647</v>
      </c>
      <c r="G3705" s="501" t="s">
        <v>648</v>
      </c>
      <c r="H3705" s="501" t="s">
        <v>6345</v>
      </c>
      <c r="I3705" s="501">
        <v>3</v>
      </c>
      <c r="J3705" s="501">
        <v>3</v>
      </c>
      <c r="K3705" s="501">
        <v>0</v>
      </c>
      <c r="L3705" s="501">
        <v>0</v>
      </c>
      <c r="M3705" s="501">
        <v>0</v>
      </c>
      <c r="N3705" s="501">
        <v>0</v>
      </c>
      <c r="O3705" s="506">
        <v>0</v>
      </c>
    </row>
    <row r="3706" spans="1:15" x14ac:dyDescent="0.35">
      <c r="A3706" s="503" t="s">
        <v>1210</v>
      </c>
      <c r="B3706" s="504">
        <v>4781</v>
      </c>
      <c r="C3706" s="504" t="s">
        <v>1089</v>
      </c>
      <c r="D3706" s="504" t="s">
        <v>3392</v>
      </c>
      <c r="E3706" s="504" t="s">
        <v>3381</v>
      </c>
      <c r="F3706" s="504" t="s">
        <v>647</v>
      </c>
      <c r="G3706" s="504" t="s">
        <v>648</v>
      </c>
      <c r="H3706" s="504" t="s">
        <v>6346</v>
      </c>
      <c r="I3706" s="504">
        <v>3</v>
      </c>
      <c r="J3706" s="504">
        <v>0</v>
      </c>
      <c r="K3706" s="504">
        <v>0</v>
      </c>
      <c r="L3706" s="504">
        <v>3</v>
      </c>
      <c r="M3706" s="504">
        <v>0</v>
      </c>
      <c r="N3706" s="504">
        <v>0</v>
      </c>
      <c r="O3706" s="505">
        <v>0</v>
      </c>
    </row>
    <row r="3707" spans="1:15" x14ac:dyDescent="0.35">
      <c r="A3707" s="500" t="s">
        <v>1319</v>
      </c>
      <c r="B3707" s="501">
        <v>4880</v>
      </c>
      <c r="C3707" s="501" t="s">
        <v>1094</v>
      </c>
      <c r="D3707" s="501" t="s">
        <v>3380</v>
      </c>
      <c r="E3707" s="501" t="s">
        <v>3381</v>
      </c>
      <c r="F3707" s="501" t="s">
        <v>647</v>
      </c>
      <c r="G3707" s="501" t="s">
        <v>648</v>
      </c>
      <c r="H3707" s="501" t="s">
        <v>6347</v>
      </c>
      <c r="I3707" s="501">
        <v>237</v>
      </c>
      <c r="J3707" s="501">
        <v>94</v>
      </c>
      <c r="K3707" s="501">
        <v>44</v>
      </c>
      <c r="L3707" s="501">
        <v>32</v>
      </c>
      <c r="M3707" s="501">
        <v>66</v>
      </c>
      <c r="N3707" s="501">
        <v>0</v>
      </c>
      <c r="O3707" s="506">
        <v>1</v>
      </c>
    </row>
    <row r="3708" spans="1:15" x14ac:dyDescent="0.35">
      <c r="A3708" s="503" t="s">
        <v>1322</v>
      </c>
      <c r="B3708" s="504" t="s">
        <v>3244</v>
      </c>
      <c r="C3708" s="504" t="s">
        <v>1094</v>
      </c>
      <c r="D3708" s="504" t="s">
        <v>3380</v>
      </c>
      <c r="E3708" s="504" t="s">
        <v>3381</v>
      </c>
      <c r="F3708" s="504" t="s">
        <v>647</v>
      </c>
      <c r="G3708" s="504" t="s">
        <v>648</v>
      </c>
      <c r="H3708" s="504" t="s">
        <v>6348</v>
      </c>
      <c r="I3708" s="504">
        <v>1</v>
      </c>
      <c r="J3708" s="504">
        <v>0</v>
      </c>
      <c r="K3708" s="504">
        <v>0</v>
      </c>
      <c r="L3708" s="504">
        <v>0</v>
      </c>
      <c r="M3708" s="504">
        <v>0</v>
      </c>
      <c r="N3708" s="504">
        <v>0</v>
      </c>
      <c r="O3708" s="505">
        <v>1</v>
      </c>
    </row>
    <row r="3709" spans="1:15" x14ac:dyDescent="0.35">
      <c r="A3709" s="500" t="s">
        <v>1218</v>
      </c>
      <c r="B3709" s="501" t="s">
        <v>3147</v>
      </c>
      <c r="C3709" s="501" t="s">
        <v>1094</v>
      </c>
      <c r="D3709" s="501" t="s">
        <v>3380</v>
      </c>
      <c r="E3709" s="501" t="s">
        <v>3381</v>
      </c>
      <c r="F3709" s="501" t="s">
        <v>647</v>
      </c>
      <c r="G3709" s="501" t="s">
        <v>648</v>
      </c>
      <c r="H3709" s="501" t="s">
        <v>14737</v>
      </c>
      <c r="I3709" s="501">
        <v>10</v>
      </c>
      <c r="J3709" s="501">
        <v>0</v>
      </c>
      <c r="K3709" s="501">
        <v>0</v>
      </c>
      <c r="L3709" s="501">
        <v>0</v>
      </c>
      <c r="M3709" s="501">
        <v>0</v>
      </c>
      <c r="N3709" s="501">
        <v>0</v>
      </c>
      <c r="O3709" s="506">
        <v>10</v>
      </c>
    </row>
    <row r="3710" spans="1:15" x14ac:dyDescent="0.35">
      <c r="A3710" s="503" t="s">
        <v>1332</v>
      </c>
      <c r="B3710" s="504">
        <v>4878</v>
      </c>
      <c r="C3710" s="504" t="s">
        <v>1094</v>
      </c>
      <c r="D3710" s="504" t="s">
        <v>3380</v>
      </c>
      <c r="E3710" s="504" t="s">
        <v>3381</v>
      </c>
      <c r="F3710" s="504" t="s">
        <v>647</v>
      </c>
      <c r="G3710" s="504" t="s">
        <v>648</v>
      </c>
      <c r="H3710" s="504" t="s">
        <v>14738</v>
      </c>
      <c r="I3710" s="504">
        <v>24</v>
      </c>
      <c r="J3710" s="504">
        <v>0</v>
      </c>
      <c r="K3710" s="504">
        <v>0</v>
      </c>
      <c r="L3710" s="504">
        <v>24</v>
      </c>
      <c r="M3710" s="504">
        <v>0</v>
      </c>
      <c r="N3710" s="504">
        <v>0</v>
      </c>
      <c r="O3710" s="505">
        <v>0</v>
      </c>
    </row>
    <row r="3711" spans="1:15" x14ac:dyDescent="0.35">
      <c r="A3711" s="500" t="s">
        <v>1233</v>
      </c>
      <c r="B3711" s="501">
        <v>4636</v>
      </c>
      <c r="C3711" s="501" t="s">
        <v>1094</v>
      </c>
      <c r="D3711" s="501" t="s">
        <v>3380</v>
      </c>
      <c r="E3711" s="501" t="s">
        <v>3381</v>
      </c>
      <c r="F3711" s="501" t="s">
        <v>647</v>
      </c>
      <c r="G3711" s="501" t="s">
        <v>648</v>
      </c>
      <c r="H3711" s="501" t="s">
        <v>6349</v>
      </c>
      <c r="I3711" s="501">
        <v>210</v>
      </c>
      <c r="J3711" s="501">
        <v>44</v>
      </c>
      <c r="K3711" s="501">
        <v>0</v>
      </c>
      <c r="L3711" s="501">
        <v>0</v>
      </c>
      <c r="M3711" s="501">
        <v>0</v>
      </c>
      <c r="N3711" s="501">
        <v>0</v>
      </c>
      <c r="O3711" s="506">
        <v>166</v>
      </c>
    </row>
    <row r="3712" spans="1:15" x14ac:dyDescent="0.35">
      <c r="A3712" s="503" t="s">
        <v>11368</v>
      </c>
      <c r="B3712" s="504">
        <v>5083</v>
      </c>
      <c r="C3712" s="504" t="s">
        <v>1094</v>
      </c>
      <c r="D3712" s="504" t="s">
        <v>3380</v>
      </c>
      <c r="E3712" s="504" t="s">
        <v>3381</v>
      </c>
      <c r="F3712" s="504" t="s">
        <v>647</v>
      </c>
      <c r="G3712" s="504" t="s">
        <v>648</v>
      </c>
      <c r="H3712" s="504" t="s">
        <v>12055</v>
      </c>
      <c r="I3712" s="504">
        <v>152</v>
      </c>
      <c r="J3712" s="504">
        <v>152</v>
      </c>
      <c r="K3712" s="504">
        <v>0</v>
      </c>
      <c r="L3712" s="504">
        <v>0</v>
      </c>
      <c r="M3712" s="504">
        <v>0</v>
      </c>
      <c r="N3712" s="504">
        <v>0</v>
      </c>
      <c r="O3712" s="505">
        <v>0</v>
      </c>
    </row>
    <row r="3713" spans="1:15" x14ac:dyDescent="0.35">
      <c r="A3713" s="500" t="s">
        <v>1126</v>
      </c>
      <c r="B3713" s="501" t="s">
        <v>2974</v>
      </c>
      <c r="C3713" s="501" t="s">
        <v>1094</v>
      </c>
      <c r="D3713" s="501" t="s">
        <v>3380</v>
      </c>
      <c r="E3713" s="501" t="s">
        <v>3381</v>
      </c>
      <c r="F3713" s="501" t="s">
        <v>647</v>
      </c>
      <c r="G3713" s="501" t="s">
        <v>648</v>
      </c>
      <c r="H3713" s="501" t="s">
        <v>6350</v>
      </c>
      <c r="I3713" s="501">
        <v>17</v>
      </c>
      <c r="J3713" s="501">
        <v>2</v>
      </c>
      <c r="K3713" s="501">
        <v>0</v>
      </c>
      <c r="L3713" s="501">
        <v>15</v>
      </c>
      <c r="M3713" s="501">
        <v>0</v>
      </c>
      <c r="N3713" s="501">
        <v>0</v>
      </c>
      <c r="O3713" s="506">
        <v>0</v>
      </c>
    </row>
    <row r="3714" spans="1:15" x14ac:dyDescent="0.35">
      <c r="A3714" s="503" t="s">
        <v>1346</v>
      </c>
      <c r="B3714" s="504" t="s">
        <v>3150</v>
      </c>
      <c r="C3714" s="504" t="s">
        <v>1094</v>
      </c>
      <c r="D3714" s="504" t="s">
        <v>3380</v>
      </c>
      <c r="E3714" s="504" t="s">
        <v>3381</v>
      </c>
      <c r="F3714" s="504" t="s">
        <v>647</v>
      </c>
      <c r="G3714" s="504" t="s">
        <v>648</v>
      </c>
      <c r="H3714" s="504" t="s">
        <v>6351</v>
      </c>
      <c r="I3714" s="504">
        <v>103</v>
      </c>
      <c r="J3714" s="504">
        <v>76</v>
      </c>
      <c r="K3714" s="504">
        <v>0</v>
      </c>
      <c r="L3714" s="504">
        <v>27</v>
      </c>
      <c r="M3714" s="504">
        <v>0</v>
      </c>
      <c r="N3714" s="504">
        <v>2</v>
      </c>
      <c r="O3714" s="505">
        <v>0</v>
      </c>
    </row>
    <row r="3715" spans="1:15" x14ac:dyDescent="0.35">
      <c r="A3715" s="500" t="s">
        <v>1253</v>
      </c>
      <c r="B3715" s="501" t="s">
        <v>3232</v>
      </c>
      <c r="C3715" s="501" t="s">
        <v>1094</v>
      </c>
      <c r="D3715" s="501" t="s">
        <v>3380</v>
      </c>
      <c r="E3715" s="501" t="s">
        <v>3381</v>
      </c>
      <c r="F3715" s="501" t="s">
        <v>647</v>
      </c>
      <c r="G3715" s="501" t="s">
        <v>648</v>
      </c>
      <c r="H3715" s="501" t="s">
        <v>6352</v>
      </c>
      <c r="I3715" s="501">
        <v>14</v>
      </c>
      <c r="J3715" s="501">
        <v>0</v>
      </c>
      <c r="K3715" s="501">
        <v>0</v>
      </c>
      <c r="L3715" s="501">
        <v>0</v>
      </c>
      <c r="M3715" s="501">
        <v>14</v>
      </c>
      <c r="N3715" s="501">
        <v>0</v>
      </c>
      <c r="O3715" s="506">
        <v>0</v>
      </c>
    </row>
    <row r="3716" spans="1:15" x14ac:dyDescent="0.35">
      <c r="A3716" s="503" t="s">
        <v>1143</v>
      </c>
      <c r="B3716" s="504" t="s">
        <v>3281</v>
      </c>
      <c r="C3716" s="504" t="s">
        <v>1094</v>
      </c>
      <c r="D3716" s="504" t="s">
        <v>3380</v>
      </c>
      <c r="E3716" s="504" t="s">
        <v>3381</v>
      </c>
      <c r="F3716" s="504" t="s">
        <v>649</v>
      </c>
      <c r="G3716" s="504" t="s">
        <v>650</v>
      </c>
      <c r="H3716" s="504" t="s">
        <v>6353</v>
      </c>
      <c r="I3716" s="504">
        <v>296</v>
      </c>
      <c r="J3716" s="504">
        <v>190</v>
      </c>
      <c r="K3716" s="504">
        <v>0</v>
      </c>
      <c r="L3716" s="504">
        <v>0</v>
      </c>
      <c r="M3716" s="504">
        <v>0</v>
      </c>
      <c r="N3716" s="504">
        <v>2</v>
      </c>
      <c r="O3716" s="505">
        <v>106</v>
      </c>
    </row>
    <row r="3717" spans="1:15" x14ac:dyDescent="0.35">
      <c r="A3717" s="500" t="s">
        <v>1096</v>
      </c>
      <c r="B3717" s="501" t="s">
        <v>3326</v>
      </c>
      <c r="C3717" s="501" t="s">
        <v>1094</v>
      </c>
      <c r="D3717" s="501" t="s">
        <v>3380</v>
      </c>
      <c r="E3717" s="501" t="s">
        <v>3381</v>
      </c>
      <c r="F3717" s="501" t="s">
        <v>649</v>
      </c>
      <c r="G3717" s="501" t="s">
        <v>650</v>
      </c>
      <c r="H3717" s="501" t="s">
        <v>6354</v>
      </c>
      <c r="I3717" s="501">
        <v>227</v>
      </c>
      <c r="J3717" s="501">
        <v>0</v>
      </c>
      <c r="K3717" s="501">
        <v>0</v>
      </c>
      <c r="L3717" s="501">
        <v>0</v>
      </c>
      <c r="M3717" s="501">
        <v>219</v>
      </c>
      <c r="N3717" s="501">
        <v>0</v>
      </c>
      <c r="O3717" s="506">
        <v>8</v>
      </c>
    </row>
    <row r="3718" spans="1:15" x14ac:dyDescent="0.35">
      <c r="A3718" s="503" t="s">
        <v>11363</v>
      </c>
      <c r="B3718" s="504">
        <v>4718</v>
      </c>
      <c r="C3718" s="504" t="s">
        <v>1094</v>
      </c>
      <c r="D3718" s="504" t="s">
        <v>3380</v>
      </c>
      <c r="E3718" s="504" t="s">
        <v>3381</v>
      </c>
      <c r="F3718" s="504" t="s">
        <v>649</v>
      </c>
      <c r="G3718" s="504" t="s">
        <v>650</v>
      </c>
      <c r="H3718" s="504" t="s">
        <v>11550</v>
      </c>
      <c r="I3718" s="504">
        <v>47</v>
      </c>
      <c r="J3718" s="504">
        <v>0</v>
      </c>
      <c r="K3718" s="504">
        <v>0</v>
      </c>
      <c r="L3718" s="504">
        <v>47</v>
      </c>
      <c r="M3718" s="504">
        <v>0</v>
      </c>
      <c r="N3718" s="504">
        <v>0</v>
      </c>
      <c r="O3718" s="505">
        <v>0</v>
      </c>
    </row>
    <row r="3719" spans="1:15" x14ac:dyDescent="0.35">
      <c r="A3719" s="500" t="s">
        <v>1621</v>
      </c>
      <c r="B3719" s="501" t="s">
        <v>3319</v>
      </c>
      <c r="C3719" s="501" t="s">
        <v>1094</v>
      </c>
      <c r="D3719" s="501" t="s">
        <v>3380</v>
      </c>
      <c r="E3719" s="501" t="s">
        <v>3381</v>
      </c>
      <c r="F3719" s="501" t="s">
        <v>649</v>
      </c>
      <c r="G3719" s="501" t="s">
        <v>650</v>
      </c>
      <c r="H3719" s="501" t="s">
        <v>6355</v>
      </c>
      <c r="I3719" s="501">
        <v>307</v>
      </c>
      <c r="J3719" s="501">
        <v>274</v>
      </c>
      <c r="K3719" s="501">
        <v>0</v>
      </c>
      <c r="L3719" s="501">
        <v>0</v>
      </c>
      <c r="M3719" s="501">
        <v>0</v>
      </c>
      <c r="N3719" s="501">
        <v>0</v>
      </c>
      <c r="O3719" s="506">
        <v>33</v>
      </c>
    </row>
    <row r="3720" spans="1:15" x14ac:dyDescent="0.35">
      <c r="A3720" s="503" t="s">
        <v>1174</v>
      </c>
      <c r="B3720" s="504">
        <v>4784</v>
      </c>
      <c r="C3720" s="504" t="s">
        <v>1089</v>
      </c>
      <c r="D3720" s="504" t="s">
        <v>3392</v>
      </c>
      <c r="E3720" s="504" t="s">
        <v>3381</v>
      </c>
      <c r="F3720" s="504" t="s">
        <v>649</v>
      </c>
      <c r="G3720" s="504" t="s">
        <v>650</v>
      </c>
      <c r="H3720" s="504" t="s">
        <v>6356</v>
      </c>
      <c r="I3720" s="504">
        <v>4</v>
      </c>
      <c r="J3720" s="504">
        <v>0</v>
      </c>
      <c r="K3720" s="504">
        <v>0</v>
      </c>
      <c r="L3720" s="504">
        <v>4</v>
      </c>
      <c r="M3720" s="504">
        <v>0</v>
      </c>
      <c r="N3720" s="504">
        <v>0</v>
      </c>
      <c r="O3720" s="505">
        <v>0</v>
      </c>
    </row>
    <row r="3721" spans="1:15" x14ac:dyDescent="0.35">
      <c r="A3721" s="500" t="s">
        <v>14208</v>
      </c>
      <c r="B3721" s="501">
        <v>4803</v>
      </c>
      <c r="C3721" s="501" t="s">
        <v>1094</v>
      </c>
      <c r="D3721" s="501" t="s">
        <v>3380</v>
      </c>
      <c r="E3721" s="501" t="s">
        <v>3381</v>
      </c>
      <c r="F3721" s="501" t="s">
        <v>649</v>
      </c>
      <c r="G3721" s="501" t="s">
        <v>650</v>
      </c>
      <c r="H3721" s="501" t="s">
        <v>14739</v>
      </c>
      <c r="I3721" s="501">
        <v>18</v>
      </c>
      <c r="J3721" s="501">
        <v>0</v>
      </c>
      <c r="K3721" s="501">
        <v>0</v>
      </c>
      <c r="L3721" s="501">
        <v>18</v>
      </c>
      <c r="M3721" s="501">
        <v>0</v>
      </c>
      <c r="N3721" s="501">
        <v>0</v>
      </c>
      <c r="O3721" s="506">
        <v>0</v>
      </c>
    </row>
    <row r="3722" spans="1:15" x14ac:dyDescent="0.35">
      <c r="A3722" s="503" t="s">
        <v>2152</v>
      </c>
      <c r="B3722" s="504" t="s">
        <v>3032</v>
      </c>
      <c r="C3722" s="504" t="s">
        <v>1089</v>
      </c>
      <c r="D3722" s="504" t="s">
        <v>3392</v>
      </c>
      <c r="E3722" s="504" t="s">
        <v>3381</v>
      </c>
      <c r="F3722" s="504" t="s">
        <v>649</v>
      </c>
      <c r="G3722" s="504" t="s">
        <v>650</v>
      </c>
      <c r="H3722" s="504" t="s">
        <v>6357</v>
      </c>
      <c r="I3722" s="504">
        <v>30</v>
      </c>
      <c r="J3722" s="504">
        <v>30</v>
      </c>
      <c r="K3722" s="504">
        <v>0</v>
      </c>
      <c r="L3722" s="504">
        <v>0</v>
      </c>
      <c r="M3722" s="504">
        <v>0</v>
      </c>
      <c r="N3722" s="504">
        <v>0</v>
      </c>
      <c r="O3722" s="505">
        <v>0</v>
      </c>
    </row>
    <row r="3723" spans="1:15" x14ac:dyDescent="0.35">
      <c r="A3723" s="500" t="s">
        <v>2153</v>
      </c>
      <c r="B3723" s="501" t="s">
        <v>3095</v>
      </c>
      <c r="C3723" s="501" t="s">
        <v>1089</v>
      </c>
      <c r="D3723" s="501" t="s">
        <v>3392</v>
      </c>
      <c r="E3723" s="501" t="s">
        <v>3381</v>
      </c>
      <c r="F3723" s="501" t="s">
        <v>649</v>
      </c>
      <c r="G3723" s="501" t="s">
        <v>650</v>
      </c>
      <c r="H3723" s="501" t="s">
        <v>6358</v>
      </c>
      <c r="I3723" s="501">
        <v>234</v>
      </c>
      <c r="J3723" s="501">
        <v>222</v>
      </c>
      <c r="K3723" s="501">
        <v>0</v>
      </c>
      <c r="L3723" s="501">
        <v>12</v>
      </c>
      <c r="M3723" s="501">
        <v>0</v>
      </c>
      <c r="N3723" s="501">
        <v>0</v>
      </c>
      <c r="O3723" s="506">
        <v>0</v>
      </c>
    </row>
    <row r="3724" spans="1:15" x14ac:dyDescent="0.35">
      <c r="A3724" s="503" t="s">
        <v>2154</v>
      </c>
      <c r="B3724" s="504" t="s">
        <v>2855</v>
      </c>
      <c r="C3724" s="504" t="s">
        <v>1089</v>
      </c>
      <c r="D3724" s="504" t="s">
        <v>3392</v>
      </c>
      <c r="E3724" s="504" t="s">
        <v>3381</v>
      </c>
      <c r="F3724" s="504" t="s">
        <v>649</v>
      </c>
      <c r="G3724" s="504" t="s">
        <v>650</v>
      </c>
      <c r="H3724" s="504" t="s">
        <v>6359</v>
      </c>
      <c r="I3724" s="504">
        <v>55</v>
      </c>
      <c r="J3724" s="504">
        <v>0</v>
      </c>
      <c r="K3724" s="504">
        <v>0</v>
      </c>
      <c r="L3724" s="504">
        <v>0</v>
      </c>
      <c r="M3724" s="504">
        <v>55</v>
      </c>
      <c r="N3724" s="504">
        <v>0</v>
      </c>
      <c r="O3724" s="505">
        <v>0</v>
      </c>
    </row>
    <row r="3725" spans="1:15" x14ac:dyDescent="0.35">
      <c r="A3725" s="500" t="s">
        <v>1105</v>
      </c>
      <c r="B3725" s="501">
        <v>4668</v>
      </c>
      <c r="C3725" s="501" t="s">
        <v>1094</v>
      </c>
      <c r="D3725" s="501" t="s">
        <v>3380</v>
      </c>
      <c r="E3725" s="501" t="s">
        <v>3381</v>
      </c>
      <c r="F3725" s="501" t="s">
        <v>649</v>
      </c>
      <c r="G3725" s="501" t="s">
        <v>650</v>
      </c>
      <c r="H3725" s="501" t="s">
        <v>6360</v>
      </c>
      <c r="I3725" s="501">
        <v>67</v>
      </c>
      <c r="J3725" s="501">
        <v>0</v>
      </c>
      <c r="K3725" s="501">
        <v>0</v>
      </c>
      <c r="L3725" s="501">
        <v>0</v>
      </c>
      <c r="M3725" s="501">
        <v>0</v>
      </c>
      <c r="N3725" s="501">
        <v>0</v>
      </c>
      <c r="O3725" s="506">
        <v>67</v>
      </c>
    </row>
    <row r="3726" spans="1:15" x14ac:dyDescent="0.35">
      <c r="A3726" s="503" t="s">
        <v>1107</v>
      </c>
      <c r="B3726" s="504" t="s">
        <v>3109</v>
      </c>
      <c r="C3726" s="504" t="s">
        <v>1094</v>
      </c>
      <c r="D3726" s="504" t="s">
        <v>3380</v>
      </c>
      <c r="E3726" s="504" t="s">
        <v>3381</v>
      </c>
      <c r="F3726" s="504" t="s">
        <v>649</v>
      </c>
      <c r="G3726" s="504" t="s">
        <v>650</v>
      </c>
      <c r="H3726" s="504" t="s">
        <v>6361</v>
      </c>
      <c r="I3726" s="504">
        <v>593</v>
      </c>
      <c r="J3726" s="504">
        <v>489</v>
      </c>
      <c r="K3726" s="504">
        <v>0</v>
      </c>
      <c r="L3726" s="504">
        <v>12</v>
      </c>
      <c r="M3726" s="504">
        <v>0</v>
      </c>
      <c r="N3726" s="504">
        <v>1</v>
      </c>
      <c r="O3726" s="505">
        <v>92</v>
      </c>
    </row>
    <row r="3727" spans="1:15" x14ac:dyDescent="0.35">
      <c r="A3727" s="500" t="s">
        <v>2161</v>
      </c>
      <c r="B3727" s="501" t="s">
        <v>3205</v>
      </c>
      <c r="C3727" s="501" t="s">
        <v>1094</v>
      </c>
      <c r="D3727" s="501" t="s">
        <v>3380</v>
      </c>
      <c r="E3727" s="501" t="s">
        <v>3381</v>
      </c>
      <c r="F3727" s="501" t="s">
        <v>649</v>
      </c>
      <c r="G3727" s="501" t="s">
        <v>650</v>
      </c>
      <c r="H3727" s="501" t="s">
        <v>11772</v>
      </c>
      <c r="I3727" s="501">
        <v>27</v>
      </c>
      <c r="J3727" s="501">
        <v>15</v>
      </c>
      <c r="K3727" s="501">
        <v>0</v>
      </c>
      <c r="L3727" s="501">
        <v>0</v>
      </c>
      <c r="M3727" s="501">
        <v>0</v>
      </c>
      <c r="N3727" s="501">
        <v>0</v>
      </c>
      <c r="O3727" s="506">
        <v>12</v>
      </c>
    </row>
    <row r="3728" spans="1:15" x14ac:dyDescent="0.35">
      <c r="A3728" s="503" t="s">
        <v>1638</v>
      </c>
      <c r="B3728" s="504">
        <v>5079</v>
      </c>
      <c r="C3728" s="504" t="s">
        <v>1094</v>
      </c>
      <c r="D3728" s="504" t="s">
        <v>3380</v>
      </c>
      <c r="E3728" s="504" t="s">
        <v>3381</v>
      </c>
      <c r="F3728" s="504" t="s">
        <v>649</v>
      </c>
      <c r="G3728" s="504" t="s">
        <v>650</v>
      </c>
      <c r="H3728" s="504" t="s">
        <v>6362</v>
      </c>
      <c r="I3728" s="504">
        <v>2</v>
      </c>
      <c r="J3728" s="504">
        <v>0</v>
      </c>
      <c r="K3728" s="504">
        <v>0</v>
      </c>
      <c r="L3728" s="504">
        <v>0</v>
      </c>
      <c r="M3728" s="504">
        <v>0</v>
      </c>
      <c r="N3728" s="504">
        <v>0</v>
      </c>
      <c r="O3728" s="505">
        <v>2</v>
      </c>
    </row>
    <row r="3729" spans="1:15" x14ac:dyDescent="0.35">
      <c r="A3729" s="500" t="s">
        <v>1639</v>
      </c>
      <c r="B3729" s="501">
        <v>4846</v>
      </c>
      <c r="C3729" s="501" t="s">
        <v>1094</v>
      </c>
      <c r="D3729" s="501" t="s">
        <v>3380</v>
      </c>
      <c r="E3729" s="501" t="s">
        <v>3381</v>
      </c>
      <c r="F3729" s="501" t="s">
        <v>649</v>
      </c>
      <c r="G3729" s="501" t="s">
        <v>650</v>
      </c>
      <c r="H3729" s="501" t="s">
        <v>6363</v>
      </c>
      <c r="I3729" s="501">
        <v>72</v>
      </c>
      <c r="J3729" s="501">
        <v>41</v>
      </c>
      <c r="K3729" s="501">
        <v>0</v>
      </c>
      <c r="L3729" s="501">
        <v>0</v>
      </c>
      <c r="M3729" s="501">
        <v>0</v>
      </c>
      <c r="N3729" s="501">
        <v>0</v>
      </c>
      <c r="O3729" s="506">
        <v>31</v>
      </c>
    </row>
    <row r="3730" spans="1:15" x14ac:dyDescent="0.35">
      <c r="A3730" s="503" t="s">
        <v>1196</v>
      </c>
      <c r="B3730" s="504" t="s">
        <v>3269</v>
      </c>
      <c r="C3730" s="504" t="s">
        <v>1094</v>
      </c>
      <c r="D3730" s="504" t="s">
        <v>3380</v>
      </c>
      <c r="E3730" s="504" t="s">
        <v>3381</v>
      </c>
      <c r="F3730" s="504" t="s">
        <v>649</v>
      </c>
      <c r="G3730" s="504" t="s">
        <v>650</v>
      </c>
      <c r="H3730" s="504" t="s">
        <v>6364</v>
      </c>
      <c r="I3730" s="504">
        <v>462</v>
      </c>
      <c r="J3730" s="504">
        <v>380</v>
      </c>
      <c r="K3730" s="504">
        <v>0</v>
      </c>
      <c r="L3730" s="504">
        <v>34</v>
      </c>
      <c r="M3730" s="504">
        <v>0</v>
      </c>
      <c r="N3730" s="504">
        <v>0</v>
      </c>
      <c r="O3730" s="505">
        <v>48</v>
      </c>
    </row>
    <row r="3731" spans="1:15" x14ac:dyDescent="0.35">
      <c r="A3731" s="500" t="s">
        <v>1122</v>
      </c>
      <c r="B3731" s="501" t="s">
        <v>2994</v>
      </c>
      <c r="C3731" s="501" t="s">
        <v>1094</v>
      </c>
      <c r="D3731" s="501" t="s">
        <v>3380</v>
      </c>
      <c r="E3731" s="501" t="s">
        <v>3381</v>
      </c>
      <c r="F3731" s="501" t="s">
        <v>649</v>
      </c>
      <c r="G3731" s="501" t="s">
        <v>650</v>
      </c>
      <c r="H3731" s="501" t="s">
        <v>6365</v>
      </c>
      <c r="I3731" s="501">
        <v>61</v>
      </c>
      <c r="J3731" s="501">
        <v>61</v>
      </c>
      <c r="K3731" s="501">
        <v>0</v>
      </c>
      <c r="L3731" s="501">
        <v>0</v>
      </c>
      <c r="M3731" s="501">
        <v>0</v>
      </c>
      <c r="N3731" s="501">
        <v>0</v>
      </c>
      <c r="O3731" s="506">
        <v>0</v>
      </c>
    </row>
    <row r="3732" spans="1:15" x14ac:dyDescent="0.35">
      <c r="A3732" s="503" t="s">
        <v>1228</v>
      </c>
      <c r="B3732" s="504" t="s">
        <v>3321</v>
      </c>
      <c r="C3732" s="504" t="s">
        <v>1094</v>
      </c>
      <c r="D3732" s="504" t="s">
        <v>3380</v>
      </c>
      <c r="E3732" s="504" t="s">
        <v>3381</v>
      </c>
      <c r="F3732" s="504" t="s">
        <v>649</v>
      </c>
      <c r="G3732" s="504" t="s">
        <v>650</v>
      </c>
      <c r="H3732" s="504" t="s">
        <v>6366</v>
      </c>
      <c r="I3732" s="504">
        <v>60</v>
      </c>
      <c r="J3732" s="504">
        <v>23</v>
      </c>
      <c r="K3732" s="504">
        <v>0</v>
      </c>
      <c r="L3732" s="504">
        <v>21</v>
      </c>
      <c r="M3732" s="504">
        <v>0</v>
      </c>
      <c r="N3732" s="504">
        <v>0</v>
      </c>
      <c r="O3732" s="505">
        <v>16</v>
      </c>
    </row>
    <row r="3733" spans="1:15" x14ac:dyDescent="0.35">
      <c r="A3733" s="500" t="s">
        <v>1648</v>
      </c>
      <c r="B3733" s="501" t="s">
        <v>2496</v>
      </c>
      <c r="C3733" s="501" t="s">
        <v>1094</v>
      </c>
      <c r="D3733" s="501" t="s">
        <v>3380</v>
      </c>
      <c r="E3733" s="501" t="s">
        <v>3381</v>
      </c>
      <c r="F3733" s="501" t="s">
        <v>649</v>
      </c>
      <c r="G3733" s="501" t="s">
        <v>650</v>
      </c>
      <c r="H3733" s="501" t="s">
        <v>6367</v>
      </c>
      <c r="I3733" s="501">
        <v>5</v>
      </c>
      <c r="J3733" s="501">
        <v>5</v>
      </c>
      <c r="K3733" s="501">
        <v>0</v>
      </c>
      <c r="L3733" s="501">
        <v>0</v>
      </c>
      <c r="M3733" s="501">
        <v>0</v>
      </c>
      <c r="N3733" s="501">
        <v>0</v>
      </c>
      <c r="O3733" s="506">
        <v>0</v>
      </c>
    </row>
    <row r="3734" spans="1:15" x14ac:dyDescent="0.35">
      <c r="A3734" s="503" t="s">
        <v>2172</v>
      </c>
      <c r="B3734" s="504" t="s">
        <v>3296</v>
      </c>
      <c r="C3734" s="504" t="s">
        <v>1089</v>
      </c>
      <c r="D3734" s="504" t="s">
        <v>3392</v>
      </c>
      <c r="E3734" s="504" t="s">
        <v>3381</v>
      </c>
      <c r="F3734" s="504" t="s">
        <v>649</v>
      </c>
      <c r="G3734" s="504" t="s">
        <v>650</v>
      </c>
      <c r="H3734" s="504" t="s">
        <v>6368</v>
      </c>
      <c r="I3734" s="504">
        <v>19</v>
      </c>
      <c r="J3734" s="504">
        <v>4</v>
      </c>
      <c r="K3734" s="504">
        <v>0</v>
      </c>
      <c r="L3734" s="504">
        <v>15</v>
      </c>
      <c r="M3734" s="504">
        <v>0</v>
      </c>
      <c r="N3734" s="504">
        <v>0</v>
      </c>
      <c r="O3734" s="505">
        <v>0</v>
      </c>
    </row>
    <row r="3735" spans="1:15" x14ac:dyDescent="0.35">
      <c r="A3735" s="500" t="s">
        <v>2173</v>
      </c>
      <c r="B3735" s="501" t="s">
        <v>2462</v>
      </c>
      <c r="C3735" s="501" t="s">
        <v>1089</v>
      </c>
      <c r="D3735" s="501" t="s">
        <v>3392</v>
      </c>
      <c r="E3735" s="501" t="s">
        <v>3381</v>
      </c>
      <c r="F3735" s="501" t="s">
        <v>649</v>
      </c>
      <c r="G3735" s="501" t="s">
        <v>650</v>
      </c>
      <c r="H3735" s="501" t="s">
        <v>6369</v>
      </c>
      <c r="I3735" s="501">
        <v>15</v>
      </c>
      <c r="J3735" s="501">
        <v>0</v>
      </c>
      <c r="K3735" s="501">
        <v>0</v>
      </c>
      <c r="L3735" s="501">
        <v>0</v>
      </c>
      <c r="M3735" s="501">
        <v>15</v>
      </c>
      <c r="N3735" s="501">
        <v>0</v>
      </c>
      <c r="O3735" s="506">
        <v>0</v>
      </c>
    </row>
    <row r="3736" spans="1:15" x14ac:dyDescent="0.35">
      <c r="A3736" s="503" t="s">
        <v>1235</v>
      </c>
      <c r="B3736" s="504">
        <v>4684</v>
      </c>
      <c r="C3736" s="504" t="s">
        <v>1094</v>
      </c>
      <c r="D3736" s="504" t="s">
        <v>3380</v>
      </c>
      <c r="E3736" s="504" t="s">
        <v>3381</v>
      </c>
      <c r="F3736" s="504" t="s">
        <v>649</v>
      </c>
      <c r="G3736" s="504" t="s">
        <v>650</v>
      </c>
      <c r="H3736" s="504" t="s">
        <v>12103</v>
      </c>
      <c r="I3736" s="504">
        <v>3</v>
      </c>
      <c r="J3736" s="504">
        <v>0</v>
      </c>
      <c r="K3736" s="504">
        <v>0</v>
      </c>
      <c r="L3736" s="504">
        <v>3</v>
      </c>
      <c r="M3736" s="504">
        <v>0</v>
      </c>
      <c r="N3736" s="504">
        <v>0</v>
      </c>
      <c r="O3736" s="505">
        <v>0</v>
      </c>
    </row>
    <row r="3737" spans="1:15" x14ac:dyDescent="0.35">
      <c r="A3737" s="500" t="s">
        <v>1126</v>
      </c>
      <c r="B3737" s="501" t="s">
        <v>2974</v>
      </c>
      <c r="C3737" s="501" t="s">
        <v>1094</v>
      </c>
      <c r="D3737" s="501" t="s">
        <v>3380</v>
      </c>
      <c r="E3737" s="501" t="s">
        <v>3381</v>
      </c>
      <c r="F3737" s="501" t="s">
        <v>649</v>
      </c>
      <c r="G3737" s="501" t="s">
        <v>650</v>
      </c>
      <c r="H3737" s="501" t="s">
        <v>6370</v>
      </c>
      <c r="I3737" s="501">
        <v>323</v>
      </c>
      <c r="J3737" s="501">
        <v>188</v>
      </c>
      <c r="K3737" s="501">
        <v>0</v>
      </c>
      <c r="L3737" s="501">
        <v>32</v>
      </c>
      <c r="M3737" s="501">
        <v>27</v>
      </c>
      <c r="N3737" s="501">
        <v>3</v>
      </c>
      <c r="O3737" s="506">
        <v>76</v>
      </c>
    </row>
    <row r="3738" spans="1:15" x14ac:dyDescent="0.35">
      <c r="A3738" s="503" t="s">
        <v>11439</v>
      </c>
      <c r="B3738" s="504" t="s">
        <v>2905</v>
      </c>
      <c r="C3738" s="504" t="s">
        <v>1089</v>
      </c>
      <c r="D3738" s="504" t="s">
        <v>3392</v>
      </c>
      <c r="E3738" s="504" t="s">
        <v>3381</v>
      </c>
      <c r="F3738" s="504" t="s">
        <v>649</v>
      </c>
      <c r="G3738" s="504" t="s">
        <v>650</v>
      </c>
      <c r="H3738" s="504" t="s">
        <v>12129</v>
      </c>
      <c r="I3738" s="504">
        <v>5</v>
      </c>
      <c r="J3738" s="504">
        <v>0</v>
      </c>
      <c r="K3738" s="504">
        <v>0</v>
      </c>
      <c r="L3738" s="504">
        <v>5</v>
      </c>
      <c r="M3738" s="504">
        <v>0</v>
      </c>
      <c r="N3738" s="504">
        <v>0</v>
      </c>
      <c r="O3738" s="505">
        <v>0</v>
      </c>
    </row>
    <row r="3739" spans="1:15" x14ac:dyDescent="0.35">
      <c r="A3739" s="500" t="s">
        <v>1134</v>
      </c>
      <c r="B3739" s="501" t="s">
        <v>3066</v>
      </c>
      <c r="C3739" s="501" t="s">
        <v>1094</v>
      </c>
      <c r="D3739" s="501" t="s">
        <v>3380</v>
      </c>
      <c r="E3739" s="501" t="s">
        <v>3381</v>
      </c>
      <c r="F3739" s="501" t="s">
        <v>649</v>
      </c>
      <c r="G3739" s="501" t="s">
        <v>650</v>
      </c>
      <c r="H3739" s="501" t="s">
        <v>12160</v>
      </c>
      <c r="I3739" s="501">
        <v>17</v>
      </c>
      <c r="J3739" s="501">
        <v>13</v>
      </c>
      <c r="K3739" s="501">
        <v>0</v>
      </c>
      <c r="L3739" s="501">
        <v>0</v>
      </c>
      <c r="M3739" s="501">
        <v>0</v>
      </c>
      <c r="N3739" s="501">
        <v>0</v>
      </c>
      <c r="O3739" s="506">
        <v>4</v>
      </c>
    </row>
    <row r="3740" spans="1:15" x14ac:dyDescent="0.35">
      <c r="A3740" s="503" t="s">
        <v>2177</v>
      </c>
      <c r="B3740" s="504" t="s">
        <v>2836</v>
      </c>
      <c r="C3740" s="504" t="s">
        <v>1089</v>
      </c>
      <c r="D3740" s="504" t="s">
        <v>3392</v>
      </c>
      <c r="E3740" s="504" t="s">
        <v>3381</v>
      </c>
      <c r="F3740" s="504" t="s">
        <v>649</v>
      </c>
      <c r="G3740" s="504" t="s">
        <v>650</v>
      </c>
      <c r="H3740" s="504" t="s">
        <v>6371</v>
      </c>
      <c r="I3740" s="504">
        <v>10</v>
      </c>
      <c r="J3740" s="504">
        <v>0</v>
      </c>
      <c r="K3740" s="504">
        <v>0</v>
      </c>
      <c r="L3740" s="504">
        <v>0</v>
      </c>
      <c r="M3740" s="504">
        <v>10</v>
      </c>
      <c r="N3740" s="504">
        <v>0</v>
      </c>
      <c r="O3740" s="505">
        <v>0</v>
      </c>
    </row>
    <row r="3741" spans="1:15" x14ac:dyDescent="0.35">
      <c r="A3741" s="500" t="s">
        <v>1249</v>
      </c>
      <c r="B3741" s="501">
        <v>4729</v>
      </c>
      <c r="C3741" s="501" t="s">
        <v>1094</v>
      </c>
      <c r="D3741" s="501" t="s">
        <v>3380</v>
      </c>
      <c r="E3741" s="501" t="s">
        <v>3381</v>
      </c>
      <c r="F3741" s="501" t="s">
        <v>649</v>
      </c>
      <c r="G3741" s="501" t="s">
        <v>650</v>
      </c>
      <c r="H3741" s="501" t="s">
        <v>6372</v>
      </c>
      <c r="I3741" s="501">
        <v>413</v>
      </c>
      <c r="J3741" s="501">
        <v>302</v>
      </c>
      <c r="K3741" s="501">
        <v>0</v>
      </c>
      <c r="L3741" s="501">
        <v>0</v>
      </c>
      <c r="M3741" s="501">
        <v>58</v>
      </c>
      <c r="N3741" s="501">
        <v>0</v>
      </c>
      <c r="O3741" s="506">
        <v>53</v>
      </c>
    </row>
    <row r="3742" spans="1:15" x14ac:dyDescent="0.35">
      <c r="A3742" s="503" t="s">
        <v>2181</v>
      </c>
      <c r="B3742" s="504" t="s">
        <v>2618</v>
      </c>
      <c r="C3742" s="504" t="s">
        <v>1089</v>
      </c>
      <c r="D3742" s="504" t="s">
        <v>3392</v>
      </c>
      <c r="E3742" s="504" t="s">
        <v>3381</v>
      </c>
      <c r="F3742" s="504" t="s">
        <v>649</v>
      </c>
      <c r="G3742" s="504" t="s">
        <v>650</v>
      </c>
      <c r="H3742" s="504" t="s">
        <v>6373</v>
      </c>
      <c r="I3742" s="504">
        <v>8</v>
      </c>
      <c r="J3742" s="504">
        <v>0</v>
      </c>
      <c r="K3742" s="504">
        <v>0</v>
      </c>
      <c r="L3742" s="504">
        <v>0</v>
      </c>
      <c r="M3742" s="504">
        <v>8</v>
      </c>
      <c r="N3742" s="504">
        <v>0</v>
      </c>
      <c r="O3742" s="505">
        <v>0</v>
      </c>
    </row>
    <row r="3743" spans="1:15" x14ac:dyDescent="0.35">
      <c r="A3743" s="500" t="s">
        <v>1253</v>
      </c>
      <c r="B3743" s="501" t="s">
        <v>3232</v>
      </c>
      <c r="C3743" s="501" t="s">
        <v>1094</v>
      </c>
      <c r="D3743" s="501" t="s">
        <v>3380</v>
      </c>
      <c r="E3743" s="501" t="s">
        <v>3381</v>
      </c>
      <c r="F3743" s="501" t="s">
        <v>649</v>
      </c>
      <c r="G3743" s="501" t="s">
        <v>650</v>
      </c>
      <c r="H3743" s="501" t="s">
        <v>6374</v>
      </c>
      <c r="I3743" s="501">
        <v>4</v>
      </c>
      <c r="J3743" s="501">
        <v>0</v>
      </c>
      <c r="K3743" s="501">
        <v>0</v>
      </c>
      <c r="L3743" s="501">
        <v>4</v>
      </c>
      <c r="M3743" s="501">
        <v>0</v>
      </c>
      <c r="N3743" s="501">
        <v>0</v>
      </c>
      <c r="O3743" s="506">
        <v>0</v>
      </c>
    </row>
    <row r="3744" spans="1:15" x14ac:dyDescent="0.35">
      <c r="A3744" s="503" t="s">
        <v>1368</v>
      </c>
      <c r="B3744" s="504" t="s">
        <v>3220</v>
      </c>
      <c r="C3744" s="504" t="s">
        <v>1094</v>
      </c>
      <c r="D3744" s="504" t="s">
        <v>3380</v>
      </c>
      <c r="E3744" s="504" t="s">
        <v>3381</v>
      </c>
      <c r="F3744" s="504" t="s">
        <v>649</v>
      </c>
      <c r="G3744" s="504" t="s">
        <v>650</v>
      </c>
      <c r="H3744" s="504" t="s">
        <v>14740</v>
      </c>
      <c r="I3744" s="504">
        <v>22</v>
      </c>
      <c r="J3744" s="504">
        <v>14</v>
      </c>
      <c r="K3744" s="504">
        <v>0</v>
      </c>
      <c r="L3744" s="504">
        <v>0</v>
      </c>
      <c r="M3744" s="504">
        <v>0</v>
      </c>
      <c r="N3744" s="504">
        <v>0</v>
      </c>
      <c r="O3744" s="505">
        <v>8</v>
      </c>
    </row>
    <row r="3745" spans="1:15" x14ac:dyDescent="0.35">
      <c r="A3745" s="500" t="s">
        <v>1257</v>
      </c>
      <c r="B3745" s="501" t="s">
        <v>3151</v>
      </c>
      <c r="C3745" s="501" t="s">
        <v>1094</v>
      </c>
      <c r="D3745" s="501" t="s">
        <v>3380</v>
      </c>
      <c r="E3745" s="501" t="s">
        <v>3381</v>
      </c>
      <c r="F3745" s="501" t="s">
        <v>649</v>
      </c>
      <c r="G3745" s="501" t="s">
        <v>650</v>
      </c>
      <c r="H3745" s="501" t="s">
        <v>6375</v>
      </c>
      <c r="I3745" s="501">
        <v>416</v>
      </c>
      <c r="J3745" s="501">
        <v>357</v>
      </c>
      <c r="K3745" s="501">
        <v>0</v>
      </c>
      <c r="L3745" s="501">
        <v>12</v>
      </c>
      <c r="M3745" s="501">
        <v>0</v>
      </c>
      <c r="N3745" s="501">
        <v>0</v>
      </c>
      <c r="O3745" s="506">
        <v>47</v>
      </c>
    </row>
    <row r="3746" spans="1:15" x14ac:dyDescent="0.35">
      <c r="A3746" s="503" t="s">
        <v>2187</v>
      </c>
      <c r="B3746" s="504" t="s">
        <v>3193</v>
      </c>
      <c r="C3746" s="504" t="s">
        <v>1094</v>
      </c>
      <c r="D3746" s="504" t="s">
        <v>3380</v>
      </c>
      <c r="E3746" s="504" t="s">
        <v>3381</v>
      </c>
      <c r="F3746" s="504" t="s">
        <v>649</v>
      </c>
      <c r="G3746" s="504" t="s">
        <v>650</v>
      </c>
      <c r="H3746" s="504" t="s">
        <v>6376</v>
      </c>
      <c r="I3746" s="504">
        <v>92</v>
      </c>
      <c r="J3746" s="504">
        <v>72</v>
      </c>
      <c r="K3746" s="504">
        <v>0</v>
      </c>
      <c r="L3746" s="504">
        <v>0</v>
      </c>
      <c r="M3746" s="504">
        <v>0</v>
      </c>
      <c r="N3746" s="504">
        <v>0</v>
      </c>
      <c r="O3746" s="505">
        <v>20</v>
      </c>
    </row>
    <row r="3747" spans="1:15" x14ac:dyDescent="0.35">
      <c r="A3747" s="500" t="s">
        <v>1262</v>
      </c>
      <c r="B3747" s="501">
        <v>4772</v>
      </c>
      <c r="C3747" s="501" t="s">
        <v>1089</v>
      </c>
      <c r="D3747" s="501" t="s">
        <v>3392</v>
      </c>
      <c r="E3747" s="501" t="s">
        <v>3381</v>
      </c>
      <c r="F3747" s="501" t="s">
        <v>649</v>
      </c>
      <c r="G3747" s="501" t="s">
        <v>650</v>
      </c>
      <c r="H3747" s="501" t="s">
        <v>6377</v>
      </c>
      <c r="I3747" s="501">
        <v>5</v>
      </c>
      <c r="J3747" s="501">
        <v>0</v>
      </c>
      <c r="K3747" s="501">
        <v>0</v>
      </c>
      <c r="L3747" s="501">
        <v>5</v>
      </c>
      <c r="M3747" s="501">
        <v>0</v>
      </c>
      <c r="N3747" s="501">
        <v>0</v>
      </c>
      <c r="O3747" s="506">
        <v>0</v>
      </c>
    </row>
    <row r="3748" spans="1:15" x14ac:dyDescent="0.35">
      <c r="A3748" s="503" t="s">
        <v>1789</v>
      </c>
      <c r="B3748" s="504" t="s">
        <v>3219</v>
      </c>
      <c r="C3748" s="504" t="s">
        <v>1094</v>
      </c>
      <c r="D3748" s="504" t="s">
        <v>3380</v>
      </c>
      <c r="E3748" s="504" t="s">
        <v>3381</v>
      </c>
      <c r="F3748" s="504" t="s">
        <v>649</v>
      </c>
      <c r="G3748" s="504" t="s">
        <v>650</v>
      </c>
      <c r="H3748" s="504" t="s">
        <v>6378</v>
      </c>
      <c r="I3748" s="504">
        <v>301</v>
      </c>
      <c r="J3748" s="504">
        <v>250</v>
      </c>
      <c r="K3748" s="504">
        <v>0</v>
      </c>
      <c r="L3748" s="504">
        <v>12</v>
      </c>
      <c r="M3748" s="504">
        <v>0</v>
      </c>
      <c r="N3748" s="504">
        <v>0</v>
      </c>
      <c r="O3748" s="505">
        <v>39</v>
      </c>
    </row>
    <row r="3749" spans="1:15" x14ac:dyDescent="0.35">
      <c r="A3749" s="500" t="s">
        <v>1266</v>
      </c>
      <c r="B3749" s="501" t="s">
        <v>3071</v>
      </c>
      <c r="C3749" s="501" t="s">
        <v>1094</v>
      </c>
      <c r="D3749" s="501" t="s">
        <v>3380</v>
      </c>
      <c r="E3749" s="501" t="s">
        <v>3381</v>
      </c>
      <c r="F3749" s="501" t="s">
        <v>649</v>
      </c>
      <c r="G3749" s="501" t="s">
        <v>650</v>
      </c>
      <c r="H3749" s="501" t="s">
        <v>6379</v>
      </c>
      <c r="I3749" s="501">
        <v>48</v>
      </c>
      <c r="J3749" s="501">
        <v>48</v>
      </c>
      <c r="K3749" s="501">
        <v>0</v>
      </c>
      <c r="L3749" s="501">
        <v>0</v>
      </c>
      <c r="M3749" s="501">
        <v>0</v>
      </c>
      <c r="N3749" s="501">
        <v>0</v>
      </c>
      <c r="O3749" s="506">
        <v>0</v>
      </c>
    </row>
    <row r="3750" spans="1:15" x14ac:dyDescent="0.35">
      <c r="A3750" s="503" t="s">
        <v>1385</v>
      </c>
      <c r="B3750" s="504" t="s">
        <v>3249</v>
      </c>
      <c r="C3750" s="504" t="s">
        <v>1094</v>
      </c>
      <c r="D3750" s="504" t="s">
        <v>3380</v>
      </c>
      <c r="E3750" s="504" t="s">
        <v>3381</v>
      </c>
      <c r="F3750" s="504" t="s">
        <v>651</v>
      </c>
      <c r="G3750" s="504" t="s">
        <v>652</v>
      </c>
      <c r="H3750" s="504" t="s">
        <v>6380</v>
      </c>
      <c r="I3750" s="504">
        <v>820</v>
      </c>
      <c r="J3750" s="504">
        <v>635</v>
      </c>
      <c r="K3750" s="504">
        <v>0</v>
      </c>
      <c r="L3750" s="504">
        <v>21</v>
      </c>
      <c r="M3750" s="504">
        <v>0</v>
      </c>
      <c r="N3750" s="504">
        <v>1</v>
      </c>
      <c r="O3750" s="505">
        <v>164</v>
      </c>
    </row>
    <row r="3751" spans="1:15" x14ac:dyDescent="0.35">
      <c r="A3751" s="500" t="s">
        <v>1096</v>
      </c>
      <c r="B3751" s="501" t="s">
        <v>3326</v>
      </c>
      <c r="C3751" s="501" t="s">
        <v>1094</v>
      </c>
      <c r="D3751" s="501" t="s">
        <v>3380</v>
      </c>
      <c r="E3751" s="501" t="s">
        <v>3381</v>
      </c>
      <c r="F3751" s="501" t="s">
        <v>651</v>
      </c>
      <c r="G3751" s="501" t="s">
        <v>652</v>
      </c>
      <c r="H3751" s="501" t="s">
        <v>6381</v>
      </c>
      <c r="I3751" s="501">
        <v>185</v>
      </c>
      <c r="J3751" s="501">
        <v>0</v>
      </c>
      <c r="K3751" s="501">
        <v>0</v>
      </c>
      <c r="L3751" s="501">
        <v>0</v>
      </c>
      <c r="M3751" s="501">
        <v>127</v>
      </c>
      <c r="N3751" s="501">
        <v>0</v>
      </c>
      <c r="O3751" s="506">
        <v>58</v>
      </c>
    </row>
    <row r="3752" spans="1:15" x14ac:dyDescent="0.35">
      <c r="A3752" s="503" t="s">
        <v>1393</v>
      </c>
      <c r="B3752" s="504" t="s">
        <v>3194</v>
      </c>
      <c r="C3752" s="504" t="s">
        <v>1089</v>
      </c>
      <c r="D3752" s="504" t="s">
        <v>3392</v>
      </c>
      <c r="E3752" s="504" t="s">
        <v>3381</v>
      </c>
      <c r="F3752" s="504" t="s">
        <v>651</v>
      </c>
      <c r="G3752" s="504" t="s">
        <v>652</v>
      </c>
      <c r="H3752" s="504" t="s">
        <v>6382</v>
      </c>
      <c r="I3752" s="504">
        <v>11</v>
      </c>
      <c r="J3752" s="504">
        <v>11</v>
      </c>
      <c r="K3752" s="504">
        <v>0</v>
      </c>
      <c r="L3752" s="504">
        <v>0</v>
      </c>
      <c r="M3752" s="504">
        <v>0</v>
      </c>
      <c r="N3752" s="504">
        <v>0</v>
      </c>
      <c r="O3752" s="505">
        <v>0</v>
      </c>
    </row>
    <row r="3753" spans="1:15" x14ac:dyDescent="0.35">
      <c r="A3753" s="500" t="s">
        <v>11363</v>
      </c>
      <c r="B3753" s="501">
        <v>4718</v>
      </c>
      <c r="C3753" s="501" t="s">
        <v>1094</v>
      </c>
      <c r="D3753" s="501" t="s">
        <v>3380</v>
      </c>
      <c r="E3753" s="501" t="s">
        <v>3381</v>
      </c>
      <c r="F3753" s="501" t="s">
        <v>651</v>
      </c>
      <c r="G3753" s="501" t="s">
        <v>652</v>
      </c>
      <c r="H3753" s="501" t="s">
        <v>11551</v>
      </c>
      <c r="I3753" s="501">
        <v>11</v>
      </c>
      <c r="J3753" s="501">
        <v>0</v>
      </c>
      <c r="K3753" s="501">
        <v>0</v>
      </c>
      <c r="L3753" s="501">
        <v>11</v>
      </c>
      <c r="M3753" s="501">
        <v>0</v>
      </c>
      <c r="N3753" s="501">
        <v>0</v>
      </c>
      <c r="O3753" s="506">
        <v>0</v>
      </c>
    </row>
    <row r="3754" spans="1:15" x14ac:dyDescent="0.35">
      <c r="A3754" s="503" t="s">
        <v>1161</v>
      </c>
      <c r="B3754" s="504" t="s">
        <v>3001</v>
      </c>
      <c r="C3754" s="504" t="s">
        <v>1094</v>
      </c>
      <c r="D3754" s="504" t="s">
        <v>3380</v>
      </c>
      <c r="E3754" s="504" t="s">
        <v>3381</v>
      </c>
      <c r="F3754" s="504" t="s">
        <v>651</v>
      </c>
      <c r="G3754" s="504" t="s">
        <v>652</v>
      </c>
      <c r="H3754" s="504" t="s">
        <v>6383</v>
      </c>
      <c r="I3754" s="504">
        <v>139</v>
      </c>
      <c r="J3754" s="504">
        <v>92</v>
      </c>
      <c r="K3754" s="504">
        <v>0</v>
      </c>
      <c r="L3754" s="504">
        <v>0</v>
      </c>
      <c r="M3754" s="504">
        <v>0</v>
      </c>
      <c r="N3754" s="504">
        <v>0</v>
      </c>
      <c r="O3754" s="505">
        <v>47</v>
      </c>
    </row>
    <row r="3755" spans="1:15" x14ac:dyDescent="0.35">
      <c r="A3755" s="500" t="s">
        <v>1164</v>
      </c>
      <c r="B3755" s="501">
        <v>4751</v>
      </c>
      <c r="C3755" s="501" t="s">
        <v>1089</v>
      </c>
      <c r="D3755" s="501" t="s">
        <v>3392</v>
      </c>
      <c r="E3755" s="501" t="s">
        <v>3381</v>
      </c>
      <c r="F3755" s="501" t="s">
        <v>651</v>
      </c>
      <c r="G3755" s="501" t="s">
        <v>652</v>
      </c>
      <c r="H3755" s="501" t="s">
        <v>6384</v>
      </c>
      <c r="I3755" s="501">
        <v>29</v>
      </c>
      <c r="J3755" s="501">
        <v>0</v>
      </c>
      <c r="K3755" s="501">
        <v>0</v>
      </c>
      <c r="L3755" s="501">
        <v>29</v>
      </c>
      <c r="M3755" s="501">
        <v>0</v>
      </c>
      <c r="N3755" s="501">
        <v>0</v>
      </c>
      <c r="O3755" s="506">
        <v>0</v>
      </c>
    </row>
    <row r="3756" spans="1:15" x14ac:dyDescent="0.35">
      <c r="A3756" s="503" t="s">
        <v>1100</v>
      </c>
      <c r="B3756" s="504">
        <v>4865</v>
      </c>
      <c r="C3756" s="504" t="s">
        <v>1094</v>
      </c>
      <c r="D3756" s="504" t="s">
        <v>3380</v>
      </c>
      <c r="E3756" s="504" t="s">
        <v>3381</v>
      </c>
      <c r="F3756" s="504" t="s">
        <v>651</v>
      </c>
      <c r="G3756" s="504" t="s">
        <v>652</v>
      </c>
      <c r="H3756" s="504" t="s">
        <v>6385</v>
      </c>
      <c r="I3756" s="504">
        <v>16</v>
      </c>
      <c r="J3756" s="504">
        <v>15</v>
      </c>
      <c r="K3756" s="504">
        <v>0</v>
      </c>
      <c r="L3756" s="504">
        <v>0</v>
      </c>
      <c r="M3756" s="504">
        <v>0</v>
      </c>
      <c r="N3756" s="504">
        <v>0</v>
      </c>
      <c r="O3756" s="505">
        <v>1</v>
      </c>
    </row>
    <row r="3757" spans="1:15" x14ac:dyDescent="0.35">
      <c r="A3757" s="500" t="s">
        <v>1454</v>
      </c>
      <c r="B3757" s="501" t="s">
        <v>3019</v>
      </c>
      <c r="C3757" s="501" t="s">
        <v>1089</v>
      </c>
      <c r="D3757" s="501" t="s">
        <v>3392</v>
      </c>
      <c r="E3757" s="501" t="s">
        <v>3381</v>
      </c>
      <c r="F3757" s="501" t="s">
        <v>651</v>
      </c>
      <c r="G3757" s="501" t="s">
        <v>652</v>
      </c>
      <c r="H3757" s="501" t="s">
        <v>6386</v>
      </c>
      <c r="I3757" s="501">
        <v>270</v>
      </c>
      <c r="J3757" s="501">
        <v>33</v>
      </c>
      <c r="K3757" s="501">
        <v>0</v>
      </c>
      <c r="L3757" s="501">
        <v>9</v>
      </c>
      <c r="M3757" s="501">
        <v>228</v>
      </c>
      <c r="N3757" s="501">
        <v>14</v>
      </c>
      <c r="O3757" s="506">
        <v>0</v>
      </c>
    </row>
    <row r="3758" spans="1:15" x14ac:dyDescent="0.35">
      <c r="A3758" s="503" t="s">
        <v>1105</v>
      </c>
      <c r="B3758" s="504">
        <v>4668</v>
      </c>
      <c r="C3758" s="504" t="s">
        <v>1094</v>
      </c>
      <c r="D3758" s="504" t="s">
        <v>3380</v>
      </c>
      <c r="E3758" s="504" t="s">
        <v>3381</v>
      </c>
      <c r="F3758" s="504" t="s">
        <v>651</v>
      </c>
      <c r="G3758" s="504" t="s">
        <v>652</v>
      </c>
      <c r="H3758" s="504" t="s">
        <v>6387</v>
      </c>
      <c r="I3758" s="504">
        <v>3</v>
      </c>
      <c r="J3758" s="504">
        <v>0</v>
      </c>
      <c r="K3758" s="504">
        <v>0</v>
      </c>
      <c r="L3758" s="504">
        <v>0</v>
      </c>
      <c r="M3758" s="504">
        <v>0</v>
      </c>
      <c r="N3758" s="504">
        <v>0</v>
      </c>
      <c r="O3758" s="505">
        <v>3</v>
      </c>
    </row>
    <row r="3759" spans="1:15" x14ac:dyDescent="0.35">
      <c r="A3759" s="500" t="s">
        <v>1107</v>
      </c>
      <c r="B3759" s="501" t="s">
        <v>3109</v>
      </c>
      <c r="C3759" s="501" t="s">
        <v>1094</v>
      </c>
      <c r="D3759" s="501" t="s">
        <v>3380</v>
      </c>
      <c r="E3759" s="501" t="s">
        <v>3381</v>
      </c>
      <c r="F3759" s="501" t="s">
        <v>651</v>
      </c>
      <c r="G3759" s="501" t="s">
        <v>652</v>
      </c>
      <c r="H3759" s="501" t="s">
        <v>6388</v>
      </c>
      <c r="I3759" s="501">
        <v>848</v>
      </c>
      <c r="J3759" s="501">
        <v>785</v>
      </c>
      <c r="K3759" s="501">
        <v>0</v>
      </c>
      <c r="L3759" s="501">
        <v>0</v>
      </c>
      <c r="M3759" s="501">
        <v>30</v>
      </c>
      <c r="N3759" s="501">
        <v>0</v>
      </c>
      <c r="O3759" s="506">
        <v>33</v>
      </c>
    </row>
    <row r="3760" spans="1:15" x14ac:dyDescent="0.35">
      <c r="A3760" s="503" t="s">
        <v>1189</v>
      </c>
      <c r="B3760" s="504" t="s">
        <v>3236</v>
      </c>
      <c r="C3760" s="504" t="s">
        <v>1094</v>
      </c>
      <c r="D3760" s="504" t="s">
        <v>3380</v>
      </c>
      <c r="E3760" s="504" t="s">
        <v>3381</v>
      </c>
      <c r="F3760" s="504" t="s">
        <v>651</v>
      </c>
      <c r="G3760" s="504" t="s">
        <v>652</v>
      </c>
      <c r="H3760" s="504" t="s">
        <v>6389</v>
      </c>
      <c r="I3760" s="504">
        <v>159</v>
      </c>
      <c r="J3760" s="504">
        <v>142</v>
      </c>
      <c r="K3760" s="504">
        <v>0</v>
      </c>
      <c r="L3760" s="504">
        <v>0</v>
      </c>
      <c r="M3760" s="504">
        <v>0</v>
      </c>
      <c r="N3760" s="504">
        <v>1</v>
      </c>
      <c r="O3760" s="505">
        <v>17</v>
      </c>
    </row>
    <row r="3761" spans="1:15" x14ac:dyDescent="0.35">
      <c r="A3761" s="500" t="s">
        <v>1307</v>
      </c>
      <c r="B3761" s="501" t="s">
        <v>3306</v>
      </c>
      <c r="C3761" s="501" t="s">
        <v>1089</v>
      </c>
      <c r="D3761" s="501" t="s">
        <v>3392</v>
      </c>
      <c r="E3761" s="501" t="s">
        <v>3381</v>
      </c>
      <c r="F3761" s="501" t="s">
        <v>651</v>
      </c>
      <c r="G3761" s="501" t="s">
        <v>652</v>
      </c>
      <c r="H3761" s="501" t="s">
        <v>6390</v>
      </c>
      <c r="I3761" s="501">
        <v>5</v>
      </c>
      <c r="J3761" s="501">
        <v>5</v>
      </c>
      <c r="K3761" s="501">
        <v>0</v>
      </c>
      <c r="L3761" s="501">
        <v>0</v>
      </c>
      <c r="M3761" s="501">
        <v>0</v>
      </c>
      <c r="N3761" s="501">
        <v>0</v>
      </c>
      <c r="O3761" s="506">
        <v>0</v>
      </c>
    </row>
    <row r="3762" spans="1:15" x14ac:dyDescent="0.35">
      <c r="A3762" s="503" t="s">
        <v>1474</v>
      </c>
      <c r="B3762" s="504" t="s">
        <v>3300</v>
      </c>
      <c r="C3762" s="504" t="s">
        <v>1094</v>
      </c>
      <c r="D3762" s="504" t="s">
        <v>3380</v>
      </c>
      <c r="E3762" s="504" t="s">
        <v>3381</v>
      </c>
      <c r="F3762" s="504" t="s">
        <v>651</v>
      </c>
      <c r="G3762" s="504" t="s">
        <v>652</v>
      </c>
      <c r="H3762" s="504" t="s">
        <v>6391</v>
      </c>
      <c r="I3762" s="504">
        <v>172</v>
      </c>
      <c r="J3762" s="504">
        <v>160</v>
      </c>
      <c r="K3762" s="504">
        <v>0</v>
      </c>
      <c r="L3762" s="504">
        <v>0</v>
      </c>
      <c r="M3762" s="504">
        <v>0</v>
      </c>
      <c r="N3762" s="504">
        <v>0</v>
      </c>
      <c r="O3762" s="505">
        <v>12</v>
      </c>
    </row>
    <row r="3763" spans="1:15" x14ac:dyDescent="0.35">
      <c r="A3763" s="500" t="s">
        <v>1308</v>
      </c>
      <c r="B3763" s="501" t="s">
        <v>3263</v>
      </c>
      <c r="C3763" s="501" t="s">
        <v>1089</v>
      </c>
      <c r="D3763" s="501" t="s">
        <v>3392</v>
      </c>
      <c r="E3763" s="501" t="s">
        <v>3381</v>
      </c>
      <c r="F3763" s="501" t="s">
        <v>651</v>
      </c>
      <c r="G3763" s="501" t="s">
        <v>652</v>
      </c>
      <c r="H3763" s="501" t="s">
        <v>6392</v>
      </c>
      <c r="I3763" s="501">
        <v>33</v>
      </c>
      <c r="J3763" s="501">
        <v>0</v>
      </c>
      <c r="K3763" s="501">
        <v>0</v>
      </c>
      <c r="L3763" s="501">
        <v>0</v>
      </c>
      <c r="M3763" s="501">
        <v>33</v>
      </c>
      <c r="N3763" s="501">
        <v>0</v>
      </c>
      <c r="O3763" s="506">
        <v>0</v>
      </c>
    </row>
    <row r="3764" spans="1:15" x14ac:dyDescent="0.35">
      <c r="A3764" s="503" t="s">
        <v>1202</v>
      </c>
      <c r="B3764" s="504" t="s">
        <v>3217</v>
      </c>
      <c r="C3764" s="504" t="s">
        <v>1094</v>
      </c>
      <c r="D3764" s="504" t="s">
        <v>3380</v>
      </c>
      <c r="E3764" s="504" t="s">
        <v>3381</v>
      </c>
      <c r="F3764" s="504" t="s">
        <v>651</v>
      </c>
      <c r="G3764" s="504" t="s">
        <v>652</v>
      </c>
      <c r="H3764" s="504" t="s">
        <v>6393</v>
      </c>
      <c r="I3764" s="504">
        <v>4</v>
      </c>
      <c r="J3764" s="504">
        <v>2</v>
      </c>
      <c r="K3764" s="504">
        <v>0</v>
      </c>
      <c r="L3764" s="504">
        <v>0</v>
      </c>
      <c r="M3764" s="504">
        <v>0</v>
      </c>
      <c r="N3764" s="504">
        <v>0</v>
      </c>
      <c r="O3764" s="505">
        <v>2</v>
      </c>
    </row>
    <row r="3765" spans="1:15" x14ac:dyDescent="0.35">
      <c r="A3765" s="500" t="s">
        <v>1112</v>
      </c>
      <c r="B3765" s="501" t="s">
        <v>3008</v>
      </c>
      <c r="C3765" s="501" t="s">
        <v>1094</v>
      </c>
      <c r="D3765" s="501" t="s">
        <v>3380</v>
      </c>
      <c r="E3765" s="501" t="s">
        <v>3381</v>
      </c>
      <c r="F3765" s="501" t="s">
        <v>651</v>
      </c>
      <c r="G3765" s="501" t="s">
        <v>652</v>
      </c>
      <c r="H3765" s="501" t="s">
        <v>6394</v>
      </c>
      <c r="I3765" s="501">
        <v>665</v>
      </c>
      <c r="J3765" s="501">
        <v>486</v>
      </c>
      <c r="K3765" s="501">
        <v>0</v>
      </c>
      <c r="L3765" s="501">
        <v>38</v>
      </c>
      <c r="M3765" s="501">
        <v>0</v>
      </c>
      <c r="N3765" s="501">
        <v>0</v>
      </c>
      <c r="O3765" s="506">
        <v>141</v>
      </c>
    </row>
    <row r="3766" spans="1:15" x14ac:dyDescent="0.35">
      <c r="A3766" s="503" t="s">
        <v>1114</v>
      </c>
      <c r="B3766" s="504" t="s">
        <v>2982</v>
      </c>
      <c r="C3766" s="504" t="s">
        <v>1094</v>
      </c>
      <c r="D3766" s="504" t="s">
        <v>3380</v>
      </c>
      <c r="E3766" s="504" t="s">
        <v>3381</v>
      </c>
      <c r="F3766" s="504" t="s">
        <v>651</v>
      </c>
      <c r="G3766" s="504" t="s">
        <v>652</v>
      </c>
      <c r="H3766" s="504" t="s">
        <v>6395</v>
      </c>
      <c r="I3766" s="504">
        <v>1</v>
      </c>
      <c r="J3766" s="504">
        <v>0</v>
      </c>
      <c r="K3766" s="504">
        <v>0</v>
      </c>
      <c r="L3766" s="504">
        <v>0</v>
      </c>
      <c r="M3766" s="504">
        <v>0</v>
      </c>
      <c r="N3766" s="504">
        <v>0</v>
      </c>
      <c r="O3766" s="505">
        <v>1</v>
      </c>
    </row>
    <row r="3767" spans="1:15" x14ac:dyDescent="0.35">
      <c r="A3767" s="500" t="s">
        <v>1315</v>
      </c>
      <c r="B3767" s="501">
        <v>4825</v>
      </c>
      <c r="C3767" s="501" t="s">
        <v>1094</v>
      </c>
      <c r="D3767" s="501" t="s">
        <v>3380</v>
      </c>
      <c r="E3767" s="501" t="s">
        <v>3381</v>
      </c>
      <c r="F3767" s="501" t="s">
        <v>651</v>
      </c>
      <c r="G3767" s="501" t="s">
        <v>652</v>
      </c>
      <c r="H3767" s="501" t="s">
        <v>6396</v>
      </c>
      <c r="I3767" s="501">
        <v>618</v>
      </c>
      <c r="J3767" s="501">
        <v>385</v>
      </c>
      <c r="K3767" s="501">
        <v>0</v>
      </c>
      <c r="L3767" s="501">
        <v>23</v>
      </c>
      <c r="M3767" s="501">
        <v>45</v>
      </c>
      <c r="N3767" s="501">
        <v>10</v>
      </c>
      <c r="O3767" s="506">
        <v>165</v>
      </c>
    </row>
    <row r="3768" spans="1:15" x14ac:dyDescent="0.35">
      <c r="A3768" s="503" t="s">
        <v>1319</v>
      </c>
      <c r="B3768" s="504">
        <v>4880</v>
      </c>
      <c r="C3768" s="504" t="s">
        <v>1094</v>
      </c>
      <c r="D3768" s="504" t="s">
        <v>3380</v>
      </c>
      <c r="E3768" s="504" t="s">
        <v>3381</v>
      </c>
      <c r="F3768" s="504" t="s">
        <v>651</v>
      </c>
      <c r="G3768" s="504" t="s">
        <v>652</v>
      </c>
      <c r="H3768" s="504" t="s">
        <v>6397</v>
      </c>
      <c r="I3768" s="504">
        <v>646</v>
      </c>
      <c r="J3768" s="504">
        <v>435</v>
      </c>
      <c r="K3768" s="504">
        <v>0</v>
      </c>
      <c r="L3768" s="504">
        <v>62</v>
      </c>
      <c r="M3768" s="504">
        <v>55</v>
      </c>
      <c r="N3768" s="504">
        <v>6</v>
      </c>
      <c r="O3768" s="505">
        <v>94</v>
      </c>
    </row>
    <row r="3769" spans="1:15" x14ac:dyDescent="0.35">
      <c r="A3769" s="500" t="s">
        <v>1120</v>
      </c>
      <c r="B3769" s="501" t="s">
        <v>3362</v>
      </c>
      <c r="C3769" s="501" t="s">
        <v>1094</v>
      </c>
      <c r="D3769" s="501" t="s">
        <v>3380</v>
      </c>
      <c r="E3769" s="501" t="s">
        <v>3381</v>
      </c>
      <c r="F3769" s="501" t="s">
        <v>651</v>
      </c>
      <c r="G3769" s="501" t="s">
        <v>652</v>
      </c>
      <c r="H3769" s="501" t="s">
        <v>6398</v>
      </c>
      <c r="I3769" s="501">
        <v>60</v>
      </c>
      <c r="J3769" s="501">
        <v>0</v>
      </c>
      <c r="K3769" s="501">
        <v>0</v>
      </c>
      <c r="L3769" s="501">
        <v>0</v>
      </c>
      <c r="M3769" s="501">
        <v>0</v>
      </c>
      <c r="N3769" s="501">
        <v>0</v>
      </c>
      <c r="O3769" s="506">
        <v>60</v>
      </c>
    </row>
    <row r="3770" spans="1:15" x14ac:dyDescent="0.35">
      <c r="A3770" s="503" t="s">
        <v>1510</v>
      </c>
      <c r="B3770" s="504" t="s">
        <v>3004</v>
      </c>
      <c r="C3770" s="504" t="s">
        <v>1094</v>
      </c>
      <c r="D3770" s="504" t="s">
        <v>3380</v>
      </c>
      <c r="E3770" s="504" t="s">
        <v>3381</v>
      </c>
      <c r="F3770" s="504" t="s">
        <v>651</v>
      </c>
      <c r="G3770" s="504" t="s">
        <v>652</v>
      </c>
      <c r="H3770" s="504" t="s">
        <v>6399</v>
      </c>
      <c r="I3770" s="504">
        <v>28</v>
      </c>
      <c r="J3770" s="504">
        <v>0</v>
      </c>
      <c r="K3770" s="504">
        <v>0</v>
      </c>
      <c r="L3770" s="504">
        <v>0</v>
      </c>
      <c r="M3770" s="504">
        <v>0</v>
      </c>
      <c r="N3770" s="504">
        <v>0</v>
      </c>
      <c r="O3770" s="505">
        <v>28</v>
      </c>
    </row>
    <row r="3771" spans="1:15" x14ac:dyDescent="0.35">
      <c r="A3771" s="500" t="s">
        <v>1322</v>
      </c>
      <c r="B3771" s="501" t="s">
        <v>3244</v>
      </c>
      <c r="C3771" s="501" t="s">
        <v>1094</v>
      </c>
      <c r="D3771" s="501" t="s">
        <v>3380</v>
      </c>
      <c r="E3771" s="501" t="s">
        <v>3381</v>
      </c>
      <c r="F3771" s="501" t="s">
        <v>651</v>
      </c>
      <c r="G3771" s="501" t="s">
        <v>652</v>
      </c>
      <c r="H3771" s="501" t="s">
        <v>6400</v>
      </c>
      <c r="I3771" s="501">
        <v>18</v>
      </c>
      <c r="J3771" s="501">
        <v>4</v>
      </c>
      <c r="K3771" s="501">
        <v>0</v>
      </c>
      <c r="L3771" s="501">
        <v>0</v>
      </c>
      <c r="M3771" s="501">
        <v>0</v>
      </c>
      <c r="N3771" s="501">
        <v>0</v>
      </c>
      <c r="O3771" s="506">
        <v>14</v>
      </c>
    </row>
    <row r="3772" spans="1:15" x14ac:dyDescent="0.35">
      <c r="A3772" s="503" t="s">
        <v>1325</v>
      </c>
      <c r="B3772" s="504" t="s">
        <v>3011</v>
      </c>
      <c r="C3772" s="504" t="s">
        <v>1094</v>
      </c>
      <c r="D3772" s="504" t="s">
        <v>3380</v>
      </c>
      <c r="E3772" s="504" t="s">
        <v>3381</v>
      </c>
      <c r="F3772" s="504" t="s">
        <v>651</v>
      </c>
      <c r="G3772" s="504" t="s">
        <v>652</v>
      </c>
      <c r="H3772" s="504" t="s">
        <v>6401</v>
      </c>
      <c r="I3772" s="504">
        <v>227</v>
      </c>
      <c r="J3772" s="504">
        <v>110</v>
      </c>
      <c r="K3772" s="504">
        <v>0</v>
      </c>
      <c r="L3772" s="504">
        <v>0</v>
      </c>
      <c r="M3772" s="504">
        <v>0</v>
      </c>
      <c r="N3772" s="504">
        <v>0</v>
      </c>
      <c r="O3772" s="505">
        <v>117</v>
      </c>
    </row>
    <row r="3773" spans="1:15" x14ac:dyDescent="0.35">
      <c r="A3773" s="500" t="s">
        <v>1327</v>
      </c>
      <c r="B3773" s="501" t="s">
        <v>3330</v>
      </c>
      <c r="C3773" s="501" t="s">
        <v>1094</v>
      </c>
      <c r="D3773" s="501" t="s">
        <v>3380</v>
      </c>
      <c r="E3773" s="501" t="s">
        <v>3381</v>
      </c>
      <c r="F3773" s="501" t="s">
        <v>651</v>
      </c>
      <c r="G3773" s="501" t="s">
        <v>652</v>
      </c>
      <c r="H3773" s="501" t="s">
        <v>6402</v>
      </c>
      <c r="I3773" s="501">
        <v>152</v>
      </c>
      <c r="J3773" s="501">
        <v>146</v>
      </c>
      <c r="K3773" s="501">
        <v>0</v>
      </c>
      <c r="L3773" s="501">
        <v>0</v>
      </c>
      <c r="M3773" s="501">
        <v>0</v>
      </c>
      <c r="N3773" s="501">
        <v>0</v>
      </c>
      <c r="O3773" s="506">
        <v>6</v>
      </c>
    </row>
    <row r="3774" spans="1:15" x14ac:dyDescent="0.35">
      <c r="A3774" s="503" t="s">
        <v>1220</v>
      </c>
      <c r="B3774" s="504">
        <v>4849</v>
      </c>
      <c r="C3774" s="504" t="s">
        <v>1094</v>
      </c>
      <c r="D3774" s="504" t="s">
        <v>3380</v>
      </c>
      <c r="E3774" s="504" t="s">
        <v>3381</v>
      </c>
      <c r="F3774" s="504" t="s">
        <v>651</v>
      </c>
      <c r="G3774" s="504" t="s">
        <v>652</v>
      </c>
      <c r="H3774" s="504" t="s">
        <v>6403</v>
      </c>
      <c r="I3774" s="504">
        <v>78</v>
      </c>
      <c r="J3774" s="504">
        <v>40</v>
      </c>
      <c r="K3774" s="504">
        <v>0</v>
      </c>
      <c r="L3774" s="504">
        <v>0</v>
      </c>
      <c r="M3774" s="504">
        <v>30</v>
      </c>
      <c r="N3774" s="504">
        <v>0</v>
      </c>
      <c r="O3774" s="505">
        <v>8</v>
      </c>
    </row>
    <row r="3775" spans="1:15" x14ac:dyDescent="0.35">
      <c r="A3775" s="500" t="s">
        <v>1332</v>
      </c>
      <c r="B3775" s="501">
        <v>4878</v>
      </c>
      <c r="C3775" s="501" t="s">
        <v>1094</v>
      </c>
      <c r="D3775" s="501" t="s">
        <v>3380</v>
      </c>
      <c r="E3775" s="501" t="s">
        <v>3381</v>
      </c>
      <c r="F3775" s="501" t="s">
        <v>651</v>
      </c>
      <c r="G3775" s="501" t="s">
        <v>652</v>
      </c>
      <c r="H3775" s="501" t="s">
        <v>6404</v>
      </c>
      <c r="I3775" s="501">
        <v>21</v>
      </c>
      <c r="J3775" s="501">
        <v>10</v>
      </c>
      <c r="K3775" s="501">
        <v>0</v>
      </c>
      <c r="L3775" s="501">
        <v>0</v>
      </c>
      <c r="M3775" s="501">
        <v>0</v>
      </c>
      <c r="N3775" s="501">
        <v>0</v>
      </c>
      <c r="O3775" s="506">
        <v>11</v>
      </c>
    </row>
    <row r="3776" spans="1:15" x14ac:dyDescent="0.35">
      <c r="A3776" s="503" t="s">
        <v>1526</v>
      </c>
      <c r="B3776" s="504" t="s">
        <v>3061</v>
      </c>
      <c r="C3776" s="504" t="s">
        <v>1089</v>
      </c>
      <c r="D3776" s="504" t="s">
        <v>3392</v>
      </c>
      <c r="E3776" s="504" t="s">
        <v>3381</v>
      </c>
      <c r="F3776" s="504" t="s">
        <v>651</v>
      </c>
      <c r="G3776" s="504" t="s">
        <v>652</v>
      </c>
      <c r="H3776" s="504" t="s">
        <v>6405</v>
      </c>
      <c r="I3776" s="504">
        <v>30</v>
      </c>
      <c r="J3776" s="504">
        <v>0</v>
      </c>
      <c r="K3776" s="504">
        <v>0</v>
      </c>
      <c r="L3776" s="504">
        <v>0</v>
      </c>
      <c r="M3776" s="504">
        <v>30</v>
      </c>
      <c r="N3776" s="504">
        <v>0</v>
      </c>
      <c r="O3776" s="505">
        <v>0</v>
      </c>
    </row>
    <row r="3777" spans="1:15" x14ac:dyDescent="0.35">
      <c r="A3777" s="500" t="s">
        <v>1233</v>
      </c>
      <c r="B3777" s="501">
        <v>4636</v>
      </c>
      <c r="C3777" s="501" t="s">
        <v>1094</v>
      </c>
      <c r="D3777" s="501" t="s">
        <v>3380</v>
      </c>
      <c r="E3777" s="501" t="s">
        <v>3381</v>
      </c>
      <c r="F3777" s="501" t="s">
        <v>651</v>
      </c>
      <c r="G3777" s="501" t="s">
        <v>652</v>
      </c>
      <c r="H3777" s="501" t="s">
        <v>14741</v>
      </c>
      <c r="I3777" s="501">
        <v>36</v>
      </c>
      <c r="J3777" s="501">
        <v>16</v>
      </c>
      <c r="K3777" s="501">
        <v>0</v>
      </c>
      <c r="L3777" s="501">
        <v>0</v>
      </c>
      <c r="M3777" s="501">
        <v>0</v>
      </c>
      <c r="N3777" s="501">
        <v>0</v>
      </c>
      <c r="O3777" s="506">
        <v>20</v>
      </c>
    </row>
    <row r="3778" spans="1:15" x14ac:dyDescent="0.35">
      <c r="A3778" s="503" t="s">
        <v>11368</v>
      </c>
      <c r="B3778" s="504">
        <v>5083</v>
      </c>
      <c r="C3778" s="504" t="s">
        <v>1094</v>
      </c>
      <c r="D3778" s="504" t="s">
        <v>3380</v>
      </c>
      <c r="E3778" s="504" t="s">
        <v>3381</v>
      </c>
      <c r="F3778" s="504" t="s">
        <v>651</v>
      </c>
      <c r="G3778" s="504" t="s">
        <v>652</v>
      </c>
      <c r="H3778" s="504" t="s">
        <v>14742</v>
      </c>
      <c r="I3778" s="504">
        <v>17</v>
      </c>
      <c r="J3778" s="504">
        <v>17</v>
      </c>
      <c r="K3778" s="504">
        <v>0</v>
      </c>
      <c r="L3778" s="504">
        <v>0</v>
      </c>
      <c r="M3778" s="504">
        <v>0</v>
      </c>
      <c r="N3778" s="504">
        <v>0</v>
      </c>
      <c r="O3778" s="505">
        <v>0</v>
      </c>
    </row>
    <row r="3779" spans="1:15" x14ac:dyDescent="0.35">
      <c r="A3779" s="500" t="s">
        <v>1234</v>
      </c>
      <c r="B3779" s="501" t="s">
        <v>3291</v>
      </c>
      <c r="C3779" s="501" t="s">
        <v>1094</v>
      </c>
      <c r="D3779" s="501" t="s">
        <v>3380</v>
      </c>
      <c r="E3779" s="501" t="s">
        <v>3381</v>
      </c>
      <c r="F3779" s="501" t="s">
        <v>651</v>
      </c>
      <c r="G3779" s="501" t="s">
        <v>652</v>
      </c>
      <c r="H3779" s="501" t="s">
        <v>6406</v>
      </c>
      <c r="I3779" s="501">
        <v>2</v>
      </c>
      <c r="J3779" s="501">
        <v>2</v>
      </c>
      <c r="K3779" s="501">
        <v>0</v>
      </c>
      <c r="L3779" s="501">
        <v>0</v>
      </c>
      <c r="M3779" s="501">
        <v>0</v>
      </c>
      <c r="N3779" s="501">
        <v>0</v>
      </c>
      <c r="O3779" s="506">
        <v>0</v>
      </c>
    </row>
    <row r="3780" spans="1:15" x14ac:dyDescent="0.35">
      <c r="A3780" s="503" t="s">
        <v>1126</v>
      </c>
      <c r="B3780" s="504" t="s">
        <v>2974</v>
      </c>
      <c r="C3780" s="504" t="s">
        <v>1094</v>
      </c>
      <c r="D3780" s="504" t="s">
        <v>3380</v>
      </c>
      <c r="E3780" s="504" t="s">
        <v>3381</v>
      </c>
      <c r="F3780" s="504" t="s">
        <v>651</v>
      </c>
      <c r="G3780" s="504" t="s">
        <v>652</v>
      </c>
      <c r="H3780" s="504" t="s">
        <v>6407</v>
      </c>
      <c r="I3780" s="504">
        <v>31</v>
      </c>
      <c r="J3780" s="504">
        <v>0</v>
      </c>
      <c r="K3780" s="504">
        <v>0</v>
      </c>
      <c r="L3780" s="504">
        <v>0</v>
      </c>
      <c r="M3780" s="504">
        <v>31</v>
      </c>
      <c r="N3780" s="504">
        <v>0</v>
      </c>
      <c r="O3780" s="505">
        <v>0</v>
      </c>
    </row>
    <row r="3781" spans="1:15" x14ac:dyDescent="0.35">
      <c r="A3781" s="500" t="s">
        <v>1342</v>
      </c>
      <c r="B3781" s="501" t="s">
        <v>3237</v>
      </c>
      <c r="C3781" s="501" t="s">
        <v>1094</v>
      </c>
      <c r="D3781" s="501" t="s">
        <v>3380</v>
      </c>
      <c r="E3781" s="501" t="s">
        <v>3381</v>
      </c>
      <c r="F3781" s="501" t="s">
        <v>651</v>
      </c>
      <c r="G3781" s="501" t="s">
        <v>652</v>
      </c>
      <c r="H3781" s="501" t="s">
        <v>6408</v>
      </c>
      <c r="I3781" s="501">
        <v>10</v>
      </c>
      <c r="J3781" s="501">
        <v>7</v>
      </c>
      <c r="K3781" s="501">
        <v>0</v>
      </c>
      <c r="L3781" s="501">
        <v>0</v>
      </c>
      <c r="M3781" s="501">
        <v>0</v>
      </c>
      <c r="N3781" s="501">
        <v>0</v>
      </c>
      <c r="O3781" s="506">
        <v>3</v>
      </c>
    </row>
    <row r="3782" spans="1:15" x14ac:dyDescent="0.35">
      <c r="A3782" s="503" t="s">
        <v>1130</v>
      </c>
      <c r="B3782" s="504" t="s">
        <v>3234</v>
      </c>
      <c r="C3782" s="504" t="s">
        <v>1094</v>
      </c>
      <c r="D3782" s="504" t="s">
        <v>3380</v>
      </c>
      <c r="E3782" s="504" t="s">
        <v>3381</v>
      </c>
      <c r="F3782" s="504" t="s">
        <v>651</v>
      </c>
      <c r="G3782" s="504" t="s">
        <v>652</v>
      </c>
      <c r="H3782" s="504" t="s">
        <v>6409</v>
      </c>
      <c r="I3782" s="504">
        <v>4</v>
      </c>
      <c r="J3782" s="504">
        <v>2</v>
      </c>
      <c r="K3782" s="504">
        <v>0</v>
      </c>
      <c r="L3782" s="504">
        <v>0</v>
      </c>
      <c r="M3782" s="504">
        <v>0</v>
      </c>
      <c r="N3782" s="504">
        <v>0</v>
      </c>
      <c r="O3782" s="505">
        <v>2</v>
      </c>
    </row>
    <row r="3783" spans="1:15" x14ac:dyDescent="0.35">
      <c r="A3783" s="500" t="s">
        <v>1558</v>
      </c>
      <c r="B3783" s="501">
        <v>4843</v>
      </c>
      <c r="C3783" s="501" t="s">
        <v>1089</v>
      </c>
      <c r="D3783" s="501" t="s">
        <v>3392</v>
      </c>
      <c r="E3783" s="501" t="s">
        <v>3381</v>
      </c>
      <c r="F3783" s="501" t="s">
        <v>651</v>
      </c>
      <c r="G3783" s="501" t="s">
        <v>652</v>
      </c>
      <c r="H3783" s="501" t="s">
        <v>14743</v>
      </c>
      <c r="I3783" s="501">
        <v>2</v>
      </c>
      <c r="J3783" s="501">
        <v>2</v>
      </c>
      <c r="K3783" s="501">
        <v>0</v>
      </c>
      <c r="L3783" s="501">
        <v>0</v>
      </c>
      <c r="M3783" s="501">
        <v>0</v>
      </c>
      <c r="N3783" s="501">
        <v>0</v>
      </c>
      <c r="O3783" s="506">
        <v>0</v>
      </c>
    </row>
    <row r="3784" spans="1:15" x14ac:dyDescent="0.35">
      <c r="A3784" s="503" t="s">
        <v>1249</v>
      </c>
      <c r="B3784" s="504">
        <v>4729</v>
      </c>
      <c r="C3784" s="504" t="s">
        <v>1094</v>
      </c>
      <c r="D3784" s="504" t="s">
        <v>3380</v>
      </c>
      <c r="E3784" s="504" t="s">
        <v>3381</v>
      </c>
      <c r="F3784" s="504" t="s">
        <v>651</v>
      </c>
      <c r="G3784" s="504" t="s">
        <v>652</v>
      </c>
      <c r="H3784" s="504" t="s">
        <v>6410</v>
      </c>
      <c r="I3784" s="504">
        <v>35</v>
      </c>
      <c r="J3784" s="504">
        <v>35</v>
      </c>
      <c r="K3784" s="504">
        <v>0</v>
      </c>
      <c r="L3784" s="504">
        <v>0</v>
      </c>
      <c r="M3784" s="504">
        <v>0</v>
      </c>
      <c r="N3784" s="504">
        <v>0</v>
      </c>
      <c r="O3784" s="505">
        <v>0</v>
      </c>
    </row>
    <row r="3785" spans="1:15" x14ac:dyDescent="0.35">
      <c r="A3785" s="500" t="s">
        <v>1596</v>
      </c>
      <c r="B3785" s="501" t="s">
        <v>2936</v>
      </c>
      <c r="C3785" s="501" t="s">
        <v>1089</v>
      </c>
      <c r="D3785" s="501" t="s">
        <v>3392</v>
      </c>
      <c r="E3785" s="501" t="s">
        <v>3381</v>
      </c>
      <c r="F3785" s="501" t="s">
        <v>651</v>
      </c>
      <c r="G3785" s="501" t="s">
        <v>652</v>
      </c>
      <c r="H3785" s="501" t="s">
        <v>6411</v>
      </c>
      <c r="I3785" s="501">
        <v>42</v>
      </c>
      <c r="J3785" s="501">
        <v>0</v>
      </c>
      <c r="K3785" s="501">
        <v>0</v>
      </c>
      <c r="L3785" s="501">
        <v>42</v>
      </c>
      <c r="M3785" s="501">
        <v>0</v>
      </c>
      <c r="N3785" s="501">
        <v>0</v>
      </c>
      <c r="O3785" s="506">
        <v>0</v>
      </c>
    </row>
    <row r="3786" spans="1:15" x14ac:dyDescent="0.35">
      <c r="A3786" s="503" t="s">
        <v>1264</v>
      </c>
      <c r="B3786" s="504">
        <v>4671</v>
      </c>
      <c r="C3786" s="504" t="s">
        <v>1089</v>
      </c>
      <c r="D3786" s="504" t="s">
        <v>3392</v>
      </c>
      <c r="E3786" s="504" t="s">
        <v>3381</v>
      </c>
      <c r="F3786" s="504" t="s">
        <v>651</v>
      </c>
      <c r="G3786" s="504" t="s">
        <v>652</v>
      </c>
      <c r="H3786" s="504" t="s">
        <v>14744</v>
      </c>
      <c r="I3786" s="504">
        <v>21</v>
      </c>
      <c r="J3786" s="504">
        <v>0</v>
      </c>
      <c r="K3786" s="504">
        <v>0</v>
      </c>
      <c r="L3786" s="504">
        <v>21</v>
      </c>
      <c r="M3786" s="504">
        <v>0</v>
      </c>
      <c r="N3786" s="504">
        <v>0</v>
      </c>
      <c r="O3786" s="505">
        <v>0</v>
      </c>
    </row>
    <row r="3787" spans="1:15" x14ac:dyDescent="0.35">
      <c r="A3787" s="500" t="s">
        <v>1605</v>
      </c>
      <c r="B3787" s="501" t="s">
        <v>3064</v>
      </c>
      <c r="C3787" s="501" t="s">
        <v>1089</v>
      </c>
      <c r="D3787" s="501" t="s">
        <v>3392</v>
      </c>
      <c r="E3787" s="501" t="s">
        <v>3381</v>
      </c>
      <c r="F3787" s="501" t="s">
        <v>651</v>
      </c>
      <c r="G3787" s="501" t="s">
        <v>652</v>
      </c>
      <c r="H3787" s="501" t="s">
        <v>6412</v>
      </c>
      <c r="I3787" s="501">
        <v>20</v>
      </c>
      <c r="J3787" s="501">
        <v>20</v>
      </c>
      <c r="K3787" s="501">
        <v>0</v>
      </c>
      <c r="L3787" s="501">
        <v>0</v>
      </c>
      <c r="M3787" s="501">
        <v>0</v>
      </c>
      <c r="N3787" s="501">
        <v>0</v>
      </c>
      <c r="O3787" s="506">
        <v>0</v>
      </c>
    </row>
    <row r="3788" spans="1:15" x14ac:dyDescent="0.35">
      <c r="A3788" s="503" t="s">
        <v>1385</v>
      </c>
      <c r="B3788" s="504" t="s">
        <v>3249</v>
      </c>
      <c r="C3788" s="504" t="s">
        <v>1094</v>
      </c>
      <c r="D3788" s="504" t="s">
        <v>3380</v>
      </c>
      <c r="E3788" s="504" t="s">
        <v>3381</v>
      </c>
      <c r="F3788" s="504" t="s">
        <v>653</v>
      </c>
      <c r="G3788" s="504" t="s">
        <v>654</v>
      </c>
      <c r="H3788" s="504" t="s">
        <v>6413</v>
      </c>
      <c r="I3788" s="504">
        <v>1</v>
      </c>
      <c r="J3788" s="504">
        <v>1</v>
      </c>
      <c r="K3788" s="504">
        <v>0</v>
      </c>
      <c r="L3788" s="504">
        <v>0</v>
      </c>
      <c r="M3788" s="504">
        <v>0</v>
      </c>
      <c r="N3788" s="504">
        <v>0</v>
      </c>
      <c r="O3788" s="505">
        <v>0</v>
      </c>
    </row>
    <row r="3789" spans="1:15" x14ac:dyDescent="0.35">
      <c r="A3789" s="500" t="s">
        <v>14127</v>
      </c>
      <c r="B3789" s="501" t="s">
        <v>14126</v>
      </c>
      <c r="C3789" s="501" t="s">
        <v>1094</v>
      </c>
      <c r="D3789" s="501" t="s">
        <v>3380</v>
      </c>
      <c r="E3789" s="501" t="s">
        <v>3381</v>
      </c>
      <c r="F3789" s="501" t="s">
        <v>653</v>
      </c>
      <c r="G3789" s="501" t="s">
        <v>654</v>
      </c>
      <c r="H3789" s="501" t="s">
        <v>14745</v>
      </c>
      <c r="I3789" s="501">
        <v>90</v>
      </c>
      <c r="J3789" s="501">
        <v>60</v>
      </c>
      <c r="K3789" s="501">
        <v>0</v>
      </c>
      <c r="L3789" s="501">
        <v>0</v>
      </c>
      <c r="M3789" s="501">
        <v>0</v>
      </c>
      <c r="N3789" s="501">
        <v>0</v>
      </c>
      <c r="O3789" s="506">
        <v>30</v>
      </c>
    </row>
    <row r="3790" spans="1:15" x14ac:dyDescent="0.35">
      <c r="A3790" s="503" t="s">
        <v>1143</v>
      </c>
      <c r="B3790" s="504" t="s">
        <v>3281</v>
      </c>
      <c r="C3790" s="504" t="s">
        <v>1094</v>
      </c>
      <c r="D3790" s="504" t="s">
        <v>3380</v>
      </c>
      <c r="E3790" s="504" t="s">
        <v>3381</v>
      </c>
      <c r="F3790" s="504" t="s">
        <v>653</v>
      </c>
      <c r="G3790" s="504" t="s">
        <v>654</v>
      </c>
      <c r="H3790" s="504" t="s">
        <v>6414</v>
      </c>
      <c r="I3790" s="504">
        <v>5</v>
      </c>
      <c r="J3790" s="504">
        <v>5</v>
      </c>
      <c r="K3790" s="504">
        <v>0</v>
      </c>
      <c r="L3790" s="504">
        <v>0</v>
      </c>
      <c r="M3790" s="504">
        <v>0</v>
      </c>
      <c r="N3790" s="504">
        <v>0</v>
      </c>
      <c r="O3790" s="505">
        <v>0</v>
      </c>
    </row>
    <row r="3791" spans="1:15" x14ac:dyDescent="0.35">
      <c r="A3791" s="500" t="s">
        <v>1093</v>
      </c>
      <c r="B3791" s="501" t="s">
        <v>3248</v>
      </c>
      <c r="C3791" s="501" t="s">
        <v>1094</v>
      </c>
      <c r="D3791" s="501" t="s">
        <v>3380</v>
      </c>
      <c r="E3791" s="501" t="s">
        <v>3381</v>
      </c>
      <c r="F3791" s="501" t="s">
        <v>653</v>
      </c>
      <c r="G3791" s="501" t="s">
        <v>654</v>
      </c>
      <c r="H3791" s="501" t="s">
        <v>6415</v>
      </c>
      <c r="I3791" s="501">
        <v>3</v>
      </c>
      <c r="J3791" s="501">
        <v>0</v>
      </c>
      <c r="K3791" s="501">
        <v>0</v>
      </c>
      <c r="L3791" s="501">
        <v>0</v>
      </c>
      <c r="M3791" s="501">
        <v>0</v>
      </c>
      <c r="N3791" s="501">
        <v>0</v>
      </c>
      <c r="O3791" s="506">
        <v>3</v>
      </c>
    </row>
    <row r="3792" spans="1:15" x14ac:dyDescent="0.35">
      <c r="A3792" s="503" t="s">
        <v>1096</v>
      </c>
      <c r="B3792" s="504" t="s">
        <v>3326</v>
      </c>
      <c r="C3792" s="504" t="s">
        <v>1094</v>
      </c>
      <c r="D3792" s="504" t="s">
        <v>3380</v>
      </c>
      <c r="E3792" s="504" t="s">
        <v>3381</v>
      </c>
      <c r="F3792" s="504" t="s">
        <v>653</v>
      </c>
      <c r="G3792" s="504" t="s">
        <v>654</v>
      </c>
      <c r="H3792" s="504" t="s">
        <v>6416</v>
      </c>
      <c r="I3792" s="504">
        <v>80</v>
      </c>
      <c r="J3792" s="504">
        <v>0</v>
      </c>
      <c r="K3792" s="504">
        <v>0</v>
      </c>
      <c r="L3792" s="504">
        <v>0</v>
      </c>
      <c r="M3792" s="504">
        <v>79</v>
      </c>
      <c r="N3792" s="504">
        <v>0</v>
      </c>
      <c r="O3792" s="505">
        <v>1</v>
      </c>
    </row>
    <row r="3793" spans="1:15" x14ac:dyDescent="0.35">
      <c r="A3793" s="500" t="s">
        <v>1098</v>
      </c>
      <c r="B3793" s="501">
        <v>4691</v>
      </c>
      <c r="C3793" s="501" t="s">
        <v>1094</v>
      </c>
      <c r="D3793" s="501" t="s">
        <v>3380</v>
      </c>
      <c r="E3793" s="501" t="s">
        <v>3381</v>
      </c>
      <c r="F3793" s="501" t="s">
        <v>653</v>
      </c>
      <c r="G3793" s="501" t="s">
        <v>654</v>
      </c>
      <c r="H3793" s="501" t="s">
        <v>6417</v>
      </c>
      <c r="I3793" s="501">
        <v>31</v>
      </c>
      <c r="J3793" s="501">
        <v>23</v>
      </c>
      <c r="K3793" s="501">
        <v>0</v>
      </c>
      <c r="L3793" s="501">
        <v>0</v>
      </c>
      <c r="M3793" s="501">
        <v>0</v>
      </c>
      <c r="N3793" s="501">
        <v>0</v>
      </c>
      <c r="O3793" s="506">
        <v>8</v>
      </c>
    </row>
    <row r="3794" spans="1:15" x14ac:dyDescent="0.35">
      <c r="A3794" s="503" t="s">
        <v>1161</v>
      </c>
      <c r="B3794" s="504" t="s">
        <v>3001</v>
      </c>
      <c r="C3794" s="504" t="s">
        <v>1094</v>
      </c>
      <c r="D3794" s="504" t="s">
        <v>3380</v>
      </c>
      <c r="E3794" s="504" t="s">
        <v>3381</v>
      </c>
      <c r="F3794" s="504" t="s">
        <v>653</v>
      </c>
      <c r="G3794" s="504" t="s">
        <v>654</v>
      </c>
      <c r="H3794" s="504" t="s">
        <v>6418</v>
      </c>
      <c r="I3794" s="504">
        <v>2</v>
      </c>
      <c r="J3794" s="504">
        <v>0</v>
      </c>
      <c r="K3794" s="504">
        <v>0</v>
      </c>
      <c r="L3794" s="504">
        <v>0</v>
      </c>
      <c r="M3794" s="504">
        <v>0</v>
      </c>
      <c r="N3794" s="504">
        <v>0</v>
      </c>
      <c r="O3794" s="505">
        <v>2</v>
      </c>
    </row>
    <row r="3795" spans="1:15" x14ac:dyDescent="0.35">
      <c r="A3795" s="500" t="s">
        <v>1100</v>
      </c>
      <c r="B3795" s="501">
        <v>4865</v>
      </c>
      <c r="C3795" s="501" t="s">
        <v>1094</v>
      </c>
      <c r="D3795" s="501" t="s">
        <v>3380</v>
      </c>
      <c r="E3795" s="501" t="s">
        <v>3381</v>
      </c>
      <c r="F3795" s="501" t="s">
        <v>653</v>
      </c>
      <c r="G3795" s="501" t="s">
        <v>654</v>
      </c>
      <c r="H3795" s="501" t="s">
        <v>6419</v>
      </c>
      <c r="I3795" s="501">
        <v>51</v>
      </c>
      <c r="J3795" s="501">
        <v>29</v>
      </c>
      <c r="K3795" s="501">
        <v>0</v>
      </c>
      <c r="L3795" s="501">
        <v>0</v>
      </c>
      <c r="M3795" s="501">
        <v>0</v>
      </c>
      <c r="N3795" s="501">
        <v>0</v>
      </c>
      <c r="O3795" s="506">
        <v>22</v>
      </c>
    </row>
    <row r="3796" spans="1:15" x14ac:dyDescent="0.35">
      <c r="A3796" s="503" t="s">
        <v>1175</v>
      </c>
      <c r="B3796" s="504" t="s">
        <v>3141</v>
      </c>
      <c r="C3796" s="504" t="s">
        <v>1094</v>
      </c>
      <c r="D3796" s="504" t="s">
        <v>3380</v>
      </c>
      <c r="E3796" s="504" t="s">
        <v>3381</v>
      </c>
      <c r="F3796" s="504" t="s">
        <v>653</v>
      </c>
      <c r="G3796" s="504" t="s">
        <v>654</v>
      </c>
      <c r="H3796" s="504" t="s">
        <v>6420</v>
      </c>
      <c r="I3796" s="504">
        <v>23</v>
      </c>
      <c r="J3796" s="504">
        <v>13</v>
      </c>
      <c r="K3796" s="504">
        <v>0</v>
      </c>
      <c r="L3796" s="504">
        <v>0</v>
      </c>
      <c r="M3796" s="504">
        <v>0</v>
      </c>
      <c r="N3796" s="504">
        <v>0</v>
      </c>
      <c r="O3796" s="505">
        <v>10</v>
      </c>
    </row>
    <row r="3797" spans="1:15" x14ac:dyDescent="0.35">
      <c r="A3797" s="500" t="s">
        <v>1105</v>
      </c>
      <c r="B3797" s="501">
        <v>4668</v>
      </c>
      <c r="C3797" s="501" t="s">
        <v>1094</v>
      </c>
      <c r="D3797" s="501" t="s">
        <v>3380</v>
      </c>
      <c r="E3797" s="501" t="s">
        <v>3381</v>
      </c>
      <c r="F3797" s="501" t="s">
        <v>653</v>
      </c>
      <c r="G3797" s="501" t="s">
        <v>654</v>
      </c>
      <c r="H3797" s="501" t="s">
        <v>6421</v>
      </c>
      <c r="I3797" s="501">
        <v>4</v>
      </c>
      <c r="J3797" s="501">
        <v>0</v>
      </c>
      <c r="K3797" s="501">
        <v>0</v>
      </c>
      <c r="L3797" s="501">
        <v>0</v>
      </c>
      <c r="M3797" s="501">
        <v>0</v>
      </c>
      <c r="N3797" s="501">
        <v>0</v>
      </c>
      <c r="O3797" s="506">
        <v>4</v>
      </c>
    </row>
    <row r="3798" spans="1:15" x14ac:dyDescent="0.35">
      <c r="A3798" s="503" t="s">
        <v>1107</v>
      </c>
      <c r="B3798" s="504" t="s">
        <v>3109</v>
      </c>
      <c r="C3798" s="504" t="s">
        <v>1094</v>
      </c>
      <c r="D3798" s="504" t="s">
        <v>3380</v>
      </c>
      <c r="E3798" s="504" t="s">
        <v>3381</v>
      </c>
      <c r="F3798" s="504" t="s">
        <v>653</v>
      </c>
      <c r="G3798" s="504" t="s">
        <v>654</v>
      </c>
      <c r="H3798" s="504" t="s">
        <v>6422</v>
      </c>
      <c r="I3798" s="504">
        <v>66</v>
      </c>
      <c r="J3798" s="504">
        <v>37</v>
      </c>
      <c r="K3798" s="504">
        <v>0</v>
      </c>
      <c r="L3798" s="504">
        <v>5</v>
      </c>
      <c r="M3798" s="504">
        <v>0</v>
      </c>
      <c r="N3798" s="504">
        <v>0</v>
      </c>
      <c r="O3798" s="505">
        <v>24</v>
      </c>
    </row>
    <row r="3799" spans="1:15" x14ac:dyDescent="0.35">
      <c r="A3799" s="500" t="s">
        <v>1202</v>
      </c>
      <c r="B3799" s="501" t="s">
        <v>3217</v>
      </c>
      <c r="C3799" s="501" t="s">
        <v>1094</v>
      </c>
      <c r="D3799" s="501" t="s">
        <v>3380</v>
      </c>
      <c r="E3799" s="501" t="s">
        <v>3381</v>
      </c>
      <c r="F3799" s="501" t="s">
        <v>653</v>
      </c>
      <c r="G3799" s="501" t="s">
        <v>654</v>
      </c>
      <c r="H3799" s="501" t="s">
        <v>6423</v>
      </c>
      <c r="I3799" s="501">
        <v>6</v>
      </c>
      <c r="J3799" s="501">
        <v>0</v>
      </c>
      <c r="K3799" s="501">
        <v>0</v>
      </c>
      <c r="L3799" s="501">
        <v>5</v>
      </c>
      <c r="M3799" s="501">
        <v>0</v>
      </c>
      <c r="N3799" s="501">
        <v>0</v>
      </c>
      <c r="O3799" s="506">
        <v>1</v>
      </c>
    </row>
    <row r="3800" spans="1:15" x14ac:dyDescent="0.35">
      <c r="A3800" s="503" t="s">
        <v>1112</v>
      </c>
      <c r="B3800" s="504" t="s">
        <v>3008</v>
      </c>
      <c r="C3800" s="504" t="s">
        <v>1094</v>
      </c>
      <c r="D3800" s="504" t="s">
        <v>3380</v>
      </c>
      <c r="E3800" s="504" t="s">
        <v>3381</v>
      </c>
      <c r="F3800" s="504" t="s">
        <v>653</v>
      </c>
      <c r="G3800" s="504" t="s">
        <v>654</v>
      </c>
      <c r="H3800" s="504" t="s">
        <v>6424</v>
      </c>
      <c r="I3800" s="504">
        <v>468</v>
      </c>
      <c r="J3800" s="504">
        <v>259</v>
      </c>
      <c r="K3800" s="504">
        <v>0</v>
      </c>
      <c r="L3800" s="504">
        <v>0</v>
      </c>
      <c r="M3800" s="504">
        <v>0</v>
      </c>
      <c r="N3800" s="504">
        <v>0</v>
      </c>
      <c r="O3800" s="505">
        <v>209</v>
      </c>
    </row>
    <row r="3801" spans="1:15" x14ac:dyDescent="0.35">
      <c r="A3801" s="500" t="s">
        <v>1114</v>
      </c>
      <c r="B3801" s="501" t="s">
        <v>2982</v>
      </c>
      <c r="C3801" s="501" t="s">
        <v>1094</v>
      </c>
      <c r="D3801" s="501" t="s">
        <v>3380</v>
      </c>
      <c r="E3801" s="501" t="s">
        <v>3381</v>
      </c>
      <c r="F3801" s="501" t="s">
        <v>653</v>
      </c>
      <c r="G3801" s="501" t="s">
        <v>654</v>
      </c>
      <c r="H3801" s="501" t="s">
        <v>6425</v>
      </c>
      <c r="I3801" s="501">
        <v>3</v>
      </c>
      <c r="J3801" s="501">
        <v>0</v>
      </c>
      <c r="K3801" s="501">
        <v>0</v>
      </c>
      <c r="L3801" s="501">
        <v>0</v>
      </c>
      <c r="M3801" s="501">
        <v>0</v>
      </c>
      <c r="N3801" s="501">
        <v>0</v>
      </c>
      <c r="O3801" s="506">
        <v>3</v>
      </c>
    </row>
    <row r="3802" spans="1:15" x14ac:dyDescent="0.35">
      <c r="A3802" s="503" t="s">
        <v>1896</v>
      </c>
      <c r="B3802" s="504" t="s">
        <v>3216</v>
      </c>
      <c r="C3802" s="504" t="s">
        <v>1094</v>
      </c>
      <c r="D3802" s="504" t="s">
        <v>3380</v>
      </c>
      <c r="E3802" s="504" t="s">
        <v>3381</v>
      </c>
      <c r="F3802" s="504" t="s">
        <v>653</v>
      </c>
      <c r="G3802" s="504" t="s">
        <v>654</v>
      </c>
      <c r="H3802" s="504" t="s">
        <v>6426</v>
      </c>
      <c r="I3802" s="504">
        <v>309</v>
      </c>
      <c r="J3802" s="504">
        <v>191</v>
      </c>
      <c r="K3802" s="504">
        <v>0</v>
      </c>
      <c r="L3802" s="504">
        <v>0</v>
      </c>
      <c r="M3802" s="504">
        <v>0</v>
      </c>
      <c r="N3802" s="504">
        <v>0</v>
      </c>
      <c r="O3802" s="505">
        <v>118</v>
      </c>
    </row>
    <row r="3803" spans="1:15" x14ac:dyDescent="0.35">
      <c r="A3803" s="500" t="s">
        <v>1897</v>
      </c>
      <c r="B3803" s="501" t="s">
        <v>2502</v>
      </c>
      <c r="C3803" s="501" t="s">
        <v>1089</v>
      </c>
      <c r="D3803" s="501" t="s">
        <v>3392</v>
      </c>
      <c r="E3803" s="501" t="s">
        <v>3381</v>
      </c>
      <c r="F3803" s="501" t="s">
        <v>653</v>
      </c>
      <c r="G3803" s="501" t="s">
        <v>654</v>
      </c>
      <c r="H3803" s="501" t="s">
        <v>6427</v>
      </c>
      <c r="I3803" s="501">
        <v>53</v>
      </c>
      <c r="J3803" s="501">
        <v>0</v>
      </c>
      <c r="K3803" s="501">
        <v>0</v>
      </c>
      <c r="L3803" s="501">
        <v>0</v>
      </c>
      <c r="M3803" s="501">
        <v>53</v>
      </c>
      <c r="N3803" s="501">
        <v>0</v>
      </c>
      <c r="O3803" s="506">
        <v>0</v>
      </c>
    </row>
    <row r="3804" spans="1:15" x14ac:dyDescent="0.35">
      <c r="A3804" s="503" t="s">
        <v>1130</v>
      </c>
      <c r="B3804" s="504" t="s">
        <v>3234</v>
      </c>
      <c r="C3804" s="504" t="s">
        <v>1094</v>
      </c>
      <c r="D3804" s="504" t="s">
        <v>3380</v>
      </c>
      <c r="E3804" s="504" t="s">
        <v>3381</v>
      </c>
      <c r="F3804" s="504" t="s">
        <v>653</v>
      </c>
      <c r="G3804" s="504" t="s">
        <v>654</v>
      </c>
      <c r="H3804" s="504" t="s">
        <v>6428</v>
      </c>
      <c r="I3804" s="504">
        <v>2</v>
      </c>
      <c r="J3804" s="504">
        <v>0</v>
      </c>
      <c r="K3804" s="504">
        <v>0</v>
      </c>
      <c r="L3804" s="504">
        <v>0</v>
      </c>
      <c r="M3804" s="504">
        <v>0</v>
      </c>
      <c r="N3804" s="504">
        <v>0</v>
      </c>
      <c r="O3804" s="505">
        <v>2</v>
      </c>
    </row>
    <row r="3805" spans="1:15" x14ac:dyDescent="0.35">
      <c r="A3805" s="500" t="s">
        <v>1132</v>
      </c>
      <c r="B3805" s="501">
        <v>4837</v>
      </c>
      <c r="C3805" s="501" t="s">
        <v>1094</v>
      </c>
      <c r="D3805" s="501" t="s">
        <v>3380</v>
      </c>
      <c r="E3805" s="501" t="s">
        <v>3381</v>
      </c>
      <c r="F3805" s="501" t="s">
        <v>653</v>
      </c>
      <c r="G3805" s="501" t="s">
        <v>654</v>
      </c>
      <c r="H3805" s="501" t="s">
        <v>6429</v>
      </c>
      <c r="I3805" s="501">
        <v>382</v>
      </c>
      <c r="J3805" s="501">
        <v>250</v>
      </c>
      <c r="K3805" s="501">
        <v>0</v>
      </c>
      <c r="L3805" s="501">
        <v>11</v>
      </c>
      <c r="M3805" s="501">
        <v>0</v>
      </c>
      <c r="N3805" s="501">
        <v>0</v>
      </c>
      <c r="O3805" s="506">
        <v>121</v>
      </c>
    </row>
    <row r="3806" spans="1:15" x14ac:dyDescent="0.35">
      <c r="A3806" s="503" t="s">
        <v>1240</v>
      </c>
      <c r="B3806" s="504" t="s">
        <v>2972</v>
      </c>
      <c r="C3806" s="504" t="s">
        <v>1094</v>
      </c>
      <c r="D3806" s="504" t="s">
        <v>3380</v>
      </c>
      <c r="E3806" s="504" t="s">
        <v>3381</v>
      </c>
      <c r="F3806" s="504" t="s">
        <v>653</v>
      </c>
      <c r="G3806" s="504" t="s">
        <v>654</v>
      </c>
      <c r="H3806" s="504" t="s">
        <v>6430</v>
      </c>
      <c r="I3806" s="504">
        <v>1</v>
      </c>
      <c r="J3806" s="504">
        <v>0</v>
      </c>
      <c r="K3806" s="504">
        <v>0</v>
      </c>
      <c r="L3806" s="504">
        <v>0</v>
      </c>
      <c r="M3806" s="504">
        <v>0</v>
      </c>
      <c r="N3806" s="504">
        <v>0</v>
      </c>
      <c r="O3806" s="505">
        <v>1</v>
      </c>
    </row>
    <row r="3807" spans="1:15" x14ac:dyDescent="0.35">
      <c r="A3807" s="500" t="s">
        <v>1136</v>
      </c>
      <c r="B3807" s="501">
        <v>4680</v>
      </c>
      <c r="C3807" s="501" t="s">
        <v>1094</v>
      </c>
      <c r="D3807" s="501" t="s">
        <v>3380</v>
      </c>
      <c r="E3807" s="501" t="s">
        <v>3381</v>
      </c>
      <c r="F3807" s="501" t="s">
        <v>653</v>
      </c>
      <c r="G3807" s="501" t="s">
        <v>654</v>
      </c>
      <c r="H3807" s="501" t="s">
        <v>6431</v>
      </c>
      <c r="I3807" s="501">
        <v>59</v>
      </c>
      <c r="J3807" s="501">
        <v>25</v>
      </c>
      <c r="K3807" s="501">
        <v>0</v>
      </c>
      <c r="L3807" s="501">
        <v>0</v>
      </c>
      <c r="M3807" s="501">
        <v>0</v>
      </c>
      <c r="N3807" s="501">
        <v>0</v>
      </c>
      <c r="O3807" s="506">
        <v>34</v>
      </c>
    </row>
    <row r="3808" spans="1:15" x14ac:dyDescent="0.35">
      <c r="A3808" s="503" t="s">
        <v>1138</v>
      </c>
      <c r="B3808" s="504" t="s">
        <v>2998</v>
      </c>
      <c r="C3808" s="504" t="s">
        <v>1094</v>
      </c>
      <c r="D3808" s="504" t="s">
        <v>3380</v>
      </c>
      <c r="E3808" s="504" t="s">
        <v>3381</v>
      </c>
      <c r="F3808" s="504" t="s">
        <v>653</v>
      </c>
      <c r="G3808" s="504" t="s">
        <v>654</v>
      </c>
      <c r="H3808" s="504" t="s">
        <v>6432</v>
      </c>
      <c r="I3808" s="504">
        <v>13</v>
      </c>
      <c r="J3808" s="504">
        <v>13</v>
      </c>
      <c r="K3808" s="504">
        <v>0</v>
      </c>
      <c r="L3808" s="504">
        <v>0</v>
      </c>
      <c r="M3808" s="504">
        <v>0</v>
      </c>
      <c r="N3808" s="504">
        <v>0</v>
      </c>
      <c r="O3808" s="505">
        <v>0</v>
      </c>
    </row>
    <row r="3809" spans="1:15" x14ac:dyDescent="0.35">
      <c r="A3809" s="500" t="s">
        <v>1140</v>
      </c>
      <c r="B3809" s="501">
        <v>4850</v>
      </c>
      <c r="C3809" s="501" t="s">
        <v>1094</v>
      </c>
      <c r="D3809" s="501" t="s">
        <v>3380</v>
      </c>
      <c r="E3809" s="501" t="s">
        <v>3381</v>
      </c>
      <c r="F3809" s="501" t="s">
        <v>653</v>
      </c>
      <c r="G3809" s="501" t="s">
        <v>654</v>
      </c>
      <c r="H3809" s="501" t="s">
        <v>6433</v>
      </c>
      <c r="I3809" s="501">
        <v>2669</v>
      </c>
      <c r="J3809" s="501">
        <v>2284</v>
      </c>
      <c r="K3809" s="501">
        <v>0</v>
      </c>
      <c r="L3809" s="501">
        <v>24</v>
      </c>
      <c r="M3809" s="501">
        <v>190</v>
      </c>
      <c r="N3809" s="501">
        <v>0</v>
      </c>
      <c r="O3809" s="506">
        <v>171</v>
      </c>
    </row>
    <row r="3810" spans="1:15" x14ac:dyDescent="0.35">
      <c r="A3810" s="503" t="s">
        <v>1143</v>
      </c>
      <c r="B3810" s="504" t="s">
        <v>3281</v>
      </c>
      <c r="C3810" s="504" t="s">
        <v>1094</v>
      </c>
      <c r="D3810" s="504" t="s">
        <v>3380</v>
      </c>
      <c r="E3810" s="504" t="s">
        <v>3381</v>
      </c>
      <c r="F3810" s="504" t="s">
        <v>655</v>
      </c>
      <c r="G3810" s="504" t="s">
        <v>656</v>
      </c>
      <c r="H3810" s="504" t="s">
        <v>6434</v>
      </c>
      <c r="I3810" s="504">
        <v>101</v>
      </c>
      <c r="J3810" s="504">
        <v>98</v>
      </c>
      <c r="K3810" s="504">
        <v>0</v>
      </c>
      <c r="L3810" s="504">
        <v>0</v>
      </c>
      <c r="M3810" s="504">
        <v>0</v>
      </c>
      <c r="N3810" s="504">
        <v>0</v>
      </c>
      <c r="O3810" s="505">
        <v>3</v>
      </c>
    </row>
    <row r="3811" spans="1:15" x14ac:dyDescent="0.35">
      <c r="A3811" s="500" t="s">
        <v>1096</v>
      </c>
      <c r="B3811" s="501" t="s">
        <v>3326</v>
      </c>
      <c r="C3811" s="501" t="s">
        <v>1094</v>
      </c>
      <c r="D3811" s="501" t="s">
        <v>3380</v>
      </c>
      <c r="E3811" s="501" t="s">
        <v>3381</v>
      </c>
      <c r="F3811" s="501" t="s">
        <v>655</v>
      </c>
      <c r="G3811" s="501" t="s">
        <v>656</v>
      </c>
      <c r="H3811" s="501" t="s">
        <v>6435</v>
      </c>
      <c r="I3811" s="501">
        <v>339</v>
      </c>
      <c r="J3811" s="501">
        <v>0</v>
      </c>
      <c r="K3811" s="501">
        <v>0</v>
      </c>
      <c r="L3811" s="501">
        <v>0</v>
      </c>
      <c r="M3811" s="501">
        <v>311</v>
      </c>
      <c r="N3811" s="501">
        <v>0</v>
      </c>
      <c r="O3811" s="506">
        <v>28</v>
      </c>
    </row>
    <row r="3812" spans="1:15" x14ac:dyDescent="0.35">
      <c r="A3812" s="503" t="s">
        <v>1617</v>
      </c>
      <c r="B3812" s="504">
        <v>4868</v>
      </c>
      <c r="C3812" s="504" t="s">
        <v>1094</v>
      </c>
      <c r="D3812" s="504" t="s">
        <v>3380</v>
      </c>
      <c r="E3812" s="504" t="s">
        <v>3381</v>
      </c>
      <c r="F3812" s="504" t="s">
        <v>655</v>
      </c>
      <c r="G3812" s="504" t="s">
        <v>656</v>
      </c>
      <c r="H3812" s="504" t="s">
        <v>6436</v>
      </c>
      <c r="I3812" s="504">
        <v>365</v>
      </c>
      <c r="J3812" s="504">
        <v>304</v>
      </c>
      <c r="K3812" s="504">
        <v>0</v>
      </c>
      <c r="L3812" s="504">
        <v>20</v>
      </c>
      <c r="M3812" s="504">
        <v>37</v>
      </c>
      <c r="N3812" s="504">
        <v>0</v>
      </c>
      <c r="O3812" s="505">
        <v>4</v>
      </c>
    </row>
    <row r="3813" spans="1:15" x14ac:dyDescent="0.35">
      <c r="A3813" s="500" t="s">
        <v>11363</v>
      </c>
      <c r="B3813" s="501">
        <v>4718</v>
      </c>
      <c r="C3813" s="501" t="s">
        <v>1094</v>
      </c>
      <c r="D3813" s="501" t="s">
        <v>3380</v>
      </c>
      <c r="E3813" s="501" t="s">
        <v>3381</v>
      </c>
      <c r="F3813" s="501" t="s">
        <v>655</v>
      </c>
      <c r="G3813" s="501" t="s">
        <v>656</v>
      </c>
      <c r="H3813" s="501" t="s">
        <v>11552</v>
      </c>
      <c r="I3813" s="501">
        <v>6</v>
      </c>
      <c r="J3813" s="501">
        <v>0</v>
      </c>
      <c r="K3813" s="501">
        <v>0</v>
      </c>
      <c r="L3813" s="501">
        <v>6</v>
      </c>
      <c r="M3813" s="501">
        <v>0</v>
      </c>
      <c r="N3813" s="501">
        <v>0</v>
      </c>
      <c r="O3813" s="506">
        <v>0</v>
      </c>
    </row>
    <row r="3814" spans="1:15" x14ac:dyDescent="0.35">
      <c r="A3814" s="503" t="s">
        <v>1172</v>
      </c>
      <c r="B3814" s="504">
        <v>4648</v>
      </c>
      <c r="C3814" s="504" t="s">
        <v>1089</v>
      </c>
      <c r="D3814" s="504" t="s">
        <v>3392</v>
      </c>
      <c r="E3814" s="504" t="s">
        <v>3381</v>
      </c>
      <c r="F3814" s="504" t="s">
        <v>655</v>
      </c>
      <c r="G3814" s="504" t="s">
        <v>656</v>
      </c>
      <c r="H3814" s="504" t="s">
        <v>6437</v>
      </c>
      <c r="I3814" s="504">
        <v>8</v>
      </c>
      <c r="J3814" s="504">
        <v>0</v>
      </c>
      <c r="K3814" s="504">
        <v>0</v>
      </c>
      <c r="L3814" s="504">
        <v>8</v>
      </c>
      <c r="M3814" s="504">
        <v>0</v>
      </c>
      <c r="N3814" s="504">
        <v>0</v>
      </c>
      <c r="O3814" s="505">
        <v>0</v>
      </c>
    </row>
    <row r="3815" spans="1:15" x14ac:dyDescent="0.35">
      <c r="A3815" s="500" t="s">
        <v>1105</v>
      </c>
      <c r="B3815" s="501">
        <v>4668</v>
      </c>
      <c r="C3815" s="501" t="s">
        <v>1094</v>
      </c>
      <c r="D3815" s="501" t="s">
        <v>3380</v>
      </c>
      <c r="E3815" s="501" t="s">
        <v>3381</v>
      </c>
      <c r="F3815" s="501" t="s">
        <v>655</v>
      </c>
      <c r="G3815" s="501" t="s">
        <v>656</v>
      </c>
      <c r="H3815" s="501" t="s">
        <v>6438</v>
      </c>
      <c r="I3815" s="501">
        <v>13</v>
      </c>
      <c r="J3815" s="501">
        <v>0</v>
      </c>
      <c r="K3815" s="501">
        <v>0</v>
      </c>
      <c r="L3815" s="501">
        <v>0</v>
      </c>
      <c r="M3815" s="501">
        <v>0</v>
      </c>
      <c r="N3815" s="501">
        <v>0</v>
      </c>
      <c r="O3815" s="506">
        <v>13</v>
      </c>
    </row>
    <row r="3816" spans="1:15" x14ac:dyDescent="0.35">
      <c r="A3816" s="503" t="s">
        <v>1107</v>
      </c>
      <c r="B3816" s="504" t="s">
        <v>3109</v>
      </c>
      <c r="C3816" s="504" t="s">
        <v>1094</v>
      </c>
      <c r="D3816" s="504" t="s">
        <v>3380</v>
      </c>
      <c r="E3816" s="504" t="s">
        <v>3381</v>
      </c>
      <c r="F3816" s="504" t="s">
        <v>655</v>
      </c>
      <c r="G3816" s="504" t="s">
        <v>656</v>
      </c>
      <c r="H3816" s="504" t="s">
        <v>6439</v>
      </c>
      <c r="I3816" s="504">
        <v>947</v>
      </c>
      <c r="J3816" s="504">
        <v>840</v>
      </c>
      <c r="K3816" s="504">
        <v>0</v>
      </c>
      <c r="L3816" s="504">
        <v>93</v>
      </c>
      <c r="M3816" s="504">
        <v>0</v>
      </c>
      <c r="N3816" s="504">
        <v>1</v>
      </c>
      <c r="O3816" s="505">
        <v>14</v>
      </c>
    </row>
    <row r="3817" spans="1:15" x14ac:dyDescent="0.35">
      <c r="A3817" s="500" t="s">
        <v>1109</v>
      </c>
      <c r="B3817" s="501" t="s">
        <v>2959</v>
      </c>
      <c r="C3817" s="501" t="s">
        <v>1094</v>
      </c>
      <c r="D3817" s="501" t="s">
        <v>3380</v>
      </c>
      <c r="E3817" s="501" t="s">
        <v>3381</v>
      </c>
      <c r="F3817" s="501" t="s">
        <v>655</v>
      </c>
      <c r="G3817" s="501" t="s">
        <v>656</v>
      </c>
      <c r="H3817" s="501" t="s">
        <v>6440</v>
      </c>
      <c r="I3817" s="501">
        <v>44</v>
      </c>
      <c r="J3817" s="501">
        <v>0</v>
      </c>
      <c r="K3817" s="501">
        <v>0</v>
      </c>
      <c r="L3817" s="501">
        <v>0</v>
      </c>
      <c r="M3817" s="501">
        <v>44</v>
      </c>
      <c r="N3817" s="501">
        <v>0</v>
      </c>
      <c r="O3817" s="506">
        <v>0</v>
      </c>
    </row>
    <row r="3818" spans="1:15" x14ac:dyDescent="0.35">
      <c r="A3818" s="503" t="s">
        <v>1633</v>
      </c>
      <c r="B3818" s="504">
        <v>4713</v>
      </c>
      <c r="C3818" s="504" t="s">
        <v>1089</v>
      </c>
      <c r="D3818" s="504" t="s">
        <v>3392</v>
      </c>
      <c r="E3818" s="504" t="s">
        <v>3381</v>
      </c>
      <c r="F3818" s="504" t="s">
        <v>655</v>
      </c>
      <c r="G3818" s="504" t="s">
        <v>656</v>
      </c>
      <c r="H3818" s="504" t="s">
        <v>6441</v>
      </c>
      <c r="I3818" s="504">
        <v>2</v>
      </c>
      <c r="J3818" s="504">
        <v>2</v>
      </c>
      <c r="K3818" s="504">
        <v>0</v>
      </c>
      <c r="L3818" s="504">
        <v>0</v>
      </c>
      <c r="M3818" s="504">
        <v>0</v>
      </c>
      <c r="N3818" s="504">
        <v>0</v>
      </c>
      <c r="O3818" s="505">
        <v>0</v>
      </c>
    </row>
    <row r="3819" spans="1:15" x14ac:dyDescent="0.35">
      <c r="A3819" s="500" t="s">
        <v>1638</v>
      </c>
      <c r="B3819" s="501">
        <v>5079</v>
      </c>
      <c r="C3819" s="501" t="s">
        <v>1094</v>
      </c>
      <c r="D3819" s="501" t="s">
        <v>3380</v>
      </c>
      <c r="E3819" s="501" t="s">
        <v>3381</v>
      </c>
      <c r="F3819" s="501" t="s">
        <v>655</v>
      </c>
      <c r="G3819" s="501" t="s">
        <v>656</v>
      </c>
      <c r="H3819" s="501" t="s">
        <v>6442</v>
      </c>
      <c r="I3819" s="501">
        <v>207</v>
      </c>
      <c r="J3819" s="501">
        <v>0</v>
      </c>
      <c r="K3819" s="501">
        <v>0</v>
      </c>
      <c r="L3819" s="501">
        <v>0</v>
      </c>
      <c r="M3819" s="501">
        <v>155</v>
      </c>
      <c r="N3819" s="501">
        <v>0</v>
      </c>
      <c r="O3819" s="506">
        <v>52</v>
      </c>
    </row>
    <row r="3820" spans="1:15" x14ac:dyDescent="0.35">
      <c r="A3820" s="503" t="s">
        <v>1639</v>
      </c>
      <c r="B3820" s="504">
        <v>4846</v>
      </c>
      <c r="C3820" s="504" t="s">
        <v>1094</v>
      </c>
      <c r="D3820" s="504" t="s">
        <v>3380</v>
      </c>
      <c r="E3820" s="504" t="s">
        <v>3381</v>
      </c>
      <c r="F3820" s="504" t="s">
        <v>655</v>
      </c>
      <c r="G3820" s="504" t="s">
        <v>656</v>
      </c>
      <c r="H3820" s="504" t="s">
        <v>6443</v>
      </c>
      <c r="I3820" s="504">
        <v>425</v>
      </c>
      <c r="J3820" s="504">
        <v>377</v>
      </c>
      <c r="K3820" s="504">
        <v>0</v>
      </c>
      <c r="L3820" s="504">
        <v>0</v>
      </c>
      <c r="M3820" s="504">
        <v>48</v>
      </c>
      <c r="N3820" s="504">
        <v>0</v>
      </c>
      <c r="O3820" s="505">
        <v>0</v>
      </c>
    </row>
    <row r="3821" spans="1:15" x14ac:dyDescent="0.35">
      <c r="A3821" s="500" t="s">
        <v>1210</v>
      </c>
      <c r="B3821" s="501">
        <v>4781</v>
      </c>
      <c r="C3821" s="501" t="s">
        <v>1089</v>
      </c>
      <c r="D3821" s="501" t="s">
        <v>3392</v>
      </c>
      <c r="E3821" s="501" t="s">
        <v>3381</v>
      </c>
      <c r="F3821" s="501" t="s">
        <v>655</v>
      </c>
      <c r="G3821" s="501" t="s">
        <v>656</v>
      </c>
      <c r="H3821" s="501" t="s">
        <v>6444</v>
      </c>
      <c r="I3821" s="501">
        <v>4</v>
      </c>
      <c r="J3821" s="501">
        <v>0</v>
      </c>
      <c r="K3821" s="501">
        <v>0</v>
      </c>
      <c r="L3821" s="501">
        <v>4</v>
      </c>
      <c r="M3821" s="501">
        <v>0</v>
      </c>
      <c r="N3821" s="501">
        <v>0</v>
      </c>
      <c r="O3821" s="506">
        <v>0</v>
      </c>
    </row>
    <row r="3822" spans="1:15" x14ac:dyDescent="0.35">
      <c r="A3822" s="503" t="s">
        <v>1645</v>
      </c>
      <c r="B3822" s="504" t="s">
        <v>3239</v>
      </c>
      <c r="C3822" s="504" t="s">
        <v>1094</v>
      </c>
      <c r="D3822" s="504" t="s">
        <v>3380</v>
      </c>
      <c r="E3822" s="504" t="s">
        <v>3381</v>
      </c>
      <c r="F3822" s="504" t="s">
        <v>655</v>
      </c>
      <c r="G3822" s="504" t="s">
        <v>656</v>
      </c>
      <c r="H3822" s="504" t="s">
        <v>6445</v>
      </c>
      <c r="I3822" s="504">
        <v>325</v>
      </c>
      <c r="J3822" s="504">
        <v>305</v>
      </c>
      <c r="K3822" s="504">
        <v>0</v>
      </c>
      <c r="L3822" s="504">
        <v>20</v>
      </c>
      <c r="M3822" s="504">
        <v>0</v>
      </c>
      <c r="N3822" s="504">
        <v>0</v>
      </c>
      <c r="O3822" s="505">
        <v>0</v>
      </c>
    </row>
    <row r="3823" spans="1:15" x14ac:dyDescent="0.35">
      <c r="A3823" s="500" t="s">
        <v>1648</v>
      </c>
      <c r="B3823" s="501" t="s">
        <v>2496</v>
      </c>
      <c r="C3823" s="501" t="s">
        <v>1094</v>
      </c>
      <c r="D3823" s="501" t="s">
        <v>3380</v>
      </c>
      <c r="E3823" s="501" t="s">
        <v>3381</v>
      </c>
      <c r="F3823" s="501" t="s">
        <v>655</v>
      </c>
      <c r="G3823" s="501" t="s">
        <v>656</v>
      </c>
      <c r="H3823" s="501" t="s">
        <v>6446</v>
      </c>
      <c r="I3823" s="501">
        <v>25</v>
      </c>
      <c r="J3823" s="501">
        <v>12</v>
      </c>
      <c r="K3823" s="501">
        <v>0</v>
      </c>
      <c r="L3823" s="501">
        <v>0</v>
      </c>
      <c r="M3823" s="501">
        <v>13</v>
      </c>
      <c r="N3823" s="501">
        <v>0</v>
      </c>
      <c r="O3823" s="506">
        <v>0</v>
      </c>
    </row>
    <row r="3824" spans="1:15" x14ac:dyDescent="0.35">
      <c r="A3824" s="503" t="s">
        <v>1235</v>
      </c>
      <c r="B3824" s="504">
        <v>4684</v>
      </c>
      <c r="C3824" s="504" t="s">
        <v>1094</v>
      </c>
      <c r="D3824" s="504" t="s">
        <v>3380</v>
      </c>
      <c r="E3824" s="504" t="s">
        <v>3381</v>
      </c>
      <c r="F3824" s="504" t="s">
        <v>655</v>
      </c>
      <c r="G3824" s="504" t="s">
        <v>656</v>
      </c>
      <c r="H3824" s="504" t="s">
        <v>12104</v>
      </c>
      <c r="I3824" s="504">
        <v>10</v>
      </c>
      <c r="J3824" s="504">
        <v>0</v>
      </c>
      <c r="K3824" s="504">
        <v>0</v>
      </c>
      <c r="L3824" s="504">
        <v>10</v>
      </c>
      <c r="M3824" s="504">
        <v>0</v>
      </c>
      <c r="N3824" s="504">
        <v>0</v>
      </c>
      <c r="O3824" s="505">
        <v>0</v>
      </c>
    </row>
    <row r="3825" spans="1:15" x14ac:dyDescent="0.35">
      <c r="A3825" s="500" t="s">
        <v>1126</v>
      </c>
      <c r="B3825" s="501" t="s">
        <v>2974</v>
      </c>
      <c r="C3825" s="501" t="s">
        <v>1094</v>
      </c>
      <c r="D3825" s="501" t="s">
        <v>3380</v>
      </c>
      <c r="E3825" s="501" t="s">
        <v>3381</v>
      </c>
      <c r="F3825" s="501" t="s">
        <v>655</v>
      </c>
      <c r="G3825" s="501" t="s">
        <v>656</v>
      </c>
      <c r="H3825" s="501" t="s">
        <v>6447</v>
      </c>
      <c r="I3825" s="501">
        <v>13</v>
      </c>
      <c r="J3825" s="501">
        <v>0</v>
      </c>
      <c r="K3825" s="501">
        <v>0</v>
      </c>
      <c r="L3825" s="501">
        <v>13</v>
      </c>
      <c r="M3825" s="501">
        <v>0</v>
      </c>
      <c r="N3825" s="501">
        <v>0</v>
      </c>
      <c r="O3825" s="506">
        <v>0</v>
      </c>
    </row>
    <row r="3826" spans="1:15" x14ac:dyDescent="0.35">
      <c r="A3826" s="503" t="s">
        <v>11399</v>
      </c>
      <c r="B3826" s="504" t="s">
        <v>2469</v>
      </c>
      <c r="C3826" s="504" t="s">
        <v>1089</v>
      </c>
      <c r="D3826" s="504" t="s">
        <v>3392</v>
      </c>
      <c r="E3826" s="504" t="s">
        <v>3381</v>
      </c>
      <c r="F3826" s="504" t="s">
        <v>655</v>
      </c>
      <c r="G3826" s="504" t="s">
        <v>656</v>
      </c>
      <c r="H3826" s="504" t="s">
        <v>12211</v>
      </c>
      <c r="I3826" s="504">
        <v>29</v>
      </c>
      <c r="J3826" s="504">
        <v>29</v>
      </c>
      <c r="K3826" s="504">
        <v>0</v>
      </c>
      <c r="L3826" s="504">
        <v>0</v>
      </c>
      <c r="M3826" s="504">
        <v>0</v>
      </c>
      <c r="N3826" s="504">
        <v>0</v>
      </c>
      <c r="O3826" s="505">
        <v>0</v>
      </c>
    </row>
    <row r="3827" spans="1:15" x14ac:dyDescent="0.35">
      <c r="A3827" s="500" t="s">
        <v>1368</v>
      </c>
      <c r="B3827" s="501" t="s">
        <v>3220</v>
      </c>
      <c r="C3827" s="501" t="s">
        <v>1094</v>
      </c>
      <c r="D3827" s="501" t="s">
        <v>3380</v>
      </c>
      <c r="E3827" s="501" t="s">
        <v>3381</v>
      </c>
      <c r="F3827" s="501" t="s">
        <v>655</v>
      </c>
      <c r="G3827" s="501" t="s">
        <v>656</v>
      </c>
      <c r="H3827" s="501" t="s">
        <v>6448</v>
      </c>
      <c r="I3827" s="501">
        <v>7208</v>
      </c>
      <c r="J3827" s="501">
        <v>5678</v>
      </c>
      <c r="K3827" s="501">
        <v>0</v>
      </c>
      <c r="L3827" s="501">
        <v>35</v>
      </c>
      <c r="M3827" s="501">
        <v>1350</v>
      </c>
      <c r="N3827" s="501">
        <v>0</v>
      </c>
      <c r="O3827" s="506">
        <v>145</v>
      </c>
    </row>
    <row r="3828" spans="1:15" x14ac:dyDescent="0.35">
      <c r="A3828" s="503" t="s">
        <v>14377</v>
      </c>
      <c r="B3828" s="504" t="s">
        <v>14376</v>
      </c>
      <c r="C3828" s="504" t="s">
        <v>1089</v>
      </c>
      <c r="D3828" s="504" t="s">
        <v>3392</v>
      </c>
      <c r="E3828" s="504" t="s">
        <v>3381</v>
      </c>
      <c r="F3828" s="504" t="s">
        <v>655</v>
      </c>
      <c r="G3828" s="504" t="s">
        <v>656</v>
      </c>
      <c r="H3828" s="504" t="s">
        <v>14746</v>
      </c>
      <c r="I3828" s="504">
        <v>26</v>
      </c>
      <c r="J3828" s="504">
        <v>0</v>
      </c>
      <c r="K3828" s="504">
        <v>0</v>
      </c>
      <c r="L3828" s="504">
        <v>0</v>
      </c>
      <c r="M3828" s="504">
        <v>26</v>
      </c>
      <c r="N3828" s="504">
        <v>0</v>
      </c>
      <c r="O3828" s="505">
        <v>0</v>
      </c>
    </row>
    <row r="3829" spans="1:15" x14ac:dyDescent="0.35">
      <c r="A3829" s="500" t="s">
        <v>1091</v>
      </c>
      <c r="B3829" s="501" t="s">
        <v>3288</v>
      </c>
      <c r="C3829" s="501" t="s">
        <v>1089</v>
      </c>
      <c r="D3829" s="501" t="s">
        <v>3392</v>
      </c>
      <c r="E3829" s="501" t="s">
        <v>3381</v>
      </c>
      <c r="F3829" s="501" t="s">
        <v>657</v>
      </c>
      <c r="G3829" s="501" t="s">
        <v>658</v>
      </c>
      <c r="H3829" s="501" t="s">
        <v>6449</v>
      </c>
      <c r="I3829" s="501">
        <v>36</v>
      </c>
      <c r="J3829" s="501">
        <v>0</v>
      </c>
      <c r="K3829" s="501">
        <v>0</v>
      </c>
      <c r="L3829" s="501">
        <v>36</v>
      </c>
      <c r="M3829" s="501">
        <v>0</v>
      </c>
      <c r="N3829" s="501">
        <v>0</v>
      </c>
      <c r="O3829" s="506">
        <v>0</v>
      </c>
    </row>
    <row r="3830" spans="1:15" x14ac:dyDescent="0.35">
      <c r="A3830" s="503" t="s">
        <v>1096</v>
      </c>
      <c r="B3830" s="504" t="s">
        <v>3326</v>
      </c>
      <c r="C3830" s="504" t="s">
        <v>1094</v>
      </c>
      <c r="D3830" s="504" t="s">
        <v>3380</v>
      </c>
      <c r="E3830" s="504" t="s">
        <v>3381</v>
      </c>
      <c r="F3830" s="504" t="s">
        <v>657</v>
      </c>
      <c r="G3830" s="504" t="s">
        <v>658</v>
      </c>
      <c r="H3830" s="504" t="s">
        <v>6450</v>
      </c>
      <c r="I3830" s="504">
        <v>54</v>
      </c>
      <c r="J3830" s="504">
        <v>0</v>
      </c>
      <c r="K3830" s="504">
        <v>0</v>
      </c>
      <c r="L3830" s="504">
        <v>0</v>
      </c>
      <c r="M3830" s="504">
        <v>54</v>
      </c>
      <c r="N3830" s="504">
        <v>0</v>
      </c>
      <c r="O3830" s="505">
        <v>0</v>
      </c>
    </row>
    <row r="3831" spans="1:15" x14ac:dyDescent="0.35">
      <c r="A3831" s="500" t="s">
        <v>12382</v>
      </c>
      <c r="B3831" s="501" t="s">
        <v>2871</v>
      </c>
      <c r="C3831" s="501" t="s">
        <v>1089</v>
      </c>
      <c r="D3831" s="501" t="s">
        <v>3392</v>
      </c>
      <c r="E3831" s="501" t="s">
        <v>3381</v>
      </c>
      <c r="F3831" s="501" t="s">
        <v>657</v>
      </c>
      <c r="G3831" s="501" t="s">
        <v>658</v>
      </c>
      <c r="H3831" s="501" t="s">
        <v>14747</v>
      </c>
      <c r="I3831" s="501">
        <v>102</v>
      </c>
      <c r="J3831" s="501">
        <v>69</v>
      </c>
      <c r="K3831" s="501">
        <v>0</v>
      </c>
      <c r="L3831" s="501">
        <v>33</v>
      </c>
      <c r="M3831" s="501">
        <v>0</v>
      </c>
      <c r="N3831" s="501">
        <v>0</v>
      </c>
      <c r="O3831" s="506">
        <v>0</v>
      </c>
    </row>
    <row r="3832" spans="1:15" x14ac:dyDescent="0.35">
      <c r="A3832" s="503" t="s">
        <v>1100</v>
      </c>
      <c r="B3832" s="504">
        <v>4865</v>
      </c>
      <c r="C3832" s="504" t="s">
        <v>1094</v>
      </c>
      <c r="D3832" s="504" t="s">
        <v>3380</v>
      </c>
      <c r="E3832" s="504" t="s">
        <v>3381</v>
      </c>
      <c r="F3832" s="504" t="s">
        <v>657</v>
      </c>
      <c r="G3832" s="504" t="s">
        <v>658</v>
      </c>
      <c r="H3832" s="504" t="s">
        <v>6451</v>
      </c>
      <c r="I3832" s="504">
        <v>9</v>
      </c>
      <c r="J3832" s="504">
        <v>9</v>
      </c>
      <c r="K3832" s="504">
        <v>0</v>
      </c>
      <c r="L3832" s="504">
        <v>0</v>
      </c>
      <c r="M3832" s="504">
        <v>0</v>
      </c>
      <c r="N3832" s="504">
        <v>0</v>
      </c>
      <c r="O3832" s="505">
        <v>0</v>
      </c>
    </row>
    <row r="3833" spans="1:15" x14ac:dyDescent="0.35">
      <c r="A3833" s="500" t="s">
        <v>14208</v>
      </c>
      <c r="B3833" s="501">
        <v>4803</v>
      </c>
      <c r="C3833" s="501" t="s">
        <v>1094</v>
      </c>
      <c r="D3833" s="501" t="s">
        <v>3380</v>
      </c>
      <c r="E3833" s="501" t="s">
        <v>3381</v>
      </c>
      <c r="F3833" s="501" t="s">
        <v>657</v>
      </c>
      <c r="G3833" s="501" t="s">
        <v>658</v>
      </c>
      <c r="H3833" s="501" t="s">
        <v>14748</v>
      </c>
      <c r="I3833" s="501">
        <v>6</v>
      </c>
      <c r="J3833" s="501">
        <v>0</v>
      </c>
      <c r="K3833" s="501">
        <v>0</v>
      </c>
      <c r="L3833" s="501">
        <v>6</v>
      </c>
      <c r="M3833" s="501">
        <v>0</v>
      </c>
      <c r="N3833" s="501">
        <v>0</v>
      </c>
      <c r="O3833" s="506">
        <v>0</v>
      </c>
    </row>
    <row r="3834" spans="1:15" x14ac:dyDescent="0.35">
      <c r="A3834" s="503" t="s">
        <v>1107</v>
      </c>
      <c r="B3834" s="504" t="s">
        <v>3109</v>
      </c>
      <c r="C3834" s="504" t="s">
        <v>1094</v>
      </c>
      <c r="D3834" s="504" t="s">
        <v>3380</v>
      </c>
      <c r="E3834" s="504" t="s">
        <v>3381</v>
      </c>
      <c r="F3834" s="504" t="s">
        <v>657</v>
      </c>
      <c r="G3834" s="504" t="s">
        <v>658</v>
      </c>
      <c r="H3834" s="504" t="s">
        <v>6452</v>
      </c>
      <c r="I3834" s="504">
        <v>52</v>
      </c>
      <c r="J3834" s="504">
        <v>52</v>
      </c>
      <c r="K3834" s="504">
        <v>0</v>
      </c>
      <c r="L3834" s="504">
        <v>0</v>
      </c>
      <c r="M3834" s="504">
        <v>0</v>
      </c>
      <c r="N3834" s="504">
        <v>0</v>
      </c>
      <c r="O3834" s="505">
        <v>0</v>
      </c>
    </row>
    <row r="3835" spans="1:15" x14ac:dyDescent="0.35">
      <c r="A3835" s="500" t="s">
        <v>1109</v>
      </c>
      <c r="B3835" s="501" t="s">
        <v>2959</v>
      </c>
      <c r="C3835" s="501" t="s">
        <v>1094</v>
      </c>
      <c r="D3835" s="501" t="s">
        <v>3380</v>
      </c>
      <c r="E3835" s="501" t="s">
        <v>3381</v>
      </c>
      <c r="F3835" s="501" t="s">
        <v>657</v>
      </c>
      <c r="G3835" s="501" t="s">
        <v>658</v>
      </c>
      <c r="H3835" s="501" t="s">
        <v>6453</v>
      </c>
      <c r="I3835" s="501">
        <v>28</v>
      </c>
      <c r="J3835" s="501">
        <v>0</v>
      </c>
      <c r="K3835" s="501">
        <v>0</v>
      </c>
      <c r="L3835" s="501">
        <v>0</v>
      </c>
      <c r="M3835" s="501">
        <v>28</v>
      </c>
      <c r="N3835" s="501">
        <v>0</v>
      </c>
      <c r="O3835" s="506">
        <v>0</v>
      </c>
    </row>
    <row r="3836" spans="1:15" x14ac:dyDescent="0.35">
      <c r="A3836" s="503" t="s">
        <v>1311</v>
      </c>
      <c r="B3836" s="504" t="s">
        <v>3361</v>
      </c>
      <c r="C3836" s="504" t="s">
        <v>1094</v>
      </c>
      <c r="D3836" s="504" t="s">
        <v>3380</v>
      </c>
      <c r="E3836" s="504" t="s">
        <v>3381</v>
      </c>
      <c r="F3836" s="504" t="s">
        <v>657</v>
      </c>
      <c r="G3836" s="504" t="s">
        <v>658</v>
      </c>
      <c r="H3836" s="504" t="s">
        <v>6454</v>
      </c>
      <c r="I3836" s="504">
        <v>5</v>
      </c>
      <c r="J3836" s="504">
        <v>5</v>
      </c>
      <c r="K3836" s="504">
        <v>0</v>
      </c>
      <c r="L3836" s="504">
        <v>0</v>
      </c>
      <c r="M3836" s="504">
        <v>0</v>
      </c>
      <c r="N3836" s="504">
        <v>0</v>
      </c>
      <c r="O3836" s="505">
        <v>0</v>
      </c>
    </row>
    <row r="3837" spans="1:15" x14ac:dyDescent="0.35">
      <c r="A3837" s="500" t="s">
        <v>1202</v>
      </c>
      <c r="B3837" s="501" t="s">
        <v>3217</v>
      </c>
      <c r="C3837" s="501" t="s">
        <v>1094</v>
      </c>
      <c r="D3837" s="501" t="s">
        <v>3380</v>
      </c>
      <c r="E3837" s="501" t="s">
        <v>3381</v>
      </c>
      <c r="F3837" s="501" t="s">
        <v>657</v>
      </c>
      <c r="G3837" s="501" t="s">
        <v>658</v>
      </c>
      <c r="H3837" s="501" t="s">
        <v>11836</v>
      </c>
      <c r="I3837" s="501">
        <v>3</v>
      </c>
      <c r="J3837" s="501">
        <v>0</v>
      </c>
      <c r="K3837" s="501">
        <v>0</v>
      </c>
      <c r="L3837" s="501">
        <v>0</v>
      </c>
      <c r="M3837" s="501">
        <v>0</v>
      </c>
      <c r="N3837" s="501">
        <v>0</v>
      </c>
      <c r="O3837" s="506">
        <v>3</v>
      </c>
    </row>
    <row r="3838" spans="1:15" x14ac:dyDescent="0.35">
      <c r="A3838" s="503" t="s">
        <v>1217</v>
      </c>
      <c r="B3838" s="504">
        <v>4851</v>
      </c>
      <c r="C3838" s="504" t="s">
        <v>1094</v>
      </c>
      <c r="D3838" s="504" t="s">
        <v>3380</v>
      </c>
      <c r="E3838" s="504" t="s">
        <v>3381</v>
      </c>
      <c r="F3838" s="504" t="s">
        <v>657</v>
      </c>
      <c r="G3838" s="504" t="s">
        <v>658</v>
      </c>
      <c r="H3838" s="504" t="s">
        <v>6455</v>
      </c>
      <c r="I3838" s="504">
        <v>4226</v>
      </c>
      <c r="J3838" s="504">
        <v>3772</v>
      </c>
      <c r="K3838" s="504">
        <v>0</v>
      </c>
      <c r="L3838" s="504">
        <v>0</v>
      </c>
      <c r="M3838" s="504">
        <v>430</v>
      </c>
      <c r="N3838" s="504">
        <v>15</v>
      </c>
      <c r="O3838" s="505">
        <v>24</v>
      </c>
    </row>
    <row r="3839" spans="1:15" x14ac:dyDescent="0.35">
      <c r="A3839" s="500" t="s">
        <v>1218</v>
      </c>
      <c r="B3839" s="501" t="s">
        <v>3147</v>
      </c>
      <c r="C3839" s="501" t="s">
        <v>1094</v>
      </c>
      <c r="D3839" s="501" t="s">
        <v>3380</v>
      </c>
      <c r="E3839" s="501" t="s">
        <v>3381</v>
      </c>
      <c r="F3839" s="501" t="s">
        <v>657</v>
      </c>
      <c r="G3839" s="501" t="s">
        <v>658</v>
      </c>
      <c r="H3839" s="501" t="s">
        <v>6456</v>
      </c>
      <c r="I3839" s="501">
        <v>140</v>
      </c>
      <c r="J3839" s="501">
        <v>0</v>
      </c>
      <c r="K3839" s="501">
        <v>0</v>
      </c>
      <c r="L3839" s="501">
        <v>0</v>
      </c>
      <c r="M3839" s="501">
        <v>0</v>
      </c>
      <c r="N3839" s="501">
        <v>0</v>
      </c>
      <c r="O3839" s="506">
        <v>140</v>
      </c>
    </row>
    <row r="3840" spans="1:15" x14ac:dyDescent="0.35">
      <c r="A3840" s="503" t="s">
        <v>11367</v>
      </c>
      <c r="B3840" s="504" t="s">
        <v>3143</v>
      </c>
      <c r="C3840" s="504" t="s">
        <v>1094</v>
      </c>
      <c r="D3840" s="504" t="s">
        <v>3380</v>
      </c>
      <c r="E3840" s="504" t="s">
        <v>3381</v>
      </c>
      <c r="F3840" s="504" t="s">
        <v>657</v>
      </c>
      <c r="G3840" s="504" t="s">
        <v>658</v>
      </c>
      <c r="H3840" s="504" t="s">
        <v>11929</v>
      </c>
      <c r="I3840" s="504">
        <v>1310</v>
      </c>
      <c r="J3840" s="504">
        <v>1091</v>
      </c>
      <c r="K3840" s="504">
        <v>0</v>
      </c>
      <c r="L3840" s="504">
        <v>30</v>
      </c>
      <c r="M3840" s="504">
        <v>189</v>
      </c>
      <c r="N3840" s="504">
        <v>2</v>
      </c>
      <c r="O3840" s="505">
        <v>0</v>
      </c>
    </row>
    <row r="3841" spans="1:15" x14ac:dyDescent="0.35">
      <c r="A3841" s="500" t="s">
        <v>1122</v>
      </c>
      <c r="B3841" s="501" t="s">
        <v>2994</v>
      </c>
      <c r="C3841" s="501" t="s">
        <v>1094</v>
      </c>
      <c r="D3841" s="501" t="s">
        <v>3380</v>
      </c>
      <c r="E3841" s="501" t="s">
        <v>3381</v>
      </c>
      <c r="F3841" s="501" t="s">
        <v>657</v>
      </c>
      <c r="G3841" s="501" t="s">
        <v>658</v>
      </c>
      <c r="H3841" s="501" t="s">
        <v>6457</v>
      </c>
      <c r="I3841" s="501">
        <v>77</v>
      </c>
      <c r="J3841" s="501">
        <v>76</v>
      </c>
      <c r="K3841" s="501">
        <v>0</v>
      </c>
      <c r="L3841" s="501">
        <v>0</v>
      </c>
      <c r="M3841" s="501">
        <v>0</v>
      </c>
      <c r="N3841" s="501">
        <v>0</v>
      </c>
      <c r="O3841" s="506">
        <v>1</v>
      </c>
    </row>
    <row r="3842" spans="1:15" x14ac:dyDescent="0.35">
      <c r="A3842" s="503" t="s">
        <v>1534</v>
      </c>
      <c r="B3842" s="504" t="s">
        <v>3092</v>
      </c>
      <c r="C3842" s="504" t="s">
        <v>1089</v>
      </c>
      <c r="D3842" s="504" t="s">
        <v>3392</v>
      </c>
      <c r="E3842" s="504" t="s">
        <v>3381</v>
      </c>
      <c r="F3842" s="504" t="s">
        <v>657</v>
      </c>
      <c r="G3842" s="504" t="s">
        <v>658</v>
      </c>
      <c r="H3842" s="504" t="s">
        <v>6458</v>
      </c>
      <c r="I3842" s="504">
        <v>12</v>
      </c>
      <c r="J3842" s="504">
        <v>0</v>
      </c>
      <c r="K3842" s="504">
        <v>0</v>
      </c>
      <c r="L3842" s="504">
        <v>0</v>
      </c>
      <c r="M3842" s="504">
        <v>12</v>
      </c>
      <c r="N3842" s="504">
        <v>0</v>
      </c>
      <c r="O3842" s="505">
        <v>0</v>
      </c>
    </row>
    <row r="3843" spans="1:15" x14ac:dyDescent="0.35">
      <c r="A3843" s="500" t="s">
        <v>1234</v>
      </c>
      <c r="B3843" s="501" t="s">
        <v>3291</v>
      </c>
      <c r="C3843" s="501" t="s">
        <v>1094</v>
      </c>
      <c r="D3843" s="501" t="s">
        <v>3380</v>
      </c>
      <c r="E3843" s="501" t="s">
        <v>3381</v>
      </c>
      <c r="F3843" s="501" t="s">
        <v>657</v>
      </c>
      <c r="G3843" s="501" t="s">
        <v>658</v>
      </c>
      <c r="H3843" s="501" t="s">
        <v>6459</v>
      </c>
      <c r="I3843" s="501">
        <v>11</v>
      </c>
      <c r="J3843" s="501">
        <v>0</v>
      </c>
      <c r="K3843" s="501">
        <v>0</v>
      </c>
      <c r="L3843" s="501">
        <v>11</v>
      </c>
      <c r="M3843" s="501">
        <v>0</v>
      </c>
      <c r="N3843" s="501">
        <v>0</v>
      </c>
      <c r="O3843" s="506">
        <v>0</v>
      </c>
    </row>
    <row r="3844" spans="1:15" x14ac:dyDescent="0.35">
      <c r="A3844" s="503" t="s">
        <v>1126</v>
      </c>
      <c r="B3844" s="504" t="s">
        <v>2974</v>
      </c>
      <c r="C3844" s="504" t="s">
        <v>1094</v>
      </c>
      <c r="D3844" s="504" t="s">
        <v>3380</v>
      </c>
      <c r="E3844" s="504" t="s">
        <v>3381</v>
      </c>
      <c r="F3844" s="504" t="s">
        <v>657</v>
      </c>
      <c r="G3844" s="504" t="s">
        <v>658</v>
      </c>
      <c r="H3844" s="504" t="s">
        <v>6460</v>
      </c>
      <c r="I3844" s="504">
        <v>80</v>
      </c>
      <c r="J3844" s="504">
        <v>0</v>
      </c>
      <c r="K3844" s="504">
        <v>0</v>
      </c>
      <c r="L3844" s="504">
        <v>43</v>
      </c>
      <c r="M3844" s="504">
        <v>0</v>
      </c>
      <c r="N3844" s="504">
        <v>0</v>
      </c>
      <c r="O3844" s="505">
        <v>37</v>
      </c>
    </row>
    <row r="3845" spans="1:15" x14ac:dyDescent="0.35">
      <c r="A3845" s="500" t="s">
        <v>1899</v>
      </c>
      <c r="B3845" s="501" t="s">
        <v>3078</v>
      </c>
      <c r="C3845" s="501" t="s">
        <v>1089</v>
      </c>
      <c r="D3845" s="501" t="s">
        <v>3392</v>
      </c>
      <c r="E3845" s="501" t="s">
        <v>3381</v>
      </c>
      <c r="F3845" s="501" t="s">
        <v>657</v>
      </c>
      <c r="G3845" s="501" t="s">
        <v>658</v>
      </c>
      <c r="H3845" s="501" t="s">
        <v>6461</v>
      </c>
      <c r="I3845" s="501">
        <v>6</v>
      </c>
      <c r="J3845" s="501">
        <v>0</v>
      </c>
      <c r="K3845" s="501">
        <v>0</v>
      </c>
      <c r="L3845" s="501">
        <v>6</v>
      </c>
      <c r="M3845" s="501">
        <v>0</v>
      </c>
      <c r="N3845" s="501">
        <v>0</v>
      </c>
      <c r="O3845" s="506">
        <v>0</v>
      </c>
    </row>
    <row r="3846" spans="1:15" x14ac:dyDescent="0.35">
      <c r="A3846" s="503" t="s">
        <v>1130</v>
      </c>
      <c r="B3846" s="504" t="s">
        <v>3234</v>
      </c>
      <c r="C3846" s="504" t="s">
        <v>1094</v>
      </c>
      <c r="D3846" s="504" t="s">
        <v>3380</v>
      </c>
      <c r="E3846" s="504" t="s">
        <v>3381</v>
      </c>
      <c r="F3846" s="504" t="s">
        <v>657</v>
      </c>
      <c r="G3846" s="504" t="s">
        <v>658</v>
      </c>
      <c r="H3846" s="504" t="s">
        <v>6462</v>
      </c>
      <c r="I3846" s="504">
        <v>41</v>
      </c>
      <c r="J3846" s="504">
        <v>0</v>
      </c>
      <c r="K3846" s="504">
        <v>0</v>
      </c>
      <c r="L3846" s="504">
        <v>40</v>
      </c>
      <c r="M3846" s="504">
        <v>0</v>
      </c>
      <c r="N3846" s="504">
        <v>0</v>
      </c>
      <c r="O3846" s="505">
        <v>1</v>
      </c>
    </row>
    <row r="3847" spans="1:15" x14ac:dyDescent="0.35">
      <c r="A3847" s="500" t="s">
        <v>1240</v>
      </c>
      <c r="B3847" s="501" t="s">
        <v>2972</v>
      </c>
      <c r="C3847" s="501" t="s">
        <v>1094</v>
      </c>
      <c r="D3847" s="501" t="s">
        <v>3380</v>
      </c>
      <c r="E3847" s="501" t="s">
        <v>3381</v>
      </c>
      <c r="F3847" s="501" t="s">
        <v>657</v>
      </c>
      <c r="G3847" s="501" t="s">
        <v>658</v>
      </c>
      <c r="H3847" s="501" t="s">
        <v>6463</v>
      </c>
      <c r="I3847" s="501">
        <v>7</v>
      </c>
      <c r="J3847" s="501">
        <v>7</v>
      </c>
      <c r="K3847" s="501">
        <v>0</v>
      </c>
      <c r="L3847" s="501">
        <v>0</v>
      </c>
      <c r="M3847" s="501">
        <v>0</v>
      </c>
      <c r="N3847" s="501">
        <v>0</v>
      </c>
      <c r="O3847" s="506">
        <v>0</v>
      </c>
    </row>
    <row r="3848" spans="1:15" x14ac:dyDescent="0.35">
      <c r="A3848" s="503" t="s">
        <v>1134</v>
      </c>
      <c r="B3848" s="504" t="s">
        <v>3066</v>
      </c>
      <c r="C3848" s="504" t="s">
        <v>1094</v>
      </c>
      <c r="D3848" s="504" t="s">
        <v>3380</v>
      </c>
      <c r="E3848" s="504" t="s">
        <v>3381</v>
      </c>
      <c r="F3848" s="504" t="s">
        <v>657</v>
      </c>
      <c r="G3848" s="504" t="s">
        <v>658</v>
      </c>
      <c r="H3848" s="504" t="s">
        <v>6464</v>
      </c>
      <c r="I3848" s="504">
        <v>45</v>
      </c>
      <c r="J3848" s="504">
        <v>45</v>
      </c>
      <c r="K3848" s="504">
        <v>0</v>
      </c>
      <c r="L3848" s="504">
        <v>0</v>
      </c>
      <c r="M3848" s="504">
        <v>0</v>
      </c>
      <c r="N3848" s="504">
        <v>0</v>
      </c>
      <c r="O3848" s="505">
        <v>0</v>
      </c>
    </row>
    <row r="3849" spans="1:15" x14ac:dyDescent="0.35">
      <c r="A3849" s="500" t="s">
        <v>1944</v>
      </c>
      <c r="B3849" s="501">
        <v>4644</v>
      </c>
      <c r="C3849" s="501" t="s">
        <v>1089</v>
      </c>
      <c r="D3849" s="501" t="s">
        <v>3392</v>
      </c>
      <c r="E3849" s="501" t="s">
        <v>3381</v>
      </c>
      <c r="F3849" s="501" t="s">
        <v>657</v>
      </c>
      <c r="G3849" s="501" t="s">
        <v>658</v>
      </c>
      <c r="H3849" s="501" t="s">
        <v>6465</v>
      </c>
      <c r="I3849" s="501">
        <v>47</v>
      </c>
      <c r="J3849" s="501">
        <v>0</v>
      </c>
      <c r="K3849" s="501">
        <v>0</v>
      </c>
      <c r="L3849" s="501">
        <v>47</v>
      </c>
      <c r="M3849" s="501">
        <v>0</v>
      </c>
      <c r="N3849" s="501">
        <v>0</v>
      </c>
      <c r="O3849" s="506">
        <v>0</v>
      </c>
    </row>
    <row r="3850" spans="1:15" x14ac:dyDescent="0.35">
      <c r="A3850" s="503" t="s">
        <v>1091</v>
      </c>
      <c r="B3850" s="504" t="s">
        <v>3288</v>
      </c>
      <c r="C3850" s="504" t="s">
        <v>1089</v>
      </c>
      <c r="D3850" s="504" t="s">
        <v>3392</v>
      </c>
      <c r="E3850" s="504" t="s">
        <v>3381</v>
      </c>
      <c r="F3850" s="504" t="s">
        <v>659</v>
      </c>
      <c r="G3850" s="504" t="s">
        <v>660</v>
      </c>
      <c r="H3850" s="504" t="s">
        <v>6466</v>
      </c>
      <c r="I3850" s="504">
        <v>17</v>
      </c>
      <c r="J3850" s="504">
        <v>0</v>
      </c>
      <c r="K3850" s="504">
        <v>0</v>
      </c>
      <c r="L3850" s="504">
        <v>17</v>
      </c>
      <c r="M3850" s="504">
        <v>0</v>
      </c>
      <c r="N3850" s="504">
        <v>0</v>
      </c>
      <c r="O3850" s="505">
        <v>0</v>
      </c>
    </row>
    <row r="3851" spans="1:15" x14ac:dyDescent="0.35">
      <c r="A3851" s="500" t="s">
        <v>14127</v>
      </c>
      <c r="B3851" s="501" t="s">
        <v>14126</v>
      </c>
      <c r="C3851" s="501" t="s">
        <v>1094</v>
      </c>
      <c r="D3851" s="501" t="s">
        <v>3380</v>
      </c>
      <c r="E3851" s="501" t="s">
        <v>3381</v>
      </c>
      <c r="F3851" s="501" t="s">
        <v>659</v>
      </c>
      <c r="G3851" s="501" t="s">
        <v>660</v>
      </c>
      <c r="H3851" s="501" t="s">
        <v>14749</v>
      </c>
      <c r="I3851" s="501">
        <v>122</v>
      </c>
      <c r="J3851" s="501">
        <v>111</v>
      </c>
      <c r="K3851" s="501">
        <v>0</v>
      </c>
      <c r="L3851" s="501">
        <v>0</v>
      </c>
      <c r="M3851" s="501">
        <v>0</v>
      </c>
      <c r="N3851" s="501">
        <v>0</v>
      </c>
      <c r="O3851" s="506">
        <v>11</v>
      </c>
    </row>
    <row r="3852" spans="1:15" x14ac:dyDescent="0.35">
      <c r="A3852" s="503" t="s">
        <v>1093</v>
      </c>
      <c r="B3852" s="504" t="s">
        <v>3248</v>
      </c>
      <c r="C3852" s="504" t="s">
        <v>1094</v>
      </c>
      <c r="D3852" s="504" t="s">
        <v>3380</v>
      </c>
      <c r="E3852" s="504" t="s">
        <v>3381</v>
      </c>
      <c r="F3852" s="504" t="s">
        <v>659</v>
      </c>
      <c r="G3852" s="504" t="s">
        <v>660</v>
      </c>
      <c r="H3852" s="504" t="s">
        <v>6467</v>
      </c>
      <c r="I3852" s="504">
        <v>18</v>
      </c>
      <c r="J3852" s="504">
        <v>0</v>
      </c>
      <c r="K3852" s="504">
        <v>0</v>
      </c>
      <c r="L3852" s="504">
        <v>12</v>
      </c>
      <c r="M3852" s="504">
        <v>0</v>
      </c>
      <c r="N3852" s="504">
        <v>0</v>
      </c>
      <c r="O3852" s="505">
        <v>6</v>
      </c>
    </row>
    <row r="3853" spans="1:15" x14ac:dyDescent="0.35">
      <c r="A3853" s="500" t="s">
        <v>1795</v>
      </c>
      <c r="B3853" s="501" t="s">
        <v>3018</v>
      </c>
      <c r="C3853" s="501" t="s">
        <v>1089</v>
      </c>
      <c r="D3853" s="501" t="s">
        <v>3392</v>
      </c>
      <c r="E3853" s="501" t="s">
        <v>3381</v>
      </c>
      <c r="F3853" s="501" t="s">
        <v>659</v>
      </c>
      <c r="G3853" s="501" t="s">
        <v>660</v>
      </c>
      <c r="H3853" s="501" t="s">
        <v>6468</v>
      </c>
      <c r="I3853" s="501">
        <v>25</v>
      </c>
      <c r="J3853" s="501">
        <v>0</v>
      </c>
      <c r="K3853" s="501">
        <v>0</v>
      </c>
      <c r="L3853" s="501">
        <v>0</v>
      </c>
      <c r="M3853" s="501">
        <v>25</v>
      </c>
      <c r="N3853" s="501">
        <v>0</v>
      </c>
      <c r="O3853" s="506">
        <v>0</v>
      </c>
    </row>
    <row r="3854" spans="1:15" x14ac:dyDescent="0.35">
      <c r="A3854" s="503" t="s">
        <v>1098</v>
      </c>
      <c r="B3854" s="504">
        <v>4691</v>
      </c>
      <c r="C3854" s="504" t="s">
        <v>1094</v>
      </c>
      <c r="D3854" s="504" t="s">
        <v>3380</v>
      </c>
      <c r="E3854" s="504" t="s">
        <v>3381</v>
      </c>
      <c r="F3854" s="504" t="s">
        <v>659</v>
      </c>
      <c r="G3854" s="504" t="s">
        <v>660</v>
      </c>
      <c r="H3854" s="504" t="s">
        <v>6469</v>
      </c>
      <c r="I3854" s="504">
        <v>135</v>
      </c>
      <c r="J3854" s="504">
        <v>80</v>
      </c>
      <c r="K3854" s="504">
        <v>0</v>
      </c>
      <c r="L3854" s="504">
        <v>0</v>
      </c>
      <c r="M3854" s="504">
        <v>0</v>
      </c>
      <c r="N3854" s="504">
        <v>0</v>
      </c>
      <c r="O3854" s="505">
        <v>55</v>
      </c>
    </row>
    <row r="3855" spans="1:15" x14ac:dyDescent="0.35">
      <c r="A3855" s="500" t="s">
        <v>1100</v>
      </c>
      <c r="B3855" s="501">
        <v>4865</v>
      </c>
      <c r="C3855" s="501" t="s">
        <v>1094</v>
      </c>
      <c r="D3855" s="501" t="s">
        <v>3380</v>
      </c>
      <c r="E3855" s="501" t="s">
        <v>3381</v>
      </c>
      <c r="F3855" s="501" t="s">
        <v>659</v>
      </c>
      <c r="G3855" s="501" t="s">
        <v>660</v>
      </c>
      <c r="H3855" s="501" t="s">
        <v>6470</v>
      </c>
      <c r="I3855" s="501">
        <v>108</v>
      </c>
      <c r="J3855" s="501">
        <v>55</v>
      </c>
      <c r="K3855" s="501">
        <v>0</v>
      </c>
      <c r="L3855" s="501">
        <v>7</v>
      </c>
      <c r="M3855" s="501">
        <v>45</v>
      </c>
      <c r="N3855" s="501">
        <v>0</v>
      </c>
      <c r="O3855" s="506">
        <v>1</v>
      </c>
    </row>
    <row r="3856" spans="1:15" x14ac:dyDescent="0.35">
      <c r="A3856" s="503" t="s">
        <v>14208</v>
      </c>
      <c r="B3856" s="504">
        <v>4803</v>
      </c>
      <c r="C3856" s="504" t="s">
        <v>1094</v>
      </c>
      <c r="D3856" s="504" t="s">
        <v>3380</v>
      </c>
      <c r="E3856" s="504" t="s">
        <v>3381</v>
      </c>
      <c r="F3856" s="504" t="s">
        <v>659</v>
      </c>
      <c r="G3856" s="504" t="s">
        <v>660</v>
      </c>
      <c r="H3856" s="504" t="s">
        <v>14750</v>
      </c>
      <c r="I3856" s="504">
        <v>13</v>
      </c>
      <c r="J3856" s="504">
        <v>0</v>
      </c>
      <c r="K3856" s="504">
        <v>0</v>
      </c>
      <c r="L3856" s="504">
        <v>13</v>
      </c>
      <c r="M3856" s="504">
        <v>0</v>
      </c>
      <c r="N3856" s="504">
        <v>0</v>
      </c>
      <c r="O3856" s="505">
        <v>0</v>
      </c>
    </row>
    <row r="3857" spans="1:15" x14ac:dyDescent="0.35">
      <c r="A3857" s="500" t="s">
        <v>1444</v>
      </c>
      <c r="B3857" s="501">
        <v>4743</v>
      </c>
      <c r="C3857" s="501" t="s">
        <v>1089</v>
      </c>
      <c r="D3857" s="501" t="s">
        <v>3392</v>
      </c>
      <c r="E3857" s="501" t="s">
        <v>3381</v>
      </c>
      <c r="F3857" s="501" t="s">
        <v>659</v>
      </c>
      <c r="G3857" s="501" t="s">
        <v>660</v>
      </c>
      <c r="H3857" s="501" t="s">
        <v>6471</v>
      </c>
      <c r="I3857" s="501">
        <v>47</v>
      </c>
      <c r="J3857" s="501">
        <v>47</v>
      </c>
      <c r="K3857" s="501">
        <v>0</v>
      </c>
      <c r="L3857" s="501">
        <v>0</v>
      </c>
      <c r="M3857" s="501">
        <v>0</v>
      </c>
      <c r="N3857" s="501">
        <v>0</v>
      </c>
      <c r="O3857" s="506">
        <v>0</v>
      </c>
    </row>
    <row r="3858" spans="1:15" x14ac:dyDescent="0.35">
      <c r="A3858" s="503" t="s">
        <v>1846</v>
      </c>
      <c r="B3858" s="504" t="s">
        <v>3311</v>
      </c>
      <c r="C3858" s="504" t="s">
        <v>1089</v>
      </c>
      <c r="D3858" s="504" t="s">
        <v>3392</v>
      </c>
      <c r="E3858" s="504" t="s">
        <v>3381</v>
      </c>
      <c r="F3858" s="504" t="s">
        <v>659</v>
      </c>
      <c r="G3858" s="504" t="s">
        <v>660</v>
      </c>
      <c r="H3858" s="504" t="s">
        <v>6472</v>
      </c>
      <c r="I3858" s="504">
        <v>97</v>
      </c>
      <c r="J3858" s="504">
        <v>0</v>
      </c>
      <c r="K3858" s="504">
        <v>0</v>
      </c>
      <c r="L3858" s="504">
        <v>97</v>
      </c>
      <c r="M3858" s="504">
        <v>0</v>
      </c>
      <c r="N3858" s="504">
        <v>0</v>
      </c>
      <c r="O3858" s="505">
        <v>0</v>
      </c>
    </row>
    <row r="3859" spans="1:15" x14ac:dyDescent="0.35">
      <c r="A3859" s="500" t="s">
        <v>1105</v>
      </c>
      <c r="B3859" s="501">
        <v>4668</v>
      </c>
      <c r="C3859" s="501" t="s">
        <v>1094</v>
      </c>
      <c r="D3859" s="501" t="s">
        <v>3380</v>
      </c>
      <c r="E3859" s="501" t="s">
        <v>3381</v>
      </c>
      <c r="F3859" s="501" t="s">
        <v>659</v>
      </c>
      <c r="G3859" s="501" t="s">
        <v>660</v>
      </c>
      <c r="H3859" s="501" t="s">
        <v>6473</v>
      </c>
      <c r="I3859" s="501">
        <v>42</v>
      </c>
      <c r="J3859" s="501">
        <v>0</v>
      </c>
      <c r="K3859" s="501">
        <v>0</v>
      </c>
      <c r="L3859" s="501">
        <v>0</v>
      </c>
      <c r="M3859" s="501">
        <v>0</v>
      </c>
      <c r="N3859" s="501">
        <v>0</v>
      </c>
      <c r="O3859" s="506">
        <v>42</v>
      </c>
    </row>
    <row r="3860" spans="1:15" x14ac:dyDescent="0.35">
      <c r="A3860" s="503" t="s">
        <v>1107</v>
      </c>
      <c r="B3860" s="504" t="s">
        <v>3109</v>
      </c>
      <c r="C3860" s="504" t="s">
        <v>1094</v>
      </c>
      <c r="D3860" s="504" t="s">
        <v>3380</v>
      </c>
      <c r="E3860" s="504" t="s">
        <v>3381</v>
      </c>
      <c r="F3860" s="504" t="s">
        <v>659</v>
      </c>
      <c r="G3860" s="504" t="s">
        <v>660</v>
      </c>
      <c r="H3860" s="504" t="s">
        <v>6474</v>
      </c>
      <c r="I3860" s="504">
        <v>72</v>
      </c>
      <c r="J3860" s="504">
        <v>47</v>
      </c>
      <c r="K3860" s="504">
        <v>0</v>
      </c>
      <c r="L3860" s="504">
        <v>0</v>
      </c>
      <c r="M3860" s="504">
        <v>0</v>
      </c>
      <c r="N3860" s="504">
        <v>0</v>
      </c>
      <c r="O3860" s="505">
        <v>25</v>
      </c>
    </row>
    <row r="3861" spans="1:15" x14ac:dyDescent="0.35">
      <c r="A3861" s="500" t="s">
        <v>1109</v>
      </c>
      <c r="B3861" s="501" t="s">
        <v>2959</v>
      </c>
      <c r="C3861" s="501" t="s">
        <v>1094</v>
      </c>
      <c r="D3861" s="501" t="s">
        <v>3380</v>
      </c>
      <c r="E3861" s="501" t="s">
        <v>3381</v>
      </c>
      <c r="F3861" s="501" t="s">
        <v>659</v>
      </c>
      <c r="G3861" s="501" t="s">
        <v>660</v>
      </c>
      <c r="H3861" s="501" t="s">
        <v>6475</v>
      </c>
      <c r="I3861" s="501">
        <v>37</v>
      </c>
      <c r="J3861" s="501">
        <v>0</v>
      </c>
      <c r="K3861" s="501">
        <v>0</v>
      </c>
      <c r="L3861" s="501">
        <v>0</v>
      </c>
      <c r="M3861" s="501">
        <v>37</v>
      </c>
      <c r="N3861" s="501">
        <v>0</v>
      </c>
      <c r="O3861" s="506">
        <v>0</v>
      </c>
    </row>
    <row r="3862" spans="1:15" x14ac:dyDescent="0.35">
      <c r="A3862" s="503" t="s">
        <v>1189</v>
      </c>
      <c r="B3862" s="504" t="s">
        <v>3236</v>
      </c>
      <c r="C3862" s="504" t="s">
        <v>1094</v>
      </c>
      <c r="D3862" s="504" t="s">
        <v>3380</v>
      </c>
      <c r="E3862" s="504" t="s">
        <v>3381</v>
      </c>
      <c r="F3862" s="504" t="s">
        <v>659</v>
      </c>
      <c r="G3862" s="504" t="s">
        <v>660</v>
      </c>
      <c r="H3862" s="504" t="s">
        <v>6476</v>
      </c>
      <c r="I3862" s="504">
        <v>64</v>
      </c>
      <c r="J3862" s="504">
        <v>48</v>
      </c>
      <c r="K3862" s="504">
        <v>0</v>
      </c>
      <c r="L3862" s="504">
        <v>0</v>
      </c>
      <c r="M3862" s="504">
        <v>14</v>
      </c>
      <c r="N3862" s="504">
        <v>0</v>
      </c>
      <c r="O3862" s="505">
        <v>2</v>
      </c>
    </row>
    <row r="3863" spans="1:15" x14ac:dyDescent="0.35">
      <c r="A3863" s="500" t="s">
        <v>1190</v>
      </c>
      <c r="B3863" s="501">
        <v>4662</v>
      </c>
      <c r="C3863" s="501" t="s">
        <v>1094</v>
      </c>
      <c r="D3863" s="501" t="s">
        <v>3380</v>
      </c>
      <c r="E3863" s="501" t="s">
        <v>3381</v>
      </c>
      <c r="F3863" s="501" t="s">
        <v>659</v>
      </c>
      <c r="G3863" s="501" t="s">
        <v>660</v>
      </c>
      <c r="H3863" s="501" t="s">
        <v>6477</v>
      </c>
      <c r="I3863" s="501">
        <v>12</v>
      </c>
      <c r="J3863" s="501">
        <v>0</v>
      </c>
      <c r="K3863" s="501">
        <v>0</v>
      </c>
      <c r="L3863" s="501">
        <v>12</v>
      </c>
      <c r="M3863" s="501">
        <v>0</v>
      </c>
      <c r="N3863" s="501">
        <v>0</v>
      </c>
      <c r="O3863" s="506">
        <v>0</v>
      </c>
    </row>
    <row r="3864" spans="1:15" x14ac:dyDescent="0.35">
      <c r="A3864" s="503" t="s">
        <v>1114</v>
      </c>
      <c r="B3864" s="504" t="s">
        <v>2982</v>
      </c>
      <c r="C3864" s="504" t="s">
        <v>1094</v>
      </c>
      <c r="D3864" s="504" t="s">
        <v>3380</v>
      </c>
      <c r="E3864" s="504" t="s">
        <v>3381</v>
      </c>
      <c r="F3864" s="504" t="s">
        <v>659</v>
      </c>
      <c r="G3864" s="504" t="s">
        <v>660</v>
      </c>
      <c r="H3864" s="504" t="s">
        <v>6478</v>
      </c>
      <c r="I3864" s="504">
        <v>1</v>
      </c>
      <c r="J3864" s="504">
        <v>0</v>
      </c>
      <c r="K3864" s="504">
        <v>0</v>
      </c>
      <c r="L3864" s="504">
        <v>0</v>
      </c>
      <c r="M3864" s="504">
        <v>0</v>
      </c>
      <c r="N3864" s="504">
        <v>0</v>
      </c>
      <c r="O3864" s="505">
        <v>1</v>
      </c>
    </row>
    <row r="3865" spans="1:15" x14ac:dyDescent="0.35">
      <c r="A3865" s="500" t="s">
        <v>11415</v>
      </c>
      <c r="B3865" s="501" t="s">
        <v>2973</v>
      </c>
      <c r="C3865" s="501" t="s">
        <v>1089</v>
      </c>
      <c r="D3865" s="501" t="s">
        <v>3392</v>
      </c>
      <c r="E3865" s="501" t="s">
        <v>3381</v>
      </c>
      <c r="F3865" s="501" t="s">
        <v>659</v>
      </c>
      <c r="G3865" s="501" t="s">
        <v>660</v>
      </c>
      <c r="H3865" s="501" t="s">
        <v>11980</v>
      </c>
      <c r="I3865" s="501">
        <v>4</v>
      </c>
      <c r="J3865" s="501">
        <v>4</v>
      </c>
      <c r="K3865" s="501">
        <v>0</v>
      </c>
      <c r="L3865" s="501">
        <v>0</v>
      </c>
      <c r="M3865" s="501">
        <v>0</v>
      </c>
      <c r="N3865" s="501">
        <v>0</v>
      </c>
      <c r="O3865" s="506">
        <v>0</v>
      </c>
    </row>
    <row r="3866" spans="1:15" x14ac:dyDescent="0.35">
      <c r="A3866" s="503" t="s">
        <v>1122</v>
      </c>
      <c r="B3866" s="504" t="s">
        <v>2994</v>
      </c>
      <c r="C3866" s="504" t="s">
        <v>1094</v>
      </c>
      <c r="D3866" s="504" t="s">
        <v>3380</v>
      </c>
      <c r="E3866" s="504" t="s">
        <v>3381</v>
      </c>
      <c r="F3866" s="504" t="s">
        <v>659</v>
      </c>
      <c r="G3866" s="504" t="s">
        <v>660</v>
      </c>
      <c r="H3866" s="504" t="s">
        <v>6479</v>
      </c>
      <c r="I3866" s="504">
        <v>46</v>
      </c>
      <c r="J3866" s="504">
        <v>46</v>
      </c>
      <c r="K3866" s="504">
        <v>0</v>
      </c>
      <c r="L3866" s="504">
        <v>0</v>
      </c>
      <c r="M3866" s="504">
        <v>0</v>
      </c>
      <c r="N3866" s="504">
        <v>0</v>
      </c>
      <c r="O3866" s="505">
        <v>0</v>
      </c>
    </row>
    <row r="3867" spans="1:15" x14ac:dyDescent="0.35">
      <c r="A3867" s="500" t="s">
        <v>1228</v>
      </c>
      <c r="B3867" s="501" t="s">
        <v>3321</v>
      </c>
      <c r="C3867" s="501" t="s">
        <v>1094</v>
      </c>
      <c r="D3867" s="501" t="s">
        <v>3380</v>
      </c>
      <c r="E3867" s="501" t="s">
        <v>3381</v>
      </c>
      <c r="F3867" s="501" t="s">
        <v>659</v>
      </c>
      <c r="G3867" s="501" t="s">
        <v>660</v>
      </c>
      <c r="H3867" s="501" t="s">
        <v>6480</v>
      </c>
      <c r="I3867" s="501">
        <v>4</v>
      </c>
      <c r="J3867" s="501">
        <v>0</v>
      </c>
      <c r="K3867" s="501">
        <v>0</v>
      </c>
      <c r="L3867" s="501">
        <v>4</v>
      </c>
      <c r="M3867" s="501">
        <v>0</v>
      </c>
      <c r="N3867" s="501">
        <v>0</v>
      </c>
      <c r="O3867" s="506">
        <v>0</v>
      </c>
    </row>
    <row r="3868" spans="1:15" x14ac:dyDescent="0.35">
      <c r="A3868" s="503" t="s">
        <v>1124</v>
      </c>
      <c r="B3868" s="504">
        <v>4745</v>
      </c>
      <c r="C3868" s="504" t="s">
        <v>1094</v>
      </c>
      <c r="D3868" s="504" t="s">
        <v>3380</v>
      </c>
      <c r="E3868" s="504" t="s">
        <v>3381</v>
      </c>
      <c r="F3868" s="504" t="s">
        <v>659</v>
      </c>
      <c r="G3868" s="504" t="s">
        <v>660</v>
      </c>
      <c r="H3868" s="504" t="s">
        <v>6481</v>
      </c>
      <c r="I3868" s="504">
        <v>2</v>
      </c>
      <c r="J3868" s="504">
        <v>0</v>
      </c>
      <c r="K3868" s="504">
        <v>0</v>
      </c>
      <c r="L3868" s="504">
        <v>2</v>
      </c>
      <c r="M3868" s="504">
        <v>0</v>
      </c>
      <c r="N3868" s="504">
        <v>0</v>
      </c>
      <c r="O3868" s="505">
        <v>0</v>
      </c>
    </row>
    <row r="3869" spans="1:15" x14ac:dyDescent="0.35">
      <c r="A3869" s="500" t="s">
        <v>1233</v>
      </c>
      <c r="B3869" s="501">
        <v>4636</v>
      </c>
      <c r="C3869" s="501" t="s">
        <v>1094</v>
      </c>
      <c r="D3869" s="501" t="s">
        <v>3380</v>
      </c>
      <c r="E3869" s="501" t="s">
        <v>3381</v>
      </c>
      <c r="F3869" s="501" t="s">
        <v>659</v>
      </c>
      <c r="G3869" s="501" t="s">
        <v>660</v>
      </c>
      <c r="H3869" s="501" t="s">
        <v>12012</v>
      </c>
      <c r="I3869" s="501">
        <v>28</v>
      </c>
      <c r="J3869" s="501">
        <v>16</v>
      </c>
      <c r="K3869" s="501">
        <v>0</v>
      </c>
      <c r="L3869" s="501">
        <v>0</v>
      </c>
      <c r="M3869" s="501">
        <v>0</v>
      </c>
      <c r="N3869" s="501">
        <v>0</v>
      </c>
      <c r="O3869" s="506">
        <v>12</v>
      </c>
    </row>
    <row r="3870" spans="1:15" x14ac:dyDescent="0.35">
      <c r="A3870" s="503" t="s">
        <v>11368</v>
      </c>
      <c r="B3870" s="504">
        <v>5083</v>
      </c>
      <c r="C3870" s="504" t="s">
        <v>1094</v>
      </c>
      <c r="D3870" s="504" t="s">
        <v>3380</v>
      </c>
      <c r="E3870" s="504" t="s">
        <v>3381</v>
      </c>
      <c r="F3870" s="504" t="s">
        <v>659</v>
      </c>
      <c r="G3870" s="504" t="s">
        <v>660</v>
      </c>
      <c r="H3870" s="504" t="s">
        <v>14751</v>
      </c>
      <c r="I3870" s="504">
        <v>6</v>
      </c>
      <c r="J3870" s="504">
        <v>6</v>
      </c>
      <c r="K3870" s="504">
        <v>0</v>
      </c>
      <c r="L3870" s="504">
        <v>0</v>
      </c>
      <c r="M3870" s="504">
        <v>0</v>
      </c>
      <c r="N3870" s="504">
        <v>0</v>
      </c>
      <c r="O3870" s="505">
        <v>0</v>
      </c>
    </row>
    <row r="3871" spans="1:15" x14ac:dyDescent="0.35">
      <c r="A3871" s="500" t="s">
        <v>1126</v>
      </c>
      <c r="B3871" s="501" t="s">
        <v>2974</v>
      </c>
      <c r="C3871" s="501" t="s">
        <v>1094</v>
      </c>
      <c r="D3871" s="501" t="s">
        <v>3380</v>
      </c>
      <c r="E3871" s="501" t="s">
        <v>3381</v>
      </c>
      <c r="F3871" s="501" t="s">
        <v>659</v>
      </c>
      <c r="G3871" s="501" t="s">
        <v>660</v>
      </c>
      <c r="H3871" s="501" t="s">
        <v>6482</v>
      </c>
      <c r="I3871" s="501">
        <v>16</v>
      </c>
      <c r="J3871" s="501">
        <v>0</v>
      </c>
      <c r="K3871" s="501">
        <v>0</v>
      </c>
      <c r="L3871" s="501">
        <v>16</v>
      </c>
      <c r="M3871" s="501">
        <v>0</v>
      </c>
      <c r="N3871" s="501">
        <v>0</v>
      </c>
      <c r="O3871" s="506">
        <v>0</v>
      </c>
    </row>
    <row r="3872" spans="1:15" x14ac:dyDescent="0.35">
      <c r="A3872" s="503" t="s">
        <v>1892</v>
      </c>
      <c r="B3872" s="504" t="s">
        <v>3172</v>
      </c>
      <c r="C3872" s="504" t="s">
        <v>1094</v>
      </c>
      <c r="D3872" s="504" t="s">
        <v>3380</v>
      </c>
      <c r="E3872" s="504" t="s">
        <v>3381</v>
      </c>
      <c r="F3872" s="504" t="s">
        <v>659</v>
      </c>
      <c r="G3872" s="504" t="s">
        <v>660</v>
      </c>
      <c r="H3872" s="504" t="s">
        <v>6483</v>
      </c>
      <c r="I3872" s="504">
        <v>24</v>
      </c>
      <c r="J3872" s="504">
        <v>0</v>
      </c>
      <c r="K3872" s="504">
        <v>0</v>
      </c>
      <c r="L3872" s="504">
        <v>4</v>
      </c>
      <c r="M3872" s="504">
        <v>20</v>
      </c>
      <c r="N3872" s="504">
        <v>0</v>
      </c>
      <c r="O3872" s="505">
        <v>0</v>
      </c>
    </row>
    <row r="3873" spans="1:15" x14ac:dyDescent="0.35">
      <c r="A3873" s="500" t="s">
        <v>1130</v>
      </c>
      <c r="B3873" s="501" t="s">
        <v>3234</v>
      </c>
      <c r="C3873" s="501" t="s">
        <v>1094</v>
      </c>
      <c r="D3873" s="501" t="s">
        <v>3380</v>
      </c>
      <c r="E3873" s="501" t="s">
        <v>3381</v>
      </c>
      <c r="F3873" s="501" t="s">
        <v>659</v>
      </c>
      <c r="G3873" s="501" t="s">
        <v>660</v>
      </c>
      <c r="H3873" s="501" t="s">
        <v>6484</v>
      </c>
      <c r="I3873" s="501">
        <v>176</v>
      </c>
      <c r="J3873" s="501">
        <v>126</v>
      </c>
      <c r="K3873" s="501">
        <v>0</v>
      </c>
      <c r="L3873" s="501">
        <v>0</v>
      </c>
      <c r="M3873" s="501">
        <v>50</v>
      </c>
      <c r="N3873" s="501">
        <v>3</v>
      </c>
      <c r="O3873" s="506">
        <v>0</v>
      </c>
    </row>
    <row r="3874" spans="1:15" x14ac:dyDescent="0.35">
      <c r="A3874" s="503" t="s">
        <v>1134</v>
      </c>
      <c r="B3874" s="504" t="s">
        <v>3066</v>
      </c>
      <c r="C3874" s="504" t="s">
        <v>1094</v>
      </c>
      <c r="D3874" s="504" t="s">
        <v>3380</v>
      </c>
      <c r="E3874" s="504" t="s">
        <v>3381</v>
      </c>
      <c r="F3874" s="504" t="s">
        <v>659</v>
      </c>
      <c r="G3874" s="504" t="s">
        <v>660</v>
      </c>
      <c r="H3874" s="504" t="s">
        <v>6485</v>
      </c>
      <c r="I3874" s="504">
        <v>86</v>
      </c>
      <c r="J3874" s="504">
        <v>69</v>
      </c>
      <c r="K3874" s="504">
        <v>0</v>
      </c>
      <c r="L3874" s="504">
        <v>0</v>
      </c>
      <c r="M3874" s="504">
        <v>0</v>
      </c>
      <c r="N3874" s="504">
        <v>0</v>
      </c>
      <c r="O3874" s="505">
        <v>17</v>
      </c>
    </row>
    <row r="3875" spans="1:15" x14ac:dyDescent="0.35">
      <c r="A3875" s="500" t="s">
        <v>1136</v>
      </c>
      <c r="B3875" s="501">
        <v>4680</v>
      </c>
      <c r="C3875" s="501" t="s">
        <v>1094</v>
      </c>
      <c r="D3875" s="501" t="s">
        <v>3380</v>
      </c>
      <c r="E3875" s="501" t="s">
        <v>3381</v>
      </c>
      <c r="F3875" s="501" t="s">
        <v>659</v>
      </c>
      <c r="G3875" s="501" t="s">
        <v>660</v>
      </c>
      <c r="H3875" s="501" t="s">
        <v>6486</v>
      </c>
      <c r="I3875" s="501">
        <v>38</v>
      </c>
      <c r="J3875" s="501">
        <v>25</v>
      </c>
      <c r="K3875" s="501">
        <v>0</v>
      </c>
      <c r="L3875" s="501">
        <v>0</v>
      </c>
      <c r="M3875" s="501">
        <v>0</v>
      </c>
      <c r="N3875" s="501">
        <v>0</v>
      </c>
      <c r="O3875" s="506">
        <v>13</v>
      </c>
    </row>
    <row r="3876" spans="1:15" x14ac:dyDescent="0.35">
      <c r="A3876" s="503" t="s">
        <v>1245</v>
      </c>
      <c r="B3876" s="504" t="s">
        <v>2859</v>
      </c>
      <c r="C3876" s="504" t="s">
        <v>1094</v>
      </c>
      <c r="D3876" s="504" t="s">
        <v>3380</v>
      </c>
      <c r="E3876" s="504" t="s">
        <v>3381</v>
      </c>
      <c r="F3876" s="504" t="s">
        <v>659</v>
      </c>
      <c r="G3876" s="504" t="s">
        <v>660</v>
      </c>
      <c r="H3876" s="504" t="s">
        <v>6487</v>
      </c>
      <c r="I3876" s="504">
        <v>7</v>
      </c>
      <c r="J3876" s="504">
        <v>0</v>
      </c>
      <c r="K3876" s="504">
        <v>0</v>
      </c>
      <c r="L3876" s="504">
        <v>0</v>
      </c>
      <c r="M3876" s="504">
        <v>7</v>
      </c>
      <c r="N3876" s="504">
        <v>0</v>
      </c>
      <c r="O3876" s="505">
        <v>0</v>
      </c>
    </row>
    <row r="3877" spans="1:15" x14ac:dyDescent="0.35">
      <c r="A3877" s="500" t="s">
        <v>1249</v>
      </c>
      <c r="B3877" s="501">
        <v>4729</v>
      </c>
      <c r="C3877" s="501" t="s">
        <v>1094</v>
      </c>
      <c r="D3877" s="501" t="s">
        <v>3380</v>
      </c>
      <c r="E3877" s="501" t="s">
        <v>3381</v>
      </c>
      <c r="F3877" s="501" t="s">
        <v>659</v>
      </c>
      <c r="G3877" s="501" t="s">
        <v>660</v>
      </c>
      <c r="H3877" s="501" t="s">
        <v>6488</v>
      </c>
      <c r="I3877" s="501">
        <v>3775</v>
      </c>
      <c r="J3877" s="501">
        <v>2814</v>
      </c>
      <c r="K3877" s="501">
        <v>0</v>
      </c>
      <c r="L3877" s="501">
        <v>6</v>
      </c>
      <c r="M3877" s="501">
        <v>876</v>
      </c>
      <c r="N3877" s="501">
        <v>2</v>
      </c>
      <c r="O3877" s="506">
        <v>79</v>
      </c>
    </row>
    <row r="3878" spans="1:15" x14ac:dyDescent="0.35">
      <c r="A3878" s="503" t="s">
        <v>1138</v>
      </c>
      <c r="B3878" s="504" t="s">
        <v>2998</v>
      </c>
      <c r="C3878" s="504" t="s">
        <v>1094</v>
      </c>
      <c r="D3878" s="504" t="s">
        <v>3380</v>
      </c>
      <c r="E3878" s="504" t="s">
        <v>3381</v>
      </c>
      <c r="F3878" s="504" t="s">
        <v>659</v>
      </c>
      <c r="G3878" s="504" t="s">
        <v>660</v>
      </c>
      <c r="H3878" s="504" t="s">
        <v>6489</v>
      </c>
      <c r="I3878" s="504">
        <v>131</v>
      </c>
      <c r="J3878" s="504">
        <v>91</v>
      </c>
      <c r="K3878" s="504">
        <v>0</v>
      </c>
      <c r="L3878" s="504">
        <v>0</v>
      </c>
      <c r="M3878" s="504">
        <v>0</v>
      </c>
      <c r="N3878" s="504">
        <v>0</v>
      </c>
      <c r="O3878" s="505">
        <v>40</v>
      </c>
    </row>
    <row r="3879" spans="1:15" x14ac:dyDescent="0.35">
      <c r="A3879" s="500" t="s">
        <v>1930</v>
      </c>
      <c r="B3879" s="501" t="s">
        <v>3313</v>
      </c>
      <c r="C3879" s="501" t="s">
        <v>1089</v>
      </c>
      <c r="D3879" s="501" t="s">
        <v>3392</v>
      </c>
      <c r="E3879" s="501" t="s">
        <v>3381</v>
      </c>
      <c r="F3879" s="501" t="s">
        <v>659</v>
      </c>
      <c r="G3879" s="501" t="s">
        <v>660</v>
      </c>
      <c r="H3879" s="501" t="s">
        <v>6490</v>
      </c>
      <c r="I3879" s="501">
        <v>10</v>
      </c>
      <c r="J3879" s="501">
        <v>0</v>
      </c>
      <c r="K3879" s="501">
        <v>0</v>
      </c>
      <c r="L3879" s="501">
        <v>10</v>
      </c>
      <c r="M3879" s="501">
        <v>0</v>
      </c>
      <c r="N3879" s="501">
        <v>0</v>
      </c>
      <c r="O3879" s="506">
        <v>0</v>
      </c>
    </row>
    <row r="3880" spans="1:15" x14ac:dyDescent="0.35">
      <c r="A3880" s="503" t="s">
        <v>1140</v>
      </c>
      <c r="B3880" s="504">
        <v>4850</v>
      </c>
      <c r="C3880" s="504" t="s">
        <v>1094</v>
      </c>
      <c r="D3880" s="504" t="s">
        <v>3380</v>
      </c>
      <c r="E3880" s="504" t="s">
        <v>3381</v>
      </c>
      <c r="F3880" s="504" t="s">
        <v>659</v>
      </c>
      <c r="G3880" s="504" t="s">
        <v>660</v>
      </c>
      <c r="H3880" s="504" t="s">
        <v>6491</v>
      </c>
      <c r="I3880" s="504">
        <v>1069</v>
      </c>
      <c r="J3880" s="504">
        <v>885</v>
      </c>
      <c r="K3880" s="504">
        <v>0</v>
      </c>
      <c r="L3880" s="504">
        <v>16</v>
      </c>
      <c r="M3880" s="504">
        <v>0</v>
      </c>
      <c r="N3880" s="504">
        <v>0</v>
      </c>
      <c r="O3880" s="505">
        <v>168</v>
      </c>
    </row>
    <row r="3881" spans="1:15" x14ac:dyDescent="0.35">
      <c r="A3881" s="500" t="s">
        <v>1385</v>
      </c>
      <c r="B3881" s="501" t="s">
        <v>3249</v>
      </c>
      <c r="C3881" s="501" t="s">
        <v>1094</v>
      </c>
      <c r="D3881" s="501" t="s">
        <v>3380</v>
      </c>
      <c r="E3881" s="501" t="s">
        <v>3381</v>
      </c>
      <c r="F3881" s="501" t="s">
        <v>661</v>
      </c>
      <c r="G3881" s="501" t="s">
        <v>662</v>
      </c>
      <c r="H3881" s="501" t="s">
        <v>6492</v>
      </c>
      <c r="I3881" s="501">
        <v>42</v>
      </c>
      <c r="J3881" s="501">
        <v>14</v>
      </c>
      <c r="K3881" s="501">
        <v>0</v>
      </c>
      <c r="L3881" s="501">
        <v>0</v>
      </c>
      <c r="M3881" s="501">
        <v>0</v>
      </c>
      <c r="N3881" s="501">
        <v>0</v>
      </c>
      <c r="O3881" s="506">
        <v>28</v>
      </c>
    </row>
    <row r="3882" spans="1:15" x14ac:dyDescent="0.35">
      <c r="A3882" s="503" t="s">
        <v>1096</v>
      </c>
      <c r="B3882" s="504" t="s">
        <v>3326</v>
      </c>
      <c r="C3882" s="504" t="s">
        <v>1094</v>
      </c>
      <c r="D3882" s="504" t="s">
        <v>3380</v>
      </c>
      <c r="E3882" s="504" t="s">
        <v>3381</v>
      </c>
      <c r="F3882" s="504" t="s">
        <v>661</v>
      </c>
      <c r="G3882" s="504" t="s">
        <v>662</v>
      </c>
      <c r="H3882" s="504" t="s">
        <v>6493</v>
      </c>
      <c r="I3882" s="504">
        <v>207</v>
      </c>
      <c r="J3882" s="504">
        <v>0</v>
      </c>
      <c r="K3882" s="504">
        <v>0</v>
      </c>
      <c r="L3882" s="504">
        <v>0</v>
      </c>
      <c r="M3882" s="504">
        <v>207</v>
      </c>
      <c r="N3882" s="504">
        <v>0</v>
      </c>
      <c r="O3882" s="505">
        <v>0</v>
      </c>
    </row>
    <row r="3883" spans="1:15" x14ac:dyDescent="0.35">
      <c r="A3883" s="500" t="s">
        <v>11363</v>
      </c>
      <c r="B3883" s="501">
        <v>4718</v>
      </c>
      <c r="C3883" s="501" t="s">
        <v>1094</v>
      </c>
      <c r="D3883" s="501" t="s">
        <v>3380</v>
      </c>
      <c r="E3883" s="501" t="s">
        <v>3381</v>
      </c>
      <c r="F3883" s="501" t="s">
        <v>661</v>
      </c>
      <c r="G3883" s="501" t="s">
        <v>662</v>
      </c>
      <c r="H3883" s="501" t="s">
        <v>11553</v>
      </c>
      <c r="I3883" s="501">
        <v>4</v>
      </c>
      <c r="J3883" s="501">
        <v>0</v>
      </c>
      <c r="K3883" s="501">
        <v>0</v>
      </c>
      <c r="L3883" s="501">
        <v>4</v>
      </c>
      <c r="M3883" s="501">
        <v>0</v>
      </c>
      <c r="N3883" s="501">
        <v>0</v>
      </c>
      <c r="O3883" s="506">
        <v>0</v>
      </c>
    </row>
    <row r="3884" spans="1:15" x14ac:dyDescent="0.35">
      <c r="A3884" s="503" t="s">
        <v>1281</v>
      </c>
      <c r="B3884" s="504" t="s">
        <v>3044</v>
      </c>
      <c r="C3884" s="504" t="s">
        <v>1089</v>
      </c>
      <c r="D3884" s="504" t="s">
        <v>3392</v>
      </c>
      <c r="E3884" s="504" t="s">
        <v>3381</v>
      </c>
      <c r="F3884" s="504" t="s">
        <v>661</v>
      </c>
      <c r="G3884" s="504" t="s">
        <v>662</v>
      </c>
      <c r="H3884" s="504" t="s">
        <v>6494</v>
      </c>
      <c r="I3884" s="504">
        <v>29</v>
      </c>
      <c r="J3884" s="504">
        <v>29</v>
      </c>
      <c r="K3884" s="504">
        <v>0</v>
      </c>
      <c r="L3884" s="504">
        <v>0</v>
      </c>
      <c r="M3884" s="504">
        <v>0</v>
      </c>
      <c r="N3884" s="504">
        <v>0</v>
      </c>
      <c r="O3884" s="505">
        <v>0</v>
      </c>
    </row>
    <row r="3885" spans="1:15" x14ac:dyDescent="0.35">
      <c r="A3885" s="500" t="s">
        <v>1411</v>
      </c>
      <c r="B3885" s="501" t="s">
        <v>2873</v>
      </c>
      <c r="C3885" s="501" t="s">
        <v>1089</v>
      </c>
      <c r="D3885" s="501" t="s">
        <v>3392</v>
      </c>
      <c r="E3885" s="501" t="s">
        <v>3381</v>
      </c>
      <c r="F3885" s="501" t="s">
        <v>661</v>
      </c>
      <c r="G3885" s="501" t="s">
        <v>662</v>
      </c>
      <c r="H3885" s="501" t="s">
        <v>6495</v>
      </c>
      <c r="I3885" s="501">
        <v>12</v>
      </c>
      <c r="J3885" s="501">
        <v>0</v>
      </c>
      <c r="K3885" s="501">
        <v>0</v>
      </c>
      <c r="L3885" s="501">
        <v>12</v>
      </c>
      <c r="M3885" s="501">
        <v>0</v>
      </c>
      <c r="N3885" s="501">
        <v>0</v>
      </c>
      <c r="O3885" s="506">
        <v>0</v>
      </c>
    </row>
    <row r="3886" spans="1:15" x14ac:dyDescent="0.35">
      <c r="A3886" s="503" t="s">
        <v>1100</v>
      </c>
      <c r="B3886" s="504">
        <v>4865</v>
      </c>
      <c r="C3886" s="504" t="s">
        <v>1094</v>
      </c>
      <c r="D3886" s="504" t="s">
        <v>3380</v>
      </c>
      <c r="E3886" s="504" t="s">
        <v>3381</v>
      </c>
      <c r="F3886" s="504" t="s">
        <v>661</v>
      </c>
      <c r="G3886" s="504" t="s">
        <v>662</v>
      </c>
      <c r="H3886" s="504" t="s">
        <v>6496</v>
      </c>
      <c r="I3886" s="504">
        <v>643</v>
      </c>
      <c r="J3886" s="504">
        <v>497</v>
      </c>
      <c r="K3886" s="504">
        <v>0</v>
      </c>
      <c r="L3886" s="504">
        <v>14</v>
      </c>
      <c r="M3886" s="504">
        <v>0</v>
      </c>
      <c r="N3886" s="504">
        <v>0</v>
      </c>
      <c r="O3886" s="505">
        <v>132</v>
      </c>
    </row>
    <row r="3887" spans="1:15" x14ac:dyDescent="0.35">
      <c r="A3887" s="500" t="s">
        <v>1420</v>
      </c>
      <c r="B3887" s="501">
        <v>4764</v>
      </c>
      <c r="C3887" s="501" t="s">
        <v>1089</v>
      </c>
      <c r="D3887" s="501" t="s">
        <v>3392</v>
      </c>
      <c r="E3887" s="501" t="s">
        <v>3381</v>
      </c>
      <c r="F3887" s="501" t="s">
        <v>661</v>
      </c>
      <c r="G3887" s="501" t="s">
        <v>662</v>
      </c>
      <c r="H3887" s="501" t="s">
        <v>11662</v>
      </c>
      <c r="I3887" s="501">
        <v>17</v>
      </c>
      <c r="J3887" s="501">
        <v>17</v>
      </c>
      <c r="K3887" s="501">
        <v>0</v>
      </c>
      <c r="L3887" s="501">
        <v>0</v>
      </c>
      <c r="M3887" s="501">
        <v>0</v>
      </c>
      <c r="N3887" s="501">
        <v>0</v>
      </c>
      <c r="O3887" s="506">
        <v>0</v>
      </c>
    </row>
    <row r="3888" spans="1:15" x14ac:dyDescent="0.35">
      <c r="A3888" s="503" t="s">
        <v>1294</v>
      </c>
      <c r="B3888" s="504" t="s">
        <v>3114</v>
      </c>
      <c r="C3888" s="504" t="s">
        <v>1094</v>
      </c>
      <c r="D3888" s="504" t="s">
        <v>3380</v>
      </c>
      <c r="E3888" s="504" t="s">
        <v>3381</v>
      </c>
      <c r="F3888" s="504" t="s">
        <v>661</v>
      </c>
      <c r="G3888" s="504" t="s">
        <v>662</v>
      </c>
      <c r="H3888" s="504" t="s">
        <v>6497</v>
      </c>
      <c r="I3888" s="504">
        <v>573</v>
      </c>
      <c r="J3888" s="504">
        <v>421</v>
      </c>
      <c r="K3888" s="504">
        <v>0</v>
      </c>
      <c r="L3888" s="504">
        <v>8</v>
      </c>
      <c r="M3888" s="504">
        <v>0</v>
      </c>
      <c r="N3888" s="504">
        <v>1</v>
      </c>
      <c r="O3888" s="505">
        <v>144</v>
      </c>
    </row>
    <row r="3889" spans="1:15" x14ac:dyDescent="0.35">
      <c r="A3889" s="500" t="s">
        <v>1298</v>
      </c>
      <c r="B3889" s="501" t="s">
        <v>2991</v>
      </c>
      <c r="C3889" s="501" t="s">
        <v>1094</v>
      </c>
      <c r="D3889" s="501" t="s">
        <v>3380</v>
      </c>
      <c r="E3889" s="501" t="s">
        <v>3381</v>
      </c>
      <c r="F3889" s="501" t="s">
        <v>661</v>
      </c>
      <c r="G3889" s="501" t="s">
        <v>662</v>
      </c>
      <c r="H3889" s="501" t="s">
        <v>6498</v>
      </c>
      <c r="I3889" s="501">
        <v>1</v>
      </c>
      <c r="J3889" s="501">
        <v>0</v>
      </c>
      <c r="K3889" s="501">
        <v>0</v>
      </c>
      <c r="L3889" s="501">
        <v>0</v>
      </c>
      <c r="M3889" s="501">
        <v>0</v>
      </c>
      <c r="N3889" s="501">
        <v>0</v>
      </c>
      <c r="O3889" s="506">
        <v>1</v>
      </c>
    </row>
    <row r="3890" spans="1:15" x14ac:dyDescent="0.35">
      <c r="A3890" s="503" t="s">
        <v>14208</v>
      </c>
      <c r="B3890" s="504">
        <v>4803</v>
      </c>
      <c r="C3890" s="504" t="s">
        <v>1094</v>
      </c>
      <c r="D3890" s="504" t="s">
        <v>3380</v>
      </c>
      <c r="E3890" s="504" t="s">
        <v>3381</v>
      </c>
      <c r="F3890" s="504" t="s">
        <v>661</v>
      </c>
      <c r="G3890" s="504" t="s">
        <v>662</v>
      </c>
      <c r="H3890" s="504" t="s">
        <v>14752</v>
      </c>
      <c r="I3890" s="504">
        <v>1</v>
      </c>
      <c r="J3890" s="504">
        <v>0</v>
      </c>
      <c r="K3890" s="504">
        <v>0</v>
      </c>
      <c r="L3890" s="504">
        <v>1</v>
      </c>
      <c r="M3890" s="504">
        <v>0</v>
      </c>
      <c r="N3890" s="504">
        <v>0</v>
      </c>
      <c r="O3890" s="505">
        <v>0</v>
      </c>
    </row>
    <row r="3891" spans="1:15" x14ac:dyDescent="0.35">
      <c r="A3891" s="500" t="s">
        <v>1185</v>
      </c>
      <c r="B3891" s="501" t="s">
        <v>3253</v>
      </c>
      <c r="C3891" s="501" t="s">
        <v>1094</v>
      </c>
      <c r="D3891" s="501" t="s">
        <v>3380</v>
      </c>
      <c r="E3891" s="501" t="s">
        <v>3381</v>
      </c>
      <c r="F3891" s="501" t="s">
        <v>661</v>
      </c>
      <c r="G3891" s="501" t="s">
        <v>662</v>
      </c>
      <c r="H3891" s="501" t="s">
        <v>6499</v>
      </c>
      <c r="I3891" s="501">
        <v>2</v>
      </c>
      <c r="J3891" s="501">
        <v>0</v>
      </c>
      <c r="K3891" s="501">
        <v>0</v>
      </c>
      <c r="L3891" s="501">
        <v>2</v>
      </c>
      <c r="M3891" s="501">
        <v>0</v>
      </c>
      <c r="N3891" s="501">
        <v>0</v>
      </c>
      <c r="O3891" s="506">
        <v>0</v>
      </c>
    </row>
    <row r="3892" spans="1:15" x14ac:dyDescent="0.35">
      <c r="A3892" s="503" t="s">
        <v>1187</v>
      </c>
      <c r="B3892" s="504" t="s">
        <v>2951</v>
      </c>
      <c r="C3892" s="504" t="s">
        <v>1094</v>
      </c>
      <c r="D3892" s="504" t="s">
        <v>3380</v>
      </c>
      <c r="E3892" s="504" t="s">
        <v>3381</v>
      </c>
      <c r="F3892" s="504" t="s">
        <v>661</v>
      </c>
      <c r="G3892" s="504" t="s">
        <v>662</v>
      </c>
      <c r="H3892" s="504" t="s">
        <v>6500</v>
      </c>
      <c r="I3892" s="504">
        <v>123</v>
      </c>
      <c r="J3892" s="504">
        <v>123</v>
      </c>
      <c r="K3892" s="504">
        <v>0</v>
      </c>
      <c r="L3892" s="504">
        <v>0</v>
      </c>
      <c r="M3892" s="504">
        <v>0</v>
      </c>
      <c r="N3892" s="504">
        <v>0</v>
      </c>
      <c r="O3892" s="505">
        <v>0</v>
      </c>
    </row>
    <row r="3893" spans="1:15" x14ac:dyDescent="0.35">
      <c r="A3893" s="500" t="s">
        <v>1105</v>
      </c>
      <c r="B3893" s="501">
        <v>4668</v>
      </c>
      <c r="C3893" s="501" t="s">
        <v>1094</v>
      </c>
      <c r="D3893" s="501" t="s">
        <v>3380</v>
      </c>
      <c r="E3893" s="501" t="s">
        <v>3381</v>
      </c>
      <c r="F3893" s="501" t="s">
        <v>661</v>
      </c>
      <c r="G3893" s="501" t="s">
        <v>662</v>
      </c>
      <c r="H3893" s="501" t="s">
        <v>6501</v>
      </c>
      <c r="I3893" s="501">
        <v>1</v>
      </c>
      <c r="J3893" s="501">
        <v>0</v>
      </c>
      <c r="K3893" s="501">
        <v>0</v>
      </c>
      <c r="L3893" s="501">
        <v>0</v>
      </c>
      <c r="M3893" s="501">
        <v>0</v>
      </c>
      <c r="N3893" s="501">
        <v>0</v>
      </c>
      <c r="O3893" s="506">
        <v>1</v>
      </c>
    </row>
    <row r="3894" spans="1:15" x14ac:dyDescent="0.35">
      <c r="A3894" s="503" t="s">
        <v>1107</v>
      </c>
      <c r="B3894" s="504" t="s">
        <v>3109</v>
      </c>
      <c r="C3894" s="504" t="s">
        <v>1094</v>
      </c>
      <c r="D3894" s="504" t="s">
        <v>3380</v>
      </c>
      <c r="E3894" s="504" t="s">
        <v>3381</v>
      </c>
      <c r="F3894" s="504" t="s">
        <v>661</v>
      </c>
      <c r="G3894" s="504" t="s">
        <v>662</v>
      </c>
      <c r="H3894" s="504" t="s">
        <v>6502</v>
      </c>
      <c r="I3894" s="504">
        <v>44</v>
      </c>
      <c r="J3894" s="504">
        <v>22</v>
      </c>
      <c r="K3894" s="504">
        <v>0</v>
      </c>
      <c r="L3894" s="504">
        <v>0</v>
      </c>
      <c r="M3894" s="504">
        <v>0</v>
      </c>
      <c r="N3894" s="504">
        <v>0</v>
      </c>
      <c r="O3894" s="505">
        <v>22</v>
      </c>
    </row>
    <row r="3895" spans="1:15" x14ac:dyDescent="0.35">
      <c r="A3895" s="500" t="s">
        <v>1109</v>
      </c>
      <c r="B3895" s="501" t="s">
        <v>2959</v>
      </c>
      <c r="C3895" s="501" t="s">
        <v>1094</v>
      </c>
      <c r="D3895" s="501" t="s">
        <v>3380</v>
      </c>
      <c r="E3895" s="501" t="s">
        <v>3381</v>
      </c>
      <c r="F3895" s="501" t="s">
        <v>661</v>
      </c>
      <c r="G3895" s="501" t="s">
        <v>662</v>
      </c>
      <c r="H3895" s="501" t="s">
        <v>6503</v>
      </c>
      <c r="I3895" s="501">
        <v>113</v>
      </c>
      <c r="J3895" s="501">
        <v>0</v>
      </c>
      <c r="K3895" s="501">
        <v>0</v>
      </c>
      <c r="L3895" s="501">
        <v>8</v>
      </c>
      <c r="M3895" s="501">
        <v>100</v>
      </c>
      <c r="N3895" s="501">
        <v>0</v>
      </c>
      <c r="O3895" s="506">
        <v>5</v>
      </c>
    </row>
    <row r="3896" spans="1:15" x14ac:dyDescent="0.35">
      <c r="A3896" s="503" t="s">
        <v>1311</v>
      </c>
      <c r="B3896" s="504" t="s">
        <v>3361</v>
      </c>
      <c r="C3896" s="504" t="s">
        <v>1094</v>
      </c>
      <c r="D3896" s="504" t="s">
        <v>3380</v>
      </c>
      <c r="E3896" s="504" t="s">
        <v>3381</v>
      </c>
      <c r="F3896" s="504" t="s">
        <v>661</v>
      </c>
      <c r="G3896" s="504" t="s">
        <v>662</v>
      </c>
      <c r="H3896" s="504" t="s">
        <v>6504</v>
      </c>
      <c r="I3896" s="504">
        <v>102</v>
      </c>
      <c r="J3896" s="504">
        <v>102</v>
      </c>
      <c r="K3896" s="504">
        <v>0</v>
      </c>
      <c r="L3896" s="504">
        <v>0</v>
      </c>
      <c r="M3896" s="504">
        <v>0</v>
      </c>
      <c r="N3896" s="504">
        <v>0</v>
      </c>
      <c r="O3896" s="505">
        <v>0</v>
      </c>
    </row>
    <row r="3897" spans="1:15" x14ac:dyDescent="0.35">
      <c r="A3897" s="500" t="s">
        <v>1202</v>
      </c>
      <c r="B3897" s="501" t="s">
        <v>3217</v>
      </c>
      <c r="C3897" s="501" t="s">
        <v>1094</v>
      </c>
      <c r="D3897" s="501" t="s">
        <v>3380</v>
      </c>
      <c r="E3897" s="501" t="s">
        <v>3381</v>
      </c>
      <c r="F3897" s="501" t="s">
        <v>661</v>
      </c>
      <c r="G3897" s="501" t="s">
        <v>662</v>
      </c>
      <c r="H3897" s="501" t="s">
        <v>6505</v>
      </c>
      <c r="I3897" s="501">
        <v>1586</v>
      </c>
      <c r="J3897" s="501">
        <v>984</v>
      </c>
      <c r="K3897" s="501">
        <v>0</v>
      </c>
      <c r="L3897" s="501">
        <v>48</v>
      </c>
      <c r="M3897" s="501">
        <v>177</v>
      </c>
      <c r="N3897" s="501">
        <v>6</v>
      </c>
      <c r="O3897" s="506">
        <v>377</v>
      </c>
    </row>
    <row r="3898" spans="1:15" x14ac:dyDescent="0.35">
      <c r="A3898" s="503" t="s">
        <v>1494</v>
      </c>
      <c r="B3898" s="504" t="s">
        <v>3235</v>
      </c>
      <c r="C3898" s="504" t="s">
        <v>1094</v>
      </c>
      <c r="D3898" s="504" t="s">
        <v>3380</v>
      </c>
      <c r="E3898" s="504" t="s">
        <v>3381</v>
      </c>
      <c r="F3898" s="504" t="s">
        <v>661</v>
      </c>
      <c r="G3898" s="504" t="s">
        <v>662</v>
      </c>
      <c r="H3898" s="504" t="s">
        <v>6506</v>
      </c>
      <c r="I3898" s="504">
        <v>15</v>
      </c>
      <c r="J3898" s="504">
        <v>0</v>
      </c>
      <c r="K3898" s="504">
        <v>0</v>
      </c>
      <c r="L3898" s="504">
        <v>15</v>
      </c>
      <c r="M3898" s="504">
        <v>0</v>
      </c>
      <c r="N3898" s="504">
        <v>2</v>
      </c>
      <c r="O3898" s="505">
        <v>0</v>
      </c>
    </row>
    <row r="3899" spans="1:15" x14ac:dyDescent="0.35">
      <c r="A3899" s="500" t="s">
        <v>1112</v>
      </c>
      <c r="B3899" s="501" t="s">
        <v>3008</v>
      </c>
      <c r="C3899" s="501" t="s">
        <v>1094</v>
      </c>
      <c r="D3899" s="501" t="s">
        <v>3380</v>
      </c>
      <c r="E3899" s="501" t="s">
        <v>3381</v>
      </c>
      <c r="F3899" s="501" t="s">
        <v>661</v>
      </c>
      <c r="G3899" s="501" t="s">
        <v>662</v>
      </c>
      <c r="H3899" s="501" t="s">
        <v>6507</v>
      </c>
      <c r="I3899" s="501">
        <v>20</v>
      </c>
      <c r="J3899" s="501">
        <v>16</v>
      </c>
      <c r="K3899" s="501">
        <v>0</v>
      </c>
      <c r="L3899" s="501">
        <v>0</v>
      </c>
      <c r="M3899" s="501">
        <v>0</v>
      </c>
      <c r="N3899" s="501">
        <v>0</v>
      </c>
      <c r="O3899" s="506">
        <v>4</v>
      </c>
    </row>
    <row r="3900" spans="1:15" x14ac:dyDescent="0.35">
      <c r="A3900" s="503" t="s">
        <v>1114</v>
      </c>
      <c r="B3900" s="504" t="s">
        <v>2982</v>
      </c>
      <c r="C3900" s="504" t="s">
        <v>1094</v>
      </c>
      <c r="D3900" s="504" t="s">
        <v>3380</v>
      </c>
      <c r="E3900" s="504" t="s">
        <v>3381</v>
      </c>
      <c r="F3900" s="504" t="s">
        <v>661</v>
      </c>
      <c r="G3900" s="504" t="s">
        <v>662</v>
      </c>
      <c r="H3900" s="504" t="s">
        <v>6508</v>
      </c>
      <c r="I3900" s="504">
        <v>2</v>
      </c>
      <c r="J3900" s="504">
        <v>0</v>
      </c>
      <c r="K3900" s="504">
        <v>0</v>
      </c>
      <c r="L3900" s="504">
        <v>0</v>
      </c>
      <c r="M3900" s="504">
        <v>0</v>
      </c>
      <c r="N3900" s="504">
        <v>0</v>
      </c>
      <c r="O3900" s="505">
        <v>2</v>
      </c>
    </row>
    <row r="3901" spans="1:15" x14ac:dyDescent="0.35">
      <c r="A3901" s="500" t="s">
        <v>1316</v>
      </c>
      <c r="B3901" s="501" t="s">
        <v>2949</v>
      </c>
      <c r="C3901" s="501" t="s">
        <v>1094</v>
      </c>
      <c r="D3901" s="501" t="s">
        <v>3380</v>
      </c>
      <c r="E3901" s="501" t="s">
        <v>3381</v>
      </c>
      <c r="F3901" s="501" t="s">
        <v>661</v>
      </c>
      <c r="G3901" s="501" t="s">
        <v>662</v>
      </c>
      <c r="H3901" s="501" t="s">
        <v>6509</v>
      </c>
      <c r="I3901" s="501">
        <v>1</v>
      </c>
      <c r="J3901" s="501">
        <v>0</v>
      </c>
      <c r="K3901" s="501">
        <v>0</v>
      </c>
      <c r="L3901" s="501">
        <v>0</v>
      </c>
      <c r="M3901" s="501">
        <v>0</v>
      </c>
      <c r="N3901" s="501">
        <v>0</v>
      </c>
      <c r="O3901" s="506">
        <v>1</v>
      </c>
    </row>
    <row r="3902" spans="1:15" x14ac:dyDescent="0.35">
      <c r="A3902" s="503" t="s">
        <v>1319</v>
      </c>
      <c r="B3902" s="504">
        <v>4880</v>
      </c>
      <c r="C3902" s="504" t="s">
        <v>1094</v>
      </c>
      <c r="D3902" s="504" t="s">
        <v>3380</v>
      </c>
      <c r="E3902" s="504" t="s">
        <v>3381</v>
      </c>
      <c r="F3902" s="504" t="s">
        <v>661</v>
      </c>
      <c r="G3902" s="504" t="s">
        <v>662</v>
      </c>
      <c r="H3902" s="504" t="s">
        <v>6510</v>
      </c>
      <c r="I3902" s="504">
        <v>382</v>
      </c>
      <c r="J3902" s="504">
        <v>375</v>
      </c>
      <c r="K3902" s="504">
        <v>0</v>
      </c>
      <c r="L3902" s="504">
        <v>0</v>
      </c>
      <c r="M3902" s="504">
        <v>0</v>
      </c>
      <c r="N3902" s="504">
        <v>3</v>
      </c>
      <c r="O3902" s="505">
        <v>7</v>
      </c>
    </row>
    <row r="3903" spans="1:15" x14ac:dyDescent="0.35">
      <c r="A3903" s="500" t="s">
        <v>1120</v>
      </c>
      <c r="B3903" s="501" t="s">
        <v>3362</v>
      </c>
      <c r="C3903" s="501" t="s">
        <v>1094</v>
      </c>
      <c r="D3903" s="501" t="s">
        <v>3380</v>
      </c>
      <c r="E3903" s="501" t="s">
        <v>3381</v>
      </c>
      <c r="F3903" s="501" t="s">
        <v>661</v>
      </c>
      <c r="G3903" s="501" t="s">
        <v>662</v>
      </c>
      <c r="H3903" s="501" t="s">
        <v>6511</v>
      </c>
      <c r="I3903" s="501">
        <v>29</v>
      </c>
      <c r="J3903" s="501">
        <v>0</v>
      </c>
      <c r="K3903" s="501">
        <v>0</v>
      </c>
      <c r="L3903" s="501">
        <v>0</v>
      </c>
      <c r="M3903" s="501">
        <v>0</v>
      </c>
      <c r="N3903" s="501">
        <v>0</v>
      </c>
      <c r="O3903" s="506">
        <v>29</v>
      </c>
    </row>
    <row r="3904" spans="1:15" x14ac:dyDescent="0.35">
      <c r="A3904" s="503" t="s">
        <v>1322</v>
      </c>
      <c r="B3904" s="504" t="s">
        <v>3244</v>
      </c>
      <c r="C3904" s="504" t="s">
        <v>1094</v>
      </c>
      <c r="D3904" s="504" t="s">
        <v>3380</v>
      </c>
      <c r="E3904" s="504" t="s">
        <v>3381</v>
      </c>
      <c r="F3904" s="504" t="s">
        <v>661</v>
      </c>
      <c r="G3904" s="504" t="s">
        <v>662</v>
      </c>
      <c r="H3904" s="504" t="s">
        <v>6512</v>
      </c>
      <c r="I3904" s="504">
        <v>166</v>
      </c>
      <c r="J3904" s="504">
        <v>82</v>
      </c>
      <c r="K3904" s="504">
        <v>0</v>
      </c>
      <c r="L3904" s="504">
        <v>3</v>
      </c>
      <c r="M3904" s="504">
        <v>0</v>
      </c>
      <c r="N3904" s="504">
        <v>0</v>
      </c>
      <c r="O3904" s="505">
        <v>81</v>
      </c>
    </row>
    <row r="3905" spans="1:15" x14ac:dyDescent="0.35">
      <c r="A3905" s="500" t="s">
        <v>1218</v>
      </c>
      <c r="B3905" s="501" t="s">
        <v>3147</v>
      </c>
      <c r="C3905" s="501" t="s">
        <v>1094</v>
      </c>
      <c r="D3905" s="501" t="s">
        <v>3380</v>
      </c>
      <c r="E3905" s="501" t="s">
        <v>3381</v>
      </c>
      <c r="F3905" s="501" t="s">
        <v>661</v>
      </c>
      <c r="G3905" s="501" t="s">
        <v>662</v>
      </c>
      <c r="H3905" s="501" t="s">
        <v>6513</v>
      </c>
      <c r="I3905" s="501">
        <v>45</v>
      </c>
      <c r="J3905" s="501">
        <v>0</v>
      </c>
      <c r="K3905" s="501">
        <v>0</v>
      </c>
      <c r="L3905" s="501">
        <v>0</v>
      </c>
      <c r="M3905" s="501">
        <v>0</v>
      </c>
      <c r="N3905" s="501">
        <v>0</v>
      </c>
      <c r="O3905" s="506">
        <v>45</v>
      </c>
    </row>
    <row r="3906" spans="1:15" x14ac:dyDescent="0.35">
      <c r="A3906" s="503" t="s">
        <v>1325</v>
      </c>
      <c r="B3906" s="504" t="s">
        <v>3011</v>
      </c>
      <c r="C3906" s="504" t="s">
        <v>1094</v>
      </c>
      <c r="D3906" s="504" t="s">
        <v>3380</v>
      </c>
      <c r="E3906" s="504" t="s">
        <v>3381</v>
      </c>
      <c r="F3906" s="504" t="s">
        <v>661</v>
      </c>
      <c r="G3906" s="504" t="s">
        <v>662</v>
      </c>
      <c r="H3906" s="504" t="s">
        <v>6514</v>
      </c>
      <c r="I3906" s="504">
        <v>1</v>
      </c>
      <c r="J3906" s="504">
        <v>0</v>
      </c>
      <c r="K3906" s="504">
        <v>0</v>
      </c>
      <c r="L3906" s="504">
        <v>0</v>
      </c>
      <c r="M3906" s="504">
        <v>0</v>
      </c>
      <c r="N3906" s="504">
        <v>0</v>
      </c>
      <c r="O3906" s="505">
        <v>1</v>
      </c>
    </row>
    <row r="3907" spans="1:15" x14ac:dyDescent="0.35">
      <c r="A3907" s="500" t="s">
        <v>1332</v>
      </c>
      <c r="B3907" s="501">
        <v>4878</v>
      </c>
      <c r="C3907" s="501" t="s">
        <v>1094</v>
      </c>
      <c r="D3907" s="501" t="s">
        <v>3380</v>
      </c>
      <c r="E3907" s="501" t="s">
        <v>3381</v>
      </c>
      <c r="F3907" s="501" t="s">
        <v>661</v>
      </c>
      <c r="G3907" s="501" t="s">
        <v>662</v>
      </c>
      <c r="H3907" s="501" t="s">
        <v>6515</v>
      </c>
      <c r="I3907" s="501">
        <v>162</v>
      </c>
      <c r="J3907" s="501">
        <v>141</v>
      </c>
      <c r="K3907" s="501">
        <v>0</v>
      </c>
      <c r="L3907" s="501">
        <v>0</v>
      </c>
      <c r="M3907" s="501">
        <v>0</v>
      </c>
      <c r="N3907" s="501">
        <v>0</v>
      </c>
      <c r="O3907" s="506">
        <v>21</v>
      </c>
    </row>
    <row r="3908" spans="1:15" x14ac:dyDescent="0.35">
      <c r="A3908" s="503" t="s">
        <v>1342</v>
      </c>
      <c r="B3908" s="504" t="s">
        <v>3237</v>
      </c>
      <c r="C3908" s="504" t="s">
        <v>1094</v>
      </c>
      <c r="D3908" s="504" t="s">
        <v>3380</v>
      </c>
      <c r="E3908" s="504" t="s">
        <v>3381</v>
      </c>
      <c r="F3908" s="504" t="s">
        <v>661</v>
      </c>
      <c r="G3908" s="504" t="s">
        <v>662</v>
      </c>
      <c r="H3908" s="504" t="s">
        <v>6516</v>
      </c>
      <c r="I3908" s="504">
        <v>1</v>
      </c>
      <c r="J3908" s="504">
        <v>0</v>
      </c>
      <c r="K3908" s="504">
        <v>0</v>
      </c>
      <c r="L3908" s="504">
        <v>0</v>
      </c>
      <c r="M3908" s="504">
        <v>0</v>
      </c>
      <c r="N3908" s="504">
        <v>0</v>
      </c>
      <c r="O3908" s="505">
        <v>1</v>
      </c>
    </row>
    <row r="3909" spans="1:15" x14ac:dyDescent="0.35">
      <c r="A3909" s="500" t="s">
        <v>1130</v>
      </c>
      <c r="B3909" s="501" t="s">
        <v>3234</v>
      </c>
      <c r="C3909" s="501" t="s">
        <v>1094</v>
      </c>
      <c r="D3909" s="501" t="s">
        <v>3380</v>
      </c>
      <c r="E3909" s="501" t="s">
        <v>3381</v>
      </c>
      <c r="F3909" s="501" t="s">
        <v>661</v>
      </c>
      <c r="G3909" s="501" t="s">
        <v>662</v>
      </c>
      <c r="H3909" s="501" t="s">
        <v>6517</v>
      </c>
      <c r="I3909" s="501">
        <v>7</v>
      </c>
      <c r="J3909" s="501">
        <v>0</v>
      </c>
      <c r="K3909" s="501">
        <v>0</v>
      </c>
      <c r="L3909" s="501">
        <v>0</v>
      </c>
      <c r="M3909" s="501">
        <v>0</v>
      </c>
      <c r="N3909" s="501">
        <v>0</v>
      </c>
      <c r="O3909" s="506">
        <v>7</v>
      </c>
    </row>
    <row r="3910" spans="1:15" x14ac:dyDescent="0.35">
      <c r="A3910" s="503" t="s">
        <v>1346</v>
      </c>
      <c r="B3910" s="504" t="s">
        <v>3150</v>
      </c>
      <c r="C3910" s="504" t="s">
        <v>1094</v>
      </c>
      <c r="D3910" s="504" t="s">
        <v>3380</v>
      </c>
      <c r="E3910" s="504" t="s">
        <v>3381</v>
      </c>
      <c r="F3910" s="504" t="s">
        <v>661</v>
      </c>
      <c r="G3910" s="504" t="s">
        <v>662</v>
      </c>
      <c r="H3910" s="504" t="s">
        <v>6518</v>
      </c>
      <c r="I3910" s="504">
        <v>893</v>
      </c>
      <c r="J3910" s="504">
        <v>459</v>
      </c>
      <c r="K3910" s="504">
        <v>354</v>
      </c>
      <c r="L3910" s="504">
        <v>29</v>
      </c>
      <c r="M3910" s="504">
        <v>0</v>
      </c>
      <c r="N3910" s="504">
        <v>3</v>
      </c>
      <c r="O3910" s="505">
        <v>51</v>
      </c>
    </row>
    <row r="3911" spans="1:15" x14ac:dyDescent="0.35">
      <c r="A3911" s="500" t="s">
        <v>1249</v>
      </c>
      <c r="B3911" s="501">
        <v>4729</v>
      </c>
      <c r="C3911" s="501" t="s">
        <v>1094</v>
      </c>
      <c r="D3911" s="501" t="s">
        <v>3380</v>
      </c>
      <c r="E3911" s="501" t="s">
        <v>3381</v>
      </c>
      <c r="F3911" s="501" t="s">
        <v>661</v>
      </c>
      <c r="G3911" s="501" t="s">
        <v>662</v>
      </c>
      <c r="H3911" s="501" t="s">
        <v>6519</v>
      </c>
      <c r="I3911" s="501">
        <v>402</v>
      </c>
      <c r="J3911" s="501">
        <v>397</v>
      </c>
      <c r="K3911" s="501">
        <v>0</v>
      </c>
      <c r="L3911" s="501">
        <v>0</v>
      </c>
      <c r="M3911" s="501">
        <v>5</v>
      </c>
      <c r="N3911" s="501">
        <v>0</v>
      </c>
      <c r="O3911" s="506">
        <v>0</v>
      </c>
    </row>
    <row r="3912" spans="1:15" x14ac:dyDescent="0.35">
      <c r="A3912" s="503" t="s">
        <v>1253</v>
      </c>
      <c r="B3912" s="504" t="s">
        <v>3232</v>
      </c>
      <c r="C3912" s="504" t="s">
        <v>1094</v>
      </c>
      <c r="D3912" s="504" t="s">
        <v>3380</v>
      </c>
      <c r="E3912" s="504" t="s">
        <v>3381</v>
      </c>
      <c r="F3912" s="504" t="s">
        <v>661</v>
      </c>
      <c r="G3912" s="504" t="s">
        <v>662</v>
      </c>
      <c r="H3912" s="504" t="s">
        <v>6520</v>
      </c>
      <c r="I3912" s="504">
        <v>41</v>
      </c>
      <c r="J3912" s="504">
        <v>0</v>
      </c>
      <c r="K3912" s="504">
        <v>0</v>
      </c>
      <c r="L3912" s="504">
        <v>33</v>
      </c>
      <c r="M3912" s="504">
        <v>8</v>
      </c>
      <c r="N3912" s="504">
        <v>0</v>
      </c>
      <c r="O3912" s="505">
        <v>0</v>
      </c>
    </row>
    <row r="3913" spans="1:15" x14ac:dyDescent="0.35">
      <c r="A3913" s="500" t="s">
        <v>1260</v>
      </c>
      <c r="B3913" s="501">
        <v>4645</v>
      </c>
      <c r="C3913" s="501" t="s">
        <v>1089</v>
      </c>
      <c r="D3913" s="501" t="s">
        <v>3392</v>
      </c>
      <c r="E3913" s="501" t="s">
        <v>3381</v>
      </c>
      <c r="F3913" s="501" t="s">
        <v>661</v>
      </c>
      <c r="G3913" s="501" t="s">
        <v>662</v>
      </c>
      <c r="H3913" s="501" t="s">
        <v>6521</v>
      </c>
      <c r="I3913" s="501">
        <v>17</v>
      </c>
      <c r="J3913" s="501">
        <v>0</v>
      </c>
      <c r="K3913" s="501">
        <v>0</v>
      </c>
      <c r="L3913" s="501">
        <v>17</v>
      </c>
      <c r="M3913" s="501">
        <v>0</v>
      </c>
      <c r="N3913" s="501">
        <v>0</v>
      </c>
      <c r="O3913" s="506">
        <v>0</v>
      </c>
    </row>
    <row r="3914" spans="1:15" x14ac:dyDescent="0.35">
      <c r="A3914" s="503" t="s">
        <v>1262</v>
      </c>
      <c r="B3914" s="504">
        <v>4772</v>
      </c>
      <c r="C3914" s="504" t="s">
        <v>1089</v>
      </c>
      <c r="D3914" s="504" t="s">
        <v>3392</v>
      </c>
      <c r="E3914" s="504" t="s">
        <v>3381</v>
      </c>
      <c r="F3914" s="504" t="s">
        <v>661</v>
      </c>
      <c r="G3914" s="504" t="s">
        <v>662</v>
      </c>
      <c r="H3914" s="504" t="s">
        <v>6522</v>
      </c>
      <c r="I3914" s="504">
        <v>4</v>
      </c>
      <c r="J3914" s="504">
        <v>0</v>
      </c>
      <c r="K3914" s="504">
        <v>0</v>
      </c>
      <c r="L3914" s="504">
        <v>4</v>
      </c>
      <c r="M3914" s="504">
        <v>0</v>
      </c>
      <c r="N3914" s="504">
        <v>0</v>
      </c>
      <c r="O3914" s="505">
        <v>0</v>
      </c>
    </row>
    <row r="3915" spans="1:15" x14ac:dyDescent="0.35">
      <c r="A3915" s="500" t="s">
        <v>1608</v>
      </c>
      <c r="B3915" s="501" t="s">
        <v>3228</v>
      </c>
      <c r="C3915" s="501" t="s">
        <v>1089</v>
      </c>
      <c r="D3915" s="501" t="s">
        <v>3392</v>
      </c>
      <c r="E3915" s="501" t="s">
        <v>3381</v>
      </c>
      <c r="F3915" s="501" t="s">
        <v>661</v>
      </c>
      <c r="G3915" s="501" t="s">
        <v>662</v>
      </c>
      <c r="H3915" s="501" t="s">
        <v>6523</v>
      </c>
      <c r="I3915" s="501">
        <v>18</v>
      </c>
      <c r="J3915" s="501">
        <v>0</v>
      </c>
      <c r="K3915" s="501">
        <v>0</v>
      </c>
      <c r="L3915" s="501">
        <v>18</v>
      </c>
      <c r="M3915" s="501">
        <v>0</v>
      </c>
      <c r="N3915" s="501">
        <v>0</v>
      </c>
      <c r="O3915" s="506">
        <v>0</v>
      </c>
    </row>
    <row r="3916" spans="1:15" x14ac:dyDescent="0.35">
      <c r="A3916" s="503" t="s">
        <v>1093</v>
      </c>
      <c r="B3916" s="504" t="s">
        <v>3248</v>
      </c>
      <c r="C3916" s="504" t="s">
        <v>1094</v>
      </c>
      <c r="D3916" s="504" t="s">
        <v>3380</v>
      </c>
      <c r="E3916" s="504" t="s">
        <v>3381</v>
      </c>
      <c r="F3916" s="504" t="s">
        <v>663</v>
      </c>
      <c r="G3916" s="504" t="s">
        <v>664</v>
      </c>
      <c r="H3916" s="504" t="s">
        <v>15502</v>
      </c>
      <c r="I3916" s="504">
        <v>43</v>
      </c>
      <c r="J3916" s="504">
        <v>0</v>
      </c>
      <c r="K3916" s="504">
        <v>0</v>
      </c>
      <c r="L3916" s="504">
        <v>15</v>
      </c>
      <c r="M3916" s="504">
        <v>0</v>
      </c>
      <c r="N3916" s="504">
        <v>0</v>
      </c>
      <c r="O3916" s="505">
        <v>28</v>
      </c>
    </row>
    <row r="3917" spans="1:15" x14ac:dyDescent="0.35">
      <c r="A3917" s="500" t="s">
        <v>1096</v>
      </c>
      <c r="B3917" s="501" t="s">
        <v>3326</v>
      </c>
      <c r="C3917" s="501" t="s">
        <v>1094</v>
      </c>
      <c r="D3917" s="501" t="s">
        <v>3380</v>
      </c>
      <c r="E3917" s="501" t="s">
        <v>3381</v>
      </c>
      <c r="F3917" s="501" t="s">
        <v>663</v>
      </c>
      <c r="G3917" s="501" t="s">
        <v>664</v>
      </c>
      <c r="H3917" s="501" t="s">
        <v>15503</v>
      </c>
      <c r="I3917" s="501">
        <v>121</v>
      </c>
      <c r="J3917" s="501">
        <v>0</v>
      </c>
      <c r="K3917" s="501">
        <v>0</v>
      </c>
      <c r="L3917" s="501">
        <v>0</v>
      </c>
      <c r="M3917" s="501">
        <v>121</v>
      </c>
      <c r="N3917" s="501">
        <v>0</v>
      </c>
      <c r="O3917" s="506">
        <v>0</v>
      </c>
    </row>
    <row r="3918" spans="1:15" x14ac:dyDescent="0.35">
      <c r="A3918" s="503" t="s">
        <v>11363</v>
      </c>
      <c r="B3918" s="504">
        <v>4718</v>
      </c>
      <c r="C3918" s="504" t="s">
        <v>1094</v>
      </c>
      <c r="D3918" s="504" t="s">
        <v>3380</v>
      </c>
      <c r="E3918" s="504" t="s">
        <v>3381</v>
      </c>
      <c r="F3918" s="504" t="s">
        <v>663</v>
      </c>
      <c r="G3918" s="504" t="s">
        <v>664</v>
      </c>
      <c r="H3918" s="504" t="s">
        <v>15504</v>
      </c>
      <c r="I3918" s="504">
        <v>4</v>
      </c>
      <c r="J3918" s="504">
        <v>0</v>
      </c>
      <c r="K3918" s="504">
        <v>0</v>
      </c>
      <c r="L3918" s="504">
        <v>4</v>
      </c>
      <c r="M3918" s="504">
        <v>0</v>
      </c>
      <c r="N3918" s="504">
        <v>0</v>
      </c>
      <c r="O3918" s="505">
        <v>0</v>
      </c>
    </row>
    <row r="3919" spans="1:15" x14ac:dyDescent="0.35">
      <c r="A3919" s="500" t="s">
        <v>1158</v>
      </c>
      <c r="B3919" s="501">
        <v>4819</v>
      </c>
      <c r="C3919" s="501" t="s">
        <v>1094</v>
      </c>
      <c r="D3919" s="501" t="s">
        <v>3380</v>
      </c>
      <c r="E3919" s="501" t="s">
        <v>3381</v>
      </c>
      <c r="F3919" s="501" t="s">
        <v>663</v>
      </c>
      <c r="G3919" s="501" t="s">
        <v>664</v>
      </c>
      <c r="H3919" s="501" t="s">
        <v>15505</v>
      </c>
      <c r="I3919" s="501">
        <v>356</v>
      </c>
      <c r="J3919" s="501">
        <v>331</v>
      </c>
      <c r="K3919" s="501">
        <v>0</v>
      </c>
      <c r="L3919" s="501">
        <v>0</v>
      </c>
      <c r="M3919" s="501">
        <v>0</v>
      </c>
      <c r="N3919" s="501">
        <v>0</v>
      </c>
      <c r="O3919" s="506">
        <v>25</v>
      </c>
    </row>
    <row r="3920" spans="1:15" x14ac:dyDescent="0.35">
      <c r="A3920" s="503" t="s">
        <v>1961</v>
      </c>
      <c r="B3920" s="504">
        <v>5075</v>
      </c>
      <c r="C3920" s="504" t="s">
        <v>1094</v>
      </c>
      <c r="D3920" s="504" t="s">
        <v>3380</v>
      </c>
      <c r="E3920" s="504" t="s">
        <v>3381</v>
      </c>
      <c r="F3920" s="504" t="s">
        <v>663</v>
      </c>
      <c r="G3920" s="504" t="s">
        <v>664</v>
      </c>
      <c r="H3920" s="504" t="s">
        <v>15506</v>
      </c>
      <c r="I3920" s="504">
        <v>1310</v>
      </c>
      <c r="J3920" s="504">
        <v>971</v>
      </c>
      <c r="K3920" s="504">
        <v>0</v>
      </c>
      <c r="L3920" s="504">
        <v>67</v>
      </c>
      <c r="M3920" s="504">
        <v>62</v>
      </c>
      <c r="N3920" s="504">
        <v>0</v>
      </c>
      <c r="O3920" s="505">
        <v>210</v>
      </c>
    </row>
    <row r="3921" spans="1:15" x14ac:dyDescent="0.35">
      <c r="A3921" s="500" t="s">
        <v>11430</v>
      </c>
      <c r="B3921" s="501" t="s">
        <v>3353</v>
      </c>
      <c r="C3921" s="501" t="s">
        <v>1094</v>
      </c>
      <c r="D3921" s="501" t="s">
        <v>3380</v>
      </c>
      <c r="E3921" s="501" t="s">
        <v>3381</v>
      </c>
      <c r="F3921" s="501" t="s">
        <v>663</v>
      </c>
      <c r="G3921" s="501" t="s">
        <v>664</v>
      </c>
      <c r="H3921" s="501" t="s">
        <v>15507</v>
      </c>
      <c r="I3921" s="501">
        <v>5603</v>
      </c>
      <c r="J3921" s="501">
        <v>4553</v>
      </c>
      <c r="K3921" s="501">
        <v>0</v>
      </c>
      <c r="L3921" s="501">
        <v>61</v>
      </c>
      <c r="M3921" s="501">
        <v>903</v>
      </c>
      <c r="N3921" s="501">
        <v>0</v>
      </c>
      <c r="O3921" s="506">
        <v>86</v>
      </c>
    </row>
    <row r="3922" spans="1:15" x14ac:dyDescent="0.35">
      <c r="A3922" s="503" t="s">
        <v>1102</v>
      </c>
      <c r="B3922" s="504">
        <v>4663</v>
      </c>
      <c r="C3922" s="504" t="s">
        <v>1089</v>
      </c>
      <c r="D3922" s="504" t="s">
        <v>3392</v>
      </c>
      <c r="E3922" s="504" t="s">
        <v>3381</v>
      </c>
      <c r="F3922" s="504" t="s">
        <v>663</v>
      </c>
      <c r="G3922" s="504" t="s">
        <v>664</v>
      </c>
      <c r="H3922" s="504" t="s">
        <v>15508</v>
      </c>
      <c r="I3922" s="504">
        <v>5</v>
      </c>
      <c r="J3922" s="504">
        <v>0</v>
      </c>
      <c r="K3922" s="504">
        <v>0</v>
      </c>
      <c r="L3922" s="504">
        <v>5</v>
      </c>
      <c r="M3922" s="504">
        <v>0</v>
      </c>
      <c r="N3922" s="504">
        <v>0</v>
      </c>
      <c r="O3922" s="505">
        <v>0</v>
      </c>
    </row>
    <row r="3923" spans="1:15" x14ac:dyDescent="0.35">
      <c r="A3923" s="500" t="s">
        <v>14213</v>
      </c>
      <c r="B3923" s="501" t="s">
        <v>3312</v>
      </c>
      <c r="C3923" s="501" t="s">
        <v>1094</v>
      </c>
      <c r="D3923" s="501" t="s">
        <v>3380</v>
      </c>
      <c r="E3923" s="501" t="s">
        <v>3381</v>
      </c>
      <c r="F3923" s="501" t="s">
        <v>663</v>
      </c>
      <c r="G3923" s="501" t="s">
        <v>664</v>
      </c>
      <c r="H3923" s="501" t="s">
        <v>15509</v>
      </c>
      <c r="I3923" s="501">
        <v>85</v>
      </c>
      <c r="J3923" s="501">
        <v>0</v>
      </c>
      <c r="K3923" s="501">
        <v>0</v>
      </c>
      <c r="L3923" s="501">
        <v>0</v>
      </c>
      <c r="M3923" s="501">
        <v>0</v>
      </c>
      <c r="N3923" s="501">
        <v>0</v>
      </c>
      <c r="O3923" s="506">
        <v>85</v>
      </c>
    </row>
    <row r="3924" spans="1:15" x14ac:dyDescent="0.35">
      <c r="A3924" s="503" t="s">
        <v>1105</v>
      </c>
      <c r="B3924" s="504">
        <v>4668</v>
      </c>
      <c r="C3924" s="504" t="s">
        <v>1094</v>
      </c>
      <c r="D3924" s="504" t="s">
        <v>3380</v>
      </c>
      <c r="E3924" s="504" t="s">
        <v>3381</v>
      </c>
      <c r="F3924" s="504" t="s">
        <v>663</v>
      </c>
      <c r="G3924" s="504" t="s">
        <v>664</v>
      </c>
      <c r="H3924" s="504" t="s">
        <v>15510</v>
      </c>
      <c r="I3924" s="504">
        <v>10</v>
      </c>
      <c r="J3924" s="504">
        <v>0</v>
      </c>
      <c r="K3924" s="504">
        <v>0</v>
      </c>
      <c r="L3924" s="504">
        <v>0</v>
      </c>
      <c r="M3924" s="504">
        <v>0</v>
      </c>
      <c r="N3924" s="504">
        <v>0</v>
      </c>
      <c r="O3924" s="505">
        <v>10</v>
      </c>
    </row>
    <row r="3925" spans="1:15" x14ac:dyDescent="0.35">
      <c r="A3925" s="500" t="s">
        <v>1107</v>
      </c>
      <c r="B3925" s="501" t="s">
        <v>3109</v>
      </c>
      <c r="C3925" s="501" t="s">
        <v>1094</v>
      </c>
      <c r="D3925" s="501" t="s">
        <v>3380</v>
      </c>
      <c r="E3925" s="501" t="s">
        <v>3381</v>
      </c>
      <c r="F3925" s="501" t="s">
        <v>663</v>
      </c>
      <c r="G3925" s="501" t="s">
        <v>664</v>
      </c>
      <c r="H3925" s="501" t="s">
        <v>15511</v>
      </c>
      <c r="I3925" s="501">
        <v>37</v>
      </c>
      <c r="J3925" s="501">
        <v>0</v>
      </c>
      <c r="K3925" s="501">
        <v>0</v>
      </c>
      <c r="L3925" s="501">
        <v>37</v>
      </c>
      <c r="M3925" s="501">
        <v>0</v>
      </c>
      <c r="N3925" s="501">
        <v>0</v>
      </c>
      <c r="O3925" s="506">
        <v>0</v>
      </c>
    </row>
    <row r="3926" spans="1:15" x14ac:dyDescent="0.35">
      <c r="A3926" s="503" t="s">
        <v>1109</v>
      </c>
      <c r="B3926" s="504" t="s">
        <v>2959</v>
      </c>
      <c r="C3926" s="504" t="s">
        <v>1094</v>
      </c>
      <c r="D3926" s="504" t="s">
        <v>3380</v>
      </c>
      <c r="E3926" s="504" t="s">
        <v>3381</v>
      </c>
      <c r="F3926" s="504" t="s">
        <v>663</v>
      </c>
      <c r="G3926" s="504" t="s">
        <v>664</v>
      </c>
      <c r="H3926" s="504" t="s">
        <v>15512</v>
      </c>
      <c r="I3926" s="504">
        <v>85</v>
      </c>
      <c r="J3926" s="504">
        <v>0</v>
      </c>
      <c r="K3926" s="504">
        <v>0</v>
      </c>
      <c r="L3926" s="504">
        <v>0</v>
      </c>
      <c r="M3926" s="504">
        <v>85</v>
      </c>
      <c r="N3926" s="504">
        <v>0</v>
      </c>
      <c r="O3926" s="505">
        <v>0</v>
      </c>
    </row>
    <row r="3927" spans="1:15" x14ac:dyDescent="0.35">
      <c r="A3927" s="500" t="s">
        <v>1190</v>
      </c>
      <c r="B3927" s="501">
        <v>4662</v>
      </c>
      <c r="C3927" s="501" t="s">
        <v>1094</v>
      </c>
      <c r="D3927" s="501" t="s">
        <v>3380</v>
      </c>
      <c r="E3927" s="501" t="s">
        <v>3381</v>
      </c>
      <c r="F3927" s="501" t="s">
        <v>663</v>
      </c>
      <c r="G3927" s="501" t="s">
        <v>664</v>
      </c>
      <c r="H3927" s="501" t="s">
        <v>15513</v>
      </c>
      <c r="I3927" s="501">
        <v>16</v>
      </c>
      <c r="J3927" s="501">
        <v>0</v>
      </c>
      <c r="K3927" s="501">
        <v>0</v>
      </c>
      <c r="L3927" s="501">
        <v>16</v>
      </c>
      <c r="M3927" s="501">
        <v>0</v>
      </c>
      <c r="N3927" s="501">
        <v>0</v>
      </c>
      <c r="O3927" s="506">
        <v>0</v>
      </c>
    </row>
    <row r="3928" spans="1:15" x14ac:dyDescent="0.35">
      <c r="A3928" s="503" t="s">
        <v>14243</v>
      </c>
      <c r="B3928" s="504">
        <v>5149</v>
      </c>
      <c r="C3928" s="504" t="s">
        <v>1089</v>
      </c>
      <c r="D3928" s="504" t="s">
        <v>3392</v>
      </c>
      <c r="E3928" s="504" t="s">
        <v>3381</v>
      </c>
      <c r="F3928" s="504" t="s">
        <v>663</v>
      </c>
      <c r="G3928" s="504" t="s">
        <v>664</v>
      </c>
      <c r="H3928" s="504" t="s">
        <v>15514</v>
      </c>
      <c r="I3928" s="504">
        <v>6</v>
      </c>
      <c r="J3928" s="504">
        <v>6</v>
      </c>
      <c r="K3928" s="504">
        <v>0</v>
      </c>
      <c r="L3928" s="504">
        <v>0</v>
      </c>
      <c r="M3928" s="504">
        <v>0</v>
      </c>
      <c r="N3928" s="504">
        <v>0</v>
      </c>
      <c r="O3928" s="505">
        <v>0</v>
      </c>
    </row>
    <row r="3929" spans="1:15" x14ac:dyDescent="0.35">
      <c r="A3929" s="500" t="s">
        <v>1310</v>
      </c>
      <c r="B3929" s="501">
        <v>5062</v>
      </c>
      <c r="C3929" s="501" t="s">
        <v>1089</v>
      </c>
      <c r="D3929" s="501" t="s">
        <v>3380</v>
      </c>
      <c r="E3929" s="501" t="s">
        <v>3381</v>
      </c>
      <c r="F3929" s="501" t="s">
        <v>663</v>
      </c>
      <c r="G3929" s="501" t="s">
        <v>664</v>
      </c>
      <c r="H3929" s="501" t="s">
        <v>15515</v>
      </c>
      <c r="I3929" s="501">
        <v>34</v>
      </c>
      <c r="J3929" s="501">
        <v>4</v>
      </c>
      <c r="K3929" s="501">
        <v>0</v>
      </c>
      <c r="L3929" s="501">
        <v>0</v>
      </c>
      <c r="M3929" s="501">
        <v>0</v>
      </c>
      <c r="N3929" s="501">
        <v>0</v>
      </c>
      <c r="O3929" s="506">
        <v>30</v>
      </c>
    </row>
    <row r="3930" spans="1:15" x14ac:dyDescent="0.35">
      <c r="A3930" s="503" t="s">
        <v>1207</v>
      </c>
      <c r="B3930" s="504" t="s">
        <v>3202</v>
      </c>
      <c r="C3930" s="504" t="s">
        <v>1094</v>
      </c>
      <c r="D3930" s="504" t="s">
        <v>3380</v>
      </c>
      <c r="E3930" s="504" t="s">
        <v>3381</v>
      </c>
      <c r="F3930" s="504" t="s">
        <v>663</v>
      </c>
      <c r="G3930" s="504" t="s">
        <v>664</v>
      </c>
      <c r="H3930" s="504" t="s">
        <v>15516</v>
      </c>
      <c r="I3930" s="504">
        <v>27</v>
      </c>
      <c r="J3930" s="504">
        <v>0</v>
      </c>
      <c r="K3930" s="504">
        <v>0</v>
      </c>
      <c r="L3930" s="504">
        <v>25</v>
      </c>
      <c r="M3930" s="504">
        <v>2</v>
      </c>
      <c r="N3930" s="504">
        <v>0</v>
      </c>
      <c r="O3930" s="505">
        <v>0</v>
      </c>
    </row>
    <row r="3931" spans="1:15" x14ac:dyDescent="0.35">
      <c r="A3931" s="500" t="s">
        <v>1208</v>
      </c>
      <c r="B3931" s="501" t="s">
        <v>3096</v>
      </c>
      <c r="C3931" s="501" t="s">
        <v>1094</v>
      </c>
      <c r="D3931" s="501" t="s">
        <v>3380</v>
      </c>
      <c r="E3931" s="501" t="s">
        <v>3381</v>
      </c>
      <c r="F3931" s="501" t="s">
        <v>663</v>
      </c>
      <c r="G3931" s="501" t="s">
        <v>664</v>
      </c>
      <c r="H3931" s="501" t="s">
        <v>15517</v>
      </c>
      <c r="I3931" s="501">
        <v>19</v>
      </c>
      <c r="J3931" s="501">
        <v>19</v>
      </c>
      <c r="K3931" s="501">
        <v>0</v>
      </c>
      <c r="L3931" s="501">
        <v>0</v>
      </c>
      <c r="M3931" s="501">
        <v>0</v>
      </c>
      <c r="N3931" s="501">
        <v>0</v>
      </c>
      <c r="O3931" s="506">
        <v>0</v>
      </c>
    </row>
    <row r="3932" spans="1:15" x14ac:dyDescent="0.35">
      <c r="A3932" s="503" t="s">
        <v>1226</v>
      </c>
      <c r="B3932" s="504">
        <v>5084</v>
      </c>
      <c r="C3932" s="504" t="s">
        <v>1094</v>
      </c>
      <c r="D3932" s="504" t="s">
        <v>3380</v>
      </c>
      <c r="E3932" s="504" t="s">
        <v>3381</v>
      </c>
      <c r="F3932" s="504" t="s">
        <v>663</v>
      </c>
      <c r="G3932" s="504" t="s">
        <v>664</v>
      </c>
      <c r="H3932" s="504" t="s">
        <v>15518</v>
      </c>
      <c r="I3932" s="504">
        <v>2122</v>
      </c>
      <c r="J3932" s="504">
        <v>1492</v>
      </c>
      <c r="K3932" s="504">
        <v>0</v>
      </c>
      <c r="L3932" s="504">
        <v>18</v>
      </c>
      <c r="M3932" s="504">
        <v>262</v>
      </c>
      <c r="N3932" s="504">
        <v>0</v>
      </c>
      <c r="O3932" s="505">
        <v>350</v>
      </c>
    </row>
    <row r="3933" spans="1:15" x14ac:dyDescent="0.35">
      <c r="A3933" s="500" t="s">
        <v>1648</v>
      </c>
      <c r="B3933" s="501" t="s">
        <v>2496</v>
      </c>
      <c r="C3933" s="501" t="s">
        <v>1094</v>
      </c>
      <c r="D3933" s="501" t="s">
        <v>3380</v>
      </c>
      <c r="E3933" s="501" t="s">
        <v>3381</v>
      </c>
      <c r="F3933" s="501" t="s">
        <v>663</v>
      </c>
      <c r="G3933" s="501" t="s">
        <v>664</v>
      </c>
      <c r="H3933" s="501" t="s">
        <v>15519</v>
      </c>
      <c r="I3933" s="501">
        <v>30</v>
      </c>
      <c r="J3933" s="501">
        <v>0</v>
      </c>
      <c r="K3933" s="501">
        <v>0</v>
      </c>
      <c r="L3933" s="501">
        <v>30</v>
      </c>
      <c r="M3933" s="501">
        <v>0</v>
      </c>
      <c r="N3933" s="501">
        <v>0</v>
      </c>
      <c r="O3933" s="506">
        <v>0</v>
      </c>
    </row>
    <row r="3934" spans="1:15" x14ac:dyDescent="0.35">
      <c r="A3934" s="503" t="s">
        <v>2008</v>
      </c>
      <c r="B3934" s="504" t="s">
        <v>3323</v>
      </c>
      <c r="C3934" s="504" t="s">
        <v>1094</v>
      </c>
      <c r="D3934" s="504" t="s">
        <v>3380</v>
      </c>
      <c r="E3934" s="504" t="s">
        <v>3381</v>
      </c>
      <c r="F3934" s="504" t="s">
        <v>663</v>
      </c>
      <c r="G3934" s="504" t="s">
        <v>664</v>
      </c>
      <c r="H3934" s="504" t="s">
        <v>15520</v>
      </c>
      <c r="I3934" s="504">
        <v>10</v>
      </c>
      <c r="J3934" s="504">
        <v>3</v>
      </c>
      <c r="K3934" s="504">
        <v>0</v>
      </c>
      <c r="L3934" s="504">
        <v>7</v>
      </c>
      <c r="M3934" s="504">
        <v>0</v>
      </c>
      <c r="N3934" s="504">
        <v>0</v>
      </c>
      <c r="O3934" s="505">
        <v>0</v>
      </c>
    </row>
    <row r="3935" spans="1:15" x14ac:dyDescent="0.35">
      <c r="A3935" s="500" t="s">
        <v>1235</v>
      </c>
      <c r="B3935" s="501">
        <v>4684</v>
      </c>
      <c r="C3935" s="501" t="s">
        <v>1094</v>
      </c>
      <c r="D3935" s="501" t="s">
        <v>3380</v>
      </c>
      <c r="E3935" s="501" t="s">
        <v>3381</v>
      </c>
      <c r="F3935" s="501" t="s">
        <v>663</v>
      </c>
      <c r="G3935" s="501" t="s">
        <v>664</v>
      </c>
      <c r="H3935" s="501" t="s">
        <v>15521</v>
      </c>
      <c r="I3935" s="501">
        <v>28</v>
      </c>
      <c r="J3935" s="501">
        <v>7</v>
      </c>
      <c r="K3935" s="501">
        <v>0</v>
      </c>
      <c r="L3935" s="501">
        <v>10</v>
      </c>
      <c r="M3935" s="501">
        <v>0</v>
      </c>
      <c r="N3935" s="501">
        <v>0</v>
      </c>
      <c r="O3935" s="506">
        <v>11</v>
      </c>
    </row>
    <row r="3936" spans="1:15" x14ac:dyDescent="0.35">
      <c r="A3936" s="503" t="s">
        <v>1126</v>
      </c>
      <c r="B3936" s="504" t="s">
        <v>2974</v>
      </c>
      <c r="C3936" s="504" t="s">
        <v>1094</v>
      </c>
      <c r="D3936" s="504" t="s">
        <v>3380</v>
      </c>
      <c r="E3936" s="504" t="s">
        <v>3381</v>
      </c>
      <c r="F3936" s="504" t="s">
        <v>663</v>
      </c>
      <c r="G3936" s="504" t="s">
        <v>664</v>
      </c>
      <c r="H3936" s="504" t="s">
        <v>15522</v>
      </c>
      <c r="I3936" s="504">
        <v>47</v>
      </c>
      <c r="J3936" s="504">
        <v>37</v>
      </c>
      <c r="K3936" s="504">
        <v>0</v>
      </c>
      <c r="L3936" s="504">
        <v>8</v>
      </c>
      <c r="M3936" s="504">
        <v>0</v>
      </c>
      <c r="N3936" s="504">
        <v>0</v>
      </c>
      <c r="O3936" s="505">
        <v>2</v>
      </c>
    </row>
    <row r="3937" spans="1:15" x14ac:dyDescent="0.35">
      <c r="A3937" s="500" t="s">
        <v>2104</v>
      </c>
      <c r="B3937" s="501" t="s">
        <v>2527</v>
      </c>
      <c r="C3937" s="501" t="s">
        <v>1089</v>
      </c>
      <c r="D3937" s="501" t="s">
        <v>3392</v>
      </c>
      <c r="E3937" s="501" t="s">
        <v>3381</v>
      </c>
      <c r="F3937" s="501" t="s">
        <v>663</v>
      </c>
      <c r="G3937" s="501" t="s">
        <v>664</v>
      </c>
      <c r="H3937" s="501" t="s">
        <v>15523</v>
      </c>
      <c r="I3937" s="501">
        <v>23</v>
      </c>
      <c r="J3937" s="501">
        <v>0</v>
      </c>
      <c r="K3937" s="501">
        <v>0</v>
      </c>
      <c r="L3937" s="501">
        <v>0</v>
      </c>
      <c r="M3937" s="501">
        <v>23</v>
      </c>
      <c r="N3937" s="501">
        <v>0</v>
      </c>
      <c r="O3937" s="506">
        <v>0</v>
      </c>
    </row>
    <row r="3938" spans="1:15" x14ac:dyDescent="0.35">
      <c r="A3938" s="503" t="s">
        <v>1240</v>
      </c>
      <c r="B3938" s="504" t="s">
        <v>2972</v>
      </c>
      <c r="C3938" s="504" t="s">
        <v>1094</v>
      </c>
      <c r="D3938" s="504" t="s">
        <v>3380</v>
      </c>
      <c r="E3938" s="504" t="s">
        <v>3381</v>
      </c>
      <c r="F3938" s="504" t="s">
        <v>663</v>
      </c>
      <c r="G3938" s="504" t="s">
        <v>664</v>
      </c>
      <c r="H3938" s="504" t="s">
        <v>15524</v>
      </c>
      <c r="I3938" s="504">
        <v>166</v>
      </c>
      <c r="J3938" s="504">
        <v>140</v>
      </c>
      <c r="K3938" s="504">
        <v>0</v>
      </c>
      <c r="L3938" s="504">
        <v>0</v>
      </c>
      <c r="M3938" s="504">
        <v>0</v>
      </c>
      <c r="N3938" s="504">
        <v>0</v>
      </c>
      <c r="O3938" s="505">
        <v>26</v>
      </c>
    </row>
    <row r="3939" spans="1:15" x14ac:dyDescent="0.35">
      <c r="A3939" s="500" t="s">
        <v>1134</v>
      </c>
      <c r="B3939" s="501" t="s">
        <v>3066</v>
      </c>
      <c r="C3939" s="501" t="s">
        <v>1094</v>
      </c>
      <c r="D3939" s="501" t="s">
        <v>3380</v>
      </c>
      <c r="E3939" s="501" t="s">
        <v>3381</v>
      </c>
      <c r="F3939" s="501" t="s">
        <v>663</v>
      </c>
      <c r="G3939" s="501" t="s">
        <v>664</v>
      </c>
      <c r="H3939" s="501" t="s">
        <v>15525</v>
      </c>
      <c r="I3939" s="501">
        <v>2005</v>
      </c>
      <c r="J3939" s="501">
        <v>1727</v>
      </c>
      <c r="K3939" s="501">
        <v>0</v>
      </c>
      <c r="L3939" s="501">
        <v>13</v>
      </c>
      <c r="M3939" s="501">
        <v>173</v>
      </c>
      <c r="N3939" s="501">
        <v>0</v>
      </c>
      <c r="O3939" s="506">
        <v>92</v>
      </c>
    </row>
    <row r="3940" spans="1:15" x14ac:dyDescent="0.35">
      <c r="A3940" s="503" t="s">
        <v>11433</v>
      </c>
      <c r="B3940" s="504">
        <v>4874</v>
      </c>
      <c r="C3940" s="504" t="s">
        <v>1089</v>
      </c>
      <c r="D3940" s="504" t="s">
        <v>3392</v>
      </c>
      <c r="E3940" s="504" t="s">
        <v>3381</v>
      </c>
      <c r="F3940" s="504" t="s">
        <v>663</v>
      </c>
      <c r="G3940" s="504" t="s">
        <v>664</v>
      </c>
      <c r="H3940" s="504" t="s">
        <v>15526</v>
      </c>
      <c r="I3940" s="504">
        <v>14</v>
      </c>
      <c r="J3940" s="504">
        <v>14</v>
      </c>
      <c r="K3940" s="504">
        <v>0</v>
      </c>
      <c r="L3940" s="504">
        <v>0</v>
      </c>
      <c r="M3940" s="504">
        <v>0</v>
      </c>
      <c r="N3940" s="504">
        <v>0</v>
      </c>
      <c r="O3940" s="505">
        <v>0</v>
      </c>
    </row>
    <row r="3941" spans="1:15" x14ac:dyDescent="0.35">
      <c r="A3941" s="500" t="s">
        <v>1249</v>
      </c>
      <c r="B3941" s="501">
        <v>4729</v>
      </c>
      <c r="C3941" s="501" t="s">
        <v>1094</v>
      </c>
      <c r="D3941" s="501" t="s">
        <v>3380</v>
      </c>
      <c r="E3941" s="501" t="s">
        <v>3381</v>
      </c>
      <c r="F3941" s="501" t="s">
        <v>663</v>
      </c>
      <c r="G3941" s="501" t="s">
        <v>664</v>
      </c>
      <c r="H3941" s="501" t="s">
        <v>15527</v>
      </c>
      <c r="I3941" s="501">
        <v>76</v>
      </c>
      <c r="J3941" s="501">
        <v>74</v>
      </c>
      <c r="K3941" s="501">
        <v>0</v>
      </c>
      <c r="L3941" s="501">
        <v>0</v>
      </c>
      <c r="M3941" s="501">
        <v>0</v>
      </c>
      <c r="N3941" s="501">
        <v>0</v>
      </c>
      <c r="O3941" s="506">
        <v>2</v>
      </c>
    </row>
    <row r="3942" spans="1:15" x14ac:dyDescent="0.35">
      <c r="A3942" s="503" t="s">
        <v>2123</v>
      </c>
      <c r="B3942" s="504" t="s">
        <v>3338</v>
      </c>
      <c r="C3942" s="504" t="s">
        <v>1094</v>
      </c>
      <c r="D3942" s="504" t="s">
        <v>3380</v>
      </c>
      <c r="E3942" s="504" t="s">
        <v>3381</v>
      </c>
      <c r="F3942" s="504" t="s">
        <v>663</v>
      </c>
      <c r="G3942" s="504" t="s">
        <v>664</v>
      </c>
      <c r="H3942" s="504" t="s">
        <v>15528</v>
      </c>
      <c r="I3942" s="504">
        <v>33</v>
      </c>
      <c r="J3942" s="504">
        <v>24</v>
      </c>
      <c r="K3942" s="504">
        <v>0</v>
      </c>
      <c r="L3942" s="504">
        <v>0</v>
      </c>
      <c r="M3942" s="504">
        <v>0</v>
      </c>
      <c r="N3942" s="504">
        <v>0</v>
      </c>
      <c r="O3942" s="505">
        <v>9</v>
      </c>
    </row>
    <row r="3943" spans="1:15" x14ac:dyDescent="0.35">
      <c r="A3943" s="500" t="s">
        <v>2047</v>
      </c>
      <c r="B3943" s="501" t="s">
        <v>3187</v>
      </c>
      <c r="C3943" s="501" t="s">
        <v>1094</v>
      </c>
      <c r="D3943" s="501" t="s">
        <v>3380</v>
      </c>
      <c r="E3943" s="501" t="s">
        <v>3381</v>
      </c>
      <c r="F3943" s="501" t="s">
        <v>663</v>
      </c>
      <c r="G3943" s="501" t="s">
        <v>664</v>
      </c>
      <c r="H3943" s="501" t="s">
        <v>15529</v>
      </c>
      <c r="I3943" s="501">
        <v>33</v>
      </c>
      <c r="J3943" s="501">
        <v>21</v>
      </c>
      <c r="K3943" s="501">
        <v>0</v>
      </c>
      <c r="L3943" s="501">
        <v>0</v>
      </c>
      <c r="M3943" s="501">
        <v>0</v>
      </c>
      <c r="N3943" s="501">
        <v>0</v>
      </c>
      <c r="O3943" s="506">
        <v>12</v>
      </c>
    </row>
    <row r="3944" spans="1:15" x14ac:dyDescent="0.35">
      <c r="A3944" s="503" t="s">
        <v>2052</v>
      </c>
      <c r="B3944" s="504" t="s">
        <v>3080</v>
      </c>
      <c r="C3944" s="504" t="s">
        <v>1089</v>
      </c>
      <c r="D3944" s="504" t="s">
        <v>3392</v>
      </c>
      <c r="E3944" s="504" t="s">
        <v>3381</v>
      </c>
      <c r="F3944" s="504" t="s">
        <v>663</v>
      </c>
      <c r="G3944" s="504" t="s">
        <v>664</v>
      </c>
      <c r="H3944" s="504" t="s">
        <v>15530</v>
      </c>
      <c r="I3944" s="504">
        <v>31</v>
      </c>
      <c r="J3944" s="504">
        <v>31</v>
      </c>
      <c r="K3944" s="504">
        <v>0</v>
      </c>
      <c r="L3944" s="504">
        <v>0</v>
      </c>
      <c r="M3944" s="504">
        <v>0</v>
      </c>
      <c r="N3944" s="504">
        <v>1</v>
      </c>
      <c r="O3944" s="505">
        <v>0</v>
      </c>
    </row>
    <row r="3945" spans="1:15" x14ac:dyDescent="0.35">
      <c r="A3945" s="500" t="s">
        <v>1270</v>
      </c>
      <c r="B3945" s="501" t="s">
        <v>3304</v>
      </c>
      <c r="C3945" s="501" t="s">
        <v>1089</v>
      </c>
      <c r="D3945" s="501" t="s">
        <v>3392</v>
      </c>
      <c r="E3945" s="501" t="s">
        <v>3381</v>
      </c>
      <c r="F3945" s="501" t="s">
        <v>665</v>
      </c>
      <c r="G3945" s="501" t="s">
        <v>666</v>
      </c>
      <c r="H3945" s="501" t="s">
        <v>6524</v>
      </c>
      <c r="I3945" s="501">
        <v>17</v>
      </c>
      <c r="J3945" s="501">
        <v>17</v>
      </c>
      <c r="K3945" s="501">
        <v>0</v>
      </c>
      <c r="L3945" s="501">
        <v>0</v>
      </c>
      <c r="M3945" s="501">
        <v>0</v>
      </c>
      <c r="N3945" s="501">
        <v>0</v>
      </c>
      <c r="O3945" s="506">
        <v>0</v>
      </c>
    </row>
    <row r="3946" spans="1:15" x14ac:dyDescent="0.35">
      <c r="A3946" s="503" t="s">
        <v>1273</v>
      </c>
      <c r="B3946" s="504" t="s">
        <v>3197</v>
      </c>
      <c r="C3946" s="504" t="s">
        <v>1094</v>
      </c>
      <c r="D3946" s="504" t="s">
        <v>3380</v>
      </c>
      <c r="E3946" s="504" t="s">
        <v>3381</v>
      </c>
      <c r="F3946" s="504" t="s">
        <v>665</v>
      </c>
      <c r="G3946" s="504" t="s">
        <v>666</v>
      </c>
      <c r="H3946" s="504" t="s">
        <v>6525</v>
      </c>
      <c r="I3946" s="504">
        <v>10</v>
      </c>
      <c r="J3946" s="504">
        <v>4</v>
      </c>
      <c r="K3946" s="504">
        <v>0</v>
      </c>
      <c r="L3946" s="504">
        <v>0</v>
      </c>
      <c r="M3946" s="504">
        <v>0</v>
      </c>
      <c r="N3946" s="504">
        <v>0</v>
      </c>
      <c r="O3946" s="505">
        <v>6</v>
      </c>
    </row>
    <row r="3947" spans="1:15" x14ac:dyDescent="0.35">
      <c r="A3947" s="500" t="s">
        <v>1161</v>
      </c>
      <c r="B3947" s="501" t="s">
        <v>3001</v>
      </c>
      <c r="C3947" s="501" t="s">
        <v>1094</v>
      </c>
      <c r="D3947" s="501" t="s">
        <v>3380</v>
      </c>
      <c r="E3947" s="501" t="s">
        <v>3381</v>
      </c>
      <c r="F3947" s="501" t="s">
        <v>665</v>
      </c>
      <c r="G3947" s="501" t="s">
        <v>666</v>
      </c>
      <c r="H3947" s="501" t="s">
        <v>6526</v>
      </c>
      <c r="I3947" s="501">
        <v>1680</v>
      </c>
      <c r="J3947" s="501">
        <v>1481</v>
      </c>
      <c r="K3947" s="501">
        <v>0</v>
      </c>
      <c r="L3947" s="501">
        <v>7</v>
      </c>
      <c r="M3947" s="501">
        <v>143</v>
      </c>
      <c r="N3947" s="501">
        <v>1</v>
      </c>
      <c r="O3947" s="506">
        <v>49</v>
      </c>
    </row>
    <row r="3948" spans="1:15" x14ac:dyDescent="0.35">
      <c r="A3948" s="503" t="s">
        <v>1100</v>
      </c>
      <c r="B3948" s="504">
        <v>4865</v>
      </c>
      <c r="C3948" s="504" t="s">
        <v>1094</v>
      </c>
      <c r="D3948" s="504" t="s">
        <v>3380</v>
      </c>
      <c r="E3948" s="504" t="s">
        <v>3381</v>
      </c>
      <c r="F3948" s="504" t="s">
        <v>665</v>
      </c>
      <c r="G3948" s="504" t="s">
        <v>666</v>
      </c>
      <c r="H3948" s="504" t="s">
        <v>6527</v>
      </c>
      <c r="I3948" s="504">
        <v>4641</v>
      </c>
      <c r="J3948" s="504">
        <v>3866</v>
      </c>
      <c r="K3948" s="504">
        <v>0</v>
      </c>
      <c r="L3948" s="504">
        <v>33</v>
      </c>
      <c r="M3948" s="504">
        <v>577</v>
      </c>
      <c r="N3948" s="504">
        <v>0</v>
      </c>
      <c r="O3948" s="505">
        <v>165</v>
      </c>
    </row>
    <row r="3949" spans="1:15" x14ac:dyDescent="0.35">
      <c r="A3949" s="500" t="s">
        <v>1295</v>
      </c>
      <c r="B3949" s="501">
        <v>5090</v>
      </c>
      <c r="C3949" s="501" t="s">
        <v>1094</v>
      </c>
      <c r="D3949" s="501" t="s">
        <v>3380</v>
      </c>
      <c r="E3949" s="501" t="s">
        <v>3381</v>
      </c>
      <c r="F3949" s="501" t="s">
        <v>665</v>
      </c>
      <c r="G3949" s="501" t="s">
        <v>666</v>
      </c>
      <c r="H3949" s="501" t="s">
        <v>6528</v>
      </c>
      <c r="I3949" s="501">
        <v>6</v>
      </c>
      <c r="J3949" s="501">
        <v>6</v>
      </c>
      <c r="K3949" s="501">
        <v>0</v>
      </c>
      <c r="L3949" s="501">
        <v>0</v>
      </c>
      <c r="M3949" s="501">
        <v>0</v>
      </c>
      <c r="N3949" s="501">
        <v>0</v>
      </c>
      <c r="O3949" s="506">
        <v>0</v>
      </c>
    </row>
    <row r="3950" spans="1:15" x14ac:dyDescent="0.35">
      <c r="A3950" s="503" t="s">
        <v>14208</v>
      </c>
      <c r="B3950" s="504">
        <v>4803</v>
      </c>
      <c r="C3950" s="504" t="s">
        <v>1094</v>
      </c>
      <c r="D3950" s="504" t="s">
        <v>3380</v>
      </c>
      <c r="E3950" s="504" t="s">
        <v>3381</v>
      </c>
      <c r="F3950" s="504" t="s">
        <v>665</v>
      </c>
      <c r="G3950" s="504" t="s">
        <v>666</v>
      </c>
      <c r="H3950" s="504" t="s">
        <v>14753</v>
      </c>
      <c r="I3950" s="504">
        <v>1</v>
      </c>
      <c r="J3950" s="504">
        <v>0</v>
      </c>
      <c r="K3950" s="504">
        <v>0</v>
      </c>
      <c r="L3950" s="504">
        <v>1</v>
      </c>
      <c r="M3950" s="504">
        <v>0</v>
      </c>
      <c r="N3950" s="504">
        <v>0</v>
      </c>
      <c r="O3950" s="505">
        <v>0</v>
      </c>
    </row>
    <row r="3951" spans="1:15" x14ac:dyDescent="0.35">
      <c r="A3951" s="500" t="s">
        <v>1182</v>
      </c>
      <c r="B3951" s="501">
        <v>5060</v>
      </c>
      <c r="C3951" s="501" t="s">
        <v>1094</v>
      </c>
      <c r="D3951" s="501" t="s">
        <v>3380</v>
      </c>
      <c r="E3951" s="501" t="s">
        <v>3381</v>
      </c>
      <c r="F3951" s="501" t="s">
        <v>665</v>
      </c>
      <c r="G3951" s="501" t="s">
        <v>666</v>
      </c>
      <c r="H3951" s="501" t="s">
        <v>6529</v>
      </c>
      <c r="I3951" s="501">
        <v>5</v>
      </c>
      <c r="J3951" s="501">
        <v>0</v>
      </c>
      <c r="K3951" s="501">
        <v>0</v>
      </c>
      <c r="L3951" s="501">
        <v>5</v>
      </c>
      <c r="M3951" s="501">
        <v>0</v>
      </c>
      <c r="N3951" s="501">
        <v>0</v>
      </c>
      <c r="O3951" s="506">
        <v>0</v>
      </c>
    </row>
    <row r="3952" spans="1:15" x14ac:dyDescent="0.35">
      <c r="A3952" s="503" t="s">
        <v>1185</v>
      </c>
      <c r="B3952" s="504" t="s">
        <v>3253</v>
      </c>
      <c r="C3952" s="504" t="s">
        <v>1094</v>
      </c>
      <c r="D3952" s="504" t="s">
        <v>3380</v>
      </c>
      <c r="E3952" s="504" t="s">
        <v>3381</v>
      </c>
      <c r="F3952" s="504" t="s">
        <v>665</v>
      </c>
      <c r="G3952" s="504" t="s">
        <v>666</v>
      </c>
      <c r="H3952" s="504" t="s">
        <v>6530</v>
      </c>
      <c r="I3952" s="504">
        <v>3</v>
      </c>
      <c r="J3952" s="504">
        <v>0</v>
      </c>
      <c r="K3952" s="504">
        <v>0</v>
      </c>
      <c r="L3952" s="504">
        <v>2</v>
      </c>
      <c r="M3952" s="504">
        <v>0</v>
      </c>
      <c r="N3952" s="504">
        <v>0</v>
      </c>
      <c r="O3952" s="505">
        <v>1</v>
      </c>
    </row>
    <row r="3953" spans="1:15" x14ac:dyDescent="0.35">
      <c r="A3953" s="500" t="s">
        <v>1105</v>
      </c>
      <c r="B3953" s="501">
        <v>4668</v>
      </c>
      <c r="C3953" s="501" t="s">
        <v>1094</v>
      </c>
      <c r="D3953" s="501" t="s">
        <v>3380</v>
      </c>
      <c r="E3953" s="501" t="s">
        <v>3381</v>
      </c>
      <c r="F3953" s="501" t="s">
        <v>665</v>
      </c>
      <c r="G3953" s="501" t="s">
        <v>666</v>
      </c>
      <c r="H3953" s="501" t="s">
        <v>6531</v>
      </c>
      <c r="I3953" s="501">
        <v>1</v>
      </c>
      <c r="J3953" s="501">
        <v>0</v>
      </c>
      <c r="K3953" s="501">
        <v>0</v>
      </c>
      <c r="L3953" s="501">
        <v>0</v>
      </c>
      <c r="M3953" s="501">
        <v>0</v>
      </c>
      <c r="N3953" s="501">
        <v>0</v>
      </c>
      <c r="O3953" s="506">
        <v>1</v>
      </c>
    </row>
    <row r="3954" spans="1:15" x14ac:dyDescent="0.35">
      <c r="A3954" s="503" t="s">
        <v>1302</v>
      </c>
      <c r="B3954" s="504" t="s">
        <v>3094</v>
      </c>
      <c r="C3954" s="504" t="s">
        <v>1094</v>
      </c>
      <c r="D3954" s="504" t="s">
        <v>3380</v>
      </c>
      <c r="E3954" s="504" t="s">
        <v>3381</v>
      </c>
      <c r="F3954" s="504" t="s">
        <v>665</v>
      </c>
      <c r="G3954" s="504" t="s">
        <v>666</v>
      </c>
      <c r="H3954" s="504" t="s">
        <v>6532</v>
      </c>
      <c r="I3954" s="504">
        <v>288</v>
      </c>
      <c r="J3954" s="504">
        <v>214</v>
      </c>
      <c r="K3954" s="504">
        <v>0</v>
      </c>
      <c r="L3954" s="504">
        <v>27</v>
      </c>
      <c r="M3954" s="504">
        <v>5</v>
      </c>
      <c r="N3954" s="504">
        <v>0</v>
      </c>
      <c r="O3954" s="505">
        <v>42</v>
      </c>
    </row>
    <row r="3955" spans="1:15" x14ac:dyDescent="0.35">
      <c r="A3955" s="500" t="s">
        <v>1107</v>
      </c>
      <c r="B3955" s="501" t="s">
        <v>3109</v>
      </c>
      <c r="C3955" s="501" t="s">
        <v>1094</v>
      </c>
      <c r="D3955" s="501" t="s">
        <v>3380</v>
      </c>
      <c r="E3955" s="501" t="s">
        <v>3381</v>
      </c>
      <c r="F3955" s="501" t="s">
        <v>665</v>
      </c>
      <c r="G3955" s="501" t="s">
        <v>666</v>
      </c>
      <c r="H3955" s="501" t="s">
        <v>6533</v>
      </c>
      <c r="I3955" s="501">
        <v>127</v>
      </c>
      <c r="J3955" s="501">
        <v>57</v>
      </c>
      <c r="K3955" s="501">
        <v>0</v>
      </c>
      <c r="L3955" s="501">
        <v>36</v>
      </c>
      <c r="M3955" s="501">
        <v>0</v>
      </c>
      <c r="N3955" s="501">
        <v>0</v>
      </c>
      <c r="O3955" s="506">
        <v>34</v>
      </c>
    </row>
    <row r="3956" spans="1:15" x14ac:dyDescent="0.35">
      <c r="A3956" s="503" t="s">
        <v>1109</v>
      </c>
      <c r="B3956" s="504" t="s">
        <v>2959</v>
      </c>
      <c r="C3956" s="504" t="s">
        <v>1094</v>
      </c>
      <c r="D3956" s="504" t="s">
        <v>3380</v>
      </c>
      <c r="E3956" s="504" t="s">
        <v>3381</v>
      </c>
      <c r="F3956" s="504" t="s">
        <v>665</v>
      </c>
      <c r="G3956" s="504" t="s">
        <v>666</v>
      </c>
      <c r="H3956" s="504" t="s">
        <v>6534</v>
      </c>
      <c r="I3956" s="504">
        <v>35</v>
      </c>
      <c r="J3956" s="504">
        <v>0</v>
      </c>
      <c r="K3956" s="504">
        <v>0</v>
      </c>
      <c r="L3956" s="504">
        <v>0</v>
      </c>
      <c r="M3956" s="504">
        <v>35</v>
      </c>
      <c r="N3956" s="504">
        <v>0</v>
      </c>
      <c r="O3956" s="505">
        <v>0</v>
      </c>
    </row>
    <row r="3957" spans="1:15" x14ac:dyDescent="0.35">
      <c r="A3957" s="500" t="s">
        <v>1307</v>
      </c>
      <c r="B3957" s="501" t="s">
        <v>3306</v>
      </c>
      <c r="C3957" s="501" t="s">
        <v>1089</v>
      </c>
      <c r="D3957" s="501" t="s">
        <v>3392</v>
      </c>
      <c r="E3957" s="501" t="s">
        <v>3381</v>
      </c>
      <c r="F3957" s="501" t="s">
        <v>665</v>
      </c>
      <c r="G3957" s="501" t="s">
        <v>666</v>
      </c>
      <c r="H3957" s="501" t="s">
        <v>6535</v>
      </c>
      <c r="I3957" s="501">
        <v>3</v>
      </c>
      <c r="J3957" s="501">
        <v>3</v>
      </c>
      <c r="K3957" s="501">
        <v>0</v>
      </c>
      <c r="L3957" s="501">
        <v>0</v>
      </c>
      <c r="M3957" s="501">
        <v>0</v>
      </c>
      <c r="N3957" s="501">
        <v>0</v>
      </c>
      <c r="O3957" s="506">
        <v>0</v>
      </c>
    </row>
    <row r="3958" spans="1:15" x14ac:dyDescent="0.35">
      <c r="A3958" s="503" t="s">
        <v>1202</v>
      </c>
      <c r="B3958" s="504" t="s">
        <v>3217</v>
      </c>
      <c r="C3958" s="504" t="s">
        <v>1094</v>
      </c>
      <c r="D3958" s="504" t="s">
        <v>3380</v>
      </c>
      <c r="E3958" s="504" t="s">
        <v>3381</v>
      </c>
      <c r="F3958" s="504" t="s">
        <v>665</v>
      </c>
      <c r="G3958" s="504" t="s">
        <v>666</v>
      </c>
      <c r="H3958" s="504" t="s">
        <v>6536</v>
      </c>
      <c r="I3958" s="504">
        <v>2</v>
      </c>
      <c r="J3958" s="504">
        <v>0</v>
      </c>
      <c r="K3958" s="504">
        <v>0</v>
      </c>
      <c r="L3958" s="504">
        <v>0</v>
      </c>
      <c r="M3958" s="504">
        <v>0</v>
      </c>
      <c r="N3958" s="504">
        <v>0</v>
      </c>
      <c r="O3958" s="505">
        <v>2</v>
      </c>
    </row>
    <row r="3959" spans="1:15" x14ac:dyDescent="0.35">
      <c r="A3959" s="500" t="s">
        <v>1112</v>
      </c>
      <c r="B3959" s="501" t="s">
        <v>3008</v>
      </c>
      <c r="C3959" s="501" t="s">
        <v>1094</v>
      </c>
      <c r="D3959" s="501" t="s">
        <v>3380</v>
      </c>
      <c r="E3959" s="501" t="s">
        <v>3381</v>
      </c>
      <c r="F3959" s="501" t="s">
        <v>665</v>
      </c>
      <c r="G3959" s="501" t="s">
        <v>666</v>
      </c>
      <c r="H3959" s="501" t="s">
        <v>6537</v>
      </c>
      <c r="I3959" s="501">
        <v>104</v>
      </c>
      <c r="J3959" s="501">
        <v>62</v>
      </c>
      <c r="K3959" s="501">
        <v>0</v>
      </c>
      <c r="L3959" s="501">
        <v>0</v>
      </c>
      <c r="M3959" s="501">
        <v>0</v>
      </c>
      <c r="N3959" s="501">
        <v>0</v>
      </c>
      <c r="O3959" s="506">
        <v>42</v>
      </c>
    </row>
    <row r="3960" spans="1:15" x14ac:dyDescent="0.35">
      <c r="A3960" s="503" t="s">
        <v>1315</v>
      </c>
      <c r="B3960" s="504">
        <v>4825</v>
      </c>
      <c r="C3960" s="504" t="s">
        <v>1094</v>
      </c>
      <c r="D3960" s="504" t="s">
        <v>3380</v>
      </c>
      <c r="E3960" s="504" t="s">
        <v>3381</v>
      </c>
      <c r="F3960" s="504" t="s">
        <v>665</v>
      </c>
      <c r="G3960" s="504" t="s">
        <v>666</v>
      </c>
      <c r="H3960" s="504" t="s">
        <v>6538</v>
      </c>
      <c r="I3960" s="504">
        <v>20</v>
      </c>
      <c r="J3960" s="504">
        <v>0</v>
      </c>
      <c r="K3960" s="504">
        <v>0</v>
      </c>
      <c r="L3960" s="504">
        <v>0</v>
      </c>
      <c r="M3960" s="504">
        <v>0</v>
      </c>
      <c r="N3960" s="504">
        <v>0</v>
      </c>
      <c r="O3960" s="505">
        <v>20</v>
      </c>
    </row>
    <row r="3961" spans="1:15" x14ac:dyDescent="0.35">
      <c r="A3961" s="500" t="s">
        <v>1319</v>
      </c>
      <c r="B3961" s="501">
        <v>4880</v>
      </c>
      <c r="C3961" s="501" t="s">
        <v>1094</v>
      </c>
      <c r="D3961" s="501" t="s">
        <v>3380</v>
      </c>
      <c r="E3961" s="501" t="s">
        <v>3381</v>
      </c>
      <c r="F3961" s="501" t="s">
        <v>665</v>
      </c>
      <c r="G3961" s="501" t="s">
        <v>666</v>
      </c>
      <c r="H3961" s="501" t="s">
        <v>6539</v>
      </c>
      <c r="I3961" s="501">
        <v>309</v>
      </c>
      <c r="J3961" s="501">
        <v>217</v>
      </c>
      <c r="K3961" s="501">
        <v>0</v>
      </c>
      <c r="L3961" s="501">
        <v>19</v>
      </c>
      <c r="M3961" s="501">
        <v>1</v>
      </c>
      <c r="N3961" s="501">
        <v>0</v>
      </c>
      <c r="O3961" s="506">
        <v>72</v>
      </c>
    </row>
    <row r="3962" spans="1:15" x14ac:dyDescent="0.35">
      <c r="A3962" s="503" t="s">
        <v>1120</v>
      </c>
      <c r="B3962" s="504" t="s">
        <v>3362</v>
      </c>
      <c r="C3962" s="504" t="s">
        <v>1094</v>
      </c>
      <c r="D3962" s="504" t="s">
        <v>3380</v>
      </c>
      <c r="E3962" s="504" t="s">
        <v>3381</v>
      </c>
      <c r="F3962" s="504" t="s">
        <v>665</v>
      </c>
      <c r="G3962" s="504" t="s">
        <v>666</v>
      </c>
      <c r="H3962" s="504" t="s">
        <v>6540</v>
      </c>
      <c r="I3962" s="504">
        <v>4</v>
      </c>
      <c r="J3962" s="504">
        <v>0</v>
      </c>
      <c r="K3962" s="504">
        <v>0</v>
      </c>
      <c r="L3962" s="504">
        <v>0</v>
      </c>
      <c r="M3962" s="504">
        <v>0</v>
      </c>
      <c r="N3962" s="504">
        <v>0</v>
      </c>
      <c r="O3962" s="505">
        <v>4</v>
      </c>
    </row>
    <row r="3963" spans="1:15" x14ac:dyDescent="0.35">
      <c r="A3963" s="500" t="s">
        <v>1323</v>
      </c>
      <c r="B3963" s="501" t="s">
        <v>2946</v>
      </c>
      <c r="C3963" s="501" t="s">
        <v>1089</v>
      </c>
      <c r="D3963" s="501" t="s">
        <v>3392</v>
      </c>
      <c r="E3963" s="501" t="s">
        <v>3381</v>
      </c>
      <c r="F3963" s="501" t="s">
        <v>665</v>
      </c>
      <c r="G3963" s="501" t="s">
        <v>666</v>
      </c>
      <c r="H3963" s="501" t="s">
        <v>14754</v>
      </c>
      <c r="I3963" s="501">
        <v>24</v>
      </c>
      <c r="J3963" s="501">
        <v>0</v>
      </c>
      <c r="K3963" s="501">
        <v>0</v>
      </c>
      <c r="L3963" s="501">
        <v>24</v>
      </c>
      <c r="M3963" s="501">
        <v>0</v>
      </c>
      <c r="N3963" s="501">
        <v>0</v>
      </c>
      <c r="O3963" s="506">
        <v>0</v>
      </c>
    </row>
    <row r="3964" spans="1:15" x14ac:dyDescent="0.35">
      <c r="A3964" s="503" t="s">
        <v>1325</v>
      </c>
      <c r="B3964" s="504" t="s">
        <v>3011</v>
      </c>
      <c r="C3964" s="504" t="s">
        <v>1094</v>
      </c>
      <c r="D3964" s="504" t="s">
        <v>3380</v>
      </c>
      <c r="E3964" s="504" t="s">
        <v>3381</v>
      </c>
      <c r="F3964" s="504" t="s">
        <v>665</v>
      </c>
      <c r="G3964" s="504" t="s">
        <v>666</v>
      </c>
      <c r="H3964" s="504" t="s">
        <v>6541</v>
      </c>
      <c r="I3964" s="504">
        <v>47</v>
      </c>
      <c r="J3964" s="504">
        <v>38</v>
      </c>
      <c r="K3964" s="504">
        <v>0</v>
      </c>
      <c r="L3964" s="504">
        <v>0</v>
      </c>
      <c r="M3964" s="504">
        <v>0</v>
      </c>
      <c r="N3964" s="504">
        <v>0</v>
      </c>
      <c r="O3964" s="505">
        <v>9</v>
      </c>
    </row>
    <row r="3965" spans="1:15" x14ac:dyDescent="0.35">
      <c r="A3965" s="500" t="s">
        <v>1327</v>
      </c>
      <c r="B3965" s="501" t="s">
        <v>3330</v>
      </c>
      <c r="C3965" s="501" t="s">
        <v>1094</v>
      </c>
      <c r="D3965" s="501" t="s">
        <v>3380</v>
      </c>
      <c r="E3965" s="501" t="s">
        <v>3381</v>
      </c>
      <c r="F3965" s="501" t="s">
        <v>665</v>
      </c>
      <c r="G3965" s="501" t="s">
        <v>666</v>
      </c>
      <c r="H3965" s="501" t="s">
        <v>6542</v>
      </c>
      <c r="I3965" s="501">
        <v>150</v>
      </c>
      <c r="J3965" s="501">
        <v>111</v>
      </c>
      <c r="K3965" s="501">
        <v>0</v>
      </c>
      <c r="L3965" s="501">
        <v>0</v>
      </c>
      <c r="M3965" s="501">
        <v>0</v>
      </c>
      <c r="N3965" s="501">
        <v>0</v>
      </c>
      <c r="O3965" s="506">
        <v>39</v>
      </c>
    </row>
    <row r="3966" spans="1:15" x14ac:dyDescent="0.35">
      <c r="A3966" s="503" t="s">
        <v>1334</v>
      </c>
      <c r="B3966" s="504" t="s">
        <v>3082</v>
      </c>
      <c r="C3966" s="504" t="s">
        <v>1089</v>
      </c>
      <c r="D3966" s="504" t="s">
        <v>3392</v>
      </c>
      <c r="E3966" s="504" t="s">
        <v>3381</v>
      </c>
      <c r="F3966" s="504" t="s">
        <v>665</v>
      </c>
      <c r="G3966" s="504" t="s">
        <v>666</v>
      </c>
      <c r="H3966" s="504" t="s">
        <v>6543</v>
      </c>
      <c r="I3966" s="504">
        <v>117</v>
      </c>
      <c r="J3966" s="504">
        <v>117</v>
      </c>
      <c r="K3966" s="504">
        <v>0</v>
      </c>
      <c r="L3966" s="504">
        <v>0</v>
      </c>
      <c r="M3966" s="504">
        <v>0</v>
      </c>
      <c r="N3966" s="504">
        <v>0</v>
      </c>
      <c r="O3966" s="505">
        <v>0</v>
      </c>
    </row>
    <row r="3967" spans="1:15" x14ac:dyDescent="0.35">
      <c r="A3967" s="500" t="s">
        <v>1122</v>
      </c>
      <c r="B3967" s="501" t="s">
        <v>2994</v>
      </c>
      <c r="C3967" s="501" t="s">
        <v>1094</v>
      </c>
      <c r="D3967" s="501" t="s">
        <v>3380</v>
      </c>
      <c r="E3967" s="501" t="s">
        <v>3381</v>
      </c>
      <c r="F3967" s="501" t="s">
        <v>665</v>
      </c>
      <c r="G3967" s="501" t="s">
        <v>666</v>
      </c>
      <c r="H3967" s="501" t="s">
        <v>6544</v>
      </c>
      <c r="I3967" s="501">
        <v>73</v>
      </c>
      <c r="J3967" s="501">
        <v>73</v>
      </c>
      <c r="K3967" s="501">
        <v>0</v>
      </c>
      <c r="L3967" s="501">
        <v>0</v>
      </c>
      <c r="M3967" s="501">
        <v>0</v>
      </c>
      <c r="N3967" s="501">
        <v>0</v>
      </c>
      <c r="O3967" s="506">
        <v>0</v>
      </c>
    </row>
    <row r="3968" spans="1:15" x14ac:dyDescent="0.35">
      <c r="A3968" s="503" t="s">
        <v>1124</v>
      </c>
      <c r="B3968" s="504">
        <v>4745</v>
      </c>
      <c r="C3968" s="504" t="s">
        <v>1094</v>
      </c>
      <c r="D3968" s="504" t="s">
        <v>3380</v>
      </c>
      <c r="E3968" s="504" t="s">
        <v>3381</v>
      </c>
      <c r="F3968" s="504" t="s">
        <v>665</v>
      </c>
      <c r="G3968" s="504" t="s">
        <v>666</v>
      </c>
      <c r="H3968" s="504" t="s">
        <v>6545</v>
      </c>
      <c r="I3968" s="504">
        <v>4</v>
      </c>
      <c r="J3968" s="504">
        <v>0</v>
      </c>
      <c r="K3968" s="504">
        <v>0</v>
      </c>
      <c r="L3968" s="504">
        <v>4</v>
      </c>
      <c r="M3968" s="504">
        <v>0</v>
      </c>
      <c r="N3968" s="504">
        <v>0</v>
      </c>
      <c r="O3968" s="505">
        <v>0</v>
      </c>
    </row>
    <row r="3969" spans="1:15" x14ac:dyDescent="0.35">
      <c r="A3969" s="500" t="s">
        <v>1126</v>
      </c>
      <c r="B3969" s="501" t="s">
        <v>2974</v>
      </c>
      <c r="C3969" s="501" t="s">
        <v>1094</v>
      </c>
      <c r="D3969" s="501" t="s">
        <v>3380</v>
      </c>
      <c r="E3969" s="501" t="s">
        <v>3381</v>
      </c>
      <c r="F3969" s="501" t="s">
        <v>665</v>
      </c>
      <c r="G3969" s="501" t="s">
        <v>666</v>
      </c>
      <c r="H3969" s="501" t="s">
        <v>6546</v>
      </c>
      <c r="I3969" s="501">
        <v>129</v>
      </c>
      <c r="J3969" s="501">
        <v>100</v>
      </c>
      <c r="K3969" s="501">
        <v>0</v>
      </c>
      <c r="L3969" s="501">
        <v>0</v>
      </c>
      <c r="M3969" s="501">
        <v>29</v>
      </c>
      <c r="N3969" s="501">
        <v>0</v>
      </c>
      <c r="O3969" s="506">
        <v>0</v>
      </c>
    </row>
    <row r="3970" spans="1:15" x14ac:dyDescent="0.35">
      <c r="A3970" s="503" t="s">
        <v>1340</v>
      </c>
      <c r="B3970" s="504" t="s">
        <v>2862</v>
      </c>
      <c r="C3970" s="504" t="s">
        <v>1089</v>
      </c>
      <c r="D3970" s="504" t="s">
        <v>3392</v>
      </c>
      <c r="E3970" s="504" t="s">
        <v>3381</v>
      </c>
      <c r="F3970" s="504" t="s">
        <v>665</v>
      </c>
      <c r="G3970" s="504" t="s">
        <v>666</v>
      </c>
      <c r="H3970" s="504" t="s">
        <v>6547</v>
      </c>
      <c r="I3970" s="504">
        <v>30</v>
      </c>
      <c r="J3970" s="504">
        <v>0</v>
      </c>
      <c r="K3970" s="504">
        <v>0</v>
      </c>
      <c r="L3970" s="504">
        <v>30</v>
      </c>
      <c r="M3970" s="504">
        <v>0</v>
      </c>
      <c r="N3970" s="504">
        <v>0</v>
      </c>
      <c r="O3970" s="505">
        <v>0</v>
      </c>
    </row>
    <row r="3971" spans="1:15" x14ac:dyDescent="0.35">
      <c r="A3971" s="500" t="s">
        <v>1341</v>
      </c>
      <c r="B3971" s="501" t="s">
        <v>3183</v>
      </c>
      <c r="C3971" s="501" t="s">
        <v>1094</v>
      </c>
      <c r="D3971" s="501" t="s">
        <v>3380</v>
      </c>
      <c r="E3971" s="501" t="s">
        <v>3381</v>
      </c>
      <c r="F3971" s="501" t="s">
        <v>665</v>
      </c>
      <c r="G3971" s="501" t="s">
        <v>666</v>
      </c>
      <c r="H3971" s="501" t="s">
        <v>12113</v>
      </c>
      <c r="I3971" s="501">
        <v>7</v>
      </c>
      <c r="J3971" s="501">
        <v>3</v>
      </c>
      <c r="K3971" s="501">
        <v>0</v>
      </c>
      <c r="L3971" s="501">
        <v>0</v>
      </c>
      <c r="M3971" s="501">
        <v>0</v>
      </c>
      <c r="N3971" s="501">
        <v>0</v>
      </c>
      <c r="O3971" s="506">
        <v>4</v>
      </c>
    </row>
    <row r="3972" spans="1:15" x14ac:dyDescent="0.35">
      <c r="A3972" s="503" t="s">
        <v>1130</v>
      </c>
      <c r="B3972" s="504" t="s">
        <v>3234</v>
      </c>
      <c r="C3972" s="504" t="s">
        <v>1094</v>
      </c>
      <c r="D3972" s="504" t="s">
        <v>3380</v>
      </c>
      <c r="E3972" s="504" t="s">
        <v>3381</v>
      </c>
      <c r="F3972" s="504" t="s">
        <v>665</v>
      </c>
      <c r="G3972" s="504" t="s">
        <v>666</v>
      </c>
      <c r="H3972" s="504" t="s">
        <v>6548</v>
      </c>
      <c r="I3972" s="504">
        <v>1</v>
      </c>
      <c r="J3972" s="504">
        <v>0</v>
      </c>
      <c r="K3972" s="504">
        <v>0</v>
      </c>
      <c r="L3972" s="504">
        <v>0</v>
      </c>
      <c r="M3972" s="504">
        <v>0</v>
      </c>
      <c r="N3972" s="504">
        <v>0</v>
      </c>
      <c r="O3972" s="505">
        <v>1</v>
      </c>
    </row>
    <row r="3973" spans="1:15" x14ac:dyDescent="0.35">
      <c r="A3973" s="500" t="s">
        <v>1347</v>
      </c>
      <c r="B3973" s="501" t="s">
        <v>3185</v>
      </c>
      <c r="C3973" s="501" t="s">
        <v>1089</v>
      </c>
      <c r="D3973" s="501" t="s">
        <v>3392</v>
      </c>
      <c r="E3973" s="501" t="s">
        <v>3381</v>
      </c>
      <c r="F3973" s="501" t="s">
        <v>665</v>
      </c>
      <c r="G3973" s="501" t="s">
        <v>666</v>
      </c>
      <c r="H3973" s="501" t="s">
        <v>6549</v>
      </c>
      <c r="I3973" s="501">
        <v>36</v>
      </c>
      <c r="J3973" s="501">
        <v>36</v>
      </c>
      <c r="K3973" s="501">
        <v>0</v>
      </c>
      <c r="L3973" s="501">
        <v>0</v>
      </c>
      <c r="M3973" s="501">
        <v>0</v>
      </c>
      <c r="N3973" s="501">
        <v>0</v>
      </c>
      <c r="O3973" s="506">
        <v>0</v>
      </c>
    </row>
    <row r="3974" spans="1:15" x14ac:dyDescent="0.35">
      <c r="A3974" s="503" t="s">
        <v>1245</v>
      </c>
      <c r="B3974" s="504" t="s">
        <v>2859</v>
      </c>
      <c r="C3974" s="504" t="s">
        <v>1094</v>
      </c>
      <c r="D3974" s="504" t="s">
        <v>3380</v>
      </c>
      <c r="E3974" s="504" t="s">
        <v>3381</v>
      </c>
      <c r="F3974" s="504" t="s">
        <v>665</v>
      </c>
      <c r="G3974" s="504" t="s">
        <v>666</v>
      </c>
      <c r="H3974" s="504" t="s">
        <v>6550</v>
      </c>
      <c r="I3974" s="504">
        <v>12</v>
      </c>
      <c r="J3974" s="504">
        <v>0</v>
      </c>
      <c r="K3974" s="504">
        <v>0</v>
      </c>
      <c r="L3974" s="504">
        <v>0</v>
      </c>
      <c r="M3974" s="504">
        <v>12</v>
      </c>
      <c r="N3974" s="504">
        <v>0</v>
      </c>
      <c r="O3974" s="505">
        <v>0</v>
      </c>
    </row>
    <row r="3975" spans="1:15" x14ac:dyDescent="0.35">
      <c r="A3975" s="500" t="s">
        <v>1249</v>
      </c>
      <c r="B3975" s="501">
        <v>4729</v>
      </c>
      <c r="C3975" s="501" t="s">
        <v>1094</v>
      </c>
      <c r="D3975" s="501" t="s">
        <v>3380</v>
      </c>
      <c r="E3975" s="501" t="s">
        <v>3381</v>
      </c>
      <c r="F3975" s="501" t="s">
        <v>665</v>
      </c>
      <c r="G3975" s="501" t="s">
        <v>666</v>
      </c>
      <c r="H3975" s="501" t="s">
        <v>6551</v>
      </c>
      <c r="I3975" s="501">
        <v>2</v>
      </c>
      <c r="J3975" s="501">
        <v>1</v>
      </c>
      <c r="K3975" s="501">
        <v>0</v>
      </c>
      <c r="L3975" s="501">
        <v>1</v>
      </c>
      <c r="M3975" s="501">
        <v>0</v>
      </c>
      <c r="N3975" s="501">
        <v>0</v>
      </c>
      <c r="O3975" s="506">
        <v>0</v>
      </c>
    </row>
    <row r="3976" spans="1:15" x14ac:dyDescent="0.35">
      <c r="A3976" s="503" t="s">
        <v>1362</v>
      </c>
      <c r="B3976" s="504" t="s">
        <v>2977</v>
      </c>
      <c r="C3976" s="504" t="s">
        <v>1094</v>
      </c>
      <c r="D3976" s="504" t="s">
        <v>3380</v>
      </c>
      <c r="E3976" s="504" t="s">
        <v>3381</v>
      </c>
      <c r="F3976" s="504" t="s">
        <v>665</v>
      </c>
      <c r="G3976" s="504" t="s">
        <v>666</v>
      </c>
      <c r="H3976" s="504" t="s">
        <v>6552</v>
      </c>
      <c r="I3976" s="504">
        <v>7</v>
      </c>
      <c r="J3976" s="504">
        <v>7</v>
      </c>
      <c r="K3976" s="504">
        <v>0</v>
      </c>
      <c r="L3976" s="504">
        <v>0</v>
      </c>
      <c r="M3976" s="504">
        <v>0</v>
      </c>
      <c r="N3976" s="504">
        <v>0</v>
      </c>
      <c r="O3976" s="505">
        <v>0</v>
      </c>
    </row>
    <row r="3977" spans="1:15" x14ac:dyDescent="0.35">
      <c r="A3977" s="500" t="s">
        <v>1369</v>
      </c>
      <c r="B3977" s="501" t="s">
        <v>3218</v>
      </c>
      <c r="C3977" s="501" t="s">
        <v>1094</v>
      </c>
      <c r="D3977" s="501" t="s">
        <v>3380</v>
      </c>
      <c r="E3977" s="501" t="s">
        <v>3381</v>
      </c>
      <c r="F3977" s="501" t="s">
        <v>665</v>
      </c>
      <c r="G3977" s="501" t="s">
        <v>666</v>
      </c>
      <c r="H3977" s="501" t="s">
        <v>6553</v>
      </c>
      <c r="I3977" s="501">
        <v>20</v>
      </c>
      <c r="J3977" s="501">
        <v>20</v>
      </c>
      <c r="K3977" s="501">
        <v>0</v>
      </c>
      <c r="L3977" s="501">
        <v>0</v>
      </c>
      <c r="M3977" s="501">
        <v>0</v>
      </c>
      <c r="N3977" s="501">
        <v>0</v>
      </c>
      <c r="O3977" s="506">
        <v>0</v>
      </c>
    </row>
    <row r="3978" spans="1:15" x14ac:dyDescent="0.35">
      <c r="A3978" s="503" t="s">
        <v>1374</v>
      </c>
      <c r="B3978" s="504" t="s">
        <v>3209</v>
      </c>
      <c r="C3978" s="504" t="s">
        <v>1094</v>
      </c>
      <c r="D3978" s="504" t="s">
        <v>3380</v>
      </c>
      <c r="E3978" s="504" t="s">
        <v>3381</v>
      </c>
      <c r="F3978" s="504" t="s">
        <v>665</v>
      </c>
      <c r="G3978" s="504" t="s">
        <v>666</v>
      </c>
      <c r="H3978" s="504" t="s">
        <v>6554</v>
      </c>
      <c r="I3978" s="504">
        <v>103</v>
      </c>
      <c r="J3978" s="504">
        <v>50</v>
      </c>
      <c r="K3978" s="504">
        <v>0</v>
      </c>
      <c r="L3978" s="504">
        <v>0</v>
      </c>
      <c r="M3978" s="504">
        <v>0</v>
      </c>
      <c r="N3978" s="504">
        <v>0</v>
      </c>
      <c r="O3978" s="505">
        <v>53</v>
      </c>
    </row>
    <row r="3979" spans="1:15" x14ac:dyDescent="0.35">
      <c r="A3979" s="500" t="s">
        <v>1376</v>
      </c>
      <c r="B3979" s="501" t="s">
        <v>3081</v>
      </c>
      <c r="C3979" s="501" t="s">
        <v>1089</v>
      </c>
      <c r="D3979" s="501" t="s">
        <v>3392</v>
      </c>
      <c r="E3979" s="501" t="s">
        <v>3381</v>
      </c>
      <c r="F3979" s="501" t="s">
        <v>665</v>
      </c>
      <c r="G3979" s="501" t="s">
        <v>666</v>
      </c>
      <c r="H3979" s="501" t="s">
        <v>6555</v>
      </c>
      <c r="I3979" s="501">
        <v>7</v>
      </c>
      <c r="J3979" s="501">
        <v>2</v>
      </c>
      <c r="K3979" s="501">
        <v>4</v>
      </c>
      <c r="L3979" s="501">
        <v>1</v>
      </c>
      <c r="M3979" s="501">
        <v>0</v>
      </c>
      <c r="N3979" s="501">
        <v>0</v>
      </c>
      <c r="O3979" s="506">
        <v>0</v>
      </c>
    </row>
    <row r="3980" spans="1:15" x14ac:dyDescent="0.35">
      <c r="A3980" s="503" t="s">
        <v>1193</v>
      </c>
      <c r="B3980" s="504" t="s">
        <v>3039</v>
      </c>
      <c r="C3980" s="504" t="s">
        <v>1094</v>
      </c>
      <c r="D3980" s="504" t="s">
        <v>3380</v>
      </c>
      <c r="E3980" s="504" t="s">
        <v>3381</v>
      </c>
      <c r="F3980" s="504" t="s">
        <v>667</v>
      </c>
      <c r="G3980" s="504" t="s">
        <v>668</v>
      </c>
      <c r="H3980" s="504" t="s">
        <v>6565</v>
      </c>
      <c r="I3980" s="504">
        <v>225</v>
      </c>
      <c r="J3980" s="504">
        <v>129</v>
      </c>
      <c r="K3980" s="504">
        <v>0</v>
      </c>
      <c r="L3980" s="504">
        <v>0</v>
      </c>
      <c r="M3980" s="504">
        <v>83</v>
      </c>
      <c r="N3980" s="504">
        <v>0</v>
      </c>
      <c r="O3980" s="505">
        <v>13</v>
      </c>
    </row>
    <row r="3981" spans="1:15" x14ac:dyDescent="0.35">
      <c r="A3981" s="500" t="s">
        <v>1147</v>
      </c>
      <c r="B3981" s="501" t="s">
        <v>3274</v>
      </c>
      <c r="C3981" s="501" t="s">
        <v>1089</v>
      </c>
      <c r="D3981" s="501" t="s">
        <v>3392</v>
      </c>
      <c r="E3981" s="501" t="s">
        <v>3381</v>
      </c>
      <c r="F3981" s="501" t="s">
        <v>667</v>
      </c>
      <c r="G3981" s="501" t="s">
        <v>668</v>
      </c>
      <c r="H3981" s="501" t="s">
        <v>6556</v>
      </c>
      <c r="I3981" s="501">
        <v>15</v>
      </c>
      <c r="J3981" s="501">
        <v>0</v>
      </c>
      <c r="K3981" s="501">
        <v>0</v>
      </c>
      <c r="L3981" s="501">
        <v>15</v>
      </c>
      <c r="M3981" s="501">
        <v>0</v>
      </c>
      <c r="N3981" s="501">
        <v>0</v>
      </c>
      <c r="O3981" s="506">
        <v>0</v>
      </c>
    </row>
    <row r="3982" spans="1:15" x14ac:dyDescent="0.35">
      <c r="A3982" s="503" t="s">
        <v>1096</v>
      </c>
      <c r="B3982" s="504" t="s">
        <v>3326</v>
      </c>
      <c r="C3982" s="504" t="s">
        <v>1094</v>
      </c>
      <c r="D3982" s="504" t="s">
        <v>3380</v>
      </c>
      <c r="E3982" s="504" t="s">
        <v>3381</v>
      </c>
      <c r="F3982" s="504" t="s">
        <v>667</v>
      </c>
      <c r="G3982" s="504" t="s">
        <v>668</v>
      </c>
      <c r="H3982" s="504" t="s">
        <v>6557</v>
      </c>
      <c r="I3982" s="504">
        <v>63</v>
      </c>
      <c r="J3982" s="504">
        <v>0</v>
      </c>
      <c r="K3982" s="504">
        <v>0</v>
      </c>
      <c r="L3982" s="504">
        <v>0</v>
      </c>
      <c r="M3982" s="504">
        <v>63</v>
      </c>
      <c r="N3982" s="504">
        <v>0</v>
      </c>
      <c r="O3982" s="505">
        <v>0</v>
      </c>
    </row>
    <row r="3983" spans="1:15" x14ac:dyDescent="0.35">
      <c r="A3983" s="500" t="s">
        <v>1150</v>
      </c>
      <c r="B3983" s="501" t="s">
        <v>2975</v>
      </c>
      <c r="C3983" s="501" t="s">
        <v>1094</v>
      </c>
      <c r="D3983" s="501" t="s">
        <v>3380</v>
      </c>
      <c r="E3983" s="501" t="s">
        <v>3381</v>
      </c>
      <c r="F3983" s="501" t="s">
        <v>667</v>
      </c>
      <c r="G3983" s="501" t="s">
        <v>668</v>
      </c>
      <c r="H3983" s="501" t="s">
        <v>6558</v>
      </c>
      <c r="I3983" s="501">
        <v>24</v>
      </c>
      <c r="J3983" s="501">
        <v>21</v>
      </c>
      <c r="K3983" s="501">
        <v>0</v>
      </c>
      <c r="L3983" s="501">
        <v>0</v>
      </c>
      <c r="M3983" s="501">
        <v>0</v>
      </c>
      <c r="N3983" s="501">
        <v>0</v>
      </c>
      <c r="O3983" s="506">
        <v>3</v>
      </c>
    </row>
    <row r="3984" spans="1:15" x14ac:dyDescent="0.35">
      <c r="A3984" s="503" t="s">
        <v>1162</v>
      </c>
      <c r="B3984" s="504" t="s">
        <v>3203</v>
      </c>
      <c r="C3984" s="504" t="s">
        <v>1094</v>
      </c>
      <c r="D3984" s="504" t="s">
        <v>3380</v>
      </c>
      <c r="E3984" s="504" t="s">
        <v>3381</v>
      </c>
      <c r="F3984" s="504" t="s">
        <v>667</v>
      </c>
      <c r="G3984" s="504" t="s">
        <v>668</v>
      </c>
      <c r="H3984" s="504" t="s">
        <v>6559</v>
      </c>
      <c r="I3984" s="504">
        <v>166</v>
      </c>
      <c r="J3984" s="504">
        <v>144</v>
      </c>
      <c r="K3984" s="504">
        <v>0</v>
      </c>
      <c r="L3984" s="504">
        <v>0</v>
      </c>
      <c r="M3984" s="504">
        <v>0</v>
      </c>
      <c r="N3984" s="504">
        <v>0</v>
      </c>
      <c r="O3984" s="505">
        <v>22</v>
      </c>
    </row>
    <row r="3985" spans="1:15" x14ac:dyDescent="0.35">
      <c r="A3985" s="500" t="s">
        <v>1171</v>
      </c>
      <c r="B3985" s="501" t="s">
        <v>3003</v>
      </c>
      <c r="C3985" s="501" t="s">
        <v>1094</v>
      </c>
      <c r="D3985" s="501" t="s">
        <v>3380</v>
      </c>
      <c r="E3985" s="501" t="s">
        <v>3381</v>
      </c>
      <c r="F3985" s="501" t="s">
        <v>667</v>
      </c>
      <c r="G3985" s="501" t="s">
        <v>668</v>
      </c>
      <c r="H3985" s="501" t="s">
        <v>6560</v>
      </c>
      <c r="I3985" s="501">
        <v>4</v>
      </c>
      <c r="J3985" s="501">
        <v>4</v>
      </c>
      <c r="K3985" s="501">
        <v>0</v>
      </c>
      <c r="L3985" s="501">
        <v>0</v>
      </c>
      <c r="M3985" s="501">
        <v>0</v>
      </c>
      <c r="N3985" s="501">
        <v>0</v>
      </c>
      <c r="O3985" s="506">
        <v>0</v>
      </c>
    </row>
    <row r="3986" spans="1:15" x14ac:dyDescent="0.35">
      <c r="A3986" s="503" t="s">
        <v>1173</v>
      </c>
      <c r="B3986" s="504">
        <v>4775</v>
      </c>
      <c r="C3986" s="504" t="s">
        <v>1094</v>
      </c>
      <c r="D3986" s="504" t="s">
        <v>3380</v>
      </c>
      <c r="E3986" s="504" t="s">
        <v>3381</v>
      </c>
      <c r="F3986" s="504" t="s">
        <v>667</v>
      </c>
      <c r="G3986" s="504" t="s">
        <v>668</v>
      </c>
      <c r="H3986" s="504" t="s">
        <v>6561</v>
      </c>
      <c r="I3986" s="504">
        <v>9</v>
      </c>
      <c r="J3986" s="504">
        <v>0</v>
      </c>
      <c r="K3986" s="504">
        <v>0</v>
      </c>
      <c r="L3986" s="504">
        <v>9</v>
      </c>
      <c r="M3986" s="504">
        <v>0</v>
      </c>
      <c r="N3986" s="504">
        <v>0</v>
      </c>
      <c r="O3986" s="505">
        <v>0</v>
      </c>
    </row>
    <row r="3987" spans="1:15" x14ac:dyDescent="0.35">
      <c r="A3987" s="500" t="s">
        <v>14208</v>
      </c>
      <c r="B3987" s="501">
        <v>4803</v>
      </c>
      <c r="C3987" s="501" t="s">
        <v>1094</v>
      </c>
      <c r="D3987" s="501" t="s">
        <v>3380</v>
      </c>
      <c r="E3987" s="501" t="s">
        <v>3381</v>
      </c>
      <c r="F3987" s="501" t="s">
        <v>667</v>
      </c>
      <c r="G3987" s="501" t="s">
        <v>668</v>
      </c>
      <c r="H3987" s="501" t="s">
        <v>14755</v>
      </c>
      <c r="I3987" s="501">
        <v>1</v>
      </c>
      <c r="J3987" s="501">
        <v>0</v>
      </c>
      <c r="K3987" s="501">
        <v>0</v>
      </c>
      <c r="L3987" s="501">
        <v>1</v>
      </c>
      <c r="M3987" s="501">
        <v>0</v>
      </c>
      <c r="N3987" s="501">
        <v>0</v>
      </c>
      <c r="O3987" s="506">
        <v>0</v>
      </c>
    </row>
    <row r="3988" spans="1:15" x14ac:dyDescent="0.35">
      <c r="A3988" s="503" t="s">
        <v>1183</v>
      </c>
      <c r="B3988" s="504" t="s">
        <v>3038</v>
      </c>
      <c r="C3988" s="504" t="s">
        <v>1094</v>
      </c>
      <c r="D3988" s="504" t="s">
        <v>3380</v>
      </c>
      <c r="E3988" s="504" t="s">
        <v>3381</v>
      </c>
      <c r="F3988" s="504" t="s">
        <v>667</v>
      </c>
      <c r="G3988" s="504" t="s">
        <v>668</v>
      </c>
      <c r="H3988" s="504" t="s">
        <v>6562</v>
      </c>
      <c r="I3988" s="504">
        <v>346</v>
      </c>
      <c r="J3988" s="504">
        <v>246</v>
      </c>
      <c r="K3988" s="504">
        <v>0</v>
      </c>
      <c r="L3988" s="504">
        <v>4</v>
      </c>
      <c r="M3988" s="504">
        <v>22</v>
      </c>
      <c r="N3988" s="504">
        <v>0</v>
      </c>
      <c r="O3988" s="505">
        <v>74</v>
      </c>
    </row>
    <row r="3989" spans="1:15" x14ac:dyDescent="0.35">
      <c r="A3989" s="500" t="s">
        <v>1105</v>
      </c>
      <c r="B3989" s="501">
        <v>4668</v>
      </c>
      <c r="C3989" s="501" t="s">
        <v>1094</v>
      </c>
      <c r="D3989" s="501" t="s">
        <v>3380</v>
      </c>
      <c r="E3989" s="501" t="s">
        <v>3381</v>
      </c>
      <c r="F3989" s="501" t="s">
        <v>667</v>
      </c>
      <c r="G3989" s="501" t="s">
        <v>668</v>
      </c>
      <c r="H3989" s="501" t="s">
        <v>6563</v>
      </c>
      <c r="I3989" s="501">
        <v>13</v>
      </c>
      <c r="J3989" s="501">
        <v>0</v>
      </c>
      <c r="K3989" s="501">
        <v>0</v>
      </c>
      <c r="L3989" s="501">
        <v>0</v>
      </c>
      <c r="M3989" s="501">
        <v>0</v>
      </c>
      <c r="N3989" s="501">
        <v>0</v>
      </c>
      <c r="O3989" s="506">
        <v>13</v>
      </c>
    </row>
    <row r="3990" spans="1:15" x14ac:dyDescent="0.35">
      <c r="A3990" s="503" t="s">
        <v>1190</v>
      </c>
      <c r="B3990" s="504">
        <v>4662</v>
      </c>
      <c r="C3990" s="504" t="s">
        <v>1094</v>
      </c>
      <c r="D3990" s="504" t="s">
        <v>3380</v>
      </c>
      <c r="E3990" s="504" t="s">
        <v>3381</v>
      </c>
      <c r="F3990" s="504" t="s">
        <v>667</v>
      </c>
      <c r="G3990" s="504" t="s">
        <v>668</v>
      </c>
      <c r="H3990" s="504" t="s">
        <v>6564</v>
      </c>
      <c r="I3990" s="504">
        <v>15</v>
      </c>
      <c r="J3990" s="504">
        <v>0</v>
      </c>
      <c r="K3990" s="504">
        <v>0</v>
      </c>
      <c r="L3990" s="504">
        <v>15</v>
      </c>
      <c r="M3990" s="504">
        <v>0</v>
      </c>
      <c r="N3990" s="504">
        <v>0</v>
      </c>
      <c r="O3990" s="505">
        <v>0</v>
      </c>
    </row>
    <row r="3991" spans="1:15" x14ac:dyDescent="0.35">
      <c r="A3991" s="500" t="s">
        <v>1215</v>
      </c>
      <c r="B3991" s="501">
        <v>4817</v>
      </c>
      <c r="C3991" s="501" t="s">
        <v>1094</v>
      </c>
      <c r="D3991" s="501" t="s">
        <v>3380</v>
      </c>
      <c r="E3991" s="501" t="s">
        <v>3381</v>
      </c>
      <c r="F3991" s="501" t="s">
        <v>667</v>
      </c>
      <c r="G3991" s="501" t="s">
        <v>668</v>
      </c>
      <c r="H3991" s="501" t="s">
        <v>6566</v>
      </c>
      <c r="I3991" s="501">
        <v>94</v>
      </c>
      <c r="J3991" s="501">
        <v>65</v>
      </c>
      <c r="K3991" s="501">
        <v>0</v>
      </c>
      <c r="L3991" s="501">
        <v>0</v>
      </c>
      <c r="M3991" s="501">
        <v>0</v>
      </c>
      <c r="N3991" s="501">
        <v>0</v>
      </c>
      <c r="O3991" s="506">
        <v>29</v>
      </c>
    </row>
    <row r="3992" spans="1:15" x14ac:dyDescent="0.35">
      <c r="A3992" s="503" t="s">
        <v>1744</v>
      </c>
      <c r="B3992" s="504" t="s">
        <v>3245</v>
      </c>
      <c r="C3992" s="504" t="s">
        <v>1094</v>
      </c>
      <c r="D3992" s="504" t="s">
        <v>3380</v>
      </c>
      <c r="E3992" s="504" t="s">
        <v>3381</v>
      </c>
      <c r="F3992" s="504" t="s">
        <v>667</v>
      </c>
      <c r="G3992" s="504" t="s">
        <v>668</v>
      </c>
      <c r="H3992" s="504" t="s">
        <v>14756</v>
      </c>
      <c r="I3992" s="504">
        <v>4</v>
      </c>
      <c r="J3992" s="504">
        <v>0</v>
      </c>
      <c r="K3992" s="504">
        <v>0</v>
      </c>
      <c r="L3992" s="504">
        <v>4</v>
      </c>
      <c r="M3992" s="504">
        <v>0</v>
      </c>
      <c r="N3992" s="504">
        <v>0</v>
      </c>
      <c r="O3992" s="505">
        <v>0</v>
      </c>
    </row>
    <row r="3993" spans="1:15" x14ac:dyDescent="0.35">
      <c r="A3993" s="500" t="s">
        <v>1223</v>
      </c>
      <c r="B3993" s="501">
        <v>4768</v>
      </c>
      <c r="C3993" s="501" t="s">
        <v>1089</v>
      </c>
      <c r="D3993" s="501" t="s">
        <v>3392</v>
      </c>
      <c r="E3993" s="501" t="s">
        <v>3381</v>
      </c>
      <c r="F3993" s="501" t="s">
        <v>667</v>
      </c>
      <c r="G3993" s="501" t="s">
        <v>668</v>
      </c>
      <c r="H3993" s="501" t="s">
        <v>6567</v>
      </c>
      <c r="I3993" s="501">
        <v>1</v>
      </c>
      <c r="J3993" s="501">
        <v>0</v>
      </c>
      <c r="K3993" s="501">
        <v>0</v>
      </c>
      <c r="L3993" s="501">
        <v>1</v>
      </c>
      <c r="M3993" s="501">
        <v>0</v>
      </c>
      <c r="N3993" s="501">
        <v>0</v>
      </c>
      <c r="O3993" s="506">
        <v>0</v>
      </c>
    </row>
    <row r="3994" spans="1:15" x14ac:dyDescent="0.35">
      <c r="A3994" s="503" t="s">
        <v>1224</v>
      </c>
      <c r="B3994" s="504" t="s">
        <v>3135</v>
      </c>
      <c r="C3994" s="504" t="s">
        <v>1089</v>
      </c>
      <c r="D3994" s="504" t="s">
        <v>3392</v>
      </c>
      <c r="E3994" s="504" t="s">
        <v>3381</v>
      </c>
      <c r="F3994" s="504" t="s">
        <v>667</v>
      </c>
      <c r="G3994" s="504" t="s">
        <v>668</v>
      </c>
      <c r="H3994" s="504" t="s">
        <v>6568</v>
      </c>
      <c r="I3994" s="504">
        <v>18</v>
      </c>
      <c r="J3994" s="504">
        <v>18</v>
      </c>
      <c r="K3994" s="504">
        <v>0</v>
      </c>
      <c r="L3994" s="504">
        <v>0</v>
      </c>
      <c r="M3994" s="504">
        <v>0</v>
      </c>
      <c r="N3994" s="504">
        <v>0</v>
      </c>
      <c r="O3994" s="505">
        <v>0</v>
      </c>
    </row>
    <row r="3995" spans="1:15" x14ac:dyDescent="0.35">
      <c r="A3995" s="500" t="s">
        <v>1233</v>
      </c>
      <c r="B3995" s="501">
        <v>4636</v>
      </c>
      <c r="C3995" s="501" t="s">
        <v>1094</v>
      </c>
      <c r="D3995" s="501" t="s">
        <v>3380</v>
      </c>
      <c r="E3995" s="501" t="s">
        <v>3381</v>
      </c>
      <c r="F3995" s="501" t="s">
        <v>667</v>
      </c>
      <c r="G3995" s="501" t="s">
        <v>668</v>
      </c>
      <c r="H3995" s="501" t="s">
        <v>6569</v>
      </c>
      <c r="I3995" s="501">
        <v>60</v>
      </c>
      <c r="J3995" s="501">
        <v>17</v>
      </c>
      <c r="K3995" s="501">
        <v>0</v>
      </c>
      <c r="L3995" s="501">
        <v>0</v>
      </c>
      <c r="M3995" s="501">
        <v>0</v>
      </c>
      <c r="N3995" s="501">
        <v>0</v>
      </c>
      <c r="O3995" s="506">
        <v>43</v>
      </c>
    </row>
    <row r="3996" spans="1:15" x14ac:dyDescent="0.35">
      <c r="A3996" s="503" t="s">
        <v>11368</v>
      </c>
      <c r="B3996" s="504">
        <v>5083</v>
      </c>
      <c r="C3996" s="504" t="s">
        <v>1094</v>
      </c>
      <c r="D3996" s="504" t="s">
        <v>3380</v>
      </c>
      <c r="E3996" s="504" t="s">
        <v>3381</v>
      </c>
      <c r="F3996" s="504" t="s">
        <v>667</v>
      </c>
      <c r="G3996" s="504" t="s">
        <v>668</v>
      </c>
      <c r="H3996" s="504" t="s">
        <v>12056</v>
      </c>
      <c r="I3996" s="504">
        <v>37</v>
      </c>
      <c r="J3996" s="504">
        <v>37</v>
      </c>
      <c r="K3996" s="504">
        <v>0</v>
      </c>
      <c r="L3996" s="504">
        <v>0</v>
      </c>
      <c r="M3996" s="504">
        <v>0</v>
      </c>
      <c r="N3996" s="504">
        <v>0</v>
      </c>
      <c r="O3996" s="505">
        <v>0</v>
      </c>
    </row>
    <row r="3997" spans="1:15" x14ac:dyDescent="0.35">
      <c r="A3997" s="500" t="s">
        <v>1238</v>
      </c>
      <c r="B3997" s="501" t="s">
        <v>2963</v>
      </c>
      <c r="C3997" s="501" t="s">
        <v>1094</v>
      </c>
      <c r="D3997" s="501" t="s">
        <v>3380</v>
      </c>
      <c r="E3997" s="501" t="s">
        <v>3381</v>
      </c>
      <c r="F3997" s="501" t="s">
        <v>667</v>
      </c>
      <c r="G3997" s="501" t="s">
        <v>668</v>
      </c>
      <c r="H3997" s="501" t="s">
        <v>6570</v>
      </c>
      <c r="I3997" s="501">
        <v>36</v>
      </c>
      <c r="J3997" s="501">
        <v>0</v>
      </c>
      <c r="K3997" s="501">
        <v>0</v>
      </c>
      <c r="L3997" s="501">
        <v>0</v>
      </c>
      <c r="M3997" s="501">
        <v>34</v>
      </c>
      <c r="N3997" s="501">
        <v>0</v>
      </c>
      <c r="O3997" s="506">
        <v>2</v>
      </c>
    </row>
    <row r="3998" spans="1:15" x14ac:dyDescent="0.35">
      <c r="A3998" s="503" t="s">
        <v>1134</v>
      </c>
      <c r="B3998" s="504" t="s">
        <v>3066</v>
      </c>
      <c r="C3998" s="504" t="s">
        <v>1094</v>
      </c>
      <c r="D3998" s="504" t="s">
        <v>3380</v>
      </c>
      <c r="E3998" s="504" t="s">
        <v>3381</v>
      </c>
      <c r="F3998" s="504" t="s">
        <v>667</v>
      </c>
      <c r="G3998" s="504" t="s">
        <v>668</v>
      </c>
      <c r="H3998" s="504" t="s">
        <v>6571</v>
      </c>
      <c r="I3998" s="504">
        <v>39</v>
      </c>
      <c r="J3998" s="504">
        <v>0</v>
      </c>
      <c r="K3998" s="504">
        <v>0</v>
      </c>
      <c r="L3998" s="504">
        <v>0</v>
      </c>
      <c r="M3998" s="504">
        <v>39</v>
      </c>
      <c r="N3998" s="504">
        <v>0</v>
      </c>
      <c r="O3998" s="505">
        <v>0</v>
      </c>
    </row>
    <row r="3999" spans="1:15" x14ac:dyDescent="0.35">
      <c r="A3999" s="500" t="s">
        <v>1249</v>
      </c>
      <c r="B3999" s="501">
        <v>4729</v>
      </c>
      <c r="C3999" s="501" t="s">
        <v>1094</v>
      </c>
      <c r="D3999" s="501" t="s">
        <v>3380</v>
      </c>
      <c r="E3999" s="501" t="s">
        <v>3381</v>
      </c>
      <c r="F3999" s="501" t="s">
        <v>667</v>
      </c>
      <c r="G3999" s="501" t="s">
        <v>668</v>
      </c>
      <c r="H3999" s="501" t="s">
        <v>6572</v>
      </c>
      <c r="I3999" s="501">
        <v>397</v>
      </c>
      <c r="J3999" s="501">
        <v>259</v>
      </c>
      <c r="K3999" s="501">
        <v>1</v>
      </c>
      <c r="L3999" s="501">
        <v>17</v>
      </c>
      <c r="M3999" s="501">
        <v>77</v>
      </c>
      <c r="N3999" s="501">
        <v>0</v>
      </c>
      <c r="O3999" s="506">
        <v>43</v>
      </c>
    </row>
    <row r="4000" spans="1:15" x14ac:dyDescent="0.35">
      <c r="A4000" s="503" t="s">
        <v>1266</v>
      </c>
      <c r="B4000" s="504" t="s">
        <v>3071</v>
      </c>
      <c r="C4000" s="504" t="s">
        <v>1094</v>
      </c>
      <c r="D4000" s="504" t="s">
        <v>3380</v>
      </c>
      <c r="E4000" s="504" t="s">
        <v>3381</v>
      </c>
      <c r="F4000" s="504" t="s">
        <v>667</v>
      </c>
      <c r="G4000" s="504" t="s">
        <v>668</v>
      </c>
      <c r="H4000" s="504" t="s">
        <v>6573</v>
      </c>
      <c r="I4000" s="504">
        <v>175</v>
      </c>
      <c r="J4000" s="504">
        <v>160</v>
      </c>
      <c r="K4000" s="504">
        <v>0</v>
      </c>
      <c r="L4000" s="504">
        <v>0</v>
      </c>
      <c r="M4000" s="504">
        <v>0</v>
      </c>
      <c r="N4000" s="504">
        <v>0</v>
      </c>
      <c r="O4000" s="505">
        <v>15</v>
      </c>
    </row>
    <row r="4001" spans="1:15" x14ac:dyDescent="0.35">
      <c r="A4001" s="500" t="s">
        <v>1385</v>
      </c>
      <c r="B4001" s="501" t="s">
        <v>3249</v>
      </c>
      <c r="C4001" s="501" t="s">
        <v>1094</v>
      </c>
      <c r="D4001" s="501" t="s">
        <v>3380</v>
      </c>
      <c r="E4001" s="501" t="s">
        <v>3381</v>
      </c>
      <c r="F4001" s="501" t="s">
        <v>669</v>
      </c>
      <c r="G4001" s="501" t="s">
        <v>670</v>
      </c>
      <c r="H4001" s="501" t="s">
        <v>6574</v>
      </c>
      <c r="I4001" s="501">
        <v>932</v>
      </c>
      <c r="J4001" s="501">
        <v>669</v>
      </c>
      <c r="K4001" s="501">
        <v>0</v>
      </c>
      <c r="L4001" s="501">
        <v>23</v>
      </c>
      <c r="M4001" s="501">
        <v>155</v>
      </c>
      <c r="N4001" s="501">
        <v>1</v>
      </c>
      <c r="O4001" s="506">
        <v>85</v>
      </c>
    </row>
    <row r="4002" spans="1:15" x14ac:dyDescent="0.35">
      <c r="A4002" s="503" t="s">
        <v>1386</v>
      </c>
      <c r="B4002" s="504" t="s">
        <v>3331</v>
      </c>
      <c r="C4002" s="504" t="s">
        <v>1094</v>
      </c>
      <c r="D4002" s="504" t="s">
        <v>3380</v>
      </c>
      <c r="E4002" s="504" t="s">
        <v>3381</v>
      </c>
      <c r="F4002" s="504" t="s">
        <v>669</v>
      </c>
      <c r="G4002" s="504" t="s">
        <v>670</v>
      </c>
      <c r="H4002" s="504" t="s">
        <v>6575</v>
      </c>
      <c r="I4002" s="504">
        <v>617</v>
      </c>
      <c r="J4002" s="504">
        <v>568</v>
      </c>
      <c r="K4002" s="504">
        <v>0</v>
      </c>
      <c r="L4002" s="504">
        <v>0</v>
      </c>
      <c r="M4002" s="504">
        <v>0</v>
      </c>
      <c r="N4002" s="504">
        <v>0</v>
      </c>
      <c r="O4002" s="505">
        <v>49</v>
      </c>
    </row>
    <row r="4003" spans="1:15" x14ac:dyDescent="0.35">
      <c r="A4003" s="500" t="s">
        <v>1091</v>
      </c>
      <c r="B4003" s="501" t="s">
        <v>3288</v>
      </c>
      <c r="C4003" s="501" t="s">
        <v>1089</v>
      </c>
      <c r="D4003" s="501" t="s">
        <v>3392</v>
      </c>
      <c r="E4003" s="501" t="s">
        <v>3381</v>
      </c>
      <c r="F4003" s="501" t="s">
        <v>669</v>
      </c>
      <c r="G4003" s="501" t="s">
        <v>670</v>
      </c>
      <c r="H4003" s="501" t="s">
        <v>6576</v>
      </c>
      <c r="I4003" s="501">
        <v>14</v>
      </c>
      <c r="J4003" s="501">
        <v>0</v>
      </c>
      <c r="K4003" s="501">
        <v>0</v>
      </c>
      <c r="L4003" s="501">
        <v>14</v>
      </c>
      <c r="M4003" s="501">
        <v>0</v>
      </c>
      <c r="N4003" s="501">
        <v>0</v>
      </c>
      <c r="O4003" s="506">
        <v>0</v>
      </c>
    </row>
    <row r="4004" spans="1:15" x14ac:dyDescent="0.35">
      <c r="A4004" s="503" t="s">
        <v>1096</v>
      </c>
      <c r="B4004" s="504" t="s">
        <v>3326</v>
      </c>
      <c r="C4004" s="504" t="s">
        <v>1094</v>
      </c>
      <c r="D4004" s="504" t="s">
        <v>3380</v>
      </c>
      <c r="E4004" s="504" t="s">
        <v>3381</v>
      </c>
      <c r="F4004" s="504" t="s">
        <v>669</v>
      </c>
      <c r="G4004" s="504" t="s">
        <v>670</v>
      </c>
      <c r="H4004" s="504" t="s">
        <v>6577</v>
      </c>
      <c r="I4004" s="504">
        <v>147</v>
      </c>
      <c r="J4004" s="504">
        <v>0</v>
      </c>
      <c r="K4004" s="504">
        <v>0</v>
      </c>
      <c r="L4004" s="504">
        <v>0</v>
      </c>
      <c r="M4004" s="504">
        <v>134</v>
      </c>
      <c r="N4004" s="504">
        <v>0</v>
      </c>
      <c r="O4004" s="505">
        <v>13</v>
      </c>
    </row>
    <row r="4005" spans="1:15" x14ac:dyDescent="0.35">
      <c r="A4005" s="500" t="s">
        <v>11363</v>
      </c>
      <c r="B4005" s="501">
        <v>4718</v>
      </c>
      <c r="C4005" s="501" t="s">
        <v>1094</v>
      </c>
      <c r="D4005" s="501" t="s">
        <v>3380</v>
      </c>
      <c r="E4005" s="501" t="s">
        <v>3381</v>
      </c>
      <c r="F4005" s="501" t="s">
        <v>669</v>
      </c>
      <c r="G4005" s="501" t="s">
        <v>670</v>
      </c>
      <c r="H4005" s="501" t="s">
        <v>11554</v>
      </c>
      <c r="I4005" s="501">
        <v>11</v>
      </c>
      <c r="J4005" s="501">
        <v>0</v>
      </c>
      <c r="K4005" s="501">
        <v>0</v>
      </c>
      <c r="L4005" s="501">
        <v>11</v>
      </c>
      <c r="M4005" s="501">
        <v>0</v>
      </c>
      <c r="N4005" s="501">
        <v>0</v>
      </c>
      <c r="O4005" s="506">
        <v>0</v>
      </c>
    </row>
    <row r="4006" spans="1:15" x14ac:dyDescent="0.35">
      <c r="A4006" s="503" t="s">
        <v>1161</v>
      </c>
      <c r="B4006" s="504" t="s">
        <v>3001</v>
      </c>
      <c r="C4006" s="504" t="s">
        <v>1094</v>
      </c>
      <c r="D4006" s="504" t="s">
        <v>3380</v>
      </c>
      <c r="E4006" s="504" t="s">
        <v>3381</v>
      </c>
      <c r="F4006" s="504" t="s">
        <v>669</v>
      </c>
      <c r="G4006" s="504" t="s">
        <v>670</v>
      </c>
      <c r="H4006" s="504" t="s">
        <v>6578</v>
      </c>
      <c r="I4006" s="504">
        <v>1346</v>
      </c>
      <c r="J4006" s="504">
        <v>823</v>
      </c>
      <c r="K4006" s="504">
        <v>0</v>
      </c>
      <c r="L4006" s="504">
        <v>0</v>
      </c>
      <c r="M4006" s="504">
        <v>67</v>
      </c>
      <c r="N4006" s="504">
        <v>0</v>
      </c>
      <c r="O4006" s="505">
        <v>456</v>
      </c>
    </row>
    <row r="4007" spans="1:15" x14ac:dyDescent="0.35">
      <c r="A4007" s="500" t="s">
        <v>1410</v>
      </c>
      <c r="B4007" s="501" t="s">
        <v>2868</v>
      </c>
      <c r="C4007" s="501" t="s">
        <v>1094</v>
      </c>
      <c r="D4007" s="501" t="s">
        <v>3380</v>
      </c>
      <c r="E4007" s="501" t="s">
        <v>3381</v>
      </c>
      <c r="F4007" s="501" t="s">
        <v>669</v>
      </c>
      <c r="G4007" s="501" t="s">
        <v>670</v>
      </c>
      <c r="H4007" s="501" t="s">
        <v>6579</v>
      </c>
      <c r="I4007" s="501">
        <v>91</v>
      </c>
      <c r="J4007" s="501">
        <v>0</v>
      </c>
      <c r="K4007" s="501">
        <v>0</v>
      </c>
      <c r="L4007" s="501">
        <v>61</v>
      </c>
      <c r="M4007" s="501">
        <v>30</v>
      </c>
      <c r="N4007" s="501">
        <v>0</v>
      </c>
      <c r="O4007" s="506">
        <v>0</v>
      </c>
    </row>
    <row r="4008" spans="1:15" x14ac:dyDescent="0.35">
      <c r="A4008" s="503" t="s">
        <v>1287</v>
      </c>
      <c r="B4008" s="504" t="s">
        <v>2784</v>
      </c>
      <c r="C4008" s="504" t="s">
        <v>1089</v>
      </c>
      <c r="D4008" s="504" t="s">
        <v>3392</v>
      </c>
      <c r="E4008" s="504" t="s">
        <v>3381</v>
      </c>
      <c r="F4008" s="504" t="s">
        <v>669</v>
      </c>
      <c r="G4008" s="504" t="s">
        <v>670</v>
      </c>
      <c r="H4008" s="504" t="s">
        <v>6580</v>
      </c>
      <c r="I4008" s="504">
        <v>57</v>
      </c>
      <c r="J4008" s="504">
        <v>57</v>
      </c>
      <c r="K4008" s="504">
        <v>0</v>
      </c>
      <c r="L4008" s="504">
        <v>0</v>
      </c>
      <c r="M4008" s="504">
        <v>0</v>
      </c>
      <c r="N4008" s="504">
        <v>0</v>
      </c>
      <c r="O4008" s="505">
        <v>0</v>
      </c>
    </row>
    <row r="4009" spans="1:15" x14ac:dyDescent="0.35">
      <c r="A4009" s="500" t="s">
        <v>1420</v>
      </c>
      <c r="B4009" s="501">
        <v>4764</v>
      </c>
      <c r="C4009" s="501" t="s">
        <v>1089</v>
      </c>
      <c r="D4009" s="501" t="s">
        <v>3392</v>
      </c>
      <c r="E4009" s="501" t="s">
        <v>3381</v>
      </c>
      <c r="F4009" s="501" t="s">
        <v>669</v>
      </c>
      <c r="G4009" s="501" t="s">
        <v>670</v>
      </c>
      <c r="H4009" s="501" t="s">
        <v>11663</v>
      </c>
      <c r="I4009" s="501">
        <v>9</v>
      </c>
      <c r="J4009" s="501">
        <v>9</v>
      </c>
      <c r="K4009" s="501">
        <v>0</v>
      </c>
      <c r="L4009" s="501">
        <v>0</v>
      </c>
      <c r="M4009" s="501">
        <v>0</v>
      </c>
      <c r="N4009" s="501">
        <v>0</v>
      </c>
      <c r="O4009" s="506">
        <v>0</v>
      </c>
    </row>
    <row r="4010" spans="1:15" x14ac:dyDescent="0.35">
      <c r="A4010" s="503" t="s">
        <v>1425</v>
      </c>
      <c r="B4010" s="504" t="s">
        <v>2808</v>
      </c>
      <c r="C4010" s="504" t="s">
        <v>1089</v>
      </c>
      <c r="D4010" s="504" t="s">
        <v>3392</v>
      </c>
      <c r="E4010" s="504" t="s">
        <v>3381</v>
      </c>
      <c r="F4010" s="504" t="s">
        <v>669</v>
      </c>
      <c r="G4010" s="504" t="s">
        <v>670</v>
      </c>
      <c r="H4010" s="504" t="s">
        <v>6581</v>
      </c>
      <c r="I4010" s="504">
        <v>6</v>
      </c>
      <c r="J4010" s="504">
        <v>6</v>
      </c>
      <c r="K4010" s="504">
        <v>0</v>
      </c>
      <c r="L4010" s="504">
        <v>0</v>
      </c>
      <c r="M4010" s="504">
        <v>0</v>
      </c>
      <c r="N4010" s="504">
        <v>0</v>
      </c>
      <c r="O4010" s="505">
        <v>0</v>
      </c>
    </row>
    <row r="4011" spans="1:15" x14ac:dyDescent="0.35">
      <c r="A4011" s="500" t="s">
        <v>14208</v>
      </c>
      <c r="B4011" s="501">
        <v>4803</v>
      </c>
      <c r="C4011" s="501" t="s">
        <v>1094</v>
      </c>
      <c r="D4011" s="501" t="s">
        <v>3380</v>
      </c>
      <c r="E4011" s="501" t="s">
        <v>3381</v>
      </c>
      <c r="F4011" s="501" t="s">
        <v>669</v>
      </c>
      <c r="G4011" s="501" t="s">
        <v>670</v>
      </c>
      <c r="H4011" s="501" t="s">
        <v>14757</v>
      </c>
      <c r="I4011" s="501">
        <v>1</v>
      </c>
      <c r="J4011" s="501">
        <v>0</v>
      </c>
      <c r="K4011" s="501">
        <v>0</v>
      </c>
      <c r="L4011" s="501">
        <v>1</v>
      </c>
      <c r="M4011" s="501">
        <v>0</v>
      </c>
      <c r="N4011" s="501">
        <v>0</v>
      </c>
      <c r="O4011" s="506">
        <v>0</v>
      </c>
    </row>
    <row r="4012" spans="1:15" x14ac:dyDescent="0.35">
      <c r="A4012" s="503" t="s">
        <v>1185</v>
      </c>
      <c r="B4012" s="504" t="s">
        <v>3253</v>
      </c>
      <c r="C4012" s="504" t="s">
        <v>1094</v>
      </c>
      <c r="D4012" s="504" t="s">
        <v>3380</v>
      </c>
      <c r="E4012" s="504" t="s">
        <v>3381</v>
      </c>
      <c r="F4012" s="504" t="s">
        <v>669</v>
      </c>
      <c r="G4012" s="504" t="s">
        <v>670</v>
      </c>
      <c r="H4012" s="504" t="s">
        <v>6582</v>
      </c>
      <c r="I4012" s="504">
        <v>56</v>
      </c>
      <c r="J4012" s="504">
        <v>1</v>
      </c>
      <c r="K4012" s="504">
        <v>0</v>
      </c>
      <c r="L4012" s="504">
        <v>42</v>
      </c>
      <c r="M4012" s="504">
        <v>13</v>
      </c>
      <c r="N4012" s="504">
        <v>0</v>
      </c>
      <c r="O4012" s="505">
        <v>0</v>
      </c>
    </row>
    <row r="4013" spans="1:15" x14ac:dyDescent="0.35">
      <c r="A4013" s="500" t="s">
        <v>1452</v>
      </c>
      <c r="B4013" s="501" t="s">
        <v>2646</v>
      </c>
      <c r="C4013" s="501" t="s">
        <v>1089</v>
      </c>
      <c r="D4013" s="501" t="s">
        <v>3392</v>
      </c>
      <c r="E4013" s="501" t="s">
        <v>3381</v>
      </c>
      <c r="F4013" s="501" t="s">
        <v>669</v>
      </c>
      <c r="G4013" s="501" t="s">
        <v>670</v>
      </c>
      <c r="H4013" s="501" t="s">
        <v>6583</v>
      </c>
      <c r="I4013" s="501">
        <v>16</v>
      </c>
      <c r="J4013" s="501">
        <v>16</v>
      </c>
      <c r="K4013" s="501">
        <v>0</v>
      </c>
      <c r="L4013" s="501">
        <v>0</v>
      </c>
      <c r="M4013" s="501">
        <v>0</v>
      </c>
      <c r="N4013" s="501">
        <v>0</v>
      </c>
      <c r="O4013" s="506">
        <v>0</v>
      </c>
    </row>
    <row r="4014" spans="1:15" x14ac:dyDescent="0.35">
      <c r="A4014" s="503" t="s">
        <v>1454</v>
      </c>
      <c r="B4014" s="504" t="s">
        <v>3019</v>
      </c>
      <c r="C4014" s="504" t="s">
        <v>1089</v>
      </c>
      <c r="D4014" s="504" t="s">
        <v>3392</v>
      </c>
      <c r="E4014" s="504" t="s">
        <v>3381</v>
      </c>
      <c r="F4014" s="504" t="s">
        <v>669</v>
      </c>
      <c r="G4014" s="504" t="s">
        <v>670</v>
      </c>
      <c r="H4014" s="504" t="s">
        <v>6584</v>
      </c>
      <c r="I4014" s="504">
        <v>59</v>
      </c>
      <c r="J4014" s="504">
        <v>34</v>
      </c>
      <c r="K4014" s="504">
        <v>0</v>
      </c>
      <c r="L4014" s="504">
        <v>0</v>
      </c>
      <c r="M4014" s="504">
        <v>25</v>
      </c>
      <c r="N4014" s="504">
        <v>27</v>
      </c>
      <c r="O4014" s="505">
        <v>0</v>
      </c>
    </row>
    <row r="4015" spans="1:15" x14ac:dyDescent="0.35">
      <c r="A4015" s="500" t="s">
        <v>1187</v>
      </c>
      <c r="B4015" s="501" t="s">
        <v>2951</v>
      </c>
      <c r="C4015" s="501" t="s">
        <v>1094</v>
      </c>
      <c r="D4015" s="501" t="s">
        <v>3380</v>
      </c>
      <c r="E4015" s="501" t="s">
        <v>3381</v>
      </c>
      <c r="F4015" s="501" t="s">
        <v>669</v>
      </c>
      <c r="G4015" s="501" t="s">
        <v>670</v>
      </c>
      <c r="H4015" s="501" t="s">
        <v>6585</v>
      </c>
      <c r="I4015" s="501">
        <v>4</v>
      </c>
      <c r="J4015" s="501">
        <v>3</v>
      </c>
      <c r="K4015" s="501">
        <v>0</v>
      </c>
      <c r="L4015" s="501">
        <v>0</v>
      </c>
      <c r="M4015" s="501">
        <v>0</v>
      </c>
      <c r="N4015" s="501">
        <v>0</v>
      </c>
      <c r="O4015" s="506">
        <v>1</v>
      </c>
    </row>
    <row r="4016" spans="1:15" x14ac:dyDescent="0.35">
      <c r="A4016" s="503" t="s">
        <v>1105</v>
      </c>
      <c r="B4016" s="504">
        <v>4668</v>
      </c>
      <c r="C4016" s="504" t="s">
        <v>1094</v>
      </c>
      <c r="D4016" s="504" t="s">
        <v>3380</v>
      </c>
      <c r="E4016" s="504" t="s">
        <v>3381</v>
      </c>
      <c r="F4016" s="504" t="s">
        <v>669</v>
      </c>
      <c r="G4016" s="504" t="s">
        <v>670</v>
      </c>
      <c r="H4016" s="504" t="s">
        <v>6586</v>
      </c>
      <c r="I4016" s="504">
        <v>1</v>
      </c>
      <c r="J4016" s="504">
        <v>0</v>
      </c>
      <c r="K4016" s="504">
        <v>0</v>
      </c>
      <c r="L4016" s="504">
        <v>0</v>
      </c>
      <c r="M4016" s="504">
        <v>0</v>
      </c>
      <c r="N4016" s="504">
        <v>0</v>
      </c>
      <c r="O4016" s="505">
        <v>1</v>
      </c>
    </row>
    <row r="4017" spans="1:15" x14ac:dyDescent="0.35">
      <c r="A4017" s="500" t="s">
        <v>1107</v>
      </c>
      <c r="B4017" s="501" t="s">
        <v>3109</v>
      </c>
      <c r="C4017" s="501" t="s">
        <v>1094</v>
      </c>
      <c r="D4017" s="501" t="s">
        <v>3380</v>
      </c>
      <c r="E4017" s="501" t="s">
        <v>3381</v>
      </c>
      <c r="F4017" s="501" t="s">
        <v>669</v>
      </c>
      <c r="G4017" s="501" t="s">
        <v>670</v>
      </c>
      <c r="H4017" s="501" t="s">
        <v>6587</v>
      </c>
      <c r="I4017" s="501">
        <v>410</v>
      </c>
      <c r="J4017" s="501">
        <v>248</v>
      </c>
      <c r="K4017" s="501">
        <v>0</v>
      </c>
      <c r="L4017" s="501">
        <v>90</v>
      </c>
      <c r="M4017" s="501">
        <v>0</v>
      </c>
      <c r="N4017" s="501">
        <v>0</v>
      </c>
      <c r="O4017" s="506">
        <v>72</v>
      </c>
    </row>
    <row r="4018" spans="1:15" x14ac:dyDescent="0.35">
      <c r="A4018" s="503" t="s">
        <v>1190</v>
      </c>
      <c r="B4018" s="504">
        <v>4662</v>
      </c>
      <c r="C4018" s="504" t="s">
        <v>1094</v>
      </c>
      <c r="D4018" s="504" t="s">
        <v>3380</v>
      </c>
      <c r="E4018" s="504" t="s">
        <v>3381</v>
      </c>
      <c r="F4018" s="504" t="s">
        <v>669</v>
      </c>
      <c r="G4018" s="504" t="s">
        <v>670</v>
      </c>
      <c r="H4018" s="504" t="s">
        <v>6588</v>
      </c>
      <c r="I4018" s="504">
        <v>4</v>
      </c>
      <c r="J4018" s="504">
        <v>0</v>
      </c>
      <c r="K4018" s="504">
        <v>0</v>
      </c>
      <c r="L4018" s="504">
        <v>4</v>
      </c>
      <c r="M4018" s="504">
        <v>0</v>
      </c>
      <c r="N4018" s="504">
        <v>0</v>
      </c>
      <c r="O4018" s="505">
        <v>0</v>
      </c>
    </row>
    <row r="4019" spans="1:15" x14ac:dyDescent="0.35">
      <c r="A4019" s="500" t="s">
        <v>1307</v>
      </c>
      <c r="B4019" s="501" t="s">
        <v>3306</v>
      </c>
      <c r="C4019" s="501" t="s">
        <v>1089</v>
      </c>
      <c r="D4019" s="501" t="s">
        <v>3392</v>
      </c>
      <c r="E4019" s="501" t="s">
        <v>3381</v>
      </c>
      <c r="F4019" s="501" t="s">
        <v>669</v>
      </c>
      <c r="G4019" s="501" t="s">
        <v>670</v>
      </c>
      <c r="H4019" s="501" t="s">
        <v>6589</v>
      </c>
      <c r="I4019" s="501">
        <v>1</v>
      </c>
      <c r="J4019" s="501">
        <v>1</v>
      </c>
      <c r="K4019" s="501">
        <v>0</v>
      </c>
      <c r="L4019" s="501">
        <v>0</v>
      </c>
      <c r="M4019" s="501">
        <v>0</v>
      </c>
      <c r="N4019" s="501">
        <v>0</v>
      </c>
      <c r="O4019" s="506">
        <v>0</v>
      </c>
    </row>
    <row r="4020" spans="1:15" x14ac:dyDescent="0.35">
      <c r="A4020" s="503" t="s">
        <v>1474</v>
      </c>
      <c r="B4020" s="504" t="s">
        <v>3300</v>
      </c>
      <c r="C4020" s="504" t="s">
        <v>1094</v>
      </c>
      <c r="D4020" s="504" t="s">
        <v>3380</v>
      </c>
      <c r="E4020" s="504" t="s">
        <v>3381</v>
      </c>
      <c r="F4020" s="504" t="s">
        <v>669</v>
      </c>
      <c r="G4020" s="504" t="s">
        <v>670</v>
      </c>
      <c r="H4020" s="504" t="s">
        <v>6590</v>
      </c>
      <c r="I4020" s="504">
        <v>381</v>
      </c>
      <c r="J4020" s="504">
        <v>356</v>
      </c>
      <c r="K4020" s="504">
        <v>0</v>
      </c>
      <c r="L4020" s="504">
        <v>0</v>
      </c>
      <c r="M4020" s="504">
        <v>0</v>
      </c>
      <c r="N4020" s="504">
        <v>0</v>
      </c>
      <c r="O4020" s="505">
        <v>25</v>
      </c>
    </row>
    <row r="4021" spans="1:15" x14ac:dyDescent="0.35">
      <c r="A4021" s="500" t="s">
        <v>1202</v>
      </c>
      <c r="B4021" s="501" t="s">
        <v>3217</v>
      </c>
      <c r="C4021" s="501" t="s">
        <v>1094</v>
      </c>
      <c r="D4021" s="501" t="s">
        <v>3380</v>
      </c>
      <c r="E4021" s="501" t="s">
        <v>3381</v>
      </c>
      <c r="F4021" s="501" t="s">
        <v>669</v>
      </c>
      <c r="G4021" s="501" t="s">
        <v>670</v>
      </c>
      <c r="H4021" s="501" t="s">
        <v>6591</v>
      </c>
      <c r="I4021" s="501">
        <v>304</v>
      </c>
      <c r="J4021" s="501">
        <v>208</v>
      </c>
      <c r="K4021" s="501">
        <v>0</v>
      </c>
      <c r="L4021" s="501">
        <v>0</v>
      </c>
      <c r="M4021" s="501">
        <v>0</v>
      </c>
      <c r="N4021" s="501">
        <v>0</v>
      </c>
      <c r="O4021" s="506">
        <v>96</v>
      </c>
    </row>
    <row r="4022" spans="1:15" x14ac:dyDescent="0.35">
      <c r="A4022" s="503" t="s">
        <v>1494</v>
      </c>
      <c r="B4022" s="504" t="s">
        <v>3235</v>
      </c>
      <c r="C4022" s="504" t="s">
        <v>1094</v>
      </c>
      <c r="D4022" s="504" t="s">
        <v>3380</v>
      </c>
      <c r="E4022" s="504" t="s">
        <v>3381</v>
      </c>
      <c r="F4022" s="504" t="s">
        <v>669</v>
      </c>
      <c r="G4022" s="504" t="s">
        <v>670</v>
      </c>
      <c r="H4022" s="504" t="s">
        <v>6592</v>
      </c>
      <c r="I4022" s="504">
        <v>9</v>
      </c>
      <c r="J4022" s="504">
        <v>0</v>
      </c>
      <c r="K4022" s="504">
        <v>0</v>
      </c>
      <c r="L4022" s="504">
        <v>9</v>
      </c>
      <c r="M4022" s="504">
        <v>0</v>
      </c>
      <c r="N4022" s="504">
        <v>0</v>
      </c>
      <c r="O4022" s="505">
        <v>0</v>
      </c>
    </row>
    <row r="4023" spans="1:15" x14ac:dyDescent="0.35">
      <c r="A4023" s="500" t="s">
        <v>1112</v>
      </c>
      <c r="B4023" s="501" t="s">
        <v>3008</v>
      </c>
      <c r="C4023" s="501" t="s">
        <v>1094</v>
      </c>
      <c r="D4023" s="501" t="s">
        <v>3380</v>
      </c>
      <c r="E4023" s="501" t="s">
        <v>3381</v>
      </c>
      <c r="F4023" s="501" t="s">
        <v>669</v>
      </c>
      <c r="G4023" s="501" t="s">
        <v>670</v>
      </c>
      <c r="H4023" s="501" t="s">
        <v>6593</v>
      </c>
      <c r="I4023" s="501">
        <v>534</v>
      </c>
      <c r="J4023" s="501">
        <v>478</v>
      </c>
      <c r="K4023" s="501">
        <v>0</v>
      </c>
      <c r="L4023" s="501">
        <v>0</v>
      </c>
      <c r="M4023" s="501">
        <v>0</v>
      </c>
      <c r="N4023" s="501">
        <v>0</v>
      </c>
      <c r="O4023" s="506">
        <v>56</v>
      </c>
    </row>
    <row r="4024" spans="1:15" x14ac:dyDescent="0.35">
      <c r="A4024" s="503" t="s">
        <v>1315</v>
      </c>
      <c r="B4024" s="504">
        <v>4825</v>
      </c>
      <c r="C4024" s="504" t="s">
        <v>1094</v>
      </c>
      <c r="D4024" s="504" t="s">
        <v>3380</v>
      </c>
      <c r="E4024" s="504" t="s">
        <v>3381</v>
      </c>
      <c r="F4024" s="504" t="s">
        <v>669</v>
      </c>
      <c r="G4024" s="504" t="s">
        <v>670</v>
      </c>
      <c r="H4024" s="504" t="s">
        <v>6594</v>
      </c>
      <c r="I4024" s="504">
        <v>37</v>
      </c>
      <c r="J4024" s="504">
        <v>22</v>
      </c>
      <c r="K4024" s="504">
        <v>0</v>
      </c>
      <c r="L4024" s="504">
        <v>0</v>
      </c>
      <c r="M4024" s="504">
        <v>0</v>
      </c>
      <c r="N4024" s="504">
        <v>0</v>
      </c>
      <c r="O4024" s="505">
        <v>15</v>
      </c>
    </row>
    <row r="4025" spans="1:15" x14ac:dyDescent="0.35">
      <c r="A4025" s="500" t="s">
        <v>1319</v>
      </c>
      <c r="B4025" s="501">
        <v>4880</v>
      </c>
      <c r="C4025" s="501" t="s">
        <v>1094</v>
      </c>
      <c r="D4025" s="501" t="s">
        <v>3380</v>
      </c>
      <c r="E4025" s="501" t="s">
        <v>3381</v>
      </c>
      <c r="F4025" s="501" t="s">
        <v>669</v>
      </c>
      <c r="G4025" s="501" t="s">
        <v>670</v>
      </c>
      <c r="H4025" s="501" t="s">
        <v>6595</v>
      </c>
      <c r="I4025" s="501">
        <v>783</v>
      </c>
      <c r="J4025" s="501">
        <v>716</v>
      </c>
      <c r="K4025" s="501">
        <v>0</v>
      </c>
      <c r="L4025" s="501">
        <v>37</v>
      </c>
      <c r="M4025" s="501">
        <v>0</v>
      </c>
      <c r="N4025" s="501">
        <v>0</v>
      </c>
      <c r="O4025" s="506">
        <v>30</v>
      </c>
    </row>
    <row r="4026" spans="1:15" x14ac:dyDescent="0.35">
      <c r="A4026" s="503" t="s">
        <v>1120</v>
      </c>
      <c r="B4026" s="504" t="s">
        <v>3362</v>
      </c>
      <c r="C4026" s="504" t="s">
        <v>1094</v>
      </c>
      <c r="D4026" s="504" t="s">
        <v>3380</v>
      </c>
      <c r="E4026" s="504" t="s">
        <v>3381</v>
      </c>
      <c r="F4026" s="504" t="s">
        <v>669</v>
      </c>
      <c r="G4026" s="504" t="s">
        <v>670</v>
      </c>
      <c r="H4026" s="504" t="s">
        <v>6596</v>
      </c>
      <c r="I4026" s="504">
        <v>146</v>
      </c>
      <c r="J4026" s="504">
        <v>0</v>
      </c>
      <c r="K4026" s="504">
        <v>0</v>
      </c>
      <c r="L4026" s="504">
        <v>0</v>
      </c>
      <c r="M4026" s="504">
        <v>0</v>
      </c>
      <c r="N4026" s="504">
        <v>0</v>
      </c>
      <c r="O4026" s="505">
        <v>146</v>
      </c>
    </row>
    <row r="4027" spans="1:15" x14ac:dyDescent="0.35">
      <c r="A4027" s="500" t="s">
        <v>1320</v>
      </c>
      <c r="B4027" s="501">
        <v>4720</v>
      </c>
      <c r="C4027" s="501" t="s">
        <v>1089</v>
      </c>
      <c r="D4027" s="501" t="s">
        <v>3392</v>
      </c>
      <c r="E4027" s="501" t="s">
        <v>3381</v>
      </c>
      <c r="F4027" s="501" t="s">
        <v>669</v>
      </c>
      <c r="G4027" s="501" t="s">
        <v>670</v>
      </c>
      <c r="H4027" s="501" t="s">
        <v>14758</v>
      </c>
      <c r="I4027" s="501">
        <v>30</v>
      </c>
      <c r="J4027" s="501">
        <v>30</v>
      </c>
      <c r="K4027" s="501">
        <v>0</v>
      </c>
      <c r="L4027" s="501">
        <v>0</v>
      </c>
      <c r="M4027" s="501">
        <v>0</v>
      </c>
      <c r="N4027" s="501">
        <v>0</v>
      </c>
      <c r="O4027" s="506">
        <v>0</v>
      </c>
    </row>
    <row r="4028" spans="1:15" x14ac:dyDescent="0.35">
      <c r="A4028" s="503" t="s">
        <v>1217</v>
      </c>
      <c r="B4028" s="504">
        <v>4851</v>
      </c>
      <c r="C4028" s="504" t="s">
        <v>1094</v>
      </c>
      <c r="D4028" s="504" t="s">
        <v>3380</v>
      </c>
      <c r="E4028" s="504" t="s">
        <v>3381</v>
      </c>
      <c r="F4028" s="504" t="s">
        <v>669</v>
      </c>
      <c r="G4028" s="504" t="s">
        <v>670</v>
      </c>
      <c r="H4028" s="504" t="s">
        <v>6597</v>
      </c>
      <c r="I4028" s="504">
        <v>13</v>
      </c>
      <c r="J4028" s="504">
        <v>13</v>
      </c>
      <c r="K4028" s="504">
        <v>0</v>
      </c>
      <c r="L4028" s="504">
        <v>0</v>
      </c>
      <c r="M4028" s="504">
        <v>0</v>
      </c>
      <c r="N4028" s="504">
        <v>0</v>
      </c>
      <c r="O4028" s="505">
        <v>0</v>
      </c>
    </row>
    <row r="4029" spans="1:15" x14ac:dyDescent="0.35">
      <c r="A4029" s="500" t="s">
        <v>14267</v>
      </c>
      <c r="B4029" s="501">
        <v>4699</v>
      </c>
      <c r="C4029" s="501" t="s">
        <v>1089</v>
      </c>
      <c r="D4029" s="501" t="s">
        <v>3392</v>
      </c>
      <c r="E4029" s="501" t="s">
        <v>3381</v>
      </c>
      <c r="F4029" s="501" t="s">
        <v>669</v>
      </c>
      <c r="G4029" s="501" t="s">
        <v>670</v>
      </c>
      <c r="H4029" s="501" t="s">
        <v>14759</v>
      </c>
      <c r="I4029" s="501">
        <v>75</v>
      </c>
      <c r="J4029" s="501">
        <v>75</v>
      </c>
      <c r="K4029" s="501">
        <v>0</v>
      </c>
      <c r="L4029" s="501">
        <v>0</v>
      </c>
      <c r="M4029" s="501">
        <v>0</v>
      </c>
      <c r="N4029" s="501">
        <v>0</v>
      </c>
      <c r="O4029" s="506">
        <v>0</v>
      </c>
    </row>
    <row r="4030" spans="1:15" x14ac:dyDescent="0.35">
      <c r="A4030" s="503" t="s">
        <v>1327</v>
      </c>
      <c r="B4030" s="504" t="s">
        <v>3330</v>
      </c>
      <c r="C4030" s="504" t="s">
        <v>1094</v>
      </c>
      <c r="D4030" s="504" t="s">
        <v>3380</v>
      </c>
      <c r="E4030" s="504" t="s">
        <v>3381</v>
      </c>
      <c r="F4030" s="504" t="s">
        <v>669</v>
      </c>
      <c r="G4030" s="504" t="s">
        <v>670</v>
      </c>
      <c r="H4030" s="504" t="s">
        <v>6598</v>
      </c>
      <c r="I4030" s="504">
        <v>450</v>
      </c>
      <c r="J4030" s="504">
        <v>435</v>
      </c>
      <c r="K4030" s="504">
        <v>0</v>
      </c>
      <c r="L4030" s="504">
        <v>0</v>
      </c>
      <c r="M4030" s="504">
        <v>0</v>
      </c>
      <c r="N4030" s="504">
        <v>0</v>
      </c>
      <c r="O4030" s="505">
        <v>15</v>
      </c>
    </row>
    <row r="4031" spans="1:15" x14ac:dyDescent="0.35">
      <c r="A4031" s="500" t="s">
        <v>1220</v>
      </c>
      <c r="B4031" s="501">
        <v>4849</v>
      </c>
      <c r="C4031" s="501" t="s">
        <v>1094</v>
      </c>
      <c r="D4031" s="501" t="s">
        <v>3380</v>
      </c>
      <c r="E4031" s="501" t="s">
        <v>3381</v>
      </c>
      <c r="F4031" s="501" t="s">
        <v>669</v>
      </c>
      <c r="G4031" s="501" t="s">
        <v>670</v>
      </c>
      <c r="H4031" s="501" t="s">
        <v>6599</v>
      </c>
      <c r="I4031" s="501">
        <v>40</v>
      </c>
      <c r="J4031" s="501">
        <v>37</v>
      </c>
      <c r="K4031" s="501">
        <v>0</v>
      </c>
      <c r="L4031" s="501">
        <v>0</v>
      </c>
      <c r="M4031" s="501">
        <v>0</v>
      </c>
      <c r="N4031" s="501">
        <v>0</v>
      </c>
      <c r="O4031" s="506">
        <v>3</v>
      </c>
    </row>
    <row r="4032" spans="1:15" x14ac:dyDescent="0.35">
      <c r="A4032" s="503" t="s">
        <v>1332</v>
      </c>
      <c r="B4032" s="504">
        <v>4878</v>
      </c>
      <c r="C4032" s="504" t="s">
        <v>1094</v>
      </c>
      <c r="D4032" s="504" t="s">
        <v>3380</v>
      </c>
      <c r="E4032" s="504" t="s">
        <v>3381</v>
      </c>
      <c r="F4032" s="504" t="s">
        <v>669</v>
      </c>
      <c r="G4032" s="504" t="s">
        <v>670</v>
      </c>
      <c r="H4032" s="504" t="s">
        <v>6600</v>
      </c>
      <c r="I4032" s="504">
        <v>585</v>
      </c>
      <c r="J4032" s="504">
        <v>566</v>
      </c>
      <c r="K4032" s="504">
        <v>0</v>
      </c>
      <c r="L4032" s="504">
        <v>0</v>
      </c>
      <c r="M4032" s="504">
        <v>0</v>
      </c>
      <c r="N4032" s="504">
        <v>0</v>
      </c>
      <c r="O4032" s="505">
        <v>19</v>
      </c>
    </row>
    <row r="4033" spans="1:15" x14ac:dyDescent="0.35">
      <c r="A4033" s="500" t="s">
        <v>1122</v>
      </c>
      <c r="B4033" s="501" t="s">
        <v>2994</v>
      </c>
      <c r="C4033" s="501" t="s">
        <v>1094</v>
      </c>
      <c r="D4033" s="501" t="s">
        <v>3380</v>
      </c>
      <c r="E4033" s="501" t="s">
        <v>3381</v>
      </c>
      <c r="F4033" s="501" t="s">
        <v>669</v>
      </c>
      <c r="G4033" s="501" t="s">
        <v>670</v>
      </c>
      <c r="H4033" s="501" t="s">
        <v>6601</v>
      </c>
      <c r="I4033" s="501">
        <v>129</v>
      </c>
      <c r="J4033" s="501">
        <v>123</v>
      </c>
      <c r="K4033" s="501">
        <v>0</v>
      </c>
      <c r="L4033" s="501">
        <v>0</v>
      </c>
      <c r="M4033" s="501">
        <v>0</v>
      </c>
      <c r="N4033" s="501">
        <v>0</v>
      </c>
      <c r="O4033" s="506">
        <v>6</v>
      </c>
    </row>
    <row r="4034" spans="1:15" x14ac:dyDescent="0.35">
      <c r="A4034" s="503" t="s">
        <v>1539</v>
      </c>
      <c r="B4034" s="504" t="s">
        <v>3171</v>
      </c>
      <c r="C4034" s="504" t="s">
        <v>1094</v>
      </c>
      <c r="D4034" s="504" t="s">
        <v>3380</v>
      </c>
      <c r="E4034" s="504" t="s">
        <v>3381</v>
      </c>
      <c r="F4034" s="504" t="s">
        <v>669</v>
      </c>
      <c r="G4034" s="504" t="s">
        <v>670</v>
      </c>
      <c r="H4034" s="504" t="s">
        <v>6602</v>
      </c>
      <c r="I4034" s="504">
        <v>64</v>
      </c>
      <c r="J4034" s="504">
        <v>40</v>
      </c>
      <c r="K4034" s="504">
        <v>0</v>
      </c>
      <c r="L4034" s="504">
        <v>0</v>
      </c>
      <c r="M4034" s="504">
        <v>0</v>
      </c>
      <c r="N4034" s="504">
        <v>0</v>
      </c>
      <c r="O4034" s="505">
        <v>24</v>
      </c>
    </row>
    <row r="4035" spans="1:15" x14ac:dyDescent="0.35">
      <c r="A4035" s="500" t="s">
        <v>1233</v>
      </c>
      <c r="B4035" s="501">
        <v>4636</v>
      </c>
      <c r="C4035" s="501" t="s">
        <v>1094</v>
      </c>
      <c r="D4035" s="501" t="s">
        <v>3380</v>
      </c>
      <c r="E4035" s="501" t="s">
        <v>3381</v>
      </c>
      <c r="F4035" s="501" t="s">
        <v>669</v>
      </c>
      <c r="G4035" s="501" t="s">
        <v>670</v>
      </c>
      <c r="H4035" s="501" t="s">
        <v>6603</v>
      </c>
      <c r="I4035" s="501">
        <v>42</v>
      </c>
      <c r="J4035" s="501">
        <v>0</v>
      </c>
      <c r="K4035" s="501">
        <v>0</v>
      </c>
      <c r="L4035" s="501">
        <v>0</v>
      </c>
      <c r="M4035" s="501">
        <v>0</v>
      </c>
      <c r="N4035" s="501">
        <v>0</v>
      </c>
      <c r="O4035" s="506">
        <v>42</v>
      </c>
    </row>
    <row r="4036" spans="1:15" x14ac:dyDescent="0.35">
      <c r="A4036" s="503" t="s">
        <v>11368</v>
      </c>
      <c r="B4036" s="504">
        <v>5083</v>
      </c>
      <c r="C4036" s="504" t="s">
        <v>1094</v>
      </c>
      <c r="D4036" s="504" t="s">
        <v>3380</v>
      </c>
      <c r="E4036" s="504" t="s">
        <v>3381</v>
      </c>
      <c r="F4036" s="504" t="s">
        <v>669</v>
      </c>
      <c r="G4036" s="504" t="s">
        <v>670</v>
      </c>
      <c r="H4036" s="504" t="s">
        <v>12057</v>
      </c>
      <c r="I4036" s="504">
        <v>20</v>
      </c>
      <c r="J4036" s="504">
        <v>20</v>
      </c>
      <c r="K4036" s="504">
        <v>0</v>
      </c>
      <c r="L4036" s="504">
        <v>0</v>
      </c>
      <c r="M4036" s="504">
        <v>0</v>
      </c>
      <c r="N4036" s="504">
        <v>0</v>
      </c>
      <c r="O4036" s="505">
        <v>0</v>
      </c>
    </row>
    <row r="4037" spans="1:15" x14ac:dyDescent="0.35">
      <c r="A4037" s="500" t="s">
        <v>1126</v>
      </c>
      <c r="B4037" s="501" t="s">
        <v>2974</v>
      </c>
      <c r="C4037" s="501" t="s">
        <v>1094</v>
      </c>
      <c r="D4037" s="501" t="s">
        <v>3380</v>
      </c>
      <c r="E4037" s="501" t="s">
        <v>3381</v>
      </c>
      <c r="F4037" s="501" t="s">
        <v>669</v>
      </c>
      <c r="G4037" s="501" t="s">
        <v>670</v>
      </c>
      <c r="H4037" s="501" t="s">
        <v>6604</v>
      </c>
      <c r="I4037" s="501">
        <v>117</v>
      </c>
      <c r="J4037" s="501">
        <v>91</v>
      </c>
      <c r="K4037" s="501">
        <v>0</v>
      </c>
      <c r="L4037" s="501">
        <v>19</v>
      </c>
      <c r="M4037" s="501">
        <v>0</v>
      </c>
      <c r="N4037" s="501">
        <v>0</v>
      </c>
      <c r="O4037" s="506">
        <v>7</v>
      </c>
    </row>
    <row r="4038" spans="1:15" x14ac:dyDescent="0.35">
      <c r="A4038" s="503" t="s">
        <v>1342</v>
      </c>
      <c r="B4038" s="504" t="s">
        <v>3237</v>
      </c>
      <c r="C4038" s="504" t="s">
        <v>1094</v>
      </c>
      <c r="D4038" s="504" t="s">
        <v>3380</v>
      </c>
      <c r="E4038" s="504" t="s">
        <v>3381</v>
      </c>
      <c r="F4038" s="504" t="s">
        <v>669</v>
      </c>
      <c r="G4038" s="504" t="s">
        <v>670</v>
      </c>
      <c r="H4038" s="504" t="s">
        <v>6605</v>
      </c>
      <c r="I4038" s="504">
        <v>365</v>
      </c>
      <c r="J4038" s="504">
        <v>229</v>
      </c>
      <c r="K4038" s="504">
        <v>0</v>
      </c>
      <c r="L4038" s="504">
        <v>39</v>
      </c>
      <c r="M4038" s="504">
        <v>0</v>
      </c>
      <c r="N4038" s="504">
        <v>11</v>
      </c>
      <c r="O4038" s="505">
        <v>97</v>
      </c>
    </row>
    <row r="4039" spans="1:15" x14ac:dyDescent="0.35">
      <c r="A4039" s="500" t="s">
        <v>1558</v>
      </c>
      <c r="B4039" s="501">
        <v>4843</v>
      </c>
      <c r="C4039" s="501" t="s">
        <v>1089</v>
      </c>
      <c r="D4039" s="501" t="s">
        <v>3392</v>
      </c>
      <c r="E4039" s="501" t="s">
        <v>3381</v>
      </c>
      <c r="F4039" s="501" t="s">
        <v>669</v>
      </c>
      <c r="G4039" s="501" t="s">
        <v>670</v>
      </c>
      <c r="H4039" s="501" t="s">
        <v>14760</v>
      </c>
      <c r="I4039" s="501">
        <v>6</v>
      </c>
      <c r="J4039" s="501">
        <v>6</v>
      </c>
      <c r="K4039" s="501">
        <v>0</v>
      </c>
      <c r="L4039" s="501">
        <v>0</v>
      </c>
      <c r="M4039" s="501">
        <v>0</v>
      </c>
      <c r="N4039" s="501">
        <v>0</v>
      </c>
      <c r="O4039" s="506">
        <v>0</v>
      </c>
    </row>
    <row r="4040" spans="1:15" x14ac:dyDescent="0.35">
      <c r="A4040" s="503" t="s">
        <v>1565</v>
      </c>
      <c r="B4040" s="504" t="s">
        <v>2848</v>
      </c>
      <c r="C4040" s="504" t="s">
        <v>1089</v>
      </c>
      <c r="D4040" s="504" t="s">
        <v>3392</v>
      </c>
      <c r="E4040" s="504" t="s">
        <v>3381</v>
      </c>
      <c r="F4040" s="504" t="s">
        <v>669</v>
      </c>
      <c r="G4040" s="504" t="s">
        <v>670</v>
      </c>
      <c r="H4040" s="504" t="s">
        <v>6606</v>
      </c>
      <c r="I4040" s="504">
        <v>30</v>
      </c>
      <c r="J4040" s="504">
        <v>0</v>
      </c>
      <c r="K4040" s="504">
        <v>0</v>
      </c>
      <c r="L4040" s="504">
        <v>0</v>
      </c>
      <c r="M4040" s="504">
        <v>30</v>
      </c>
      <c r="N4040" s="504">
        <v>0</v>
      </c>
      <c r="O4040" s="505">
        <v>0</v>
      </c>
    </row>
    <row r="4041" spans="1:15" x14ac:dyDescent="0.35">
      <c r="A4041" s="500" t="s">
        <v>1249</v>
      </c>
      <c r="B4041" s="501">
        <v>4729</v>
      </c>
      <c r="C4041" s="501" t="s">
        <v>1094</v>
      </c>
      <c r="D4041" s="501" t="s">
        <v>3380</v>
      </c>
      <c r="E4041" s="501" t="s">
        <v>3381</v>
      </c>
      <c r="F4041" s="501" t="s">
        <v>669</v>
      </c>
      <c r="G4041" s="501" t="s">
        <v>670</v>
      </c>
      <c r="H4041" s="501" t="s">
        <v>6607</v>
      </c>
      <c r="I4041" s="501">
        <v>1116</v>
      </c>
      <c r="J4041" s="501">
        <v>866</v>
      </c>
      <c r="K4041" s="501">
        <v>0</v>
      </c>
      <c r="L4041" s="501">
        <v>61</v>
      </c>
      <c r="M4041" s="501">
        <v>93</v>
      </c>
      <c r="N4041" s="501">
        <v>2</v>
      </c>
      <c r="O4041" s="506">
        <v>96</v>
      </c>
    </row>
    <row r="4042" spans="1:15" x14ac:dyDescent="0.35">
      <c r="A4042" s="503" t="s">
        <v>1253</v>
      </c>
      <c r="B4042" s="504" t="s">
        <v>3232</v>
      </c>
      <c r="C4042" s="504" t="s">
        <v>1094</v>
      </c>
      <c r="D4042" s="504" t="s">
        <v>3380</v>
      </c>
      <c r="E4042" s="504" t="s">
        <v>3381</v>
      </c>
      <c r="F4042" s="504" t="s">
        <v>669</v>
      </c>
      <c r="G4042" s="504" t="s">
        <v>670</v>
      </c>
      <c r="H4042" s="504" t="s">
        <v>6608</v>
      </c>
      <c r="I4042" s="504">
        <v>22</v>
      </c>
      <c r="J4042" s="504">
        <v>0</v>
      </c>
      <c r="K4042" s="504">
        <v>0</v>
      </c>
      <c r="L4042" s="504">
        <v>0</v>
      </c>
      <c r="M4042" s="504">
        <v>22</v>
      </c>
      <c r="N4042" s="504">
        <v>0</v>
      </c>
      <c r="O4042" s="505">
        <v>0</v>
      </c>
    </row>
    <row r="4043" spans="1:15" x14ac:dyDescent="0.35">
      <c r="A4043" s="500" t="s">
        <v>1596</v>
      </c>
      <c r="B4043" s="501" t="s">
        <v>2936</v>
      </c>
      <c r="C4043" s="501" t="s">
        <v>1089</v>
      </c>
      <c r="D4043" s="501" t="s">
        <v>3392</v>
      </c>
      <c r="E4043" s="501" t="s">
        <v>3381</v>
      </c>
      <c r="F4043" s="501" t="s">
        <v>669</v>
      </c>
      <c r="G4043" s="501" t="s">
        <v>670</v>
      </c>
      <c r="H4043" s="501" t="s">
        <v>6609</v>
      </c>
      <c r="I4043" s="501">
        <v>126</v>
      </c>
      <c r="J4043" s="501">
        <v>0</v>
      </c>
      <c r="K4043" s="501">
        <v>0</v>
      </c>
      <c r="L4043" s="501">
        <v>126</v>
      </c>
      <c r="M4043" s="501">
        <v>0</v>
      </c>
      <c r="N4043" s="501">
        <v>0</v>
      </c>
      <c r="O4043" s="506">
        <v>0</v>
      </c>
    </row>
    <row r="4044" spans="1:15" x14ac:dyDescent="0.35">
      <c r="A4044" s="503" t="s">
        <v>1599</v>
      </c>
      <c r="B4044" s="504" t="s">
        <v>3303</v>
      </c>
      <c r="C4044" s="504" t="s">
        <v>1089</v>
      </c>
      <c r="D4044" s="504" t="s">
        <v>3392</v>
      </c>
      <c r="E4044" s="504" t="s">
        <v>3381</v>
      </c>
      <c r="F4044" s="504" t="s">
        <v>669</v>
      </c>
      <c r="G4044" s="504" t="s">
        <v>670</v>
      </c>
      <c r="H4044" s="504" t="s">
        <v>12249</v>
      </c>
      <c r="I4044" s="504">
        <v>1</v>
      </c>
      <c r="J4044" s="504">
        <v>1</v>
      </c>
      <c r="K4044" s="504">
        <v>0</v>
      </c>
      <c r="L4044" s="504">
        <v>0</v>
      </c>
      <c r="M4044" s="504">
        <v>0</v>
      </c>
      <c r="N4044" s="504">
        <v>0</v>
      </c>
      <c r="O4044" s="505">
        <v>0</v>
      </c>
    </row>
    <row r="4045" spans="1:15" x14ac:dyDescent="0.35">
      <c r="A4045" s="500" t="s">
        <v>1605</v>
      </c>
      <c r="B4045" s="501" t="s">
        <v>3064</v>
      </c>
      <c r="C4045" s="501" t="s">
        <v>1089</v>
      </c>
      <c r="D4045" s="501" t="s">
        <v>3392</v>
      </c>
      <c r="E4045" s="501" t="s">
        <v>3381</v>
      </c>
      <c r="F4045" s="501" t="s">
        <v>669</v>
      </c>
      <c r="G4045" s="501" t="s">
        <v>670</v>
      </c>
      <c r="H4045" s="501" t="s">
        <v>6610</v>
      </c>
      <c r="I4045" s="501">
        <v>18</v>
      </c>
      <c r="J4045" s="501">
        <v>18</v>
      </c>
      <c r="K4045" s="501">
        <v>0</v>
      </c>
      <c r="L4045" s="501">
        <v>0</v>
      </c>
      <c r="M4045" s="501">
        <v>0</v>
      </c>
      <c r="N4045" s="501">
        <v>0</v>
      </c>
      <c r="O4045" s="506">
        <v>0</v>
      </c>
    </row>
    <row r="4046" spans="1:15" x14ac:dyDescent="0.35">
      <c r="A4046" s="503" t="s">
        <v>1147</v>
      </c>
      <c r="B4046" s="504" t="s">
        <v>3274</v>
      </c>
      <c r="C4046" s="504" t="s">
        <v>1089</v>
      </c>
      <c r="D4046" s="504" t="s">
        <v>3392</v>
      </c>
      <c r="E4046" s="504" t="s">
        <v>3381</v>
      </c>
      <c r="F4046" s="504" t="s">
        <v>671</v>
      </c>
      <c r="G4046" s="504" t="s">
        <v>672</v>
      </c>
      <c r="H4046" s="504" t="s">
        <v>6611</v>
      </c>
      <c r="I4046" s="504">
        <v>1</v>
      </c>
      <c r="J4046" s="504">
        <v>0</v>
      </c>
      <c r="K4046" s="504">
        <v>1</v>
      </c>
      <c r="L4046" s="504">
        <v>0</v>
      </c>
      <c r="M4046" s="504">
        <v>0</v>
      </c>
      <c r="N4046" s="504">
        <v>0</v>
      </c>
      <c r="O4046" s="505">
        <v>0</v>
      </c>
    </row>
    <row r="4047" spans="1:15" x14ac:dyDescent="0.35">
      <c r="A4047" s="500" t="s">
        <v>1093</v>
      </c>
      <c r="B4047" s="501" t="s">
        <v>3248</v>
      </c>
      <c r="C4047" s="501" t="s">
        <v>1094</v>
      </c>
      <c r="D4047" s="501" t="s">
        <v>3380</v>
      </c>
      <c r="E4047" s="501" t="s">
        <v>3381</v>
      </c>
      <c r="F4047" s="501" t="s">
        <v>671</v>
      </c>
      <c r="G4047" s="501" t="s">
        <v>672</v>
      </c>
      <c r="H4047" s="501" t="s">
        <v>6612</v>
      </c>
      <c r="I4047" s="501">
        <v>16</v>
      </c>
      <c r="J4047" s="501">
        <v>0</v>
      </c>
      <c r="K4047" s="501">
        <v>0</v>
      </c>
      <c r="L4047" s="501">
        <v>11</v>
      </c>
      <c r="M4047" s="501">
        <v>0</v>
      </c>
      <c r="N4047" s="501">
        <v>0</v>
      </c>
      <c r="O4047" s="506">
        <v>5</v>
      </c>
    </row>
    <row r="4048" spans="1:15" x14ac:dyDescent="0.35">
      <c r="A4048" s="503" t="s">
        <v>1096</v>
      </c>
      <c r="B4048" s="504" t="s">
        <v>3326</v>
      </c>
      <c r="C4048" s="504" t="s">
        <v>1094</v>
      </c>
      <c r="D4048" s="504" t="s">
        <v>3380</v>
      </c>
      <c r="E4048" s="504" t="s">
        <v>3381</v>
      </c>
      <c r="F4048" s="504" t="s">
        <v>671</v>
      </c>
      <c r="G4048" s="504" t="s">
        <v>672</v>
      </c>
      <c r="H4048" s="504" t="s">
        <v>6613</v>
      </c>
      <c r="I4048" s="504">
        <v>51</v>
      </c>
      <c r="J4048" s="504">
        <v>0</v>
      </c>
      <c r="K4048" s="504">
        <v>0</v>
      </c>
      <c r="L4048" s="504">
        <v>0</v>
      </c>
      <c r="M4048" s="504">
        <v>51</v>
      </c>
      <c r="N4048" s="504">
        <v>0</v>
      </c>
      <c r="O4048" s="505">
        <v>0</v>
      </c>
    </row>
    <row r="4049" spans="1:15" x14ac:dyDescent="0.35">
      <c r="A4049" s="500" t="s">
        <v>11363</v>
      </c>
      <c r="B4049" s="501">
        <v>4718</v>
      </c>
      <c r="C4049" s="501" t="s">
        <v>1094</v>
      </c>
      <c r="D4049" s="501" t="s">
        <v>3380</v>
      </c>
      <c r="E4049" s="501" t="s">
        <v>3381</v>
      </c>
      <c r="F4049" s="501" t="s">
        <v>671</v>
      </c>
      <c r="G4049" s="501" t="s">
        <v>672</v>
      </c>
      <c r="H4049" s="501" t="s">
        <v>11555</v>
      </c>
      <c r="I4049" s="501">
        <v>2</v>
      </c>
      <c r="J4049" s="501">
        <v>0</v>
      </c>
      <c r="K4049" s="501">
        <v>0</v>
      </c>
      <c r="L4049" s="501">
        <v>2</v>
      </c>
      <c r="M4049" s="501">
        <v>0</v>
      </c>
      <c r="N4049" s="501">
        <v>0</v>
      </c>
      <c r="O4049" s="506">
        <v>0</v>
      </c>
    </row>
    <row r="4050" spans="1:15" x14ac:dyDescent="0.35">
      <c r="A4050" s="503" t="s">
        <v>1171</v>
      </c>
      <c r="B4050" s="504" t="s">
        <v>3003</v>
      </c>
      <c r="C4050" s="504" t="s">
        <v>1094</v>
      </c>
      <c r="D4050" s="504" t="s">
        <v>3380</v>
      </c>
      <c r="E4050" s="504" t="s">
        <v>3381</v>
      </c>
      <c r="F4050" s="504" t="s">
        <v>671</v>
      </c>
      <c r="G4050" s="504" t="s">
        <v>672</v>
      </c>
      <c r="H4050" s="504" t="s">
        <v>6614</v>
      </c>
      <c r="I4050" s="504">
        <v>175</v>
      </c>
      <c r="J4050" s="504">
        <v>160</v>
      </c>
      <c r="K4050" s="504">
        <v>0</v>
      </c>
      <c r="L4050" s="504">
        <v>0</v>
      </c>
      <c r="M4050" s="504">
        <v>0</v>
      </c>
      <c r="N4050" s="504">
        <v>0</v>
      </c>
      <c r="O4050" s="505">
        <v>15</v>
      </c>
    </row>
    <row r="4051" spans="1:15" x14ac:dyDescent="0.35">
      <c r="A4051" s="500" t="s">
        <v>1173</v>
      </c>
      <c r="B4051" s="501">
        <v>4775</v>
      </c>
      <c r="C4051" s="501" t="s">
        <v>1094</v>
      </c>
      <c r="D4051" s="501" t="s">
        <v>3380</v>
      </c>
      <c r="E4051" s="501" t="s">
        <v>3381</v>
      </c>
      <c r="F4051" s="501" t="s">
        <v>671</v>
      </c>
      <c r="G4051" s="501" t="s">
        <v>672</v>
      </c>
      <c r="H4051" s="501" t="s">
        <v>6615</v>
      </c>
      <c r="I4051" s="501">
        <v>245</v>
      </c>
      <c r="J4051" s="501">
        <v>170</v>
      </c>
      <c r="K4051" s="501">
        <v>0</v>
      </c>
      <c r="L4051" s="501">
        <v>0</v>
      </c>
      <c r="M4051" s="501">
        <v>0</v>
      </c>
      <c r="N4051" s="501">
        <v>0</v>
      </c>
      <c r="O4051" s="506">
        <v>75</v>
      </c>
    </row>
    <row r="4052" spans="1:15" x14ac:dyDescent="0.35">
      <c r="A4052" s="503" t="s">
        <v>1180</v>
      </c>
      <c r="B4052" s="504" t="s">
        <v>3184</v>
      </c>
      <c r="C4052" s="504" t="s">
        <v>1094</v>
      </c>
      <c r="D4052" s="504" t="s">
        <v>3380</v>
      </c>
      <c r="E4052" s="504" t="s">
        <v>3381</v>
      </c>
      <c r="F4052" s="504" t="s">
        <v>671</v>
      </c>
      <c r="G4052" s="504" t="s">
        <v>672</v>
      </c>
      <c r="H4052" s="504" t="s">
        <v>6616</v>
      </c>
      <c r="I4052" s="504">
        <v>5</v>
      </c>
      <c r="J4052" s="504">
        <v>3</v>
      </c>
      <c r="K4052" s="504">
        <v>0</v>
      </c>
      <c r="L4052" s="504">
        <v>0</v>
      </c>
      <c r="M4052" s="504">
        <v>0</v>
      </c>
      <c r="N4052" s="504">
        <v>0</v>
      </c>
      <c r="O4052" s="505">
        <v>2</v>
      </c>
    </row>
    <row r="4053" spans="1:15" x14ac:dyDescent="0.35">
      <c r="A4053" s="500" t="s">
        <v>14208</v>
      </c>
      <c r="B4053" s="501">
        <v>4803</v>
      </c>
      <c r="C4053" s="501" t="s">
        <v>1094</v>
      </c>
      <c r="D4053" s="501" t="s">
        <v>3380</v>
      </c>
      <c r="E4053" s="501" t="s">
        <v>3381</v>
      </c>
      <c r="F4053" s="501" t="s">
        <v>671</v>
      </c>
      <c r="G4053" s="501" t="s">
        <v>672</v>
      </c>
      <c r="H4053" s="501" t="s">
        <v>14761</v>
      </c>
      <c r="I4053" s="501">
        <v>3</v>
      </c>
      <c r="J4053" s="501">
        <v>0</v>
      </c>
      <c r="K4053" s="501">
        <v>0</v>
      </c>
      <c r="L4053" s="501">
        <v>3</v>
      </c>
      <c r="M4053" s="501">
        <v>0</v>
      </c>
      <c r="N4053" s="501">
        <v>0</v>
      </c>
      <c r="O4053" s="506">
        <v>0</v>
      </c>
    </row>
    <row r="4054" spans="1:15" x14ac:dyDescent="0.35">
      <c r="A4054" s="503" t="s">
        <v>1188</v>
      </c>
      <c r="B4054" s="504">
        <v>4760</v>
      </c>
      <c r="C4054" s="504" t="s">
        <v>1089</v>
      </c>
      <c r="D4054" s="504" t="s">
        <v>3392</v>
      </c>
      <c r="E4054" s="504" t="s">
        <v>3381</v>
      </c>
      <c r="F4054" s="504" t="s">
        <v>671</v>
      </c>
      <c r="G4054" s="504" t="s">
        <v>672</v>
      </c>
      <c r="H4054" s="504" t="s">
        <v>6617</v>
      </c>
      <c r="I4054" s="504">
        <v>6</v>
      </c>
      <c r="J4054" s="504">
        <v>0</v>
      </c>
      <c r="K4054" s="504">
        <v>0</v>
      </c>
      <c r="L4054" s="504">
        <v>6</v>
      </c>
      <c r="M4054" s="504">
        <v>0</v>
      </c>
      <c r="N4054" s="504">
        <v>0</v>
      </c>
      <c r="O4054" s="505">
        <v>0</v>
      </c>
    </row>
    <row r="4055" spans="1:15" x14ac:dyDescent="0.35">
      <c r="A4055" s="500" t="s">
        <v>1190</v>
      </c>
      <c r="B4055" s="501">
        <v>4662</v>
      </c>
      <c r="C4055" s="501" t="s">
        <v>1094</v>
      </c>
      <c r="D4055" s="501" t="s">
        <v>3380</v>
      </c>
      <c r="E4055" s="501" t="s">
        <v>3381</v>
      </c>
      <c r="F4055" s="501" t="s">
        <v>671</v>
      </c>
      <c r="G4055" s="501" t="s">
        <v>672</v>
      </c>
      <c r="H4055" s="501" t="s">
        <v>6618</v>
      </c>
      <c r="I4055" s="501">
        <v>24</v>
      </c>
      <c r="J4055" s="501">
        <v>0</v>
      </c>
      <c r="K4055" s="501">
        <v>0</v>
      </c>
      <c r="L4055" s="501">
        <v>24</v>
      </c>
      <c r="M4055" s="501">
        <v>0</v>
      </c>
      <c r="N4055" s="501">
        <v>0</v>
      </c>
      <c r="O4055" s="506">
        <v>0</v>
      </c>
    </row>
    <row r="4056" spans="1:15" x14ac:dyDescent="0.35">
      <c r="A4056" s="503" t="s">
        <v>1207</v>
      </c>
      <c r="B4056" s="504" t="s">
        <v>3202</v>
      </c>
      <c r="C4056" s="504" t="s">
        <v>1094</v>
      </c>
      <c r="D4056" s="504" t="s">
        <v>3380</v>
      </c>
      <c r="E4056" s="504" t="s">
        <v>3381</v>
      </c>
      <c r="F4056" s="504" t="s">
        <v>671</v>
      </c>
      <c r="G4056" s="504" t="s">
        <v>672</v>
      </c>
      <c r="H4056" s="504" t="s">
        <v>6619</v>
      </c>
      <c r="I4056" s="504">
        <v>355</v>
      </c>
      <c r="J4056" s="504">
        <v>286</v>
      </c>
      <c r="K4056" s="504">
        <v>0</v>
      </c>
      <c r="L4056" s="504">
        <v>0</v>
      </c>
      <c r="M4056" s="504">
        <v>0</v>
      </c>
      <c r="N4056" s="504">
        <v>0</v>
      </c>
      <c r="O4056" s="505">
        <v>69</v>
      </c>
    </row>
    <row r="4057" spans="1:15" x14ac:dyDescent="0.35">
      <c r="A4057" s="500" t="s">
        <v>1209</v>
      </c>
      <c r="B4057" s="501">
        <v>4779</v>
      </c>
      <c r="C4057" s="501" t="s">
        <v>1094</v>
      </c>
      <c r="D4057" s="501" t="s">
        <v>3380</v>
      </c>
      <c r="E4057" s="501" t="s">
        <v>3381</v>
      </c>
      <c r="F4057" s="501" t="s">
        <v>671</v>
      </c>
      <c r="G4057" s="501" t="s">
        <v>672</v>
      </c>
      <c r="H4057" s="501" t="s">
        <v>6620</v>
      </c>
      <c r="I4057" s="501">
        <v>11</v>
      </c>
      <c r="J4057" s="501">
        <v>0</v>
      </c>
      <c r="K4057" s="501">
        <v>0</v>
      </c>
      <c r="L4057" s="501">
        <v>11</v>
      </c>
      <c r="M4057" s="501">
        <v>0</v>
      </c>
      <c r="N4057" s="501">
        <v>0</v>
      </c>
      <c r="O4057" s="506">
        <v>0</v>
      </c>
    </row>
    <row r="4058" spans="1:15" x14ac:dyDescent="0.35">
      <c r="A4058" s="503" t="s">
        <v>1215</v>
      </c>
      <c r="B4058" s="504">
        <v>4817</v>
      </c>
      <c r="C4058" s="504" t="s">
        <v>1094</v>
      </c>
      <c r="D4058" s="504" t="s">
        <v>3380</v>
      </c>
      <c r="E4058" s="504" t="s">
        <v>3381</v>
      </c>
      <c r="F4058" s="504" t="s">
        <v>671</v>
      </c>
      <c r="G4058" s="504" t="s">
        <v>672</v>
      </c>
      <c r="H4058" s="504" t="s">
        <v>6621</v>
      </c>
      <c r="I4058" s="504">
        <v>160</v>
      </c>
      <c r="J4058" s="504">
        <v>102</v>
      </c>
      <c r="K4058" s="504">
        <v>0</v>
      </c>
      <c r="L4058" s="504">
        <v>4</v>
      </c>
      <c r="M4058" s="504">
        <v>0</v>
      </c>
      <c r="N4058" s="504">
        <v>0</v>
      </c>
      <c r="O4058" s="505">
        <v>54</v>
      </c>
    </row>
    <row r="4059" spans="1:15" x14ac:dyDescent="0.35">
      <c r="A4059" s="500" t="s">
        <v>1218</v>
      </c>
      <c r="B4059" s="501" t="s">
        <v>3147</v>
      </c>
      <c r="C4059" s="501" t="s">
        <v>1094</v>
      </c>
      <c r="D4059" s="501" t="s">
        <v>3380</v>
      </c>
      <c r="E4059" s="501" t="s">
        <v>3381</v>
      </c>
      <c r="F4059" s="501" t="s">
        <v>671</v>
      </c>
      <c r="G4059" s="501" t="s">
        <v>672</v>
      </c>
      <c r="H4059" s="501" t="s">
        <v>6622</v>
      </c>
      <c r="I4059" s="501">
        <v>55</v>
      </c>
      <c r="J4059" s="501">
        <v>3</v>
      </c>
      <c r="K4059" s="501">
        <v>0</v>
      </c>
      <c r="L4059" s="501">
        <v>0</v>
      </c>
      <c r="M4059" s="501">
        <v>0</v>
      </c>
      <c r="N4059" s="501">
        <v>0</v>
      </c>
      <c r="O4059" s="506">
        <v>52</v>
      </c>
    </row>
    <row r="4060" spans="1:15" x14ac:dyDescent="0.35">
      <c r="A4060" s="503" t="s">
        <v>11367</v>
      </c>
      <c r="B4060" s="504" t="s">
        <v>3143</v>
      </c>
      <c r="C4060" s="504" t="s">
        <v>1094</v>
      </c>
      <c r="D4060" s="504" t="s">
        <v>3380</v>
      </c>
      <c r="E4060" s="504" t="s">
        <v>3381</v>
      </c>
      <c r="F4060" s="504" t="s">
        <v>671</v>
      </c>
      <c r="G4060" s="504" t="s">
        <v>672</v>
      </c>
      <c r="H4060" s="504" t="s">
        <v>11930</v>
      </c>
      <c r="I4060" s="504">
        <v>715</v>
      </c>
      <c r="J4060" s="504">
        <v>696</v>
      </c>
      <c r="K4060" s="504">
        <v>0</v>
      </c>
      <c r="L4060" s="504">
        <v>0</v>
      </c>
      <c r="M4060" s="504">
        <v>19</v>
      </c>
      <c r="N4060" s="504">
        <v>0</v>
      </c>
      <c r="O4060" s="505">
        <v>0</v>
      </c>
    </row>
    <row r="4061" spans="1:15" x14ac:dyDescent="0.35">
      <c r="A4061" s="500" t="s">
        <v>1220</v>
      </c>
      <c r="B4061" s="501">
        <v>4849</v>
      </c>
      <c r="C4061" s="501" t="s">
        <v>1094</v>
      </c>
      <c r="D4061" s="501" t="s">
        <v>3380</v>
      </c>
      <c r="E4061" s="501" t="s">
        <v>3381</v>
      </c>
      <c r="F4061" s="501" t="s">
        <v>671</v>
      </c>
      <c r="G4061" s="501" t="s">
        <v>672</v>
      </c>
      <c r="H4061" s="501" t="s">
        <v>6623</v>
      </c>
      <c r="I4061" s="501">
        <v>109</v>
      </c>
      <c r="J4061" s="501">
        <v>70</v>
      </c>
      <c r="K4061" s="501">
        <v>0</v>
      </c>
      <c r="L4061" s="501">
        <v>12</v>
      </c>
      <c r="M4061" s="501">
        <v>25</v>
      </c>
      <c r="N4061" s="501">
        <v>0</v>
      </c>
      <c r="O4061" s="506">
        <v>2</v>
      </c>
    </row>
    <row r="4062" spans="1:15" x14ac:dyDescent="0.35">
      <c r="A4062" s="503" t="s">
        <v>1226</v>
      </c>
      <c r="B4062" s="504">
        <v>5084</v>
      </c>
      <c r="C4062" s="504" t="s">
        <v>1094</v>
      </c>
      <c r="D4062" s="504" t="s">
        <v>3380</v>
      </c>
      <c r="E4062" s="504" t="s">
        <v>3381</v>
      </c>
      <c r="F4062" s="504" t="s">
        <v>671</v>
      </c>
      <c r="G4062" s="504" t="s">
        <v>672</v>
      </c>
      <c r="H4062" s="504" t="s">
        <v>6624</v>
      </c>
      <c r="I4062" s="504">
        <v>322</v>
      </c>
      <c r="J4062" s="504">
        <v>238</v>
      </c>
      <c r="K4062" s="504">
        <v>0</v>
      </c>
      <c r="L4062" s="504">
        <v>0</v>
      </c>
      <c r="M4062" s="504">
        <v>0</v>
      </c>
      <c r="N4062" s="504">
        <v>0</v>
      </c>
      <c r="O4062" s="505">
        <v>84</v>
      </c>
    </row>
    <row r="4063" spans="1:15" x14ac:dyDescent="0.35">
      <c r="A4063" s="500" t="s">
        <v>1228</v>
      </c>
      <c r="B4063" s="501" t="s">
        <v>3321</v>
      </c>
      <c r="C4063" s="501" t="s">
        <v>1094</v>
      </c>
      <c r="D4063" s="501" t="s">
        <v>3380</v>
      </c>
      <c r="E4063" s="501" t="s">
        <v>3381</v>
      </c>
      <c r="F4063" s="501" t="s">
        <v>671</v>
      </c>
      <c r="G4063" s="501" t="s">
        <v>672</v>
      </c>
      <c r="H4063" s="501" t="s">
        <v>6625</v>
      </c>
      <c r="I4063" s="501">
        <v>11</v>
      </c>
      <c r="J4063" s="501">
        <v>0</v>
      </c>
      <c r="K4063" s="501">
        <v>0</v>
      </c>
      <c r="L4063" s="501">
        <v>11</v>
      </c>
      <c r="M4063" s="501">
        <v>0</v>
      </c>
      <c r="N4063" s="501">
        <v>0</v>
      </c>
      <c r="O4063" s="506">
        <v>0</v>
      </c>
    </row>
    <row r="4064" spans="1:15" x14ac:dyDescent="0.35">
      <c r="A4064" s="503" t="s">
        <v>1134</v>
      </c>
      <c r="B4064" s="504" t="s">
        <v>3066</v>
      </c>
      <c r="C4064" s="504" t="s">
        <v>1094</v>
      </c>
      <c r="D4064" s="504" t="s">
        <v>3380</v>
      </c>
      <c r="E4064" s="504" t="s">
        <v>3381</v>
      </c>
      <c r="F4064" s="504" t="s">
        <v>671</v>
      </c>
      <c r="G4064" s="504" t="s">
        <v>672</v>
      </c>
      <c r="H4064" s="504" t="s">
        <v>6626</v>
      </c>
      <c r="I4064" s="504">
        <v>107</v>
      </c>
      <c r="J4064" s="504">
        <v>82</v>
      </c>
      <c r="K4064" s="504">
        <v>0</v>
      </c>
      <c r="L4064" s="504">
        <v>0</v>
      </c>
      <c r="M4064" s="504">
        <v>0</v>
      </c>
      <c r="N4064" s="504">
        <v>0</v>
      </c>
      <c r="O4064" s="505">
        <v>25</v>
      </c>
    </row>
    <row r="4065" spans="1:15" x14ac:dyDescent="0.35">
      <c r="A4065" s="500" t="s">
        <v>1252</v>
      </c>
      <c r="B4065" s="501" t="s">
        <v>2875</v>
      </c>
      <c r="C4065" s="501" t="s">
        <v>1089</v>
      </c>
      <c r="D4065" s="501" t="s">
        <v>3392</v>
      </c>
      <c r="E4065" s="501" t="s">
        <v>3381</v>
      </c>
      <c r="F4065" s="501" t="s">
        <v>671</v>
      </c>
      <c r="G4065" s="501" t="s">
        <v>672</v>
      </c>
      <c r="H4065" s="501" t="s">
        <v>12228</v>
      </c>
      <c r="I4065" s="501">
        <v>18</v>
      </c>
      <c r="J4065" s="501">
        <v>0</v>
      </c>
      <c r="K4065" s="501">
        <v>0</v>
      </c>
      <c r="L4065" s="501">
        <v>18</v>
      </c>
      <c r="M4065" s="501">
        <v>0</v>
      </c>
      <c r="N4065" s="501">
        <v>0</v>
      </c>
      <c r="O4065" s="506">
        <v>0</v>
      </c>
    </row>
    <row r="4066" spans="1:15" x14ac:dyDescent="0.35">
      <c r="A4066" s="503" t="s">
        <v>1253</v>
      </c>
      <c r="B4066" s="504" t="s">
        <v>3232</v>
      </c>
      <c r="C4066" s="504" t="s">
        <v>1094</v>
      </c>
      <c r="D4066" s="504" t="s">
        <v>3380</v>
      </c>
      <c r="E4066" s="504" t="s">
        <v>3381</v>
      </c>
      <c r="F4066" s="504" t="s">
        <v>671</v>
      </c>
      <c r="G4066" s="504" t="s">
        <v>672</v>
      </c>
      <c r="H4066" s="504" t="s">
        <v>6627</v>
      </c>
      <c r="I4066" s="504">
        <v>218</v>
      </c>
      <c r="J4066" s="504">
        <v>133</v>
      </c>
      <c r="K4066" s="504">
        <v>0</v>
      </c>
      <c r="L4066" s="504">
        <v>26</v>
      </c>
      <c r="M4066" s="504">
        <v>30</v>
      </c>
      <c r="N4066" s="504">
        <v>0</v>
      </c>
      <c r="O4066" s="505">
        <v>29</v>
      </c>
    </row>
    <row r="4067" spans="1:15" x14ac:dyDescent="0.35">
      <c r="A4067" s="500" t="s">
        <v>1260</v>
      </c>
      <c r="B4067" s="501">
        <v>4645</v>
      </c>
      <c r="C4067" s="501" t="s">
        <v>1089</v>
      </c>
      <c r="D4067" s="501" t="s">
        <v>3392</v>
      </c>
      <c r="E4067" s="501" t="s">
        <v>3381</v>
      </c>
      <c r="F4067" s="501" t="s">
        <v>671</v>
      </c>
      <c r="G4067" s="501" t="s">
        <v>672</v>
      </c>
      <c r="H4067" s="501" t="s">
        <v>6628</v>
      </c>
      <c r="I4067" s="501">
        <v>22</v>
      </c>
      <c r="J4067" s="501">
        <v>0</v>
      </c>
      <c r="K4067" s="501">
        <v>0</v>
      </c>
      <c r="L4067" s="501">
        <v>22</v>
      </c>
      <c r="M4067" s="501">
        <v>0</v>
      </c>
      <c r="N4067" s="501">
        <v>0</v>
      </c>
      <c r="O4067" s="506">
        <v>0</v>
      </c>
    </row>
    <row r="4068" spans="1:15" x14ac:dyDescent="0.35">
      <c r="A4068" s="503" t="s">
        <v>1261</v>
      </c>
      <c r="B4068" s="504" t="s">
        <v>3130</v>
      </c>
      <c r="C4068" s="504" t="s">
        <v>1094</v>
      </c>
      <c r="D4068" s="504" t="s">
        <v>3380</v>
      </c>
      <c r="E4068" s="504" t="s">
        <v>3381</v>
      </c>
      <c r="F4068" s="504" t="s">
        <v>671</v>
      </c>
      <c r="G4068" s="504" t="s">
        <v>672</v>
      </c>
      <c r="H4068" s="504" t="s">
        <v>6629</v>
      </c>
      <c r="I4068" s="504">
        <v>77</v>
      </c>
      <c r="J4068" s="504">
        <v>52</v>
      </c>
      <c r="K4068" s="504">
        <v>0</v>
      </c>
      <c r="L4068" s="504">
        <v>0</v>
      </c>
      <c r="M4068" s="504">
        <v>0</v>
      </c>
      <c r="N4068" s="504">
        <v>0</v>
      </c>
      <c r="O4068" s="505">
        <v>25</v>
      </c>
    </row>
    <row r="4069" spans="1:15" x14ac:dyDescent="0.35">
      <c r="A4069" s="500" t="s">
        <v>1386</v>
      </c>
      <c r="B4069" s="501" t="s">
        <v>3331</v>
      </c>
      <c r="C4069" s="501" t="s">
        <v>1094</v>
      </c>
      <c r="D4069" s="501" t="s">
        <v>3380</v>
      </c>
      <c r="E4069" s="501" t="s">
        <v>3381</v>
      </c>
      <c r="F4069" s="501" t="s">
        <v>673</v>
      </c>
      <c r="G4069" s="501" t="s">
        <v>674</v>
      </c>
      <c r="H4069" s="501" t="s">
        <v>6630</v>
      </c>
      <c r="I4069" s="501">
        <v>110</v>
      </c>
      <c r="J4069" s="501">
        <v>65</v>
      </c>
      <c r="K4069" s="501">
        <v>0</v>
      </c>
      <c r="L4069" s="501">
        <v>0</v>
      </c>
      <c r="M4069" s="501">
        <v>0</v>
      </c>
      <c r="N4069" s="501">
        <v>0</v>
      </c>
      <c r="O4069" s="506">
        <v>45</v>
      </c>
    </row>
    <row r="4070" spans="1:15" x14ac:dyDescent="0.35">
      <c r="A4070" s="503" t="s">
        <v>1096</v>
      </c>
      <c r="B4070" s="504" t="s">
        <v>3326</v>
      </c>
      <c r="C4070" s="504" t="s">
        <v>1094</v>
      </c>
      <c r="D4070" s="504" t="s">
        <v>3380</v>
      </c>
      <c r="E4070" s="504" t="s">
        <v>3381</v>
      </c>
      <c r="F4070" s="504" t="s">
        <v>673</v>
      </c>
      <c r="G4070" s="504" t="s">
        <v>674</v>
      </c>
      <c r="H4070" s="504" t="s">
        <v>6631</v>
      </c>
      <c r="I4070" s="504">
        <v>71</v>
      </c>
      <c r="J4070" s="504">
        <v>0</v>
      </c>
      <c r="K4070" s="504">
        <v>0</v>
      </c>
      <c r="L4070" s="504">
        <v>0</v>
      </c>
      <c r="M4070" s="504">
        <v>71</v>
      </c>
      <c r="N4070" s="504">
        <v>0</v>
      </c>
      <c r="O4070" s="505">
        <v>0</v>
      </c>
    </row>
    <row r="4071" spans="1:15" x14ac:dyDescent="0.35">
      <c r="A4071" s="500" t="s">
        <v>1098</v>
      </c>
      <c r="B4071" s="501">
        <v>4691</v>
      </c>
      <c r="C4071" s="501" t="s">
        <v>1094</v>
      </c>
      <c r="D4071" s="501" t="s">
        <v>3380</v>
      </c>
      <c r="E4071" s="501" t="s">
        <v>3381</v>
      </c>
      <c r="F4071" s="501" t="s">
        <v>673</v>
      </c>
      <c r="G4071" s="501" t="s">
        <v>674</v>
      </c>
      <c r="H4071" s="501" t="s">
        <v>14762</v>
      </c>
      <c r="I4071" s="501">
        <v>16</v>
      </c>
      <c r="J4071" s="501">
        <v>9</v>
      </c>
      <c r="K4071" s="501">
        <v>0</v>
      </c>
      <c r="L4071" s="501">
        <v>0</v>
      </c>
      <c r="M4071" s="501">
        <v>0</v>
      </c>
      <c r="N4071" s="501">
        <v>0</v>
      </c>
      <c r="O4071" s="506">
        <v>7</v>
      </c>
    </row>
    <row r="4072" spans="1:15" x14ac:dyDescent="0.35">
      <c r="A4072" s="503" t="s">
        <v>1100</v>
      </c>
      <c r="B4072" s="504">
        <v>4865</v>
      </c>
      <c r="C4072" s="504" t="s">
        <v>1094</v>
      </c>
      <c r="D4072" s="504" t="s">
        <v>3380</v>
      </c>
      <c r="E4072" s="504" t="s">
        <v>3381</v>
      </c>
      <c r="F4072" s="504" t="s">
        <v>673</v>
      </c>
      <c r="G4072" s="504" t="s">
        <v>674</v>
      </c>
      <c r="H4072" s="504" t="s">
        <v>6632</v>
      </c>
      <c r="I4072" s="504">
        <v>424</v>
      </c>
      <c r="J4072" s="504">
        <v>281</v>
      </c>
      <c r="K4072" s="504">
        <v>0</v>
      </c>
      <c r="L4072" s="504">
        <v>0</v>
      </c>
      <c r="M4072" s="504">
        <v>0</v>
      </c>
      <c r="N4072" s="504">
        <v>0</v>
      </c>
      <c r="O4072" s="505">
        <v>143</v>
      </c>
    </row>
    <row r="4073" spans="1:15" x14ac:dyDescent="0.35">
      <c r="A4073" s="500" t="s">
        <v>1175</v>
      </c>
      <c r="B4073" s="501" t="s">
        <v>3141</v>
      </c>
      <c r="C4073" s="501" t="s">
        <v>1094</v>
      </c>
      <c r="D4073" s="501" t="s">
        <v>3380</v>
      </c>
      <c r="E4073" s="501" t="s">
        <v>3381</v>
      </c>
      <c r="F4073" s="501" t="s">
        <v>673</v>
      </c>
      <c r="G4073" s="501" t="s">
        <v>674</v>
      </c>
      <c r="H4073" s="501" t="s">
        <v>6633</v>
      </c>
      <c r="I4073" s="501">
        <v>13</v>
      </c>
      <c r="J4073" s="501">
        <v>11</v>
      </c>
      <c r="K4073" s="501">
        <v>0</v>
      </c>
      <c r="L4073" s="501">
        <v>0</v>
      </c>
      <c r="M4073" s="501">
        <v>0</v>
      </c>
      <c r="N4073" s="501">
        <v>0</v>
      </c>
      <c r="O4073" s="506">
        <v>2</v>
      </c>
    </row>
    <row r="4074" spans="1:15" x14ac:dyDescent="0.35">
      <c r="A4074" s="503" t="s">
        <v>1839</v>
      </c>
      <c r="B4074" s="504" t="s">
        <v>3050</v>
      </c>
      <c r="C4074" s="504" t="s">
        <v>1089</v>
      </c>
      <c r="D4074" s="504" t="s">
        <v>3392</v>
      </c>
      <c r="E4074" s="504" t="s">
        <v>3381</v>
      </c>
      <c r="F4074" s="504" t="s">
        <v>673</v>
      </c>
      <c r="G4074" s="504" t="s">
        <v>674</v>
      </c>
      <c r="H4074" s="504" t="s">
        <v>6634</v>
      </c>
      <c r="I4074" s="504">
        <v>14</v>
      </c>
      <c r="J4074" s="504">
        <v>14</v>
      </c>
      <c r="K4074" s="504">
        <v>0</v>
      </c>
      <c r="L4074" s="504">
        <v>0</v>
      </c>
      <c r="M4074" s="504">
        <v>0</v>
      </c>
      <c r="N4074" s="504">
        <v>0</v>
      </c>
      <c r="O4074" s="505">
        <v>0</v>
      </c>
    </row>
    <row r="4075" spans="1:15" x14ac:dyDescent="0.35">
      <c r="A4075" s="500" t="s">
        <v>1187</v>
      </c>
      <c r="B4075" s="501" t="s">
        <v>2951</v>
      </c>
      <c r="C4075" s="501" t="s">
        <v>1094</v>
      </c>
      <c r="D4075" s="501" t="s">
        <v>3380</v>
      </c>
      <c r="E4075" s="501" t="s">
        <v>3381</v>
      </c>
      <c r="F4075" s="501" t="s">
        <v>673</v>
      </c>
      <c r="G4075" s="501" t="s">
        <v>674</v>
      </c>
      <c r="H4075" s="501" t="s">
        <v>6635</v>
      </c>
      <c r="I4075" s="501">
        <v>10</v>
      </c>
      <c r="J4075" s="501">
        <v>6</v>
      </c>
      <c r="K4075" s="501">
        <v>0</v>
      </c>
      <c r="L4075" s="501">
        <v>0</v>
      </c>
      <c r="M4075" s="501">
        <v>0</v>
      </c>
      <c r="N4075" s="501">
        <v>0</v>
      </c>
      <c r="O4075" s="506">
        <v>4</v>
      </c>
    </row>
    <row r="4076" spans="1:15" x14ac:dyDescent="0.35">
      <c r="A4076" s="503" t="s">
        <v>1105</v>
      </c>
      <c r="B4076" s="504">
        <v>4668</v>
      </c>
      <c r="C4076" s="504" t="s">
        <v>1094</v>
      </c>
      <c r="D4076" s="504" t="s">
        <v>3380</v>
      </c>
      <c r="E4076" s="504" t="s">
        <v>3381</v>
      </c>
      <c r="F4076" s="504" t="s">
        <v>673</v>
      </c>
      <c r="G4076" s="504" t="s">
        <v>674</v>
      </c>
      <c r="H4076" s="504" t="s">
        <v>6636</v>
      </c>
      <c r="I4076" s="504">
        <v>9</v>
      </c>
      <c r="J4076" s="504">
        <v>0</v>
      </c>
      <c r="K4076" s="504">
        <v>0</v>
      </c>
      <c r="L4076" s="504">
        <v>0</v>
      </c>
      <c r="M4076" s="504">
        <v>0</v>
      </c>
      <c r="N4076" s="504">
        <v>0</v>
      </c>
      <c r="O4076" s="505">
        <v>9</v>
      </c>
    </row>
    <row r="4077" spans="1:15" x14ac:dyDescent="0.35">
      <c r="A4077" s="500" t="s">
        <v>1107</v>
      </c>
      <c r="B4077" s="501" t="s">
        <v>3109</v>
      </c>
      <c r="C4077" s="501" t="s">
        <v>1094</v>
      </c>
      <c r="D4077" s="501" t="s">
        <v>3380</v>
      </c>
      <c r="E4077" s="501" t="s">
        <v>3381</v>
      </c>
      <c r="F4077" s="501" t="s">
        <v>673</v>
      </c>
      <c r="G4077" s="501" t="s">
        <v>674</v>
      </c>
      <c r="H4077" s="501" t="s">
        <v>6637</v>
      </c>
      <c r="I4077" s="501">
        <v>3</v>
      </c>
      <c r="J4077" s="501">
        <v>0</v>
      </c>
      <c r="K4077" s="501">
        <v>0</v>
      </c>
      <c r="L4077" s="501">
        <v>0</v>
      </c>
      <c r="M4077" s="501">
        <v>0</v>
      </c>
      <c r="N4077" s="501">
        <v>0</v>
      </c>
      <c r="O4077" s="506">
        <v>3</v>
      </c>
    </row>
    <row r="4078" spans="1:15" x14ac:dyDescent="0.35">
      <c r="A4078" s="503" t="s">
        <v>1109</v>
      </c>
      <c r="B4078" s="504" t="s">
        <v>2959</v>
      </c>
      <c r="C4078" s="504" t="s">
        <v>1094</v>
      </c>
      <c r="D4078" s="504" t="s">
        <v>3380</v>
      </c>
      <c r="E4078" s="504" t="s">
        <v>3381</v>
      </c>
      <c r="F4078" s="504" t="s">
        <v>673</v>
      </c>
      <c r="G4078" s="504" t="s">
        <v>674</v>
      </c>
      <c r="H4078" s="504" t="s">
        <v>6638</v>
      </c>
      <c r="I4078" s="504">
        <v>61</v>
      </c>
      <c r="J4078" s="504">
        <v>0</v>
      </c>
      <c r="K4078" s="504">
        <v>0</v>
      </c>
      <c r="L4078" s="504">
        <v>0</v>
      </c>
      <c r="M4078" s="504">
        <v>61</v>
      </c>
      <c r="N4078" s="504">
        <v>0</v>
      </c>
      <c r="O4078" s="505">
        <v>0</v>
      </c>
    </row>
    <row r="4079" spans="1:15" x14ac:dyDescent="0.35">
      <c r="A4079" s="500" t="s">
        <v>1189</v>
      </c>
      <c r="B4079" s="501" t="s">
        <v>3236</v>
      </c>
      <c r="C4079" s="501" t="s">
        <v>1094</v>
      </c>
      <c r="D4079" s="501" t="s">
        <v>3380</v>
      </c>
      <c r="E4079" s="501" t="s">
        <v>3381</v>
      </c>
      <c r="F4079" s="501" t="s">
        <v>673</v>
      </c>
      <c r="G4079" s="501" t="s">
        <v>674</v>
      </c>
      <c r="H4079" s="501" t="s">
        <v>6639</v>
      </c>
      <c r="I4079" s="501">
        <v>441</v>
      </c>
      <c r="J4079" s="501">
        <v>327</v>
      </c>
      <c r="K4079" s="501">
        <v>0</v>
      </c>
      <c r="L4079" s="501">
        <v>7</v>
      </c>
      <c r="M4079" s="501">
        <v>0</v>
      </c>
      <c r="N4079" s="501">
        <v>0</v>
      </c>
      <c r="O4079" s="506">
        <v>107</v>
      </c>
    </row>
    <row r="4080" spans="1:15" x14ac:dyDescent="0.35">
      <c r="A4080" s="503" t="s">
        <v>1310</v>
      </c>
      <c r="B4080" s="504">
        <v>5062</v>
      </c>
      <c r="C4080" s="504" t="s">
        <v>1089</v>
      </c>
      <c r="D4080" s="504" t="s">
        <v>3380</v>
      </c>
      <c r="E4080" s="504" t="s">
        <v>3381</v>
      </c>
      <c r="F4080" s="504" t="s">
        <v>673</v>
      </c>
      <c r="G4080" s="504" t="s">
        <v>674</v>
      </c>
      <c r="H4080" s="504" t="s">
        <v>14763</v>
      </c>
      <c r="I4080" s="504">
        <v>5</v>
      </c>
      <c r="J4080" s="504">
        <v>0</v>
      </c>
      <c r="K4080" s="504">
        <v>0</v>
      </c>
      <c r="L4080" s="504">
        <v>0</v>
      </c>
      <c r="M4080" s="504">
        <v>0</v>
      </c>
      <c r="N4080" s="504">
        <v>0</v>
      </c>
      <c r="O4080" s="505">
        <v>5</v>
      </c>
    </row>
    <row r="4081" spans="1:15" x14ac:dyDescent="0.35">
      <c r="A4081" s="500" t="s">
        <v>1202</v>
      </c>
      <c r="B4081" s="501" t="s">
        <v>3217</v>
      </c>
      <c r="C4081" s="501" t="s">
        <v>1094</v>
      </c>
      <c r="D4081" s="501" t="s">
        <v>3380</v>
      </c>
      <c r="E4081" s="501" t="s">
        <v>3381</v>
      </c>
      <c r="F4081" s="501" t="s">
        <v>673</v>
      </c>
      <c r="G4081" s="501" t="s">
        <v>674</v>
      </c>
      <c r="H4081" s="501" t="s">
        <v>6640</v>
      </c>
      <c r="I4081" s="501">
        <v>4</v>
      </c>
      <c r="J4081" s="501">
        <v>0</v>
      </c>
      <c r="K4081" s="501">
        <v>0</v>
      </c>
      <c r="L4081" s="501">
        <v>0</v>
      </c>
      <c r="M4081" s="501">
        <v>0</v>
      </c>
      <c r="N4081" s="501">
        <v>0</v>
      </c>
      <c r="O4081" s="506">
        <v>4</v>
      </c>
    </row>
    <row r="4082" spans="1:15" x14ac:dyDescent="0.35">
      <c r="A4082" s="503" t="s">
        <v>1112</v>
      </c>
      <c r="B4082" s="504" t="s">
        <v>3008</v>
      </c>
      <c r="C4082" s="504" t="s">
        <v>1094</v>
      </c>
      <c r="D4082" s="504" t="s">
        <v>3380</v>
      </c>
      <c r="E4082" s="504" t="s">
        <v>3381</v>
      </c>
      <c r="F4082" s="504" t="s">
        <v>673</v>
      </c>
      <c r="G4082" s="504" t="s">
        <v>674</v>
      </c>
      <c r="H4082" s="504" t="s">
        <v>6641</v>
      </c>
      <c r="I4082" s="504">
        <v>1</v>
      </c>
      <c r="J4082" s="504">
        <v>0</v>
      </c>
      <c r="K4082" s="504">
        <v>0</v>
      </c>
      <c r="L4082" s="504">
        <v>0</v>
      </c>
      <c r="M4082" s="504">
        <v>0</v>
      </c>
      <c r="N4082" s="504">
        <v>0</v>
      </c>
      <c r="O4082" s="505">
        <v>1</v>
      </c>
    </row>
    <row r="4083" spans="1:15" x14ac:dyDescent="0.35">
      <c r="A4083" s="500" t="s">
        <v>1114</v>
      </c>
      <c r="B4083" s="501" t="s">
        <v>2982</v>
      </c>
      <c r="C4083" s="501" t="s">
        <v>1094</v>
      </c>
      <c r="D4083" s="501" t="s">
        <v>3380</v>
      </c>
      <c r="E4083" s="501" t="s">
        <v>3381</v>
      </c>
      <c r="F4083" s="501" t="s">
        <v>673</v>
      </c>
      <c r="G4083" s="501" t="s">
        <v>674</v>
      </c>
      <c r="H4083" s="501" t="s">
        <v>6642</v>
      </c>
      <c r="I4083" s="501">
        <v>464</v>
      </c>
      <c r="J4083" s="501">
        <v>212</v>
      </c>
      <c r="K4083" s="501">
        <v>0</v>
      </c>
      <c r="L4083" s="501">
        <v>0</v>
      </c>
      <c r="M4083" s="501">
        <v>32</v>
      </c>
      <c r="N4083" s="501">
        <v>0</v>
      </c>
      <c r="O4083" s="506">
        <v>220</v>
      </c>
    </row>
    <row r="4084" spans="1:15" x14ac:dyDescent="0.35">
      <c r="A4084" s="503" t="s">
        <v>1501</v>
      </c>
      <c r="B4084" s="504" t="s">
        <v>2956</v>
      </c>
      <c r="C4084" s="504" t="s">
        <v>1094</v>
      </c>
      <c r="D4084" s="504" t="s">
        <v>3380</v>
      </c>
      <c r="E4084" s="504" t="s">
        <v>3381</v>
      </c>
      <c r="F4084" s="504" t="s">
        <v>673</v>
      </c>
      <c r="G4084" s="504" t="s">
        <v>674</v>
      </c>
      <c r="H4084" s="504" t="s">
        <v>6643</v>
      </c>
      <c r="I4084" s="504">
        <v>27</v>
      </c>
      <c r="J4084" s="504">
        <v>2</v>
      </c>
      <c r="K4084" s="504">
        <v>0</v>
      </c>
      <c r="L4084" s="504">
        <v>0</v>
      </c>
      <c r="M4084" s="504">
        <v>22</v>
      </c>
      <c r="N4084" s="504">
        <v>0</v>
      </c>
      <c r="O4084" s="505">
        <v>3</v>
      </c>
    </row>
    <row r="4085" spans="1:15" x14ac:dyDescent="0.35">
      <c r="A4085" s="500" t="s">
        <v>1218</v>
      </c>
      <c r="B4085" s="501" t="s">
        <v>3147</v>
      </c>
      <c r="C4085" s="501" t="s">
        <v>1094</v>
      </c>
      <c r="D4085" s="501" t="s">
        <v>3380</v>
      </c>
      <c r="E4085" s="501" t="s">
        <v>3381</v>
      </c>
      <c r="F4085" s="501" t="s">
        <v>673</v>
      </c>
      <c r="G4085" s="501" t="s">
        <v>674</v>
      </c>
      <c r="H4085" s="501" t="s">
        <v>6644</v>
      </c>
      <c r="I4085" s="501">
        <v>97</v>
      </c>
      <c r="J4085" s="501">
        <v>0</v>
      </c>
      <c r="K4085" s="501">
        <v>0</v>
      </c>
      <c r="L4085" s="501">
        <v>0</v>
      </c>
      <c r="M4085" s="501">
        <v>0</v>
      </c>
      <c r="N4085" s="501">
        <v>0</v>
      </c>
      <c r="O4085" s="506">
        <v>97</v>
      </c>
    </row>
    <row r="4086" spans="1:15" x14ac:dyDescent="0.35">
      <c r="A4086" s="503" t="s">
        <v>11367</v>
      </c>
      <c r="B4086" s="504" t="s">
        <v>3143</v>
      </c>
      <c r="C4086" s="504" t="s">
        <v>1094</v>
      </c>
      <c r="D4086" s="504" t="s">
        <v>3380</v>
      </c>
      <c r="E4086" s="504" t="s">
        <v>3381</v>
      </c>
      <c r="F4086" s="504" t="s">
        <v>673</v>
      </c>
      <c r="G4086" s="504" t="s">
        <v>674</v>
      </c>
      <c r="H4086" s="504" t="s">
        <v>11931</v>
      </c>
      <c r="I4086" s="504">
        <v>115</v>
      </c>
      <c r="J4086" s="504">
        <v>115</v>
      </c>
      <c r="K4086" s="504">
        <v>0</v>
      </c>
      <c r="L4086" s="504">
        <v>0</v>
      </c>
      <c r="M4086" s="504">
        <v>0</v>
      </c>
      <c r="N4086" s="504">
        <v>0</v>
      </c>
      <c r="O4086" s="505">
        <v>0</v>
      </c>
    </row>
    <row r="4087" spans="1:15" x14ac:dyDescent="0.35">
      <c r="A4087" s="500" t="s">
        <v>1122</v>
      </c>
      <c r="B4087" s="501" t="s">
        <v>2994</v>
      </c>
      <c r="C4087" s="501" t="s">
        <v>1094</v>
      </c>
      <c r="D4087" s="501" t="s">
        <v>3380</v>
      </c>
      <c r="E4087" s="501" t="s">
        <v>3381</v>
      </c>
      <c r="F4087" s="501" t="s">
        <v>673</v>
      </c>
      <c r="G4087" s="501" t="s">
        <v>674</v>
      </c>
      <c r="H4087" s="501" t="s">
        <v>6645</v>
      </c>
      <c r="I4087" s="501">
        <v>3</v>
      </c>
      <c r="J4087" s="501">
        <v>3</v>
      </c>
      <c r="K4087" s="501">
        <v>0</v>
      </c>
      <c r="L4087" s="501">
        <v>0</v>
      </c>
      <c r="M4087" s="501">
        <v>0</v>
      </c>
      <c r="N4087" s="501">
        <v>0</v>
      </c>
      <c r="O4087" s="506">
        <v>0</v>
      </c>
    </row>
    <row r="4088" spans="1:15" x14ac:dyDescent="0.35">
      <c r="A4088" s="503" t="s">
        <v>1536</v>
      </c>
      <c r="B4088" s="504" t="s">
        <v>3178</v>
      </c>
      <c r="C4088" s="504" t="s">
        <v>1094</v>
      </c>
      <c r="D4088" s="504" t="s">
        <v>3380</v>
      </c>
      <c r="E4088" s="504" t="s">
        <v>3381</v>
      </c>
      <c r="F4088" s="504" t="s">
        <v>673</v>
      </c>
      <c r="G4088" s="504" t="s">
        <v>674</v>
      </c>
      <c r="H4088" s="504" t="s">
        <v>6646</v>
      </c>
      <c r="I4088" s="504">
        <v>151</v>
      </c>
      <c r="J4088" s="504">
        <v>73</v>
      </c>
      <c r="K4088" s="504">
        <v>0</v>
      </c>
      <c r="L4088" s="504">
        <v>0</v>
      </c>
      <c r="M4088" s="504">
        <v>0</v>
      </c>
      <c r="N4088" s="504">
        <v>0</v>
      </c>
      <c r="O4088" s="505">
        <v>78</v>
      </c>
    </row>
    <row r="4089" spans="1:15" x14ac:dyDescent="0.35">
      <c r="A4089" s="500" t="s">
        <v>1890</v>
      </c>
      <c r="B4089" s="501" t="s">
        <v>3055</v>
      </c>
      <c r="C4089" s="501" t="s">
        <v>1089</v>
      </c>
      <c r="D4089" s="501" t="s">
        <v>3392</v>
      </c>
      <c r="E4089" s="501" t="s">
        <v>3381</v>
      </c>
      <c r="F4089" s="501" t="s">
        <v>673</v>
      </c>
      <c r="G4089" s="501" t="s">
        <v>674</v>
      </c>
      <c r="H4089" s="501" t="s">
        <v>6647</v>
      </c>
      <c r="I4089" s="501">
        <v>32</v>
      </c>
      <c r="J4089" s="501">
        <v>0</v>
      </c>
      <c r="K4089" s="501">
        <v>0</v>
      </c>
      <c r="L4089" s="501">
        <v>0</v>
      </c>
      <c r="M4089" s="501">
        <v>32</v>
      </c>
      <c r="N4089" s="501">
        <v>0</v>
      </c>
      <c r="O4089" s="506">
        <v>0</v>
      </c>
    </row>
    <row r="4090" spans="1:15" x14ac:dyDescent="0.35">
      <c r="A4090" s="503" t="s">
        <v>1233</v>
      </c>
      <c r="B4090" s="504">
        <v>4636</v>
      </c>
      <c r="C4090" s="504" t="s">
        <v>1094</v>
      </c>
      <c r="D4090" s="504" t="s">
        <v>3380</v>
      </c>
      <c r="E4090" s="504" t="s">
        <v>3381</v>
      </c>
      <c r="F4090" s="504" t="s">
        <v>673</v>
      </c>
      <c r="G4090" s="504" t="s">
        <v>674</v>
      </c>
      <c r="H4090" s="504" t="s">
        <v>6648</v>
      </c>
      <c r="I4090" s="504">
        <v>5</v>
      </c>
      <c r="J4090" s="504">
        <v>0</v>
      </c>
      <c r="K4090" s="504">
        <v>0</v>
      </c>
      <c r="L4090" s="504">
        <v>0</v>
      </c>
      <c r="M4090" s="504">
        <v>0</v>
      </c>
      <c r="N4090" s="504">
        <v>0</v>
      </c>
      <c r="O4090" s="505">
        <v>5</v>
      </c>
    </row>
    <row r="4091" spans="1:15" x14ac:dyDescent="0.35">
      <c r="A4091" s="500" t="s">
        <v>11368</v>
      </c>
      <c r="B4091" s="501">
        <v>5083</v>
      </c>
      <c r="C4091" s="501" t="s">
        <v>1094</v>
      </c>
      <c r="D4091" s="501" t="s">
        <v>3380</v>
      </c>
      <c r="E4091" s="501" t="s">
        <v>3381</v>
      </c>
      <c r="F4091" s="501" t="s">
        <v>673</v>
      </c>
      <c r="G4091" s="501" t="s">
        <v>674</v>
      </c>
      <c r="H4091" s="501" t="s">
        <v>14764</v>
      </c>
      <c r="I4091" s="501">
        <v>12</v>
      </c>
      <c r="J4091" s="501">
        <v>12</v>
      </c>
      <c r="K4091" s="501">
        <v>0</v>
      </c>
      <c r="L4091" s="501">
        <v>0</v>
      </c>
      <c r="M4091" s="501">
        <v>0</v>
      </c>
      <c r="N4091" s="501">
        <v>0</v>
      </c>
      <c r="O4091" s="506">
        <v>0</v>
      </c>
    </row>
    <row r="4092" spans="1:15" x14ac:dyDescent="0.35">
      <c r="A4092" s="503" t="s">
        <v>1126</v>
      </c>
      <c r="B4092" s="504" t="s">
        <v>2974</v>
      </c>
      <c r="C4092" s="504" t="s">
        <v>1094</v>
      </c>
      <c r="D4092" s="504" t="s">
        <v>3380</v>
      </c>
      <c r="E4092" s="504" t="s">
        <v>3381</v>
      </c>
      <c r="F4092" s="504" t="s">
        <v>673</v>
      </c>
      <c r="G4092" s="504" t="s">
        <v>674</v>
      </c>
      <c r="H4092" s="504" t="s">
        <v>6649</v>
      </c>
      <c r="I4092" s="504">
        <v>75</v>
      </c>
      <c r="J4092" s="504">
        <v>67</v>
      </c>
      <c r="K4092" s="504">
        <v>0</v>
      </c>
      <c r="L4092" s="504">
        <v>0</v>
      </c>
      <c r="M4092" s="504">
        <v>4</v>
      </c>
      <c r="N4092" s="504">
        <v>0</v>
      </c>
      <c r="O4092" s="505">
        <v>4</v>
      </c>
    </row>
    <row r="4093" spans="1:15" x14ac:dyDescent="0.35">
      <c r="A4093" s="500" t="s">
        <v>1892</v>
      </c>
      <c r="B4093" s="501" t="s">
        <v>3172</v>
      </c>
      <c r="C4093" s="501" t="s">
        <v>1094</v>
      </c>
      <c r="D4093" s="501" t="s">
        <v>3380</v>
      </c>
      <c r="E4093" s="501" t="s">
        <v>3381</v>
      </c>
      <c r="F4093" s="501" t="s">
        <v>673</v>
      </c>
      <c r="G4093" s="501" t="s">
        <v>674</v>
      </c>
      <c r="H4093" s="501" t="s">
        <v>6650</v>
      </c>
      <c r="I4093" s="501">
        <v>4818</v>
      </c>
      <c r="J4093" s="501">
        <v>3903</v>
      </c>
      <c r="K4093" s="501">
        <v>0</v>
      </c>
      <c r="L4093" s="501">
        <v>5</v>
      </c>
      <c r="M4093" s="501">
        <v>735</v>
      </c>
      <c r="N4093" s="501">
        <v>0</v>
      </c>
      <c r="O4093" s="506">
        <v>175</v>
      </c>
    </row>
    <row r="4094" spans="1:15" x14ac:dyDescent="0.35">
      <c r="A4094" s="503" t="s">
        <v>1899</v>
      </c>
      <c r="B4094" s="504" t="s">
        <v>3078</v>
      </c>
      <c r="C4094" s="504" t="s">
        <v>1089</v>
      </c>
      <c r="D4094" s="504" t="s">
        <v>3392</v>
      </c>
      <c r="E4094" s="504" t="s">
        <v>3381</v>
      </c>
      <c r="F4094" s="504" t="s">
        <v>673</v>
      </c>
      <c r="G4094" s="504" t="s">
        <v>674</v>
      </c>
      <c r="H4094" s="504" t="s">
        <v>6651</v>
      </c>
      <c r="I4094" s="504">
        <v>34</v>
      </c>
      <c r="J4094" s="504">
        <v>0</v>
      </c>
      <c r="K4094" s="504">
        <v>0</v>
      </c>
      <c r="L4094" s="504">
        <v>34</v>
      </c>
      <c r="M4094" s="504">
        <v>0</v>
      </c>
      <c r="N4094" s="504">
        <v>0</v>
      </c>
      <c r="O4094" s="505">
        <v>0</v>
      </c>
    </row>
    <row r="4095" spans="1:15" x14ac:dyDescent="0.35">
      <c r="A4095" s="500" t="s">
        <v>1130</v>
      </c>
      <c r="B4095" s="501" t="s">
        <v>3234</v>
      </c>
      <c r="C4095" s="501" t="s">
        <v>1094</v>
      </c>
      <c r="D4095" s="501" t="s">
        <v>3380</v>
      </c>
      <c r="E4095" s="501" t="s">
        <v>3381</v>
      </c>
      <c r="F4095" s="501" t="s">
        <v>673</v>
      </c>
      <c r="G4095" s="501" t="s">
        <v>674</v>
      </c>
      <c r="H4095" s="501" t="s">
        <v>6652</v>
      </c>
      <c r="I4095" s="501">
        <v>1198</v>
      </c>
      <c r="J4095" s="501">
        <v>917</v>
      </c>
      <c r="K4095" s="501">
        <v>0</v>
      </c>
      <c r="L4095" s="501">
        <v>0</v>
      </c>
      <c r="M4095" s="501">
        <v>107</v>
      </c>
      <c r="N4095" s="501">
        <v>17</v>
      </c>
      <c r="O4095" s="506">
        <v>174</v>
      </c>
    </row>
    <row r="4096" spans="1:15" x14ac:dyDescent="0.35">
      <c r="A4096" s="503" t="s">
        <v>1240</v>
      </c>
      <c r="B4096" s="504" t="s">
        <v>2972</v>
      </c>
      <c r="C4096" s="504" t="s">
        <v>1094</v>
      </c>
      <c r="D4096" s="504" t="s">
        <v>3380</v>
      </c>
      <c r="E4096" s="504" t="s">
        <v>3381</v>
      </c>
      <c r="F4096" s="504" t="s">
        <v>673</v>
      </c>
      <c r="G4096" s="504" t="s">
        <v>674</v>
      </c>
      <c r="H4096" s="504" t="s">
        <v>6653</v>
      </c>
      <c r="I4096" s="504">
        <v>14</v>
      </c>
      <c r="J4096" s="504">
        <v>8</v>
      </c>
      <c r="K4096" s="504">
        <v>0</v>
      </c>
      <c r="L4096" s="504">
        <v>0</v>
      </c>
      <c r="M4096" s="504">
        <v>0</v>
      </c>
      <c r="N4096" s="504">
        <v>0</v>
      </c>
      <c r="O4096" s="505">
        <v>6</v>
      </c>
    </row>
    <row r="4097" spans="1:15" x14ac:dyDescent="0.35">
      <c r="A4097" s="500" t="s">
        <v>1241</v>
      </c>
      <c r="B4097" s="501">
        <v>4717</v>
      </c>
      <c r="C4097" s="501" t="s">
        <v>1094</v>
      </c>
      <c r="D4097" s="501" t="s">
        <v>3380</v>
      </c>
      <c r="E4097" s="501" t="s">
        <v>3381</v>
      </c>
      <c r="F4097" s="501" t="s">
        <v>673</v>
      </c>
      <c r="G4097" s="501" t="s">
        <v>674</v>
      </c>
      <c r="H4097" s="501" t="s">
        <v>6654</v>
      </c>
      <c r="I4097" s="501">
        <v>3</v>
      </c>
      <c r="J4097" s="501">
        <v>0</v>
      </c>
      <c r="K4097" s="501">
        <v>0</v>
      </c>
      <c r="L4097" s="501">
        <v>0</v>
      </c>
      <c r="M4097" s="501">
        <v>0</v>
      </c>
      <c r="N4097" s="501">
        <v>0</v>
      </c>
      <c r="O4097" s="506">
        <v>3</v>
      </c>
    </row>
    <row r="4098" spans="1:15" x14ac:dyDescent="0.35">
      <c r="A4098" s="503" t="s">
        <v>1134</v>
      </c>
      <c r="B4098" s="504" t="s">
        <v>3066</v>
      </c>
      <c r="C4098" s="504" t="s">
        <v>1094</v>
      </c>
      <c r="D4098" s="504" t="s">
        <v>3380</v>
      </c>
      <c r="E4098" s="504" t="s">
        <v>3381</v>
      </c>
      <c r="F4098" s="504" t="s">
        <v>673</v>
      </c>
      <c r="G4098" s="504" t="s">
        <v>674</v>
      </c>
      <c r="H4098" s="504" t="s">
        <v>6655</v>
      </c>
      <c r="I4098" s="504">
        <v>103</v>
      </c>
      <c r="J4098" s="504">
        <v>100</v>
      </c>
      <c r="K4098" s="504">
        <v>0</v>
      </c>
      <c r="L4098" s="504">
        <v>0</v>
      </c>
      <c r="M4098" s="504">
        <v>3</v>
      </c>
      <c r="N4098" s="504">
        <v>0</v>
      </c>
      <c r="O4098" s="505">
        <v>0</v>
      </c>
    </row>
    <row r="4099" spans="1:15" x14ac:dyDescent="0.35">
      <c r="A4099" s="500" t="s">
        <v>1249</v>
      </c>
      <c r="B4099" s="501">
        <v>4729</v>
      </c>
      <c r="C4099" s="501" t="s">
        <v>1094</v>
      </c>
      <c r="D4099" s="501" t="s">
        <v>3380</v>
      </c>
      <c r="E4099" s="501" t="s">
        <v>3381</v>
      </c>
      <c r="F4099" s="501" t="s">
        <v>673</v>
      </c>
      <c r="G4099" s="501" t="s">
        <v>674</v>
      </c>
      <c r="H4099" s="501" t="s">
        <v>6656</v>
      </c>
      <c r="I4099" s="501">
        <v>14</v>
      </c>
      <c r="J4099" s="501">
        <v>14</v>
      </c>
      <c r="K4099" s="501">
        <v>0</v>
      </c>
      <c r="L4099" s="501">
        <v>0</v>
      </c>
      <c r="M4099" s="501">
        <v>0</v>
      </c>
      <c r="N4099" s="501">
        <v>0</v>
      </c>
      <c r="O4099" s="506">
        <v>0</v>
      </c>
    </row>
    <row r="4100" spans="1:15" x14ac:dyDescent="0.35">
      <c r="A4100" s="503" t="s">
        <v>1252</v>
      </c>
      <c r="B4100" s="504" t="s">
        <v>2875</v>
      </c>
      <c r="C4100" s="504" t="s">
        <v>1089</v>
      </c>
      <c r="D4100" s="504" t="s">
        <v>3392</v>
      </c>
      <c r="E4100" s="504" t="s">
        <v>3381</v>
      </c>
      <c r="F4100" s="504" t="s">
        <v>673</v>
      </c>
      <c r="G4100" s="504" t="s">
        <v>674</v>
      </c>
      <c r="H4100" s="504" t="s">
        <v>6657</v>
      </c>
      <c r="I4100" s="504">
        <v>8</v>
      </c>
      <c r="J4100" s="504">
        <v>0</v>
      </c>
      <c r="K4100" s="504">
        <v>0</v>
      </c>
      <c r="L4100" s="504">
        <v>8</v>
      </c>
      <c r="M4100" s="504">
        <v>0</v>
      </c>
      <c r="N4100" s="504">
        <v>0</v>
      </c>
      <c r="O4100" s="505">
        <v>0</v>
      </c>
    </row>
    <row r="4101" spans="1:15" x14ac:dyDescent="0.35">
      <c r="A4101" s="500" t="s">
        <v>1140</v>
      </c>
      <c r="B4101" s="501">
        <v>4850</v>
      </c>
      <c r="C4101" s="501" t="s">
        <v>1094</v>
      </c>
      <c r="D4101" s="501" t="s">
        <v>3380</v>
      </c>
      <c r="E4101" s="501" t="s">
        <v>3381</v>
      </c>
      <c r="F4101" s="501" t="s">
        <v>673</v>
      </c>
      <c r="G4101" s="501" t="s">
        <v>674</v>
      </c>
      <c r="H4101" s="501" t="s">
        <v>14765</v>
      </c>
      <c r="I4101" s="501">
        <v>15</v>
      </c>
      <c r="J4101" s="501">
        <v>12</v>
      </c>
      <c r="K4101" s="501">
        <v>0</v>
      </c>
      <c r="L4101" s="501">
        <v>0</v>
      </c>
      <c r="M4101" s="501">
        <v>0</v>
      </c>
      <c r="N4101" s="501">
        <v>0</v>
      </c>
      <c r="O4101" s="506">
        <v>3</v>
      </c>
    </row>
    <row r="4102" spans="1:15" x14ac:dyDescent="0.35">
      <c r="A4102" s="503" t="s">
        <v>1944</v>
      </c>
      <c r="B4102" s="504">
        <v>4644</v>
      </c>
      <c r="C4102" s="504" t="s">
        <v>1089</v>
      </c>
      <c r="D4102" s="504" t="s">
        <v>3392</v>
      </c>
      <c r="E4102" s="504" t="s">
        <v>3381</v>
      </c>
      <c r="F4102" s="504" t="s">
        <v>673</v>
      </c>
      <c r="G4102" s="504" t="s">
        <v>674</v>
      </c>
      <c r="H4102" s="504" t="s">
        <v>6658</v>
      </c>
      <c r="I4102" s="504">
        <v>50</v>
      </c>
      <c r="J4102" s="504">
        <v>0</v>
      </c>
      <c r="K4102" s="504">
        <v>0</v>
      </c>
      <c r="L4102" s="504">
        <v>50</v>
      </c>
      <c r="M4102" s="504">
        <v>0</v>
      </c>
      <c r="N4102" s="504">
        <v>0</v>
      </c>
      <c r="O4102" s="505">
        <v>0</v>
      </c>
    </row>
    <row r="4103" spans="1:15" x14ac:dyDescent="0.35">
      <c r="A4103" s="500" t="s">
        <v>1385</v>
      </c>
      <c r="B4103" s="501" t="s">
        <v>3249</v>
      </c>
      <c r="C4103" s="501" t="s">
        <v>1094</v>
      </c>
      <c r="D4103" s="501" t="s">
        <v>3380</v>
      </c>
      <c r="E4103" s="501" t="s">
        <v>3381</v>
      </c>
      <c r="F4103" s="501" t="s">
        <v>675</v>
      </c>
      <c r="G4103" s="501" t="s">
        <v>676</v>
      </c>
      <c r="H4103" s="501" t="s">
        <v>6659</v>
      </c>
      <c r="I4103" s="501">
        <v>1028</v>
      </c>
      <c r="J4103" s="501">
        <v>747</v>
      </c>
      <c r="K4103" s="501">
        <v>0</v>
      </c>
      <c r="L4103" s="501">
        <v>0</v>
      </c>
      <c r="M4103" s="501">
        <v>0</v>
      </c>
      <c r="N4103" s="501">
        <v>0</v>
      </c>
      <c r="O4103" s="506">
        <v>281</v>
      </c>
    </row>
    <row r="4104" spans="1:15" x14ac:dyDescent="0.35">
      <c r="A4104" s="503" t="s">
        <v>1386</v>
      </c>
      <c r="B4104" s="504" t="s">
        <v>3331</v>
      </c>
      <c r="C4104" s="504" t="s">
        <v>1094</v>
      </c>
      <c r="D4104" s="504" t="s">
        <v>3380</v>
      </c>
      <c r="E4104" s="504" t="s">
        <v>3381</v>
      </c>
      <c r="F4104" s="504" t="s">
        <v>675</v>
      </c>
      <c r="G4104" s="504" t="s">
        <v>676</v>
      </c>
      <c r="H4104" s="504" t="s">
        <v>6660</v>
      </c>
      <c r="I4104" s="504">
        <v>905</v>
      </c>
      <c r="J4104" s="504">
        <v>695</v>
      </c>
      <c r="K4104" s="504">
        <v>0</v>
      </c>
      <c r="L4104" s="504">
        <v>0</v>
      </c>
      <c r="M4104" s="504">
        <v>0</v>
      </c>
      <c r="N4104" s="504">
        <v>0</v>
      </c>
      <c r="O4104" s="505">
        <v>210</v>
      </c>
    </row>
    <row r="4105" spans="1:15" x14ac:dyDescent="0.35">
      <c r="A4105" s="500" t="s">
        <v>1400</v>
      </c>
      <c r="B4105" s="501" t="s">
        <v>2815</v>
      </c>
      <c r="C4105" s="501" t="s">
        <v>1089</v>
      </c>
      <c r="D4105" s="501" t="s">
        <v>3392</v>
      </c>
      <c r="E4105" s="501" t="s">
        <v>3381</v>
      </c>
      <c r="F4105" s="501" t="s">
        <v>675</v>
      </c>
      <c r="G4105" s="501" t="s">
        <v>676</v>
      </c>
      <c r="H4105" s="501" t="s">
        <v>6661</v>
      </c>
      <c r="I4105" s="501">
        <v>55</v>
      </c>
      <c r="J4105" s="501">
        <v>55</v>
      </c>
      <c r="K4105" s="501">
        <v>0</v>
      </c>
      <c r="L4105" s="501">
        <v>0</v>
      </c>
      <c r="M4105" s="501">
        <v>0</v>
      </c>
      <c r="N4105" s="501">
        <v>0</v>
      </c>
      <c r="O4105" s="506">
        <v>0</v>
      </c>
    </row>
    <row r="4106" spans="1:15" x14ac:dyDescent="0.35">
      <c r="A4106" s="503" t="s">
        <v>1403</v>
      </c>
      <c r="B4106" s="504">
        <v>4733</v>
      </c>
      <c r="C4106" s="504" t="s">
        <v>1089</v>
      </c>
      <c r="D4106" s="504" t="s">
        <v>3392</v>
      </c>
      <c r="E4106" s="504" t="s">
        <v>3381</v>
      </c>
      <c r="F4106" s="504" t="s">
        <v>675</v>
      </c>
      <c r="G4106" s="504" t="s">
        <v>676</v>
      </c>
      <c r="H4106" s="504" t="s">
        <v>6662</v>
      </c>
      <c r="I4106" s="504">
        <v>38</v>
      </c>
      <c r="J4106" s="504">
        <v>0</v>
      </c>
      <c r="K4106" s="504">
        <v>26</v>
      </c>
      <c r="L4106" s="504">
        <v>12</v>
      </c>
      <c r="M4106" s="504">
        <v>0</v>
      </c>
      <c r="N4106" s="504">
        <v>0</v>
      </c>
      <c r="O4106" s="505">
        <v>0</v>
      </c>
    </row>
    <row r="4107" spans="1:15" x14ac:dyDescent="0.35">
      <c r="A4107" s="500" t="s">
        <v>1161</v>
      </c>
      <c r="B4107" s="501" t="s">
        <v>3001</v>
      </c>
      <c r="C4107" s="501" t="s">
        <v>1094</v>
      </c>
      <c r="D4107" s="501" t="s">
        <v>3380</v>
      </c>
      <c r="E4107" s="501" t="s">
        <v>3381</v>
      </c>
      <c r="F4107" s="501" t="s">
        <v>675</v>
      </c>
      <c r="G4107" s="501" t="s">
        <v>676</v>
      </c>
      <c r="H4107" s="501" t="s">
        <v>6663</v>
      </c>
      <c r="I4107" s="501">
        <v>1058</v>
      </c>
      <c r="J4107" s="501">
        <v>811</v>
      </c>
      <c r="K4107" s="501">
        <v>0</v>
      </c>
      <c r="L4107" s="501">
        <v>0</v>
      </c>
      <c r="M4107" s="501">
        <v>40</v>
      </c>
      <c r="N4107" s="501">
        <v>0</v>
      </c>
      <c r="O4107" s="506">
        <v>207</v>
      </c>
    </row>
    <row r="4108" spans="1:15" x14ac:dyDescent="0.35">
      <c r="A4108" s="503" t="s">
        <v>1410</v>
      </c>
      <c r="B4108" s="504" t="s">
        <v>2868</v>
      </c>
      <c r="C4108" s="504" t="s">
        <v>1094</v>
      </c>
      <c r="D4108" s="504" t="s">
        <v>3380</v>
      </c>
      <c r="E4108" s="504" t="s">
        <v>3381</v>
      </c>
      <c r="F4108" s="504" t="s">
        <v>675</v>
      </c>
      <c r="G4108" s="504" t="s">
        <v>676</v>
      </c>
      <c r="H4108" s="504" t="s">
        <v>6664</v>
      </c>
      <c r="I4108" s="504">
        <v>31</v>
      </c>
      <c r="J4108" s="504">
        <v>0</v>
      </c>
      <c r="K4108" s="504">
        <v>0</v>
      </c>
      <c r="L4108" s="504">
        <v>31</v>
      </c>
      <c r="M4108" s="504">
        <v>0</v>
      </c>
      <c r="N4108" s="504">
        <v>0</v>
      </c>
      <c r="O4108" s="505">
        <v>0</v>
      </c>
    </row>
    <row r="4109" spans="1:15" x14ac:dyDescent="0.35">
      <c r="A4109" s="500" t="s">
        <v>1416</v>
      </c>
      <c r="B4109" s="501" t="s">
        <v>2466</v>
      </c>
      <c r="C4109" s="501" t="s">
        <v>1089</v>
      </c>
      <c r="D4109" s="501" t="s">
        <v>3392</v>
      </c>
      <c r="E4109" s="501" t="s">
        <v>3381</v>
      </c>
      <c r="F4109" s="501" t="s">
        <v>675</v>
      </c>
      <c r="G4109" s="501" t="s">
        <v>676</v>
      </c>
      <c r="H4109" s="501" t="s">
        <v>6665</v>
      </c>
      <c r="I4109" s="501">
        <v>19</v>
      </c>
      <c r="J4109" s="501">
        <v>19</v>
      </c>
      <c r="K4109" s="501">
        <v>0</v>
      </c>
      <c r="L4109" s="501">
        <v>0</v>
      </c>
      <c r="M4109" s="501">
        <v>0</v>
      </c>
      <c r="N4109" s="501">
        <v>0</v>
      </c>
      <c r="O4109" s="506">
        <v>0</v>
      </c>
    </row>
    <row r="4110" spans="1:15" x14ac:dyDescent="0.35">
      <c r="A4110" s="503" t="s">
        <v>1164</v>
      </c>
      <c r="B4110" s="504">
        <v>4751</v>
      </c>
      <c r="C4110" s="504" t="s">
        <v>1089</v>
      </c>
      <c r="D4110" s="504" t="s">
        <v>3392</v>
      </c>
      <c r="E4110" s="504" t="s">
        <v>3381</v>
      </c>
      <c r="F4110" s="504" t="s">
        <v>675</v>
      </c>
      <c r="G4110" s="504" t="s">
        <v>676</v>
      </c>
      <c r="H4110" s="504" t="s">
        <v>6666</v>
      </c>
      <c r="I4110" s="504">
        <v>17</v>
      </c>
      <c r="J4110" s="504">
        <v>0</v>
      </c>
      <c r="K4110" s="504">
        <v>0</v>
      </c>
      <c r="L4110" s="504">
        <v>17</v>
      </c>
      <c r="M4110" s="504">
        <v>0</v>
      </c>
      <c r="N4110" s="504">
        <v>0</v>
      </c>
      <c r="O4110" s="505">
        <v>0</v>
      </c>
    </row>
    <row r="4111" spans="1:15" x14ac:dyDescent="0.35">
      <c r="A4111" s="500" t="s">
        <v>1100</v>
      </c>
      <c r="B4111" s="501">
        <v>4865</v>
      </c>
      <c r="C4111" s="501" t="s">
        <v>1094</v>
      </c>
      <c r="D4111" s="501" t="s">
        <v>3380</v>
      </c>
      <c r="E4111" s="501" t="s">
        <v>3381</v>
      </c>
      <c r="F4111" s="501" t="s">
        <v>675</v>
      </c>
      <c r="G4111" s="501" t="s">
        <v>676</v>
      </c>
      <c r="H4111" s="501" t="s">
        <v>6667</v>
      </c>
      <c r="I4111" s="501">
        <v>38</v>
      </c>
      <c r="J4111" s="501">
        <v>19</v>
      </c>
      <c r="K4111" s="501">
        <v>0</v>
      </c>
      <c r="L4111" s="501">
        <v>0</v>
      </c>
      <c r="M4111" s="501">
        <v>0</v>
      </c>
      <c r="N4111" s="501">
        <v>0</v>
      </c>
      <c r="O4111" s="506">
        <v>19</v>
      </c>
    </row>
    <row r="4112" spans="1:15" x14ac:dyDescent="0.35">
      <c r="A4112" s="503" t="s">
        <v>1287</v>
      </c>
      <c r="B4112" s="504" t="s">
        <v>2784</v>
      </c>
      <c r="C4112" s="504" t="s">
        <v>1089</v>
      </c>
      <c r="D4112" s="504" t="s">
        <v>3392</v>
      </c>
      <c r="E4112" s="504" t="s">
        <v>3381</v>
      </c>
      <c r="F4112" s="504" t="s">
        <v>675</v>
      </c>
      <c r="G4112" s="504" t="s">
        <v>676</v>
      </c>
      <c r="H4112" s="504" t="s">
        <v>6668</v>
      </c>
      <c r="I4112" s="504">
        <v>106</v>
      </c>
      <c r="J4112" s="504">
        <v>106</v>
      </c>
      <c r="K4112" s="504">
        <v>0</v>
      </c>
      <c r="L4112" s="504">
        <v>0</v>
      </c>
      <c r="M4112" s="504">
        <v>0</v>
      </c>
      <c r="N4112" s="504">
        <v>0</v>
      </c>
      <c r="O4112" s="505">
        <v>0</v>
      </c>
    </row>
    <row r="4113" spans="1:15" x14ac:dyDescent="0.35">
      <c r="A4113" s="500" t="s">
        <v>1420</v>
      </c>
      <c r="B4113" s="501">
        <v>4764</v>
      </c>
      <c r="C4113" s="501" t="s">
        <v>1089</v>
      </c>
      <c r="D4113" s="501" t="s">
        <v>3392</v>
      </c>
      <c r="E4113" s="501" t="s">
        <v>3381</v>
      </c>
      <c r="F4113" s="501" t="s">
        <v>675</v>
      </c>
      <c r="G4113" s="501" t="s">
        <v>676</v>
      </c>
      <c r="H4113" s="501" t="s">
        <v>11664</v>
      </c>
      <c r="I4113" s="501">
        <v>3</v>
      </c>
      <c r="J4113" s="501">
        <v>3</v>
      </c>
      <c r="K4113" s="501">
        <v>0</v>
      </c>
      <c r="L4113" s="501">
        <v>0</v>
      </c>
      <c r="M4113" s="501">
        <v>0</v>
      </c>
      <c r="N4113" s="501">
        <v>0</v>
      </c>
      <c r="O4113" s="506">
        <v>0</v>
      </c>
    </row>
    <row r="4114" spans="1:15" x14ac:dyDescent="0.35">
      <c r="A4114" s="503" t="s">
        <v>1421</v>
      </c>
      <c r="B4114" s="504" t="s">
        <v>2742</v>
      </c>
      <c r="C4114" s="504" t="s">
        <v>1089</v>
      </c>
      <c r="D4114" s="504" t="s">
        <v>3392</v>
      </c>
      <c r="E4114" s="504" t="s">
        <v>3381</v>
      </c>
      <c r="F4114" s="504" t="s">
        <v>675</v>
      </c>
      <c r="G4114" s="504" t="s">
        <v>676</v>
      </c>
      <c r="H4114" s="504" t="s">
        <v>6669</v>
      </c>
      <c r="I4114" s="504">
        <v>23</v>
      </c>
      <c r="J4114" s="504">
        <v>23</v>
      </c>
      <c r="K4114" s="504">
        <v>0</v>
      </c>
      <c r="L4114" s="504">
        <v>0</v>
      </c>
      <c r="M4114" s="504">
        <v>0</v>
      </c>
      <c r="N4114" s="504">
        <v>0</v>
      </c>
      <c r="O4114" s="505">
        <v>0</v>
      </c>
    </row>
    <row r="4115" spans="1:15" x14ac:dyDescent="0.35">
      <c r="A4115" s="500" t="s">
        <v>1424</v>
      </c>
      <c r="B4115" s="501" t="s">
        <v>3089</v>
      </c>
      <c r="C4115" s="501" t="s">
        <v>1089</v>
      </c>
      <c r="D4115" s="501" t="s">
        <v>3392</v>
      </c>
      <c r="E4115" s="501" t="s">
        <v>3381</v>
      </c>
      <c r="F4115" s="501" t="s">
        <v>675</v>
      </c>
      <c r="G4115" s="501" t="s">
        <v>676</v>
      </c>
      <c r="H4115" s="501" t="s">
        <v>6670</v>
      </c>
      <c r="I4115" s="501">
        <v>28</v>
      </c>
      <c r="J4115" s="501">
        <v>0</v>
      </c>
      <c r="K4115" s="501">
        <v>0</v>
      </c>
      <c r="L4115" s="501">
        <v>0</v>
      </c>
      <c r="M4115" s="501">
        <v>28</v>
      </c>
      <c r="N4115" s="501">
        <v>20</v>
      </c>
      <c r="O4115" s="506">
        <v>0</v>
      </c>
    </row>
    <row r="4116" spans="1:15" x14ac:dyDescent="0.35">
      <c r="A4116" s="503" t="s">
        <v>1172</v>
      </c>
      <c r="B4116" s="504">
        <v>4648</v>
      </c>
      <c r="C4116" s="504" t="s">
        <v>1089</v>
      </c>
      <c r="D4116" s="504" t="s">
        <v>3392</v>
      </c>
      <c r="E4116" s="504" t="s">
        <v>3381</v>
      </c>
      <c r="F4116" s="504" t="s">
        <v>675</v>
      </c>
      <c r="G4116" s="504" t="s">
        <v>676</v>
      </c>
      <c r="H4116" s="504" t="s">
        <v>6671</v>
      </c>
      <c r="I4116" s="504">
        <v>2</v>
      </c>
      <c r="J4116" s="504">
        <v>0</v>
      </c>
      <c r="K4116" s="504">
        <v>0</v>
      </c>
      <c r="L4116" s="504">
        <v>2</v>
      </c>
      <c r="M4116" s="504">
        <v>0</v>
      </c>
      <c r="N4116" s="504">
        <v>0</v>
      </c>
      <c r="O4116" s="505">
        <v>0</v>
      </c>
    </row>
    <row r="4117" spans="1:15" x14ac:dyDescent="0.35">
      <c r="A4117" s="500" t="s">
        <v>1447</v>
      </c>
      <c r="B4117" s="501" t="s">
        <v>2689</v>
      </c>
      <c r="C4117" s="501" t="s">
        <v>1089</v>
      </c>
      <c r="D4117" s="501" t="s">
        <v>3392</v>
      </c>
      <c r="E4117" s="501" t="s">
        <v>3381</v>
      </c>
      <c r="F4117" s="501" t="s">
        <v>675</v>
      </c>
      <c r="G4117" s="501" t="s">
        <v>676</v>
      </c>
      <c r="H4117" s="501" t="s">
        <v>6672</v>
      </c>
      <c r="I4117" s="501">
        <v>75</v>
      </c>
      <c r="J4117" s="501">
        <v>75</v>
      </c>
      <c r="K4117" s="501">
        <v>0</v>
      </c>
      <c r="L4117" s="501">
        <v>0</v>
      </c>
      <c r="M4117" s="501">
        <v>0</v>
      </c>
      <c r="N4117" s="501">
        <v>0</v>
      </c>
      <c r="O4117" s="506">
        <v>0</v>
      </c>
    </row>
    <row r="4118" spans="1:15" x14ac:dyDescent="0.35">
      <c r="A4118" s="503" t="s">
        <v>1185</v>
      </c>
      <c r="B4118" s="504" t="s">
        <v>3253</v>
      </c>
      <c r="C4118" s="504" t="s">
        <v>1094</v>
      </c>
      <c r="D4118" s="504" t="s">
        <v>3380</v>
      </c>
      <c r="E4118" s="504" t="s">
        <v>3381</v>
      </c>
      <c r="F4118" s="504" t="s">
        <v>675</v>
      </c>
      <c r="G4118" s="504" t="s">
        <v>676</v>
      </c>
      <c r="H4118" s="504" t="s">
        <v>6673</v>
      </c>
      <c r="I4118" s="504">
        <v>16</v>
      </c>
      <c r="J4118" s="504">
        <v>12</v>
      </c>
      <c r="K4118" s="504">
        <v>0</v>
      </c>
      <c r="L4118" s="504">
        <v>4</v>
      </c>
      <c r="M4118" s="504">
        <v>0</v>
      </c>
      <c r="N4118" s="504">
        <v>0</v>
      </c>
      <c r="O4118" s="505">
        <v>0</v>
      </c>
    </row>
    <row r="4119" spans="1:15" x14ac:dyDescent="0.35">
      <c r="A4119" s="500" t="s">
        <v>1454</v>
      </c>
      <c r="B4119" s="501" t="s">
        <v>3019</v>
      </c>
      <c r="C4119" s="501" t="s">
        <v>1089</v>
      </c>
      <c r="D4119" s="501" t="s">
        <v>3392</v>
      </c>
      <c r="E4119" s="501" t="s">
        <v>3381</v>
      </c>
      <c r="F4119" s="501" t="s">
        <v>675</v>
      </c>
      <c r="G4119" s="501" t="s">
        <v>676</v>
      </c>
      <c r="H4119" s="501" t="s">
        <v>6674</v>
      </c>
      <c r="I4119" s="501">
        <v>42</v>
      </c>
      <c r="J4119" s="501">
        <v>4</v>
      </c>
      <c r="K4119" s="501">
        <v>0</v>
      </c>
      <c r="L4119" s="501">
        <v>0</v>
      </c>
      <c r="M4119" s="501">
        <v>38</v>
      </c>
      <c r="N4119" s="501">
        <v>0</v>
      </c>
      <c r="O4119" s="506">
        <v>0</v>
      </c>
    </row>
    <row r="4120" spans="1:15" x14ac:dyDescent="0.35">
      <c r="A4120" s="503" t="s">
        <v>1105</v>
      </c>
      <c r="B4120" s="504">
        <v>4668</v>
      </c>
      <c r="C4120" s="504" t="s">
        <v>1094</v>
      </c>
      <c r="D4120" s="504" t="s">
        <v>3380</v>
      </c>
      <c r="E4120" s="504" t="s">
        <v>3381</v>
      </c>
      <c r="F4120" s="504" t="s">
        <v>675</v>
      </c>
      <c r="G4120" s="504" t="s">
        <v>676</v>
      </c>
      <c r="H4120" s="504" t="s">
        <v>6675</v>
      </c>
      <c r="I4120" s="504">
        <v>13</v>
      </c>
      <c r="J4120" s="504">
        <v>0</v>
      </c>
      <c r="K4120" s="504">
        <v>0</v>
      </c>
      <c r="L4120" s="504">
        <v>0</v>
      </c>
      <c r="M4120" s="504">
        <v>0</v>
      </c>
      <c r="N4120" s="504">
        <v>0</v>
      </c>
      <c r="O4120" s="505">
        <v>13</v>
      </c>
    </row>
    <row r="4121" spans="1:15" x14ac:dyDescent="0.35">
      <c r="A4121" s="500" t="s">
        <v>1107</v>
      </c>
      <c r="B4121" s="501" t="s">
        <v>3109</v>
      </c>
      <c r="C4121" s="501" t="s">
        <v>1094</v>
      </c>
      <c r="D4121" s="501" t="s">
        <v>3380</v>
      </c>
      <c r="E4121" s="501" t="s">
        <v>3381</v>
      </c>
      <c r="F4121" s="501" t="s">
        <v>675</v>
      </c>
      <c r="G4121" s="501" t="s">
        <v>676</v>
      </c>
      <c r="H4121" s="501" t="s">
        <v>6676</v>
      </c>
      <c r="I4121" s="501">
        <v>81</v>
      </c>
      <c r="J4121" s="501">
        <v>55</v>
      </c>
      <c r="K4121" s="501">
        <v>0</v>
      </c>
      <c r="L4121" s="501">
        <v>26</v>
      </c>
      <c r="M4121" s="501">
        <v>0</v>
      </c>
      <c r="N4121" s="501">
        <v>0</v>
      </c>
      <c r="O4121" s="506">
        <v>0</v>
      </c>
    </row>
    <row r="4122" spans="1:15" x14ac:dyDescent="0.35">
      <c r="A4122" s="503" t="s">
        <v>1109</v>
      </c>
      <c r="B4122" s="504" t="s">
        <v>2959</v>
      </c>
      <c r="C4122" s="504" t="s">
        <v>1094</v>
      </c>
      <c r="D4122" s="504" t="s">
        <v>3380</v>
      </c>
      <c r="E4122" s="504" t="s">
        <v>3381</v>
      </c>
      <c r="F4122" s="504" t="s">
        <v>675</v>
      </c>
      <c r="G4122" s="504" t="s">
        <v>676</v>
      </c>
      <c r="H4122" s="504" t="s">
        <v>6677</v>
      </c>
      <c r="I4122" s="504">
        <v>43</v>
      </c>
      <c r="J4122" s="504">
        <v>0</v>
      </c>
      <c r="K4122" s="504">
        <v>0</v>
      </c>
      <c r="L4122" s="504">
        <v>1</v>
      </c>
      <c r="M4122" s="504">
        <v>37</v>
      </c>
      <c r="N4122" s="504">
        <v>0</v>
      </c>
      <c r="O4122" s="505">
        <v>5</v>
      </c>
    </row>
    <row r="4123" spans="1:15" x14ac:dyDescent="0.35">
      <c r="A4123" s="500" t="s">
        <v>1469</v>
      </c>
      <c r="B4123" s="501" t="s">
        <v>3023</v>
      </c>
      <c r="C4123" s="501" t="s">
        <v>1089</v>
      </c>
      <c r="D4123" s="501" t="s">
        <v>3392</v>
      </c>
      <c r="E4123" s="501" t="s">
        <v>3381</v>
      </c>
      <c r="F4123" s="501" t="s">
        <v>675</v>
      </c>
      <c r="G4123" s="501" t="s">
        <v>676</v>
      </c>
      <c r="H4123" s="501" t="s">
        <v>6678</v>
      </c>
      <c r="I4123" s="501">
        <v>42</v>
      </c>
      <c r="J4123" s="501">
        <v>42</v>
      </c>
      <c r="K4123" s="501">
        <v>0</v>
      </c>
      <c r="L4123" s="501">
        <v>0</v>
      </c>
      <c r="M4123" s="501">
        <v>0</v>
      </c>
      <c r="N4123" s="501">
        <v>8</v>
      </c>
      <c r="O4123" s="506">
        <v>0</v>
      </c>
    </row>
    <row r="4124" spans="1:15" x14ac:dyDescent="0.35">
      <c r="A4124" s="503" t="s">
        <v>1470</v>
      </c>
      <c r="B4124" s="504" t="s">
        <v>2439</v>
      </c>
      <c r="C4124" s="504" t="s">
        <v>1089</v>
      </c>
      <c r="D4124" s="504" t="s">
        <v>3392</v>
      </c>
      <c r="E4124" s="504" t="s">
        <v>3381</v>
      </c>
      <c r="F4124" s="504" t="s">
        <v>675</v>
      </c>
      <c r="G4124" s="504" t="s">
        <v>676</v>
      </c>
      <c r="H4124" s="504" t="s">
        <v>6679</v>
      </c>
      <c r="I4124" s="504">
        <v>2</v>
      </c>
      <c r="J4124" s="504">
        <v>2</v>
      </c>
      <c r="K4124" s="504">
        <v>0</v>
      </c>
      <c r="L4124" s="504">
        <v>0</v>
      </c>
      <c r="M4124" s="504">
        <v>0</v>
      </c>
      <c r="N4124" s="504">
        <v>0</v>
      </c>
      <c r="O4124" s="505">
        <v>0</v>
      </c>
    </row>
    <row r="4125" spans="1:15" x14ac:dyDescent="0.35">
      <c r="A4125" s="500" t="s">
        <v>1190</v>
      </c>
      <c r="B4125" s="501">
        <v>4662</v>
      </c>
      <c r="C4125" s="501" t="s">
        <v>1094</v>
      </c>
      <c r="D4125" s="501" t="s">
        <v>3380</v>
      </c>
      <c r="E4125" s="501" t="s">
        <v>3381</v>
      </c>
      <c r="F4125" s="501" t="s">
        <v>675</v>
      </c>
      <c r="G4125" s="501" t="s">
        <v>676</v>
      </c>
      <c r="H4125" s="501" t="s">
        <v>6680</v>
      </c>
      <c r="I4125" s="501">
        <v>4</v>
      </c>
      <c r="J4125" s="501">
        <v>0</v>
      </c>
      <c r="K4125" s="501">
        <v>0</v>
      </c>
      <c r="L4125" s="501">
        <v>4</v>
      </c>
      <c r="M4125" s="501">
        <v>0</v>
      </c>
      <c r="N4125" s="501">
        <v>0</v>
      </c>
      <c r="O4125" s="506">
        <v>0</v>
      </c>
    </row>
    <row r="4126" spans="1:15" x14ac:dyDescent="0.35">
      <c r="A4126" s="503" t="s">
        <v>1474</v>
      </c>
      <c r="B4126" s="504" t="s">
        <v>3300</v>
      </c>
      <c r="C4126" s="504" t="s">
        <v>1094</v>
      </c>
      <c r="D4126" s="504" t="s">
        <v>3380</v>
      </c>
      <c r="E4126" s="504" t="s">
        <v>3381</v>
      </c>
      <c r="F4126" s="504" t="s">
        <v>675</v>
      </c>
      <c r="G4126" s="504" t="s">
        <v>676</v>
      </c>
      <c r="H4126" s="504" t="s">
        <v>6681</v>
      </c>
      <c r="I4126" s="504">
        <v>188</v>
      </c>
      <c r="J4126" s="504">
        <v>181</v>
      </c>
      <c r="K4126" s="504">
        <v>0</v>
      </c>
      <c r="L4126" s="504">
        <v>0</v>
      </c>
      <c r="M4126" s="504">
        <v>0</v>
      </c>
      <c r="N4126" s="504">
        <v>0</v>
      </c>
      <c r="O4126" s="505">
        <v>7</v>
      </c>
    </row>
    <row r="4127" spans="1:15" x14ac:dyDescent="0.35">
      <c r="A4127" s="500" t="s">
        <v>1475</v>
      </c>
      <c r="B4127" s="501">
        <v>4675</v>
      </c>
      <c r="C4127" s="501" t="s">
        <v>1089</v>
      </c>
      <c r="D4127" s="501" t="s">
        <v>3392</v>
      </c>
      <c r="E4127" s="501" t="s">
        <v>3381</v>
      </c>
      <c r="F4127" s="501" t="s">
        <v>675</v>
      </c>
      <c r="G4127" s="501" t="s">
        <v>676</v>
      </c>
      <c r="H4127" s="501" t="s">
        <v>6682</v>
      </c>
      <c r="I4127" s="501">
        <v>92</v>
      </c>
      <c r="J4127" s="501">
        <v>80</v>
      </c>
      <c r="K4127" s="501">
        <v>0</v>
      </c>
      <c r="L4127" s="501">
        <v>12</v>
      </c>
      <c r="M4127" s="501">
        <v>0</v>
      </c>
      <c r="N4127" s="501">
        <v>0</v>
      </c>
      <c r="O4127" s="506">
        <v>0</v>
      </c>
    </row>
    <row r="4128" spans="1:15" x14ac:dyDescent="0.35">
      <c r="A4128" s="503" t="s">
        <v>1310</v>
      </c>
      <c r="B4128" s="504">
        <v>5062</v>
      </c>
      <c r="C4128" s="504" t="s">
        <v>1089</v>
      </c>
      <c r="D4128" s="504" t="s">
        <v>3380</v>
      </c>
      <c r="E4128" s="504" t="s">
        <v>3381</v>
      </c>
      <c r="F4128" s="504" t="s">
        <v>675</v>
      </c>
      <c r="G4128" s="504" t="s">
        <v>676</v>
      </c>
      <c r="H4128" s="504" t="s">
        <v>14766</v>
      </c>
      <c r="I4128" s="504">
        <v>76</v>
      </c>
      <c r="J4128" s="504">
        <v>9</v>
      </c>
      <c r="K4128" s="504">
        <v>0</v>
      </c>
      <c r="L4128" s="504">
        <v>0</v>
      </c>
      <c r="M4128" s="504">
        <v>0</v>
      </c>
      <c r="N4128" s="504">
        <v>0</v>
      </c>
      <c r="O4128" s="505">
        <v>67</v>
      </c>
    </row>
    <row r="4129" spans="1:15" x14ac:dyDescent="0.35">
      <c r="A4129" s="500" t="s">
        <v>1202</v>
      </c>
      <c r="B4129" s="501" t="s">
        <v>3217</v>
      </c>
      <c r="C4129" s="501" t="s">
        <v>1094</v>
      </c>
      <c r="D4129" s="501" t="s">
        <v>3380</v>
      </c>
      <c r="E4129" s="501" t="s">
        <v>3381</v>
      </c>
      <c r="F4129" s="501" t="s">
        <v>675</v>
      </c>
      <c r="G4129" s="501" t="s">
        <v>676</v>
      </c>
      <c r="H4129" s="501" t="s">
        <v>6683</v>
      </c>
      <c r="I4129" s="501">
        <v>565</v>
      </c>
      <c r="J4129" s="501">
        <v>465</v>
      </c>
      <c r="K4129" s="501">
        <v>0</v>
      </c>
      <c r="L4129" s="501">
        <v>0</v>
      </c>
      <c r="M4129" s="501">
        <v>0</v>
      </c>
      <c r="N4129" s="501">
        <v>0</v>
      </c>
      <c r="O4129" s="506">
        <v>100</v>
      </c>
    </row>
    <row r="4130" spans="1:15" x14ac:dyDescent="0.35">
      <c r="A4130" s="503" t="s">
        <v>1492</v>
      </c>
      <c r="B4130" s="504" t="s">
        <v>3354</v>
      </c>
      <c r="C4130" s="504" t="s">
        <v>1089</v>
      </c>
      <c r="D4130" s="504" t="s">
        <v>3392</v>
      </c>
      <c r="E4130" s="504" t="s">
        <v>3381</v>
      </c>
      <c r="F4130" s="504" t="s">
        <v>675</v>
      </c>
      <c r="G4130" s="504" t="s">
        <v>676</v>
      </c>
      <c r="H4130" s="504" t="s">
        <v>6684</v>
      </c>
      <c r="I4130" s="504">
        <v>32</v>
      </c>
      <c r="J4130" s="504">
        <v>0</v>
      </c>
      <c r="K4130" s="504">
        <v>0</v>
      </c>
      <c r="L4130" s="504">
        <v>32</v>
      </c>
      <c r="M4130" s="504">
        <v>0</v>
      </c>
      <c r="N4130" s="504">
        <v>0</v>
      </c>
      <c r="O4130" s="505">
        <v>0</v>
      </c>
    </row>
    <row r="4131" spans="1:15" x14ac:dyDescent="0.35">
      <c r="A4131" s="500" t="s">
        <v>1203</v>
      </c>
      <c r="B4131" s="501" t="s">
        <v>3170</v>
      </c>
      <c r="C4131" s="501" t="s">
        <v>1094</v>
      </c>
      <c r="D4131" s="501" t="s">
        <v>3380</v>
      </c>
      <c r="E4131" s="501" t="s">
        <v>3381</v>
      </c>
      <c r="F4131" s="501" t="s">
        <v>675</v>
      </c>
      <c r="G4131" s="501" t="s">
        <v>676</v>
      </c>
      <c r="H4131" s="501" t="s">
        <v>6685</v>
      </c>
      <c r="I4131" s="501">
        <v>1</v>
      </c>
      <c r="J4131" s="501">
        <v>0</v>
      </c>
      <c r="K4131" s="501">
        <v>0</v>
      </c>
      <c r="L4131" s="501">
        <v>0</v>
      </c>
      <c r="M4131" s="501">
        <v>0</v>
      </c>
      <c r="N4131" s="501">
        <v>0</v>
      </c>
      <c r="O4131" s="506">
        <v>1</v>
      </c>
    </row>
    <row r="4132" spans="1:15" x14ac:dyDescent="0.35">
      <c r="A4132" s="503" t="s">
        <v>1112</v>
      </c>
      <c r="B4132" s="504" t="s">
        <v>3008</v>
      </c>
      <c r="C4132" s="504" t="s">
        <v>1094</v>
      </c>
      <c r="D4132" s="504" t="s">
        <v>3380</v>
      </c>
      <c r="E4132" s="504" t="s">
        <v>3381</v>
      </c>
      <c r="F4132" s="504" t="s">
        <v>675</v>
      </c>
      <c r="G4132" s="504" t="s">
        <v>676</v>
      </c>
      <c r="H4132" s="504" t="s">
        <v>6686</v>
      </c>
      <c r="I4132" s="504">
        <v>948</v>
      </c>
      <c r="J4132" s="504">
        <v>724</v>
      </c>
      <c r="K4132" s="504">
        <v>0</v>
      </c>
      <c r="L4132" s="504">
        <v>0</v>
      </c>
      <c r="M4132" s="504">
        <v>0</v>
      </c>
      <c r="N4132" s="504">
        <v>3</v>
      </c>
      <c r="O4132" s="505">
        <v>224</v>
      </c>
    </row>
    <row r="4133" spans="1:15" x14ac:dyDescent="0.35">
      <c r="A4133" s="500" t="s">
        <v>1315</v>
      </c>
      <c r="B4133" s="501">
        <v>4825</v>
      </c>
      <c r="C4133" s="501" t="s">
        <v>1094</v>
      </c>
      <c r="D4133" s="501" t="s">
        <v>3380</v>
      </c>
      <c r="E4133" s="501" t="s">
        <v>3381</v>
      </c>
      <c r="F4133" s="501" t="s">
        <v>675</v>
      </c>
      <c r="G4133" s="501" t="s">
        <v>676</v>
      </c>
      <c r="H4133" s="501" t="s">
        <v>6687</v>
      </c>
      <c r="I4133" s="501">
        <v>320</v>
      </c>
      <c r="J4133" s="501">
        <v>213</v>
      </c>
      <c r="K4133" s="501">
        <v>0</v>
      </c>
      <c r="L4133" s="501">
        <v>0</v>
      </c>
      <c r="M4133" s="501">
        <v>0</v>
      </c>
      <c r="N4133" s="501">
        <v>0</v>
      </c>
      <c r="O4133" s="506">
        <v>107</v>
      </c>
    </row>
    <row r="4134" spans="1:15" x14ac:dyDescent="0.35">
      <c r="A4134" s="503" t="s">
        <v>1319</v>
      </c>
      <c r="B4134" s="504">
        <v>4880</v>
      </c>
      <c r="C4134" s="504" t="s">
        <v>1094</v>
      </c>
      <c r="D4134" s="504" t="s">
        <v>3380</v>
      </c>
      <c r="E4134" s="504" t="s">
        <v>3381</v>
      </c>
      <c r="F4134" s="504" t="s">
        <v>675</v>
      </c>
      <c r="G4134" s="504" t="s">
        <v>676</v>
      </c>
      <c r="H4134" s="504" t="s">
        <v>6688</v>
      </c>
      <c r="I4134" s="504">
        <v>1303</v>
      </c>
      <c r="J4134" s="504">
        <v>1162</v>
      </c>
      <c r="K4134" s="504">
        <v>0</v>
      </c>
      <c r="L4134" s="504">
        <v>71</v>
      </c>
      <c r="M4134" s="504">
        <v>0</v>
      </c>
      <c r="N4134" s="504">
        <v>1</v>
      </c>
      <c r="O4134" s="505">
        <v>70</v>
      </c>
    </row>
    <row r="4135" spans="1:15" x14ac:dyDescent="0.35">
      <c r="A4135" s="500" t="s">
        <v>1120</v>
      </c>
      <c r="B4135" s="501" t="s">
        <v>3362</v>
      </c>
      <c r="C4135" s="501" t="s">
        <v>1094</v>
      </c>
      <c r="D4135" s="501" t="s">
        <v>3380</v>
      </c>
      <c r="E4135" s="501" t="s">
        <v>3381</v>
      </c>
      <c r="F4135" s="501" t="s">
        <v>675</v>
      </c>
      <c r="G4135" s="501" t="s">
        <v>676</v>
      </c>
      <c r="H4135" s="501" t="s">
        <v>6689</v>
      </c>
      <c r="I4135" s="501">
        <v>533</v>
      </c>
      <c r="J4135" s="501">
        <v>21</v>
      </c>
      <c r="K4135" s="501">
        <v>0</v>
      </c>
      <c r="L4135" s="501">
        <v>0</v>
      </c>
      <c r="M4135" s="501">
        <v>0</v>
      </c>
      <c r="N4135" s="501">
        <v>0</v>
      </c>
      <c r="O4135" s="506">
        <v>512</v>
      </c>
    </row>
    <row r="4136" spans="1:15" x14ac:dyDescent="0.35">
      <c r="A4136" s="503" t="s">
        <v>1510</v>
      </c>
      <c r="B4136" s="504" t="s">
        <v>3004</v>
      </c>
      <c r="C4136" s="504" t="s">
        <v>1094</v>
      </c>
      <c r="D4136" s="504" t="s">
        <v>3380</v>
      </c>
      <c r="E4136" s="504" t="s">
        <v>3381</v>
      </c>
      <c r="F4136" s="504" t="s">
        <v>675</v>
      </c>
      <c r="G4136" s="504" t="s">
        <v>676</v>
      </c>
      <c r="H4136" s="504" t="s">
        <v>6690</v>
      </c>
      <c r="I4136" s="504">
        <v>188</v>
      </c>
      <c r="J4136" s="504">
        <v>102</v>
      </c>
      <c r="K4136" s="504">
        <v>0</v>
      </c>
      <c r="L4136" s="504">
        <v>47</v>
      </c>
      <c r="M4136" s="504">
        <v>0</v>
      </c>
      <c r="N4136" s="504">
        <v>0</v>
      </c>
      <c r="O4136" s="505">
        <v>39</v>
      </c>
    </row>
    <row r="4137" spans="1:15" x14ac:dyDescent="0.35">
      <c r="A4137" s="500" t="s">
        <v>1512</v>
      </c>
      <c r="B4137" s="501" t="s">
        <v>2795</v>
      </c>
      <c r="C4137" s="501" t="s">
        <v>1089</v>
      </c>
      <c r="D4137" s="501" t="s">
        <v>3392</v>
      </c>
      <c r="E4137" s="501" t="s">
        <v>3381</v>
      </c>
      <c r="F4137" s="501" t="s">
        <v>675</v>
      </c>
      <c r="G4137" s="501" t="s">
        <v>676</v>
      </c>
      <c r="H4137" s="501" t="s">
        <v>6691</v>
      </c>
      <c r="I4137" s="501">
        <v>20</v>
      </c>
      <c r="J4137" s="501">
        <v>20</v>
      </c>
      <c r="K4137" s="501">
        <v>0</v>
      </c>
      <c r="L4137" s="501">
        <v>0</v>
      </c>
      <c r="M4137" s="501">
        <v>0</v>
      </c>
      <c r="N4137" s="501">
        <v>0</v>
      </c>
      <c r="O4137" s="506">
        <v>0</v>
      </c>
    </row>
    <row r="4138" spans="1:15" x14ac:dyDescent="0.35">
      <c r="A4138" s="503" t="s">
        <v>1322</v>
      </c>
      <c r="B4138" s="504" t="s">
        <v>3244</v>
      </c>
      <c r="C4138" s="504" t="s">
        <v>1094</v>
      </c>
      <c r="D4138" s="504" t="s">
        <v>3380</v>
      </c>
      <c r="E4138" s="504" t="s">
        <v>3381</v>
      </c>
      <c r="F4138" s="504" t="s">
        <v>675</v>
      </c>
      <c r="G4138" s="504" t="s">
        <v>676</v>
      </c>
      <c r="H4138" s="504" t="s">
        <v>6692</v>
      </c>
      <c r="I4138" s="504">
        <v>40</v>
      </c>
      <c r="J4138" s="504">
        <v>32</v>
      </c>
      <c r="K4138" s="504">
        <v>0</v>
      </c>
      <c r="L4138" s="504">
        <v>0</v>
      </c>
      <c r="M4138" s="504">
        <v>0</v>
      </c>
      <c r="N4138" s="504">
        <v>0</v>
      </c>
      <c r="O4138" s="505">
        <v>8</v>
      </c>
    </row>
    <row r="4139" spans="1:15" x14ac:dyDescent="0.35">
      <c r="A4139" s="500" t="s">
        <v>1325</v>
      </c>
      <c r="B4139" s="501" t="s">
        <v>3011</v>
      </c>
      <c r="C4139" s="501" t="s">
        <v>1094</v>
      </c>
      <c r="D4139" s="501" t="s">
        <v>3380</v>
      </c>
      <c r="E4139" s="501" t="s">
        <v>3381</v>
      </c>
      <c r="F4139" s="501" t="s">
        <v>675</v>
      </c>
      <c r="G4139" s="501" t="s">
        <v>676</v>
      </c>
      <c r="H4139" s="501" t="s">
        <v>6693</v>
      </c>
      <c r="I4139" s="501">
        <v>3</v>
      </c>
      <c r="J4139" s="501">
        <v>0</v>
      </c>
      <c r="K4139" s="501">
        <v>0</v>
      </c>
      <c r="L4139" s="501">
        <v>0</v>
      </c>
      <c r="M4139" s="501">
        <v>0</v>
      </c>
      <c r="N4139" s="501">
        <v>0</v>
      </c>
      <c r="O4139" s="506">
        <v>3</v>
      </c>
    </row>
    <row r="4140" spans="1:15" x14ac:dyDescent="0.35">
      <c r="A4140" s="503" t="s">
        <v>1220</v>
      </c>
      <c r="B4140" s="504">
        <v>4849</v>
      </c>
      <c r="C4140" s="504" t="s">
        <v>1094</v>
      </c>
      <c r="D4140" s="504" t="s">
        <v>3380</v>
      </c>
      <c r="E4140" s="504" t="s">
        <v>3381</v>
      </c>
      <c r="F4140" s="504" t="s">
        <v>675</v>
      </c>
      <c r="G4140" s="504" t="s">
        <v>676</v>
      </c>
      <c r="H4140" s="504" t="s">
        <v>6694</v>
      </c>
      <c r="I4140" s="504">
        <v>312</v>
      </c>
      <c r="J4140" s="504">
        <v>271</v>
      </c>
      <c r="K4140" s="504">
        <v>0</v>
      </c>
      <c r="L4140" s="504">
        <v>0</v>
      </c>
      <c r="M4140" s="504">
        <v>11</v>
      </c>
      <c r="N4140" s="504">
        <v>0</v>
      </c>
      <c r="O4140" s="505">
        <v>30</v>
      </c>
    </row>
    <row r="4141" spans="1:15" x14ac:dyDescent="0.35">
      <c r="A4141" s="500" t="s">
        <v>1122</v>
      </c>
      <c r="B4141" s="501" t="s">
        <v>2994</v>
      </c>
      <c r="C4141" s="501" t="s">
        <v>1094</v>
      </c>
      <c r="D4141" s="501" t="s">
        <v>3380</v>
      </c>
      <c r="E4141" s="501" t="s">
        <v>3381</v>
      </c>
      <c r="F4141" s="501" t="s">
        <v>675</v>
      </c>
      <c r="G4141" s="501" t="s">
        <v>676</v>
      </c>
      <c r="H4141" s="501" t="s">
        <v>6695</v>
      </c>
      <c r="I4141" s="501">
        <v>968</v>
      </c>
      <c r="J4141" s="501">
        <v>890</v>
      </c>
      <c r="K4141" s="501">
        <v>0</v>
      </c>
      <c r="L4141" s="501">
        <v>0</v>
      </c>
      <c r="M4141" s="501">
        <v>0</v>
      </c>
      <c r="N4141" s="501">
        <v>0</v>
      </c>
      <c r="O4141" s="506">
        <v>78</v>
      </c>
    </row>
    <row r="4142" spans="1:15" x14ac:dyDescent="0.35">
      <c r="A4142" s="503" t="s">
        <v>1229</v>
      </c>
      <c r="B4142" s="504">
        <v>4730</v>
      </c>
      <c r="C4142" s="504" t="s">
        <v>1089</v>
      </c>
      <c r="D4142" s="504" t="s">
        <v>3392</v>
      </c>
      <c r="E4142" s="504" t="s">
        <v>3381</v>
      </c>
      <c r="F4142" s="504" t="s">
        <v>675</v>
      </c>
      <c r="G4142" s="504" t="s">
        <v>676</v>
      </c>
      <c r="H4142" s="504" t="s">
        <v>6696</v>
      </c>
      <c r="I4142" s="504">
        <v>8</v>
      </c>
      <c r="J4142" s="504">
        <v>0</v>
      </c>
      <c r="K4142" s="504">
        <v>0</v>
      </c>
      <c r="L4142" s="504">
        <v>8</v>
      </c>
      <c r="M4142" s="504">
        <v>0</v>
      </c>
      <c r="N4142" s="504">
        <v>0</v>
      </c>
      <c r="O4142" s="505">
        <v>0</v>
      </c>
    </row>
    <row r="4143" spans="1:15" x14ac:dyDescent="0.35">
      <c r="A4143" s="500" t="s">
        <v>1539</v>
      </c>
      <c r="B4143" s="501" t="s">
        <v>3171</v>
      </c>
      <c r="C4143" s="501" t="s">
        <v>1094</v>
      </c>
      <c r="D4143" s="501" t="s">
        <v>3380</v>
      </c>
      <c r="E4143" s="501" t="s">
        <v>3381</v>
      </c>
      <c r="F4143" s="501" t="s">
        <v>675</v>
      </c>
      <c r="G4143" s="501" t="s">
        <v>676</v>
      </c>
      <c r="H4143" s="501" t="s">
        <v>6697</v>
      </c>
      <c r="I4143" s="501">
        <v>604</v>
      </c>
      <c r="J4143" s="501">
        <v>522</v>
      </c>
      <c r="K4143" s="501">
        <v>0</v>
      </c>
      <c r="L4143" s="501">
        <v>0</v>
      </c>
      <c r="M4143" s="501">
        <v>0</v>
      </c>
      <c r="N4143" s="501">
        <v>0</v>
      </c>
      <c r="O4143" s="506">
        <v>82</v>
      </c>
    </row>
    <row r="4144" spans="1:15" x14ac:dyDescent="0.35">
      <c r="A4144" s="503" t="s">
        <v>1233</v>
      </c>
      <c r="B4144" s="504">
        <v>4636</v>
      </c>
      <c r="C4144" s="504" t="s">
        <v>1094</v>
      </c>
      <c r="D4144" s="504" t="s">
        <v>3380</v>
      </c>
      <c r="E4144" s="504" t="s">
        <v>3381</v>
      </c>
      <c r="F4144" s="504" t="s">
        <v>675</v>
      </c>
      <c r="G4144" s="504" t="s">
        <v>676</v>
      </c>
      <c r="H4144" s="504" t="s">
        <v>12013</v>
      </c>
      <c r="I4144" s="504">
        <v>6</v>
      </c>
      <c r="J4144" s="504">
        <v>0</v>
      </c>
      <c r="K4144" s="504">
        <v>0</v>
      </c>
      <c r="L4144" s="504">
        <v>0</v>
      </c>
      <c r="M4144" s="504">
        <v>0</v>
      </c>
      <c r="N4144" s="504">
        <v>0</v>
      </c>
      <c r="O4144" s="505">
        <v>6</v>
      </c>
    </row>
    <row r="4145" spans="1:15" x14ac:dyDescent="0.35">
      <c r="A4145" s="500" t="s">
        <v>11368</v>
      </c>
      <c r="B4145" s="501">
        <v>5083</v>
      </c>
      <c r="C4145" s="501" t="s">
        <v>1094</v>
      </c>
      <c r="D4145" s="501" t="s">
        <v>3380</v>
      </c>
      <c r="E4145" s="501" t="s">
        <v>3381</v>
      </c>
      <c r="F4145" s="501" t="s">
        <v>675</v>
      </c>
      <c r="G4145" s="501" t="s">
        <v>676</v>
      </c>
      <c r="H4145" s="501" t="s">
        <v>12058</v>
      </c>
      <c r="I4145" s="501">
        <v>8</v>
      </c>
      <c r="J4145" s="501">
        <v>8</v>
      </c>
      <c r="K4145" s="501">
        <v>0</v>
      </c>
      <c r="L4145" s="501">
        <v>0</v>
      </c>
      <c r="M4145" s="501">
        <v>0</v>
      </c>
      <c r="N4145" s="501">
        <v>0</v>
      </c>
      <c r="O4145" s="506">
        <v>0</v>
      </c>
    </row>
    <row r="4146" spans="1:15" x14ac:dyDescent="0.35">
      <c r="A4146" s="503" t="s">
        <v>1126</v>
      </c>
      <c r="B4146" s="504" t="s">
        <v>2974</v>
      </c>
      <c r="C4146" s="504" t="s">
        <v>1094</v>
      </c>
      <c r="D4146" s="504" t="s">
        <v>3380</v>
      </c>
      <c r="E4146" s="504" t="s">
        <v>3381</v>
      </c>
      <c r="F4146" s="504" t="s">
        <v>675</v>
      </c>
      <c r="G4146" s="504" t="s">
        <v>676</v>
      </c>
      <c r="H4146" s="504" t="s">
        <v>6698</v>
      </c>
      <c r="I4146" s="504">
        <v>12</v>
      </c>
      <c r="J4146" s="504">
        <v>4</v>
      </c>
      <c r="K4146" s="504">
        <v>0</v>
      </c>
      <c r="L4146" s="504">
        <v>8</v>
      </c>
      <c r="M4146" s="504">
        <v>0</v>
      </c>
      <c r="N4146" s="504">
        <v>0</v>
      </c>
      <c r="O4146" s="505">
        <v>0</v>
      </c>
    </row>
    <row r="4147" spans="1:15" x14ac:dyDescent="0.35">
      <c r="A4147" s="500" t="s">
        <v>1342</v>
      </c>
      <c r="B4147" s="501" t="s">
        <v>3237</v>
      </c>
      <c r="C4147" s="501" t="s">
        <v>1094</v>
      </c>
      <c r="D4147" s="501" t="s">
        <v>3380</v>
      </c>
      <c r="E4147" s="501" t="s">
        <v>3381</v>
      </c>
      <c r="F4147" s="501" t="s">
        <v>675</v>
      </c>
      <c r="G4147" s="501" t="s">
        <v>676</v>
      </c>
      <c r="H4147" s="501" t="s">
        <v>6699</v>
      </c>
      <c r="I4147" s="501">
        <v>779</v>
      </c>
      <c r="J4147" s="501">
        <v>566</v>
      </c>
      <c r="K4147" s="501">
        <v>0</v>
      </c>
      <c r="L4147" s="501">
        <v>65</v>
      </c>
      <c r="M4147" s="501">
        <v>0</v>
      </c>
      <c r="N4147" s="501">
        <v>45</v>
      </c>
      <c r="O4147" s="506">
        <v>148</v>
      </c>
    </row>
    <row r="4148" spans="1:15" x14ac:dyDescent="0.35">
      <c r="A4148" s="503" t="s">
        <v>1130</v>
      </c>
      <c r="B4148" s="504" t="s">
        <v>3234</v>
      </c>
      <c r="C4148" s="504" t="s">
        <v>1094</v>
      </c>
      <c r="D4148" s="504" t="s">
        <v>3380</v>
      </c>
      <c r="E4148" s="504" t="s">
        <v>3381</v>
      </c>
      <c r="F4148" s="504" t="s">
        <v>675</v>
      </c>
      <c r="G4148" s="504" t="s">
        <v>676</v>
      </c>
      <c r="H4148" s="504" t="s">
        <v>6700</v>
      </c>
      <c r="I4148" s="504">
        <v>2</v>
      </c>
      <c r="J4148" s="504">
        <v>0</v>
      </c>
      <c r="K4148" s="504">
        <v>0</v>
      </c>
      <c r="L4148" s="504">
        <v>0</v>
      </c>
      <c r="M4148" s="504">
        <v>0</v>
      </c>
      <c r="N4148" s="504">
        <v>0</v>
      </c>
      <c r="O4148" s="505">
        <v>2</v>
      </c>
    </row>
    <row r="4149" spans="1:15" x14ac:dyDescent="0.35">
      <c r="A4149" s="500" t="s">
        <v>1345</v>
      </c>
      <c r="B4149" s="501" t="s">
        <v>3247</v>
      </c>
      <c r="C4149" s="501" t="s">
        <v>1094</v>
      </c>
      <c r="D4149" s="501" t="s">
        <v>3380</v>
      </c>
      <c r="E4149" s="501" t="s">
        <v>3381</v>
      </c>
      <c r="F4149" s="501" t="s">
        <v>675</v>
      </c>
      <c r="G4149" s="501" t="s">
        <v>676</v>
      </c>
      <c r="H4149" s="501" t="s">
        <v>6701</v>
      </c>
      <c r="I4149" s="501">
        <v>27</v>
      </c>
      <c r="J4149" s="501">
        <v>0</v>
      </c>
      <c r="K4149" s="501">
        <v>11</v>
      </c>
      <c r="L4149" s="501">
        <v>16</v>
      </c>
      <c r="M4149" s="501">
        <v>0</v>
      </c>
      <c r="N4149" s="501">
        <v>0</v>
      </c>
      <c r="O4149" s="506">
        <v>0</v>
      </c>
    </row>
    <row r="4150" spans="1:15" x14ac:dyDescent="0.35">
      <c r="A4150" s="503" t="s">
        <v>1558</v>
      </c>
      <c r="B4150" s="504">
        <v>4843</v>
      </c>
      <c r="C4150" s="504" t="s">
        <v>1089</v>
      </c>
      <c r="D4150" s="504" t="s">
        <v>3392</v>
      </c>
      <c r="E4150" s="504" t="s">
        <v>3381</v>
      </c>
      <c r="F4150" s="504" t="s">
        <v>675</v>
      </c>
      <c r="G4150" s="504" t="s">
        <v>676</v>
      </c>
      <c r="H4150" s="504" t="s">
        <v>14767</v>
      </c>
      <c r="I4150" s="504">
        <v>1</v>
      </c>
      <c r="J4150" s="504">
        <v>1</v>
      </c>
      <c r="K4150" s="504">
        <v>0</v>
      </c>
      <c r="L4150" s="504">
        <v>0</v>
      </c>
      <c r="M4150" s="504">
        <v>0</v>
      </c>
      <c r="N4150" s="504">
        <v>0</v>
      </c>
      <c r="O4150" s="505">
        <v>0</v>
      </c>
    </row>
    <row r="4151" spans="1:15" x14ac:dyDescent="0.35">
      <c r="A4151" s="500" t="s">
        <v>1249</v>
      </c>
      <c r="B4151" s="501">
        <v>4729</v>
      </c>
      <c r="C4151" s="501" t="s">
        <v>1094</v>
      </c>
      <c r="D4151" s="501" t="s">
        <v>3380</v>
      </c>
      <c r="E4151" s="501" t="s">
        <v>3381</v>
      </c>
      <c r="F4151" s="501" t="s">
        <v>675</v>
      </c>
      <c r="G4151" s="501" t="s">
        <v>676</v>
      </c>
      <c r="H4151" s="501" t="s">
        <v>12209</v>
      </c>
      <c r="I4151" s="501">
        <v>86</v>
      </c>
      <c r="J4151" s="501">
        <v>67</v>
      </c>
      <c r="K4151" s="501">
        <v>0</v>
      </c>
      <c r="L4151" s="501">
        <v>0</v>
      </c>
      <c r="M4151" s="501">
        <v>0</v>
      </c>
      <c r="N4151" s="501">
        <v>0</v>
      </c>
      <c r="O4151" s="506">
        <v>19</v>
      </c>
    </row>
    <row r="4152" spans="1:15" x14ac:dyDescent="0.35">
      <c r="A4152" s="503" t="s">
        <v>14365</v>
      </c>
      <c r="B4152" s="504" t="s">
        <v>2574</v>
      </c>
      <c r="C4152" s="504" t="s">
        <v>1089</v>
      </c>
      <c r="D4152" s="504" t="s">
        <v>3392</v>
      </c>
      <c r="E4152" s="504" t="s">
        <v>3381</v>
      </c>
      <c r="F4152" s="504" t="s">
        <v>675</v>
      </c>
      <c r="G4152" s="504" t="s">
        <v>676</v>
      </c>
      <c r="H4152" s="504" t="s">
        <v>14768</v>
      </c>
      <c r="I4152" s="504">
        <v>36</v>
      </c>
      <c r="J4152" s="504">
        <v>0</v>
      </c>
      <c r="K4152" s="504">
        <v>0</v>
      </c>
      <c r="L4152" s="504">
        <v>36</v>
      </c>
      <c r="M4152" s="504">
        <v>0</v>
      </c>
      <c r="N4152" s="504">
        <v>0</v>
      </c>
      <c r="O4152" s="505">
        <v>0</v>
      </c>
    </row>
    <row r="4153" spans="1:15" x14ac:dyDescent="0.35">
      <c r="A4153" s="500" t="s">
        <v>1574</v>
      </c>
      <c r="B4153" s="501" t="s">
        <v>2552</v>
      </c>
      <c r="C4153" s="501" t="s">
        <v>1089</v>
      </c>
      <c r="D4153" s="501" t="s">
        <v>3392</v>
      </c>
      <c r="E4153" s="501" t="s">
        <v>3381</v>
      </c>
      <c r="F4153" s="501" t="s">
        <v>675</v>
      </c>
      <c r="G4153" s="501" t="s">
        <v>676</v>
      </c>
      <c r="H4153" s="501" t="s">
        <v>6702</v>
      </c>
      <c r="I4153" s="501">
        <v>38</v>
      </c>
      <c r="J4153" s="501">
        <v>0</v>
      </c>
      <c r="K4153" s="501">
        <v>0</v>
      </c>
      <c r="L4153" s="501">
        <v>0</v>
      </c>
      <c r="M4153" s="501">
        <v>38</v>
      </c>
      <c r="N4153" s="501">
        <v>0</v>
      </c>
      <c r="O4153" s="506">
        <v>0</v>
      </c>
    </row>
    <row r="4154" spans="1:15" x14ac:dyDescent="0.35">
      <c r="A4154" s="503" t="s">
        <v>1589</v>
      </c>
      <c r="B4154" s="504" t="s">
        <v>2794</v>
      </c>
      <c r="C4154" s="504" t="s">
        <v>1089</v>
      </c>
      <c r="D4154" s="504" t="s">
        <v>3392</v>
      </c>
      <c r="E4154" s="504" t="s">
        <v>3381</v>
      </c>
      <c r="F4154" s="504" t="s">
        <v>675</v>
      </c>
      <c r="G4154" s="504" t="s">
        <v>676</v>
      </c>
      <c r="H4154" s="504" t="s">
        <v>14769</v>
      </c>
      <c r="I4154" s="504">
        <v>92</v>
      </c>
      <c r="J4154" s="504">
        <v>92</v>
      </c>
      <c r="K4154" s="504">
        <v>0</v>
      </c>
      <c r="L4154" s="504">
        <v>0</v>
      </c>
      <c r="M4154" s="504">
        <v>0</v>
      </c>
      <c r="N4154" s="504">
        <v>0</v>
      </c>
      <c r="O4154" s="505">
        <v>0</v>
      </c>
    </row>
    <row r="4155" spans="1:15" x14ac:dyDescent="0.35">
      <c r="A4155" s="500" t="s">
        <v>1593</v>
      </c>
      <c r="B4155" s="501" t="s">
        <v>2805</v>
      </c>
      <c r="C4155" s="501" t="s">
        <v>1089</v>
      </c>
      <c r="D4155" s="501" t="s">
        <v>3392</v>
      </c>
      <c r="E4155" s="501" t="s">
        <v>3381</v>
      </c>
      <c r="F4155" s="501" t="s">
        <v>675</v>
      </c>
      <c r="G4155" s="501" t="s">
        <v>676</v>
      </c>
      <c r="H4155" s="501" t="s">
        <v>6703</v>
      </c>
      <c r="I4155" s="501">
        <v>24</v>
      </c>
      <c r="J4155" s="501">
        <v>24</v>
      </c>
      <c r="K4155" s="501">
        <v>0</v>
      </c>
      <c r="L4155" s="501">
        <v>0</v>
      </c>
      <c r="M4155" s="501">
        <v>0</v>
      </c>
      <c r="N4155" s="501">
        <v>0</v>
      </c>
      <c r="O4155" s="506">
        <v>0</v>
      </c>
    </row>
    <row r="4156" spans="1:15" x14ac:dyDescent="0.35">
      <c r="A4156" s="503" t="s">
        <v>1599</v>
      </c>
      <c r="B4156" s="504" t="s">
        <v>3303</v>
      </c>
      <c r="C4156" s="504" t="s">
        <v>1089</v>
      </c>
      <c r="D4156" s="504" t="s">
        <v>3392</v>
      </c>
      <c r="E4156" s="504" t="s">
        <v>3381</v>
      </c>
      <c r="F4156" s="504" t="s">
        <v>675</v>
      </c>
      <c r="G4156" s="504" t="s">
        <v>676</v>
      </c>
      <c r="H4156" s="504" t="s">
        <v>6704</v>
      </c>
      <c r="I4156" s="504">
        <v>4</v>
      </c>
      <c r="J4156" s="504">
        <v>4</v>
      </c>
      <c r="K4156" s="504">
        <v>0</v>
      </c>
      <c r="L4156" s="504">
        <v>0</v>
      </c>
      <c r="M4156" s="504">
        <v>0</v>
      </c>
      <c r="N4156" s="504">
        <v>0</v>
      </c>
      <c r="O4156" s="505">
        <v>0</v>
      </c>
    </row>
    <row r="4157" spans="1:15" x14ac:dyDescent="0.35">
      <c r="A4157" s="500" t="s">
        <v>1143</v>
      </c>
      <c r="B4157" s="501" t="s">
        <v>3281</v>
      </c>
      <c r="C4157" s="501" t="s">
        <v>1094</v>
      </c>
      <c r="D4157" s="501" t="s">
        <v>3380</v>
      </c>
      <c r="E4157" s="501" t="s">
        <v>3381</v>
      </c>
      <c r="F4157" s="501" t="s">
        <v>677</v>
      </c>
      <c r="G4157" s="501" t="s">
        <v>678</v>
      </c>
      <c r="H4157" s="501" t="s">
        <v>6705</v>
      </c>
      <c r="I4157" s="501">
        <v>498</v>
      </c>
      <c r="J4157" s="501">
        <v>423</v>
      </c>
      <c r="K4157" s="501">
        <v>0</v>
      </c>
      <c r="L4157" s="501">
        <v>0</v>
      </c>
      <c r="M4157" s="501">
        <v>63</v>
      </c>
      <c r="N4157" s="501">
        <v>0</v>
      </c>
      <c r="O4157" s="506">
        <v>12</v>
      </c>
    </row>
    <row r="4158" spans="1:15" x14ac:dyDescent="0.35">
      <c r="A4158" s="503" t="s">
        <v>1096</v>
      </c>
      <c r="B4158" s="504" t="s">
        <v>3326</v>
      </c>
      <c r="C4158" s="504" t="s">
        <v>1094</v>
      </c>
      <c r="D4158" s="504" t="s">
        <v>3380</v>
      </c>
      <c r="E4158" s="504" t="s">
        <v>3381</v>
      </c>
      <c r="F4158" s="504" t="s">
        <v>677</v>
      </c>
      <c r="G4158" s="504" t="s">
        <v>678</v>
      </c>
      <c r="H4158" s="504" t="s">
        <v>6706</v>
      </c>
      <c r="I4158" s="504">
        <v>189</v>
      </c>
      <c r="J4158" s="504">
        <v>0</v>
      </c>
      <c r="K4158" s="504">
        <v>0</v>
      </c>
      <c r="L4158" s="504">
        <v>0</v>
      </c>
      <c r="M4158" s="504">
        <v>189</v>
      </c>
      <c r="N4158" s="504">
        <v>0</v>
      </c>
      <c r="O4158" s="505">
        <v>0</v>
      </c>
    </row>
    <row r="4159" spans="1:15" x14ac:dyDescent="0.35">
      <c r="A4159" s="500" t="s">
        <v>11363</v>
      </c>
      <c r="B4159" s="501">
        <v>4718</v>
      </c>
      <c r="C4159" s="501" t="s">
        <v>1094</v>
      </c>
      <c r="D4159" s="501" t="s">
        <v>3380</v>
      </c>
      <c r="E4159" s="501" t="s">
        <v>3381</v>
      </c>
      <c r="F4159" s="501" t="s">
        <v>677</v>
      </c>
      <c r="G4159" s="501" t="s">
        <v>678</v>
      </c>
      <c r="H4159" s="501" t="s">
        <v>11556</v>
      </c>
      <c r="I4159" s="501">
        <v>7</v>
      </c>
      <c r="J4159" s="501">
        <v>0</v>
      </c>
      <c r="K4159" s="501">
        <v>0</v>
      </c>
      <c r="L4159" s="501">
        <v>7</v>
      </c>
      <c r="M4159" s="501">
        <v>0</v>
      </c>
      <c r="N4159" s="501">
        <v>0</v>
      </c>
      <c r="O4159" s="506">
        <v>0</v>
      </c>
    </row>
    <row r="4160" spans="1:15" x14ac:dyDescent="0.35">
      <c r="A4160" s="503" t="s">
        <v>1161</v>
      </c>
      <c r="B4160" s="504" t="s">
        <v>3001</v>
      </c>
      <c r="C4160" s="504" t="s">
        <v>1094</v>
      </c>
      <c r="D4160" s="504" t="s">
        <v>3380</v>
      </c>
      <c r="E4160" s="504" t="s">
        <v>3381</v>
      </c>
      <c r="F4160" s="504" t="s">
        <v>677</v>
      </c>
      <c r="G4160" s="504" t="s">
        <v>678</v>
      </c>
      <c r="H4160" s="504" t="s">
        <v>6708</v>
      </c>
      <c r="I4160" s="504">
        <v>49</v>
      </c>
      <c r="J4160" s="504">
        <v>49</v>
      </c>
      <c r="K4160" s="504">
        <v>0</v>
      </c>
      <c r="L4160" s="504">
        <v>0</v>
      </c>
      <c r="M4160" s="504">
        <v>0</v>
      </c>
      <c r="N4160" s="504">
        <v>0</v>
      </c>
      <c r="O4160" s="505">
        <v>0</v>
      </c>
    </row>
    <row r="4161" spans="1:15" x14ac:dyDescent="0.35">
      <c r="A4161" s="500" t="s">
        <v>1286</v>
      </c>
      <c r="B4161" s="501" t="s">
        <v>3341</v>
      </c>
      <c r="C4161" s="501" t="s">
        <v>1094</v>
      </c>
      <c r="D4161" s="501" t="s">
        <v>3380</v>
      </c>
      <c r="E4161" s="501" t="s">
        <v>3381</v>
      </c>
      <c r="F4161" s="501" t="s">
        <v>677</v>
      </c>
      <c r="G4161" s="501" t="s">
        <v>678</v>
      </c>
      <c r="H4161" s="501" t="s">
        <v>6709</v>
      </c>
      <c r="I4161" s="501">
        <v>6101</v>
      </c>
      <c r="J4161" s="501">
        <v>5379</v>
      </c>
      <c r="K4161" s="501">
        <v>0</v>
      </c>
      <c r="L4161" s="501">
        <v>118</v>
      </c>
      <c r="M4161" s="501">
        <v>455</v>
      </c>
      <c r="N4161" s="501">
        <v>0</v>
      </c>
      <c r="O4161" s="506">
        <v>149</v>
      </c>
    </row>
    <row r="4162" spans="1:15" x14ac:dyDescent="0.35">
      <c r="A4162" s="503" t="s">
        <v>1100</v>
      </c>
      <c r="B4162" s="504">
        <v>4865</v>
      </c>
      <c r="C4162" s="504" t="s">
        <v>1094</v>
      </c>
      <c r="D4162" s="504" t="s">
        <v>3380</v>
      </c>
      <c r="E4162" s="504" t="s">
        <v>3381</v>
      </c>
      <c r="F4162" s="504" t="s">
        <v>677</v>
      </c>
      <c r="G4162" s="504" t="s">
        <v>678</v>
      </c>
      <c r="H4162" s="504" t="s">
        <v>6710</v>
      </c>
      <c r="I4162" s="504">
        <v>126</v>
      </c>
      <c r="J4162" s="504">
        <v>109</v>
      </c>
      <c r="K4162" s="504">
        <v>0</v>
      </c>
      <c r="L4162" s="504">
        <v>0</v>
      </c>
      <c r="M4162" s="504">
        <v>0</v>
      </c>
      <c r="N4162" s="504">
        <v>0</v>
      </c>
      <c r="O4162" s="505">
        <v>17</v>
      </c>
    </row>
    <row r="4163" spans="1:15" x14ac:dyDescent="0.35">
      <c r="A4163" s="500" t="s">
        <v>1290</v>
      </c>
      <c r="B4163" s="501" t="s">
        <v>2979</v>
      </c>
      <c r="C4163" s="501" t="s">
        <v>1094</v>
      </c>
      <c r="D4163" s="501" t="s">
        <v>3380</v>
      </c>
      <c r="E4163" s="501" t="s">
        <v>3381</v>
      </c>
      <c r="F4163" s="501" t="s">
        <v>677</v>
      </c>
      <c r="G4163" s="501" t="s">
        <v>678</v>
      </c>
      <c r="H4163" s="501" t="s">
        <v>6711</v>
      </c>
      <c r="I4163" s="501">
        <v>30</v>
      </c>
      <c r="J4163" s="501">
        <v>30</v>
      </c>
      <c r="K4163" s="501">
        <v>0</v>
      </c>
      <c r="L4163" s="501">
        <v>0</v>
      </c>
      <c r="M4163" s="501">
        <v>0</v>
      </c>
      <c r="N4163" s="501">
        <v>0</v>
      </c>
      <c r="O4163" s="506">
        <v>0</v>
      </c>
    </row>
    <row r="4164" spans="1:15" x14ac:dyDescent="0.35">
      <c r="A4164" s="503" t="s">
        <v>1168</v>
      </c>
      <c r="B4164" s="504" t="s">
        <v>3360</v>
      </c>
      <c r="C4164" s="504" t="s">
        <v>1094</v>
      </c>
      <c r="D4164" s="504" t="s">
        <v>3380</v>
      </c>
      <c r="E4164" s="504" t="s">
        <v>3381</v>
      </c>
      <c r="F4164" s="504" t="s">
        <v>677</v>
      </c>
      <c r="G4164" s="504" t="s">
        <v>678</v>
      </c>
      <c r="H4164" s="504" t="s">
        <v>6712</v>
      </c>
      <c r="I4164" s="504">
        <v>520</v>
      </c>
      <c r="J4164" s="504">
        <v>349</v>
      </c>
      <c r="K4164" s="504">
        <v>0</v>
      </c>
      <c r="L4164" s="504">
        <v>0</v>
      </c>
      <c r="M4164" s="504">
        <v>0</v>
      </c>
      <c r="N4164" s="504">
        <v>0</v>
      </c>
      <c r="O4164" s="505">
        <v>171</v>
      </c>
    </row>
    <row r="4165" spans="1:15" x14ac:dyDescent="0.35">
      <c r="A4165" s="500" t="s">
        <v>1172</v>
      </c>
      <c r="B4165" s="501">
        <v>4648</v>
      </c>
      <c r="C4165" s="501" t="s">
        <v>1089</v>
      </c>
      <c r="D4165" s="501" t="s">
        <v>3392</v>
      </c>
      <c r="E4165" s="501" t="s">
        <v>3381</v>
      </c>
      <c r="F4165" s="501" t="s">
        <v>677</v>
      </c>
      <c r="G4165" s="501" t="s">
        <v>678</v>
      </c>
      <c r="H4165" s="501" t="s">
        <v>6713</v>
      </c>
      <c r="I4165" s="501">
        <v>5</v>
      </c>
      <c r="J4165" s="501">
        <v>0</v>
      </c>
      <c r="K4165" s="501">
        <v>0</v>
      </c>
      <c r="L4165" s="501">
        <v>5</v>
      </c>
      <c r="M4165" s="501">
        <v>0</v>
      </c>
      <c r="N4165" s="501">
        <v>0</v>
      </c>
      <c r="O4165" s="506">
        <v>0</v>
      </c>
    </row>
    <row r="4166" spans="1:15" x14ac:dyDescent="0.35">
      <c r="A4166" s="503" t="s">
        <v>1102</v>
      </c>
      <c r="B4166" s="504">
        <v>4663</v>
      </c>
      <c r="C4166" s="504" t="s">
        <v>1089</v>
      </c>
      <c r="D4166" s="504" t="s">
        <v>3392</v>
      </c>
      <c r="E4166" s="504" t="s">
        <v>3381</v>
      </c>
      <c r="F4166" s="504" t="s">
        <v>677</v>
      </c>
      <c r="G4166" s="504" t="s">
        <v>678</v>
      </c>
      <c r="H4166" s="504" t="s">
        <v>11687</v>
      </c>
      <c r="I4166" s="504">
        <v>3</v>
      </c>
      <c r="J4166" s="504">
        <v>0</v>
      </c>
      <c r="K4166" s="504">
        <v>0</v>
      </c>
      <c r="L4166" s="504">
        <v>3</v>
      </c>
      <c r="M4166" s="504">
        <v>0</v>
      </c>
      <c r="N4166" s="504">
        <v>0</v>
      </c>
      <c r="O4166" s="505">
        <v>0</v>
      </c>
    </row>
    <row r="4167" spans="1:15" x14ac:dyDescent="0.35">
      <c r="A4167" s="500" t="s">
        <v>14208</v>
      </c>
      <c r="B4167" s="501">
        <v>4803</v>
      </c>
      <c r="C4167" s="501" t="s">
        <v>1094</v>
      </c>
      <c r="D4167" s="501" t="s">
        <v>3380</v>
      </c>
      <c r="E4167" s="501" t="s">
        <v>3381</v>
      </c>
      <c r="F4167" s="501" t="s">
        <v>677</v>
      </c>
      <c r="G4167" s="501" t="s">
        <v>678</v>
      </c>
      <c r="H4167" s="501" t="s">
        <v>14770</v>
      </c>
      <c r="I4167" s="501">
        <v>5</v>
      </c>
      <c r="J4167" s="501">
        <v>0</v>
      </c>
      <c r="K4167" s="501">
        <v>0</v>
      </c>
      <c r="L4167" s="501">
        <v>5</v>
      </c>
      <c r="M4167" s="501">
        <v>0</v>
      </c>
      <c r="N4167" s="501">
        <v>0</v>
      </c>
      <c r="O4167" s="506">
        <v>0</v>
      </c>
    </row>
    <row r="4168" spans="1:15" x14ac:dyDescent="0.35">
      <c r="A4168" s="503" t="s">
        <v>1187</v>
      </c>
      <c r="B4168" s="504" t="s">
        <v>2951</v>
      </c>
      <c r="C4168" s="504" t="s">
        <v>1094</v>
      </c>
      <c r="D4168" s="504" t="s">
        <v>3380</v>
      </c>
      <c r="E4168" s="504" t="s">
        <v>3381</v>
      </c>
      <c r="F4168" s="504" t="s">
        <v>677</v>
      </c>
      <c r="G4168" s="504" t="s">
        <v>678</v>
      </c>
      <c r="H4168" s="504" t="s">
        <v>6714</v>
      </c>
      <c r="I4168" s="504">
        <v>58</v>
      </c>
      <c r="J4168" s="504">
        <v>46</v>
      </c>
      <c r="K4168" s="504">
        <v>0</v>
      </c>
      <c r="L4168" s="504">
        <v>0</v>
      </c>
      <c r="M4168" s="504">
        <v>0</v>
      </c>
      <c r="N4168" s="504">
        <v>0</v>
      </c>
      <c r="O4168" s="505">
        <v>12</v>
      </c>
    </row>
    <row r="4169" spans="1:15" x14ac:dyDescent="0.35">
      <c r="A4169" s="500" t="s">
        <v>1105</v>
      </c>
      <c r="B4169" s="501">
        <v>4668</v>
      </c>
      <c r="C4169" s="501" t="s">
        <v>1094</v>
      </c>
      <c r="D4169" s="501" t="s">
        <v>3380</v>
      </c>
      <c r="E4169" s="501" t="s">
        <v>3381</v>
      </c>
      <c r="F4169" s="501" t="s">
        <v>677</v>
      </c>
      <c r="G4169" s="501" t="s">
        <v>678</v>
      </c>
      <c r="H4169" s="501" t="s">
        <v>6715</v>
      </c>
      <c r="I4169" s="501">
        <v>93</v>
      </c>
      <c r="J4169" s="501">
        <v>0</v>
      </c>
      <c r="K4169" s="501">
        <v>0</v>
      </c>
      <c r="L4169" s="501">
        <v>0</v>
      </c>
      <c r="M4169" s="501">
        <v>0</v>
      </c>
      <c r="N4169" s="501">
        <v>0</v>
      </c>
      <c r="O4169" s="506">
        <v>93</v>
      </c>
    </row>
    <row r="4170" spans="1:15" x14ac:dyDescent="0.35">
      <c r="A4170" s="503" t="s">
        <v>1107</v>
      </c>
      <c r="B4170" s="504" t="s">
        <v>3109</v>
      </c>
      <c r="C4170" s="504" t="s">
        <v>1094</v>
      </c>
      <c r="D4170" s="504" t="s">
        <v>3380</v>
      </c>
      <c r="E4170" s="504" t="s">
        <v>3381</v>
      </c>
      <c r="F4170" s="504" t="s">
        <v>677</v>
      </c>
      <c r="G4170" s="504" t="s">
        <v>678</v>
      </c>
      <c r="H4170" s="504" t="s">
        <v>6716</v>
      </c>
      <c r="I4170" s="504">
        <v>18</v>
      </c>
      <c r="J4170" s="504">
        <v>0</v>
      </c>
      <c r="K4170" s="504">
        <v>0</v>
      </c>
      <c r="L4170" s="504">
        <v>18</v>
      </c>
      <c r="M4170" s="504">
        <v>0</v>
      </c>
      <c r="N4170" s="504">
        <v>0</v>
      </c>
      <c r="O4170" s="505">
        <v>0</v>
      </c>
    </row>
    <row r="4171" spans="1:15" x14ac:dyDescent="0.35">
      <c r="A4171" s="500" t="s">
        <v>1109</v>
      </c>
      <c r="B4171" s="501" t="s">
        <v>2959</v>
      </c>
      <c r="C4171" s="501" t="s">
        <v>1094</v>
      </c>
      <c r="D4171" s="501" t="s">
        <v>3380</v>
      </c>
      <c r="E4171" s="501" t="s">
        <v>3381</v>
      </c>
      <c r="F4171" s="501" t="s">
        <v>677</v>
      </c>
      <c r="G4171" s="501" t="s">
        <v>678</v>
      </c>
      <c r="H4171" s="501" t="s">
        <v>6717</v>
      </c>
      <c r="I4171" s="501">
        <v>107</v>
      </c>
      <c r="J4171" s="501">
        <v>0</v>
      </c>
      <c r="K4171" s="501">
        <v>0</v>
      </c>
      <c r="L4171" s="501">
        <v>0</v>
      </c>
      <c r="M4171" s="501">
        <v>107</v>
      </c>
      <c r="N4171" s="501">
        <v>0</v>
      </c>
      <c r="O4171" s="506">
        <v>0</v>
      </c>
    </row>
    <row r="4172" spans="1:15" x14ac:dyDescent="0.35">
      <c r="A4172" s="503" t="s">
        <v>1306</v>
      </c>
      <c r="B4172" s="504" t="s">
        <v>3005</v>
      </c>
      <c r="C4172" s="504" t="s">
        <v>1094</v>
      </c>
      <c r="D4172" s="504" t="s">
        <v>3380</v>
      </c>
      <c r="E4172" s="504" t="s">
        <v>3381</v>
      </c>
      <c r="F4172" s="504" t="s">
        <v>677</v>
      </c>
      <c r="G4172" s="504" t="s">
        <v>678</v>
      </c>
      <c r="H4172" s="504" t="s">
        <v>6718</v>
      </c>
      <c r="I4172" s="504">
        <v>22</v>
      </c>
      <c r="J4172" s="504">
        <v>19</v>
      </c>
      <c r="K4172" s="504">
        <v>0</v>
      </c>
      <c r="L4172" s="504">
        <v>0</v>
      </c>
      <c r="M4172" s="504">
        <v>0</v>
      </c>
      <c r="N4172" s="504">
        <v>0</v>
      </c>
      <c r="O4172" s="505">
        <v>3</v>
      </c>
    </row>
    <row r="4173" spans="1:15" x14ac:dyDescent="0.35">
      <c r="A4173" s="500" t="s">
        <v>1189</v>
      </c>
      <c r="B4173" s="501" t="s">
        <v>3236</v>
      </c>
      <c r="C4173" s="501" t="s">
        <v>1094</v>
      </c>
      <c r="D4173" s="501" t="s">
        <v>3380</v>
      </c>
      <c r="E4173" s="501" t="s">
        <v>3381</v>
      </c>
      <c r="F4173" s="501" t="s">
        <v>677</v>
      </c>
      <c r="G4173" s="501" t="s">
        <v>678</v>
      </c>
      <c r="H4173" s="501" t="s">
        <v>6719</v>
      </c>
      <c r="I4173" s="501">
        <v>158</v>
      </c>
      <c r="J4173" s="501">
        <v>118</v>
      </c>
      <c r="K4173" s="501">
        <v>0</v>
      </c>
      <c r="L4173" s="501">
        <v>0</v>
      </c>
      <c r="M4173" s="501">
        <v>40</v>
      </c>
      <c r="N4173" s="501">
        <v>0</v>
      </c>
      <c r="O4173" s="506">
        <v>0</v>
      </c>
    </row>
    <row r="4174" spans="1:15" x14ac:dyDescent="0.35">
      <c r="A4174" s="503" t="s">
        <v>1190</v>
      </c>
      <c r="B4174" s="504">
        <v>4662</v>
      </c>
      <c r="C4174" s="504" t="s">
        <v>1094</v>
      </c>
      <c r="D4174" s="504" t="s">
        <v>3380</v>
      </c>
      <c r="E4174" s="504" t="s">
        <v>3381</v>
      </c>
      <c r="F4174" s="504" t="s">
        <v>677</v>
      </c>
      <c r="G4174" s="504" t="s">
        <v>678</v>
      </c>
      <c r="H4174" s="504" t="s">
        <v>14771</v>
      </c>
      <c r="I4174" s="504">
        <v>3</v>
      </c>
      <c r="J4174" s="504">
        <v>0</v>
      </c>
      <c r="K4174" s="504">
        <v>0</v>
      </c>
      <c r="L4174" s="504">
        <v>3</v>
      </c>
      <c r="M4174" s="504">
        <v>0</v>
      </c>
      <c r="N4174" s="504">
        <v>0</v>
      </c>
      <c r="O4174" s="505">
        <v>0</v>
      </c>
    </row>
    <row r="4175" spans="1:15" x14ac:dyDescent="0.35">
      <c r="A4175" s="500" t="s">
        <v>1203</v>
      </c>
      <c r="B4175" s="501" t="s">
        <v>3170</v>
      </c>
      <c r="C4175" s="501" t="s">
        <v>1094</v>
      </c>
      <c r="D4175" s="501" t="s">
        <v>3380</v>
      </c>
      <c r="E4175" s="501" t="s">
        <v>3381</v>
      </c>
      <c r="F4175" s="501" t="s">
        <v>677</v>
      </c>
      <c r="G4175" s="501" t="s">
        <v>678</v>
      </c>
      <c r="H4175" s="501" t="s">
        <v>6720</v>
      </c>
      <c r="I4175" s="501">
        <v>481</v>
      </c>
      <c r="J4175" s="501">
        <v>339</v>
      </c>
      <c r="K4175" s="501">
        <v>0</v>
      </c>
      <c r="L4175" s="501">
        <v>38</v>
      </c>
      <c r="M4175" s="501">
        <v>46</v>
      </c>
      <c r="N4175" s="501">
        <v>0</v>
      </c>
      <c r="O4175" s="506">
        <v>58</v>
      </c>
    </row>
    <row r="4176" spans="1:15" x14ac:dyDescent="0.35">
      <c r="A4176" s="503" t="s">
        <v>1112</v>
      </c>
      <c r="B4176" s="504" t="s">
        <v>3008</v>
      </c>
      <c r="C4176" s="504" t="s">
        <v>1094</v>
      </c>
      <c r="D4176" s="504" t="s">
        <v>3380</v>
      </c>
      <c r="E4176" s="504" t="s">
        <v>3381</v>
      </c>
      <c r="F4176" s="504" t="s">
        <v>677</v>
      </c>
      <c r="G4176" s="504" t="s">
        <v>678</v>
      </c>
      <c r="H4176" s="504" t="s">
        <v>6721</v>
      </c>
      <c r="I4176" s="504">
        <v>401</v>
      </c>
      <c r="J4176" s="504">
        <v>314</v>
      </c>
      <c r="K4176" s="504">
        <v>0</v>
      </c>
      <c r="L4176" s="504">
        <v>29</v>
      </c>
      <c r="M4176" s="504">
        <v>0</v>
      </c>
      <c r="N4176" s="504">
        <v>0</v>
      </c>
      <c r="O4176" s="505">
        <v>58</v>
      </c>
    </row>
    <row r="4177" spans="1:15" x14ac:dyDescent="0.35">
      <c r="A4177" s="500" t="s">
        <v>1208</v>
      </c>
      <c r="B4177" s="501" t="s">
        <v>3096</v>
      </c>
      <c r="C4177" s="501" t="s">
        <v>1094</v>
      </c>
      <c r="D4177" s="501" t="s">
        <v>3380</v>
      </c>
      <c r="E4177" s="501" t="s">
        <v>3381</v>
      </c>
      <c r="F4177" s="501" t="s">
        <v>677</v>
      </c>
      <c r="G4177" s="501" t="s">
        <v>678</v>
      </c>
      <c r="H4177" s="501" t="s">
        <v>6722</v>
      </c>
      <c r="I4177" s="501">
        <v>622</v>
      </c>
      <c r="J4177" s="501">
        <v>524</v>
      </c>
      <c r="K4177" s="501">
        <v>0</v>
      </c>
      <c r="L4177" s="501">
        <v>38</v>
      </c>
      <c r="M4177" s="501">
        <v>36</v>
      </c>
      <c r="N4177" s="501">
        <v>0</v>
      </c>
      <c r="O4177" s="506">
        <v>24</v>
      </c>
    </row>
    <row r="4178" spans="1:15" x14ac:dyDescent="0.35">
      <c r="A4178" s="503" t="s">
        <v>1218</v>
      </c>
      <c r="B4178" s="504" t="s">
        <v>3147</v>
      </c>
      <c r="C4178" s="504" t="s">
        <v>1094</v>
      </c>
      <c r="D4178" s="504" t="s">
        <v>3380</v>
      </c>
      <c r="E4178" s="504" t="s">
        <v>3381</v>
      </c>
      <c r="F4178" s="504" t="s">
        <v>677</v>
      </c>
      <c r="G4178" s="504" t="s">
        <v>678</v>
      </c>
      <c r="H4178" s="504" t="s">
        <v>6723</v>
      </c>
      <c r="I4178" s="504">
        <v>1</v>
      </c>
      <c r="J4178" s="504">
        <v>0</v>
      </c>
      <c r="K4178" s="504">
        <v>0</v>
      </c>
      <c r="L4178" s="504">
        <v>0</v>
      </c>
      <c r="M4178" s="504">
        <v>0</v>
      </c>
      <c r="N4178" s="504">
        <v>0</v>
      </c>
      <c r="O4178" s="505">
        <v>1</v>
      </c>
    </row>
    <row r="4179" spans="1:15" x14ac:dyDescent="0.35">
      <c r="A4179" s="500" t="s">
        <v>1122</v>
      </c>
      <c r="B4179" s="501" t="s">
        <v>2994</v>
      </c>
      <c r="C4179" s="501" t="s">
        <v>1094</v>
      </c>
      <c r="D4179" s="501" t="s">
        <v>3380</v>
      </c>
      <c r="E4179" s="501" t="s">
        <v>3381</v>
      </c>
      <c r="F4179" s="501" t="s">
        <v>677</v>
      </c>
      <c r="G4179" s="501" t="s">
        <v>678</v>
      </c>
      <c r="H4179" s="501" t="s">
        <v>6724</v>
      </c>
      <c r="I4179" s="501">
        <v>10</v>
      </c>
      <c r="J4179" s="501">
        <v>0</v>
      </c>
      <c r="K4179" s="501">
        <v>0</v>
      </c>
      <c r="L4179" s="501">
        <v>0</v>
      </c>
      <c r="M4179" s="501">
        <v>0</v>
      </c>
      <c r="N4179" s="501">
        <v>0</v>
      </c>
      <c r="O4179" s="506">
        <v>10</v>
      </c>
    </row>
    <row r="4180" spans="1:15" x14ac:dyDescent="0.35">
      <c r="A4180" s="503" t="s">
        <v>1225</v>
      </c>
      <c r="B4180" s="504" t="s">
        <v>3315</v>
      </c>
      <c r="C4180" s="504" t="s">
        <v>1094</v>
      </c>
      <c r="D4180" s="504" t="s">
        <v>3380</v>
      </c>
      <c r="E4180" s="504" t="s">
        <v>3381</v>
      </c>
      <c r="F4180" s="504" t="s">
        <v>677</v>
      </c>
      <c r="G4180" s="504" t="s">
        <v>678</v>
      </c>
      <c r="H4180" s="504" t="s">
        <v>6725</v>
      </c>
      <c r="I4180" s="504">
        <v>72</v>
      </c>
      <c r="J4180" s="504">
        <v>0</v>
      </c>
      <c r="K4180" s="504">
        <v>0</v>
      </c>
      <c r="L4180" s="504">
        <v>72</v>
      </c>
      <c r="M4180" s="504">
        <v>0</v>
      </c>
      <c r="N4180" s="504">
        <v>0</v>
      </c>
      <c r="O4180" s="505">
        <v>0</v>
      </c>
    </row>
    <row r="4181" spans="1:15" x14ac:dyDescent="0.35">
      <c r="A4181" s="500" t="s">
        <v>1226</v>
      </c>
      <c r="B4181" s="501">
        <v>5084</v>
      </c>
      <c r="C4181" s="501" t="s">
        <v>1094</v>
      </c>
      <c r="D4181" s="501" t="s">
        <v>3380</v>
      </c>
      <c r="E4181" s="501" t="s">
        <v>3381</v>
      </c>
      <c r="F4181" s="501" t="s">
        <v>677</v>
      </c>
      <c r="G4181" s="501" t="s">
        <v>678</v>
      </c>
      <c r="H4181" s="501" t="s">
        <v>14772</v>
      </c>
      <c r="I4181" s="501">
        <v>40</v>
      </c>
      <c r="J4181" s="501">
        <v>23</v>
      </c>
      <c r="K4181" s="501">
        <v>0</v>
      </c>
      <c r="L4181" s="501">
        <v>0</v>
      </c>
      <c r="M4181" s="501">
        <v>0</v>
      </c>
      <c r="N4181" s="501">
        <v>0</v>
      </c>
      <c r="O4181" s="506">
        <v>17</v>
      </c>
    </row>
    <row r="4182" spans="1:15" x14ac:dyDescent="0.35">
      <c r="A4182" s="503" t="s">
        <v>1228</v>
      </c>
      <c r="B4182" s="504" t="s">
        <v>3321</v>
      </c>
      <c r="C4182" s="504" t="s">
        <v>1094</v>
      </c>
      <c r="D4182" s="504" t="s">
        <v>3380</v>
      </c>
      <c r="E4182" s="504" t="s">
        <v>3381</v>
      </c>
      <c r="F4182" s="504" t="s">
        <v>677</v>
      </c>
      <c r="G4182" s="504" t="s">
        <v>678</v>
      </c>
      <c r="H4182" s="504" t="s">
        <v>6726</v>
      </c>
      <c r="I4182" s="504">
        <v>3</v>
      </c>
      <c r="J4182" s="504">
        <v>0</v>
      </c>
      <c r="K4182" s="504">
        <v>0</v>
      </c>
      <c r="L4182" s="504">
        <v>3</v>
      </c>
      <c r="M4182" s="504">
        <v>0</v>
      </c>
      <c r="N4182" s="504">
        <v>0</v>
      </c>
      <c r="O4182" s="505">
        <v>0</v>
      </c>
    </row>
    <row r="4183" spans="1:15" x14ac:dyDescent="0.35">
      <c r="A4183" s="500" t="s">
        <v>1335</v>
      </c>
      <c r="B4183" s="501" t="s">
        <v>2551</v>
      </c>
      <c r="C4183" s="501" t="s">
        <v>1089</v>
      </c>
      <c r="D4183" s="501" t="s">
        <v>3392</v>
      </c>
      <c r="E4183" s="501" t="s">
        <v>3381</v>
      </c>
      <c r="F4183" s="501" t="s">
        <v>677</v>
      </c>
      <c r="G4183" s="501" t="s">
        <v>678</v>
      </c>
      <c r="H4183" s="501" t="s">
        <v>6727</v>
      </c>
      <c r="I4183" s="501">
        <v>44</v>
      </c>
      <c r="J4183" s="501">
        <v>0</v>
      </c>
      <c r="K4183" s="501">
        <v>0</v>
      </c>
      <c r="L4183" s="501">
        <v>0</v>
      </c>
      <c r="M4183" s="501">
        <v>44</v>
      </c>
      <c r="N4183" s="501">
        <v>0</v>
      </c>
      <c r="O4183" s="506">
        <v>0</v>
      </c>
    </row>
    <row r="4184" spans="1:15" x14ac:dyDescent="0.35">
      <c r="A4184" s="503" t="s">
        <v>1124</v>
      </c>
      <c r="B4184" s="504">
        <v>4745</v>
      </c>
      <c r="C4184" s="504" t="s">
        <v>1094</v>
      </c>
      <c r="D4184" s="504" t="s">
        <v>3380</v>
      </c>
      <c r="E4184" s="504" t="s">
        <v>3381</v>
      </c>
      <c r="F4184" s="504" t="s">
        <v>677</v>
      </c>
      <c r="G4184" s="504" t="s">
        <v>678</v>
      </c>
      <c r="H4184" s="504" t="s">
        <v>6728</v>
      </c>
      <c r="I4184" s="504">
        <v>31</v>
      </c>
      <c r="J4184" s="504">
        <v>0</v>
      </c>
      <c r="K4184" s="504">
        <v>0</v>
      </c>
      <c r="L4184" s="504">
        <v>31</v>
      </c>
      <c r="M4184" s="504">
        <v>0</v>
      </c>
      <c r="N4184" s="504">
        <v>0</v>
      </c>
      <c r="O4184" s="505">
        <v>0</v>
      </c>
    </row>
    <row r="4185" spans="1:15" x14ac:dyDescent="0.35">
      <c r="A4185" s="500" t="s">
        <v>1233</v>
      </c>
      <c r="B4185" s="501">
        <v>4636</v>
      </c>
      <c r="C4185" s="501" t="s">
        <v>1094</v>
      </c>
      <c r="D4185" s="501" t="s">
        <v>3380</v>
      </c>
      <c r="E4185" s="501" t="s">
        <v>3381</v>
      </c>
      <c r="F4185" s="501" t="s">
        <v>677</v>
      </c>
      <c r="G4185" s="501" t="s">
        <v>678</v>
      </c>
      <c r="H4185" s="501" t="s">
        <v>6729</v>
      </c>
      <c r="I4185" s="501">
        <v>96</v>
      </c>
      <c r="J4185" s="501">
        <v>32</v>
      </c>
      <c r="K4185" s="501">
        <v>0</v>
      </c>
      <c r="L4185" s="501">
        <v>0</v>
      </c>
      <c r="M4185" s="501">
        <v>0</v>
      </c>
      <c r="N4185" s="501">
        <v>0</v>
      </c>
      <c r="O4185" s="506">
        <v>64</v>
      </c>
    </row>
    <row r="4186" spans="1:15" x14ac:dyDescent="0.35">
      <c r="A4186" s="503" t="s">
        <v>11368</v>
      </c>
      <c r="B4186" s="504">
        <v>5083</v>
      </c>
      <c r="C4186" s="504" t="s">
        <v>1094</v>
      </c>
      <c r="D4186" s="504" t="s">
        <v>3380</v>
      </c>
      <c r="E4186" s="504" t="s">
        <v>3381</v>
      </c>
      <c r="F4186" s="504" t="s">
        <v>677</v>
      </c>
      <c r="G4186" s="504" t="s">
        <v>678</v>
      </c>
      <c r="H4186" s="504" t="s">
        <v>12059</v>
      </c>
      <c r="I4186" s="504">
        <v>100</v>
      </c>
      <c r="J4186" s="504">
        <v>100</v>
      </c>
      <c r="K4186" s="504">
        <v>0</v>
      </c>
      <c r="L4186" s="504">
        <v>0</v>
      </c>
      <c r="M4186" s="504">
        <v>0</v>
      </c>
      <c r="N4186" s="504">
        <v>0</v>
      </c>
      <c r="O4186" s="505">
        <v>0</v>
      </c>
    </row>
    <row r="4187" spans="1:15" x14ac:dyDescent="0.35">
      <c r="A4187" s="500" t="s">
        <v>1234</v>
      </c>
      <c r="B4187" s="501" t="s">
        <v>3291</v>
      </c>
      <c r="C4187" s="501" t="s">
        <v>1094</v>
      </c>
      <c r="D4187" s="501" t="s">
        <v>3380</v>
      </c>
      <c r="E4187" s="501" t="s">
        <v>3381</v>
      </c>
      <c r="F4187" s="501" t="s">
        <v>677</v>
      </c>
      <c r="G4187" s="501" t="s">
        <v>678</v>
      </c>
      <c r="H4187" s="501" t="s">
        <v>6730</v>
      </c>
      <c r="I4187" s="501">
        <v>36</v>
      </c>
      <c r="J4187" s="501">
        <v>0</v>
      </c>
      <c r="K4187" s="501">
        <v>0</v>
      </c>
      <c r="L4187" s="501">
        <v>36</v>
      </c>
      <c r="M4187" s="501">
        <v>0</v>
      </c>
      <c r="N4187" s="501">
        <v>0</v>
      </c>
      <c r="O4187" s="506">
        <v>0</v>
      </c>
    </row>
    <row r="4188" spans="1:15" x14ac:dyDescent="0.35">
      <c r="A4188" s="503" t="s">
        <v>1134</v>
      </c>
      <c r="B4188" s="504" t="s">
        <v>3066</v>
      </c>
      <c r="C4188" s="504" t="s">
        <v>1094</v>
      </c>
      <c r="D4188" s="504" t="s">
        <v>3380</v>
      </c>
      <c r="E4188" s="504" t="s">
        <v>3381</v>
      </c>
      <c r="F4188" s="504" t="s">
        <v>677</v>
      </c>
      <c r="G4188" s="504" t="s">
        <v>678</v>
      </c>
      <c r="H4188" s="504" t="s">
        <v>6731</v>
      </c>
      <c r="I4188" s="504">
        <v>84</v>
      </c>
      <c r="J4188" s="504">
        <v>51</v>
      </c>
      <c r="K4188" s="504">
        <v>0</v>
      </c>
      <c r="L4188" s="504">
        <v>0</v>
      </c>
      <c r="M4188" s="504">
        <v>0</v>
      </c>
      <c r="N4188" s="504">
        <v>0</v>
      </c>
      <c r="O4188" s="505">
        <v>33</v>
      </c>
    </row>
    <row r="4189" spans="1:15" x14ac:dyDescent="0.35">
      <c r="A4189" s="500" t="s">
        <v>1356</v>
      </c>
      <c r="B4189" s="501" t="s">
        <v>3026</v>
      </c>
      <c r="C4189" s="501" t="s">
        <v>1094</v>
      </c>
      <c r="D4189" s="501" t="s">
        <v>3380</v>
      </c>
      <c r="E4189" s="501" t="s">
        <v>3381</v>
      </c>
      <c r="F4189" s="501" t="s">
        <v>677</v>
      </c>
      <c r="G4189" s="501" t="s">
        <v>678</v>
      </c>
      <c r="H4189" s="501" t="s">
        <v>6732</v>
      </c>
      <c r="I4189" s="501">
        <v>396</v>
      </c>
      <c r="J4189" s="501">
        <v>308</v>
      </c>
      <c r="K4189" s="501">
        <v>0</v>
      </c>
      <c r="L4189" s="501">
        <v>6</v>
      </c>
      <c r="M4189" s="501">
        <v>0</v>
      </c>
      <c r="N4189" s="501">
        <v>0</v>
      </c>
      <c r="O4189" s="506">
        <v>82</v>
      </c>
    </row>
    <row r="4190" spans="1:15" x14ac:dyDescent="0.35">
      <c r="A4190" s="503" t="s">
        <v>1249</v>
      </c>
      <c r="B4190" s="504">
        <v>4729</v>
      </c>
      <c r="C4190" s="504" t="s">
        <v>1094</v>
      </c>
      <c r="D4190" s="504" t="s">
        <v>3380</v>
      </c>
      <c r="E4190" s="504" t="s">
        <v>3381</v>
      </c>
      <c r="F4190" s="504" t="s">
        <v>677</v>
      </c>
      <c r="G4190" s="504" t="s">
        <v>678</v>
      </c>
      <c r="H4190" s="504" t="s">
        <v>6733</v>
      </c>
      <c r="I4190" s="504">
        <v>90</v>
      </c>
      <c r="J4190" s="504">
        <v>67</v>
      </c>
      <c r="K4190" s="504">
        <v>0</v>
      </c>
      <c r="L4190" s="504">
        <v>0</v>
      </c>
      <c r="M4190" s="504">
        <v>0</v>
      </c>
      <c r="N4190" s="504">
        <v>0</v>
      </c>
      <c r="O4190" s="505">
        <v>23</v>
      </c>
    </row>
    <row r="4191" spans="1:15" x14ac:dyDescent="0.35">
      <c r="A4191" s="500" t="s">
        <v>1360</v>
      </c>
      <c r="B4191" s="501" t="s">
        <v>3350</v>
      </c>
      <c r="C4191" s="501" t="s">
        <v>1094</v>
      </c>
      <c r="D4191" s="501" t="s">
        <v>3380</v>
      </c>
      <c r="E4191" s="501" t="s">
        <v>3381</v>
      </c>
      <c r="F4191" s="501" t="s">
        <v>677</v>
      </c>
      <c r="G4191" s="501" t="s">
        <v>678</v>
      </c>
      <c r="H4191" s="501" t="s">
        <v>6734</v>
      </c>
      <c r="I4191" s="501">
        <v>67</v>
      </c>
      <c r="J4191" s="501">
        <v>50</v>
      </c>
      <c r="K4191" s="501">
        <v>0</v>
      </c>
      <c r="L4191" s="501">
        <v>0</v>
      </c>
      <c r="M4191" s="501">
        <v>0</v>
      </c>
      <c r="N4191" s="501">
        <v>0</v>
      </c>
      <c r="O4191" s="506">
        <v>17</v>
      </c>
    </row>
    <row r="4192" spans="1:15" x14ac:dyDescent="0.35">
      <c r="A4192" s="503" t="s">
        <v>1364</v>
      </c>
      <c r="B4192" s="504" t="s">
        <v>3277</v>
      </c>
      <c r="C4192" s="504" t="s">
        <v>1089</v>
      </c>
      <c r="D4192" s="504" t="s">
        <v>3392</v>
      </c>
      <c r="E4192" s="504" t="s">
        <v>3381</v>
      </c>
      <c r="F4192" s="504" t="s">
        <v>677</v>
      </c>
      <c r="G4192" s="504" t="s">
        <v>678</v>
      </c>
      <c r="H4192" s="504" t="s">
        <v>6735</v>
      </c>
      <c r="I4192" s="504">
        <v>34</v>
      </c>
      <c r="J4192" s="504">
        <v>0</v>
      </c>
      <c r="K4192" s="504">
        <v>0</v>
      </c>
      <c r="L4192" s="504">
        <v>34</v>
      </c>
      <c r="M4192" s="504">
        <v>0</v>
      </c>
      <c r="N4192" s="504">
        <v>0</v>
      </c>
      <c r="O4192" s="505">
        <v>0</v>
      </c>
    </row>
    <row r="4193" spans="1:15" x14ac:dyDescent="0.35">
      <c r="A4193" s="500" t="s">
        <v>1156</v>
      </c>
      <c r="B4193" s="501" t="s">
        <v>3310</v>
      </c>
      <c r="C4193" s="501" t="s">
        <v>1094</v>
      </c>
      <c r="D4193" s="501" t="s">
        <v>3380</v>
      </c>
      <c r="E4193" s="501" t="s">
        <v>3381</v>
      </c>
      <c r="F4193" s="501" t="s">
        <v>677</v>
      </c>
      <c r="G4193" s="501" t="s">
        <v>678</v>
      </c>
      <c r="H4193" s="501" t="s">
        <v>6707</v>
      </c>
      <c r="I4193" s="501">
        <v>888</v>
      </c>
      <c r="J4193" s="501">
        <v>615</v>
      </c>
      <c r="K4193" s="501">
        <v>0</v>
      </c>
      <c r="L4193" s="501">
        <v>13</v>
      </c>
      <c r="M4193" s="501">
        <v>0</v>
      </c>
      <c r="N4193" s="501">
        <v>0</v>
      </c>
      <c r="O4193" s="506">
        <v>260</v>
      </c>
    </row>
    <row r="4194" spans="1:15" x14ac:dyDescent="0.35">
      <c r="A4194" s="503" t="s">
        <v>1143</v>
      </c>
      <c r="B4194" s="504" t="s">
        <v>3281</v>
      </c>
      <c r="C4194" s="504" t="s">
        <v>1094</v>
      </c>
      <c r="D4194" s="504" t="s">
        <v>3380</v>
      </c>
      <c r="E4194" s="504" t="s">
        <v>3381</v>
      </c>
      <c r="F4194" s="504" t="s">
        <v>679</v>
      </c>
      <c r="G4194" s="504" t="s">
        <v>680</v>
      </c>
      <c r="H4194" s="504" t="s">
        <v>6736</v>
      </c>
      <c r="I4194" s="504">
        <v>474</v>
      </c>
      <c r="J4194" s="504">
        <v>311</v>
      </c>
      <c r="K4194" s="504">
        <v>0</v>
      </c>
      <c r="L4194" s="504">
        <v>0</v>
      </c>
      <c r="M4194" s="504">
        <v>161</v>
      </c>
      <c r="N4194" s="504">
        <v>1</v>
      </c>
      <c r="O4194" s="505">
        <v>2</v>
      </c>
    </row>
    <row r="4195" spans="1:15" x14ac:dyDescent="0.35">
      <c r="A4195" s="500" t="s">
        <v>1096</v>
      </c>
      <c r="B4195" s="501" t="s">
        <v>3326</v>
      </c>
      <c r="C4195" s="501" t="s">
        <v>1094</v>
      </c>
      <c r="D4195" s="501" t="s">
        <v>3380</v>
      </c>
      <c r="E4195" s="501" t="s">
        <v>3381</v>
      </c>
      <c r="F4195" s="501" t="s">
        <v>679</v>
      </c>
      <c r="G4195" s="501" t="s">
        <v>680</v>
      </c>
      <c r="H4195" s="501" t="s">
        <v>6737</v>
      </c>
      <c r="I4195" s="501">
        <v>149</v>
      </c>
      <c r="J4195" s="501">
        <v>0</v>
      </c>
      <c r="K4195" s="501">
        <v>0</v>
      </c>
      <c r="L4195" s="501">
        <v>0</v>
      </c>
      <c r="M4195" s="501">
        <v>149</v>
      </c>
      <c r="N4195" s="501">
        <v>0</v>
      </c>
      <c r="O4195" s="506">
        <v>0</v>
      </c>
    </row>
    <row r="4196" spans="1:15" x14ac:dyDescent="0.35">
      <c r="A4196" s="503" t="s">
        <v>11370</v>
      </c>
      <c r="B4196" s="504">
        <v>4690</v>
      </c>
      <c r="C4196" s="504" t="s">
        <v>1089</v>
      </c>
      <c r="D4196" s="504" t="s">
        <v>3392</v>
      </c>
      <c r="E4196" s="504" t="s">
        <v>3381</v>
      </c>
      <c r="F4196" s="504" t="s">
        <v>679</v>
      </c>
      <c r="G4196" s="504" t="s">
        <v>680</v>
      </c>
      <c r="H4196" s="504" t="s">
        <v>11505</v>
      </c>
      <c r="I4196" s="504">
        <v>1</v>
      </c>
      <c r="J4196" s="504">
        <v>0</v>
      </c>
      <c r="K4196" s="504">
        <v>0</v>
      </c>
      <c r="L4196" s="504">
        <v>1</v>
      </c>
      <c r="M4196" s="504">
        <v>0</v>
      </c>
      <c r="N4196" s="504">
        <v>0</v>
      </c>
      <c r="O4196" s="505">
        <v>0</v>
      </c>
    </row>
    <row r="4197" spans="1:15" x14ac:dyDescent="0.35">
      <c r="A4197" s="500" t="s">
        <v>1680</v>
      </c>
      <c r="B4197" s="501" t="s">
        <v>3168</v>
      </c>
      <c r="C4197" s="501" t="s">
        <v>1094</v>
      </c>
      <c r="D4197" s="501" t="s">
        <v>3380</v>
      </c>
      <c r="E4197" s="501" t="s">
        <v>3381</v>
      </c>
      <c r="F4197" s="501" t="s">
        <v>679</v>
      </c>
      <c r="G4197" s="501" t="s">
        <v>680</v>
      </c>
      <c r="H4197" s="501" t="s">
        <v>6738</v>
      </c>
      <c r="I4197" s="501">
        <v>14</v>
      </c>
      <c r="J4197" s="501">
        <v>0</v>
      </c>
      <c r="K4197" s="501">
        <v>0</v>
      </c>
      <c r="L4197" s="501">
        <v>14</v>
      </c>
      <c r="M4197" s="501">
        <v>0</v>
      </c>
      <c r="N4197" s="501">
        <v>0</v>
      </c>
      <c r="O4197" s="506">
        <v>0</v>
      </c>
    </row>
    <row r="4198" spans="1:15" x14ac:dyDescent="0.35">
      <c r="A4198" s="503" t="s">
        <v>1160</v>
      </c>
      <c r="B4198" s="504">
        <v>4672</v>
      </c>
      <c r="C4198" s="504" t="s">
        <v>1089</v>
      </c>
      <c r="D4198" s="504" t="s">
        <v>3392</v>
      </c>
      <c r="E4198" s="504" t="s">
        <v>3381</v>
      </c>
      <c r="F4198" s="504" t="s">
        <v>679</v>
      </c>
      <c r="G4198" s="504" t="s">
        <v>680</v>
      </c>
      <c r="H4198" s="504" t="s">
        <v>6739</v>
      </c>
      <c r="I4198" s="504">
        <v>2</v>
      </c>
      <c r="J4198" s="504">
        <v>0</v>
      </c>
      <c r="K4198" s="504">
        <v>0</v>
      </c>
      <c r="L4198" s="504">
        <v>2</v>
      </c>
      <c r="M4198" s="504">
        <v>0</v>
      </c>
      <c r="N4198" s="504">
        <v>0</v>
      </c>
      <c r="O4198" s="505">
        <v>0</v>
      </c>
    </row>
    <row r="4199" spans="1:15" x14ac:dyDescent="0.35">
      <c r="A4199" s="500" t="s">
        <v>1167</v>
      </c>
      <c r="B4199" s="501">
        <v>4689</v>
      </c>
      <c r="C4199" s="501" t="s">
        <v>1089</v>
      </c>
      <c r="D4199" s="501" t="s">
        <v>3392</v>
      </c>
      <c r="E4199" s="501" t="s">
        <v>3381</v>
      </c>
      <c r="F4199" s="501" t="s">
        <v>679</v>
      </c>
      <c r="G4199" s="501" t="s">
        <v>680</v>
      </c>
      <c r="H4199" s="501" t="s">
        <v>6740</v>
      </c>
      <c r="I4199" s="501">
        <v>25</v>
      </c>
      <c r="J4199" s="501">
        <v>0</v>
      </c>
      <c r="K4199" s="501">
        <v>0</v>
      </c>
      <c r="L4199" s="501">
        <v>25</v>
      </c>
      <c r="M4199" s="501">
        <v>0</v>
      </c>
      <c r="N4199" s="501">
        <v>0</v>
      </c>
      <c r="O4199" s="506">
        <v>0</v>
      </c>
    </row>
    <row r="4200" spans="1:15" x14ac:dyDescent="0.35">
      <c r="A4200" s="503" t="s">
        <v>1102</v>
      </c>
      <c r="B4200" s="504">
        <v>4663</v>
      </c>
      <c r="C4200" s="504" t="s">
        <v>1089</v>
      </c>
      <c r="D4200" s="504" t="s">
        <v>3392</v>
      </c>
      <c r="E4200" s="504" t="s">
        <v>3381</v>
      </c>
      <c r="F4200" s="504" t="s">
        <v>679</v>
      </c>
      <c r="G4200" s="504" t="s">
        <v>680</v>
      </c>
      <c r="H4200" s="504" t="s">
        <v>6741</v>
      </c>
      <c r="I4200" s="504">
        <v>10</v>
      </c>
      <c r="J4200" s="504">
        <v>0</v>
      </c>
      <c r="K4200" s="504">
        <v>0</v>
      </c>
      <c r="L4200" s="504">
        <v>10</v>
      </c>
      <c r="M4200" s="504">
        <v>0</v>
      </c>
      <c r="N4200" s="504">
        <v>0</v>
      </c>
      <c r="O4200" s="505">
        <v>0</v>
      </c>
    </row>
    <row r="4201" spans="1:15" x14ac:dyDescent="0.35">
      <c r="A4201" s="500" t="s">
        <v>1174</v>
      </c>
      <c r="B4201" s="501">
        <v>4784</v>
      </c>
      <c r="C4201" s="501" t="s">
        <v>1089</v>
      </c>
      <c r="D4201" s="501" t="s">
        <v>3392</v>
      </c>
      <c r="E4201" s="501" t="s">
        <v>3381</v>
      </c>
      <c r="F4201" s="501" t="s">
        <v>679</v>
      </c>
      <c r="G4201" s="501" t="s">
        <v>680</v>
      </c>
      <c r="H4201" s="501" t="s">
        <v>11691</v>
      </c>
      <c r="I4201" s="501">
        <v>14</v>
      </c>
      <c r="J4201" s="501">
        <v>0</v>
      </c>
      <c r="K4201" s="501">
        <v>0</v>
      </c>
      <c r="L4201" s="501">
        <v>14</v>
      </c>
      <c r="M4201" s="501">
        <v>0</v>
      </c>
      <c r="N4201" s="501">
        <v>0</v>
      </c>
      <c r="O4201" s="506">
        <v>0</v>
      </c>
    </row>
    <row r="4202" spans="1:15" x14ac:dyDescent="0.35">
      <c r="A4202" s="503" t="s">
        <v>1183</v>
      </c>
      <c r="B4202" s="504" t="s">
        <v>3038</v>
      </c>
      <c r="C4202" s="504" t="s">
        <v>1094</v>
      </c>
      <c r="D4202" s="504" t="s">
        <v>3380</v>
      </c>
      <c r="E4202" s="504" t="s">
        <v>3381</v>
      </c>
      <c r="F4202" s="504" t="s">
        <v>679</v>
      </c>
      <c r="G4202" s="504" t="s">
        <v>680</v>
      </c>
      <c r="H4202" s="504" t="s">
        <v>6742</v>
      </c>
      <c r="I4202" s="504">
        <v>171</v>
      </c>
      <c r="J4202" s="504">
        <v>171</v>
      </c>
      <c r="K4202" s="504">
        <v>0</v>
      </c>
      <c r="L4202" s="504">
        <v>0</v>
      </c>
      <c r="M4202" s="504">
        <v>0</v>
      </c>
      <c r="N4202" s="504">
        <v>0</v>
      </c>
      <c r="O4202" s="505">
        <v>0</v>
      </c>
    </row>
    <row r="4203" spans="1:15" x14ac:dyDescent="0.35">
      <c r="A4203" s="500" t="s">
        <v>1186</v>
      </c>
      <c r="B4203" s="501">
        <v>4661</v>
      </c>
      <c r="C4203" s="501" t="s">
        <v>1089</v>
      </c>
      <c r="D4203" s="501" t="s">
        <v>3392</v>
      </c>
      <c r="E4203" s="501" t="s">
        <v>3381</v>
      </c>
      <c r="F4203" s="501" t="s">
        <v>679</v>
      </c>
      <c r="G4203" s="501" t="s">
        <v>680</v>
      </c>
      <c r="H4203" s="501" t="s">
        <v>6743</v>
      </c>
      <c r="I4203" s="501">
        <v>13</v>
      </c>
      <c r="J4203" s="501">
        <v>0</v>
      </c>
      <c r="K4203" s="501">
        <v>0</v>
      </c>
      <c r="L4203" s="501">
        <v>13</v>
      </c>
      <c r="M4203" s="501">
        <v>0</v>
      </c>
      <c r="N4203" s="501">
        <v>0</v>
      </c>
      <c r="O4203" s="506">
        <v>0</v>
      </c>
    </row>
    <row r="4204" spans="1:15" x14ac:dyDescent="0.35">
      <c r="A4204" s="503" t="s">
        <v>1105</v>
      </c>
      <c r="B4204" s="504">
        <v>4668</v>
      </c>
      <c r="C4204" s="504" t="s">
        <v>1094</v>
      </c>
      <c r="D4204" s="504" t="s">
        <v>3380</v>
      </c>
      <c r="E4204" s="504" t="s">
        <v>3381</v>
      </c>
      <c r="F4204" s="504" t="s">
        <v>679</v>
      </c>
      <c r="G4204" s="504" t="s">
        <v>680</v>
      </c>
      <c r="H4204" s="504" t="s">
        <v>6744</v>
      </c>
      <c r="I4204" s="504">
        <v>24</v>
      </c>
      <c r="J4204" s="504">
        <v>0</v>
      </c>
      <c r="K4204" s="504">
        <v>0</v>
      </c>
      <c r="L4204" s="504">
        <v>0</v>
      </c>
      <c r="M4204" s="504">
        <v>0</v>
      </c>
      <c r="N4204" s="504">
        <v>0</v>
      </c>
      <c r="O4204" s="505">
        <v>24</v>
      </c>
    </row>
    <row r="4205" spans="1:15" x14ac:dyDescent="0.35">
      <c r="A4205" s="500" t="s">
        <v>1188</v>
      </c>
      <c r="B4205" s="501">
        <v>4760</v>
      </c>
      <c r="C4205" s="501" t="s">
        <v>1089</v>
      </c>
      <c r="D4205" s="501" t="s">
        <v>3392</v>
      </c>
      <c r="E4205" s="501" t="s">
        <v>3381</v>
      </c>
      <c r="F4205" s="501" t="s">
        <v>679</v>
      </c>
      <c r="G4205" s="501" t="s">
        <v>680</v>
      </c>
      <c r="H4205" s="501" t="s">
        <v>6745</v>
      </c>
      <c r="I4205" s="501">
        <v>12</v>
      </c>
      <c r="J4205" s="501">
        <v>0</v>
      </c>
      <c r="K4205" s="501">
        <v>0</v>
      </c>
      <c r="L4205" s="501">
        <v>12</v>
      </c>
      <c r="M4205" s="501">
        <v>0</v>
      </c>
      <c r="N4205" s="501">
        <v>0</v>
      </c>
      <c r="O4205" s="506">
        <v>0</v>
      </c>
    </row>
    <row r="4206" spans="1:15" x14ac:dyDescent="0.35">
      <c r="A4206" s="503" t="s">
        <v>1109</v>
      </c>
      <c r="B4206" s="504" t="s">
        <v>2959</v>
      </c>
      <c r="C4206" s="504" t="s">
        <v>1094</v>
      </c>
      <c r="D4206" s="504" t="s">
        <v>3380</v>
      </c>
      <c r="E4206" s="504" t="s">
        <v>3381</v>
      </c>
      <c r="F4206" s="504" t="s">
        <v>679</v>
      </c>
      <c r="G4206" s="504" t="s">
        <v>680</v>
      </c>
      <c r="H4206" s="504" t="s">
        <v>6746</v>
      </c>
      <c r="I4206" s="504">
        <v>29</v>
      </c>
      <c r="J4206" s="504">
        <v>0</v>
      </c>
      <c r="K4206" s="504">
        <v>0</v>
      </c>
      <c r="L4206" s="504">
        <v>0</v>
      </c>
      <c r="M4206" s="504">
        <v>29</v>
      </c>
      <c r="N4206" s="504">
        <v>0</v>
      </c>
      <c r="O4206" s="505">
        <v>0</v>
      </c>
    </row>
    <row r="4207" spans="1:15" x14ac:dyDescent="0.35">
      <c r="A4207" s="500" t="s">
        <v>1190</v>
      </c>
      <c r="B4207" s="501">
        <v>4662</v>
      </c>
      <c r="C4207" s="501" t="s">
        <v>1094</v>
      </c>
      <c r="D4207" s="501" t="s">
        <v>3380</v>
      </c>
      <c r="E4207" s="501" t="s">
        <v>3381</v>
      </c>
      <c r="F4207" s="501" t="s">
        <v>679</v>
      </c>
      <c r="G4207" s="501" t="s">
        <v>680</v>
      </c>
      <c r="H4207" s="501" t="s">
        <v>6747</v>
      </c>
      <c r="I4207" s="501">
        <v>12</v>
      </c>
      <c r="J4207" s="501">
        <v>0</v>
      </c>
      <c r="K4207" s="501">
        <v>0</v>
      </c>
      <c r="L4207" s="501">
        <v>12</v>
      </c>
      <c r="M4207" s="501">
        <v>0</v>
      </c>
      <c r="N4207" s="501">
        <v>0</v>
      </c>
      <c r="O4207" s="506">
        <v>0</v>
      </c>
    </row>
    <row r="4208" spans="1:15" x14ac:dyDescent="0.35">
      <c r="A4208" s="503" t="s">
        <v>1739</v>
      </c>
      <c r="B4208" s="504">
        <v>4857</v>
      </c>
      <c r="C4208" s="504" t="s">
        <v>1094</v>
      </c>
      <c r="D4208" s="504" t="s">
        <v>3380</v>
      </c>
      <c r="E4208" s="504" t="s">
        <v>3381</v>
      </c>
      <c r="F4208" s="504" t="s">
        <v>679</v>
      </c>
      <c r="G4208" s="504" t="s">
        <v>680</v>
      </c>
      <c r="H4208" s="504" t="s">
        <v>6748</v>
      </c>
      <c r="I4208" s="504">
        <v>87</v>
      </c>
      <c r="J4208" s="504">
        <v>76</v>
      </c>
      <c r="K4208" s="504">
        <v>0</v>
      </c>
      <c r="L4208" s="504">
        <v>11</v>
      </c>
      <c r="M4208" s="504">
        <v>0</v>
      </c>
      <c r="N4208" s="504">
        <v>0</v>
      </c>
      <c r="O4208" s="505">
        <v>0</v>
      </c>
    </row>
    <row r="4209" spans="1:15" x14ac:dyDescent="0.35">
      <c r="A4209" s="500" t="s">
        <v>1209</v>
      </c>
      <c r="B4209" s="501">
        <v>4779</v>
      </c>
      <c r="C4209" s="501" t="s">
        <v>1094</v>
      </c>
      <c r="D4209" s="501" t="s">
        <v>3380</v>
      </c>
      <c r="E4209" s="501" t="s">
        <v>3381</v>
      </c>
      <c r="F4209" s="501" t="s">
        <v>679</v>
      </c>
      <c r="G4209" s="501" t="s">
        <v>680</v>
      </c>
      <c r="H4209" s="501" t="s">
        <v>6749</v>
      </c>
      <c r="I4209" s="501">
        <v>36</v>
      </c>
      <c r="J4209" s="501">
        <v>0</v>
      </c>
      <c r="K4209" s="501">
        <v>0</v>
      </c>
      <c r="L4209" s="501">
        <v>36</v>
      </c>
      <c r="M4209" s="501">
        <v>0</v>
      </c>
      <c r="N4209" s="501">
        <v>0</v>
      </c>
      <c r="O4209" s="506">
        <v>0</v>
      </c>
    </row>
    <row r="4210" spans="1:15" x14ac:dyDescent="0.35">
      <c r="A4210" s="503" t="s">
        <v>1503</v>
      </c>
      <c r="B4210" s="504">
        <v>4666</v>
      </c>
      <c r="C4210" s="504" t="s">
        <v>1089</v>
      </c>
      <c r="D4210" s="504" t="s">
        <v>3392</v>
      </c>
      <c r="E4210" s="504" t="s">
        <v>3381</v>
      </c>
      <c r="F4210" s="504" t="s">
        <v>679</v>
      </c>
      <c r="G4210" s="504" t="s">
        <v>680</v>
      </c>
      <c r="H4210" s="504" t="s">
        <v>6750</v>
      </c>
      <c r="I4210" s="504">
        <v>5</v>
      </c>
      <c r="J4210" s="504">
        <v>0</v>
      </c>
      <c r="K4210" s="504">
        <v>0</v>
      </c>
      <c r="L4210" s="504">
        <v>5</v>
      </c>
      <c r="M4210" s="504">
        <v>0</v>
      </c>
      <c r="N4210" s="504">
        <v>0</v>
      </c>
      <c r="O4210" s="505">
        <v>0</v>
      </c>
    </row>
    <row r="4211" spans="1:15" x14ac:dyDescent="0.35">
      <c r="A4211" s="500" t="s">
        <v>1744</v>
      </c>
      <c r="B4211" s="501" t="s">
        <v>3245</v>
      </c>
      <c r="C4211" s="501" t="s">
        <v>1094</v>
      </c>
      <c r="D4211" s="501" t="s">
        <v>3380</v>
      </c>
      <c r="E4211" s="501" t="s">
        <v>3381</v>
      </c>
      <c r="F4211" s="501" t="s">
        <v>679</v>
      </c>
      <c r="G4211" s="501" t="s">
        <v>680</v>
      </c>
      <c r="H4211" s="501" t="s">
        <v>6751</v>
      </c>
      <c r="I4211" s="501">
        <v>3172</v>
      </c>
      <c r="J4211" s="501">
        <v>2017</v>
      </c>
      <c r="K4211" s="501">
        <v>0</v>
      </c>
      <c r="L4211" s="501">
        <v>23</v>
      </c>
      <c r="M4211" s="501">
        <v>1131</v>
      </c>
      <c r="N4211" s="501">
        <v>91</v>
      </c>
      <c r="O4211" s="506">
        <v>1</v>
      </c>
    </row>
    <row r="4212" spans="1:15" x14ac:dyDescent="0.35">
      <c r="A4212" s="503" t="s">
        <v>1223</v>
      </c>
      <c r="B4212" s="504">
        <v>4768</v>
      </c>
      <c r="C4212" s="504" t="s">
        <v>1089</v>
      </c>
      <c r="D4212" s="504" t="s">
        <v>3392</v>
      </c>
      <c r="E4212" s="504" t="s">
        <v>3381</v>
      </c>
      <c r="F4212" s="504" t="s">
        <v>679</v>
      </c>
      <c r="G4212" s="504" t="s">
        <v>680</v>
      </c>
      <c r="H4212" s="504" t="s">
        <v>6752</v>
      </c>
      <c r="I4212" s="504">
        <v>2</v>
      </c>
      <c r="J4212" s="504">
        <v>0</v>
      </c>
      <c r="K4212" s="504">
        <v>0</v>
      </c>
      <c r="L4212" s="504">
        <v>2</v>
      </c>
      <c r="M4212" s="504">
        <v>0</v>
      </c>
      <c r="N4212" s="504">
        <v>0</v>
      </c>
      <c r="O4212" s="505">
        <v>0</v>
      </c>
    </row>
    <row r="4213" spans="1:15" x14ac:dyDescent="0.35">
      <c r="A4213" s="500" t="s">
        <v>1122</v>
      </c>
      <c r="B4213" s="501" t="s">
        <v>2994</v>
      </c>
      <c r="C4213" s="501" t="s">
        <v>1094</v>
      </c>
      <c r="D4213" s="501" t="s">
        <v>3380</v>
      </c>
      <c r="E4213" s="501" t="s">
        <v>3381</v>
      </c>
      <c r="F4213" s="501" t="s">
        <v>679</v>
      </c>
      <c r="G4213" s="501" t="s">
        <v>680</v>
      </c>
      <c r="H4213" s="501" t="s">
        <v>6753</v>
      </c>
      <c r="I4213" s="501">
        <v>65</v>
      </c>
      <c r="J4213" s="501">
        <v>58</v>
      </c>
      <c r="K4213" s="501">
        <v>0</v>
      </c>
      <c r="L4213" s="501">
        <v>0</v>
      </c>
      <c r="M4213" s="501">
        <v>0</v>
      </c>
      <c r="N4213" s="501">
        <v>0</v>
      </c>
      <c r="O4213" s="506">
        <v>7</v>
      </c>
    </row>
    <row r="4214" spans="1:15" x14ac:dyDescent="0.35">
      <c r="A4214" s="503" t="s">
        <v>1225</v>
      </c>
      <c r="B4214" s="504" t="s">
        <v>3315</v>
      </c>
      <c r="C4214" s="504" t="s">
        <v>1094</v>
      </c>
      <c r="D4214" s="504" t="s">
        <v>3380</v>
      </c>
      <c r="E4214" s="504" t="s">
        <v>3381</v>
      </c>
      <c r="F4214" s="504" t="s">
        <v>679</v>
      </c>
      <c r="G4214" s="504" t="s">
        <v>680</v>
      </c>
      <c r="H4214" s="504" t="s">
        <v>6754</v>
      </c>
      <c r="I4214" s="504">
        <v>38</v>
      </c>
      <c r="J4214" s="504">
        <v>0</v>
      </c>
      <c r="K4214" s="504">
        <v>0</v>
      </c>
      <c r="L4214" s="504">
        <v>38</v>
      </c>
      <c r="M4214" s="504">
        <v>0</v>
      </c>
      <c r="N4214" s="504">
        <v>0</v>
      </c>
      <c r="O4214" s="505">
        <v>0</v>
      </c>
    </row>
    <row r="4215" spans="1:15" x14ac:dyDescent="0.35">
      <c r="A4215" s="500" t="s">
        <v>1228</v>
      </c>
      <c r="B4215" s="501" t="s">
        <v>3321</v>
      </c>
      <c r="C4215" s="501" t="s">
        <v>1094</v>
      </c>
      <c r="D4215" s="501" t="s">
        <v>3380</v>
      </c>
      <c r="E4215" s="501" t="s">
        <v>3381</v>
      </c>
      <c r="F4215" s="501" t="s">
        <v>679</v>
      </c>
      <c r="G4215" s="501" t="s">
        <v>680</v>
      </c>
      <c r="H4215" s="501" t="s">
        <v>6755</v>
      </c>
      <c r="I4215" s="501">
        <v>98</v>
      </c>
      <c r="J4215" s="501">
        <v>43</v>
      </c>
      <c r="K4215" s="501">
        <v>0</v>
      </c>
      <c r="L4215" s="501">
        <v>55</v>
      </c>
      <c r="M4215" s="501">
        <v>0</v>
      </c>
      <c r="N4215" s="501">
        <v>0</v>
      </c>
      <c r="O4215" s="506">
        <v>0</v>
      </c>
    </row>
    <row r="4216" spans="1:15" x14ac:dyDescent="0.35">
      <c r="A4216" s="503" t="s">
        <v>1233</v>
      </c>
      <c r="B4216" s="504">
        <v>4636</v>
      </c>
      <c r="C4216" s="504" t="s">
        <v>1094</v>
      </c>
      <c r="D4216" s="504" t="s">
        <v>3380</v>
      </c>
      <c r="E4216" s="504" t="s">
        <v>3381</v>
      </c>
      <c r="F4216" s="504" t="s">
        <v>679</v>
      </c>
      <c r="G4216" s="504" t="s">
        <v>680</v>
      </c>
      <c r="H4216" s="504" t="s">
        <v>12014</v>
      </c>
      <c r="I4216" s="504">
        <v>3</v>
      </c>
      <c r="J4216" s="504">
        <v>3</v>
      </c>
      <c r="K4216" s="504">
        <v>0</v>
      </c>
      <c r="L4216" s="504">
        <v>0</v>
      </c>
      <c r="M4216" s="504">
        <v>0</v>
      </c>
      <c r="N4216" s="504">
        <v>0</v>
      </c>
      <c r="O4216" s="505">
        <v>0</v>
      </c>
    </row>
    <row r="4217" spans="1:15" x14ac:dyDescent="0.35">
      <c r="A4217" s="500" t="s">
        <v>11368</v>
      </c>
      <c r="B4217" s="501">
        <v>5083</v>
      </c>
      <c r="C4217" s="501" t="s">
        <v>1094</v>
      </c>
      <c r="D4217" s="501" t="s">
        <v>3380</v>
      </c>
      <c r="E4217" s="501" t="s">
        <v>3381</v>
      </c>
      <c r="F4217" s="501" t="s">
        <v>679</v>
      </c>
      <c r="G4217" s="501" t="s">
        <v>680</v>
      </c>
      <c r="H4217" s="501" t="s">
        <v>14773</v>
      </c>
      <c r="I4217" s="501">
        <v>5</v>
      </c>
      <c r="J4217" s="501">
        <v>5</v>
      </c>
      <c r="K4217" s="501">
        <v>0</v>
      </c>
      <c r="L4217" s="501">
        <v>0</v>
      </c>
      <c r="M4217" s="501">
        <v>0</v>
      </c>
      <c r="N4217" s="501">
        <v>0</v>
      </c>
      <c r="O4217" s="506">
        <v>0</v>
      </c>
    </row>
    <row r="4218" spans="1:15" x14ac:dyDescent="0.35">
      <c r="A4218" s="503" t="s">
        <v>1257</v>
      </c>
      <c r="B4218" s="504" t="s">
        <v>3151</v>
      </c>
      <c r="C4218" s="504" t="s">
        <v>1094</v>
      </c>
      <c r="D4218" s="504" t="s">
        <v>3380</v>
      </c>
      <c r="E4218" s="504" t="s">
        <v>3381</v>
      </c>
      <c r="F4218" s="504" t="s">
        <v>679</v>
      </c>
      <c r="G4218" s="504" t="s">
        <v>680</v>
      </c>
      <c r="H4218" s="504" t="s">
        <v>6756</v>
      </c>
      <c r="I4218" s="504">
        <v>23</v>
      </c>
      <c r="J4218" s="504">
        <v>23</v>
      </c>
      <c r="K4218" s="504">
        <v>0</v>
      </c>
      <c r="L4218" s="504">
        <v>0</v>
      </c>
      <c r="M4218" s="504">
        <v>0</v>
      </c>
      <c r="N4218" s="504">
        <v>0</v>
      </c>
      <c r="O4218" s="505">
        <v>0</v>
      </c>
    </row>
    <row r="4219" spans="1:15" x14ac:dyDescent="0.35">
      <c r="A4219" s="500" t="s">
        <v>1260</v>
      </c>
      <c r="B4219" s="501">
        <v>4645</v>
      </c>
      <c r="C4219" s="501" t="s">
        <v>1089</v>
      </c>
      <c r="D4219" s="501" t="s">
        <v>3392</v>
      </c>
      <c r="E4219" s="501" t="s">
        <v>3381</v>
      </c>
      <c r="F4219" s="501" t="s">
        <v>679</v>
      </c>
      <c r="G4219" s="501" t="s">
        <v>680</v>
      </c>
      <c r="H4219" s="501" t="s">
        <v>6757</v>
      </c>
      <c r="I4219" s="501">
        <v>15</v>
      </c>
      <c r="J4219" s="501">
        <v>0</v>
      </c>
      <c r="K4219" s="501">
        <v>0</v>
      </c>
      <c r="L4219" s="501">
        <v>15</v>
      </c>
      <c r="M4219" s="501">
        <v>0</v>
      </c>
      <c r="N4219" s="501">
        <v>0</v>
      </c>
      <c r="O4219" s="506">
        <v>0</v>
      </c>
    </row>
    <row r="4220" spans="1:15" x14ac:dyDescent="0.35">
      <c r="A4220" s="503" t="s">
        <v>1266</v>
      </c>
      <c r="B4220" s="504" t="s">
        <v>3071</v>
      </c>
      <c r="C4220" s="504" t="s">
        <v>1094</v>
      </c>
      <c r="D4220" s="504" t="s">
        <v>3380</v>
      </c>
      <c r="E4220" s="504" t="s">
        <v>3381</v>
      </c>
      <c r="F4220" s="504" t="s">
        <v>679</v>
      </c>
      <c r="G4220" s="504" t="s">
        <v>680</v>
      </c>
      <c r="H4220" s="504" t="s">
        <v>6758</v>
      </c>
      <c r="I4220" s="504">
        <v>498</v>
      </c>
      <c r="J4220" s="504">
        <v>356</v>
      </c>
      <c r="K4220" s="504">
        <v>0</v>
      </c>
      <c r="L4220" s="504">
        <v>26</v>
      </c>
      <c r="M4220" s="504">
        <v>79</v>
      </c>
      <c r="N4220" s="504">
        <v>0</v>
      </c>
      <c r="O4220" s="505">
        <v>37</v>
      </c>
    </row>
    <row r="4221" spans="1:15" x14ac:dyDescent="0.35">
      <c r="A4221" s="500" t="s">
        <v>1609</v>
      </c>
      <c r="B4221" s="501">
        <v>4758</v>
      </c>
      <c r="C4221" s="501" t="s">
        <v>1089</v>
      </c>
      <c r="D4221" s="501" t="s">
        <v>3392</v>
      </c>
      <c r="E4221" s="501" t="s">
        <v>3381</v>
      </c>
      <c r="F4221" s="501" t="s">
        <v>681</v>
      </c>
      <c r="G4221" s="501" t="s">
        <v>682</v>
      </c>
      <c r="H4221" s="501" t="s">
        <v>14774</v>
      </c>
      <c r="I4221" s="501">
        <v>15</v>
      </c>
      <c r="J4221" s="501">
        <v>0</v>
      </c>
      <c r="K4221" s="501">
        <v>0</v>
      </c>
      <c r="L4221" s="501">
        <v>15</v>
      </c>
      <c r="M4221" s="501">
        <v>0</v>
      </c>
      <c r="N4221" s="501">
        <v>0</v>
      </c>
      <c r="O4221" s="506">
        <v>0</v>
      </c>
    </row>
    <row r="4222" spans="1:15" x14ac:dyDescent="0.35">
      <c r="A4222" s="503" t="s">
        <v>1096</v>
      </c>
      <c r="B4222" s="504" t="s">
        <v>3326</v>
      </c>
      <c r="C4222" s="504" t="s">
        <v>1094</v>
      </c>
      <c r="D4222" s="504" t="s">
        <v>3380</v>
      </c>
      <c r="E4222" s="504" t="s">
        <v>3381</v>
      </c>
      <c r="F4222" s="504" t="s">
        <v>681</v>
      </c>
      <c r="G4222" s="504" t="s">
        <v>682</v>
      </c>
      <c r="H4222" s="504" t="s">
        <v>6759</v>
      </c>
      <c r="I4222" s="504">
        <v>242</v>
      </c>
      <c r="J4222" s="504">
        <v>0</v>
      </c>
      <c r="K4222" s="504">
        <v>0</v>
      </c>
      <c r="L4222" s="504">
        <v>0</v>
      </c>
      <c r="M4222" s="504">
        <v>242</v>
      </c>
      <c r="N4222" s="504">
        <v>0</v>
      </c>
      <c r="O4222" s="505">
        <v>0</v>
      </c>
    </row>
    <row r="4223" spans="1:15" x14ac:dyDescent="0.35">
      <c r="A4223" s="500" t="s">
        <v>1282</v>
      </c>
      <c r="B4223" s="501" t="s">
        <v>2953</v>
      </c>
      <c r="C4223" s="501" t="s">
        <v>1094</v>
      </c>
      <c r="D4223" s="501" t="s">
        <v>3380</v>
      </c>
      <c r="E4223" s="501" t="s">
        <v>3381</v>
      </c>
      <c r="F4223" s="501" t="s">
        <v>681</v>
      </c>
      <c r="G4223" s="501" t="s">
        <v>682</v>
      </c>
      <c r="H4223" s="501" t="s">
        <v>6760</v>
      </c>
      <c r="I4223" s="501">
        <v>27</v>
      </c>
      <c r="J4223" s="501">
        <v>27</v>
      </c>
      <c r="K4223" s="501">
        <v>0</v>
      </c>
      <c r="L4223" s="501">
        <v>0</v>
      </c>
      <c r="M4223" s="501">
        <v>0</v>
      </c>
      <c r="N4223" s="501">
        <v>0</v>
      </c>
      <c r="O4223" s="506">
        <v>0</v>
      </c>
    </row>
    <row r="4224" spans="1:15" x14ac:dyDescent="0.35">
      <c r="A4224" s="503" t="s">
        <v>1100</v>
      </c>
      <c r="B4224" s="504">
        <v>4865</v>
      </c>
      <c r="C4224" s="504" t="s">
        <v>1094</v>
      </c>
      <c r="D4224" s="504" t="s">
        <v>3380</v>
      </c>
      <c r="E4224" s="504" t="s">
        <v>3381</v>
      </c>
      <c r="F4224" s="504" t="s">
        <v>681</v>
      </c>
      <c r="G4224" s="504" t="s">
        <v>682</v>
      </c>
      <c r="H4224" s="504" t="s">
        <v>6761</v>
      </c>
      <c r="I4224" s="504">
        <v>266</v>
      </c>
      <c r="J4224" s="504">
        <v>204</v>
      </c>
      <c r="K4224" s="504">
        <v>0</v>
      </c>
      <c r="L4224" s="504">
        <v>2</v>
      </c>
      <c r="M4224" s="504">
        <v>0</v>
      </c>
      <c r="N4224" s="504">
        <v>0</v>
      </c>
      <c r="O4224" s="505">
        <v>60</v>
      </c>
    </row>
    <row r="4225" spans="1:15" x14ac:dyDescent="0.35">
      <c r="A4225" s="500" t="s">
        <v>1102</v>
      </c>
      <c r="B4225" s="501">
        <v>4663</v>
      </c>
      <c r="C4225" s="501" t="s">
        <v>1089</v>
      </c>
      <c r="D4225" s="501" t="s">
        <v>3392</v>
      </c>
      <c r="E4225" s="501" t="s">
        <v>3381</v>
      </c>
      <c r="F4225" s="501" t="s">
        <v>681</v>
      </c>
      <c r="G4225" s="501" t="s">
        <v>682</v>
      </c>
      <c r="H4225" s="501" t="s">
        <v>6762</v>
      </c>
      <c r="I4225" s="501">
        <v>1</v>
      </c>
      <c r="J4225" s="501">
        <v>0</v>
      </c>
      <c r="K4225" s="501">
        <v>0</v>
      </c>
      <c r="L4225" s="501">
        <v>1</v>
      </c>
      <c r="M4225" s="501">
        <v>0</v>
      </c>
      <c r="N4225" s="501">
        <v>0</v>
      </c>
      <c r="O4225" s="506">
        <v>0</v>
      </c>
    </row>
    <row r="4226" spans="1:15" x14ac:dyDescent="0.35">
      <c r="A4226" s="503" t="s">
        <v>1296</v>
      </c>
      <c r="B4226" s="504">
        <v>4651</v>
      </c>
      <c r="C4226" s="504" t="s">
        <v>1094</v>
      </c>
      <c r="D4226" s="504" t="s">
        <v>3380</v>
      </c>
      <c r="E4226" s="504" t="s">
        <v>3381</v>
      </c>
      <c r="F4226" s="504" t="s">
        <v>681</v>
      </c>
      <c r="G4226" s="504" t="s">
        <v>682</v>
      </c>
      <c r="H4226" s="504" t="s">
        <v>6763</v>
      </c>
      <c r="I4226" s="504">
        <v>1714</v>
      </c>
      <c r="J4226" s="504">
        <v>1449</v>
      </c>
      <c r="K4226" s="504">
        <v>0</v>
      </c>
      <c r="L4226" s="504">
        <v>33</v>
      </c>
      <c r="M4226" s="504">
        <v>96</v>
      </c>
      <c r="N4226" s="504">
        <v>0</v>
      </c>
      <c r="O4226" s="505">
        <v>136</v>
      </c>
    </row>
    <row r="4227" spans="1:15" x14ac:dyDescent="0.35">
      <c r="A4227" s="500" t="s">
        <v>1185</v>
      </c>
      <c r="B4227" s="501" t="s">
        <v>3253</v>
      </c>
      <c r="C4227" s="501" t="s">
        <v>1094</v>
      </c>
      <c r="D4227" s="501" t="s">
        <v>3380</v>
      </c>
      <c r="E4227" s="501" t="s">
        <v>3381</v>
      </c>
      <c r="F4227" s="501" t="s">
        <v>681</v>
      </c>
      <c r="G4227" s="501" t="s">
        <v>682</v>
      </c>
      <c r="H4227" s="501" t="s">
        <v>6764</v>
      </c>
      <c r="I4227" s="501">
        <v>33</v>
      </c>
      <c r="J4227" s="501">
        <v>19</v>
      </c>
      <c r="K4227" s="501">
        <v>0</v>
      </c>
      <c r="L4227" s="501">
        <v>7</v>
      </c>
      <c r="M4227" s="501">
        <v>7</v>
      </c>
      <c r="N4227" s="501">
        <v>0</v>
      </c>
      <c r="O4227" s="506">
        <v>0</v>
      </c>
    </row>
    <row r="4228" spans="1:15" x14ac:dyDescent="0.35">
      <c r="A4228" s="503" t="s">
        <v>1105</v>
      </c>
      <c r="B4228" s="504">
        <v>4668</v>
      </c>
      <c r="C4228" s="504" t="s">
        <v>1094</v>
      </c>
      <c r="D4228" s="504" t="s">
        <v>3380</v>
      </c>
      <c r="E4228" s="504" t="s">
        <v>3381</v>
      </c>
      <c r="F4228" s="504" t="s">
        <v>681</v>
      </c>
      <c r="G4228" s="504" t="s">
        <v>682</v>
      </c>
      <c r="H4228" s="504" t="s">
        <v>6765</v>
      </c>
      <c r="I4228" s="504">
        <v>7</v>
      </c>
      <c r="J4228" s="504">
        <v>0</v>
      </c>
      <c r="K4228" s="504">
        <v>0</v>
      </c>
      <c r="L4228" s="504">
        <v>0</v>
      </c>
      <c r="M4228" s="504">
        <v>0</v>
      </c>
      <c r="N4228" s="504">
        <v>0</v>
      </c>
      <c r="O4228" s="505">
        <v>7</v>
      </c>
    </row>
    <row r="4229" spans="1:15" x14ac:dyDescent="0.35">
      <c r="A4229" s="500" t="s">
        <v>1107</v>
      </c>
      <c r="B4229" s="501" t="s">
        <v>3109</v>
      </c>
      <c r="C4229" s="501" t="s">
        <v>1094</v>
      </c>
      <c r="D4229" s="501" t="s">
        <v>3380</v>
      </c>
      <c r="E4229" s="501" t="s">
        <v>3381</v>
      </c>
      <c r="F4229" s="501" t="s">
        <v>681</v>
      </c>
      <c r="G4229" s="501" t="s">
        <v>682</v>
      </c>
      <c r="H4229" s="501" t="s">
        <v>6766</v>
      </c>
      <c r="I4229" s="501">
        <v>19</v>
      </c>
      <c r="J4229" s="501">
        <v>0</v>
      </c>
      <c r="K4229" s="501">
        <v>0</v>
      </c>
      <c r="L4229" s="501">
        <v>19</v>
      </c>
      <c r="M4229" s="501">
        <v>0</v>
      </c>
      <c r="N4229" s="501">
        <v>0</v>
      </c>
      <c r="O4229" s="506">
        <v>0</v>
      </c>
    </row>
    <row r="4230" spans="1:15" x14ac:dyDescent="0.35">
      <c r="A4230" s="503" t="s">
        <v>1109</v>
      </c>
      <c r="B4230" s="504" t="s">
        <v>2959</v>
      </c>
      <c r="C4230" s="504" t="s">
        <v>1094</v>
      </c>
      <c r="D4230" s="504" t="s">
        <v>3380</v>
      </c>
      <c r="E4230" s="504" t="s">
        <v>3381</v>
      </c>
      <c r="F4230" s="504" t="s">
        <v>681</v>
      </c>
      <c r="G4230" s="504" t="s">
        <v>682</v>
      </c>
      <c r="H4230" s="504" t="s">
        <v>6767</v>
      </c>
      <c r="I4230" s="504">
        <v>30</v>
      </c>
      <c r="J4230" s="504">
        <v>0</v>
      </c>
      <c r="K4230" s="504">
        <v>0</v>
      </c>
      <c r="L4230" s="504">
        <v>0</v>
      </c>
      <c r="M4230" s="504">
        <v>30</v>
      </c>
      <c r="N4230" s="504">
        <v>0</v>
      </c>
      <c r="O4230" s="505">
        <v>0</v>
      </c>
    </row>
    <row r="4231" spans="1:15" x14ac:dyDescent="0.35">
      <c r="A4231" s="500" t="s">
        <v>1319</v>
      </c>
      <c r="B4231" s="501">
        <v>4880</v>
      </c>
      <c r="C4231" s="501" t="s">
        <v>1094</v>
      </c>
      <c r="D4231" s="501" t="s">
        <v>3380</v>
      </c>
      <c r="E4231" s="501" t="s">
        <v>3381</v>
      </c>
      <c r="F4231" s="501" t="s">
        <v>681</v>
      </c>
      <c r="G4231" s="501" t="s">
        <v>682</v>
      </c>
      <c r="H4231" s="501" t="s">
        <v>6768</v>
      </c>
      <c r="I4231" s="501">
        <v>259</v>
      </c>
      <c r="J4231" s="501">
        <v>160</v>
      </c>
      <c r="K4231" s="501">
        <v>0</v>
      </c>
      <c r="L4231" s="501">
        <v>45</v>
      </c>
      <c r="M4231" s="501">
        <v>0</v>
      </c>
      <c r="N4231" s="501">
        <v>0</v>
      </c>
      <c r="O4231" s="506">
        <v>54</v>
      </c>
    </row>
    <row r="4232" spans="1:15" x14ac:dyDescent="0.35">
      <c r="A4232" s="503" t="s">
        <v>1320</v>
      </c>
      <c r="B4232" s="504">
        <v>4720</v>
      </c>
      <c r="C4232" s="504" t="s">
        <v>1089</v>
      </c>
      <c r="D4232" s="504" t="s">
        <v>3392</v>
      </c>
      <c r="E4232" s="504" t="s">
        <v>3381</v>
      </c>
      <c r="F4232" s="504" t="s">
        <v>681</v>
      </c>
      <c r="G4232" s="504" t="s">
        <v>682</v>
      </c>
      <c r="H4232" s="504" t="s">
        <v>6769</v>
      </c>
      <c r="I4232" s="504">
        <v>101</v>
      </c>
      <c r="J4232" s="504">
        <v>101</v>
      </c>
      <c r="K4232" s="504">
        <v>0</v>
      </c>
      <c r="L4232" s="504">
        <v>0</v>
      </c>
      <c r="M4232" s="504">
        <v>0</v>
      </c>
      <c r="N4232" s="504">
        <v>0</v>
      </c>
      <c r="O4232" s="505">
        <v>0</v>
      </c>
    </row>
    <row r="4233" spans="1:15" x14ac:dyDescent="0.35">
      <c r="A4233" s="500" t="s">
        <v>1218</v>
      </c>
      <c r="B4233" s="501" t="s">
        <v>3147</v>
      </c>
      <c r="C4233" s="501" t="s">
        <v>1094</v>
      </c>
      <c r="D4233" s="501" t="s">
        <v>3380</v>
      </c>
      <c r="E4233" s="501" t="s">
        <v>3381</v>
      </c>
      <c r="F4233" s="501" t="s">
        <v>681</v>
      </c>
      <c r="G4233" s="501" t="s">
        <v>682</v>
      </c>
      <c r="H4233" s="501" t="s">
        <v>6770</v>
      </c>
      <c r="I4233" s="501">
        <v>15</v>
      </c>
      <c r="J4233" s="501">
        <v>0</v>
      </c>
      <c r="K4233" s="501">
        <v>0</v>
      </c>
      <c r="L4233" s="501">
        <v>0</v>
      </c>
      <c r="M4233" s="501">
        <v>0</v>
      </c>
      <c r="N4233" s="501">
        <v>0</v>
      </c>
      <c r="O4233" s="506">
        <v>15</v>
      </c>
    </row>
    <row r="4234" spans="1:15" x14ac:dyDescent="0.35">
      <c r="A4234" s="503" t="s">
        <v>11367</v>
      </c>
      <c r="B4234" s="504" t="s">
        <v>3143</v>
      </c>
      <c r="C4234" s="504" t="s">
        <v>1094</v>
      </c>
      <c r="D4234" s="504" t="s">
        <v>3380</v>
      </c>
      <c r="E4234" s="504" t="s">
        <v>3381</v>
      </c>
      <c r="F4234" s="504" t="s">
        <v>681</v>
      </c>
      <c r="G4234" s="504" t="s">
        <v>682</v>
      </c>
      <c r="H4234" s="504" t="s">
        <v>11932</v>
      </c>
      <c r="I4234" s="504">
        <v>352</v>
      </c>
      <c r="J4234" s="504">
        <v>252</v>
      </c>
      <c r="K4234" s="504">
        <v>0</v>
      </c>
      <c r="L4234" s="504">
        <v>60</v>
      </c>
      <c r="M4234" s="504">
        <v>40</v>
      </c>
      <c r="N4234" s="504">
        <v>0</v>
      </c>
      <c r="O4234" s="505">
        <v>0</v>
      </c>
    </row>
    <row r="4235" spans="1:15" x14ac:dyDescent="0.35">
      <c r="A4235" s="500" t="s">
        <v>1326</v>
      </c>
      <c r="B4235" s="501" t="s">
        <v>2954</v>
      </c>
      <c r="C4235" s="501" t="s">
        <v>1094</v>
      </c>
      <c r="D4235" s="501" t="s">
        <v>3380</v>
      </c>
      <c r="E4235" s="501" t="s">
        <v>3381</v>
      </c>
      <c r="F4235" s="501" t="s">
        <v>681</v>
      </c>
      <c r="G4235" s="501" t="s">
        <v>682</v>
      </c>
      <c r="H4235" s="501" t="s">
        <v>6771</v>
      </c>
      <c r="I4235" s="501">
        <v>871</v>
      </c>
      <c r="J4235" s="501">
        <v>683</v>
      </c>
      <c r="K4235" s="501">
        <v>0</v>
      </c>
      <c r="L4235" s="501">
        <v>91</v>
      </c>
      <c r="M4235" s="501">
        <v>90</v>
      </c>
      <c r="N4235" s="501">
        <v>0</v>
      </c>
      <c r="O4235" s="506">
        <v>7</v>
      </c>
    </row>
    <row r="4236" spans="1:15" x14ac:dyDescent="0.35">
      <c r="A4236" s="503" t="s">
        <v>1225</v>
      </c>
      <c r="B4236" s="504" t="s">
        <v>3315</v>
      </c>
      <c r="C4236" s="504" t="s">
        <v>1094</v>
      </c>
      <c r="D4236" s="504" t="s">
        <v>3380</v>
      </c>
      <c r="E4236" s="504" t="s">
        <v>3381</v>
      </c>
      <c r="F4236" s="504" t="s">
        <v>681</v>
      </c>
      <c r="G4236" s="504" t="s">
        <v>682</v>
      </c>
      <c r="H4236" s="504" t="s">
        <v>6772</v>
      </c>
      <c r="I4236" s="504">
        <v>21</v>
      </c>
      <c r="J4236" s="504">
        <v>20</v>
      </c>
      <c r="K4236" s="504">
        <v>0</v>
      </c>
      <c r="L4236" s="504">
        <v>1</v>
      </c>
      <c r="M4236" s="504">
        <v>0</v>
      </c>
      <c r="N4236" s="504">
        <v>0</v>
      </c>
      <c r="O4236" s="505">
        <v>0</v>
      </c>
    </row>
    <row r="4237" spans="1:15" x14ac:dyDescent="0.35">
      <c r="A4237" s="500" t="s">
        <v>1228</v>
      </c>
      <c r="B4237" s="501" t="s">
        <v>3321</v>
      </c>
      <c r="C4237" s="501" t="s">
        <v>1094</v>
      </c>
      <c r="D4237" s="501" t="s">
        <v>3380</v>
      </c>
      <c r="E4237" s="501" t="s">
        <v>3381</v>
      </c>
      <c r="F4237" s="501" t="s">
        <v>681</v>
      </c>
      <c r="G4237" s="501" t="s">
        <v>682</v>
      </c>
      <c r="H4237" s="501" t="s">
        <v>6773</v>
      </c>
      <c r="I4237" s="501">
        <v>23</v>
      </c>
      <c r="J4237" s="501">
        <v>0</v>
      </c>
      <c r="K4237" s="501">
        <v>0</v>
      </c>
      <c r="L4237" s="501">
        <v>23</v>
      </c>
      <c r="M4237" s="501">
        <v>0</v>
      </c>
      <c r="N4237" s="501">
        <v>0</v>
      </c>
      <c r="O4237" s="506">
        <v>0</v>
      </c>
    </row>
    <row r="4238" spans="1:15" x14ac:dyDescent="0.35">
      <c r="A4238" s="503" t="s">
        <v>1339</v>
      </c>
      <c r="B4238" s="504" t="s">
        <v>3358</v>
      </c>
      <c r="C4238" s="504" t="s">
        <v>1094</v>
      </c>
      <c r="D4238" s="504" t="s">
        <v>3380</v>
      </c>
      <c r="E4238" s="504" t="s">
        <v>3381</v>
      </c>
      <c r="F4238" s="504" t="s">
        <v>681</v>
      </c>
      <c r="G4238" s="504" t="s">
        <v>682</v>
      </c>
      <c r="H4238" s="504" t="s">
        <v>6774</v>
      </c>
      <c r="I4238" s="504">
        <v>7</v>
      </c>
      <c r="J4238" s="504">
        <v>0</v>
      </c>
      <c r="K4238" s="504">
        <v>0</v>
      </c>
      <c r="L4238" s="504">
        <v>0</v>
      </c>
      <c r="M4238" s="504">
        <v>0</v>
      </c>
      <c r="N4238" s="504">
        <v>0</v>
      </c>
      <c r="O4238" s="505">
        <v>7</v>
      </c>
    </row>
    <row r="4239" spans="1:15" x14ac:dyDescent="0.35">
      <c r="A4239" s="500" t="s">
        <v>1233</v>
      </c>
      <c r="B4239" s="501">
        <v>4636</v>
      </c>
      <c r="C4239" s="501" t="s">
        <v>1094</v>
      </c>
      <c r="D4239" s="501" t="s">
        <v>3380</v>
      </c>
      <c r="E4239" s="501" t="s">
        <v>3381</v>
      </c>
      <c r="F4239" s="501" t="s">
        <v>681</v>
      </c>
      <c r="G4239" s="501" t="s">
        <v>682</v>
      </c>
      <c r="H4239" s="501" t="s">
        <v>12015</v>
      </c>
      <c r="I4239" s="501">
        <v>9</v>
      </c>
      <c r="J4239" s="501">
        <v>0</v>
      </c>
      <c r="K4239" s="501">
        <v>0</v>
      </c>
      <c r="L4239" s="501">
        <v>0</v>
      </c>
      <c r="M4239" s="501">
        <v>0</v>
      </c>
      <c r="N4239" s="501">
        <v>0</v>
      </c>
      <c r="O4239" s="506">
        <v>9</v>
      </c>
    </row>
    <row r="4240" spans="1:15" x14ac:dyDescent="0.35">
      <c r="A4240" s="503" t="s">
        <v>1234</v>
      </c>
      <c r="B4240" s="504" t="s">
        <v>3291</v>
      </c>
      <c r="C4240" s="504" t="s">
        <v>1094</v>
      </c>
      <c r="D4240" s="504" t="s">
        <v>3380</v>
      </c>
      <c r="E4240" s="504" t="s">
        <v>3381</v>
      </c>
      <c r="F4240" s="504" t="s">
        <v>681</v>
      </c>
      <c r="G4240" s="504" t="s">
        <v>682</v>
      </c>
      <c r="H4240" s="504" t="s">
        <v>6775</v>
      </c>
      <c r="I4240" s="504">
        <v>47</v>
      </c>
      <c r="J4240" s="504">
        <v>8</v>
      </c>
      <c r="K4240" s="504">
        <v>0</v>
      </c>
      <c r="L4240" s="504">
        <v>39</v>
      </c>
      <c r="M4240" s="504">
        <v>0</v>
      </c>
      <c r="N4240" s="504">
        <v>0</v>
      </c>
      <c r="O4240" s="505">
        <v>0</v>
      </c>
    </row>
    <row r="4241" spans="1:15" x14ac:dyDescent="0.35">
      <c r="A4241" s="500" t="s">
        <v>1235</v>
      </c>
      <c r="B4241" s="501">
        <v>4684</v>
      </c>
      <c r="C4241" s="501" t="s">
        <v>1094</v>
      </c>
      <c r="D4241" s="501" t="s">
        <v>3380</v>
      </c>
      <c r="E4241" s="501" t="s">
        <v>3381</v>
      </c>
      <c r="F4241" s="501" t="s">
        <v>681</v>
      </c>
      <c r="G4241" s="501" t="s">
        <v>682</v>
      </c>
      <c r="H4241" s="501" t="s">
        <v>6776</v>
      </c>
      <c r="I4241" s="501">
        <v>66</v>
      </c>
      <c r="J4241" s="501">
        <v>0</v>
      </c>
      <c r="K4241" s="501">
        <v>0</v>
      </c>
      <c r="L4241" s="501">
        <v>66</v>
      </c>
      <c r="M4241" s="501">
        <v>0</v>
      </c>
      <c r="N4241" s="501">
        <v>0</v>
      </c>
      <c r="O4241" s="506">
        <v>0</v>
      </c>
    </row>
    <row r="4242" spans="1:15" x14ac:dyDescent="0.35">
      <c r="A4242" s="503" t="s">
        <v>1126</v>
      </c>
      <c r="B4242" s="504" t="s">
        <v>2974</v>
      </c>
      <c r="C4242" s="504" t="s">
        <v>1094</v>
      </c>
      <c r="D4242" s="504" t="s">
        <v>3380</v>
      </c>
      <c r="E4242" s="504" t="s">
        <v>3381</v>
      </c>
      <c r="F4242" s="504" t="s">
        <v>681</v>
      </c>
      <c r="G4242" s="504" t="s">
        <v>682</v>
      </c>
      <c r="H4242" s="504" t="s">
        <v>6777</v>
      </c>
      <c r="I4242" s="504">
        <v>778</v>
      </c>
      <c r="J4242" s="504">
        <v>710</v>
      </c>
      <c r="K4242" s="504">
        <v>0</v>
      </c>
      <c r="L4242" s="504">
        <v>47</v>
      </c>
      <c r="M4242" s="504">
        <v>18</v>
      </c>
      <c r="N4242" s="504">
        <v>0</v>
      </c>
      <c r="O4242" s="505">
        <v>3</v>
      </c>
    </row>
    <row r="4243" spans="1:15" x14ac:dyDescent="0.35">
      <c r="A4243" s="500" t="s">
        <v>1352</v>
      </c>
      <c r="B4243" s="501" t="s">
        <v>2935</v>
      </c>
      <c r="C4243" s="501" t="s">
        <v>1089</v>
      </c>
      <c r="D4243" s="501" t="s">
        <v>3392</v>
      </c>
      <c r="E4243" s="501" t="s">
        <v>3381</v>
      </c>
      <c r="F4243" s="501" t="s">
        <v>681</v>
      </c>
      <c r="G4243" s="501" t="s">
        <v>682</v>
      </c>
      <c r="H4243" s="501" t="s">
        <v>6778</v>
      </c>
      <c r="I4243" s="501">
        <v>36</v>
      </c>
      <c r="J4243" s="501">
        <v>0</v>
      </c>
      <c r="K4243" s="501">
        <v>0</v>
      </c>
      <c r="L4243" s="501">
        <v>0</v>
      </c>
      <c r="M4243" s="501">
        <v>36</v>
      </c>
      <c r="N4243" s="501">
        <v>0</v>
      </c>
      <c r="O4243" s="506">
        <v>0</v>
      </c>
    </row>
    <row r="4244" spans="1:15" x14ac:dyDescent="0.35">
      <c r="A4244" s="503" t="s">
        <v>1245</v>
      </c>
      <c r="B4244" s="504" t="s">
        <v>2859</v>
      </c>
      <c r="C4244" s="504" t="s">
        <v>1094</v>
      </c>
      <c r="D4244" s="504" t="s">
        <v>3380</v>
      </c>
      <c r="E4244" s="504" t="s">
        <v>3381</v>
      </c>
      <c r="F4244" s="504" t="s">
        <v>681</v>
      </c>
      <c r="G4244" s="504" t="s">
        <v>682</v>
      </c>
      <c r="H4244" s="504" t="s">
        <v>6779</v>
      </c>
      <c r="I4244" s="504">
        <v>11</v>
      </c>
      <c r="J4244" s="504">
        <v>0</v>
      </c>
      <c r="K4244" s="504">
        <v>0</v>
      </c>
      <c r="L4244" s="504">
        <v>0</v>
      </c>
      <c r="M4244" s="504">
        <v>11</v>
      </c>
      <c r="N4244" s="504">
        <v>0</v>
      </c>
      <c r="O4244" s="505">
        <v>0</v>
      </c>
    </row>
    <row r="4245" spans="1:15" x14ac:dyDescent="0.35">
      <c r="A4245" s="500" t="s">
        <v>1249</v>
      </c>
      <c r="B4245" s="501">
        <v>4729</v>
      </c>
      <c r="C4245" s="501" t="s">
        <v>1094</v>
      </c>
      <c r="D4245" s="501" t="s">
        <v>3380</v>
      </c>
      <c r="E4245" s="501" t="s">
        <v>3381</v>
      </c>
      <c r="F4245" s="501" t="s">
        <v>681</v>
      </c>
      <c r="G4245" s="501" t="s">
        <v>682</v>
      </c>
      <c r="H4245" s="501" t="s">
        <v>6780</v>
      </c>
      <c r="I4245" s="501">
        <v>71</v>
      </c>
      <c r="J4245" s="501">
        <v>71</v>
      </c>
      <c r="K4245" s="501">
        <v>0</v>
      </c>
      <c r="L4245" s="501">
        <v>0</v>
      </c>
      <c r="M4245" s="501">
        <v>0</v>
      </c>
      <c r="N4245" s="501">
        <v>0</v>
      </c>
      <c r="O4245" s="506">
        <v>0</v>
      </c>
    </row>
    <row r="4246" spans="1:15" x14ac:dyDescent="0.35">
      <c r="A4246" s="503" t="s">
        <v>11378</v>
      </c>
      <c r="B4246" s="504">
        <v>5122</v>
      </c>
      <c r="C4246" s="504" t="s">
        <v>1089</v>
      </c>
      <c r="D4246" s="504" t="s">
        <v>3392</v>
      </c>
      <c r="E4246" s="504" t="s">
        <v>3381</v>
      </c>
      <c r="F4246" s="504" t="s">
        <v>681</v>
      </c>
      <c r="G4246" s="504" t="s">
        <v>682</v>
      </c>
      <c r="H4246" s="504" t="s">
        <v>12219</v>
      </c>
      <c r="I4246" s="504">
        <v>28</v>
      </c>
      <c r="J4246" s="504">
        <v>28</v>
      </c>
      <c r="K4246" s="504">
        <v>0</v>
      </c>
      <c r="L4246" s="504">
        <v>0</v>
      </c>
      <c r="M4246" s="504">
        <v>0</v>
      </c>
      <c r="N4246" s="504">
        <v>0</v>
      </c>
      <c r="O4246" s="505">
        <v>0</v>
      </c>
    </row>
    <row r="4247" spans="1:15" x14ac:dyDescent="0.35">
      <c r="A4247" s="500" t="s">
        <v>1364</v>
      </c>
      <c r="B4247" s="501" t="s">
        <v>3277</v>
      </c>
      <c r="C4247" s="501" t="s">
        <v>1089</v>
      </c>
      <c r="D4247" s="501" t="s">
        <v>3392</v>
      </c>
      <c r="E4247" s="501" t="s">
        <v>3381</v>
      </c>
      <c r="F4247" s="501" t="s">
        <v>681</v>
      </c>
      <c r="G4247" s="501" t="s">
        <v>682</v>
      </c>
      <c r="H4247" s="501" t="s">
        <v>6781</v>
      </c>
      <c r="I4247" s="501">
        <v>13</v>
      </c>
      <c r="J4247" s="501">
        <v>0</v>
      </c>
      <c r="K4247" s="501">
        <v>0</v>
      </c>
      <c r="L4247" s="501">
        <v>13</v>
      </c>
      <c r="M4247" s="501">
        <v>0</v>
      </c>
      <c r="N4247" s="501">
        <v>0</v>
      </c>
      <c r="O4247" s="506">
        <v>0</v>
      </c>
    </row>
    <row r="4248" spans="1:15" x14ac:dyDescent="0.35">
      <c r="A4248" s="503" t="s">
        <v>1252</v>
      </c>
      <c r="B4248" s="504" t="s">
        <v>2875</v>
      </c>
      <c r="C4248" s="504" t="s">
        <v>1089</v>
      </c>
      <c r="D4248" s="504" t="s">
        <v>3392</v>
      </c>
      <c r="E4248" s="504" t="s">
        <v>3381</v>
      </c>
      <c r="F4248" s="504" t="s">
        <v>681</v>
      </c>
      <c r="G4248" s="504" t="s">
        <v>682</v>
      </c>
      <c r="H4248" s="504" t="s">
        <v>6782</v>
      </c>
      <c r="I4248" s="504">
        <v>9</v>
      </c>
      <c r="J4248" s="504">
        <v>0</v>
      </c>
      <c r="K4248" s="504">
        <v>0</v>
      </c>
      <c r="L4248" s="504">
        <v>9</v>
      </c>
      <c r="M4248" s="504">
        <v>0</v>
      </c>
      <c r="N4248" s="504">
        <v>0</v>
      </c>
      <c r="O4248" s="505">
        <v>0</v>
      </c>
    </row>
    <row r="4249" spans="1:15" x14ac:dyDescent="0.35">
      <c r="A4249" s="500" t="s">
        <v>1253</v>
      </c>
      <c r="B4249" s="501" t="s">
        <v>3232</v>
      </c>
      <c r="C4249" s="501" t="s">
        <v>1094</v>
      </c>
      <c r="D4249" s="501" t="s">
        <v>3380</v>
      </c>
      <c r="E4249" s="501" t="s">
        <v>3381</v>
      </c>
      <c r="F4249" s="501" t="s">
        <v>681</v>
      </c>
      <c r="G4249" s="501" t="s">
        <v>682</v>
      </c>
      <c r="H4249" s="501" t="s">
        <v>6783</v>
      </c>
      <c r="I4249" s="501">
        <v>72</v>
      </c>
      <c r="J4249" s="501">
        <v>0</v>
      </c>
      <c r="K4249" s="501">
        <v>0</v>
      </c>
      <c r="L4249" s="501">
        <v>11</v>
      </c>
      <c r="M4249" s="501">
        <v>61</v>
      </c>
      <c r="N4249" s="501">
        <v>0</v>
      </c>
      <c r="O4249" s="506">
        <v>0</v>
      </c>
    </row>
    <row r="4250" spans="1:15" x14ac:dyDescent="0.35">
      <c r="A4250" s="503" t="s">
        <v>1378</v>
      </c>
      <c r="B4250" s="504" t="s">
        <v>2532</v>
      </c>
      <c r="C4250" s="504" t="s">
        <v>1089</v>
      </c>
      <c r="D4250" s="504" t="s">
        <v>3392</v>
      </c>
      <c r="E4250" s="504" t="s">
        <v>3381</v>
      </c>
      <c r="F4250" s="504" t="s">
        <v>681</v>
      </c>
      <c r="G4250" s="504" t="s">
        <v>682</v>
      </c>
      <c r="H4250" s="504" t="s">
        <v>6784</v>
      </c>
      <c r="I4250" s="504">
        <v>80</v>
      </c>
      <c r="J4250" s="504">
        <v>0</v>
      </c>
      <c r="K4250" s="504">
        <v>0</v>
      </c>
      <c r="L4250" s="504">
        <v>0</v>
      </c>
      <c r="M4250" s="504">
        <v>80</v>
      </c>
      <c r="N4250" s="504">
        <v>0</v>
      </c>
      <c r="O4250" s="505">
        <v>0</v>
      </c>
    </row>
    <row r="4251" spans="1:15" x14ac:dyDescent="0.35">
      <c r="A4251" s="500" t="s">
        <v>1384</v>
      </c>
      <c r="B4251" s="501" t="s">
        <v>2938</v>
      </c>
      <c r="C4251" s="501" t="s">
        <v>1089</v>
      </c>
      <c r="D4251" s="501" t="s">
        <v>3392</v>
      </c>
      <c r="E4251" s="501" t="s">
        <v>3381</v>
      </c>
      <c r="F4251" s="501" t="s">
        <v>681</v>
      </c>
      <c r="G4251" s="501" t="s">
        <v>682</v>
      </c>
      <c r="H4251" s="501" t="s">
        <v>6785</v>
      </c>
      <c r="I4251" s="501">
        <v>117</v>
      </c>
      <c r="J4251" s="501">
        <v>0</v>
      </c>
      <c r="K4251" s="501">
        <v>0</v>
      </c>
      <c r="L4251" s="501">
        <v>117</v>
      </c>
      <c r="M4251" s="501">
        <v>0</v>
      </c>
      <c r="N4251" s="501">
        <v>0</v>
      </c>
      <c r="O4251" s="506">
        <v>0</v>
      </c>
    </row>
    <row r="4252" spans="1:15" x14ac:dyDescent="0.35">
      <c r="A4252" s="503" t="s">
        <v>1093</v>
      </c>
      <c r="B4252" s="504" t="s">
        <v>3248</v>
      </c>
      <c r="C4252" s="504" t="s">
        <v>1094</v>
      </c>
      <c r="D4252" s="504" t="s">
        <v>3380</v>
      </c>
      <c r="E4252" s="504" t="s">
        <v>3381</v>
      </c>
      <c r="F4252" s="504" t="s">
        <v>683</v>
      </c>
      <c r="G4252" s="504" t="s">
        <v>684</v>
      </c>
      <c r="H4252" s="504" t="s">
        <v>6786</v>
      </c>
      <c r="I4252" s="504">
        <v>1</v>
      </c>
      <c r="J4252" s="504">
        <v>0</v>
      </c>
      <c r="K4252" s="504">
        <v>0</v>
      </c>
      <c r="L4252" s="504">
        <v>0</v>
      </c>
      <c r="M4252" s="504">
        <v>0</v>
      </c>
      <c r="N4252" s="504">
        <v>0</v>
      </c>
      <c r="O4252" s="505">
        <v>1</v>
      </c>
    </row>
    <row r="4253" spans="1:15" x14ac:dyDescent="0.35">
      <c r="A4253" s="500" t="s">
        <v>1096</v>
      </c>
      <c r="B4253" s="501" t="s">
        <v>3326</v>
      </c>
      <c r="C4253" s="501" t="s">
        <v>1094</v>
      </c>
      <c r="D4253" s="501" t="s">
        <v>3380</v>
      </c>
      <c r="E4253" s="501" t="s">
        <v>3381</v>
      </c>
      <c r="F4253" s="501" t="s">
        <v>683</v>
      </c>
      <c r="G4253" s="501" t="s">
        <v>684</v>
      </c>
      <c r="H4253" s="501" t="s">
        <v>6787</v>
      </c>
      <c r="I4253" s="501">
        <v>1</v>
      </c>
      <c r="J4253" s="501">
        <v>0</v>
      </c>
      <c r="K4253" s="501">
        <v>0</v>
      </c>
      <c r="L4253" s="501">
        <v>0</v>
      </c>
      <c r="M4253" s="501">
        <v>1</v>
      </c>
      <c r="N4253" s="501">
        <v>0</v>
      </c>
      <c r="O4253" s="506">
        <v>0</v>
      </c>
    </row>
    <row r="4254" spans="1:15" x14ac:dyDescent="0.35">
      <c r="A4254" s="503" t="s">
        <v>1105</v>
      </c>
      <c r="B4254" s="504">
        <v>4668</v>
      </c>
      <c r="C4254" s="504" t="s">
        <v>1094</v>
      </c>
      <c r="D4254" s="504" t="s">
        <v>3380</v>
      </c>
      <c r="E4254" s="504" t="s">
        <v>3381</v>
      </c>
      <c r="F4254" s="504" t="s">
        <v>683</v>
      </c>
      <c r="G4254" s="504" t="s">
        <v>684</v>
      </c>
      <c r="H4254" s="504" t="s">
        <v>6788</v>
      </c>
      <c r="I4254" s="504">
        <v>49</v>
      </c>
      <c r="J4254" s="504">
        <v>0</v>
      </c>
      <c r="K4254" s="504">
        <v>0</v>
      </c>
      <c r="L4254" s="504">
        <v>0</v>
      </c>
      <c r="M4254" s="504">
        <v>0</v>
      </c>
      <c r="N4254" s="504">
        <v>0</v>
      </c>
      <c r="O4254" s="505">
        <v>49</v>
      </c>
    </row>
    <row r="4255" spans="1:15" x14ac:dyDescent="0.35">
      <c r="A4255" s="500" t="s">
        <v>1107</v>
      </c>
      <c r="B4255" s="501" t="s">
        <v>3109</v>
      </c>
      <c r="C4255" s="501" t="s">
        <v>1094</v>
      </c>
      <c r="D4255" s="501" t="s">
        <v>3380</v>
      </c>
      <c r="E4255" s="501" t="s">
        <v>3381</v>
      </c>
      <c r="F4255" s="501" t="s">
        <v>683</v>
      </c>
      <c r="G4255" s="501" t="s">
        <v>684</v>
      </c>
      <c r="H4255" s="501" t="s">
        <v>6789</v>
      </c>
      <c r="I4255" s="501">
        <v>2</v>
      </c>
      <c r="J4255" s="501">
        <v>0</v>
      </c>
      <c r="K4255" s="501">
        <v>0</v>
      </c>
      <c r="L4255" s="501">
        <v>2</v>
      </c>
      <c r="M4255" s="501">
        <v>0</v>
      </c>
      <c r="N4255" s="501">
        <v>0</v>
      </c>
      <c r="O4255" s="506">
        <v>0</v>
      </c>
    </row>
    <row r="4256" spans="1:15" x14ac:dyDescent="0.35">
      <c r="A4256" s="503" t="s">
        <v>1109</v>
      </c>
      <c r="B4256" s="504" t="s">
        <v>2959</v>
      </c>
      <c r="C4256" s="504" t="s">
        <v>1094</v>
      </c>
      <c r="D4256" s="504" t="s">
        <v>3380</v>
      </c>
      <c r="E4256" s="504" t="s">
        <v>3381</v>
      </c>
      <c r="F4256" s="504" t="s">
        <v>683</v>
      </c>
      <c r="G4256" s="504" t="s">
        <v>684</v>
      </c>
      <c r="H4256" s="504" t="s">
        <v>6790</v>
      </c>
      <c r="I4256" s="504">
        <v>30</v>
      </c>
      <c r="J4256" s="504">
        <v>0</v>
      </c>
      <c r="K4256" s="504">
        <v>0</v>
      </c>
      <c r="L4256" s="504">
        <v>0</v>
      </c>
      <c r="M4256" s="504">
        <v>30</v>
      </c>
      <c r="N4256" s="504">
        <v>0</v>
      </c>
      <c r="O4256" s="505">
        <v>0</v>
      </c>
    </row>
    <row r="4257" spans="1:15" x14ac:dyDescent="0.35">
      <c r="A4257" s="500" t="s">
        <v>1853</v>
      </c>
      <c r="B4257" s="501" t="s">
        <v>3075</v>
      </c>
      <c r="C4257" s="501" t="s">
        <v>1089</v>
      </c>
      <c r="D4257" s="501" t="s">
        <v>3392</v>
      </c>
      <c r="E4257" s="501" t="s">
        <v>3381</v>
      </c>
      <c r="F4257" s="501" t="s">
        <v>683</v>
      </c>
      <c r="G4257" s="501" t="s">
        <v>684</v>
      </c>
      <c r="H4257" s="501" t="s">
        <v>6791</v>
      </c>
      <c r="I4257" s="501">
        <v>37</v>
      </c>
      <c r="J4257" s="501">
        <v>37</v>
      </c>
      <c r="K4257" s="501">
        <v>0</v>
      </c>
      <c r="L4257" s="501">
        <v>0</v>
      </c>
      <c r="M4257" s="501">
        <v>0</v>
      </c>
      <c r="N4257" s="501">
        <v>0</v>
      </c>
      <c r="O4257" s="506">
        <v>0</v>
      </c>
    </row>
    <row r="4258" spans="1:15" x14ac:dyDescent="0.35">
      <c r="A4258" s="503" t="s">
        <v>1114</v>
      </c>
      <c r="B4258" s="504" t="s">
        <v>2982</v>
      </c>
      <c r="C4258" s="504" t="s">
        <v>1094</v>
      </c>
      <c r="D4258" s="504" t="s">
        <v>3380</v>
      </c>
      <c r="E4258" s="504" t="s">
        <v>3381</v>
      </c>
      <c r="F4258" s="504" t="s">
        <v>683</v>
      </c>
      <c r="G4258" s="504" t="s">
        <v>684</v>
      </c>
      <c r="H4258" s="504" t="s">
        <v>6792</v>
      </c>
      <c r="I4258" s="504">
        <v>1</v>
      </c>
      <c r="J4258" s="504">
        <v>0</v>
      </c>
      <c r="K4258" s="504">
        <v>0</v>
      </c>
      <c r="L4258" s="504">
        <v>0</v>
      </c>
      <c r="M4258" s="504">
        <v>0</v>
      </c>
      <c r="N4258" s="504">
        <v>0</v>
      </c>
      <c r="O4258" s="505">
        <v>1</v>
      </c>
    </row>
    <row r="4259" spans="1:15" x14ac:dyDescent="0.35">
      <c r="A4259" s="500" t="s">
        <v>1122</v>
      </c>
      <c r="B4259" s="501" t="s">
        <v>2994</v>
      </c>
      <c r="C4259" s="501" t="s">
        <v>1094</v>
      </c>
      <c r="D4259" s="501" t="s">
        <v>3380</v>
      </c>
      <c r="E4259" s="501" t="s">
        <v>3381</v>
      </c>
      <c r="F4259" s="501" t="s">
        <v>683</v>
      </c>
      <c r="G4259" s="501" t="s">
        <v>684</v>
      </c>
      <c r="H4259" s="501" t="s">
        <v>6793</v>
      </c>
      <c r="I4259" s="501">
        <v>169</v>
      </c>
      <c r="J4259" s="501">
        <v>169</v>
      </c>
      <c r="K4259" s="501">
        <v>0</v>
      </c>
      <c r="L4259" s="501">
        <v>0</v>
      </c>
      <c r="M4259" s="501">
        <v>0</v>
      </c>
      <c r="N4259" s="501">
        <v>0</v>
      </c>
      <c r="O4259" s="506">
        <v>0</v>
      </c>
    </row>
    <row r="4260" spans="1:15" x14ac:dyDescent="0.35">
      <c r="A4260" s="503" t="s">
        <v>1124</v>
      </c>
      <c r="B4260" s="504">
        <v>4745</v>
      </c>
      <c r="C4260" s="504" t="s">
        <v>1094</v>
      </c>
      <c r="D4260" s="504" t="s">
        <v>3380</v>
      </c>
      <c r="E4260" s="504" t="s">
        <v>3381</v>
      </c>
      <c r="F4260" s="504" t="s">
        <v>683</v>
      </c>
      <c r="G4260" s="504" t="s">
        <v>684</v>
      </c>
      <c r="H4260" s="504" t="s">
        <v>6794</v>
      </c>
      <c r="I4260" s="504">
        <v>34</v>
      </c>
      <c r="J4260" s="504">
        <v>0</v>
      </c>
      <c r="K4260" s="504">
        <v>0</v>
      </c>
      <c r="L4260" s="504">
        <v>34</v>
      </c>
      <c r="M4260" s="504">
        <v>0</v>
      </c>
      <c r="N4260" s="504">
        <v>0</v>
      </c>
      <c r="O4260" s="505">
        <v>0</v>
      </c>
    </row>
    <row r="4261" spans="1:15" x14ac:dyDescent="0.35">
      <c r="A4261" s="500" t="s">
        <v>1130</v>
      </c>
      <c r="B4261" s="501" t="s">
        <v>3234</v>
      </c>
      <c r="C4261" s="501" t="s">
        <v>1094</v>
      </c>
      <c r="D4261" s="501" t="s">
        <v>3380</v>
      </c>
      <c r="E4261" s="501" t="s">
        <v>3381</v>
      </c>
      <c r="F4261" s="501" t="s">
        <v>683</v>
      </c>
      <c r="G4261" s="501" t="s">
        <v>684</v>
      </c>
      <c r="H4261" s="501" t="s">
        <v>6795</v>
      </c>
      <c r="I4261" s="501">
        <v>3440</v>
      </c>
      <c r="J4261" s="501">
        <v>2674</v>
      </c>
      <c r="K4261" s="501">
        <v>0</v>
      </c>
      <c r="L4261" s="501">
        <v>343</v>
      </c>
      <c r="M4261" s="501">
        <v>271</v>
      </c>
      <c r="N4261" s="501">
        <v>86</v>
      </c>
      <c r="O4261" s="506">
        <v>152</v>
      </c>
    </row>
    <row r="4262" spans="1:15" x14ac:dyDescent="0.35">
      <c r="A4262" s="503" t="s">
        <v>1132</v>
      </c>
      <c r="B4262" s="504">
        <v>4837</v>
      </c>
      <c r="C4262" s="504" t="s">
        <v>1094</v>
      </c>
      <c r="D4262" s="504" t="s">
        <v>3380</v>
      </c>
      <c r="E4262" s="504" t="s">
        <v>3381</v>
      </c>
      <c r="F4262" s="504" t="s">
        <v>683</v>
      </c>
      <c r="G4262" s="504" t="s">
        <v>684</v>
      </c>
      <c r="H4262" s="504" t="s">
        <v>6796</v>
      </c>
      <c r="I4262" s="504">
        <v>3482</v>
      </c>
      <c r="J4262" s="504">
        <v>2987</v>
      </c>
      <c r="K4262" s="504">
        <v>0</v>
      </c>
      <c r="L4262" s="504">
        <v>66</v>
      </c>
      <c r="M4262" s="504">
        <v>284</v>
      </c>
      <c r="N4262" s="504">
        <v>0</v>
      </c>
      <c r="O4262" s="505">
        <v>145</v>
      </c>
    </row>
    <row r="4263" spans="1:15" x14ac:dyDescent="0.35">
      <c r="A4263" s="500" t="s">
        <v>1916</v>
      </c>
      <c r="B4263" s="501" t="s">
        <v>2877</v>
      </c>
      <c r="C4263" s="501" t="s">
        <v>1089</v>
      </c>
      <c r="D4263" s="501" t="s">
        <v>3392</v>
      </c>
      <c r="E4263" s="501" t="s">
        <v>3381</v>
      </c>
      <c r="F4263" s="501" t="s">
        <v>683</v>
      </c>
      <c r="G4263" s="501" t="s">
        <v>684</v>
      </c>
      <c r="H4263" s="501" t="s">
        <v>6797</v>
      </c>
      <c r="I4263" s="501">
        <v>16</v>
      </c>
      <c r="J4263" s="501">
        <v>0</v>
      </c>
      <c r="K4263" s="501">
        <v>0</v>
      </c>
      <c r="L4263" s="501">
        <v>0</v>
      </c>
      <c r="M4263" s="501">
        <v>16</v>
      </c>
      <c r="N4263" s="501">
        <v>16</v>
      </c>
      <c r="O4263" s="506">
        <v>0</v>
      </c>
    </row>
    <row r="4264" spans="1:15" x14ac:dyDescent="0.35">
      <c r="A4264" s="503" t="s">
        <v>1245</v>
      </c>
      <c r="B4264" s="504" t="s">
        <v>2859</v>
      </c>
      <c r="C4264" s="504" t="s">
        <v>1094</v>
      </c>
      <c r="D4264" s="504" t="s">
        <v>3380</v>
      </c>
      <c r="E4264" s="504" t="s">
        <v>3381</v>
      </c>
      <c r="F4264" s="504" t="s">
        <v>683</v>
      </c>
      <c r="G4264" s="504" t="s">
        <v>684</v>
      </c>
      <c r="H4264" s="504" t="s">
        <v>6798</v>
      </c>
      <c r="I4264" s="504">
        <v>35</v>
      </c>
      <c r="J4264" s="504">
        <v>0</v>
      </c>
      <c r="K4264" s="504">
        <v>0</v>
      </c>
      <c r="L4264" s="504">
        <v>0</v>
      </c>
      <c r="M4264" s="504">
        <v>35</v>
      </c>
      <c r="N4264" s="504">
        <v>0</v>
      </c>
      <c r="O4264" s="505">
        <v>0</v>
      </c>
    </row>
    <row r="4265" spans="1:15" x14ac:dyDescent="0.35">
      <c r="A4265" s="500" t="s">
        <v>1138</v>
      </c>
      <c r="B4265" s="501" t="s">
        <v>2998</v>
      </c>
      <c r="C4265" s="501" t="s">
        <v>1094</v>
      </c>
      <c r="D4265" s="501" t="s">
        <v>3380</v>
      </c>
      <c r="E4265" s="501" t="s">
        <v>3381</v>
      </c>
      <c r="F4265" s="501" t="s">
        <v>683</v>
      </c>
      <c r="G4265" s="501" t="s">
        <v>684</v>
      </c>
      <c r="H4265" s="501" t="s">
        <v>6799</v>
      </c>
      <c r="I4265" s="501">
        <v>3</v>
      </c>
      <c r="J4265" s="501">
        <v>0</v>
      </c>
      <c r="K4265" s="501">
        <v>0</v>
      </c>
      <c r="L4265" s="501">
        <v>0</v>
      </c>
      <c r="M4265" s="501">
        <v>0</v>
      </c>
      <c r="N4265" s="501">
        <v>0</v>
      </c>
      <c r="O4265" s="506">
        <v>3</v>
      </c>
    </row>
    <row r="4266" spans="1:15" x14ac:dyDescent="0.35">
      <c r="A4266" s="503" t="s">
        <v>1930</v>
      </c>
      <c r="B4266" s="504" t="s">
        <v>3313</v>
      </c>
      <c r="C4266" s="504" t="s">
        <v>1089</v>
      </c>
      <c r="D4266" s="504" t="s">
        <v>3392</v>
      </c>
      <c r="E4266" s="504" t="s">
        <v>3381</v>
      </c>
      <c r="F4266" s="504" t="s">
        <v>683</v>
      </c>
      <c r="G4266" s="504" t="s">
        <v>684</v>
      </c>
      <c r="H4266" s="504" t="s">
        <v>6800</v>
      </c>
      <c r="I4266" s="504">
        <v>6</v>
      </c>
      <c r="J4266" s="504">
        <v>0</v>
      </c>
      <c r="K4266" s="504">
        <v>0</v>
      </c>
      <c r="L4266" s="504">
        <v>6</v>
      </c>
      <c r="M4266" s="504">
        <v>0</v>
      </c>
      <c r="N4266" s="504">
        <v>0</v>
      </c>
      <c r="O4266" s="505">
        <v>0</v>
      </c>
    </row>
    <row r="4267" spans="1:15" x14ac:dyDescent="0.35">
      <c r="A4267" s="500" t="s">
        <v>1931</v>
      </c>
      <c r="B4267" s="501" t="s">
        <v>3030</v>
      </c>
      <c r="C4267" s="501" t="s">
        <v>1089</v>
      </c>
      <c r="D4267" s="501" t="s">
        <v>3392</v>
      </c>
      <c r="E4267" s="501" t="s">
        <v>3381</v>
      </c>
      <c r="F4267" s="501" t="s">
        <v>683</v>
      </c>
      <c r="G4267" s="501" t="s">
        <v>684</v>
      </c>
      <c r="H4267" s="501" t="s">
        <v>6801</v>
      </c>
      <c r="I4267" s="501">
        <v>421</v>
      </c>
      <c r="J4267" s="501">
        <v>411</v>
      </c>
      <c r="K4267" s="501">
        <v>0</v>
      </c>
      <c r="L4267" s="501">
        <v>10</v>
      </c>
      <c r="M4267" s="501">
        <v>0</v>
      </c>
      <c r="N4267" s="501">
        <v>0</v>
      </c>
      <c r="O4267" s="506">
        <v>0</v>
      </c>
    </row>
    <row r="4268" spans="1:15" x14ac:dyDescent="0.35">
      <c r="A4268" s="503" t="s">
        <v>1946</v>
      </c>
      <c r="B4268" s="504">
        <v>4875</v>
      </c>
      <c r="C4268" s="504" t="s">
        <v>1089</v>
      </c>
      <c r="D4268" s="504" t="s">
        <v>3392</v>
      </c>
      <c r="E4268" s="504" t="s">
        <v>3381</v>
      </c>
      <c r="F4268" s="504" t="s">
        <v>683</v>
      </c>
      <c r="G4268" s="504" t="s">
        <v>684</v>
      </c>
      <c r="H4268" s="504" t="s">
        <v>6802</v>
      </c>
      <c r="I4268" s="504">
        <v>9</v>
      </c>
      <c r="J4268" s="504">
        <v>0</v>
      </c>
      <c r="K4268" s="504">
        <v>0</v>
      </c>
      <c r="L4268" s="504">
        <v>9</v>
      </c>
      <c r="M4268" s="504">
        <v>0</v>
      </c>
      <c r="N4268" s="504">
        <v>0</v>
      </c>
      <c r="O4268" s="505">
        <v>0</v>
      </c>
    </row>
    <row r="4269" spans="1:15" x14ac:dyDescent="0.35">
      <c r="A4269" s="500" t="s">
        <v>1096</v>
      </c>
      <c r="B4269" s="501" t="s">
        <v>3326</v>
      </c>
      <c r="C4269" s="501" t="s">
        <v>1094</v>
      </c>
      <c r="D4269" s="501" t="s">
        <v>3380</v>
      </c>
      <c r="E4269" s="501" t="s">
        <v>3381</v>
      </c>
      <c r="F4269" s="501" t="s">
        <v>685</v>
      </c>
      <c r="G4269" s="501" t="s">
        <v>686</v>
      </c>
      <c r="H4269" s="501" t="s">
        <v>6803</v>
      </c>
      <c r="I4269" s="501">
        <v>7</v>
      </c>
      <c r="J4269" s="501">
        <v>0</v>
      </c>
      <c r="K4269" s="501">
        <v>0</v>
      </c>
      <c r="L4269" s="501">
        <v>0</v>
      </c>
      <c r="M4269" s="501">
        <v>7</v>
      </c>
      <c r="N4269" s="501">
        <v>0</v>
      </c>
      <c r="O4269" s="506">
        <v>0</v>
      </c>
    </row>
    <row r="4270" spans="1:15" x14ac:dyDescent="0.35">
      <c r="A4270" s="503" t="s">
        <v>1969</v>
      </c>
      <c r="B4270" s="504" t="s">
        <v>3117</v>
      </c>
      <c r="C4270" s="504" t="s">
        <v>1089</v>
      </c>
      <c r="D4270" s="504" t="s">
        <v>3392</v>
      </c>
      <c r="E4270" s="504" t="s">
        <v>3381</v>
      </c>
      <c r="F4270" s="504" t="s">
        <v>685</v>
      </c>
      <c r="G4270" s="504" t="s">
        <v>686</v>
      </c>
      <c r="H4270" s="504" t="s">
        <v>6804</v>
      </c>
      <c r="I4270" s="504">
        <v>27</v>
      </c>
      <c r="J4270" s="504">
        <v>27</v>
      </c>
      <c r="K4270" s="504">
        <v>0</v>
      </c>
      <c r="L4270" s="504">
        <v>0</v>
      </c>
      <c r="M4270" s="504">
        <v>0</v>
      </c>
      <c r="N4270" s="504">
        <v>0</v>
      </c>
      <c r="O4270" s="505">
        <v>0</v>
      </c>
    </row>
    <row r="4271" spans="1:15" x14ac:dyDescent="0.35">
      <c r="A4271" s="500" t="s">
        <v>1171</v>
      </c>
      <c r="B4271" s="501" t="s">
        <v>3003</v>
      </c>
      <c r="C4271" s="501" t="s">
        <v>1094</v>
      </c>
      <c r="D4271" s="501" t="s">
        <v>3380</v>
      </c>
      <c r="E4271" s="501" t="s">
        <v>3381</v>
      </c>
      <c r="F4271" s="501" t="s">
        <v>685</v>
      </c>
      <c r="G4271" s="501" t="s">
        <v>686</v>
      </c>
      <c r="H4271" s="501" t="s">
        <v>14775</v>
      </c>
      <c r="I4271" s="501">
        <v>104</v>
      </c>
      <c r="J4271" s="501">
        <v>98</v>
      </c>
      <c r="K4271" s="501">
        <v>0</v>
      </c>
      <c r="L4271" s="501">
        <v>0</v>
      </c>
      <c r="M4271" s="501">
        <v>0</v>
      </c>
      <c r="N4271" s="501">
        <v>0</v>
      </c>
      <c r="O4271" s="506">
        <v>6</v>
      </c>
    </row>
    <row r="4272" spans="1:15" x14ac:dyDescent="0.35">
      <c r="A4272" s="503" t="s">
        <v>1111</v>
      </c>
      <c r="B4272" s="504">
        <v>4873</v>
      </c>
      <c r="C4272" s="504" t="s">
        <v>1094</v>
      </c>
      <c r="D4272" s="504" t="s">
        <v>3380</v>
      </c>
      <c r="E4272" s="504" t="s">
        <v>3381</v>
      </c>
      <c r="F4272" s="504" t="s">
        <v>685</v>
      </c>
      <c r="G4272" s="504" t="s">
        <v>686</v>
      </c>
      <c r="H4272" s="504" t="s">
        <v>6805</v>
      </c>
      <c r="I4272" s="504">
        <v>27</v>
      </c>
      <c r="J4272" s="504">
        <v>27</v>
      </c>
      <c r="K4272" s="504">
        <v>0</v>
      </c>
      <c r="L4272" s="504">
        <v>0</v>
      </c>
      <c r="M4272" s="504">
        <v>0</v>
      </c>
      <c r="N4272" s="504">
        <v>0</v>
      </c>
      <c r="O4272" s="505">
        <v>0</v>
      </c>
    </row>
    <row r="4273" spans="1:15" x14ac:dyDescent="0.35">
      <c r="A4273" s="500" t="s">
        <v>1096</v>
      </c>
      <c r="B4273" s="501" t="s">
        <v>3326</v>
      </c>
      <c r="C4273" s="501" t="s">
        <v>1094</v>
      </c>
      <c r="D4273" s="501" t="s">
        <v>3380</v>
      </c>
      <c r="E4273" s="501" t="s">
        <v>3381</v>
      </c>
      <c r="F4273" s="501" t="s">
        <v>687</v>
      </c>
      <c r="G4273" s="501" t="s">
        <v>688</v>
      </c>
      <c r="H4273" s="501" t="s">
        <v>6806</v>
      </c>
      <c r="I4273" s="501">
        <v>34</v>
      </c>
      <c r="J4273" s="501">
        <v>0</v>
      </c>
      <c r="K4273" s="501">
        <v>0</v>
      </c>
      <c r="L4273" s="501">
        <v>0</v>
      </c>
      <c r="M4273" s="501">
        <v>34</v>
      </c>
      <c r="N4273" s="501">
        <v>0</v>
      </c>
      <c r="O4273" s="506">
        <v>0</v>
      </c>
    </row>
    <row r="4274" spans="1:15" x14ac:dyDescent="0.35">
      <c r="A4274" s="503" t="s">
        <v>1393</v>
      </c>
      <c r="B4274" s="504" t="s">
        <v>3194</v>
      </c>
      <c r="C4274" s="504" t="s">
        <v>1089</v>
      </c>
      <c r="D4274" s="504" t="s">
        <v>3392</v>
      </c>
      <c r="E4274" s="504" t="s">
        <v>3381</v>
      </c>
      <c r="F4274" s="504" t="s">
        <v>687</v>
      </c>
      <c r="G4274" s="504" t="s">
        <v>688</v>
      </c>
      <c r="H4274" s="504" t="s">
        <v>6807</v>
      </c>
      <c r="I4274" s="504">
        <v>20</v>
      </c>
      <c r="J4274" s="504">
        <v>20</v>
      </c>
      <c r="K4274" s="504">
        <v>0</v>
      </c>
      <c r="L4274" s="504">
        <v>0</v>
      </c>
      <c r="M4274" s="504">
        <v>0</v>
      </c>
      <c r="N4274" s="504">
        <v>0</v>
      </c>
      <c r="O4274" s="505">
        <v>0</v>
      </c>
    </row>
    <row r="4275" spans="1:15" x14ac:dyDescent="0.35">
      <c r="A4275" s="500" t="s">
        <v>1270</v>
      </c>
      <c r="B4275" s="501" t="s">
        <v>3304</v>
      </c>
      <c r="C4275" s="501" t="s">
        <v>1089</v>
      </c>
      <c r="D4275" s="501" t="s">
        <v>3392</v>
      </c>
      <c r="E4275" s="501" t="s">
        <v>3381</v>
      </c>
      <c r="F4275" s="501" t="s">
        <v>687</v>
      </c>
      <c r="G4275" s="501" t="s">
        <v>688</v>
      </c>
      <c r="H4275" s="501" t="s">
        <v>6808</v>
      </c>
      <c r="I4275" s="501">
        <v>40</v>
      </c>
      <c r="J4275" s="501">
        <v>40</v>
      </c>
      <c r="K4275" s="501">
        <v>0</v>
      </c>
      <c r="L4275" s="501">
        <v>0</v>
      </c>
      <c r="M4275" s="501">
        <v>0</v>
      </c>
      <c r="N4275" s="501">
        <v>0</v>
      </c>
      <c r="O4275" s="506">
        <v>0</v>
      </c>
    </row>
    <row r="4276" spans="1:15" x14ac:dyDescent="0.35">
      <c r="A4276" s="503" t="s">
        <v>11382</v>
      </c>
      <c r="B4276" s="504" t="s">
        <v>3223</v>
      </c>
      <c r="C4276" s="504" t="s">
        <v>1089</v>
      </c>
      <c r="D4276" s="504" t="s">
        <v>3392</v>
      </c>
      <c r="E4276" s="504" t="s">
        <v>3381</v>
      </c>
      <c r="F4276" s="504" t="s">
        <v>687</v>
      </c>
      <c r="G4276" s="504" t="s">
        <v>688</v>
      </c>
      <c r="H4276" s="504" t="s">
        <v>11510</v>
      </c>
      <c r="I4276" s="504">
        <v>38</v>
      </c>
      <c r="J4276" s="504">
        <v>38</v>
      </c>
      <c r="K4276" s="504">
        <v>0</v>
      </c>
      <c r="L4276" s="504">
        <v>0</v>
      </c>
      <c r="M4276" s="504">
        <v>0</v>
      </c>
      <c r="N4276" s="504">
        <v>0</v>
      </c>
      <c r="O4276" s="505">
        <v>0</v>
      </c>
    </row>
    <row r="4277" spans="1:15" x14ac:dyDescent="0.35">
      <c r="A4277" s="500" t="s">
        <v>1398</v>
      </c>
      <c r="B4277" s="501" t="s">
        <v>3105</v>
      </c>
      <c r="C4277" s="501" t="s">
        <v>1089</v>
      </c>
      <c r="D4277" s="501" t="s">
        <v>3392</v>
      </c>
      <c r="E4277" s="501" t="s">
        <v>3381</v>
      </c>
      <c r="F4277" s="501" t="s">
        <v>687</v>
      </c>
      <c r="G4277" s="501" t="s">
        <v>688</v>
      </c>
      <c r="H4277" s="501" t="s">
        <v>6809</v>
      </c>
      <c r="I4277" s="501">
        <v>299</v>
      </c>
      <c r="J4277" s="501">
        <v>268</v>
      </c>
      <c r="K4277" s="501">
        <v>0</v>
      </c>
      <c r="L4277" s="501">
        <v>0</v>
      </c>
      <c r="M4277" s="501">
        <v>31</v>
      </c>
      <c r="N4277" s="501">
        <v>14</v>
      </c>
      <c r="O4277" s="506">
        <v>0</v>
      </c>
    </row>
    <row r="4278" spans="1:15" x14ac:dyDescent="0.35">
      <c r="A4278" s="503" t="s">
        <v>1410</v>
      </c>
      <c r="B4278" s="504" t="s">
        <v>2868</v>
      </c>
      <c r="C4278" s="504" t="s">
        <v>1094</v>
      </c>
      <c r="D4278" s="504" t="s">
        <v>3380</v>
      </c>
      <c r="E4278" s="504" t="s">
        <v>3381</v>
      </c>
      <c r="F4278" s="504" t="s">
        <v>687</v>
      </c>
      <c r="G4278" s="504" t="s">
        <v>688</v>
      </c>
      <c r="H4278" s="504" t="s">
        <v>6810</v>
      </c>
      <c r="I4278" s="504">
        <v>69</v>
      </c>
      <c r="J4278" s="504">
        <v>55</v>
      </c>
      <c r="K4278" s="504">
        <v>14</v>
      </c>
      <c r="L4278" s="504">
        <v>0</v>
      </c>
      <c r="M4278" s="504">
        <v>0</v>
      </c>
      <c r="N4278" s="504">
        <v>0</v>
      </c>
      <c r="O4278" s="505">
        <v>0</v>
      </c>
    </row>
    <row r="4279" spans="1:15" x14ac:dyDescent="0.35">
      <c r="A4279" s="500" t="s">
        <v>1100</v>
      </c>
      <c r="B4279" s="501">
        <v>4865</v>
      </c>
      <c r="C4279" s="501" t="s">
        <v>1094</v>
      </c>
      <c r="D4279" s="501" t="s">
        <v>3380</v>
      </c>
      <c r="E4279" s="501" t="s">
        <v>3381</v>
      </c>
      <c r="F4279" s="501" t="s">
        <v>687</v>
      </c>
      <c r="G4279" s="501" t="s">
        <v>688</v>
      </c>
      <c r="H4279" s="501" t="s">
        <v>6811</v>
      </c>
      <c r="I4279" s="501">
        <v>3348</v>
      </c>
      <c r="J4279" s="501">
        <v>2531</v>
      </c>
      <c r="K4279" s="501">
        <v>28</v>
      </c>
      <c r="L4279" s="501">
        <v>231</v>
      </c>
      <c r="M4279" s="501">
        <v>396</v>
      </c>
      <c r="N4279" s="501">
        <v>0</v>
      </c>
      <c r="O4279" s="506">
        <v>162</v>
      </c>
    </row>
    <row r="4280" spans="1:15" x14ac:dyDescent="0.35">
      <c r="A4280" s="503" t="s">
        <v>14194</v>
      </c>
      <c r="B4280" s="504" t="s">
        <v>14193</v>
      </c>
      <c r="C4280" s="504" t="s">
        <v>1089</v>
      </c>
      <c r="D4280" s="504" t="s">
        <v>3392</v>
      </c>
      <c r="E4280" s="504" t="s">
        <v>3381</v>
      </c>
      <c r="F4280" s="504" t="s">
        <v>687</v>
      </c>
      <c r="G4280" s="504" t="s">
        <v>688</v>
      </c>
      <c r="H4280" s="504" t="s">
        <v>14776</v>
      </c>
      <c r="I4280" s="504">
        <v>35</v>
      </c>
      <c r="J4280" s="504">
        <v>35</v>
      </c>
      <c r="K4280" s="504">
        <v>0</v>
      </c>
      <c r="L4280" s="504">
        <v>0</v>
      </c>
      <c r="M4280" s="504">
        <v>0</v>
      </c>
      <c r="N4280" s="504">
        <v>0</v>
      </c>
      <c r="O4280" s="505">
        <v>0</v>
      </c>
    </row>
    <row r="4281" spans="1:15" x14ac:dyDescent="0.35">
      <c r="A4281" s="500" t="s">
        <v>1446</v>
      </c>
      <c r="B4281" s="501" t="s">
        <v>2921</v>
      </c>
      <c r="C4281" s="501" t="s">
        <v>1089</v>
      </c>
      <c r="D4281" s="501" t="s">
        <v>3392</v>
      </c>
      <c r="E4281" s="501" t="s">
        <v>3381</v>
      </c>
      <c r="F4281" s="501" t="s">
        <v>687</v>
      </c>
      <c r="G4281" s="501" t="s">
        <v>688</v>
      </c>
      <c r="H4281" s="501" t="s">
        <v>6812</v>
      </c>
      <c r="I4281" s="501">
        <v>9</v>
      </c>
      <c r="J4281" s="501">
        <v>0</v>
      </c>
      <c r="K4281" s="501">
        <v>0</v>
      </c>
      <c r="L4281" s="501">
        <v>0</v>
      </c>
      <c r="M4281" s="501">
        <v>9</v>
      </c>
      <c r="N4281" s="501">
        <v>0</v>
      </c>
      <c r="O4281" s="506">
        <v>0</v>
      </c>
    </row>
    <row r="4282" spans="1:15" x14ac:dyDescent="0.35">
      <c r="A4282" s="503" t="s">
        <v>1185</v>
      </c>
      <c r="B4282" s="504" t="s">
        <v>3253</v>
      </c>
      <c r="C4282" s="504" t="s">
        <v>1094</v>
      </c>
      <c r="D4282" s="504" t="s">
        <v>3380</v>
      </c>
      <c r="E4282" s="504" t="s">
        <v>3381</v>
      </c>
      <c r="F4282" s="504" t="s">
        <v>687</v>
      </c>
      <c r="G4282" s="504" t="s">
        <v>688</v>
      </c>
      <c r="H4282" s="504" t="s">
        <v>6813</v>
      </c>
      <c r="I4282" s="504">
        <v>31</v>
      </c>
      <c r="J4282" s="504">
        <v>12</v>
      </c>
      <c r="K4282" s="504">
        <v>0</v>
      </c>
      <c r="L4282" s="504">
        <v>19</v>
      </c>
      <c r="M4282" s="504">
        <v>0</v>
      </c>
      <c r="N4282" s="504">
        <v>0</v>
      </c>
      <c r="O4282" s="505">
        <v>0</v>
      </c>
    </row>
    <row r="4283" spans="1:15" x14ac:dyDescent="0.35">
      <c r="A4283" s="500" t="s">
        <v>1107</v>
      </c>
      <c r="B4283" s="501" t="s">
        <v>3109</v>
      </c>
      <c r="C4283" s="501" t="s">
        <v>1094</v>
      </c>
      <c r="D4283" s="501" t="s">
        <v>3380</v>
      </c>
      <c r="E4283" s="501" t="s">
        <v>3381</v>
      </c>
      <c r="F4283" s="501" t="s">
        <v>687</v>
      </c>
      <c r="G4283" s="501" t="s">
        <v>688</v>
      </c>
      <c r="H4283" s="501" t="s">
        <v>6814</v>
      </c>
      <c r="I4283" s="501">
        <v>14</v>
      </c>
      <c r="J4283" s="501">
        <v>0</v>
      </c>
      <c r="K4283" s="501">
        <v>0</v>
      </c>
      <c r="L4283" s="501">
        <v>14</v>
      </c>
      <c r="M4283" s="501">
        <v>0</v>
      </c>
      <c r="N4283" s="501">
        <v>0</v>
      </c>
      <c r="O4283" s="506">
        <v>0</v>
      </c>
    </row>
    <row r="4284" spans="1:15" x14ac:dyDescent="0.35">
      <c r="A4284" s="503" t="s">
        <v>1189</v>
      </c>
      <c r="B4284" s="504" t="s">
        <v>3236</v>
      </c>
      <c r="C4284" s="504" t="s">
        <v>1094</v>
      </c>
      <c r="D4284" s="504" t="s">
        <v>3380</v>
      </c>
      <c r="E4284" s="504" t="s">
        <v>3381</v>
      </c>
      <c r="F4284" s="504" t="s">
        <v>687</v>
      </c>
      <c r="G4284" s="504" t="s">
        <v>688</v>
      </c>
      <c r="H4284" s="504" t="s">
        <v>6815</v>
      </c>
      <c r="I4284" s="504">
        <v>1078</v>
      </c>
      <c r="J4284" s="504">
        <v>1047</v>
      </c>
      <c r="K4284" s="504">
        <v>0</v>
      </c>
      <c r="L4284" s="504">
        <v>0</v>
      </c>
      <c r="M4284" s="504">
        <v>0</v>
      </c>
      <c r="N4284" s="504">
        <v>7</v>
      </c>
      <c r="O4284" s="505">
        <v>31</v>
      </c>
    </row>
    <row r="4285" spans="1:15" x14ac:dyDescent="0.35">
      <c r="A4285" s="500" t="s">
        <v>1307</v>
      </c>
      <c r="B4285" s="501" t="s">
        <v>3306</v>
      </c>
      <c r="C4285" s="501" t="s">
        <v>1089</v>
      </c>
      <c r="D4285" s="501" t="s">
        <v>3392</v>
      </c>
      <c r="E4285" s="501" t="s">
        <v>3381</v>
      </c>
      <c r="F4285" s="501" t="s">
        <v>687</v>
      </c>
      <c r="G4285" s="501" t="s">
        <v>688</v>
      </c>
      <c r="H4285" s="501" t="s">
        <v>6816</v>
      </c>
      <c r="I4285" s="501">
        <v>3</v>
      </c>
      <c r="J4285" s="501">
        <v>3</v>
      </c>
      <c r="K4285" s="501">
        <v>0</v>
      </c>
      <c r="L4285" s="501">
        <v>0</v>
      </c>
      <c r="M4285" s="501">
        <v>0</v>
      </c>
      <c r="N4285" s="501">
        <v>0</v>
      </c>
      <c r="O4285" s="506">
        <v>0</v>
      </c>
    </row>
    <row r="4286" spans="1:15" x14ac:dyDescent="0.35">
      <c r="A4286" s="503" t="s">
        <v>1477</v>
      </c>
      <c r="B4286" s="504" t="s">
        <v>2683</v>
      </c>
      <c r="C4286" s="504" t="s">
        <v>1089</v>
      </c>
      <c r="D4286" s="504" t="s">
        <v>3392</v>
      </c>
      <c r="E4286" s="504" t="s">
        <v>3381</v>
      </c>
      <c r="F4286" s="504" t="s">
        <v>687</v>
      </c>
      <c r="G4286" s="504" t="s">
        <v>688</v>
      </c>
      <c r="H4286" s="504" t="s">
        <v>6818</v>
      </c>
      <c r="I4286" s="504">
        <v>104</v>
      </c>
      <c r="J4286" s="504">
        <v>104</v>
      </c>
      <c r="K4286" s="504">
        <v>0</v>
      </c>
      <c r="L4286" s="504">
        <v>0</v>
      </c>
      <c r="M4286" s="504">
        <v>0</v>
      </c>
      <c r="N4286" s="504">
        <v>0</v>
      </c>
      <c r="O4286" s="505">
        <v>0</v>
      </c>
    </row>
    <row r="4287" spans="1:15" x14ac:dyDescent="0.35">
      <c r="A4287" s="500" t="s">
        <v>1476</v>
      </c>
      <c r="B4287" s="501" t="s">
        <v>2988</v>
      </c>
      <c r="C4287" s="501" t="s">
        <v>1094</v>
      </c>
      <c r="D4287" s="501" t="s">
        <v>3380</v>
      </c>
      <c r="E4287" s="501" t="s">
        <v>3381</v>
      </c>
      <c r="F4287" s="501" t="s">
        <v>687</v>
      </c>
      <c r="G4287" s="501" t="s">
        <v>688</v>
      </c>
      <c r="H4287" s="501" t="s">
        <v>6817</v>
      </c>
      <c r="I4287" s="501">
        <v>793</v>
      </c>
      <c r="J4287" s="501">
        <v>666</v>
      </c>
      <c r="K4287" s="501">
        <v>0</v>
      </c>
      <c r="L4287" s="501">
        <v>44</v>
      </c>
      <c r="M4287" s="501">
        <v>12</v>
      </c>
      <c r="N4287" s="501">
        <v>100</v>
      </c>
      <c r="O4287" s="506">
        <v>71</v>
      </c>
    </row>
    <row r="4288" spans="1:15" x14ac:dyDescent="0.35">
      <c r="A4288" s="503" t="s">
        <v>1481</v>
      </c>
      <c r="B4288" s="504" t="s">
        <v>3083</v>
      </c>
      <c r="C4288" s="504" t="s">
        <v>1089</v>
      </c>
      <c r="D4288" s="504" t="s">
        <v>3392</v>
      </c>
      <c r="E4288" s="504" t="s">
        <v>3381</v>
      </c>
      <c r="F4288" s="504" t="s">
        <v>687</v>
      </c>
      <c r="G4288" s="504" t="s">
        <v>688</v>
      </c>
      <c r="H4288" s="504" t="s">
        <v>6819</v>
      </c>
      <c r="I4288" s="504">
        <v>102</v>
      </c>
      <c r="J4288" s="504">
        <v>102</v>
      </c>
      <c r="K4288" s="504">
        <v>0</v>
      </c>
      <c r="L4288" s="504">
        <v>0</v>
      </c>
      <c r="M4288" s="504">
        <v>0</v>
      </c>
      <c r="N4288" s="504">
        <v>0</v>
      </c>
      <c r="O4288" s="505">
        <v>0</v>
      </c>
    </row>
    <row r="4289" spans="1:15" x14ac:dyDescent="0.35">
      <c r="A4289" s="500" t="s">
        <v>1202</v>
      </c>
      <c r="B4289" s="501" t="s">
        <v>3217</v>
      </c>
      <c r="C4289" s="501" t="s">
        <v>1094</v>
      </c>
      <c r="D4289" s="501" t="s">
        <v>3380</v>
      </c>
      <c r="E4289" s="501" t="s">
        <v>3381</v>
      </c>
      <c r="F4289" s="501" t="s">
        <v>687</v>
      </c>
      <c r="G4289" s="501" t="s">
        <v>688</v>
      </c>
      <c r="H4289" s="501" t="s">
        <v>6820</v>
      </c>
      <c r="I4289" s="501">
        <v>307</v>
      </c>
      <c r="J4289" s="501">
        <v>292</v>
      </c>
      <c r="K4289" s="501">
        <v>0</v>
      </c>
      <c r="L4289" s="501">
        <v>0</v>
      </c>
      <c r="M4289" s="501">
        <v>0</v>
      </c>
      <c r="N4289" s="501">
        <v>0</v>
      </c>
      <c r="O4289" s="506">
        <v>15</v>
      </c>
    </row>
    <row r="4290" spans="1:15" x14ac:dyDescent="0.35">
      <c r="A4290" s="503" t="s">
        <v>1112</v>
      </c>
      <c r="B4290" s="504" t="s">
        <v>3008</v>
      </c>
      <c r="C4290" s="504" t="s">
        <v>1094</v>
      </c>
      <c r="D4290" s="504" t="s">
        <v>3380</v>
      </c>
      <c r="E4290" s="504" t="s">
        <v>3381</v>
      </c>
      <c r="F4290" s="504" t="s">
        <v>687</v>
      </c>
      <c r="G4290" s="504" t="s">
        <v>688</v>
      </c>
      <c r="H4290" s="504" t="s">
        <v>6821</v>
      </c>
      <c r="I4290" s="504">
        <v>2</v>
      </c>
      <c r="J4290" s="504">
        <v>0</v>
      </c>
      <c r="K4290" s="504">
        <v>0</v>
      </c>
      <c r="L4290" s="504">
        <v>0</v>
      </c>
      <c r="M4290" s="504">
        <v>0</v>
      </c>
      <c r="N4290" s="504">
        <v>0</v>
      </c>
      <c r="O4290" s="505">
        <v>2</v>
      </c>
    </row>
    <row r="4291" spans="1:15" x14ac:dyDescent="0.35">
      <c r="A4291" s="500" t="s">
        <v>1315</v>
      </c>
      <c r="B4291" s="501">
        <v>4825</v>
      </c>
      <c r="C4291" s="501" t="s">
        <v>1094</v>
      </c>
      <c r="D4291" s="501" t="s">
        <v>3380</v>
      </c>
      <c r="E4291" s="501" t="s">
        <v>3381</v>
      </c>
      <c r="F4291" s="501" t="s">
        <v>687</v>
      </c>
      <c r="G4291" s="501" t="s">
        <v>688</v>
      </c>
      <c r="H4291" s="501" t="s">
        <v>6822</v>
      </c>
      <c r="I4291" s="501">
        <v>122</v>
      </c>
      <c r="J4291" s="501">
        <v>11</v>
      </c>
      <c r="K4291" s="501">
        <v>0</v>
      </c>
      <c r="L4291" s="501">
        <v>108</v>
      </c>
      <c r="M4291" s="501">
        <v>0</v>
      </c>
      <c r="N4291" s="501">
        <v>8</v>
      </c>
      <c r="O4291" s="506">
        <v>3</v>
      </c>
    </row>
    <row r="4292" spans="1:15" x14ac:dyDescent="0.35">
      <c r="A4292" s="503" t="s">
        <v>1504</v>
      </c>
      <c r="B4292" s="504" t="s">
        <v>2680</v>
      </c>
      <c r="C4292" s="504" t="s">
        <v>1089</v>
      </c>
      <c r="D4292" s="504" t="s">
        <v>3392</v>
      </c>
      <c r="E4292" s="504" t="s">
        <v>3381</v>
      </c>
      <c r="F4292" s="504" t="s">
        <v>687</v>
      </c>
      <c r="G4292" s="504" t="s">
        <v>688</v>
      </c>
      <c r="H4292" s="504" t="s">
        <v>6823</v>
      </c>
      <c r="I4292" s="504">
        <v>49</v>
      </c>
      <c r="J4292" s="504">
        <v>49</v>
      </c>
      <c r="K4292" s="504">
        <v>0</v>
      </c>
      <c r="L4292" s="504">
        <v>0</v>
      </c>
      <c r="M4292" s="504">
        <v>0</v>
      </c>
      <c r="N4292" s="504">
        <v>0</v>
      </c>
      <c r="O4292" s="505">
        <v>0</v>
      </c>
    </row>
    <row r="4293" spans="1:15" x14ac:dyDescent="0.35">
      <c r="A4293" s="500" t="s">
        <v>1316</v>
      </c>
      <c r="B4293" s="501" t="s">
        <v>2949</v>
      </c>
      <c r="C4293" s="501" t="s">
        <v>1094</v>
      </c>
      <c r="D4293" s="501" t="s">
        <v>3380</v>
      </c>
      <c r="E4293" s="501" t="s">
        <v>3381</v>
      </c>
      <c r="F4293" s="501" t="s">
        <v>687</v>
      </c>
      <c r="G4293" s="501" t="s">
        <v>688</v>
      </c>
      <c r="H4293" s="501" t="s">
        <v>6824</v>
      </c>
      <c r="I4293" s="501">
        <v>1624</v>
      </c>
      <c r="J4293" s="501">
        <v>1237</v>
      </c>
      <c r="K4293" s="501">
        <v>27</v>
      </c>
      <c r="L4293" s="501">
        <v>13</v>
      </c>
      <c r="M4293" s="501">
        <v>0</v>
      </c>
      <c r="N4293" s="501">
        <v>0</v>
      </c>
      <c r="O4293" s="506">
        <v>347</v>
      </c>
    </row>
    <row r="4294" spans="1:15" x14ac:dyDescent="0.35">
      <c r="A4294" s="503" t="s">
        <v>1319</v>
      </c>
      <c r="B4294" s="504">
        <v>4880</v>
      </c>
      <c r="C4294" s="504" t="s">
        <v>1094</v>
      </c>
      <c r="D4294" s="504" t="s">
        <v>3380</v>
      </c>
      <c r="E4294" s="504" t="s">
        <v>3381</v>
      </c>
      <c r="F4294" s="504" t="s">
        <v>687</v>
      </c>
      <c r="G4294" s="504" t="s">
        <v>688</v>
      </c>
      <c r="H4294" s="504" t="s">
        <v>6825</v>
      </c>
      <c r="I4294" s="504">
        <v>390</v>
      </c>
      <c r="J4294" s="504">
        <v>280</v>
      </c>
      <c r="K4294" s="504">
        <v>0</v>
      </c>
      <c r="L4294" s="504">
        <v>14</v>
      </c>
      <c r="M4294" s="504">
        <v>89</v>
      </c>
      <c r="N4294" s="504">
        <v>0</v>
      </c>
      <c r="O4294" s="505">
        <v>7</v>
      </c>
    </row>
    <row r="4295" spans="1:15" x14ac:dyDescent="0.35">
      <c r="A4295" s="500" t="s">
        <v>1120</v>
      </c>
      <c r="B4295" s="501" t="s">
        <v>3362</v>
      </c>
      <c r="C4295" s="501" t="s">
        <v>1094</v>
      </c>
      <c r="D4295" s="501" t="s">
        <v>3380</v>
      </c>
      <c r="E4295" s="501" t="s">
        <v>3381</v>
      </c>
      <c r="F4295" s="501" t="s">
        <v>687</v>
      </c>
      <c r="G4295" s="501" t="s">
        <v>688</v>
      </c>
      <c r="H4295" s="501" t="s">
        <v>6826</v>
      </c>
      <c r="I4295" s="501">
        <v>60</v>
      </c>
      <c r="J4295" s="501">
        <v>0</v>
      </c>
      <c r="K4295" s="501">
        <v>0</v>
      </c>
      <c r="L4295" s="501">
        <v>0</v>
      </c>
      <c r="M4295" s="501">
        <v>0</v>
      </c>
      <c r="N4295" s="501">
        <v>0</v>
      </c>
      <c r="O4295" s="506">
        <v>60</v>
      </c>
    </row>
    <row r="4296" spans="1:15" x14ac:dyDescent="0.35">
      <c r="A4296" s="503" t="s">
        <v>11387</v>
      </c>
      <c r="B4296" s="504" t="s">
        <v>3087</v>
      </c>
      <c r="C4296" s="504" t="s">
        <v>1089</v>
      </c>
      <c r="D4296" s="504" t="s">
        <v>3392</v>
      </c>
      <c r="E4296" s="504" t="s">
        <v>3381</v>
      </c>
      <c r="F4296" s="504" t="s">
        <v>687</v>
      </c>
      <c r="G4296" s="504" t="s">
        <v>688</v>
      </c>
      <c r="H4296" s="504" t="s">
        <v>11893</v>
      </c>
      <c r="I4296" s="504">
        <v>52</v>
      </c>
      <c r="J4296" s="504">
        <v>52</v>
      </c>
      <c r="K4296" s="504">
        <v>0</v>
      </c>
      <c r="L4296" s="504">
        <v>0</v>
      </c>
      <c r="M4296" s="504">
        <v>0</v>
      </c>
      <c r="N4296" s="504">
        <v>0</v>
      </c>
      <c r="O4296" s="505">
        <v>0</v>
      </c>
    </row>
    <row r="4297" spans="1:15" x14ac:dyDescent="0.35">
      <c r="A4297" s="500" t="s">
        <v>1322</v>
      </c>
      <c r="B4297" s="501" t="s">
        <v>3244</v>
      </c>
      <c r="C4297" s="501" t="s">
        <v>1094</v>
      </c>
      <c r="D4297" s="501" t="s">
        <v>3380</v>
      </c>
      <c r="E4297" s="501" t="s">
        <v>3381</v>
      </c>
      <c r="F4297" s="501" t="s">
        <v>687</v>
      </c>
      <c r="G4297" s="501" t="s">
        <v>688</v>
      </c>
      <c r="H4297" s="501" t="s">
        <v>6827</v>
      </c>
      <c r="I4297" s="501">
        <v>552</v>
      </c>
      <c r="J4297" s="501">
        <v>333</v>
      </c>
      <c r="K4297" s="501">
        <v>7</v>
      </c>
      <c r="L4297" s="501">
        <v>111</v>
      </c>
      <c r="M4297" s="501">
        <v>0</v>
      </c>
      <c r="N4297" s="501">
        <v>0</v>
      </c>
      <c r="O4297" s="506">
        <v>101</v>
      </c>
    </row>
    <row r="4298" spans="1:15" x14ac:dyDescent="0.35">
      <c r="A4298" s="503" t="s">
        <v>1325</v>
      </c>
      <c r="B4298" s="504" t="s">
        <v>3011</v>
      </c>
      <c r="C4298" s="504" t="s">
        <v>1094</v>
      </c>
      <c r="D4298" s="504" t="s">
        <v>3380</v>
      </c>
      <c r="E4298" s="504" t="s">
        <v>3381</v>
      </c>
      <c r="F4298" s="504" t="s">
        <v>687</v>
      </c>
      <c r="G4298" s="504" t="s">
        <v>688</v>
      </c>
      <c r="H4298" s="504" t="s">
        <v>6828</v>
      </c>
      <c r="I4298" s="504">
        <v>130</v>
      </c>
      <c r="J4298" s="504">
        <v>106</v>
      </c>
      <c r="K4298" s="504">
        <v>0</v>
      </c>
      <c r="L4298" s="504">
        <v>6</v>
      </c>
      <c r="M4298" s="504">
        <v>0</v>
      </c>
      <c r="N4298" s="504">
        <v>0</v>
      </c>
      <c r="O4298" s="505">
        <v>18</v>
      </c>
    </row>
    <row r="4299" spans="1:15" x14ac:dyDescent="0.35">
      <c r="A4299" s="500" t="s">
        <v>1220</v>
      </c>
      <c r="B4299" s="501">
        <v>4849</v>
      </c>
      <c r="C4299" s="501" t="s">
        <v>1094</v>
      </c>
      <c r="D4299" s="501" t="s">
        <v>3380</v>
      </c>
      <c r="E4299" s="501" t="s">
        <v>3381</v>
      </c>
      <c r="F4299" s="501" t="s">
        <v>687</v>
      </c>
      <c r="G4299" s="501" t="s">
        <v>688</v>
      </c>
      <c r="H4299" s="501" t="s">
        <v>6829</v>
      </c>
      <c r="I4299" s="501">
        <v>93</v>
      </c>
      <c r="J4299" s="501">
        <v>68</v>
      </c>
      <c r="K4299" s="501">
        <v>0</v>
      </c>
      <c r="L4299" s="501">
        <v>0</v>
      </c>
      <c r="M4299" s="501">
        <v>25</v>
      </c>
      <c r="N4299" s="501">
        <v>0</v>
      </c>
      <c r="O4299" s="506">
        <v>0</v>
      </c>
    </row>
    <row r="4300" spans="1:15" x14ac:dyDescent="0.35">
      <c r="A4300" s="503" t="s">
        <v>1332</v>
      </c>
      <c r="B4300" s="504">
        <v>4878</v>
      </c>
      <c r="C4300" s="504" t="s">
        <v>1094</v>
      </c>
      <c r="D4300" s="504" t="s">
        <v>3380</v>
      </c>
      <c r="E4300" s="504" t="s">
        <v>3381</v>
      </c>
      <c r="F4300" s="504" t="s">
        <v>687</v>
      </c>
      <c r="G4300" s="504" t="s">
        <v>688</v>
      </c>
      <c r="H4300" s="504" t="s">
        <v>6830</v>
      </c>
      <c r="I4300" s="504">
        <v>5325</v>
      </c>
      <c r="J4300" s="504">
        <v>4455</v>
      </c>
      <c r="K4300" s="504">
        <v>6</v>
      </c>
      <c r="L4300" s="504">
        <v>433</v>
      </c>
      <c r="M4300" s="504">
        <v>93</v>
      </c>
      <c r="N4300" s="504">
        <v>0</v>
      </c>
      <c r="O4300" s="505">
        <v>338</v>
      </c>
    </row>
    <row r="4301" spans="1:15" x14ac:dyDescent="0.35">
      <c r="A4301" s="500" t="s">
        <v>1522</v>
      </c>
      <c r="B4301" s="501" t="s">
        <v>3262</v>
      </c>
      <c r="C4301" s="501" t="s">
        <v>1089</v>
      </c>
      <c r="D4301" s="501" t="s">
        <v>3392</v>
      </c>
      <c r="E4301" s="501" t="s">
        <v>3381</v>
      </c>
      <c r="F4301" s="501" t="s">
        <v>687</v>
      </c>
      <c r="G4301" s="501" t="s">
        <v>688</v>
      </c>
      <c r="H4301" s="501" t="s">
        <v>6831</v>
      </c>
      <c r="I4301" s="501">
        <v>84</v>
      </c>
      <c r="J4301" s="501">
        <v>14</v>
      </c>
      <c r="K4301" s="501">
        <v>21</v>
      </c>
      <c r="L4301" s="501">
        <v>49</v>
      </c>
      <c r="M4301" s="501">
        <v>0</v>
      </c>
      <c r="N4301" s="501">
        <v>6</v>
      </c>
      <c r="O4301" s="506">
        <v>0</v>
      </c>
    </row>
    <row r="4302" spans="1:15" x14ac:dyDescent="0.35">
      <c r="A4302" s="503" t="s">
        <v>1525</v>
      </c>
      <c r="B4302" s="504" t="s">
        <v>2923</v>
      </c>
      <c r="C4302" s="504" t="s">
        <v>1089</v>
      </c>
      <c r="D4302" s="504" t="s">
        <v>3392</v>
      </c>
      <c r="E4302" s="504" t="s">
        <v>3381</v>
      </c>
      <c r="F4302" s="504" t="s">
        <v>687</v>
      </c>
      <c r="G4302" s="504" t="s">
        <v>688</v>
      </c>
      <c r="H4302" s="504" t="s">
        <v>6832</v>
      </c>
      <c r="I4302" s="504">
        <v>6</v>
      </c>
      <c r="J4302" s="504">
        <v>0</v>
      </c>
      <c r="K4302" s="504">
        <v>0</v>
      </c>
      <c r="L4302" s="504">
        <v>6</v>
      </c>
      <c r="M4302" s="504">
        <v>0</v>
      </c>
      <c r="N4302" s="504">
        <v>0</v>
      </c>
      <c r="O4302" s="505">
        <v>0</v>
      </c>
    </row>
    <row r="4303" spans="1:15" x14ac:dyDescent="0.35">
      <c r="A4303" s="500" t="s">
        <v>1122</v>
      </c>
      <c r="B4303" s="501" t="s">
        <v>2994</v>
      </c>
      <c r="C4303" s="501" t="s">
        <v>1094</v>
      </c>
      <c r="D4303" s="501" t="s">
        <v>3380</v>
      </c>
      <c r="E4303" s="501" t="s">
        <v>3381</v>
      </c>
      <c r="F4303" s="501" t="s">
        <v>687</v>
      </c>
      <c r="G4303" s="501" t="s">
        <v>688</v>
      </c>
      <c r="H4303" s="501" t="s">
        <v>6833</v>
      </c>
      <c r="I4303" s="501">
        <v>41</v>
      </c>
      <c r="J4303" s="501">
        <v>25</v>
      </c>
      <c r="K4303" s="501">
        <v>0</v>
      </c>
      <c r="L4303" s="501">
        <v>0</v>
      </c>
      <c r="M4303" s="501">
        <v>0</v>
      </c>
      <c r="N4303" s="501">
        <v>0</v>
      </c>
      <c r="O4303" s="506">
        <v>16</v>
      </c>
    </row>
    <row r="4304" spans="1:15" x14ac:dyDescent="0.35">
      <c r="A4304" s="503" t="s">
        <v>1225</v>
      </c>
      <c r="B4304" s="504" t="s">
        <v>3315</v>
      </c>
      <c r="C4304" s="504" t="s">
        <v>1094</v>
      </c>
      <c r="D4304" s="504" t="s">
        <v>3380</v>
      </c>
      <c r="E4304" s="504" t="s">
        <v>3381</v>
      </c>
      <c r="F4304" s="504" t="s">
        <v>687</v>
      </c>
      <c r="G4304" s="504" t="s">
        <v>688</v>
      </c>
      <c r="H4304" s="504" t="s">
        <v>6834</v>
      </c>
      <c r="I4304" s="504">
        <v>55</v>
      </c>
      <c r="J4304" s="504">
        <v>33</v>
      </c>
      <c r="K4304" s="504">
        <v>0</v>
      </c>
      <c r="L4304" s="504">
        <v>22</v>
      </c>
      <c r="M4304" s="504">
        <v>0</v>
      </c>
      <c r="N4304" s="504">
        <v>0</v>
      </c>
      <c r="O4304" s="505">
        <v>0</v>
      </c>
    </row>
    <row r="4305" spans="1:15" x14ac:dyDescent="0.35">
      <c r="A4305" s="500" t="s">
        <v>1532</v>
      </c>
      <c r="B4305" s="501" t="s">
        <v>2659</v>
      </c>
      <c r="C4305" s="501" t="s">
        <v>1089</v>
      </c>
      <c r="D4305" s="501" t="s">
        <v>3392</v>
      </c>
      <c r="E4305" s="501" t="s">
        <v>3381</v>
      </c>
      <c r="F4305" s="501" t="s">
        <v>687</v>
      </c>
      <c r="G4305" s="501" t="s">
        <v>688</v>
      </c>
      <c r="H4305" s="501" t="s">
        <v>6835</v>
      </c>
      <c r="I4305" s="501">
        <v>80</v>
      </c>
      <c r="J4305" s="501">
        <v>80</v>
      </c>
      <c r="K4305" s="501">
        <v>0</v>
      </c>
      <c r="L4305" s="501">
        <v>0</v>
      </c>
      <c r="M4305" s="501">
        <v>0</v>
      </c>
      <c r="N4305" s="501">
        <v>0</v>
      </c>
      <c r="O4305" s="506">
        <v>0</v>
      </c>
    </row>
    <row r="4306" spans="1:15" x14ac:dyDescent="0.35">
      <c r="A4306" s="503" t="s">
        <v>1538</v>
      </c>
      <c r="B4306" s="504" t="s">
        <v>2716</v>
      </c>
      <c r="C4306" s="504" t="s">
        <v>1089</v>
      </c>
      <c r="D4306" s="504" t="s">
        <v>3392</v>
      </c>
      <c r="E4306" s="504" t="s">
        <v>3381</v>
      </c>
      <c r="F4306" s="504" t="s">
        <v>687</v>
      </c>
      <c r="G4306" s="504" t="s">
        <v>688</v>
      </c>
      <c r="H4306" s="504" t="s">
        <v>6836</v>
      </c>
      <c r="I4306" s="504">
        <v>26</v>
      </c>
      <c r="J4306" s="504">
        <v>0</v>
      </c>
      <c r="K4306" s="504">
        <v>26</v>
      </c>
      <c r="L4306" s="504">
        <v>0</v>
      </c>
      <c r="M4306" s="504">
        <v>0</v>
      </c>
      <c r="N4306" s="504">
        <v>0</v>
      </c>
      <c r="O4306" s="505">
        <v>0</v>
      </c>
    </row>
    <row r="4307" spans="1:15" x14ac:dyDescent="0.35">
      <c r="A4307" s="500" t="s">
        <v>1126</v>
      </c>
      <c r="B4307" s="501" t="s">
        <v>2974</v>
      </c>
      <c r="C4307" s="501" t="s">
        <v>1094</v>
      </c>
      <c r="D4307" s="501" t="s">
        <v>3380</v>
      </c>
      <c r="E4307" s="501" t="s">
        <v>3381</v>
      </c>
      <c r="F4307" s="501" t="s">
        <v>687</v>
      </c>
      <c r="G4307" s="501" t="s">
        <v>688</v>
      </c>
      <c r="H4307" s="501" t="s">
        <v>6837</v>
      </c>
      <c r="I4307" s="501">
        <v>92</v>
      </c>
      <c r="J4307" s="501">
        <v>4</v>
      </c>
      <c r="K4307" s="501">
        <v>0</v>
      </c>
      <c r="L4307" s="501">
        <v>52</v>
      </c>
      <c r="M4307" s="501">
        <v>36</v>
      </c>
      <c r="N4307" s="501">
        <v>0</v>
      </c>
      <c r="O4307" s="506">
        <v>0</v>
      </c>
    </row>
    <row r="4308" spans="1:15" x14ac:dyDescent="0.35">
      <c r="A4308" s="503" t="s">
        <v>1340</v>
      </c>
      <c r="B4308" s="504" t="s">
        <v>2862</v>
      </c>
      <c r="C4308" s="504" t="s">
        <v>1089</v>
      </c>
      <c r="D4308" s="504" t="s">
        <v>3392</v>
      </c>
      <c r="E4308" s="504" t="s">
        <v>3381</v>
      </c>
      <c r="F4308" s="504" t="s">
        <v>687</v>
      </c>
      <c r="G4308" s="504" t="s">
        <v>688</v>
      </c>
      <c r="H4308" s="504" t="s">
        <v>6838</v>
      </c>
      <c r="I4308" s="504">
        <v>93</v>
      </c>
      <c r="J4308" s="504">
        <v>0</v>
      </c>
      <c r="K4308" s="504">
        <v>33</v>
      </c>
      <c r="L4308" s="504">
        <v>60</v>
      </c>
      <c r="M4308" s="504">
        <v>0</v>
      </c>
      <c r="N4308" s="504">
        <v>0</v>
      </c>
      <c r="O4308" s="505">
        <v>0</v>
      </c>
    </row>
    <row r="4309" spans="1:15" x14ac:dyDescent="0.35">
      <c r="A4309" s="500" t="s">
        <v>1543</v>
      </c>
      <c r="B4309" s="501" t="s">
        <v>3309</v>
      </c>
      <c r="C4309" s="501" t="s">
        <v>1089</v>
      </c>
      <c r="D4309" s="501" t="s">
        <v>3392</v>
      </c>
      <c r="E4309" s="501" t="s">
        <v>3381</v>
      </c>
      <c r="F4309" s="501" t="s">
        <v>687</v>
      </c>
      <c r="G4309" s="501" t="s">
        <v>688</v>
      </c>
      <c r="H4309" s="501" t="s">
        <v>6839</v>
      </c>
      <c r="I4309" s="501">
        <v>68</v>
      </c>
      <c r="J4309" s="501">
        <v>68</v>
      </c>
      <c r="K4309" s="501">
        <v>0</v>
      </c>
      <c r="L4309" s="501">
        <v>0</v>
      </c>
      <c r="M4309" s="501">
        <v>0</v>
      </c>
      <c r="N4309" s="501">
        <v>0</v>
      </c>
      <c r="O4309" s="506">
        <v>0</v>
      </c>
    </row>
    <row r="4310" spans="1:15" x14ac:dyDescent="0.35">
      <c r="A4310" s="503" t="s">
        <v>1546</v>
      </c>
      <c r="B4310" s="504" t="s">
        <v>2687</v>
      </c>
      <c r="C4310" s="504" t="s">
        <v>1089</v>
      </c>
      <c r="D4310" s="504" t="s">
        <v>3392</v>
      </c>
      <c r="E4310" s="504" t="s">
        <v>3381</v>
      </c>
      <c r="F4310" s="504" t="s">
        <v>687</v>
      </c>
      <c r="G4310" s="504" t="s">
        <v>688</v>
      </c>
      <c r="H4310" s="504" t="s">
        <v>6840</v>
      </c>
      <c r="I4310" s="504">
        <v>107</v>
      </c>
      <c r="J4310" s="504">
        <v>107</v>
      </c>
      <c r="K4310" s="504">
        <v>0</v>
      </c>
      <c r="L4310" s="504">
        <v>0</v>
      </c>
      <c r="M4310" s="504">
        <v>0</v>
      </c>
      <c r="N4310" s="504">
        <v>0</v>
      </c>
      <c r="O4310" s="505">
        <v>0</v>
      </c>
    </row>
    <row r="4311" spans="1:15" x14ac:dyDescent="0.35">
      <c r="A4311" s="500" t="s">
        <v>1547</v>
      </c>
      <c r="B4311" s="501" t="s">
        <v>3279</v>
      </c>
      <c r="C4311" s="501" t="s">
        <v>1089</v>
      </c>
      <c r="D4311" s="501" t="s">
        <v>3392</v>
      </c>
      <c r="E4311" s="501" t="s">
        <v>3381</v>
      </c>
      <c r="F4311" s="501" t="s">
        <v>687</v>
      </c>
      <c r="G4311" s="501" t="s">
        <v>688</v>
      </c>
      <c r="H4311" s="501" t="s">
        <v>6841</v>
      </c>
      <c r="I4311" s="501">
        <v>4</v>
      </c>
      <c r="J4311" s="501">
        <v>4</v>
      </c>
      <c r="K4311" s="501">
        <v>0</v>
      </c>
      <c r="L4311" s="501">
        <v>0</v>
      </c>
      <c r="M4311" s="501">
        <v>0</v>
      </c>
      <c r="N4311" s="501">
        <v>0</v>
      </c>
      <c r="O4311" s="506">
        <v>0</v>
      </c>
    </row>
    <row r="4312" spans="1:15" x14ac:dyDescent="0.35">
      <c r="A4312" s="503" t="s">
        <v>1130</v>
      </c>
      <c r="B4312" s="504" t="s">
        <v>3234</v>
      </c>
      <c r="C4312" s="504" t="s">
        <v>1094</v>
      </c>
      <c r="D4312" s="504" t="s">
        <v>3380</v>
      </c>
      <c r="E4312" s="504" t="s">
        <v>3381</v>
      </c>
      <c r="F4312" s="504" t="s">
        <v>687</v>
      </c>
      <c r="G4312" s="504" t="s">
        <v>688</v>
      </c>
      <c r="H4312" s="504" t="s">
        <v>6842</v>
      </c>
      <c r="I4312" s="504">
        <v>1348</v>
      </c>
      <c r="J4312" s="504">
        <v>1099</v>
      </c>
      <c r="K4312" s="504">
        <v>3</v>
      </c>
      <c r="L4312" s="504">
        <v>1</v>
      </c>
      <c r="M4312" s="504">
        <v>0</v>
      </c>
      <c r="N4312" s="504">
        <v>18</v>
      </c>
      <c r="O4312" s="505">
        <v>245</v>
      </c>
    </row>
    <row r="4313" spans="1:15" x14ac:dyDescent="0.35">
      <c r="A4313" s="500" t="s">
        <v>1553</v>
      </c>
      <c r="B4313" s="501" t="s">
        <v>2904</v>
      </c>
      <c r="C4313" s="501" t="s">
        <v>1089</v>
      </c>
      <c r="D4313" s="501" t="s">
        <v>3392</v>
      </c>
      <c r="E4313" s="501" t="s">
        <v>3381</v>
      </c>
      <c r="F4313" s="501" t="s">
        <v>687</v>
      </c>
      <c r="G4313" s="501" t="s">
        <v>688</v>
      </c>
      <c r="H4313" s="501" t="s">
        <v>6843</v>
      </c>
      <c r="I4313" s="501">
        <v>22</v>
      </c>
      <c r="J4313" s="501">
        <v>0</v>
      </c>
      <c r="K4313" s="501">
        <v>0</v>
      </c>
      <c r="L4313" s="501">
        <v>22</v>
      </c>
      <c r="M4313" s="501">
        <v>0</v>
      </c>
      <c r="N4313" s="501">
        <v>0</v>
      </c>
      <c r="O4313" s="506">
        <v>0</v>
      </c>
    </row>
    <row r="4314" spans="1:15" x14ac:dyDescent="0.35">
      <c r="A4314" s="503" t="s">
        <v>1345</v>
      </c>
      <c r="B4314" s="504" t="s">
        <v>3247</v>
      </c>
      <c r="C4314" s="504" t="s">
        <v>1094</v>
      </c>
      <c r="D4314" s="504" t="s">
        <v>3380</v>
      </c>
      <c r="E4314" s="504" t="s">
        <v>3381</v>
      </c>
      <c r="F4314" s="504" t="s">
        <v>687</v>
      </c>
      <c r="G4314" s="504" t="s">
        <v>688</v>
      </c>
      <c r="H4314" s="504" t="s">
        <v>6844</v>
      </c>
      <c r="I4314" s="504">
        <v>108</v>
      </c>
      <c r="J4314" s="504">
        <v>0</v>
      </c>
      <c r="K4314" s="504">
        <v>0</v>
      </c>
      <c r="L4314" s="504">
        <v>108</v>
      </c>
      <c r="M4314" s="504">
        <v>0</v>
      </c>
      <c r="N4314" s="504">
        <v>0</v>
      </c>
      <c r="O4314" s="505">
        <v>0</v>
      </c>
    </row>
    <row r="4315" spans="1:15" x14ac:dyDescent="0.35">
      <c r="A4315" s="500" t="s">
        <v>1249</v>
      </c>
      <c r="B4315" s="501">
        <v>4729</v>
      </c>
      <c r="C4315" s="501" t="s">
        <v>1094</v>
      </c>
      <c r="D4315" s="501" t="s">
        <v>3380</v>
      </c>
      <c r="E4315" s="501" t="s">
        <v>3381</v>
      </c>
      <c r="F4315" s="501" t="s">
        <v>687</v>
      </c>
      <c r="G4315" s="501" t="s">
        <v>688</v>
      </c>
      <c r="H4315" s="501" t="s">
        <v>6845</v>
      </c>
      <c r="I4315" s="501">
        <v>557</v>
      </c>
      <c r="J4315" s="501">
        <v>527</v>
      </c>
      <c r="K4315" s="501">
        <v>0</v>
      </c>
      <c r="L4315" s="501">
        <v>7</v>
      </c>
      <c r="M4315" s="501">
        <v>0</v>
      </c>
      <c r="N4315" s="501">
        <v>0</v>
      </c>
      <c r="O4315" s="506">
        <v>23</v>
      </c>
    </row>
    <row r="4316" spans="1:15" x14ac:dyDescent="0.35">
      <c r="A4316" s="503" t="s">
        <v>1252</v>
      </c>
      <c r="B4316" s="504" t="s">
        <v>2875</v>
      </c>
      <c r="C4316" s="504" t="s">
        <v>1089</v>
      </c>
      <c r="D4316" s="504" t="s">
        <v>3392</v>
      </c>
      <c r="E4316" s="504" t="s">
        <v>3381</v>
      </c>
      <c r="F4316" s="504" t="s">
        <v>687</v>
      </c>
      <c r="G4316" s="504" t="s">
        <v>688</v>
      </c>
      <c r="H4316" s="504" t="s">
        <v>6846</v>
      </c>
      <c r="I4316" s="504">
        <v>18</v>
      </c>
      <c r="J4316" s="504">
        <v>0</v>
      </c>
      <c r="K4316" s="504">
        <v>0</v>
      </c>
      <c r="L4316" s="504">
        <v>18</v>
      </c>
      <c r="M4316" s="504">
        <v>0</v>
      </c>
      <c r="N4316" s="504">
        <v>0</v>
      </c>
      <c r="O4316" s="505">
        <v>0</v>
      </c>
    </row>
    <row r="4317" spans="1:15" x14ac:dyDescent="0.35">
      <c r="A4317" s="500" t="s">
        <v>1253</v>
      </c>
      <c r="B4317" s="501" t="s">
        <v>3232</v>
      </c>
      <c r="C4317" s="501" t="s">
        <v>1094</v>
      </c>
      <c r="D4317" s="501" t="s">
        <v>3380</v>
      </c>
      <c r="E4317" s="501" t="s">
        <v>3381</v>
      </c>
      <c r="F4317" s="501" t="s">
        <v>687</v>
      </c>
      <c r="G4317" s="501" t="s">
        <v>688</v>
      </c>
      <c r="H4317" s="501" t="s">
        <v>6847</v>
      </c>
      <c r="I4317" s="501">
        <v>32</v>
      </c>
      <c r="J4317" s="501">
        <v>14</v>
      </c>
      <c r="K4317" s="501">
        <v>0</v>
      </c>
      <c r="L4317" s="501">
        <v>1</v>
      </c>
      <c r="M4317" s="501">
        <v>17</v>
      </c>
      <c r="N4317" s="501">
        <v>0</v>
      </c>
      <c r="O4317" s="506">
        <v>0</v>
      </c>
    </row>
    <row r="4318" spans="1:15" x14ac:dyDescent="0.35">
      <c r="A4318" s="503" t="s">
        <v>1591</v>
      </c>
      <c r="B4318" s="504" t="s">
        <v>2686</v>
      </c>
      <c r="C4318" s="504" t="s">
        <v>1089</v>
      </c>
      <c r="D4318" s="504" t="s">
        <v>3392</v>
      </c>
      <c r="E4318" s="504" t="s">
        <v>3381</v>
      </c>
      <c r="F4318" s="504" t="s">
        <v>687</v>
      </c>
      <c r="G4318" s="504" t="s">
        <v>688</v>
      </c>
      <c r="H4318" s="504" t="s">
        <v>6848</v>
      </c>
      <c r="I4318" s="504">
        <v>26</v>
      </c>
      <c r="J4318" s="504">
        <v>26</v>
      </c>
      <c r="K4318" s="504">
        <v>0</v>
      </c>
      <c r="L4318" s="504">
        <v>0</v>
      </c>
      <c r="M4318" s="504">
        <v>0</v>
      </c>
      <c r="N4318" s="504">
        <v>0</v>
      </c>
      <c r="O4318" s="505">
        <v>0</v>
      </c>
    </row>
    <row r="4319" spans="1:15" x14ac:dyDescent="0.35">
      <c r="A4319" s="500" t="s">
        <v>11479</v>
      </c>
      <c r="B4319" s="501" t="s">
        <v>2934</v>
      </c>
      <c r="C4319" s="501" t="s">
        <v>1089</v>
      </c>
      <c r="D4319" s="501" t="s">
        <v>3392</v>
      </c>
      <c r="E4319" s="501" t="s">
        <v>3381</v>
      </c>
      <c r="F4319" s="501" t="s">
        <v>687</v>
      </c>
      <c r="G4319" s="501" t="s">
        <v>688</v>
      </c>
      <c r="H4319" s="501" t="s">
        <v>12260</v>
      </c>
      <c r="I4319" s="501">
        <v>146</v>
      </c>
      <c r="J4319" s="501">
        <v>0</v>
      </c>
      <c r="K4319" s="501">
        <v>0</v>
      </c>
      <c r="L4319" s="501">
        <v>146</v>
      </c>
      <c r="M4319" s="501">
        <v>0</v>
      </c>
      <c r="N4319" s="501">
        <v>0</v>
      </c>
      <c r="O4319" s="506">
        <v>0</v>
      </c>
    </row>
    <row r="4320" spans="1:15" x14ac:dyDescent="0.35">
      <c r="A4320" s="503" t="s">
        <v>1385</v>
      </c>
      <c r="B4320" s="504" t="s">
        <v>3249</v>
      </c>
      <c r="C4320" s="504" t="s">
        <v>1094</v>
      </c>
      <c r="D4320" s="504" t="s">
        <v>3380</v>
      </c>
      <c r="E4320" s="504" t="s">
        <v>3381</v>
      </c>
      <c r="F4320" s="504" t="s">
        <v>689</v>
      </c>
      <c r="G4320" s="504" t="s">
        <v>690</v>
      </c>
      <c r="H4320" s="504" t="s">
        <v>6849</v>
      </c>
      <c r="I4320" s="504">
        <v>54</v>
      </c>
      <c r="J4320" s="504">
        <v>34</v>
      </c>
      <c r="K4320" s="504">
        <v>0</v>
      </c>
      <c r="L4320" s="504">
        <v>0</v>
      </c>
      <c r="M4320" s="504">
        <v>0</v>
      </c>
      <c r="N4320" s="504">
        <v>0</v>
      </c>
      <c r="O4320" s="505">
        <v>20</v>
      </c>
    </row>
    <row r="4321" spans="1:15" x14ac:dyDescent="0.35">
      <c r="A4321" s="500" t="s">
        <v>1096</v>
      </c>
      <c r="B4321" s="501" t="s">
        <v>3326</v>
      </c>
      <c r="C4321" s="501" t="s">
        <v>1094</v>
      </c>
      <c r="D4321" s="501" t="s">
        <v>3380</v>
      </c>
      <c r="E4321" s="501" t="s">
        <v>3381</v>
      </c>
      <c r="F4321" s="501" t="s">
        <v>689</v>
      </c>
      <c r="G4321" s="501" t="s">
        <v>690</v>
      </c>
      <c r="H4321" s="501" t="s">
        <v>6850</v>
      </c>
      <c r="I4321" s="501">
        <v>102</v>
      </c>
      <c r="J4321" s="501">
        <v>0</v>
      </c>
      <c r="K4321" s="501">
        <v>0</v>
      </c>
      <c r="L4321" s="501">
        <v>0</v>
      </c>
      <c r="M4321" s="501">
        <v>102</v>
      </c>
      <c r="N4321" s="501">
        <v>0</v>
      </c>
      <c r="O4321" s="506">
        <v>0</v>
      </c>
    </row>
    <row r="4322" spans="1:15" x14ac:dyDescent="0.35">
      <c r="A4322" s="503" t="s">
        <v>1270</v>
      </c>
      <c r="B4322" s="504" t="s">
        <v>3304</v>
      </c>
      <c r="C4322" s="504" t="s">
        <v>1089</v>
      </c>
      <c r="D4322" s="504" t="s">
        <v>3392</v>
      </c>
      <c r="E4322" s="504" t="s">
        <v>3381</v>
      </c>
      <c r="F4322" s="504" t="s">
        <v>689</v>
      </c>
      <c r="G4322" s="504" t="s">
        <v>690</v>
      </c>
      <c r="H4322" s="504" t="s">
        <v>6851</v>
      </c>
      <c r="I4322" s="504">
        <v>30</v>
      </c>
      <c r="J4322" s="504">
        <v>30</v>
      </c>
      <c r="K4322" s="504">
        <v>0</v>
      </c>
      <c r="L4322" s="504">
        <v>0</v>
      </c>
      <c r="M4322" s="504">
        <v>0</v>
      </c>
      <c r="N4322" s="504">
        <v>0</v>
      </c>
      <c r="O4322" s="505">
        <v>0</v>
      </c>
    </row>
    <row r="4323" spans="1:15" x14ac:dyDescent="0.35">
      <c r="A4323" s="500" t="s">
        <v>1161</v>
      </c>
      <c r="B4323" s="501" t="s">
        <v>3001</v>
      </c>
      <c r="C4323" s="501" t="s">
        <v>1094</v>
      </c>
      <c r="D4323" s="501" t="s">
        <v>3380</v>
      </c>
      <c r="E4323" s="501" t="s">
        <v>3381</v>
      </c>
      <c r="F4323" s="501" t="s">
        <v>689</v>
      </c>
      <c r="G4323" s="501" t="s">
        <v>690</v>
      </c>
      <c r="H4323" s="501" t="s">
        <v>6852</v>
      </c>
      <c r="I4323" s="501">
        <v>2177</v>
      </c>
      <c r="J4323" s="501">
        <v>2069</v>
      </c>
      <c r="K4323" s="501">
        <v>0</v>
      </c>
      <c r="L4323" s="501">
        <v>55</v>
      </c>
      <c r="M4323" s="501">
        <v>35</v>
      </c>
      <c r="N4323" s="501">
        <v>0</v>
      </c>
      <c r="O4323" s="506">
        <v>18</v>
      </c>
    </row>
    <row r="4324" spans="1:15" x14ac:dyDescent="0.35">
      <c r="A4324" s="503" t="s">
        <v>1410</v>
      </c>
      <c r="B4324" s="504" t="s">
        <v>2868</v>
      </c>
      <c r="C4324" s="504" t="s">
        <v>1094</v>
      </c>
      <c r="D4324" s="504" t="s">
        <v>3380</v>
      </c>
      <c r="E4324" s="504" t="s">
        <v>3381</v>
      </c>
      <c r="F4324" s="504" t="s">
        <v>689</v>
      </c>
      <c r="G4324" s="504" t="s">
        <v>690</v>
      </c>
      <c r="H4324" s="504" t="s">
        <v>6853</v>
      </c>
      <c r="I4324" s="504">
        <v>10</v>
      </c>
      <c r="J4324" s="504">
        <v>0</v>
      </c>
      <c r="K4324" s="504">
        <v>0</v>
      </c>
      <c r="L4324" s="504">
        <v>10</v>
      </c>
      <c r="M4324" s="504">
        <v>0</v>
      </c>
      <c r="N4324" s="504">
        <v>0</v>
      </c>
      <c r="O4324" s="505">
        <v>0</v>
      </c>
    </row>
    <row r="4325" spans="1:15" x14ac:dyDescent="0.35">
      <c r="A4325" s="500" t="s">
        <v>1100</v>
      </c>
      <c r="B4325" s="501">
        <v>4865</v>
      </c>
      <c r="C4325" s="501" t="s">
        <v>1094</v>
      </c>
      <c r="D4325" s="501" t="s">
        <v>3380</v>
      </c>
      <c r="E4325" s="501" t="s">
        <v>3381</v>
      </c>
      <c r="F4325" s="501" t="s">
        <v>689</v>
      </c>
      <c r="G4325" s="501" t="s">
        <v>690</v>
      </c>
      <c r="H4325" s="501" t="s">
        <v>6854</v>
      </c>
      <c r="I4325" s="501">
        <v>1069</v>
      </c>
      <c r="J4325" s="501">
        <v>871</v>
      </c>
      <c r="K4325" s="501">
        <v>0</v>
      </c>
      <c r="L4325" s="501">
        <v>1</v>
      </c>
      <c r="M4325" s="501">
        <v>123</v>
      </c>
      <c r="N4325" s="501">
        <v>0</v>
      </c>
      <c r="O4325" s="506">
        <v>74</v>
      </c>
    </row>
    <row r="4326" spans="1:15" x14ac:dyDescent="0.35">
      <c r="A4326" s="503" t="s">
        <v>1437</v>
      </c>
      <c r="B4326" s="504" t="s">
        <v>2945</v>
      </c>
      <c r="C4326" s="504" t="s">
        <v>1089</v>
      </c>
      <c r="D4326" s="504" t="s">
        <v>3392</v>
      </c>
      <c r="E4326" s="504" t="s">
        <v>3381</v>
      </c>
      <c r="F4326" s="504" t="s">
        <v>689</v>
      </c>
      <c r="G4326" s="504" t="s">
        <v>690</v>
      </c>
      <c r="H4326" s="504" t="s">
        <v>6855</v>
      </c>
      <c r="I4326" s="504">
        <v>24</v>
      </c>
      <c r="J4326" s="504">
        <v>0</v>
      </c>
      <c r="K4326" s="504">
        <v>0</v>
      </c>
      <c r="L4326" s="504">
        <v>24</v>
      </c>
      <c r="M4326" s="504">
        <v>0</v>
      </c>
      <c r="N4326" s="504">
        <v>0</v>
      </c>
      <c r="O4326" s="505">
        <v>0</v>
      </c>
    </row>
    <row r="4327" spans="1:15" x14ac:dyDescent="0.35">
      <c r="A4327" s="500" t="s">
        <v>1185</v>
      </c>
      <c r="B4327" s="501" t="s">
        <v>3253</v>
      </c>
      <c r="C4327" s="501" t="s">
        <v>1094</v>
      </c>
      <c r="D4327" s="501" t="s">
        <v>3380</v>
      </c>
      <c r="E4327" s="501" t="s">
        <v>3381</v>
      </c>
      <c r="F4327" s="501" t="s">
        <v>689</v>
      </c>
      <c r="G4327" s="501" t="s">
        <v>690</v>
      </c>
      <c r="H4327" s="501" t="s">
        <v>6856</v>
      </c>
      <c r="I4327" s="501">
        <v>5</v>
      </c>
      <c r="J4327" s="501">
        <v>0</v>
      </c>
      <c r="K4327" s="501">
        <v>0</v>
      </c>
      <c r="L4327" s="501">
        <v>5</v>
      </c>
      <c r="M4327" s="501">
        <v>0</v>
      </c>
      <c r="N4327" s="501">
        <v>0</v>
      </c>
      <c r="O4327" s="506">
        <v>0</v>
      </c>
    </row>
    <row r="4328" spans="1:15" x14ac:dyDescent="0.35">
      <c r="A4328" s="503" t="s">
        <v>1453</v>
      </c>
      <c r="B4328" s="504" t="s">
        <v>2648</v>
      </c>
      <c r="C4328" s="504" t="s">
        <v>1089</v>
      </c>
      <c r="D4328" s="504" t="s">
        <v>3392</v>
      </c>
      <c r="E4328" s="504" t="s">
        <v>3381</v>
      </c>
      <c r="F4328" s="504" t="s">
        <v>689</v>
      </c>
      <c r="G4328" s="504" t="s">
        <v>690</v>
      </c>
      <c r="H4328" s="504" t="s">
        <v>6857</v>
      </c>
      <c r="I4328" s="504">
        <v>48</v>
      </c>
      <c r="J4328" s="504">
        <v>0</v>
      </c>
      <c r="K4328" s="504">
        <v>0</v>
      </c>
      <c r="L4328" s="504">
        <v>0</v>
      </c>
      <c r="M4328" s="504">
        <v>48</v>
      </c>
      <c r="N4328" s="504">
        <v>0</v>
      </c>
      <c r="O4328" s="505">
        <v>0</v>
      </c>
    </row>
    <row r="4329" spans="1:15" x14ac:dyDescent="0.35">
      <c r="A4329" s="500" t="s">
        <v>1469</v>
      </c>
      <c r="B4329" s="501" t="s">
        <v>3023</v>
      </c>
      <c r="C4329" s="501" t="s">
        <v>1089</v>
      </c>
      <c r="D4329" s="501" t="s">
        <v>3392</v>
      </c>
      <c r="E4329" s="501" t="s">
        <v>3381</v>
      </c>
      <c r="F4329" s="501" t="s">
        <v>689</v>
      </c>
      <c r="G4329" s="501" t="s">
        <v>690</v>
      </c>
      <c r="H4329" s="501" t="s">
        <v>6858</v>
      </c>
      <c r="I4329" s="501">
        <v>198</v>
      </c>
      <c r="J4329" s="501">
        <v>198</v>
      </c>
      <c r="K4329" s="501">
        <v>0</v>
      </c>
      <c r="L4329" s="501">
        <v>0</v>
      </c>
      <c r="M4329" s="501">
        <v>0</v>
      </c>
      <c r="N4329" s="501">
        <v>63</v>
      </c>
      <c r="O4329" s="506">
        <v>0</v>
      </c>
    </row>
    <row r="4330" spans="1:15" x14ac:dyDescent="0.35">
      <c r="A4330" s="503" t="s">
        <v>1474</v>
      </c>
      <c r="B4330" s="504" t="s">
        <v>3300</v>
      </c>
      <c r="C4330" s="504" t="s">
        <v>1094</v>
      </c>
      <c r="D4330" s="504" t="s">
        <v>3380</v>
      </c>
      <c r="E4330" s="504" t="s">
        <v>3381</v>
      </c>
      <c r="F4330" s="504" t="s">
        <v>689</v>
      </c>
      <c r="G4330" s="504" t="s">
        <v>690</v>
      </c>
      <c r="H4330" s="504" t="s">
        <v>6859</v>
      </c>
      <c r="I4330" s="504">
        <v>6</v>
      </c>
      <c r="J4330" s="504">
        <v>6</v>
      </c>
      <c r="K4330" s="504">
        <v>0</v>
      </c>
      <c r="L4330" s="504">
        <v>0</v>
      </c>
      <c r="M4330" s="504">
        <v>0</v>
      </c>
      <c r="N4330" s="504">
        <v>0</v>
      </c>
      <c r="O4330" s="505">
        <v>0</v>
      </c>
    </row>
    <row r="4331" spans="1:15" x14ac:dyDescent="0.35">
      <c r="A4331" s="500" t="s">
        <v>1202</v>
      </c>
      <c r="B4331" s="501" t="s">
        <v>3217</v>
      </c>
      <c r="C4331" s="501" t="s">
        <v>1094</v>
      </c>
      <c r="D4331" s="501" t="s">
        <v>3380</v>
      </c>
      <c r="E4331" s="501" t="s">
        <v>3381</v>
      </c>
      <c r="F4331" s="501" t="s">
        <v>689</v>
      </c>
      <c r="G4331" s="501" t="s">
        <v>690</v>
      </c>
      <c r="H4331" s="501" t="s">
        <v>6860</v>
      </c>
      <c r="I4331" s="501">
        <v>278</v>
      </c>
      <c r="J4331" s="501">
        <v>256</v>
      </c>
      <c r="K4331" s="501">
        <v>0</v>
      </c>
      <c r="L4331" s="501">
        <v>22</v>
      </c>
      <c r="M4331" s="501">
        <v>0</v>
      </c>
      <c r="N4331" s="501">
        <v>1</v>
      </c>
      <c r="O4331" s="506">
        <v>0</v>
      </c>
    </row>
    <row r="4332" spans="1:15" x14ac:dyDescent="0.35">
      <c r="A4332" s="503" t="s">
        <v>1494</v>
      </c>
      <c r="B4332" s="504" t="s">
        <v>3235</v>
      </c>
      <c r="C4332" s="504" t="s">
        <v>1094</v>
      </c>
      <c r="D4332" s="504" t="s">
        <v>3380</v>
      </c>
      <c r="E4332" s="504" t="s">
        <v>3381</v>
      </c>
      <c r="F4332" s="504" t="s">
        <v>689</v>
      </c>
      <c r="G4332" s="504" t="s">
        <v>690</v>
      </c>
      <c r="H4332" s="504" t="s">
        <v>6861</v>
      </c>
      <c r="I4332" s="504">
        <v>121</v>
      </c>
      <c r="J4332" s="504">
        <v>0</v>
      </c>
      <c r="K4332" s="504">
        <v>0</v>
      </c>
      <c r="L4332" s="504">
        <v>121</v>
      </c>
      <c r="M4332" s="504">
        <v>0</v>
      </c>
      <c r="N4332" s="504">
        <v>8</v>
      </c>
      <c r="O4332" s="505">
        <v>0</v>
      </c>
    </row>
    <row r="4333" spans="1:15" x14ac:dyDescent="0.35">
      <c r="A4333" s="500" t="s">
        <v>1112</v>
      </c>
      <c r="B4333" s="501" t="s">
        <v>3008</v>
      </c>
      <c r="C4333" s="501" t="s">
        <v>1094</v>
      </c>
      <c r="D4333" s="501" t="s">
        <v>3380</v>
      </c>
      <c r="E4333" s="501" t="s">
        <v>3381</v>
      </c>
      <c r="F4333" s="501" t="s">
        <v>689</v>
      </c>
      <c r="G4333" s="501" t="s">
        <v>690</v>
      </c>
      <c r="H4333" s="501" t="s">
        <v>6862</v>
      </c>
      <c r="I4333" s="501">
        <v>12</v>
      </c>
      <c r="J4333" s="501">
        <v>0</v>
      </c>
      <c r="K4333" s="501">
        <v>0</v>
      </c>
      <c r="L4333" s="501">
        <v>12</v>
      </c>
      <c r="M4333" s="501">
        <v>0</v>
      </c>
      <c r="N4333" s="501">
        <v>0</v>
      </c>
      <c r="O4333" s="506">
        <v>0</v>
      </c>
    </row>
    <row r="4334" spans="1:15" x14ac:dyDescent="0.35">
      <c r="A4334" s="503" t="s">
        <v>1315</v>
      </c>
      <c r="B4334" s="504">
        <v>4825</v>
      </c>
      <c r="C4334" s="504" t="s">
        <v>1094</v>
      </c>
      <c r="D4334" s="504" t="s">
        <v>3380</v>
      </c>
      <c r="E4334" s="504" t="s">
        <v>3381</v>
      </c>
      <c r="F4334" s="504" t="s">
        <v>689</v>
      </c>
      <c r="G4334" s="504" t="s">
        <v>690</v>
      </c>
      <c r="H4334" s="504" t="s">
        <v>6863</v>
      </c>
      <c r="I4334" s="504">
        <v>159</v>
      </c>
      <c r="J4334" s="504">
        <v>144</v>
      </c>
      <c r="K4334" s="504">
        <v>0</v>
      </c>
      <c r="L4334" s="504">
        <v>0</v>
      </c>
      <c r="M4334" s="504">
        <v>0</v>
      </c>
      <c r="N4334" s="504">
        <v>0</v>
      </c>
      <c r="O4334" s="505">
        <v>15</v>
      </c>
    </row>
    <row r="4335" spans="1:15" x14ac:dyDescent="0.35">
      <c r="A4335" s="500" t="s">
        <v>1509</v>
      </c>
      <c r="B4335" s="501" t="s">
        <v>2763</v>
      </c>
      <c r="C4335" s="501" t="s">
        <v>1089</v>
      </c>
      <c r="D4335" s="501" t="s">
        <v>3392</v>
      </c>
      <c r="E4335" s="501" t="s">
        <v>3381</v>
      </c>
      <c r="F4335" s="501" t="s">
        <v>689</v>
      </c>
      <c r="G4335" s="501" t="s">
        <v>690</v>
      </c>
      <c r="H4335" s="501" t="s">
        <v>6864</v>
      </c>
      <c r="I4335" s="501">
        <v>17</v>
      </c>
      <c r="J4335" s="501">
        <v>17</v>
      </c>
      <c r="K4335" s="501">
        <v>0</v>
      </c>
      <c r="L4335" s="501">
        <v>0</v>
      </c>
      <c r="M4335" s="501">
        <v>0</v>
      </c>
      <c r="N4335" s="501">
        <v>0</v>
      </c>
      <c r="O4335" s="506">
        <v>0</v>
      </c>
    </row>
    <row r="4336" spans="1:15" x14ac:dyDescent="0.35">
      <c r="A4336" s="503" t="s">
        <v>1319</v>
      </c>
      <c r="B4336" s="504">
        <v>4880</v>
      </c>
      <c r="C4336" s="504" t="s">
        <v>1094</v>
      </c>
      <c r="D4336" s="504" t="s">
        <v>3380</v>
      </c>
      <c r="E4336" s="504" t="s">
        <v>3381</v>
      </c>
      <c r="F4336" s="504" t="s">
        <v>689</v>
      </c>
      <c r="G4336" s="504" t="s">
        <v>690</v>
      </c>
      <c r="H4336" s="504" t="s">
        <v>6865</v>
      </c>
      <c r="I4336" s="504">
        <v>3725</v>
      </c>
      <c r="J4336" s="504">
        <v>3314</v>
      </c>
      <c r="K4336" s="504">
        <v>0</v>
      </c>
      <c r="L4336" s="504">
        <v>319</v>
      </c>
      <c r="M4336" s="504">
        <v>91</v>
      </c>
      <c r="N4336" s="504">
        <v>4</v>
      </c>
      <c r="O4336" s="505">
        <v>1</v>
      </c>
    </row>
    <row r="4337" spans="1:15" x14ac:dyDescent="0.35">
      <c r="A4337" s="500" t="s">
        <v>1120</v>
      </c>
      <c r="B4337" s="501" t="s">
        <v>3362</v>
      </c>
      <c r="C4337" s="501" t="s">
        <v>1094</v>
      </c>
      <c r="D4337" s="501" t="s">
        <v>3380</v>
      </c>
      <c r="E4337" s="501" t="s">
        <v>3381</v>
      </c>
      <c r="F4337" s="501" t="s">
        <v>689</v>
      </c>
      <c r="G4337" s="501" t="s">
        <v>690</v>
      </c>
      <c r="H4337" s="501" t="s">
        <v>6866</v>
      </c>
      <c r="I4337" s="501">
        <v>335</v>
      </c>
      <c r="J4337" s="501">
        <v>0</v>
      </c>
      <c r="K4337" s="501">
        <v>0</v>
      </c>
      <c r="L4337" s="501">
        <v>0</v>
      </c>
      <c r="M4337" s="501">
        <v>0</v>
      </c>
      <c r="N4337" s="501">
        <v>0</v>
      </c>
      <c r="O4337" s="506">
        <v>335</v>
      </c>
    </row>
    <row r="4338" spans="1:15" x14ac:dyDescent="0.35">
      <c r="A4338" s="503" t="s">
        <v>1510</v>
      </c>
      <c r="B4338" s="504" t="s">
        <v>3004</v>
      </c>
      <c r="C4338" s="504" t="s">
        <v>1094</v>
      </c>
      <c r="D4338" s="504" t="s">
        <v>3380</v>
      </c>
      <c r="E4338" s="504" t="s">
        <v>3381</v>
      </c>
      <c r="F4338" s="504" t="s">
        <v>689</v>
      </c>
      <c r="G4338" s="504" t="s">
        <v>690</v>
      </c>
      <c r="H4338" s="504" t="s">
        <v>6867</v>
      </c>
      <c r="I4338" s="504">
        <v>1220</v>
      </c>
      <c r="J4338" s="504">
        <v>956</v>
      </c>
      <c r="K4338" s="504">
        <v>0</v>
      </c>
      <c r="L4338" s="504">
        <v>149</v>
      </c>
      <c r="M4338" s="504">
        <v>101</v>
      </c>
      <c r="N4338" s="504">
        <v>0</v>
      </c>
      <c r="O4338" s="505">
        <v>14</v>
      </c>
    </row>
    <row r="4339" spans="1:15" x14ac:dyDescent="0.35">
      <c r="A4339" s="500" t="s">
        <v>1217</v>
      </c>
      <c r="B4339" s="501">
        <v>4851</v>
      </c>
      <c r="C4339" s="501" t="s">
        <v>1094</v>
      </c>
      <c r="D4339" s="501" t="s">
        <v>3380</v>
      </c>
      <c r="E4339" s="501" t="s">
        <v>3381</v>
      </c>
      <c r="F4339" s="501" t="s">
        <v>689</v>
      </c>
      <c r="G4339" s="501" t="s">
        <v>690</v>
      </c>
      <c r="H4339" s="501" t="s">
        <v>6868</v>
      </c>
      <c r="I4339" s="501">
        <v>591</v>
      </c>
      <c r="J4339" s="501">
        <v>379</v>
      </c>
      <c r="K4339" s="501">
        <v>122</v>
      </c>
      <c r="L4339" s="501">
        <v>21</v>
      </c>
      <c r="M4339" s="501">
        <v>69</v>
      </c>
      <c r="N4339" s="501">
        <v>1</v>
      </c>
      <c r="O4339" s="506">
        <v>0</v>
      </c>
    </row>
    <row r="4340" spans="1:15" x14ac:dyDescent="0.35">
      <c r="A4340" s="503" t="s">
        <v>1332</v>
      </c>
      <c r="B4340" s="504">
        <v>4878</v>
      </c>
      <c r="C4340" s="504" t="s">
        <v>1094</v>
      </c>
      <c r="D4340" s="504" t="s">
        <v>3380</v>
      </c>
      <c r="E4340" s="504" t="s">
        <v>3381</v>
      </c>
      <c r="F4340" s="504" t="s">
        <v>689</v>
      </c>
      <c r="G4340" s="504" t="s">
        <v>690</v>
      </c>
      <c r="H4340" s="504" t="s">
        <v>6869</v>
      </c>
      <c r="I4340" s="504">
        <v>1490</v>
      </c>
      <c r="J4340" s="504">
        <v>1208</v>
      </c>
      <c r="K4340" s="504">
        <v>0</v>
      </c>
      <c r="L4340" s="504">
        <v>71</v>
      </c>
      <c r="M4340" s="504">
        <v>152</v>
      </c>
      <c r="N4340" s="504">
        <v>0</v>
      </c>
      <c r="O4340" s="505">
        <v>59</v>
      </c>
    </row>
    <row r="4341" spans="1:15" x14ac:dyDescent="0.35">
      <c r="A4341" s="500" t="s">
        <v>1122</v>
      </c>
      <c r="B4341" s="501" t="s">
        <v>2994</v>
      </c>
      <c r="C4341" s="501" t="s">
        <v>1094</v>
      </c>
      <c r="D4341" s="501" t="s">
        <v>3380</v>
      </c>
      <c r="E4341" s="501" t="s">
        <v>3381</v>
      </c>
      <c r="F4341" s="501" t="s">
        <v>689</v>
      </c>
      <c r="G4341" s="501" t="s">
        <v>690</v>
      </c>
      <c r="H4341" s="501" t="s">
        <v>6870</v>
      </c>
      <c r="I4341" s="501">
        <v>13</v>
      </c>
      <c r="J4341" s="501">
        <v>10</v>
      </c>
      <c r="K4341" s="501">
        <v>0</v>
      </c>
      <c r="L4341" s="501">
        <v>0</v>
      </c>
      <c r="M4341" s="501">
        <v>0</v>
      </c>
      <c r="N4341" s="501">
        <v>0</v>
      </c>
      <c r="O4341" s="506">
        <v>3</v>
      </c>
    </row>
    <row r="4342" spans="1:15" x14ac:dyDescent="0.35">
      <c r="A4342" s="503" t="s">
        <v>1530</v>
      </c>
      <c r="B4342" s="504" t="s">
        <v>2744</v>
      </c>
      <c r="C4342" s="504" t="s">
        <v>1089</v>
      </c>
      <c r="D4342" s="504" t="s">
        <v>3392</v>
      </c>
      <c r="E4342" s="504" t="s">
        <v>3381</v>
      </c>
      <c r="F4342" s="504" t="s">
        <v>689</v>
      </c>
      <c r="G4342" s="504" t="s">
        <v>690</v>
      </c>
      <c r="H4342" s="504" t="s">
        <v>6871</v>
      </c>
      <c r="I4342" s="504">
        <v>16</v>
      </c>
      <c r="J4342" s="504">
        <v>16</v>
      </c>
      <c r="K4342" s="504">
        <v>0</v>
      </c>
      <c r="L4342" s="504">
        <v>0</v>
      </c>
      <c r="M4342" s="504">
        <v>0</v>
      </c>
      <c r="N4342" s="504">
        <v>0</v>
      </c>
      <c r="O4342" s="505">
        <v>0</v>
      </c>
    </row>
    <row r="4343" spans="1:15" x14ac:dyDescent="0.35">
      <c r="A4343" s="500" t="s">
        <v>1234</v>
      </c>
      <c r="B4343" s="501" t="s">
        <v>3291</v>
      </c>
      <c r="C4343" s="501" t="s">
        <v>1094</v>
      </c>
      <c r="D4343" s="501" t="s">
        <v>3380</v>
      </c>
      <c r="E4343" s="501" t="s">
        <v>3381</v>
      </c>
      <c r="F4343" s="501" t="s">
        <v>689</v>
      </c>
      <c r="G4343" s="501" t="s">
        <v>690</v>
      </c>
      <c r="H4343" s="501" t="s">
        <v>6872</v>
      </c>
      <c r="I4343" s="501">
        <v>26</v>
      </c>
      <c r="J4343" s="501">
        <v>0</v>
      </c>
      <c r="K4343" s="501">
        <v>0</v>
      </c>
      <c r="L4343" s="501">
        <v>26</v>
      </c>
      <c r="M4343" s="501">
        <v>0</v>
      </c>
      <c r="N4343" s="501">
        <v>0</v>
      </c>
      <c r="O4343" s="506">
        <v>0</v>
      </c>
    </row>
    <row r="4344" spans="1:15" x14ac:dyDescent="0.35">
      <c r="A4344" s="503" t="s">
        <v>1126</v>
      </c>
      <c r="B4344" s="504" t="s">
        <v>2974</v>
      </c>
      <c r="C4344" s="504" t="s">
        <v>1094</v>
      </c>
      <c r="D4344" s="504" t="s">
        <v>3380</v>
      </c>
      <c r="E4344" s="504" t="s">
        <v>3381</v>
      </c>
      <c r="F4344" s="504" t="s">
        <v>689</v>
      </c>
      <c r="G4344" s="504" t="s">
        <v>690</v>
      </c>
      <c r="H4344" s="504" t="s">
        <v>6873</v>
      </c>
      <c r="I4344" s="504">
        <v>44</v>
      </c>
      <c r="J4344" s="504">
        <v>44</v>
      </c>
      <c r="K4344" s="504">
        <v>0</v>
      </c>
      <c r="L4344" s="504">
        <v>0</v>
      </c>
      <c r="M4344" s="504">
        <v>0</v>
      </c>
      <c r="N4344" s="504">
        <v>1</v>
      </c>
      <c r="O4344" s="505">
        <v>0</v>
      </c>
    </row>
    <row r="4345" spans="1:15" x14ac:dyDescent="0.35">
      <c r="A4345" s="500" t="s">
        <v>1342</v>
      </c>
      <c r="B4345" s="501" t="s">
        <v>3237</v>
      </c>
      <c r="C4345" s="501" t="s">
        <v>1094</v>
      </c>
      <c r="D4345" s="501" t="s">
        <v>3380</v>
      </c>
      <c r="E4345" s="501" t="s">
        <v>3381</v>
      </c>
      <c r="F4345" s="501" t="s">
        <v>689</v>
      </c>
      <c r="G4345" s="501" t="s">
        <v>690</v>
      </c>
      <c r="H4345" s="501" t="s">
        <v>6874</v>
      </c>
      <c r="I4345" s="501">
        <v>81</v>
      </c>
      <c r="J4345" s="501">
        <v>79</v>
      </c>
      <c r="K4345" s="501">
        <v>0</v>
      </c>
      <c r="L4345" s="501">
        <v>0</v>
      </c>
      <c r="M4345" s="501">
        <v>0</v>
      </c>
      <c r="N4345" s="501">
        <v>7</v>
      </c>
      <c r="O4345" s="506">
        <v>2</v>
      </c>
    </row>
    <row r="4346" spans="1:15" x14ac:dyDescent="0.35">
      <c r="A4346" s="503" t="s">
        <v>1130</v>
      </c>
      <c r="B4346" s="504" t="s">
        <v>3234</v>
      </c>
      <c r="C4346" s="504" t="s">
        <v>1094</v>
      </c>
      <c r="D4346" s="504" t="s">
        <v>3380</v>
      </c>
      <c r="E4346" s="504" t="s">
        <v>3381</v>
      </c>
      <c r="F4346" s="504" t="s">
        <v>689</v>
      </c>
      <c r="G4346" s="504" t="s">
        <v>690</v>
      </c>
      <c r="H4346" s="504" t="s">
        <v>6875</v>
      </c>
      <c r="I4346" s="504">
        <v>319</v>
      </c>
      <c r="J4346" s="504">
        <v>319</v>
      </c>
      <c r="K4346" s="504">
        <v>0</v>
      </c>
      <c r="L4346" s="504">
        <v>0</v>
      </c>
      <c r="M4346" s="504">
        <v>0</v>
      </c>
      <c r="N4346" s="504">
        <v>47</v>
      </c>
      <c r="O4346" s="505">
        <v>0</v>
      </c>
    </row>
    <row r="4347" spans="1:15" x14ac:dyDescent="0.35">
      <c r="A4347" s="500" t="s">
        <v>1550</v>
      </c>
      <c r="B4347" s="501" t="s">
        <v>3282</v>
      </c>
      <c r="C4347" s="501" t="s">
        <v>1089</v>
      </c>
      <c r="D4347" s="501" t="s">
        <v>3392</v>
      </c>
      <c r="E4347" s="501" t="s">
        <v>3381</v>
      </c>
      <c r="F4347" s="501" t="s">
        <v>689</v>
      </c>
      <c r="G4347" s="501" t="s">
        <v>690</v>
      </c>
      <c r="H4347" s="501" t="s">
        <v>6876</v>
      </c>
      <c r="I4347" s="501">
        <v>24</v>
      </c>
      <c r="J4347" s="501">
        <v>0</v>
      </c>
      <c r="K4347" s="501">
        <v>0</v>
      </c>
      <c r="L4347" s="501">
        <v>24</v>
      </c>
      <c r="M4347" s="501">
        <v>0</v>
      </c>
      <c r="N4347" s="501">
        <v>0</v>
      </c>
      <c r="O4347" s="506">
        <v>0</v>
      </c>
    </row>
    <row r="4348" spans="1:15" x14ac:dyDescent="0.35">
      <c r="A4348" s="503" t="s">
        <v>1552</v>
      </c>
      <c r="B4348" s="504" t="s">
        <v>2576</v>
      </c>
      <c r="C4348" s="504" t="s">
        <v>1089</v>
      </c>
      <c r="D4348" s="504" t="s">
        <v>3392</v>
      </c>
      <c r="E4348" s="504" t="s">
        <v>3381</v>
      </c>
      <c r="F4348" s="504" t="s">
        <v>689</v>
      </c>
      <c r="G4348" s="504" t="s">
        <v>690</v>
      </c>
      <c r="H4348" s="504" t="s">
        <v>6877</v>
      </c>
      <c r="I4348" s="504">
        <v>10</v>
      </c>
      <c r="J4348" s="504">
        <v>0</v>
      </c>
      <c r="K4348" s="504">
        <v>0</v>
      </c>
      <c r="L4348" s="504">
        <v>0</v>
      </c>
      <c r="M4348" s="504">
        <v>10</v>
      </c>
      <c r="N4348" s="504">
        <v>0</v>
      </c>
      <c r="O4348" s="505">
        <v>0</v>
      </c>
    </row>
    <row r="4349" spans="1:15" x14ac:dyDescent="0.35">
      <c r="A4349" s="500" t="s">
        <v>1345</v>
      </c>
      <c r="B4349" s="501" t="s">
        <v>3247</v>
      </c>
      <c r="C4349" s="501" t="s">
        <v>1094</v>
      </c>
      <c r="D4349" s="501" t="s">
        <v>3380</v>
      </c>
      <c r="E4349" s="501" t="s">
        <v>3381</v>
      </c>
      <c r="F4349" s="501" t="s">
        <v>689</v>
      </c>
      <c r="G4349" s="501" t="s">
        <v>690</v>
      </c>
      <c r="H4349" s="501" t="s">
        <v>6878</v>
      </c>
      <c r="I4349" s="501">
        <v>74</v>
      </c>
      <c r="J4349" s="501">
        <v>0</v>
      </c>
      <c r="K4349" s="501">
        <v>0</v>
      </c>
      <c r="L4349" s="501">
        <v>74</v>
      </c>
      <c r="M4349" s="501">
        <v>0</v>
      </c>
      <c r="N4349" s="501">
        <v>0</v>
      </c>
      <c r="O4349" s="506">
        <v>0</v>
      </c>
    </row>
    <row r="4350" spans="1:15" x14ac:dyDescent="0.35">
      <c r="A4350" s="503" t="s">
        <v>1358</v>
      </c>
      <c r="B4350" s="504" t="s">
        <v>3293</v>
      </c>
      <c r="C4350" s="504" t="s">
        <v>1089</v>
      </c>
      <c r="D4350" s="504" t="s">
        <v>3392</v>
      </c>
      <c r="E4350" s="504" t="s">
        <v>3381</v>
      </c>
      <c r="F4350" s="504" t="s">
        <v>689</v>
      </c>
      <c r="G4350" s="504" t="s">
        <v>690</v>
      </c>
      <c r="H4350" s="504" t="s">
        <v>6879</v>
      </c>
      <c r="I4350" s="504">
        <v>19</v>
      </c>
      <c r="J4350" s="504">
        <v>0</v>
      </c>
      <c r="K4350" s="504">
        <v>0</v>
      </c>
      <c r="L4350" s="504">
        <v>19</v>
      </c>
      <c r="M4350" s="504">
        <v>0</v>
      </c>
      <c r="N4350" s="504">
        <v>0</v>
      </c>
      <c r="O4350" s="505">
        <v>0</v>
      </c>
    </row>
    <row r="4351" spans="1:15" x14ac:dyDescent="0.35">
      <c r="A4351" s="500" t="s">
        <v>1249</v>
      </c>
      <c r="B4351" s="501">
        <v>4729</v>
      </c>
      <c r="C4351" s="501" t="s">
        <v>1094</v>
      </c>
      <c r="D4351" s="501" t="s">
        <v>3380</v>
      </c>
      <c r="E4351" s="501" t="s">
        <v>3381</v>
      </c>
      <c r="F4351" s="501" t="s">
        <v>689</v>
      </c>
      <c r="G4351" s="501" t="s">
        <v>690</v>
      </c>
      <c r="H4351" s="501" t="s">
        <v>6880</v>
      </c>
      <c r="I4351" s="501">
        <v>384</v>
      </c>
      <c r="J4351" s="501">
        <v>384</v>
      </c>
      <c r="K4351" s="501">
        <v>0</v>
      </c>
      <c r="L4351" s="501">
        <v>0</v>
      </c>
      <c r="M4351" s="501">
        <v>0</v>
      </c>
      <c r="N4351" s="501">
        <v>0</v>
      </c>
      <c r="O4351" s="506">
        <v>0</v>
      </c>
    </row>
    <row r="4352" spans="1:15" x14ac:dyDescent="0.35">
      <c r="A4352" s="503" t="s">
        <v>1252</v>
      </c>
      <c r="B4352" s="504" t="s">
        <v>2875</v>
      </c>
      <c r="C4352" s="504" t="s">
        <v>1089</v>
      </c>
      <c r="D4352" s="504" t="s">
        <v>3392</v>
      </c>
      <c r="E4352" s="504" t="s">
        <v>3381</v>
      </c>
      <c r="F4352" s="504" t="s">
        <v>689</v>
      </c>
      <c r="G4352" s="504" t="s">
        <v>690</v>
      </c>
      <c r="H4352" s="504" t="s">
        <v>6881</v>
      </c>
      <c r="I4352" s="504">
        <v>22</v>
      </c>
      <c r="J4352" s="504">
        <v>0</v>
      </c>
      <c r="K4352" s="504">
        <v>0</v>
      </c>
      <c r="L4352" s="504">
        <v>22</v>
      </c>
      <c r="M4352" s="504">
        <v>0</v>
      </c>
      <c r="N4352" s="504">
        <v>0</v>
      </c>
      <c r="O4352" s="505">
        <v>0</v>
      </c>
    </row>
    <row r="4353" spans="1:15" x14ac:dyDescent="0.35">
      <c r="A4353" s="500" t="s">
        <v>1253</v>
      </c>
      <c r="B4353" s="501" t="s">
        <v>3232</v>
      </c>
      <c r="C4353" s="501" t="s">
        <v>1094</v>
      </c>
      <c r="D4353" s="501" t="s">
        <v>3380</v>
      </c>
      <c r="E4353" s="501" t="s">
        <v>3381</v>
      </c>
      <c r="F4353" s="501" t="s">
        <v>689</v>
      </c>
      <c r="G4353" s="501" t="s">
        <v>690</v>
      </c>
      <c r="H4353" s="501" t="s">
        <v>6882</v>
      </c>
      <c r="I4353" s="501">
        <v>5</v>
      </c>
      <c r="J4353" s="501">
        <v>0</v>
      </c>
      <c r="K4353" s="501">
        <v>0</v>
      </c>
      <c r="L4353" s="501">
        <v>5</v>
      </c>
      <c r="M4353" s="501">
        <v>0</v>
      </c>
      <c r="N4353" s="501">
        <v>0</v>
      </c>
      <c r="O4353" s="506">
        <v>0</v>
      </c>
    </row>
    <row r="4354" spans="1:15" x14ac:dyDescent="0.35">
      <c r="A4354" s="503" t="s">
        <v>1371</v>
      </c>
      <c r="B4354" s="504" t="s">
        <v>2891</v>
      </c>
      <c r="C4354" s="504" t="s">
        <v>1089</v>
      </c>
      <c r="D4354" s="504" t="s">
        <v>3392</v>
      </c>
      <c r="E4354" s="504" t="s">
        <v>3381</v>
      </c>
      <c r="F4354" s="504" t="s">
        <v>689</v>
      </c>
      <c r="G4354" s="504" t="s">
        <v>690</v>
      </c>
      <c r="H4354" s="504" t="s">
        <v>6883</v>
      </c>
      <c r="I4354" s="504">
        <v>12</v>
      </c>
      <c r="J4354" s="504">
        <v>0</v>
      </c>
      <c r="K4354" s="504">
        <v>0</v>
      </c>
      <c r="L4354" s="504">
        <v>12</v>
      </c>
      <c r="M4354" s="504">
        <v>0</v>
      </c>
      <c r="N4354" s="504">
        <v>0</v>
      </c>
      <c r="O4354" s="505">
        <v>0</v>
      </c>
    </row>
    <row r="4355" spans="1:15" x14ac:dyDescent="0.35">
      <c r="A4355" s="500" t="s">
        <v>1599</v>
      </c>
      <c r="B4355" s="501" t="s">
        <v>3303</v>
      </c>
      <c r="C4355" s="501" t="s">
        <v>1089</v>
      </c>
      <c r="D4355" s="501" t="s">
        <v>3392</v>
      </c>
      <c r="E4355" s="501" t="s">
        <v>3381</v>
      </c>
      <c r="F4355" s="501" t="s">
        <v>689</v>
      </c>
      <c r="G4355" s="501" t="s">
        <v>690</v>
      </c>
      <c r="H4355" s="501" t="s">
        <v>6884</v>
      </c>
      <c r="I4355" s="501">
        <v>148</v>
      </c>
      <c r="J4355" s="501">
        <v>108</v>
      </c>
      <c r="K4355" s="501">
        <v>0</v>
      </c>
      <c r="L4355" s="501">
        <v>40</v>
      </c>
      <c r="M4355" s="501">
        <v>0</v>
      </c>
      <c r="N4355" s="501">
        <v>0</v>
      </c>
      <c r="O4355" s="506">
        <v>0</v>
      </c>
    </row>
    <row r="4356" spans="1:15" x14ac:dyDescent="0.35">
      <c r="A4356" s="503" t="s">
        <v>1605</v>
      </c>
      <c r="B4356" s="504" t="s">
        <v>3064</v>
      </c>
      <c r="C4356" s="504" t="s">
        <v>1089</v>
      </c>
      <c r="D4356" s="504" t="s">
        <v>3392</v>
      </c>
      <c r="E4356" s="504" t="s">
        <v>3381</v>
      </c>
      <c r="F4356" s="504" t="s">
        <v>689</v>
      </c>
      <c r="G4356" s="504" t="s">
        <v>690</v>
      </c>
      <c r="H4356" s="504" t="s">
        <v>6885</v>
      </c>
      <c r="I4356" s="504">
        <v>644</v>
      </c>
      <c r="J4356" s="504">
        <v>442</v>
      </c>
      <c r="K4356" s="504">
        <v>20</v>
      </c>
      <c r="L4356" s="504">
        <v>0</v>
      </c>
      <c r="M4356" s="504">
        <v>182</v>
      </c>
      <c r="N4356" s="504">
        <v>1</v>
      </c>
      <c r="O4356" s="505">
        <v>0</v>
      </c>
    </row>
    <row r="4357" spans="1:15" x14ac:dyDescent="0.35">
      <c r="A4357" s="500" t="s">
        <v>1096</v>
      </c>
      <c r="B4357" s="501" t="s">
        <v>3326</v>
      </c>
      <c r="C4357" s="501" t="s">
        <v>1094</v>
      </c>
      <c r="D4357" s="501" t="s">
        <v>3380</v>
      </c>
      <c r="E4357" s="501" t="s">
        <v>3381</v>
      </c>
      <c r="F4357" s="501" t="s">
        <v>691</v>
      </c>
      <c r="G4357" s="501" t="s">
        <v>692</v>
      </c>
      <c r="H4357" s="501" t="s">
        <v>6886</v>
      </c>
      <c r="I4357" s="501">
        <v>96</v>
      </c>
      <c r="J4357" s="501">
        <v>0</v>
      </c>
      <c r="K4357" s="501">
        <v>0</v>
      </c>
      <c r="L4357" s="501">
        <v>0</v>
      </c>
      <c r="M4357" s="501">
        <v>96</v>
      </c>
      <c r="N4357" s="501">
        <v>0</v>
      </c>
      <c r="O4357" s="506">
        <v>0</v>
      </c>
    </row>
    <row r="4358" spans="1:15" x14ac:dyDescent="0.35">
      <c r="A4358" s="503" t="s">
        <v>1282</v>
      </c>
      <c r="B4358" s="504" t="s">
        <v>2953</v>
      </c>
      <c r="C4358" s="504" t="s">
        <v>1094</v>
      </c>
      <c r="D4358" s="504" t="s">
        <v>3380</v>
      </c>
      <c r="E4358" s="504" t="s">
        <v>3381</v>
      </c>
      <c r="F4358" s="504" t="s">
        <v>691</v>
      </c>
      <c r="G4358" s="504" t="s">
        <v>692</v>
      </c>
      <c r="H4358" s="504" t="s">
        <v>6887</v>
      </c>
      <c r="I4358" s="504">
        <v>782</v>
      </c>
      <c r="J4358" s="504">
        <v>597</v>
      </c>
      <c r="K4358" s="504">
        <v>0</v>
      </c>
      <c r="L4358" s="504">
        <v>52</v>
      </c>
      <c r="M4358" s="504">
        <v>111</v>
      </c>
      <c r="N4358" s="504">
        <v>0</v>
      </c>
      <c r="O4358" s="505">
        <v>22</v>
      </c>
    </row>
    <row r="4359" spans="1:15" x14ac:dyDescent="0.35">
      <c r="A4359" s="500" t="s">
        <v>1100</v>
      </c>
      <c r="B4359" s="501">
        <v>4865</v>
      </c>
      <c r="C4359" s="501" t="s">
        <v>1094</v>
      </c>
      <c r="D4359" s="501" t="s">
        <v>3380</v>
      </c>
      <c r="E4359" s="501" t="s">
        <v>3381</v>
      </c>
      <c r="F4359" s="501" t="s">
        <v>691</v>
      </c>
      <c r="G4359" s="501" t="s">
        <v>692</v>
      </c>
      <c r="H4359" s="501" t="s">
        <v>6888</v>
      </c>
      <c r="I4359" s="501">
        <v>439</v>
      </c>
      <c r="J4359" s="501">
        <v>358</v>
      </c>
      <c r="K4359" s="501">
        <v>0</v>
      </c>
      <c r="L4359" s="501">
        <v>23</v>
      </c>
      <c r="M4359" s="501">
        <v>0</v>
      </c>
      <c r="N4359" s="501">
        <v>0</v>
      </c>
      <c r="O4359" s="506">
        <v>58</v>
      </c>
    </row>
    <row r="4360" spans="1:15" x14ac:dyDescent="0.35">
      <c r="A4360" s="503" t="s">
        <v>1290</v>
      </c>
      <c r="B4360" s="504" t="s">
        <v>2979</v>
      </c>
      <c r="C4360" s="504" t="s">
        <v>1094</v>
      </c>
      <c r="D4360" s="504" t="s">
        <v>3380</v>
      </c>
      <c r="E4360" s="504" t="s">
        <v>3381</v>
      </c>
      <c r="F4360" s="504" t="s">
        <v>691</v>
      </c>
      <c r="G4360" s="504" t="s">
        <v>692</v>
      </c>
      <c r="H4360" s="504" t="s">
        <v>6889</v>
      </c>
      <c r="I4360" s="504">
        <v>35</v>
      </c>
      <c r="J4360" s="504">
        <v>34</v>
      </c>
      <c r="K4360" s="504">
        <v>0</v>
      </c>
      <c r="L4360" s="504">
        <v>0</v>
      </c>
      <c r="M4360" s="504">
        <v>0</v>
      </c>
      <c r="N4360" s="504">
        <v>0</v>
      </c>
      <c r="O4360" s="505">
        <v>1</v>
      </c>
    </row>
    <row r="4361" spans="1:15" x14ac:dyDescent="0.35">
      <c r="A4361" s="500" t="s">
        <v>1177</v>
      </c>
      <c r="B4361" s="501">
        <v>4702</v>
      </c>
      <c r="C4361" s="501" t="s">
        <v>1089</v>
      </c>
      <c r="D4361" s="501" t="s">
        <v>3392</v>
      </c>
      <c r="E4361" s="501" t="s">
        <v>3381</v>
      </c>
      <c r="F4361" s="501" t="s">
        <v>691</v>
      </c>
      <c r="G4361" s="501" t="s">
        <v>692</v>
      </c>
      <c r="H4361" s="501" t="s">
        <v>6890</v>
      </c>
      <c r="I4361" s="501">
        <v>21</v>
      </c>
      <c r="J4361" s="501">
        <v>0</v>
      </c>
      <c r="K4361" s="501">
        <v>0</v>
      </c>
      <c r="L4361" s="501">
        <v>21</v>
      </c>
      <c r="M4361" s="501">
        <v>0</v>
      </c>
      <c r="N4361" s="501">
        <v>0</v>
      </c>
      <c r="O4361" s="506">
        <v>0</v>
      </c>
    </row>
    <row r="4362" spans="1:15" x14ac:dyDescent="0.35">
      <c r="A4362" s="503" t="s">
        <v>1296</v>
      </c>
      <c r="B4362" s="504">
        <v>4651</v>
      </c>
      <c r="C4362" s="504" t="s">
        <v>1094</v>
      </c>
      <c r="D4362" s="504" t="s">
        <v>3380</v>
      </c>
      <c r="E4362" s="504" t="s">
        <v>3381</v>
      </c>
      <c r="F4362" s="504" t="s">
        <v>691</v>
      </c>
      <c r="G4362" s="504" t="s">
        <v>692</v>
      </c>
      <c r="H4362" s="504" t="s">
        <v>6891</v>
      </c>
      <c r="I4362" s="504">
        <v>273</v>
      </c>
      <c r="J4362" s="504">
        <v>231</v>
      </c>
      <c r="K4362" s="504">
        <v>0</v>
      </c>
      <c r="L4362" s="504">
        <v>21</v>
      </c>
      <c r="M4362" s="504">
        <v>0</v>
      </c>
      <c r="N4362" s="504">
        <v>0</v>
      </c>
      <c r="O4362" s="505">
        <v>21</v>
      </c>
    </row>
    <row r="4363" spans="1:15" x14ac:dyDescent="0.35">
      <c r="A4363" s="500" t="s">
        <v>1297</v>
      </c>
      <c r="B4363" s="501" t="s">
        <v>3201</v>
      </c>
      <c r="C4363" s="501" t="s">
        <v>1094</v>
      </c>
      <c r="D4363" s="501" t="s">
        <v>3380</v>
      </c>
      <c r="E4363" s="501" t="s">
        <v>3381</v>
      </c>
      <c r="F4363" s="501" t="s">
        <v>691</v>
      </c>
      <c r="G4363" s="501" t="s">
        <v>692</v>
      </c>
      <c r="H4363" s="501" t="s">
        <v>6892</v>
      </c>
      <c r="I4363" s="501">
        <v>6835</v>
      </c>
      <c r="J4363" s="501">
        <v>6161</v>
      </c>
      <c r="K4363" s="501">
        <v>18</v>
      </c>
      <c r="L4363" s="501">
        <v>28</v>
      </c>
      <c r="M4363" s="501">
        <v>583</v>
      </c>
      <c r="N4363" s="501">
        <v>97</v>
      </c>
      <c r="O4363" s="506">
        <v>45</v>
      </c>
    </row>
    <row r="4364" spans="1:15" x14ac:dyDescent="0.35">
      <c r="A4364" s="503" t="s">
        <v>1187</v>
      </c>
      <c r="B4364" s="504" t="s">
        <v>2951</v>
      </c>
      <c r="C4364" s="504" t="s">
        <v>1094</v>
      </c>
      <c r="D4364" s="504" t="s">
        <v>3380</v>
      </c>
      <c r="E4364" s="504" t="s">
        <v>3381</v>
      </c>
      <c r="F4364" s="504" t="s">
        <v>691</v>
      </c>
      <c r="G4364" s="504" t="s">
        <v>692</v>
      </c>
      <c r="H4364" s="504" t="s">
        <v>6893</v>
      </c>
      <c r="I4364" s="504">
        <v>177</v>
      </c>
      <c r="J4364" s="504">
        <v>143</v>
      </c>
      <c r="K4364" s="504">
        <v>0</v>
      </c>
      <c r="L4364" s="504">
        <v>0</v>
      </c>
      <c r="M4364" s="504">
        <v>0</v>
      </c>
      <c r="N4364" s="504">
        <v>0</v>
      </c>
      <c r="O4364" s="505">
        <v>34</v>
      </c>
    </row>
    <row r="4365" spans="1:15" x14ac:dyDescent="0.35">
      <c r="A4365" s="500" t="s">
        <v>1109</v>
      </c>
      <c r="B4365" s="501" t="s">
        <v>2959</v>
      </c>
      <c r="C4365" s="501" t="s">
        <v>1094</v>
      </c>
      <c r="D4365" s="501" t="s">
        <v>3380</v>
      </c>
      <c r="E4365" s="501" t="s">
        <v>3381</v>
      </c>
      <c r="F4365" s="501" t="s">
        <v>691</v>
      </c>
      <c r="G4365" s="501" t="s">
        <v>692</v>
      </c>
      <c r="H4365" s="501" t="s">
        <v>6894</v>
      </c>
      <c r="I4365" s="501">
        <v>122</v>
      </c>
      <c r="J4365" s="501">
        <v>0</v>
      </c>
      <c r="K4365" s="501">
        <v>0</v>
      </c>
      <c r="L4365" s="501">
        <v>0</v>
      </c>
      <c r="M4365" s="501">
        <v>122</v>
      </c>
      <c r="N4365" s="501">
        <v>0</v>
      </c>
      <c r="O4365" s="506">
        <v>0</v>
      </c>
    </row>
    <row r="4366" spans="1:15" x14ac:dyDescent="0.35">
      <c r="A4366" s="503" t="s">
        <v>1200</v>
      </c>
      <c r="B4366" s="504" t="s">
        <v>3122</v>
      </c>
      <c r="C4366" s="504" t="s">
        <v>1089</v>
      </c>
      <c r="D4366" s="504" t="s">
        <v>3392</v>
      </c>
      <c r="E4366" s="504" t="s">
        <v>3381</v>
      </c>
      <c r="F4366" s="504" t="s">
        <v>691</v>
      </c>
      <c r="G4366" s="504" t="s">
        <v>692</v>
      </c>
      <c r="H4366" s="504" t="s">
        <v>6895</v>
      </c>
      <c r="I4366" s="504">
        <v>8</v>
      </c>
      <c r="J4366" s="504">
        <v>8</v>
      </c>
      <c r="K4366" s="504">
        <v>0</v>
      </c>
      <c r="L4366" s="504">
        <v>0</v>
      </c>
      <c r="M4366" s="504">
        <v>0</v>
      </c>
      <c r="N4366" s="504">
        <v>0</v>
      </c>
      <c r="O4366" s="505">
        <v>0</v>
      </c>
    </row>
    <row r="4367" spans="1:15" x14ac:dyDescent="0.35">
      <c r="A4367" s="500" t="s">
        <v>1203</v>
      </c>
      <c r="B4367" s="501" t="s">
        <v>3170</v>
      </c>
      <c r="C4367" s="501" t="s">
        <v>1094</v>
      </c>
      <c r="D4367" s="501" t="s">
        <v>3380</v>
      </c>
      <c r="E4367" s="501" t="s">
        <v>3381</v>
      </c>
      <c r="F4367" s="501" t="s">
        <v>691</v>
      </c>
      <c r="G4367" s="501" t="s">
        <v>692</v>
      </c>
      <c r="H4367" s="501" t="s">
        <v>6896</v>
      </c>
      <c r="I4367" s="501">
        <v>682</v>
      </c>
      <c r="J4367" s="501">
        <v>646</v>
      </c>
      <c r="K4367" s="501">
        <v>0</v>
      </c>
      <c r="L4367" s="501">
        <v>0</v>
      </c>
      <c r="M4367" s="501">
        <v>0</v>
      </c>
      <c r="N4367" s="501">
        <v>0</v>
      </c>
      <c r="O4367" s="506">
        <v>36</v>
      </c>
    </row>
    <row r="4368" spans="1:15" x14ac:dyDescent="0.35">
      <c r="A4368" s="503" t="s">
        <v>1112</v>
      </c>
      <c r="B4368" s="504" t="s">
        <v>3008</v>
      </c>
      <c r="C4368" s="504" t="s">
        <v>1094</v>
      </c>
      <c r="D4368" s="504" t="s">
        <v>3380</v>
      </c>
      <c r="E4368" s="504" t="s">
        <v>3381</v>
      </c>
      <c r="F4368" s="504" t="s">
        <v>691</v>
      </c>
      <c r="G4368" s="504" t="s">
        <v>692</v>
      </c>
      <c r="H4368" s="504" t="s">
        <v>6897</v>
      </c>
      <c r="I4368" s="504">
        <v>32</v>
      </c>
      <c r="J4368" s="504">
        <v>31</v>
      </c>
      <c r="K4368" s="504">
        <v>0</v>
      </c>
      <c r="L4368" s="504">
        <v>0</v>
      </c>
      <c r="M4368" s="504">
        <v>0</v>
      </c>
      <c r="N4368" s="504">
        <v>0</v>
      </c>
      <c r="O4368" s="505">
        <v>1</v>
      </c>
    </row>
    <row r="4369" spans="1:15" x14ac:dyDescent="0.35">
      <c r="A4369" s="500" t="s">
        <v>1208</v>
      </c>
      <c r="B4369" s="501" t="s">
        <v>3096</v>
      </c>
      <c r="C4369" s="501" t="s">
        <v>1094</v>
      </c>
      <c r="D4369" s="501" t="s">
        <v>3380</v>
      </c>
      <c r="E4369" s="501" t="s">
        <v>3381</v>
      </c>
      <c r="F4369" s="501" t="s">
        <v>691</v>
      </c>
      <c r="G4369" s="501" t="s">
        <v>692</v>
      </c>
      <c r="H4369" s="501" t="s">
        <v>6898</v>
      </c>
      <c r="I4369" s="501">
        <v>3</v>
      </c>
      <c r="J4369" s="501">
        <v>0</v>
      </c>
      <c r="K4369" s="501">
        <v>0</v>
      </c>
      <c r="L4369" s="501">
        <v>3</v>
      </c>
      <c r="M4369" s="501">
        <v>0</v>
      </c>
      <c r="N4369" s="501">
        <v>0</v>
      </c>
      <c r="O4369" s="506">
        <v>0</v>
      </c>
    </row>
    <row r="4370" spans="1:15" x14ac:dyDescent="0.35">
      <c r="A4370" s="503" t="s">
        <v>11367</v>
      </c>
      <c r="B4370" s="504" t="s">
        <v>3143</v>
      </c>
      <c r="C4370" s="504" t="s">
        <v>1094</v>
      </c>
      <c r="D4370" s="504" t="s">
        <v>3380</v>
      </c>
      <c r="E4370" s="504" t="s">
        <v>3381</v>
      </c>
      <c r="F4370" s="504" t="s">
        <v>691</v>
      </c>
      <c r="G4370" s="504" t="s">
        <v>692</v>
      </c>
      <c r="H4370" s="504" t="s">
        <v>11933</v>
      </c>
      <c r="I4370" s="504">
        <v>72</v>
      </c>
      <c r="J4370" s="504">
        <v>72</v>
      </c>
      <c r="K4370" s="504">
        <v>0</v>
      </c>
      <c r="L4370" s="504">
        <v>0</v>
      </c>
      <c r="M4370" s="504">
        <v>0</v>
      </c>
      <c r="N4370" s="504">
        <v>0</v>
      </c>
      <c r="O4370" s="505">
        <v>0</v>
      </c>
    </row>
    <row r="4371" spans="1:15" x14ac:dyDescent="0.35">
      <c r="A4371" s="500" t="s">
        <v>1122</v>
      </c>
      <c r="B4371" s="501" t="s">
        <v>2994</v>
      </c>
      <c r="C4371" s="501" t="s">
        <v>1094</v>
      </c>
      <c r="D4371" s="501" t="s">
        <v>3380</v>
      </c>
      <c r="E4371" s="501" t="s">
        <v>3381</v>
      </c>
      <c r="F4371" s="501" t="s">
        <v>691</v>
      </c>
      <c r="G4371" s="501" t="s">
        <v>692</v>
      </c>
      <c r="H4371" s="501" t="s">
        <v>6899</v>
      </c>
      <c r="I4371" s="501">
        <v>41</v>
      </c>
      <c r="J4371" s="501">
        <v>41</v>
      </c>
      <c r="K4371" s="501">
        <v>0</v>
      </c>
      <c r="L4371" s="501">
        <v>0</v>
      </c>
      <c r="M4371" s="501">
        <v>0</v>
      </c>
      <c r="N4371" s="501">
        <v>0</v>
      </c>
      <c r="O4371" s="506">
        <v>0</v>
      </c>
    </row>
    <row r="4372" spans="1:15" x14ac:dyDescent="0.35">
      <c r="A4372" s="503" t="s">
        <v>1228</v>
      </c>
      <c r="B4372" s="504" t="s">
        <v>3321</v>
      </c>
      <c r="C4372" s="504" t="s">
        <v>1094</v>
      </c>
      <c r="D4372" s="504" t="s">
        <v>3380</v>
      </c>
      <c r="E4372" s="504" t="s">
        <v>3381</v>
      </c>
      <c r="F4372" s="504" t="s">
        <v>691</v>
      </c>
      <c r="G4372" s="504" t="s">
        <v>692</v>
      </c>
      <c r="H4372" s="504" t="s">
        <v>6900</v>
      </c>
      <c r="I4372" s="504">
        <v>24</v>
      </c>
      <c r="J4372" s="504">
        <v>0</v>
      </c>
      <c r="K4372" s="504">
        <v>0</v>
      </c>
      <c r="L4372" s="504">
        <v>24</v>
      </c>
      <c r="M4372" s="504">
        <v>0</v>
      </c>
      <c r="N4372" s="504">
        <v>0</v>
      </c>
      <c r="O4372" s="505">
        <v>0</v>
      </c>
    </row>
    <row r="4373" spans="1:15" x14ac:dyDescent="0.35">
      <c r="A4373" s="500" t="s">
        <v>1124</v>
      </c>
      <c r="B4373" s="501">
        <v>4745</v>
      </c>
      <c r="C4373" s="501" t="s">
        <v>1094</v>
      </c>
      <c r="D4373" s="501" t="s">
        <v>3380</v>
      </c>
      <c r="E4373" s="501" t="s">
        <v>3381</v>
      </c>
      <c r="F4373" s="501" t="s">
        <v>691</v>
      </c>
      <c r="G4373" s="501" t="s">
        <v>692</v>
      </c>
      <c r="H4373" s="501" t="s">
        <v>6901</v>
      </c>
      <c r="I4373" s="501">
        <v>18</v>
      </c>
      <c r="J4373" s="501">
        <v>0</v>
      </c>
      <c r="K4373" s="501">
        <v>0</v>
      </c>
      <c r="L4373" s="501">
        <v>18</v>
      </c>
      <c r="M4373" s="501">
        <v>0</v>
      </c>
      <c r="N4373" s="501">
        <v>0</v>
      </c>
      <c r="O4373" s="506">
        <v>0</v>
      </c>
    </row>
    <row r="4374" spans="1:15" x14ac:dyDescent="0.35">
      <c r="A4374" s="503" t="s">
        <v>1339</v>
      </c>
      <c r="B4374" s="504" t="s">
        <v>3358</v>
      </c>
      <c r="C4374" s="504" t="s">
        <v>1094</v>
      </c>
      <c r="D4374" s="504" t="s">
        <v>3380</v>
      </c>
      <c r="E4374" s="504" t="s">
        <v>3381</v>
      </c>
      <c r="F4374" s="504" t="s">
        <v>691</v>
      </c>
      <c r="G4374" s="504" t="s">
        <v>692</v>
      </c>
      <c r="H4374" s="504" t="s">
        <v>6902</v>
      </c>
      <c r="I4374" s="504">
        <v>38</v>
      </c>
      <c r="J4374" s="504">
        <v>0</v>
      </c>
      <c r="K4374" s="504">
        <v>0</v>
      </c>
      <c r="L4374" s="504">
        <v>37</v>
      </c>
      <c r="M4374" s="504">
        <v>0</v>
      </c>
      <c r="N4374" s="504">
        <v>0</v>
      </c>
      <c r="O4374" s="505">
        <v>1</v>
      </c>
    </row>
    <row r="4375" spans="1:15" x14ac:dyDescent="0.35">
      <c r="A4375" s="500" t="s">
        <v>1235</v>
      </c>
      <c r="B4375" s="501">
        <v>4684</v>
      </c>
      <c r="C4375" s="501" t="s">
        <v>1094</v>
      </c>
      <c r="D4375" s="501" t="s">
        <v>3380</v>
      </c>
      <c r="E4375" s="501" t="s">
        <v>3381</v>
      </c>
      <c r="F4375" s="501" t="s">
        <v>691</v>
      </c>
      <c r="G4375" s="501" t="s">
        <v>692</v>
      </c>
      <c r="H4375" s="501" t="s">
        <v>6903</v>
      </c>
      <c r="I4375" s="501">
        <v>28</v>
      </c>
      <c r="J4375" s="501">
        <v>0</v>
      </c>
      <c r="K4375" s="501">
        <v>0</v>
      </c>
      <c r="L4375" s="501">
        <v>28</v>
      </c>
      <c r="M4375" s="501">
        <v>0</v>
      </c>
      <c r="N4375" s="501">
        <v>0</v>
      </c>
      <c r="O4375" s="506">
        <v>0</v>
      </c>
    </row>
    <row r="4376" spans="1:15" x14ac:dyDescent="0.35">
      <c r="A4376" s="503" t="s">
        <v>1126</v>
      </c>
      <c r="B4376" s="504" t="s">
        <v>2974</v>
      </c>
      <c r="C4376" s="504" t="s">
        <v>1094</v>
      </c>
      <c r="D4376" s="504" t="s">
        <v>3380</v>
      </c>
      <c r="E4376" s="504" t="s">
        <v>3381</v>
      </c>
      <c r="F4376" s="504" t="s">
        <v>691</v>
      </c>
      <c r="G4376" s="504" t="s">
        <v>692</v>
      </c>
      <c r="H4376" s="504" t="s">
        <v>6904</v>
      </c>
      <c r="I4376" s="504">
        <v>120</v>
      </c>
      <c r="J4376" s="504">
        <v>120</v>
      </c>
      <c r="K4376" s="504">
        <v>0</v>
      </c>
      <c r="L4376" s="504">
        <v>0</v>
      </c>
      <c r="M4376" s="504">
        <v>0</v>
      </c>
      <c r="N4376" s="504">
        <v>0</v>
      </c>
      <c r="O4376" s="505">
        <v>0</v>
      </c>
    </row>
    <row r="4377" spans="1:15" x14ac:dyDescent="0.35">
      <c r="A4377" s="500" t="s">
        <v>1240</v>
      </c>
      <c r="B4377" s="501" t="s">
        <v>2972</v>
      </c>
      <c r="C4377" s="501" t="s">
        <v>1094</v>
      </c>
      <c r="D4377" s="501" t="s">
        <v>3380</v>
      </c>
      <c r="E4377" s="501" t="s">
        <v>3381</v>
      </c>
      <c r="F4377" s="501" t="s">
        <v>691</v>
      </c>
      <c r="G4377" s="501" t="s">
        <v>692</v>
      </c>
      <c r="H4377" s="501" t="s">
        <v>6905</v>
      </c>
      <c r="I4377" s="501">
        <v>39</v>
      </c>
      <c r="J4377" s="501">
        <v>39</v>
      </c>
      <c r="K4377" s="501">
        <v>0</v>
      </c>
      <c r="L4377" s="501">
        <v>0</v>
      </c>
      <c r="M4377" s="501">
        <v>0</v>
      </c>
      <c r="N4377" s="501">
        <v>0</v>
      </c>
      <c r="O4377" s="506">
        <v>0</v>
      </c>
    </row>
    <row r="4378" spans="1:15" x14ac:dyDescent="0.35">
      <c r="A4378" s="503" t="s">
        <v>1364</v>
      </c>
      <c r="B4378" s="504" t="s">
        <v>3277</v>
      </c>
      <c r="C4378" s="504" t="s">
        <v>1089</v>
      </c>
      <c r="D4378" s="504" t="s">
        <v>3392</v>
      </c>
      <c r="E4378" s="504" t="s">
        <v>3381</v>
      </c>
      <c r="F4378" s="504" t="s">
        <v>691</v>
      </c>
      <c r="G4378" s="504" t="s">
        <v>692</v>
      </c>
      <c r="H4378" s="504" t="s">
        <v>6906</v>
      </c>
      <c r="I4378" s="504">
        <v>2</v>
      </c>
      <c r="J4378" s="504">
        <v>0</v>
      </c>
      <c r="K4378" s="504">
        <v>0</v>
      </c>
      <c r="L4378" s="504">
        <v>2</v>
      </c>
      <c r="M4378" s="504">
        <v>0</v>
      </c>
      <c r="N4378" s="504">
        <v>0</v>
      </c>
      <c r="O4378" s="505">
        <v>0</v>
      </c>
    </row>
    <row r="4379" spans="1:15" x14ac:dyDescent="0.35">
      <c r="A4379" s="500" t="s">
        <v>1377</v>
      </c>
      <c r="B4379" s="501">
        <v>5057</v>
      </c>
      <c r="C4379" s="501" t="s">
        <v>1089</v>
      </c>
      <c r="D4379" s="501" t="s">
        <v>3392</v>
      </c>
      <c r="E4379" s="501" t="s">
        <v>3381</v>
      </c>
      <c r="F4379" s="501" t="s">
        <v>691</v>
      </c>
      <c r="G4379" s="501" t="s">
        <v>692</v>
      </c>
      <c r="H4379" s="501" t="s">
        <v>6907</v>
      </c>
      <c r="I4379" s="501">
        <v>15</v>
      </c>
      <c r="J4379" s="501">
        <v>7</v>
      </c>
      <c r="K4379" s="501">
        <v>0</v>
      </c>
      <c r="L4379" s="501">
        <v>8</v>
      </c>
      <c r="M4379" s="501">
        <v>0</v>
      </c>
      <c r="N4379" s="501">
        <v>8</v>
      </c>
      <c r="O4379" s="506">
        <v>0</v>
      </c>
    </row>
    <row r="4380" spans="1:15" x14ac:dyDescent="0.35">
      <c r="A4380" s="503" t="s">
        <v>1383</v>
      </c>
      <c r="B4380" s="504" t="s">
        <v>2928</v>
      </c>
      <c r="C4380" s="504" t="s">
        <v>1089</v>
      </c>
      <c r="D4380" s="504" t="s">
        <v>3392</v>
      </c>
      <c r="E4380" s="504" t="s">
        <v>3381</v>
      </c>
      <c r="F4380" s="504" t="s">
        <v>691</v>
      </c>
      <c r="G4380" s="504" t="s">
        <v>692</v>
      </c>
      <c r="H4380" s="504" t="s">
        <v>6908</v>
      </c>
      <c r="I4380" s="504">
        <v>19</v>
      </c>
      <c r="J4380" s="504">
        <v>0</v>
      </c>
      <c r="K4380" s="504">
        <v>0</v>
      </c>
      <c r="L4380" s="504">
        <v>19</v>
      </c>
      <c r="M4380" s="504">
        <v>0</v>
      </c>
      <c r="N4380" s="504">
        <v>0</v>
      </c>
      <c r="O4380" s="505">
        <v>0</v>
      </c>
    </row>
    <row r="4381" spans="1:15" x14ac:dyDescent="0.35">
      <c r="A4381" s="500" t="s">
        <v>1096</v>
      </c>
      <c r="B4381" s="501" t="s">
        <v>3326</v>
      </c>
      <c r="C4381" s="501" t="s">
        <v>1094</v>
      </c>
      <c r="D4381" s="501" t="s">
        <v>3380</v>
      </c>
      <c r="E4381" s="501" t="s">
        <v>3381</v>
      </c>
      <c r="F4381" s="501" t="s">
        <v>693</v>
      </c>
      <c r="G4381" s="501" t="s">
        <v>694</v>
      </c>
      <c r="H4381" s="501" t="s">
        <v>15531</v>
      </c>
      <c r="I4381" s="501">
        <v>364</v>
      </c>
      <c r="J4381" s="501">
        <v>0</v>
      </c>
      <c r="K4381" s="501">
        <v>0</v>
      </c>
      <c r="L4381" s="501">
        <v>0</v>
      </c>
      <c r="M4381" s="501">
        <v>364</v>
      </c>
      <c r="N4381" s="501">
        <v>0</v>
      </c>
      <c r="O4381" s="506">
        <v>0</v>
      </c>
    </row>
    <row r="4382" spans="1:15" x14ac:dyDescent="0.35">
      <c r="A4382" s="503" t="s">
        <v>1151</v>
      </c>
      <c r="B4382" s="504">
        <v>4726</v>
      </c>
      <c r="C4382" s="504" t="s">
        <v>1089</v>
      </c>
      <c r="D4382" s="504" t="s">
        <v>3392</v>
      </c>
      <c r="E4382" s="504" t="s">
        <v>3381</v>
      </c>
      <c r="F4382" s="504" t="s">
        <v>693</v>
      </c>
      <c r="G4382" s="504" t="s">
        <v>694</v>
      </c>
      <c r="H4382" s="504" t="s">
        <v>15532</v>
      </c>
      <c r="I4382" s="504">
        <v>7</v>
      </c>
      <c r="J4382" s="504">
        <v>7</v>
      </c>
      <c r="K4382" s="504">
        <v>0</v>
      </c>
      <c r="L4382" s="504">
        <v>0</v>
      </c>
      <c r="M4382" s="504">
        <v>0</v>
      </c>
      <c r="N4382" s="504">
        <v>0</v>
      </c>
      <c r="O4382" s="505">
        <v>0</v>
      </c>
    </row>
    <row r="4383" spans="1:15" x14ac:dyDescent="0.35">
      <c r="A4383" s="500" t="s">
        <v>1174</v>
      </c>
      <c r="B4383" s="501">
        <v>4784</v>
      </c>
      <c r="C4383" s="501" t="s">
        <v>1089</v>
      </c>
      <c r="D4383" s="501" t="s">
        <v>3392</v>
      </c>
      <c r="E4383" s="501" t="s">
        <v>3381</v>
      </c>
      <c r="F4383" s="501" t="s">
        <v>693</v>
      </c>
      <c r="G4383" s="501" t="s">
        <v>694</v>
      </c>
      <c r="H4383" s="501" t="s">
        <v>15533</v>
      </c>
      <c r="I4383" s="501">
        <v>21</v>
      </c>
      <c r="J4383" s="501">
        <v>0</v>
      </c>
      <c r="K4383" s="501">
        <v>0</v>
      </c>
      <c r="L4383" s="501">
        <v>21</v>
      </c>
      <c r="M4383" s="501">
        <v>0</v>
      </c>
      <c r="N4383" s="501">
        <v>0</v>
      </c>
      <c r="O4383" s="506">
        <v>0</v>
      </c>
    </row>
    <row r="4384" spans="1:15" x14ac:dyDescent="0.35">
      <c r="A4384" s="503" t="s">
        <v>14208</v>
      </c>
      <c r="B4384" s="504">
        <v>4803</v>
      </c>
      <c r="C4384" s="504" t="s">
        <v>1094</v>
      </c>
      <c r="D4384" s="504" t="s">
        <v>3380</v>
      </c>
      <c r="E4384" s="504" t="s">
        <v>3381</v>
      </c>
      <c r="F4384" s="504" t="s">
        <v>693</v>
      </c>
      <c r="G4384" s="504" t="s">
        <v>694</v>
      </c>
      <c r="H4384" s="504" t="s">
        <v>15534</v>
      </c>
      <c r="I4384" s="504">
        <v>6</v>
      </c>
      <c r="J4384" s="504">
        <v>0</v>
      </c>
      <c r="K4384" s="504">
        <v>0</v>
      </c>
      <c r="L4384" s="504">
        <v>6</v>
      </c>
      <c r="M4384" s="504">
        <v>0</v>
      </c>
      <c r="N4384" s="504">
        <v>0</v>
      </c>
      <c r="O4384" s="505">
        <v>0</v>
      </c>
    </row>
    <row r="4385" spans="1:15" x14ac:dyDescent="0.35">
      <c r="A4385" s="500" t="s">
        <v>2149</v>
      </c>
      <c r="B4385" s="501">
        <v>4799</v>
      </c>
      <c r="C4385" s="501" t="s">
        <v>1089</v>
      </c>
      <c r="D4385" s="501" t="s">
        <v>3392</v>
      </c>
      <c r="E4385" s="501" t="s">
        <v>3381</v>
      </c>
      <c r="F4385" s="501" t="s">
        <v>693</v>
      </c>
      <c r="G4385" s="501" t="s">
        <v>694</v>
      </c>
      <c r="H4385" s="501" t="s">
        <v>15535</v>
      </c>
      <c r="I4385" s="501">
        <v>68</v>
      </c>
      <c r="J4385" s="501">
        <v>62</v>
      </c>
      <c r="K4385" s="501">
        <v>0</v>
      </c>
      <c r="L4385" s="501">
        <v>6</v>
      </c>
      <c r="M4385" s="501">
        <v>0</v>
      </c>
      <c r="N4385" s="501">
        <v>0</v>
      </c>
      <c r="O4385" s="506">
        <v>0</v>
      </c>
    </row>
    <row r="4386" spans="1:15" x14ac:dyDescent="0.35">
      <c r="A4386" s="503" t="s">
        <v>1183</v>
      </c>
      <c r="B4386" s="504" t="s">
        <v>3038</v>
      </c>
      <c r="C4386" s="504" t="s">
        <v>1094</v>
      </c>
      <c r="D4386" s="504" t="s">
        <v>3380</v>
      </c>
      <c r="E4386" s="504" t="s">
        <v>3381</v>
      </c>
      <c r="F4386" s="504" t="s">
        <v>693</v>
      </c>
      <c r="G4386" s="504" t="s">
        <v>694</v>
      </c>
      <c r="H4386" s="504" t="s">
        <v>15536</v>
      </c>
      <c r="I4386" s="504">
        <v>15</v>
      </c>
      <c r="J4386" s="504">
        <v>0</v>
      </c>
      <c r="K4386" s="504">
        <v>0</v>
      </c>
      <c r="L4386" s="504">
        <v>15</v>
      </c>
      <c r="M4386" s="504">
        <v>0</v>
      </c>
      <c r="N4386" s="504">
        <v>0</v>
      </c>
      <c r="O4386" s="505">
        <v>0</v>
      </c>
    </row>
    <row r="4387" spans="1:15" x14ac:dyDescent="0.35">
      <c r="A4387" s="500" t="s">
        <v>1185</v>
      </c>
      <c r="B4387" s="501" t="s">
        <v>3253</v>
      </c>
      <c r="C4387" s="501" t="s">
        <v>1094</v>
      </c>
      <c r="D4387" s="501" t="s">
        <v>3380</v>
      </c>
      <c r="E4387" s="501" t="s">
        <v>3381</v>
      </c>
      <c r="F4387" s="501" t="s">
        <v>693</v>
      </c>
      <c r="G4387" s="501" t="s">
        <v>694</v>
      </c>
      <c r="H4387" s="501" t="s">
        <v>15537</v>
      </c>
      <c r="I4387" s="501">
        <v>230</v>
      </c>
      <c r="J4387" s="501">
        <v>144</v>
      </c>
      <c r="K4387" s="501">
        <v>0</v>
      </c>
      <c r="L4387" s="501">
        <v>64</v>
      </c>
      <c r="M4387" s="501">
        <v>22</v>
      </c>
      <c r="N4387" s="501">
        <v>0</v>
      </c>
      <c r="O4387" s="506">
        <v>0</v>
      </c>
    </row>
    <row r="4388" spans="1:15" x14ac:dyDescent="0.35">
      <c r="A4388" s="503" t="s">
        <v>1188</v>
      </c>
      <c r="B4388" s="504">
        <v>4760</v>
      </c>
      <c r="C4388" s="504" t="s">
        <v>1089</v>
      </c>
      <c r="D4388" s="504" t="s">
        <v>3392</v>
      </c>
      <c r="E4388" s="504" t="s">
        <v>3381</v>
      </c>
      <c r="F4388" s="504" t="s">
        <v>693</v>
      </c>
      <c r="G4388" s="504" t="s">
        <v>694</v>
      </c>
      <c r="H4388" s="504" t="s">
        <v>15538</v>
      </c>
      <c r="I4388" s="504">
        <v>21</v>
      </c>
      <c r="J4388" s="504">
        <v>0</v>
      </c>
      <c r="K4388" s="504">
        <v>0</v>
      </c>
      <c r="L4388" s="504">
        <v>21</v>
      </c>
      <c r="M4388" s="504">
        <v>0</v>
      </c>
      <c r="N4388" s="504">
        <v>0</v>
      </c>
      <c r="O4388" s="505">
        <v>0</v>
      </c>
    </row>
    <row r="4389" spans="1:15" x14ac:dyDescent="0.35">
      <c r="A4389" s="500" t="s">
        <v>1107</v>
      </c>
      <c r="B4389" s="501" t="s">
        <v>3109</v>
      </c>
      <c r="C4389" s="501" t="s">
        <v>1094</v>
      </c>
      <c r="D4389" s="501" t="s">
        <v>3380</v>
      </c>
      <c r="E4389" s="501" t="s">
        <v>3381</v>
      </c>
      <c r="F4389" s="501" t="s">
        <v>693</v>
      </c>
      <c r="G4389" s="501" t="s">
        <v>694</v>
      </c>
      <c r="H4389" s="501" t="s">
        <v>15539</v>
      </c>
      <c r="I4389" s="501">
        <v>134</v>
      </c>
      <c r="J4389" s="501">
        <v>101</v>
      </c>
      <c r="K4389" s="501">
        <v>0</v>
      </c>
      <c r="L4389" s="501">
        <v>19</v>
      </c>
      <c r="M4389" s="501">
        <v>0</v>
      </c>
      <c r="N4389" s="501">
        <v>1</v>
      </c>
      <c r="O4389" s="506">
        <v>14</v>
      </c>
    </row>
    <row r="4390" spans="1:15" x14ac:dyDescent="0.35">
      <c r="A4390" s="503" t="s">
        <v>1109</v>
      </c>
      <c r="B4390" s="504" t="s">
        <v>2959</v>
      </c>
      <c r="C4390" s="504" t="s">
        <v>1094</v>
      </c>
      <c r="D4390" s="504" t="s">
        <v>3380</v>
      </c>
      <c r="E4390" s="504" t="s">
        <v>3381</v>
      </c>
      <c r="F4390" s="504" t="s">
        <v>693</v>
      </c>
      <c r="G4390" s="504" t="s">
        <v>694</v>
      </c>
      <c r="H4390" s="504" t="s">
        <v>15540</v>
      </c>
      <c r="I4390" s="504">
        <v>36</v>
      </c>
      <c r="J4390" s="504">
        <v>0</v>
      </c>
      <c r="K4390" s="504">
        <v>0</v>
      </c>
      <c r="L4390" s="504">
        <v>0</v>
      </c>
      <c r="M4390" s="504">
        <v>36</v>
      </c>
      <c r="N4390" s="504">
        <v>0</v>
      </c>
      <c r="O4390" s="505">
        <v>0</v>
      </c>
    </row>
    <row r="4391" spans="1:15" x14ac:dyDescent="0.35">
      <c r="A4391" s="500" t="s">
        <v>2157</v>
      </c>
      <c r="B4391" s="501" t="s">
        <v>3112</v>
      </c>
      <c r="C4391" s="501" t="s">
        <v>1089</v>
      </c>
      <c r="D4391" s="501" t="s">
        <v>3392</v>
      </c>
      <c r="E4391" s="501" t="s">
        <v>3381</v>
      </c>
      <c r="F4391" s="501" t="s">
        <v>693</v>
      </c>
      <c r="G4391" s="501" t="s">
        <v>694</v>
      </c>
      <c r="H4391" s="501" t="s">
        <v>15541</v>
      </c>
      <c r="I4391" s="501">
        <v>355</v>
      </c>
      <c r="J4391" s="501">
        <v>106</v>
      </c>
      <c r="K4391" s="501">
        <v>0</v>
      </c>
      <c r="L4391" s="501">
        <v>44</v>
      </c>
      <c r="M4391" s="501">
        <v>205</v>
      </c>
      <c r="N4391" s="501">
        <v>0</v>
      </c>
      <c r="O4391" s="506">
        <v>0</v>
      </c>
    </row>
    <row r="4392" spans="1:15" x14ac:dyDescent="0.35">
      <c r="A4392" s="503" t="s">
        <v>2158</v>
      </c>
      <c r="B4392" s="504" t="s">
        <v>3102</v>
      </c>
      <c r="C4392" s="504" t="s">
        <v>1089</v>
      </c>
      <c r="D4392" s="504" t="s">
        <v>3392</v>
      </c>
      <c r="E4392" s="504" t="s">
        <v>3381</v>
      </c>
      <c r="F4392" s="504" t="s">
        <v>693</v>
      </c>
      <c r="G4392" s="504" t="s">
        <v>694</v>
      </c>
      <c r="H4392" s="504" t="s">
        <v>15542</v>
      </c>
      <c r="I4392" s="504">
        <v>45</v>
      </c>
      <c r="J4392" s="504">
        <v>45</v>
      </c>
      <c r="K4392" s="504">
        <v>0</v>
      </c>
      <c r="L4392" s="504">
        <v>0</v>
      </c>
      <c r="M4392" s="504">
        <v>0</v>
      </c>
      <c r="N4392" s="504">
        <v>0</v>
      </c>
      <c r="O4392" s="505">
        <v>0</v>
      </c>
    </row>
    <row r="4393" spans="1:15" x14ac:dyDescent="0.35">
      <c r="A4393" s="500" t="s">
        <v>2159</v>
      </c>
      <c r="B4393" s="501" t="s">
        <v>2943</v>
      </c>
      <c r="C4393" s="501" t="s">
        <v>1089</v>
      </c>
      <c r="D4393" s="501" t="s">
        <v>3392</v>
      </c>
      <c r="E4393" s="501" t="s">
        <v>3381</v>
      </c>
      <c r="F4393" s="501" t="s">
        <v>693</v>
      </c>
      <c r="G4393" s="501" t="s">
        <v>694</v>
      </c>
      <c r="H4393" s="501" t="s">
        <v>15543</v>
      </c>
      <c r="I4393" s="501">
        <v>73</v>
      </c>
      <c r="J4393" s="501">
        <v>0</v>
      </c>
      <c r="K4393" s="501">
        <v>0</v>
      </c>
      <c r="L4393" s="501">
        <v>73</v>
      </c>
      <c r="M4393" s="501">
        <v>0</v>
      </c>
      <c r="N4393" s="501">
        <v>0</v>
      </c>
      <c r="O4393" s="506">
        <v>0</v>
      </c>
    </row>
    <row r="4394" spans="1:15" x14ac:dyDescent="0.35">
      <c r="A4394" s="503" t="s">
        <v>2160</v>
      </c>
      <c r="B4394" s="504" t="s">
        <v>2427</v>
      </c>
      <c r="C4394" s="504" t="s">
        <v>1089</v>
      </c>
      <c r="D4394" s="504" t="s">
        <v>3392</v>
      </c>
      <c r="E4394" s="504" t="s">
        <v>3381</v>
      </c>
      <c r="F4394" s="504" t="s">
        <v>693</v>
      </c>
      <c r="G4394" s="504" t="s">
        <v>694</v>
      </c>
      <c r="H4394" s="504" t="s">
        <v>15544</v>
      </c>
      <c r="I4394" s="504">
        <v>61</v>
      </c>
      <c r="J4394" s="504">
        <v>0</v>
      </c>
      <c r="K4394" s="504">
        <v>0</v>
      </c>
      <c r="L4394" s="504">
        <v>0</v>
      </c>
      <c r="M4394" s="504">
        <v>61</v>
      </c>
      <c r="N4394" s="504">
        <v>0</v>
      </c>
      <c r="O4394" s="505">
        <v>0</v>
      </c>
    </row>
    <row r="4395" spans="1:15" x14ac:dyDescent="0.35">
      <c r="A4395" s="500" t="s">
        <v>2156</v>
      </c>
      <c r="B4395" s="501">
        <v>4828</v>
      </c>
      <c r="C4395" s="501" t="s">
        <v>1089</v>
      </c>
      <c r="D4395" s="501" t="s">
        <v>3392</v>
      </c>
      <c r="E4395" s="501" t="s">
        <v>3381</v>
      </c>
      <c r="F4395" s="501" t="s">
        <v>693</v>
      </c>
      <c r="G4395" s="501" t="s">
        <v>694</v>
      </c>
      <c r="H4395" s="501" t="s">
        <v>15545</v>
      </c>
      <c r="I4395" s="501">
        <v>31</v>
      </c>
      <c r="J4395" s="501">
        <v>4</v>
      </c>
      <c r="K4395" s="501">
        <v>0</v>
      </c>
      <c r="L4395" s="501">
        <v>27</v>
      </c>
      <c r="M4395" s="501">
        <v>0</v>
      </c>
      <c r="N4395" s="501">
        <v>0</v>
      </c>
      <c r="O4395" s="506">
        <v>0</v>
      </c>
    </row>
    <row r="4396" spans="1:15" x14ac:dyDescent="0.35">
      <c r="A4396" s="503" t="s">
        <v>1190</v>
      </c>
      <c r="B4396" s="504">
        <v>4662</v>
      </c>
      <c r="C4396" s="504" t="s">
        <v>1094</v>
      </c>
      <c r="D4396" s="504" t="s">
        <v>3380</v>
      </c>
      <c r="E4396" s="504" t="s">
        <v>3381</v>
      </c>
      <c r="F4396" s="504" t="s">
        <v>693</v>
      </c>
      <c r="G4396" s="504" t="s">
        <v>694</v>
      </c>
      <c r="H4396" s="504" t="s">
        <v>15546</v>
      </c>
      <c r="I4396" s="504">
        <v>24</v>
      </c>
      <c r="J4396" s="504">
        <v>0</v>
      </c>
      <c r="K4396" s="504">
        <v>0</v>
      </c>
      <c r="L4396" s="504">
        <v>24</v>
      </c>
      <c r="M4396" s="504">
        <v>0</v>
      </c>
      <c r="N4396" s="504">
        <v>0</v>
      </c>
      <c r="O4396" s="505">
        <v>0</v>
      </c>
    </row>
    <row r="4397" spans="1:15" x14ac:dyDescent="0.35">
      <c r="A4397" s="500" t="s">
        <v>1638</v>
      </c>
      <c r="B4397" s="501">
        <v>5079</v>
      </c>
      <c r="C4397" s="501" t="s">
        <v>1094</v>
      </c>
      <c r="D4397" s="501" t="s">
        <v>3380</v>
      </c>
      <c r="E4397" s="501" t="s">
        <v>3381</v>
      </c>
      <c r="F4397" s="501" t="s">
        <v>693</v>
      </c>
      <c r="G4397" s="501" t="s">
        <v>694</v>
      </c>
      <c r="H4397" s="501" t="s">
        <v>15547</v>
      </c>
      <c r="I4397" s="501">
        <v>6</v>
      </c>
      <c r="J4397" s="501">
        <v>0</v>
      </c>
      <c r="K4397" s="501">
        <v>0</v>
      </c>
      <c r="L4397" s="501">
        <v>0</v>
      </c>
      <c r="M4397" s="501">
        <v>0</v>
      </c>
      <c r="N4397" s="501">
        <v>0</v>
      </c>
      <c r="O4397" s="506">
        <v>6</v>
      </c>
    </row>
    <row r="4398" spans="1:15" x14ac:dyDescent="0.35">
      <c r="A4398" s="503" t="s">
        <v>1209</v>
      </c>
      <c r="B4398" s="504">
        <v>4779</v>
      </c>
      <c r="C4398" s="504" t="s">
        <v>1094</v>
      </c>
      <c r="D4398" s="504" t="s">
        <v>3380</v>
      </c>
      <c r="E4398" s="504" t="s">
        <v>3381</v>
      </c>
      <c r="F4398" s="504" t="s">
        <v>693</v>
      </c>
      <c r="G4398" s="504" t="s">
        <v>694</v>
      </c>
      <c r="H4398" s="504" t="s">
        <v>15548</v>
      </c>
      <c r="I4398" s="504">
        <v>20</v>
      </c>
      <c r="J4398" s="504">
        <v>0</v>
      </c>
      <c r="K4398" s="504">
        <v>0</v>
      </c>
      <c r="L4398" s="504">
        <v>20</v>
      </c>
      <c r="M4398" s="504">
        <v>0</v>
      </c>
      <c r="N4398" s="504">
        <v>0</v>
      </c>
      <c r="O4398" s="505">
        <v>0</v>
      </c>
    </row>
    <row r="4399" spans="1:15" x14ac:dyDescent="0.35">
      <c r="A4399" s="500" t="s">
        <v>14400</v>
      </c>
      <c r="B4399" s="501">
        <v>4727</v>
      </c>
      <c r="C4399" s="501" t="s">
        <v>1089</v>
      </c>
      <c r="D4399" s="501" t="s">
        <v>3392</v>
      </c>
      <c r="E4399" s="501" t="s">
        <v>3381</v>
      </c>
      <c r="F4399" s="501" t="s">
        <v>693</v>
      </c>
      <c r="G4399" s="501" t="s">
        <v>694</v>
      </c>
      <c r="H4399" s="501" t="s">
        <v>15549</v>
      </c>
      <c r="I4399" s="501">
        <v>19</v>
      </c>
      <c r="J4399" s="501">
        <v>5</v>
      </c>
      <c r="K4399" s="501">
        <v>0</v>
      </c>
      <c r="L4399" s="501">
        <v>14</v>
      </c>
      <c r="M4399" s="501">
        <v>0</v>
      </c>
      <c r="N4399" s="501">
        <v>0</v>
      </c>
      <c r="O4399" s="506">
        <v>0</v>
      </c>
    </row>
    <row r="4400" spans="1:15" x14ac:dyDescent="0.35">
      <c r="A4400" s="503" t="s">
        <v>2170</v>
      </c>
      <c r="B4400" s="504" t="s">
        <v>2621</v>
      </c>
      <c r="C4400" s="504" t="s">
        <v>1094</v>
      </c>
      <c r="D4400" s="504" t="s">
        <v>3380</v>
      </c>
      <c r="E4400" s="504" t="s">
        <v>3381</v>
      </c>
      <c r="F4400" s="504" t="s">
        <v>693</v>
      </c>
      <c r="G4400" s="504" t="s">
        <v>694</v>
      </c>
      <c r="H4400" s="504" t="s">
        <v>15550</v>
      </c>
      <c r="I4400" s="504">
        <v>1366</v>
      </c>
      <c r="J4400" s="504">
        <v>1175</v>
      </c>
      <c r="K4400" s="504">
        <v>0</v>
      </c>
      <c r="L4400" s="504">
        <v>0</v>
      </c>
      <c r="M4400" s="504">
        <v>191</v>
      </c>
      <c r="N4400" s="504">
        <v>0</v>
      </c>
      <c r="O4400" s="505">
        <v>0</v>
      </c>
    </row>
    <row r="4401" spans="1:15" x14ac:dyDescent="0.35">
      <c r="A4401" s="500" t="s">
        <v>1122</v>
      </c>
      <c r="B4401" s="501" t="s">
        <v>2994</v>
      </c>
      <c r="C4401" s="501" t="s">
        <v>1094</v>
      </c>
      <c r="D4401" s="501" t="s">
        <v>3380</v>
      </c>
      <c r="E4401" s="501" t="s">
        <v>3381</v>
      </c>
      <c r="F4401" s="501" t="s">
        <v>693</v>
      </c>
      <c r="G4401" s="501" t="s">
        <v>694</v>
      </c>
      <c r="H4401" s="501" t="s">
        <v>15551</v>
      </c>
      <c r="I4401" s="501">
        <v>2013</v>
      </c>
      <c r="J4401" s="501">
        <v>1776</v>
      </c>
      <c r="K4401" s="501">
        <v>0</v>
      </c>
      <c r="L4401" s="501">
        <v>25</v>
      </c>
      <c r="M4401" s="501">
        <v>131</v>
      </c>
      <c r="N4401" s="501">
        <v>0</v>
      </c>
      <c r="O4401" s="506">
        <v>81</v>
      </c>
    </row>
    <row r="4402" spans="1:15" x14ac:dyDescent="0.35">
      <c r="A4402" s="503" t="s">
        <v>1225</v>
      </c>
      <c r="B4402" s="504" t="s">
        <v>3315</v>
      </c>
      <c r="C4402" s="504" t="s">
        <v>1094</v>
      </c>
      <c r="D4402" s="504" t="s">
        <v>3380</v>
      </c>
      <c r="E4402" s="504" t="s">
        <v>3381</v>
      </c>
      <c r="F4402" s="504" t="s">
        <v>693</v>
      </c>
      <c r="G4402" s="504" t="s">
        <v>694</v>
      </c>
      <c r="H4402" s="504" t="s">
        <v>15552</v>
      </c>
      <c r="I4402" s="504">
        <v>63</v>
      </c>
      <c r="J4402" s="504">
        <v>1</v>
      </c>
      <c r="K4402" s="504">
        <v>0</v>
      </c>
      <c r="L4402" s="504">
        <v>62</v>
      </c>
      <c r="M4402" s="504">
        <v>0</v>
      </c>
      <c r="N4402" s="504">
        <v>0</v>
      </c>
      <c r="O4402" s="505">
        <v>0</v>
      </c>
    </row>
    <row r="4403" spans="1:15" x14ac:dyDescent="0.35">
      <c r="A4403" s="500" t="s">
        <v>1648</v>
      </c>
      <c r="B4403" s="501" t="s">
        <v>2496</v>
      </c>
      <c r="C4403" s="501" t="s">
        <v>1094</v>
      </c>
      <c r="D4403" s="501" t="s">
        <v>3380</v>
      </c>
      <c r="E4403" s="501" t="s">
        <v>3381</v>
      </c>
      <c r="F4403" s="501" t="s">
        <v>693</v>
      </c>
      <c r="G4403" s="501" t="s">
        <v>694</v>
      </c>
      <c r="H4403" s="501" t="s">
        <v>15553</v>
      </c>
      <c r="I4403" s="501">
        <v>151</v>
      </c>
      <c r="J4403" s="501">
        <v>34</v>
      </c>
      <c r="K4403" s="501">
        <v>0</v>
      </c>
      <c r="L4403" s="501">
        <v>95</v>
      </c>
      <c r="M4403" s="501">
        <v>0</v>
      </c>
      <c r="N4403" s="501">
        <v>0</v>
      </c>
      <c r="O4403" s="506">
        <v>22</v>
      </c>
    </row>
    <row r="4404" spans="1:15" x14ac:dyDescent="0.35">
      <c r="A4404" s="503" t="s">
        <v>1124</v>
      </c>
      <c r="B4404" s="504">
        <v>4745</v>
      </c>
      <c r="C4404" s="504" t="s">
        <v>1094</v>
      </c>
      <c r="D4404" s="504" t="s">
        <v>3380</v>
      </c>
      <c r="E4404" s="504" t="s">
        <v>3381</v>
      </c>
      <c r="F4404" s="504" t="s">
        <v>693</v>
      </c>
      <c r="G4404" s="504" t="s">
        <v>694</v>
      </c>
      <c r="H4404" s="504" t="s">
        <v>15554</v>
      </c>
      <c r="I4404" s="504">
        <v>1</v>
      </c>
      <c r="J4404" s="504">
        <v>0</v>
      </c>
      <c r="K4404" s="504">
        <v>0</v>
      </c>
      <c r="L4404" s="504">
        <v>1</v>
      </c>
      <c r="M4404" s="504">
        <v>0</v>
      </c>
      <c r="N4404" s="504">
        <v>0</v>
      </c>
      <c r="O4404" s="505">
        <v>0</v>
      </c>
    </row>
    <row r="4405" spans="1:15" x14ac:dyDescent="0.35">
      <c r="A4405" s="500" t="s">
        <v>1234</v>
      </c>
      <c r="B4405" s="501" t="s">
        <v>3291</v>
      </c>
      <c r="C4405" s="501" t="s">
        <v>1094</v>
      </c>
      <c r="D4405" s="501" t="s">
        <v>3380</v>
      </c>
      <c r="E4405" s="501" t="s">
        <v>3381</v>
      </c>
      <c r="F4405" s="501" t="s">
        <v>693</v>
      </c>
      <c r="G4405" s="501" t="s">
        <v>694</v>
      </c>
      <c r="H4405" s="501" t="s">
        <v>15555</v>
      </c>
      <c r="I4405" s="501">
        <v>108</v>
      </c>
      <c r="J4405" s="501">
        <v>0</v>
      </c>
      <c r="K4405" s="501">
        <v>0</v>
      </c>
      <c r="L4405" s="501">
        <v>108</v>
      </c>
      <c r="M4405" s="501">
        <v>0</v>
      </c>
      <c r="N4405" s="501">
        <v>0</v>
      </c>
      <c r="O4405" s="506">
        <v>0</v>
      </c>
    </row>
    <row r="4406" spans="1:15" x14ac:dyDescent="0.35">
      <c r="A4406" s="503" t="s">
        <v>1235</v>
      </c>
      <c r="B4406" s="504">
        <v>4684</v>
      </c>
      <c r="C4406" s="504" t="s">
        <v>1094</v>
      </c>
      <c r="D4406" s="504" t="s">
        <v>3380</v>
      </c>
      <c r="E4406" s="504" t="s">
        <v>3381</v>
      </c>
      <c r="F4406" s="504" t="s">
        <v>693</v>
      </c>
      <c r="G4406" s="504" t="s">
        <v>694</v>
      </c>
      <c r="H4406" s="504" t="s">
        <v>15556</v>
      </c>
      <c r="I4406" s="504">
        <v>91</v>
      </c>
      <c r="J4406" s="504">
        <v>91</v>
      </c>
      <c r="K4406" s="504">
        <v>0</v>
      </c>
      <c r="L4406" s="504">
        <v>0</v>
      </c>
      <c r="M4406" s="504">
        <v>0</v>
      </c>
      <c r="N4406" s="504">
        <v>0</v>
      </c>
      <c r="O4406" s="505">
        <v>0</v>
      </c>
    </row>
    <row r="4407" spans="1:15" x14ac:dyDescent="0.35">
      <c r="A4407" s="500" t="s">
        <v>1126</v>
      </c>
      <c r="B4407" s="501" t="s">
        <v>2974</v>
      </c>
      <c r="C4407" s="501" t="s">
        <v>1094</v>
      </c>
      <c r="D4407" s="501" t="s">
        <v>3380</v>
      </c>
      <c r="E4407" s="501" t="s">
        <v>3381</v>
      </c>
      <c r="F4407" s="501" t="s">
        <v>693</v>
      </c>
      <c r="G4407" s="501" t="s">
        <v>694</v>
      </c>
      <c r="H4407" s="501" t="s">
        <v>15557</v>
      </c>
      <c r="I4407" s="501">
        <v>1457</v>
      </c>
      <c r="J4407" s="501">
        <v>1171</v>
      </c>
      <c r="K4407" s="501">
        <v>0</v>
      </c>
      <c r="L4407" s="501">
        <v>52</v>
      </c>
      <c r="M4407" s="501">
        <v>142</v>
      </c>
      <c r="N4407" s="501">
        <v>0</v>
      </c>
      <c r="O4407" s="506">
        <v>92</v>
      </c>
    </row>
    <row r="4408" spans="1:15" x14ac:dyDescent="0.35">
      <c r="A4408" s="503" t="s">
        <v>2176</v>
      </c>
      <c r="B4408" s="504">
        <v>4679</v>
      </c>
      <c r="C4408" s="504" t="s">
        <v>1089</v>
      </c>
      <c r="D4408" s="504" t="s">
        <v>3392</v>
      </c>
      <c r="E4408" s="504" t="s">
        <v>3381</v>
      </c>
      <c r="F4408" s="504" t="s">
        <v>693</v>
      </c>
      <c r="G4408" s="504" t="s">
        <v>694</v>
      </c>
      <c r="H4408" s="504" t="s">
        <v>15558</v>
      </c>
      <c r="I4408" s="504">
        <v>2</v>
      </c>
      <c r="J4408" s="504">
        <v>0</v>
      </c>
      <c r="K4408" s="504">
        <v>0</v>
      </c>
      <c r="L4408" s="504">
        <v>2</v>
      </c>
      <c r="M4408" s="504">
        <v>0</v>
      </c>
      <c r="N4408" s="504">
        <v>0</v>
      </c>
      <c r="O4408" s="505">
        <v>0</v>
      </c>
    </row>
    <row r="4409" spans="1:15" x14ac:dyDescent="0.35">
      <c r="A4409" s="500" t="s">
        <v>1559</v>
      </c>
      <c r="B4409" s="501" t="s">
        <v>3252</v>
      </c>
      <c r="C4409" s="501" t="s">
        <v>1089</v>
      </c>
      <c r="D4409" s="501" t="s">
        <v>3392</v>
      </c>
      <c r="E4409" s="501" t="s">
        <v>3381</v>
      </c>
      <c r="F4409" s="501" t="s">
        <v>693</v>
      </c>
      <c r="G4409" s="501" t="s">
        <v>694</v>
      </c>
      <c r="H4409" s="501" t="s">
        <v>15559</v>
      </c>
      <c r="I4409" s="501">
        <v>35</v>
      </c>
      <c r="J4409" s="501">
        <v>0</v>
      </c>
      <c r="K4409" s="501">
        <v>0</v>
      </c>
      <c r="L4409" s="501">
        <v>0</v>
      </c>
      <c r="M4409" s="501">
        <v>35</v>
      </c>
      <c r="N4409" s="501">
        <v>0</v>
      </c>
      <c r="O4409" s="506">
        <v>0</v>
      </c>
    </row>
    <row r="4410" spans="1:15" x14ac:dyDescent="0.35">
      <c r="A4410" s="503" t="s">
        <v>1253</v>
      </c>
      <c r="B4410" s="504" t="s">
        <v>3232</v>
      </c>
      <c r="C4410" s="504" t="s">
        <v>1094</v>
      </c>
      <c r="D4410" s="504" t="s">
        <v>3380</v>
      </c>
      <c r="E4410" s="504" t="s">
        <v>3381</v>
      </c>
      <c r="F4410" s="504" t="s">
        <v>693</v>
      </c>
      <c r="G4410" s="504" t="s">
        <v>694</v>
      </c>
      <c r="H4410" s="504" t="s">
        <v>15560</v>
      </c>
      <c r="I4410" s="504">
        <v>1451</v>
      </c>
      <c r="J4410" s="504">
        <v>1192</v>
      </c>
      <c r="K4410" s="504">
        <v>0</v>
      </c>
      <c r="L4410" s="504">
        <v>219</v>
      </c>
      <c r="M4410" s="504">
        <v>38</v>
      </c>
      <c r="N4410" s="504">
        <v>0</v>
      </c>
      <c r="O4410" s="505">
        <v>2</v>
      </c>
    </row>
    <row r="4411" spans="1:15" x14ac:dyDescent="0.35">
      <c r="A4411" s="500" t="s">
        <v>1368</v>
      </c>
      <c r="B4411" s="501" t="s">
        <v>3220</v>
      </c>
      <c r="C4411" s="501" t="s">
        <v>1094</v>
      </c>
      <c r="D4411" s="501" t="s">
        <v>3380</v>
      </c>
      <c r="E4411" s="501" t="s">
        <v>3381</v>
      </c>
      <c r="F4411" s="501" t="s">
        <v>693</v>
      </c>
      <c r="G4411" s="501" t="s">
        <v>694</v>
      </c>
      <c r="H4411" s="501" t="s">
        <v>15561</v>
      </c>
      <c r="I4411" s="501">
        <v>676</v>
      </c>
      <c r="J4411" s="501">
        <v>640</v>
      </c>
      <c r="K4411" s="501">
        <v>0</v>
      </c>
      <c r="L4411" s="501">
        <v>0</v>
      </c>
      <c r="M4411" s="501">
        <v>36</v>
      </c>
      <c r="N4411" s="501">
        <v>0</v>
      </c>
      <c r="O4411" s="506">
        <v>0</v>
      </c>
    </row>
    <row r="4412" spans="1:15" x14ac:dyDescent="0.35">
      <c r="A4412" s="503" t="s">
        <v>1257</v>
      </c>
      <c r="B4412" s="504" t="s">
        <v>3151</v>
      </c>
      <c r="C4412" s="504" t="s">
        <v>1094</v>
      </c>
      <c r="D4412" s="504" t="s">
        <v>3380</v>
      </c>
      <c r="E4412" s="504" t="s">
        <v>3381</v>
      </c>
      <c r="F4412" s="504" t="s">
        <v>693</v>
      </c>
      <c r="G4412" s="504" t="s">
        <v>694</v>
      </c>
      <c r="H4412" s="504" t="s">
        <v>15562</v>
      </c>
      <c r="I4412" s="504">
        <v>861</v>
      </c>
      <c r="J4412" s="504">
        <v>707</v>
      </c>
      <c r="K4412" s="504">
        <v>0</v>
      </c>
      <c r="L4412" s="504">
        <v>30</v>
      </c>
      <c r="M4412" s="504">
        <v>0</v>
      </c>
      <c r="N4412" s="504">
        <v>0</v>
      </c>
      <c r="O4412" s="505">
        <v>124</v>
      </c>
    </row>
    <row r="4413" spans="1:15" x14ac:dyDescent="0.35">
      <c r="A4413" s="500" t="s">
        <v>1262</v>
      </c>
      <c r="B4413" s="501">
        <v>4772</v>
      </c>
      <c r="C4413" s="501" t="s">
        <v>1089</v>
      </c>
      <c r="D4413" s="501" t="s">
        <v>3392</v>
      </c>
      <c r="E4413" s="501" t="s">
        <v>3381</v>
      </c>
      <c r="F4413" s="501" t="s">
        <v>693</v>
      </c>
      <c r="G4413" s="501" t="s">
        <v>694</v>
      </c>
      <c r="H4413" s="501" t="s">
        <v>15563</v>
      </c>
      <c r="I4413" s="501">
        <v>4</v>
      </c>
      <c r="J4413" s="501">
        <v>0</v>
      </c>
      <c r="K4413" s="501">
        <v>0</v>
      </c>
      <c r="L4413" s="501">
        <v>4</v>
      </c>
      <c r="M4413" s="501">
        <v>0</v>
      </c>
      <c r="N4413" s="501">
        <v>0</v>
      </c>
      <c r="O4413" s="506">
        <v>0</v>
      </c>
    </row>
    <row r="4414" spans="1:15" x14ac:dyDescent="0.35">
      <c r="A4414" s="503" t="s">
        <v>2190</v>
      </c>
      <c r="B4414" s="504">
        <v>4762</v>
      </c>
      <c r="C4414" s="504" t="s">
        <v>1089</v>
      </c>
      <c r="D4414" s="504" t="s">
        <v>3392</v>
      </c>
      <c r="E4414" s="504" t="s">
        <v>3381</v>
      </c>
      <c r="F4414" s="504" t="s">
        <v>693</v>
      </c>
      <c r="G4414" s="504" t="s">
        <v>694</v>
      </c>
      <c r="H4414" s="504" t="s">
        <v>15564</v>
      </c>
      <c r="I4414" s="504">
        <v>44</v>
      </c>
      <c r="J4414" s="504">
        <v>13</v>
      </c>
      <c r="K4414" s="504">
        <v>0</v>
      </c>
      <c r="L4414" s="504">
        <v>31</v>
      </c>
      <c r="M4414" s="504">
        <v>0</v>
      </c>
      <c r="N4414" s="504">
        <v>0</v>
      </c>
      <c r="O4414" s="505">
        <v>0</v>
      </c>
    </row>
    <row r="4415" spans="1:15" x14ac:dyDescent="0.35">
      <c r="A4415" s="500" t="s">
        <v>1386</v>
      </c>
      <c r="B4415" s="501" t="s">
        <v>3331</v>
      </c>
      <c r="C4415" s="501" t="s">
        <v>1094</v>
      </c>
      <c r="D4415" s="501" t="s">
        <v>3380</v>
      </c>
      <c r="E4415" s="501" t="s">
        <v>3381</v>
      </c>
      <c r="F4415" s="501" t="s">
        <v>695</v>
      </c>
      <c r="G4415" s="501" t="s">
        <v>696</v>
      </c>
      <c r="H4415" s="501" t="s">
        <v>6909</v>
      </c>
      <c r="I4415" s="501">
        <v>54</v>
      </c>
      <c r="J4415" s="501">
        <v>52</v>
      </c>
      <c r="K4415" s="501">
        <v>0</v>
      </c>
      <c r="L4415" s="501">
        <v>0</v>
      </c>
      <c r="M4415" s="501">
        <v>0</v>
      </c>
      <c r="N4415" s="501">
        <v>0</v>
      </c>
      <c r="O4415" s="506">
        <v>2</v>
      </c>
    </row>
    <row r="4416" spans="1:15" x14ac:dyDescent="0.35">
      <c r="A4416" s="503" t="s">
        <v>1091</v>
      </c>
      <c r="B4416" s="504" t="s">
        <v>3288</v>
      </c>
      <c r="C4416" s="504" t="s">
        <v>1089</v>
      </c>
      <c r="D4416" s="504" t="s">
        <v>3392</v>
      </c>
      <c r="E4416" s="504" t="s">
        <v>3381</v>
      </c>
      <c r="F4416" s="504" t="s">
        <v>695</v>
      </c>
      <c r="G4416" s="504" t="s">
        <v>696</v>
      </c>
      <c r="H4416" s="504" t="s">
        <v>6910</v>
      </c>
      <c r="I4416" s="504">
        <v>1</v>
      </c>
      <c r="J4416" s="504">
        <v>0</v>
      </c>
      <c r="K4416" s="504">
        <v>0</v>
      </c>
      <c r="L4416" s="504">
        <v>1</v>
      </c>
      <c r="M4416" s="504">
        <v>0</v>
      </c>
      <c r="N4416" s="504">
        <v>0</v>
      </c>
      <c r="O4416" s="505">
        <v>0</v>
      </c>
    </row>
    <row r="4417" spans="1:15" x14ac:dyDescent="0.35">
      <c r="A4417" s="500" t="s">
        <v>1093</v>
      </c>
      <c r="B4417" s="501" t="s">
        <v>3248</v>
      </c>
      <c r="C4417" s="501" t="s">
        <v>1094</v>
      </c>
      <c r="D4417" s="501" t="s">
        <v>3380</v>
      </c>
      <c r="E4417" s="501" t="s">
        <v>3381</v>
      </c>
      <c r="F4417" s="501" t="s">
        <v>695</v>
      </c>
      <c r="G4417" s="501" t="s">
        <v>696</v>
      </c>
      <c r="H4417" s="501" t="s">
        <v>6911</v>
      </c>
      <c r="I4417" s="501">
        <v>1</v>
      </c>
      <c r="J4417" s="501">
        <v>1</v>
      </c>
      <c r="K4417" s="501">
        <v>0</v>
      </c>
      <c r="L4417" s="501">
        <v>0</v>
      </c>
      <c r="M4417" s="501">
        <v>0</v>
      </c>
      <c r="N4417" s="501">
        <v>0</v>
      </c>
      <c r="O4417" s="506">
        <v>0</v>
      </c>
    </row>
    <row r="4418" spans="1:15" x14ac:dyDescent="0.35">
      <c r="A4418" s="503" t="s">
        <v>1096</v>
      </c>
      <c r="B4418" s="504" t="s">
        <v>3326</v>
      </c>
      <c r="C4418" s="504" t="s">
        <v>1094</v>
      </c>
      <c r="D4418" s="504" t="s">
        <v>3380</v>
      </c>
      <c r="E4418" s="504" t="s">
        <v>3381</v>
      </c>
      <c r="F4418" s="504" t="s">
        <v>695</v>
      </c>
      <c r="G4418" s="504" t="s">
        <v>696</v>
      </c>
      <c r="H4418" s="504" t="s">
        <v>6912</v>
      </c>
      <c r="I4418" s="504">
        <v>86</v>
      </c>
      <c r="J4418" s="504">
        <v>0</v>
      </c>
      <c r="K4418" s="504">
        <v>0</v>
      </c>
      <c r="L4418" s="504">
        <v>0</v>
      </c>
      <c r="M4418" s="504">
        <v>86</v>
      </c>
      <c r="N4418" s="504">
        <v>0</v>
      </c>
      <c r="O4418" s="505">
        <v>0</v>
      </c>
    </row>
    <row r="4419" spans="1:15" x14ac:dyDescent="0.35">
      <c r="A4419" s="500" t="s">
        <v>1410</v>
      </c>
      <c r="B4419" s="501" t="s">
        <v>2868</v>
      </c>
      <c r="C4419" s="501" t="s">
        <v>1094</v>
      </c>
      <c r="D4419" s="501" t="s">
        <v>3380</v>
      </c>
      <c r="E4419" s="501" t="s">
        <v>3381</v>
      </c>
      <c r="F4419" s="501" t="s">
        <v>695</v>
      </c>
      <c r="G4419" s="501" t="s">
        <v>696</v>
      </c>
      <c r="H4419" s="501" t="s">
        <v>6913</v>
      </c>
      <c r="I4419" s="501">
        <v>78</v>
      </c>
      <c r="J4419" s="501">
        <v>0</v>
      </c>
      <c r="K4419" s="501">
        <v>0</v>
      </c>
      <c r="L4419" s="501">
        <v>0</v>
      </c>
      <c r="M4419" s="501">
        <v>78</v>
      </c>
      <c r="N4419" s="501">
        <v>0</v>
      </c>
      <c r="O4419" s="506">
        <v>0</v>
      </c>
    </row>
    <row r="4420" spans="1:15" x14ac:dyDescent="0.35">
      <c r="A4420" s="503" t="s">
        <v>1100</v>
      </c>
      <c r="B4420" s="504">
        <v>4865</v>
      </c>
      <c r="C4420" s="504" t="s">
        <v>1094</v>
      </c>
      <c r="D4420" s="504" t="s">
        <v>3380</v>
      </c>
      <c r="E4420" s="504" t="s">
        <v>3381</v>
      </c>
      <c r="F4420" s="504" t="s">
        <v>695</v>
      </c>
      <c r="G4420" s="504" t="s">
        <v>696</v>
      </c>
      <c r="H4420" s="504" t="s">
        <v>6914</v>
      </c>
      <c r="I4420" s="504">
        <v>282</v>
      </c>
      <c r="J4420" s="504">
        <v>208</v>
      </c>
      <c r="K4420" s="504">
        <v>0</v>
      </c>
      <c r="L4420" s="504">
        <v>0</v>
      </c>
      <c r="M4420" s="504">
        <v>0</v>
      </c>
      <c r="N4420" s="504">
        <v>0</v>
      </c>
      <c r="O4420" s="505">
        <v>74</v>
      </c>
    </row>
    <row r="4421" spans="1:15" x14ac:dyDescent="0.35">
      <c r="A4421" s="500" t="s">
        <v>14208</v>
      </c>
      <c r="B4421" s="501">
        <v>4803</v>
      </c>
      <c r="C4421" s="501" t="s">
        <v>1094</v>
      </c>
      <c r="D4421" s="501" t="s">
        <v>3380</v>
      </c>
      <c r="E4421" s="501" t="s">
        <v>3381</v>
      </c>
      <c r="F4421" s="501" t="s">
        <v>695</v>
      </c>
      <c r="G4421" s="501" t="s">
        <v>696</v>
      </c>
      <c r="H4421" s="501" t="s">
        <v>14777</v>
      </c>
      <c r="I4421" s="501">
        <v>2</v>
      </c>
      <c r="J4421" s="501">
        <v>0</v>
      </c>
      <c r="K4421" s="501">
        <v>0</v>
      </c>
      <c r="L4421" s="501">
        <v>2</v>
      </c>
      <c r="M4421" s="501">
        <v>0</v>
      </c>
      <c r="N4421" s="501">
        <v>0</v>
      </c>
      <c r="O4421" s="506">
        <v>0</v>
      </c>
    </row>
    <row r="4422" spans="1:15" x14ac:dyDescent="0.35">
      <c r="A4422" s="503" t="s">
        <v>1185</v>
      </c>
      <c r="B4422" s="504" t="s">
        <v>3253</v>
      </c>
      <c r="C4422" s="504" t="s">
        <v>1094</v>
      </c>
      <c r="D4422" s="504" t="s">
        <v>3380</v>
      </c>
      <c r="E4422" s="504" t="s">
        <v>3381</v>
      </c>
      <c r="F4422" s="504" t="s">
        <v>695</v>
      </c>
      <c r="G4422" s="504" t="s">
        <v>696</v>
      </c>
      <c r="H4422" s="504" t="s">
        <v>6915</v>
      </c>
      <c r="I4422" s="504">
        <v>23</v>
      </c>
      <c r="J4422" s="504">
        <v>0</v>
      </c>
      <c r="K4422" s="504">
        <v>0</v>
      </c>
      <c r="L4422" s="504">
        <v>23</v>
      </c>
      <c r="M4422" s="504">
        <v>0</v>
      </c>
      <c r="N4422" s="504">
        <v>0</v>
      </c>
      <c r="O4422" s="505">
        <v>0</v>
      </c>
    </row>
    <row r="4423" spans="1:15" x14ac:dyDescent="0.35">
      <c r="A4423" s="500" t="s">
        <v>1107</v>
      </c>
      <c r="B4423" s="501" t="s">
        <v>3109</v>
      </c>
      <c r="C4423" s="501" t="s">
        <v>1094</v>
      </c>
      <c r="D4423" s="501" t="s">
        <v>3380</v>
      </c>
      <c r="E4423" s="501" t="s">
        <v>3381</v>
      </c>
      <c r="F4423" s="501" t="s">
        <v>695</v>
      </c>
      <c r="G4423" s="501" t="s">
        <v>696</v>
      </c>
      <c r="H4423" s="501" t="s">
        <v>6916</v>
      </c>
      <c r="I4423" s="501">
        <v>39</v>
      </c>
      <c r="J4423" s="501">
        <v>39</v>
      </c>
      <c r="K4423" s="501">
        <v>0</v>
      </c>
      <c r="L4423" s="501">
        <v>0</v>
      </c>
      <c r="M4423" s="501">
        <v>0</v>
      </c>
      <c r="N4423" s="501">
        <v>0</v>
      </c>
      <c r="O4423" s="506">
        <v>0</v>
      </c>
    </row>
    <row r="4424" spans="1:15" x14ac:dyDescent="0.35">
      <c r="A4424" s="503" t="s">
        <v>1109</v>
      </c>
      <c r="B4424" s="504" t="s">
        <v>2959</v>
      </c>
      <c r="C4424" s="504" t="s">
        <v>1094</v>
      </c>
      <c r="D4424" s="504" t="s">
        <v>3380</v>
      </c>
      <c r="E4424" s="504" t="s">
        <v>3381</v>
      </c>
      <c r="F4424" s="504" t="s">
        <v>695</v>
      </c>
      <c r="G4424" s="504" t="s">
        <v>696</v>
      </c>
      <c r="H4424" s="504" t="s">
        <v>6917</v>
      </c>
      <c r="I4424" s="504">
        <v>33</v>
      </c>
      <c r="J4424" s="504">
        <v>0</v>
      </c>
      <c r="K4424" s="504">
        <v>0</v>
      </c>
      <c r="L4424" s="504">
        <v>0</v>
      </c>
      <c r="M4424" s="504">
        <v>33</v>
      </c>
      <c r="N4424" s="504">
        <v>0</v>
      </c>
      <c r="O4424" s="505">
        <v>0</v>
      </c>
    </row>
    <row r="4425" spans="1:15" x14ac:dyDescent="0.35">
      <c r="A4425" s="500" t="s">
        <v>1474</v>
      </c>
      <c r="B4425" s="501" t="s">
        <v>3300</v>
      </c>
      <c r="C4425" s="501" t="s">
        <v>1094</v>
      </c>
      <c r="D4425" s="501" t="s">
        <v>3380</v>
      </c>
      <c r="E4425" s="501" t="s">
        <v>3381</v>
      </c>
      <c r="F4425" s="501" t="s">
        <v>695</v>
      </c>
      <c r="G4425" s="501" t="s">
        <v>696</v>
      </c>
      <c r="H4425" s="501" t="s">
        <v>6918</v>
      </c>
      <c r="I4425" s="501">
        <v>10</v>
      </c>
      <c r="J4425" s="501">
        <v>10</v>
      </c>
      <c r="K4425" s="501">
        <v>0</v>
      </c>
      <c r="L4425" s="501">
        <v>0</v>
      </c>
      <c r="M4425" s="501">
        <v>0</v>
      </c>
      <c r="N4425" s="501">
        <v>0</v>
      </c>
      <c r="O4425" s="506">
        <v>0</v>
      </c>
    </row>
    <row r="4426" spans="1:15" x14ac:dyDescent="0.35">
      <c r="A4426" s="503" t="s">
        <v>1479</v>
      </c>
      <c r="B4426" s="504" t="s">
        <v>3240</v>
      </c>
      <c r="C4426" s="504" t="s">
        <v>1089</v>
      </c>
      <c r="D4426" s="504" t="s">
        <v>3392</v>
      </c>
      <c r="E4426" s="504" t="s">
        <v>3381</v>
      </c>
      <c r="F4426" s="504" t="s">
        <v>695</v>
      </c>
      <c r="G4426" s="504" t="s">
        <v>696</v>
      </c>
      <c r="H4426" s="504" t="s">
        <v>6919</v>
      </c>
      <c r="I4426" s="504">
        <v>16</v>
      </c>
      <c r="J4426" s="504">
        <v>0</v>
      </c>
      <c r="K4426" s="504">
        <v>0</v>
      </c>
      <c r="L4426" s="504">
        <v>16</v>
      </c>
      <c r="M4426" s="504">
        <v>0</v>
      </c>
      <c r="N4426" s="504">
        <v>0</v>
      </c>
      <c r="O4426" s="505">
        <v>0</v>
      </c>
    </row>
    <row r="4427" spans="1:15" x14ac:dyDescent="0.35">
      <c r="A4427" s="500" t="s">
        <v>1482</v>
      </c>
      <c r="B4427" s="501" t="s">
        <v>3014</v>
      </c>
      <c r="C4427" s="501" t="s">
        <v>1089</v>
      </c>
      <c r="D4427" s="501" t="s">
        <v>3392</v>
      </c>
      <c r="E4427" s="501" t="s">
        <v>3381</v>
      </c>
      <c r="F4427" s="501" t="s">
        <v>695</v>
      </c>
      <c r="G4427" s="501" t="s">
        <v>696</v>
      </c>
      <c r="H4427" s="501" t="s">
        <v>6920</v>
      </c>
      <c r="I4427" s="501">
        <v>201</v>
      </c>
      <c r="J4427" s="501">
        <v>184</v>
      </c>
      <c r="K4427" s="501">
        <v>0</v>
      </c>
      <c r="L4427" s="501">
        <v>0</v>
      </c>
      <c r="M4427" s="501">
        <v>17</v>
      </c>
      <c r="N4427" s="501">
        <v>0</v>
      </c>
      <c r="O4427" s="506">
        <v>0</v>
      </c>
    </row>
    <row r="4428" spans="1:15" x14ac:dyDescent="0.35">
      <c r="A4428" s="503" t="s">
        <v>1202</v>
      </c>
      <c r="B4428" s="504" t="s">
        <v>3217</v>
      </c>
      <c r="C4428" s="504" t="s">
        <v>1094</v>
      </c>
      <c r="D4428" s="504" t="s">
        <v>3380</v>
      </c>
      <c r="E4428" s="504" t="s">
        <v>3381</v>
      </c>
      <c r="F4428" s="504" t="s">
        <v>695</v>
      </c>
      <c r="G4428" s="504" t="s">
        <v>696</v>
      </c>
      <c r="H4428" s="504" t="s">
        <v>6921</v>
      </c>
      <c r="I4428" s="504">
        <v>356</v>
      </c>
      <c r="J4428" s="504">
        <v>289</v>
      </c>
      <c r="K4428" s="504">
        <v>0</v>
      </c>
      <c r="L4428" s="504">
        <v>0</v>
      </c>
      <c r="M4428" s="504">
        <v>0</v>
      </c>
      <c r="N4428" s="504">
        <v>0</v>
      </c>
      <c r="O4428" s="505">
        <v>67</v>
      </c>
    </row>
    <row r="4429" spans="1:15" x14ac:dyDescent="0.35">
      <c r="A4429" s="500" t="s">
        <v>1112</v>
      </c>
      <c r="B4429" s="501" t="s">
        <v>3008</v>
      </c>
      <c r="C4429" s="501" t="s">
        <v>1094</v>
      </c>
      <c r="D4429" s="501" t="s">
        <v>3380</v>
      </c>
      <c r="E4429" s="501" t="s">
        <v>3381</v>
      </c>
      <c r="F4429" s="501" t="s">
        <v>695</v>
      </c>
      <c r="G4429" s="501" t="s">
        <v>696</v>
      </c>
      <c r="H4429" s="501" t="s">
        <v>6922</v>
      </c>
      <c r="I4429" s="501">
        <v>172</v>
      </c>
      <c r="J4429" s="501">
        <v>121</v>
      </c>
      <c r="K4429" s="501">
        <v>0</v>
      </c>
      <c r="L4429" s="501">
        <v>0</v>
      </c>
      <c r="M4429" s="501">
        <v>0</v>
      </c>
      <c r="N4429" s="501">
        <v>0</v>
      </c>
      <c r="O4429" s="506">
        <v>51</v>
      </c>
    </row>
    <row r="4430" spans="1:15" x14ac:dyDescent="0.35">
      <c r="A4430" s="503" t="s">
        <v>1498</v>
      </c>
      <c r="B4430" s="504" t="s">
        <v>3138</v>
      </c>
      <c r="C4430" s="504" t="s">
        <v>1089</v>
      </c>
      <c r="D4430" s="504" t="s">
        <v>3392</v>
      </c>
      <c r="E4430" s="504" t="s">
        <v>3381</v>
      </c>
      <c r="F4430" s="504" t="s">
        <v>695</v>
      </c>
      <c r="G4430" s="504" t="s">
        <v>696</v>
      </c>
      <c r="H4430" s="504" t="s">
        <v>6923</v>
      </c>
      <c r="I4430" s="504">
        <v>5</v>
      </c>
      <c r="J4430" s="504">
        <v>5</v>
      </c>
      <c r="K4430" s="504">
        <v>0</v>
      </c>
      <c r="L4430" s="504">
        <v>0</v>
      </c>
      <c r="M4430" s="504">
        <v>0</v>
      </c>
      <c r="N4430" s="504">
        <v>0</v>
      </c>
      <c r="O4430" s="505">
        <v>0</v>
      </c>
    </row>
    <row r="4431" spans="1:15" x14ac:dyDescent="0.35">
      <c r="A4431" s="500" t="s">
        <v>1501</v>
      </c>
      <c r="B4431" s="501" t="s">
        <v>2956</v>
      </c>
      <c r="C4431" s="501" t="s">
        <v>1094</v>
      </c>
      <c r="D4431" s="501" t="s">
        <v>3380</v>
      </c>
      <c r="E4431" s="501" t="s">
        <v>3381</v>
      </c>
      <c r="F4431" s="501" t="s">
        <v>695</v>
      </c>
      <c r="G4431" s="501" t="s">
        <v>696</v>
      </c>
      <c r="H4431" s="501" t="s">
        <v>6924</v>
      </c>
      <c r="I4431" s="501">
        <v>24</v>
      </c>
      <c r="J4431" s="501">
        <v>24</v>
      </c>
      <c r="K4431" s="501">
        <v>0</v>
      </c>
      <c r="L4431" s="501">
        <v>0</v>
      </c>
      <c r="M4431" s="501">
        <v>0</v>
      </c>
      <c r="N4431" s="501">
        <v>0</v>
      </c>
      <c r="O4431" s="506">
        <v>0</v>
      </c>
    </row>
    <row r="4432" spans="1:15" x14ac:dyDescent="0.35">
      <c r="A4432" s="503" t="s">
        <v>1315</v>
      </c>
      <c r="B4432" s="504">
        <v>4825</v>
      </c>
      <c r="C4432" s="504" t="s">
        <v>1094</v>
      </c>
      <c r="D4432" s="504" t="s">
        <v>3380</v>
      </c>
      <c r="E4432" s="504" t="s">
        <v>3381</v>
      </c>
      <c r="F4432" s="504" t="s">
        <v>695</v>
      </c>
      <c r="G4432" s="504" t="s">
        <v>696</v>
      </c>
      <c r="H4432" s="504" t="s">
        <v>6925</v>
      </c>
      <c r="I4432" s="504">
        <v>11</v>
      </c>
      <c r="J4432" s="504">
        <v>11</v>
      </c>
      <c r="K4432" s="504">
        <v>0</v>
      </c>
      <c r="L4432" s="504">
        <v>0</v>
      </c>
      <c r="M4432" s="504">
        <v>0</v>
      </c>
      <c r="N4432" s="504">
        <v>1</v>
      </c>
      <c r="O4432" s="505">
        <v>0</v>
      </c>
    </row>
    <row r="4433" spans="1:15" x14ac:dyDescent="0.35">
      <c r="A4433" s="500" t="s">
        <v>1120</v>
      </c>
      <c r="B4433" s="501" t="s">
        <v>3362</v>
      </c>
      <c r="C4433" s="501" t="s">
        <v>1094</v>
      </c>
      <c r="D4433" s="501" t="s">
        <v>3380</v>
      </c>
      <c r="E4433" s="501" t="s">
        <v>3381</v>
      </c>
      <c r="F4433" s="501" t="s">
        <v>695</v>
      </c>
      <c r="G4433" s="501" t="s">
        <v>696</v>
      </c>
      <c r="H4433" s="501" t="s">
        <v>6926</v>
      </c>
      <c r="I4433" s="501">
        <v>13</v>
      </c>
      <c r="J4433" s="501">
        <v>0</v>
      </c>
      <c r="K4433" s="501">
        <v>0</v>
      </c>
      <c r="L4433" s="501">
        <v>0</v>
      </c>
      <c r="M4433" s="501">
        <v>0</v>
      </c>
      <c r="N4433" s="501">
        <v>0</v>
      </c>
      <c r="O4433" s="506">
        <v>13</v>
      </c>
    </row>
    <row r="4434" spans="1:15" x14ac:dyDescent="0.35">
      <c r="A4434" s="503" t="s">
        <v>1322</v>
      </c>
      <c r="B4434" s="504" t="s">
        <v>3244</v>
      </c>
      <c r="C4434" s="504" t="s">
        <v>1094</v>
      </c>
      <c r="D4434" s="504" t="s">
        <v>3380</v>
      </c>
      <c r="E4434" s="504" t="s">
        <v>3381</v>
      </c>
      <c r="F4434" s="504" t="s">
        <v>695</v>
      </c>
      <c r="G4434" s="504" t="s">
        <v>696</v>
      </c>
      <c r="H4434" s="504" t="s">
        <v>6927</v>
      </c>
      <c r="I4434" s="504">
        <v>29</v>
      </c>
      <c r="J4434" s="504">
        <v>11</v>
      </c>
      <c r="K4434" s="504">
        <v>5</v>
      </c>
      <c r="L4434" s="504">
        <v>12</v>
      </c>
      <c r="M4434" s="504">
        <v>0</v>
      </c>
      <c r="N4434" s="504">
        <v>0</v>
      </c>
      <c r="O4434" s="505">
        <v>1</v>
      </c>
    </row>
    <row r="4435" spans="1:15" x14ac:dyDescent="0.35">
      <c r="A4435" s="500" t="s">
        <v>1217</v>
      </c>
      <c r="B4435" s="501">
        <v>4851</v>
      </c>
      <c r="C4435" s="501" t="s">
        <v>1094</v>
      </c>
      <c r="D4435" s="501" t="s">
        <v>3380</v>
      </c>
      <c r="E4435" s="501" t="s">
        <v>3381</v>
      </c>
      <c r="F4435" s="501" t="s">
        <v>695</v>
      </c>
      <c r="G4435" s="501" t="s">
        <v>696</v>
      </c>
      <c r="H4435" s="501" t="s">
        <v>6928</v>
      </c>
      <c r="I4435" s="501">
        <v>83</v>
      </c>
      <c r="J4435" s="501">
        <v>4</v>
      </c>
      <c r="K4435" s="501">
        <v>78</v>
      </c>
      <c r="L4435" s="501">
        <v>0</v>
      </c>
      <c r="M4435" s="501">
        <v>0</v>
      </c>
      <c r="N4435" s="501">
        <v>0</v>
      </c>
      <c r="O4435" s="506">
        <v>1</v>
      </c>
    </row>
    <row r="4436" spans="1:15" x14ac:dyDescent="0.35">
      <c r="A4436" s="503" t="s">
        <v>1325</v>
      </c>
      <c r="B4436" s="504" t="s">
        <v>3011</v>
      </c>
      <c r="C4436" s="504" t="s">
        <v>1094</v>
      </c>
      <c r="D4436" s="504" t="s">
        <v>3380</v>
      </c>
      <c r="E4436" s="504" t="s">
        <v>3381</v>
      </c>
      <c r="F4436" s="504" t="s">
        <v>695</v>
      </c>
      <c r="G4436" s="504" t="s">
        <v>696</v>
      </c>
      <c r="H4436" s="504" t="s">
        <v>6929</v>
      </c>
      <c r="I4436" s="504">
        <v>1</v>
      </c>
      <c r="J4436" s="504">
        <v>0</v>
      </c>
      <c r="K4436" s="504">
        <v>0</v>
      </c>
      <c r="L4436" s="504">
        <v>0</v>
      </c>
      <c r="M4436" s="504">
        <v>0</v>
      </c>
      <c r="N4436" s="504">
        <v>0</v>
      </c>
      <c r="O4436" s="505">
        <v>1</v>
      </c>
    </row>
    <row r="4437" spans="1:15" x14ac:dyDescent="0.35">
      <c r="A4437" s="500" t="s">
        <v>1220</v>
      </c>
      <c r="B4437" s="501">
        <v>4849</v>
      </c>
      <c r="C4437" s="501" t="s">
        <v>1094</v>
      </c>
      <c r="D4437" s="501" t="s">
        <v>3380</v>
      </c>
      <c r="E4437" s="501" t="s">
        <v>3381</v>
      </c>
      <c r="F4437" s="501" t="s">
        <v>695</v>
      </c>
      <c r="G4437" s="501" t="s">
        <v>696</v>
      </c>
      <c r="H4437" s="501" t="s">
        <v>6930</v>
      </c>
      <c r="I4437" s="501">
        <v>877</v>
      </c>
      <c r="J4437" s="501">
        <v>741</v>
      </c>
      <c r="K4437" s="501">
        <v>0</v>
      </c>
      <c r="L4437" s="501">
        <v>44</v>
      </c>
      <c r="M4437" s="501">
        <v>0</v>
      </c>
      <c r="N4437" s="501">
        <v>0</v>
      </c>
      <c r="O4437" s="506">
        <v>92</v>
      </c>
    </row>
    <row r="4438" spans="1:15" x14ac:dyDescent="0.35">
      <c r="A4438" s="503" t="s">
        <v>1329</v>
      </c>
      <c r="B4438" s="504">
        <v>5056</v>
      </c>
      <c r="C4438" s="504" t="s">
        <v>1089</v>
      </c>
      <c r="D4438" s="504" t="s">
        <v>3392</v>
      </c>
      <c r="E4438" s="504" t="s">
        <v>3381</v>
      </c>
      <c r="F4438" s="504" t="s">
        <v>695</v>
      </c>
      <c r="G4438" s="504" t="s">
        <v>696</v>
      </c>
      <c r="H4438" s="504" t="s">
        <v>14778</v>
      </c>
      <c r="I4438" s="504">
        <v>9</v>
      </c>
      <c r="J4438" s="504">
        <v>9</v>
      </c>
      <c r="K4438" s="504">
        <v>0</v>
      </c>
      <c r="L4438" s="504">
        <v>0</v>
      </c>
      <c r="M4438" s="504">
        <v>0</v>
      </c>
      <c r="N4438" s="504">
        <v>0</v>
      </c>
      <c r="O4438" s="505">
        <v>0</v>
      </c>
    </row>
    <row r="4439" spans="1:15" x14ac:dyDescent="0.35">
      <c r="A4439" s="500" t="s">
        <v>1122</v>
      </c>
      <c r="B4439" s="501" t="s">
        <v>2994</v>
      </c>
      <c r="C4439" s="501" t="s">
        <v>1094</v>
      </c>
      <c r="D4439" s="501" t="s">
        <v>3380</v>
      </c>
      <c r="E4439" s="501" t="s">
        <v>3381</v>
      </c>
      <c r="F4439" s="501" t="s">
        <v>695</v>
      </c>
      <c r="G4439" s="501" t="s">
        <v>696</v>
      </c>
      <c r="H4439" s="501" t="s">
        <v>6931</v>
      </c>
      <c r="I4439" s="501">
        <v>18</v>
      </c>
      <c r="J4439" s="501">
        <v>16</v>
      </c>
      <c r="K4439" s="501">
        <v>0</v>
      </c>
      <c r="L4439" s="501">
        <v>0</v>
      </c>
      <c r="M4439" s="501">
        <v>0</v>
      </c>
      <c r="N4439" s="501">
        <v>0</v>
      </c>
      <c r="O4439" s="506">
        <v>2</v>
      </c>
    </row>
    <row r="4440" spans="1:15" x14ac:dyDescent="0.35">
      <c r="A4440" s="503" t="s">
        <v>1124</v>
      </c>
      <c r="B4440" s="504">
        <v>4745</v>
      </c>
      <c r="C4440" s="504" t="s">
        <v>1094</v>
      </c>
      <c r="D4440" s="504" t="s">
        <v>3380</v>
      </c>
      <c r="E4440" s="504" t="s">
        <v>3381</v>
      </c>
      <c r="F4440" s="504" t="s">
        <v>695</v>
      </c>
      <c r="G4440" s="504" t="s">
        <v>696</v>
      </c>
      <c r="H4440" s="504" t="s">
        <v>6932</v>
      </c>
      <c r="I4440" s="504">
        <v>41</v>
      </c>
      <c r="J4440" s="504">
        <v>0</v>
      </c>
      <c r="K4440" s="504">
        <v>0</v>
      </c>
      <c r="L4440" s="504">
        <v>41</v>
      </c>
      <c r="M4440" s="504">
        <v>0</v>
      </c>
      <c r="N4440" s="504">
        <v>0</v>
      </c>
      <c r="O4440" s="505">
        <v>0</v>
      </c>
    </row>
    <row r="4441" spans="1:15" x14ac:dyDescent="0.35">
      <c r="A4441" s="500" t="s">
        <v>1539</v>
      </c>
      <c r="B4441" s="501" t="s">
        <v>3171</v>
      </c>
      <c r="C4441" s="501" t="s">
        <v>1094</v>
      </c>
      <c r="D4441" s="501" t="s">
        <v>3380</v>
      </c>
      <c r="E4441" s="501" t="s">
        <v>3381</v>
      </c>
      <c r="F4441" s="501" t="s">
        <v>695</v>
      </c>
      <c r="G4441" s="501" t="s">
        <v>696</v>
      </c>
      <c r="H4441" s="501" t="s">
        <v>6933</v>
      </c>
      <c r="I4441" s="501">
        <v>251</v>
      </c>
      <c r="J4441" s="501">
        <v>239</v>
      </c>
      <c r="K4441" s="501">
        <v>0</v>
      </c>
      <c r="L4441" s="501">
        <v>0</v>
      </c>
      <c r="M4441" s="501">
        <v>0</v>
      </c>
      <c r="N4441" s="501">
        <v>0</v>
      </c>
      <c r="O4441" s="506">
        <v>12</v>
      </c>
    </row>
    <row r="4442" spans="1:15" x14ac:dyDescent="0.35">
      <c r="A4442" s="503" t="s">
        <v>1233</v>
      </c>
      <c r="B4442" s="504">
        <v>4636</v>
      </c>
      <c r="C4442" s="504" t="s">
        <v>1094</v>
      </c>
      <c r="D4442" s="504" t="s">
        <v>3380</v>
      </c>
      <c r="E4442" s="504" t="s">
        <v>3381</v>
      </c>
      <c r="F4442" s="504" t="s">
        <v>695</v>
      </c>
      <c r="G4442" s="504" t="s">
        <v>696</v>
      </c>
      <c r="H4442" s="504" t="s">
        <v>12016</v>
      </c>
      <c r="I4442" s="504">
        <v>3</v>
      </c>
      <c r="J4442" s="504">
        <v>0</v>
      </c>
      <c r="K4442" s="504">
        <v>0</v>
      </c>
      <c r="L4442" s="504">
        <v>0</v>
      </c>
      <c r="M4442" s="504">
        <v>0</v>
      </c>
      <c r="N4442" s="504">
        <v>0</v>
      </c>
      <c r="O4442" s="505">
        <v>3</v>
      </c>
    </row>
    <row r="4443" spans="1:15" x14ac:dyDescent="0.35">
      <c r="A4443" s="500" t="s">
        <v>11368</v>
      </c>
      <c r="B4443" s="501">
        <v>5083</v>
      </c>
      <c r="C4443" s="501" t="s">
        <v>1094</v>
      </c>
      <c r="D4443" s="501" t="s">
        <v>3380</v>
      </c>
      <c r="E4443" s="501" t="s">
        <v>3381</v>
      </c>
      <c r="F4443" s="501" t="s">
        <v>695</v>
      </c>
      <c r="G4443" s="501" t="s">
        <v>696</v>
      </c>
      <c r="H4443" s="501" t="s">
        <v>14779</v>
      </c>
      <c r="I4443" s="501">
        <v>6</v>
      </c>
      <c r="J4443" s="501">
        <v>6</v>
      </c>
      <c r="K4443" s="501">
        <v>0</v>
      </c>
      <c r="L4443" s="501">
        <v>0</v>
      </c>
      <c r="M4443" s="501">
        <v>0</v>
      </c>
      <c r="N4443" s="501">
        <v>0</v>
      </c>
      <c r="O4443" s="506">
        <v>0</v>
      </c>
    </row>
    <row r="4444" spans="1:15" x14ac:dyDescent="0.35">
      <c r="A4444" s="503" t="s">
        <v>1342</v>
      </c>
      <c r="B4444" s="504" t="s">
        <v>3237</v>
      </c>
      <c r="C4444" s="504" t="s">
        <v>1094</v>
      </c>
      <c r="D4444" s="504" t="s">
        <v>3380</v>
      </c>
      <c r="E4444" s="504" t="s">
        <v>3381</v>
      </c>
      <c r="F4444" s="504" t="s">
        <v>695</v>
      </c>
      <c r="G4444" s="504" t="s">
        <v>696</v>
      </c>
      <c r="H4444" s="504" t="s">
        <v>6934</v>
      </c>
      <c r="I4444" s="504">
        <v>6</v>
      </c>
      <c r="J4444" s="504">
        <v>1</v>
      </c>
      <c r="K4444" s="504">
        <v>0</v>
      </c>
      <c r="L4444" s="504">
        <v>0</v>
      </c>
      <c r="M4444" s="504">
        <v>0</v>
      </c>
      <c r="N4444" s="504">
        <v>0</v>
      </c>
      <c r="O4444" s="505">
        <v>5</v>
      </c>
    </row>
    <row r="4445" spans="1:15" x14ac:dyDescent="0.35">
      <c r="A4445" s="500" t="s">
        <v>1559</v>
      </c>
      <c r="B4445" s="501" t="s">
        <v>3252</v>
      </c>
      <c r="C4445" s="501" t="s">
        <v>1089</v>
      </c>
      <c r="D4445" s="501" t="s">
        <v>3392</v>
      </c>
      <c r="E4445" s="501" t="s">
        <v>3381</v>
      </c>
      <c r="F4445" s="501" t="s">
        <v>695</v>
      </c>
      <c r="G4445" s="501" t="s">
        <v>696</v>
      </c>
      <c r="H4445" s="501" t="s">
        <v>6935</v>
      </c>
      <c r="I4445" s="501">
        <v>77</v>
      </c>
      <c r="J4445" s="501">
        <v>77</v>
      </c>
      <c r="K4445" s="501">
        <v>0</v>
      </c>
      <c r="L4445" s="501">
        <v>0</v>
      </c>
      <c r="M4445" s="501">
        <v>0</v>
      </c>
      <c r="N4445" s="501">
        <v>0</v>
      </c>
      <c r="O4445" s="506">
        <v>0</v>
      </c>
    </row>
    <row r="4446" spans="1:15" x14ac:dyDescent="0.35">
      <c r="A4446" s="503" t="s">
        <v>1575</v>
      </c>
      <c r="B4446" s="504" t="s">
        <v>3349</v>
      </c>
      <c r="C4446" s="504" t="s">
        <v>1089</v>
      </c>
      <c r="D4446" s="504" t="s">
        <v>3392</v>
      </c>
      <c r="E4446" s="504" t="s">
        <v>3381</v>
      </c>
      <c r="F4446" s="504" t="s">
        <v>695</v>
      </c>
      <c r="G4446" s="504" t="s">
        <v>696</v>
      </c>
      <c r="H4446" s="504" t="s">
        <v>6936</v>
      </c>
      <c r="I4446" s="504">
        <v>10</v>
      </c>
      <c r="J4446" s="504">
        <v>0</v>
      </c>
      <c r="K4446" s="504">
        <v>10</v>
      </c>
      <c r="L4446" s="504">
        <v>0</v>
      </c>
      <c r="M4446" s="504">
        <v>0</v>
      </c>
      <c r="N4446" s="504">
        <v>0</v>
      </c>
      <c r="O4446" s="505">
        <v>0</v>
      </c>
    </row>
    <row r="4447" spans="1:15" x14ac:dyDescent="0.35">
      <c r="A4447" s="500" t="s">
        <v>1587</v>
      </c>
      <c r="B4447" s="501" t="s">
        <v>2978</v>
      </c>
      <c r="C4447" s="501" t="s">
        <v>1094</v>
      </c>
      <c r="D4447" s="501" t="s">
        <v>3380</v>
      </c>
      <c r="E4447" s="501" t="s">
        <v>3381</v>
      </c>
      <c r="F4447" s="501" t="s">
        <v>695</v>
      </c>
      <c r="G4447" s="501" t="s">
        <v>696</v>
      </c>
      <c r="H4447" s="501" t="s">
        <v>6937</v>
      </c>
      <c r="I4447" s="501">
        <v>159</v>
      </c>
      <c r="J4447" s="501">
        <v>83</v>
      </c>
      <c r="K4447" s="501">
        <v>0</v>
      </c>
      <c r="L4447" s="501">
        <v>0</v>
      </c>
      <c r="M4447" s="501">
        <v>0</v>
      </c>
      <c r="N4447" s="501">
        <v>5</v>
      </c>
      <c r="O4447" s="506">
        <v>76</v>
      </c>
    </row>
    <row r="4448" spans="1:15" x14ac:dyDescent="0.35">
      <c r="A4448" s="503" t="s">
        <v>1262</v>
      </c>
      <c r="B4448" s="504">
        <v>4772</v>
      </c>
      <c r="C4448" s="504" t="s">
        <v>1089</v>
      </c>
      <c r="D4448" s="504" t="s">
        <v>3392</v>
      </c>
      <c r="E4448" s="504" t="s">
        <v>3381</v>
      </c>
      <c r="F4448" s="504" t="s">
        <v>695</v>
      </c>
      <c r="G4448" s="504" t="s">
        <v>696</v>
      </c>
      <c r="H4448" s="504" t="s">
        <v>6938</v>
      </c>
      <c r="I4448" s="504">
        <v>3</v>
      </c>
      <c r="J4448" s="504">
        <v>0</v>
      </c>
      <c r="K4448" s="504">
        <v>0</v>
      </c>
      <c r="L4448" s="504">
        <v>3</v>
      </c>
      <c r="M4448" s="504">
        <v>0</v>
      </c>
      <c r="N4448" s="504">
        <v>0</v>
      </c>
      <c r="O4448" s="505">
        <v>0</v>
      </c>
    </row>
    <row r="4449" spans="1:15" x14ac:dyDescent="0.35">
      <c r="A4449" s="500" t="s">
        <v>1607</v>
      </c>
      <c r="B4449" s="501" t="s">
        <v>3324</v>
      </c>
      <c r="C4449" s="501" t="s">
        <v>1094</v>
      </c>
      <c r="D4449" s="501" t="s">
        <v>3392</v>
      </c>
      <c r="E4449" s="501" t="s">
        <v>3381</v>
      </c>
      <c r="F4449" s="501" t="s">
        <v>695</v>
      </c>
      <c r="G4449" s="501" t="s">
        <v>696</v>
      </c>
      <c r="H4449" s="501" t="s">
        <v>6939</v>
      </c>
      <c r="I4449" s="501">
        <v>150</v>
      </c>
      <c r="J4449" s="501">
        <v>0</v>
      </c>
      <c r="K4449" s="501">
        <v>0</v>
      </c>
      <c r="L4449" s="501">
        <v>150</v>
      </c>
      <c r="M4449" s="501">
        <v>0</v>
      </c>
      <c r="N4449" s="501">
        <v>0</v>
      </c>
      <c r="O4449" s="506">
        <v>0</v>
      </c>
    </row>
    <row r="4450" spans="1:15" x14ac:dyDescent="0.35">
      <c r="A4450" s="503" t="s">
        <v>1193</v>
      </c>
      <c r="B4450" s="504" t="s">
        <v>3039</v>
      </c>
      <c r="C4450" s="504" t="s">
        <v>1094</v>
      </c>
      <c r="D4450" s="504" t="s">
        <v>3380</v>
      </c>
      <c r="E4450" s="504" t="s">
        <v>3381</v>
      </c>
      <c r="F4450" s="504" t="s">
        <v>697</v>
      </c>
      <c r="G4450" s="504" t="s">
        <v>698</v>
      </c>
      <c r="H4450" s="504" t="s">
        <v>6956</v>
      </c>
      <c r="I4450" s="504">
        <v>390</v>
      </c>
      <c r="J4450" s="504">
        <v>217</v>
      </c>
      <c r="K4450" s="504">
        <v>0</v>
      </c>
      <c r="L4450" s="504">
        <v>0</v>
      </c>
      <c r="M4450" s="504">
        <v>119</v>
      </c>
      <c r="N4450" s="504">
        <v>0</v>
      </c>
      <c r="O4450" s="505">
        <v>54</v>
      </c>
    </row>
    <row r="4451" spans="1:15" x14ac:dyDescent="0.35">
      <c r="A4451" s="500" t="s">
        <v>1143</v>
      </c>
      <c r="B4451" s="501" t="s">
        <v>3281</v>
      </c>
      <c r="C4451" s="501" t="s">
        <v>1094</v>
      </c>
      <c r="D4451" s="501" t="s">
        <v>3380</v>
      </c>
      <c r="E4451" s="501" t="s">
        <v>3381</v>
      </c>
      <c r="F4451" s="501" t="s">
        <v>697</v>
      </c>
      <c r="G4451" s="501" t="s">
        <v>698</v>
      </c>
      <c r="H4451" s="501" t="s">
        <v>6940</v>
      </c>
      <c r="I4451" s="501">
        <v>250</v>
      </c>
      <c r="J4451" s="501">
        <v>218</v>
      </c>
      <c r="K4451" s="501">
        <v>0</v>
      </c>
      <c r="L4451" s="501">
        <v>0</v>
      </c>
      <c r="M4451" s="501">
        <v>32</v>
      </c>
      <c r="N4451" s="501">
        <v>4</v>
      </c>
      <c r="O4451" s="506">
        <v>0</v>
      </c>
    </row>
    <row r="4452" spans="1:15" x14ac:dyDescent="0.35">
      <c r="A4452" s="503" t="s">
        <v>1668</v>
      </c>
      <c r="B4452" s="504" t="s">
        <v>3035</v>
      </c>
      <c r="C4452" s="504" t="s">
        <v>1089</v>
      </c>
      <c r="D4452" s="504" t="s">
        <v>3392</v>
      </c>
      <c r="E4452" s="504" t="s">
        <v>3381</v>
      </c>
      <c r="F4452" s="504" t="s">
        <v>697</v>
      </c>
      <c r="G4452" s="504" t="s">
        <v>698</v>
      </c>
      <c r="H4452" s="504" t="s">
        <v>6941</v>
      </c>
      <c r="I4452" s="504">
        <v>46</v>
      </c>
      <c r="J4452" s="504">
        <v>0</v>
      </c>
      <c r="K4452" s="504">
        <v>0</v>
      </c>
      <c r="L4452" s="504">
        <v>0</v>
      </c>
      <c r="M4452" s="504">
        <v>46</v>
      </c>
      <c r="N4452" s="504">
        <v>0</v>
      </c>
      <c r="O4452" s="505">
        <v>0</v>
      </c>
    </row>
    <row r="4453" spans="1:15" x14ac:dyDescent="0.35">
      <c r="A4453" s="500" t="s">
        <v>1096</v>
      </c>
      <c r="B4453" s="501" t="s">
        <v>3326</v>
      </c>
      <c r="C4453" s="501" t="s">
        <v>1094</v>
      </c>
      <c r="D4453" s="501" t="s">
        <v>3380</v>
      </c>
      <c r="E4453" s="501" t="s">
        <v>3381</v>
      </c>
      <c r="F4453" s="501" t="s">
        <v>697</v>
      </c>
      <c r="G4453" s="501" t="s">
        <v>698</v>
      </c>
      <c r="H4453" s="501" t="s">
        <v>6942</v>
      </c>
      <c r="I4453" s="501">
        <v>182</v>
      </c>
      <c r="J4453" s="501">
        <v>0</v>
      </c>
      <c r="K4453" s="501">
        <v>0</v>
      </c>
      <c r="L4453" s="501">
        <v>0</v>
      </c>
      <c r="M4453" s="501">
        <v>182</v>
      </c>
      <c r="N4453" s="501">
        <v>0</v>
      </c>
      <c r="O4453" s="506">
        <v>0</v>
      </c>
    </row>
    <row r="4454" spans="1:15" x14ac:dyDescent="0.35">
      <c r="A4454" s="503" t="s">
        <v>1151</v>
      </c>
      <c r="B4454" s="504">
        <v>4726</v>
      </c>
      <c r="C4454" s="504" t="s">
        <v>1089</v>
      </c>
      <c r="D4454" s="504" t="s">
        <v>3392</v>
      </c>
      <c r="E4454" s="504" t="s">
        <v>3381</v>
      </c>
      <c r="F4454" s="504" t="s">
        <v>697</v>
      </c>
      <c r="G4454" s="504" t="s">
        <v>698</v>
      </c>
      <c r="H4454" s="504" t="s">
        <v>6943</v>
      </c>
      <c r="I4454" s="504">
        <v>1</v>
      </c>
      <c r="J4454" s="504">
        <v>1</v>
      </c>
      <c r="K4454" s="504">
        <v>0</v>
      </c>
      <c r="L4454" s="504">
        <v>0</v>
      </c>
      <c r="M4454" s="504">
        <v>0</v>
      </c>
      <c r="N4454" s="504">
        <v>0</v>
      </c>
      <c r="O4454" s="505">
        <v>0</v>
      </c>
    </row>
    <row r="4455" spans="1:15" x14ac:dyDescent="0.35">
      <c r="A4455" s="500" t="s">
        <v>1403</v>
      </c>
      <c r="B4455" s="501">
        <v>4733</v>
      </c>
      <c r="C4455" s="501" t="s">
        <v>1089</v>
      </c>
      <c r="D4455" s="501" t="s">
        <v>3392</v>
      </c>
      <c r="E4455" s="501" t="s">
        <v>3381</v>
      </c>
      <c r="F4455" s="501" t="s">
        <v>697</v>
      </c>
      <c r="G4455" s="501" t="s">
        <v>698</v>
      </c>
      <c r="H4455" s="501" t="s">
        <v>11613</v>
      </c>
      <c r="I4455" s="501">
        <v>12</v>
      </c>
      <c r="J4455" s="501">
        <v>0</v>
      </c>
      <c r="K4455" s="501">
        <v>0</v>
      </c>
      <c r="L4455" s="501">
        <v>12</v>
      </c>
      <c r="M4455" s="501">
        <v>0</v>
      </c>
      <c r="N4455" s="501">
        <v>0</v>
      </c>
      <c r="O4455" s="506">
        <v>0</v>
      </c>
    </row>
    <row r="4456" spans="1:15" x14ac:dyDescent="0.35">
      <c r="A4456" s="503" t="s">
        <v>1160</v>
      </c>
      <c r="B4456" s="504">
        <v>4672</v>
      </c>
      <c r="C4456" s="504" t="s">
        <v>1089</v>
      </c>
      <c r="D4456" s="504" t="s">
        <v>3392</v>
      </c>
      <c r="E4456" s="504" t="s">
        <v>3381</v>
      </c>
      <c r="F4456" s="504" t="s">
        <v>697</v>
      </c>
      <c r="G4456" s="504" t="s">
        <v>698</v>
      </c>
      <c r="H4456" s="504" t="s">
        <v>6944</v>
      </c>
      <c r="I4456" s="504">
        <v>12</v>
      </c>
      <c r="J4456" s="504">
        <v>0</v>
      </c>
      <c r="K4456" s="504">
        <v>0</v>
      </c>
      <c r="L4456" s="504">
        <v>12</v>
      </c>
      <c r="M4456" s="504">
        <v>0</v>
      </c>
      <c r="N4456" s="504">
        <v>0</v>
      </c>
      <c r="O4456" s="505">
        <v>0</v>
      </c>
    </row>
    <row r="4457" spans="1:15" x14ac:dyDescent="0.35">
      <c r="A4457" s="500" t="s">
        <v>2140</v>
      </c>
      <c r="B4457" s="501">
        <v>4821</v>
      </c>
      <c r="C4457" s="501" t="s">
        <v>1089</v>
      </c>
      <c r="D4457" s="501" t="s">
        <v>3392</v>
      </c>
      <c r="E4457" s="501" t="s">
        <v>3381</v>
      </c>
      <c r="F4457" s="501" t="s">
        <v>697</v>
      </c>
      <c r="G4457" s="501" t="s">
        <v>698</v>
      </c>
      <c r="H4457" s="501" t="s">
        <v>6945</v>
      </c>
      <c r="I4457" s="501">
        <v>36</v>
      </c>
      <c r="J4457" s="501">
        <v>0</v>
      </c>
      <c r="K4457" s="501">
        <v>0</v>
      </c>
      <c r="L4457" s="501">
        <v>36</v>
      </c>
      <c r="M4457" s="501">
        <v>0</v>
      </c>
      <c r="N4457" s="501">
        <v>0</v>
      </c>
      <c r="O4457" s="506">
        <v>0</v>
      </c>
    </row>
    <row r="4458" spans="1:15" x14ac:dyDescent="0.35">
      <c r="A4458" s="503" t="s">
        <v>2142</v>
      </c>
      <c r="B4458" s="504" t="s">
        <v>3100</v>
      </c>
      <c r="C4458" s="504" t="s">
        <v>1094</v>
      </c>
      <c r="D4458" s="504" t="s">
        <v>3380</v>
      </c>
      <c r="E4458" s="504" t="s">
        <v>3381</v>
      </c>
      <c r="F4458" s="504" t="s">
        <v>697</v>
      </c>
      <c r="G4458" s="504" t="s">
        <v>698</v>
      </c>
      <c r="H4458" s="504" t="s">
        <v>6946</v>
      </c>
      <c r="I4458" s="504">
        <v>925</v>
      </c>
      <c r="J4458" s="504">
        <v>348</v>
      </c>
      <c r="K4458" s="504">
        <v>3</v>
      </c>
      <c r="L4458" s="504">
        <v>140</v>
      </c>
      <c r="M4458" s="504">
        <v>361</v>
      </c>
      <c r="N4458" s="504">
        <v>0</v>
      </c>
      <c r="O4458" s="505">
        <v>73</v>
      </c>
    </row>
    <row r="4459" spans="1:15" x14ac:dyDescent="0.35">
      <c r="A4459" s="500" t="s">
        <v>1705</v>
      </c>
      <c r="B4459" s="501" t="s">
        <v>3158</v>
      </c>
      <c r="C4459" s="501" t="s">
        <v>1094</v>
      </c>
      <c r="D4459" s="501" t="s">
        <v>3380</v>
      </c>
      <c r="E4459" s="501" t="s">
        <v>3381</v>
      </c>
      <c r="F4459" s="501" t="s">
        <v>697</v>
      </c>
      <c r="G4459" s="501" t="s">
        <v>698</v>
      </c>
      <c r="H4459" s="501" t="s">
        <v>6947</v>
      </c>
      <c r="I4459" s="501">
        <v>8</v>
      </c>
      <c r="J4459" s="501">
        <v>0</v>
      </c>
      <c r="K4459" s="501">
        <v>0</v>
      </c>
      <c r="L4459" s="501">
        <v>0</v>
      </c>
      <c r="M4459" s="501">
        <v>0</v>
      </c>
      <c r="N4459" s="501">
        <v>0</v>
      </c>
      <c r="O4459" s="506">
        <v>8</v>
      </c>
    </row>
    <row r="4460" spans="1:15" x14ac:dyDescent="0.35">
      <c r="A4460" s="503" t="s">
        <v>14208</v>
      </c>
      <c r="B4460" s="504">
        <v>4803</v>
      </c>
      <c r="C4460" s="504" t="s">
        <v>1094</v>
      </c>
      <c r="D4460" s="504" t="s">
        <v>3380</v>
      </c>
      <c r="E4460" s="504" t="s">
        <v>3381</v>
      </c>
      <c r="F4460" s="504" t="s">
        <v>697</v>
      </c>
      <c r="G4460" s="504" t="s">
        <v>698</v>
      </c>
      <c r="H4460" s="504" t="s">
        <v>14780</v>
      </c>
      <c r="I4460" s="504">
        <v>14</v>
      </c>
      <c r="J4460" s="504">
        <v>0</v>
      </c>
      <c r="K4460" s="504">
        <v>0</v>
      </c>
      <c r="L4460" s="504">
        <v>14</v>
      </c>
      <c r="M4460" s="504">
        <v>0</v>
      </c>
      <c r="N4460" s="504">
        <v>0</v>
      </c>
      <c r="O4460" s="505">
        <v>0</v>
      </c>
    </row>
    <row r="4461" spans="1:15" x14ac:dyDescent="0.35">
      <c r="A4461" s="500" t="s">
        <v>1186</v>
      </c>
      <c r="B4461" s="501">
        <v>4661</v>
      </c>
      <c r="C4461" s="501" t="s">
        <v>1089</v>
      </c>
      <c r="D4461" s="501" t="s">
        <v>3392</v>
      </c>
      <c r="E4461" s="501" t="s">
        <v>3381</v>
      </c>
      <c r="F4461" s="501" t="s">
        <v>697</v>
      </c>
      <c r="G4461" s="501" t="s">
        <v>698</v>
      </c>
      <c r="H4461" s="501" t="s">
        <v>6948</v>
      </c>
      <c r="I4461" s="501">
        <v>12</v>
      </c>
      <c r="J4461" s="501">
        <v>0</v>
      </c>
      <c r="K4461" s="501">
        <v>0</v>
      </c>
      <c r="L4461" s="501">
        <v>12</v>
      </c>
      <c r="M4461" s="501">
        <v>0</v>
      </c>
      <c r="N4461" s="501">
        <v>0</v>
      </c>
      <c r="O4461" s="506">
        <v>0</v>
      </c>
    </row>
    <row r="4462" spans="1:15" x14ac:dyDescent="0.35">
      <c r="A4462" s="503" t="s">
        <v>1105</v>
      </c>
      <c r="B4462" s="504">
        <v>4668</v>
      </c>
      <c r="C4462" s="504" t="s">
        <v>1094</v>
      </c>
      <c r="D4462" s="504" t="s">
        <v>3380</v>
      </c>
      <c r="E4462" s="504" t="s">
        <v>3381</v>
      </c>
      <c r="F4462" s="504" t="s">
        <v>697</v>
      </c>
      <c r="G4462" s="504" t="s">
        <v>698</v>
      </c>
      <c r="H4462" s="504" t="s">
        <v>6949</v>
      </c>
      <c r="I4462" s="504">
        <v>29</v>
      </c>
      <c r="J4462" s="504">
        <v>0</v>
      </c>
      <c r="K4462" s="504">
        <v>0</v>
      </c>
      <c r="L4462" s="504">
        <v>0</v>
      </c>
      <c r="M4462" s="504">
        <v>0</v>
      </c>
      <c r="N4462" s="504">
        <v>0</v>
      </c>
      <c r="O4462" s="505">
        <v>29</v>
      </c>
    </row>
    <row r="4463" spans="1:15" x14ac:dyDescent="0.35">
      <c r="A4463" s="500" t="s">
        <v>2155</v>
      </c>
      <c r="B4463" s="501">
        <v>4776</v>
      </c>
      <c r="C4463" s="501" t="s">
        <v>1089</v>
      </c>
      <c r="D4463" s="501" t="s">
        <v>3392</v>
      </c>
      <c r="E4463" s="501" t="s">
        <v>3381</v>
      </c>
      <c r="F4463" s="501" t="s">
        <v>697</v>
      </c>
      <c r="G4463" s="501" t="s">
        <v>698</v>
      </c>
      <c r="H4463" s="501" t="s">
        <v>6950</v>
      </c>
      <c r="I4463" s="501">
        <v>2</v>
      </c>
      <c r="J4463" s="501">
        <v>2</v>
      </c>
      <c r="K4463" s="501">
        <v>0</v>
      </c>
      <c r="L4463" s="501">
        <v>0</v>
      </c>
      <c r="M4463" s="501">
        <v>0</v>
      </c>
      <c r="N4463" s="501">
        <v>0</v>
      </c>
      <c r="O4463" s="506">
        <v>0</v>
      </c>
    </row>
    <row r="4464" spans="1:15" x14ac:dyDescent="0.35">
      <c r="A4464" s="503" t="s">
        <v>1188</v>
      </c>
      <c r="B4464" s="504">
        <v>4760</v>
      </c>
      <c r="C4464" s="504" t="s">
        <v>1089</v>
      </c>
      <c r="D4464" s="504" t="s">
        <v>3392</v>
      </c>
      <c r="E4464" s="504" t="s">
        <v>3381</v>
      </c>
      <c r="F4464" s="504" t="s">
        <v>697</v>
      </c>
      <c r="G4464" s="504" t="s">
        <v>698</v>
      </c>
      <c r="H4464" s="504" t="s">
        <v>6951</v>
      </c>
      <c r="I4464" s="504">
        <v>27</v>
      </c>
      <c r="J4464" s="504">
        <v>0</v>
      </c>
      <c r="K4464" s="504">
        <v>0</v>
      </c>
      <c r="L4464" s="504">
        <v>27</v>
      </c>
      <c r="M4464" s="504">
        <v>0</v>
      </c>
      <c r="N4464" s="504">
        <v>0</v>
      </c>
      <c r="O4464" s="505">
        <v>0</v>
      </c>
    </row>
    <row r="4465" spans="1:15" x14ac:dyDescent="0.35">
      <c r="A4465" s="500" t="s">
        <v>1107</v>
      </c>
      <c r="B4465" s="501" t="s">
        <v>3109</v>
      </c>
      <c r="C4465" s="501" t="s">
        <v>1094</v>
      </c>
      <c r="D4465" s="501" t="s">
        <v>3380</v>
      </c>
      <c r="E4465" s="501" t="s">
        <v>3381</v>
      </c>
      <c r="F4465" s="501" t="s">
        <v>697</v>
      </c>
      <c r="G4465" s="501" t="s">
        <v>698</v>
      </c>
      <c r="H4465" s="501" t="s">
        <v>6952</v>
      </c>
      <c r="I4465" s="501">
        <v>278</v>
      </c>
      <c r="J4465" s="501">
        <v>202</v>
      </c>
      <c r="K4465" s="501">
        <v>0</v>
      </c>
      <c r="L4465" s="501">
        <v>46</v>
      </c>
      <c r="M4465" s="501">
        <v>0</v>
      </c>
      <c r="N4465" s="501">
        <v>1</v>
      </c>
      <c r="O4465" s="506">
        <v>30</v>
      </c>
    </row>
    <row r="4466" spans="1:15" x14ac:dyDescent="0.35">
      <c r="A4466" s="503" t="s">
        <v>1109</v>
      </c>
      <c r="B4466" s="504" t="s">
        <v>2959</v>
      </c>
      <c r="C4466" s="504" t="s">
        <v>1094</v>
      </c>
      <c r="D4466" s="504" t="s">
        <v>3380</v>
      </c>
      <c r="E4466" s="504" t="s">
        <v>3381</v>
      </c>
      <c r="F4466" s="504" t="s">
        <v>697</v>
      </c>
      <c r="G4466" s="504" t="s">
        <v>698</v>
      </c>
      <c r="H4466" s="504" t="s">
        <v>6953</v>
      </c>
      <c r="I4466" s="504">
        <v>202</v>
      </c>
      <c r="J4466" s="504">
        <v>0</v>
      </c>
      <c r="K4466" s="504">
        <v>0</v>
      </c>
      <c r="L4466" s="504">
        <v>0</v>
      </c>
      <c r="M4466" s="504">
        <v>202</v>
      </c>
      <c r="N4466" s="504">
        <v>0</v>
      </c>
      <c r="O4466" s="505">
        <v>0</v>
      </c>
    </row>
    <row r="4467" spans="1:15" x14ac:dyDescent="0.35">
      <c r="A4467" s="500" t="s">
        <v>1190</v>
      </c>
      <c r="B4467" s="501">
        <v>4662</v>
      </c>
      <c r="C4467" s="501" t="s">
        <v>1094</v>
      </c>
      <c r="D4467" s="501" t="s">
        <v>3380</v>
      </c>
      <c r="E4467" s="501" t="s">
        <v>3381</v>
      </c>
      <c r="F4467" s="501" t="s">
        <v>697</v>
      </c>
      <c r="G4467" s="501" t="s">
        <v>698</v>
      </c>
      <c r="H4467" s="501" t="s">
        <v>6954</v>
      </c>
      <c r="I4467" s="501">
        <v>9</v>
      </c>
      <c r="J4467" s="501">
        <v>0</v>
      </c>
      <c r="K4467" s="501">
        <v>0</v>
      </c>
      <c r="L4467" s="501">
        <v>9</v>
      </c>
      <c r="M4467" s="501">
        <v>0</v>
      </c>
      <c r="N4467" s="501">
        <v>0</v>
      </c>
      <c r="O4467" s="506">
        <v>0</v>
      </c>
    </row>
    <row r="4468" spans="1:15" x14ac:dyDescent="0.35">
      <c r="A4468" s="503" t="s">
        <v>2161</v>
      </c>
      <c r="B4468" s="504" t="s">
        <v>3205</v>
      </c>
      <c r="C4468" s="504" t="s">
        <v>1094</v>
      </c>
      <c r="D4468" s="504" t="s">
        <v>3380</v>
      </c>
      <c r="E4468" s="504" t="s">
        <v>3381</v>
      </c>
      <c r="F4468" s="504" t="s">
        <v>697</v>
      </c>
      <c r="G4468" s="504" t="s">
        <v>698</v>
      </c>
      <c r="H4468" s="504" t="s">
        <v>6955</v>
      </c>
      <c r="I4468" s="504">
        <v>977</v>
      </c>
      <c r="J4468" s="504">
        <v>932</v>
      </c>
      <c r="K4468" s="504">
        <v>0</v>
      </c>
      <c r="L4468" s="504">
        <v>0</v>
      </c>
      <c r="M4468" s="504">
        <v>35</v>
      </c>
      <c r="N4468" s="504">
        <v>0</v>
      </c>
      <c r="O4468" s="505">
        <v>10</v>
      </c>
    </row>
    <row r="4469" spans="1:15" x14ac:dyDescent="0.35">
      <c r="A4469" s="500" t="s">
        <v>2164</v>
      </c>
      <c r="B4469" s="501">
        <v>4735</v>
      </c>
      <c r="C4469" s="501" t="s">
        <v>1089</v>
      </c>
      <c r="D4469" s="501" t="s">
        <v>3392</v>
      </c>
      <c r="E4469" s="501" t="s">
        <v>3381</v>
      </c>
      <c r="F4469" s="501" t="s">
        <v>697</v>
      </c>
      <c r="G4469" s="501" t="s">
        <v>698</v>
      </c>
      <c r="H4469" s="501" t="s">
        <v>6957</v>
      </c>
      <c r="I4469" s="501">
        <v>8</v>
      </c>
      <c r="J4469" s="501">
        <v>8</v>
      </c>
      <c r="K4469" s="501">
        <v>0</v>
      </c>
      <c r="L4469" s="501">
        <v>0</v>
      </c>
      <c r="M4469" s="501">
        <v>0</v>
      </c>
      <c r="N4469" s="501">
        <v>0</v>
      </c>
      <c r="O4469" s="506">
        <v>0</v>
      </c>
    </row>
    <row r="4470" spans="1:15" x14ac:dyDescent="0.35">
      <c r="A4470" s="503" t="s">
        <v>1726</v>
      </c>
      <c r="B4470" s="504" t="s">
        <v>3258</v>
      </c>
      <c r="C4470" s="504" t="s">
        <v>1094</v>
      </c>
      <c r="D4470" s="504" t="s">
        <v>3380</v>
      </c>
      <c r="E4470" s="504" t="s">
        <v>3381</v>
      </c>
      <c r="F4470" s="504" t="s">
        <v>697</v>
      </c>
      <c r="G4470" s="504" t="s">
        <v>698</v>
      </c>
      <c r="H4470" s="504" t="s">
        <v>6958</v>
      </c>
      <c r="I4470" s="504">
        <v>8</v>
      </c>
      <c r="J4470" s="504">
        <v>8</v>
      </c>
      <c r="K4470" s="504">
        <v>0</v>
      </c>
      <c r="L4470" s="504">
        <v>0</v>
      </c>
      <c r="M4470" s="504">
        <v>0</v>
      </c>
      <c r="N4470" s="504">
        <v>0</v>
      </c>
      <c r="O4470" s="505">
        <v>0</v>
      </c>
    </row>
    <row r="4471" spans="1:15" x14ac:dyDescent="0.35">
      <c r="A4471" s="500" t="s">
        <v>1497</v>
      </c>
      <c r="B4471" s="501" t="s">
        <v>3290</v>
      </c>
      <c r="C4471" s="501" t="s">
        <v>1089</v>
      </c>
      <c r="D4471" s="501" t="s">
        <v>3392</v>
      </c>
      <c r="E4471" s="501" t="s">
        <v>3381</v>
      </c>
      <c r="F4471" s="501" t="s">
        <v>697</v>
      </c>
      <c r="G4471" s="501" t="s">
        <v>698</v>
      </c>
      <c r="H4471" s="501" t="s">
        <v>6959</v>
      </c>
      <c r="I4471" s="501">
        <v>46</v>
      </c>
      <c r="J4471" s="501">
        <v>0</v>
      </c>
      <c r="K4471" s="501">
        <v>0</v>
      </c>
      <c r="L4471" s="501">
        <v>0</v>
      </c>
      <c r="M4471" s="501">
        <v>46</v>
      </c>
      <c r="N4471" s="501">
        <v>0</v>
      </c>
      <c r="O4471" s="506">
        <v>0</v>
      </c>
    </row>
    <row r="4472" spans="1:15" x14ac:dyDescent="0.35">
      <c r="A4472" s="503" t="s">
        <v>1209</v>
      </c>
      <c r="B4472" s="504">
        <v>4779</v>
      </c>
      <c r="C4472" s="504" t="s">
        <v>1094</v>
      </c>
      <c r="D4472" s="504" t="s">
        <v>3380</v>
      </c>
      <c r="E4472" s="504" t="s">
        <v>3381</v>
      </c>
      <c r="F4472" s="504" t="s">
        <v>697</v>
      </c>
      <c r="G4472" s="504" t="s">
        <v>698</v>
      </c>
      <c r="H4472" s="504" t="s">
        <v>6960</v>
      </c>
      <c r="I4472" s="504">
        <v>43</v>
      </c>
      <c r="J4472" s="504">
        <v>0</v>
      </c>
      <c r="K4472" s="504">
        <v>0</v>
      </c>
      <c r="L4472" s="504">
        <v>43</v>
      </c>
      <c r="M4472" s="504">
        <v>0</v>
      </c>
      <c r="N4472" s="504">
        <v>0</v>
      </c>
      <c r="O4472" s="505">
        <v>0</v>
      </c>
    </row>
    <row r="4473" spans="1:15" x14ac:dyDescent="0.35">
      <c r="A4473" s="500" t="s">
        <v>2171</v>
      </c>
      <c r="B4473" s="501">
        <v>4700</v>
      </c>
      <c r="C4473" s="501" t="s">
        <v>1089</v>
      </c>
      <c r="D4473" s="501" t="s">
        <v>3392</v>
      </c>
      <c r="E4473" s="501" t="s">
        <v>3381</v>
      </c>
      <c r="F4473" s="501" t="s">
        <v>697</v>
      </c>
      <c r="G4473" s="501" t="s">
        <v>698</v>
      </c>
      <c r="H4473" s="501" t="s">
        <v>6961</v>
      </c>
      <c r="I4473" s="501">
        <v>1</v>
      </c>
      <c r="J4473" s="501">
        <v>1</v>
      </c>
      <c r="K4473" s="501">
        <v>0</v>
      </c>
      <c r="L4473" s="501">
        <v>0</v>
      </c>
      <c r="M4473" s="501">
        <v>0</v>
      </c>
      <c r="N4473" s="501">
        <v>0</v>
      </c>
      <c r="O4473" s="506">
        <v>0</v>
      </c>
    </row>
    <row r="4474" spans="1:15" x14ac:dyDescent="0.35">
      <c r="A4474" s="503" t="s">
        <v>1122</v>
      </c>
      <c r="B4474" s="504" t="s">
        <v>2994</v>
      </c>
      <c r="C4474" s="504" t="s">
        <v>1094</v>
      </c>
      <c r="D4474" s="504" t="s">
        <v>3380</v>
      </c>
      <c r="E4474" s="504" t="s">
        <v>3381</v>
      </c>
      <c r="F4474" s="504" t="s">
        <v>697</v>
      </c>
      <c r="G4474" s="504" t="s">
        <v>698</v>
      </c>
      <c r="H4474" s="504" t="s">
        <v>6962</v>
      </c>
      <c r="I4474" s="504">
        <v>330</v>
      </c>
      <c r="J4474" s="504">
        <v>259</v>
      </c>
      <c r="K4474" s="504">
        <v>0</v>
      </c>
      <c r="L4474" s="504">
        <v>1</v>
      </c>
      <c r="M4474" s="504">
        <v>30</v>
      </c>
      <c r="N4474" s="504">
        <v>0</v>
      </c>
      <c r="O4474" s="505">
        <v>40</v>
      </c>
    </row>
    <row r="4475" spans="1:15" x14ac:dyDescent="0.35">
      <c r="A4475" s="500" t="s">
        <v>1233</v>
      </c>
      <c r="B4475" s="501">
        <v>4636</v>
      </c>
      <c r="C4475" s="501" t="s">
        <v>1094</v>
      </c>
      <c r="D4475" s="501" t="s">
        <v>3380</v>
      </c>
      <c r="E4475" s="501" t="s">
        <v>3381</v>
      </c>
      <c r="F4475" s="501" t="s">
        <v>697</v>
      </c>
      <c r="G4475" s="501" t="s">
        <v>698</v>
      </c>
      <c r="H4475" s="501" t="s">
        <v>6963</v>
      </c>
      <c r="I4475" s="501">
        <v>8</v>
      </c>
      <c r="J4475" s="501">
        <v>0</v>
      </c>
      <c r="K4475" s="501">
        <v>0</v>
      </c>
      <c r="L4475" s="501">
        <v>0</v>
      </c>
      <c r="M4475" s="501">
        <v>0</v>
      </c>
      <c r="N4475" s="501">
        <v>0</v>
      </c>
      <c r="O4475" s="506">
        <v>8</v>
      </c>
    </row>
    <row r="4476" spans="1:15" x14ac:dyDescent="0.35">
      <c r="A4476" s="503" t="s">
        <v>11368</v>
      </c>
      <c r="B4476" s="504">
        <v>5083</v>
      </c>
      <c r="C4476" s="504" t="s">
        <v>1094</v>
      </c>
      <c r="D4476" s="504" t="s">
        <v>3380</v>
      </c>
      <c r="E4476" s="504" t="s">
        <v>3381</v>
      </c>
      <c r="F4476" s="504" t="s">
        <v>697</v>
      </c>
      <c r="G4476" s="504" t="s">
        <v>698</v>
      </c>
      <c r="H4476" s="504" t="s">
        <v>12060</v>
      </c>
      <c r="I4476" s="504">
        <v>24</v>
      </c>
      <c r="J4476" s="504">
        <v>24</v>
      </c>
      <c r="K4476" s="504">
        <v>0</v>
      </c>
      <c r="L4476" s="504">
        <v>0</v>
      </c>
      <c r="M4476" s="504">
        <v>0</v>
      </c>
      <c r="N4476" s="504">
        <v>0</v>
      </c>
      <c r="O4476" s="505">
        <v>0</v>
      </c>
    </row>
    <row r="4477" spans="1:15" x14ac:dyDescent="0.35">
      <c r="A4477" s="500" t="s">
        <v>1235</v>
      </c>
      <c r="B4477" s="501">
        <v>4684</v>
      </c>
      <c r="C4477" s="501" t="s">
        <v>1094</v>
      </c>
      <c r="D4477" s="501" t="s">
        <v>3380</v>
      </c>
      <c r="E4477" s="501" t="s">
        <v>3381</v>
      </c>
      <c r="F4477" s="501" t="s">
        <v>697</v>
      </c>
      <c r="G4477" s="501" t="s">
        <v>698</v>
      </c>
      <c r="H4477" s="501" t="s">
        <v>12105</v>
      </c>
      <c r="I4477" s="501">
        <v>7</v>
      </c>
      <c r="J4477" s="501">
        <v>0</v>
      </c>
      <c r="K4477" s="501">
        <v>0</v>
      </c>
      <c r="L4477" s="501">
        <v>7</v>
      </c>
      <c r="M4477" s="501">
        <v>0</v>
      </c>
      <c r="N4477" s="501">
        <v>0</v>
      </c>
      <c r="O4477" s="506">
        <v>0</v>
      </c>
    </row>
    <row r="4478" spans="1:15" x14ac:dyDescent="0.35">
      <c r="A4478" s="503" t="s">
        <v>11439</v>
      </c>
      <c r="B4478" s="504" t="s">
        <v>2905</v>
      </c>
      <c r="C4478" s="504" t="s">
        <v>1089</v>
      </c>
      <c r="D4478" s="504" t="s">
        <v>3392</v>
      </c>
      <c r="E4478" s="504" t="s">
        <v>3381</v>
      </c>
      <c r="F4478" s="504" t="s">
        <v>697</v>
      </c>
      <c r="G4478" s="504" t="s">
        <v>698</v>
      </c>
      <c r="H4478" s="504" t="s">
        <v>12130</v>
      </c>
      <c r="I4478" s="504">
        <v>15</v>
      </c>
      <c r="J4478" s="504">
        <v>0</v>
      </c>
      <c r="K4478" s="504">
        <v>0</v>
      </c>
      <c r="L4478" s="504">
        <v>15</v>
      </c>
      <c r="M4478" s="504">
        <v>0</v>
      </c>
      <c r="N4478" s="504">
        <v>0</v>
      </c>
      <c r="O4478" s="505">
        <v>0</v>
      </c>
    </row>
    <row r="4479" spans="1:15" x14ac:dyDescent="0.35">
      <c r="A4479" s="500" t="s">
        <v>1240</v>
      </c>
      <c r="B4479" s="501" t="s">
        <v>2972</v>
      </c>
      <c r="C4479" s="501" t="s">
        <v>1094</v>
      </c>
      <c r="D4479" s="501" t="s">
        <v>3380</v>
      </c>
      <c r="E4479" s="501" t="s">
        <v>3381</v>
      </c>
      <c r="F4479" s="501" t="s">
        <v>697</v>
      </c>
      <c r="G4479" s="501" t="s">
        <v>698</v>
      </c>
      <c r="H4479" s="501" t="s">
        <v>6964</v>
      </c>
      <c r="I4479" s="501">
        <v>142</v>
      </c>
      <c r="J4479" s="501">
        <v>116</v>
      </c>
      <c r="K4479" s="501">
        <v>0</v>
      </c>
      <c r="L4479" s="501">
        <v>0</v>
      </c>
      <c r="M4479" s="501">
        <v>0</v>
      </c>
      <c r="N4479" s="501">
        <v>0</v>
      </c>
      <c r="O4479" s="506">
        <v>26</v>
      </c>
    </row>
    <row r="4480" spans="1:15" x14ac:dyDescent="0.35">
      <c r="A4480" s="503" t="s">
        <v>1134</v>
      </c>
      <c r="B4480" s="504" t="s">
        <v>3066</v>
      </c>
      <c r="C4480" s="504" t="s">
        <v>1094</v>
      </c>
      <c r="D4480" s="504" t="s">
        <v>3380</v>
      </c>
      <c r="E4480" s="504" t="s">
        <v>3381</v>
      </c>
      <c r="F4480" s="504" t="s">
        <v>697</v>
      </c>
      <c r="G4480" s="504" t="s">
        <v>698</v>
      </c>
      <c r="H4480" s="504" t="s">
        <v>12161</v>
      </c>
      <c r="I4480" s="504">
        <v>90</v>
      </c>
      <c r="J4480" s="504">
        <v>90</v>
      </c>
      <c r="K4480" s="504">
        <v>0</v>
      </c>
      <c r="L4480" s="504">
        <v>0</v>
      </c>
      <c r="M4480" s="504">
        <v>0</v>
      </c>
      <c r="N4480" s="504">
        <v>0</v>
      </c>
      <c r="O4480" s="505">
        <v>0</v>
      </c>
    </row>
    <row r="4481" spans="1:15" x14ac:dyDescent="0.35">
      <c r="A4481" s="500" t="s">
        <v>1253</v>
      </c>
      <c r="B4481" s="501" t="s">
        <v>3232</v>
      </c>
      <c r="C4481" s="501" t="s">
        <v>1094</v>
      </c>
      <c r="D4481" s="501" t="s">
        <v>3380</v>
      </c>
      <c r="E4481" s="501" t="s">
        <v>3381</v>
      </c>
      <c r="F4481" s="501" t="s">
        <v>697</v>
      </c>
      <c r="G4481" s="501" t="s">
        <v>698</v>
      </c>
      <c r="H4481" s="501" t="s">
        <v>6965</v>
      </c>
      <c r="I4481" s="501">
        <v>53</v>
      </c>
      <c r="J4481" s="501">
        <v>0</v>
      </c>
      <c r="K4481" s="501">
        <v>0</v>
      </c>
      <c r="L4481" s="501">
        <v>26</v>
      </c>
      <c r="M4481" s="501">
        <v>27</v>
      </c>
      <c r="N4481" s="501">
        <v>0</v>
      </c>
      <c r="O4481" s="506">
        <v>0</v>
      </c>
    </row>
    <row r="4482" spans="1:15" x14ac:dyDescent="0.35">
      <c r="A4482" s="503" t="s">
        <v>1257</v>
      </c>
      <c r="B4482" s="504" t="s">
        <v>3151</v>
      </c>
      <c r="C4482" s="504" t="s">
        <v>1094</v>
      </c>
      <c r="D4482" s="504" t="s">
        <v>3380</v>
      </c>
      <c r="E4482" s="504" t="s">
        <v>3381</v>
      </c>
      <c r="F4482" s="504" t="s">
        <v>697</v>
      </c>
      <c r="G4482" s="504" t="s">
        <v>698</v>
      </c>
      <c r="H4482" s="504" t="s">
        <v>6966</v>
      </c>
      <c r="I4482" s="504">
        <v>751</v>
      </c>
      <c r="J4482" s="504">
        <v>580</v>
      </c>
      <c r="K4482" s="504">
        <v>0</v>
      </c>
      <c r="L4482" s="504">
        <v>57</v>
      </c>
      <c r="M4482" s="504">
        <v>0</v>
      </c>
      <c r="N4482" s="504">
        <v>0</v>
      </c>
      <c r="O4482" s="505">
        <v>114</v>
      </c>
    </row>
    <row r="4483" spans="1:15" x14ac:dyDescent="0.35">
      <c r="A4483" s="500" t="s">
        <v>1260</v>
      </c>
      <c r="B4483" s="501">
        <v>4645</v>
      </c>
      <c r="C4483" s="501" t="s">
        <v>1089</v>
      </c>
      <c r="D4483" s="501" t="s">
        <v>3392</v>
      </c>
      <c r="E4483" s="501" t="s">
        <v>3381</v>
      </c>
      <c r="F4483" s="501" t="s">
        <v>697</v>
      </c>
      <c r="G4483" s="501" t="s">
        <v>698</v>
      </c>
      <c r="H4483" s="501" t="s">
        <v>6967</v>
      </c>
      <c r="I4483" s="501">
        <v>10</v>
      </c>
      <c r="J4483" s="501">
        <v>0</v>
      </c>
      <c r="K4483" s="501">
        <v>0</v>
      </c>
      <c r="L4483" s="501">
        <v>10</v>
      </c>
      <c r="M4483" s="501">
        <v>0</v>
      </c>
      <c r="N4483" s="501">
        <v>0</v>
      </c>
      <c r="O4483" s="506">
        <v>0</v>
      </c>
    </row>
    <row r="4484" spans="1:15" x14ac:dyDescent="0.35">
      <c r="A4484" s="503" t="s">
        <v>2186</v>
      </c>
      <c r="B4484" s="504" t="s">
        <v>3301</v>
      </c>
      <c r="C4484" s="504" t="s">
        <v>1094</v>
      </c>
      <c r="D4484" s="504" t="s">
        <v>3380</v>
      </c>
      <c r="E4484" s="504" t="s">
        <v>3381</v>
      </c>
      <c r="F4484" s="504" t="s">
        <v>697</v>
      </c>
      <c r="G4484" s="504" t="s">
        <v>698</v>
      </c>
      <c r="H4484" s="504" t="s">
        <v>6968</v>
      </c>
      <c r="I4484" s="504">
        <v>40</v>
      </c>
      <c r="J4484" s="504">
        <v>40</v>
      </c>
      <c r="K4484" s="504">
        <v>0</v>
      </c>
      <c r="L4484" s="504">
        <v>0</v>
      </c>
      <c r="M4484" s="504">
        <v>0</v>
      </c>
      <c r="N4484" s="504">
        <v>0</v>
      </c>
      <c r="O4484" s="505">
        <v>0</v>
      </c>
    </row>
    <row r="4485" spans="1:15" x14ac:dyDescent="0.35">
      <c r="A4485" s="500" t="s">
        <v>2187</v>
      </c>
      <c r="B4485" s="501" t="s">
        <v>3193</v>
      </c>
      <c r="C4485" s="501" t="s">
        <v>1094</v>
      </c>
      <c r="D4485" s="501" t="s">
        <v>3380</v>
      </c>
      <c r="E4485" s="501" t="s">
        <v>3381</v>
      </c>
      <c r="F4485" s="501" t="s">
        <v>697</v>
      </c>
      <c r="G4485" s="501" t="s">
        <v>698</v>
      </c>
      <c r="H4485" s="501" t="s">
        <v>6969</v>
      </c>
      <c r="I4485" s="501">
        <v>15</v>
      </c>
      <c r="J4485" s="501">
        <v>10</v>
      </c>
      <c r="K4485" s="501">
        <v>0</v>
      </c>
      <c r="L4485" s="501">
        <v>0</v>
      </c>
      <c r="M4485" s="501">
        <v>0</v>
      </c>
      <c r="N4485" s="501">
        <v>0</v>
      </c>
      <c r="O4485" s="506">
        <v>5</v>
      </c>
    </row>
    <row r="4486" spans="1:15" x14ac:dyDescent="0.35">
      <c r="A4486" s="503" t="s">
        <v>1789</v>
      </c>
      <c r="B4486" s="504" t="s">
        <v>3219</v>
      </c>
      <c r="C4486" s="504" t="s">
        <v>1094</v>
      </c>
      <c r="D4486" s="504" t="s">
        <v>3380</v>
      </c>
      <c r="E4486" s="504" t="s">
        <v>3381</v>
      </c>
      <c r="F4486" s="504" t="s">
        <v>697</v>
      </c>
      <c r="G4486" s="504" t="s">
        <v>698</v>
      </c>
      <c r="H4486" s="504" t="s">
        <v>6970</v>
      </c>
      <c r="I4486" s="504">
        <v>1533</v>
      </c>
      <c r="J4486" s="504">
        <v>1206</v>
      </c>
      <c r="K4486" s="504">
        <v>3</v>
      </c>
      <c r="L4486" s="504">
        <v>26</v>
      </c>
      <c r="M4486" s="504">
        <v>187</v>
      </c>
      <c r="N4486" s="504">
        <v>1</v>
      </c>
      <c r="O4486" s="505">
        <v>111</v>
      </c>
    </row>
    <row r="4487" spans="1:15" x14ac:dyDescent="0.35">
      <c r="A4487" s="500" t="s">
        <v>1266</v>
      </c>
      <c r="B4487" s="501" t="s">
        <v>3071</v>
      </c>
      <c r="C4487" s="501" t="s">
        <v>1094</v>
      </c>
      <c r="D4487" s="501" t="s">
        <v>3380</v>
      </c>
      <c r="E4487" s="501" t="s">
        <v>3381</v>
      </c>
      <c r="F4487" s="501" t="s">
        <v>697</v>
      </c>
      <c r="G4487" s="501" t="s">
        <v>698</v>
      </c>
      <c r="H4487" s="501" t="s">
        <v>6971</v>
      </c>
      <c r="I4487" s="501">
        <v>20</v>
      </c>
      <c r="J4487" s="501">
        <v>20</v>
      </c>
      <c r="K4487" s="501">
        <v>0</v>
      </c>
      <c r="L4487" s="501">
        <v>0</v>
      </c>
      <c r="M4487" s="501">
        <v>0</v>
      </c>
      <c r="N4487" s="501">
        <v>0</v>
      </c>
      <c r="O4487" s="506">
        <v>0</v>
      </c>
    </row>
    <row r="4488" spans="1:15" x14ac:dyDescent="0.35">
      <c r="A4488" s="503" t="s">
        <v>1096</v>
      </c>
      <c r="B4488" s="504" t="s">
        <v>3326</v>
      </c>
      <c r="C4488" s="504" t="s">
        <v>1094</v>
      </c>
      <c r="D4488" s="504" t="s">
        <v>3380</v>
      </c>
      <c r="E4488" s="504" t="s">
        <v>3381</v>
      </c>
      <c r="F4488" s="504" t="s">
        <v>699</v>
      </c>
      <c r="G4488" s="504" t="s">
        <v>700</v>
      </c>
      <c r="H4488" s="504" t="s">
        <v>6972</v>
      </c>
      <c r="I4488" s="504">
        <v>134</v>
      </c>
      <c r="J4488" s="504">
        <v>0</v>
      </c>
      <c r="K4488" s="504">
        <v>0</v>
      </c>
      <c r="L4488" s="504">
        <v>0</v>
      </c>
      <c r="M4488" s="504">
        <v>134</v>
      </c>
      <c r="N4488" s="504">
        <v>0</v>
      </c>
      <c r="O4488" s="505">
        <v>0</v>
      </c>
    </row>
    <row r="4489" spans="1:15" x14ac:dyDescent="0.35">
      <c r="A4489" s="500" t="s">
        <v>11363</v>
      </c>
      <c r="B4489" s="501">
        <v>4718</v>
      </c>
      <c r="C4489" s="501" t="s">
        <v>1094</v>
      </c>
      <c r="D4489" s="501" t="s">
        <v>3380</v>
      </c>
      <c r="E4489" s="501" t="s">
        <v>3381</v>
      </c>
      <c r="F4489" s="501" t="s">
        <v>699</v>
      </c>
      <c r="G4489" s="501" t="s">
        <v>700</v>
      </c>
      <c r="H4489" s="501" t="s">
        <v>11557</v>
      </c>
      <c r="I4489" s="501">
        <v>5</v>
      </c>
      <c r="J4489" s="501">
        <v>0</v>
      </c>
      <c r="K4489" s="501">
        <v>0</v>
      </c>
      <c r="L4489" s="501">
        <v>5</v>
      </c>
      <c r="M4489" s="501">
        <v>0</v>
      </c>
      <c r="N4489" s="501">
        <v>0</v>
      </c>
      <c r="O4489" s="506">
        <v>0</v>
      </c>
    </row>
    <row r="4490" spans="1:15" x14ac:dyDescent="0.35">
      <c r="A4490" s="503" t="s">
        <v>1685</v>
      </c>
      <c r="B4490" s="504" t="s">
        <v>2773</v>
      </c>
      <c r="C4490" s="504" t="s">
        <v>1089</v>
      </c>
      <c r="D4490" s="504" t="s">
        <v>3392</v>
      </c>
      <c r="E4490" s="504" t="s">
        <v>3381</v>
      </c>
      <c r="F4490" s="504" t="s">
        <v>699</v>
      </c>
      <c r="G4490" s="504" t="s">
        <v>700</v>
      </c>
      <c r="H4490" s="504" t="s">
        <v>6973</v>
      </c>
      <c r="I4490" s="504">
        <v>19</v>
      </c>
      <c r="J4490" s="504">
        <v>19</v>
      </c>
      <c r="K4490" s="504">
        <v>0</v>
      </c>
      <c r="L4490" s="504">
        <v>0</v>
      </c>
      <c r="M4490" s="504">
        <v>0</v>
      </c>
      <c r="N4490" s="504">
        <v>0</v>
      </c>
      <c r="O4490" s="505">
        <v>0</v>
      </c>
    </row>
    <row r="4491" spans="1:15" x14ac:dyDescent="0.35">
      <c r="A4491" s="500" t="s">
        <v>1688</v>
      </c>
      <c r="B4491" s="501" t="s">
        <v>3181</v>
      </c>
      <c r="C4491" s="501" t="s">
        <v>1094</v>
      </c>
      <c r="D4491" s="501" t="s">
        <v>3380</v>
      </c>
      <c r="E4491" s="501" t="s">
        <v>3381</v>
      </c>
      <c r="F4491" s="501" t="s">
        <v>699</v>
      </c>
      <c r="G4491" s="501" t="s">
        <v>700</v>
      </c>
      <c r="H4491" s="501" t="s">
        <v>6974</v>
      </c>
      <c r="I4491" s="501">
        <v>5</v>
      </c>
      <c r="J4491" s="501">
        <v>5</v>
      </c>
      <c r="K4491" s="501">
        <v>0</v>
      </c>
      <c r="L4491" s="501">
        <v>0</v>
      </c>
      <c r="M4491" s="501">
        <v>0</v>
      </c>
      <c r="N4491" s="501">
        <v>0</v>
      </c>
      <c r="O4491" s="506">
        <v>0</v>
      </c>
    </row>
    <row r="4492" spans="1:15" x14ac:dyDescent="0.35">
      <c r="A4492" s="503" t="s">
        <v>1102</v>
      </c>
      <c r="B4492" s="504">
        <v>4663</v>
      </c>
      <c r="C4492" s="504" t="s">
        <v>1089</v>
      </c>
      <c r="D4492" s="504" t="s">
        <v>3392</v>
      </c>
      <c r="E4492" s="504" t="s">
        <v>3381</v>
      </c>
      <c r="F4492" s="504" t="s">
        <v>699</v>
      </c>
      <c r="G4492" s="504" t="s">
        <v>700</v>
      </c>
      <c r="H4492" s="504" t="s">
        <v>6975</v>
      </c>
      <c r="I4492" s="504">
        <v>1</v>
      </c>
      <c r="J4492" s="504">
        <v>0</v>
      </c>
      <c r="K4492" s="504">
        <v>0</v>
      </c>
      <c r="L4492" s="504">
        <v>1</v>
      </c>
      <c r="M4492" s="504">
        <v>0</v>
      </c>
      <c r="N4492" s="504">
        <v>0</v>
      </c>
      <c r="O4492" s="505">
        <v>0</v>
      </c>
    </row>
    <row r="4493" spans="1:15" x14ac:dyDescent="0.35">
      <c r="A4493" s="500" t="s">
        <v>1174</v>
      </c>
      <c r="B4493" s="501">
        <v>4784</v>
      </c>
      <c r="C4493" s="501" t="s">
        <v>1089</v>
      </c>
      <c r="D4493" s="501" t="s">
        <v>3392</v>
      </c>
      <c r="E4493" s="501" t="s">
        <v>3381</v>
      </c>
      <c r="F4493" s="501" t="s">
        <v>699</v>
      </c>
      <c r="G4493" s="501" t="s">
        <v>700</v>
      </c>
      <c r="H4493" s="501" t="s">
        <v>6976</v>
      </c>
      <c r="I4493" s="501">
        <v>25</v>
      </c>
      <c r="J4493" s="501">
        <v>0</v>
      </c>
      <c r="K4493" s="501">
        <v>0</v>
      </c>
      <c r="L4493" s="501">
        <v>25</v>
      </c>
      <c r="M4493" s="501">
        <v>0</v>
      </c>
      <c r="N4493" s="501">
        <v>0</v>
      </c>
      <c r="O4493" s="506">
        <v>0</v>
      </c>
    </row>
    <row r="4494" spans="1:15" x14ac:dyDescent="0.35">
      <c r="A4494" s="503" t="s">
        <v>1704</v>
      </c>
      <c r="B4494" s="504" t="s">
        <v>3221</v>
      </c>
      <c r="C4494" s="504" t="s">
        <v>1094</v>
      </c>
      <c r="D4494" s="504" t="s">
        <v>3380</v>
      </c>
      <c r="E4494" s="504" t="s">
        <v>3381</v>
      </c>
      <c r="F4494" s="504" t="s">
        <v>699</v>
      </c>
      <c r="G4494" s="504" t="s">
        <v>700</v>
      </c>
      <c r="H4494" s="504" t="s">
        <v>6977</v>
      </c>
      <c r="I4494" s="504">
        <v>1855</v>
      </c>
      <c r="J4494" s="504">
        <v>1678</v>
      </c>
      <c r="K4494" s="504">
        <v>0</v>
      </c>
      <c r="L4494" s="504">
        <v>149</v>
      </c>
      <c r="M4494" s="504">
        <v>0</v>
      </c>
      <c r="N4494" s="504">
        <v>0</v>
      </c>
      <c r="O4494" s="505">
        <v>28</v>
      </c>
    </row>
    <row r="4495" spans="1:15" x14ac:dyDescent="0.35">
      <c r="A4495" s="500" t="s">
        <v>1186</v>
      </c>
      <c r="B4495" s="501">
        <v>4661</v>
      </c>
      <c r="C4495" s="501" t="s">
        <v>1089</v>
      </c>
      <c r="D4495" s="501" t="s">
        <v>3392</v>
      </c>
      <c r="E4495" s="501" t="s">
        <v>3381</v>
      </c>
      <c r="F4495" s="501" t="s">
        <v>699</v>
      </c>
      <c r="G4495" s="501" t="s">
        <v>700</v>
      </c>
      <c r="H4495" s="501" t="s">
        <v>6978</v>
      </c>
      <c r="I4495" s="501">
        <v>55</v>
      </c>
      <c r="J4495" s="501">
        <v>0</v>
      </c>
      <c r="K4495" s="501">
        <v>0</v>
      </c>
      <c r="L4495" s="501">
        <v>55</v>
      </c>
      <c r="M4495" s="501">
        <v>0</v>
      </c>
      <c r="N4495" s="501">
        <v>0</v>
      </c>
      <c r="O4495" s="506">
        <v>0</v>
      </c>
    </row>
    <row r="4496" spans="1:15" x14ac:dyDescent="0.35">
      <c r="A4496" s="503" t="s">
        <v>1709</v>
      </c>
      <c r="B4496" s="504">
        <v>4791</v>
      </c>
      <c r="C4496" s="504" t="s">
        <v>1089</v>
      </c>
      <c r="D4496" s="504" t="s">
        <v>3392</v>
      </c>
      <c r="E4496" s="504" t="s">
        <v>3381</v>
      </c>
      <c r="F4496" s="504" t="s">
        <v>699</v>
      </c>
      <c r="G4496" s="504" t="s">
        <v>700</v>
      </c>
      <c r="H4496" s="504" t="s">
        <v>6979</v>
      </c>
      <c r="I4496" s="504">
        <v>7</v>
      </c>
      <c r="J4496" s="504">
        <v>0</v>
      </c>
      <c r="K4496" s="504">
        <v>0</v>
      </c>
      <c r="L4496" s="504">
        <v>7</v>
      </c>
      <c r="M4496" s="504">
        <v>0</v>
      </c>
      <c r="N4496" s="504">
        <v>0</v>
      </c>
      <c r="O4496" s="505">
        <v>0</v>
      </c>
    </row>
    <row r="4497" spans="1:15" x14ac:dyDescent="0.35">
      <c r="A4497" s="500" t="s">
        <v>1105</v>
      </c>
      <c r="B4497" s="501">
        <v>4668</v>
      </c>
      <c r="C4497" s="501" t="s">
        <v>1094</v>
      </c>
      <c r="D4497" s="501" t="s">
        <v>3380</v>
      </c>
      <c r="E4497" s="501" t="s">
        <v>3381</v>
      </c>
      <c r="F4497" s="501" t="s">
        <v>699</v>
      </c>
      <c r="G4497" s="501" t="s">
        <v>700</v>
      </c>
      <c r="H4497" s="501" t="s">
        <v>6980</v>
      </c>
      <c r="I4497" s="501">
        <v>40</v>
      </c>
      <c r="J4497" s="501">
        <v>0</v>
      </c>
      <c r="K4497" s="501">
        <v>0</v>
      </c>
      <c r="L4497" s="501">
        <v>0</v>
      </c>
      <c r="M4497" s="501">
        <v>0</v>
      </c>
      <c r="N4497" s="501">
        <v>0</v>
      </c>
      <c r="O4497" s="506">
        <v>40</v>
      </c>
    </row>
    <row r="4498" spans="1:15" x14ac:dyDescent="0.35">
      <c r="A4498" s="503" t="s">
        <v>1109</v>
      </c>
      <c r="B4498" s="504" t="s">
        <v>2959</v>
      </c>
      <c r="C4498" s="504" t="s">
        <v>1094</v>
      </c>
      <c r="D4498" s="504" t="s">
        <v>3380</v>
      </c>
      <c r="E4498" s="504" t="s">
        <v>3381</v>
      </c>
      <c r="F4498" s="504" t="s">
        <v>699</v>
      </c>
      <c r="G4498" s="504" t="s">
        <v>700</v>
      </c>
      <c r="H4498" s="504" t="s">
        <v>6981</v>
      </c>
      <c r="I4498" s="504">
        <v>71</v>
      </c>
      <c r="J4498" s="504">
        <v>0</v>
      </c>
      <c r="K4498" s="504">
        <v>0</v>
      </c>
      <c r="L4498" s="504">
        <v>0</v>
      </c>
      <c r="M4498" s="504">
        <v>71</v>
      </c>
      <c r="N4498" s="504">
        <v>0</v>
      </c>
      <c r="O4498" s="505">
        <v>0</v>
      </c>
    </row>
    <row r="4499" spans="1:15" x14ac:dyDescent="0.35">
      <c r="A4499" s="500" t="s">
        <v>14231</v>
      </c>
      <c r="B4499" s="501" t="s">
        <v>2765</v>
      </c>
      <c r="C4499" s="501" t="s">
        <v>1089</v>
      </c>
      <c r="D4499" s="501" t="s">
        <v>3392</v>
      </c>
      <c r="E4499" s="501" t="s">
        <v>3381</v>
      </c>
      <c r="F4499" s="501" t="s">
        <v>699</v>
      </c>
      <c r="G4499" s="501" t="s">
        <v>700</v>
      </c>
      <c r="H4499" s="501" t="s">
        <v>14781</v>
      </c>
      <c r="I4499" s="501">
        <v>59</v>
      </c>
      <c r="J4499" s="501">
        <v>0</v>
      </c>
      <c r="K4499" s="501">
        <v>0</v>
      </c>
      <c r="L4499" s="501">
        <v>59</v>
      </c>
      <c r="M4499" s="501">
        <v>0</v>
      </c>
      <c r="N4499" s="501">
        <v>0</v>
      </c>
      <c r="O4499" s="506">
        <v>0</v>
      </c>
    </row>
    <row r="4500" spans="1:15" x14ac:dyDescent="0.35">
      <c r="A4500" s="503" t="s">
        <v>1722</v>
      </c>
      <c r="B4500" s="504" t="s">
        <v>2770</v>
      </c>
      <c r="C4500" s="504" t="s">
        <v>1089</v>
      </c>
      <c r="D4500" s="504" t="s">
        <v>3392</v>
      </c>
      <c r="E4500" s="504" t="s">
        <v>3381</v>
      </c>
      <c r="F4500" s="504" t="s">
        <v>699</v>
      </c>
      <c r="G4500" s="504" t="s">
        <v>700</v>
      </c>
      <c r="H4500" s="504" t="s">
        <v>6982</v>
      </c>
      <c r="I4500" s="504">
        <v>24</v>
      </c>
      <c r="J4500" s="504">
        <v>24</v>
      </c>
      <c r="K4500" s="504">
        <v>0</v>
      </c>
      <c r="L4500" s="504">
        <v>0</v>
      </c>
      <c r="M4500" s="504">
        <v>0</v>
      </c>
      <c r="N4500" s="504">
        <v>0</v>
      </c>
      <c r="O4500" s="505">
        <v>0</v>
      </c>
    </row>
    <row r="4501" spans="1:15" x14ac:dyDescent="0.35">
      <c r="A4501" s="500" t="s">
        <v>1197</v>
      </c>
      <c r="B4501" s="501">
        <v>4863</v>
      </c>
      <c r="C4501" s="501" t="s">
        <v>1089</v>
      </c>
      <c r="D4501" s="501" t="s">
        <v>3392</v>
      </c>
      <c r="E4501" s="501" t="s">
        <v>3381</v>
      </c>
      <c r="F4501" s="501" t="s">
        <v>699</v>
      </c>
      <c r="G4501" s="501" t="s">
        <v>700</v>
      </c>
      <c r="H4501" s="501" t="s">
        <v>6983</v>
      </c>
      <c r="I4501" s="501">
        <v>1</v>
      </c>
      <c r="J4501" s="501">
        <v>0</v>
      </c>
      <c r="K4501" s="501">
        <v>0</v>
      </c>
      <c r="L4501" s="501">
        <v>1</v>
      </c>
      <c r="M4501" s="501">
        <v>0</v>
      </c>
      <c r="N4501" s="501">
        <v>0</v>
      </c>
      <c r="O4501" s="506">
        <v>0</v>
      </c>
    </row>
    <row r="4502" spans="1:15" x14ac:dyDescent="0.35">
      <c r="A4502" s="503" t="s">
        <v>1730</v>
      </c>
      <c r="B4502" s="504" t="s">
        <v>3351</v>
      </c>
      <c r="C4502" s="504" t="s">
        <v>1094</v>
      </c>
      <c r="D4502" s="504" t="s">
        <v>3380</v>
      </c>
      <c r="E4502" s="504" t="s">
        <v>3381</v>
      </c>
      <c r="F4502" s="504" t="s">
        <v>699</v>
      </c>
      <c r="G4502" s="504" t="s">
        <v>700</v>
      </c>
      <c r="H4502" s="504" t="s">
        <v>6984</v>
      </c>
      <c r="I4502" s="504">
        <v>12904</v>
      </c>
      <c r="J4502" s="504">
        <v>11944</v>
      </c>
      <c r="K4502" s="504">
        <v>4</v>
      </c>
      <c r="L4502" s="504">
        <v>37</v>
      </c>
      <c r="M4502" s="504">
        <v>739</v>
      </c>
      <c r="N4502" s="504">
        <v>0</v>
      </c>
      <c r="O4502" s="505">
        <v>180</v>
      </c>
    </row>
    <row r="4503" spans="1:15" x14ac:dyDescent="0.35">
      <c r="A4503" s="500" t="s">
        <v>1208</v>
      </c>
      <c r="B4503" s="501" t="s">
        <v>3096</v>
      </c>
      <c r="C4503" s="501" t="s">
        <v>1094</v>
      </c>
      <c r="D4503" s="501" t="s">
        <v>3380</v>
      </c>
      <c r="E4503" s="501" t="s">
        <v>3381</v>
      </c>
      <c r="F4503" s="501" t="s">
        <v>699</v>
      </c>
      <c r="G4503" s="501" t="s">
        <v>700</v>
      </c>
      <c r="H4503" s="501" t="s">
        <v>6985</v>
      </c>
      <c r="I4503" s="501">
        <v>40</v>
      </c>
      <c r="J4503" s="501">
        <v>40</v>
      </c>
      <c r="K4503" s="501">
        <v>0</v>
      </c>
      <c r="L4503" s="501">
        <v>0</v>
      </c>
      <c r="M4503" s="501">
        <v>0</v>
      </c>
      <c r="N4503" s="501">
        <v>0</v>
      </c>
      <c r="O4503" s="506">
        <v>0</v>
      </c>
    </row>
    <row r="4504" spans="1:15" x14ac:dyDescent="0.35">
      <c r="A4504" s="503" t="s">
        <v>1743</v>
      </c>
      <c r="B4504" s="504">
        <v>4804</v>
      </c>
      <c r="C4504" s="504" t="s">
        <v>1094</v>
      </c>
      <c r="D4504" s="504" t="s">
        <v>3380</v>
      </c>
      <c r="E4504" s="504" t="s">
        <v>3381</v>
      </c>
      <c r="F4504" s="504" t="s">
        <v>699</v>
      </c>
      <c r="G4504" s="504" t="s">
        <v>700</v>
      </c>
      <c r="H4504" s="504" t="s">
        <v>6986</v>
      </c>
      <c r="I4504" s="504">
        <v>28</v>
      </c>
      <c r="J4504" s="504">
        <v>25</v>
      </c>
      <c r="K4504" s="504">
        <v>0</v>
      </c>
      <c r="L4504" s="504">
        <v>0</v>
      </c>
      <c r="M4504" s="504">
        <v>0</v>
      </c>
      <c r="N4504" s="504">
        <v>0</v>
      </c>
      <c r="O4504" s="505">
        <v>3</v>
      </c>
    </row>
    <row r="4505" spans="1:15" x14ac:dyDescent="0.35">
      <c r="A4505" s="500" t="s">
        <v>1744</v>
      </c>
      <c r="B4505" s="501" t="s">
        <v>3245</v>
      </c>
      <c r="C4505" s="501" t="s">
        <v>1094</v>
      </c>
      <c r="D4505" s="501" t="s">
        <v>3380</v>
      </c>
      <c r="E4505" s="501" t="s">
        <v>3381</v>
      </c>
      <c r="F4505" s="501" t="s">
        <v>699</v>
      </c>
      <c r="G4505" s="501" t="s">
        <v>700</v>
      </c>
      <c r="H4505" s="501" t="s">
        <v>6987</v>
      </c>
      <c r="I4505" s="501">
        <v>640</v>
      </c>
      <c r="J4505" s="501">
        <v>380</v>
      </c>
      <c r="K4505" s="501">
        <v>0</v>
      </c>
      <c r="L4505" s="501">
        <v>186</v>
      </c>
      <c r="M4505" s="501">
        <v>12</v>
      </c>
      <c r="N4505" s="501">
        <v>14</v>
      </c>
      <c r="O4505" s="506">
        <v>62</v>
      </c>
    </row>
    <row r="4506" spans="1:15" x14ac:dyDescent="0.35">
      <c r="A4506" s="503" t="s">
        <v>1122</v>
      </c>
      <c r="B4506" s="504" t="s">
        <v>2994</v>
      </c>
      <c r="C4506" s="504" t="s">
        <v>1094</v>
      </c>
      <c r="D4506" s="504" t="s">
        <v>3380</v>
      </c>
      <c r="E4506" s="504" t="s">
        <v>3381</v>
      </c>
      <c r="F4506" s="504" t="s">
        <v>699</v>
      </c>
      <c r="G4506" s="504" t="s">
        <v>700</v>
      </c>
      <c r="H4506" s="504" t="s">
        <v>6988</v>
      </c>
      <c r="I4506" s="504">
        <v>1</v>
      </c>
      <c r="J4506" s="504">
        <v>0</v>
      </c>
      <c r="K4506" s="504">
        <v>0</v>
      </c>
      <c r="L4506" s="504">
        <v>0</v>
      </c>
      <c r="M4506" s="504">
        <v>0</v>
      </c>
      <c r="N4506" s="504">
        <v>0</v>
      </c>
      <c r="O4506" s="505">
        <v>1</v>
      </c>
    </row>
    <row r="4507" spans="1:15" x14ac:dyDescent="0.35">
      <c r="A4507" s="500" t="s">
        <v>1748</v>
      </c>
      <c r="B4507" s="501" t="s">
        <v>3233</v>
      </c>
      <c r="C4507" s="501" t="s">
        <v>1094</v>
      </c>
      <c r="D4507" s="501" t="s">
        <v>3380</v>
      </c>
      <c r="E4507" s="501" t="s">
        <v>3381</v>
      </c>
      <c r="F4507" s="501" t="s">
        <v>699</v>
      </c>
      <c r="G4507" s="501" t="s">
        <v>700</v>
      </c>
      <c r="H4507" s="501" t="s">
        <v>6989</v>
      </c>
      <c r="I4507" s="501">
        <v>438</v>
      </c>
      <c r="J4507" s="501">
        <v>390</v>
      </c>
      <c r="K4507" s="501">
        <v>0</v>
      </c>
      <c r="L4507" s="501">
        <v>40</v>
      </c>
      <c r="M4507" s="501">
        <v>0</v>
      </c>
      <c r="N4507" s="501">
        <v>0</v>
      </c>
      <c r="O4507" s="506">
        <v>8</v>
      </c>
    </row>
    <row r="4508" spans="1:15" x14ac:dyDescent="0.35">
      <c r="A4508" s="503" t="s">
        <v>14287</v>
      </c>
      <c r="B4508" s="504" t="s">
        <v>3028</v>
      </c>
      <c r="C4508" s="504" t="s">
        <v>1094</v>
      </c>
      <c r="D4508" s="504" t="s">
        <v>3380</v>
      </c>
      <c r="E4508" s="504" t="s">
        <v>3381</v>
      </c>
      <c r="F4508" s="504" t="s">
        <v>699</v>
      </c>
      <c r="G4508" s="504" t="s">
        <v>700</v>
      </c>
      <c r="H4508" s="504" t="s">
        <v>14782</v>
      </c>
      <c r="I4508" s="504">
        <v>19</v>
      </c>
      <c r="J4508" s="504">
        <v>19</v>
      </c>
      <c r="K4508" s="504">
        <v>0</v>
      </c>
      <c r="L4508" s="504">
        <v>0</v>
      </c>
      <c r="M4508" s="504">
        <v>0</v>
      </c>
      <c r="N4508" s="504">
        <v>0</v>
      </c>
      <c r="O4508" s="505">
        <v>0</v>
      </c>
    </row>
    <row r="4509" spans="1:15" x14ac:dyDescent="0.35">
      <c r="A4509" s="500" t="s">
        <v>1228</v>
      </c>
      <c r="B4509" s="501" t="s">
        <v>3321</v>
      </c>
      <c r="C4509" s="501" t="s">
        <v>1094</v>
      </c>
      <c r="D4509" s="501" t="s">
        <v>3380</v>
      </c>
      <c r="E4509" s="501" t="s">
        <v>3381</v>
      </c>
      <c r="F4509" s="501" t="s">
        <v>699</v>
      </c>
      <c r="G4509" s="501" t="s">
        <v>700</v>
      </c>
      <c r="H4509" s="501" t="s">
        <v>6990</v>
      </c>
      <c r="I4509" s="501">
        <v>9</v>
      </c>
      <c r="J4509" s="501">
        <v>0</v>
      </c>
      <c r="K4509" s="501">
        <v>0</v>
      </c>
      <c r="L4509" s="501">
        <v>9</v>
      </c>
      <c r="M4509" s="501">
        <v>0</v>
      </c>
      <c r="N4509" s="501">
        <v>0</v>
      </c>
      <c r="O4509" s="506">
        <v>0</v>
      </c>
    </row>
    <row r="4510" spans="1:15" x14ac:dyDescent="0.35">
      <c r="A4510" s="503" t="s">
        <v>1752</v>
      </c>
      <c r="B4510" s="504">
        <v>4653</v>
      </c>
      <c r="C4510" s="504" t="s">
        <v>1094</v>
      </c>
      <c r="D4510" s="504" t="s">
        <v>3380</v>
      </c>
      <c r="E4510" s="504" t="s">
        <v>3381</v>
      </c>
      <c r="F4510" s="504" t="s">
        <v>699</v>
      </c>
      <c r="G4510" s="504" t="s">
        <v>700</v>
      </c>
      <c r="H4510" s="504" t="s">
        <v>11998</v>
      </c>
      <c r="I4510" s="504">
        <v>6</v>
      </c>
      <c r="J4510" s="504">
        <v>0</v>
      </c>
      <c r="K4510" s="504">
        <v>0</v>
      </c>
      <c r="L4510" s="504">
        <v>6</v>
      </c>
      <c r="M4510" s="504">
        <v>0</v>
      </c>
      <c r="N4510" s="504">
        <v>0</v>
      </c>
      <c r="O4510" s="505">
        <v>0</v>
      </c>
    </row>
    <row r="4511" spans="1:15" x14ac:dyDescent="0.35">
      <c r="A4511" s="500" t="s">
        <v>1124</v>
      </c>
      <c r="B4511" s="501">
        <v>4745</v>
      </c>
      <c r="C4511" s="501" t="s">
        <v>1094</v>
      </c>
      <c r="D4511" s="501" t="s">
        <v>3380</v>
      </c>
      <c r="E4511" s="501" t="s">
        <v>3381</v>
      </c>
      <c r="F4511" s="501" t="s">
        <v>699</v>
      </c>
      <c r="G4511" s="501" t="s">
        <v>700</v>
      </c>
      <c r="H4511" s="501" t="s">
        <v>6991</v>
      </c>
      <c r="I4511" s="501">
        <v>10</v>
      </c>
      <c r="J4511" s="501">
        <v>0</v>
      </c>
      <c r="K4511" s="501">
        <v>0</v>
      </c>
      <c r="L4511" s="501">
        <v>10</v>
      </c>
      <c r="M4511" s="501">
        <v>0</v>
      </c>
      <c r="N4511" s="501">
        <v>0</v>
      </c>
      <c r="O4511" s="506">
        <v>0</v>
      </c>
    </row>
    <row r="4512" spans="1:15" x14ac:dyDescent="0.35">
      <c r="A4512" s="503" t="s">
        <v>1754</v>
      </c>
      <c r="B4512" s="504" t="s">
        <v>2787</v>
      </c>
      <c r="C4512" s="504" t="s">
        <v>1089</v>
      </c>
      <c r="D4512" s="504" t="s">
        <v>3392</v>
      </c>
      <c r="E4512" s="504" t="s">
        <v>3381</v>
      </c>
      <c r="F4512" s="504" t="s">
        <v>699</v>
      </c>
      <c r="G4512" s="504" t="s">
        <v>700</v>
      </c>
      <c r="H4512" s="504" t="s">
        <v>6992</v>
      </c>
      <c r="I4512" s="504">
        <v>37</v>
      </c>
      <c r="J4512" s="504">
        <v>37</v>
      </c>
      <c r="K4512" s="504">
        <v>0</v>
      </c>
      <c r="L4512" s="504">
        <v>0</v>
      </c>
      <c r="M4512" s="504">
        <v>0</v>
      </c>
      <c r="N4512" s="504">
        <v>0</v>
      </c>
      <c r="O4512" s="505">
        <v>0</v>
      </c>
    </row>
    <row r="4513" spans="1:15" x14ac:dyDescent="0.35">
      <c r="A4513" s="500" t="s">
        <v>1126</v>
      </c>
      <c r="B4513" s="501" t="s">
        <v>2974</v>
      </c>
      <c r="C4513" s="501" t="s">
        <v>1094</v>
      </c>
      <c r="D4513" s="501" t="s">
        <v>3380</v>
      </c>
      <c r="E4513" s="501" t="s">
        <v>3381</v>
      </c>
      <c r="F4513" s="501" t="s">
        <v>699</v>
      </c>
      <c r="G4513" s="501" t="s">
        <v>700</v>
      </c>
      <c r="H4513" s="501" t="s">
        <v>6993</v>
      </c>
      <c r="I4513" s="501">
        <v>206</v>
      </c>
      <c r="J4513" s="501">
        <v>138</v>
      </c>
      <c r="K4513" s="501">
        <v>0</v>
      </c>
      <c r="L4513" s="501">
        <v>26</v>
      </c>
      <c r="M4513" s="501">
        <v>34</v>
      </c>
      <c r="N4513" s="501">
        <v>0</v>
      </c>
      <c r="O4513" s="506">
        <v>8</v>
      </c>
    </row>
    <row r="4514" spans="1:15" x14ac:dyDescent="0.35">
      <c r="A4514" s="503" t="s">
        <v>1762</v>
      </c>
      <c r="B4514" s="504" t="s">
        <v>2769</v>
      </c>
      <c r="C4514" s="504" t="s">
        <v>1089</v>
      </c>
      <c r="D4514" s="504" t="s">
        <v>3392</v>
      </c>
      <c r="E4514" s="504" t="s">
        <v>3381</v>
      </c>
      <c r="F4514" s="504" t="s">
        <v>699</v>
      </c>
      <c r="G4514" s="504" t="s">
        <v>700</v>
      </c>
      <c r="H4514" s="504" t="s">
        <v>6994</v>
      </c>
      <c r="I4514" s="504">
        <v>23</v>
      </c>
      <c r="J4514" s="504">
        <v>23</v>
      </c>
      <c r="K4514" s="504">
        <v>0</v>
      </c>
      <c r="L4514" s="504">
        <v>0</v>
      </c>
      <c r="M4514" s="504">
        <v>0</v>
      </c>
      <c r="N4514" s="504">
        <v>0</v>
      </c>
      <c r="O4514" s="505">
        <v>0</v>
      </c>
    </row>
    <row r="4515" spans="1:15" x14ac:dyDescent="0.35">
      <c r="A4515" s="500" t="s">
        <v>1766</v>
      </c>
      <c r="B4515" s="501" t="s">
        <v>2788</v>
      </c>
      <c r="C4515" s="501" t="s">
        <v>1089</v>
      </c>
      <c r="D4515" s="501" t="s">
        <v>3392</v>
      </c>
      <c r="E4515" s="501" t="s">
        <v>3381</v>
      </c>
      <c r="F4515" s="501" t="s">
        <v>699</v>
      </c>
      <c r="G4515" s="501" t="s">
        <v>700</v>
      </c>
      <c r="H4515" s="501" t="s">
        <v>6995</v>
      </c>
      <c r="I4515" s="501">
        <v>24</v>
      </c>
      <c r="J4515" s="501">
        <v>24</v>
      </c>
      <c r="K4515" s="501">
        <v>0</v>
      </c>
      <c r="L4515" s="501">
        <v>0</v>
      </c>
      <c r="M4515" s="501">
        <v>0</v>
      </c>
      <c r="N4515" s="501">
        <v>0</v>
      </c>
      <c r="O4515" s="506">
        <v>0</v>
      </c>
    </row>
    <row r="4516" spans="1:15" x14ac:dyDescent="0.35">
      <c r="A4516" s="503" t="s">
        <v>1253</v>
      </c>
      <c r="B4516" s="504" t="s">
        <v>3232</v>
      </c>
      <c r="C4516" s="504" t="s">
        <v>1094</v>
      </c>
      <c r="D4516" s="504" t="s">
        <v>3380</v>
      </c>
      <c r="E4516" s="504" t="s">
        <v>3381</v>
      </c>
      <c r="F4516" s="504" t="s">
        <v>699</v>
      </c>
      <c r="G4516" s="504" t="s">
        <v>700</v>
      </c>
      <c r="H4516" s="504" t="s">
        <v>6996</v>
      </c>
      <c r="I4516" s="504">
        <v>1024</v>
      </c>
      <c r="J4516" s="504">
        <v>631</v>
      </c>
      <c r="K4516" s="504">
        <v>0</v>
      </c>
      <c r="L4516" s="504">
        <v>90</v>
      </c>
      <c r="M4516" s="504">
        <v>198</v>
      </c>
      <c r="N4516" s="504">
        <v>0</v>
      </c>
      <c r="O4516" s="505">
        <v>105</v>
      </c>
    </row>
    <row r="4517" spans="1:15" x14ac:dyDescent="0.35">
      <c r="A4517" s="500" t="s">
        <v>1779</v>
      </c>
      <c r="B4517" s="501">
        <v>5065</v>
      </c>
      <c r="C4517" s="501" t="s">
        <v>1094</v>
      </c>
      <c r="D4517" s="501" t="s">
        <v>3380</v>
      </c>
      <c r="E4517" s="501" t="s">
        <v>3381</v>
      </c>
      <c r="F4517" s="501" t="s">
        <v>699</v>
      </c>
      <c r="G4517" s="501" t="s">
        <v>700</v>
      </c>
      <c r="H4517" s="501" t="s">
        <v>6997</v>
      </c>
      <c r="I4517" s="501">
        <v>425</v>
      </c>
      <c r="J4517" s="501">
        <v>234</v>
      </c>
      <c r="K4517" s="501">
        <v>0</v>
      </c>
      <c r="L4517" s="501">
        <v>16</v>
      </c>
      <c r="M4517" s="501">
        <v>100</v>
      </c>
      <c r="N4517" s="501">
        <v>0</v>
      </c>
      <c r="O4517" s="506">
        <v>75</v>
      </c>
    </row>
    <row r="4518" spans="1:15" x14ac:dyDescent="0.35">
      <c r="A4518" s="503" t="s">
        <v>1260</v>
      </c>
      <c r="B4518" s="504">
        <v>4645</v>
      </c>
      <c r="C4518" s="504" t="s">
        <v>1089</v>
      </c>
      <c r="D4518" s="504" t="s">
        <v>3392</v>
      </c>
      <c r="E4518" s="504" t="s">
        <v>3381</v>
      </c>
      <c r="F4518" s="504" t="s">
        <v>699</v>
      </c>
      <c r="G4518" s="504" t="s">
        <v>700</v>
      </c>
      <c r="H4518" s="504" t="s">
        <v>6998</v>
      </c>
      <c r="I4518" s="504">
        <v>4</v>
      </c>
      <c r="J4518" s="504">
        <v>0</v>
      </c>
      <c r="K4518" s="504">
        <v>0</v>
      </c>
      <c r="L4518" s="504">
        <v>4</v>
      </c>
      <c r="M4518" s="504">
        <v>0</v>
      </c>
      <c r="N4518" s="504">
        <v>0</v>
      </c>
      <c r="O4518" s="505">
        <v>0</v>
      </c>
    </row>
    <row r="4519" spans="1:15" x14ac:dyDescent="0.35">
      <c r="A4519" s="500" t="s">
        <v>1786</v>
      </c>
      <c r="B4519" s="501" t="s">
        <v>2792</v>
      </c>
      <c r="C4519" s="501" t="s">
        <v>1089</v>
      </c>
      <c r="D4519" s="501" t="s">
        <v>3392</v>
      </c>
      <c r="E4519" s="501" t="s">
        <v>3381</v>
      </c>
      <c r="F4519" s="501" t="s">
        <v>699</v>
      </c>
      <c r="G4519" s="501" t="s">
        <v>700</v>
      </c>
      <c r="H4519" s="501" t="s">
        <v>6999</v>
      </c>
      <c r="I4519" s="501">
        <v>35</v>
      </c>
      <c r="J4519" s="501">
        <v>35</v>
      </c>
      <c r="K4519" s="501">
        <v>0</v>
      </c>
      <c r="L4519" s="501">
        <v>0</v>
      </c>
      <c r="M4519" s="501">
        <v>0</v>
      </c>
      <c r="N4519" s="501">
        <v>0</v>
      </c>
      <c r="O4519" s="506">
        <v>0</v>
      </c>
    </row>
    <row r="4520" spans="1:15" x14ac:dyDescent="0.35">
      <c r="A4520" s="503" t="s">
        <v>1266</v>
      </c>
      <c r="B4520" s="504" t="s">
        <v>3071</v>
      </c>
      <c r="C4520" s="504" t="s">
        <v>1094</v>
      </c>
      <c r="D4520" s="504" t="s">
        <v>3380</v>
      </c>
      <c r="E4520" s="504" t="s">
        <v>3381</v>
      </c>
      <c r="F4520" s="504" t="s">
        <v>699</v>
      </c>
      <c r="G4520" s="504" t="s">
        <v>700</v>
      </c>
      <c r="H4520" s="504" t="s">
        <v>7000</v>
      </c>
      <c r="I4520" s="504">
        <v>520</v>
      </c>
      <c r="J4520" s="504">
        <v>434</v>
      </c>
      <c r="K4520" s="504">
        <v>0</v>
      </c>
      <c r="L4520" s="504">
        <v>27</v>
      </c>
      <c r="M4520" s="504">
        <v>41</v>
      </c>
      <c r="N4520" s="504">
        <v>0</v>
      </c>
      <c r="O4520" s="505">
        <v>18</v>
      </c>
    </row>
    <row r="4521" spans="1:15" x14ac:dyDescent="0.35">
      <c r="A4521" s="500" t="s">
        <v>1385</v>
      </c>
      <c r="B4521" s="501" t="s">
        <v>3249</v>
      </c>
      <c r="C4521" s="501" t="s">
        <v>1094</v>
      </c>
      <c r="D4521" s="501" t="s">
        <v>3380</v>
      </c>
      <c r="E4521" s="501" t="s">
        <v>3381</v>
      </c>
      <c r="F4521" s="501" t="s">
        <v>701</v>
      </c>
      <c r="G4521" s="501" t="s">
        <v>702</v>
      </c>
      <c r="H4521" s="501" t="s">
        <v>7001</v>
      </c>
      <c r="I4521" s="501">
        <v>51</v>
      </c>
      <c r="J4521" s="501">
        <v>29</v>
      </c>
      <c r="K4521" s="501">
        <v>0</v>
      </c>
      <c r="L4521" s="501">
        <v>0</v>
      </c>
      <c r="M4521" s="501">
        <v>0</v>
      </c>
      <c r="N4521" s="501">
        <v>0</v>
      </c>
      <c r="O4521" s="506">
        <v>22</v>
      </c>
    </row>
    <row r="4522" spans="1:15" x14ac:dyDescent="0.35">
      <c r="A4522" s="503" t="s">
        <v>1093</v>
      </c>
      <c r="B4522" s="504" t="s">
        <v>3248</v>
      </c>
      <c r="C4522" s="504" t="s">
        <v>1094</v>
      </c>
      <c r="D4522" s="504" t="s">
        <v>3380</v>
      </c>
      <c r="E4522" s="504" t="s">
        <v>3381</v>
      </c>
      <c r="F4522" s="504" t="s">
        <v>701</v>
      </c>
      <c r="G4522" s="504" t="s">
        <v>702</v>
      </c>
      <c r="H4522" s="504" t="s">
        <v>7002</v>
      </c>
      <c r="I4522" s="504">
        <v>1</v>
      </c>
      <c r="J4522" s="504">
        <v>0</v>
      </c>
      <c r="K4522" s="504">
        <v>0</v>
      </c>
      <c r="L4522" s="504">
        <v>1</v>
      </c>
      <c r="M4522" s="504">
        <v>0</v>
      </c>
      <c r="N4522" s="504">
        <v>0</v>
      </c>
      <c r="O4522" s="505">
        <v>0</v>
      </c>
    </row>
    <row r="4523" spans="1:15" x14ac:dyDescent="0.35">
      <c r="A4523" s="500" t="s">
        <v>1096</v>
      </c>
      <c r="B4523" s="501" t="s">
        <v>3326</v>
      </c>
      <c r="C4523" s="501" t="s">
        <v>1094</v>
      </c>
      <c r="D4523" s="501" t="s">
        <v>3380</v>
      </c>
      <c r="E4523" s="501" t="s">
        <v>3381</v>
      </c>
      <c r="F4523" s="501" t="s">
        <v>701</v>
      </c>
      <c r="G4523" s="501" t="s">
        <v>702</v>
      </c>
      <c r="H4523" s="501" t="s">
        <v>7003</v>
      </c>
      <c r="I4523" s="501">
        <v>153</v>
      </c>
      <c r="J4523" s="501">
        <v>0</v>
      </c>
      <c r="K4523" s="501">
        <v>0</v>
      </c>
      <c r="L4523" s="501">
        <v>0</v>
      </c>
      <c r="M4523" s="501">
        <v>153</v>
      </c>
      <c r="N4523" s="501">
        <v>0</v>
      </c>
      <c r="O4523" s="506">
        <v>0</v>
      </c>
    </row>
    <row r="4524" spans="1:15" x14ac:dyDescent="0.35">
      <c r="A4524" s="503" t="s">
        <v>1270</v>
      </c>
      <c r="B4524" s="504" t="s">
        <v>3304</v>
      </c>
      <c r="C4524" s="504" t="s">
        <v>1089</v>
      </c>
      <c r="D4524" s="504" t="s">
        <v>3392</v>
      </c>
      <c r="E4524" s="504" t="s">
        <v>3381</v>
      </c>
      <c r="F4524" s="504" t="s">
        <v>701</v>
      </c>
      <c r="G4524" s="504" t="s">
        <v>702</v>
      </c>
      <c r="H4524" s="504" t="s">
        <v>7004</v>
      </c>
      <c r="I4524" s="504">
        <v>12</v>
      </c>
      <c r="J4524" s="504">
        <v>12</v>
      </c>
      <c r="K4524" s="504">
        <v>0</v>
      </c>
      <c r="L4524" s="504">
        <v>0</v>
      </c>
      <c r="M4524" s="504">
        <v>0</v>
      </c>
      <c r="N4524" s="504">
        <v>0</v>
      </c>
      <c r="O4524" s="505">
        <v>0</v>
      </c>
    </row>
    <row r="4525" spans="1:15" x14ac:dyDescent="0.35">
      <c r="A4525" s="500" t="s">
        <v>1395</v>
      </c>
      <c r="B4525" s="501" t="s">
        <v>2806</v>
      </c>
      <c r="C4525" s="501" t="s">
        <v>1089</v>
      </c>
      <c r="D4525" s="501" t="s">
        <v>3392</v>
      </c>
      <c r="E4525" s="501" t="s">
        <v>3381</v>
      </c>
      <c r="F4525" s="501" t="s">
        <v>701</v>
      </c>
      <c r="G4525" s="501" t="s">
        <v>702</v>
      </c>
      <c r="H4525" s="501" t="s">
        <v>7005</v>
      </c>
      <c r="I4525" s="501">
        <v>128</v>
      </c>
      <c r="J4525" s="501">
        <v>128</v>
      </c>
      <c r="K4525" s="501">
        <v>0</v>
      </c>
      <c r="L4525" s="501">
        <v>0</v>
      </c>
      <c r="M4525" s="501">
        <v>0</v>
      </c>
      <c r="N4525" s="501">
        <v>0</v>
      </c>
      <c r="O4525" s="506">
        <v>0</v>
      </c>
    </row>
    <row r="4526" spans="1:15" x14ac:dyDescent="0.35">
      <c r="A4526" s="503" t="s">
        <v>14142</v>
      </c>
      <c r="B4526" s="504" t="s">
        <v>2700</v>
      </c>
      <c r="C4526" s="504" t="s">
        <v>1089</v>
      </c>
      <c r="D4526" s="504" t="s">
        <v>3392</v>
      </c>
      <c r="E4526" s="504" t="s">
        <v>3381</v>
      </c>
      <c r="F4526" s="504" t="s">
        <v>701</v>
      </c>
      <c r="G4526" s="504" t="s">
        <v>702</v>
      </c>
      <c r="H4526" s="504" t="s">
        <v>14783</v>
      </c>
      <c r="I4526" s="504">
        <v>39</v>
      </c>
      <c r="J4526" s="504">
        <v>39</v>
      </c>
      <c r="K4526" s="504">
        <v>0</v>
      </c>
      <c r="L4526" s="504">
        <v>0</v>
      </c>
      <c r="M4526" s="504">
        <v>0</v>
      </c>
      <c r="N4526" s="504">
        <v>0</v>
      </c>
      <c r="O4526" s="505">
        <v>0</v>
      </c>
    </row>
    <row r="4527" spans="1:15" x14ac:dyDescent="0.35">
      <c r="A4527" s="500" t="s">
        <v>1407</v>
      </c>
      <c r="B4527" s="501" t="s">
        <v>2681</v>
      </c>
      <c r="C4527" s="501" t="s">
        <v>1089</v>
      </c>
      <c r="D4527" s="501" t="s">
        <v>3392</v>
      </c>
      <c r="E4527" s="501" t="s">
        <v>3381</v>
      </c>
      <c r="F4527" s="501" t="s">
        <v>701</v>
      </c>
      <c r="G4527" s="501" t="s">
        <v>702</v>
      </c>
      <c r="H4527" s="501" t="s">
        <v>7006</v>
      </c>
      <c r="I4527" s="501">
        <v>86</v>
      </c>
      <c r="J4527" s="501">
        <v>86</v>
      </c>
      <c r="K4527" s="501">
        <v>0</v>
      </c>
      <c r="L4527" s="501">
        <v>0</v>
      </c>
      <c r="M4527" s="501">
        <v>0</v>
      </c>
      <c r="N4527" s="501">
        <v>0</v>
      </c>
      <c r="O4527" s="506">
        <v>0</v>
      </c>
    </row>
    <row r="4528" spans="1:15" x14ac:dyDescent="0.35">
      <c r="A4528" s="503" t="s">
        <v>1100</v>
      </c>
      <c r="B4528" s="504">
        <v>4865</v>
      </c>
      <c r="C4528" s="504" t="s">
        <v>1094</v>
      </c>
      <c r="D4528" s="504" t="s">
        <v>3380</v>
      </c>
      <c r="E4528" s="504" t="s">
        <v>3381</v>
      </c>
      <c r="F4528" s="504" t="s">
        <v>701</v>
      </c>
      <c r="G4528" s="504" t="s">
        <v>702</v>
      </c>
      <c r="H4528" s="504" t="s">
        <v>7007</v>
      </c>
      <c r="I4528" s="504">
        <v>171</v>
      </c>
      <c r="J4528" s="504">
        <v>31</v>
      </c>
      <c r="K4528" s="504">
        <v>78</v>
      </c>
      <c r="L4528" s="504">
        <v>0</v>
      </c>
      <c r="M4528" s="504">
        <v>0</v>
      </c>
      <c r="N4528" s="504">
        <v>0</v>
      </c>
      <c r="O4528" s="505">
        <v>62</v>
      </c>
    </row>
    <row r="4529" spans="1:15" x14ac:dyDescent="0.35">
      <c r="A4529" s="500" t="s">
        <v>1420</v>
      </c>
      <c r="B4529" s="501">
        <v>4764</v>
      </c>
      <c r="C4529" s="501" t="s">
        <v>1089</v>
      </c>
      <c r="D4529" s="501" t="s">
        <v>3392</v>
      </c>
      <c r="E4529" s="501" t="s">
        <v>3381</v>
      </c>
      <c r="F4529" s="501" t="s">
        <v>701</v>
      </c>
      <c r="G4529" s="501" t="s">
        <v>702</v>
      </c>
      <c r="H4529" s="501" t="s">
        <v>14784</v>
      </c>
      <c r="I4529" s="501">
        <v>1</v>
      </c>
      <c r="J4529" s="501">
        <v>1</v>
      </c>
      <c r="K4529" s="501">
        <v>0</v>
      </c>
      <c r="L4529" s="501">
        <v>0</v>
      </c>
      <c r="M4529" s="501">
        <v>0</v>
      </c>
      <c r="N4529" s="501">
        <v>0</v>
      </c>
      <c r="O4529" s="506">
        <v>0</v>
      </c>
    </row>
    <row r="4530" spans="1:15" x14ac:dyDescent="0.35">
      <c r="A4530" s="503" t="s">
        <v>1427</v>
      </c>
      <c r="B4530" s="504">
        <v>4813</v>
      </c>
      <c r="C4530" s="504" t="s">
        <v>1089</v>
      </c>
      <c r="D4530" s="504" t="s">
        <v>3392</v>
      </c>
      <c r="E4530" s="504" t="s">
        <v>3381</v>
      </c>
      <c r="F4530" s="504" t="s">
        <v>701</v>
      </c>
      <c r="G4530" s="504" t="s">
        <v>702</v>
      </c>
      <c r="H4530" s="504" t="s">
        <v>7008</v>
      </c>
      <c r="I4530" s="504">
        <v>2</v>
      </c>
      <c r="J4530" s="504">
        <v>2</v>
      </c>
      <c r="K4530" s="504">
        <v>0</v>
      </c>
      <c r="L4530" s="504">
        <v>0</v>
      </c>
      <c r="M4530" s="504">
        <v>0</v>
      </c>
      <c r="N4530" s="504">
        <v>0</v>
      </c>
      <c r="O4530" s="505">
        <v>0</v>
      </c>
    </row>
    <row r="4531" spans="1:15" x14ac:dyDescent="0.35">
      <c r="A4531" s="500" t="s">
        <v>1431</v>
      </c>
      <c r="B4531" s="501" t="s">
        <v>2695</v>
      </c>
      <c r="C4531" s="501" t="s">
        <v>1089</v>
      </c>
      <c r="D4531" s="501" t="s">
        <v>3392</v>
      </c>
      <c r="E4531" s="501" t="s">
        <v>3381</v>
      </c>
      <c r="F4531" s="501" t="s">
        <v>701</v>
      </c>
      <c r="G4531" s="501" t="s">
        <v>702</v>
      </c>
      <c r="H4531" s="501" t="s">
        <v>7009</v>
      </c>
      <c r="I4531" s="501">
        <v>69</v>
      </c>
      <c r="J4531" s="501">
        <v>69</v>
      </c>
      <c r="K4531" s="501">
        <v>0</v>
      </c>
      <c r="L4531" s="501">
        <v>0</v>
      </c>
      <c r="M4531" s="501">
        <v>0</v>
      </c>
      <c r="N4531" s="501">
        <v>0</v>
      </c>
      <c r="O4531" s="506">
        <v>0</v>
      </c>
    </row>
    <row r="4532" spans="1:15" x14ac:dyDescent="0.35">
      <c r="A4532" s="503" t="s">
        <v>1432</v>
      </c>
      <c r="B4532" s="504" t="s">
        <v>2719</v>
      </c>
      <c r="C4532" s="504" t="s">
        <v>1089</v>
      </c>
      <c r="D4532" s="504" t="s">
        <v>3392</v>
      </c>
      <c r="E4532" s="504" t="s">
        <v>3381</v>
      </c>
      <c r="F4532" s="504" t="s">
        <v>701</v>
      </c>
      <c r="G4532" s="504" t="s">
        <v>702</v>
      </c>
      <c r="H4532" s="504" t="s">
        <v>7010</v>
      </c>
      <c r="I4532" s="504">
        <v>59</v>
      </c>
      <c r="J4532" s="504">
        <v>59</v>
      </c>
      <c r="K4532" s="504">
        <v>0</v>
      </c>
      <c r="L4532" s="504">
        <v>0</v>
      </c>
      <c r="M4532" s="504">
        <v>0</v>
      </c>
      <c r="N4532" s="504">
        <v>0</v>
      </c>
      <c r="O4532" s="505">
        <v>0</v>
      </c>
    </row>
    <row r="4533" spans="1:15" x14ac:dyDescent="0.35">
      <c r="A4533" s="500" t="s">
        <v>1433</v>
      </c>
      <c r="B4533" s="501" t="s">
        <v>3316</v>
      </c>
      <c r="C4533" s="501" t="s">
        <v>1089</v>
      </c>
      <c r="D4533" s="501" t="s">
        <v>3392</v>
      </c>
      <c r="E4533" s="501" t="s">
        <v>3381</v>
      </c>
      <c r="F4533" s="501" t="s">
        <v>701</v>
      </c>
      <c r="G4533" s="501" t="s">
        <v>702</v>
      </c>
      <c r="H4533" s="501" t="s">
        <v>7011</v>
      </c>
      <c r="I4533" s="501">
        <v>267</v>
      </c>
      <c r="J4533" s="501">
        <v>222</v>
      </c>
      <c r="K4533" s="501">
        <v>0</v>
      </c>
      <c r="L4533" s="501">
        <v>45</v>
      </c>
      <c r="M4533" s="501">
        <v>0</v>
      </c>
      <c r="N4533" s="501">
        <v>0</v>
      </c>
      <c r="O4533" s="506">
        <v>0</v>
      </c>
    </row>
    <row r="4534" spans="1:15" x14ac:dyDescent="0.35">
      <c r="A4534" s="503" t="s">
        <v>1437</v>
      </c>
      <c r="B4534" s="504" t="s">
        <v>2945</v>
      </c>
      <c r="C4534" s="504" t="s">
        <v>1089</v>
      </c>
      <c r="D4534" s="504" t="s">
        <v>3392</v>
      </c>
      <c r="E4534" s="504" t="s">
        <v>3381</v>
      </c>
      <c r="F4534" s="504" t="s">
        <v>701</v>
      </c>
      <c r="G4534" s="504" t="s">
        <v>702</v>
      </c>
      <c r="H4534" s="504" t="s">
        <v>7012</v>
      </c>
      <c r="I4534" s="504">
        <v>115</v>
      </c>
      <c r="J4534" s="504">
        <v>0</v>
      </c>
      <c r="K4534" s="504">
        <v>0</v>
      </c>
      <c r="L4534" s="504">
        <v>115</v>
      </c>
      <c r="M4534" s="504">
        <v>0</v>
      </c>
      <c r="N4534" s="504">
        <v>0</v>
      </c>
      <c r="O4534" s="505">
        <v>0</v>
      </c>
    </row>
    <row r="4535" spans="1:15" x14ac:dyDescent="0.35">
      <c r="A4535" s="500" t="s">
        <v>1298</v>
      </c>
      <c r="B4535" s="501" t="s">
        <v>2991</v>
      </c>
      <c r="C4535" s="501" t="s">
        <v>1094</v>
      </c>
      <c r="D4535" s="501" t="s">
        <v>3380</v>
      </c>
      <c r="E4535" s="501" t="s">
        <v>3381</v>
      </c>
      <c r="F4535" s="501" t="s">
        <v>701</v>
      </c>
      <c r="G4535" s="501" t="s">
        <v>702</v>
      </c>
      <c r="H4535" s="501" t="s">
        <v>7013</v>
      </c>
      <c r="I4535" s="501">
        <v>1</v>
      </c>
      <c r="J4535" s="501">
        <v>0</v>
      </c>
      <c r="K4535" s="501">
        <v>0</v>
      </c>
      <c r="L4535" s="501">
        <v>0</v>
      </c>
      <c r="M4535" s="501">
        <v>0</v>
      </c>
      <c r="N4535" s="501">
        <v>0</v>
      </c>
      <c r="O4535" s="506">
        <v>1</v>
      </c>
    </row>
    <row r="4536" spans="1:15" x14ac:dyDescent="0.35">
      <c r="A4536" s="503" t="s">
        <v>14208</v>
      </c>
      <c r="B4536" s="504">
        <v>4803</v>
      </c>
      <c r="C4536" s="504" t="s">
        <v>1094</v>
      </c>
      <c r="D4536" s="504" t="s">
        <v>3380</v>
      </c>
      <c r="E4536" s="504" t="s">
        <v>3381</v>
      </c>
      <c r="F4536" s="504" t="s">
        <v>701</v>
      </c>
      <c r="G4536" s="504" t="s">
        <v>702</v>
      </c>
      <c r="H4536" s="504" t="s">
        <v>14785</v>
      </c>
      <c r="I4536" s="504">
        <v>15</v>
      </c>
      <c r="J4536" s="504">
        <v>0</v>
      </c>
      <c r="K4536" s="504">
        <v>0</v>
      </c>
      <c r="L4536" s="504">
        <v>15</v>
      </c>
      <c r="M4536" s="504">
        <v>0</v>
      </c>
      <c r="N4536" s="504">
        <v>0</v>
      </c>
      <c r="O4536" s="505">
        <v>0</v>
      </c>
    </row>
    <row r="4537" spans="1:15" x14ac:dyDescent="0.35">
      <c r="A4537" s="500" t="s">
        <v>1460</v>
      </c>
      <c r="B4537" s="501">
        <v>5064</v>
      </c>
      <c r="C4537" s="501" t="s">
        <v>1089</v>
      </c>
      <c r="D4537" s="501" t="s">
        <v>3392</v>
      </c>
      <c r="E4537" s="501" t="s">
        <v>3381</v>
      </c>
      <c r="F4537" s="501" t="s">
        <v>701</v>
      </c>
      <c r="G4537" s="501" t="s">
        <v>702</v>
      </c>
      <c r="H4537" s="501" t="s">
        <v>7016</v>
      </c>
      <c r="I4537" s="501">
        <v>150</v>
      </c>
      <c r="J4537" s="501">
        <v>150</v>
      </c>
      <c r="K4537" s="501">
        <v>0</v>
      </c>
      <c r="L4537" s="501">
        <v>0</v>
      </c>
      <c r="M4537" s="501">
        <v>0</v>
      </c>
      <c r="N4537" s="501">
        <v>0</v>
      </c>
      <c r="O4537" s="506">
        <v>0</v>
      </c>
    </row>
    <row r="4538" spans="1:15" x14ac:dyDescent="0.35">
      <c r="A4538" s="503" t="s">
        <v>1453</v>
      </c>
      <c r="B4538" s="504" t="s">
        <v>2648</v>
      </c>
      <c r="C4538" s="504" t="s">
        <v>1089</v>
      </c>
      <c r="D4538" s="504" t="s">
        <v>3392</v>
      </c>
      <c r="E4538" s="504" t="s">
        <v>3381</v>
      </c>
      <c r="F4538" s="504" t="s">
        <v>701</v>
      </c>
      <c r="G4538" s="504" t="s">
        <v>702</v>
      </c>
      <c r="H4538" s="504" t="s">
        <v>7014</v>
      </c>
      <c r="I4538" s="504">
        <v>25</v>
      </c>
      <c r="J4538" s="504">
        <v>25</v>
      </c>
      <c r="K4538" s="504">
        <v>0</v>
      </c>
      <c r="L4538" s="504">
        <v>0</v>
      </c>
      <c r="M4538" s="504">
        <v>0</v>
      </c>
      <c r="N4538" s="504">
        <v>0</v>
      </c>
      <c r="O4538" s="505">
        <v>0</v>
      </c>
    </row>
    <row r="4539" spans="1:15" x14ac:dyDescent="0.35">
      <c r="A4539" s="500" t="s">
        <v>11386</v>
      </c>
      <c r="B4539" s="501" t="s">
        <v>2663</v>
      </c>
      <c r="C4539" s="501" t="s">
        <v>1089</v>
      </c>
      <c r="D4539" s="501" t="s">
        <v>3392</v>
      </c>
      <c r="E4539" s="501" t="s">
        <v>3381</v>
      </c>
      <c r="F4539" s="501" t="s">
        <v>701</v>
      </c>
      <c r="G4539" s="501" t="s">
        <v>702</v>
      </c>
      <c r="H4539" s="501" t="s">
        <v>11727</v>
      </c>
      <c r="I4539" s="501">
        <v>19</v>
      </c>
      <c r="J4539" s="501">
        <v>19</v>
      </c>
      <c r="K4539" s="501">
        <v>0</v>
      </c>
      <c r="L4539" s="501">
        <v>0</v>
      </c>
      <c r="M4539" s="501">
        <v>0</v>
      </c>
      <c r="N4539" s="501">
        <v>0</v>
      </c>
      <c r="O4539" s="506">
        <v>0</v>
      </c>
    </row>
    <row r="4540" spans="1:15" x14ac:dyDescent="0.35">
      <c r="A4540" s="503" t="s">
        <v>1459</v>
      </c>
      <c r="B4540" s="504" t="s">
        <v>3063</v>
      </c>
      <c r="C4540" s="504" t="s">
        <v>1094</v>
      </c>
      <c r="D4540" s="504" t="s">
        <v>3380</v>
      </c>
      <c r="E4540" s="504" t="s">
        <v>3381</v>
      </c>
      <c r="F4540" s="504" t="s">
        <v>701</v>
      </c>
      <c r="G4540" s="504" t="s">
        <v>702</v>
      </c>
      <c r="H4540" s="504" t="s">
        <v>7015</v>
      </c>
      <c r="I4540" s="504">
        <v>5</v>
      </c>
      <c r="J4540" s="504">
        <v>0</v>
      </c>
      <c r="K4540" s="504">
        <v>0</v>
      </c>
      <c r="L4540" s="504">
        <v>5</v>
      </c>
      <c r="M4540" s="504">
        <v>0</v>
      </c>
      <c r="N4540" s="504">
        <v>0</v>
      </c>
      <c r="O4540" s="505">
        <v>0</v>
      </c>
    </row>
    <row r="4541" spans="1:15" x14ac:dyDescent="0.35">
      <c r="A4541" s="500" t="s">
        <v>1461</v>
      </c>
      <c r="B4541" s="501" t="s">
        <v>2526</v>
      </c>
      <c r="C4541" s="501" t="s">
        <v>1089</v>
      </c>
      <c r="D4541" s="501" t="s">
        <v>3392</v>
      </c>
      <c r="E4541" s="501" t="s">
        <v>3381</v>
      </c>
      <c r="F4541" s="501" t="s">
        <v>701</v>
      </c>
      <c r="G4541" s="501" t="s">
        <v>702</v>
      </c>
      <c r="H4541" s="501" t="s">
        <v>7017</v>
      </c>
      <c r="I4541" s="501">
        <v>8</v>
      </c>
      <c r="J4541" s="501">
        <v>0</v>
      </c>
      <c r="K4541" s="501">
        <v>0</v>
      </c>
      <c r="L4541" s="501">
        <v>0</v>
      </c>
      <c r="M4541" s="501">
        <v>8</v>
      </c>
      <c r="N4541" s="501">
        <v>0</v>
      </c>
      <c r="O4541" s="506">
        <v>0</v>
      </c>
    </row>
    <row r="4542" spans="1:15" x14ac:dyDescent="0.35">
      <c r="A4542" s="503" t="s">
        <v>1188</v>
      </c>
      <c r="B4542" s="504">
        <v>4760</v>
      </c>
      <c r="C4542" s="504" t="s">
        <v>1089</v>
      </c>
      <c r="D4542" s="504" t="s">
        <v>3392</v>
      </c>
      <c r="E4542" s="504" t="s">
        <v>3381</v>
      </c>
      <c r="F4542" s="504" t="s">
        <v>701</v>
      </c>
      <c r="G4542" s="504" t="s">
        <v>702</v>
      </c>
      <c r="H4542" s="504" t="s">
        <v>7018</v>
      </c>
      <c r="I4542" s="504">
        <v>8</v>
      </c>
      <c r="J4542" s="504">
        <v>0</v>
      </c>
      <c r="K4542" s="504">
        <v>0</v>
      </c>
      <c r="L4542" s="504">
        <v>8</v>
      </c>
      <c r="M4542" s="504">
        <v>0</v>
      </c>
      <c r="N4542" s="504">
        <v>0</v>
      </c>
      <c r="O4542" s="505">
        <v>0</v>
      </c>
    </row>
    <row r="4543" spans="1:15" x14ac:dyDescent="0.35">
      <c r="A4543" s="500" t="s">
        <v>1107</v>
      </c>
      <c r="B4543" s="501" t="s">
        <v>3109</v>
      </c>
      <c r="C4543" s="501" t="s">
        <v>1094</v>
      </c>
      <c r="D4543" s="501" t="s">
        <v>3380</v>
      </c>
      <c r="E4543" s="501" t="s">
        <v>3381</v>
      </c>
      <c r="F4543" s="501" t="s">
        <v>701</v>
      </c>
      <c r="G4543" s="501" t="s">
        <v>702</v>
      </c>
      <c r="H4543" s="501" t="s">
        <v>7019</v>
      </c>
      <c r="I4543" s="501">
        <v>21</v>
      </c>
      <c r="J4543" s="501">
        <v>0</v>
      </c>
      <c r="K4543" s="501">
        <v>0</v>
      </c>
      <c r="L4543" s="501">
        <v>21</v>
      </c>
      <c r="M4543" s="501">
        <v>0</v>
      </c>
      <c r="N4543" s="501">
        <v>0</v>
      </c>
      <c r="O4543" s="506">
        <v>0</v>
      </c>
    </row>
    <row r="4544" spans="1:15" x14ac:dyDescent="0.35">
      <c r="A4544" s="503" t="s">
        <v>1468</v>
      </c>
      <c r="B4544" s="504" t="s">
        <v>2717</v>
      </c>
      <c r="C4544" s="504" t="s">
        <v>1089</v>
      </c>
      <c r="D4544" s="504" t="s">
        <v>3392</v>
      </c>
      <c r="E4544" s="504" t="s">
        <v>3381</v>
      </c>
      <c r="F4544" s="504" t="s">
        <v>701</v>
      </c>
      <c r="G4544" s="504" t="s">
        <v>702</v>
      </c>
      <c r="H4544" s="504" t="s">
        <v>7020</v>
      </c>
      <c r="I4544" s="504">
        <v>15</v>
      </c>
      <c r="J4544" s="504">
        <v>15</v>
      </c>
      <c r="K4544" s="504">
        <v>0</v>
      </c>
      <c r="L4544" s="504">
        <v>0</v>
      </c>
      <c r="M4544" s="504">
        <v>0</v>
      </c>
      <c r="N4544" s="504">
        <v>0</v>
      </c>
      <c r="O4544" s="505">
        <v>0</v>
      </c>
    </row>
    <row r="4545" spans="1:15" x14ac:dyDescent="0.35">
      <c r="A4545" s="500" t="s">
        <v>1189</v>
      </c>
      <c r="B4545" s="501" t="s">
        <v>3236</v>
      </c>
      <c r="C4545" s="501" t="s">
        <v>1094</v>
      </c>
      <c r="D4545" s="501" t="s">
        <v>3380</v>
      </c>
      <c r="E4545" s="501" t="s">
        <v>3381</v>
      </c>
      <c r="F4545" s="501" t="s">
        <v>701</v>
      </c>
      <c r="G4545" s="501" t="s">
        <v>702</v>
      </c>
      <c r="H4545" s="501" t="s">
        <v>7021</v>
      </c>
      <c r="I4545" s="501">
        <v>203</v>
      </c>
      <c r="J4545" s="501">
        <v>131</v>
      </c>
      <c r="K4545" s="501">
        <v>0</v>
      </c>
      <c r="L4545" s="501">
        <v>71</v>
      </c>
      <c r="M4545" s="501">
        <v>0</v>
      </c>
      <c r="N4545" s="501">
        <v>1</v>
      </c>
      <c r="O4545" s="506">
        <v>1</v>
      </c>
    </row>
    <row r="4546" spans="1:15" x14ac:dyDescent="0.35">
      <c r="A4546" s="503" t="s">
        <v>1471</v>
      </c>
      <c r="B4546" s="504" t="s">
        <v>3163</v>
      </c>
      <c r="C4546" s="504" t="s">
        <v>1094</v>
      </c>
      <c r="D4546" s="504" t="s">
        <v>3380</v>
      </c>
      <c r="E4546" s="504" t="s">
        <v>3381</v>
      </c>
      <c r="F4546" s="504" t="s">
        <v>701</v>
      </c>
      <c r="G4546" s="504" t="s">
        <v>702</v>
      </c>
      <c r="H4546" s="504" t="s">
        <v>7022</v>
      </c>
      <c r="I4546" s="504">
        <v>2270</v>
      </c>
      <c r="J4546" s="504">
        <v>2199</v>
      </c>
      <c r="K4546" s="504">
        <v>0</v>
      </c>
      <c r="L4546" s="504">
        <v>0</v>
      </c>
      <c r="M4546" s="504">
        <v>42</v>
      </c>
      <c r="N4546" s="504">
        <v>41</v>
      </c>
      <c r="O4546" s="505">
        <v>29</v>
      </c>
    </row>
    <row r="4547" spans="1:15" x14ac:dyDescent="0.35">
      <c r="A4547" s="500" t="s">
        <v>1190</v>
      </c>
      <c r="B4547" s="501">
        <v>4662</v>
      </c>
      <c r="C4547" s="501" t="s">
        <v>1094</v>
      </c>
      <c r="D4547" s="501" t="s">
        <v>3380</v>
      </c>
      <c r="E4547" s="501" t="s">
        <v>3381</v>
      </c>
      <c r="F4547" s="501" t="s">
        <v>701</v>
      </c>
      <c r="G4547" s="501" t="s">
        <v>702</v>
      </c>
      <c r="H4547" s="501" t="s">
        <v>7023</v>
      </c>
      <c r="I4547" s="501">
        <v>5</v>
      </c>
      <c r="J4547" s="501">
        <v>0</v>
      </c>
      <c r="K4547" s="501">
        <v>0</v>
      </c>
      <c r="L4547" s="501">
        <v>5</v>
      </c>
      <c r="M4547" s="501">
        <v>0</v>
      </c>
      <c r="N4547" s="501">
        <v>0</v>
      </c>
      <c r="O4547" s="506">
        <v>0</v>
      </c>
    </row>
    <row r="4548" spans="1:15" x14ac:dyDescent="0.35">
      <c r="A4548" s="503" t="s">
        <v>1307</v>
      </c>
      <c r="B4548" s="504" t="s">
        <v>3306</v>
      </c>
      <c r="C4548" s="504" t="s">
        <v>1089</v>
      </c>
      <c r="D4548" s="504" t="s">
        <v>3392</v>
      </c>
      <c r="E4548" s="504" t="s">
        <v>3381</v>
      </c>
      <c r="F4548" s="504" t="s">
        <v>701</v>
      </c>
      <c r="G4548" s="504" t="s">
        <v>702</v>
      </c>
      <c r="H4548" s="504" t="s">
        <v>7024</v>
      </c>
      <c r="I4548" s="504">
        <v>7</v>
      </c>
      <c r="J4548" s="504">
        <v>7</v>
      </c>
      <c r="K4548" s="504">
        <v>0</v>
      </c>
      <c r="L4548" s="504">
        <v>0</v>
      </c>
      <c r="M4548" s="504">
        <v>0</v>
      </c>
      <c r="N4548" s="504">
        <v>0</v>
      </c>
      <c r="O4548" s="505">
        <v>0</v>
      </c>
    </row>
    <row r="4549" spans="1:15" x14ac:dyDescent="0.35">
      <c r="A4549" s="500" t="s">
        <v>1308</v>
      </c>
      <c r="B4549" s="501" t="s">
        <v>3263</v>
      </c>
      <c r="C4549" s="501" t="s">
        <v>1089</v>
      </c>
      <c r="D4549" s="501" t="s">
        <v>3392</v>
      </c>
      <c r="E4549" s="501" t="s">
        <v>3381</v>
      </c>
      <c r="F4549" s="501" t="s">
        <v>701</v>
      </c>
      <c r="G4549" s="501" t="s">
        <v>702</v>
      </c>
      <c r="H4549" s="501" t="s">
        <v>7025</v>
      </c>
      <c r="I4549" s="501">
        <v>26</v>
      </c>
      <c r="J4549" s="501">
        <v>0</v>
      </c>
      <c r="K4549" s="501">
        <v>0</v>
      </c>
      <c r="L4549" s="501">
        <v>0</v>
      </c>
      <c r="M4549" s="501">
        <v>26</v>
      </c>
      <c r="N4549" s="501">
        <v>0</v>
      </c>
      <c r="O4549" s="506">
        <v>0</v>
      </c>
    </row>
    <row r="4550" spans="1:15" x14ac:dyDescent="0.35">
      <c r="A4550" s="503" t="s">
        <v>1481</v>
      </c>
      <c r="B4550" s="504" t="s">
        <v>3083</v>
      </c>
      <c r="C4550" s="504" t="s">
        <v>1089</v>
      </c>
      <c r="D4550" s="504" t="s">
        <v>3392</v>
      </c>
      <c r="E4550" s="504" t="s">
        <v>3381</v>
      </c>
      <c r="F4550" s="504" t="s">
        <v>701</v>
      </c>
      <c r="G4550" s="504" t="s">
        <v>702</v>
      </c>
      <c r="H4550" s="504" t="s">
        <v>7026</v>
      </c>
      <c r="I4550" s="504">
        <v>10</v>
      </c>
      <c r="J4550" s="504">
        <v>10</v>
      </c>
      <c r="K4550" s="504">
        <v>0</v>
      </c>
      <c r="L4550" s="504">
        <v>0</v>
      </c>
      <c r="M4550" s="504">
        <v>0</v>
      </c>
      <c r="N4550" s="504">
        <v>0</v>
      </c>
      <c r="O4550" s="505">
        <v>0</v>
      </c>
    </row>
    <row r="4551" spans="1:15" x14ac:dyDescent="0.35">
      <c r="A4551" s="500" t="s">
        <v>1486</v>
      </c>
      <c r="B4551" s="501" t="s">
        <v>3020</v>
      </c>
      <c r="C4551" s="501" t="s">
        <v>1089</v>
      </c>
      <c r="D4551" s="501" t="s">
        <v>3392</v>
      </c>
      <c r="E4551" s="501" t="s">
        <v>3381</v>
      </c>
      <c r="F4551" s="501" t="s">
        <v>701</v>
      </c>
      <c r="G4551" s="501" t="s">
        <v>702</v>
      </c>
      <c r="H4551" s="501" t="s">
        <v>7027</v>
      </c>
      <c r="I4551" s="501">
        <v>105</v>
      </c>
      <c r="J4551" s="501">
        <v>0</v>
      </c>
      <c r="K4551" s="501">
        <v>105</v>
      </c>
      <c r="L4551" s="501">
        <v>0</v>
      </c>
      <c r="M4551" s="501">
        <v>0</v>
      </c>
      <c r="N4551" s="501">
        <v>0</v>
      </c>
      <c r="O4551" s="506">
        <v>0</v>
      </c>
    </row>
    <row r="4552" spans="1:15" x14ac:dyDescent="0.35">
      <c r="A4552" s="503" t="s">
        <v>1487</v>
      </c>
      <c r="B4552" s="504" t="s">
        <v>3180</v>
      </c>
      <c r="C4552" s="504" t="s">
        <v>1089</v>
      </c>
      <c r="D4552" s="504" t="s">
        <v>3392</v>
      </c>
      <c r="E4552" s="504" t="s">
        <v>3381</v>
      </c>
      <c r="F4552" s="504" t="s">
        <v>701</v>
      </c>
      <c r="G4552" s="504" t="s">
        <v>702</v>
      </c>
      <c r="H4552" s="504" t="s">
        <v>7028</v>
      </c>
      <c r="I4552" s="504">
        <v>52</v>
      </c>
      <c r="J4552" s="504">
        <v>52</v>
      </c>
      <c r="K4552" s="504">
        <v>0</v>
      </c>
      <c r="L4552" s="504">
        <v>0</v>
      </c>
      <c r="M4552" s="504">
        <v>0</v>
      </c>
      <c r="N4552" s="504">
        <v>5</v>
      </c>
      <c r="O4552" s="505">
        <v>0</v>
      </c>
    </row>
    <row r="4553" spans="1:15" x14ac:dyDescent="0.35">
      <c r="A4553" s="500" t="s">
        <v>1202</v>
      </c>
      <c r="B4553" s="501" t="s">
        <v>3217</v>
      </c>
      <c r="C4553" s="501" t="s">
        <v>1094</v>
      </c>
      <c r="D4553" s="501" t="s">
        <v>3380</v>
      </c>
      <c r="E4553" s="501" t="s">
        <v>3381</v>
      </c>
      <c r="F4553" s="501" t="s">
        <v>701</v>
      </c>
      <c r="G4553" s="501" t="s">
        <v>702</v>
      </c>
      <c r="H4553" s="501" t="s">
        <v>7029</v>
      </c>
      <c r="I4553" s="501">
        <v>4161</v>
      </c>
      <c r="J4553" s="501">
        <v>3244</v>
      </c>
      <c r="K4553" s="501">
        <v>0</v>
      </c>
      <c r="L4553" s="501">
        <v>471</v>
      </c>
      <c r="M4553" s="501">
        <v>126</v>
      </c>
      <c r="N4553" s="501">
        <v>11</v>
      </c>
      <c r="O4553" s="506">
        <v>320</v>
      </c>
    </row>
    <row r="4554" spans="1:15" x14ac:dyDescent="0.35">
      <c r="A4554" s="503" t="s">
        <v>1492</v>
      </c>
      <c r="B4554" s="504" t="s">
        <v>3354</v>
      </c>
      <c r="C4554" s="504" t="s">
        <v>1089</v>
      </c>
      <c r="D4554" s="504" t="s">
        <v>3392</v>
      </c>
      <c r="E4554" s="504" t="s">
        <v>3381</v>
      </c>
      <c r="F4554" s="504" t="s">
        <v>701</v>
      </c>
      <c r="G4554" s="504" t="s">
        <v>702</v>
      </c>
      <c r="H4554" s="504" t="s">
        <v>7030</v>
      </c>
      <c r="I4554" s="504">
        <v>15</v>
      </c>
      <c r="J4554" s="504">
        <v>0</v>
      </c>
      <c r="K4554" s="504">
        <v>0</v>
      </c>
      <c r="L4554" s="504">
        <v>15</v>
      </c>
      <c r="M4554" s="504">
        <v>0</v>
      </c>
      <c r="N4554" s="504">
        <v>0</v>
      </c>
      <c r="O4554" s="505">
        <v>0</v>
      </c>
    </row>
    <row r="4555" spans="1:15" x14ac:dyDescent="0.35">
      <c r="A4555" s="500" t="s">
        <v>1112</v>
      </c>
      <c r="B4555" s="501" t="s">
        <v>3008</v>
      </c>
      <c r="C4555" s="501" t="s">
        <v>1094</v>
      </c>
      <c r="D4555" s="501" t="s">
        <v>3380</v>
      </c>
      <c r="E4555" s="501" t="s">
        <v>3381</v>
      </c>
      <c r="F4555" s="501" t="s">
        <v>701</v>
      </c>
      <c r="G4555" s="501" t="s">
        <v>702</v>
      </c>
      <c r="H4555" s="501" t="s">
        <v>7031</v>
      </c>
      <c r="I4555" s="501">
        <v>5118</v>
      </c>
      <c r="J4555" s="501">
        <v>3916</v>
      </c>
      <c r="K4555" s="501">
        <v>0</v>
      </c>
      <c r="L4555" s="501">
        <v>355</v>
      </c>
      <c r="M4555" s="501">
        <v>459</v>
      </c>
      <c r="N4555" s="501">
        <v>2</v>
      </c>
      <c r="O4555" s="506">
        <v>388</v>
      </c>
    </row>
    <row r="4556" spans="1:15" x14ac:dyDescent="0.35">
      <c r="A4556" s="503" t="s">
        <v>1499</v>
      </c>
      <c r="B4556" s="504" t="s">
        <v>2779</v>
      </c>
      <c r="C4556" s="504" t="s">
        <v>1089</v>
      </c>
      <c r="D4556" s="504" t="s">
        <v>3392</v>
      </c>
      <c r="E4556" s="504" t="s">
        <v>3381</v>
      </c>
      <c r="F4556" s="504" t="s">
        <v>701</v>
      </c>
      <c r="G4556" s="504" t="s">
        <v>702</v>
      </c>
      <c r="H4556" s="504" t="s">
        <v>7032</v>
      </c>
      <c r="I4556" s="504">
        <v>13</v>
      </c>
      <c r="J4556" s="504">
        <v>13</v>
      </c>
      <c r="K4556" s="504">
        <v>0</v>
      </c>
      <c r="L4556" s="504">
        <v>0</v>
      </c>
      <c r="M4556" s="504">
        <v>0</v>
      </c>
      <c r="N4556" s="504">
        <v>0</v>
      </c>
      <c r="O4556" s="505">
        <v>0</v>
      </c>
    </row>
    <row r="4557" spans="1:15" x14ac:dyDescent="0.35">
      <c r="A4557" s="500" t="s">
        <v>1502</v>
      </c>
      <c r="B4557" s="501" t="s">
        <v>2777</v>
      </c>
      <c r="C4557" s="501" t="s">
        <v>1089</v>
      </c>
      <c r="D4557" s="501" t="s">
        <v>3392</v>
      </c>
      <c r="E4557" s="501" t="s">
        <v>3381</v>
      </c>
      <c r="F4557" s="501" t="s">
        <v>701</v>
      </c>
      <c r="G4557" s="501" t="s">
        <v>702</v>
      </c>
      <c r="H4557" s="501" t="s">
        <v>7033</v>
      </c>
      <c r="I4557" s="501">
        <v>56</v>
      </c>
      <c r="J4557" s="501">
        <v>56</v>
      </c>
      <c r="K4557" s="501">
        <v>0</v>
      </c>
      <c r="L4557" s="501">
        <v>0</v>
      </c>
      <c r="M4557" s="501">
        <v>0</v>
      </c>
      <c r="N4557" s="501">
        <v>0</v>
      </c>
      <c r="O4557" s="506">
        <v>0</v>
      </c>
    </row>
    <row r="4558" spans="1:15" x14ac:dyDescent="0.35">
      <c r="A4558" s="503" t="s">
        <v>1315</v>
      </c>
      <c r="B4558" s="504">
        <v>4825</v>
      </c>
      <c r="C4558" s="504" t="s">
        <v>1094</v>
      </c>
      <c r="D4558" s="504" t="s">
        <v>3380</v>
      </c>
      <c r="E4558" s="504" t="s">
        <v>3381</v>
      </c>
      <c r="F4558" s="504" t="s">
        <v>701</v>
      </c>
      <c r="G4558" s="504" t="s">
        <v>702</v>
      </c>
      <c r="H4558" s="504" t="s">
        <v>7034</v>
      </c>
      <c r="I4558" s="504">
        <v>1255</v>
      </c>
      <c r="J4558" s="504">
        <v>1056</v>
      </c>
      <c r="K4558" s="504">
        <v>0</v>
      </c>
      <c r="L4558" s="504">
        <v>46</v>
      </c>
      <c r="M4558" s="504">
        <v>27</v>
      </c>
      <c r="N4558" s="504">
        <v>8</v>
      </c>
      <c r="O4558" s="505">
        <v>126</v>
      </c>
    </row>
    <row r="4559" spans="1:15" x14ac:dyDescent="0.35">
      <c r="A4559" s="500" t="s">
        <v>1506</v>
      </c>
      <c r="B4559" s="501" t="s">
        <v>3318</v>
      </c>
      <c r="C4559" s="501" t="s">
        <v>1089</v>
      </c>
      <c r="D4559" s="501" t="s">
        <v>3392</v>
      </c>
      <c r="E4559" s="501" t="s">
        <v>3381</v>
      </c>
      <c r="F4559" s="501" t="s">
        <v>701</v>
      </c>
      <c r="G4559" s="501" t="s">
        <v>702</v>
      </c>
      <c r="H4559" s="501" t="s">
        <v>7035</v>
      </c>
      <c r="I4559" s="501">
        <v>91</v>
      </c>
      <c r="J4559" s="501">
        <v>71</v>
      </c>
      <c r="K4559" s="501">
        <v>0</v>
      </c>
      <c r="L4559" s="501">
        <v>0</v>
      </c>
      <c r="M4559" s="501">
        <v>20</v>
      </c>
      <c r="N4559" s="501">
        <v>11</v>
      </c>
      <c r="O4559" s="506">
        <v>0</v>
      </c>
    </row>
    <row r="4560" spans="1:15" x14ac:dyDescent="0.35">
      <c r="A4560" s="503" t="s">
        <v>1319</v>
      </c>
      <c r="B4560" s="504">
        <v>4880</v>
      </c>
      <c r="C4560" s="504" t="s">
        <v>1094</v>
      </c>
      <c r="D4560" s="504" t="s">
        <v>3380</v>
      </c>
      <c r="E4560" s="504" t="s">
        <v>3381</v>
      </c>
      <c r="F4560" s="504" t="s">
        <v>701</v>
      </c>
      <c r="G4560" s="504" t="s">
        <v>702</v>
      </c>
      <c r="H4560" s="504" t="s">
        <v>7036</v>
      </c>
      <c r="I4560" s="504">
        <v>2507</v>
      </c>
      <c r="J4560" s="504">
        <v>2267</v>
      </c>
      <c r="K4560" s="504">
        <v>0</v>
      </c>
      <c r="L4560" s="504">
        <v>63</v>
      </c>
      <c r="M4560" s="504">
        <v>82</v>
      </c>
      <c r="N4560" s="504">
        <v>3</v>
      </c>
      <c r="O4560" s="505">
        <v>95</v>
      </c>
    </row>
    <row r="4561" spans="1:15" x14ac:dyDescent="0.35">
      <c r="A4561" s="500" t="s">
        <v>1120</v>
      </c>
      <c r="B4561" s="501" t="s">
        <v>3362</v>
      </c>
      <c r="C4561" s="501" t="s">
        <v>1094</v>
      </c>
      <c r="D4561" s="501" t="s">
        <v>3380</v>
      </c>
      <c r="E4561" s="501" t="s">
        <v>3381</v>
      </c>
      <c r="F4561" s="501" t="s">
        <v>701</v>
      </c>
      <c r="G4561" s="501" t="s">
        <v>702</v>
      </c>
      <c r="H4561" s="501" t="s">
        <v>7037</v>
      </c>
      <c r="I4561" s="501">
        <v>530</v>
      </c>
      <c r="J4561" s="501">
        <v>0</v>
      </c>
      <c r="K4561" s="501">
        <v>0</v>
      </c>
      <c r="L4561" s="501">
        <v>0</v>
      </c>
      <c r="M4561" s="501">
        <v>0</v>
      </c>
      <c r="N4561" s="501">
        <v>0</v>
      </c>
      <c r="O4561" s="506">
        <v>530</v>
      </c>
    </row>
    <row r="4562" spans="1:15" x14ac:dyDescent="0.35">
      <c r="A4562" s="503" t="s">
        <v>1322</v>
      </c>
      <c r="B4562" s="504" t="s">
        <v>3244</v>
      </c>
      <c r="C4562" s="504" t="s">
        <v>1094</v>
      </c>
      <c r="D4562" s="504" t="s">
        <v>3380</v>
      </c>
      <c r="E4562" s="504" t="s">
        <v>3381</v>
      </c>
      <c r="F4562" s="504" t="s">
        <v>701</v>
      </c>
      <c r="G4562" s="504" t="s">
        <v>702</v>
      </c>
      <c r="H4562" s="504" t="s">
        <v>7038</v>
      </c>
      <c r="I4562" s="504">
        <v>109</v>
      </c>
      <c r="J4562" s="504">
        <v>11</v>
      </c>
      <c r="K4562" s="504">
        <v>0</v>
      </c>
      <c r="L4562" s="504">
        <v>59</v>
      </c>
      <c r="M4562" s="504">
        <v>0</v>
      </c>
      <c r="N4562" s="504">
        <v>0</v>
      </c>
      <c r="O4562" s="505">
        <v>39</v>
      </c>
    </row>
    <row r="4563" spans="1:15" x14ac:dyDescent="0.35">
      <c r="A4563" s="500" t="s">
        <v>1217</v>
      </c>
      <c r="B4563" s="501">
        <v>4851</v>
      </c>
      <c r="C4563" s="501" t="s">
        <v>1094</v>
      </c>
      <c r="D4563" s="501" t="s">
        <v>3380</v>
      </c>
      <c r="E4563" s="501" t="s">
        <v>3381</v>
      </c>
      <c r="F4563" s="501" t="s">
        <v>701</v>
      </c>
      <c r="G4563" s="501" t="s">
        <v>702</v>
      </c>
      <c r="H4563" s="501" t="s">
        <v>7039</v>
      </c>
      <c r="I4563" s="501">
        <v>2599</v>
      </c>
      <c r="J4563" s="501">
        <v>2431</v>
      </c>
      <c r="K4563" s="501">
        <v>0</v>
      </c>
      <c r="L4563" s="501">
        <v>60</v>
      </c>
      <c r="M4563" s="501">
        <v>30</v>
      </c>
      <c r="N4563" s="501">
        <v>27</v>
      </c>
      <c r="O4563" s="506">
        <v>78</v>
      </c>
    </row>
    <row r="4564" spans="1:15" x14ac:dyDescent="0.35">
      <c r="A4564" s="503" t="s">
        <v>1325</v>
      </c>
      <c r="B4564" s="504" t="s">
        <v>3011</v>
      </c>
      <c r="C4564" s="504" t="s">
        <v>1094</v>
      </c>
      <c r="D4564" s="504" t="s">
        <v>3380</v>
      </c>
      <c r="E4564" s="504" t="s">
        <v>3381</v>
      </c>
      <c r="F4564" s="504" t="s">
        <v>701</v>
      </c>
      <c r="G4564" s="504" t="s">
        <v>702</v>
      </c>
      <c r="H4564" s="504" t="s">
        <v>7040</v>
      </c>
      <c r="I4564" s="504">
        <v>2</v>
      </c>
      <c r="J4564" s="504">
        <v>0</v>
      </c>
      <c r="K4564" s="504">
        <v>0</v>
      </c>
      <c r="L4564" s="504">
        <v>0</v>
      </c>
      <c r="M4564" s="504">
        <v>0</v>
      </c>
      <c r="N4564" s="504">
        <v>0</v>
      </c>
      <c r="O4564" s="505">
        <v>2</v>
      </c>
    </row>
    <row r="4565" spans="1:15" x14ac:dyDescent="0.35">
      <c r="A4565" s="500" t="s">
        <v>1515</v>
      </c>
      <c r="B4565" s="501" t="s">
        <v>2818</v>
      </c>
      <c r="C4565" s="501" t="s">
        <v>1089</v>
      </c>
      <c r="D4565" s="501" t="s">
        <v>3392</v>
      </c>
      <c r="E4565" s="501" t="s">
        <v>3381</v>
      </c>
      <c r="F4565" s="501" t="s">
        <v>701</v>
      </c>
      <c r="G4565" s="501" t="s">
        <v>702</v>
      </c>
      <c r="H4565" s="501" t="s">
        <v>7041</v>
      </c>
      <c r="I4565" s="501">
        <v>27</v>
      </c>
      <c r="J4565" s="501">
        <v>27</v>
      </c>
      <c r="K4565" s="501">
        <v>0</v>
      </c>
      <c r="L4565" s="501">
        <v>0</v>
      </c>
      <c r="M4565" s="501">
        <v>0</v>
      </c>
      <c r="N4565" s="501">
        <v>0</v>
      </c>
      <c r="O4565" s="506">
        <v>0</v>
      </c>
    </row>
    <row r="4566" spans="1:15" x14ac:dyDescent="0.35">
      <c r="A4566" s="503" t="s">
        <v>1220</v>
      </c>
      <c r="B4566" s="504">
        <v>4849</v>
      </c>
      <c r="C4566" s="504" t="s">
        <v>1094</v>
      </c>
      <c r="D4566" s="504" t="s">
        <v>3380</v>
      </c>
      <c r="E4566" s="504" t="s">
        <v>3381</v>
      </c>
      <c r="F4566" s="504" t="s">
        <v>701</v>
      </c>
      <c r="G4566" s="504" t="s">
        <v>702</v>
      </c>
      <c r="H4566" s="504" t="s">
        <v>7042</v>
      </c>
      <c r="I4566" s="504">
        <v>312</v>
      </c>
      <c r="J4566" s="504">
        <v>191</v>
      </c>
      <c r="K4566" s="504">
        <v>0</v>
      </c>
      <c r="L4566" s="504">
        <v>45</v>
      </c>
      <c r="M4566" s="504">
        <v>47</v>
      </c>
      <c r="N4566" s="504">
        <v>0</v>
      </c>
      <c r="O4566" s="505">
        <v>29</v>
      </c>
    </row>
    <row r="4567" spans="1:15" x14ac:dyDescent="0.35">
      <c r="A4567" s="500" t="s">
        <v>1517</v>
      </c>
      <c r="B4567" s="501" t="s">
        <v>2778</v>
      </c>
      <c r="C4567" s="501" t="s">
        <v>1089</v>
      </c>
      <c r="D4567" s="501" t="s">
        <v>3392</v>
      </c>
      <c r="E4567" s="501" t="s">
        <v>3381</v>
      </c>
      <c r="F4567" s="501" t="s">
        <v>701</v>
      </c>
      <c r="G4567" s="501" t="s">
        <v>702</v>
      </c>
      <c r="H4567" s="501" t="s">
        <v>7043</v>
      </c>
      <c r="I4567" s="501">
        <v>25</v>
      </c>
      <c r="J4567" s="501">
        <v>25</v>
      </c>
      <c r="K4567" s="501">
        <v>0</v>
      </c>
      <c r="L4567" s="501">
        <v>0</v>
      </c>
      <c r="M4567" s="501">
        <v>0</v>
      </c>
      <c r="N4567" s="501">
        <v>0</v>
      </c>
      <c r="O4567" s="506">
        <v>0</v>
      </c>
    </row>
    <row r="4568" spans="1:15" x14ac:dyDescent="0.35">
      <c r="A4568" s="503" t="s">
        <v>1332</v>
      </c>
      <c r="B4568" s="504">
        <v>4878</v>
      </c>
      <c r="C4568" s="504" t="s">
        <v>1094</v>
      </c>
      <c r="D4568" s="504" t="s">
        <v>3380</v>
      </c>
      <c r="E4568" s="504" t="s">
        <v>3381</v>
      </c>
      <c r="F4568" s="504" t="s">
        <v>701</v>
      </c>
      <c r="G4568" s="504" t="s">
        <v>702</v>
      </c>
      <c r="H4568" s="504" t="s">
        <v>7044</v>
      </c>
      <c r="I4568" s="504">
        <v>2999</v>
      </c>
      <c r="J4568" s="504">
        <v>2528</v>
      </c>
      <c r="K4568" s="504">
        <v>0</v>
      </c>
      <c r="L4568" s="504">
        <v>251</v>
      </c>
      <c r="M4568" s="504">
        <v>47</v>
      </c>
      <c r="N4568" s="504">
        <v>0</v>
      </c>
      <c r="O4568" s="505">
        <v>173</v>
      </c>
    </row>
    <row r="4569" spans="1:15" x14ac:dyDescent="0.35">
      <c r="A4569" s="500" t="s">
        <v>1518</v>
      </c>
      <c r="B4569" s="501" t="s">
        <v>2666</v>
      </c>
      <c r="C4569" s="501" t="s">
        <v>1089</v>
      </c>
      <c r="D4569" s="501" t="s">
        <v>3392</v>
      </c>
      <c r="E4569" s="501" t="s">
        <v>3381</v>
      </c>
      <c r="F4569" s="501" t="s">
        <v>701</v>
      </c>
      <c r="G4569" s="501" t="s">
        <v>702</v>
      </c>
      <c r="H4569" s="501" t="s">
        <v>7045</v>
      </c>
      <c r="I4569" s="501">
        <v>27</v>
      </c>
      <c r="J4569" s="501">
        <v>27</v>
      </c>
      <c r="K4569" s="501">
        <v>0</v>
      </c>
      <c r="L4569" s="501">
        <v>0</v>
      </c>
      <c r="M4569" s="501">
        <v>0</v>
      </c>
      <c r="N4569" s="501">
        <v>0</v>
      </c>
      <c r="O4569" s="506">
        <v>0</v>
      </c>
    </row>
    <row r="4570" spans="1:15" x14ac:dyDescent="0.35">
      <c r="A4570" s="503" t="s">
        <v>1525</v>
      </c>
      <c r="B4570" s="504" t="s">
        <v>2923</v>
      </c>
      <c r="C4570" s="504" t="s">
        <v>1089</v>
      </c>
      <c r="D4570" s="504" t="s">
        <v>3392</v>
      </c>
      <c r="E4570" s="504" t="s">
        <v>3381</v>
      </c>
      <c r="F4570" s="504" t="s">
        <v>701</v>
      </c>
      <c r="G4570" s="504" t="s">
        <v>702</v>
      </c>
      <c r="H4570" s="504" t="s">
        <v>7046</v>
      </c>
      <c r="I4570" s="504">
        <v>12</v>
      </c>
      <c r="J4570" s="504">
        <v>0</v>
      </c>
      <c r="K4570" s="504">
        <v>0</v>
      </c>
      <c r="L4570" s="504">
        <v>12</v>
      </c>
      <c r="M4570" s="504">
        <v>0</v>
      </c>
      <c r="N4570" s="504">
        <v>0</v>
      </c>
      <c r="O4570" s="505">
        <v>0</v>
      </c>
    </row>
    <row r="4571" spans="1:15" x14ac:dyDescent="0.35">
      <c r="A4571" s="500" t="s">
        <v>1122</v>
      </c>
      <c r="B4571" s="501" t="s">
        <v>2994</v>
      </c>
      <c r="C4571" s="501" t="s">
        <v>1094</v>
      </c>
      <c r="D4571" s="501" t="s">
        <v>3380</v>
      </c>
      <c r="E4571" s="501" t="s">
        <v>3381</v>
      </c>
      <c r="F4571" s="501" t="s">
        <v>701</v>
      </c>
      <c r="G4571" s="501" t="s">
        <v>702</v>
      </c>
      <c r="H4571" s="501" t="s">
        <v>7047</v>
      </c>
      <c r="I4571" s="501">
        <v>3</v>
      </c>
      <c r="J4571" s="501">
        <v>3</v>
      </c>
      <c r="K4571" s="501">
        <v>0</v>
      </c>
      <c r="L4571" s="501">
        <v>0</v>
      </c>
      <c r="M4571" s="501">
        <v>0</v>
      </c>
      <c r="N4571" s="501">
        <v>0</v>
      </c>
      <c r="O4571" s="506">
        <v>0</v>
      </c>
    </row>
    <row r="4572" spans="1:15" x14ac:dyDescent="0.35">
      <c r="A4572" s="503" t="s">
        <v>1534</v>
      </c>
      <c r="B4572" s="504" t="s">
        <v>3092</v>
      </c>
      <c r="C4572" s="504" t="s">
        <v>1089</v>
      </c>
      <c r="D4572" s="504" t="s">
        <v>3392</v>
      </c>
      <c r="E4572" s="504" t="s">
        <v>3381</v>
      </c>
      <c r="F4572" s="504" t="s">
        <v>701</v>
      </c>
      <c r="G4572" s="504" t="s">
        <v>702</v>
      </c>
      <c r="H4572" s="504" t="s">
        <v>7048</v>
      </c>
      <c r="I4572" s="504">
        <v>24</v>
      </c>
      <c r="J4572" s="504">
        <v>24</v>
      </c>
      <c r="K4572" s="504">
        <v>0</v>
      </c>
      <c r="L4572" s="504">
        <v>0</v>
      </c>
      <c r="M4572" s="504">
        <v>0</v>
      </c>
      <c r="N4572" s="504">
        <v>0</v>
      </c>
      <c r="O4572" s="505">
        <v>0</v>
      </c>
    </row>
    <row r="4573" spans="1:15" x14ac:dyDescent="0.35">
      <c r="A4573" s="500" t="s">
        <v>1234</v>
      </c>
      <c r="B4573" s="501" t="s">
        <v>3291</v>
      </c>
      <c r="C4573" s="501" t="s">
        <v>1094</v>
      </c>
      <c r="D4573" s="501" t="s">
        <v>3380</v>
      </c>
      <c r="E4573" s="501" t="s">
        <v>3381</v>
      </c>
      <c r="F4573" s="501" t="s">
        <v>701</v>
      </c>
      <c r="G4573" s="501" t="s">
        <v>702</v>
      </c>
      <c r="H4573" s="501" t="s">
        <v>7049</v>
      </c>
      <c r="I4573" s="501">
        <v>34</v>
      </c>
      <c r="J4573" s="501">
        <v>0</v>
      </c>
      <c r="K4573" s="501">
        <v>0</v>
      </c>
      <c r="L4573" s="501">
        <v>0</v>
      </c>
      <c r="M4573" s="501">
        <v>34</v>
      </c>
      <c r="N4573" s="501">
        <v>0</v>
      </c>
      <c r="O4573" s="506">
        <v>0</v>
      </c>
    </row>
    <row r="4574" spans="1:15" x14ac:dyDescent="0.35">
      <c r="A4574" s="503" t="s">
        <v>1126</v>
      </c>
      <c r="B4574" s="504" t="s">
        <v>2974</v>
      </c>
      <c r="C4574" s="504" t="s">
        <v>1094</v>
      </c>
      <c r="D4574" s="504" t="s">
        <v>3380</v>
      </c>
      <c r="E4574" s="504" t="s">
        <v>3381</v>
      </c>
      <c r="F4574" s="504" t="s">
        <v>701</v>
      </c>
      <c r="G4574" s="504" t="s">
        <v>702</v>
      </c>
      <c r="H4574" s="504" t="s">
        <v>7050</v>
      </c>
      <c r="I4574" s="504">
        <v>206</v>
      </c>
      <c r="J4574" s="504">
        <v>4</v>
      </c>
      <c r="K4574" s="504">
        <v>0</v>
      </c>
      <c r="L4574" s="504">
        <v>40</v>
      </c>
      <c r="M4574" s="504">
        <v>153</v>
      </c>
      <c r="N4574" s="504">
        <v>0</v>
      </c>
      <c r="O4574" s="505">
        <v>9</v>
      </c>
    </row>
    <row r="4575" spans="1:15" x14ac:dyDescent="0.35">
      <c r="A4575" s="500" t="s">
        <v>1342</v>
      </c>
      <c r="B4575" s="501" t="s">
        <v>3237</v>
      </c>
      <c r="C4575" s="501" t="s">
        <v>1094</v>
      </c>
      <c r="D4575" s="501" t="s">
        <v>3380</v>
      </c>
      <c r="E4575" s="501" t="s">
        <v>3381</v>
      </c>
      <c r="F4575" s="501" t="s">
        <v>701</v>
      </c>
      <c r="G4575" s="501" t="s">
        <v>702</v>
      </c>
      <c r="H4575" s="501" t="s">
        <v>7051</v>
      </c>
      <c r="I4575" s="501">
        <v>1</v>
      </c>
      <c r="J4575" s="501">
        <v>0</v>
      </c>
      <c r="K4575" s="501">
        <v>0</v>
      </c>
      <c r="L4575" s="501">
        <v>0</v>
      </c>
      <c r="M4575" s="501">
        <v>0</v>
      </c>
      <c r="N4575" s="501">
        <v>0</v>
      </c>
      <c r="O4575" s="506">
        <v>1</v>
      </c>
    </row>
    <row r="4576" spans="1:15" x14ac:dyDescent="0.35">
      <c r="A4576" s="503" t="s">
        <v>1130</v>
      </c>
      <c r="B4576" s="504" t="s">
        <v>3234</v>
      </c>
      <c r="C4576" s="504" t="s">
        <v>1094</v>
      </c>
      <c r="D4576" s="504" t="s">
        <v>3380</v>
      </c>
      <c r="E4576" s="504" t="s">
        <v>3381</v>
      </c>
      <c r="F4576" s="504" t="s">
        <v>701</v>
      </c>
      <c r="G4576" s="504" t="s">
        <v>702</v>
      </c>
      <c r="H4576" s="504" t="s">
        <v>7052</v>
      </c>
      <c r="I4576" s="504">
        <v>55</v>
      </c>
      <c r="J4576" s="504">
        <v>23</v>
      </c>
      <c r="K4576" s="504">
        <v>0</v>
      </c>
      <c r="L4576" s="504">
        <v>0</v>
      </c>
      <c r="M4576" s="504">
        <v>0</v>
      </c>
      <c r="N4576" s="504">
        <v>3</v>
      </c>
      <c r="O4576" s="505">
        <v>32</v>
      </c>
    </row>
    <row r="4577" spans="1:15" x14ac:dyDescent="0.35">
      <c r="A4577" s="500" t="s">
        <v>1553</v>
      </c>
      <c r="B4577" s="501" t="s">
        <v>2904</v>
      </c>
      <c r="C4577" s="501" t="s">
        <v>1089</v>
      </c>
      <c r="D4577" s="501" t="s">
        <v>3392</v>
      </c>
      <c r="E4577" s="501" t="s">
        <v>3381</v>
      </c>
      <c r="F4577" s="501" t="s">
        <v>701</v>
      </c>
      <c r="G4577" s="501" t="s">
        <v>702</v>
      </c>
      <c r="H4577" s="501" t="s">
        <v>7053</v>
      </c>
      <c r="I4577" s="501">
        <v>18</v>
      </c>
      <c r="J4577" s="501">
        <v>0</v>
      </c>
      <c r="K4577" s="501">
        <v>0</v>
      </c>
      <c r="L4577" s="501">
        <v>18</v>
      </c>
      <c r="M4577" s="501">
        <v>0</v>
      </c>
      <c r="N4577" s="501">
        <v>0</v>
      </c>
      <c r="O4577" s="506">
        <v>0</v>
      </c>
    </row>
    <row r="4578" spans="1:15" x14ac:dyDescent="0.35">
      <c r="A4578" s="503" t="s">
        <v>1345</v>
      </c>
      <c r="B4578" s="504" t="s">
        <v>3247</v>
      </c>
      <c r="C4578" s="504" t="s">
        <v>1094</v>
      </c>
      <c r="D4578" s="504" t="s">
        <v>3380</v>
      </c>
      <c r="E4578" s="504" t="s">
        <v>3381</v>
      </c>
      <c r="F4578" s="504" t="s">
        <v>701</v>
      </c>
      <c r="G4578" s="504" t="s">
        <v>702</v>
      </c>
      <c r="H4578" s="504" t="s">
        <v>7054</v>
      </c>
      <c r="I4578" s="504">
        <v>92</v>
      </c>
      <c r="J4578" s="504">
        <v>0</v>
      </c>
      <c r="K4578" s="504">
        <v>0</v>
      </c>
      <c r="L4578" s="504">
        <v>92</v>
      </c>
      <c r="M4578" s="504">
        <v>0</v>
      </c>
      <c r="N4578" s="504">
        <v>0</v>
      </c>
      <c r="O4578" s="505">
        <v>0</v>
      </c>
    </row>
    <row r="4579" spans="1:15" x14ac:dyDescent="0.35">
      <c r="A4579" s="500" t="s">
        <v>1249</v>
      </c>
      <c r="B4579" s="501">
        <v>4729</v>
      </c>
      <c r="C4579" s="501" t="s">
        <v>1094</v>
      </c>
      <c r="D4579" s="501" t="s">
        <v>3380</v>
      </c>
      <c r="E4579" s="501" t="s">
        <v>3381</v>
      </c>
      <c r="F4579" s="501" t="s">
        <v>701</v>
      </c>
      <c r="G4579" s="501" t="s">
        <v>702</v>
      </c>
      <c r="H4579" s="501" t="s">
        <v>7055</v>
      </c>
      <c r="I4579" s="501">
        <v>762</v>
      </c>
      <c r="J4579" s="501">
        <v>577</v>
      </c>
      <c r="K4579" s="501">
        <v>0</v>
      </c>
      <c r="L4579" s="501">
        <v>0</v>
      </c>
      <c r="M4579" s="501">
        <v>47</v>
      </c>
      <c r="N4579" s="501">
        <v>0</v>
      </c>
      <c r="O4579" s="506">
        <v>138</v>
      </c>
    </row>
    <row r="4580" spans="1:15" x14ac:dyDescent="0.35">
      <c r="A4580" s="503" t="s">
        <v>1253</v>
      </c>
      <c r="B4580" s="504" t="s">
        <v>3232</v>
      </c>
      <c r="C4580" s="504" t="s">
        <v>1094</v>
      </c>
      <c r="D4580" s="504" t="s">
        <v>3380</v>
      </c>
      <c r="E4580" s="504" t="s">
        <v>3381</v>
      </c>
      <c r="F4580" s="504" t="s">
        <v>701</v>
      </c>
      <c r="G4580" s="504" t="s">
        <v>702</v>
      </c>
      <c r="H4580" s="504" t="s">
        <v>7056</v>
      </c>
      <c r="I4580" s="504">
        <v>232</v>
      </c>
      <c r="J4580" s="504">
        <v>144</v>
      </c>
      <c r="K4580" s="504">
        <v>0</v>
      </c>
      <c r="L4580" s="504">
        <v>49</v>
      </c>
      <c r="M4580" s="504">
        <v>39</v>
      </c>
      <c r="N4580" s="504">
        <v>0</v>
      </c>
      <c r="O4580" s="505">
        <v>0</v>
      </c>
    </row>
    <row r="4581" spans="1:15" x14ac:dyDescent="0.35">
      <c r="A4581" s="500" t="s">
        <v>1577</v>
      </c>
      <c r="B4581" s="501">
        <v>4814</v>
      </c>
      <c r="C4581" s="501" t="s">
        <v>1089</v>
      </c>
      <c r="D4581" s="501" t="s">
        <v>3392</v>
      </c>
      <c r="E4581" s="501" t="s">
        <v>3381</v>
      </c>
      <c r="F4581" s="501" t="s">
        <v>701</v>
      </c>
      <c r="G4581" s="501" t="s">
        <v>702</v>
      </c>
      <c r="H4581" s="501" t="s">
        <v>7057</v>
      </c>
      <c r="I4581" s="501">
        <v>17</v>
      </c>
      <c r="J4581" s="501">
        <v>0</v>
      </c>
      <c r="K4581" s="501">
        <v>0</v>
      </c>
      <c r="L4581" s="501">
        <v>0</v>
      </c>
      <c r="M4581" s="501">
        <v>17</v>
      </c>
      <c r="N4581" s="501">
        <v>0</v>
      </c>
      <c r="O4581" s="506">
        <v>0</v>
      </c>
    </row>
    <row r="4582" spans="1:15" x14ac:dyDescent="0.35">
      <c r="A4582" s="503" t="s">
        <v>1582</v>
      </c>
      <c r="B4582" s="504" t="s">
        <v>2523</v>
      </c>
      <c r="C4582" s="504" t="s">
        <v>1089</v>
      </c>
      <c r="D4582" s="504" t="s">
        <v>3392</v>
      </c>
      <c r="E4582" s="504" t="s">
        <v>3381</v>
      </c>
      <c r="F4582" s="504" t="s">
        <v>701</v>
      </c>
      <c r="G4582" s="504" t="s">
        <v>702</v>
      </c>
      <c r="H4582" s="504" t="s">
        <v>7058</v>
      </c>
      <c r="I4582" s="504">
        <v>17</v>
      </c>
      <c r="J4582" s="504">
        <v>0</v>
      </c>
      <c r="K4582" s="504">
        <v>0</v>
      </c>
      <c r="L4582" s="504">
        <v>0</v>
      </c>
      <c r="M4582" s="504">
        <v>17</v>
      </c>
      <c r="N4582" s="504">
        <v>0</v>
      </c>
      <c r="O4582" s="505">
        <v>0</v>
      </c>
    </row>
    <row r="4583" spans="1:15" x14ac:dyDescent="0.35">
      <c r="A4583" s="500" t="s">
        <v>1584</v>
      </c>
      <c r="B4583" s="501" t="s">
        <v>2760</v>
      </c>
      <c r="C4583" s="501" t="s">
        <v>1089</v>
      </c>
      <c r="D4583" s="501" t="s">
        <v>3392</v>
      </c>
      <c r="E4583" s="501" t="s">
        <v>3381</v>
      </c>
      <c r="F4583" s="501" t="s">
        <v>701</v>
      </c>
      <c r="G4583" s="501" t="s">
        <v>702</v>
      </c>
      <c r="H4583" s="501" t="s">
        <v>7059</v>
      </c>
      <c r="I4583" s="501">
        <v>50</v>
      </c>
      <c r="J4583" s="501">
        <v>50</v>
      </c>
      <c r="K4583" s="501">
        <v>0</v>
      </c>
      <c r="L4583" s="501">
        <v>0</v>
      </c>
      <c r="M4583" s="501">
        <v>0</v>
      </c>
      <c r="N4583" s="501">
        <v>0</v>
      </c>
      <c r="O4583" s="506">
        <v>0</v>
      </c>
    </row>
    <row r="4584" spans="1:15" x14ac:dyDescent="0.35">
      <c r="A4584" s="503" t="s">
        <v>1590</v>
      </c>
      <c r="B4584" s="504" t="s">
        <v>3186</v>
      </c>
      <c r="C4584" s="504" t="s">
        <v>1094</v>
      </c>
      <c r="D4584" s="504" t="s">
        <v>3380</v>
      </c>
      <c r="E4584" s="504" t="s">
        <v>3381</v>
      </c>
      <c r="F4584" s="504" t="s">
        <v>701</v>
      </c>
      <c r="G4584" s="504" t="s">
        <v>702</v>
      </c>
      <c r="H4584" s="504" t="s">
        <v>7061</v>
      </c>
      <c r="I4584" s="504">
        <v>928</v>
      </c>
      <c r="J4584" s="504">
        <v>842</v>
      </c>
      <c r="K4584" s="504">
        <v>0</v>
      </c>
      <c r="L4584" s="504">
        <v>0</v>
      </c>
      <c r="M4584" s="504">
        <v>86</v>
      </c>
      <c r="N4584" s="504">
        <v>0</v>
      </c>
      <c r="O4584" s="505">
        <v>0</v>
      </c>
    </row>
    <row r="4585" spans="1:15" x14ac:dyDescent="0.35">
      <c r="A4585" s="500" t="s">
        <v>1587</v>
      </c>
      <c r="B4585" s="501" t="s">
        <v>2978</v>
      </c>
      <c r="C4585" s="501" t="s">
        <v>1094</v>
      </c>
      <c r="D4585" s="501" t="s">
        <v>3380</v>
      </c>
      <c r="E4585" s="501" t="s">
        <v>3381</v>
      </c>
      <c r="F4585" s="501" t="s">
        <v>701</v>
      </c>
      <c r="G4585" s="501" t="s">
        <v>702</v>
      </c>
      <c r="H4585" s="501" t="s">
        <v>7060</v>
      </c>
      <c r="I4585" s="501">
        <v>509</v>
      </c>
      <c r="J4585" s="501">
        <v>415</v>
      </c>
      <c r="K4585" s="501">
        <v>0</v>
      </c>
      <c r="L4585" s="501">
        <v>0</v>
      </c>
      <c r="M4585" s="501">
        <v>0</v>
      </c>
      <c r="N4585" s="501">
        <v>0</v>
      </c>
      <c r="O4585" s="506">
        <v>94</v>
      </c>
    </row>
    <row r="4586" spans="1:15" x14ac:dyDescent="0.35">
      <c r="A4586" s="503" t="s">
        <v>1262</v>
      </c>
      <c r="B4586" s="504">
        <v>4772</v>
      </c>
      <c r="C4586" s="504" t="s">
        <v>1089</v>
      </c>
      <c r="D4586" s="504" t="s">
        <v>3392</v>
      </c>
      <c r="E4586" s="504" t="s">
        <v>3381</v>
      </c>
      <c r="F4586" s="504" t="s">
        <v>701</v>
      </c>
      <c r="G4586" s="504" t="s">
        <v>702</v>
      </c>
      <c r="H4586" s="504" t="s">
        <v>7062</v>
      </c>
      <c r="I4586" s="504">
        <v>18</v>
      </c>
      <c r="J4586" s="504">
        <v>0</v>
      </c>
      <c r="K4586" s="504">
        <v>0</v>
      </c>
      <c r="L4586" s="504">
        <v>18</v>
      </c>
      <c r="M4586" s="504">
        <v>0</v>
      </c>
      <c r="N4586" s="504">
        <v>18</v>
      </c>
      <c r="O4586" s="505">
        <v>0</v>
      </c>
    </row>
    <row r="4587" spans="1:15" x14ac:dyDescent="0.35">
      <c r="A4587" s="500" t="s">
        <v>1264</v>
      </c>
      <c r="B4587" s="501">
        <v>4671</v>
      </c>
      <c r="C4587" s="501" t="s">
        <v>1089</v>
      </c>
      <c r="D4587" s="501" t="s">
        <v>3392</v>
      </c>
      <c r="E4587" s="501" t="s">
        <v>3381</v>
      </c>
      <c r="F4587" s="501" t="s">
        <v>701</v>
      </c>
      <c r="G4587" s="501" t="s">
        <v>702</v>
      </c>
      <c r="H4587" s="501" t="s">
        <v>7063</v>
      </c>
      <c r="I4587" s="501">
        <v>57</v>
      </c>
      <c r="J4587" s="501">
        <v>0</v>
      </c>
      <c r="K4587" s="501">
        <v>0</v>
      </c>
      <c r="L4587" s="501">
        <v>57</v>
      </c>
      <c r="M4587" s="501">
        <v>0</v>
      </c>
      <c r="N4587" s="501">
        <v>0</v>
      </c>
      <c r="O4587" s="506">
        <v>0</v>
      </c>
    </row>
    <row r="4588" spans="1:15" x14ac:dyDescent="0.35">
      <c r="A4588" s="503" t="s">
        <v>1193</v>
      </c>
      <c r="B4588" s="504" t="s">
        <v>3039</v>
      </c>
      <c r="C4588" s="504" t="s">
        <v>1094</v>
      </c>
      <c r="D4588" s="504" t="s">
        <v>3380</v>
      </c>
      <c r="E4588" s="504" t="s">
        <v>3381</v>
      </c>
      <c r="F4588" s="504" t="s">
        <v>703</v>
      </c>
      <c r="G4588" s="504" t="s">
        <v>704</v>
      </c>
      <c r="H4588" s="504" t="s">
        <v>7079</v>
      </c>
      <c r="I4588" s="504">
        <v>65</v>
      </c>
      <c r="J4588" s="504">
        <v>0</v>
      </c>
      <c r="K4588" s="504">
        <v>0</v>
      </c>
      <c r="L4588" s="504">
        <v>0</v>
      </c>
      <c r="M4588" s="504">
        <v>65</v>
      </c>
      <c r="N4588" s="504">
        <v>0</v>
      </c>
      <c r="O4588" s="505">
        <v>0</v>
      </c>
    </row>
    <row r="4589" spans="1:15" x14ac:dyDescent="0.35">
      <c r="A4589" s="500" t="s">
        <v>1096</v>
      </c>
      <c r="B4589" s="501" t="s">
        <v>3326</v>
      </c>
      <c r="C4589" s="501" t="s">
        <v>1094</v>
      </c>
      <c r="D4589" s="501" t="s">
        <v>3380</v>
      </c>
      <c r="E4589" s="501" t="s">
        <v>3381</v>
      </c>
      <c r="F4589" s="501" t="s">
        <v>703</v>
      </c>
      <c r="G4589" s="501" t="s">
        <v>704</v>
      </c>
      <c r="H4589" s="501" t="s">
        <v>7064</v>
      </c>
      <c r="I4589" s="501">
        <v>190</v>
      </c>
      <c r="J4589" s="501">
        <v>0</v>
      </c>
      <c r="K4589" s="501">
        <v>0</v>
      </c>
      <c r="L4589" s="501">
        <v>0</v>
      </c>
      <c r="M4589" s="501">
        <v>190</v>
      </c>
      <c r="N4589" s="501">
        <v>0</v>
      </c>
      <c r="O4589" s="506">
        <v>0</v>
      </c>
    </row>
    <row r="4590" spans="1:15" x14ac:dyDescent="0.35">
      <c r="A4590" s="503" t="s">
        <v>1151</v>
      </c>
      <c r="B4590" s="504">
        <v>4726</v>
      </c>
      <c r="C4590" s="504" t="s">
        <v>1089</v>
      </c>
      <c r="D4590" s="504" t="s">
        <v>3392</v>
      </c>
      <c r="E4590" s="504" t="s">
        <v>3381</v>
      </c>
      <c r="F4590" s="504" t="s">
        <v>703</v>
      </c>
      <c r="G4590" s="504" t="s">
        <v>704</v>
      </c>
      <c r="H4590" s="504" t="s">
        <v>7065</v>
      </c>
      <c r="I4590" s="504">
        <v>2</v>
      </c>
      <c r="J4590" s="504">
        <v>2</v>
      </c>
      <c r="K4590" s="504">
        <v>0</v>
      </c>
      <c r="L4590" s="504">
        <v>0</v>
      </c>
      <c r="M4590" s="504">
        <v>0</v>
      </c>
      <c r="N4590" s="504">
        <v>0</v>
      </c>
      <c r="O4590" s="505">
        <v>0</v>
      </c>
    </row>
    <row r="4591" spans="1:15" x14ac:dyDescent="0.35">
      <c r="A4591" s="500" t="s">
        <v>1673</v>
      </c>
      <c r="B4591" s="501">
        <v>4731</v>
      </c>
      <c r="C4591" s="501" t="s">
        <v>1089</v>
      </c>
      <c r="D4591" s="501" t="s">
        <v>3392</v>
      </c>
      <c r="E4591" s="501" t="s">
        <v>3381</v>
      </c>
      <c r="F4591" s="501" t="s">
        <v>703</v>
      </c>
      <c r="G4591" s="501" t="s">
        <v>704</v>
      </c>
      <c r="H4591" s="501" t="s">
        <v>7066</v>
      </c>
      <c r="I4591" s="501">
        <v>2</v>
      </c>
      <c r="J4591" s="501">
        <v>0</v>
      </c>
      <c r="K4591" s="501">
        <v>0</v>
      </c>
      <c r="L4591" s="501">
        <v>2</v>
      </c>
      <c r="M4591" s="501">
        <v>0</v>
      </c>
      <c r="N4591" s="501">
        <v>0</v>
      </c>
      <c r="O4591" s="506">
        <v>0</v>
      </c>
    </row>
    <row r="4592" spans="1:15" x14ac:dyDescent="0.35">
      <c r="A4592" s="503" t="s">
        <v>11370</v>
      </c>
      <c r="B4592" s="504">
        <v>4690</v>
      </c>
      <c r="C4592" s="504" t="s">
        <v>1089</v>
      </c>
      <c r="D4592" s="504" t="s">
        <v>3392</v>
      </c>
      <c r="E4592" s="504" t="s">
        <v>3381</v>
      </c>
      <c r="F4592" s="504" t="s">
        <v>703</v>
      </c>
      <c r="G4592" s="504" t="s">
        <v>704</v>
      </c>
      <c r="H4592" s="504" t="s">
        <v>11506</v>
      </c>
      <c r="I4592" s="504">
        <v>1</v>
      </c>
      <c r="J4592" s="504">
        <v>0</v>
      </c>
      <c r="K4592" s="504">
        <v>0</v>
      </c>
      <c r="L4592" s="504">
        <v>1</v>
      </c>
      <c r="M4592" s="504">
        <v>0</v>
      </c>
      <c r="N4592" s="504">
        <v>0</v>
      </c>
      <c r="O4592" s="505">
        <v>0</v>
      </c>
    </row>
    <row r="4593" spans="1:15" x14ac:dyDescent="0.35">
      <c r="A4593" s="500" t="s">
        <v>1680</v>
      </c>
      <c r="B4593" s="501" t="s">
        <v>3168</v>
      </c>
      <c r="C4593" s="501" t="s">
        <v>1094</v>
      </c>
      <c r="D4593" s="501" t="s">
        <v>3380</v>
      </c>
      <c r="E4593" s="501" t="s">
        <v>3381</v>
      </c>
      <c r="F4593" s="501" t="s">
        <v>703</v>
      </c>
      <c r="G4593" s="501" t="s">
        <v>704</v>
      </c>
      <c r="H4593" s="501" t="s">
        <v>11635</v>
      </c>
      <c r="I4593" s="501">
        <v>20</v>
      </c>
      <c r="J4593" s="501">
        <v>0</v>
      </c>
      <c r="K4593" s="501">
        <v>0</v>
      </c>
      <c r="L4593" s="501">
        <v>20</v>
      </c>
      <c r="M4593" s="501">
        <v>0</v>
      </c>
      <c r="N4593" s="501">
        <v>0</v>
      </c>
      <c r="O4593" s="506">
        <v>0</v>
      </c>
    </row>
    <row r="4594" spans="1:15" x14ac:dyDescent="0.35">
      <c r="A4594" s="503" t="s">
        <v>1160</v>
      </c>
      <c r="B4594" s="504">
        <v>4672</v>
      </c>
      <c r="C4594" s="504" t="s">
        <v>1089</v>
      </c>
      <c r="D4594" s="504" t="s">
        <v>3392</v>
      </c>
      <c r="E4594" s="504" t="s">
        <v>3381</v>
      </c>
      <c r="F4594" s="504" t="s">
        <v>703</v>
      </c>
      <c r="G4594" s="504" t="s">
        <v>704</v>
      </c>
      <c r="H4594" s="504" t="s">
        <v>7067</v>
      </c>
      <c r="I4594" s="504">
        <v>10</v>
      </c>
      <c r="J4594" s="504">
        <v>0</v>
      </c>
      <c r="K4594" s="504">
        <v>0</v>
      </c>
      <c r="L4594" s="504">
        <v>10</v>
      </c>
      <c r="M4594" s="504">
        <v>0</v>
      </c>
      <c r="N4594" s="504">
        <v>0</v>
      </c>
      <c r="O4594" s="505">
        <v>0</v>
      </c>
    </row>
    <row r="4595" spans="1:15" x14ac:dyDescent="0.35">
      <c r="A4595" s="500" t="s">
        <v>1682</v>
      </c>
      <c r="B4595" s="501">
        <v>4709</v>
      </c>
      <c r="C4595" s="501" t="s">
        <v>1089</v>
      </c>
      <c r="D4595" s="501" t="s">
        <v>3392</v>
      </c>
      <c r="E4595" s="501" t="s">
        <v>3381</v>
      </c>
      <c r="F4595" s="501" t="s">
        <v>703</v>
      </c>
      <c r="G4595" s="501" t="s">
        <v>704</v>
      </c>
      <c r="H4595" s="501" t="s">
        <v>7068</v>
      </c>
      <c r="I4595" s="501">
        <v>48</v>
      </c>
      <c r="J4595" s="501">
        <v>0</v>
      </c>
      <c r="K4595" s="501">
        <v>0</v>
      </c>
      <c r="L4595" s="501">
        <v>48</v>
      </c>
      <c r="M4595" s="501">
        <v>0</v>
      </c>
      <c r="N4595" s="501">
        <v>0</v>
      </c>
      <c r="O4595" s="506">
        <v>0</v>
      </c>
    </row>
    <row r="4596" spans="1:15" x14ac:dyDescent="0.35">
      <c r="A4596" s="503" t="s">
        <v>1623</v>
      </c>
      <c r="B4596" s="504">
        <v>4858</v>
      </c>
      <c r="C4596" s="504" t="s">
        <v>1094</v>
      </c>
      <c r="D4596" s="504" t="s">
        <v>3380</v>
      </c>
      <c r="E4596" s="504" t="s">
        <v>3381</v>
      </c>
      <c r="F4596" s="504" t="s">
        <v>703</v>
      </c>
      <c r="G4596" s="504" t="s">
        <v>704</v>
      </c>
      <c r="H4596" s="504" t="s">
        <v>7069</v>
      </c>
      <c r="I4596" s="504">
        <v>34</v>
      </c>
      <c r="J4596" s="504">
        <v>32</v>
      </c>
      <c r="K4596" s="504">
        <v>0</v>
      </c>
      <c r="L4596" s="504">
        <v>0</v>
      </c>
      <c r="M4596" s="504">
        <v>0</v>
      </c>
      <c r="N4596" s="504">
        <v>1</v>
      </c>
      <c r="O4596" s="505">
        <v>2</v>
      </c>
    </row>
    <row r="4597" spans="1:15" x14ac:dyDescent="0.35">
      <c r="A4597" s="500" t="s">
        <v>1167</v>
      </c>
      <c r="B4597" s="501">
        <v>4689</v>
      </c>
      <c r="C4597" s="501" t="s">
        <v>1089</v>
      </c>
      <c r="D4597" s="501" t="s">
        <v>3392</v>
      </c>
      <c r="E4597" s="501" t="s">
        <v>3381</v>
      </c>
      <c r="F4597" s="501" t="s">
        <v>703</v>
      </c>
      <c r="G4597" s="501" t="s">
        <v>704</v>
      </c>
      <c r="H4597" s="501" t="s">
        <v>7070</v>
      </c>
      <c r="I4597" s="501">
        <v>8</v>
      </c>
      <c r="J4597" s="501">
        <v>0</v>
      </c>
      <c r="K4597" s="501">
        <v>0</v>
      </c>
      <c r="L4597" s="501">
        <v>8</v>
      </c>
      <c r="M4597" s="501">
        <v>0</v>
      </c>
      <c r="N4597" s="501">
        <v>0</v>
      </c>
      <c r="O4597" s="506">
        <v>0</v>
      </c>
    </row>
    <row r="4598" spans="1:15" x14ac:dyDescent="0.35">
      <c r="A4598" s="503" t="s">
        <v>1172</v>
      </c>
      <c r="B4598" s="504">
        <v>4648</v>
      </c>
      <c r="C4598" s="504" t="s">
        <v>1089</v>
      </c>
      <c r="D4598" s="504" t="s">
        <v>3392</v>
      </c>
      <c r="E4598" s="504" t="s">
        <v>3381</v>
      </c>
      <c r="F4598" s="504" t="s">
        <v>703</v>
      </c>
      <c r="G4598" s="504" t="s">
        <v>704</v>
      </c>
      <c r="H4598" s="504" t="s">
        <v>7071</v>
      </c>
      <c r="I4598" s="504">
        <v>11</v>
      </c>
      <c r="J4598" s="504">
        <v>0</v>
      </c>
      <c r="K4598" s="504">
        <v>0</v>
      </c>
      <c r="L4598" s="504">
        <v>11</v>
      </c>
      <c r="M4598" s="504">
        <v>0</v>
      </c>
      <c r="N4598" s="504">
        <v>0</v>
      </c>
      <c r="O4598" s="505">
        <v>0</v>
      </c>
    </row>
    <row r="4599" spans="1:15" x14ac:dyDescent="0.35">
      <c r="A4599" s="500" t="s">
        <v>1102</v>
      </c>
      <c r="B4599" s="501">
        <v>4663</v>
      </c>
      <c r="C4599" s="501" t="s">
        <v>1089</v>
      </c>
      <c r="D4599" s="501" t="s">
        <v>3392</v>
      </c>
      <c r="E4599" s="501" t="s">
        <v>3381</v>
      </c>
      <c r="F4599" s="501" t="s">
        <v>703</v>
      </c>
      <c r="G4599" s="501" t="s">
        <v>704</v>
      </c>
      <c r="H4599" s="501" t="s">
        <v>7072</v>
      </c>
      <c r="I4599" s="501">
        <v>23</v>
      </c>
      <c r="J4599" s="501">
        <v>0</v>
      </c>
      <c r="K4599" s="501">
        <v>0</v>
      </c>
      <c r="L4599" s="501">
        <v>23</v>
      </c>
      <c r="M4599" s="501">
        <v>0</v>
      </c>
      <c r="N4599" s="501">
        <v>0</v>
      </c>
      <c r="O4599" s="506">
        <v>0</v>
      </c>
    </row>
    <row r="4600" spans="1:15" x14ac:dyDescent="0.35">
      <c r="A4600" s="503" t="s">
        <v>1183</v>
      </c>
      <c r="B4600" s="504" t="s">
        <v>3038</v>
      </c>
      <c r="C4600" s="504" t="s">
        <v>1094</v>
      </c>
      <c r="D4600" s="504" t="s">
        <v>3380</v>
      </c>
      <c r="E4600" s="504" t="s">
        <v>3381</v>
      </c>
      <c r="F4600" s="504" t="s">
        <v>703</v>
      </c>
      <c r="G4600" s="504" t="s">
        <v>704</v>
      </c>
      <c r="H4600" s="504" t="s">
        <v>7073</v>
      </c>
      <c r="I4600" s="504">
        <v>348</v>
      </c>
      <c r="J4600" s="504">
        <v>298</v>
      </c>
      <c r="K4600" s="504">
        <v>0</v>
      </c>
      <c r="L4600" s="504">
        <v>25</v>
      </c>
      <c r="M4600" s="504">
        <v>0</v>
      </c>
      <c r="N4600" s="504">
        <v>0</v>
      </c>
      <c r="O4600" s="505">
        <v>25</v>
      </c>
    </row>
    <row r="4601" spans="1:15" x14ac:dyDescent="0.35">
      <c r="A4601" s="500" t="s">
        <v>1186</v>
      </c>
      <c r="B4601" s="501">
        <v>4661</v>
      </c>
      <c r="C4601" s="501" t="s">
        <v>1089</v>
      </c>
      <c r="D4601" s="501" t="s">
        <v>3392</v>
      </c>
      <c r="E4601" s="501" t="s">
        <v>3381</v>
      </c>
      <c r="F4601" s="501" t="s">
        <v>703</v>
      </c>
      <c r="G4601" s="501" t="s">
        <v>704</v>
      </c>
      <c r="H4601" s="501" t="s">
        <v>7074</v>
      </c>
      <c r="I4601" s="501">
        <v>2</v>
      </c>
      <c r="J4601" s="501">
        <v>0</v>
      </c>
      <c r="K4601" s="501">
        <v>0</v>
      </c>
      <c r="L4601" s="501">
        <v>2</v>
      </c>
      <c r="M4601" s="501">
        <v>0</v>
      </c>
      <c r="N4601" s="501">
        <v>0</v>
      </c>
      <c r="O4601" s="506">
        <v>0</v>
      </c>
    </row>
    <row r="4602" spans="1:15" x14ac:dyDescent="0.35">
      <c r="A4602" s="503" t="s">
        <v>1105</v>
      </c>
      <c r="B4602" s="504">
        <v>4668</v>
      </c>
      <c r="C4602" s="504" t="s">
        <v>1094</v>
      </c>
      <c r="D4602" s="504" t="s">
        <v>3380</v>
      </c>
      <c r="E4602" s="504" t="s">
        <v>3381</v>
      </c>
      <c r="F4602" s="504" t="s">
        <v>703</v>
      </c>
      <c r="G4602" s="504" t="s">
        <v>704</v>
      </c>
      <c r="H4602" s="504" t="s">
        <v>7075</v>
      </c>
      <c r="I4602" s="504">
        <v>62</v>
      </c>
      <c r="J4602" s="504">
        <v>0</v>
      </c>
      <c r="K4602" s="504">
        <v>0</v>
      </c>
      <c r="L4602" s="504">
        <v>0</v>
      </c>
      <c r="M4602" s="504">
        <v>0</v>
      </c>
      <c r="N4602" s="504">
        <v>0</v>
      </c>
      <c r="O4602" s="505">
        <v>62</v>
      </c>
    </row>
    <row r="4603" spans="1:15" x14ac:dyDescent="0.35">
      <c r="A4603" s="500" t="s">
        <v>1188</v>
      </c>
      <c r="B4603" s="501">
        <v>4760</v>
      </c>
      <c r="C4603" s="501" t="s">
        <v>1089</v>
      </c>
      <c r="D4603" s="501" t="s">
        <v>3392</v>
      </c>
      <c r="E4603" s="501" t="s">
        <v>3381</v>
      </c>
      <c r="F4603" s="501" t="s">
        <v>703</v>
      </c>
      <c r="G4603" s="501" t="s">
        <v>704</v>
      </c>
      <c r="H4603" s="501" t="s">
        <v>7076</v>
      </c>
      <c r="I4603" s="501">
        <v>21</v>
      </c>
      <c r="J4603" s="501">
        <v>0</v>
      </c>
      <c r="K4603" s="501">
        <v>0</v>
      </c>
      <c r="L4603" s="501">
        <v>21</v>
      </c>
      <c r="M4603" s="501">
        <v>0</v>
      </c>
      <c r="N4603" s="501">
        <v>0</v>
      </c>
      <c r="O4603" s="506">
        <v>0</v>
      </c>
    </row>
    <row r="4604" spans="1:15" x14ac:dyDescent="0.35">
      <c r="A4604" s="503" t="s">
        <v>1109</v>
      </c>
      <c r="B4604" s="504" t="s">
        <v>2959</v>
      </c>
      <c r="C4604" s="504" t="s">
        <v>1094</v>
      </c>
      <c r="D4604" s="504" t="s">
        <v>3380</v>
      </c>
      <c r="E4604" s="504" t="s">
        <v>3381</v>
      </c>
      <c r="F4604" s="504" t="s">
        <v>703</v>
      </c>
      <c r="G4604" s="504" t="s">
        <v>704</v>
      </c>
      <c r="H4604" s="504" t="s">
        <v>7077</v>
      </c>
      <c r="I4604" s="504">
        <v>35</v>
      </c>
      <c r="J4604" s="504">
        <v>0</v>
      </c>
      <c r="K4604" s="504">
        <v>0</v>
      </c>
      <c r="L4604" s="504">
        <v>0</v>
      </c>
      <c r="M4604" s="504">
        <v>35</v>
      </c>
      <c r="N4604" s="504">
        <v>0</v>
      </c>
      <c r="O4604" s="505">
        <v>0</v>
      </c>
    </row>
    <row r="4605" spans="1:15" x14ac:dyDescent="0.35">
      <c r="A4605" s="500" t="s">
        <v>1190</v>
      </c>
      <c r="B4605" s="501">
        <v>4662</v>
      </c>
      <c r="C4605" s="501" t="s">
        <v>1094</v>
      </c>
      <c r="D4605" s="501" t="s">
        <v>3380</v>
      </c>
      <c r="E4605" s="501" t="s">
        <v>3381</v>
      </c>
      <c r="F4605" s="501" t="s">
        <v>703</v>
      </c>
      <c r="G4605" s="501" t="s">
        <v>704</v>
      </c>
      <c r="H4605" s="501" t="s">
        <v>7078</v>
      </c>
      <c r="I4605" s="501">
        <v>28</v>
      </c>
      <c r="J4605" s="501">
        <v>0</v>
      </c>
      <c r="K4605" s="501">
        <v>0</v>
      </c>
      <c r="L4605" s="501">
        <v>28</v>
      </c>
      <c r="M4605" s="501">
        <v>0</v>
      </c>
      <c r="N4605" s="501">
        <v>0</v>
      </c>
      <c r="O4605" s="506">
        <v>0</v>
      </c>
    </row>
    <row r="4606" spans="1:15" x14ac:dyDescent="0.35">
      <c r="A4606" s="503" t="s">
        <v>11401</v>
      </c>
      <c r="B4606" s="504" t="s">
        <v>3241</v>
      </c>
      <c r="C4606" s="504" t="s">
        <v>1094</v>
      </c>
      <c r="D4606" s="504" t="s">
        <v>3380</v>
      </c>
      <c r="E4606" s="504" t="s">
        <v>3381</v>
      </c>
      <c r="F4606" s="504" t="s">
        <v>703</v>
      </c>
      <c r="G4606" s="504" t="s">
        <v>704</v>
      </c>
      <c r="H4606" s="504" t="s">
        <v>11781</v>
      </c>
      <c r="I4606" s="504">
        <v>729</v>
      </c>
      <c r="J4606" s="504">
        <v>466</v>
      </c>
      <c r="K4606" s="504">
        <v>0</v>
      </c>
      <c r="L4606" s="504">
        <v>64</v>
      </c>
      <c r="M4606" s="504">
        <v>34</v>
      </c>
      <c r="N4606" s="504">
        <v>2</v>
      </c>
      <c r="O4606" s="505">
        <v>165</v>
      </c>
    </row>
    <row r="4607" spans="1:15" x14ac:dyDescent="0.35">
      <c r="A4607" s="500" t="s">
        <v>1195</v>
      </c>
      <c r="B4607" s="501">
        <v>4693</v>
      </c>
      <c r="C4607" s="501" t="s">
        <v>1089</v>
      </c>
      <c r="D4607" s="501" t="s">
        <v>3392</v>
      </c>
      <c r="E4607" s="501" t="s">
        <v>3381</v>
      </c>
      <c r="F4607" s="501" t="s">
        <v>703</v>
      </c>
      <c r="G4607" s="501" t="s">
        <v>704</v>
      </c>
      <c r="H4607" s="501" t="s">
        <v>14786</v>
      </c>
      <c r="I4607" s="501">
        <v>5</v>
      </c>
      <c r="J4607" s="501">
        <v>0</v>
      </c>
      <c r="K4607" s="501">
        <v>0</v>
      </c>
      <c r="L4607" s="501">
        <v>5</v>
      </c>
      <c r="M4607" s="501">
        <v>0</v>
      </c>
      <c r="N4607" s="501">
        <v>0</v>
      </c>
      <c r="O4607" s="506">
        <v>0</v>
      </c>
    </row>
    <row r="4608" spans="1:15" x14ac:dyDescent="0.35">
      <c r="A4608" s="503" t="s">
        <v>14243</v>
      </c>
      <c r="B4608" s="504">
        <v>5149</v>
      </c>
      <c r="C4608" s="504" t="s">
        <v>1089</v>
      </c>
      <c r="D4608" s="504" t="s">
        <v>3392</v>
      </c>
      <c r="E4608" s="504" t="s">
        <v>3381</v>
      </c>
      <c r="F4608" s="504" t="s">
        <v>703</v>
      </c>
      <c r="G4608" s="504" t="s">
        <v>704</v>
      </c>
      <c r="H4608" s="504" t="s">
        <v>14787</v>
      </c>
      <c r="I4608" s="504">
        <v>6</v>
      </c>
      <c r="J4608" s="504">
        <v>6</v>
      </c>
      <c r="K4608" s="504">
        <v>0</v>
      </c>
      <c r="L4608" s="504">
        <v>0</v>
      </c>
      <c r="M4608" s="504">
        <v>0</v>
      </c>
      <c r="N4608" s="504">
        <v>0</v>
      </c>
      <c r="O4608" s="505">
        <v>0</v>
      </c>
    </row>
    <row r="4609" spans="1:15" x14ac:dyDescent="0.35">
      <c r="A4609" s="500" t="s">
        <v>1310</v>
      </c>
      <c r="B4609" s="501">
        <v>5062</v>
      </c>
      <c r="C4609" s="501" t="s">
        <v>1089</v>
      </c>
      <c r="D4609" s="501" t="s">
        <v>3380</v>
      </c>
      <c r="E4609" s="501" t="s">
        <v>3381</v>
      </c>
      <c r="F4609" s="501" t="s">
        <v>703</v>
      </c>
      <c r="G4609" s="501" t="s">
        <v>704</v>
      </c>
      <c r="H4609" s="501" t="s">
        <v>11810</v>
      </c>
      <c r="I4609" s="501">
        <v>11</v>
      </c>
      <c r="J4609" s="501">
        <v>4</v>
      </c>
      <c r="K4609" s="501">
        <v>0</v>
      </c>
      <c r="L4609" s="501">
        <v>0</v>
      </c>
      <c r="M4609" s="501">
        <v>0</v>
      </c>
      <c r="N4609" s="501">
        <v>0</v>
      </c>
      <c r="O4609" s="506">
        <v>7</v>
      </c>
    </row>
    <row r="4610" spans="1:15" x14ac:dyDescent="0.35">
      <c r="A4610" s="503" t="s">
        <v>1732</v>
      </c>
      <c r="B4610" s="504" t="s">
        <v>3132</v>
      </c>
      <c r="C4610" s="504" t="s">
        <v>1089</v>
      </c>
      <c r="D4610" s="504" t="s">
        <v>3392</v>
      </c>
      <c r="E4610" s="504" t="s">
        <v>3381</v>
      </c>
      <c r="F4610" s="504" t="s">
        <v>703</v>
      </c>
      <c r="G4610" s="504" t="s">
        <v>704</v>
      </c>
      <c r="H4610" s="504" t="s">
        <v>7080</v>
      </c>
      <c r="I4610" s="504">
        <v>40</v>
      </c>
      <c r="J4610" s="504">
        <v>40</v>
      </c>
      <c r="K4610" s="504">
        <v>0</v>
      </c>
      <c r="L4610" s="504">
        <v>0</v>
      </c>
      <c r="M4610" s="504">
        <v>0</v>
      </c>
      <c r="N4610" s="504">
        <v>0</v>
      </c>
      <c r="O4610" s="505">
        <v>0</v>
      </c>
    </row>
    <row r="4611" spans="1:15" x14ac:dyDescent="0.35">
      <c r="A4611" s="500" t="s">
        <v>1209</v>
      </c>
      <c r="B4611" s="501">
        <v>4779</v>
      </c>
      <c r="C4611" s="501" t="s">
        <v>1094</v>
      </c>
      <c r="D4611" s="501" t="s">
        <v>3380</v>
      </c>
      <c r="E4611" s="501" t="s">
        <v>3381</v>
      </c>
      <c r="F4611" s="501" t="s">
        <v>703</v>
      </c>
      <c r="G4611" s="501" t="s">
        <v>704</v>
      </c>
      <c r="H4611" s="501" t="s">
        <v>7081</v>
      </c>
      <c r="I4611" s="501">
        <v>9</v>
      </c>
      <c r="J4611" s="501">
        <v>0</v>
      </c>
      <c r="K4611" s="501">
        <v>0</v>
      </c>
      <c r="L4611" s="501">
        <v>9</v>
      </c>
      <c r="M4611" s="501">
        <v>0</v>
      </c>
      <c r="N4611" s="501">
        <v>0</v>
      </c>
      <c r="O4611" s="506">
        <v>0</v>
      </c>
    </row>
    <row r="4612" spans="1:15" x14ac:dyDescent="0.35">
      <c r="A4612" s="503" t="s">
        <v>1744</v>
      </c>
      <c r="B4612" s="504" t="s">
        <v>3245</v>
      </c>
      <c r="C4612" s="504" t="s">
        <v>1094</v>
      </c>
      <c r="D4612" s="504" t="s">
        <v>3380</v>
      </c>
      <c r="E4612" s="504" t="s">
        <v>3381</v>
      </c>
      <c r="F4612" s="504" t="s">
        <v>703</v>
      </c>
      <c r="G4612" s="504" t="s">
        <v>704</v>
      </c>
      <c r="H4612" s="504" t="s">
        <v>14788</v>
      </c>
      <c r="I4612" s="504">
        <v>107</v>
      </c>
      <c r="J4612" s="504">
        <v>69</v>
      </c>
      <c r="K4612" s="504">
        <v>0</v>
      </c>
      <c r="L4612" s="504">
        <v>0</v>
      </c>
      <c r="M4612" s="504">
        <v>38</v>
      </c>
      <c r="N4612" s="504">
        <v>0</v>
      </c>
      <c r="O4612" s="505">
        <v>0</v>
      </c>
    </row>
    <row r="4613" spans="1:15" x14ac:dyDescent="0.35">
      <c r="A4613" s="500" t="s">
        <v>1122</v>
      </c>
      <c r="B4613" s="501" t="s">
        <v>2994</v>
      </c>
      <c r="C4613" s="501" t="s">
        <v>1094</v>
      </c>
      <c r="D4613" s="501" t="s">
        <v>3380</v>
      </c>
      <c r="E4613" s="501" t="s">
        <v>3381</v>
      </c>
      <c r="F4613" s="501" t="s">
        <v>703</v>
      </c>
      <c r="G4613" s="501" t="s">
        <v>704</v>
      </c>
      <c r="H4613" s="501" t="s">
        <v>7082</v>
      </c>
      <c r="I4613" s="501">
        <v>591</v>
      </c>
      <c r="J4613" s="501">
        <v>475</v>
      </c>
      <c r="K4613" s="501">
        <v>0</v>
      </c>
      <c r="L4613" s="501">
        <v>7</v>
      </c>
      <c r="M4613" s="501">
        <v>56</v>
      </c>
      <c r="N4613" s="501">
        <v>0</v>
      </c>
      <c r="O4613" s="506">
        <v>53</v>
      </c>
    </row>
    <row r="4614" spans="1:15" x14ac:dyDescent="0.35">
      <c r="A4614" s="503" t="s">
        <v>1225</v>
      </c>
      <c r="B4614" s="504" t="s">
        <v>3315</v>
      </c>
      <c r="C4614" s="504" t="s">
        <v>1094</v>
      </c>
      <c r="D4614" s="504" t="s">
        <v>3380</v>
      </c>
      <c r="E4614" s="504" t="s">
        <v>3381</v>
      </c>
      <c r="F4614" s="504" t="s">
        <v>703</v>
      </c>
      <c r="G4614" s="504" t="s">
        <v>704</v>
      </c>
      <c r="H4614" s="504" t="s">
        <v>7083</v>
      </c>
      <c r="I4614" s="504">
        <v>62</v>
      </c>
      <c r="J4614" s="504">
        <v>0</v>
      </c>
      <c r="K4614" s="504">
        <v>0</v>
      </c>
      <c r="L4614" s="504">
        <v>24</v>
      </c>
      <c r="M4614" s="504">
        <v>38</v>
      </c>
      <c r="N4614" s="504">
        <v>0</v>
      </c>
      <c r="O4614" s="505">
        <v>0</v>
      </c>
    </row>
    <row r="4615" spans="1:15" x14ac:dyDescent="0.35">
      <c r="A4615" s="500" t="s">
        <v>1228</v>
      </c>
      <c r="B4615" s="501" t="s">
        <v>3321</v>
      </c>
      <c r="C4615" s="501" t="s">
        <v>1094</v>
      </c>
      <c r="D4615" s="501" t="s">
        <v>3380</v>
      </c>
      <c r="E4615" s="501" t="s">
        <v>3381</v>
      </c>
      <c r="F4615" s="501" t="s">
        <v>703</v>
      </c>
      <c r="G4615" s="501" t="s">
        <v>704</v>
      </c>
      <c r="H4615" s="501" t="s">
        <v>7084</v>
      </c>
      <c r="I4615" s="501">
        <v>70</v>
      </c>
      <c r="J4615" s="501">
        <v>16</v>
      </c>
      <c r="K4615" s="501">
        <v>0</v>
      </c>
      <c r="L4615" s="501">
        <v>32</v>
      </c>
      <c r="M4615" s="501">
        <v>0</v>
      </c>
      <c r="N4615" s="501">
        <v>0</v>
      </c>
      <c r="O4615" s="506">
        <v>22</v>
      </c>
    </row>
    <row r="4616" spans="1:15" x14ac:dyDescent="0.35">
      <c r="A4616" s="503" t="s">
        <v>1234</v>
      </c>
      <c r="B4616" s="504" t="s">
        <v>3291</v>
      </c>
      <c r="C4616" s="504" t="s">
        <v>1094</v>
      </c>
      <c r="D4616" s="504" t="s">
        <v>3380</v>
      </c>
      <c r="E4616" s="504" t="s">
        <v>3381</v>
      </c>
      <c r="F4616" s="504" t="s">
        <v>703</v>
      </c>
      <c r="G4616" s="504" t="s">
        <v>704</v>
      </c>
      <c r="H4616" s="504" t="s">
        <v>7085</v>
      </c>
      <c r="I4616" s="504">
        <v>32</v>
      </c>
      <c r="J4616" s="504">
        <v>3</v>
      </c>
      <c r="K4616" s="504">
        <v>0</v>
      </c>
      <c r="L4616" s="504">
        <v>29</v>
      </c>
      <c r="M4616" s="504">
        <v>0</v>
      </c>
      <c r="N4616" s="504">
        <v>0</v>
      </c>
      <c r="O4616" s="505">
        <v>0</v>
      </c>
    </row>
    <row r="4617" spans="1:15" x14ac:dyDescent="0.35">
      <c r="A4617" s="500" t="s">
        <v>1126</v>
      </c>
      <c r="B4617" s="501" t="s">
        <v>2974</v>
      </c>
      <c r="C4617" s="501" t="s">
        <v>1094</v>
      </c>
      <c r="D4617" s="501" t="s">
        <v>3380</v>
      </c>
      <c r="E4617" s="501" t="s">
        <v>3381</v>
      </c>
      <c r="F4617" s="501" t="s">
        <v>703</v>
      </c>
      <c r="G4617" s="501" t="s">
        <v>704</v>
      </c>
      <c r="H4617" s="501" t="s">
        <v>7086</v>
      </c>
      <c r="I4617" s="501">
        <v>12</v>
      </c>
      <c r="J4617" s="501">
        <v>0</v>
      </c>
      <c r="K4617" s="501">
        <v>0</v>
      </c>
      <c r="L4617" s="501">
        <v>12</v>
      </c>
      <c r="M4617" s="501">
        <v>0</v>
      </c>
      <c r="N4617" s="501">
        <v>0</v>
      </c>
      <c r="O4617" s="506">
        <v>0</v>
      </c>
    </row>
    <row r="4618" spans="1:15" x14ac:dyDescent="0.35">
      <c r="A4618" s="503" t="s">
        <v>1760</v>
      </c>
      <c r="B4618" s="504">
        <v>4686</v>
      </c>
      <c r="C4618" s="504" t="s">
        <v>1094</v>
      </c>
      <c r="D4618" s="504" t="s">
        <v>3380</v>
      </c>
      <c r="E4618" s="504" t="s">
        <v>3381</v>
      </c>
      <c r="F4618" s="504" t="s">
        <v>703</v>
      </c>
      <c r="G4618" s="504" t="s">
        <v>704</v>
      </c>
      <c r="H4618" s="504" t="s">
        <v>7087</v>
      </c>
      <c r="I4618" s="504">
        <v>26</v>
      </c>
      <c r="J4618" s="504">
        <v>22</v>
      </c>
      <c r="K4618" s="504">
        <v>0</v>
      </c>
      <c r="L4618" s="504">
        <v>0</v>
      </c>
      <c r="M4618" s="504">
        <v>0</v>
      </c>
      <c r="N4618" s="504">
        <v>0</v>
      </c>
      <c r="O4618" s="505">
        <v>4</v>
      </c>
    </row>
    <row r="4619" spans="1:15" x14ac:dyDescent="0.35">
      <c r="A4619" s="500" t="s">
        <v>1245</v>
      </c>
      <c r="B4619" s="501" t="s">
        <v>2859</v>
      </c>
      <c r="C4619" s="501" t="s">
        <v>1094</v>
      </c>
      <c r="D4619" s="501" t="s">
        <v>3380</v>
      </c>
      <c r="E4619" s="501" t="s">
        <v>3381</v>
      </c>
      <c r="F4619" s="501" t="s">
        <v>703</v>
      </c>
      <c r="G4619" s="501" t="s">
        <v>704</v>
      </c>
      <c r="H4619" s="501" t="s">
        <v>7088</v>
      </c>
      <c r="I4619" s="501">
        <v>12</v>
      </c>
      <c r="J4619" s="501">
        <v>0</v>
      </c>
      <c r="K4619" s="501">
        <v>0</v>
      </c>
      <c r="L4619" s="501">
        <v>0</v>
      </c>
      <c r="M4619" s="501">
        <v>12</v>
      </c>
      <c r="N4619" s="501">
        <v>0</v>
      </c>
      <c r="O4619" s="506">
        <v>0</v>
      </c>
    </row>
    <row r="4620" spans="1:15" x14ac:dyDescent="0.35">
      <c r="A4620" s="503" t="s">
        <v>1249</v>
      </c>
      <c r="B4620" s="504">
        <v>4729</v>
      </c>
      <c r="C4620" s="504" t="s">
        <v>1094</v>
      </c>
      <c r="D4620" s="504" t="s">
        <v>3380</v>
      </c>
      <c r="E4620" s="504" t="s">
        <v>3381</v>
      </c>
      <c r="F4620" s="504" t="s">
        <v>703</v>
      </c>
      <c r="G4620" s="504" t="s">
        <v>704</v>
      </c>
      <c r="H4620" s="504" t="s">
        <v>7089</v>
      </c>
      <c r="I4620" s="504">
        <v>616</v>
      </c>
      <c r="J4620" s="504">
        <v>526</v>
      </c>
      <c r="K4620" s="504">
        <v>0</v>
      </c>
      <c r="L4620" s="504">
        <v>20</v>
      </c>
      <c r="M4620" s="504">
        <v>46</v>
      </c>
      <c r="N4620" s="504">
        <v>0</v>
      </c>
      <c r="O4620" s="505">
        <v>24</v>
      </c>
    </row>
    <row r="4621" spans="1:15" x14ac:dyDescent="0.35">
      <c r="A4621" s="500" t="s">
        <v>1253</v>
      </c>
      <c r="B4621" s="501" t="s">
        <v>3232</v>
      </c>
      <c r="C4621" s="501" t="s">
        <v>1094</v>
      </c>
      <c r="D4621" s="501" t="s">
        <v>3380</v>
      </c>
      <c r="E4621" s="501" t="s">
        <v>3381</v>
      </c>
      <c r="F4621" s="501" t="s">
        <v>703</v>
      </c>
      <c r="G4621" s="501" t="s">
        <v>704</v>
      </c>
      <c r="H4621" s="501" t="s">
        <v>7090</v>
      </c>
      <c r="I4621" s="501">
        <v>57</v>
      </c>
      <c r="J4621" s="501">
        <v>45</v>
      </c>
      <c r="K4621" s="501">
        <v>0</v>
      </c>
      <c r="L4621" s="501">
        <v>0</v>
      </c>
      <c r="M4621" s="501">
        <v>12</v>
      </c>
      <c r="N4621" s="501">
        <v>0</v>
      </c>
      <c r="O4621" s="506">
        <v>0</v>
      </c>
    </row>
    <row r="4622" spans="1:15" x14ac:dyDescent="0.35">
      <c r="A4622" s="503" t="s">
        <v>1266</v>
      </c>
      <c r="B4622" s="504" t="s">
        <v>3071</v>
      </c>
      <c r="C4622" s="504" t="s">
        <v>1094</v>
      </c>
      <c r="D4622" s="504" t="s">
        <v>3380</v>
      </c>
      <c r="E4622" s="504" t="s">
        <v>3381</v>
      </c>
      <c r="F4622" s="504" t="s">
        <v>703</v>
      </c>
      <c r="G4622" s="504" t="s">
        <v>704</v>
      </c>
      <c r="H4622" s="504" t="s">
        <v>7091</v>
      </c>
      <c r="I4622" s="504">
        <v>1</v>
      </c>
      <c r="J4622" s="504">
        <v>0</v>
      </c>
      <c r="K4622" s="504">
        <v>0</v>
      </c>
      <c r="L4622" s="504">
        <v>0</v>
      </c>
      <c r="M4622" s="504">
        <v>0</v>
      </c>
      <c r="N4622" s="504">
        <v>0</v>
      </c>
      <c r="O4622" s="505">
        <v>1</v>
      </c>
    </row>
    <row r="4623" spans="1:15" x14ac:dyDescent="0.35">
      <c r="A4623" s="500" t="s">
        <v>2134</v>
      </c>
      <c r="B4623" s="501">
        <v>5066</v>
      </c>
      <c r="C4623" s="501" t="s">
        <v>1089</v>
      </c>
      <c r="D4623" s="501" t="s">
        <v>3392</v>
      </c>
      <c r="E4623" s="501" t="s">
        <v>3381</v>
      </c>
      <c r="F4623" s="501" t="s">
        <v>705</v>
      </c>
      <c r="G4623" s="501" t="s">
        <v>706</v>
      </c>
      <c r="H4623" s="501" t="s">
        <v>7092</v>
      </c>
      <c r="I4623" s="501">
        <v>6</v>
      </c>
      <c r="J4623" s="501">
        <v>0</v>
      </c>
      <c r="K4623" s="501">
        <v>0</v>
      </c>
      <c r="L4623" s="501">
        <v>0</v>
      </c>
      <c r="M4623" s="501">
        <v>6</v>
      </c>
      <c r="N4623" s="501">
        <v>0</v>
      </c>
      <c r="O4623" s="506">
        <v>0</v>
      </c>
    </row>
    <row r="4624" spans="1:15" x14ac:dyDescent="0.35">
      <c r="A4624" s="503" t="s">
        <v>1143</v>
      </c>
      <c r="B4624" s="504" t="s">
        <v>3281</v>
      </c>
      <c r="C4624" s="504" t="s">
        <v>1094</v>
      </c>
      <c r="D4624" s="504" t="s">
        <v>3380</v>
      </c>
      <c r="E4624" s="504" t="s">
        <v>3381</v>
      </c>
      <c r="F4624" s="504" t="s">
        <v>705</v>
      </c>
      <c r="G4624" s="504" t="s">
        <v>706</v>
      </c>
      <c r="H4624" s="504" t="s">
        <v>7093</v>
      </c>
      <c r="I4624" s="504">
        <v>411</v>
      </c>
      <c r="J4624" s="504">
        <v>324</v>
      </c>
      <c r="K4624" s="504">
        <v>0</v>
      </c>
      <c r="L4624" s="504">
        <v>0</v>
      </c>
      <c r="M4624" s="504">
        <v>37</v>
      </c>
      <c r="N4624" s="504">
        <v>2</v>
      </c>
      <c r="O4624" s="505">
        <v>50</v>
      </c>
    </row>
    <row r="4625" spans="1:15" x14ac:dyDescent="0.35">
      <c r="A4625" s="500" t="s">
        <v>1668</v>
      </c>
      <c r="B4625" s="501" t="s">
        <v>3035</v>
      </c>
      <c r="C4625" s="501" t="s">
        <v>1089</v>
      </c>
      <c r="D4625" s="501" t="s">
        <v>3392</v>
      </c>
      <c r="E4625" s="501" t="s">
        <v>3381</v>
      </c>
      <c r="F4625" s="501" t="s">
        <v>705</v>
      </c>
      <c r="G4625" s="501" t="s">
        <v>706</v>
      </c>
      <c r="H4625" s="501" t="s">
        <v>7094</v>
      </c>
      <c r="I4625" s="501">
        <v>48</v>
      </c>
      <c r="J4625" s="501">
        <v>0</v>
      </c>
      <c r="K4625" s="501">
        <v>0</v>
      </c>
      <c r="L4625" s="501">
        <v>0</v>
      </c>
      <c r="M4625" s="501">
        <v>48</v>
      </c>
      <c r="N4625" s="501">
        <v>0</v>
      </c>
      <c r="O4625" s="506">
        <v>0</v>
      </c>
    </row>
    <row r="4626" spans="1:15" x14ac:dyDescent="0.35">
      <c r="A4626" s="503" t="s">
        <v>1096</v>
      </c>
      <c r="B4626" s="504" t="s">
        <v>3326</v>
      </c>
      <c r="C4626" s="504" t="s">
        <v>1094</v>
      </c>
      <c r="D4626" s="504" t="s">
        <v>3380</v>
      </c>
      <c r="E4626" s="504" t="s">
        <v>3381</v>
      </c>
      <c r="F4626" s="504" t="s">
        <v>705</v>
      </c>
      <c r="G4626" s="504" t="s">
        <v>706</v>
      </c>
      <c r="H4626" s="504" t="s">
        <v>7095</v>
      </c>
      <c r="I4626" s="504">
        <v>1009</v>
      </c>
      <c r="J4626" s="504">
        <v>0</v>
      </c>
      <c r="K4626" s="504">
        <v>0</v>
      </c>
      <c r="L4626" s="504">
        <v>0</v>
      </c>
      <c r="M4626" s="504">
        <v>941</v>
      </c>
      <c r="N4626" s="504">
        <v>37</v>
      </c>
      <c r="O4626" s="505">
        <v>68</v>
      </c>
    </row>
    <row r="4627" spans="1:15" x14ac:dyDescent="0.35">
      <c r="A4627" s="500" t="s">
        <v>1151</v>
      </c>
      <c r="B4627" s="501">
        <v>4726</v>
      </c>
      <c r="C4627" s="501" t="s">
        <v>1089</v>
      </c>
      <c r="D4627" s="501" t="s">
        <v>3392</v>
      </c>
      <c r="E4627" s="501" t="s">
        <v>3381</v>
      </c>
      <c r="F4627" s="501" t="s">
        <v>705</v>
      </c>
      <c r="G4627" s="501" t="s">
        <v>706</v>
      </c>
      <c r="H4627" s="501" t="s">
        <v>7096</v>
      </c>
      <c r="I4627" s="501">
        <v>3</v>
      </c>
      <c r="J4627" s="501">
        <v>3</v>
      </c>
      <c r="K4627" s="501">
        <v>0</v>
      </c>
      <c r="L4627" s="501">
        <v>0</v>
      </c>
      <c r="M4627" s="501">
        <v>0</v>
      </c>
      <c r="N4627" s="501">
        <v>0</v>
      </c>
      <c r="O4627" s="506">
        <v>0</v>
      </c>
    </row>
    <row r="4628" spans="1:15" x14ac:dyDescent="0.35">
      <c r="A4628" s="503" t="s">
        <v>11363</v>
      </c>
      <c r="B4628" s="504">
        <v>4718</v>
      </c>
      <c r="C4628" s="504" t="s">
        <v>1094</v>
      </c>
      <c r="D4628" s="504" t="s">
        <v>3380</v>
      </c>
      <c r="E4628" s="504" t="s">
        <v>3381</v>
      </c>
      <c r="F4628" s="504" t="s">
        <v>705</v>
      </c>
      <c r="G4628" s="504" t="s">
        <v>706</v>
      </c>
      <c r="H4628" s="504" t="s">
        <v>11558</v>
      </c>
      <c r="I4628" s="504">
        <v>35</v>
      </c>
      <c r="J4628" s="504">
        <v>0</v>
      </c>
      <c r="K4628" s="504">
        <v>0</v>
      </c>
      <c r="L4628" s="504">
        <v>35</v>
      </c>
      <c r="M4628" s="504">
        <v>0</v>
      </c>
      <c r="N4628" s="504">
        <v>0</v>
      </c>
      <c r="O4628" s="505">
        <v>0</v>
      </c>
    </row>
    <row r="4629" spans="1:15" x14ac:dyDescent="0.35">
      <c r="A4629" s="500" t="s">
        <v>1403</v>
      </c>
      <c r="B4629" s="501">
        <v>4733</v>
      </c>
      <c r="C4629" s="501" t="s">
        <v>1089</v>
      </c>
      <c r="D4629" s="501" t="s">
        <v>3392</v>
      </c>
      <c r="E4629" s="501" t="s">
        <v>3381</v>
      </c>
      <c r="F4629" s="501" t="s">
        <v>705</v>
      </c>
      <c r="G4629" s="501" t="s">
        <v>706</v>
      </c>
      <c r="H4629" s="501" t="s">
        <v>11614</v>
      </c>
      <c r="I4629" s="501">
        <v>62</v>
      </c>
      <c r="J4629" s="501">
        <v>0</v>
      </c>
      <c r="K4629" s="501">
        <v>0</v>
      </c>
      <c r="L4629" s="501">
        <v>62</v>
      </c>
      <c r="M4629" s="501">
        <v>0</v>
      </c>
      <c r="N4629" s="501">
        <v>0</v>
      </c>
      <c r="O4629" s="506">
        <v>0</v>
      </c>
    </row>
    <row r="4630" spans="1:15" x14ac:dyDescent="0.35">
      <c r="A4630" s="503" t="s">
        <v>1621</v>
      </c>
      <c r="B4630" s="504" t="s">
        <v>3319</v>
      </c>
      <c r="C4630" s="504" t="s">
        <v>1094</v>
      </c>
      <c r="D4630" s="504" t="s">
        <v>3380</v>
      </c>
      <c r="E4630" s="504" t="s">
        <v>3381</v>
      </c>
      <c r="F4630" s="504" t="s">
        <v>705</v>
      </c>
      <c r="G4630" s="504" t="s">
        <v>706</v>
      </c>
      <c r="H4630" s="504" t="s">
        <v>7097</v>
      </c>
      <c r="I4630" s="504">
        <v>41</v>
      </c>
      <c r="J4630" s="504">
        <v>31</v>
      </c>
      <c r="K4630" s="504">
        <v>0</v>
      </c>
      <c r="L4630" s="504">
        <v>0</v>
      </c>
      <c r="M4630" s="504">
        <v>0</v>
      </c>
      <c r="N4630" s="504">
        <v>0</v>
      </c>
      <c r="O4630" s="505">
        <v>10</v>
      </c>
    </row>
    <row r="4631" spans="1:15" x14ac:dyDescent="0.35">
      <c r="A4631" s="500" t="s">
        <v>1164</v>
      </c>
      <c r="B4631" s="501">
        <v>4751</v>
      </c>
      <c r="C4631" s="501" t="s">
        <v>1089</v>
      </c>
      <c r="D4631" s="501" t="s">
        <v>3392</v>
      </c>
      <c r="E4631" s="501" t="s">
        <v>3381</v>
      </c>
      <c r="F4631" s="501" t="s">
        <v>705</v>
      </c>
      <c r="G4631" s="501" t="s">
        <v>706</v>
      </c>
      <c r="H4631" s="501" t="s">
        <v>7098</v>
      </c>
      <c r="I4631" s="501">
        <v>3</v>
      </c>
      <c r="J4631" s="501">
        <v>0</v>
      </c>
      <c r="K4631" s="501">
        <v>0</v>
      </c>
      <c r="L4631" s="501">
        <v>3</v>
      </c>
      <c r="M4631" s="501">
        <v>0</v>
      </c>
      <c r="N4631" s="501">
        <v>0</v>
      </c>
      <c r="O4631" s="506">
        <v>0</v>
      </c>
    </row>
    <row r="4632" spans="1:15" x14ac:dyDescent="0.35">
      <c r="A4632" s="503" t="s">
        <v>1100</v>
      </c>
      <c r="B4632" s="504">
        <v>4865</v>
      </c>
      <c r="C4632" s="504" t="s">
        <v>1094</v>
      </c>
      <c r="D4632" s="504" t="s">
        <v>3380</v>
      </c>
      <c r="E4632" s="504" t="s">
        <v>3381</v>
      </c>
      <c r="F4632" s="504" t="s">
        <v>705</v>
      </c>
      <c r="G4632" s="504" t="s">
        <v>706</v>
      </c>
      <c r="H4632" s="504" t="s">
        <v>7099</v>
      </c>
      <c r="I4632" s="504">
        <v>585</v>
      </c>
      <c r="J4632" s="504">
        <v>585</v>
      </c>
      <c r="K4632" s="504">
        <v>0</v>
      </c>
      <c r="L4632" s="504">
        <v>0</v>
      </c>
      <c r="M4632" s="504">
        <v>0</v>
      </c>
      <c r="N4632" s="504">
        <v>0</v>
      </c>
      <c r="O4632" s="505">
        <v>0</v>
      </c>
    </row>
    <row r="4633" spans="1:15" x14ac:dyDescent="0.35">
      <c r="A4633" s="500" t="s">
        <v>2142</v>
      </c>
      <c r="B4633" s="501" t="s">
        <v>3100</v>
      </c>
      <c r="C4633" s="501" t="s">
        <v>1094</v>
      </c>
      <c r="D4633" s="501" t="s">
        <v>3380</v>
      </c>
      <c r="E4633" s="501" t="s">
        <v>3381</v>
      </c>
      <c r="F4633" s="501" t="s">
        <v>705</v>
      </c>
      <c r="G4633" s="501" t="s">
        <v>706</v>
      </c>
      <c r="H4633" s="501" t="s">
        <v>7100</v>
      </c>
      <c r="I4633" s="501">
        <v>2109</v>
      </c>
      <c r="J4633" s="501">
        <v>1478</v>
      </c>
      <c r="K4633" s="501">
        <v>8</v>
      </c>
      <c r="L4633" s="501">
        <v>98</v>
      </c>
      <c r="M4633" s="501">
        <v>373</v>
      </c>
      <c r="N4633" s="501">
        <v>0</v>
      </c>
      <c r="O4633" s="506">
        <v>152</v>
      </c>
    </row>
    <row r="4634" spans="1:15" x14ac:dyDescent="0.35">
      <c r="A4634" s="503" t="s">
        <v>1167</v>
      </c>
      <c r="B4634" s="504">
        <v>4689</v>
      </c>
      <c r="C4634" s="504" t="s">
        <v>1089</v>
      </c>
      <c r="D4634" s="504" t="s">
        <v>3392</v>
      </c>
      <c r="E4634" s="504" t="s">
        <v>3381</v>
      </c>
      <c r="F4634" s="504" t="s">
        <v>705</v>
      </c>
      <c r="G4634" s="504" t="s">
        <v>706</v>
      </c>
      <c r="H4634" s="504" t="s">
        <v>7101</v>
      </c>
      <c r="I4634" s="504">
        <v>24</v>
      </c>
      <c r="J4634" s="504">
        <v>0</v>
      </c>
      <c r="K4634" s="504">
        <v>0</v>
      </c>
      <c r="L4634" s="504">
        <v>24</v>
      </c>
      <c r="M4634" s="504">
        <v>0</v>
      </c>
      <c r="N4634" s="504">
        <v>0</v>
      </c>
      <c r="O4634" s="505">
        <v>0</v>
      </c>
    </row>
    <row r="4635" spans="1:15" x14ac:dyDescent="0.35">
      <c r="A4635" s="500" t="s">
        <v>1172</v>
      </c>
      <c r="B4635" s="501">
        <v>4648</v>
      </c>
      <c r="C4635" s="501" t="s">
        <v>1089</v>
      </c>
      <c r="D4635" s="501" t="s">
        <v>3392</v>
      </c>
      <c r="E4635" s="501" t="s">
        <v>3381</v>
      </c>
      <c r="F4635" s="501" t="s">
        <v>705</v>
      </c>
      <c r="G4635" s="501" t="s">
        <v>706</v>
      </c>
      <c r="H4635" s="501" t="s">
        <v>7102</v>
      </c>
      <c r="I4635" s="501">
        <v>3</v>
      </c>
      <c r="J4635" s="501">
        <v>0</v>
      </c>
      <c r="K4635" s="501">
        <v>0</v>
      </c>
      <c r="L4635" s="501">
        <v>3</v>
      </c>
      <c r="M4635" s="501">
        <v>0</v>
      </c>
      <c r="N4635" s="501">
        <v>0</v>
      </c>
      <c r="O4635" s="506">
        <v>0</v>
      </c>
    </row>
    <row r="4636" spans="1:15" x14ac:dyDescent="0.35">
      <c r="A4636" s="503" t="s">
        <v>2146</v>
      </c>
      <c r="B4636" s="504">
        <v>4688</v>
      </c>
      <c r="C4636" s="504" t="s">
        <v>1089</v>
      </c>
      <c r="D4636" s="504" t="s">
        <v>3392</v>
      </c>
      <c r="E4636" s="504" t="s">
        <v>3381</v>
      </c>
      <c r="F4636" s="504" t="s">
        <v>705</v>
      </c>
      <c r="G4636" s="504" t="s">
        <v>706</v>
      </c>
      <c r="H4636" s="504" t="s">
        <v>7103</v>
      </c>
      <c r="I4636" s="504">
        <v>7</v>
      </c>
      <c r="J4636" s="504">
        <v>7</v>
      </c>
      <c r="K4636" s="504">
        <v>0</v>
      </c>
      <c r="L4636" s="504">
        <v>0</v>
      </c>
      <c r="M4636" s="504">
        <v>0</v>
      </c>
      <c r="N4636" s="504">
        <v>0</v>
      </c>
      <c r="O4636" s="505">
        <v>0</v>
      </c>
    </row>
    <row r="4637" spans="1:15" x14ac:dyDescent="0.35">
      <c r="A4637" s="500" t="s">
        <v>1705</v>
      </c>
      <c r="B4637" s="501" t="s">
        <v>3158</v>
      </c>
      <c r="C4637" s="501" t="s">
        <v>1094</v>
      </c>
      <c r="D4637" s="501" t="s">
        <v>3380</v>
      </c>
      <c r="E4637" s="501" t="s">
        <v>3381</v>
      </c>
      <c r="F4637" s="501" t="s">
        <v>705</v>
      </c>
      <c r="G4637" s="501" t="s">
        <v>706</v>
      </c>
      <c r="H4637" s="501" t="s">
        <v>7104</v>
      </c>
      <c r="I4637" s="501">
        <v>57</v>
      </c>
      <c r="J4637" s="501">
        <v>20</v>
      </c>
      <c r="K4637" s="501">
        <v>0</v>
      </c>
      <c r="L4637" s="501">
        <v>0</v>
      </c>
      <c r="M4637" s="501">
        <v>0</v>
      </c>
      <c r="N4637" s="501">
        <v>0</v>
      </c>
      <c r="O4637" s="506">
        <v>37</v>
      </c>
    </row>
    <row r="4638" spans="1:15" x14ac:dyDescent="0.35">
      <c r="A4638" s="503" t="s">
        <v>14208</v>
      </c>
      <c r="B4638" s="504">
        <v>4803</v>
      </c>
      <c r="C4638" s="504" t="s">
        <v>1094</v>
      </c>
      <c r="D4638" s="504" t="s">
        <v>3380</v>
      </c>
      <c r="E4638" s="504" t="s">
        <v>3381</v>
      </c>
      <c r="F4638" s="504" t="s">
        <v>705</v>
      </c>
      <c r="G4638" s="504" t="s">
        <v>706</v>
      </c>
      <c r="H4638" s="504" t="s">
        <v>14789</v>
      </c>
      <c r="I4638" s="504">
        <v>40</v>
      </c>
      <c r="J4638" s="504">
        <v>0</v>
      </c>
      <c r="K4638" s="504">
        <v>0</v>
      </c>
      <c r="L4638" s="504">
        <v>40</v>
      </c>
      <c r="M4638" s="504">
        <v>0</v>
      </c>
      <c r="N4638" s="504">
        <v>0</v>
      </c>
      <c r="O4638" s="505">
        <v>0</v>
      </c>
    </row>
    <row r="4639" spans="1:15" x14ac:dyDescent="0.35">
      <c r="A4639" s="500" t="s">
        <v>1185</v>
      </c>
      <c r="B4639" s="501" t="s">
        <v>3253</v>
      </c>
      <c r="C4639" s="501" t="s">
        <v>1094</v>
      </c>
      <c r="D4639" s="501" t="s">
        <v>3380</v>
      </c>
      <c r="E4639" s="501" t="s">
        <v>3381</v>
      </c>
      <c r="F4639" s="501" t="s">
        <v>705</v>
      </c>
      <c r="G4639" s="501" t="s">
        <v>706</v>
      </c>
      <c r="H4639" s="501" t="s">
        <v>7105</v>
      </c>
      <c r="I4639" s="501">
        <v>70</v>
      </c>
      <c r="J4639" s="501">
        <v>40</v>
      </c>
      <c r="K4639" s="501">
        <v>0</v>
      </c>
      <c r="L4639" s="501">
        <v>20</v>
      </c>
      <c r="M4639" s="501">
        <v>10</v>
      </c>
      <c r="N4639" s="501">
        <v>0</v>
      </c>
      <c r="O4639" s="506">
        <v>0</v>
      </c>
    </row>
    <row r="4640" spans="1:15" x14ac:dyDescent="0.35">
      <c r="A4640" s="503" t="s">
        <v>1186</v>
      </c>
      <c r="B4640" s="504">
        <v>4661</v>
      </c>
      <c r="C4640" s="504" t="s">
        <v>1089</v>
      </c>
      <c r="D4640" s="504" t="s">
        <v>3392</v>
      </c>
      <c r="E4640" s="504" t="s">
        <v>3381</v>
      </c>
      <c r="F4640" s="504" t="s">
        <v>705</v>
      </c>
      <c r="G4640" s="504" t="s">
        <v>706</v>
      </c>
      <c r="H4640" s="504" t="s">
        <v>7106</v>
      </c>
      <c r="I4640" s="504">
        <v>7</v>
      </c>
      <c r="J4640" s="504">
        <v>0</v>
      </c>
      <c r="K4640" s="504">
        <v>0</v>
      </c>
      <c r="L4640" s="504">
        <v>7</v>
      </c>
      <c r="M4640" s="504">
        <v>0</v>
      </c>
      <c r="N4640" s="504">
        <v>0</v>
      </c>
      <c r="O4640" s="505">
        <v>0</v>
      </c>
    </row>
    <row r="4641" spans="1:15" x14ac:dyDescent="0.35">
      <c r="A4641" s="500" t="s">
        <v>14220</v>
      </c>
      <c r="B4641" s="501" t="s">
        <v>2498</v>
      </c>
      <c r="C4641" s="501" t="s">
        <v>1089</v>
      </c>
      <c r="D4641" s="501" t="s">
        <v>3392</v>
      </c>
      <c r="E4641" s="501" t="s">
        <v>3381</v>
      </c>
      <c r="F4641" s="501" t="s">
        <v>705</v>
      </c>
      <c r="G4641" s="501" t="s">
        <v>706</v>
      </c>
      <c r="H4641" s="501" t="s">
        <v>14790</v>
      </c>
      <c r="I4641" s="501">
        <v>52</v>
      </c>
      <c r="J4641" s="501">
        <v>0</v>
      </c>
      <c r="K4641" s="501">
        <v>0</v>
      </c>
      <c r="L4641" s="501">
        <v>0</v>
      </c>
      <c r="M4641" s="501">
        <v>52</v>
      </c>
      <c r="N4641" s="501">
        <v>0</v>
      </c>
      <c r="O4641" s="506">
        <v>0</v>
      </c>
    </row>
    <row r="4642" spans="1:15" x14ac:dyDescent="0.35">
      <c r="A4642" s="503" t="s">
        <v>1630</v>
      </c>
      <c r="B4642" s="504">
        <v>4744</v>
      </c>
      <c r="C4642" s="504" t="s">
        <v>1089</v>
      </c>
      <c r="D4642" s="504" t="s">
        <v>3392</v>
      </c>
      <c r="E4642" s="504" t="s">
        <v>3381</v>
      </c>
      <c r="F4642" s="504" t="s">
        <v>705</v>
      </c>
      <c r="G4642" s="504" t="s">
        <v>706</v>
      </c>
      <c r="H4642" s="504" t="s">
        <v>14791</v>
      </c>
      <c r="I4642" s="504">
        <v>1</v>
      </c>
      <c r="J4642" s="504">
        <v>1</v>
      </c>
      <c r="K4642" s="504">
        <v>0</v>
      </c>
      <c r="L4642" s="504">
        <v>0</v>
      </c>
      <c r="M4642" s="504">
        <v>0</v>
      </c>
      <c r="N4642" s="504">
        <v>0</v>
      </c>
      <c r="O4642" s="505">
        <v>0</v>
      </c>
    </row>
    <row r="4643" spans="1:15" x14ac:dyDescent="0.35">
      <c r="A4643" s="500" t="s">
        <v>1105</v>
      </c>
      <c r="B4643" s="501">
        <v>4668</v>
      </c>
      <c r="C4643" s="501" t="s">
        <v>1094</v>
      </c>
      <c r="D4643" s="501" t="s">
        <v>3380</v>
      </c>
      <c r="E4643" s="501" t="s">
        <v>3381</v>
      </c>
      <c r="F4643" s="501" t="s">
        <v>705</v>
      </c>
      <c r="G4643" s="501" t="s">
        <v>706</v>
      </c>
      <c r="H4643" s="501" t="s">
        <v>7107</v>
      </c>
      <c r="I4643" s="501">
        <v>54</v>
      </c>
      <c r="J4643" s="501">
        <v>0</v>
      </c>
      <c r="K4643" s="501">
        <v>0</v>
      </c>
      <c r="L4643" s="501">
        <v>0</v>
      </c>
      <c r="M4643" s="501">
        <v>0</v>
      </c>
      <c r="N4643" s="501">
        <v>0</v>
      </c>
      <c r="O4643" s="506">
        <v>54</v>
      </c>
    </row>
    <row r="4644" spans="1:15" x14ac:dyDescent="0.35">
      <c r="A4644" s="503" t="s">
        <v>1107</v>
      </c>
      <c r="B4644" s="504" t="s">
        <v>3109</v>
      </c>
      <c r="C4644" s="504" t="s">
        <v>1094</v>
      </c>
      <c r="D4644" s="504" t="s">
        <v>3380</v>
      </c>
      <c r="E4644" s="504" t="s">
        <v>3381</v>
      </c>
      <c r="F4644" s="504" t="s">
        <v>705</v>
      </c>
      <c r="G4644" s="504" t="s">
        <v>706</v>
      </c>
      <c r="H4644" s="504" t="s">
        <v>7108</v>
      </c>
      <c r="I4644" s="504">
        <v>347</v>
      </c>
      <c r="J4644" s="504">
        <v>206</v>
      </c>
      <c r="K4644" s="504">
        <v>0</v>
      </c>
      <c r="L4644" s="504">
        <v>77</v>
      </c>
      <c r="M4644" s="504">
        <v>0</v>
      </c>
      <c r="N4644" s="504">
        <v>0</v>
      </c>
      <c r="O4644" s="505">
        <v>64</v>
      </c>
    </row>
    <row r="4645" spans="1:15" x14ac:dyDescent="0.35">
      <c r="A4645" s="500" t="s">
        <v>1109</v>
      </c>
      <c r="B4645" s="501" t="s">
        <v>2959</v>
      </c>
      <c r="C4645" s="501" t="s">
        <v>1094</v>
      </c>
      <c r="D4645" s="501" t="s">
        <v>3380</v>
      </c>
      <c r="E4645" s="501" t="s">
        <v>3381</v>
      </c>
      <c r="F4645" s="501" t="s">
        <v>705</v>
      </c>
      <c r="G4645" s="501" t="s">
        <v>706</v>
      </c>
      <c r="H4645" s="501" t="s">
        <v>7109</v>
      </c>
      <c r="I4645" s="501">
        <v>312</v>
      </c>
      <c r="J4645" s="501">
        <v>0</v>
      </c>
      <c r="K4645" s="501">
        <v>0</v>
      </c>
      <c r="L4645" s="501">
        <v>0</v>
      </c>
      <c r="M4645" s="501">
        <v>252</v>
      </c>
      <c r="N4645" s="501">
        <v>0</v>
      </c>
      <c r="O4645" s="506">
        <v>60</v>
      </c>
    </row>
    <row r="4646" spans="1:15" x14ac:dyDescent="0.35">
      <c r="A4646" s="503" t="s">
        <v>1634</v>
      </c>
      <c r="B4646" s="504">
        <v>4822</v>
      </c>
      <c r="C4646" s="504" t="s">
        <v>1089</v>
      </c>
      <c r="D4646" s="504" t="s">
        <v>3392</v>
      </c>
      <c r="E4646" s="504" t="s">
        <v>3381</v>
      </c>
      <c r="F4646" s="504" t="s">
        <v>705</v>
      </c>
      <c r="G4646" s="504" t="s">
        <v>706</v>
      </c>
      <c r="H4646" s="504" t="s">
        <v>7110</v>
      </c>
      <c r="I4646" s="504">
        <v>19</v>
      </c>
      <c r="J4646" s="504">
        <v>0</v>
      </c>
      <c r="K4646" s="504">
        <v>0</v>
      </c>
      <c r="L4646" s="504">
        <v>19</v>
      </c>
      <c r="M4646" s="504">
        <v>0</v>
      </c>
      <c r="N4646" s="504">
        <v>0</v>
      </c>
      <c r="O4646" s="505">
        <v>0</v>
      </c>
    </row>
    <row r="4647" spans="1:15" x14ac:dyDescent="0.35">
      <c r="A4647" s="500" t="s">
        <v>1190</v>
      </c>
      <c r="B4647" s="501">
        <v>4662</v>
      </c>
      <c r="C4647" s="501" t="s">
        <v>1094</v>
      </c>
      <c r="D4647" s="501" t="s">
        <v>3380</v>
      </c>
      <c r="E4647" s="501" t="s">
        <v>3381</v>
      </c>
      <c r="F4647" s="501" t="s">
        <v>705</v>
      </c>
      <c r="G4647" s="501" t="s">
        <v>706</v>
      </c>
      <c r="H4647" s="501" t="s">
        <v>7111</v>
      </c>
      <c r="I4647" s="501">
        <v>50</v>
      </c>
      <c r="J4647" s="501">
        <v>0</v>
      </c>
      <c r="K4647" s="501">
        <v>0</v>
      </c>
      <c r="L4647" s="501">
        <v>50</v>
      </c>
      <c r="M4647" s="501">
        <v>0</v>
      </c>
      <c r="N4647" s="501">
        <v>0</v>
      </c>
      <c r="O4647" s="506">
        <v>0</v>
      </c>
    </row>
    <row r="4648" spans="1:15" x14ac:dyDescent="0.35">
      <c r="A4648" s="503" t="s">
        <v>2161</v>
      </c>
      <c r="B4648" s="504" t="s">
        <v>3205</v>
      </c>
      <c r="C4648" s="504" t="s">
        <v>1094</v>
      </c>
      <c r="D4648" s="504" t="s">
        <v>3380</v>
      </c>
      <c r="E4648" s="504" t="s">
        <v>3381</v>
      </c>
      <c r="F4648" s="504" t="s">
        <v>705</v>
      </c>
      <c r="G4648" s="504" t="s">
        <v>706</v>
      </c>
      <c r="H4648" s="504" t="s">
        <v>14792</v>
      </c>
      <c r="I4648" s="504">
        <v>59</v>
      </c>
      <c r="J4648" s="504">
        <v>45</v>
      </c>
      <c r="K4648" s="504">
        <v>0</v>
      </c>
      <c r="L4648" s="504">
        <v>0</v>
      </c>
      <c r="M4648" s="504">
        <v>0</v>
      </c>
      <c r="N4648" s="504">
        <v>0</v>
      </c>
      <c r="O4648" s="505">
        <v>14</v>
      </c>
    </row>
    <row r="4649" spans="1:15" x14ac:dyDescent="0.35">
      <c r="A4649" s="500" t="s">
        <v>1638</v>
      </c>
      <c r="B4649" s="501">
        <v>5079</v>
      </c>
      <c r="C4649" s="501" t="s">
        <v>1094</v>
      </c>
      <c r="D4649" s="501" t="s">
        <v>3380</v>
      </c>
      <c r="E4649" s="501" t="s">
        <v>3381</v>
      </c>
      <c r="F4649" s="501" t="s">
        <v>705</v>
      </c>
      <c r="G4649" s="501" t="s">
        <v>706</v>
      </c>
      <c r="H4649" s="501" t="s">
        <v>7112</v>
      </c>
      <c r="I4649" s="501">
        <v>3</v>
      </c>
      <c r="J4649" s="501">
        <v>0</v>
      </c>
      <c r="K4649" s="501">
        <v>0</v>
      </c>
      <c r="L4649" s="501">
        <v>0</v>
      </c>
      <c r="M4649" s="501">
        <v>2</v>
      </c>
      <c r="N4649" s="501">
        <v>0</v>
      </c>
      <c r="O4649" s="506">
        <v>1</v>
      </c>
    </row>
    <row r="4650" spans="1:15" x14ac:dyDescent="0.35">
      <c r="A4650" s="503" t="s">
        <v>1639</v>
      </c>
      <c r="B4650" s="504">
        <v>4846</v>
      </c>
      <c r="C4650" s="504" t="s">
        <v>1094</v>
      </c>
      <c r="D4650" s="504" t="s">
        <v>3380</v>
      </c>
      <c r="E4650" s="504" t="s">
        <v>3381</v>
      </c>
      <c r="F4650" s="504" t="s">
        <v>705</v>
      </c>
      <c r="G4650" s="504" t="s">
        <v>706</v>
      </c>
      <c r="H4650" s="504" t="s">
        <v>11802</v>
      </c>
      <c r="I4650" s="504">
        <v>14</v>
      </c>
      <c r="J4650" s="504">
        <v>11</v>
      </c>
      <c r="K4650" s="504">
        <v>0</v>
      </c>
      <c r="L4650" s="504">
        <v>0</v>
      </c>
      <c r="M4650" s="504">
        <v>0</v>
      </c>
      <c r="N4650" s="504">
        <v>0</v>
      </c>
      <c r="O4650" s="505">
        <v>3</v>
      </c>
    </row>
    <row r="4651" spans="1:15" x14ac:dyDescent="0.35">
      <c r="A4651" s="500" t="s">
        <v>1196</v>
      </c>
      <c r="B4651" s="501" t="s">
        <v>3269</v>
      </c>
      <c r="C4651" s="501" t="s">
        <v>1094</v>
      </c>
      <c r="D4651" s="501" t="s">
        <v>3380</v>
      </c>
      <c r="E4651" s="501" t="s">
        <v>3381</v>
      </c>
      <c r="F4651" s="501" t="s">
        <v>705</v>
      </c>
      <c r="G4651" s="501" t="s">
        <v>706</v>
      </c>
      <c r="H4651" s="501" t="s">
        <v>7114</v>
      </c>
      <c r="I4651" s="501">
        <v>3669</v>
      </c>
      <c r="J4651" s="501">
        <v>2977</v>
      </c>
      <c r="K4651" s="501">
        <v>0</v>
      </c>
      <c r="L4651" s="501">
        <v>174</v>
      </c>
      <c r="M4651" s="501">
        <v>255</v>
      </c>
      <c r="N4651" s="501">
        <v>0</v>
      </c>
      <c r="O4651" s="506">
        <v>263</v>
      </c>
    </row>
    <row r="4652" spans="1:15" x14ac:dyDescent="0.35">
      <c r="A4652" s="503" t="s">
        <v>2166</v>
      </c>
      <c r="B4652" s="504" t="s">
        <v>2986</v>
      </c>
      <c r="C4652" s="504" t="s">
        <v>1089</v>
      </c>
      <c r="D4652" s="504" t="s">
        <v>3392</v>
      </c>
      <c r="E4652" s="504" t="s">
        <v>3381</v>
      </c>
      <c r="F4652" s="504" t="s">
        <v>705</v>
      </c>
      <c r="G4652" s="504" t="s">
        <v>706</v>
      </c>
      <c r="H4652" s="504" t="s">
        <v>7115</v>
      </c>
      <c r="I4652" s="504">
        <v>463</v>
      </c>
      <c r="J4652" s="504">
        <v>244</v>
      </c>
      <c r="K4652" s="504">
        <v>0</v>
      </c>
      <c r="L4652" s="504">
        <v>0</v>
      </c>
      <c r="M4652" s="504">
        <v>219</v>
      </c>
      <c r="N4652" s="504">
        <v>0</v>
      </c>
      <c r="O4652" s="505">
        <v>0</v>
      </c>
    </row>
    <row r="4653" spans="1:15" x14ac:dyDescent="0.35">
      <c r="A4653" s="500" t="s">
        <v>1726</v>
      </c>
      <c r="B4653" s="501" t="s">
        <v>3258</v>
      </c>
      <c r="C4653" s="501" t="s">
        <v>1094</v>
      </c>
      <c r="D4653" s="501" t="s">
        <v>3380</v>
      </c>
      <c r="E4653" s="501" t="s">
        <v>3381</v>
      </c>
      <c r="F4653" s="501" t="s">
        <v>705</v>
      </c>
      <c r="G4653" s="501" t="s">
        <v>706</v>
      </c>
      <c r="H4653" s="501" t="s">
        <v>7113</v>
      </c>
      <c r="I4653" s="501">
        <v>1262</v>
      </c>
      <c r="J4653" s="501">
        <v>1185</v>
      </c>
      <c r="K4653" s="501">
        <v>0</v>
      </c>
      <c r="L4653" s="501">
        <v>0</v>
      </c>
      <c r="M4653" s="501">
        <v>34</v>
      </c>
      <c r="N4653" s="501">
        <v>6</v>
      </c>
      <c r="O4653" s="506">
        <v>43</v>
      </c>
    </row>
    <row r="4654" spans="1:15" x14ac:dyDescent="0.35">
      <c r="A4654" s="503" t="s">
        <v>2168</v>
      </c>
      <c r="B4654" s="504" t="s">
        <v>2607</v>
      </c>
      <c r="C4654" s="504" t="s">
        <v>1089</v>
      </c>
      <c r="D4654" s="504" t="s">
        <v>3392</v>
      </c>
      <c r="E4654" s="504" t="s">
        <v>3381</v>
      </c>
      <c r="F4654" s="504" t="s">
        <v>705</v>
      </c>
      <c r="G4654" s="504" t="s">
        <v>706</v>
      </c>
      <c r="H4654" s="504" t="s">
        <v>7116</v>
      </c>
      <c r="I4654" s="504">
        <v>6</v>
      </c>
      <c r="J4654" s="504">
        <v>0</v>
      </c>
      <c r="K4654" s="504">
        <v>0</v>
      </c>
      <c r="L4654" s="504">
        <v>0</v>
      </c>
      <c r="M4654" s="504">
        <v>6</v>
      </c>
      <c r="N4654" s="504">
        <v>0</v>
      </c>
      <c r="O4654" s="505">
        <v>0</v>
      </c>
    </row>
    <row r="4655" spans="1:15" x14ac:dyDescent="0.35">
      <c r="A4655" s="500" t="s">
        <v>1497</v>
      </c>
      <c r="B4655" s="501" t="s">
        <v>3290</v>
      </c>
      <c r="C4655" s="501" t="s">
        <v>1089</v>
      </c>
      <c r="D4655" s="501" t="s">
        <v>3392</v>
      </c>
      <c r="E4655" s="501" t="s">
        <v>3381</v>
      </c>
      <c r="F4655" s="501" t="s">
        <v>705</v>
      </c>
      <c r="G4655" s="501" t="s">
        <v>706</v>
      </c>
      <c r="H4655" s="501" t="s">
        <v>7117</v>
      </c>
      <c r="I4655" s="501">
        <v>137</v>
      </c>
      <c r="J4655" s="501">
        <v>0</v>
      </c>
      <c r="K4655" s="501">
        <v>0</v>
      </c>
      <c r="L4655" s="501">
        <v>0</v>
      </c>
      <c r="M4655" s="501">
        <v>137</v>
      </c>
      <c r="N4655" s="501">
        <v>0</v>
      </c>
      <c r="O4655" s="506">
        <v>0</v>
      </c>
    </row>
    <row r="4656" spans="1:15" x14ac:dyDescent="0.35">
      <c r="A4656" s="503" t="s">
        <v>1329</v>
      </c>
      <c r="B4656" s="504">
        <v>5056</v>
      </c>
      <c r="C4656" s="504" t="s">
        <v>1089</v>
      </c>
      <c r="D4656" s="504" t="s">
        <v>3392</v>
      </c>
      <c r="E4656" s="504" t="s">
        <v>3381</v>
      </c>
      <c r="F4656" s="504" t="s">
        <v>705</v>
      </c>
      <c r="G4656" s="504" t="s">
        <v>706</v>
      </c>
      <c r="H4656" s="504" t="s">
        <v>14793</v>
      </c>
      <c r="I4656" s="504">
        <v>6</v>
      </c>
      <c r="J4656" s="504">
        <v>6</v>
      </c>
      <c r="K4656" s="504">
        <v>0</v>
      </c>
      <c r="L4656" s="504">
        <v>0</v>
      </c>
      <c r="M4656" s="504">
        <v>0</v>
      </c>
      <c r="N4656" s="504">
        <v>0</v>
      </c>
      <c r="O4656" s="505">
        <v>0</v>
      </c>
    </row>
    <row r="4657" spans="1:15" x14ac:dyDescent="0.35">
      <c r="A4657" s="500" t="s">
        <v>1223</v>
      </c>
      <c r="B4657" s="501">
        <v>4768</v>
      </c>
      <c r="C4657" s="501" t="s">
        <v>1089</v>
      </c>
      <c r="D4657" s="501" t="s">
        <v>3392</v>
      </c>
      <c r="E4657" s="501" t="s">
        <v>3381</v>
      </c>
      <c r="F4657" s="501" t="s">
        <v>705</v>
      </c>
      <c r="G4657" s="501" t="s">
        <v>706</v>
      </c>
      <c r="H4657" s="501" t="s">
        <v>7118</v>
      </c>
      <c r="I4657" s="501">
        <v>3</v>
      </c>
      <c r="J4657" s="501">
        <v>0</v>
      </c>
      <c r="K4657" s="501">
        <v>0</v>
      </c>
      <c r="L4657" s="501">
        <v>3</v>
      </c>
      <c r="M4657" s="501">
        <v>0</v>
      </c>
      <c r="N4657" s="501">
        <v>0</v>
      </c>
      <c r="O4657" s="506">
        <v>0</v>
      </c>
    </row>
    <row r="4658" spans="1:15" x14ac:dyDescent="0.35">
      <c r="A4658" s="503" t="s">
        <v>1122</v>
      </c>
      <c r="B4658" s="504" t="s">
        <v>2994</v>
      </c>
      <c r="C4658" s="504" t="s">
        <v>1094</v>
      </c>
      <c r="D4658" s="504" t="s">
        <v>3380</v>
      </c>
      <c r="E4658" s="504" t="s">
        <v>3381</v>
      </c>
      <c r="F4658" s="504" t="s">
        <v>705</v>
      </c>
      <c r="G4658" s="504" t="s">
        <v>706</v>
      </c>
      <c r="H4658" s="504" t="s">
        <v>7119</v>
      </c>
      <c r="I4658" s="504">
        <v>820</v>
      </c>
      <c r="J4658" s="504">
        <v>626</v>
      </c>
      <c r="K4658" s="504">
        <v>0</v>
      </c>
      <c r="L4658" s="504">
        <v>14</v>
      </c>
      <c r="M4658" s="504">
        <v>74</v>
      </c>
      <c r="N4658" s="504">
        <v>0</v>
      </c>
      <c r="O4658" s="505">
        <v>106</v>
      </c>
    </row>
    <row r="4659" spans="1:15" x14ac:dyDescent="0.35">
      <c r="A4659" s="500" t="s">
        <v>1225</v>
      </c>
      <c r="B4659" s="501" t="s">
        <v>3315</v>
      </c>
      <c r="C4659" s="501" t="s">
        <v>1094</v>
      </c>
      <c r="D4659" s="501" t="s">
        <v>3380</v>
      </c>
      <c r="E4659" s="501" t="s">
        <v>3381</v>
      </c>
      <c r="F4659" s="501" t="s">
        <v>705</v>
      </c>
      <c r="G4659" s="501" t="s">
        <v>706</v>
      </c>
      <c r="H4659" s="501" t="s">
        <v>7120</v>
      </c>
      <c r="I4659" s="501">
        <v>412</v>
      </c>
      <c r="J4659" s="501">
        <v>340</v>
      </c>
      <c r="K4659" s="501">
        <v>0</v>
      </c>
      <c r="L4659" s="501">
        <v>17</v>
      </c>
      <c r="M4659" s="501">
        <v>55</v>
      </c>
      <c r="N4659" s="501">
        <v>0</v>
      </c>
      <c r="O4659" s="506">
        <v>0</v>
      </c>
    </row>
    <row r="4660" spans="1:15" x14ac:dyDescent="0.35">
      <c r="A4660" s="503" t="s">
        <v>1227</v>
      </c>
      <c r="B4660" s="504">
        <v>4757</v>
      </c>
      <c r="C4660" s="504" t="s">
        <v>1094</v>
      </c>
      <c r="D4660" s="504" t="s">
        <v>3392</v>
      </c>
      <c r="E4660" s="504" t="s">
        <v>3381</v>
      </c>
      <c r="F4660" s="504" t="s">
        <v>705</v>
      </c>
      <c r="G4660" s="504" t="s">
        <v>706</v>
      </c>
      <c r="H4660" s="504" t="s">
        <v>7121</v>
      </c>
      <c r="I4660" s="504">
        <v>43</v>
      </c>
      <c r="J4660" s="504">
        <v>43</v>
      </c>
      <c r="K4660" s="504">
        <v>0</v>
      </c>
      <c r="L4660" s="504">
        <v>0</v>
      </c>
      <c r="M4660" s="504">
        <v>0</v>
      </c>
      <c r="N4660" s="504">
        <v>0</v>
      </c>
      <c r="O4660" s="505">
        <v>0</v>
      </c>
    </row>
    <row r="4661" spans="1:15" x14ac:dyDescent="0.35">
      <c r="A4661" s="500" t="s">
        <v>1228</v>
      </c>
      <c r="B4661" s="501" t="s">
        <v>3321</v>
      </c>
      <c r="C4661" s="501" t="s">
        <v>1094</v>
      </c>
      <c r="D4661" s="501" t="s">
        <v>3380</v>
      </c>
      <c r="E4661" s="501" t="s">
        <v>3381</v>
      </c>
      <c r="F4661" s="501" t="s">
        <v>705</v>
      </c>
      <c r="G4661" s="501" t="s">
        <v>706</v>
      </c>
      <c r="H4661" s="501" t="s">
        <v>7122</v>
      </c>
      <c r="I4661" s="501">
        <v>412</v>
      </c>
      <c r="J4661" s="501">
        <v>0</v>
      </c>
      <c r="K4661" s="501">
        <v>0</v>
      </c>
      <c r="L4661" s="501">
        <v>409</v>
      </c>
      <c r="M4661" s="501">
        <v>0</v>
      </c>
      <c r="N4661" s="501">
        <v>0</v>
      </c>
      <c r="O4661" s="506">
        <v>3</v>
      </c>
    </row>
    <row r="4662" spans="1:15" x14ac:dyDescent="0.35">
      <c r="A4662" s="503" t="s">
        <v>1648</v>
      </c>
      <c r="B4662" s="504" t="s">
        <v>2496</v>
      </c>
      <c r="C4662" s="504" t="s">
        <v>1094</v>
      </c>
      <c r="D4662" s="504" t="s">
        <v>3380</v>
      </c>
      <c r="E4662" s="504" t="s">
        <v>3381</v>
      </c>
      <c r="F4662" s="504" t="s">
        <v>705</v>
      </c>
      <c r="G4662" s="504" t="s">
        <v>706</v>
      </c>
      <c r="H4662" s="504" t="s">
        <v>7123</v>
      </c>
      <c r="I4662" s="504">
        <v>67</v>
      </c>
      <c r="J4662" s="504">
        <v>3</v>
      </c>
      <c r="K4662" s="504">
        <v>0</v>
      </c>
      <c r="L4662" s="504">
        <v>32</v>
      </c>
      <c r="M4662" s="504">
        <v>12</v>
      </c>
      <c r="N4662" s="504">
        <v>0</v>
      </c>
      <c r="O4662" s="505">
        <v>20</v>
      </c>
    </row>
    <row r="4663" spans="1:15" x14ac:dyDescent="0.35">
      <c r="A4663" s="500" t="s">
        <v>1124</v>
      </c>
      <c r="B4663" s="501">
        <v>4745</v>
      </c>
      <c r="C4663" s="501" t="s">
        <v>1094</v>
      </c>
      <c r="D4663" s="501" t="s">
        <v>3380</v>
      </c>
      <c r="E4663" s="501" t="s">
        <v>3381</v>
      </c>
      <c r="F4663" s="501" t="s">
        <v>705</v>
      </c>
      <c r="G4663" s="501" t="s">
        <v>706</v>
      </c>
      <c r="H4663" s="501" t="s">
        <v>7124</v>
      </c>
      <c r="I4663" s="501">
        <v>47</v>
      </c>
      <c r="J4663" s="501">
        <v>0</v>
      </c>
      <c r="K4663" s="501">
        <v>0</v>
      </c>
      <c r="L4663" s="501">
        <v>47</v>
      </c>
      <c r="M4663" s="501">
        <v>0</v>
      </c>
      <c r="N4663" s="501">
        <v>0</v>
      </c>
      <c r="O4663" s="506">
        <v>0</v>
      </c>
    </row>
    <row r="4664" spans="1:15" x14ac:dyDescent="0.35">
      <c r="A4664" s="503" t="s">
        <v>1234</v>
      </c>
      <c r="B4664" s="504" t="s">
        <v>3291</v>
      </c>
      <c r="C4664" s="504" t="s">
        <v>1094</v>
      </c>
      <c r="D4664" s="504" t="s">
        <v>3380</v>
      </c>
      <c r="E4664" s="504" t="s">
        <v>3381</v>
      </c>
      <c r="F4664" s="504" t="s">
        <v>705</v>
      </c>
      <c r="G4664" s="504" t="s">
        <v>706</v>
      </c>
      <c r="H4664" s="504" t="s">
        <v>7125</v>
      </c>
      <c r="I4664" s="504">
        <v>82</v>
      </c>
      <c r="J4664" s="504">
        <v>82</v>
      </c>
      <c r="K4664" s="504">
        <v>0</v>
      </c>
      <c r="L4664" s="504">
        <v>0</v>
      </c>
      <c r="M4664" s="504">
        <v>0</v>
      </c>
      <c r="N4664" s="504">
        <v>0</v>
      </c>
      <c r="O4664" s="505">
        <v>0</v>
      </c>
    </row>
    <row r="4665" spans="1:15" x14ac:dyDescent="0.35">
      <c r="A4665" s="500" t="s">
        <v>1235</v>
      </c>
      <c r="B4665" s="501">
        <v>4684</v>
      </c>
      <c r="C4665" s="501" t="s">
        <v>1094</v>
      </c>
      <c r="D4665" s="501" t="s">
        <v>3380</v>
      </c>
      <c r="E4665" s="501" t="s">
        <v>3381</v>
      </c>
      <c r="F4665" s="501" t="s">
        <v>705</v>
      </c>
      <c r="G4665" s="501" t="s">
        <v>706</v>
      </c>
      <c r="H4665" s="501" t="s">
        <v>7126</v>
      </c>
      <c r="I4665" s="501">
        <v>152</v>
      </c>
      <c r="J4665" s="501">
        <v>102</v>
      </c>
      <c r="K4665" s="501">
        <v>0</v>
      </c>
      <c r="L4665" s="501">
        <v>35</v>
      </c>
      <c r="M4665" s="501">
        <v>0</v>
      </c>
      <c r="N4665" s="501">
        <v>0</v>
      </c>
      <c r="O4665" s="506">
        <v>15</v>
      </c>
    </row>
    <row r="4666" spans="1:15" x14ac:dyDescent="0.35">
      <c r="A4666" s="503" t="s">
        <v>1126</v>
      </c>
      <c r="B4666" s="504" t="s">
        <v>2974</v>
      </c>
      <c r="C4666" s="504" t="s">
        <v>1094</v>
      </c>
      <c r="D4666" s="504" t="s">
        <v>3380</v>
      </c>
      <c r="E4666" s="504" t="s">
        <v>3381</v>
      </c>
      <c r="F4666" s="504" t="s">
        <v>705</v>
      </c>
      <c r="G4666" s="504" t="s">
        <v>706</v>
      </c>
      <c r="H4666" s="504" t="s">
        <v>7127</v>
      </c>
      <c r="I4666" s="504">
        <v>866</v>
      </c>
      <c r="J4666" s="504">
        <v>747</v>
      </c>
      <c r="K4666" s="504">
        <v>0</v>
      </c>
      <c r="L4666" s="504">
        <v>25</v>
      </c>
      <c r="M4666" s="504">
        <v>85</v>
      </c>
      <c r="N4666" s="504">
        <v>0</v>
      </c>
      <c r="O4666" s="505">
        <v>9</v>
      </c>
    </row>
    <row r="4667" spans="1:15" x14ac:dyDescent="0.35">
      <c r="A4667" s="500" t="s">
        <v>11439</v>
      </c>
      <c r="B4667" s="501" t="s">
        <v>2905</v>
      </c>
      <c r="C4667" s="501" t="s">
        <v>1089</v>
      </c>
      <c r="D4667" s="501" t="s">
        <v>3392</v>
      </c>
      <c r="E4667" s="501" t="s">
        <v>3381</v>
      </c>
      <c r="F4667" s="501" t="s">
        <v>705</v>
      </c>
      <c r="G4667" s="501" t="s">
        <v>706</v>
      </c>
      <c r="H4667" s="501" t="s">
        <v>12131</v>
      </c>
      <c r="I4667" s="501">
        <v>186</v>
      </c>
      <c r="J4667" s="501">
        <v>0</v>
      </c>
      <c r="K4667" s="501">
        <v>0</v>
      </c>
      <c r="L4667" s="501">
        <v>186</v>
      </c>
      <c r="M4667" s="501">
        <v>0</v>
      </c>
      <c r="N4667" s="501">
        <v>0</v>
      </c>
      <c r="O4667" s="506">
        <v>0</v>
      </c>
    </row>
    <row r="4668" spans="1:15" x14ac:dyDescent="0.35">
      <c r="A4668" s="503" t="s">
        <v>1240</v>
      </c>
      <c r="B4668" s="504" t="s">
        <v>2972</v>
      </c>
      <c r="C4668" s="504" t="s">
        <v>1094</v>
      </c>
      <c r="D4668" s="504" t="s">
        <v>3380</v>
      </c>
      <c r="E4668" s="504" t="s">
        <v>3381</v>
      </c>
      <c r="F4668" s="504" t="s">
        <v>705</v>
      </c>
      <c r="G4668" s="504" t="s">
        <v>706</v>
      </c>
      <c r="H4668" s="504" t="s">
        <v>7128</v>
      </c>
      <c r="I4668" s="504">
        <v>16</v>
      </c>
      <c r="J4668" s="504">
        <v>16</v>
      </c>
      <c r="K4668" s="504">
        <v>0</v>
      </c>
      <c r="L4668" s="504">
        <v>0</v>
      </c>
      <c r="M4668" s="504">
        <v>0</v>
      </c>
      <c r="N4668" s="504">
        <v>0</v>
      </c>
      <c r="O4668" s="505">
        <v>0</v>
      </c>
    </row>
    <row r="4669" spans="1:15" x14ac:dyDescent="0.35">
      <c r="A4669" s="500" t="s">
        <v>1134</v>
      </c>
      <c r="B4669" s="501" t="s">
        <v>3066</v>
      </c>
      <c r="C4669" s="501" t="s">
        <v>1094</v>
      </c>
      <c r="D4669" s="501" t="s">
        <v>3380</v>
      </c>
      <c r="E4669" s="501" t="s">
        <v>3381</v>
      </c>
      <c r="F4669" s="501" t="s">
        <v>705</v>
      </c>
      <c r="G4669" s="501" t="s">
        <v>706</v>
      </c>
      <c r="H4669" s="501" t="s">
        <v>7129</v>
      </c>
      <c r="I4669" s="501">
        <v>170</v>
      </c>
      <c r="J4669" s="501">
        <v>136</v>
      </c>
      <c r="K4669" s="501">
        <v>0</v>
      </c>
      <c r="L4669" s="501">
        <v>0</v>
      </c>
      <c r="M4669" s="501">
        <v>0</v>
      </c>
      <c r="N4669" s="501">
        <v>0</v>
      </c>
      <c r="O4669" s="506">
        <v>34</v>
      </c>
    </row>
    <row r="4670" spans="1:15" x14ac:dyDescent="0.35">
      <c r="A4670" s="503" t="s">
        <v>2175</v>
      </c>
      <c r="B4670" s="504" t="s">
        <v>2709</v>
      </c>
      <c r="C4670" s="504" t="s">
        <v>1089</v>
      </c>
      <c r="D4670" s="504" t="s">
        <v>3392</v>
      </c>
      <c r="E4670" s="504" t="s">
        <v>3381</v>
      </c>
      <c r="F4670" s="504" t="s">
        <v>705</v>
      </c>
      <c r="G4670" s="504" t="s">
        <v>706</v>
      </c>
      <c r="H4670" s="504" t="s">
        <v>7130</v>
      </c>
      <c r="I4670" s="504">
        <v>38</v>
      </c>
      <c r="J4670" s="504">
        <v>38</v>
      </c>
      <c r="K4670" s="504">
        <v>0</v>
      </c>
      <c r="L4670" s="504">
        <v>0</v>
      </c>
      <c r="M4670" s="504">
        <v>0</v>
      </c>
      <c r="N4670" s="504">
        <v>0</v>
      </c>
      <c r="O4670" s="505">
        <v>0</v>
      </c>
    </row>
    <row r="4671" spans="1:15" x14ac:dyDescent="0.35">
      <c r="A4671" s="500" t="s">
        <v>11466</v>
      </c>
      <c r="B4671" s="501" t="s">
        <v>2435</v>
      </c>
      <c r="C4671" s="501" t="s">
        <v>1089</v>
      </c>
      <c r="D4671" s="501" t="s">
        <v>3392</v>
      </c>
      <c r="E4671" s="501" t="s">
        <v>3381</v>
      </c>
      <c r="F4671" s="501" t="s">
        <v>705</v>
      </c>
      <c r="G4671" s="501" t="s">
        <v>706</v>
      </c>
      <c r="H4671" s="501" t="s">
        <v>12199</v>
      </c>
      <c r="I4671" s="501">
        <v>28</v>
      </c>
      <c r="J4671" s="501">
        <v>0</v>
      </c>
      <c r="K4671" s="501">
        <v>0</v>
      </c>
      <c r="L4671" s="501">
        <v>0</v>
      </c>
      <c r="M4671" s="501">
        <v>28</v>
      </c>
      <c r="N4671" s="501">
        <v>0</v>
      </c>
      <c r="O4671" s="506">
        <v>0</v>
      </c>
    </row>
    <row r="4672" spans="1:15" x14ac:dyDescent="0.35">
      <c r="A4672" s="503" t="s">
        <v>1249</v>
      </c>
      <c r="B4672" s="504">
        <v>4729</v>
      </c>
      <c r="C4672" s="504" t="s">
        <v>1094</v>
      </c>
      <c r="D4672" s="504" t="s">
        <v>3380</v>
      </c>
      <c r="E4672" s="504" t="s">
        <v>3381</v>
      </c>
      <c r="F4672" s="504" t="s">
        <v>705</v>
      </c>
      <c r="G4672" s="504" t="s">
        <v>706</v>
      </c>
      <c r="H4672" s="504" t="s">
        <v>7131</v>
      </c>
      <c r="I4672" s="504">
        <v>302</v>
      </c>
      <c r="J4672" s="504">
        <v>119</v>
      </c>
      <c r="K4672" s="504">
        <v>0</v>
      </c>
      <c r="L4672" s="504">
        <v>0</v>
      </c>
      <c r="M4672" s="504">
        <v>78</v>
      </c>
      <c r="N4672" s="504">
        <v>0</v>
      </c>
      <c r="O4672" s="505">
        <v>105</v>
      </c>
    </row>
    <row r="4673" spans="1:15" x14ac:dyDescent="0.35">
      <c r="A4673" s="500" t="s">
        <v>1253</v>
      </c>
      <c r="B4673" s="501" t="s">
        <v>3232</v>
      </c>
      <c r="C4673" s="501" t="s">
        <v>1094</v>
      </c>
      <c r="D4673" s="501" t="s">
        <v>3380</v>
      </c>
      <c r="E4673" s="501" t="s">
        <v>3381</v>
      </c>
      <c r="F4673" s="501" t="s">
        <v>705</v>
      </c>
      <c r="G4673" s="501" t="s">
        <v>706</v>
      </c>
      <c r="H4673" s="501" t="s">
        <v>7132</v>
      </c>
      <c r="I4673" s="501">
        <v>91</v>
      </c>
      <c r="J4673" s="501">
        <v>0</v>
      </c>
      <c r="K4673" s="501">
        <v>0</v>
      </c>
      <c r="L4673" s="501">
        <v>91</v>
      </c>
      <c r="M4673" s="501">
        <v>0</v>
      </c>
      <c r="N4673" s="501">
        <v>0</v>
      </c>
      <c r="O4673" s="506">
        <v>0</v>
      </c>
    </row>
    <row r="4674" spans="1:15" x14ac:dyDescent="0.35">
      <c r="A4674" s="503" t="s">
        <v>2184</v>
      </c>
      <c r="B4674" s="504" t="s">
        <v>2589</v>
      </c>
      <c r="C4674" s="504" t="s">
        <v>1089</v>
      </c>
      <c r="D4674" s="504" t="s">
        <v>3392</v>
      </c>
      <c r="E4674" s="504" t="s">
        <v>3381</v>
      </c>
      <c r="F4674" s="504" t="s">
        <v>705</v>
      </c>
      <c r="G4674" s="504" t="s">
        <v>706</v>
      </c>
      <c r="H4674" s="504" t="s">
        <v>7133</v>
      </c>
      <c r="I4674" s="504">
        <v>7</v>
      </c>
      <c r="J4674" s="504">
        <v>0</v>
      </c>
      <c r="K4674" s="504">
        <v>0</v>
      </c>
      <c r="L4674" s="504">
        <v>0</v>
      </c>
      <c r="M4674" s="504">
        <v>7</v>
      </c>
      <c r="N4674" s="504">
        <v>0</v>
      </c>
      <c r="O4674" s="505">
        <v>0</v>
      </c>
    </row>
    <row r="4675" spans="1:15" x14ac:dyDescent="0.35">
      <c r="A4675" s="500" t="s">
        <v>1257</v>
      </c>
      <c r="B4675" s="501" t="s">
        <v>3151</v>
      </c>
      <c r="C4675" s="501" t="s">
        <v>1094</v>
      </c>
      <c r="D4675" s="501" t="s">
        <v>3380</v>
      </c>
      <c r="E4675" s="501" t="s">
        <v>3381</v>
      </c>
      <c r="F4675" s="501" t="s">
        <v>705</v>
      </c>
      <c r="G4675" s="501" t="s">
        <v>706</v>
      </c>
      <c r="H4675" s="501" t="s">
        <v>7134</v>
      </c>
      <c r="I4675" s="501">
        <v>860</v>
      </c>
      <c r="J4675" s="501">
        <v>686</v>
      </c>
      <c r="K4675" s="501">
        <v>0</v>
      </c>
      <c r="L4675" s="501">
        <v>39</v>
      </c>
      <c r="M4675" s="501">
        <v>0</v>
      </c>
      <c r="N4675" s="501">
        <v>0</v>
      </c>
      <c r="O4675" s="506">
        <v>135</v>
      </c>
    </row>
    <row r="4676" spans="1:15" x14ac:dyDescent="0.35">
      <c r="A4676" s="503" t="s">
        <v>2186</v>
      </c>
      <c r="B4676" s="504" t="s">
        <v>3301</v>
      </c>
      <c r="C4676" s="504" t="s">
        <v>1094</v>
      </c>
      <c r="D4676" s="504" t="s">
        <v>3380</v>
      </c>
      <c r="E4676" s="504" t="s">
        <v>3381</v>
      </c>
      <c r="F4676" s="504" t="s">
        <v>705</v>
      </c>
      <c r="G4676" s="504" t="s">
        <v>706</v>
      </c>
      <c r="H4676" s="504" t="s">
        <v>7135</v>
      </c>
      <c r="I4676" s="504">
        <v>1327</v>
      </c>
      <c r="J4676" s="504">
        <v>1249</v>
      </c>
      <c r="K4676" s="504">
        <v>0</v>
      </c>
      <c r="L4676" s="504">
        <v>17</v>
      </c>
      <c r="M4676" s="504">
        <v>0</v>
      </c>
      <c r="N4676" s="504">
        <v>0</v>
      </c>
      <c r="O4676" s="505">
        <v>61</v>
      </c>
    </row>
    <row r="4677" spans="1:15" x14ac:dyDescent="0.35">
      <c r="A4677" s="500" t="s">
        <v>2187</v>
      </c>
      <c r="B4677" s="501" t="s">
        <v>3193</v>
      </c>
      <c r="C4677" s="501" t="s">
        <v>1094</v>
      </c>
      <c r="D4677" s="501" t="s">
        <v>3380</v>
      </c>
      <c r="E4677" s="501" t="s">
        <v>3381</v>
      </c>
      <c r="F4677" s="501" t="s">
        <v>705</v>
      </c>
      <c r="G4677" s="501" t="s">
        <v>706</v>
      </c>
      <c r="H4677" s="501" t="s">
        <v>7136</v>
      </c>
      <c r="I4677" s="501">
        <v>29</v>
      </c>
      <c r="J4677" s="501">
        <v>15</v>
      </c>
      <c r="K4677" s="501">
        <v>0</v>
      </c>
      <c r="L4677" s="501">
        <v>0</v>
      </c>
      <c r="M4677" s="501">
        <v>0</v>
      </c>
      <c r="N4677" s="501">
        <v>0</v>
      </c>
      <c r="O4677" s="506">
        <v>14</v>
      </c>
    </row>
    <row r="4678" spans="1:15" x14ac:dyDescent="0.35">
      <c r="A4678" s="503" t="s">
        <v>1262</v>
      </c>
      <c r="B4678" s="504">
        <v>4772</v>
      </c>
      <c r="C4678" s="504" t="s">
        <v>1089</v>
      </c>
      <c r="D4678" s="504" t="s">
        <v>3392</v>
      </c>
      <c r="E4678" s="504" t="s">
        <v>3381</v>
      </c>
      <c r="F4678" s="504" t="s">
        <v>705</v>
      </c>
      <c r="G4678" s="504" t="s">
        <v>706</v>
      </c>
      <c r="H4678" s="504" t="s">
        <v>7137</v>
      </c>
      <c r="I4678" s="504">
        <v>1</v>
      </c>
      <c r="J4678" s="504">
        <v>0</v>
      </c>
      <c r="K4678" s="504">
        <v>0</v>
      </c>
      <c r="L4678" s="504">
        <v>1</v>
      </c>
      <c r="M4678" s="504">
        <v>0</v>
      </c>
      <c r="N4678" s="504">
        <v>0</v>
      </c>
      <c r="O4678" s="505">
        <v>0</v>
      </c>
    </row>
    <row r="4679" spans="1:15" x14ac:dyDescent="0.35">
      <c r="A4679" s="500" t="s">
        <v>2191</v>
      </c>
      <c r="B4679" s="501" t="s">
        <v>3033</v>
      </c>
      <c r="C4679" s="501" t="s">
        <v>1089</v>
      </c>
      <c r="D4679" s="501" t="s">
        <v>3392</v>
      </c>
      <c r="E4679" s="501" t="s">
        <v>3381</v>
      </c>
      <c r="F4679" s="501" t="s">
        <v>705</v>
      </c>
      <c r="G4679" s="501" t="s">
        <v>706</v>
      </c>
      <c r="H4679" s="501" t="s">
        <v>7138</v>
      </c>
      <c r="I4679" s="501">
        <v>83</v>
      </c>
      <c r="J4679" s="501">
        <v>50</v>
      </c>
      <c r="K4679" s="501">
        <v>0</v>
      </c>
      <c r="L4679" s="501">
        <v>0</v>
      </c>
      <c r="M4679" s="501">
        <v>33</v>
      </c>
      <c r="N4679" s="501">
        <v>0</v>
      </c>
      <c r="O4679" s="506">
        <v>0</v>
      </c>
    </row>
    <row r="4680" spans="1:15" x14ac:dyDescent="0.35">
      <c r="A4680" s="503" t="s">
        <v>1789</v>
      </c>
      <c r="B4680" s="504" t="s">
        <v>3219</v>
      </c>
      <c r="C4680" s="504" t="s">
        <v>1094</v>
      </c>
      <c r="D4680" s="504" t="s">
        <v>3380</v>
      </c>
      <c r="E4680" s="504" t="s">
        <v>3381</v>
      </c>
      <c r="F4680" s="504" t="s">
        <v>705</v>
      </c>
      <c r="G4680" s="504" t="s">
        <v>706</v>
      </c>
      <c r="H4680" s="504" t="s">
        <v>7139</v>
      </c>
      <c r="I4680" s="504">
        <v>2121</v>
      </c>
      <c r="J4680" s="504">
        <v>1762</v>
      </c>
      <c r="K4680" s="504">
        <v>0</v>
      </c>
      <c r="L4680" s="504">
        <v>8</v>
      </c>
      <c r="M4680" s="504">
        <v>63</v>
      </c>
      <c r="N4680" s="504">
        <v>0</v>
      </c>
      <c r="O4680" s="505">
        <v>288</v>
      </c>
    </row>
    <row r="4681" spans="1:15" x14ac:dyDescent="0.35">
      <c r="A4681" s="500" t="s">
        <v>2192</v>
      </c>
      <c r="B4681" s="501" t="s">
        <v>3270</v>
      </c>
      <c r="C4681" s="501" t="s">
        <v>1089</v>
      </c>
      <c r="D4681" s="501" t="s">
        <v>3392</v>
      </c>
      <c r="E4681" s="501" t="s">
        <v>3381</v>
      </c>
      <c r="F4681" s="501" t="s">
        <v>705</v>
      </c>
      <c r="G4681" s="501" t="s">
        <v>706</v>
      </c>
      <c r="H4681" s="501" t="s">
        <v>7140</v>
      </c>
      <c r="I4681" s="501">
        <v>30</v>
      </c>
      <c r="J4681" s="501">
        <v>0</v>
      </c>
      <c r="K4681" s="501">
        <v>0</v>
      </c>
      <c r="L4681" s="501">
        <v>0</v>
      </c>
      <c r="M4681" s="501">
        <v>30</v>
      </c>
      <c r="N4681" s="501">
        <v>0</v>
      </c>
      <c r="O4681" s="506">
        <v>0</v>
      </c>
    </row>
    <row r="4682" spans="1:15" x14ac:dyDescent="0.35">
      <c r="A4682" s="503" t="s">
        <v>1266</v>
      </c>
      <c r="B4682" s="504" t="s">
        <v>3071</v>
      </c>
      <c r="C4682" s="504" t="s">
        <v>1094</v>
      </c>
      <c r="D4682" s="504" t="s">
        <v>3380</v>
      </c>
      <c r="E4682" s="504" t="s">
        <v>3381</v>
      </c>
      <c r="F4682" s="504" t="s">
        <v>705</v>
      </c>
      <c r="G4682" s="504" t="s">
        <v>706</v>
      </c>
      <c r="H4682" s="504" t="s">
        <v>7141</v>
      </c>
      <c r="I4682" s="504">
        <v>415</v>
      </c>
      <c r="J4682" s="504">
        <v>303</v>
      </c>
      <c r="K4682" s="504">
        <v>0</v>
      </c>
      <c r="L4682" s="504">
        <v>0</v>
      </c>
      <c r="M4682" s="504">
        <v>69</v>
      </c>
      <c r="N4682" s="504">
        <v>0</v>
      </c>
      <c r="O4682" s="505">
        <v>43</v>
      </c>
    </row>
    <row r="4683" spans="1:15" x14ac:dyDescent="0.35">
      <c r="A4683" s="500" t="s">
        <v>1147</v>
      </c>
      <c r="B4683" s="501" t="s">
        <v>3274</v>
      </c>
      <c r="C4683" s="501" t="s">
        <v>1089</v>
      </c>
      <c r="D4683" s="501" t="s">
        <v>3392</v>
      </c>
      <c r="E4683" s="501" t="s">
        <v>3381</v>
      </c>
      <c r="F4683" s="501" t="s">
        <v>707</v>
      </c>
      <c r="G4683" s="501" t="s">
        <v>708</v>
      </c>
      <c r="H4683" s="501" t="s">
        <v>7142</v>
      </c>
      <c r="I4683" s="501">
        <v>42</v>
      </c>
      <c r="J4683" s="501">
        <v>0</v>
      </c>
      <c r="K4683" s="501">
        <v>0</v>
      </c>
      <c r="L4683" s="501">
        <v>42</v>
      </c>
      <c r="M4683" s="501">
        <v>0</v>
      </c>
      <c r="N4683" s="501">
        <v>0</v>
      </c>
      <c r="O4683" s="506">
        <v>0</v>
      </c>
    </row>
    <row r="4684" spans="1:15" x14ac:dyDescent="0.35">
      <c r="A4684" s="503" t="s">
        <v>1093</v>
      </c>
      <c r="B4684" s="504" t="s">
        <v>3248</v>
      </c>
      <c r="C4684" s="504" t="s">
        <v>1094</v>
      </c>
      <c r="D4684" s="504" t="s">
        <v>3380</v>
      </c>
      <c r="E4684" s="504" t="s">
        <v>3381</v>
      </c>
      <c r="F4684" s="504" t="s">
        <v>707</v>
      </c>
      <c r="G4684" s="504" t="s">
        <v>708</v>
      </c>
      <c r="H4684" s="504" t="s">
        <v>7143</v>
      </c>
      <c r="I4684" s="504">
        <v>143</v>
      </c>
      <c r="J4684" s="504">
        <v>0</v>
      </c>
      <c r="K4684" s="504">
        <v>0</v>
      </c>
      <c r="L4684" s="504">
        <v>119</v>
      </c>
      <c r="M4684" s="504">
        <v>0</v>
      </c>
      <c r="N4684" s="504">
        <v>0</v>
      </c>
      <c r="O4684" s="505">
        <v>24</v>
      </c>
    </row>
    <row r="4685" spans="1:15" x14ac:dyDescent="0.35">
      <c r="A4685" s="500" t="s">
        <v>1096</v>
      </c>
      <c r="B4685" s="501" t="s">
        <v>3326</v>
      </c>
      <c r="C4685" s="501" t="s">
        <v>1094</v>
      </c>
      <c r="D4685" s="501" t="s">
        <v>3380</v>
      </c>
      <c r="E4685" s="501" t="s">
        <v>3381</v>
      </c>
      <c r="F4685" s="501" t="s">
        <v>707</v>
      </c>
      <c r="G4685" s="501" t="s">
        <v>708</v>
      </c>
      <c r="H4685" s="501" t="s">
        <v>7144</v>
      </c>
      <c r="I4685" s="501">
        <v>129</v>
      </c>
      <c r="J4685" s="501">
        <v>0</v>
      </c>
      <c r="K4685" s="501">
        <v>0</v>
      </c>
      <c r="L4685" s="501">
        <v>0</v>
      </c>
      <c r="M4685" s="501">
        <v>125</v>
      </c>
      <c r="N4685" s="501">
        <v>0</v>
      </c>
      <c r="O4685" s="506">
        <v>4</v>
      </c>
    </row>
    <row r="4686" spans="1:15" x14ac:dyDescent="0.35">
      <c r="A4686" s="503" t="s">
        <v>1151</v>
      </c>
      <c r="B4686" s="504">
        <v>4726</v>
      </c>
      <c r="C4686" s="504" t="s">
        <v>1089</v>
      </c>
      <c r="D4686" s="504" t="s">
        <v>3392</v>
      </c>
      <c r="E4686" s="504" t="s">
        <v>3381</v>
      </c>
      <c r="F4686" s="504" t="s">
        <v>707</v>
      </c>
      <c r="G4686" s="504" t="s">
        <v>708</v>
      </c>
      <c r="H4686" s="504" t="s">
        <v>7145</v>
      </c>
      <c r="I4686" s="504">
        <v>1</v>
      </c>
      <c r="J4686" s="504">
        <v>1</v>
      </c>
      <c r="K4686" s="504">
        <v>0</v>
      </c>
      <c r="L4686" s="504">
        <v>0</v>
      </c>
      <c r="M4686" s="504">
        <v>0</v>
      </c>
      <c r="N4686" s="504">
        <v>0</v>
      </c>
      <c r="O4686" s="505">
        <v>0</v>
      </c>
    </row>
    <row r="4687" spans="1:15" x14ac:dyDescent="0.35">
      <c r="A4687" s="500" t="s">
        <v>11362</v>
      </c>
      <c r="B4687" s="501" t="s">
        <v>2655</v>
      </c>
      <c r="C4687" s="501" t="s">
        <v>1089</v>
      </c>
      <c r="D4687" s="501" t="s">
        <v>3392</v>
      </c>
      <c r="E4687" s="501" t="s">
        <v>3381</v>
      </c>
      <c r="F4687" s="501" t="s">
        <v>707</v>
      </c>
      <c r="G4687" s="501" t="s">
        <v>708</v>
      </c>
      <c r="H4687" s="501" t="s">
        <v>11511</v>
      </c>
      <c r="I4687" s="501">
        <v>378</v>
      </c>
      <c r="J4687" s="501">
        <v>357</v>
      </c>
      <c r="K4687" s="501">
        <v>0</v>
      </c>
      <c r="L4687" s="501">
        <v>0</v>
      </c>
      <c r="M4687" s="501">
        <v>21</v>
      </c>
      <c r="N4687" s="501">
        <v>43</v>
      </c>
      <c r="O4687" s="506">
        <v>0</v>
      </c>
    </row>
    <row r="4688" spans="1:15" x14ac:dyDescent="0.35">
      <c r="A4688" s="503" t="s">
        <v>11363</v>
      </c>
      <c r="B4688" s="504">
        <v>4718</v>
      </c>
      <c r="C4688" s="504" t="s">
        <v>1094</v>
      </c>
      <c r="D4688" s="504" t="s">
        <v>3380</v>
      </c>
      <c r="E4688" s="504" t="s">
        <v>3381</v>
      </c>
      <c r="F4688" s="504" t="s">
        <v>707</v>
      </c>
      <c r="G4688" s="504" t="s">
        <v>708</v>
      </c>
      <c r="H4688" s="504" t="s">
        <v>11559</v>
      </c>
      <c r="I4688" s="504">
        <v>6</v>
      </c>
      <c r="J4688" s="504">
        <v>0</v>
      </c>
      <c r="K4688" s="504">
        <v>0</v>
      </c>
      <c r="L4688" s="504">
        <v>6</v>
      </c>
      <c r="M4688" s="504">
        <v>0</v>
      </c>
      <c r="N4688" s="504">
        <v>0</v>
      </c>
      <c r="O4688" s="505">
        <v>0</v>
      </c>
    </row>
    <row r="4689" spans="1:15" x14ac:dyDescent="0.35">
      <c r="A4689" s="500" t="s">
        <v>1154</v>
      </c>
      <c r="B4689" s="501" t="s">
        <v>3036</v>
      </c>
      <c r="C4689" s="501" t="s">
        <v>1089</v>
      </c>
      <c r="D4689" s="501" t="s">
        <v>3392</v>
      </c>
      <c r="E4689" s="501" t="s">
        <v>3381</v>
      </c>
      <c r="F4689" s="501" t="s">
        <v>707</v>
      </c>
      <c r="G4689" s="501" t="s">
        <v>708</v>
      </c>
      <c r="H4689" s="501" t="s">
        <v>7146</v>
      </c>
      <c r="I4689" s="501">
        <v>9</v>
      </c>
      <c r="J4689" s="501">
        <v>0</v>
      </c>
      <c r="K4689" s="501">
        <v>0</v>
      </c>
      <c r="L4689" s="501">
        <v>0</v>
      </c>
      <c r="M4689" s="501">
        <v>9</v>
      </c>
      <c r="N4689" s="501">
        <v>0</v>
      </c>
      <c r="O4689" s="506">
        <v>0</v>
      </c>
    </row>
    <row r="4690" spans="1:15" x14ac:dyDescent="0.35">
      <c r="A4690" s="503" t="s">
        <v>1100</v>
      </c>
      <c r="B4690" s="504">
        <v>4865</v>
      </c>
      <c r="C4690" s="504" t="s">
        <v>1094</v>
      </c>
      <c r="D4690" s="504" t="s">
        <v>3380</v>
      </c>
      <c r="E4690" s="504" t="s">
        <v>3381</v>
      </c>
      <c r="F4690" s="504" t="s">
        <v>707</v>
      </c>
      <c r="G4690" s="504" t="s">
        <v>708</v>
      </c>
      <c r="H4690" s="504" t="s">
        <v>7147</v>
      </c>
      <c r="I4690" s="504">
        <v>278</v>
      </c>
      <c r="J4690" s="504">
        <v>260</v>
      </c>
      <c r="K4690" s="504">
        <v>0</v>
      </c>
      <c r="L4690" s="504">
        <v>0</v>
      </c>
      <c r="M4690" s="504">
        <v>0</v>
      </c>
      <c r="N4690" s="504">
        <v>0</v>
      </c>
      <c r="O4690" s="505">
        <v>18</v>
      </c>
    </row>
    <row r="4691" spans="1:15" x14ac:dyDescent="0.35">
      <c r="A4691" s="500" t="s">
        <v>1166</v>
      </c>
      <c r="B4691" s="501" t="s">
        <v>2699</v>
      </c>
      <c r="C4691" s="501" t="s">
        <v>1089</v>
      </c>
      <c r="D4691" s="501" t="s">
        <v>3392</v>
      </c>
      <c r="E4691" s="501" t="s">
        <v>3381</v>
      </c>
      <c r="F4691" s="501" t="s">
        <v>707</v>
      </c>
      <c r="G4691" s="501" t="s">
        <v>708</v>
      </c>
      <c r="H4691" s="501" t="s">
        <v>7148</v>
      </c>
      <c r="I4691" s="501">
        <v>139</v>
      </c>
      <c r="J4691" s="501">
        <v>125</v>
      </c>
      <c r="K4691" s="501">
        <v>0</v>
      </c>
      <c r="L4691" s="501">
        <v>0</v>
      </c>
      <c r="M4691" s="501">
        <v>14</v>
      </c>
      <c r="N4691" s="501">
        <v>19</v>
      </c>
      <c r="O4691" s="506">
        <v>0</v>
      </c>
    </row>
    <row r="4692" spans="1:15" x14ac:dyDescent="0.35">
      <c r="A4692" s="503" t="s">
        <v>1167</v>
      </c>
      <c r="B4692" s="504">
        <v>4689</v>
      </c>
      <c r="C4692" s="504" t="s">
        <v>1089</v>
      </c>
      <c r="D4692" s="504" t="s">
        <v>3392</v>
      </c>
      <c r="E4692" s="504" t="s">
        <v>3381</v>
      </c>
      <c r="F4692" s="504" t="s">
        <v>707</v>
      </c>
      <c r="G4692" s="504" t="s">
        <v>708</v>
      </c>
      <c r="H4692" s="504" t="s">
        <v>7149</v>
      </c>
      <c r="I4692" s="504">
        <v>4</v>
      </c>
      <c r="J4692" s="504">
        <v>0</v>
      </c>
      <c r="K4692" s="504">
        <v>0</v>
      </c>
      <c r="L4692" s="504">
        <v>4</v>
      </c>
      <c r="M4692" s="504">
        <v>0</v>
      </c>
      <c r="N4692" s="504">
        <v>0</v>
      </c>
      <c r="O4692" s="505">
        <v>0</v>
      </c>
    </row>
    <row r="4693" spans="1:15" x14ac:dyDescent="0.35">
      <c r="A4693" s="500" t="s">
        <v>1171</v>
      </c>
      <c r="B4693" s="501" t="s">
        <v>3003</v>
      </c>
      <c r="C4693" s="501" t="s">
        <v>1094</v>
      </c>
      <c r="D4693" s="501" t="s">
        <v>3380</v>
      </c>
      <c r="E4693" s="501" t="s">
        <v>3381</v>
      </c>
      <c r="F4693" s="501" t="s">
        <v>707</v>
      </c>
      <c r="G4693" s="501" t="s">
        <v>708</v>
      </c>
      <c r="H4693" s="501" t="s">
        <v>7150</v>
      </c>
      <c r="I4693" s="501">
        <v>48</v>
      </c>
      <c r="J4693" s="501">
        <v>27</v>
      </c>
      <c r="K4693" s="501">
        <v>0</v>
      </c>
      <c r="L4693" s="501">
        <v>0</v>
      </c>
      <c r="M4693" s="501">
        <v>0</v>
      </c>
      <c r="N4693" s="501">
        <v>0</v>
      </c>
      <c r="O4693" s="506">
        <v>21</v>
      </c>
    </row>
    <row r="4694" spans="1:15" x14ac:dyDescent="0.35">
      <c r="A4694" s="503" t="s">
        <v>1172</v>
      </c>
      <c r="B4694" s="504">
        <v>4648</v>
      </c>
      <c r="C4694" s="504" t="s">
        <v>1089</v>
      </c>
      <c r="D4694" s="504" t="s">
        <v>3392</v>
      </c>
      <c r="E4694" s="504" t="s">
        <v>3381</v>
      </c>
      <c r="F4694" s="504" t="s">
        <v>707</v>
      </c>
      <c r="G4694" s="504" t="s">
        <v>708</v>
      </c>
      <c r="H4694" s="504" t="s">
        <v>7151</v>
      </c>
      <c r="I4694" s="504">
        <v>3</v>
      </c>
      <c r="J4694" s="504">
        <v>0</v>
      </c>
      <c r="K4694" s="504">
        <v>0</v>
      </c>
      <c r="L4694" s="504">
        <v>3</v>
      </c>
      <c r="M4694" s="504">
        <v>0</v>
      </c>
      <c r="N4694" s="504">
        <v>0</v>
      </c>
      <c r="O4694" s="505">
        <v>0</v>
      </c>
    </row>
    <row r="4695" spans="1:15" x14ac:dyDescent="0.35">
      <c r="A4695" s="500" t="s">
        <v>1173</v>
      </c>
      <c r="B4695" s="501">
        <v>4775</v>
      </c>
      <c r="C4695" s="501" t="s">
        <v>1094</v>
      </c>
      <c r="D4695" s="501" t="s">
        <v>3380</v>
      </c>
      <c r="E4695" s="501" t="s">
        <v>3381</v>
      </c>
      <c r="F4695" s="501" t="s">
        <v>707</v>
      </c>
      <c r="G4695" s="501" t="s">
        <v>708</v>
      </c>
      <c r="H4695" s="501" t="s">
        <v>7152</v>
      </c>
      <c r="I4695" s="501">
        <v>1444</v>
      </c>
      <c r="J4695" s="501">
        <v>1209</v>
      </c>
      <c r="K4695" s="501">
        <v>0</v>
      </c>
      <c r="L4695" s="501">
        <v>90</v>
      </c>
      <c r="M4695" s="501">
        <v>104</v>
      </c>
      <c r="N4695" s="501">
        <v>0</v>
      </c>
      <c r="O4695" s="506">
        <v>41</v>
      </c>
    </row>
    <row r="4696" spans="1:15" x14ac:dyDescent="0.35">
      <c r="A4696" s="503" t="s">
        <v>1177</v>
      </c>
      <c r="B4696" s="504">
        <v>4702</v>
      </c>
      <c r="C4696" s="504" t="s">
        <v>1089</v>
      </c>
      <c r="D4696" s="504" t="s">
        <v>3392</v>
      </c>
      <c r="E4696" s="504" t="s">
        <v>3381</v>
      </c>
      <c r="F4696" s="504" t="s">
        <v>707</v>
      </c>
      <c r="G4696" s="504" t="s">
        <v>708</v>
      </c>
      <c r="H4696" s="504" t="s">
        <v>7153</v>
      </c>
      <c r="I4696" s="504">
        <v>14</v>
      </c>
      <c r="J4696" s="504">
        <v>0</v>
      </c>
      <c r="K4696" s="504">
        <v>0</v>
      </c>
      <c r="L4696" s="504">
        <v>14</v>
      </c>
      <c r="M4696" s="504">
        <v>0</v>
      </c>
      <c r="N4696" s="504">
        <v>0</v>
      </c>
      <c r="O4696" s="505">
        <v>0</v>
      </c>
    </row>
    <row r="4697" spans="1:15" x14ac:dyDescent="0.35">
      <c r="A4697" s="500" t="s">
        <v>1178</v>
      </c>
      <c r="B4697" s="501" t="s">
        <v>3334</v>
      </c>
      <c r="C4697" s="501" t="s">
        <v>1094</v>
      </c>
      <c r="D4697" s="501" t="s">
        <v>3380</v>
      </c>
      <c r="E4697" s="501" t="s">
        <v>3381</v>
      </c>
      <c r="F4697" s="501" t="s">
        <v>707</v>
      </c>
      <c r="G4697" s="501" t="s">
        <v>708</v>
      </c>
      <c r="H4697" s="501" t="s">
        <v>7154</v>
      </c>
      <c r="I4697" s="501">
        <v>11</v>
      </c>
      <c r="J4697" s="501">
        <v>0</v>
      </c>
      <c r="K4697" s="501">
        <v>0</v>
      </c>
      <c r="L4697" s="501">
        <v>11</v>
      </c>
      <c r="M4697" s="501">
        <v>0</v>
      </c>
      <c r="N4697" s="501">
        <v>0</v>
      </c>
      <c r="O4697" s="506">
        <v>0</v>
      </c>
    </row>
    <row r="4698" spans="1:15" x14ac:dyDescent="0.35">
      <c r="A4698" s="503" t="s">
        <v>1186</v>
      </c>
      <c r="B4698" s="504">
        <v>4661</v>
      </c>
      <c r="C4698" s="504" t="s">
        <v>1089</v>
      </c>
      <c r="D4698" s="504" t="s">
        <v>3392</v>
      </c>
      <c r="E4698" s="504" t="s">
        <v>3381</v>
      </c>
      <c r="F4698" s="504" t="s">
        <v>707</v>
      </c>
      <c r="G4698" s="504" t="s">
        <v>708</v>
      </c>
      <c r="H4698" s="504" t="s">
        <v>7155</v>
      </c>
      <c r="I4698" s="504">
        <v>1</v>
      </c>
      <c r="J4698" s="504">
        <v>0</v>
      </c>
      <c r="K4698" s="504">
        <v>0</v>
      </c>
      <c r="L4698" s="504">
        <v>1</v>
      </c>
      <c r="M4698" s="504">
        <v>0</v>
      </c>
      <c r="N4698" s="504">
        <v>0</v>
      </c>
      <c r="O4698" s="505">
        <v>0</v>
      </c>
    </row>
    <row r="4699" spans="1:15" x14ac:dyDescent="0.35">
      <c r="A4699" s="500" t="s">
        <v>1188</v>
      </c>
      <c r="B4699" s="501">
        <v>4760</v>
      </c>
      <c r="C4699" s="501" t="s">
        <v>1089</v>
      </c>
      <c r="D4699" s="501" t="s">
        <v>3392</v>
      </c>
      <c r="E4699" s="501" t="s">
        <v>3381</v>
      </c>
      <c r="F4699" s="501" t="s">
        <v>707</v>
      </c>
      <c r="G4699" s="501" t="s">
        <v>708</v>
      </c>
      <c r="H4699" s="501" t="s">
        <v>7156</v>
      </c>
      <c r="I4699" s="501">
        <v>13</v>
      </c>
      <c r="J4699" s="501">
        <v>0</v>
      </c>
      <c r="K4699" s="501">
        <v>0</v>
      </c>
      <c r="L4699" s="501">
        <v>13</v>
      </c>
      <c r="M4699" s="501">
        <v>0</v>
      </c>
      <c r="N4699" s="501">
        <v>0</v>
      </c>
      <c r="O4699" s="506">
        <v>0</v>
      </c>
    </row>
    <row r="4700" spans="1:15" x14ac:dyDescent="0.35">
      <c r="A4700" s="503" t="s">
        <v>1107</v>
      </c>
      <c r="B4700" s="504" t="s">
        <v>3109</v>
      </c>
      <c r="C4700" s="504" t="s">
        <v>1094</v>
      </c>
      <c r="D4700" s="504" t="s">
        <v>3380</v>
      </c>
      <c r="E4700" s="504" t="s">
        <v>3381</v>
      </c>
      <c r="F4700" s="504" t="s">
        <v>707</v>
      </c>
      <c r="G4700" s="504" t="s">
        <v>708</v>
      </c>
      <c r="H4700" s="504" t="s">
        <v>7157</v>
      </c>
      <c r="I4700" s="504">
        <v>13</v>
      </c>
      <c r="J4700" s="504">
        <v>0</v>
      </c>
      <c r="K4700" s="504">
        <v>0</v>
      </c>
      <c r="L4700" s="504">
        <v>13</v>
      </c>
      <c r="M4700" s="504">
        <v>0</v>
      </c>
      <c r="N4700" s="504">
        <v>0</v>
      </c>
      <c r="O4700" s="505">
        <v>0</v>
      </c>
    </row>
    <row r="4701" spans="1:15" x14ac:dyDescent="0.35">
      <c r="A4701" s="500" t="s">
        <v>1190</v>
      </c>
      <c r="B4701" s="501">
        <v>4662</v>
      </c>
      <c r="C4701" s="501" t="s">
        <v>1094</v>
      </c>
      <c r="D4701" s="501" t="s">
        <v>3380</v>
      </c>
      <c r="E4701" s="501" t="s">
        <v>3381</v>
      </c>
      <c r="F4701" s="501" t="s">
        <v>707</v>
      </c>
      <c r="G4701" s="501" t="s">
        <v>708</v>
      </c>
      <c r="H4701" s="501" t="s">
        <v>7158</v>
      </c>
      <c r="I4701" s="501">
        <v>28</v>
      </c>
      <c r="J4701" s="501">
        <v>0</v>
      </c>
      <c r="K4701" s="501">
        <v>0</v>
      </c>
      <c r="L4701" s="501">
        <v>28</v>
      </c>
      <c r="M4701" s="501">
        <v>0</v>
      </c>
      <c r="N4701" s="501">
        <v>0</v>
      </c>
      <c r="O4701" s="506">
        <v>0</v>
      </c>
    </row>
    <row r="4702" spans="1:15" x14ac:dyDescent="0.35">
      <c r="A4702" s="503" t="s">
        <v>11366</v>
      </c>
      <c r="B4702" s="504" t="s">
        <v>2887</v>
      </c>
      <c r="C4702" s="504" t="s">
        <v>1089</v>
      </c>
      <c r="D4702" s="504" t="s">
        <v>3392</v>
      </c>
      <c r="E4702" s="504" t="s">
        <v>3381</v>
      </c>
      <c r="F4702" s="504" t="s">
        <v>707</v>
      </c>
      <c r="G4702" s="504" t="s">
        <v>708</v>
      </c>
      <c r="H4702" s="504" t="s">
        <v>11820</v>
      </c>
      <c r="I4702" s="504">
        <v>103</v>
      </c>
      <c r="J4702" s="504">
        <v>0</v>
      </c>
      <c r="K4702" s="504">
        <v>0</v>
      </c>
      <c r="L4702" s="504">
        <v>103</v>
      </c>
      <c r="M4702" s="504">
        <v>0</v>
      </c>
      <c r="N4702" s="504">
        <v>0</v>
      </c>
      <c r="O4702" s="505">
        <v>0</v>
      </c>
    </row>
    <row r="4703" spans="1:15" x14ac:dyDescent="0.35">
      <c r="A4703" s="500" t="s">
        <v>1197</v>
      </c>
      <c r="B4703" s="501">
        <v>4863</v>
      </c>
      <c r="C4703" s="501" t="s">
        <v>1089</v>
      </c>
      <c r="D4703" s="501" t="s">
        <v>3392</v>
      </c>
      <c r="E4703" s="501" t="s">
        <v>3381</v>
      </c>
      <c r="F4703" s="501" t="s">
        <v>707</v>
      </c>
      <c r="G4703" s="501" t="s">
        <v>708</v>
      </c>
      <c r="H4703" s="501" t="s">
        <v>7159</v>
      </c>
      <c r="I4703" s="501">
        <v>9</v>
      </c>
      <c r="J4703" s="501">
        <v>0</v>
      </c>
      <c r="K4703" s="501">
        <v>0</v>
      </c>
      <c r="L4703" s="501">
        <v>9</v>
      </c>
      <c r="M4703" s="501">
        <v>0</v>
      </c>
      <c r="N4703" s="501">
        <v>0</v>
      </c>
      <c r="O4703" s="506">
        <v>0</v>
      </c>
    </row>
    <row r="4704" spans="1:15" x14ac:dyDescent="0.35">
      <c r="A4704" s="503" t="s">
        <v>1203</v>
      </c>
      <c r="B4704" s="504" t="s">
        <v>3170</v>
      </c>
      <c r="C4704" s="504" t="s">
        <v>1094</v>
      </c>
      <c r="D4704" s="504" t="s">
        <v>3380</v>
      </c>
      <c r="E4704" s="504" t="s">
        <v>3381</v>
      </c>
      <c r="F4704" s="504" t="s">
        <v>707</v>
      </c>
      <c r="G4704" s="504" t="s">
        <v>708</v>
      </c>
      <c r="H4704" s="504" t="s">
        <v>7160</v>
      </c>
      <c r="I4704" s="504">
        <v>47</v>
      </c>
      <c r="J4704" s="504">
        <v>47</v>
      </c>
      <c r="K4704" s="504">
        <v>0</v>
      </c>
      <c r="L4704" s="504">
        <v>0</v>
      </c>
      <c r="M4704" s="504">
        <v>0</v>
      </c>
      <c r="N4704" s="504">
        <v>0</v>
      </c>
      <c r="O4704" s="505">
        <v>0</v>
      </c>
    </row>
    <row r="4705" spans="1:15" x14ac:dyDescent="0.35">
      <c r="A4705" s="500" t="s">
        <v>1206</v>
      </c>
      <c r="B4705" s="501" t="s">
        <v>2676</v>
      </c>
      <c r="C4705" s="501" t="s">
        <v>1089</v>
      </c>
      <c r="D4705" s="501" t="s">
        <v>3392</v>
      </c>
      <c r="E4705" s="501" t="s">
        <v>3381</v>
      </c>
      <c r="F4705" s="501" t="s">
        <v>707</v>
      </c>
      <c r="G4705" s="501" t="s">
        <v>708</v>
      </c>
      <c r="H4705" s="501" t="s">
        <v>7161</v>
      </c>
      <c r="I4705" s="501">
        <v>117</v>
      </c>
      <c r="J4705" s="501">
        <v>117</v>
      </c>
      <c r="K4705" s="501">
        <v>0</v>
      </c>
      <c r="L4705" s="501">
        <v>0</v>
      </c>
      <c r="M4705" s="501">
        <v>0</v>
      </c>
      <c r="N4705" s="501">
        <v>0</v>
      </c>
      <c r="O4705" s="506">
        <v>0</v>
      </c>
    </row>
    <row r="4706" spans="1:15" x14ac:dyDescent="0.35">
      <c r="A4706" s="503" t="s">
        <v>1112</v>
      </c>
      <c r="B4706" s="504" t="s">
        <v>3008</v>
      </c>
      <c r="C4706" s="504" t="s">
        <v>1094</v>
      </c>
      <c r="D4706" s="504" t="s">
        <v>3380</v>
      </c>
      <c r="E4706" s="504" t="s">
        <v>3381</v>
      </c>
      <c r="F4706" s="504" t="s">
        <v>707</v>
      </c>
      <c r="G4706" s="504" t="s">
        <v>708</v>
      </c>
      <c r="H4706" s="504" t="s">
        <v>7162</v>
      </c>
      <c r="I4706" s="504">
        <v>93</v>
      </c>
      <c r="J4706" s="504">
        <v>70</v>
      </c>
      <c r="K4706" s="504">
        <v>0</v>
      </c>
      <c r="L4706" s="504">
        <v>0</v>
      </c>
      <c r="M4706" s="504">
        <v>0</v>
      </c>
      <c r="N4706" s="504">
        <v>0</v>
      </c>
      <c r="O4706" s="505">
        <v>23</v>
      </c>
    </row>
    <row r="4707" spans="1:15" x14ac:dyDescent="0.35">
      <c r="A4707" s="500" t="s">
        <v>1207</v>
      </c>
      <c r="B4707" s="501" t="s">
        <v>3202</v>
      </c>
      <c r="C4707" s="501" t="s">
        <v>1094</v>
      </c>
      <c r="D4707" s="501" t="s">
        <v>3380</v>
      </c>
      <c r="E4707" s="501" t="s">
        <v>3381</v>
      </c>
      <c r="F4707" s="501" t="s">
        <v>707</v>
      </c>
      <c r="G4707" s="501" t="s">
        <v>708</v>
      </c>
      <c r="H4707" s="501" t="s">
        <v>7163</v>
      </c>
      <c r="I4707" s="501">
        <v>1003</v>
      </c>
      <c r="J4707" s="501">
        <v>920</v>
      </c>
      <c r="K4707" s="501">
        <v>0</v>
      </c>
      <c r="L4707" s="501">
        <v>1</v>
      </c>
      <c r="M4707" s="501">
        <v>0</v>
      </c>
      <c r="N4707" s="501">
        <v>0</v>
      </c>
      <c r="O4707" s="506">
        <v>82</v>
      </c>
    </row>
    <row r="4708" spans="1:15" x14ac:dyDescent="0.35">
      <c r="A4708" s="503" t="s">
        <v>1213</v>
      </c>
      <c r="B4708" s="504">
        <v>4676</v>
      </c>
      <c r="C4708" s="504" t="s">
        <v>1089</v>
      </c>
      <c r="D4708" s="504" t="s">
        <v>3392</v>
      </c>
      <c r="E4708" s="504" t="s">
        <v>3381</v>
      </c>
      <c r="F4708" s="504" t="s">
        <v>707</v>
      </c>
      <c r="G4708" s="504" t="s">
        <v>708</v>
      </c>
      <c r="H4708" s="504" t="s">
        <v>7164</v>
      </c>
      <c r="I4708" s="504">
        <v>14</v>
      </c>
      <c r="J4708" s="504">
        <v>0</v>
      </c>
      <c r="K4708" s="504">
        <v>0</v>
      </c>
      <c r="L4708" s="504">
        <v>14</v>
      </c>
      <c r="M4708" s="504">
        <v>0</v>
      </c>
      <c r="N4708" s="504">
        <v>0</v>
      </c>
      <c r="O4708" s="505">
        <v>0</v>
      </c>
    </row>
    <row r="4709" spans="1:15" x14ac:dyDescent="0.35">
      <c r="A4709" s="500" t="s">
        <v>1215</v>
      </c>
      <c r="B4709" s="501">
        <v>4817</v>
      </c>
      <c r="C4709" s="501" t="s">
        <v>1094</v>
      </c>
      <c r="D4709" s="501" t="s">
        <v>3380</v>
      </c>
      <c r="E4709" s="501" t="s">
        <v>3381</v>
      </c>
      <c r="F4709" s="501" t="s">
        <v>707</v>
      </c>
      <c r="G4709" s="501" t="s">
        <v>708</v>
      </c>
      <c r="H4709" s="501" t="s">
        <v>7165</v>
      </c>
      <c r="I4709" s="501">
        <v>579</v>
      </c>
      <c r="J4709" s="501">
        <v>417</v>
      </c>
      <c r="K4709" s="501">
        <v>0</v>
      </c>
      <c r="L4709" s="501">
        <v>56</v>
      </c>
      <c r="M4709" s="501">
        <v>70</v>
      </c>
      <c r="N4709" s="501">
        <v>0</v>
      </c>
      <c r="O4709" s="506">
        <v>36</v>
      </c>
    </row>
    <row r="4710" spans="1:15" x14ac:dyDescent="0.35">
      <c r="A4710" s="503" t="s">
        <v>1220</v>
      </c>
      <c r="B4710" s="504">
        <v>4849</v>
      </c>
      <c r="C4710" s="504" t="s">
        <v>1094</v>
      </c>
      <c r="D4710" s="504" t="s">
        <v>3380</v>
      </c>
      <c r="E4710" s="504" t="s">
        <v>3381</v>
      </c>
      <c r="F4710" s="504" t="s">
        <v>707</v>
      </c>
      <c r="G4710" s="504" t="s">
        <v>708</v>
      </c>
      <c r="H4710" s="504" t="s">
        <v>7166</v>
      </c>
      <c r="I4710" s="504">
        <v>3344</v>
      </c>
      <c r="J4710" s="504">
        <v>2640</v>
      </c>
      <c r="K4710" s="504">
        <v>0</v>
      </c>
      <c r="L4710" s="504">
        <v>218</v>
      </c>
      <c r="M4710" s="504">
        <v>436</v>
      </c>
      <c r="N4710" s="504">
        <v>0</v>
      </c>
      <c r="O4710" s="505">
        <v>50</v>
      </c>
    </row>
    <row r="4711" spans="1:15" x14ac:dyDescent="0.35">
      <c r="A4711" s="500" t="s">
        <v>1122</v>
      </c>
      <c r="B4711" s="501" t="s">
        <v>2994</v>
      </c>
      <c r="C4711" s="501" t="s">
        <v>1094</v>
      </c>
      <c r="D4711" s="501" t="s">
        <v>3380</v>
      </c>
      <c r="E4711" s="501" t="s">
        <v>3381</v>
      </c>
      <c r="F4711" s="501" t="s">
        <v>707</v>
      </c>
      <c r="G4711" s="501" t="s">
        <v>708</v>
      </c>
      <c r="H4711" s="501" t="s">
        <v>7167</v>
      </c>
      <c r="I4711" s="501">
        <v>182</v>
      </c>
      <c r="J4711" s="501">
        <v>178</v>
      </c>
      <c r="K4711" s="501">
        <v>0</v>
      </c>
      <c r="L4711" s="501">
        <v>4</v>
      </c>
      <c r="M4711" s="501">
        <v>0</v>
      </c>
      <c r="N4711" s="501">
        <v>0</v>
      </c>
      <c r="O4711" s="506">
        <v>0</v>
      </c>
    </row>
    <row r="4712" spans="1:15" x14ac:dyDescent="0.35">
      <c r="A4712" s="503" t="s">
        <v>1225</v>
      </c>
      <c r="B4712" s="504" t="s">
        <v>3315</v>
      </c>
      <c r="C4712" s="504" t="s">
        <v>1094</v>
      </c>
      <c r="D4712" s="504" t="s">
        <v>3380</v>
      </c>
      <c r="E4712" s="504" t="s">
        <v>3381</v>
      </c>
      <c r="F4712" s="504" t="s">
        <v>707</v>
      </c>
      <c r="G4712" s="504" t="s">
        <v>708</v>
      </c>
      <c r="H4712" s="504" t="s">
        <v>7168</v>
      </c>
      <c r="I4712" s="504">
        <v>50</v>
      </c>
      <c r="J4712" s="504">
        <v>0</v>
      </c>
      <c r="K4712" s="504">
        <v>0</v>
      </c>
      <c r="L4712" s="504">
        <v>50</v>
      </c>
      <c r="M4712" s="504">
        <v>0</v>
      </c>
      <c r="N4712" s="504">
        <v>0</v>
      </c>
      <c r="O4712" s="505">
        <v>0</v>
      </c>
    </row>
    <row r="4713" spans="1:15" x14ac:dyDescent="0.35">
      <c r="A4713" s="500" t="s">
        <v>1226</v>
      </c>
      <c r="B4713" s="501">
        <v>5084</v>
      </c>
      <c r="C4713" s="501" t="s">
        <v>1094</v>
      </c>
      <c r="D4713" s="501" t="s">
        <v>3380</v>
      </c>
      <c r="E4713" s="501" t="s">
        <v>3381</v>
      </c>
      <c r="F4713" s="501" t="s">
        <v>707</v>
      </c>
      <c r="G4713" s="501" t="s">
        <v>708</v>
      </c>
      <c r="H4713" s="501" t="s">
        <v>7169</v>
      </c>
      <c r="I4713" s="501">
        <v>1245</v>
      </c>
      <c r="J4713" s="501">
        <v>998</v>
      </c>
      <c r="K4713" s="501">
        <v>0</v>
      </c>
      <c r="L4713" s="501">
        <v>0</v>
      </c>
      <c r="M4713" s="501">
        <v>49</v>
      </c>
      <c r="N4713" s="501">
        <v>0</v>
      </c>
      <c r="O4713" s="506">
        <v>198</v>
      </c>
    </row>
    <row r="4714" spans="1:15" x14ac:dyDescent="0.35">
      <c r="A4714" s="503" t="s">
        <v>1228</v>
      </c>
      <c r="B4714" s="504" t="s">
        <v>3321</v>
      </c>
      <c r="C4714" s="504" t="s">
        <v>1094</v>
      </c>
      <c r="D4714" s="504" t="s">
        <v>3380</v>
      </c>
      <c r="E4714" s="504" t="s">
        <v>3381</v>
      </c>
      <c r="F4714" s="504" t="s">
        <v>707</v>
      </c>
      <c r="G4714" s="504" t="s">
        <v>708</v>
      </c>
      <c r="H4714" s="504" t="s">
        <v>7170</v>
      </c>
      <c r="I4714" s="504">
        <v>44</v>
      </c>
      <c r="J4714" s="504">
        <v>0</v>
      </c>
      <c r="K4714" s="504">
        <v>0</v>
      </c>
      <c r="L4714" s="504">
        <v>44</v>
      </c>
      <c r="M4714" s="504">
        <v>0</v>
      </c>
      <c r="N4714" s="504">
        <v>0</v>
      </c>
      <c r="O4714" s="505">
        <v>0</v>
      </c>
    </row>
    <row r="4715" spans="1:15" x14ac:dyDescent="0.35">
      <c r="A4715" s="500" t="s">
        <v>1231</v>
      </c>
      <c r="B4715" s="501" t="s">
        <v>2708</v>
      </c>
      <c r="C4715" s="501" t="s">
        <v>1089</v>
      </c>
      <c r="D4715" s="501" t="s">
        <v>3392</v>
      </c>
      <c r="E4715" s="501" t="s">
        <v>3381</v>
      </c>
      <c r="F4715" s="501" t="s">
        <v>707</v>
      </c>
      <c r="G4715" s="501" t="s">
        <v>708</v>
      </c>
      <c r="H4715" s="501" t="s">
        <v>7171</v>
      </c>
      <c r="I4715" s="501">
        <v>119</v>
      </c>
      <c r="J4715" s="501">
        <v>119</v>
      </c>
      <c r="K4715" s="501">
        <v>0</v>
      </c>
      <c r="L4715" s="501">
        <v>0</v>
      </c>
      <c r="M4715" s="501">
        <v>0</v>
      </c>
      <c r="N4715" s="501">
        <v>0</v>
      </c>
      <c r="O4715" s="506">
        <v>0</v>
      </c>
    </row>
    <row r="4716" spans="1:15" x14ac:dyDescent="0.35">
      <c r="A4716" s="503" t="s">
        <v>11368</v>
      </c>
      <c r="B4716" s="504">
        <v>5083</v>
      </c>
      <c r="C4716" s="504" t="s">
        <v>1094</v>
      </c>
      <c r="D4716" s="504" t="s">
        <v>3380</v>
      </c>
      <c r="E4716" s="504" t="s">
        <v>3381</v>
      </c>
      <c r="F4716" s="504" t="s">
        <v>707</v>
      </c>
      <c r="G4716" s="504" t="s">
        <v>708</v>
      </c>
      <c r="H4716" s="504" t="s">
        <v>12061</v>
      </c>
      <c r="I4716" s="504">
        <v>15</v>
      </c>
      <c r="J4716" s="504">
        <v>15</v>
      </c>
      <c r="K4716" s="504">
        <v>0</v>
      </c>
      <c r="L4716" s="504">
        <v>0</v>
      </c>
      <c r="M4716" s="504">
        <v>0</v>
      </c>
      <c r="N4716" s="504">
        <v>0</v>
      </c>
      <c r="O4716" s="505">
        <v>0</v>
      </c>
    </row>
    <row r="4717" spans="1:15" x14ac:dyDescent="0.35">
      <c r="A4717" s="500" t="s">
        <v>1126</v>
      </c>
      <c r="B4717" s="501" t="s">
        <v>2974</v>
      </c>
      <c r="C4717" s="501" t="s">
        <v>1094</v>
      </c>
      <c r="D4717" s="501" t="s">
        <v>3380</v>
      </c>
      <c r="E4717" s="501" t="s">
        <v>3381</v>
      </c>
      <c r="F4717" s="501" t="s">
        <v>707</v>
      </c>
      <c r="G4717" s="501" t="s">
        <v>708</v>
      </c>
      <c r="H4717" s="501" t="s">
        <v>7172</v>
      </c>
      <c r="I4717" s="501">
        <v>67</v>
      </c>
      <c r="J4717" s="501">
        <v>18</v>
      </c>
      <c r="K4717" s="501">
        <v>0</v>
      </c>
      <c r="L4717" s="501">
        <v>45</v>
      </c>
      <c r="M4717" s="501">
        <v>0</v>
      </c>
      <c r="N4717" s="501">
        <v>0</v>
      </c>
      <c r="O4717" s="506">
        <v>4</v>
      </c>
    </row>
    <row r="4718" spans="1:15" x14ac:dyDescent="0.35">
      <c r="A4718" s="503" t="s">
        <v>1241</v>
      </c>
      <c r="B4718" s="504">
        <v>4717</v>
      </c>
      <c r="C4718" s="504" t="s">
        <v>1094</v>
      </c>
      <c r="D4718" s="504" t="s">
        <v>3380</v>
      </c>
      <c r="E4718" s="504" t="s">
        <v>3381</v>
      </c>
      <c r="F4718" s="504" t="s">
        <v>707</v>
      </c>
      <c r="G4718" s="504" t="s">
        <v>708</v>
      </c>
      <c r="H4718" s="504" t="s">
        <v>7173</v>
      </c>
      <c r="I4718" s="504">
        <v>23</v>
      </c>
      <c r="J4718" s="504">
        <v>23</v>
      </c>
      <c r="K4718" s="504">
        <v>0</v>
      </c>
      <c r="L4718" s="504">
        <v>0</v>
      </c>
      <c r="M4718" s="504">
        <v>0</v>
      </c>
      <c r="N4718" s="504">
        <v>0</v>
      </c>
      <c r="O4718" s="505">
        <v>0</v>
      </c>
    </row>
    <row r="4719" spans="1:15" x14ac:dyDescent="0.35">
      <c r="A4719" s="500" t="s">
        <v>1134</v>
      </c>
      <c r="B4719" s="501" t="s">
        <v>3066</v>
      </c>
      <c r="C4719" s="501" t="s">
        <v>1094</v>
      </c>
      <c r="D4719" s="501" t="s">
        <v>3380</v>
      </c>
      <c r="E4719" s="501" t="s">
        <v>3381</v>
      </c>
      <c r="F4719" s="501" t="s">
        <v>707</v>
      </c>
      <c r="G4719" s="501" t="s">
        <v>708</v>
      </c>
      <c r="H4719" s="501" t="s">
        <v>7174</v>
      </c>
      <c r="I4719" s="501">
        <v>94</v>
      </c>
      <c r="J4719" s="501">
        <v>70</v>
      </c>
      <c r="K4719" s="501">
        <v>0</v>
      </c>
      <c r="L4719" s="501">
        <v>0</v>
      </c>
      <c r="M4719" s="501">
        <v>24</v>
      </c>
      <c r="N4719" s="501">
        <v>0</v>
      </c>
      <c r="O4719" s="506">
        <v>0</v>
      </c>
    </row>
    <row r="4720" spans="1:15" x14ac:dyDescent="0.35">
      <c r="A4720" s="503" t="s">
        <v>1242</v>
      </c>
      <c r="B4720" s="504">
        <v>4687</v>
      </c>
      <c r="C4720" s="504" t="s">
        <v>1094</v>
      </c>
      <c r="D4720" s="504" t="s">
        <v>3380</v>
      </c>
      <c r="E4720" s="504" t="s">
        <v>3381</v>
      </c>
      <c r="F4720" s="504" t="s">
        <v>707</v>
      </c>
      <c r="G4720" s="504" t="s">
        <v>708</v>
      </c>
      <c r="H4720" s="504" t="s">
        <v>7175</v>
      </c>
      <c r="I4720" s="504">
        <v>5</v>
      </c>
      <c r="J4720" s="504">
        <v>0</v>
      </c>
      <c r="K4720" s="504">
        <v>0</v>
      </c>
      <c r="L4720" s="504">
        <v>5</v>
      </c>
      <c r="M4720" s="504">
        <v>0</v>
      </c>
      <c r="N4720" s="504">
        <v>0</v>
      </c>
      <c r="O4720" s="505">
        <v>0</v>
      </c>
    </row>
    <row r="4721" spans="1:15" x14ac:dyDescent="0.35">
      <c r="A4721" s="500" t="s">
        <v>1253</v>
      </c>
      <c r="B4721" s="501" t="s">
        <v>3232</v>
      </c>
      <c r="C4721" s="501" t="s">
        <v>1094</v>
      </c>
      <c r="D4721" s="501" t="s">
        <v>3380</v>
      </c>
      <c r="E4721" s="501" t="s">
        <v>3381</v>
      </c>
      <c r="F4721" s="501" t="s">
        <v>707</v>
      </c>
      <c r="G4721" s="501" t="s">
        <v>708</v>
      </c>
      <c r="H4721" s="501" t="s">
        <v>7176</v>
      </c>
      <c r="I4721" s="501">
        <v>1464</v>
      </c>
      <c r="J4721" s="501">
        <v>1281</v>
      </c>
      <c r="K4721" s="501">
        <v>0</v>
      </c>
      <c r="L4721" s="501">
        <v>56</v>
      </c>
      <c r="M4721" s="501">
        <v>67</v>
      </c>
      <c r="N4721" s="501">
        <v>1</v>
      </c>
      <c r="O4721" s="506">
        <v>60</v>
      </c>
    </row>
    <row r="4722" spans="1:15" x14ac:dyDescent="0.35">
      <c r="A4722" s="503" t="s">
        <v>1254</v>
      </c>
      <c r="B4722" s="504" t="s">
        <v>2866</v>
      </c>
      <c r="C4722" s="504" t="s">
        <v>1089</v>
      </c>
      <c r="D4722" s="504" t="s">
        <v>3392</v>
      </c>
      <c r="E4722" s="504" t="s">
        <v>3381</v>
      </c>
      <c r="F4722" s="504" t="s">
        <v>707</v>
      </c>
      <c r="G4722" s="504" t="s">
        <v>708</v>
      </c>
      <c r="H4722" s="504" t="s">
        <v>7177</v>
      </c>
      <c r="I4722" s="504">
        <v>14</v>
      </c>
      <c r="J4722" s="504">
        <v>0</v>
      </c>
      <c r="K4722" s="504">
        <v>0</v>
      </c>
      <c r="L4722" s="504">
        <v>14</v>
      </c>
      <c r="M4722" s="504">
        <v>0</v>
      </c>
      <c r="N4722" s="504">
        <v>0</v>
      </c>
      <c r="O4722" s="505">
        <v>0</v>
      </c>
    </row>
    <row r="4723" spans="1:15" x14ac:dyDescent="0.35">
      <c r="A4723" s="500" t="s">
        <v>1260</v>
      </c>
      <c r="B4723" s="501">
        <v>4645</v>
      </c>
      <c r="C4723" s="501" t="s">
        <v>1089</v>
      </c>
      <c r="D4723" s="501" t="s">
        <v>3392</v>
      </c>
      <c r="E4723" s="501" t="s">
        <v>3381</v>
      </c>
      <c r="F4723" s="501" t="s">
        <v>707</v>
      </c>
      <c r="G4723" s="501" t="s">
        <v>708</v>
      </c>
      <c r="H4723" s="501" t="s">
        <v>7178</v>
      </c>
      <c r="I4723" s="501">
        <v>24</v>
      </c>
      <c r="J4723" s="501">
        <v>0</v>
      </c>
      <c r="K4723" s="501">
        <v>0</v>
      </c>
      <c r="L4723" s="501">
        <v>24</v>
      </c>
      <c r="M4723" s="501">
        <v>0</v>
      </c>
      <c r="N4723" s="501">
        <v>0</v>
      </c>
      <c r="O4723" s="506">
        <v>0</v>
      </c>
    </row>
    <row r="4724" spans="1:15" x14ac:dyDescent="0.35">
      <c r="A4724" s="503" t="s">
        <v>1261</v>
      </c>
      <c r="B4724" s="504" t="s">
        <v>3130</v>
      </c>
      <c r="C4724" s="504" t="s">
        <v>1094</v>
      </c>
      <c r="D4724" s="504" t="s">
        <v>3380</v>
      </c>
      <c r="E4724" s="504" t="s">
        <v>3381</v>
      </c>
      <c r="F4724" s="504" t="s">
        <v>707</v>
      </c>
      <c r="G4724" s="504" t="s">
        <v>708</v>
      </c>
      <c r="H4724" s="504" t="s">
        <v>7179</v>
      </c>
      <c r="I4724" s="504">
        <v>92</v>
      </c>
      <c r="J4724" s="504">
        <v>92</v>
      </c>
      <c r="K4724" s="504">
        <v>0</v>
      </c>
      <c r="L4724" s="504">
        <v>0</v>
      </c>
      <c r="M4724" s="504">
        <v>0</v>
      </c>
      <c r="N4724" s="504">
        <v>0</v>
      </c>
      <c r="O4724" s="505">
        <v>0</v>
      </c>
    </row>
    <row r="4725" spans="1:15" x14ac:dyDescent="0.35">
      <c r="A4725" s="500" t="s">
        <v>1385</v>
      </c>
      <c r="B4725" s="501" t="s">
        <v>3249</v>
      </c>
      <c r="C4725" s="501" t="s">
        <v>1094</v>
      </c>
      <c r="D4725" s="501" t="s">
        <v>3380</v>
      </c>
      <c r="E4725" s="501" t="s">
        <v>3381</v>
      </c>
      <c r="F4725" s="501" t="s">
        <v>709</v>
      </c>
      <c r="G4725" s="501" t="s">
        <v>710</v>
      </c>
      <c r="H4725" s="501" t="s">
        <v>7180</v>
      </c>
      <c r="I4725" s="501">
        <v>2</v>
      </c>
      <c r="J4725" s="501">
        <v>0</v>
      </c>
      <c r="K4725" s="501">
        <v>0</v>
      </c>
      <c r="L4725" s="501">
        <v>2</v>
      </c>
      <c r="M4725" s="501">
        <v>0</v>
      </c>
      <c r="N4725" s="501">
        <v>0</v>
      </c>
      <c r="O4725" s="506">
        <v>0</v>
      </c>
    </row>
    <row r="4726" spans="1:15" x14ac:dyDescent="0.35">
      <c r="A4726" s="503" t="s">
        <v>1100</v>
      </c>
      <c r="B4726" s="504">
        <v>4865</v>
      </c>
      <c r="C4726" s="504" t="s">
        <v>1094</v>
      </c>
      <c r="D4726" s="504" t="s">
        <v>3380</v>
      </c>
      <c r="E4726" s="504" t="s">
        <v>3381</v>
      </c>
      <c r="F4726" s="504" t="s">
        <v>709</v>
      </c>
      <c r="G4726" s="504" t="s">
        <v>710</v>
      </c>
      <c r="H4726" s="504" t="s">
        <v>7181</v>
      </c>
      <c r="I4726" s="504">
        <v>183</v>
      </c>
      <c r="J4726" s="504">
        <v>122</v>
      </c>
      <c r="K4726" s="504">
        <v>0</v>
      </c>
      <c r="L4726" s="504">
        <v>0</v>
      </c>
      <c r="M4726" s="504">
        <v>0</v>
      </c>
      <c r="N4726" s="504">
        <v>0</v>
      </c>
      <c r="O4726" s="505">
        <v>61</v>
      </c>
    </row>
    <row r="4727" spans="1:15" x14ac:dyDescent="0.35">
      <c r="A4727" s="500" t="s">
        <v>1833</v>
      </c>
      <c r="B4727" s="501" t="s">
        <v>2517</v>
      </c>
      <c r="C4727" s="501" t="s">
        <v>1089</v>
      </c>
      <c r="D4727" s="501" t="s">
        <v>3392</v>
      </c>
      <c r="E4727" s="501" t="s">
        <v>3381</v>
      </c>
      <c r="F4727" s="501" t="s">
        <v>709</v>
      </c>
      <c r="G4727" s="501" t="s">
        <v>710</v>
      </c>
      <c r="H4727" s="501" t="s">
        <v>7182</v>
      </c>
      <c r="I4727" s="501">
        <v>14</v>
      </c>
      <c r="J4727" s="501">
        <v>0</v>
      </c>
      <c r="K4727" s="501">
        <v>0</v>
      </c>
      <c r="L4727" s="501">
        <v>0</v>
      </c>
      <c r="M4727" s="501">
        <v>14</v>
      </c>
      <c r="N4727" s="501">
        <v>0</v>
      </c>
      <c r="O4727" s="506">
        <v>0</v>
      </c>
    </row>
    <row r="4728" spans="1:15" x14ac:dyDescent="0.35">
      <c r="A4728" s="503" t="s">
        <v>14208</v>
      </c>
      <c r="B4728" s="504">
        <v>4803</v>
      </c>
      <c r="C4728" s="504" t="s">
        <v>1094</v>
      </c>
      <c r="D4728" s="504" t="s">
        <v>3380</v>
      </c>
      <c r="E4728" s="504" t="s">
        <v>3381</v>
      </c>
      <c r="F4728" s="504" t="s">
        <v>709</v>
      </c>
      <c r="G4728" s="504" t="s">
        <v>710</v>
      </c>
      <c r="H4728" s="504" t="s">
        <v>14794</v>
      </c>
      <c r="I4728" s="504">
        <v>6</v>
      </c>
      <c r="J4728" s="504">
        <v>0</v>
      </c>
      <c r="K4728" s="504">
        <v>0</v>
      </c>
      <c r="L4728" s="504">
        <v>6</v>
      </c>
      <c r="M4728" s="504">
        <v>0</v>
      </c>
      <c r="N4728" s="504">
        <v>0</v>
      </c>
      <c r="O4728" s="505">
        <v>0</v>
      </c>
    </row>
    <row r="4729" spans="1:15" x14ac:dyDescent="0.35">
      <c r="A4729" s="500" t="s">
        <v>1185</v>
      </c>
      <c r="B4729" s="501" t="s">
        <v>3253</v>
      </c>
      <c r="C4729" s="501" t="s">
        <v>1094</v>
      </c>
      <c r="D4729" s="501" t="s">
        <v>3380</v>
      </c>
      <c r="E4729" s="501" t="s">
        <v>3381</v>
      </c>
      <c r="F4729" s="501" t="s">
        <v>709</v>
      </c>
      <c r="G4729" s="501" t="s">
        <v>710</v>
      </c>
      <c r="H4729" s="501" t="s">
        <v>7183</v>
      </c>
      <c r="I4729" s="501">
        <v>2</v>
      </c>
      <c r="J4729" s="501">
        <v>0</v>
      </c>
      <c r="K4729" s="501">
        <v>0</v>
      </c>
      <c r="L4729" s="501">
        <v>2</v>
      </c>
      <c r="M4729" s="501">
        <v>0</v>
      </c>
      <c r="N4729" s="501">
        <v>0</v>
      </c>
      <c r="O4729" s="506">
        <v>0</v>
      </c>
    </row>
    <row r="4730" spans="1:15" x14ac:dyDescent="0.35">
      <c r="A4730" s="503" t="s">
        <v>1187</v>
      </c>
      <c r="B4730" s="504" t="s">
        <v>2951</v>
      </c>
      <c r="C4730" s="504" t="s">
        <v>1094</v>
      </c>
      <c r="D4730" s="504" t="s">
        <v>3380</v>
      </c>
      <c r="E4730" s="504" t="s">
        <v>3381</v>
      </c>
      <c r="F4730" s="504" t="s">
        <v>709</v>
      </c>
      <c r="G4730" s="504" t="s">
        <v>710</v>
      </c>
      <c r="H4730" s="504" t="s">
        <v>7184</v>
      </c>
      <c r="I4730" s="504">
        <v>93</v>
      </c>
      <c r="J4730" s="504">
        <v>72</v>
      </c>
      <c r="K4730" s="504">
        <v>0</v>
      </c>
      <c r="L4730" s="504">
        <v>0</v>
      </c>
      <c r="M4730" s="504">
        <v>0</v>
      </c>
      <c r="N4730" s="504">
        <v>0</v>
      </c>
      <c r="O4730" s="505">
        <v>21</v>
      </c>
    </row>
    <row r="4731" spans="1:15" x14ac:dyDescent="0.35">
      <c r="A4731" s="500" t="s">
        <v>1105</v>
      </c>
      <c r="B4731" s="501">
        <v>4668</v>
      </c>
      <c r="C4731" s="501" t="s">
        <v>1094</v>
      </c>
      <c r="D4731" s="501" t="s">
        <v>3380</v>
      </c>
      <c r="E4731" s="501" t="s">
        <v>3381</v>
      </c>
      <c r="F4731" s="501" t="s">
        <v>709</v>
      </c>
      <c r="G4731" s="501" t="s">
        <v>710</v>
      </c>
      <c r="H4731" s="501" t="s">
        <v>14795</v>
      </c>
      <c r="I4731" s="501">
        <v>2</v>
      </c>
      <c r="J4731" s="501">
        <v>0</v>
      </c>
      <c r="K4731" s="501">
        <v>0</v>
      </c>
      <c r="L4731" s="501">
        <v>0</v>
      </c>
      <c r="M4731" s="501">
        <v>0</v>
      </c>
      <c r="N4731" s="501">
        <v>0</v>
      </c>
      <c r="O4731" s="506">
        <v>2</v>
      </c>
    </row>
    <row r="4732" spans="1:15" x14ac:dyDescent="0.35">
      <c r="A4732" s="503" t="s">
        <v>1107</v>
      </c>
      <c r="B4732" s="504" t="s">
        <v>3109</v>
      </c>
      <c r="C4732" s="504" t="s">
        <v>1094</v>
      </c>
      <c r="D4732" s="504" t="s">
        <v>3380</v>
      </c>
      <c r="E4732" s="504" t="s">
        <v>3381</v>
      </c>
      <c r="F4732" s="504" t="s">
        <v>709</v>
      </c>
      <c r="G4732" s="504" t="s">
        <v>710</v>
      </c>
      <c r="H4732" s="504" t="s">
        <v>7185</v>
      </c>
      <c r="I4732" s="504">
        <v>21</v>
      </c>
      <c r="J4732" s="504">
        <v>21</v>
      </c>
      <c r="K4732" s="504">
        <v>0</v>
      </c>
      <c r="L4732" s="504">
        <v>0</v>
      </c>
      <c r="M4732" s="504">
        <v>0</v>
      </c>
      <c r="N4732" s="504">
        <v>0</v>
      </c>
      <c r="O4732" s="505">
        <v>0</v>
      </c>
    </row>
    <row r="4733" spans="1:15" x14ac:dyDescent="0.35">
      <c r="A4733" s="500" t="s">
        <v>1109</v>
      </c>
      <c r="B4733" s="501" t="s">
        <v>2959</v>
      </c>
      <c r="C4733" s="501" t="s">
        <v>1094</v>
      </c>
      <c r="D4733" s="501" t="s">
        <v>3380</v>
      </c>
      <c r="E4733" s="501" t="s">
        <v>3381</v>
      </c>
      <c r="F4733" s="501" t="s">
        <v>709</v>
      </c>
      <c r="G4733" s="501" t="s">
        <v>710</v>
      </c>
      <c r="H4733" s="501" t="s">
        <v>7186</v>
      </c>
      <c r="I4733" s="501">
        <v>43</v>
      </c>
      <c r="J4733" s="501">
        <v>0</v>
      </c>
      <c r="K4733" s="501">
        <v>0</v>
      </c>
      <c r="L4733" s="501">
        <v>0</v>
      </c>
      <c r="M4733" s="501">
        <v>43</v>
      </c>
      <c r="N4733" s="501">
        <v>0</v>
      </c>
      <c r="O4733" s="506">
        <v>0</v>
      </c>
    </row>
    <row r="4734" spans="1:15" x14ac:dyDescent="0.35">
      <c r="A4734" s="503" t="s">
        <v>1189</v>
      </c>
      <c r="B4734" s="504" t="s">
        <v>3236</v>
      </c>
      <c r="C4734" s="504" t="s">
        <v>1094</v>
      </c>
      <c r="D4734" s="504" t="s">
        <v>3380</v>
      </c>
      <c r="E4734" s="504" t="s">
        <v>3381</v>
      </c>
      <c r="F4734" s="504" t="s">
        <v>709</v>
      </c>
      <c r="G4734" s="504" t="s">
        <v>710</v>
      </c>
      <c r="H4734" s="504" t="s">
        <v>7187</v>
      </c>
      <c r="I4734" s="504">
        <v>31</v>
      </c>
      <c r="J4734" s="504">
        <v>25</v>
      </c>
      <c r="K4734" s="504">
        <v>0</v>
      </c>
      <c r="L4734" s="504">
        <v>0</v>
      </c>
      <c r="M4734" s="504">
        <v>0</v>
      </c>
      <c r="N4734" s="504">
        <v>0</v>
      </c>
      <c r="O4734" s="505">
        <v>6</v>
      </c>
    </row>
    <row r="4735" spans="1:15" x14ac:dyDescent="0.35">
      <c r="A4735" s="500" t="s">
        <v>1190</v>
      </c>
      <c r="B4735" s="501">
        <v>4662</v>
      </c>
      <c r="C4735" s="501" t="s">
        <v>1094</v>
      </c>
      <c r="D4735" s="501" t="s">
        <v>3380</v>
      </c>
      <c r="E4735" s="501" t="s">
        <v>3381</v>
      </c>
      <c r="F4735" s="501" t="s">
        <v>709</v>
      </c>
      <c r="G4735" s="501" t="s">
        <v>710</v>
      </c>
      <c r="H4735" s="501" t="s">
        <v>7188</v>
      </c>
      <c r="I4735" s="501">
        <v>10</v>
      </c>
      <c r="J4735" s="501">
        <v>0</v>
      </c>
      <c r="K4735" s="501">
        <v>0</v>
      </c>
      <c r="L4735" s="501">
        <v>10</v>
      </c>
      <c r="M4735" s="501">
        <v>0</v>
      </c>
      <c r="N4735" s="501">
        <v>0</v>
      </c>
      <c r="O4735" s="506">
        <v>0</v>
      </c>
    </row>
    <row r="4736" spans="1:15" x14ac:dyDescent="0.35">
      <c r="A4736" s="503" t="s">
        <v>1310</v>
      </c>
      <c r="B4736" s="504">
        <v>5062</v>
      </c>
      <c r="C4736" s="504" t="s">
        <v>1089</v>
      </c>
      <c r="D4736" s="504" t="s">
        <v>3380</v>
      </c>
      <c r="E4736" s="504" t="s">
        <v>3381</v>
      </c>
      <c r="F4736" s="504" t="s">
        <v>709</v>
      </c>
      <c r="G4736" s="504" t="s">
        <v>710</v>
      </c>
      <c r="H4736" s="504" t="s">
        <v>14796</v>
      </c>
      <c r="I4736" s="504">
        <v>9</v>
      </c>
      <c r="J4736" s="504">
        <v>9</v>
      </c>
      <c r="K4736" s="504">
        <v>0</v>
      </c>
      <c r="L4736" s="504">
        <v>0</v>
      </c>
      <c r="M4736" s="504">
        <v>0</v>
      </c>
      <c r="N4736" s="504">
        <v>0</v>
      </c>
      <c r="O4736" s="505">
        <v>0</v>
      </c>
    </row>
    <row r="4737" spans="1:15" x14ac:dyDescent="0.35">
      <c r="A4737" s="500" t="s">
        <v>1202</v>
      </c>
      <c r="B4737" s="501" t="s">
        <v>3217</v>
      </c>
      <c r="C4737" s="501" t="s">
        <v>1094</v>
      </c>
      <c r="D4737" s="501" t="s">
        <v>3380</v>
      </c>
      <c r="E4737" s="501" t="s">
        <v>3381</v>
      </c>
      <c r="F4737" s="501" t="s">
        <v>709</v>
      </c>
      <c r="G4737" s="501" t="s">
        <v>710</v>
      </c>
      <c r="H4737" s="501" t="s">
        <v>7189</v>
      </c>
      <c r="I4737" s="501">
        <v>3</v>
      </c>
      <c r="J4737" s="501">
        <v>0</v>
      </c>
      <c r="K4737" s="501">
        <v>0</v>
      </c>
      <c r="L4737" s="501">
        <v>0</v>
      </c>
      <c r="M4737" s="501">
        <v>0</v>
      </c>
      <c r="N4737" s="501">
        <v>0</v>
      </c>
      <c r="O4737" s="506">
        <v>3</v>
      </c>
    </row>
    <row r="4738" spans="1:15" x14ac:dyDescent="0.35">
      <c r="A4738" s="503" t="s">
        <v>1863</v>
      </c>
      <c r="B4738" s="504" t="s">
        <v>3173</v>
      </c>
      <c r="C4738" s="504" t="s">
        <v>1094</v>
      </c>
      <c r="D4738" s="504" t="s">
        <v>3380</v>
      </c>
      <c r="E4738" s="504" t="s">
        <v>3381</v>
      </c>
      <c r="F4738" s="504" t="s">
        <v>709</v>
      </c>
      <c r="G4738" s="504" t="s">
        <v>710</v>
      </c>
      <c r="H4738" s="504" t="s">
        <v>7190</v>
      </c>
      <c r="I4738" s="504">
        <v>34</v>
      </c>
      <c r="J4738" s="504">
        <v>0</v>
      </c>
      <c r="K4738" s="504">
        <v>0</v>
      </c>
      <c r="L4738" s="504">
        <v>0</v>
      </c>
      <c r="M4738" s="504">
        <v>0</v>
      </c>
      <c r="N4738" s="504">
        <v>0</v>
      </c>
      <c r="O4738" s="505">
        <v>34</v>
      </c>
    </row>
    <row r="4739" spans="1:15" x14ac:dyDescent="0.35">
      <c r="A4739" s="500" t="s">
        <v>1114</v>
      </c>
      <c r="B4739" s="501" t="s">
        <v>2982</v>
      </c>
      <c r="C4739" s="501" t="s">
        <v>1094</v>
      </c>
      <c r="D4739" s="501" t="s">
        <v>3380</v>
      </c>
      <c r="E4739" s="501" t="s">
        <v>3381</v>
      </c>
      <c r="F4739" s="501" t="s">
        <v>709</v>
      </c>
      <c r="G4739" s="501" t="s">
        <v>710</v>
      </c>
      <c r="H4739" s="501" t="s">
        <v>7191</v>
      </c>
      <c r="I4739" s="501">
        <v>4</v>
      </c>
      <c r="J4739" s="501">
        <v>1</v>
      </c>
      <c r="K4739" s="501">
        <v>0</v>
      </c>
      <c r="L4739" s="501">
        <v>0</v>
      </c>
      <c r="M4739" s="501">
        <v>0</v>
      </c>
      <c r="N4739" s="501">
        <v>0</v>
      </c>
      <c r="O4739" s="506">
        <v>3</v>
      </c>
    </row>
    <row r="4740" spans="1:15" x14ac:dyDescent="0.35">
      <c r="A4740" s="503" t="s">
        <v>11414</v>
      </c>
      <c r="B4740" s="504" t="s">
        <v>2495</v>
      </c>
      <c r="C4740" s="504" t="s">
        <v>1089</v>
      </c>
      <c r="D4740" s="504" t="s">
        <v>3392</v>
      </c>
      <c r="E4740" s="504" t="s">
        <v>3381</v>
      </c>
      <c r="F4740" s="504" t="s">
        <v>709</v>
      </c>
      <c r="G4740" s="504" t="s">
        <v>710</v>
      </c>
      <c r="H4740" s="504" t="s">
        <v>11890</v>
      </c>
      <c r="I4740" s="504">
        <v>41</v>
      </c>
      <c r="J4740" s="504">
        <v>0</v>
      </c>
      <c r="K4740" s="504">
        <v>0</v>
      </c>
      <c r="L4740" s="504">
        <v>0</v>
      </c>
      <c r="M4740" s="504">
        <v>41</v>
      </c>
      <c r="N4740" s="504">
        <v>0</v>
      </c>
      <c r="O4740" s="505">
        <v>0</v>
      </c>
    </row>
    <row r="4741" spans="1:15" x14ac:dyDescent="0.35">
      <c r="A4741" s="500" t="s">
        <v>1217</v>
      </c>
      <c r="B4741" s="501">
        <v>4851</v>
      </c>
      <c r="C4741" s="501" t="s">
        <v>1094</v>
      </c>
      <c r="D4741" s="501" t="s">
        <v>3380</v>
      </c>
      <c r="E4741" s="501" t="s">
        <v>3381</v>
      </c>
      <c r="F4741" s="501" t="s">
        <v>709</v>
      </c>
      <c r="G4741" s="501" t="s">
        <v>710</v>
      </c>
      <c r="H4741" s="501" t="s">
        <v>7192</v>
      </c>
      <c r="I4741" s="501">
        <v>121</v>
      </c>
      <c r="J4741" s="501">
        <v>63</v>
      </c>
      <c r="K4741" s="501">
        <v>0</v>
      </c>
      <c r="L4741" s="501">
        <v>6</v>
      </c>
      <c r="M4741" s="501">
        <v>0</v>
      </c>
      <c r="N4741" s="501">
        <v>0</v>
      </c>
      <c r="O4741" s="506">
        <v>52</v>
      </c>
    </row>
    <row r="4742" spans="1:15" x14ac:dyDescent="0.35">
      <c r="A4742" s="503" t="s">
        <v>1218</v>
      </c>
      <c r="B4742" s="504" t="s">
        <v>3147</v>
      </c>
      <c r="C4742" s="504" t="s">
        <v>1094</v>
      </c>
      <c r="D4742" s="504" t="s">
        <v>3380</v>
      </c>
      <c r="E4742" s="504" t="s">
        <v>3381</v>
      </c>
      <c r="F4742" s="504" t="s">
        <v>709</v>
      </c>
      <c r="G4742" s="504" t="s">
        <v>710</v>
      </c>
      <c r="H4742" s="504" t="s">
        <v>7193</v>
      </c>
      <c r="I4742" s="504">
        <v>59</v>
      </c>
      <c r="J4742" s="504">
        <v>0</v>
      </c>
      <c r="K4742" s="504">
        <v>0</v>
      </c>
      <c r="L4742" s="504">
        <v>0</v>
      </c>
      <c r="M4742" s="504">
        <v>0</v>
      </c>
      <c r="N4742" s="504">
        <v>0</v>
      </c>
      <c r="O4742" s="505">
        <v>59</v>
      </c>
    </row>
    <row r="4743" spans="1:15" x14ac:dyDescent="0.35">
      <c r="A4743" s="500" t="s">
        <v>11367</v>
      </c>
      <c r="B4743" s="501" t="s">
        <v>3143</v>
      </c>
      <c r="C4743" s="501" t="s">
        <v>1094</v>
      </c>
      <c r="D4743" s="501" t="s">
        <v>3380</v>
      </c>
      <c r="E4743" s="501" t="s">
        <v>3381</v>
      </c>
      <c r="F4743" s="501" t="s">
        <v>709</v>
      </c>
      <c r="G4743" s="501" t="s">
        <v>710</v>
      </c>
      <c r="H4743" s="501" t="s">
        <v>11934</v>
      </c>
      <c r="I4743" s="501">
        <v>53</v>
      </c>
      <c r="J4743" s="501">
        <v>46</v>
      </c>
      <c r="K4743" s="501">
        <v>0</v>
      </c>
      <c r="L4743" s="501">
        <v>7</v>
      </c>
      <c r="M4743" s="501">
        <v>0</v>
      </c>
      <c r="N4743" s="501">
        <v>0</v>
      </c>
      <c r="O4743" s="506">
        <v>0</v>
      </c>
    </row>
    <row r="4744" spans="1:15" x14ac:dyDescent="0.35">
      <c r="A4744" s="503" t="s">
        <v>1875</v>
      </c>
      <c r="B4744" s="504" t="s">
        <v>3057</v>
      </c>
      <c r="C4744" s="504" t="s">
        <v>1089</v>
      </c>
      <c r="D4744" s="504" t="s">
        <v>3392</v>
      </c>
      <c r="E4744" s="504" t="s">
        <v>3381</v>
      </c>
      <c r="F4744" s="504" t="s">
        <v>709</v>
      </c>
      <c r="G4744" s="504" t="s">
        <v>710</v>
      </c>
      <c r="H4744" s="504" t="s">
        <v>7194</v>
      </c>
      <c r="I4744" s="504">
        <v>17</v>
      </c>
      <c r="J4744" s="504">
        <v>0</v>
      </c>
      <c r="K4744" s="504">
        <v>0</v>
      </c>
      <c r="L4744" s="504">
        <v>0</v>
      </c>
      <c r="M4744" s="504">
        <v>17</v>
      </c>
      <c r="N4744" s="504">
        <v>0</v>
      </c>
      <c r="O4744" s="505">
        <v>0</v>
      </c>
    </row>
    <row r="4745" spans="1:15" x14ac:dyDescent="0.35">
      <c r="A4745" s="500" t="s">
        <v>1122</v>
      </c>
      <c r="B4745" s="501" t="s">
        <v>2994</v>
      </c>
      <c r="C4745" s="501" t="s">
        <v>1094</v>
      </c>
      <c r="D4745" s="501" t="s">
        <v>3380</v>
      </c>
      <c r="E4745" s="501" t="s">
        <v>3381</v>
      </c>
      <c r="F4745" s="501" t="s">
        <v>709</v>
      </c>
      <c r="G4745" s="501" t="s">
        <v>710</v>
      </c>
      <c r="H4745" s="501" t="s">
        <v>7195</v>
      </c>
      <c r="I4745" s="501">
        <v>69</v>
      </c>
      <c r="J4745" s="501">
        <v>69</v>
      </c>
      <c r="K4745" s="501">
        <v>0</v>
      </c>
      <c r="L4745" s="501">
        <v>0</v>
      </c>
      <c r="M4745" s="501">
        <v>0</v>
      </c>
      <c r="N4745" s="501">
        <v>0</v>
      </c>
      <c r="O4745" s="506">
        <v>0</v>
      </c>
    </row>
    <row r="4746" spans="1:15" x14ac:dyDescent="0.35">
      <c r="A4746" s="503" t="s">
        <v>1536</v>
      </c>
      <c r="B4746" s="504" t="s">
        <v>3178</v>
      </c>
      <c r="C4746" s="504" t="s">
        <v>1094</v>
      </c>
      <c r="D4746" s="504" t="s">
        <v>3380</v>
      </c>
      <c r="E4746" s="504" t="s">
        <v>3381</v>
      </c>
      <c r="F4746" s="504" t="s">
        <v>709</v>
      </c>
      <c r="G4746" s="504" t="s">
        <v>710</v>
      </c>
      <c r="H4746" s="504" t="s">
        <v>7196</v>
      </c>
      <c r="I4746" s="504">
        <v>22</v>
      </c>
      <c r="J4746" s="504">
        <v>6</v>
      </c>
      <c r="K4746" s="504">
        <v>0</v>
      </c>
      <c r="L4746" s="504">
        <v>0</v>
      </c>
      <c r="M4746" s="504">
        <v>0</v>
      </c>
      <c r="N4746" s="504">
        <v>0</v>
      </c>
      <c r="O4746" s="505">
        <v>16</v>
      </c>
    </row>
    <row r="4747" spans="1:15" x14ac:dyDescent="0.35">
      <c r="A4747" s="500" t="s">
        <v>1233</v>
      </c>
      <c r="B4747" s="501">
        <v>4636</v>
      </c>
      <c r="C4747" s="501" t="s">
        <v>1094</v>
      </c>
      <c r="D4747" s="501" t="s">
        <v>3380</v>
      </c>
      <c r="E4747" s="501" t="s">
        <v>3381</v>
      </c>
      <c r="F4747" s="501" t="s">
        <v>709</v>
      </c>
      <c r="G4747" s="501" t="s">
        <v>710</v>
      </c>
      <c r="H4747" s="501" t="s">
        <v>7197</v>
      </c>
      <c r="I4747" s="501">
        <v>78</v>
      </c>
      <c r="J4747" s="501">
        <v>38</v>
      </c>
      <c r="K4747" s="501">
        <v>0</v>
      </c>
      <c r="L4747" s="501">
        <v>0</v>
      </c>
      <c r="M4747" s="501">
        <v>0</v>
      </c>
      <c r="N4747" s="501">
        <v>0</v>
      </c>
      <c r="O4747" s="506">
        <v>40</v>
      </c>
    </row>
    <row r="4748" spans="1:15" x14ac:dyDescent="0.35">
      <c r="A4748" s="503" t="s">
        <v>11368</v>
      </c>
      <c r="B4748" s="504">
        <v>5083</v>
      </c>
      <c r="C4748" s="504" t="s">
        <v>1094</v>
      </c>
      <c r="D4748" s="504" t="s">
        <v>3380</v>
      </c>
      <c r="E4748" s="504" t="s">
        <v>3381</v>
      </c>
      <c r="F4748" s="504" t="s">
        <v>709</v>
      </c>
      <c r="G4748" s="504" t="s">
        <v>710</v>
      </c>
      <c r="H4748" s="504" t="s">
        <v>12062</v>
      </c>
      <c r="I4748" s="504">
        <v>28</v>
      </c>
      <c r="J4748" s="504">
        <v>28</v>
      </c>
      <c r="K4748" s="504">
        <v>0</v>
      </c>
      <c r="L4748" s="504">
        <v>0</v>
      </c>
      <c r="M4748" s="504">
        <v>0</v>
      </c>
      <c r="N4748" s="504">
        <v>0</v>
      </c>
      <c r="O4748" s="505">
        <v>0</v>
      </c>
    </row>
    <row r="4749" spans="1:15" x14ac:dyDescent="0.35">
      <c r="A4749" s="500" t="s">
        <v>1234</v>
      </c>
      <c r="B4749" s="501" t="s">
        <v>3291</v>
      </c>
      <c r="C4749" s="501" t="s">
        <v>1094</v>
      </c>
      <c r="D4749" s="501" t="s">
        <v>3380</v>
      </c>
      <c r="E4749" s="501" t="s">
        <v>3381</v>
      </c>
      <c r="F4749" s="501" t="s">
        <v>709</v>
      </c>
      <c r="G4749" s="501" t="s">
        <v>710</v>
      </c>
      <c r="H4749" s="501" t="s">
        <v>7198</v>
      </c>
      <c r="I4749" s="501">
        <v>42</v>
      </c>
      <c r="J4749" s="501">
        <v>0</v>
      </c>
      <c r="K4749" s="501">
        <v>0</v>
      </c>
      <c r="L4749" s="501">
        <v>42</v>
      </c>
      <c r="M4749" s="501">
        <v>0</v>
      </c>
      <c r="N4749" s="501">
        <v>0</v>
      </c>
      <c r="O4749" s="506">
        <v>0</v>
      </c>
    </row>
    <row r="4750" spans="1:15" x14ac:dyDescent="0.35">
      <c r="A4750" s="503" t="s">
        <v>1126</v>
      </c>
      <c r="B4750" s="504" t="s">
        <v>2974</v>
      </c>
      <c r="C4750" s="504" t="s">
        <v>1094</v>
      </c>
      <c r="D4750" s="504" t="s">
        <v>3380</v>
      </c>
      <c r="E4750" s="504" t="s">
        <v>3381</v>
      </c>
      <c r="F4750" s="504" t="s">
        <v>709</v>
      </c>
      <c r="G4750" s="504" t="s">
        <v>710</v>
      </c>
      <c r="H4750" s="504" t="s">
        <v>7199</v>
      </c>
      <c r="I4750" s="504">
        <v>5</v>
      </c>
      <c r="J4750" s="504">
        <v>5</v>
      </c>
      <c r="K4750" s="504">
        <v>0</v>
      </c>
      <c r="L4750" s="504">
        <v>0</v>
      </c>
      <c r="M4750" s="504">
        <v>0</v>
      </c>
      <c r="N4750" s="504">
        <v>0</v>
      </c>
      <c r="O4750" s="505">
        <v>0</v>
      </c>
    </row>
    <row r="4751" spans="1:15" x14ac:dyDescent="0.35">
      <c r="A4751" s="500" t="s">
        <v>1892</v>
      </c>
      <c r="B4751" s="501" t="s">
        <v>3172</v>
      </c>
      <c r="C4751" s="501" t="s">
        <v>1094</v>
      </c>
      <c r="D4751" s="501" t="s">
        <v>3380</v>
      </c>
      <c r="E4751" s="501" t="s">
        <v>3381</v>
      </c>
      <c r="F4751" s="501" t="s">
        <v>709</v>
      </c>
      <c r="G4751" s="501" t="s">
        <v>710</v>
      </c>
      <c r="H4751" s="501" t="s">
        <v>7200</v>
      </c>
      <c r="I4751" s="501">
        <v>75</v>
      </c>
      <c r="J4751" s="501">
        <v>25</v>
      </c>
      <c r="K4751" s="501">
        <v>0</v>
      </c>
      <c r="L4751" s="501">
        <v>9</v>
      </c>
      <c r="M4751" s="501">
        <v>30</v>
      </c>
      <c r="N4751" s="501">
        <v>0</v>
      </c>
      <c r="O4751" s="506">
        <v>11</v>
      </c>
    </row>
    <row r="4752" spans="1:15" x14ac:dyDescent="0.35">
      <c r="A4752" s="503" t="s">
        <v>1899</v>
      </c>
      <c r="B4752" s="504" t="s">
        <v>3078</v>
      </c>
      <c r="C4752" s="504" t="s">
        <v>1089</v>
      </c>
      <c r="D4752" s="504" t="s">
        <v>3392</v>
      </c>
      <c r="E4752" s="504" t="s">
        <v>3381</v>
      </c>
      <c r="F4752" s="504" t="s">
        <v>709</v>
      </c>
      <c r="G4752" s="504" t="s">
        <v>710</v>
      </c>
      <c r="H4752" s="504" t="s">
        <v>7201</v>
      </c>
      <c r="I4752" s="504">
        <v>60</v>
      </c>
      <c r="J4752" s="504">
        <v>0</v>
      </c>
      <c r="K4752" s="504">
        <v>0</v>
      </c>
      <c r="L4752" s="504">
        <v>60</v>
      </c>
      <c r="M4752" s="504">
        <v>0</v>
      </c>
      <c r="N4752" s="504">
        <v>0</v>
      </c>
      <c r="O4752" s="505">
        <v>0</v>
      </c>
    </row>
    <row r="4753" spans="1:15" x14ac:dyDescent="0.35">
      <c r="A4753" s="500" t="s">
        <v>1130</v>
      </c>
      <c r="B4753" s="501" t="s">
        <v>3234</v>
      </c>
      <c r="C4753" s="501" t="s">
        <v>1094</v>
      </c>
      <c r="D4753" s="501" t="s">
        <v>3380</v>
      </c>
      <c r="E4753" s="501" t="s">
        <v>3381</v>
      </c>
      <c r="F4753" s="501" t="s">
        <v>709</v>
      </c>
      <c r="G4753" s="501" t="s">
        <v>710</v>
      </c>
      <c r="H4753" s="501" t="s">
        <v>7202</v>
      </c>
      <c r="I4753" s="501">
        <v>515</v>
      </c>
      <c r="J4753" s="501">
        <v>372</v>
      </c>
      <c r="K4753" s="501">
        <v>0</v>
      </c>
      <c r="L4753" s="501">
        <v>1</v>
      </c>
      <c r="M4753" s="501">
        <v>93</v>
      </c>
      <c r="N4753" s="501">
        <v>11</v>
      </c>
      <c r="O4753" s="506">
        <v>49</v>
      </c>
    </row>
    <row r="4754" spans="1:15" x14ac:dyDescent="0.35">
      <c r="A4754" s="503" t="s">
        <v>1134</v>
      </c>
      <c r="B4754" s="504" t="s">
        <v>3066</v>
      </c>
      <c r="C4754" s="504" t="s">
        <v>1094</v>
      </c>
      <c r="D4754" s="504" t="s">
        <v>3380</v>
      </c>
      <c r="E4754" s="504" t="s">
        <v>3381</v>
      </c>
      <c r="F4754" s="504" t="s">
        <v>709</v>
      </c>
      <c r="G4754" s="504" t="s">
        <v>710</v>
      </c>
      <c r="H4754" s="504" t="s">
        <v>14797</v>
      </c>
      <c r="I4754" s="504">
        <v>22</v>
      </c>
      <c r="J4754" s="504">
        <v>2</v>
      </c>
      <c r="K4754" s="504">
        <v>0</v>
      </c>
      <c r="L4754" s="504">
        <v>0</v>
      </c>
      <c r="M4754" s="504">
        <v>0</v>
      </c>
      <c r="N4754" s="504">
        <v>0</v>
      </c>
      <c r="O4754" s="505">
        <v>20</v>
      </c>
    </row>
    <row r="4755" spans="1:15" x14ac:dyDescent="0.35">
      <c r="A4755" s="500" t="s">
        <v>1904</v>
      </c>
      <c r="B4755" s="501" t="s">
        <v>3238</v>
      </c>
      <c r="C4755" s="501" t="s">
        <v>1089</v>
      </c>
      <c r="D4755" s="501" t="s">
        <v>3392</v>
      </c>
      <c r="E4755" s="501" t="s">
        <v>3381</v>
      </c>
      <c r="F4755" s="501" t="s">
        <v>709</v>
      </c>
      <c r="G4755" s="501" t="s">
        <v>710</v>
      </c>
      <c r="H4755" s="501" t="s">
        <v>7203</v>
      </c>
      <c r="I4755" s="501">
        <v>134</v>
      </c>
      <c r="J4755" s="501">
        <v>0</v>
      </c>
      <c r="K4755" s="501">
        <v>0</v>
      </c>
      <c r="L4755" s="501">
        <v>0</v>
      </c>
      <c r="M4755" s="501">
        <v>134</v>
      </c>
      <c r="N4755" s="501">
        <v>0</v>
      </c>
      <c r="O4755" s="506">
        <v>0</v>
      </c>
    </row>
    <row r="4756" spans="1:15" x14ac:dyDescent="0.35">
      <c r="A4756" s="503" t="s">
        <v>1910</v>
      </c>
      <c r="B4756" s="504" t="s">
        <v>2882</v>
      </c>
      <c r="C4756" s="504" t="s">
        <v>1089</v>
      </c>
      <c r="D4756" s="504" t="s">
        <v>3392</v>
      </c>
      <c r="E4756" s="504" t="s">
        <v>3381</v>
      </c>
      <c r="F4756" s="504" t="s">
        <v>709</v>
      </c>
      <c r="G4756" s="504" t="s">
        <v>710</v>
      </c>
      <c r="H4756" s="504" t="s">
        <v>7204</v>
      </c>
      <c r="I4756" s="504">
        <v>9</v>
      </c>
      <c r="J4756" s="504">
        <v>0</v>
      </c>
      <c r="K4756" s="504">
        <v>0</v>
      </c>
      <c r="L4756" s="504">
        <v>9</v>
      </c>
      <c r="M4756" s="504">
        <v>0</v>
      </c>
      <c r="N4756" s="504">
        <v>0</v>
      </c>
      <c r="O4756" s="505">
        <v>0</v>
      </c>
    </row>
    <row r="4757" spans="1:15" x14ac:dyDescent="0.35">
      <c r="A4757" s="500" t="s">
        <v>1249</v>
      </c>
      <c r="B4757" s="501">
        <v>4729</v>
      </c>
      <c r="C4757" s="501" t="s">
        <v>1094</v>
      </c>
      <c r="D4757" s="501" t="s">
        <v>3380</v>
      </c>
      <c r="E4757" s="501" t="s">
        <v>3381</v>
      </c>
      <c r="F4757" s="501" t="s">
        <v>709</v>
      </c>
      <c r="G4757" s="501" t="s">
        <v>710</v>
      </c>
      <c r="H4757" s="501" t="s">
        <v>7205</v>
      </c>
      <c r="I4757" s="501">
        <v>349</v>
      </c>
      <c r="J4757" s="501">
        <v>253</v>
      </c>
      <c r="K4757" s="501">
        <v>0</v>
      </c>
      <c r="L4757" s="501">
        <v>0</v>
      </c>
      <c r="M4757" s="501">
        <v>70</v>
      </c>
      <c r="N4757" s="501">
        <v>0</v>
      </c>
      <c r="O4757" s="506">
        <v>26</v>
      </c>
    </row>
    <row r="4758" spans="1:15" x14ac:dyDescent="0.35">
      <c r="A4758" s="503" t="s">
        <v>1385</v>
      </c>
      <c r="B4758" s="504" t="s">
        <v>3249</v>
      </c>
      <c r="C4758" s="504" t="s">
        <v>1094</v>
      </c>
      <c r="D4758" s="504" t="s">
        <v>3380</v>
      </c>
      <c r="E4758" s="504" t="s">
        <v>3381</v>
      </c>
      <c r="F4758" s="504" t="s">
        <v>711</v>
      </c>
      <c r="G4758" s="504" t="s">
        <v>712</v>
      </c>
      <c r="H4758" s="504" t="s">
        <v>7206</v>
      </c>
      <c r="I4758" s="504">
        <v>29</v>
      </c>
      <c r="J4758" s="504">
        <v>29</v>
      </c>
      <c r="K4758" s="504">
        <v>0</v>
      </c>
      <c r="L4758" s="504">
        <v>0</v>
      </c>
      <c r="M4758" s="504">
        <v>0</v>
      </c>
      <c r="N4758" s="504">
        <v>0</v>
      </c>
      <c r="O4758" s="505">
        <v>0</v>
      </c>
    </row>
    <row r="4759" spans="1:15" x14ac:dyDescent="0.35">
      <c r="A4759" s="500" t="s">
        <v>1096</v>
      </c>
      <c r="B4759" s="501" t="s">
        <v>3326</v>
      </c>
      <c r="C4759" s="501" t="s">
        <v>1094</v>
      </c>
      <c r="D4759" s="501" t="s">
        <v>3380</v>
      </c>
      <c r="E4759" s="501" t="s">
        <v>3381</v>
      </c>
      <c r="F4759" s="501" t="s">
        <v>711</v>
      </c>
      <c r="G4759" s="501" t="s">
        <v>712</v>
      </c>
      <c r="H4759" s="501" t="s">
        <v>7207</v>
      </c>
      <c r="I4759" s="501">
        <v>68</v>
      </c>
      <c r="J4759" s="501">
        <v>0</v>
      </c>
      <c r="K4759" s="501">
        <v>0</v>
      </c>
      <c r="L4759" s="501">
        <v>0</v>
      </c>
      <c r="M4759" s="501">
        <v>68</v>
      </c>
      <c r="N4759" s="501">
        <v>0</v>
      </c>
      <c r="O4759" s="506">
        <v>0</v>
      </c>
    </row>
    <row r="4760" spans="1:15" x14ac:dyDescent="0.35">
      <c r="A4760" s="503" t="s">
        <v>1270</v>
      </c>
      <c r="B4760" s="504" t="s">
        <v>3304</v>
      </c>
      <c r="C4760" s="504" t="s">
        <v>1089</v>
      </c>
      <c r="D4760" s="504" t="s">
        <v>3392</v>
      </c>
      <c r="E4760" s="504" t="s">
        <v>3381</v>
      </c>
      <c r="F4760" s="504" t="s">
        <v>711</v>
      </c>
      <c r="G4760" s="504" t="s">
        <v>712</v>
      </c>
      <c r="H4760" s="504" t="s">
        <v>7208</v>
      </c>
      <c r="I4760" s="504">
        <v>8</v>
      </c>
      <c r="J4760" s="504">
        <v>8</v>
      </c>
      <c r="K4760" s="504">
        <v>0</v>
      </c>
      <c r="L4760" s="504">
        <v>0</v>
      </c>
      <c r="M4760" s="504">
        <v>0</v>
      </c>
      <c r="N4760" s="504">
        <v>0</v>
      </c>
      <c r="O4760" s="505">
        <v>0</v>
      </c>
    </row>
    <row r="4761" spans="1:15" x14ac:dyDescent="0.35">
      <c r="A4761" s="500" t="s">
        <v>1277</v>
      </c>
      <c r="B4761" s="501" t="s">
        <v>3056</v>
      </c>
      <c r="C4761" s="501" t="s">
        <v>1089</v>
      </c>
      <c r="D4761" s="501" t="s">
        <v>3392</v>
      </c>
      <c r="E4761" s="501" t="s">
        <v>3381</v>
      </c>
      <c r="F4761" s="501" t="s">
        <v>711</v>
      </c>
      <c r="G4761" s="501" t="s">
        <v>712</v>
      </c>
      <c r="H4761" s="501" t="s">
        <v>14798</v>
      </c>
      <c r="I4761" s="501">
        <v>4</v>
      </c>
      <c r="J4761" s="501">
        <v>0</v>
      </c>
      <c r="K4761" s="501">
        <v>0</v>
      </c>
      <c r="L4761" s="501">
        <v>4</v>
      </c>
      <c r="M4761" s="501">
        <v>0</v>
      </c>
      <c r="N4761" s="501">
        <v>0</v>
      </c>
      <c r="O4761" s="506">
        <v>0</v>
      </c>
    </row>
    <row r="4762" spans="1:15" x14ac:dyDescent="0.35">
      <c r="A4762" s="503" t="s">
        <v>1410</v>
      </c>
      <c r="B4762" s="504" t="s">
        <v>2868</v>
      </c>
      <c r="C4762" s="504" t="s">
        <v>1094</v>
      </c>
      <c r="D4762" s="504" t="s">
        <v>3380</v>
      </c>
      <c r="E4762" s="504" t="s">
        <v>3381</v>
      </c>
      <c r="F4762" s="504" t="s">
        <v>711</v>
      </c>
      <c r="G4762" s="504" t="s">
        <v>712</v>
      </c>
      <c r="H4762" s="504" t="s">
        <v>7209</v>
      </c>
      <c r="I4762" s="504">
        <v>5</v>
      </c>
      <c r="J4762" s="504">
        <v>1</v>
      </c>
      <c r="K4762" s="504">
        <v>4</v>
      </c>
      <c r="L4762" s="504">
        <v>0</v>
      </c>
      <c r="M4762" s="504">
        <v>0</v>
      </c>
      <c r="N4762" s="504">
        <v>0</v>
      </c>
      <c r="O4762" s="505">
        <v>0</v>
      </c>
    </row>
    <row r="4763" spans="1:15" x14ac:dyDescent="0.35">
      <c r="A4763" s="500" t="s">
        <v>1411</v>
      </c>
      <c r="B4763" s="501" t="s">
        <v>2873</v>
      </c>
      <c r="C4763" s="501" t="s">
        <v>1089</v>
      </c>
      <c r="D4763" s="501" t="s">
        <v>3392</v>
      </c>
      <c r="E4763" s="501" t="s">
        <v>3381</v>
      </c>
      <c r="F4763" s="501" t="s">
        <v>711</v>
      </c>
      <c r="G4763" s="501" t="s">
        <v>712</v>
      </c>
      <c r="H4763" s="501" t="s">
        <v>7210</v>
      </c>
      <c r="I4763" s="501">
        <v>20</v>
      </c>
      <c r="J4763" s="501">
        <v>16</v>
      </c>
      <c r="K4763" s="501">
        <v>4</v>
      </c>
      <c r="L4763" s="501">
        <v>0</v>
      </c>
      <c r="M4763" s="501">
        <v>0</v>
      </c>
      <c r="N4763" s="501">
        <v>0</v>
      </c>
      <c r="O4763" s="506">
        <v>0</v>
      </c>
    </row>
    <row r="4764" spans="1:15" x14ac:dyDescent="0.35">
      <c r="A4764" s="503" t="s">
        <v>1285</v>
      </c>
      <c r="B4764" s="504" t="s">
        <v>3120</v>
      </c>
      <c r="C4764" s="504" t="s">
        <v>1089</v>
      </c>
      <c r="D4764" s="504" t="s">
        <v>3392</v>
      </c>
      <c r="E4764" s="504" t="s">
        <v>3381</v>
      </c>
      <c r="F4764" s="504" t="s">
        <v>711</v>
      </c>
      <c r="G4764" s="504" t="s">
        <v>712</v>
      </c>
      <c r="H4764" s="504" t="s">
        <v>7211</v>
      </c>
      <c r="I4764" s="504">
        <v>141</v>
      </c>
      <c r="J4764" s="504">
        <v>122</v>
      </c>
      <c r="K4764" s="504">
        <v>19</v>
      </c>
      <c r="L4764" s="504">
        <v>0</v>
      </c>
      <c r="M4764" s="504">
        <v>0</v>
      </c>
      <c r="N4764" s="504">
        <v>0</v>
      </c>
      <c r="O4764" s="505">
        <v>0</v>
      </c>
    </row>
    <row r="4765" spans="1:15" x14ac:dyDescent="0.35">
      <c r="A4765" s="500" t="s">
        <v>1415</v>
      </c>
      <c r="B4765" s="501" t="s">
        <v>3070</v>
      </c>
      <c r="C4765" s="501" t="s">
        <v>1089</v>
      </c>
      <c r="D4765" s="501" t="s">
        <v>3392</v>
      </c>
      <c r="E4765" s="501" t="s">
        <v>3381</v>
      </c>
      <c r="F4765" s="501" t="s">
        <v>711</v>
      </c>
      <c r="G4765" s="501" t="s">
        <v>712</v>
      </c>
      <c r="H4765" s="501" t="s">
        <v>7212</v>
      </c>
      <c r="I4765" s="501">
        <v>16</v>
      </c>
      <c r="J4765" s="501">
        <v>0</v>
      </c>
      <c r="K4765" s="501">
        <v>0</v>
      </c>
      <c r="L4765" s="501">
        <v>0</v>
      </c>
      <c r="M4765" s="501">
        <v>16</v>
      </c>
      <c r="N4765" s="501">
        <v>0</v>
      </c>
      <c r="O4765" s="506">
        <v>0</v>
      </c>
    </row>
    <row r="4766" spans="1:15" x14ac:dyDescent="0.35">
      <c r="A4766" s="503" t="s">
        <v>1100</v>
      </c>
      <c r="B4766" s="504">
        <v>4865</v>
      </c>
      <c r="C4766" s="504" t="s">
        <v>1094</v>
      </c>
      <c r="D4766" s="504" t="s">
        <v>3380</v>
      </c>
      <c r="E4766" s="504" t="s">
        <v>3381</v>
      </c>
      <c r="F4766" s="504" t="s">
        <v>711</v>
      </c>
      <c r="G4766" s="504" t="s">
        <v>712</v>
      </c>
      <c r="H4766" s="504" t="s">
        <v>7213</v>
      </c>
      <c r="I4766" s="504">
        <v>1069</v>
      </c>
      <c r="J4766" s="504">
        <v>724</v>
      </c>
      <c r="K4766" s="504">
        <v>0</v>
      </c>
      <c r="L4766" s="504">
        <v>0</v>
      </c>
      <c r="M4766" s="504">
        <v>111</v>
      </c>
      <c r="N4766" s="504">
        <v>0</v>
      </c>
      <c r="O4766" s="505">
        <v>234</v>
      </c>
    </row>
    <row r="4767" spans="1:15" x14ac:dyDescent="0.35">
      <c r="A4767" s="500" t="s">
        <v>1692</v>
      </c>
      <c r="B4767" s="501">
        <v>4780</v>
      </c>
      <c r="C4767" s="501" t="s">
        <v>1089</v>
      </c>
      <c r="D4767" s="501" t="s">
        <v>3392</v>
      </c>
      <c r="E4767" s="501" t="s">
        <v>3381</v>
      </c>
      <c r="F4767" s="501" t="s">
        <v>711</v>
      </c>
      <c r="G4767" s="501" t="s">
        <v>712</v>
      </c>
      <c r="H4767" s="501" t="s">
        <v>11653</v>
      </c>
      <c r="I4767" s="501">
        <v>28</v>
      </c>
      <c r="J4767" s="501">
        <v>0</v>
      </c>
      <c r="K4767" s="501">
        <v>28</v>
      </c>
      <c r="L4767" s="501">
        <v>0</v>
      </c>
      <c r="M4767" s="501">
        <v>0</v>
      </c>
      <c r="N4767" s="501">
        <v>28</v>
      </c>
      <c r="O4767" s="506">
        <v>0</v>
      </c>
    </row>
    <row r="4768" spans="1:15" x14ac:dyDescent="0.35">
      <c r="A4768" s="503" t="s">
        <v>1420</v>
      </c>
      <c r="B4768" s="504">
        <v>4764</v>
      </c>
      <c r="C4768" s="504" t="s">
        <v>1089</v>
      </c>
      <c r="D4768" s="504" t="s">
        <v>3392</v>
      </c>
      <c r="E4768" s="504" t="s">
        <v>3381</v>
      </c>
      <c r="F4768" s="504" t="s">
        <v>711</v>
      </c>
      <c r="G4768" s="504" t="s">
        <v>712</v>
      </c>
      <c r="H4768" s="504" t="s">
        <v>14799</v>
      </c>
      <c r="I4768" s="504">
        <v>2</v>
      </c>
      <c r="J4768" s="504">
        <v>2</v>
      </c>
      <c r="K4768" s="504">
        <v>0</v>
      </c>
      <c r="L4768" s="504">
        <v>0</v>
      </c>
      <c r="M4768" s="504">
        <v>0</v>
      </c>
      <c r="N4768" s="504">
        <v>0</v>
      </c>
      <c r="O4768" s="505">
        <v>0</v>
      </c>
    </row>
    <row r="4769" spans="1:15" x14ac:dyDescent="0.35">
      <c r="A4769" s="500" t="s">
        <v>1426</v>
      </c>
      <c r="B4769" s="501" t="s">
        <v>2786</v>
      </c>
      <c r="C4769" s="501" t="s">
        <v>1089</v>
      </c>
      <c r="D4769" s="501" t="s">
        <v>3392</v>
      </c>
      <c r="E4769" s="501" t="s">
        <v>3381</v>
      </c>
      <c r="F4769" s="501" t="s">
        <v>711</v>
      </c>
      <c r="G4769" s="501" t="s">
        <v>712</v>
      </c>
      <c r="H4769" s="501" t="s">
        <v>7214</v>
      </c>
      <c r="I4769" s="501">
        <v>19</v>
      </c>
      <c r="J4769" s="501">
        <v>19</v>
      </c>
      <c r="K4769" s="501">
        <v>0</v>
      </c>
      <c r="L4769" s="501">
        <v>0</v>
      </c>
      <c r="M4769" s="501">
        <v>0</v>
      </c>
      <c r="N4769" s="501">
        <v>0</v>
      </c>
      <c r="O4769" s="506">
        <v>0</v>
      </c>
    </row>
    <row r="4770" spans="1:15" x14ac:dyDescent="0.35">
      <c r="A4770" s="503" t="s">
        <v>11385</v>
      </c>
      <c r="B4770" s="504">
        <v>4787</v>
      </c>
      <c r="C4770" s="504" t="s">
        <v>1089</v>
      </c>
      <c r="D4770" s="504" t="s">
        <v>3392</v>
      </c>
      <c r="E4770" s="504" t="s">
        <v>3381</v>
      </c>
      <c r="F4770" s="504" t="s">
        <v>711</v>
      </c>
      <c r="G4770" s="504" t="s">
        <v>712</v>
      </c>
      <c r="H4770" s="504" t="s">
        <v>11675</v>
      </c>
      <c r="I4770" s="504">
        <v>6</v>
      </c>
      <c r="J4770" s="504">
        <v>6</v>
      </c>
      <c r="K4770" s="504">
        <v>0</v>
      </c>
      <c r="L4770" s="504">
        <v>0</v>
      </c>
      <c r="M4770" s="504">
        <v>0</v>
      </c>
      <c r="N4770" s="504">
        <v>0</v>
      </c>
      <c r="O4770" s="505">
        <v>0</v>
      </c>
    </row>
    <row r="4771" spans="1:15" x14ac:dyDescent="0.35">
      <c r="A4771" s="500" t="s">
        <v>1433</v>
      </c>
      <c r="B4771" s="501" t="s">
        <v>3316</v>
      </c>
      <c r="C4771" s="501" t="s">
        <v>1089</v>
      </c>
      <c r="D4771" s="501" t="s">
        <v>3392</v>
      </c>
      <c r="E4771" s="501" t="s">
        <v>3381</v>
      </c>
      <c r="F4771" s="501" t="s">
        <v>711</v>
      </c>
      <c r="G4771" s="501" t="s">
        <v>712</v>
      </c>
      <c r="H4771" s="501" t="s">
        <v>7215</v>
      </c>
      <c r="I4771" s="501">
        <v>31</v>
      </c>
      <c r="J4771" s="501">
        <v>23</v>
      </c>
      <c r="K4771" s="501">
        <v>0</v>
      </c>
      <c r="L4771" s="501">
        <v>8</v>
      </c>
      <c r="M4771" s="501">
        <v>0</v>
      </c>
      <c r="N4771" s="501">
        <v>0</v>
      </c>
      <c r="O4771" s="506">
        <v>0</v>
      </c>
    </row>
    <row r="4772" spans="1:15" x14ac:dyDescent="0.35">
      <c r="A4772" s="503" t="s">
        <v>1185</v>
      </c>
      <c r="B4772" s="504" t="s">
        <v>3253</v>
      </c>
      <c r="C4772" s="504" t="s">
        <v>1094</v>
      </c>
      <c r="D4772" s="504" t="s">
        <v>3380</v>
      </c>
      <c r="E4772" s="504" t="s">
        <v>3381</v>
      </c>
      <c r="F4772" s="504" t="s">
        <v>711</v>
      </c>
      <c r="G4772" s="504" t="s">
        <v>712</v>
      </c>
      <c r="H4772" s="504" t="s">
        <v>7216</v>
      </c>
      <c r="I4772" s="504">
        <v>22</v>
      </c>
      <c r="J4772" s="504">
        <v>13</v>
      </c>
      <c r="K4772" s="504">
        <v>0</v>
      </c>
      <c r="L4772" s="504">
        <v>7</v>
      </c>
      <c r="M4772" s="504">
        <v>2</v>
      </c>
      <c r="N4772" s="504">
        <v>0</v>
      </c>
      <c r="O4772" s="505">
        <v>0</v>
      </c>
    </row>
    <row r="4773" spans="1:15" x14ac:dyDescent="0.35">
      <c r="A4773" s="500" t="s">
        <v>1459</v>
      </c>
      <c r="B4773" s="501" t="s">
        <v>3063</v>
      </c>
      <c r="C4773" s="501" t="s">
        <v>1094</v>
      </c>
      <c r="D4773" s="501" t="s">
        <v>3380</v>
      </c>
      <c r="E4773" s="501" t="s">
        <v>3381</v>
      </c>
      <c r="F4773" s="501" t="s">
        <v>711</v>
      </c>
      <c r="G4773" s="501" t="s">
        <v>712</v>
      </c>
      <c r="H4773" s="501" t="s">
        <v>7217</v>
      </c>
      <c r="I4773" s="501">
        <v>1317</v>
      </c>
      <c r="J4773" s="501">
        <v>1202</v>
      </c>
      <c r="K4773" s="501">
        <v>28</v>
      </c>
      <c r="L4773" s="501">
        <v>80</v>
      </c>
      <c r="M4773" s="501">
        <v>0</v>
      </c>
      <c r="N4773" s="501">
        <v>0</v>
      </c>
      <c r="O4773" s="506">
        <v>7</v>
      </c>
    </row>
    <row r="4774" spans="1:15" x14ac:dyDescent="0.35">
      <c r="A4774" s="503" t="s">
        <v>1105</v>
      </c>
      <c r="B4774" s="504">
        <v>4668</v>
      </c>
      <c r="C4774" s="504" t="s">
        <v>1094</v>
      </c>
      <c r="D4774" s="504" t="s">
        <v>3380</v>
      </c>
      <c r="E4774" s="504" t="s">
        <v>3381</v>
      </c>
      <c r="F4774" s="504" t="s">
        <v>711</v>
      </c>
      <c r="G4774" s="504" t="s">
        <v>712</v>
      </c>
      <c r="H4774" s="504" t="s">
        <v>7218</v>
      </c>
      <c r="I4774" s="504">
        <v>1</v>
      </c>
      <c r="J4774" s="504">
        <v>0</v>
      </c>
      <c r="K4774" s="504">
        <v>0</v>
      </c>
      <c r="L4774" s="504">
        <v>0</v>
      </c>
      <c r="M4774" s="504">
        <v>0</v>
      </c>
      <c r="N4774" s="504">
        <v>0</v>
      </c>
      <c r="O4774" s="505">
        <v>1</v>
      </c>
    </row>
    <row r="4775" spans="1:15" x14ac:dyDescent="0.35">
      <c r="A4775" s="500" t="s">
        <v>1109</v>
      </c>
      <c r="B4775" s="501" t="s">
        <v>2959</v>
      </c>
      <c r="C4775" s="501" t="s">
        <v>1094</v>
      </c>
      <c r="D4775" s="501" t="s">
        <v>3380</v>
      </c>
      <c r="E4775" s="501" t="s">
        <v>3381</v>
      </c>
      <c r="F4775" s="501" t="s">
        <v>711</v>
      </c>
      <c r="G4775" s="501" t="s">
        <v>712</v>
      </c>
      <c r="H4775" s="501" t="s">
        <v>7219</v>
      </c>
      <c r="I4775" s="501">
        <v>93</v>
      </c>
      <c r="J4775" s="501">
        <v>0</v>
      </c>
      <c r="K4775" s="501">
        <v>0</v>
      </c>
      <c r="L4775" s="501">
        <v>5</v>
      </c>
      <c r="M4775" s="501">
        <v>88</v>
      </c>
      <c r="N4775" s="501">
        <v>0</v>
      </c>
      <c r="O4775" s="506">
        <v>0</v>
      </c>
    </row>
    <row r="4776" spans="1:15" x14ac:dyDescent="0.35">
      <c r="A4776" s="503" t="s">
        <v>1469</v>
      </c>
      <c r="B4776" s="504" t="s">
        <v>3023</v>
      </c>
      <c r="C4776" s="504" t="s">
        <v>1089</v>
      </c>
      <c r="D4776" s="504" t="s">
        <v>3392</v>
      </c>
      <c r="E4776" s="504" t="s">
        <v>3381</v>
      </c>
      <c r="F4776" s="504" t="s">
        <v>711</v>
      </c>
      <c r="G4776" s="504" t="s">
        <v>712</v>
      </c>
      <c r="H4776" s="504" t="s">
        <v>7220</v>
      </c>
      <c r="I4776" s="504">
        <v>208</v>
      </c>
      <c r="J4776" s="504">
        <v>208</v>
      </c>
      <c r="K4776" s="504">
        <v>0</v>
      </c>
      <c r="L4776" s="504">
        <v>0</v>
      </c>
      <c r="M4776" s="504">
        <v>0</v>
      </c>
      <c r="N4776" s="504">
        <v>13</v>
      </c>
      <c r="O4776" s="505">
        <v>0</v>
      </c>
    </row>
    <row r="4777" spans="1:15" x14ac:dyDescent="0.35">
      <c r="A4777" s="500" t="s">
        <v>1189</v>
      </c>
      <c r="B4777" s="501" t="s">
        <v>3236</v>
      </c>
      <c r="C4777" s="501" t="s">
        <v>1094</v>
      </c>
      <c r="D4777" s="501" t="s">
        <v>3380</v>
      </c>
      <c r="E4777" s="501" t="s">
        <v>3381</v>
      </c>
      <c r="F4777" s="501" t="s">
        <v>711</v>
      </c>
      <c r="G4777" s="501" t="s">
        <v>712</v>
      </c>
      <c r="H4777" s="501" t="s">
        <v>7221</v>
      </c>
      <c r="I4777" s="501">
        <v>3009</v>
      </c>
      <c r="J4777" s="501">
        <v>2416</v>
      </c>
      <c r="K4777" s="501">
        <v>0</v>
      </c>
      <c r="L4777" s="501">
        <v>233</v>
      </c>
      <c r="M4777" s="501">
        <v>107</v>
      </c>
      <c r="N4777" s="501">
        <v>43</v>
      </c>
      <c r="O4777" s="506">
        <v>253</v>
      </c>
    </row>
    <row r="4778" spans="1:15" x14ac:dyDescent="0.35">
      <c r="A4778" s="503" t="s">
        <v>1307</v>
      </c>
      <c r="B4778" s="504" t="s">
        <v>3306</v>
      </c>
      <c r="C4778" s="504" t="s">
        <v>1089</v>
      </c>
      <c r="D4778" s="504" t="s">
        <v>3392</v>
      </c>
      <c r="E4778" s="504" t="s">
        <v>3381</v>
      </c>
      <c r="F4778" s="504" t="s">
        <v>711</v>
      </c>
      <c r="G4778" s="504" t="s">
        <v>712</v>
      </c>
      <c r="H4778" s="504" t="s">
        <v>7222</v>
      </c>
      <c r="I4778" s="504">
        <v>5</v>
      </c>
      <c r="J4778" s="504">
        <v>5</v>
      </c>
      <c r="K4778" s="504">
        <v>0</v>
      </c>
      <c r="L4778" s="504">
        <v>0</v>
      </c>
      <c r="M4778" s="504">
        <v>0</v>
      </c>
      <c r="N4778" s="504">
        <v>0</v>
      </c>
      <c r="O4778" s="505">
        <v>0</v>
      </c>
    </row>
    <row r="4779" spans="1:15" x14ac:dyDescent="0.35">
      <c r="A4779" s="500" t="s">
        <v>1483</v>
      </c>
      <c r="B4779" s="501">
        <v>4769</v>
      </c>
      <c r="C4779" s="501" t="s">
        <v>1089</v>
      </c>
      <c r="D4779" s="501" t="s">
        <v>3392</v>
      </c>
      <c r="E4779" s="501" t="s">
        <v>3381</v>
      </c>
      <c r="F4779" s="501" t="s">
        <v>711</v>
      </c>
      <c r="G4779" s="501" t="s">
        <v>712</v>
      </c>
      <c r="H4779" s="501" t="s">
        <v>7223</v>
      </c>
      <c r="I4779" s="501">
        <v>6</v>
      </c>
      <c r="J4779" s="501">
        <v>6</v>
      </c>
      <c r="K4779" s="501">
        <v>0</v>
      </c>
      <c r="L4779" s="501">
        <v>0</v>
      </c>
      <c r="M4779" s="501">
        <v>0</v>
      </c>
      <c r="N4779" s="501">
        <v>0</v>
      </c>
      <c r="O4779" s="506">
        <v>0</v>
      </c>
    </row>
    <row r="4780" spans="1:15" x14ac:dyDescent="0.35">
      <c r="A4780" s="503" t="s">
        <v>1484</v>
      </c>
      <c r="B4780" s="504" t="s">
        <v>2746</v>
      </c>
      <c r="C4780" s="504" t="s">
        <v>1089</v>
      </c>
      <c r="D4780" s="504" t="s">
        <v>3392</v>
      </c>
      <c r="E4780" s="504" t="s">
        <v>3381</v>
      </c>
      <c r="F4780" s="504" t="s">
        <v>711</v>
      </c>
      <c r="G4780" s="504" t="s">
        <v>712</v>
      </c>
      <c r="H4780" s="504" t="s">
        <v>7224</v>
      </c>
      <c r="I4780" s="504">
        <v>38</v>
      </c>
      <c r="J4780" s="504">
        <v>28</v>
      </c>
      <c r="K4780" s="504">
        <v>10</v>
      </c>
      <c r="L4780" s="504">
        <v>0</v>
      </c>
      <c r="M4780" s="504">
        <v>0</v>
      </c>
      <c r="N4780" s="504">
        <v>0</v>
      </c>
      <c r="O4780" s="505">
        <v>0</v>
      </c>
    </row>
    <row r="4781" spans="1:15" x14ac:dyDescent="0.35">
      <c r="A4781" s="500" t="s">
        <v>1486</v>
      </c>
      <c r="B4781" s="501" t="s">
        <v>3020</v>
      </c>
      <c r="C4781" s="501" t="s">
        <v>1089</v>
      </c>
      <c r="D4781" s="501" t="s">
        <v>3392</v>
      </c>
      <c r="E4781" s="501" t="s">
        <v>3381</v>
      </c>
      <c r="F4781" s="501" t="s">
        <v>711</v>
      </c>
      <c r="G4781" s="501" t="s">
        <v>712</v>
      </c>
      <c r="H4781" s="501" t="s">
        <v>7225</v>
      </c>
      <c r="I4781" s="501">
        <v>29</v>
      </c>
      <c r="J4781" s="501">
        <v>0</v>
      </c>
      <c r="K4781" s="501">
        <v>29</v>
      </c>
      <c r="L4781" s="501">
        <v>0</v>
      </c>
      <c r="M4781" s="501">
        <v>0</v>
      </c>
      <c r="N4781" s="501">
        <v>0</v>
      </c>
      <c r="O4781" s="506">
        <v>0</v>
      </c>
    </row>
    <row r="4782" spans="1:15" x14ac:dyDescent="0.35">
      <c r="A4782" s="503" t="s">
        <v>1490</v>
      </c>
      <c r="B4782" s="504" t="s">
        <v>2664</v>
      </c>
      <c r="C4782" s="504" t="s">
        <v>1089</v>
      </c>
      <c r="D4782" s="504" t="s">
        <v>3392</v>
      </c>
      <c r="E4782" s="504" t="s">
        <v>3381</v>
      </c>
      <c r="F4782" s="504" t="s">
        <v>711</v>
      </c>
      <c r="G4782" s="504" t="s">
        <v>712</v>
      </c>
      <c r="H4782" s="504" t="s">
        <v>7226</v>
      </c>
      <c r="I4782" s="504">
        <v>47</v>
      </c>
      <c r="J4782" s="504">
        <v>46</v>
      </c>
      <c r="K4782" s="504">
        <v>1</v>
      </c>
      <c r="L4782" s="504">
        <v>0</v>
      </c>
      <c r="M4782" s="504">
        <v>0</v>
      </c>
      <c r="N4782" s="504">
        <v>0</v>
      </c>
      <c r="O4782" s="505">
        <v>0</v>
      </c>
    </row>
    <row r="4783" spans="1:15" x14ac:dyDescent="0.35">
      <c r="A4783" s="500" t="s">
        <v>1311</v>
      </c>
      <c r="B4783" s="501" t="s">
        <v>3361</v>
      </c>
      <c r="C4783" s="501" t="s">
        <v>1094</v>
      </c>
      <c r="D4783" s="501" t="s">
        <v>3380</v>
      </c>
      <c r="E4783" s="501" t="s">
        <v>3381</v>
      </c>
      <c r="F4783" s="501" t="s">
        <v>711</v>
      </c>
      <c r="G4783" s="501" t="s">
        <v>712</v>
      </c>
      <c r="H4783" s="501" t="s">
        <v>7227</v>
      </c>
      <c r="I4783" s="501">
        <v>2</v>
      </c>
      <c r="J4783" s="501">
        <v>2</v>
      </c>
      <c r="K4783" s="501">
        <v>0</v>
      </c>
      <c r="L4783" s="501">
        <v>0</v>
      </c>
      <c r="M4783" s="501">
        <v>0</v>
      </c>
      <c r="N4783" s="501">
        <v>0</v>
      </c>
      <c r="O4783" s="506">
        <v>0</v>
      </c>
    </row>
    <row r="4784" spans="1:15" x14ac:dyDescent="0.35">
      <c r="A4784" s="503" t="s">
        <v>1202</v>
      </c>
      <c r="B4784" s="504" t="s">
        <v>3217</v>
      </c>
      <c r="C4784" s="504" t="s">
        <v>1094</v>
      </c>
      <c r="D4784" s="504" t="s">
        <v>3380</v>
      </c>
      <c r="E4784" s="504" t="s">
        <v>3381</v>
      </c>
      <c r="F4784" s="504" t="s">
        <v>711</v>
      </c>
      <c r="G4784" s="504" t="s">
        <v>712</v>
      </c>
      <c r="H4784" s="504" t="s">
        <v>7228</v>
      </c>
      <c r="I4784" s="504">
        <v>6662</v>
      </c>
      <c r="J4784" s="504">
        <v>5587</v>
      </c>
      <c r="K4784" s="504">
        <v>0</v>
      </c>
      <c r="L4784" s="504">
        <v>208</v>
      </c>
      <c r="M4784" s="504">
        <v>61</v>
      </c>
      <c r="N4784" s="504">
        <v>111</v>
      </c>
      <c r="O4784" s="505">
        <v>806</v>
      </c>
    </row>
    <row r="4785" spans="1:15" x14ac:dyDescent="0.35">
      <c r="A4785" s="500" t="s">
        <v>1496</v>
      </c>
      <c r="B4785" s="501" t="s">
        <v>2768</v>
      </c>
      <c r="C4785" s="501" t="s">
        <v>1089</v>
      </c>
      <c r="D4785" s="501" t="s">
        <v>3392</v>
      </c>
      <c r="E4785" s="501" t="s">
        <v>3381</v>
      </c>
      <c r="F4785" s="501" t="s">
        <v>711</v>
      </c>
      <c r="G4785" s="501" t="s">
        <v>712</v>
      </c>
      <c r="H4785" s="501" t="s">
        <v>7229</v>
      </c>
      <c r="I4785" s="501">
        <v>18</v>
      </c>
      <c r="J4785" s="501">
        <v>18</v>
      </c>
      <c r="K4785" s="501">
        <v>0</v>
      </c>
      <c r="L4785" s="501">
        <v>0</v>
      </c>
      <c r="M4785" s="501">
        <v>0</v>
      </c>
      <c r="N4785" s="501">
        <v>0</v>
      </c>
      <c r="O4785" s="506">
        <v>0</v>
      </c>
    </row>
    <row r="4786" spans="1:15" x14ac:dyDescent="0.35">
      <c r="A4786" s="503" t="s">
        <v>1112</v>
      </c>
      <c r="B4786" s="504" t="s">
        <v>3008</v>
      </c>
      <c r="C4786" s="504" t="s">
        <v>1094</v>
      </c>
      <c r="D4786" s="504" t="s">
        <v>3380</v>
      </c>
      <c r="E4786" s="504" t="s">
        <v>3381</v>
      </c>
      <c r="F4786" s="504" t="s">
        <v>711</v>
      </c>
      <c r="G4786" s="504" t="s">
        <v>712</v>
      </c>
      <c r="H4786" s="504" t="s">
        <v>7230</v>
      </c>
      <c r="I4786" s="504">
        <v>161</v>
      </c>
      <c r="J4786" s="504">
        <v>40</v>
      </c>
      <c r="K4786" s="504">
        <v>0</v>
      </c>
      <c r="L4786" s="504">
        <v>118</v>
      </c>
      <c r="M4786" s="504">
        <v>0</v>
      </c>
      <c r="N4786" s="504">
        <v>0</v>
      </c>
      <c r="O4786" s="505">
        <v>3</v>
      </c>
    </row>
    <row r="4787" spans="1:15" x14ac:dyDescent="0.35">
      <c r="A4787" s="500" t="s">
        <v>1114</v>
      </c>
      <c r="B4787" s="501" t="s">
        <v>2982</v>
      </c>
      <c r="C4787" s="501" t="s">
        <v>1094</v>
      </c>
      <c r="D4787" s="501" t="s">
        <v>3380</v>
      </c>
      <c r="E4787" s="501" t="s">
        <v>3381</v>
      </c>
      <c r="F4787" s="501" t="s">
        <v>711</v>
      </c>
      <c r="G4787" s="501" t="s">
        <v>712</v>
      </c>
      <c r="H4787" s="501" t="s">
        <v>7231</v>
      </c>
      <c r="I4787" s="501">
        <v>150</v>
      </c>
      <c r="J4787" s="501">
        <v>41</v>
      </c>
      <c r="K4787" s="501">
        <v>0</v>
      </c>
      <c r="L4787" s="501">
        <v>0</v>
      </c>
      <c r="M4787" s="501">
        <v>40</v>
      </c>
      <c r="N4787" s="501">
        <v>0</v>
      </c>
      <c r="O4787" s="506">
        <v>69</v>
      </c>
    </row>
    <row r="4788" spans="1:15" x14ac:dyDescent="0.35">
      <c r="A4788" s="503" t="s">
        <v>1505</v>
      </c>
      <c r="B4788" s="504" t="s">
        <v>2752</v>
      </c>
      <c r="C4788" s="504" t="s">
        <v>1089</v>
      </c>
      <c r="D4788" s="504" t="s">
        <v>3392</v>
      </c>
      <c r="E4788" s="504" t="s">
        <v>3381</v>
      </c>
      <c r="F4788" s="504" t="s">
        <v>711</v>
      </c>
      <c r="G4788" s="504" t="s">
        <v>712</v>
      </c>
      <c r="H4788" s="504" t="s">
        <v>7232</v>
      </c>
      <c r="I4788" s="504">
        <v>27</v>
      </c>
      <c r="J4788" s="504">
        <v>0</v>
      </c>
      <c r="K4788" s="504">
        <v>0</v>
      </c>
      <c r="L4788" s="504">
        <v>0</v>
      </c>
      <c r="M4788" s="504">
        <v>27</v>
      </c>
      <c r="N4788" s="504">
        <v>0</v>
      </c>
      <c r="O4788" s="505">
        <v>0</v>
      </c>
    </row>
    <row r="4789" spans="1:15" x14ac:dyDescent="0.35">
      <c r="A4789" s="500" t="s">
        <v>1506</v>
      </c>
      <c r="B4789" s="501" t="s">
        <v>3318</v>
      </c>
      <c r="C4789" s="501" t="s">
        <v>1089</v>
      </c>
      <c r="D4789" s="501" t="s">
        <v>3392</v>
      </c>
      <c r="E4789" s="501" t="s">
        <v>3381</v>
      </c>
      <c r="F4789" s="501" t="s">
        <v>711</v>
      </c>
      <c r="G4789" s="501" t="s">
        <v>712</v>
      </c>
      <c r="H4789" s="501" t="s">
        <v>7233</v>
      </c>
      <c r="I4789" s="501">
        <v>132</v>
      </c>
      <c r="J4789" s="501">
        <v>132</v>
      </c>
      <c r="K4789" s="501">
        <v>0</v>
      </c>
      <c r="L4789" s="501">
        <v>0</v>
      </c>
      <c r="M4789" s="501">
        <v>0</v>
      </c>
      <c r="N4789" s="501">
        <v>5</v>
      </c>
      <c r="O4789" s="506">
        <v>0</v>
      </c>
    </row>
    <row r="4790" spans="1:15" x14ac:dyDescent="0.35">
      <c r="A4790" s="503" t="s">
        <v>1319</v>
      </c>
      <c r="B4790" s="504">
        <v>4880</v>
      </c>
      <c r="C4790" s="504" t="s">
        <v>1094</v>
      </c>
      <c r="D4790" s="504" t="s">
        <v>3380</v>
      </c>
      <c r="E4790" s="504" t="s">
        <v>3381</v>
      </c>
      <c r="F4790" s="504" t="s">
        <v>711</v>
      </c>
      <c r="G4790" s="504" t="s">
        <v>712</v>
      </c>
      <c r="H4790" s="504" t="s">
        <v>7234</v>
      </c>
      <c r="I4790" s="504">
        <v>381</v>
      </c>
      <c r="J4790" s="504">
        <v>303</v>
      </c>
      <c r="K4790" s="504">
        <v>0</v>
      </c>
      <c r="L4790" s="504">
        <v>78</v>
      </c>
      <c r="M4790" s="504">
        <v>0</v>
      </c>
      <c r="N4790" s="504">
        <v>0</v>
      </c>
      <c r="O4790" s="505">
        <v>0</v>
      </c>
    </row>
    <row r="4791" spans="1:15" x14ac:dyDescent="0.35">
      <c r="A4791" s="500" t="s">
        <v>1120</v>
      </c>
      <c r="B4791" s="501" t="s">
        <v>3362</v>
      </c>
      <c r="C4791" s="501" t="s">
        <v>1094</v>
      </c>
      <c r="D4791" s="501" t="s">
        <v>3380</v>
      </c>
      <c r="E4791" s="501" t="s">
        <v>3381</v>
      </c>
      <c r="F4791" s="501" t="s">
        <v>711</v>
      </c>
      <c r="G4791" s="501" t="s">
        <v>712</v>
      </c>
      <c r="H4791" s="501" t="s">
        <v>7235</v>
      </c>
      <c r="I4791" s="501">
        <v>5</v>
      </c>
      <c r="J4791" s="501">
        <v>0</v>
      </c>
      <c r="K4791" s="501">
        <v>0</v>
      </c>
      <c r="L4791" s="501">
        <v>0</v>
      </c>
      <c r="M4791" s="501">
        <v>0</v>
      </c>
      <c r="N4791" s="501">
        <v>0</v>
      </c>
      <c r="O4791" s="506">
        <v>5</v>
      </c>
    </row>
    <row r="4792" spans="1:15" x14ac:dyDescent="0.35">
      <c r="A4792" s="503" t="s">
        <v>1322</v>
      </c>
      <c r="B4792" s="504" t="s">
        <v>3244</v>
      </c>
      <c r="C4792" s="504" t="s">
        <v>1094</v>
      </c>
      <c r="D4792" s="504" t="s">
        <v>3380</v>
      </c>
      <c r="E4792" s="504" t="s">
        <v>3381</v>
      </c>
      <c r="F4792" s="504" t="s">
        <v>711</v>
      </c>
      <c r="G4792" s="504" t="s">
        <v>712</v>
      </c>
      <c r="H4792" s="504" t="s">
        <v>7236</v>
      </c>
      <c r="I4792" s="504">
        <v>169</v>
      </c>
      <c r="J4792" s="504">
        <v>3</v>
      </c>
      <c r="K4792" s="504">
        <v>0</v>
      </c>
      <c r="L4792" s="504">
        <v>145</v>
      </c>
      <c r="M4792" s="504">
        <v>0</v>
      </c>
      <c r="N4792" s="504">
        <v>0</v>
      </c>
      <c r="O4792" s="505">
        <v>21</v>
      </c>
    </row>
    <row r="4793" spans="1:15" x14ac:dyDescent="0.35">
      <c r="A4793" s="500" t="s">
        <v>1217</v>
      </c>
      <c r="B4793" s="501">
        <v>4851</v>
      </c>
      <c r="C4793" s="501" t="s">
        <v>1094</v>
      </c>
      <c r="D4793" s="501" t="s">
        <v>3380</v>
      </c>
      <c r="E4793" s="501" t="s">
        <v>3381</v>
      </c>
      <c r="F4793" s="501" t="s">
        <v>711</v>
      </c>
      <c r="G4793" s="501" t="s">
        <v>712</v>
      </c>
      <c r="H4793" s="501" t="s">
        <v>7237</v>
      </c>
      <c r="I4793" s="501">
        <v>1255</v>
      </c>
      <c r="J4793" s="501">
        <v>968</v>
      </c>
      <c r="K4793" s="501">
        <v>26</v>
      </c>
      <c r="L4793" s="501">
        <v>49</v>
      </c>
      <c r="M4793" s="501">
        <v>59</v>
      </c>
      <c r="N4793" s="501">
        <v>10</v>
      </c>
      <c r="O4793" s="506">
        <v>153</v>
      </c>
    </row>
    <row r="4794" spans="1:15" x14ac:dyDescent="0.35">
      <c r="A4794" s="503" t="s">
        <v>1220</v>
      </c>
      <c r="B4794" s="504">
        <v>4849</v>
      </c>
      <c r="C4794" s="504" t="s">
        <v>1094</v>
      </c>
      <c r="D4794" s="504" t="s">
        <v>3380</v>
      </c>
      <c r="E4794" s="504" t="s">
        <v>3381</v>
      </c>
      <c r="F4794" s="504" t="s">
        <v>711</v>
      </c>
      <c r="G4794" s="504" t="s">
        <v>712</v>
      </c>
      <c r="H4794" s="504" t="s">
        <v>7238</v>
      </c>
      <c r="I4794" s="504">
        <v>233</v>
      </c>
      <c r="J4794" s="504">
        <v>180</v>
      </c>
      <c r="K4794" s="504">
        <v>0</v>
      </c>
      <c r="L4794" s="504">
        <v>0</v>
      </c>
      <c r="M4794" s="504">
        <v>0</v>
      </c>
      <c r="N4794" s="504">
        <v>0</v>
      </c>
      <c r="O4794" s="505">
        <v>53</v>
      </c>
    </row>
    <row r="4795" spans="1:15" x14ac:dyDescent="0.35">
      <c r="A4795" s="500" t="s">
        <v>1330</v>
      </c>
      <c r="B4795" s="501" t="s">
        <v>3134</v>
      </c>
      <c r="C4795" s="501" t="s">
        <v>1089</v>
      </c>
      <c r="D4795" s="501" t="s">
        <v>3392</v>
      </c>
      <c r="E4795" s="501" t="s">
        <v>3381</v>
      </c>
      <c r="F4795" s="501" t="s">
        <v>711</v>
      </c>
      <c r="G4795" s="501" t="s">
        <v>712</v>
      </c>
      <c r="H4795" s="501" t="s">
        <v>14800</v>
      </c>
      <c r="I4795" s="501">
        <v>18</v>
      </c>
      <c r="J4795" s="501">
        <v>18</v>
      </c>
      <c r="K4795" s="501">
        <v>0</v>
      </c>
      <c r="L4795" s="501">
        <v>0</v>
      </c>
      <c r="M4795" s="501">
        <v>0</v>
      </c>
      <c r="N4795" s="501">
        <v>0</v>
      </c>
      <c r="O4795" s="506">
        <v>0</v>
      </c>
    </row>
    <row r="4796" spans="1:15" x14ac:dyDescent="0.35">
      <c r="A4796" s="503" t="s">
        <v>1332</v>
      </c>
      <c r="B4796" s="504">
        <v>4878</v>
      </c>
      <c r="C4796" s="504" t="s">
        <v>1094</v>
      </c>
      <c r="D4796" s="504" t="s">
        <v>3380</v>
      </c>
      <c r="E4796" s="504" t="s">
        <v>3381</v>
      </c>
      <c r="F4796" s="504" t="s">
        <v>711</v>
      </c>
      <c r="G4796" s="504" t="s">
        <v>712</v>
      </c>
      <c r="H4796" s="504" t="s">
        <v>7239</v>
      </c>
      <c r="I4796" s="504">
        <v>2107</v>
      </c>
      <c r="J4796" s="504">
        <v>1669</v>
      </c>
      <c r="K4796" s="504">
        <v>0</v>
      </c>
      <c r="L4796" s="504">
        <v>66</v>
      </c>
      <c r="M4796" s="504">
        <v>40</v>
      </c>
      <c r="N4796" s="504">
        <v>0</v>
      </c>
      <c r="O4796" s="505">
        <v>332</v>
      </c>
    </row>
    <row r="4797" spans="1:15" x14ac:dyDescent="0.35">
      <c r="A4797" s="500" t="s">
        <v>1523</v>
      </c>
      <c r="B4797" s="501" t="s">
        <v>3213</v>
      </c>
      <c r="C4797" s="501" t="s">
        <v>1094</v>
      </c>
      <c r="D4797" s="501" t="s">
        <v>3380</v>
      </c>
      <c r="E4797" s="501" t="s">
        <v>3381</v>
      </c>
      <c r="F4797" s="501" t="s">
        <v>711</v>
      </c>
      <c r="G4797" s="501" t="s">
        <v>712</v>
      </c>
      <c r="H4797" s="501" t="s">
        <v>7240</v>
      </c>
      <c r="I4797" s="501">
        <v>6494</v>
      </c>
      <c r="J4797" s="501">
        <v>6411</v>
      </c>
      <c r="K4797" s="501">
        <v>0</v>
      </c>
      <c r="L4797" s="501">
        <v>0</v>
      </c>
      <c r="M4797" s="501">
        <v>60</v>
      </c>
      <c r="N4797" s="501">
        <v>4</v>
      </c>
      <c r="O4797" s="506">
        <v>23</v>
      </c>
    </row>
    <row r="4798" spans="1:15" x14ac:dyDescent="0.35">
      <c r="A4798" s="503" t="s">
        <v>1525</v>
      </c>
      <c r="B4798" s="504" t="s">
        <v>2923</v>
      </c>
      <c r="C4798" s="504" t="s">
        <v>1089</v>
      </c>
      <c r="D4798" s="504" t="s">
        <v>3392</v>
      </c>
      <c r="E4798" s="504" t="s">
        <v>3381</v>
      </c>
      <c r="F4798" s="504" t="s">
        <v>711</v>
      </c>
      <c r="G4798" s="504" t="s">
        <v>712</v>
      </c>
      <c r="H4798" s="504" t="s">
        <v>7241</v>
      </c>
      <c r="I4798" s="504">
        <v>25</v>
      </c>
      <c r="J4798" s="504">
        <v>0</v>
      </c>
      <c r="K4798" s="504">
        <v>0</v>
      </c>
      <c r="L4798" s="504">
        <v>25</v>
      </c>
      <c r="M4798" s="504">
        <v>0</v>
      </c>
      <c r="N4798" s="504">
        <v>0</v>
      </c>
      <c r="O4798" s="505">
        <v>0</v>
      </c>
    </row>
    <row r="4799" spans="1:15" x14ac:dyDescent="0.35">
      <c r="A4799" s="500" t="s">
        <v>2171</v>
      </c>
      <c r="B4799" s="501">
        <v>4700</v>
      </c>
      <c r="C4799" s="501" t="s">
        <v>1089</v>
      </c>
      <c r="D4799" s="501" t="s">
        <v>3392</v>
      </c>
      <c r="E4799" s="501" t="s">
        <v>3381</v>
      </c>
      <c r="F4799" s="501" t="s">
        <v>711</v>
      </c>
      <c r="G4799" s="501" t="s">
        <v>712</v>
      </c>
      <c r="H4799" s="501" t="s">
        <v>14801</v>
      </c>
      <c r="I4799" s="501">
        <v>40</v>
      </c>
      <c r="J4799" s="501">
        <v>40</v>
      </c>
      <c r="K4799" s="501">
        <v>0</v>
      </c>
      <c r="L4799" s="501">
        <v>0</v>
      </c>
      <c r="M4799" s="501">
        <v>0</v>
      </c>
      <c r="N4799" s="501">
        <v>0</v>
      </c>
      <c r="O4799" s="506">
        <v>0</v>
      </c>
    </row>
    <row r="4800" spans="1:15" x14ac:dyDescent="0.35">
      <c r="A4800" s="503" t="s">
        <v>1122</v>
      </c>
      <c r="B4800" s="504" t="s">
        <v>2994</v>
      </c>
      <c r="C4800" s="504" t="s">
        <v>1094</v>
      </c>
      <c r="D4800" s="504" t="s">
        <v>3380</v>
      </c>
      <c r="E4800" s="504" t="s">
        <v>3381</v>
      </c>
      <c r="F4800" s="504" t="s">
        <v>711</v>
      </c>
      <c r="G4800" s="504" t="s">
        <v>712</v>
      </c>
      <c r="H4800" s="504" t="s">
        <v>7242</v>
      </c>
      <c r="I4800" s="504">
        <v>6</v>
      </c>
      <c r="J4800" s="504">
        <v>0</v>
      </c>
      <c r="K4800" s="504">
        <v>0</v>
      </c>
      <c r="L4800" s="504">
        <v>6</v>
      </c>
      <c r="M4800" s="504">
        <v>0</v>
      </c>
      <c r="N4800" s="504">
        <v>0</v>
      </c>
      <c r="O4800" s="505">
        <v>0</v>
      </c>
    </row>
    <row r="4801" spans="1:15" x14ac:dyDescent="0.35">
      <c r="A4801" s="500" t="s">
        <v>1533</v>
      </c>
      <c r="B4801" s="501">
        <v>4703</v>
      </c>
      <c r="C4801" s="501" t="s">
        <v>1089</v>
      </c>
      <c r="D4801" s="501" t="s">
        <v>3392</v>
      </c>
      <c r="E4801" s="501" t="s">
        <v>3381</v>
      </c>
      <c r="F4801" s="501" t="s">
        <v>711</v>
      </c>
      <c r="G4801" s="501" t="s">
        <v>712</v>
      </c>
      <c r="H4801" s="501" t="s">
        <v>7243</v>
      </c>
      <c r="I4801" s="501">
        <v>158</v>
      </c>
      <c r="J4801" s="501">
        <v>0</v>
      </c>
      <c r="K4801" s="501">
        <v>0</v>
      </c>
      <c r="L4801" s="501">
        <v>158</v>
      </c>
      <c r="M4801" s="501">
        <v>0</v>
      </c>
      <c r="N4801" s="501">
        <v>0</v>
      </c>
      <c r="O4801" s="506">
        <v>0</v>
      </c>
    </row>
    <row r="4802" spans="1:15" x14ac:dyDescent="0.35">
      <c r="A4802" s="503" t="s">
        <v>1124</v>
      </c>
      <c r="B4802" s="504">
        <v>4745</v>
      </c>
      <c r="C4802" s="504" t="s">
        <v>1094</v>
      </c>
      <c r="D4802" s="504" t="s">
        <v>3380</v>
      </c>
      <c r="E4802" s="504" t="s">
        <v>3381</v>
      </c>
      <c r="F4802" s="504" t="s">
        <v>711</v>
      </c>
      <c r="G4802" s="504" t="s">
        <v>712</v>
      </c>
      <c r="H4802" s="504" t="s">
        <v>7244</v>
      </c>
      <c r="I4802" s="504">
        <v>8</v>
      </c>
      <c r="J4802" s="504">
        <v>0</v>
      </c>
      <c r="K4802" s="504">
        <v>0</v>
      </c>
      <c r="L4802" s="504">
        <v>8</v>
      </c>
      <c r="M4802" s="504">
        <v>0</v>
      </c>
      <c r="N4802" s="504">
        <v>0</v>
      </c>
      <c r="O4802" s="505">
        <v>0</v>
      </c>
    </row>
    <row r="4803" spans="1:15" x14ac:dyDescent="0.35">
      <c r="A4803" s="500" t="s">
        <v>1540</v>
      </c>
      <c r="B4803" s="501" t="s">
        <v>3271</v>
      </c>
      <c r="C4803" s="501" t="s">
        <v>1089</v>
      </c>
      <c r="D4803" s="501" t="s">
        <v>3392</v>
      </c>
      <c r="E4803" s="501" t="s">
        <v>3381</v>
      </c>
      <c r="F4803" s="501" t="s">
        <v>711</v>
      </c>
      <c r="G4803" s="501" t="s">
        <v>712</v>
      </c>
      <c r="H4803" s="501" t="s">
        <v>14802</v>
      </c>
      <c r="I4803" s="501">
        <v>41</v>
      </c>
      <c r="J4803" s="501">
        <v>41</v>
      </c>
      <c r="K4803" s="501">
        <v>0</v>
      </c>
      <c r="L4803" s="501">
        <v>0</v>
      </c>
      <c r="M4803" s="501">
        <v>0</v>
      </c>
      <c r="N4803" s="501">
        <v>0</v>
      </c>
      <c r="O4803" s="506">
        <v>0</v>
      </c>
    </row>
    <row r="4804" spans="1:15" x14ac:dyDescent="0.35">
      <c r="A4804" s="503" t="s">
        <v>11368</v>
      </c>
      <c r="B4804" s="504">
        <v>5083</v>
      </c>
      <c r="C4804" s="504" t="s">
        <v>1094</v>
      </c>
      <c r="D4804" s="504" t="s">
        <v>3380</v>
      </c>
      <c r="E4804" s="504" t="s">
        <v>3381</v>
      </c>
      <c r="F4804" s="504" t="s">
        <v>711</v>
      </c>
      <c r="G4804" s="504" t="s">
        <v>712</v>
      </c>
      <c r="H4804" s="504" t="s">
        <v>12063</v>
      </c>
      <c r="I4804" s="504">
        <v>12</v>
      </c>
      <c r="J4804" s="504">
        <v>12</v>
      </c>
      <c r="K4804" s="504">
        <v>0</v>
      </c>
      <c r="L4804" s="504">
        <v>0</v>
      </c>
      <c r="M4804" s="504">
        <v>0</v>
      </c>
      <c r="N4804" s="504">
        <v>0</v>
      </c>
      <c r="O4804" s="505">
        <v>0</v>
      </c>
    </row>
    <row r="4805" spans="1:15" x14ac:dyDescent="0.35">
      <c r="A4805" s="500" t="s">
        <v>1126</v>
      </c>
      <c r="B4805" s="501" t="s">
        <v>2974</v>
      </c>
      <c r="C4805" s="501" t="s">
        <v>1094</v>
      </c>
      <c r="D4805" s="501" t="s">
        <v>3380</v>
      </c>
      <c r="E4805" s="501" t="s">
        <v>3381</v>
      </c>
      <c r="F4805" s="501" t="s">
        <v>711</v>
      </c>
      <c r="G4805" s="501" t="s">
        <v>712</v>
      </c>
      <c r="H4805" s="501" t="s">
        <v>7245</v>
      </c>
      <c r="I4805" s="501">
        <v>61</v>
      </c>
      <c r="J4805" s="501">
        <v>0</v>
      </c>
      <c r="K4805" s="501">
        <v>0</v>
      </c>
      <c r="L4805" s="501">
        <v>61</v>
      </c>
      <c r="M4805" s="501">
        <v>0</v>
      </c>
      <c r="N4805" s="501">
        <v>0</v>
      </c>
      <c r="O4805" s="506">
        <v>0</v>
      </c>
    </row>
    <row r="4806" spans="1:15" x14ac:dyDescent="0.35">
      <c r="A4806" s="503" t="s">
        <v>1130</v>
      </c>
      <c r="B4806" s="504" t="s">
        <v>3234</v>
      </c>
      <c r="C4806" s="504" t="s">
        <v>1094</v>
      </c>
      <c r="D4806" s="504" t="s">
        <v>3380</v>
      </c>
      <c r="E4806" s="504" t="s">
        <v>3381</v>
      </c>
      <c r="F4806" s="504" t="s">
        <v>711</v>
      </c>
      <c r="G4806" s="504" t="s">
        <v>712</v>
      </c>
      <c r="H4806" s="504" t="s">
        <v>7246</v>
      </c>
      <c r="I4806" s="504">
        <v>35</v>
      </c>
      <c r="J4806" s="504">
        <v>32</v>
      </c>
      <c r="K4806" s="504">
        <v>0</v>
      </c>
      <c r="L4806" s="504">
        <v>0</v>
      </c>
      <c r="M4806" s="504">
        <v>0</v>
      </c>
      <c r="N4806" s="504">
        <v>1</v>
      </c>
      <c r="O4806" s="505">
        <v>3</v>
      </c>
    </row>
    <row r="4807" spans="1:15" x14ac:dyDescent="0.35">
      <c r="A4807" s="500" t="s">
        <v>1550</v>
      </c>
      <c r="B4807" s="501" t="s">
        <v>3282</v>
      </c>
      <c r="C4807" s="501" t="s">
        <v>1089</v>
      </c>
      <c r="D4807" s="501" t="s">
        <v>3392</v>
      </c>
      <c r="E4807" s="501" t="s">
        <v>3381</v>
      </c>
      <c r="F4807" s="501" t="s">
        <v>711</v>
      </c>
      <c r="G4807" s="501" t="s">
        <v>712</v>
      </c>
      <c r="H4807" s="501" t="s">
        <v>7247</v>
      </c>
      <c r="I4807" s="501">
        <v>16</v>
      </c>
      <c r="J4807" s="501">
        <v>0</v>
      </c>
      <c r="K4807" s="501">
        <v>0</v>
      </c>
      <c r="L4807" s="501">
        <v>16</v>
      </c>
      <c r="M4807" s="501">
        <v>0</v>
      </c>
      <c r="N4807" s="501">
        <v>0</v>
      </c>
      <c r="O4807" s="506">
        <v>0</v>
      </c>
    </row>
    <row r="4808" spans="1:15" x14ac:dyDescent="0.35">
      <c r="A4808" s="503" t="s">
        <v>1345</v>
      </c>
      <c r="B4808" s="504" t="s">
        <v>3247</v>
      </c>
      <c r="C4808" s="504" t="s">
        <v>1094</v>
      </c>
      <c r="D4808" s="504" t="s">
        <v>3380</v>
      </c>
      <c r="E4808" s="504" t="s">
        <v>3381</v>
      </c>
      <c r="F4808" s="504" t="s">
        <v>711</v>
      </c>
      <c r="G4808" s="504" t="s">
        <v>712</v>
      </c>
      <c r="H4808" s="504" t="s">
        <v>7248</v>
      </c>
      <c r="I4808" s="504">
        <v>161</v>
      </c>
      <c r="J4808" s="504">
        <v>0</v>
      </c>
      <c r="K4808" s="504">
        <v>0</v>
      </c>
      <c r="L4808" s="504">
        <v>161</v>
      </c>
      <c r="M4808" s="504">
        <v>0</v>
      </c>
      <c r="N4808" s="504">
        <v>0</v>
      </c>
      <c r="O4808" s="505">
        <v>0</v>
      </c>
    </row>
    <row r="4809" spans="1:15" x14ac:dyDescent="0.35">
      <c r="A4809" s="500" t="s">
        <v>1557</v>
      </c>
      <c r="B4809" s="501" t="s">
        <v>2726</v>
      </c>
      <c r="C4809" s="501" t="s">
        <v>1089</v>
      </c>
      <c r="D4809" s="501" t="s">
        <v>3392</v>
      </c>
      <c r="E4809" s="501" t="s">
        <v>3381</v>
      </c>
      <c r="F4809" s="501" t="s">
        <v>711</v>
      </c>
      <c r="G4809" s="501" t="s">
        <v>712</v>
      </c>
      <c r="H4809" s="501" t="s">
        <v>7249</v>
      </c>
      <c r="I4809" s="501">
        <v>23</v>
      </c>
      <c r="J4809" s="501">
        <v>23</v>
      </c>
      <c r="K4809" s="501">
        <v>0</v>
      </c>
      <c r="L4809" s="501">
        <v>0</v>
      </c>
      <c r="M4809" s="501">
        <v>0</v>
      </c>
      <c r="N4809" s="501">
        <v>0</v>
      </c>
      <c r="O4809" s="506">
        <v>0</v>
      </c>
    </row>
    <row r="4810" spans="1:15" x14ac:dyDescent="0.35">
      <c r="A4810" s="503" t="s">
        <v>1347</v>
      </c>
      <c r="B4810" s="504" t="s">
        <v>3185</v>
      </c>
      <c r="C4810" s="504" t="s">
        <v>1089</v>
      </c>
      <c r="D4810" s="504" t="s">
        <v>3392</v>
      </c>
      <c r="E4810" s="504" t="s">
        <v>3381</v>
      </c>
      <c r="F4810" s="504" t="s">
        <v>711</v>
      </c>
      <c r="G4810" s="504" t="s">
        <v>712</v>
      </c>
      <c r="H4810" s="504" t="s">
        <v>7250</v>
      </c>
      <c r="I4810" s="504">
        <v>31</v>
      </c>
      <c r="J4810" s="504">
        <v>31</v>
      </c>
      <c r="K4810" s="504">
        <v>0</v>
      </c>
      <c r="L4810" s="504">
        <v>0</v>
      </c>
      <c r="M4810" s="504">
        <v>0</v>
      </c>
      <c r="N4810" s="504">
        <v>0</v>
      </c>
      <c r="O4810" s="505">
        <v>0</v>
      </c>
    </row>
    <row r="4811" spans="1:15" x14ac:dyDescent="0.35">
      <c r="A4811" s="500" t="s">
        <v>1561</v>
      </c>
      <c r="B4811" s="501" t="s">
        <v>2899</v>
      </c>
      <c r="C4811" s="501" t="s">
        <v>1089</v>
      </c>
      <c r="D4811" s="501" t="s">
        <v>3392</v>
      </c>
      <c r="E4811" s="501" t="s">
        <v>3381</v>
      </c>
      <c r="F4811" s="501" t="s">
        <v>711</v>
      </c>
      <c r="G4811" s="501" t="s">
        <v>712</v>
      </c>
      <c r="H4811" s="501" t="s">
        <v>7251</v>
      </c>
      <c r="I4811" s="501">
        <v>5</v>
      </c>
      <c r="J4811" s="501">
        <v>0</v>
      </c>
      <c r="K4811" s="501">
        <v>0</v>
      </c>
      <c r="L4811" s="501">
        <v>0</v>
      </c>
      <c r="M4811" s="501">
        <v>5</v>
      </c>
      <c r="N4811" s="501">
        <v>0</v>
      </c>
      <c r="O4811" s="506">
        <v>0</v>
      </c>
    </row>
    <row r="4812" spans="1:15" x14ac:dyDescent="0.35">
      <c r="A4812" s="503" t="s">
        <v>1571</v>
      </c>
      <c r="B4812" s="504" t="s">
        <v>2511</v>
      </c>
      <c r="C4812" s="504" t="s">
        <v>1089</v>
      </c>
      <c r="D4812" s="504" t="s">
        <v>3392</v>
      </c>
      <c r="E4812" s="504" t="s">
        <v>3381</v>
      </c>
      <c r="F4812" s="504" t="s">
        <v>711</v>
      </c>
      <c r="G4812" s="504" t="s">
        <v>712</v>
      </c>
      <c r="H4812" s="504" t="s">
        <v>7252</v>
      </c>
      <c r="I4812" s="504">
        <v>76</v>
      </c>
      <c r="J4812" s="504">
        <v>76</v>
      </c>
      <c r="K4812" s="504">
        <v>0</v>
      </c>
      <c r="L4812" s="504">
        <v>0</v>
      </c>
      <c r="M4812" s="504">
        <v>0</v>
      </c>
      <c r="N4812" s="504">
        <v>0</v>
      </c>
      <c r="O4812" s="505">
        <v>0</v>
      </c>
    </row>
    <row r="4813" spans="1:15" x14ac:dyDescent="0.35">
      <c r="A4813" s="500" t="s">
        <v>1253</v>
      </c>
      <c r="B4813" s="501" t="s">
        <v>3232</v>
      </c>
      <c r="C4813" s="501" t="s">
        <v>1094</v>
      </c>
      <c r="D4813" s="501" t="s">
        <v>3380</v>
      </c>
      <c r="E4813" s="501" t="s">
        <v>3381</v>
      </c>
      <c r="F4813" s="501" t="s">
        <v>711</v>
      </c>
      <c r="G4813" s="501" t="s">
        <v>712</v>
      </c>
      <c r="H4813" s="501" t="s">
        <v>7253</v>
      </c>
      <c r="I4813" s="501">
        <v>165</v>
      </c>
      <c r="J4813" s="501">
        <v>136</v>
      </c>
      <c r="K4813" s="501">
        <v>0</v>
      </c>
      <c r="L4813" s="501">
        <v>29</v>
      </c>
      <c r="M4813" s="501">
        <v>0</v>
      </c>
      <c r="N4813" s="501">
        <v>0</v>
      </c>
      <c r="O4813" s="506">
        <v>0</v>
      </c>
    </row>
    <row r="4814" spans="1:15" x14ac:dyDescent="0.35">
      <c r="A4814" s="503" t="s">
        <v>1587</v>
      </c>
      <c r="B4814" s="504" t="s">
        <v>2978</v>
      </c>
      <c r="C4814" s="504" t="s">
        <v>1094</v>
      </c>
      <c r="D4814" s="504" t="s">
        <v>3380</v>
      </c>
      <c r="E4814" s="504" t="s">
        <v>3381</v>
      </c>
      <c r="F4814" s="504" t="s">
        <v>711</v>
      </c>
      <c r="G4814" s="504" t="s">
        <v>712</v>
      </c>
      <c r="H4814" s="504" t="s">
        <v>7254</v>
      </c>
      <c r="I4814" s="504">
        <v>297</v>
      </c>
      <c r="J4814" s="504">
        <v>284</v>
      </c>
      <c r="K4814" s="504">
        <v>0</v>
      </c>
      <c r="L4814" s="504">
        <v>0</v>
      </c>
      <c r="M4814" s="504">
        <v>0</v>
      </c>
      <c r="N4814" s="504">
        <v>0</v>
      </c>
      <c r="O4814" s="505">
        <v>13</v>
      </c>
    </row>
    <row r="4815" spans="1:15" x14ac:dyDescent="0.35">
      <c r="A4815" s="500" t="s">
        <v>1264</v>
      </c>
      <c r="B4815" s="501">
        <v>4671</v>
      </c>
      <c r="C4815" s="501" t="s">
        <v>1089</v>
      </c>
      <c r="D4815" s="501" t="s">
        <v>3392</v>
      </c>
      <c r="E4815" s="501" t="s">
        <v>3381</v>
      </c>
      <c r="F4815" s="501" t="s">
        <v>711</v>
      </c>
      <c r="G4815" s="501" t="s">
        <v>712</v>
      </c>
      <c r="H4815" s="501" t="s">
        <v>12252</v>
      </c>
      <c r="I4815" s="501">
        <v>53</v>
      </c>
      <c r="J4815" s="501">
        <v>0</v>
      </c>
      <c r="K4815" s="501">
        <v>0</v>
      </c>
      <c r="L4815" s="501">
        <v>53</v>
      </c>
      <c r="M4815" s="501">
        <v>0</v>
      </c>
      <c r="N4815" s="501">
        <v>0</v>
      </c>
      <c r="O4815" s="506">
        <v>0</v>
      </c>
    </row>
    <row r="4816" spans="1:15" x14ac:dyDescent="0.35">
      <c r="A4816" s="503" t="s">
        <v>1093</v>
      </c>
      <c r="B4816" s="504" t="s">
        <v>3248</v>
      </c>
      <c r="C4816" s="504" t="s">
        <v>1094</v>
      </c>
      <c r="D4816" s="504" t="s">
        <v>3380</v>
      </c>
      <c r="E4816" s="504" t="s">
        <v>3381</v>
      </c>
      <c r="F4816" s="504" t="s">
        <v>713</v>
      </c>
      <c r="G4816" s="504" t="s">
        <v>714</v>
      </c>
      <c r="H4816" s="504" t="s">
        <v>7255</v>
      </c>
      <c r="I4816" s="504">
        <v>15</v>
      </c>
      <c r="J4816" s="504">
        <v>0</v>
      </c>
      <c r="K4816" s="504">
        <v>0</v>
      </c>
      <c r="L4816" s="504">
        <v>15</v>
      </c>
      <c r="M4816" s="504">
        <v>0</v>
      </c>
      <c r="N4816" s="504">
        <v>0</v>
      </c>
      <c r="O4816" s="505">
        <v>0</v>
      </c>
    </row>
    <row r="4817" spans="1:15" x14ac:dyDescent="0.35">
      <c r="A4817" s="500" t="s">
        <v>1157</v>
      </c>
      <c r="B4817" s="501" t="s">
        <v>3196</v>
      </c>
      <c r="C4817" s="501" t="s">
        <v>1089</v>
      </c>
      <c r="D4817" s="501" t="s">
        <v>3392</v>
      </c>
      <c r="E4817" s="501" t="s">
        <v>3381</v>
      </c>
      <c r="F4817" s="501" t="s">
        <v>713</v>
      </c>
      <c r="G4817" s="501" t="s">
        <v>714</v>
      </c>
      <c r="H4817" s="501" t="s">
        <v>7256</v>
      </c>
      <c r="I4817" s="501">
        <v>36</v>
      </c>
      <c r="J4817" s="501">
        <v>36</v>
      </c>
      <c r="K4817" s="501">
        <v>0</v>
      </c>
      <c r="L4817" s="501">
        <v>0</v>
      </c>
      <c r="M4817" s="501">
        <v>0</v>
      </c>
      <c r="N4817" s="501">
        <v>0</v>
      </c>
      <c r="O4817" s="506">
        <v>0</v>
      </c>
    </row>
    <row r="4818" spans="1:15" x14ac:dyDescent="0.35">
      <c r="A4818" s="503" t="s">
        <v>1158</v>
      </c>
      <c r="B4818" s="504">
        <v>4819</v>
      </c>
      <c r="C4818" s="504" t="s">
        <v>1094</v>
      </c>
      <c r="D4818" s="504" t="s">
        <v>3380</v>
      </c>
      <c r="E4818" s="504" t="s">
        <v>3381</v>
      </c>
      <c r="F4818" s="504" t="s">
        <v>713</v>
      </c>
      <c r="G4818" s="504" t="s">
        <v>714</v>
      </c>
      <c r="H4818" s="504" t="s">
        <v>7257</v>
      </c>
      <c r="I4818" s="504">
        <v>4926</v>
      </c>
      <c r="J4818" s="504">
        <v>4477</v>
      </c>
      <c r="K4818" s="504">
        <v>14</v>
      </c>
      <c r="L4818" s="504">
        <v>82</v>
      </c>
      <c r="M4818" s="504">
        <v>173</v>
      </c>
      <c r="N4818" s="504">
        <v>0</v>
      </c>
      <c r="O4818" s="505">
        <v>180</v>
      </c>
    </row>
    <row r="4819" spans="1:15" x14ac:dyDescent="0.35">
      <c r="A4819" s="500" t="s">
        <v>1961</v>
      </c>
      <c r="B4819" s="501">
        <v>5075</v>
      </c>
      <c r="C4819" s="501" t="s">
        <v>1094</v>
      </c>
      <c r="D4819" s="501" t="s">
        <v>3380</v>
      </c>
      <c r="E4819" s="501" t="s">
        <v>3381</v>
      </c>
      <c r="F4819" s="501" t="s">
        <v>713</v>
      </c>
      <c r="G4819" s="501" t="s">
        <v>714</v>
      </c>
      <c r="H4819" s="501" t="s">
        <v>7258</v>
      </c>
      <c r="I4819" s="501">
        <v>14</v>
      </c>
      <c r="J4819" s="501">
        <v>14</v>
      </c>
      <c r="K4819" s="501">
        <v>0</v>
      </c>
      <c r="L4819" s="501">
        <v>0</v>
      </c>
      <c r="M4819" s="501">
        <v>0</v>
      </c>
      <c r="N4819" s="501">
        <v>0</v>
      </c>
      <c r="O4819" s="506">
        <v>0</v>
      </c>
    </row>
    <row r="4820" spans="1:15" x14ac:dyDescent="0.35">
      <c r="A4820" s="503" t="s">
        <v>1100</v>
      </c>
      <c r="B4820" s="504">
        <v>4865</v>
      </c>
      <c r="C4820" s="504" t="s">
        <v>1094</v>
      </c>
      <c r="D4820" s="504" t="s">
        <v>3380</v>
      </c>
      <c r="E4820" s="504" t="s">
        <v>3381</v>
      </c>
      <c r="F4820" s="504" t="s">
        <v>713</v>
      </c>
      <c r="G4820" s="504" t="s">
        <v>714</v>
      </c>
      <c r="H4820" s="504" t="s">
        <v>7259</v>
      </c>
      <c r="I4820" s="504">
        <v>52</v>
      </c>
      <c r="J4820" s="504">
        <v>12</v>
      </c>
      <c r="K4820" s="504">
        <v>0</v>
      </c>
      <c r="L4820" s="504">
        <v>0</v>
      </c>
      <c r="M4820" s="504">
        <v>0</v>
      </c>
      <c r="N4820" s="504">
        <v>0</v>
      </c>
      <c r="O4820" s="505">
        <v>40</v>
      </c>
    </row>
    <row r="4821" spans="1:15" x14ac:dyDescent="0.35">
      <c r="A4821" s="500" t="s">
        <v>14213</v>
      </c>
      <c r="B4821" s="501" t="s">
        <v>3312</v>
      </c>
      <c r="C4821" s="501" t="s">
        <v>1094</v>
      </c>
      <c r="D4821" s="501" t="s">
        <v>3380</v>
      </c>
      <c r="E4821" s="501" t="s">
        <v>3381</v>
      </c>
      <c r="F4821" s="501" t="s">
        <v>713</v>
      </c>
      <c r="G4821" s="501" t="s">
        <v>714</v>
      </c>
      <c r="H4821" s="501" t="s">
        <v>14803</v>
      </c>
      <c r="I4821" s="501">
        <v>56</v>
      </c>
      <c r="J4821" s="501">
        <v>0</v>
      </c>
      <c r="K4821" s="501">
        <v>0</v>
      </c>
      <c r="L4821" s="501">
        <v>0</v>
      </c>
      <c r="M4821" s="501">
        <v>0</v>
      </c>
      <c r="N4821" s="501">
        <v>0</v>
      </c>
      <c r="O4821" s="506">
        <v>56</v>
      </c>
    </row>
    <row r="4822" spans="1:15" x14ac:dyDescent="0.35">
      <c r="A4822" s="503" t="s">
        <v>1105</v>
      </c>
      <c r="B4822" s="504">
        <v>4668</v>
      </c>
      <c r="C4822" s="504" t="s">
        <v>1094</v>
      </c>
      <c r="D4822" s="504" t="s">
        <v>3380</v>
      </c>
      <c r="E4822" s="504" t="s">
        <v>3381</v>
      </c>
      <c r="F4822" s="504" t="s">
        <v>713</v>
      </c>
      <c r="G4822" s="504" t="s">
        <v>714</v>
      </c>
      <c r="H4822" s="504" t="s">
        <v>11734</v>
      </c>
      <c r="I4822" s="504">
        <v>17</v>
      </c>
      <c r="J4822" s="504">
        <v>0</v>
      </c>
      <c r="K4822" s="504">
        <v>0</v>
      </c>
      <c r="L4822" s="504">
        <v>0</v>
      </c>
      <c r="M4822" s="504">
        <v>0</v>
      </c>
      <c r="N4822" s="504">
        <v>0</v>
      </c>
      <c r="O4822" s="505">
        <v>17</v>
      </c>
    </row>
    <row r="4823" spans="1:15" x14ac:dyDescent="0.35">
      <c r="A4823" s="500" t="s">
        <v>1109</v>
      </c>
      <c r="B4823" s="501" t="s">
        <v>2959</v>
      </c>
      <c r="C4823" s="501" t="s">
        <v>1094</v>
      </c>
      <c r="D4823" s="501" t="s">
        <v>3380</v>
      </c>
      <c r="E4823" s="501" t="s">
        <v>3381</v>
      </c>
      <c r="F4823" s="501" t="s">
        <v>713</v>
      </c>
      <c r="G4823" s="501" t="s">
        <v>714</v>
      </c>
      <c r="H4823" s="501" t="s">
        <v>7260</v>
      </c>
      <c r="I4823" s="501">
        <v>62</v>
      </c>
      <c r="J4823" s="501">
        <v>0</v>
      </c>
      <c r="K4823" s="501">
        <v>0</v>
      </c>
      <c r="L4823" s="501">
        <v>0</v>
      </c>
      <c r="M4823" s="501">
        <v>62</v>
      </c>
      <c r="N4823" s="501">
        <v>0</v>
      </c>
      <c r="O4823" s="506">
        <v>0</v>
      </c>
    </row>
    <row r="4824" spans="1:15" x14ac:dyDescent="0.35">
      <c r="A4824" s="503" t="s">
        <v>1190</v>
      </c>
      <c r="B4824" s="504">
        <v>4662</v>
      </c>
      <c r="C4824" s="504" t="s">
        <v>1094</v>
      </c>
      <c r="D4824" s="504" t="s">
        <v>3380</v>
      </c>
      <c r="E4824" s="504" t="s">
        <v>3381</v>
      </c>
      <c r="F4824" s="504" t="s">
        <v>713</v>
      </c>
      <c r="G4824" s="504" t="s">
        <v>714</v>
      </c>
      <c r="H4824" s="504" t="s">
        <v>7261</v>
      </c>
      <c r="I4824" s="504">
        <v>12</v>
      </c>
      <c r="J4824" s="504">
        <v>0</v>
      </c>
      <c r="K4824" s="504">
        <v>0</v>
      </c>
      <c r="L4824" s="504">
        <v>12</v>
      </c>
      <c r="M4824" s="504">
        <v>0</v>
      </c>
      <c r="N4824" s="504">
        <v>0</v>
      </c>
      <c r="O4824" s="505">
        <v>0</v>
      </c>
    </row>
    <row r="4825" spans="1:15" x14ac:dyDescent="0.35">
      <c r="A4825" s="500" t="s">
        <v>1112</v>
      </c>
      <c r="B4825" s="501" t="s">
        <v>3008</v>
      </c>
      <c r="C4825" s="501" t="s">
        <v>1094</v>
      </c>
      <c r="D4825" s="501" t="s">
        <v>3380</v>
      </c>
      <c r="E4825" s="501" t="s">
        <v>3381</v>
      </c>
      <c r="F4825" s="501" t="s">
        <v>713</v>
      </c>
      <c r="G4825" s="501" t="s">
        <v>714</v>
      </c>
      <c r="H4825" s="501" t="s">
        <v>7262</v>
      </c>
      <c r="I4825" s="501">
        <v>2</v>
      </c>
      <c r="J4825" s="501">
        <v>2</v>
      </c>
      <c r="K4825" s="501">
        <v>0</v>
      </c>
      <c r="L4825" s="501">
        <v>0</v>
      </c>
      <c r="M4825" s="501">
        <v>0</v>
      </c>
      <c r="N4825" s="501">
        <v>0</v>
      </c>
      <c r="O4825" s="506">
        <v>0</v>
      </c>
    </row>
    <row r="4826" spans="1:15" x14ac:dyDescent="0.35">
      <c r="A4826" s="503" t="s">
        <v>1207</v>
      </c>
      <c r="B4826" s="504" t="s">
        <v>3202</v>
      </c>
      <c r="C4826" s="504" t="s">
        <v>1094</v>
      </c>
      <c r="D4826" s="504" t="s">
        <v>3380</v>
      </c>
      <c r="E4826" s="504" t="s">
        <v>3381</v>
      </c>
      <c r="F4826" s="504" t="s">
        <v>713</v>
      </c>
      <c r="G4826" s="504" t="s">
        <v>714</v>
      </c>
      <c r="H4826" s="504" t="s">
        <v>7263</v>
      </c>
      <c r="I4826" s="504">
        <v>580</v>
      </c>
      <c r="J4826" s="504">
        <v>475</v>
      </c>
      <c r="K4826" s="504">
        <v>0</v>
      </c>
      <c r="L4826" s="504">
        <v>0</v>
      </c>
      <c r="M4826" s="504">
        <v>63</v>
      </c>
      <c r="N4826" s="504">
        <v>1</v>
      </c>
      <c r="O4826" s="505">
        <v>42</v>
      </c>
    </row>
    <row r="4827" spans="1:15" x14ac:dyDescent="0.35">
      <c r="A4827" s="500" t="s">
        <v>1218</v>
      </c>
      <c r="B4827" s="501" t="s">
        <v>3147</v>
      </c>
      <c r="C4827" s="501" t="s">
        <v>1094</v>
      </c>
      <c r="D4827" s="501" t="s">
        <v>3380</v>
      </c>
      <c r="E4827" s="501" t="s">
        <v>3381</v>
      </c>
      <c r="F4827" s="501" t="s">
        <v>713</v>
      </c>
      <c r="G4827" s="501" t="s">
        <v>714</v>
      </c>
      <c r="H4827" s="501" t="s">
        <v>7264</v>
      </c>
      <c r="I4827" s="501">
        <v>103</v>
      </c>
      <c r="J4827" s="501">
        <v>0</v>
      </c>
      <c r="K4827" s="501">
        <v>0</v>
      </c>
      <c r="L4827" s="501">
        <v>0</v>
      </c>
      <c r="M4827" s="501">
        <v>0</v>
      </c>
      <c r="N4827" s="501">
        <v>0</v>
      </c>
      <c r="O4827" s="506">
        <v>103</v>
      </c>
    </row>
    <row r="4828" spans="1:15" x14ac:dyDescent="0.35">
      <c r="A4828" s="503" t="s">
        <v>11367</v>
      </c>
      <c r="B4828" s="504" t="s">
        <v>3143</v>
      </c>
      <c r="C4828" s="504" t="s">
        <v>1094</v>
      </c>
      <c r="D4828" s="504" t="s">
        <v>3380</v>
      </c>
      <c r="E4828" s="504" t="s">
        <v>3381</v>
      </c>
      <c r="F4828" s="504" t="s">
        <v>713</v>
      </c>
      <c r="G4828" s="504" t="s">
        <v>714</v>
      </c>
      <c r="H4828" s="504" t="s">
        <v>11935</v>
      </c>
      <c r="I4828" s="504">
        <v>170</v>
      </c>
      <c r="J4828" s="504">
        <v>170</v>
      </c>
      <c r="K4828" s="504">
        <v>0</v>
      </c>
      <c r="L4828" s="504">
        <v>0</v>
      </c>
      <c r="M4828" s="504">
        <v>0</v>
      </c>
      <c r="N4828" s="504">
        <v>0</v>
      </c>
      <c r="O4828" s="505">
        <v>0</v>
      </c>
    </row>
    <row r="4829" spans="1:15" x14ac:dyDescent="0.35">
      <c r="A4829" s="500" t="s">
        <v>1226</v>
      </c>
      <c r="B4829" s="501">
        <v>5084</v>
      </c>
      <c r="C4829" s="501" t="s">
        <v>1094</v>
      </c>
      <c r="D4829" s="501" t="s">
        <v>3380</v>
      </c>
      <c r="E4829" s="501" t="s">
        <v>3381</v>
      </c>
      <c r="F4829" s="501" t="s">
        <v>713</v>
      </c>
      <c r="G4829" s="501" t="s">
        <v>714</v>
      </c>
      <c r="H4829" s="501" t="s">
        <v>7265</v>
      </c>
      <c r="I4829" s="501">
        <v>268</v>
      </c>
      <c r="J4829" s="501">
        <v>201</v>
      </c>
      <c r="K4829" s="501">
        <v>0</v>
      </c>
      <c r="L4829" s="501">
        <v>0</v>
      </c>
      <c r="M4829" s="501">
        <v>0</v>
      </c>
      <c r="N4829" s="501">
        <v>0</v>
      </c>
      <c r="O4829" s="506">
        <v>67</v>
      </c>
    </row>
    <row r="4830" spans="1:15" x14ac:dyDescent="0.35">
      <c r="A4830" s="503" t="s">
        <v>1126</v>
      </c>
      <c r="B4830" s="504" t="s">
        <v>2974</v>
      </c>
      <c r="C4830" s="504" t="s">
        <v>1094</v>
      </c>
      <c r="D4830" s="504" t="s">
        <v>3380</v>
      </c>
      <c r="E4830" s="504" t="s">
        <v>3381</v>
      </c>
      <c r="F4830" s="504" t="s">
        <v>713</v>
      </c>
      <c r="G4830" s="504" t="s">
        <v>714</v>
      </c>
      <c r="H4830" s="504" t="s">
        <v>7266</v>
      </c>
      <c r="I4830" s="504">
        <v>188</v>
      </c>
      <c r="J4830" s="504">
        <v>187</v>
      </c>
      <c r="K4830" s="504">
        <v>0</v>
      </c>
      <c r="L4830" s="504">
        <v>0</v>
      </c>
      <c r="M4830" s="504">
        <v>0</v>
      </c>
      <c r="N4830" s="504">
        <v>0</v>
      </c>
      <c r="O4830" s="505">
        <v>1</v>
      </c>
    </row>
    <row r="4831" spans="1:15" x14ac:dyDescent="0.35">
      <c r="A4831" s="500" t="s">
        <v>2110</v>
      </c>
      <c r="B4831" s="501" t="s">
        <v>3113</v>
      </c>
      <c r="C4831" s="501" t="s">
        <v>1089</v>
      </c>
      <c r="D4831" s="501" t="s">
        <v>3392</v>
      </c>
      <c r="E4831" s="501" t="s">
        <v>3381</v>
      </c>
      <c r="F4831" s="501" t="s">
        <v>713</v>
      </c>
      <c r="G4831" s="501" t="s">
        <v>714</v>
      </c>
      <c r="H4831" s="501" t="s">
        <v>12140</v>
      </c>
      <c r="I4831" s="501">
        <v>10</v>
      </c>
      <c r="J4831" s="501">
        <v>0</v>
      </c>
      <c r="K4831" s="501">
        <v>0</v>
      </c>
      <c r="L4831" s="501">
        <v>10</v>
      </c>
      <c r="M4831" s="501">
        <v>0</v>
      </c>
      <c r="N4831" s="501">
        <v>0</v>
      </c>
      <c r="O4831" s="506">
        <v>0</v>
      </c>
    </row>
    <row r="4832" spans="1:15" x14ac:dyDescent="0.35">
      <c r="A4832" s="503" t="s">
        <v>1240</v>
      </c>
      <c r="B4832" s="504" t="s">
        <v>2972</v>
      </c>
      <c r="C4832" s="504" t="s">
        <v>1094</v>
      </c>
      <c r="D4832" s="504" t="s">
        <v>3380</v>
      </c>
      <c r="E4832" s="504" t="s">
        <v>3381</v>
      </c>
      <c r="F4832" s="504" t="s">
        <v>713</v>
      </c>
      <c r="G4832" s="504" t="s">
        <v>714</v>
      </c>
      <c r="H4832" s="504" t="s">
        <v>7267</v>
      </c>
      <c r="I4832" s="504">
        <v>5</v>
      </c>
      <c r="J4832" s="504">
        <v>5</v>
      </c>
      <c r="K4832" s="504">
        <v>0</v>
      </c>
      <c r="L4832" s="504">
        <v>0</v>
      </c>
      <c r="M4832" s="504">
        <v>0</v>
      </c>
      <c r="N4832" s="504">
        <v>0</v>
      </c>
      <c r="O4832" s="505">
        <v>0</v>
      </c>
    </row>
    <row r="4833" spans="1:15" x14ac:dyDescent="0.35">
      <c r="A4833" s="500" t="s">
        <v>2117</v>
      </c>
      <c r="B4833" s="501" t="s">
        <v>2624</v>
      </c>
      <c r="C4833" s="501" t="s">
        <v>1089</v>
      </c>
      <c r="D4833" s="501" t="s">
        <v>3392</v>
      </c>
      <c r="E4833" s="501" t="s">
        <v>3381</v>
      </c>
      <c r="F4833" s="501" t="s">
        <v>713</v>
      </c>
      <c r="G4833" s="501" t="s">
        <v>714</v>
      </c>
      <c r="H4833" s="501" t="s">
        <v>7268</v>
      </c>
      <c r="I4833" s="501">
        <v>2</v>
      </c>
      <c r="J4833" s="501">
        <v>2</v>
      </c>
      <c r="K4833" s="501">
        <v>0</v>
      </c>
      <c r="L4833" s="501">
        <v>0</v>
      </c>
      <c r="M4833" s="501">
        <v>0</v>
      </c>
      <c r="N4833" s="501">
        <v>0</v>
      </c>
      <c r="O4833" s="506">
        <v>0</v>
      </c>
    </row>
    <row r="4834" spans="1:15" x14ac:dyDescent="0.35">
      <c r="A4834" s="503" t="s">
        <v>1253</v>
      </c>
      <c r="B4834" s="504" t="s">
        <v>3232</v>
      </c>
      <c r="C4834" s="504" t="s">
        <v>1094</v>
      </c>
      <c r="D4834" s="504" t="s">
        <v>3380</v>
      </c>
      <c r="E4834" s="504" t="s">
        <v>3381</v>
      </c>
      <c r="F4834" s="504" t="s">
        <v>713</v>
      </c>
      <c r="G4834" s="504" t="s">
        <v>714</v>
      </c>
      <c r="H4834" s="504" t="s">
        <v>7269</v>
      </c>
      <c r="I4834" s="504">
        <v>10</v>
      </c>
      <c r="J4834" s="504">
        <v>10</v>
      </c>
      <c r="K4834" s="504">
        <v>0</v>
      </c>
      <c r="L4834" s="504">
        <v>0</v>
      </c>
      <c r="M4834" s="504">
        <v>0</v>
      </c>
      <c r="N4834" s="504">
        <v>0</v>
      </c>
      <c r="O4834" s="505">
        <v>0</v>
      </c>
    </row>
    <row r="4835" spans="1:15" x14ac:dyDescent="0.35">
      <c r="A4835" s="500" t="s">
        <v>2123</v>
      </c>
      <c r="B4835" s="501" t="s">
        <v>3338</v>
      </c>
      <c r="C4835" s="501" t="s">
        <v>1094</v>
      </c>
      <c r="D4835" s="501" t="s">
        <v>3380</v>
      </c>
      <c r="E4835" s="501" t="s">
        <v>3381</v>
      </c>
      <c r="F4835" s="501" t="s">
        <v>713</v>
      </c>
      <c r="G4835" s="501" t="s">
        <v>714</v>
      </c>
      <c r="H4835" s="501" t="s">
        <v>7270</v>
      </c>
      <c r="I4835" s="501">
        <v>22</v>
      </c>
      <c r="J4835" s="501">
        <v>15</v>
      </c>
      <c r="K4835" s="501">
        <v>0</v>
      </c>
      <c r="L4835" s="501">
        <v>0</v>
      </c>
      <c r="M4835" s="501">
        <v>0</v>
      </c>
      <c r="N4835" s="501">
        <v>0</v>
      </c>
      <c r="O4835" s="506">
        <v>7</v>
      </c>
    </row>
    <row r="4836" spans="1:15" x14ac:dyDescent="0.35">
      <c r="A4836" s="503" t="s">
        <v>1258</v>
      </c>
      <c r="B4836" s="504" t="s">
        <v>3174</v>
      </c>
      <c r="C4836" s="504" t="s">
        <v>1094</v>
      </c>
      <c r="D4836" s="504" t="s">
        <v>3380</v>
      </c>
      <c r="E4836" s="504" t="s">
        <v>3381</v>
      </c>
      <c r="F4836" s="504" t="s">
        <v>713</v>
      </c>
      <c r="G4836" s="504" t="s">
        <v>714</v>
      </c>
      <c r="H4836" s="504" t="s">
        <v>7271</v>
      </c>
      <c r="I4836" s="504">
        <v>18</v>
      </c>
      <c r="J4836" s="504">
        <v>10</v>
      </c>
      <c r="K4836" s="504">
        <v>0</v>
      </c>
      <c r="L4836" s="504">
        <v>0</v>
      </c>
      <c r="M4836" s="504">
        <v>0</v>
      </c>
      <c r="N4836" s="504">
        <v>0</v>
      </c>
      <c r="O4836" s="505">
        <v>8</v>
      </c>
    </row>
    <row r="4837" spans="1:15" x14ac:dyDescent="0.35">
      <c r="A4837" s="500" t="s">
        <v>1259</v>
      </c>
      <c r="B4837" s="501" t="s">
        <v>3025</v>
      </c>
      <c r="C4837" s="501" t="s">
        <v>1094</v>
      </c>
      <c r="D4837" s="501" t="s">
        <v>3380</v>
      </c>
      <c r="E4837" s="501" t="s">
        <v>3381</v>
      </c>
      <c r="F4837" s="501" t="s">
        <v>713</v>
      </c>
      <c r="G4837" s="501" t="s">
        <v>714</v>
      </c>
      <c r="H4837" s="501" t="s">
        <v>7272</v>
      </c>
      <c r="I4837" s="501">
        <v>27</v>
      </c>
      <c r="J4837" s="501">
        <v>27</v>
      </c>
      <c r="K4837" s="501">
        <v>0</v>
      </c>
      <c r="L4837" s="501">
        <v>0</v>
      </c>
      <c r="M4837" s="501">
        <v>0</v>
      </c>
      <c r="N4837" s="501">
        <v>0</v>
      </c>
      <c r="O4837" s="506">
        <v>0</v>
      </c>
    </row>
    <row r="4838" spans="1:15" x14ac:dyDescent="0.35">
      <c r="A4838" s="503" t="s">
        <v>2127</v>
      </c>
      <c r="B4838" s="504" t="s">
        <v>3188</v>
      </c>
      <c r="C4838" s="504" t="s">
        <v>1094</v>
      </c>
      <c r="D4838" s="504" t="s">
        <v>3380</v>
      </c>
      <c r="E4838" s="504" t="s">
        <v>3381</v>
      </c>
      <c r="F4838" s="504" t="s">
        <v>713</v>
      </c>
      <c r="G4838" s="504" t="s">
        <v>714</v>
      </c>
      <c r="H4838" s="504" t="s">
        <v>7273</v>
      </c>
      <c r="I4838" s="504">
        <v>87</v>
      </c>
      <c r="J4838" s="504">
        <v>45</v>
      </c>
      <c r="K4838" s="504">
        <v>0</v>
      </c>
      <c r="L4838" s="504">
        <v>0</v>
      </c>
      <c r="M4838" s="504">
        <v>0</v>
      </c>
      <c r="N4838" s="504">
        <v>0</v>
      </c>
      <c r="O4838" s="505">
        <v>42</v>
      </c>
    </row>
    <row r="4839" spans="1:15" x14ac:dyDescent="0.35">
      <c r="A4839" s="500" t="s">
        <v>1266</v>
      </c>
      <c r="B4839" s="501" t="s">
        <v>3071</v>
      </c>
      <c r="C4839" s="501" t="s">
        <v>1094</v>
      </c>
      <c r="D4839" s="501" t="s">
        <v>3380</v>
      </c>
      <c r="E4839" s="501" t="s">
        <v>3381</v>
      </c>
      <c r="F4839" s="501" t="s">
        <v>713</v>
      </c>
      <c r="G4839" s="501" t="s">
        <v>714</v>
      </c>
      <c r="H4839" s="501" t="s">
        <v>7274</v>
      </c>
      <c r="I4839" s="501">
        <v>1</v>
      </c>
      <c r="J4839" s="501">
        <v>0</v>
      </c>
      <c r="K4839" s="501">
        <v>0</v>
      </c>
      <c r="L4839" s="501">
        <v>0</v>
      </c>
      <c r="M4839" s="501">
        <v>0</v>
      </c>
      <c r="N4839" s="501">
        <v>0</v>
      </c>
      <c r="O4839" s="506">
        <v>1</v>
      </c>
    </row>
    <row r="4840" spans="1:15" x14ac:dyDescent="0.35">
      <c r="A4840" s="503" t="s">
        <v>1145</v>
      </c>
      <c r="B4840" s="504" t="s">
        <v>3164</v>
      </c>
      <c r="C4840" s="504" t="s">
        <v>1094</v>
      </c>
      <c r="D4840" s="504" t="s">
        <v>3380</v>
      </c>
      <c r="E4840" s="504" t="s">
        <v>3381</v>
      </c>
      <c r="F4840" s="504" t="s">
        <v>715</v>
      </c>
      <c r="G4840" s="504" t="s">
        <v>716</v>
      </c>
      <c r="H4840" s="504" t="s">
        <v>7275</v>
      </c>
      <c r="I4840" s="504">
        <v>18</v>
      </c>
      <c r="J4840" s="504">
        <v>10</v>
      </c>
      <c r="K4840" s="504">
        <v>0</v>
      </c>
      <c r="L4840" s="504">
        <v>0</v>
      </c>
      <c r="M4840" s="504">
        <v>0</v>
      </c>
      <c r="N4840" s="504">
        <v>0</v>
      </c>
      <c r="O4840" s="505">
        <v>8</v>
      </c>
    </row>
    <row r="4841" spans="1:15" x14ac:dyDescent="0.35">
      <c r="A4841" s="500" t="s">
        <v>1093</v>
      </c>
      <c r="B4841" s="501" t="s">
        <v>3248</v>
      </c>
      <c r="C4841" s="501" t="s">
        <v>1094</v>
      </c>
      <c r="D4841" s="501" t="s">
        <v>3380</v>
      </c>
      <c r="E4841" s="501" t="s">
        <v>3381</v>
      </c>
      <c r="F4841" s="501" t="s">
        <v>715</v>
      </c>
      <c r="G4841" s="501" t="s">
        <v>716</v>
      </c>
      <c r="H4841" s="501" t="s">
        <v>7276</v>
      </c>
      <c r="I4841" s="501">
        <v>32</v>
      </c>
      <c r="J4841" s="501">
        <v>0</v>
      </c>
      <c r="K4841" s="501">
        <v>0</v>
      </c>
      <c r="L4841" s="501">
        <v>29</v>
      </c>
      <c r="M4841" s="501">
        <v>0</v>
      </c>
      <c r="N4841" s="501">
        <v>0</v>
      </c>
      <c r="O4841" s="506">
        <v>3</v>
      </c>
    </row>
    <row r="4842" spans="1:15" x14ac:dyDescent="0.35">
      <c r="A4842" s="503" t="s">
        <v>1096</v>
      </c>
      <c r="B4842" s="504" t="s">
        <v>3326</v>
      </c>
      <c r="C4842" s="504" t="s">
        <v>1094</v>
      </c>
      <c r="D4842" s="504" t="s">
        <v>3380</v>
      </c>
      <c r="E4842" s="504" t="s">
        <v>3381</v>
      </c>
      <c r="F4842" s="504" t="s">
        <v>715</v>
      </c>
      <c r="G4842" s="504" t="s">
        <v>716</v>
      </c>
      <c r="H4842" s="504" t="s">
        <v>7277</v>
      </c>
      <c r="I4842" s="504">
        <v>32</v>
      </c>
      <c r="J4842" s="504">
        <v>0</v>
      </c>
      <c r="K4842" s="504">
        <v>0</v>
      </c>
      <c r="L4842" s="504">
        <v>0</v>
      </c>
      <c r="M4842" s="504">
        <v>32</v>
      </c>
      <c r="N4842" s="504">
        <v>4</v>
      </c>
      <c r="O4842" s="505">
        <v>0</v>
      </c>
    </row>
    <row r="4843" spans="1:15" x14ac:dyDescent="0.35">
      <c r="A4843" s="500" t="s">
        <v>11363</v>
      </c>
      <c r="B4843" s="501">
        <v>4718</v>
      </c>
      <c r="C4843" s="501" t="s">
        <v>1094</v>
      </c>
      <c r="D4843" s="501" t="s">
        <v>3380</v>
      </c>
      <c r="E4843" s="501" t="s">
        <v>3381</v>
      </c>
      <c r="F4843" s="501" t="s">
        <v>715</v>
      </c>
      <c r="G4843" s="501" t="s">
        <v>716</v>
      </c>
      <c r="H4843" s="501" t="s">
        <v>11560</v>
      </c>
      <c r="I4843" s="501">
        <v>19</v>
      </c>
      <c r="J4843" s="501">
        <v>0</v>
      </c>
      <c r="K4843" s="501">
        <v>0</v>
      </c>
      <c r="L4843" s="501">
        <v>19</v>
      </c>
      <c r="M4843" s="501">
        <v>0</v>
      </c>
      <c r="N4843" s="501">
        <v>0</v>
      </c>
      <c r="O4843" s="506">
        <v>0</v>
      </c>
    </row>
    <row r="4844" spans="1:15" x14ac:dyDescent="0.35">
      <c r="A4844" s="503" t="s">
        <v>1100</v>
      </c>
      <c r="B4844" s="504">
        <v>4865</v>
      </c>
      <c r="C4844" s="504" t="s">
        <v>1094</v>
      </c>
      <c r="D4844" s="504" t="s">
        <v>3380</v>
      </c>
      <c r="E4844" s="504" t="s">
        <v>3381</v>
      </c>
      <c r="F4844" s="504" t="s">
        <v>715</v>
      </c>
      <c r="G4844" s="504" t="s">
        <v>716</v>
      </c>
      <c r="H4844" s="504" t="s">
        <v>7278</v>
      </c>
      <c r="I4844" s="504">
        <v>3</v>
      </c>
      <c r="J4844" s="504">
        <v>0</v>
      </c>
      <c r="K4844" s="504">
        <v>0</v>
      </c>
      <c r="L4844" s="504">
        <v>0</v>
      </c>
      <c r="M4844" s="504">
        <v>0</v>
      </c>
      <c r="N4844" s="504">
        <v>0</v>
      </c>
      <c r="O4844" s="505">
        <v>3</v>
      </c>
    </row>
    <row r="4845" spans="1:15" x14ac:dyDescent="0.35">
      <c r="A4845" s="500" t="s">
        <v>1171</v>
      </c>
      <c r="B4845" s="501" t="s">
        <v>3003</v>
      </c>
      <c r="C4845" s="501" t="s">
        <v>1094</v>
      </c>
      <c r="D4845" s="501" t="s">
        <v>3380</v>
      </c>
      <c r="E4845" s="501" t="s">
        <v>3381</v>
      </c>
      <c r="F4845" s="501" t="s">
        <v>715</v>
      </c>
      <c r="G4845" s="501" t="s">
        <v>716</v>
      </c>
      <c r="H4845" s="501" t="s">
        <v>7279</v>
      </c>
      <c r="I4845" s="501">
        <v>205</v>
      </c>
      <c r="J4845" s="501">
        <v>201</v>
      </c>
      <c r="K4845" s="501">
        <v>0</v>
      </c>
      <c r="L4845" s="501">
        <v>0</v>
      </c>
      <c r="M4845" s="501">
        <v>0</v>
      </c>
      <c r="N4845" s="501">
        <v>0</v>
      </c>
      <c r="O4845" s="506">
        <v>4</v>
      </c>
    </row>
    <row r="4846" spans="1:15" x14ac:dyDescent="0.35">
      <c r="A4846" s="503" t="s">
        <v>1173</v>
      </c>
      <c r="B4846" s="504">
        <v>4775</v>
      </c>
      <c r="C4846" s="504" t="s">
        <v>1094</v>
      </c>
      <c r="D4846" s="504" t="s">
        <v>3380</v>
      </c>
      <c r="E4846" s="504" t="s">
        <v>3381</v>
      </c>
      <c r="F4846" s="504" t="s">
        <v>715</v>
      </c>
      <c r="G4846" s="504" t="s">
        <v>716</v>
      </c>
      <c r="H4846" s="504" t="s">
        <v>7280</v>
      </c>
      <c r="I4846" s="504">
        <v>1</v>
      </c>
      <c r="J4846" s="504">
        <v>0</v>
      </c>
      <c r="K4846" s="504">
        <v>0</v>
      </c>
      <c r="L4846" s="504">
        <v>0</v>
      </c>
      <c r="M4846" s="504">
        <v>0</v>
      </c>
      <c r="N4846" s="504">
        <v>0</v>
      </c>
      <c r="O4846" s="505">
        <v>1</v>
      </c>
    </row>
    <row r="4847" spans="1:15" x14ac:dyDescent="0.35">
      <c r="A4847" s="500" t="s">
        <v>1178</v>
      </c>
      <c r="B4847" s="501" t="s">
        <v>3334</v>
      </c>
      <c r="C4847" s="501" t="s">
        <v>1094</v>
      </c>
      <c r="D4847" s="501" t="s">
        <v>3380</v>
      </c>
      <c r="E4847" s="501" t="s">
        <v>3381</v>
      </c>
      <c r="F4847" s="501" t="s">
        <v>715</v>
      </c>
      <c r="G4847" s="501" t="s">
        <v>716</v>
      </c>
      <c r="H4847" s="501" t="s">
        <v>7281</v>
      </c>
      <c r="I4847" s="501">
        <v>97</v>
      </c>
      <c r="J4847" s="501">
        <v>0</v>
      </c>
      <c r="K4847" s="501">
        <v>0</v>
      </c>
      <c r="L4847" s="501">
        <v>97</v>
      </c>
      <c r="M4847" s="501">
        <v>0</v>
      </c>
      <c r="N4847" s="501">
        <v>2</v>
      </c>
      <c r="O4847" s="506">
        <v>0</v>
      </c>
    </row>
    <row r="4848" spans="1:15" x14ac:dyDescent="0.35">
      <c r="A4848" s="503" t="s">
        <v>14208</v>
      </c>
      <c r="B4848" s="504">
        <v>4803</v>
      </c>
      <c r="C4848" s="504" t="s">
        <v>1094</v>
      </c>
      <c r="D4848" s="504" t="s">
        <v>3380</v>
      </c>
      <c r="E4848" s="504" t="s">
        <v>3381</v>
      </c>
      <c r="F4848" s="504" t="s">
        <v>715</v>
      </c>
      <c r="G4848" s="504" t="s">
        <v>716</v>
      </c>
      <c r="H4848" s="504" t="s">
        <v>14804</v>
      </c>
      <c r="I4848" s="504">
        <v>1</v>
      </c>
      <c r="J4848" s="504">
        <v>0</v>
      </c>
      <c r="K4848" s="504">
        <v>0</v>
      </c>
      <c r="L4848" s="504">
        <v>1</v>
      </c>
      <c r="M4848" s="504">
        <v>0</v>
      </c>
      <c r="N4848" s="504">
        <v>0</v>
      </c>
      <c r="O4848" s="505">
        <v>0</v>
      </c>
    </row>
    <row r="4849" spans="1:15" x14ac:dyDescent="0.35">
      <c r="A4849" s="500" t="s">
        <v>1190</v>
      </c>
      <c r="B4849" s="501">
        <v>4662</v>
      </c>
      <c r="C4849" s="501" t="s">
        <v>1094</v>
      </c>
      <c r="D4849" s="501" t="s">
        <v>3380</v>
      </c>
      <c r="E4849" s="501" t="s">
        <v>3381</v>
      </c>
      <c r="F4849" s="501" t="s">
        <v>715</v>
      </c>
      <c r="G4849" s="501" t="s">
        <v>716</v>
      </c>
      <c r="H4849" s="501" t="s">
        <v>7282</v>
      </c>
      <c r="I4849" s="501">
        <v>6</v>
      </c>
      <c r="J4849" s="501">
        <v>0</v>
      </c>
      <c r="K4849" s="501">
        <v>0</v>
      </c>
      <c r="L4849" s="501">
        <v>6</v>
      </c>
      <c r="M4849" s="501">
        <v>0</v>
      </c>
      <c r="N4849" s="501">
        <v>0</v>
      </c>
      <c r="O4849" s="506">
        <v>0</v>
      </c>
    </row>
    <row r="4850" spans="1:15" x14ac:dyDescent="0.35">
      <c r="A4850" s="503" t="s">
        <v>1194</v>
      </c>
      <c r="B4850" s="504" t="s">
        <v>2985</v>
      </c>
      <c r="C4850" s="504" t="s">
        <v>1089</v>
      </c>
      <c r="D4850" s="504" t="s">
        <v>3392</v>
      </c>
      <c r="E4850" s="504" t="s">
        <v>3381</v>
      </c>
      <c r="F4850" s="504" t="s">
        <v>715</v>
      </c>
      <c r="G4850" s="504" t="s">
        <v>716</v>
      </c>
      <c r="H4850" s="504" t="s">
        <v>7283</v>
      </c>
      <c r="I4850" s="504">
        <v>80</v>
      </c>
      <c r="J4850" s="504">
        <v>33</v>
      </c>
      <c r="K4850" s="504">
        <v>0</v>
      </c>
      <c r="L4850" s="504">
        <v>0</v>
      </c>
      <c r="M4850" s="504">
        <v>47</v>
      </c>
      <c r="N4850" s="504">
        <v>0</v>
      </c>
      <c r="O4850" s="505">
        <v>0</v>
      </c>
    </row>
    <row r="4851" spans="1:15" x14ac:dyDescent="0.35">
      <c r="A4851" s="500" t="s">
        <v>1198</v>
      </c>
      <c r="B4851" s="501">
        <v>4795</v>
      </c>
      <c r="C4851" s="501" t="s">
        <v>1089</v>
      </c>
      <c r="D4851" s="501" t="s">
        <v>3392</v>
      </c>
      <c r="E4851" s="501" t="s">
        <v>3381</v>
      </c>
      <c r="F4851" s="501" t="s">
        <v>715</v>
      </c>
      <c r="G4851" s="501" t="s">
        <v>716</v>
      </c>
      <c r="H4851" s="501" t="s">
        <v>7284</v>
      </c>
      <c r="I4851" s="501">
        <v>31</v>
      </c>
      <c r="J4851" s="501">
        <v>0</v>
      </c>
      <c r="K4851" s="501">
        <v>0</v>
      </c>
      <c r="L4851" s="501">
        <v>31</v>
      </c>
      <c r="M4851" s="501">
        <v>0</v>
      </c>
      <c r="N4851" s="501">
        <v>0</v>
      </c>
      <c r="O4851" s="506">
        <v>0</v>
      </c>
    </row>
    <row r="4852" spans="1:15" x14ac:dyDescent="0.35">
      <c r="A4852" s="503" t="s">
        <v>1201</v>
      </c>
      <c r="B4852" s="504" t="s">
        <v>2892</v>
      </c>
      <c r="C4852" s="504" t="s">
        <v>1089</v>
      </c>
      <c r="D4852" s="504" t="s">
        <v>3392</v>
      </c>
      <c r="E4852" s="504" t="s">
        <v>3381</v>
      </c>
      <c r="F4852" s="504" t="s">
        <v>715</v>
      </c>
      <c r="G4852" s="504" t="s">
        <v>716</v>
      </c>
      <c r="H4852" s="504" t="s">
        <v>7285</v>
      </c>
      <c r="I4852" s="504">
        <v>151</v>
      </c>
      <c r="J4852" s="504">
        <v>0</v>
      </c>
      <c r="K4852" s="504">
        <v>0</v>
      </c>
      <c r="L4852" s="504">
        <v>151</v>
      </c>
      <c r="M4852" s="504">
        <v>0</v>
      </c>
      <c r="N4852" s="504">
        <v>0</v>
      </c>
      <c r="O4852" s="505">
        <v>0</v>
      </c>
    </row>
    <row r="4853" spans="1:15" x14ac:dyDescent="0.35">
      <c r="A4853" s="500" t="s">
        <v>1203</v>
      </c>
      <c r="B4853" s="501" t="s">
        <v>3170</v>
      </c>
      <c r="C4853" s="501" t="s">
        <v>1094</v>
      </c>
      <c r="D4853" s="501" t="s">
        <v>3380</v>
      </c>
      <c r="E4853" s="501" t="s">
        <v>3381</v>
      </c>
      <c r="F4853" s="501" t="s">
        <v>715</v>
      </c>
      <c r="G4853" s="501" t="s">
        <v>716</v>
      </c>
      <c r="H4853" s="501" t="s">
        <v>7286</v>
      </c>
      <c r="I4853" s="501">
        <v>782</v>
      </c>
      <c r="J4853" s="501">
        <v>617</v>
      </c>
      <c r="K4853" s="501">
        <v>0</v>
      </c>
      <c r="L4853" s="501">
        <v>18</v>
      </c>
      <c r="M4853" s="501">
        <v>58</v>
      </c>
      <c r="N4853" s="501">
        <v>2</v>
      </c>
      <c r="O4853" s="506">
        <v>89</v>
      </c>
    </row>
    <row r="4854" spans="1:15" x14ac:dyDescent="0.35">
      <c r="A4854" s="503" t="s">
        <v>1210</v>
      </c>
      <c r="B4854" s="504">
        <v>4781</v>
      </c>
      <c r="C4854" s="504" t="s">
        <v>1089</v>
      </c>
      <c r="D4854" s="504" t="s">
        <v>3392</v>
      </c>
      <c r="E4854" s="504" t="s">
        <v>3381</v>
      </c>
      <c r="F4854" s="504" t="s">
        <v>715</v>
      </c>
      <c r="G4854" s="504" t="s">
        <v>716</v>
      </c>
      <c r="H4854" s="504" t="s">
        <v>7287</v>
      </c>
      <c r="I4854" s="504">
        <v>23</v>
      </c>
      <c r="J4854" s="504">
        <v>0</v>
      </c>
      <c r="K4854" s="504">
        <v>0</v>
      </c>
      <c r="L4854" s="504">
        <v>23</v>
      </c>
      <c r="M4854" s="504">
        <v>0</v>
      </c>
      <c r="N4854" s="504">
        <v>0</v>
      </c>
      <c r="O4854" s="505">
        <v>0</v>
      </c>
    </row>
    <row r="4855" spans="1:15" x14ac:dyDescent="0.35">
      <c r="A4855" s="500" t="s">
        <v>1215</v>
      </c>
      <c r="B4855" s="501">
        <v>4817</v>
      </c>
      <c r="C4855" s="501" t="s">
        <v>1094</v>
      </c>
      <c r="D4855" s="501" t="s">
        <v>3380</v>
      </c>
      <c r="E4855" s="501" t="s">
        <v>3381</v>
      </c>
      <c r="F4855" s="501" t="s">
        <v>715</v>
      </c>
      <c r="G4855" s="501" t="s">
        <v>716</v>
      </c>
      <c r="H4855" s="501" t="s">
        <v>7288</v>
      </c>
      <c r="I4855" s="501">
        <v>26</v>
      </c>
      <c r="J4855" s="501">
        <v>0</v>
      </c>
      <c r="K4855" s="501">
        <v>0</v>
      </c>
      <c r="L4855" s="501">
        <v>26</v>
      </c>
      <c r="M4855" s="501">
        <v>0</v>
      </c>
      <c r="N4855" s="501">
        <v>0</v>
      </c>
      <c r="O4855" s="506">
        <v>0</v>
      </c>
    </row>
    <row r="4856" spans="1:15" x14ac:dyDescent="0.35">
      <c r="A4856" s="503" t="s">
        <v>1216</v>
      </c>
      <c r="B4856" s="504" t="s">
        <v>3207</v>
      </c>
      <c r="C4856" s="504" t="s">
        <v>1094</v>
      </c>
      <c r="D4856" s="504" t="s">
        <v>3380</v>
      </c>
      <c r="E4856" s="504" t="s">
        <v>3381</v>
      </c>
      <c r="F4856" s="504" t="s">
        <v>715</v>
      </c>
      <c r="G4856" s="504" t="s">
        <v>716</v>
      </c>
      <c r="H4856" s="504" t="s">
        <v>14805</v>
      </c>
      <c r="I4856" s="504">
        <v>106</v>
      </c>
      <c r="J4856" s="504">
        <v>76</v>
      </c>
      <c r="K4856" s="504">
        <v>0</v>
      </c>
      <c r="L4856" s="504">
        <v>0</v>
      </c>
      <c r="M4856" s="504">
        <v>0</v>
      </c>
      <c r="N4856" s="504">
        <v>0</v>
      </c>
      <c r="O4856" s="505">
        <v>30</v>
      </c>
    </row>
    <row r="4857" spans="1:15" x14ac:dyDescent="0.35">
      <c r="A4857" s="500" t="s">
        <v>1221</v>
      </c>
      <c r="B4857" s="501">
        <v>4728</v>
      </c>
      <c r="C4857" s="501" t="s">
        <v>1089</v>
      </c>
      <c r="D4857" s="501" t="s">
        <v>3392</v>
      </c>
      <c r="E4857" s="501" t="s">
        <v>3381</v>
      </c>
      <c r="F4857" s="501" t="s">
        <v>715</v>
      </c>
      <c r="G4857" s="501" t="s">
        <v>716</v>
      </c>
      <c r="H4857" s="501" t="s">
        <v>7289</v>
      </c>
      <c r="I4857" s="501">
        <v>28</v>
      </c>
      <c r="J4857" s="501">
        <v>0</v>
      </c>
      <c r="K4857" s="501">
        <v>0</v>
      </c>
      <c r="L4857" s="501">
        <v>28</v>
      </c>
      <c r="M4857" s="501">
        <v>0</v>
      </c>
      <c r="N4857" s="501">
        <v>0</v>
      </c>
      <c r="O4857" s="506">
        <v>0</v>
      </c>
    </row>
    <row r="4858" spans="1:15" x14ac:dyDescent="0.35">
      <c r="A4858" s="503" t="s">
        <v>1122</v>
      </c>
      <c r="B4858" s="504" t="s">
        <v>2994</v>
      </c>
      <c r="C4858" s="504" t="s">
        <v>1094</v>
      </c>
      <c r="D4858" s="504" t="s">
        <v>3380</v>
      </c>
      <c r="E4858" s="504" t="s">
        <v>3381</v>
      </c>
      <c r="F4858" s="504" t="s">
        <v>715</v>
      </c>
      <c r="G4858" s="504" t="s">
        <v>716</v>
      </c>
      <c r="H4858" s="504" t="s">
        <v>7290</v>
      </c>
      <c r="I4858" s="504">
        <v>210</v>
      </c>
      <c r="J4858" s="504">
        <v>210</v>
      </c>
      <c r="K4858" s="504">
        <v>0</v>
      </c>
      <c r="L4858" s="504">
        <v>0</v>
      </c>
      <c r="M4858" s="504">
        <v>0</v>
      </c>
      <c r="N4858" s="504">
        <v>0</v>
      </c>
      <c r="O4858" s="505">
        <v>0</v>
      </c>
    </row>
    <row r="4859" spans="1:15" x14ac:dyDescent="0.35">
      <c r="A4859" s="500" t="s">
        <v>1226</v>
      </c>
      <c r="B4859" s="501">
        <v>5084</v>
      </c>
      <c r="C4859" s="501" t="s">
        <v>1094</v>
      </c>
      <c r="D4859" s="501" t="s">
        <v>3380</v>
      </c>
      <c r="E4859" s="501" t="s">
        <v>3381</v>
      </c>
      <c r="F4859" s="501" t="s">
        <v>715</v>
      </c>
      <c r="G4859" s="501" t="s">
        <v>716</v>
      </c>
      <c r="H4859" s="501" t="s">
        <v>7291</v>
      </c>
      <c r="I4859" s="501">
        <v>342</v>
      </c>
      <c r="J4859" s="501">
        <v>183</v>
      </c>
      <c r="K4859" s="501">
        <v>0</v>
      </c>
      <c r="L4859" s="501">
        <v>0</v>
      </c>
      <c r="M4859" s="501">
        <v>0</v>
      </c>
      <c r="N4859" s="501">
        <v>0</v>
      </c>
      <c r="O4859" s="506">
        <v>159</v>
      </c>
    </row>
    <row r="4860" spans="1:15" x14ac:dyDescent="0.35">
      <c r="A4860" s="503" t="s">
        <v>1228</v>
      </c>
      <c r="B4860" s="504" t="s">
        <v>3321</v>
      </c>
      <c r="C4860" s="504" t="s">
        <v>1094</v>
      </c>
      <c r="D4860" s="504" t="s">
        <v>3380</v>
      </c>
      <c r="E4860" s="504" t="s">
        <v>3381</v>
      </c>
      <c r="F4860" s="504" t="s">
        <v>715</v>
      </c>
      <c r="G4860" s="504" t="s">
        <v>716</v>
      </c>
      <c r="H4860" s="504" t="s">
        <v>7292</v>
      </c>
      <c r="I4860" s="504">
        <v>6</v>
      </c>
      <c r="J4860" s="504">
        <v>0</v>
      </c>
      <c r="K4860" s="504">
        <v>0</v>
      </c>
      <c r="L4860" s="504">
        <v>6</v>
      </c>
      <c r="M4860" s="504">
        <v>0</v>
      </c>
      <c r="N4860" s="504">
        <v>0</v>
      </c>
      <c r="O4860" s="505">
        <v>0</v>
      </c>
    </row>
    <row r="4861" spans="1:15" x14ac:dyDescent="0.35">
      <c r="A4861" s="500" t="s">
        <v>1124</v>
      </c>
      <c r="B4861" s="501">
        <v>4745</v>
      </c>
      <c r="C4861" s="501" t="s">
        <v>1094</v>
      </c>
      <c r="D4861" s="501" t="s">
        <v>3380</v>
      </c>
      <c r="E4861" s="501" t="s">
        <v>3381</v>
      </c>
      <c r="F4861" s="501" t="s">
        <v>715</v>
      </c>
      <c r="G4861" s="501" t="s">
        <v>716</v>
      </c>
      <c r="H4861" s="501" t="s">
        <v>7293</v>
      </c>
      <c r="I4861" s="501">
        <v>10</v>
      </c>
      <c r="J4861" s="501">
        <v>0</v>
      </c>
      <c r="K4861" s="501">
        <v>0</v>
      </c>
      <c r="L4861" s="501">
        <v>10</v>
      </c>
      <c r="M4861" s="501">
        <v>0</v>
      </c>
      <c r="N4861" s="501">
        <v>0</v>
      </c>
      <c r="O4861" s="506">
        <v>0</v>
      </c>
    </row>
    <row r="4862" spans="1:15" x14ac:dyDescent="0.35">
      <c r="A4862" s="503" t="s">
        <v>1126</v>
      </c>
      <c r="B4862" s="504" t="s">
        <v>2974</v>
      </c>
      <c r="C4862" s="504" t="s">
        <v>1094</v>
      </c>
      <c r="D4862" s="504" t="s">
        <v>3380</v>
      </c>
      <c r="E4862" s="504" t="s">
        <v>3381</v>
      </c>
      <c r="F4862" s="504" t="s">
        <v>715</v>
      </c>
      <c r="G4862" s="504" t="s">
        <v>716</v>
      </c>
      <c r="H4862" s="504" t="s">
        <v>7294</v>
      </c>
      <c r="I4862" s="504">
        <v>23</v>
      </c>
      <c r="J4862" s="504">
        <v>23</v>
      </c>
      <c r="K4862" s="504">
        <v>0</v>
      </c>
      <c r="L4862" s="504">
        <v>0</v>
      </c>
      <c r="M4862" s="504">
        <v>0</v>
      </c>
      <c r="N4862" s="504">
        <v>0</v>
      </c>
      <c r="O4862" s="505">
        <v>0</v>
      </c>
    </row>
    <row r="4863" spans="1:15" x14ac:dyDescent="0.35">
      <c r="A4863" s="500" t="s">
        <v>1245</v>
      </c>
      <c r="B4863" s="501" t="s">
        <v>2859</v>
      </c>
      <c r="C4863" s="501" t="s">
        <v>1094</v>
      </c>
      <c r="D4863" s="501" t="s">
        <v>3380</v>
      </c>
      <c r="E4863" s="501" t="s">
        <v>3381</v>
      </c>
      <c r="F4863" s="501" t="s">
        <v>715</v>
      </c>
      <c r="G4863" s="501" t="s">
        <v>716</v>
      </c>
      <c r="H4863" s="501" t="s">
        <v>7295</v>
      </c>
      <c r="I4863" s="501">
        <v>11</v>
      </c>
      <c r="J4863" s="501">
        <v>0</v>
      </c>
      <c r="K4863" s="501">
        <v>0</v>
      </c>
      <c r="L4863" s="501">
        <v>0</v>
      </c>
      <c r="M4863" s="501">
        <v>11</v>
      </c>
      <c r="N4863" s="501">
        <v>0</v>
      </c>
      <c r="O4863" s="506">
        <v>0</v>
      </c>
    </row>
    <row r="4864" spans="1:15" x14ac:dyDescent="0.35">
      <c r="A4864" s="503" t="s">
        <v>1262</v>
      </c>
      <c r="B4864" s="504">
        <v>4772</v>
      </c>
      <c r="C4864" s="504" t="s">
        <v>1089</v>
      </c>
      <c r="D4864" s="504" t="s">
        <v>3392</v>
      </c>
      <c r="E4864" s="504" t="s">
        <v>3381</v>
      </c>
      <c r="F4864" s="504" t="s">
        <v>715</v>
      </c>
      <c r="G4864" s="504" t="s">
        <v>716</v>
      </c>
      <c r="H4864" s="504" t="s">
        <v>7296</v>
      </c>
      <c r="I4864" s="504">
        <v>12</v>
      </c>
      <c r="J4864" s="504">
        <v>0</v>
      </c>
      <c r="K4864" s="504">
        <v>0</v>
      </c>
      <c r="L4864" s="504">
        <v>12</v>
      </c>
      <c r="M4864" s="504">
        <v>0</v>
      </c>
      <c r="N4864" s="504">
        <v>0</v>
      </c>
      <c r="O4864" s="505">
        <v>0</v>
      </c>
    </row>
    <row r="4865" spans="1:15" x14ac:dyDescent="0.35">
      <c r="A4865" s="500" t="s">
        <v>1193</v>
      </c>
      <c r="B4865" s="501" t="s">
        <v>3039</v>
      </c>
      <c r="C4865" s="501" t="s">
        <v>1094</v>
      </c>
      <c r="D4865" s="501" t="s">
        <v>3380</v>
      </c>
      <c r="E4865" s="501" t="s">
        <v>3381</v>
      </c>
      <c r="F4865" s="501" t="s">
        <v>717</v>
      </c>
      <c r="G4865" s="501" t="s">
        <v>718</v>
      </c>
      <c r="H4865" s="501" t="s">
        <v>7326</v>
      </c>
      <c r="I4865" s="501">
        <v>64</v>
      </c>
      <c r="J4865" s="501">
        <v>0</v>
      </c>
      <c r="K4865" s="501">
        <v>0</v>
      </c>
      <c r="L4865" s="501">
        <v>0</v>
      </c>
      <c r="M4865" s="501">
        <v>64</v>
      </c>
      <c r="N4865" s="501">
        <v>0</v>
      </c>
      <c r="O4865" s="506">
        <v>0</v>
      </c>
    </row>
    <row r="4866" spans="1:15" x14ac:dyDescent="0.35">
      <c r="A4866" s="503" t="s">
        <v>1147</v>
      </c>
      <c r="B4866" s="504" t="s">
        <v>3274</v>
      </c>
      <c r="C4866" s="504" t="s">
        <v>1089</v>
      </c>
      <c r="D4866" s="504" t="s">
        <v>3392</v>
      </c>
      <c r="E4866" s="504" t="s">
        <v>3381</v>
      </c>
      <c r="F4866" s="504" t="s">
        <v>717</v>
      </c>
      <c r="G4866" s="504" t="s">
        <v>718</v>
      </c>
      <c r="H4866" s="504" t="s">
        <v>7297</v>
      </c>
      <c r="I4866" s="504">
        <v>10</v>
      </c>
      <c r="J4866" s="504">
        <v>0</v>
      </c>
      <c r="K4866" s="504">
        <v>10</v>
      </c>
      <c r="L4866" s="504">
        <v>0</v>
      </c>
      <c r="M4866" s="504">
        <v>0</v>
      </c>
      <c r="N4866" s="504">
        <v>0</v>
      </c>
      <c r="O4866" s="505">
        <v>0</v>
      </c>
    </row>
    <row r="4867" spans="1:15" x14ac:dyDescent="0.35">
      <c r="A4867" s="500" t="s">
        <v>1669</v>
      </c>
      <c r="B4867" s="501" t="s">
        <v>2674</v>
      </c>
      <c r="C4867" s="501" t="s">
        <v>1089</v>
      </c>
      <c r="D4867" s="501" t="s">
        <v>3392</v>
      </c>
      <c r="E4867" s="501" t="s">
        <v>3381</v>
      </c>
      <c r="F4867" s="501" t="s">
        <v>717</v>
      </c>
      <c r="G4867" s="501" t="s">
        <v>718</v>
      </c>
      <c r="H4867" s="501" t="s">
        <v>7298</v>
      </c>
      <c r="I4867" s="501">
        <v>138</v>
      </c>
      <c r="J4867" s="501">
        <v>138</v>
      </c>
      <c r="K4867" s="501">
        <v>0</v>
      </c>
      <c r="L4867" s="501">
        <v>0</v>
      </c>
      <c r="M4867" s="501">
        <v>0</v>
      </c>
      <c r="N4867" s="501">
        <v>0</v>
      </c>
      <c r="O4867" s="506">
        <v>0</v>
      </c>
    </row>
    <row r="4868" spans="1:15" x14ac:dyDescent="0.35">
      <c r="A4868" s="503" t="s">
        <v>1096</v>
      </c>
      <c r="B4868" s="504" t="s">
        <v>3326</v>
      </c>
      <c r="C4868" s="504" t="s">
        <v>1094</v>
      </c>
      <c r="D4868" s="504" t="s">
        <v>3380</v>
      </c>
      <c r="E4868" s="504" t="s">
        <v>3381</v>
      </c>
      <c r="F4868" s="504" t="s">
        <v>717</v>
      </c>
      <c r="G4868" s="504" t="s">
        <v>718</v>
      </c>
      <c r="H4868" s="504" t="s">
        <v>7299</v>
      </c>
      <c r="I4868" s="504">
        <v>530</v>
      </c>
      <c r="J4868" s="504">
        <v>58</v>
      </c>
      <c r="K4868" s="504">
        <v>0</v>
      </c>
      <c r="L4868" s="504">
        <v>0</v>
      </c>
      <c r="M4868" s="504">
        <v>472</v>
      </c>
      <c r="N4868" s="504">
        <v>0</v>
      </c>
      <c r="O4868" s="505">
        <v>0</v>
      </c>
    </row>
    <row r="4869" spans="1:15" x14ac:dyDescent="0.35">
      <c r="A4869" s="500" t="s">
        <v>1673</v>
      </c>
      <c r="B4869" s="501">
        <v>4731</v>
      </c>
      <c r="C4869" s="501" t="s">
        <v>1089</v>
      </c>
      <c r="D4869" s="501" t="s">
        <v>3392</v>
      </c>
      <c r="E4869" s="501" t="s">
        <v>3381</v>
      </c>
      <c r="F4869" s="501" t="s">
        <v>717</v>
      </c>
      <c r="G4869" s="501" t="s">
        <v>718</v>
      </c>
      <c r="H4869" s="501" t="s">
        <v>11499</v>
      </c>
      <c r="I4869" s="501">
        <v>3</v>
      </c>
      <c r="J4869" s="501">
        <v>0</v>
      </c>
      <c r="K4869" s="501">
        <v>0</v>
      </c>
      <c r="L4869" s="501">
        <v>3</v>
      </c>
      <c r="M4869" s="501">
        <v>0</v>
      </c>
      <c r="N4869" s="501">
        <v>0</v>
      </c>
      <c r="O4869" s="506">
        <v>0</v>
      </c>
    </row>
    <row r="4870" spans="1:15" x14ac:dyDescent="0.35">
      <c r="A4870" s="503" t="s">
        <v>11363</v>
      </c>
      <c r="B4870" s="504">
        <v>4718</v>
      </c>
      <c r="C4870" s="504" t="s">
        <v>1094</v>
      </c>
      <c r="D4870" s="504" t="s">
        <v>3380</v>
      </c>
      <c r="E4870" s="504" t="s">
        <v>3381</v>
      </c>
      <c r="F4870" s="504" t="s">
        <v>717</v>
      </c>
      <c r="G4870" s="504" t="s">
        <v>718</v>
      </c>
      <c r="H4870" s="504" t="s">
        <v>11561</v>
      </c>
      <c r="I4870" s="504">
        <v>6</v>
      </c>
      <c r="J4870" s="504">
        <v>0</v>
      </c>
      <c r="K4870" s="504">
        <v>0</v>
      </c>
      <c r="L4870" s="504">
        <v>6</v>
      </c>
      <c r="M4870" s="504">
        <v>0</v>
      </c>
      <c r="N4870" s="504">
        <v>0</v>
      </c>
      <c r="O4870" s="505">
        <v>0</v>
      </c>
    </row>
    <row r="4871" spans="1:15" x14ac:dyDescent="0.35">
      <c r="A4871" s="500" t="s">
        <v>1403</v>
      </c>
      <c r="B4871" s="501">
        <v>4733</v>
      </c>
      <c r="C4871" s="501" t="s">
        <v>1089</v>
      </c>
      <c r="D4871" s="501" t="s">
        <v>3392</v>
      </c>
      <c r="E4871" s="501" t="s">
        <v>3381</v>
      </c>
      <c r="F4871" s="501" t="s">
        <v>717</v>
      </c>
      <c r="G4871" s="501" t="s">
        <v>718</v>
      </c>
      <c r="H4871" s="501" t="s">
        <v>11615</v>
      </c>
      <c r="I4871" s="501">
        <v>2</v>
      </c>
      <c r="J4871" s="501">
        <v>0</v>
      </c>
      <c r="K4871" s="501">
        <v>0</v>
      </c>
      <c r="L4871" s="501">
        <v>2</v>
      </c>
      <c r="M4871" s="501">
        <v>0</v>
      </c>
      <c r="N4871" s="501">
        <v>0</v>
      </c>
      <c r="O4871" s="506">
        <v>0</v>
      </c>
    </row>
    <row r="4872" spans="1:15" x14ac:dyDescent="0.35">
      <c r="A4872" s="503" t="s">
        <v>1679</v>
      </c>
      <c r="B4872" s="504" t="s">
        <v>2790</v>
      </c>
      <c r="C4872" s="504" t="s">
        <v>1089</v>
      </c>
      <c r="D4872" s="504" t="s">
        <v>3392</v>
      </c>
      <c r="E4872" s="504" t="s">
        <v>3381</v>
      </c>
      <c r="F4872" s="504" t="s">
        <v>717</v>
      </c>
      <c r="G4872" s="504" t="s">
        <v>718</v>
      </c>
      <c r="H4872" s="504" t="s">
        <v>7300</v>
      </c>
      <c r="I4872" s="504">
        <v>15</v>
      </c>
      <c r="J4872" s="504">
        <v>15</v>
      </c>
      <c r="K4872" s="504">
        <v>0</v>
      </c>
      <c r="L4872" s="504">
        <v>0</v>
      </c>
      <c r="M4872" s="504">
        <v>0</v>
      </c>
      <c r="N4872" s="504">
        <v>0</v>
      </c>
      <c r="O4872" s="505">
        <v>0</v>
      </c>
    </row>
    <row r="4873" spans="1:15" x14ac:dyDescent="0.35">
      <c r="A4873" s="500" t="s">
        <v>1681</v>
      </c>
      <c r="B4873" s="501" t="s">
        <v>2657</v>
      </c>
      <c r="C4873" s="501" t="s">
        <v>1089</v>
      </c>
      <c r="D4873" s="501" t="s">
        <v>3392</v>
      </c>
      <c r="E4873" s="501" t="s">
        <v>3381</v>
      </c>
      <c r="F4873" s="501" t="s">
        <v>717</v>
      </c>
      <c r="G4873" s="501" t="s">
        <v>718</v>
      </c>
      <c r="H4873" s="501" t="s">
        <v>7301</v>
      </c>
      <c r="I4873" s="501">
        <v>119</v>
      </c>
      <c r="J4873" s="501">
        <v>119</v>
      </c>
      <c r="K4873" s="501">
        <v>0</v>
      </c>
      <c r="L4873" s="501">
        <v>0</v>
      </c>
      <c r="M4873" s="501">
        <v>0</v>
      </c>
      <c r="N4873" s="501">
        <v>0</v>
      </c>
      <c r="O4873" s="506">
        <v>0</v>
      </c>
    </row>
    <row r="4874" spans="1:15" x14ac:dyDescent="0.35">
      <c r="A4874" s="503" t="s">
        <v>1160</v>
      </c>
      <c r="B4874" s="504">
        <v>4672</v>
      </c>
      <c r="C4874" s="504" t="s">
        <v>1089</v>
      </c>
      <c r="D4874" s="504" t="s">
        <v>3392</v>
      </c>
      <c r="E4874" s="504" t="s">
        <v>3381</v>
      </c>
      <c r="F4874" s="504" t="s">
        <v>717</v>
      </c>
      <c r="G4874" s="504" t="s">
        <v>718</v>
      </c>
      <c r="H4874" s="504" t="s">
        <v>7302</v>
      </c>
      <c r="I4874" s="504">
        <v>3</v>
      </c>
      <c r="J4874" s="504">
        <v>0</v>
      </c>
      <c r="K4874" s="504">
        <v>0</v>
      </c>
      <c r="L4874" s="504">
        <v>3</v>
      </c>
      <c r="M4874" s="504">
        <v>0</v>
      </c>
      <c r="N4874" s="504">
        <v>0</v>
      </c>
      <c r="O4874" s="505">
        <v>0</v>
      </c>
    </row>
    <row r="4875" spans="1:15" x14ac:dyDescent="0.35">
      <c r="A4875" s="500" t="s">
        <v>1683</v>
      </c>
      <c r="B4875" s="501" t="s">
        <v>2807</v>
      </c>
      <c r="C4875" s="501" t="s">
        <v>1089</v>
      </c>
      <c r="D4875" s="501" t="s">
        <v>3392</v>
      </c>
      <c r="E4875" s="501" t="s">
        <v>3381</v>
      </c>
      <c r="F4875" s="501" t="s">
        <v>717</v>
      </c>
      <c r="G4875" s="501" t="s">
        <v>718</v>
      </c>
      <c r="H4875" s="501" t="s">
        <v>7303</v>
      </c>
      <c r="I4875" s="501">
        <v>18</v>
      </c>
      <c r="J4875" s="501">
        <v>18</v>
      </c>
      <c r="K4875" s="501">
        <v>0</v>
      </c>
      <c r="L4875" s="501">
        <v>0</v>
      </c>
      <c r="M4875" s="501">
        <v>0</v>
      </c>
      <c r="N4875" s="501">
        <v>0</v>
      </c>
      <c r="O4875" s="506">
        <v>0</v>
      </c>
    </row>
    <row r="4876" spans="1:15" x14ac:dyDescent="0.35">
      <c r="A4876" s="503" t="s">
        <v>1687</v>
      </c>
      <c r="B4876" s="504" t="s">
        <v>2872</v>
      </c>
      <c r="C4876" s="504" t="s">
        <v>1089</v>
      </c>
      <c r="D4876" s="504" t="s">
        <v>3392</v>
      </c>
      <c r="E4876" s="504" t="s">
        <v>3381</v>
      </c>
      <c r="F4876" s="504" t="s">
        <v>717</v>
      </c>
      <c r="G4876" s="504" t="s">
        <v>718</v>
      </c>
      <c r="H4876" s="504" t="s">
        <v>7304</v>
      </c>
      <c r="I4876" s="504">
        <v>99</v>
      </c>
      <c r="J4876" s="504">
        <v>0</v>
      </c>
      <c r="K4876" s="504">
        <v>0</v>
      </c>
      <c r="L4876" s="504">
        <v>99</v>
      </c>
      <c r="M4876" s="504">
        <v>0</v>
      </c>
      <c r="N4876" s="504">
        <v>0</v>
      </c>
      <c r="O4876" s="505">
        <v>0</v>
      </c>
    </row>
    <row r="4877" spans="1:15" x14ac:dyDescent="0.35">
      <c r="A4877" s="500" t="s">
        <v>1693</v>
      </c>
      <c r="B4877" s="501" t="s">
        <v>2800</v>
      </c>
      <c r="C4877" s="501" t="s">
        <v>1089</v>
      </c>
      <c r="D4877" s="501" t="s">
        <v>3392</v>
      </c>
      <c r="E4877" s="501" t="s">
        <v>3381</v>
      </c>
      <c r="F4877" s="501" t="s">
        <v>717</v>
      </c>
      <c r="G4877" s="501" t="s">
        <v>718</v>
      </c>
      <c r="H4877" s="501" t="s">
        <v>7306</v>
      </c>
      <c r="I4877" s="501">
        <v>20</v>
      </c>
      <c r="J4877" s="501">
        <v>20</v>
      </c>
      <c r="K4877" s="501">
        <v>0</v>
      </c>
      <c r="L4877" s="501">
        <v>0</v>
      </c>
      <c r="M4877" s="501">
        <v>0</v>
      </c>
      <c r="N4877" s="501">
        <v>0</v>
      </c>
      <c r="O4877" s="506">
        <v>0</v>
      </c>
    </row>
    <row r="4878" spans="1:15" x14ac:dyDescent="0.35">
      <c r="A4878" s="503" t="s">
        <v>1688</v>
      </c>
      <c r="B4878" s="504" t="s">
        <v>3181</v>
      </c>
      <c r="C4878" s="504" t="s">
        <v>1094</v>
      </c>
      <c r="D4878" s="504" t="s">
        <v>3380</v>
      </c>
      <c r="E4878" s="504" t="s">
        <v>3381</v>
      </c>
      <c r="F4878" s="504" t="s">
        <v>717</v>
      </c>
      <c r="G4878" s="504" t="s">
        <v>718</v>
      </c>
      <c r="H4878" s="504" t="s">
        <v>7305</v>
      </c>
      <c r="I4878" s="504">
        <v>5805</v>
      </c>
      <c r="J4878" s="504">
        <v>5803</v>
      </c>
      <c r="K4878" s="504">
        <v>0</v>
      </c>
      <c r="L4878" s="504">
        <v>0</v>
      </c>
      <c r="M4878" s="504">
        <v>0</v>
      </c>
      <c r="N4878" s="504">
        <v>0</v>
      </c>
      <c r="O4878" s="505">
        <v>2</v>
      </c>
    </row>
    <row r="4879" spans="1:15" x14ac:dyDescent="0.35">
      <c r="A4879" s="500" t="s">
        <v>1694</v>
      </c>
      <c r="B4879" s="501" t="s">
        <v>2668</v>
      </c>
      <c r="C4879" s="501" t="s">
        <v>1089</v>
      </c>
      <c r="D4879" s="501" t="s">
        <v>3392</v>
      </c>
      <c r="E4879" s="501" t="s">
        <v>3381</v>
      </c>
      <c r="F4879" s="501" t="s">
        <v>717</v>
      </c>
      <c r="G4879" s="501" t="s">
        <v>718</v>
      </c>
      <c r="H4879" s="501" t="s">
        <v>7307</v>
      </c>
      <c r="I4879" s="501">
        <v>75</v>
      </c>
      <c r="J4879" s="501">
        <v>75</v>
      </c>
      <c r="K4879" s="501">
        <v>0</v>
      </c>
      <c r="L4879" s="501">
        <v>0</v>
      </c>
      <c r="M4879" s="501">
        <v>0</v>
      </c>
      <c r="N4879" s="501">
        <v>0</v>
      </c>
      <c r="O4879" s="506">
        <v>0</v>
      </c>
    </row>
    <row r="4880" spans="1:15" x14ac:dyDescent="0.35">
      <c r="A4880" s="503" t="s">
        <v>1167</v>
      </c>
      <c r="B4880" s="504">
        <v>4689</v>
      </c>
      <c r="C4880" s="504" t="s">
        <v>1089</v>
      </c>
      <c r="D4880" s="504" t="s">
        <v>3392</v>
      </c>
      <c r="E4880" s="504" t="s">
        <v>3381</v>
      </c>
      <c r="F4880" s="504" t="s">
        <v>717</v>
      </c>
      <c r="G4880" s="504" t="s">
        <v>718</v>
      </c>
      <c r="H4880" s="504" t="s">
        <v>7308</v>
      </c>
      <c r="I4880" s="504">
        <v>16</v>
      </c>
      <c r="J4880" s="504">
        <v>0</v>
      </c>
      <c r="K4880" s="504">
        <v>0</v>
      </c>
      <c r="L4880" s="504">
        <v>16</v>
      </c>
      <c r="M4880" s="504">
        <v>0</v>
      </c>
      <c r="N4880" s="504">
        <v>0</v>
      </c>
      <c r="O4880" s="505">
        <v>0</v>
      </c>
    </row>
    <row r="4881" spans="1:15" x14ac:dyDescent="0.35">
      <c r="A4881" s="500" t="s">
        <v>1695</v>
      </c>
      <c r="B4881" s="501">
        <v>4715</v>
      </c>
      <c r="C4881" s="501" t="s">
        <v>1089</v>
      </c>
      <c r="D4881" s="501" t="s">
        <v>3392</v>
      </c>
      <c r="E4881" s="501" t="s">
        <v>3381</v>
      </c>
      <c r="F4881" s="501" t="s">
        <v>717</v>
      </c>
      <c r="G4881" s="501" t="s">
        <v>718</v>
      </c>
      <c r="H4881" s="501" t="s">
        <v>7309</v>
      </c>
      <c r="I4881" s="501">
        <v>119</v>
      </c>
      <c r="J4881" s="501">
        <v>0</v>
      </c>
      <c r="K4881" s="501">
        <v>0</v>
      </c>
      <c r="L4881" s="501">
        <v>119</v>
      </c>
      <c r="M4881" s="501">
        <v>0</v>
      </c>
      <c r="N4881" s="501">
        <v>0</v>
      </c>
      <c r="O4881" s="506">
        <v>0</v>
      </c>
    </row>
    <row r="4882" spans="1:15" x14ac:dyDescent="0.35">
      <c r="A4882" s="503" t="s">
        <v>1696</v>
      </c>
      <c r="B4882" s="504" t="s">
        <v>3074</v>
      </c>
      <c r="C4882" s="504" t="s">
        <v>1089</v>
      </c>
      <c r="D4882" s="504" t="s">
        <v>3392</v>
      </c>
      <c r="E4882" s="504" t="s">
        <v>3381</v>
      </c>
      <c r="F4882" s="504" t="s">
        <v>717</v>
      </c>
      <c r="G4882" s="504" t="s">
        <v>718</v>
      </c>
      <c r="H4882" s="504" t="s">
        <v>7310</v>
      </c>
      <c r="I4882" s="504">
        <v>13</v>
      </c>
      <c r="J4882" s="504">
        <v>0</v>
      </c>
      <c r="K4882" s="504">
        <v>0</v>
      </c>
      <c r="L4882" s="504">
        <v>13</v>
      </c>
      <c r="M4882" s="504">
        <v>0</v>
      </c>
      <c r="N4882" s="504">
        <v>0</v>
      </c>
      <c r="O4882" s="505">
        <v>0</v>
      </c>
    </row>
    <row r="4883" spans="1:15" x14ac:dyDescent="0.35">
      <c r="A4883" s="500" t="s">
        <v>1697</v>
      </c>
      <c r="B4883" s="501" t="s">
        <v>2732</v>
      </c>
      <c r="C4883" s="501" t="s">
        <v>1089</v>
      </c>
      <c r="D4883" s="501" t="s">
        <v>3392</v>
      </c>
      <c r="E4883" s="501" t="s">
        <v>3381</v>
      </c>
      <c r="F4883" s="501" t="s">
        <v>717</v>
      </c>
      <c r="G4883" s="501" t="s">
        <v>718</v>
      </c>
      <c r="H4883" s="501" t="s">
        <v>7311</v>
      </c>
      <c r="I4883" s="501">
        <v>32</v>
      </c>
      <c r="J4883" s="501">
        <v>32</v>
      </c>
      <c r="K4883" s="501">
        <v>0</v>
      </c>
      <c r="L4883" s="501">
        <v>0</v>
      </c>
      <c r="M4883" s="501">
        <v>0</v>
      </c>
      <c r="N4883" s="501">
        <v>0</v>
      </c>
      <c r="O4883" s="506">
        <v>0</v>
      </c>
    </row>
    <row r="4884" spans="1:15" x14ac:dyDescent="0.35">
      <c r="A4884" s="503" t="s">
        <v>11452</v>
      </c>
      <c r="B4884" s="504" t="s">
        <v>2774</v>
      </c>
      <c r="C4884" s="504" t="s">
        <v>1089</v>
      </c>
      <c r="D4884" s="504" t="s">
        <v>3392</v>
      </c>
      <c r="E4884" s="504" t="s">
        <v>3381</v>
      </c>
      <c r="F4884" s="504" t="s">
        <v>717</v>
      </c>
      <c r="G4884" s="504" t="s">
        <v>718</v>
      </c>
      <c r="H4884" s="504" t="s">
        <v>11685</v>
      </c>
      <c r="I4884" s="504">
        <v>382</v>
      </c>
      <c r="J4884" s="504">
        <v>346</v>
      </c>
      <c r="K4884" s="504">
        <v>0</v>
      </c>
      <c r="L4884" s="504">
        <v>0</v>
      </c>
      <c r="M4884" s="504">
        <v>36</v>
      </c>
      <c r="N4884" s="504">
        <v>0</v>
      </c>
      <c r="O4884" s="505">
        <v>0</v>
      </c>
    </row>
    <row r="4885" spans="1:15" x14ac:dyDescent="0.35">
      <c r="A4885" s="500" t="s">
        <v>1102</v>
      </c>
      <c r="B4885" s="501">
        <v>4663</v>
      </c>
      <c r="C4885" s="501" t="s">
        <v>1089</v>
      </c>
      <c r="D4885" s="501" t="s">
        <v>3392</v>
      </c>
      <c r="E4885" s="501" t="s">
        <v>3381</v>
      </c>
      <c r="F4885" s="501" t="s">
        <v>717</v>
      </c>
      <c r="G4885" s="501" t="s">
        <v>718</v>
      </c>
      <c r="H4885" s="501" t="s">
        <v>7312</v>
      </c>
      <c r="I4885" s="501">
        <v>20</v>
      </c>
      <c r="J4885" s="501">
        <v>0</v>
      </c>
      <c r="K4885" s="501">
        <v>0</v>
      </c>
      <c r="L4885" s="501">
        <v>20</v>
      </c>
      <c r="M4885" s="501">
        <v>0</v>
      </c>
      <c r="N4885" s="501">
        <v>0</v>
      </c>
      <c r="O4885" s="506">
        <v>0</v>
      </c>
    </row>
    <row r="4886" spans="1:15" x14ac:dyDescent="0.35">
      <c r="A4886" s="503" t="s">
        <v>1174</v>
      </c>
      <c r="B4886" s="504">
        <v>4784</v>
      </c>
      <c r="C4886" s="504" t="s">
        <v>1089</v>
      </c>
      <c r="D4886" s="504" t="s">
        <v>3392</v>
      </c>
      <c r="E4886" s="504" t="s">
        <v>3381</v>
      </c>
      <c r="F4886" s="504" t="s">
        <v>717</v>
      </c>
      <c r="G4886" s="504" t="s">
        <v>718</v>
      </c>
      <c r="H4886" s="504" t="s">
        <v>11692</v>
      </c>
      <c r="I4886" s="504">
        <v>16</v>
      </c>
      <c r="J4886" s="504">
        <v>0</v>
      </c>
      <c r="K4886" s="504">
        <v>0</v>
      </c>
      <c r="L4886" s="504">
        <v>16</v>
      </c>
      <c r="M4886" s="504">
        <v>0</v>
      </c>
      <c r="N4886" s="504">
        <v>0</v>
      </c>
      <c r="O4886" s="505">
        <v>0</v>
      </c>
    </row>
    <row r="4887" spans="1:15" x14ac:dyDescent="0.35">
      <c r="A4887" s="500" t="s">
        <v>1699</v>
      </c>
      <c r="B4887" s="501">
        <v>4794</v>
      </c>
      <c r="C4887" s="501" t="s">
        <v>1089</v>
      </c>
      <c r="D4887" s="501" t="s">
        <v>3392</v>
      </c>
      <c r="E4887" s="501" t="s">
        <v>3381</v>
      </c>
      <c r="F4887" s="501" t="s">
        <v>717</v>
      </c>
      <c r="G4887" s="501" t="s">
        <v>718</v>
      </c>
      <c r="H4887" s="501" t="s">
        <v>7313</v>
      </c>
      <c r="I4887" s="501">
        <v>76</v>
      </c>
      <c r="J4887" s="501">
        <v>0</v>
      </c>
      <c r="K4887" s="501">
        <v>0</v>
      </c>
      <c r="L4887" s="501">
        <v>76</v>
      </c>
      <c r="M4887" s="501">
        <v>0</v>
      </c>
      <c r="N4887" s="501">
        <v>0</v>
      </c>
      <c r="O4887" s="506">
        <v>0</v>
      </c>
    </row>
    <row r="4888" spans="1:15" x14ac:dyDescent="0.35">
      <c r="A4888" s="503" t="s">
        <v>1177</v>
      </c>
      <c r="B4888" s="504">
        <v>4702</v>
      </c>
      <c r="C4888" s="504" t="s">
        <v>1089</v>
      </c>
      <c r="D4888" s="504" t="s">
        <v>3392</v>
      </c>
      <c r="E4888" s="504" t="s">
        <v>3381</v>
      </c>
      <c r="F4888" s="504" t="s">
        <v>717</v>
      </c>
      <c r="G4888" s="504" t="s">
        <v>718</v>
      </c>
      <c r="H4888" s="504" t="s">
        <v>7314</v>
      </c>
      <c r="I4888" s="504">
        <v>33</v>
      </c>
      <c r="J4888" s="504">
        <v>0</v>
      </c>
      <c r="K4888" s="504">
        <v>0</v>
      </c>
      <c r="L4888" s="504">
        <v>33</v>
      </c>
      <c r="M4888" s="504">
        <v>0</v>
      </c>
      <c r="N4888" s="504">
        <v>0</v>
      </c>
      <c r="O4888" s="505">
        <v>0</v>
      </c>
    </row>
    <row r="4889" spans="1:15" x14ac:dyDescent="0.35">
      <c r="A4889" s="500" t="s">
        <v>14208</v>
      </c>
      <c r="B4889" s="501">
        <v>4803</v>
      </c>
      <c r="C4889" s="501" t="s">
        <v>1094</v>
      </c>
      <c r="D4889" s="501" t="s">
        <v>3380</v>
      </c>
      <c r="E4889" s="501" t="s">
        <v>3381</v>
      </c>
      <c r="F4889" s="501" t="s">
        <v>717</v>
      </c>
      <c r="G4889" s="501" t="s">
        <v>718</v>
      </c>
      <c r="H4889" s="501" t="s">
        <v>14806</v>
      </c>
      <c r="I4889" s="501">
        <v>10</v>
      </c>
      <c r="J4889" s="501">
        <v>0</v>
      </c>
      <c r="K4889" s="501">
        <v>0</v>
      </c>
      <c r="L4889" s="501">
        <v>10</v>
      </c>
      <c r="M4889" s="501">
        <v>0</v>
      </c>
      <c r="N4889" s="501">
        <v>0</v>
      </c>
      <c r="O4889" s="506">
        <v>0</v>
      </c>
    </row>
    <row r="4890" spans="1:15" x14ac:dyDescent="0.35">
      <c r="A4890" s="503" t="s">
        <v>1706</v>
      </c>
      <c r="B4890" s="504" t="s">
        <v>2733</v>
      </c>
      <c r="C4890" s="504" t="s">
        <v>1089</v>
      </c>
      <c r="D4890" s="504" t="s">
        <v>3392</v>
      </c>
      <c r="E4890" s="504" t="s">
        <v>3381</v>
      </c>
      <c r="F4890" s="504" t="s">
        <v>717</v>
      </c>
      <c r="G4890" s="504" t="s">
        <v>718</v>
      </c>
      <c r="H4890" s="504" t="s">
        <v>7315</v>
      </c>
      <c r="I4890" s="504">
        <v>30</v>
      </c>
      <c r="J4890" s="504">
        <v>30</v>
      </c>
      <c r="K4890" s="504">
        <v>0</v>
      </c>
      <c r="L4890" s="504">
        <v>0</v>
      </c>
      <c r="M4890" s="504">
        <v>0</v>
      </c>
      <c r="N4890" s="504">
        <v>0</v>
      </c>
      <c r="O4890" s="505">
        <v>0</v>
      </c>
    </row>
    <row r="4891" spans="1:15" x14ac:dyDescent="0.35">
      <c r="A4891" s="500" t="s">
        <v>1186</v>
      </c>
      <c r="B4891" s="501">
        <v>4661</v>
      </c>
      <c r="C4891" s="501" t="s">
        <v>1089</v>
      </c>
      <c r="D4891" s="501" t="s">
        <v>3392</v>
      </c>
      <c r="E4891" s="501" t="s">
        <v>3381</v>
      </c>
      <c r="F4891" s="501" t="s">
        <v>717</v>
      </c>
      <c r="G4891" s="501" t="s">
        <v>718</v>
      </c>
      <c r="H4891" s="501" t="s">
        <v>7316</v>
      </c>
      <c r="I4891" s="501">
        <v>75</v>
      </c>
      <c r="J4891" s="501">
        <v>0</v>
      </c>
      <c r="K4891" s="501">
        <v>0</v>
      </c>
      <c r="L4891" s="501">
        <v>75</v>
      </c>
      <c r="M4891" s="501">
        <v>0</v>
      </c>
      <c r="N4891" s="501">
        <v>0</v>
      </c>
      <c r="O4891" s="506">
        <v>0</v>
      </c>
    </row>
    <row r="4892" spans="1:15" x14ac:dyDescent="0.35">
      <c r="A4892" s="503" t="s">
        <v>1708</v>
      </c>
      <c r="B4892" s="504" t="s">
        <v>2793</v>
      </c>
      <c r="C4892" s="504" t="s">
        <v>1089</v>
      </c>
      <c r="D4892" s="504" t="s">
        <v>3392</v>
      </c>
      <c r="E4892" s="504" t="s">
        <v>3381</v>
      </c>
      <c r="F4892" s="504" t="s">
        <v>717</v>
      </c>
      <c r="G4892" s="504" t="s">
        <v>718</v>
      </c>
      <c r="H4892" s="504" t="s">
        <v>7317</v>
      </c>
      <c r="I4892" s="504">
        <v>40</v>
      </c>
      <c r="J4892" s="504">
        <v>40</v>
      </c>
      <c r="K4892" s="504">
        <v>0</v>
      </c>
      <c r="L4892" s="504">
        <v>0</v>
      </c>
      <c r="M4892" s="504">
        <v>0</v>
      </c>
      <c r="N4892" s="504">
        <v>0</v>
      </c>
      <c r="O4892" s="505">
        <v>0</v>
      </c>
    </row>
    <row r="4893" spans="1:15" x14ac:dyDescent="0.35">
      <c r="A4893" s="500" t="s">
        <v>1709</v>
      </c>
      <c r="B4893" s="501">
        <v>4791</v>
      </c>
      <c r="C4893" s="501" t="s">
        <v>1089</v>
      </c>
      <c r="D4893" s="501" t="s">
        <v>3392</v>
      </c>
      <c r="E4893" s="501" t="s">
        <v>3381</v>
      </c>
      <c r="F4893" s="501" t="s">
        <v>717</v>
      </c>
      <c r="G4893" s="501" t="s">
        <v>718</v>
      </c>
      <c r="H4893" s="501" t="s">
        <v>7318</v>
      </c>
      <c r="I4893" s="501">
        <v>143</v>
      </c>
      <c r="J4893" s="501">
        <v>0</v>
      </c>
      <c r="K4893" s="501">
        <v>0</v>
      </c>
      <c r="L4893" s="501">
        <v>143</v>
      </c>
      <c r="M4893" s="501">
        <v>0</v>
      </c>
      <c r="N4893" s="501">
        <v>0</v>
      </c>
      <c r="O4893" s="506">
        <v>0</v>
      </c>
    </row>
    <row r="4894" spans="1:15" x14ac:dyDescent="0.35">
      <c r="A4894" s="503" t="s">
        <v>1710</v>
      </c>
      <c r="B4894" s="504" t="s">
        <v>2707</v>
      </c>
      <c r="C4894" s="504" t="s">
        <v>1089</v>
      </c>
      <c r="D4894" s="504" t="s">
        <v>3392</v>
      </c>
      <c r="E4894" s="504" t="s">
        <v>3381</v>
      </c>
      <c r="F4894" s="504" t="s">
        <v>717</v>
      </c>
      <c r="G4894" s="504" t="s">
        <v>718</v>
      </c>
      <c r="H4894" s="504" t="s">
        <v>7319</v>
      </c>
      <c r="I4894" s="504">
        <v>42</v>
      </c>
      <c r="J4894" s="504">
        <v>42</v>
      </c>
      <c r="K4894" s="504">
        <v>0</v>
      </c>
      <c r="L4894" s="504">
        <v>0</v>
      </c>
      <c r="M4894" s="504">
        <v>0</v>
      </c>
      <c r="N4894" s="504">
        <v>0</v>
      </c>
      <c r="O4894" s="505">
        <v>0</v>
      </c>
    </row>
    <row r="4895" spans="1:15" x14ac:dyDescent="0.35">
      <c r="A4895" s="500" t="s">
        <v>1105</v>
      </c>
      <c r="B4895" s="501">
        <v>4668</v>
      </c>
      <c r="C4895" s="501" t="s">
        <v>1094</v>
      </c>
      <c r="D4895" s="501" t="s">
        <v>3380</v>
      </c>
      <c r="E4895" s="501" t="s">
        <v>3381</v>
      </c>
      <c r="F4895" s="501" t="s">
        <v>717</v>
      </c>
      <c r="G4895" s="501" t="s">
        <v>718</v>
      </c>
      <c r="H4895" s="501" t="s">
        <v>7320</v>
      </c>
      <c r="I4895" s="501">
        <v>25</v>
      </c>
      <c r="J4895" s="501">
        <v>0</v>
      </c>
      <c r="K4895" s="501">
        <v>0</v>
      </c>
      <c r="L4895" s="501">
        <v>0</v>
      </c>
      <c r="M4895" s="501">
        <v>0</v>
      </c>
      <c r="N4895" s="501">
        <v>0</v>
      </c>
      <c r="O4895" s="506">
        <v>25</v>
      </c>
    </row>
    <row r="4896" spans="1:15" x14ac:dyDescent="0.35">
      <c r="A4896" s="503" t="s">
        <v>1188</v>
      </c>
      <c r="B4896" s="504">
        <v>4760</v>
      </c>
      <c r="C4896" s="504" t="s">
        <v>1089</v>
      </c>
      <c r="D4896" s="504" t="s">
        <v>3392</v>
      </c>
      <c r="E4896" s="504" t="s">
        <v>3381</v>
      </c>
      <c r="F4896" s="504" t="s">
        <v>717</v>
      </c>
      <c r="G4896" s="504" t="s">
        <v>718</v>
      </c>
      <c r="H4896" s="504" t="s">
        <v>7321</v>
      </c>
      <c r="I4896" s="504">
        <v>53</v>
      </c>
      <c r="J4896" s="504">
        <v>0</v>
      </c>
      <c r="K4896" s="504">
        <v>0</v>
      </c>
      <c r="L4896" s="504">
        <v>53</v>
      </c>
      <c r="M4896" s="504">
        <v>0</v>
      </c>
      <c r="N4896" s="504">
        <v>0</v>
      </c>
      <c r="O4896" s="505">
        <v>0</v>
      </c>
    </row>
    <row r="4897" spans="1:15" x14ac:dyDescent="0.35">
      <c r="A4897" s="500" t="s">
        <v>1711</v>
      </c>
      <c r="B4897" s="501" t="s">
        <v>2738</v>
      </c>
      <c r="C4897" s="501" t="s">
        <v>1089</v>
      </c>
      <c r="D4897" s="501" t="s">
        <v>3392</v>
      </c>
      <c r="E4897" s="501" t="s">
        <v>3381</v>
      </c>
      <c r="F4897" s="501" t="s">
        <v>717</v>
      </c>
      <c r="G4897" s="501" t="s">
        <v>718</v>
      </c>
      <c r="H4897" s="501" t="s">
        <v>7322</v>
      </c>
      <c r="I4897" s="501">
        <v>34</v>
      </c>
      <c r="J4897" s="501">
        <v>34</v>
      </c>
      <c r="K4897" s="501">
        <v>0</v>
      </c>
      <c r="L4897" s="501">
        <v>0</v>
      </c>
      <c r="M4897" s="501">
        <v>0</v>
      </c>
      <c r="N4897" s="501">
        <v>0</v>
      </c>
      <c r="O4897" s="506">
        <v>0</v>
      </c>
    </row>
    <row r="4898" spans="1:15" x14ac:dyDescent="0.35">
      <c r="A4898" s="503" t="s">
        <v>1712</v>
      </c>
      <c r="B4898" s="504" t="s">
        <v>2671</v>
      </c>
      <c r="C4898" s="504" t="s">
        <v>1089</v>
      </c>
      <c r="D4898" s="504" t="s">
        <v>3392</v>
      </c>
      <c r="E4898" s="504" t="s">
        <v>3381</v>
      </c>
      <c r="F4898" s="504" t="s">
        <v>717</v>
      </c>
      <c r="G4898" s="504" t="s">
        <v>718</v>
      </c>
      <c r="H4898" s="504" t="s">
        <v>7323</v>
      </c>
      <c r="I4898" s="504">
        <v>119</v>
      </c>
      <c r="J4898" s="504">
        <v>119</v>
      </c>
      <c r="K4898" s="504">
        <v>0</v>
      </c>
      <c r="L4898" s="504">
        <v>0</v>
      </c>
      <c r="M4898" s="504">
        <v>0</v>
      </c>
      <c r="N4898" s="504">
        <v>0</v>
      </c>
      <c r="O4898" s="505">
        <v>0</v>
      </c>
    </row>
    <row r="4899" spans="1:15" x14ac:dyDescent="0.35">
      <c r="A4899" s="500" t="s">
        <v>1109</v>
      </c>
      <c r="B4899" s="501" t="s">
        <v>2959</v>
      </c>
      <c r="C4899" s="501" t="s">
        <v>1094</v>
      </c>
      <c r="D4899" s="501" t="s">
        <v>3380</v>
      </c>
      <c r="E4899" s="501" t="s">
        <v>3381</v>
      </c>
      <c r="F4899" s="501" t="s">
        <v>717</v>
      </c>
      <c r="G4899" s="501" t="s">
        <v>718</v>
      </c>
      <c r="H4899" s="501" t="s">
        <v>7324</v>
      </c>
      <c r="I4899" s="501">
        <v>185</v>
      </c>
      <c r="J4899" s="501">
        <v>0</v>
      </c>
      <c r="K4899" s="501">
        <v>0</v>
      </c>
      <c r="L4899" s="501">
        <v>0</v>
      </c>
      <c r="M4899" s="501">
        <v>185</v>
      </c>
      <c r="N4899" s="501">
        <v>0</v>
      </c>
      <c r="O4899" s="506">
        <v>0</v>
      </c>
    </row>
    <row r="4900" spans="1:15" x14ac:dyDescent="0.35">
      <c r="A4900" s="503" t="s">
        <v>1190</v>
      </c>
      <c r="B4900" s="504">
        <v>4662</v>
      </c>
      <c r="C4900" s="504" t="s">
        <v>1094</v>
      </c>
      <c r="D4900" s="504" t="s">
        <v>3380</v>
      </c>
      <c r="E4900" s="504" t="s">
        <v>3381</v>
      </c>
      <c r="F4900" s="504" t="s">
        <v>717</v>
      </c>
      <c r="G4900" s="504" t="s">
        <v>718</v>
      </c>
      <c r="H4900" s="504" t="s">
        <v>7325</v>
      </c>
      <c r="I4900" s="504">
        <v>102</v>
      </c>
      <c r="J4900" s="504">
        <v>0</v>
      </c>
      <c r="K4900" s="504">
        <v>0</v>
      </c>
      <c r="L4900" s="504">
        <v>102</v>
      </c>
      <c r="M4900" s="504">
        <v>0</v>
      </c>
      <c r="N4900" s="504">
        <v>0</v>
      </c>
      <c r="O4900" s="505">
        <v>0</v>
      </c>
    </row>
    <row r="4901" spans="1:15" x14ac:dyDescent="0.35">
      <c r="A4901" s="500" t="s">
        <v>1721</v>
      </c>
      <c r="B4901" s="501">
        <v>4823</v>
      </c>
      <c r="C4901" s="501" t="s">
        <v>1089</v>
      </c>
      <c r="D4901" s="501" t="s">
        <v>3392</v>
      </c>
      <c r="E4901" s="501" t="s">
        <v>3381</v>
      </c>
      <c r="F4901" s="501" t="s">
        <v>717</v>
      </c>
      <c r="G4901" s="501" t="s">
        <v>718</v>
      </c>
      <c r="H4901" s="501" t="s">
        <v>7327</v>
      </c>
      <c r="I4901" s="501">
        <v>41</v>
      </c>
      <c r="J4901" s="501">
        <v>41</v>
      </c>
      <c r="K4901" s="501">
        <v>0</v>
      </c>
      <c r="L4901" s="501">
        <v>0</v>
      </c>
      <c r="M4901" s="501">
        <v>0</v>
      </c>
      <c r="N4901" s="501">
        <v>0</v>
      </c>
      <c r="O4901" s="506">
        <v>0</v>
      </c>
    </row>
    <row r="4902" spans="1:15" x14ac:dyDescent="0.35">
      <c r="A4902" s="503" t="s">
        <v>1723</v>
      </c>
      <c r="B4902" s="504" t="s">
        <v>2804</v>
      </c>
      <c r="C4902" s="504" t="s">
        <v>1089</v>
      </c>
      <c r="D4902" s="504" t="s">
        <v>3392</v>
      </c>
      <c r="E4902" s="504" t="s">
        <v>3381</v>
      </c>
      <c r="F4902" s="504" t="s">
        <v>717</v>
      </c>
      <c r="G4902" s="504" t="s">
        <v>718</v>
      </c>
      <c r="H4902" s="504" t="s">
        <v>7328</v>
      </c>
      <c r="I4902" s="504">
        <v>48</v>
      </c>
      <c r="J4902" s="504">
        <v>48</v>
      </c>
      <c r="K4902" s="504">
        <v>0</v>
      </c>
      <c r="L4902" s="504">
        <v>0</v>
      </c>
      <c r="M4902" s="504">
        <v>0</v>
      </c>
      <c r="N4902" s="504">
        <v>0</v>
      </c>
      <c r="O4902" s="505">
        <v>0</v>
      </c>
    </row>
    <row r="4903" spans="1:15" x14ac:dyDescent="0.35">
      <c r="A4903" s="500" t="s">
        <v>1724</v>
      </c>
      <c r="B4903" s="501" t="s">
        <v>2667</v>
      </c>
      <c r="C4903" s="501" t="s">
        <v>1089</v>
      </c>
      <c r="D4903" s="501" t="s">
        <v>3392</v>
      </c>
      <c r="E4903" s="501" t="s">
        <v>3381</v>
      </c>
      <c r="F4903" s="501" t="s">
        <v>717</v>
      </c>
      <c r="G4903" s="501" t="s">
        <v>718</v>
      </c>
      <c r="H4903" s="501" t="s">
        <v>7329</v>
      </c>
      <c r="I4903" s="501">
        <v>128</v>
      </c>
      <c r="J4903" s="501">
        <v>128</v>
      </c>
      <c r="K4903" s="501">
        <v>0</v>
      </c>
      <c r="L4903" s="501">
        <v>0</v>
      </c>
      <c r="M4903" s="501">
        <v>0</v>
      </c>
      <c r="N4903" s="501">
        <v>0</v>
      </c>
      <c r="O4903" s="506">
        <v>0</v>
      </c>
    </row>
    <row r="4904" spans="1:15" x14ac:dyDescent="0.35">
      <c r="A4904" s="503" t="s">
        <v>1728</v>
      </c>
      <c r="B4904" s="504" t="s">
        <v>2702</v>
      </c>
      <c r="C4904" s="504" t="s">
        <v>1089</v>
      </c>
      <c r="D4904" s="504" t="s">
        <v>3392</v>
      </c>
      <c r="E4904" s="504" t="s">
        <v>3381</v>
      </c>
      <c r="F4904" s="504" t="s">
        <v>717</v>
      </c>
      <c r="G4904" s="504" t="s">
        <v>718</v>
      </c>
      <c r="H4904" s="504" t="s">
        <v>7330</v>
      </c>
      <c r="I4904" s="504">
        <v>38</v>
      </c>
      <c r="J4904" s="504">
        <v>38</v>
      </c>
      <c r="K4904" s="504">
        <v>0</v>
      </c>
      <c r="L4904" s="504">
        <v>0</v>
      </c>
      <c r="M4904" s="504">
        <v>0</v>
      </c>
      <c r="N4904" s="504">
        <v>0</v>
      </c>
      <c r="O4904" s="505">
        <v>0</v>
      </c>
    </row>
    <row r="4905" spans="1:15" x14ac:dyDescent="0.35">
      <c r="A4905" s="500" t="s">
        <v>1729</v>
      </c>
      <c r="B4905" s="501" t="s">
        <v>2961</v>
      </c>
      <c r="C4905" s="501" t="s">
        <v>1089</v>
      </c>
      <c r="D4905" s="501" t="s">
        <v>3392</v>
      </c>
      <c r="E4905" s="501" t="s">
        <v>3381</v>
      </c>
      <c r="F4905" s="501" t="s">
        <v>717</v>
      </c>
      <c r="G4905" s="501" t="s">
        <v>718</v>
      </c>
      <c r="H4905" s="501" t="s">
        <v>7331</v>
      </c>
      <c r="I4905" s="501">
        <v>206</v>
      </c>
      <c r="J4905" s="501">
        <v>40</v>
      </c>
      <c r="K4905" s="501">
        <v>0</v>
      </c>
      <c r="L4905" s="501">
        <v>0</v>
      </c>
      <c r="M4905" s="501">
        <v>166</v>
      </c>
      <c r="N4905" s="501">
        <v>0</v>
      </c>
      <c r="O4905" s="506">
        <v>0</v>
      </c>
    </row>
    <row r="4906" spans="1:15" x14ac:dyDescent="0.35">
      <c r="A4906" s="503" t="s">
        <v>1731</v>
      </c>
      <c r="B4906" s="504" t="s">
        <v>2652</v>
      </c>
      <c r="C4906" s="504" t="s">
        <v>1089</v>
      </c>
      <c r="D4906" s="504" t="s">
        <v>3392</v>
      </c>
      <c r="E4906" s="504" t="s">
        <v>3381</v>
      </c>
      <c r="F4906" s="504" t="s">
        <v>717</v>
      </c>
      <c r="G4906" s="504" t="s">
        <v>718</v>
      </c>
      <c r="H4906" s="504" t="s">
        <v>7332</v>
      </c>
      <c r="I4906" s="504">
        <v>213</v>
      </c>
      <c r="J4906" s="504">
        <v>213</v>
      </c>
      <c r="K4906" s="504">
        <v>0</v>
      </c>
      <c r="L4906" s="504">
        <v>0</v>
      </c>
      <c r="M4906" s="504">
        <v>0</v>
      </c>
      <c r="N4906" s="504">
        <v>0</v>
      </c>
      <c r="O4906" s="505">
        <v>0</v>
      </c>
    </row>
    <row r="4907" spans="1:15" x14ac:dyDescent="0.35">
      <c r="A4907" s="500" t="s">
        <v>11405</v>
      </c>
      <c r="B4907" s="501" t="s">
        <v>2751</v>
      </c>
      <c r="C4907" s="501" t="s">
        <v>1089</v>
      </c>
      <c r="D4907" s="501" t="s">
        <v>3392</v>
      </c>
      <c r="E4907" s="501" t="s">
        <v>3381</v>
      </c>
      <c r="F4907" s="501" t="s">
        <v>717</v>
      </c>
      <c r="G4907" s="501" t="s">
        <v>718</v>
      </c>
      <c r="H4907" s="501" t="s">
        <v>11859</v>
      </c>
      <c r="I4907" s="501">
        <v>54</v>
      </c>
      <c r="J4907" s="501">
        <v>54</v>
      </c>
      <c r="K4907" s="501">
        <v>0</v>
      </c>
      <c r="L4907" s="501">
        <v>0</v>
      </c>
      <c r="M4907" s="501">
        <v>0</v>
      </c>
      <c r="N4907" s="501">
        <v>0</v>
      </c>
      <c r="O4907" s="506">
        <v>0</v>
      </c>
    </row>
    <row r="4908" spans="1:15" x14ac:dyDescent="0.35">
      <c r="A4908" s="503" t="s">
        <v>1208</v>
      </c>
      <c r="B4908" s="504" t="s">
        <v>3096</v>
      </c>
      <c r="C4908" s="504" t="s">
        <v>1094</v>
      </c>
      <c r="D4908" s="504" t="s">
        <v>3380</v>
      </c>
      <c r="E4908" s="504" t="s">
        <v>3381</v>
      </c>
      <c r="F4908" s="504" t="s">
        <v>717</v>
      </c>
      <c r="G4908" s="504" t="s">
        <v>718</v>
      </c>
      <c r="H4908" s="504" t="s">
        <v>7333</v>
      </c>
      <c r="I4908" s="504">
        <v>21</v>
      </c>
      <c r="J4908" s="504">
        <v>21</v>
      </c>
      <c r="K4908" s="504">
        <v>0</v>
      </c>
      <c r="L4908" s="504">
        <v>0</v>
      </c>
      <c r="M4908" s="504">
        <v>0</v>
      </c>
      <c r="N4908" s="504">
        <v>0</v>
      </c>
      <c r="O4908" s="505">
        <v>0</v>
      </c>
    </row>
    <row r="4909" spans="1:15" x14ac:dyDescent="0.35">
      <c r="A4909" s="500" t="s">
        <v>1209</v>
      </c>
      <c r="B4909" s="501">
        <v>4779</v>
      </c>
      <c r="C4909" s="501" t="s">
        <v>1094</v>
      </c>
      <c r="D4909" s="501" t="s">
        <v>3380</v>
      </c>
      <c r="E4909" s="501" t="s">
        <v>3381</v>
      </c>
      <c r="F4909" s="501" t="s">
        <v>717</v>
      </c>
      <c r="G4909" s="501" t="s">
        <v>718</v>
      </c>
      <c r="H4909" s="501" t="s">
        <v>7334</v>
      </c>
      <c r="I4909" s="501">
        <v>30</v>
      </c>
      <c r="J4909" s="501">
        <v>0</v>
      </c>
      <c r="K4909" s="501">
        <v>0</v>
      </c>
      <c r="L4909" s="501">
        <v>30</v>
      </c>
      <c r="M4909" s="501">
        <v>0</v>
      </c>
      <c r="N4909" s="501">
        <v>0</v>
      </c>
      <c r="O4909" s="506">
        <v>0</v>
      </c>
    </row>
    <row r="4910" spans="1:15" x14ac:dyDescent="0.35">
      <c r="A4910" s="503" t="s">
        <v>1503</v>
      </c>
      <c r="B4910" s="504">
        <v>4666</v>
      </c>
      <c r="C4910" s="504" t="s">
        <v>1089</v>
      </c>
      <c r="D4910" s="504" t="s">
        <v>3392</v>
      </c>
      <c r="E4910" s="504" t="s">
        <v>3381</v>
      </c>
      <c r="F4910" s="504" t="s">
        <v>717</v>
      </c>
      <c r="G4910" s="504" t="s">
        <v>718</v>
      </c>
      <c r="H4910" s="504" t="s">
        <v>7335</v>
      </c>
      <c r="I4910" s="504">
        <v>13</v>
      </c>
      <c r="J4910" s="504">
        <v>0</v>
      </c>
      <c r="K4910" s="504">
        <v>0</v>
      </c>
      <c r="L4910" s="504">
        <v>13</v>
      </c>
      <c r="M4910" s="504">
        <v>0</v>
      </c>
      <c r="N4910" s="504">
        <v>0</v>
      </c>
      <c r="O4910" s="505">
        <v>0</v>
      </c>
    </row>
    <row r="4911" spans="1:15" x14ac:dyDescent="0.35">
      <c r="A4911" s="500" t="s">
        <v>1741</v>
      </c>
      <c r="B4911" s="501" t="s">
        <v>2713</v>
      </c>
      <c r="C4911" s="501" t="s">
        <v>1089</v>
      </c>
      <c r="D4911" s="501" t="s">
        <v>3392</v>
      </c>
      <c r="E4911" s="501" t="s">
        <v>3381</v>
      </c>
      <c r="F4911" s="501" t="s">
        <v>717</v>
      </c>
      <c r="G4911" s="501" t="s">
        <v>718</v>
      </c>
      <c r="H4911" s="501" t="s">
        <v>7336</v>
      </c>
      <c r="I4911" s="501">
        <v>90</v>
      </c>
      <c r="J4911" s="501">
        <v>90</v>
      </c>
      <c r="K4911" s="501">
        <v>0</v>
      </c>
      <c r="L4911" s="501">
        <v>0</v>
      </c>
      <c r="M4911" s="501">
        <v>0</v>
      </c>
      <c r="N4911" s="501">
        <v>0</v>
      </c>
      <c r="O4911" s="506">
        <v>0</v>
      </c>
    </row>
    <row r="4912" spans="1:15" x14ac:dyDescent="0.35">
      <c r="A4912" s="503" t="s">
        <v>1743</v>
      </c>
      <c r="B4912" s="504">
        <v>4804</v>
      </c>
      <c r="C4912" s="504" t="s">
        <v>1094</v>
      </c>
      <c r="D4912" s="504" t="s">
        <v>3380</v>
      </c>
      <c r="E4912" s="504" t="s">
        <v>3381</v>
      </c>
      <c r="F4912" s="504" t="s">
        <v>717</v>
      </c>
      <c r="G4912" s="504" t="s">
        <v>718</v>
      </c>
      <c r="H4912" s="504" t="s">
        <v>7337</v>
      </c>
      <c r="I4912" s="504">
        <v>983</v>
      </c>
      <c r="J4912" s="504">
        <v>883</v>
      </c>
      <c r="K4912" s="504">
        <v>0</v>
      </c>
      <c r="L4912" s="504">
        <v>53</v>
      </c>
      <c r="M4912" s="504">
        <v>0</v>
      </c>
      <c r="N4912" s="504">
        <v>0</v>
      </c>
      <c r="O4912" s="505">
        <v>47</v>
      </c>
    </row>
    <row r="4913" spans="1:15" x14ac:dyDescent="0.35">
      <c r="A4913" s="500" t="s">
        <v>1744</v>
      </c>
      <c r="B4913" s="501" t="s">
        <v>3245</v>
      </c>
      <c r="C4913" s="501" t="s">
        <v>1094</v>
      </c>
      <c r="D4913" s="501" t="s">
        <v>3380</v>
      </c>
      <c r="E4913" s="501" t="s">
        <v>3381</v>
      </c>
      <c r="F4913" s="501" t="s">
        <v>717</v>
      </c>
      <c r="G4913" s="501" t="s">
        <v>718</v>
      </c>
      <c r="H4913" s="501" t="s">
        <v>7338</v>
      </c>
      <c r="I4913" s="501">
        <v>6528</v>
      </c>
      <c r="J4913" s="501">
        <v>5411</v>
      </c>
      <c r="K4913" s="501">
        <v>0</v>
      </c>
      <c r="L4913" s="501">
        <v>513</v>
      </c>
      <c r="M4913" s="501">
        <v>456</v>
      </c>
      <c r="N4913" s="501">
        <v>204</v>
      </c>
      <c r="O4913" s="506">
        <v>148</v>
      </c>
    </row>
    <row r="4914" spans="1:15" x14ac:dyDescent="0.35">
      <c r="A4914" s="503" t="s">
        <v>1223</v>
      </c>
      <c r="B4914" s="504">
        <v>4768</v>
      </c>
      <c r="C4914" s="504" t="s">
        <v>1089</v>
      </c>
      <c r="D4914" s="504" t="s">
        <v>3392</v>
      </c>
      <c r="E4914" s="504" t="s">
        <v>3381</v>
      </c>
      <c r="F4914" s="504" t="s">
        <v>717</v>
      </c>
      <c r="G4914" s="504" t="s">
        <v>718</v>
      </c>
      <c r="H4914" s="504" t="s">
        <v>7339</v>
      </c>
      <c r="I4914" s="504">
        <v>2</v>
      </c>
      <c r="J4914" s="504">
        <v>1</v>
      </c>
      <c r="K4914" s="504">
        <v>0</v>
      </c>
      <c r="L4914" s="504">
        <v>1</v>
      </c>
      <c r="M4914" s="504">
        <v>0</v>
      </c>
      <c r="N4914" s="504">
        <v>0</v>
      </c>
      <c r="O4914" s="505">
        <v>0</v>
      </c>
    </row>
    <row r="4915" spans="1:15" x14ac:dyDescent="0.35">
      <c r="A4915" s="500" t="s">
        <v>1747</v>
      </c>
      <c r="B4915" s="501" t="s">
        <v>3121</v>
      </c>
      <c r="C4915" s="501" t="s">
        <v>1089</v>
      </c>
      <c r="D4915" s="501" t="s">
        <v>3392</v>
      </c>
      <c r="E4915" s="501" t="s">
        <v>3381</v>
      </c>
      <c r="F4915" s="501" t="s">
        <v>717</v>
      </c>
      <c r="G4915" s="501" t="s">
        <v>718</v>
      </c>
      <c r="H4915" s="501" t="s">
        <v>7340</v>
      </c>
      <c r="I4915" s="501">
        <v>389</v>
      </c>
      <c r="J4915" s="501">
        <v>351</v>
      </c>
      <c r="K4915" s="501">
        <v>0</v>
      </c>
      <c r="L4915" s="501">
        <v>38</v>
      </c>
      <c r="M4915" s="501">
        <v>0</v>
      </c>
      <c r="N4915" s="501">
        <v>0</v>
      </c>
      <c r="O4915" s="506">
        <v>0</v>
      </c>
    </row>
    <row r="4916" spans="1:15" x14ac:dyDescent="0.35">
      <c r="A4916" s="503" t="s">
        <v>1122</v>
      </c>
      <c r="B4916" s="504" t="s">
        <v>2994</v>
      </c>
      <c r="C4916" s="504" t="s">
        <v>1094</v>
      </c>
      <c r="D4916" s="504" t="s">
        <v>3380</v>
      </c>
      <c r="E4916" s="504" t="s">
        <v>3381</v>
      </c>
      <c r="F4916" s="504" t="s">
        <v>717</v>
      </c>
      <c r="G4916" s="504" t="s">
        <v>718</v>
      </c>
      <c r="H4916" s="504" t="s">
        <v>7341</v>
      </c>
      <c r="I4916" s="504">
        <v>1</v>
      </c>
      <c r="J4916" s="504">
        <v>0</v>
      </c>
      <c r="K4916" s="504">
        <v>0</v>
      </c>
      <c r="L4916" s="504">
        <v>0</v>
      </c>
      <c r="M4916" s="504">
        <v>0</v>
      </c>
      <c r="N4916" s="504">
        <v>0</v>
      </c>
      <c r="O4916" s="505">
        <v>1</v>
      </c>
    </row>
    <row r="4917" spans="1:15" x14ac:dyDescent="0.35">
      <c r="A4917" s="500" t="s">
        <v>1748</v>
      </c>
      <c r="B4917" s="501" t="s">
        <v>3233</v>
      </c>
      <c r="C4917" s="501" t="s">
        <v>1094</v>
      </c>
      <c r="D4917" s="501" t="s">
        <v>3380</v>
      </c>
      <c r="E4917" s="501" t="s">
        <v>3381</v>
      </c>
      <c r="F4917" s="501" t="s">
        <v>717</v>
      </c>
      <c r="G4917" s="501" t="s">
        <v>718</v>
      </c>
      <c r="H4917" s="501" t="s">
        <v>7342</v>
      </c>
      <c r="I4917" s="501">
        <v>4965</v>
      </c>
      <c r="J4917" s="501">
        <v>4583</v>
      </c>
      <c r="K4917" s="501">
        <v>0</v>
      </c>
      <c r="L4917" s="501">
        <v>37</v>
      </c>
      <c r="M4917" s="501">
        <v>249</v>
      </c>
      <c r="N4917" s="501">
        <v>0</v>
      </c>
      <c r="O4917" s="506">
        <v>96</v>
      </c>
    </row>
    <row r="4918" spans="1:15" x14ac:dyDescent="0.35">
      <c r="A4918" s="503" t="s">
        <v>14287</v>
      </c>
      <c r="B4918" s="504" t="s">
        <v>3028</v>
      </c>
      <c r="C4918" s="504" t="s">
        <v>1094</v>
      </c>
      <c r="D4918" s="504" t="s">
        <v>3380</v>
      </c>
      <c r="E4918" s="504" t="s">
        <v>3381</v>
      </c>
      <c r="F4918" s="504" t="s">
        <v>717</v>
      </c>
      <c r="G4918" s="504" t="s">
        <v>718</v>
      </c>
      <c r="H4918" s="504" t="s">
        <v>14807</v>
      </c>
      <c r="I4918" s="504">
        <v>859</v>
      </c>
      <c r="J4918" s="504">
        <v>774</v>
      </c>
      <c r="K4918" s="504">
        <v>0</v>
      </c>
      <c r="L4918" s="504">
        <v>23</v>
      </c>
      <c r="M4918" s="504">
        <v>62</v>
      </c>
      <c r="N4918" s="504">
        <v>1</v>
      </c>
      <c r="O4918" s="505">
        <v>0</v>
      </c>
    </row>
    <row r="4919" spans="1:15" x14ac:dyDescent="0.35">
      <c r="A4919" s="500" t="s">
        <v>1749</v>
      </c>
      <c r="B4919" s="501" t="s">
        <v>2725</v>
      </c>
      <c r="C4919" s="501" t="s">
        <v>1089</v>
      </c>
      <c r="D4919" s="501" t="s">
        <v>3392</v>
      </c>
      <c r="E4919" s="501" t="s">
        <v>3381</v>
      </c>
      <c r="F4919" s="501" t="s">
        <v>717</v>
      </c>
      <c r="G4919" s="501" t="s">
        <v>718</v>
      </c>
      <c r="H4919" s="501" t="s">
        <v>7343</v>
      </c>
      <c r="I4919" s="501">
        <v>19</v>
      </c>
      <c r="J4919" s="501">
        <v>19</v>
      </c>
      <c r="K4919" s="501">
        <v>0</v>
      </c>
      <c r="L4919" s="501">
        <v>0</v>
      </c>
      <c r="M4919" s="501">
        <v>0</v>
      </c>
      <c r="N4919" s="501">
        <v>0</v>
      </c>
      <c r="O4919" s="506">
        <v>0</v>
      </c>
    </row>
    <row r="4920" spans="1:15" x14ac:dyDescent="0.35">
      <c r="A4920" s="503" t="s">
        <v>11407</v>
      </c>
      <c r="B4920" s="504" t="s">
        <v>2670</v>
      </c>
      <c r="C4920" s="504" t="s">
        <v>1089</v>
      </c>
      <c r="D4920" s="504" t="s">
        <v>3392</v>
      </c>
      <c r="E4920" s="504" t="s">
        <v>3381</v>
      </c>
      <c r="F4920" s="504" t="s">
        <v>717</v>
      </c>
      <c r="G4920" s="504" t="s">
        <v>718</v>
      </c>
      <c r="H4920" s="504" t="s">
        <v>11993</v>
      </c>
      <c r="I4920" s="504">
        <v>99</v>
      </c>
      <c r="J4920" s="504">
        <v>99</v>
      </c>
      <c r="K4920" s="504">
        <v>0</v>
      </c>
      <c r="L4920" s="504">
        <v>0</v>
      </c>
      <c r="M4920" s="504">
        <v>0</v>
      </c>
      <c r="N4920" s="504">
        <v>0</v>
      </c>
      <c r="O4920" s="505">
        <v>0</v>
      </c>
    </row>
    <row r="4921" spans="1:15" x14ac:dyDescent="0.35">
      <c r="A4921" s="500" t="s">
        <v>1228</v>
      </c>
      <c r="B4921" s="501" t="s">
        <v>3321</v>
      </c>
      <c r="C4921" s="501" t="s">
        <v>1094</v>
      </c>
      <c r="D4921" s="501" t="s">
        <v>3380</v>
      </c>
      <c r="E4921" s="501" t="s">
        <v>3381</v>
      </c>
      <c r="F4921" s="501" t="s">
        <v>717</v>
      </c>
      <c r="G4921" s="501" t="s">
        <v>718</v>
      </c>
      <c r="H4921" s="501" t="s">
        <v>7344</v>
      </c>
      <c r="I4921" s="501">
        <v>102</v>
      </c>
      <c r="J4921" s="501">
        <v>0</v>
      </c>
      <c r="K4921" s="501">
        <v>0</v>
      </c>
      <c r="L4921" s="501">
        <v>102</v>
      </c>
      <c r="M4921" s="501">
        <v>0</v>
      </c>
      <c r="N4921" s="501">
        <v>0</v>
      </c>
      <c r="O4921" s="506">
        <v>0</v>
      </c>
    </row>
    <row r="4922" spans="1:15" x14ac:dyDescent="0.35">
      <c r="A4922" s="503" t="s">
        <v>14295</v>
      </c>
      <c r="B4922" s="504">
        <v>5136</v>
      </c>
      <c r="C4922" s="504" t="s">
        <v>1089</v>
      </c>
      <c r="D4922" s="504" t="s">
        <v>3392</v>
      </c>
      <c r="E4922" s="504" t="s">
        <v>3381</v>
      </c>
      <c r="F4922" s="504" t="s">
        <v>717</v>
      </c>
      <c r="G4922" s="504" t="s">
        <v>718</v>
      </c>
      <c r="H4922" s="504" t="s">
        <v>14808</v>
      </c>
      <c r="I4922" s="504">
        <v>7</v>
      </c>
      <c r="J4922" s="504">
        <v>7</v>
      </c>
      <c r="K4922" s="504">
        <v>0</v>
      </c>
      <c r="L4922" s="504">
        <v>0</v>
      </c>
      <c r="M4922" s="504">
        <v>0</v>
      </c>
      <c r="N4922" s="504">
        <v>0</v>
      </c>
      <c r="O4922" s="505">
        <v>0</v>
      </c>
    </row>
    <row r="4923" spans="1:15" x14ac:dyDescent="0.35">
      <c r="A4923" s="500" t="s">
        <v>1751</v>
      </c>
      <c r="B4923" s="501" t="s">
        <v>3012</v>
      </c>
      <c r="C4923" s="501" t="s">
        <v>1094</v>
      </c>
      <c r="D4923" s="501" t="s">
        <v>3392</v>
      </c>
      <c r="E4923" s="501" t="s">
        <v>3381</v>
      </c>
      <c r="F4923" s="501" t="s">
        <v>717</v>
      </c>
      <c r="G4923" s="501" t="s">
        <v>718</v>
      </c>
      <c r="H4923" s="501" t="s">
        <v>7345</v>
      </c>
      <c r="I4923" s="501">
        <v>145</v>
      </c>
      <c r="J4923" s="501">
        <v>78</v>
      </c>
      <c r="K4923" s="501">
        <v>0</v>
      </c>
      <c r="L4923" s="501">
        <v>67</v>
      </c>
      <c r="M4923" s="501">
        <v>0</v>
      </c>
      <c r="N4923" s="501">
        <v>0</v>
      </c>
      <c r="O4923" s="506">
        <v>0</v>
      </c>
    </row>
    <row r="4924" spans="1:15" x14ac:dyDescent="0.35">
      <c r="A4924" s="503" t="s">
        <v>1752</v>
      </c>
      <c r="B4924" s="504">
        <v>4653</v>
      </c>
      <c r="C4924" s="504" t="s">
        <v>1094</v>
      </c>
      <c r="D4924" s="504" t="s">
        <v>3380</v>
      </c>
      <c r="E4924" s="504" t="s">
        <v>3381</v>
      </c>
      <c r="F4924" s="504" t="s">
        <v>717</v>
      </c>
      <c r="G4924" s="504" t="s">
        <v>718</v>
      </c>
      <c r="H4924" s="504" t="s">
        <v>7346</v>
      </c>
      <c r="I4924" s="504">
        <v>1018</v>
      </c>
      <c r="J4924" s="504">
        <v>744</v>
      </c>
      <c r="K4924" s="504">
        <v>0</v>
      </c>
      <c r="L4924" s="504">
        <v>72</v>
      </c>
      <c r="M4924" s="504">
        <v>162</v>
      </c>
      <c r="N4924" s="504">
        <v>0</v>
      </c>
      <c r="O4924" s="505">
        <v>40</v>
      </c>
    </row>
    <row r="4925" spans="1:15" x14ac:dyDescent="0.35">
      <c r="A4925" s="500" t="s">
        <v>1124</v>
      </c>
      <c r="B4925" s="501">
        <v>4745</v>
      </c>
      <c r="C4925" s="501" t="s">
        <v>1094</v>
      </c>
      <c r="D4925" s="501" t="s">
        <v>3380</v>
      </c>
      <c r="E4925" s="501" t="s">
        <v>3381</v>
      </c>
      <c r="F4925" s="501" t="s">
        <v>717</v>
      </c>
      <c r="G4925" s="501" t="s">
        <v>718</v>
      </c>
      <c r="H4925" s="501" t="s">
        <v>7347</v>
      </c>
      <c r="I4925" s="501">
        <v>15</v>
      </c>
      <c r="J4925" s="501">
        <v>0</v>
      </c>
      <c r="K4925" s="501">
        <v>0</v>
      </c>
      <c r="L4925" s="501">
        <v>15</v>
      </c>
      <c r="M4925" s="501">
        <v>0</v>
      </c>
      <c r="N4925" s="501">
        <v>0</v>
      </c>
      <c r="O4925" s="506">
        <v>0</v>
      </c>
    </row>
    <row r="4926" spans="1:15" x14ac:dyDescent="0.35">
      <c r="A4926" s="503" t="s">
        <v>1230</v>
      </c>
      <c r="B4926" s="504" t="s">
        <v>3182</v>
      </c>
      <c r="C4926" s="504" t="s">
        <v>1089</v>
      </c>
      <c r="D4926" s="504" t="s">
        <v>3392</v>
      </c>
      <c r="E4926" s="504" t="s">
        <v>3381</v>
      </c>
      <c r="F4926" s="504" t="s">
        <v>717</v>
      </c>
      <c r="G4926" s="504" t="s">
        <v>718</v>
      </c>
      <c r="H4926" s="504" t="s">
        <v>7348</v>
      </c>
      <c r="I4926" s="504">
        <v>46</v>
      </c>
      <c r="J4926" s="504">
        <v>0</v>
      </c>
      <c r="K4926" s="504">
        <v>0</v>
      </c>
      <c r="L4926" s="504">
        <v>0</v>
      </c>
      <c r="M4926" s="504">
        <v>46</v>
      </c>
      <c r="N4926" s="504">
        <v>0</v>
      </c>
      <c r="O4926" s="505">
        <v>0</v>
      </c>
    </row>
    <row r="4927" spans="1:15" x14ac:dyDescent="0.35">
      <c r="A4927" s="500" t="s">
        <v>1234</v>
      </c>
      <c r="B4927" s="501" t="s">
        <v>3291</v>
      </c>
      <c r="C4927" s="501" t="s">
        <v>1094</v>
      </c>
      <c r="D4927" s="501" t="s">
        <v>3380</v>
      </c>
      <c r="E4927" s="501" t="s">
        <v>3381</v>
      </c>
      <c r="F4927" s="501" t="s">
        <v>717</v>
      </c>
      <c r="G4927" s="501" t="s">
        <v>718</v>
      </c>
      <c r="H4927" s="501" t="s">
        <v>7349</v>
      </c>
      <c r="I4927" s="501">
        <v>130</v>
      </c>
      <c r="J4927" s="501">
        <v>0</v>
      </c>
      <c r="K4927" s="501">
        <v>0</v>
      </c>
      <c r="L4927" s="501">
        <v>130</v>
      </c>
      <c r="M4927" s="501">
        <v>0</v>
      </c>
      <c r="N4927" s="501">
        <v>0</v>
      </c>
      <c r="O4927" s="506">
        <v>0</v>
      </c>
    </row>
    <row r="4928" spans="1:15" x14ac:dyDescent="0.35">
      <c r="A4928" s="503" t="s">
        <v>1235</v>
      </c>
      <c r="B4928" s="504">
        <v>4684</v>
      </c>
      <c r="C4928" s="504" t="s">
        <v>1094</v>
      </c>
      <c r="D4928" s="504" t="s">
        <v>3380</v>
      </c>
      <c r="E4928" s="504" t="s">
        <v>3381</v>
      </c>
      <c r="F4928" s="504" t="s">
        <v>717</v>
      </c>
      <c r="G4928" s="504" t="s">
        <v>718</v>
      </c>
      <c r="H4928" s="504" t="s">
        <v>7350</v>
      </c>
      <c r="I4928" s="504">
        <v>44</v>
      </c>
      <c r="J4928" s="504">
        <v>28</v>
      </c>
      <c r="K4928" s="504">
        <v>0</v>
      </c>
      <c r="L4928" s="504">
        <v>0</v>
      </c>
      <c r="M4928" s="504">
        <v>0</v>
      </c>
      <c r="N4928" s="504">
        <v>0</v>
      </c>
      <c r="O4928" s="505">
        <v>16</v>
      </c>
    </row>
    <row r="4929" spans="1:15" x14ac:dyDescent="0.35">
      <c r="A4929" s="500" t="s">
        <v>1126</v>
      </c>
      <c r="B4929" s="501" t="s">
        <v>2974</v>
      </c>
      <c r="C4929" s="501" t="s">
        <v>1094</v>
      </c>
      <c r="D4929" s="501" t="s">
        <v>3380</v>
      </c>
      <c r="E4929" s="501" t="s">
        <v>3381</v>
      </c>
      <c r="F4929" s="501" t="s">
        <v>717</v>
      </c>
      <c r="G4929" s="501" t="s">
        <v>718</v>
      </c>
      <c r="H4929" s="501" t="s">
        <v>7351</v>
      </c>
      <c r="I4929" s="501">
        <v>1026</v>
      </c>
      <c r="J4929" s="501">
        <v>856</v>
      </c>
      <c r="K4929" s="501">
        <v>0</v>
      </c>
      <c r="L4929" s="501">
        <v>100</v>
      </c>
      <c r="M4929" s="501">
        <v>40</v>
      </c>
      <c r="N4929" s="501">
        <v>0</v>
      </c>
      <c r="O4929" s="506">
        <v>30</v>
      </c>
    </row>
    <row r="4930" spans="1:15" x14ac:dyDescent="0.35">
      <c r="A4930" s="503" t="s">
        <v>1757</v>
      </c>
      <c r="B4930" s="504" t="s">
        <v>2753</v>
      </c>
      <c r="C4930" s="504" t="s">
        <v>1089</v>
      </c>
      <c r="D4930" s="504" t="s">
        <v>3392</v>
      </c>
      <c r="E4930" s="504" t="s">
        <v>3381</v>
      </c>
      <c r="F4930" s="504" t="s">
        <v>717</v>
      </c>
      <c r="G4930" s="504" t="s">
        <v>718</v>
      </c>
      <c r="H4930" s="504" t="s">
        <v>7352</v>
      </c>
      <c r="I4930" s="504">
        <v>46</v>
      </c>
      <c r="J4930" s="504">
        <v>46</v>
      </c>
      <c r="K4930" s="504">
        <v>0</v>
      </c>
      <c r="L4930" s="504">
        <v>0</v>
      </c>
      <c r="M4930" s="504">
        <v>0</v>
      </c>
      <c r="N4930" s="504">
        <v>0</v>
      </c>
      <c r="O4930" s="505">
        <v>0</v>
      </c>
    </row>
    <row r="4931" spans="1:15" x14ac:dyDescent="0.35">
      <c r="A4931" s="500" t="s">
        <v>1761</v>
      </c>
      <c r="B4931" s="501" t="s">
        <v>3165</v>
      </c>
      <c r="C4931" s="501" t="s">
        <v>1094</v>
      </c>
      <c r="D4931" s="501" t="s">
        <v>3380</v>
      </c>
      <c r="E4931" s="501" t="s">
        <v>3381</v>
      </c>
      <c r="F4931" s="501" t="s">
        <v>717</v>
      </c>
      <c r="G4931" s="501" t="s">
        <v>718</v>
      </c>
      <c r="H4931" s="501" t="s">
        <v>7353</v>
      </c>
      <c r="I4931" s="501">
        <v>3837</v>
      </c>
      <c r="J4931" s="501">
        <v>3673</v>
      </c>
      <c r="K4931" s="501">
        <v>0</v>
      </c>
      <c r="L4931" s="501">
        <v>3</v>
      </c>
      <c r="M4931" s="501">
        <v>118</v>
      </c>
      <c r="N4931" s="501">
        <v>0</v>
      </c>
      <c r="O4931" s="506">
        <v>43</v>
      </c>
    </row>
    <row r="4932" spans="1:15" x14ac:dyDescent="0.35">
      <c r="A4932" s="503" t="s">
        <v>1763</v>
      </c>
      <c r="B4932" s="504" t="s">
        <v>2741</v>
      </c>
      <c r="C4932" s="504" t="s">
        <v>1089</v>
      </c>
      <c r="D4932" s="504" t="s">
        <v>3392</v>
      </c>
      <c r="E4932" s="504" t="s">
        <v>3381</v>
      </c>
      <c r="F4932" s="504" t="s">
        <v>717</v>
      </c>
      <c r="G4932" s="504" t="s">
        <v>718</v>
      </c>
      <c r="H4932" s="504" t="s">
        <v>7354</v>
      </c>
      <c r="I4932" s="504">
        <v>40</v>
      </c>
      <c r="J4932" s="504">
        <v>40</v>
      </c>
      <c r="K4932" s="504">
        <v>0</v>
      </c>
      <c r="L4932" s="504">
        <v>0</v>
      </c>
      <c r="M4932" s="504">
        <v>0</v>
      </c>
      <c r="N4932" s="504">
        <v>0</v>
      </c>
      <c r="O4932" s="505">
        <v>0</v>
      </c>
    </row>
    <row r="4933" spans="1:15" x14ac:dyDescent="0.35">
      <c r="A4933" s="500" t="s">
        <v>1767</v>
      </c>
      <c r="B4933" s="501" t="s">
        <v>3124</v>
      </c>
      <c r="C4933" s="501" t="s">
        <v>1089</v>
      </c>
      <c r="D4933" s="501" t="s">
        <v>3392</v>
      </c>
      <c r="E4933" s="501" t="s">
        <v>3381</v>
      </c>
      <c r="F4933" s="501" t="s">
        <v>717</v>
      </c>
      <c r="G4933" s="501" t="s">
        <v>718</v>
      </c>
      <c r="H4933" s="501" t="s">
        <v>7355</v>
      </c>
      <c r="I4933" s="501">
        <v>277</v>
      </c>
      <c r="J4933" s="501">
        <v>195</v>
      </c>
      <c r="K4933" s="501">
        <v>0</v>
      </c>
      <c r="L4933" s="501">
        <v>82</v>
      </c>
      <c r="M4933" s="501">
        <v>0</v>
      </c>
      <c r="N4933" s="501">
        <v>0</v>
      </c>
      <c r="O4933" s="506">
        <v>0</v>
      </c>
    </row>
    <row r="4934" spans="1:15" x14ac:dyDescent="0.35">
      <c r="A4934" s="503" t="s">
        <v>14418</v>
      </c>
      <c r="B4934" s="504">
        <v>4749</v>
      </c>
      <c r="C4934" s="504" t="s">
        <v>1089</v>
      </c>
      <c r="D4934" s="504" t="s">
        <v>3392</v>
      </c>
      <c r="E4934" s="504" t="s">
        <v>3381</v>
      </c>
      <c r="F4934" s="504" t="s">
        <v>717</v>
      </c>
      <c r="G4934" s="504" t="s">
        <v>718</v>
      </c>
      <c r="H4934" s="504" t="s">
        <v>14809</v>
      </c>
      <c r="I4934" s="504">
        <v>17</v>
      </c>
      <c r="J4934" s="504">
        <v>0</v>
      </c>
      <c r="K4934" s="504">
        <v>0</v>
      </c>
      <c r="L4934" s="504">
        <v>17</v>
      </c>
      <c r="M4934" s="504">
        <v>0</v>
      </c>
      <c r="N4934" s="504">
        <v>0</v>
      </c>
      <c r="O4934" s="505">
        <v>0</v>
      </c>
    </row>
    <row r="4935" spans="1:15" x14ac:dyDescent="0.35">
      <c r="A4935" s="500" t="s">
        <v>1252</v>
      </c>
      <c r="B4935" s="501" t="s">
        <v>2875</v>
      </c>
      <c r="C4935" s="501" t="s">
        <v>1089</v>
      </c>
      <c r="D4935" s="501" t="s">
        <v>3392</v>
      </c>
      <c r="E4935" s="501" t="s">
        <v>3381</v>
      </c>
      <c r="F4935" s="501" t="s">
        <v>717</v>
      </c>
      <c r="G4935" s="501" t="s">
        <v>718</v>
      </c>
      <c r="H4935" s="501" t="s">
        <v>7356</v>
      </c>
      <c r="I4935" s="501">
        <v>29</v>
      </c>
      <c r="J4935" s="501">
        <v>0</v>
      </c>
      <c r="K4935" s="501">
        <v>0</v>
      </c>
      <c r="L4935" s="501">
        <v>29</v>
      </c>
      <c r="M4935" s="501">
        <v>0</v>
      </c>
      <c r="N4935" s="501">
        <v>0</v>
      </c>
      <c r="O4935" s="506">
        <v>0</v>
      </c>
    </row>
    <row r="4936" spans="1:15" x14ac:dyDescent="0.35">
      <c r="A4936" s="503" t="s">
        <v>1253</v>
      </c>
      <c r="B4936" s="504" t="s">
        <v>3232</v>
      </c>
      <c r="C4936" s="504" t="s">
        <v>1094</v>
      </c>
      <c r="D4936" s="504" t="s">
        <v>3380</v>
      </c>
      <c r="E4936" s="504" t="s">
        <v>3381</v>
      </c>
      <c r="F4936" s="504" t="s">
        <v>717</v>
      </c>
      <c r="G4936" s="504" t="s">
        <v>718</v>
      </c>
      <c r="H4936" s="504" t="s">
        <v>7357</v>
      </c>
      <c r="I4936" s="504">
        <v>11072</v>
      </c>
      <c r="J4936" s="504">
        <v>9671</v>
      </c>
      <c r="K4936" s="504">
        <v>0</v>
      </c>
      <c r="L4936" s="504">
        <v>267</v>
      </c>
      <c r="M4936" s="504">
        <v>804</v>
      </c>
      <c r="N4936" s="504">
        <v>2</v>
      </c>
      <c r="O4936" s="505">
        <v>330</v>
      </c>
    </row>
    <row r="4937" spans="1:15" x14ac:dyDescent="0.35">
      <c r="A4937" s="500" t="s">
        <v>1777</v>
      </c>
      <c r="B4937" s="501" t="s">
        <v>2730</v>
      </c>
      <c r="C4937" s="501" t="s">
        <v>1089</v>
      </c>
      <c r="D4937" s="501" t="s">
        <v>3392</v>
      </c>
      <c r="E4937" s="501" t="s">
        <v>3381</v>
      </c>
      <c r="F4937" s="501" t="s">
        <v>717</v>
      </c>
      <c r="G4937" s="501" t="s">
        <v>718</v>
      </c>
      <c r="H4937" s="501" t="s">
        <v>7358</v>
      </c>
      <c r="I4937" s="501">
        <v>40</v>
      </c>
      <c r="J4937" s="501">
        <v>40</v>
      </c>
      <c r="K4937" s="501">
        <v>0</v>
      </c>
      <c r="L4937" s="501">
        <v>0</v>
      </c>
      <c r="M4937" s="501">
        <v>0</v>
      </c>
      <c r="N4937" s="501">
        <v>0</v>
      </c>
      <c r="O4937" s="506">
        <v>0</v>
      </c>
    </row>
    <row r="4938" spans="1:15" x14ac:dyDescent="0.35">
      <c r="A4938" s="503" t="s">
        <v>1779</v>
      </c>
      <c r="B4938" s="504">
        <v>5065</v>
      </c>
      <c r="C4938" s="504" t="s">
        <v>1094</v>
      </c>
      <c r="D4938" s="504" t="s">
        <v>3380</v>
      </c>
      <c r="E4938" s="504" t="s">
        <v>3381</v>
      </c>
      <c r="F4938" s="504" t="s">
        <v>717</v>
      </c>
      <c r="G4938" s="504" t="s">
        <v>718</v>
      </c>
      <c r="H4938" s="504" t="s">
        <v>7359</v>
      </c>
      <c r="I4938" s="504">
        <v>15340</v>
      </c>
      <c r="J4938" s="504">
        <v>14422</v>
      </c>
      <c r="K4938" s="504">
        <v>0</v>
      </c>
      <c r="L4938" s="504">
        <v>108</v>
      </c>
      <c r="M4938" s="504">
        <v>722</v>
      </c>
      <c r="N4938" s="504">
        <v>3</v>
      </c>
      <c r="O4938" s="505">
        <v>88</v>
      </c>
    </row>
    <row r="4939" spans="1:15" x14ac:dyDescent="0.35">
      <c r="A4939" s="500" t="s">
        <v>1260</v>
      </c>
      <c r="B4939" s="501">
        <v>4645</v>
      </c>
      <c r="C4939" s="501" t="s">
        <v>1089</v>
      </c>
      <c r="D4939" s="501" t="s">
        <v>3392</v>
      </c>
      <c r="E4939" s="501" t="s">
        <v>3381</v>
      </c>
      <c r="F4939" s="501" t="s">
        <v>717</v>
      </c>
      <c r="G4939" s="501" t="s">
        <v>718</v>
      </c>
      <c r="H4939" s="501" t="s">
        <v>7360</v>
      </c>
      <c r="I4939" s="501">
        <v>15</v>
      </c>
      <c r="J4939" s="501">
        <v>0</v>
      </c>
      <c r="K4939" s="501">
        <v>0</v>
      </c>
      <c r="L4939" s="501">
        <v>15</v>
      </c>
      <c r="M4939" s="501">
        <v>0</v>
      </c>
      <c r="N4939" s="501">
        <v>0</v>
      </c>
      <c r="O4939" s="506">
        <v>0</v>
      </c>
    </row>
    <row r="4940" spans="1:15" x14ac:dyDescent="0.35">
      <c r="A4940" s="503" t="s">
        <v>1784</v>
      </c>
      <c r="B4940" s="504" t="s">
        <v>2691</v>
      </c>
      <c r="C4940" s="504" t="s">
        <v>1089</v>
      </c>
      <c r="D4940" s="504" t="s">
        <v>3392</v>
      </c>
      <c r="E4940" s="504" t="s">
        <v>3381</v>
      </c>
      <c r="F4940" s="504" t="s">
        <v>717</v>
      </c>
      <c r="G4940" s="504" t="s">
        <v>718</v>
      </c>
      <c r="H4940" s="504" t="s">
        <v>7361</v>
      </c>
      <c r="I4940" s="504">
        <v>67</v>
      </c>
      <c r="J4940" s="504">
        <v>67</v>
      </c>
      <c r="K4940" s="504">
        <v>0</v>
      </c>
      <c r="L4940" s="504">
        <v>0</v>
      </c>
      <c r="M4940" s="504">
        <v>0</v>
      </c>
      <c r="N4940" s="504">
        <v>0</v>
      </c>
      <c r="O4940" s="505">
        <v>0</v>
      </c>
    </row>
    <row r="4941" spans="1:15" x14ac:dyDescent="0.35">
      <c r="A4941" s="500" t="s">
        <v>1266</v>
      </c>
      <c r="B4941" s="501" t="s">
        <v>3071</v>
      </c>
      <c r="C4941" s="501" t="s">
        <v>1094</v>
      </c>
      <c r="D4941" s="501" t="s">
        <v>3380</v>
      </c>
      <c r="E4941" s="501" t="s">
        <v>3381</v>
      </c>
      <c r="F4941" s="501" t="s">
        <v>717</v>
      </c>
      <c r="G4941" s="501" t="s">
        <v>718</v>
      </c>
      <c r="H4941" s="501" t="s">
        <v>7362</v>
      </c>
      <c r="I4941" s="501">
        <v>2900</v>
      </c>
      <c r="J4941" s="501">
        <v>2621</v>
      </c>
      <c r="K4941" s="501">
        <v>0</v>
      </c>
      <c r="L4941" s="501">
        <v>14</v>
      </c>
      <c r="M4941" s="501">
        <v>162</v>
      </c>
      <c r="N4941" s="501">
        <v>0</v>
      </c>
      <c r="O4941" s="506">
        <v>103</v>
      </c>
    </row>
    <row r="4942" spans="1:15" x14ac:dyDescent="0.35">
      <c r="A4942" s="503" t="s">
        <v>1093</v>
      </c>
      <c r="B4942" s="504" t="s">
        <v>3248</v>
      </c>
      <c r="C4942" s="504" t="s">
        <v>1094</v>
      </c>
      <c r="D4942" s="504" t="s">
        <v>3380</v>
      </c>
      <c r="E4942" s="504" t="s">
        <v>3381</v>
      </c>
      <c r="F4942" s="504" t="s">
        <v>719</v>
      </c>
      <c r="G4942" s="504" t="s">
        <v>720</v>
      </c>
      <c r="H4942" s="504" t="s">
        <v>7363</v>
      </c>
      <c r="I4942" s="504">
        <v>16</v>
      </c>
      <c r="J4942" s="504">
        <v>0</v>
      </c>
      <c r="K4942" s="504">
        <v>0</v>
      </c>
      <c r="L4942" s="504">
        <v>16</v>
      </c>
      <c r="M4942" s="504">
        <v>0</v>
      </c>
      <c r="N4942" s="504">
        <v>0</v>
      </c>
      <c r="O4942" s="505">
        <v>0</v>
      </c>
    </row>
    <row r="4943" spans="1:15" x14ac:dyDescent="0.35">
      <c r="A4943" s="500" t="s">
        <v>1096</v>
      </c>
      <c r="B4943" s="501" t="s">
        <v>3326</v>
      </c>
      <c r="C4943" s="501" t="s">
        <v>1094</v>
      </c>
      <c r="D4943" s="501" t="s">
        <v>3380</v>
      </c>
      <c r="E4943" s="501" t="s">
        <v>3381</v>
      </c>
      <c r="F4943" s="501" t="s">
        <v>719</v>
      </c>
      <c r="G4943" s="501" t="s">
        <v>720</v>
      </c>
      <c r="H4943" s="501" t="s">
        <v>7364</v>
      </c>
      <c r="I4943" s="501">
        <v>76</v>
      </c>
      <c r="J4943" s="501">
        <v>0</v>
      </c>
      <c r="K4943" s="501">
        <v>0</v>
      </c>
      <c r="L4943" s="501">
        <v>0</v>
      </c>
      <c r="M4943" s="501">
        <v>76</v>
      </c>
      <c r="N4943" s="501">
        <v>0</v>
      </c>
      <c r="O4943" s="506">
        <v>0</v>
      </c>
    </row>
    <row r="4944" spans="1:15" x14ac:dyDescent="0.35">
      <c r="A4944" s="503" t="s">
        <v>1272</v>
      </c>
      <c r="B4944" s="504" t="s">
        <v>2433</v>
      </c>
      <c r="C4944" s="504" t="s">
        <v>1089</v>
      </c>
      <c r="D4944" s="504" t="s">
        <v>3392</v>
      </c>
      <c r="E4944" s="504" t="s">
        <v>3381</v>
      </c>
      <c r="F4944" s="504" t="s">
        <v>719</v>
      </c>
      <c r="G4944" s="504" t="s">
        <v>720</v>
      </c>
      <c r="H4944" s="504" t="s">
        <v>7365</v>
      </c>
      <c r="I4944" s="504">
        <v>36</v>
      </c>
      <c r="J4944" s="504">
        <v>0</v>
      </c>
      <c r="K4944" s="504">
        <v>0</v>
      </c>
      <c r="L4944" s="504">
        <v>0</v>
      </c>
      <c r="M4944" s="504">
        <v>36</v>
      </c>
      <c r="N4944" s="504">
        <v>0</v>
      </c>
      <c r="O4944" s="505">
        <v>0</v>
      </c>
    </row>
    <row r="4945" spans="1:15" x14ac:dyDescent="0.35">
      <c r="A4945" s="500" t="s">
        <v>1161</v>
      </c>
      <c r="B4945" s="501" t="s">
        <v>3001</v>
      </c>
      <c r="C4945" s="501" t="s">
        <v>1094</v>
      </c>
      <c r="D4945" s="501" t="s">
        <v>3380</v>
      </c>
      <c r="E4945" s="501" t="s">
        <v>3381</v>
      </c>
      <c r="F4945" s="501" t="s">
        <v>719</v>
      </c>
      <c r="G4945" s="501" t="s">
        <v>720</v>
      </c>
      <c r="H4945" s="501" t="s">
        <v>7367</v>
      </c>
      <c r="I4945" s="501">
        <v>1521</v>
      </c>
      <c r="J4945" s="501">
        <v>1314</v>
      </c>
      <c r="K4945" s="501">
        <v>0</v>
      </c>
      <c r="L4945" s="501">
        <v>67</v>
      </c>
      <c r="M4945" s="501">
        <v>28</v>
      </c>
      <c r="N4945" s="501">
        <v>1</v>
      </c>
      <c r="O4945" s="506">
        <v>112</v>
      </c>
    </row>
    <row r="4946" spans="1:15" x14ac:dyDescent="0.35">
      <c r="A4946" s="503" t="s">
        <v>1100</v>
      </c>
      <c r="B4946" s="504">
        <v>4865</v>
      </c>
      <c r="C4946" s="504" t="s">
        <v>1094</v>
      </c>
      <c r="D4946" s="504" t="s">
        <v>3380</v>
      </c>
      <c r="E4946" s="504" t="s">
        <v>3381</v>
      </c>
      <c r="F4946" s="504" t="s">
        <v>719</v>
      </c>
      <c r="G4946" s="504" t="s">
        <v>720</v>
      </c>
      <c r="H4946" s="504" t="s">
        <v>7368</v>
      </c>
      <c r="I4946" s="504">
        <v>853</v>
      </c>
      <c r="J4946" s="504">
        <v>798</v>
      </c>
      <c r="K4946" s="504">
        <v>0</v>
      </c>
      <c r="L4946" s="504">
        <v>12</v>
      </c>
      <c r="M4946" s="504">
        <v>37</v>
      </c>
      <c r="N4946" s="504">
        <v>0</v>
      </c>
      <c r="O4946" s="505">
        <v>6</v>
      </c>
    </row>
    <row r="4947" spans="1:15" x14ac:dyDescent="0.35">
      <c r="A4947" s="500" t="s">
        <v>1290</v>
      </c>
      <c r="B4947" s="501" t="s">
        <v>2979</v>
      </c>
      <c r="C4947" s="501" t="s">
        <v>1094</v>
      </c>
      <c r="D4947" s="501" t="s">
        <v>3380</v>
      </c>
      <c r="E4947" s="501" t="s">
        <v>3381</v>
      </c>
      <c r="F4947" s="501" t="s">
        <v>719</v>
      </c>
      <c r="G4947" s="501" t="s">
        <v>720</v>
      </c>
      <c r="H4947" s="501" t="s">
        <v>7369</v>
      </c>
      <c r="I4947" s="501">
        <v>4</v>
      </c>
      <c r="J4947" s="501">
        <v>4</v>
      </c>
      <c r="K4947" s="501">
        <v>0</v>
      </c>
      <c r="L4947" s="501">
        <v>0</v>
      </c>
      <c r="M4947" s="501">
        <v>0</v>
      </c>
      <c r="N4947" s="501">
        <v>0</v>
      </c>
      <c r="O4947" s="506">
        <v>0</v>
      </c>
    </row>
    <row r="4948" spans="1:15" x14ac:dyDescent="0.35">
      <c r="A4948" s="503" t="s">
        <v>1182</v>
      </c>
      <c r="B4948" s="504">
        <v>5060</v>
      </c>
      <c r="C4948" s="504" t="s">
        <v>1094</v>
      </c>
      <c r="D4948" s="504" t="s">
        <v>3380</v>
      </c>
      <c r="E4948" s="504" t="s">
        <v>3381</v>
      </c>
      <c r="F4948" s="504" t="s">
        <v>719</v>
      </c>
      <c r="G4948" s="504" t="s">
        <v>720</v>
      </c>
      <c r="H4948" s="504" t="s">
        <v>7370</v>
      </c>
      <c r="I4948" s="504">
        <v>29</v>
      </c>
      <c r="J4948" s="504">
        <v>20</v>
      </c>
      <c r="K4948" s="504">
        <v>0</v>
      </c>
      <c r="L4948" s="504">
        <v>9</v>
      </c>
      <c r="M4948" s="504">
        <v>0</v>
      </c>
      <c r="N4948" s="504">
        <v>0</v>
      </c>
      <c r="O4948" s="505">
        <v>0</v>
      </c>
    </row>
    <row r="4949" spans="1:15" x14ac:dyDescent="0.35">
      <c r="A4949" s="500" t="s">
        <v>1187</v>
      </c>
      <c r="B4949" s="501" t="s">
        <v>2951</v>
      </c>
      <c r="C4949" s="501" t="s">
        <v>1094</v>
      </c>
      <c r="D4949" s="501" t="s">
        <v>3380</v>
      </c>
      <c r="E4949" s="501" t="s">
        <v>3381</v>
      </c>
      <c r="F4949" s="501" t="s">
        <v>719</v>
      </c>
      <c r="G4949" s="501" t="s">
        <v>720</v>
      </c>
      <c r="H4949" s="501" t="s">
        <v>7371</v>
      </c>
      <c r="I4949" s="501">
        <v>20</v>
      </c>
      <c r="J4949" s="501">
        <v>20</v>
      </c>
      <c r="K4949" s="501">
        <v>0</v>
      </c>
      <c r="L4949" s="501">
        <v>0</v>
      </c>
      <c r="M4949" s="501">
        <v>0</v>
      </c>
      <c r="N4949" s="501">
        <v>0</v>
      </c>
      <c r="O4949" s="506">
        <v>0</v>
      </c>
    </row>
    <row r="4950" spans="1:15" x14ac:dyDescent="0.35">
      <c r="A4950" s="503" t="s">
        <v>1105</v>
      </c>
      <c r="B4950" s="504">
        <v>4668</v>
      </c>
      <c r="C4950" s="504" t="s">
        <v>1094</v>
      </c>
      <c r="D4950" s="504" t="s">
        <v>3380</v>
      </c>
      <c r="E4950" s="504" t="s">
        <v>3381</v>
      </c>
      <c r="F4950" s="504" t="s">
        <v>719</v>
      </c>
      <c r="G4950" s="504" t="s">
        <v>720</v>
      </c>
      <c r="H4950" s="504" t="s">
        <v>7372</v>
      </c>
      <c r="I4950" s="504">
        <v>19</v>
      </c>
      <c r="J4950" s="504">
        <v>0</v>
      </c>
      <c r="K4950" s="504">
        <v>0</v>
      </c>
      <c r="L4950" s="504">
        <v>0</v>
      </c>
      <c r="M4950" s="504">
        <v>0</v>
      </c>
      <c r="N4950" s="504">
        <v>0</v>
      </c>
      <c r="O4950" s="505">
        <v>19</v>
      </c>
    </row>
    <row r="4951" spans="1:15" x14ac:dyDescent="0.35">
      <c r="A4951" s="500" t="s">
        <v>1302</v>
      </c>
      <c r="B4951" s="501" t="s">
        <v>3094</v>
      </c>
      <c r="C4951" s="501" t="s">
        <v>1094</v>
      </c>
      <c r="D4951" s="501" t="s">
        <v>3380</v>
      </c>
      <c r="E4951" s="501" t="s">
        <v>3381</v>
      </c>
      <c r="F4951" s="501" t="s">
        <v>719</v>
      </c>
      <c r="G4951" s="501" t="s">
        <v>720</v>
      </c>
      <c r="H4951" s="501" t="s">
        <v>7373</v>
      </c>
      <c r="I4951" s="501">
        <v>168</v>
      </c>
      <c r="J4951" s="501">
        <v>128</v>
      </c>
      <c r="K4951" s="501">
        <v>0</v>
      </c>
      <c r="L4951" s="501">
        <v>5</v>
      </c>
      <c r="M4951" s="501">
        <v>0</v>
      </c>
      <c r="N4951" s="501">
        <v>0</v>
      </c>
      <c r="O4951" s="506">
        <v>35</v>
      </c>
    </row>
    <row r="4952" spans="1:15" x14ac:dyDescent="0.35">
      <c r="A4952" s="503" t="s">
        <v>1107</v>
      </c>
      <c r="B4952" s="504" t="s">
        <v>3109</v>
      </c>
      <c r="C4952" s="504" t="s">
        <v>1094</v>
      </c>
      <c r="D4952" s="504" t="s">
        <v>3380</v>
      </c>
      <c r="E4952" s="504" t="s">
        <v>3381</v>
      </c>
      <c r="F4952" s="504" t="s">
        <v>719</v>
      </c>
      <c r="G4952" s="504" t="s">
        <v>720</v>
      </c>
      <c r="H4952" s="504" t="s">
        <v>7374</v>
      </c>
      <c r="I4952" s="504">
        <v>64</v>
      </c>
      <c r="J4952" s="504">
        <v>0</v>
      </c>
      <c r="K4952" s="504">
        <v>0</v>
      </c>
      <c r="L4952" s="504">
        <v>8</v>
      </c>
      <c r="M4952" s="504">
        <v>56</v>
      </c>
      <c r="N4952" s="504">
        <v>0</v>
      </c>
      <c r="O4952" s="505">
        <v>0</v>
      </c>
    </row>
    <row r="4953" spans="1:15" x14ac:dyDescent="0.35">
      <c r="A4953" s="500" t="s">
        <v>11373</v>
      </c>
      <c r="B4953" s="501" t="s">
        <v>2926</v>
      </c>
      <c r="C4953" s="501" t="s">
        <v>1089</v>
      </c>
      <c r="D4953" s="501" t="s">
        <v>3392</v>
      </c>
      <c r="E4953" s="501" t="s">
        <v>3381</v>
      </c>
      <c r="F4953" s="501" t="s">
        <v>719</v>
      </c>
      <c r="G4953" s="501" t="s">
        <v>720</v>
      </c>
      <c r="H4953" s="501" t="s">
        <v>14810</v>
      </c>
      <c r="I4953" s="501">
        <v>13</v>
      </c>
      <c r="J4953" s="501">
        <v>0</v>
      </c>
      <c r="K4953" s="501">
        <v>0</v>
      </c>
      <c r="L4953" s="501">
        <v>13</v>
      </c>
      <c r="M4953" s="501">
        <v>0</v>
      </c>
      <c r="N4953" s="501">
        <v>0</v>
      </c>
      <c r="O4953" s="506">
        <v>0</v>
      </c>
    </row>
    <row r="4954" spans="1:15" x14ac:dyDescent="0.35">
      <c r="A4954" s="503" t="s">
        <v>1309</v>
      </c>
      <c r="B4954" s="504">
        <v>4725</v>
      </c>
      <c r="C4954" s="504" t="s">
        <v>1089</v>
      </c>
      <c r="D4954" s="504" t="s">
        <v>3392</v>
      </c>
      <c r="E4954" s="504" t="s">
        <v>3381</v>
      </c>
      <c r="F4954" s="504" t="s">
        <v>719</v>
      </c>
      <c r="G4954" s="504" t="s">
        <v>720</v>
      </c>
      <c r="H4954" s="504" t="s">
        <v>7375</v>
      </c>
      <c r="I4954" s="504">
        <v>115</v>
      </c>
      <c r="J4954" s="504">
        <v>4</v>
      </c>
      <c r="K4954" s="504">
        <v>0</v>
      </c>
      <c r="L4954" s="504">
        <v>111</v>
      </c>
      <c r="M4954" s="504">
        <v>0</v>
      </c>
      <c r="N4954" s="504">
        <v>0</v>
      </c>
      <c r="O4954" s="505">
        <v>0</v>
      </c>
    </row>
    <row r="4955" spans="1:15" x14ac:dyDescent="0.35">
      <c r="A4955" s="500" t="s">
        <v>1195</v>
      </c>
      <c r="B4955" s="501">
        <v>4693</v>
      </c>
      <c r="C4955" s="501" t="s">
        <v>1089</v>
      </c>
      <c r="D4955" s="501" t="s">
        <v>3392</v>
      </c>
      <c r="E4955" s="501" t="s">
        <v>3381</v>
      </c>
      <c r="F4955" s="501" t="s">
        <v>719</v>
      </c>
      <c r="G4955" s="501" t="s">
        <v>720</v>
      </c>
      <c r="H4955" s="501" t="s">
        <v>7376</v>
      </c>
      <c r="I4955" s="501">
        <v>15</v>
      </c>
      <c r="J4955" s="501">
        <v>0</v>
      </c>
      <c r="K4955" s="501">
        <v>0</v>
      </c>
      <c r="L4955" s="501">
        <v>15</v>
      </c>
      <c r="M4955" s="501">
        <v>0</v>
      </c>
      <c r="N4955" s="501">
        <v>0</v>
      </c>
      <c r="O4955" s="506">
        <v>0</v>
      </c>
    </row>
    <row r="4956" spans="1:15" x14ac:dyDescent="0.35">
      <c r="A4956" s="503" t="s">
        <v>1202</v>
      </c>
      <c r="B4956" s="504" t="s">
        <v>3217</v>
      </c>
      <c r="C4956" s="504" t="s">
        <v>1094</v>
      </c>
      <c r="D4956" s="504" t="s">
        <v>3380</v>
      </c>
      <c r="E4956" s="504" t="s">
        <v>3381</v>
      </c>
      <c r="F4956" s="504" t="s">
        <v>719</v>
      </c>
      <c r="G4956" s="504" t="s">
        <v>720</v>
      </c>
      <c r="H4956" s="504" t="s">
        <v>11837</v>
      </c>
      <c r="I4956" s="504">
        <v>7</v>
      </c>
      <c r="J4956" s="504">
        <v>0</v>
      </c>
      <c r="K4956" s="504">
        <v>0</v>
      </c>
      <c r="L4956" s="504">
        <v>0</v>
      </c>
      <c r="M4956" s="504">
        <v>0</v>
      </c>
      <c r="N4956" s="504">
        <v>0</v>
      </c>
      <c r="O4956" s="505">
        <v>7</v>
      </c>
    </row>
    <row r="4957" spans="1:15" x14ac:dyDescent="0.35">
      <c r="A4957" s="500" t="s">
        <v>11374</v>
      </c>
      <c r="B4957" s="501" t="s">
        <v>3059</v>
      </c>
      <c r="C4957" s="501" t="s">
        <v>1089</v>
      </c>
      <c r="D4957" s="501" t="s">
        <v>3392</v>
      </c>
      <c r="E4957" s="501" t="s">
        <v>3381</v>
      </c>
      <c r="F4957" s="501" t="s">
        <v>719</v>
      </c>
      <c r="G4957" s="501" t="s">
        <v>720</v>
      </c>
      <c r="H4957" s="501" t="s">
        <v>11854</v>
      </c>
      <c r="I4957" s="501">
        <v>426</v>
      </c>
      <c r="J4957" s="501">
        <v>289</v>
      </c>
      <c r="K4957" s="501">
        <v>0</v>
      </c>
      <c r="L4957" s="501">
        <v>109</v>
      </c>
      <c r="M4957" s="501">
        <v>28</v>
      </c>
      <c r="N4957" s="501">
        <v>0</v>
      </c>
      <c r="O4957" s="506">
        <v>0</v>
      </c>
    </row>
    <row r="4958" spans="1:15" x14ac:dyDescent="0.35">
      <c r="A4958" s="503" t="s">
        <v>1112</v>
      </c>
      <c r="B4958" s="504" t="s">
        <v>3008</v>
      </c>
      <c r="C4958" s="504" t="s">
        <v>1094</v>
      </c>
      <c r="D4958" s="504" t="s">
        <v>3380</v>
      </c>
      <c r="E4958" s="504" t="s">
        <v>3381</v>
      </c>
      <c r="F4958" s="504" t="s">
        <v>719</v>
      </c>
      <c r="G4958" s="504" t="s">
        <v>720</v>
      </c>
      <c r="H4958" s="504" t="s">
        <v>7377</v>
      </c>
      <c r="I4958" s="504">
        <v>1</v>
      </c>
      <c r="J4958" s="504">
        <v>0</v>
      </c>
      <c r="K4958" s="504">
        <v>0</v>
      </c>
      <c r="L4958" s="504">
        <v>0</v>
      </c>
      <c r="M4958" s="504">
        <v>0</v>
      </c>
      <c r="N4958" s="504">
        <v>0</v>
      </c>
      <c r="O4958" s="505">
        <v>1</v>
      </c>
    </row>
    <row r="4959" spans="1:15" x14ac:dyDescent="0.35">
      <c r="A4959" s="500" t="s">
        <v>1319</v>
      </c>
      <c r="B4959" s="501">
        <v>4880</v>
      </c>
      <c r="C4959" s="501" t="s">
        <v>1094</v>
      </c>
      <c r="D4959" s="501" t="s">
        <v>3380</v>
      </c>
      <c r="E4959" s="501" t="s">
        <v>3381</v>
      </c>
      <c r="F4959" s="501" t="s">
        <v>719</v>
      </c>
      <c r="G4959" s="501" t="s">
        <v>720</v>
      </c>
      <c r="H4959" s="501" t="s">
        <v>7378</v>
      </c>
      <c r="I4959" s="501">
        <v>72</v>
      </c>
      <c r="J4959" s="501">
        <v>72</v>
      </c>
      <c r="K4959" s="501">
        <v>0</v>
      </c>
      <c r="L4959" s="501">
        <v>0</v>
      </c>
      <c r="M4959" s="501">
        <v>0</v>
      </c>
      <c r="N4959" s="501">
        <v>0</v>
      </c>
      <c r="O4959" s="506">
        <v>0</v>
      </c>
    </row>
    <row r="4960" spans="1:15" x14ac:dyDescent="0.35">
      <c r="A4960" s="503" t="s">
        <v>1321</v>
      </c>
      <c r="B4960" s="504">
        <v>4635</v>
      </c>
      <c r="C4960" s="504" t="s">
        <v>1089</v>
      </c>
      <c r="D4960" s="504" t="s">
        <v>3392</v>
      </c>
      <c r="E4960" s="504" t="s">
        <v>3381</v>
      </c>
      <c r="F4960" s="504" t="s">
        <v>719</v>
      </c>
      <c r="G4960" s="504" t="s">
        <v>720</v>
      </c>
      <c r="H4960" s="504" t="s">
        <v>7379</v>
      </c>
      <c r="I4960" s="504">
        <v>32</v>
      </c>
      <c r="J4960" s="504">
        <v>32</v>
      </c>
      <c r="K4960" s="504">
        <v>0</v>
      </c>
      <c r="L4960" s="504">
        <v>0</v>
      </c>
      <c r="M4960" s="504">
        <v>0</v>
      </c>
      <c r="N4960" s="504">
        <v>0</v>
      </c>
      <c r="O4960" s="505">
        <v>0</v>
      </c>
    </row>
    <row r="4961" spans="1:15" x14ac:dyDescent="0.35">
      <c r="A4961" s="500" t="s">
        <v>1217</v>
      </c>
      <c r="B4961" s="501">
        <v>4851</v>
      </c>
      <c r="C4961" s="501" t="s">
        <v>1094</v>
      </c>
      <c r="D4961" s="501" t="s">
        <v>3380</v>
      </c>
      <c r="E4961" s="501" t="s">
        <v>3381</v>
      </c>
      <c r="F4961" s="501" t="s">
        <v>719</v>
      </c>
      <c r="G4961" s="501" t="s">
        <v>720</v>
      </c>
      <c r="H4961" s="501" t="s">
        <v>7380</v>
      </c>
      <c r="I4961" s="501">
        <v>246</v>
      </c>
      <c r="J4961" s="501">
        <v>71</v>
      </c>
      <c r="K4961" s="501">
        <v>175</v>
      </c>
      <c r="L4961" s="501">
        <v>0</v>
      </c>
      <c r="M4961" s="501">
        <v>0</v>
      </c>
      <c r="N4961" s="501">
        <v>0</v>
      </c>
      <c r="O4961" s="506">
        <v>0</v>
      </c>
    </row>
    <row r="4962" spans="1:15" x14ac:dyDescent="0.35">
      <c r="A4962" s="503" t="s">
        <v>1327</v>
      </c>
      <c r="B4962" s="504" t="s">
        <v>3330</v>
      </c>
      <c r="C4962" s="504" t="s">
        <v>1094</v>
      </c>
      <c r="D4962" s="504" t="s">
        <v>3380</v>
      </c>
      <c r="E4962" s="504" t="s">
        <v>3381</v>
      </c>
      <c r="F4962" s="504" t="s">
        <v>719</v>
      </c>
      <c r="G4962" s="504" t="s">
        <v>720</v>
      </c>
      <c r="H4962" s="504" t="s">
        <v>7381</v>
      </c>
      <c r="I4962" s="504">
        <v>539</v>
      </c>
      <c r="J4962" s="504">
        <v>441</v>
      </c>
      <c r="K4962" s="504">
        <v>0</v>
      </c>
      <c r="L4962" s="504">
        <v>0</v>
      </c>
      <c r="M4962" s="504">
        <v>0</v>
      </c>
      <c r="N4962" s="504">
        <v>0</v>
      </c>
      <c r="O4962" s="505">
        <v>98</v>
      </c>
    </row>
    <row r="4963" spans="1:15" x14ac:dyDescent="0.35">
      <c r="A4963" s="500" t="s">
        <v>1122</v>
      </c>
      <c r="B4963" s="501" t="s">
        <v>2994</v>
      </c>
      <c r="C4963" s="501" t="s">
        <v>1094</v>
      </c>
      <c r="D4963" s="501" t="s">
        <v>3380</v>
      </c>
      <c r="E4963" s="501" t="s">
        <v>3381</v>
      </c>
      <c r="F4963" s="501" t="s">
        <v>719</v>
      </c>
      <c r="G4963" s="501" t="s">
        <v>720</v>
      </c>
      <c r="H4963" s="501" t="s">
        <v>7382</v>
      </c>
      <c r="I4963" s="501">
        <v>56</v>
      </c>
      <c r="J4963" s="501">
        <v>46</v>
      </c>
      <c r="K4963" s="501">
        <v>0</v>
      </c>
      <c r="L4963" s="501">
        <v>0</v>
      </c>
      <c r="M4963" s="501">
        <v>0</v>
      </c>
      <c r="N4963" s="501">
        <v>0</v>
      </c>
      <c r="O4963" s="506">
        <v>10</v>
      </c>
    </row>
    <row r="4964" spans="1:15" x14ac:dyDescent="0.35">
      <c r="A4964" s="503" t="s">
        <v>1225</v>
      </c>
      <c r="B4964" s="504" t="s">
        <v>3315</v>
      </c>
      <c r="C4964" s="504" t="s">
        <v>1094</v>
      </c>
      <c r="D4964" s="504" t="s">
        <v>3380</v>
      </c>
      <c r="E4964" s="504" t="s">
        <v>3381</v>
      </c>
      <c r="F4964" s="504" t="s">
        <v>719</v>
      </c>
      <c r="G4964" s="504" t="s">
        <v>720</v>
      </c>
      <c r="H4964" s="504" t="s">
        <v>7383</v>
      </c>
      <c r="I4964" s="504">
        <v>20</v>
      </c>
      <c r="J4964" s="504">
        <v>0</v>
      </c>
      <c r="K4964" s="504">
        <v>0</v>
      </c>
      <c r="L4964" s="504">
        <v>20</v>
      </c>
      <c r="M4964" s="504">
        <v>0</v>
      </c>
      <c r="N4964" s="504">
        <v>0</v>
      </c>
      <c r="O4964" s="505">
        <v>0</v>
      </c>
    </row>
    <row r="4965" spans="1:15" x14ac:dyDescent="0.35">
      <c r="A4965" s="500" t="s">
        <v>1338</v>
      </c>
      <c r="B4965" s="501" t="s">
        <v>2528</v>
      </c>
      <c r="C4965" s="501" t="s">
        <v>1089</v>
      </c>
      <c r="D4965" s="501" t="s">
        <v>3392</v>
      </c>
      <c r="E4965" s="501" t="s">
        <v>3381</v>
      </c>
      <c r="F4965" s="501" t="s">
        <v>719</v>
      </c>
      <c r="G4965" s="501" t="s">
        <v>720</v>
      </c>
      <c r="H4965" s="501" t="s">
        <v>7384</v>
      </c>
      <c r="I4965" s="501">
        <v>24</v>
      </c>
      <c r="J4965" s="501">
        <v>0</v>
      </c>
      <c r="K4965" s="501">
        <v>0</v>
      </c>
      <c r="L4965" s="501">
        <v>0</v>
      </c>
      <c r="M4965" s="501">
        <v>24</v>
      </c>
      <c r="N4965" s="501">
        <v>0</v>
      </c>
      <c r="O4965" s="506">
        <v>0</v>
      </c>
    </row>
    <row r="4966" spans="1:15" x14ac:dyDescent="0.35">
      <c r="A4966" s="503" t="s">
        <v>1126</v>
      </c>
      <c r="B4966" s="504" t="s">
        <v>2974</v>
      </c>
      <c r="C4966" s="504" t="s">
        <v>1094</v>
      </c>
      <c r="D4966" s="504" t="s">
        <v>3380</v>
      </c>
      <c r="E4966" s="504" t="s">
        <v>3381</v>
      </c>
      <c r="F4966" s="504" t="s">
        <v>719</v>
      </c>
      <c r="G4966" s="504" t="s">
        <v>720</v>
      </c>
      <c r="H4966" s="504" t="s">
        <v>7385</v>
      </c>
      <c r="I4966" s="504">
        <v>12</v>
      </c>
      <c r="J4966" s="504">
        <v>12</v>
      </c>
      <c r="K4966" s="504">
        <v>0</v>
      </c>
      <c r="L4966" s="504">
        <v>0</v>
      </c>
      <c r="M4966" s="504">
        <v>0</v>
      </c>
      <c r="N4966" s="504">
        <v>0</v>
      </c>
      <c r="O4966" s="505">
        <v>0</v>
      </c>
    </row>
    <row r="4967" spans="1:15" x14ac:dyDescent="0.35">
      <c r="A4967" s="500" t="s">
        <v>1341</v>
      </c>
      <c r="B4967" s="501" t="s">
        <v>3183</v>
      </c>
      <c r="C4967" s="501" t="s">
        <v>1094</v>
      </c>
      <c r="D4967" s="501" t="s">
        <v>3380</v>
      </c>
      <c r="E4967" s="501" t="s">
        <v>3381</v>
      </c>
      <c r="F4967" s="501" t="s">
        <v>719</v>
      </c>
      <c r="G4967" s="501" t="s">
        <v>720</v>
      </c>
      <c r="H4967" s="501" t="s">
        <v>7386</v>
      </c>
      <c r="I4967" s="501">
        <v>28</v>
      </c>
      <c r="J4967" s="501">
        <v>24</v>
      </c>
      <c r="K4967" s="501">
        <v>0</v>
      </c>
      <c r="L4967" s="501">
        <v>0</v>
      </c>
      <c r="M4967" s="501">
        <v>0</v>
      </c>
      <c r="N4967" s="501">
        <v>0</v>
      </c>
      <c r="O4967" s="506">
        <v>4</v>
      </c>
    </row>
    <row r="4968" spans="1:15" x14ac:dyDescent="0.35">
      <c r="A4968" s="503" t="s">
        <v>1342</v>
      </c>
      <c r="B4968" s="504" t="s">
        <v>3237</v>
      </c>
      <c r="C4968" s="504" t="s">
        <v>1094</v>
      </c>
      <c r="D4968" s="504" t="s">
        <v>3380</v>
      </c>
      <c r="E4968" s="504" t="s">
        <v>3381</v>
      </c>
      <c r="F4968" s="504" t="s">
        <v>719</v>
      </c>
      <c r="G4968" s="504" t="s">
        <v>720</v>
      </c>
      <c r="H4968" s="504" t="s">
        <v>7387</v>
      </c>
      <c r="I4968" s="504">
        <v>1</v>
      </c>
      <c r="J4968" s="504">
        <v>0</v>
      </c>
      <c r="K4968" s="504">
        <v>0</v>
      </c>
      <c r="L4968" s="504">
        <v>0</v>
      </c>
      <c r="M4968" s="504">
        <v>0</v>
      </c>
      <c r="N4968" s="504">
        <v>0</v>
      </c>
      <c r="O4968" s="505">
        <v>1</v>
      </c>
    </row>
    <row r="4969" spans="1:15" x14ac:dyDescent="0.35">
      <c r="A4969" s="500" t="s">
        <v>1240</v>
      </c>
      <c r="B4969" s="501" t="s">
        <v>2972</v>
      </c>
      <c r="C4969" s="501" t="s">
        <v>1094</v>
      </c>
      <c r="D4969" s="501" t="s">
        <v>3380</v>
      </c>
      <c r="E4969" s="501" t="s">
        <v>3381</v>
      </c>
      <c r="F4969" s="501" t="s">
        <v>719</v>
      </c>
      <c r="G4969" s="501" t="s">
        <v>720</v>
      </c>
      <c r="H4969" s="501" t="s">
        <v>7388</v>
      </c>
      <c r="I4969" s="501">
        <v>412</v>
      </c>
      <c r="J4969" s="501">
        <v>405</v>
      </c>
      <c r="K4969" s="501">
        <v>0</v>
      </c>
      <c r="L4969" s="501">
        <v>0</v>
      </c>
      <c r="M4969" s="501">
        <v>0</v>
      </c>
      <c r="N4969" s="501">
        <v>0</v>
      </c>
      <c r="O4969" s="506">
        <v>7</v>
      </c>
    </row>
    <row r="4970" spans="1:15" x14ac:dyDescent="0.35">
      <c r="A4970" s="503" t="s">
        <v>1134</v>
      </c>
      <c r="B4970" s="504" t="s">
        <v>3066</v>
      </c>
      <c r="C4970" s="504" t="s">
        <v>1094</v>
      </c>
      <c r="D4970" s="504" t="s">
        <v>3380</v>
      </c>
      <c r="E4970" s="504" t="s">
        <v>3381</v>
      </c>
      <c r="F4970" s="504" t="s">
        <v>719</v>
      </c>
      <c r="G4970" s="504" t="s">
        <v>720</v>
      </c>
      <c r="H4970" s="504" t="s">
        <v>12162</v>
      </c>
      <c r="I4970" s="504">
        <v>68</v>
      </c>
      <c r="J4970" s="504">
        <v>68</v>
      </c>
      <c r="K4970" s="504">
        <v>0</v>
      </c>
      <c r="L4970" s="504">
        <v>0</v>
      </c>
      <c r="M4970" s="504">
        <v>0</v>
      </c>
      <c r="N4970" s="504">
        <v>0</v>
      </c>
      <c r="O4970" s="505">
        <v>0</v>
      </c>
    </row>
    <row r="4971" spans="1:15" x14ac:dyDescent="0.35">
      <c r="A4971" s="500" t="s">
        <v>1558</v>
      </c>
      <c r="B4971" s="501">
        <v>4843</v>
      </c>
      <c r="C4971" s="501" t="s">
        <v>1089</v>
      </c>
      <c r="D4971" s="501" t="s">
        <v>3392</v>
      </c>
      <c r="E4971" s="501" t="s">
        <v>3381</v>
      </c>
      <c r="F4971" s="501" t="s">
        <v>719</v>
      </c>
      <c r="G4971" s="501" t="s">
        <v>720</v>
      </c>
      <c r="H4971" s="501" t="s">
        <v>14811</v>
      </c>
      <c r="I4971" s="501">
        <v>3</v>
      </c>
      <c r="J4971" s="501">
        <v>3</v>
      </c>
      <c r="K4971" s="501">
        <v>0</v>
      </c>
      <c r="L4971" s="501">
        <v>0</v>
      </c>
      <c r="M4971" s="501">
        <v>0</v>
      </c>
      <c r="N4971" s="501">
        <v>0</v>
      </c>
      <c r="O4971" s="506">
        <v>0</v>
      </c>
    </row>
    <row r="4972" spans="1:15" x14ac:dyDescent="0.35">
      <c r="A4972" s="503" t="s">
        <v>1364</v>
      </c>
      <c r="B4972" s="504" t="s">
        <v>3277</v>
      </c>
      <c r="C4972" s="504" t="s">
        <v>1089</v>
      </c>
      <c r="D4972" s="504" t="s">
        <v>3392</v>
      </c>
      <c r="E4972" s="504" t="s">
        <v>3381</v>
      </c>
      <c r="F4972" s="504" t="s">
        <v>719</v>
      </c>
      <c r="G4972" s="504" t="s">
        <v>720</v>
      </c>
      <c r="H4972" s="504" t="s">
        <v>7389</v>
      </c>
      <c r="I4972" s="504">
        <v>18</v>
      </c>
      <c r="J4972" s="504">
        <v>0</v>
      </c>
      <c r="K4972" s="504">
        <v>0</v>
      </c>
      <c r="L4972" s="504">
        <v>18</v>
      </c>
      <c r="M4972" s="504">
        <v>0</v>
      </c>
      <c r="N4972" s="504">
        <v>0</v>
      </c>
      <c r="O4972" s="505">
        <v>0</v>
      </c>
    </row>
    <row r="4973" spans="1:15" x14ac:dyDescent="0.35">
      <c r="A4973" s="500" t="s">
        <v>1156</v>
      </c>
      <c r="B4973" s="501" t="s">
        <v>3310</v>
      </c>
      <c r="C4973" s="501" t="s">
        <v>1094</v>
      </c>
      <c r="D4973" s="501" t="s">
        <v>3380</v>
      </c>
      <c r="E4973" s="501" t="s">
        <v>3381</v>
      </c>
      <c r="F4973" s="501" t="s">
        <v>719</v>
      </c>
      <c r="G4973" s="501" t="s">
        <v>720</v>
      </c>
      <c r="H4973" s="501" t="s">
        <v>7366</v>
      </c>
      <c r="I4973" s="501">
        <v>256</v>
      </c>
      <c r="J4973" s="501">
        <v>119</v>
      </c>
      <c r="K4973" s="501">
        <v>0</v>
      </c>
      <c r="L4973" s="501">
        <v>6</v>
      </c>
      <c r="M4973" s="501">
        <v>107</v>
      </c>
      <c r="N4973" s="501">
        <v>0</v>
      </c>
      <c r="O4973" s="506">
        <v>24</v>
      </c>
    </row>
    <row r="4974" spans="1:15" x14ac:dyDescent="0.35">
      <c r="A4974" s="503" t="s">
        <v>1794</v>
      </c>
      <c r="B4974" s="504">
        <v>4810</v>
      </c>
      <c r="C4974" s="504" t="s">
        <v>1089</v>
      </c>
      <c r="D4974" s="504" t="s">
        <v>3392</v>
      </c>
      <c r="E4974" s="504" t="s">
        <v>3381</v>
      </c>
      <c r="F4974" s="504" t="s">
        <v>721</v>
      </c>
      <c r="G4974" s="504" t="s">
        <v>722</v>
      </c>
      <c r="H4974" s="504" t="s">
        <v>7390</v>
      </c>
      <c r="I4974" s="504">
        <v>100</v>
      </c>
      <c r="J4974" s="504">
        <v>0</v>
      </c>
      <c r="K4974" s="504">
        <v>0</v>
      </c>
      <c r="L4974" s="504">
        <v>100</v>
      </c>
      <c r="M4974" s="504">
        <v>0</v>
      </c>
      <c r="N4974" s="504">
        <v>0</v>
      </c>
      <c r="O4974" s="505">
        <v>0</v>
      </c>
    </row>
    <row r="4975" spans="1:15" x14ac:dyDescent="0.35">
      <c r="A4975" s="500" t="s">
        <v>1093</v>
      </c>
      <c r="B4975" s="501" t="s">
        <v>3248</v>
      </c>
      <c r="C4975" s="501" t="s">
        <v>1094</v>
      </c>
      <c r="D4975" s="501" t="s">
        <v>3380</v>
      </c>
      <c r="E4975" s="501" t="s">
        <v>3381</v>
      </c>
      <c r="F4975" s="501" t="s">
        <v>721</v>
      </c>
      <c r="G4975" s="501" t="s">
        <v>722</v>
      </c>
      <c r="H4975" s="501" t="s">
        <v>7391</v>
      </c>
      <c r="I4975" s="501">
        <v>7</v>
      </c>
      <c r="J4975" s="501">
        <v>0</v>
      </c>
      <c r="K4975" s="501">
        <v>0</v>
      </c>
      <c r="L4975" s="501">
        <v>0</v>
      </c>
      <c r="M4975" s="501">
        <v>0</v>
      </c>
      <c r="N4975" s="501">
        <v>0</v>
      </c>
      <c r="O4975" s="506">
        <v>7</v>
      </c>
    </row>
    <row r="4976" spans="1:15" x14ac:dyDescent="0.35">
      <c r="A4976" s="503" t="s">
        <v>1796</v>
      </c>
      <c r="B4976" s="504" t="s">
        <v>2824</v>
      </c>
      <c r="C4976" s="504" t="s">
        <v>1089</v>
      </c>
      <c r="D4976" s="504" t="s">
        <v>3392</v>
      </c>
      <c r="E4976" s="504" t="s">
        <v>3381</v>
      </c>
      <c r="F4976" s="504" t="s">
        <v>721</v>
      </c>
      <c r="G4976" s="504" t="s">
        <v>722</v>
      </c>
      <c r="H4976" s="504" t="s">
        <v>7392</v>
      </c>
      <c r="I4976" s="504">
        <v>46</v>
      </c>
      <c r="J4976" s="504">
        <v>46</v>
      </c>
      <c r="K4976" s="504">
        <v>0</v>
      </c>
      <c r="L4976" s="504">
        <v>0</v>
      </c>
      <c r="M4976" s="504">
        <v>0</v>
      </c>
      <c r="N4976" s="504">
        <v>0</v>
      </c>
      <c r="O4976" s="505">
        <v>0</v>
      </c>
    </row>
    <row r="4977" spans="1:15" x14ac:dyDescent="0.35">
      <c r="A4977" s="500" t="s">
        <v>1096</v>
      </c>
      <c r="B4977" s="501" t="s">
        <v>3326</v>
      </c>
      <c r="C4977" s="501" t="s">
        <v>1094</v>
      </c>
      <c r="D4977" s="501" t="s">
        <v>3380</v>
      </c>
      <c r="E4977" s="501" t="s">
        <v>3381</v>
      </c>
      <c r="F4977" s="501" t="s">
        <v>721</v>
      </c>
      <c r="G4977" s="501" t="s">
        <v>722</v>
      </c>
      <c r="H4977" s="501" t="s">
        <v>7393</v>
      </c>
      <c r="I4977" s="501">
        <v>31</v>
      </c>
      <c r="J4977" s="501">
        <v>0</v>
      </c>
      <c r="K4977" s="501">
        <v>0</v>
      </c>
      <c r="L4977" s="501">
        <v>0</v>
      </c>
      <c r="M4977" s="501">
        <v>31</v>
      </c>
      <c r="N4977" s="501">
        <v>0</v>
      </c>
      <c r="O4977" s="506">
        <v>0</v>
      </c>
    </row>
    <row r="4978" spans="1:15" x14ac:dyDescent="0.35">
      <c r="A4978" s="503" t="s">
        <v>1100</v>
      </c>
      <c r="B4978" s="504">
        <v>4865</v>
      </c>
      <c r="C4978" s="504" t="s">
        <v>1094</v>
      </c>
      <c r="D4978" s="504" t="s">
        <v>3380</v>
      </c>
      <c r="E4978" s="504" t="s">
        <v>3381</v>
      </c>
      <c r="F4978" s="504" t="s">
        <v>721</v>
      </c>
      <c r="G4978" s="504" t="s">
        <v>722</v>
      </c>
      <c r="H4978" s="504" t="s">
        <v>7394</v>
      </c>
      <c r="I4978" s="504">
        <v>358</v>
      </c>
      <c r="J4978" s="504">
        <v>245</v>
      </c>
      <c r="K4978" s="504">
        <v>0</v>
      </c>
      <c r="L4978" s="504">
        <v>0</v>
      </c>
      <c r="M4978" s="504">
        <v>0</v>
      </c>
      <c r="N4978" s="504">
        <v>0</v>
      </c>
      <c r="O4978" s="505">
        <v>113</v>
      </c>
    </row>
    <row r="4979" spans="1:15" x14ac:dyDescent="0.35">
      <c r="A4979" s="500" t="s">
        <v>1175</v>
      </c>
      <c r="B4979" s="501" t="s">
        <v>3141</v>
      </c>
      <c r="C4979" s="501" t="s">
        <v>1094</v>
      </c>
      <c r="D4979" s="501" t="s">
        <v>3380</v>
      </c>
      <c r="E4979" s="501" t="s">
        <v>3381</v>
      </c>
      <c r="F4979" s="501" t="s">
        <v>721</v>
      </c>
      <c r="G4979" s="501" t="s">
        <v>722</v>
      </c>
      <c r="H4979" s="501" t="s">
        <v>7395</v>
      </c>
      <c r="I4979" s="501">
        <v>26</v>
      </c>
      <c r="J4979" s="501">
        <v>19</v>
      </c>
      <c r="K4979" s="501">
        <v>0</v>
      </c>
      <c r="L4979" s="501">
        <v>0</v>
      </c>
      <c r="M4979" s="501">
        <v>0</v>
      </c>
      <c r="N4979" s="501">
        <v>0</v>
      </c>
      <c r="O4979" s="506">
        <v>7</v>
      </c>
    </row>
    <row r="4980" spans="1:15" x14ac:dyDescent="0.35">
      <c r="A4980" s="503" t="s">
        <v>1179</v>
      </c>
      <c r="B4980" s="504">
        <v>4829</v>
      </c>
      <c r="C4980" s="504" t="s">
        <v>1089</v>
      </c>
      <c r="D4980" s="504" t="s">
        <v>3392</v>
      </c>
      <c r="E4980" s="504" t="s">
        <v>3381</v>
      </c>
      <c r="F4980" s="504" t="s">
        <v>721</v>
      </c>
      <c r="G4980" s="504" t="s">
        <v>722</v>
      </c>
      <c r="H4980" s="504" t="s">
        <v>7396</v>
      </c>
      <c r="I4980" s="504">
        <v>6</v>
      </c>
      <c r="J4980" s="504">
        <v>0</v>
      </c>
      <c r="K4980" s="504">
        <v>0</v>
      </c>
      <c r="L4980" s="504">
        <v>6</v>
      </c>
      <c r="M4980" s="504">
        <v>0</v>
      </c>
      <c r="N4980" s="504">
        <v>0</v>
      </c>
      <c r="O4980" s="505">
        <v>0</v>
      </c>
    </row>
    <row r="4981" spans="1:15" x14ac:dyDescent="0.35">
      <c r="A4981" s="500" t="s">
        <v>14208</v>
      </c>
      <c r="B4981" s="501">
        <v>4803</v>
      </c>
      <c r="C4981" s="501" t="s">
        <v>1094</v>
      </c>
      <c r="D4981" s="501" t="s">
        <v>3380</v>
      </c>
      <c r="E4981" s="501" t="s">
        <v>3381</v>
      </c>
      <c r="F4981" s="501" t="s">
        <v>721</v>
      </c>
      <c r="G4981" s="501" t="s">
        <v>722</v>
      </c>
      <c r="H4981" s="501" t="s">
        <v>14812</v>
      </c>
      <c r="I4981" s="501">
        <v>2</v>
      </c>
      <c r="J4981" s="501">
        <v>0</v>
      </c>
      <c r="K4981" s="501">
        <v>0</v>
      </c>
      <c r="L4981" s="501">
        <v>2</v>
      </c>
      <c r="M4981" s="501">
        <v>0</v>
      </c>
      <c r="N4981" s="501">
        <v>0</v>
      </c>
      <c r="O4981" s="506">
        <v>0</v>
      </c>
    </row>
    <row r="4982" spans="1:15" x14ac:dyDescent="0.35">
      <c r="A4982" s="503" t="s">
        <v>1443</v>
      </c>
      <c r="B4982" s="504" t="s">
        <v>3356</v>
      </c>
      <c r="C4982" s="504" t="s">
        <v>1094</v>
      </c>
      <c r="D4982" s="504" t="s">
        <v>3380</v>
      </c>
      <c r="E4982" s="504" t="s">
        <v>3381</v>
      </c>
      <c r="F4982" s="504" t="s">
        <v>721</v>
      </c>
      <c r="G4982" s="504" t="s">
        <v>722</v>
      </c>
      <c r="H4982" s="504" t="s">
        <v>7397</v>
      </c>
      <c r="I4982" s="504">
        <v>6692</v>
      </c>
      <c r="J4982" s="504">
        <v>5547</v>
      </c>
      <c r="K4982" s="504">
        <v>0</v>
      </c>
      <c r="L4982" s="504">
        <v>0</v>
      </c>
      <c r="M4982" s="504">
        <v>975</v>
      </c>
      <c r="N4982" s="504">
        <v>95</v>
      </c>
      <c r="O4982" s="505">
        <v>170</v>
      </c>
    </row>
    <row r="4983" spans="1:15" x14ac:dyDescent="0.35">
      <c r="A4983" s="500" t="s">
        <v>1838</v>
      </c>
      <c r="B4983" s="501" t="s">
        <v>3260</v>
      </c>
      <c r="C4983" s="501" t="s">
        <v>1089</v>
      </c>
      <c r="D4983" s="501" t="s">
        <v>3392</v>
      </c>
      <c r="E4983" s="501" t="s">
        <v>3381</v>
      </c>
      <c r="F4983" s="501" t="s">
        <v>721</v>
      </c>
      <c r="G4983" s="501" t="s">
        <v>722</v>
      </c>
      <c r="H4983" s="501" t="s">
        <v>7398</v>
      </c>
      <c r="I4983" s="501">
        <v>35</v>
      </c>
      <c r="J4983" s="501">
        <v>35</v>
      </c>
      <c r="K4983" s="501">
        <v>0</v>
      </c>
      <c r="L4983" s="501">
        <v>0</v>
      </c>
      <c r="M4983" s="501">
        <v>0</v>
      </c>
      <c r="N4983" s="501">
        <v>0</v>
      </c>
      <c r="O4983" s="506">
        <v>0</v>
      </c>
    </row>
    <row r="4984" spans="1:15" x14ac:dyDescent="0.35">
      <c r="A4984" s="503" t="s">
        <v>14223</v>
      </c>
      <c r="B4984" s="504">
        <v>4634</v>
      </c>
      <c r="C4984" s="504" t="s">
        <v>1089</v>
      </c>
      <c r="D4984" s="504" t="s">
        <v>3392</v>
      </c>
      <c r="E4984" s="504" t="s">
        <v>3381</v>
      </c>
      <c r="F4984" s="504" t="s">
        <v>721</v>
      </c>
      <c r="G4984" s="504" t="s">
        <v>722</v>
      </c>
      <c r="H4984" s="504" t="s">
        <v>14813</v>
      </c>
      <c r="I4984" s="504">
        <v>188</v>
      </c>
      <c r="J4984" s="504">
        <v>188</v>
      </c>
      <c r="K4984" s="504">
        <v>0</v>
      </c>
      <c r="L4984" s="504">
        <v>0</v>
      </c>
      <c r="M4984" s="504">
        <v>0</v>
      </c>
      <c r="N4984" s="504">
        <v>0</v>
      </c>
      <c r="O4984" s="505">
        <v>0</v>
      </c>
    </row>
    <row r="4985" spans="1:15" x14ac:dyDescent="0.35">
      <c r="A4985" s="500" t="s">
        <v>1105</v>
      </c>
      <c r="B4985" s="501">
        <v>4668</v>
      </c>
      <c r="C4985" s="501" t="s">
        <v>1094</v>
      </c>
      <c r="D4985" s="501" t="s">
        <v>3380</v>
      </c>
      <c r="E4985" s="501" t="s">
        <v>3381</v>
      </c>
      <c r="F4985" s="501" t="s">
        <v>721</v>
      </c>
      <c r="G4985" s="501" t="s">
        <v>722</v>
      </c>
      <c r="H4985" s="501" t="s">
        <v>7399</v>
      </c>
      <c r="I4985" s="501">
        <v>1</v>
      </c>
      <c r="J4985" s="501">
        <v>0</v>
      </c>
      <c r="K4985" s="501">
        <v>0</v>
      </c>
      <c r="L4985" s="501">
        <v>0</v>
      </c>
      <c r="M4985" s="501">
        <v>0</v>
      </c>
      <c r="N4985" s="501">
        <v>0</v>
      </c>
      <c r="O4985" s="506">
        <v>1</v>
      </c>
    </row>
    <row r="4986" spans="1:15" x14ac:dyDescent="0.35">
      <c r="A4986" s="503" t="s">
        <v>1188</v>
      </c>
      <c r="B4986" s="504">
        <v>4760</v>
      </c>
      <c r="C4986" s="504" t="s">
        <v>1089</v>
      </c>
      <c r="D4986" s="504" t="s">
        <v>3392</v>
      </c>
      <c r="E4986" s="504" t="s">
        <v>3381</v>
      </c>
      <c r="F4986" s="504" t="s">
        <v>721</v>
      </c>
      <c r="G4986" s="504" t="s">
        <v>722</v>
      </c>
      <c r="H4986" s="504" t="s">
        <v>7400</v>
      </c>
      <c r="I4986" s="504">
        <v>7</v>
      </c>
      <c r="J4986" s="504">
        <v>0</v>
      </c>
      <c r="K4986" s="504">
        <v>0</v>
      </c>
      <c r="L4986" s="504">
        <v>7</v>
      </c>
      <c r="M4986" s="504">
        <v>0</v>
      </c>
      <c r="N4986" s="504">
        <v>0</v>
      </c>
      <c r="O4986" s="505">
        <v>0</v>
      </c>
    </row>
    <row r="4987" spans="1:15" x14ac:dyDescent="0.35">
      <c r="A4987" s="500" t="s">
        <v>1107</v>
      </c>
      <c r="B4987" s="501" t="s">
        <v>3109</v>
      </c>
      <c r="C4987" s="501" t="s">
        <v>1094</v>
      </c>
      <c r="D4987" s="501" t="s">
        <v>3380</v>
      </c>
      <c r="E4987" s="501" t="s">
        <v>3381</v>
      </c>
      <c r="F4987" s="501" t="s">
        <v>721</v>
      </c>
      <c r="G4987" s="501" t="s">
        <v>722</v>
      </c>
      <c r="H4987" s="501" t="s">
        <v>7401</v>
      </c>
      <c r="I4987" s="501">
        <v>62</v>
      </c>
      <c r="J4987" s="501">
        <v>28</v>
      </c>
      <c r="K4987" s="501">
        <v>0</v>
      </c>
      <c r="L4987" s="501">
        <v>14</v>
      </c>
      <c r="M4987" s="501">
        <v>0</v>
      </c>
      <c r="N4987" s="501">
        <v>0</v>
      </c>
      <c r="O4987" s="506">
        <v>20</v>
      </c>
    </row>
    <row r="4988" spans="1:15" x14ac:dyDescent="0.35">
      <c r="A4988" s="503" t="s">
        <v>1109</v>
      </c>
      <c r="B4988" s="504" t="s">
        <v>2959</v>
      </c>
      <c r="C4988" s="504" t="s">
        <v>1094</v>
      </c>
      <c r="D4988" s="504" t="s">
        <v>3380</v>
      </c>
      <c r="E4988" s="504" t="s">
        <v>3381</v>
      </c>
      <c r="F4988" s="504" t="s">
        <v>721</v>
      </c>
      <c r="G4988" s="504" t="s">
        <v>722</v>
      </c>
      <c r="H4988" s="504" t="s">
        <v>7402</v>
      </c>
      <c r="I4988" s="504">
        <v>57</v>
      </c>
      <c r="J4988" s="504">
        <v>0</v>
      </c>
      <c r="K4988" s="504">
        <v>0</v>
      </c>
      <c r="L4988" s="504">
        <v>0</v>
      </c>
      <c r="M4988" s="504">
        <v>57</v>
      </c>
      <c r="N4988" s="504">
        <v>0</v>
      </c>
      <c r="O4988" s="505">
        <v>0</v>
      </c>
    </row>
    <row r="4989" spans="1:15" x14ac:dyDescent="0.35">
      <c r="A4989" s="500" t="s">
        <v>1189</v>
      </c>
      <c r="B4989" s="501" t="s">
        <v>3236</v>
      </c>
      <c r="C4989" s="501" t="s">
        <v>1094</v>
      </c>
      <c r="D4989" s="501" t="s">
        <v>3380</v>
      </c>
      <c r="E4989" s="501" t="s">
        <v>3381</v>
      </c>
      <c r="F4989" s="501" t="s">
        <v>721</v>
      </c>
      <c r="G4989" s="501" t="s">
        <v>722</v>
      </c>
      <c r="H4989" s="501" t="s">
        <v>7403</v>
      </c>
      <c r="I4989" s="501">
        <v>878</v>
      </c>
      <c r="J4989" s="501">
        <v>610</v>
      </c>
      <c r="K4989" s="501">
        <v>0</v>
      </c>
      <c r="L4989" s="501">
        <v>46</v>
      </c>
      <c r="M4989" s="501">
        <v>22</v>
      </c>
      <c r="N4989" s="501">
        <v>4</v>
      </c>
      <c r="O4989" s="506">
        <v>200</v>
      </c>
    </row>
    <row r="4990" spans="1:15" x14ac:dyDescent="0.35">
      <c r="A4990" s="503" t="s">
        <v>1190</v>
      </c>
      <c r="B4990" s="504">
        <v>4662</v>
      </c>
      <c r="C4990" s="504" t="s">
        <v>1094</v>
      </c>
      <c r="D4990" s="504" t="s">
        <v>3380</v>
      </c>
      <c r="E4990" s="504" t="s">
        <v>3381</v>
      </c>
      <c r="F4990" s="504" t="s">
        <v>721</v>
      </c>
      <c r="G4990" s="504" t="s">
        <v>722</v>
      </c>
      <c r="H4990" s="504" t="s">
        <v>7404</v>
      </c>
      <c r="I4990" s="504">
        <v>17</v>
      </c>
      <c r="J4990" s="504">
        <v>0</v>
      </c>
      <c r="K4990" s="504">
        <v>0</v>
      </c>
      <c r="L4990" s="504">
        <v>17</v>
      </c>
      <c r="M4990" s="504">
        <v>0</v>
      </c>
      <c r="N4990" s="504">
        <v>0</v>
      </c>
      <c r="O4990" s="505">
        <v>0</v>
      </c>
    </row>
    <row r="4991" spans="1:15" x14ac:dyDescent="0.35">
      <c r="A4991" s="500" t="s">
        <v>1202</v>
      </c>
      <c r="B4991" s="501" t="s">
        <v>3217</v>
      </c>
      <c r="C4991" s="501" t="s">
        <v>1094</v>
      </c>
      <c r="D4991" s="501" t="s">
        <v>3380</v>
      </c>
      <c r="E4991" s="501" t="s">
        <v>3381</v>
      </c>
      <c r="F4991" s="501" t="s">
        <v>721</v>
      </c>
      <c r="G4991" s="501" t="s">
        <v>722</v>
      </c>
      <c r="H4991" s="501" t="s">
        <v>7405</v>
      </c>
      <c r="I4991" s="501">
        <v>19</v>
      </c>
      <c r="J4991" s="501">
        <v>0</v>
      </c>
      <c r="K4991" s="501">
        <v>0</v>
      </c>
      <c r="L4991" s="501">
        <v>0</v>
      </c>
      <c r="M4991" s="501">
        <v>0</v>
      </c>
      <c r="N4991" s="501">
        <v>0</v>
      </c>
      <c r="O4991" s="506">
        <v>19</v>
      </c>
    </row>
    <row r="4992" spans="1:15" x14ac:dyDescent="0.35">
      <c r="A4992" s="503" t="s">
        <v>1114</v>
      </c>
      <c r="B4992" s="504" t="s">
        <v>2982</v>
      </c>
      <c r="C4992" s="504" t="s">
        <v>1094</v>
      </c>
      <c r="D4992" s="504" t="s">
        <v>3380</v>
      </c>
      <c r="E4992" s="504" t="s">
        <v>3381</v>
      </c>
      <c r="F4992" s="504" t="s">
        <v>721</v>
      </c>
      <c r="G4992" s="504" t="s">
        <v>722</v>
      </c>
      <c r="H4992" s="504" t="s">
        <v>7406</v>
      </c>
      <c r="I4992" s="504">
        <v>399</v>
      </c>
      <c r="J4992" s="504">
        <v>186</v>
      </c>
      <c r="K4992" s="504">
        <v>0</v>
      </c>
      <c r="L4992" s="504">
        <v>6</v>
      </c>
      <c r="M4992" s="504">
        <v>5</v>
      </c>
      <c r="N4992" s="504">
        <v>0</v>
      </c>
      <c r="O4992" s="505">
        <v>202</v>
      </c>
    </row>
    <row r="4993" spans="1:15" x14ac:dyDescent="0.35">
      <c r="A4993" s="500" t="s">
        <v>14400</v>
      </c>
      <c r="B4993" s="501">
        <v>4727</v>
      </c>
      <c r="C4993" s="501" t="s">
        <v>1089</v>
      </c>
      <c r="D4993" s="501" t="s">
        <v>3392</v>
      </c>
      <c r="E4993" s="501" t="s">
        <v>3381</v>
      </c>
      <c r="F4993" s="501" t="s">
        <v>721</v>
      </c>
      <c r="G4993" s="501" t="s">
        <v>722</v>
      </c>
      <c r="H4993" s="501" t="s">
        <v>14814</v>
      </c>
      <c r="I4993" s="501">
        <v>12</v>
      </c>
      <c r="J4993" s="501">
        <v>0</v>
      </c>
      <c r="K4993" s="501">
        <v>0</v>
      </c>
      <c r="L4993" s="501">
        <v>12</v>
      </c>
      <c r="M4993" s="501">
        <v>0</v>
      </c>
      <c r="N4993" s="501">
        <v>0</v>
      </c>
      <c r="O4993" s="506">
        <v>0</v>
      </c>
    </row>
    <row r="4994" spans="1:15" x14ac:dyDescent="0.35">
      <c r="A4994" s="503" t="s">
        <v>1320</v>
      </c>
      <c r="B4994" s="504">
        <v>4720</v>
      </c>
      <c r="C4994" s="504" t="s">
        <v>1089</v>
      </c>
      <c r="D4994" s="504" t="s">
        <v>3392</v>
      </c>
      <c r="E4994" s="504" t="s">
        <v>3381</v>
      </c>
      <c r="F4994" s="504" t="s">
        <v>721</v>
      </c>
      <c r="G4994" s="504" t="s">
        <v>722</v>
      </c>
      <c r="H4994" s="504" t="s">
        <v>11880</v>
      </c>
      <c r="I4994" s="504">
        <v>2</v>
      </c>
      <c r="J4994" s="504">
        <v>2</v>
      </c>
      <c r="K4994" s="504">
        <v>0</v>
      </c>
      <c r="L4994" s="504">
        <v>0</v>
      </c>
      <c r="M4994" s="504">
        <v>0</v>
      </c>
      <c r="N4994" s="504">
        <v>0</v>
      </c>
      <c r="O4994" s="505">
        <v>0</v>
      </c>
    </row>
    <row r="4995" spans="1:15" x14ac:dyDescent="0.35">
      <c r="A4995" s="500" t="s">
        <v>1869</v>
      </c>
      <c r="B4995" s="501" t="s">
        <v>2821</v>
      </c>
      <c r="C4995" s="501" t="s">
        <v>1089</v>
      </c>
      <c r="D4995" s="501" t="s">
        <v>3392</v>
      </c>
      <c r="E4995" s="501" t="s">
        <v>3381</v>
      </c>
      <c r="F4995" s="501" t="s">
        <v>721</v>
      </c>
      <c r="G4995" s="501" t="s">
        <v>722</v>
      </c>
      <c r="H4995" s="501" t="s">
        <v>7407</v>
      </c>
      <c r="I4995" s="501">
        <v>25</v>
      </c>
      <c r="J4995" s="501">
        <v>25</v>
      </c>
      <c r="K4995" s="501">
        <v>0</v>
      </c>
      <c r="L4995" s="501">
        <v>0</v>
      </c>
      <c r="M4995" s="501">
        <v>0</v>
      </c>
      <c r="N4995" s="501">
        <v>0</v>
      </c>
      <c r="O4995" s="506">
        <v>0</v>
      </c>
    </row>
    <row r="4996" spans="1:15" x14ac:dyDescent="0.35">
      <c r="A4996" s="503" t="s">
        <v>1870</v>
      </c>
      <c r="B4996" s="504" t="s">
        <v>2817</v>
      </c>
      <c r="C4996" s="504" t="s">
        <v>1089</v>
      </c>
      <c r="D4996" s="504" t="s">
        <v>3392</v>
      </c>
      <c r="E4996" s="504" t="s">
        <v>3381</v>
      </c>
      <c r="F4996" s="504" t="s">
        <v>721</v>
      </c>
      <c r="G4996" s="504" t="s">
        <v>722</v>
      </c>
      <c r="H4996" s="504" t="s">
        <v>7408</v>
      </c>
      <c r="I4996" s="504">
        <v>36</v>
      </c>
      <c r="J4996" s="504">
        <v>36</v>
      </c>
      <c r="K4996" s="504">
        <v>0</v>
      </c>
      <c r="L4996" s="504">
        <v>0</v>
      </c>
      <c r="M4996" s="504">
        <v>0</v>
      </c>
      <c r="N4996" s="504">
        <v>0</v>
      </c>
      <c r="O4996" s="505">
        <v>0</v>
      </c>
    </row>
    <row r="4997" spans="1:15" x14ac:dyDescent="0.35">
      <c r="A4997" s="500" t="s">
        <v>1217</v>
      </c>
      <c r="B4997" s="501">
        <v>4851</v>
      </c>
      <c r="C4997" s="501" t="s">
        <v>1094</v>
      </c>
      <c r="D4997" s="501" t="s">
        <v>3380</v>
      </c>
      <c r="E4997" s="501" t="s">
        <v>3381</v>
      </c>
      <c r="F4997" s="501" t="s">
        <v>721</v>
      </c>
      <c r="G4997" s="501" t="s">
        <v>722</v>
      </c>
      <c r="H4997" s="501" t="s">
        <v>11897</v>
      </c>
      <c r="I4997" s="501">
        <v>80</v>
      </c>
      <c r="J4997" s="501">
        <v>50</v>
      </c>
      <c r="K4997" s="501">
        <v>0</v>
      </c>
      <c r="L4997" s="501">
        <v>0</v>
      </c>
      <c r="M4997" s="501">
        <v>0</v>
      </c>
      <c r="N4997" s="501">
        <v>0</v>
      </c>
      <c r="O4997" s="506">
        <v>30</v>
      </c>
    </row>
    <row r="4998" spans="1:15" x14ac:dyDescent="0.35">
      <c r="A4998" s="503" t="s">
        <v>1218</v>
      </c>
      <c r="B4998" s="504" t="s">
        <v>3147</v>
      </c>
      <c r="C4998" s="504" t="s">
        <v>1094</v>
      </c>
      <c r="D4998" s="504" t="s">
        <v>3380</v>
      </c>
      <c r="E4998" s="504" t="s">
        <v>3381</v>
      </c>
      <c r="F4998" s="504" t="s">
        <v>721</v>
      </c>
      <c r="G4998" s="504" t="s">
        <v>722</v>
      </c>
      <c r="H4998" s="504" t="s">
        <v>7409</v>
      </c>
      <c r="I4998" s="504">
        <v>145</v>
      </c>
      <c r="J4998" s="504">
        <v>27</v>
      </c>
      <c r="K4998" s="504">
        <v>0</v>
      </c>
      <c r="L4998" s="504">
        <v>0</v>
      </c>
      <c r="M4998" s="504">
        <v>0</v>
      </c>
      <c r="N4998" s="504">
        <v>0</v>
      </c>
      <c r="O4998" s="505">
        <v>118</v>
      </c>
    </row>
    <row r="4999" spans="1:15" x14ac:dyDescent="0.35">
      <c r="A4999" s="500" t="s">
        <v>11367</v>
      </c>
      <c r="B4999" s="501" t="s">
        <v>3143</v>
      </c>
      <c r="C4999" s="501" t="s">
        <v>1094</v>
      </c>
      <c r="D4999" s="501" t="s">
        <v>3380</v>
      </c>
      <c r="E4999" s="501" t="s">
        <v>3381</v>
      </c>
      <c r="F4999" s="501" t="s">
        <v>721</v>
      </c>
      <c r="G4999" s="501" t="s">
        <v>722</v>
      </c>
      <c r="H4999" s="501" t="s">
        <v>11936</v>
      </c>
      <c r="I4999" s="501">
        <v>179</v>
      </c>
      <c r="J4999" s="501">
        <v>179</v>
      </c>
      <c r="K4999" s="501">
        <v>0</v>
      </c>
      <c r="L4999" s="501">
        <v>0</v>
      </c>
      <c r="M4999" s="501">
        <v>0</v>
      </c>
      <c r="N4999" s="501">
        <v>0</v>
      </c>
      <c r="O4999" s="506">
        <v>0</v>
      </c>
    </row>
    <row r="5000" spans="1:15" x14ac:dyDescent="0.35">
      <c r="A5000" s="503" t="s">
        <v>1874</v>
      </c>
      <c r="B5000" s="504" t="s">
        <v>2593</v>
      </c>
      <c r="C5000" s="504" t="s">
        <v>1089</v>
      </c>
      <c r="D5000" s="504" t="s">
        <v>3392</v>
      </c>
      <c r="E5000" s="504" t="s">
        <v>3381</v>
      </c>
      <c r="F5000" s="504" t="s">
        <v>721</v>
      </c>
      <c r="G5000" s="504" t="s">
        <v>722</v>
      </c>
      <c r="H5000" s="504" t="s">
        <v>7410</v>
      </c>
      <c r="I5000" s="504">
        <v>5</v>
      </c>
      <c r="J5000" s="504">
        <v>5</v>
      </c>
      <c r="K5000" s="504">
        <v>0</v>
      </c>
      <c r="L5000" s="504">
        <v>0</v>
      </c>
      <c r="M5000" s="504">
        <v>0</v>
      </c>
      <c r="N5000" s="504">
        <v>0</v>
      </c>
      <c r="O5000" s="505">
        <v>0</v>
      </c>
    </row>
    <row r="5001" spans="1:15" x14ac:dyDescent="0.35">
      <c r="A5001" s="500" t="s">
        <v>1122</v>
      </c>
      <c r="B5001" s="501" t="s">
        <v>2994</v>
      </c>
      <c r="C5001" s="501" t="s">
        <v>1094</v>
      </c>
      <c r="D5001" s="501" t="s">
        <v>3380</v>
      </c>
      <c r="E5001" s="501" t="s">
        <v>3381</v>
      </c>
      <c r="F5001" s="501" t="s">
        <v>721</v>
      </c>
      <c r="G5001" s="501" t="s">
        <v>722</v>
      </c>
      <c r="H5001" s="501" t="s">
        <v>7411</v>
      </c>
      <c r="I5001" s="501">
        <v>105</v>
      </c>
      <c r="J5001" s="501">
        <v>71</v>
      </c>
      <c r="K5001" s="501">
        <v>0</v>
      </c>
      <c r="L5001" s="501">
        <v>0</v>
      </c>
      <c r="M5001" s="501">
        <v>0</v>
      </c>
      <c r="N5001" s="501">
        <v>0</v>
      </c>
      <c r="O5001" s="506">
        <v>34</v>
      </c>
    </row>
    <row r="5002" spans="1:15" x14ac:dyDescent="0.35">
      <c r="A5002" s="503" t="s">
        <v>1225</v>
      </c>
      <c r="B5002" s="504" t="s">
        <v>3315</v>
      </c>
      <c r="C5002" s="504" t="s">
        <v>1094</v>
      </c>
      <c r="D5002" s="504" t="s">
        <v>3380</v>
      </c>
      <c r="E5002" s="504" t="s">
        <v>3381</v>
      </c>
      <c r="F5002" s="504" t="s">
        <v>721</v>
      </c>
      <c r="G5002" s="504" t="s">
        <v>722</v>
      </c>
      <c r="H5002" s="504" t="s">
        <v>7412</v>
      </c>
      <c r="I5002" s="504">
        <v>5</v>
      </c>
      <c r="J5002" s="504">
        <v>0</v>
      </c>
      <c r="K5002" s="504">
        <v>0</v>
      </c>
      <c r="L5002" s="504">
        <v>5</v>
      </c>
      <c r="M5002" s="504">
        <v>0</v>
      </c>
      <c r="N5002" s="504">
        <v>0</v>
      </c>
      <c r="O5002" s="505">
        <v>0</v>
      </c>
    </row>
    <row r="5003" spans="1:15" x14ac:dyDescent="0.35">
      <c r="A5003" s="500" t="s">
        <v>1124</v>
      </c>
      <c r="B5003" s="501">
        <v>4745</v>
      </c>
      <c r="C5003" s="501" t="s">
        <v>1094</v>
      </c>
      <c r="D5003" s="501" t="s">
        <v>3380</v>
      </c>
      <c r="E5003" s="501" t="s">
        <v>3381</v>
      </c>
      <c r="F5003" s="501" t="s">
        <v>721</v>
      </c>
      <c r="G5003" s="501" t="s">
        <v>722</v>
      </c>
      <c r="H5003" s="501" t="s">
        <v>7413</v>
      </c>
      <c r="I5003" s="501">
        <v>9</v>
      </c>
      <c r="J5003" s="501">
        <v>0</v>
      </c>
      <c r="K5003" s="501">
        <v>0</v>
      </c>
      <c r="L5003" s="501">
        <v>9</v>
      </c>
      <c r="M5003" s="501">
        <v>0</v>
      </c>
      <c r="N5003" s="501">
        <v>0</v>
      </c>
      <c r="O5003" s="506">
        <v>0</v>
      </c>
    </row>
    <row r="5004" spans="1:15" x14ac:dyDescent="0.35">
      <c r="A5004" s="503" t="s">
        <v>1233</v>
      </c>
      <c r="B5004" s="504">
        <v>4636</v>
      </c>
      <c r="C5004" s="504" t="s">
        <v>1094</v>
      </c>
      <c r="D5004" s="504" t="s">
        <v>3380</v>
      </c>
      <c r="E5004" s="504" t="s">
        <v>3381</v>
      </c>
      <c r="F5004" s="504" t="s">
        <v>721</v>
      </c>
      <c r="G5004" s="504" t="s">
        <v>722</v>
      </c>
      <c r="H5004" s="504" t="s">
        <v>7414</v>
      </c>
      <c r="I5004" s="504">
        <v>89</v>
      </c>
      <c r="J5004" s="504">
        <v>9</v>
      </c>
      <c r="K5004" s="504">
        <v>0</v>
      </c>
      <c r="L5004" s="504">
        <v>0</v>
      </c>
      <c r="M5004" s="504">
        <v>0</v>
      </c>
      <c r="N5004" s="504">
        <v>0</v>
      </c>
      <c r="O5004" s="505">
        <v>80</v>
      </c>
    </row>
    <row r="5005" spans="1:15" x14ac:dyDescent="0.35">
      <c r="A5005" s="500" t="s">
        <v>11368</v>
      </c>
      <c r="B5005" s="501">
        <v>5083</v>
      </c>
      <c r="C5005" s="501" t="s">
        <v>1094</v>
      </c>
      <c r="D5005" s="501" t="s">
        <v>3380</v>
      </c>
      <c r="E5005" s="501" t="s">
        <v>3381</v>
      </c>
      <c r="F5005" s="501" t="s">
        <v>721</v>
      </c>
      <c r="G5005" s="501" t="s">
        <v>722</v>
      </c>
      <c r="H5005" s="501" t="s">
        <v>12064</v>
      </c>
      <c r="I5005" s="501">
        <v>77</v>
      </c>
      <c r="J5005" s="501">
        <v>77</v>
      </c>
      <c r="K5005" s="501">
        <v>0</v>
      </c>
      <c r="L5005" s="501">
        <v>0</v>
      </c>
      <c r="M5005" s="501">
        <v>0</v>
      </c>
      <c r="N5005" s="501">
        <v>0</v>
      </c>
      <c r="O5005" s="506">
        <v>0</v>
      </c>
    </row>
    <row r="5006" spans="1:15" x14ac:dyDescent="0.35">
      <c r="A5006" s="503" t="s">
        <v>1126</v>
      </c>
      <c r="B5006" s="504" t="s">
        <v>2974</v>
      </c>
      <c r="C5006" s="504" t="s">
        <v>1094</v>
      </c>
      <c r="D5006" s="504" t="s">
        <v>3380</v>
      </c>
      <c r="E5006" s="504" t="s">
        <v>3381</v>
      </c>
      <c r="F5006" s="504" t="s">
        <v>721</v>
      </c>
      <c r="G5006" s="504" t="s">
        <v>722</v>
      </c>
      <c r="H5006" s="504" t="s">
        <v>7415</v>
      </c>
      <c r="I5006" s="504">
        <v>162</v>
      </c>
      <c r="J5006" s="504">
        <v>86</v>
      </c>
      <c r="K5006" s="504">
        <v>0</v>
      </c>
      <c r="L5006" s="504">
        <v>22</v>
      </c>
      <c r="M5006" s="504">
        <v>54</v>
      </c>
      <c r="N5006" s="504">
        <v>41</v>
      </c>
      <c r="O5006" s="505">
        <v>0</v>
      </c>
    </row>
    <row r="5007" spans="1:15" x14ac:dyDescent="0.35">
      <c r="A5007" s="500" t="s">
        <v>1893</v>
      </c>
      <c r="B5007" s="501" t="s">
        <v>2764</v>
      </c>
      <c r="C5007" s="501" t="s">
        <v>1089</v>
      </c>
      <c r="D5007" s="501" t="s">
        <v>3392</v>
      </c>
      <c r="E5007" s="501" t="s">
        <v>3381</v>
      </c>
      <c r="F5007" s="501" t="s">
        <v>721</v>
      </c>
      <c r="G5007" s="501" t="s">
        <v>722</v>
      </c>
      <c r="H5007" s="501" t="s">
        <v>7416</v>
      </c>
      <c r="I5007" s="501">
        <v>77</v>
      </c>
      <c r="J5007" s="501">
        <v>77</v>
      </c>
      <c r="K5007" s="501">
        <v>0</v>
      </c>
      <c r="L5007" s="501">
        <v>0</v>
      </c>
      <c r="M5007" s="501">
        <v>0</v>
      </c>
      <c r="N5007" s="501">
        <v>0</v>
      </c>
      <c r="O5007" s="506">
        <v>0</v>
      </c>
    </row>
    <row r="5008" spans="1:15" x14ac:dyDescent="0.35">
      <c r="A5008" s="503" t="s">
        <v>1921</v>
      </c>
      <c r="B5008" s="504" t="s">
        <v>2620</v>
      </c>
      <c r="C5008" s="504" t="s">
        <v>1089</v>
      </c>
      <c r="D5008" s="504" t="s">
        <v>3392</v>
      </c>
      <c r="E5008" s="504" t="s">
        <v>3381</v>
      </c>
      <c r="F5008" s="504" t="s">
        <v>721</v>
      </c>
      <c r="G5008" s="504" t="s">
        <v>722</v>
      </c>
      <c r="H5008" s="504" t="s">
        <v>7417</v>
      </c>
      <c r="I5008" s="504">
        <v>26</v>
      </c>
      <c r="J5008" s="504">
        <v>26</v>
      </c>
      <c r="K5008" s="504">
        <v>0</v>
      </c>
      <c r="L5008" s="504">
        <v>0</v>
      </c>
      <c r="M5008" s="504">
        <v>0</v>
      </c>
      <c r="N5008" s="504">
        <v>0</v>
      </c>
      <c r="O5008" s="505">
        <v>0</v>
      </c>
    </row>
    <row r="5009" spans="1:15" x14ac:dyDescent="0.35">
      <c r="A5009" s="500" t="s">
        <v>1253</v>
      </c>
      <c r="B5009" s="501" t="s">
        <v>3232</v>
      </c>
      <c r="C5009" s="501" t="s">
        <v>1094</v>
      </c>
      <c r="D5009" s="501" t="s">
        <v>3380</v>
      </c>
      <c r="E5009" s="501" t="s">
        <v>3381</v>
      </c>
      <c r="F5009" s="501" t="s">
        <v>721</v>
      </c>
      <c r="G5009" s="501" t="s">
        <v>722</v>
      </c>
      <c r="H5009" s="501" t="s">
        <v>7418</v>
      </c>
      <c r="I5009" s="501">
        <v>190</v>
      </c>
      <c r="J5009" s="501">
        <v>128</v>
      </c>
      <c r="K5009" s="501">
        <v>0</v>
      </c>
      <c r="L5009" s="501">
        <v>53</v>
      </c>
      <c r="M5009" s="501">
        <v>0</v>
      </c>
      <c r="N5009" s="501">
        <v>0</v>
      </c>
      <c r="O5009" s="506">
        <v>9</v>
      </c>
    </row>
    <row r="5010" spans="1:15" x14ac:dyDescent="0.35">
      <c r="A5010" s="503" t="s">
        <v>1928</v>
      </c>
      <c r="B5010" s="504" t="s">
        <v>3167</v>
      </c>
      <c r="C5010" s="504" t="s">
        <v>1094</v>
      </c>
      <c r="D5010" s="504" t="s">
        <v>3380</v>
      </c>
      <c r="E5010" s="504" t="s">
        <v>3381</v>
      </c>
      <c r="F5010" s="504" t="s">
        <v>721</v>
      </c>
      <c r="G5010" s="504" t="s">
        <v>722</v>
      </c>
      <c r="H5010" s="504" t="s">
        <v>7419</v>
      </c>
      <c r="I5010" s="504">
        <v>476</v>
      </c>
      <c r="J5010" s="504">
        <v>369</v>
      </c>
      <c r="K5010" s="504">
        <v>0</v>
      </c>
      <c r="L5010" s="504">
        <v>9</v>
      </c>
      <c r="M5010" s="504">
        <v>0</v>
      </c>
      <c r="N5010" s="504">
        <v>0</v>
      </c>
      <c r="O5010" s="505">
        <v>98</v>
      </c>
    </row>
    <row r="5011" spans="1:15" x14ac:dyDescent="0.35">
      <c r="A5011" s="500" t="s">
        <v>1260</v>
      </c>
      <c r="B5011" s="501">
        <v>4645</v>
      </c>
      <c r="C5011" s="501" t="s">
        <v>1089</v>
      </c>
      <c r="D5011" s="501" t="s">
        <v>3392</v>
      </c>
      <c r="E5011" s="501" t="s">
        <v>3381</v>
      </c>
      <c r="F5011" s="501" t="s">
        <v>721</v>
      </c>
      <c r="G5011" s="501" t="s">
        <v>722</v>
      </c>
      <c r="H5011" s="501" t="s">
        <v>7420</v>
      </c>
      <c r="I5011" s="501">
        <v>7</v>
      </c>
      <c r="J5011" s="501">
        <v>0</v>
      </c>
      <c r="K5011" s="501">
        <v>0</v>
      </c>
      <c r="L5011" s="501">
        <v>7</v>
      </c>
      <c r="M5011" s="501">
        <v>0</v>
      </c>
      <c r="N5011" s="501">
        <v>0</v>
      </c>
      <c r="O5011" s="506">
        <v>0</v>
      </c>
    </row>
    <row r="5012" spans="1:15" x14ac:dyDescent="0.35">
      <c r="A5012" s="503" t="s">
        <v>1935</v>
      </c>
      <c r="B5012" s="504" t="s">
        <v>3305</v>
      </c>
      <c r="C5012" s="504" t="s">
        <v>1094</v>
      </c>
      <c r="D5012" s="504" t="s">
        <v>3380</v>
      </c>
      <c r="E5012" s="504" t="s">
        <v>3381</v>
      </c>
      <c r="F5012" s="504" t="s">
        <v>721</v>
      </c>
      <c r="G5012" s="504" t="s">
        <v>722</v>
      </c>
      <c r="H5012" s="504" t="s">
        <v>7421</v>
      </c>
      <c r="I5012" s="504">
        <v>455</v>
      </c>
      <c r="J5012" s="504">
        <v>293</v>
      </c>
      <c r="K5012" s="504">
        <v>0</v>
      </c>
      <c r="L5012" s="504">
        <v>11</v>
      </c>
      <c r="M5012" s="504">
        <v>0</v>
      </c>
      <c r="N5012" s="504">
        <v>4</v>
      </c>
      <c r="O5012" s="505">
        <v>151</v>
      </c>
    </row>
    <row r="5013" spans="1:15" x14ac:dyDescent="0.35">
      <c r="A5013" s="500" t="s">
        <v>1937</v>
      </c>
      <c r="B5013" s="501" t="s">
        <v>2830</v>
      </c>
      <c r="C5013" s="501" t="s">
        <v>1089</v>
      </c>
      <c r="D5013" s="501" t="s">
        <v>3392</v>
      </c>
      <c r="E5013" s="501" t="s">
        <v>3381</v>
      </c>
      <c r="F5013" s="501" t="s">
        <v>721</v>
      </c>
      <c r="G5013" s="501" t="s">
        <v>722</v>
      </c>
      <c r="H5013" s="501" t="s">
        <v>7422</v>
      </c>
      <c r="I5013" s="501">
        <v>34</v>
      </c>
      <c r="J5013" s="501">
        <v>34</v>
      </c>
      <c r="K5013" s="501">
        <v>0</v>
      </c>
      <c r="L5013" s="501">
        <v>0</v>
      </c>
      <c r="M5013" s="501">
        <v>0</v>
      </c>
      <c r="N5013" s="501">
        <v>0</v>
      </c>
      <c r="O5013" s="506">
        <v>0</v>
      </c>
    </row>
    <row r="5014" spans="1:15" x14ac:dyDescent="0.35">
      <c r="A5014" s="503" t="s">
        <v>1264</v>
      </c>
      <c r="B5014" s="504">
        <v>4671</v>
      </c>
      <c r="C5014" s="504" t="s">
        <v>1089</v>
      </c>
      <c r="D5014" s="504" t="s">
        <v>3392</v>
      </c>
      <c r="E5014" s="504" t="s">
        <v>3381</v>
      </c>
      <c r="F5014" s="504" t="s">
        <v>721</v>
      </c>
      <c r="G5014" s="504" t="s">
        <v>722</v>
      </c>
      <c r="H5014" s="504" t="s">
        <v>14815</v>
      </c>
      <c r="I5014" s="504">
        <v>33</v>
      </c>
      <c r="J5014" s="504">
        <v>0</v>
      </c>
      <c r="K5014" s="504">
        <v>0</v>
      </c>
      <c r="L5014" s="504">
        <v>33</v>
      </c>
      <c r="M5014" s="504">
        <v>0</v>
      </c>
      <c r="N5014" s="504">
        <v>0</v>
      </c>
      <c r="O5014" s="505">
        <v>0</v>
      </c>
    </row>
    <row r="5015" spans="1:15" x14ac:dyDescent="0.35">
      <c r="A5015" s="500" t="s">
        <v>1283</v>
      </c>
      <c r="B5015" s="501" t="s">
        <v>3177</v>
      </c>
      <c r="C5015" s="501" t="s">
        <v>1094</v>
      </c>
      <c r="D5015" s="501" t="s">
        <v>3380</v>
      </c>
      <c r="E5015" s="501" t="s">
        <v>3381</v>
      </c>
      <c r="F5015" s="501" t="s">
        <v>723</v>
      </c>
      <c r="G5015" s="501" t="s">
        <v>724</v>
      </c>
      <c r="H5015" s="501" t="s">
        <v>7423</v>
      </c>
      <c r="I5015" s="501">
        <v>252</v>
      </c>
      <c r="J5015" s="501">
        <v>199</v>
      </c>
      <c r="K5015" s="501">
        <v>0</v>
      </c>
      <c r="L5015" s="501">
        <v>0</v>
      </c>
      <c r="M5015" s="501">
        <v>0</v>
      </c>
      <c r="N5015" s="501">
        <v>0</v>
      </c>
      <c r="O5015" s="506">
        <v>53</v>
      </c>
    </row>
    <row r="5016" spans="1:15" x14ac:dyDescent="0.35">
      <c r="A5016" s="503" t="s">
        <v>1100</v>
      </c>
      <c r="B5016" s="504">
        <v>4865</v>
      </c>
      <c r="C5016" s="504" t="s">
        <v>1094</v>
      </c>
      <c r="D5016" s="504" t="s">
        <v>3380</v>
      </c>
      <c r="E5016" s="504" t="s">
        <v>3381</v>
      </c>
      <c r="F5016" s="504" t="s">
        <v>723</v>
      </c>
      <c r="G5016" s="504" t="s">
        <v>724</v>
      </c>
      <c r="H5016" s="504" t="s">
        <v>7424</v>
      </c>
      <c r="I5016" s="504">
        <v>86</v>
      </c>
      <c r="J5016" s="504">
        <v>59</v>
      </c>
      <c r="K5016" s="504">
        <v>0</v>
      </c>
      <c r="L5016" s="504">
        <v>2</v>
      </c>
      <c r="M5016" s="504">
        <v>21</v>
      </c>
      <c r="N5016" s="504">
        <v>0</v>
      </c>
      <c r="O5016" s="505">
        <v>4</v>
      </c>
    </row>
    <row r="5017" spans="1:15" x14ac:dyDescent="0.35">
      <c r="A5017" s="500" t="s">
        <v>1293</v>
      </c>
      <c r="B5017" s="501" t="s">
        <v>3212</v>
      </c>
      <c r="C5017" s="501" t="s">
        <v>1094</v>
      </c>
      <c r="D5017" s="501" t="s">
        <v>3380</v>
      </c>
      <c r="E5017" s="501" t="s">
        <v>3381</v>
      </c>
      <c r="F5017" s="501" t="s">
        <v>723</v>
      </c>
      <c r="G5017" s="501" t="s">
        <v>724</v>
      </c>
      <c r="H5017" s="501" t="s">
        <v>11683</v>
      </c>
      <c r="I5017" s="501">
        <v>376</v>
      </c>
      <c r="J5017" s="501">
        <v>316</v>
      </c>
      <c r="K5017" s="501">
        <v>0</v>
      </c>
      <c r="L5017" s="501">
        <v>12</v>
      </c>
      <c r="M5017" s="501">
        <v>42</v>
      </c>
      <c r="N5017" s="501">
        <v>0</v>
      </c>
      <c r="O5017" s="506">
        <v>6</v>
      </c>
    </row>
    <row r="5018" spans="1:15" x14ac:dyDescent="0.35">
      <c r="A5018" s="503" t="s">
        <v>1175</v>
      </c>
      <c r="B5018" s="504" t="s">
        <v>3141</v>
      </c>
      <c r="C5018" s="504" t="s">
        <v>1094</v>
      </c>
      <c r="D5018" s="504" t="s">
        <v>3380</v>
      </c>
      <c r="E5018" s="504" t="s">
        <v>3381</v>
      </c>
      <c r="F5018" s="504" t="s">
        <v>723</v>
      </c>
      <c r="G5018" s="504" t="s">
        <v>724</v>
      </c>
      <c r="H5018" s="504" t="s">
        <v>7425</v>
      </c>
      <c r="I5018" s="504">
        <v>10</v>
      </c>
      <c r="J5018" s="504">
        <v>8</v>
      </c>
      <c r="K5018" s="504">
        <v>0</v>
      </c>
      <c r="L5018" s="504">
        <v>0</v>
      </c>
      <c r="M5018" s="504">
        <v>0</v>
      </c>
      <c r="N5018" s="504">
        <v>0</v>
      </c>
      <c r="O5018" s="505">
        <v>2</v>
      </c>
    </row>
    <row r="5019" spans="1:15" x14ac:dyDescent="0.35">
      <c r="A5019" s="500" t="s">
        <v>1294</v>
      </c>
      <c r="B5019" s="501" t="s">
        <v>3114</v>
      </c>
      <c r="C5019" s="501" t="s">
        <v>1094</v>
      </c>
      <c r="D5019" s="501" t="s">
        <v>3380</v>
      </c>
      <c r="E5019" s="501" t="s">
        <v>3381</v>
      </c>
      <c r="F5019" s="501" t="s">
        <v>723</v>
      </c>
      <c r="G5019" s="501" t="s">
        <v>724</v>
      </c>
      <c r="H5019" s="501" t="s">
        <v>7426</v>
      </c>
      <c r="I5019" s="501">
        <v>281</v>
      </c>
      <c r="J5019" s="501">
        <v>250</v>
      </c>
      <c r="K5019" s="501">
        <v>0</v>
      </c>
      <c r="L5019" s="501">
        <v>0</v>
      </c>
      <c r="M5019" s="501">
        <v>0</v>
      </c>
      <c r="N5019" s="501">
        <v>0</v>
      </c>
      <c r="O5019" s="506">
        <v>31</v>
      </c>
    </row>
    <row r="5020" spans="1:15" x14ac:dyDescent="0.35">
      <c r="A5020" s="503" t="s">
        <v>1187</v>
      </c>
      <c r="B5020" s="504" t="s">
        <v>2951</v>
      </c>
      <c r="C5020" s="504" t="s">
        <v>1094</v>
      </c>
      <c r="D5020" s="504" t="s">
        <v>3380</v>
      </c>
      <c r="E5020" s="504" t="s">
        <v>3381</v>
      </c>
      <c r="F5020" s="504" t="s">
        <v>723</v>
      </c>
      <c r="G5020" s="504" t="s">
        <v>724</v>
      </c>
      <c r="H5020" s="504" t="s">
        <v>7427</v>
      </c>
      <c r="I5020" s="504">
        <v>13</v>
      </c>
      <c r="J5020" s="504">
        <v>10</v>
      </c>
      <c r="K5020" s="504">
        <v>0</v>
      </c>
      <c r="L5020" s="504">
        <v>0</v>
      </c>
      <c r="M5020" s="504">
        <v>0</v>
      </c>
      <c r="N5020" s="504">
        <v>0</v>
      </c>
      <c r="O5020" s="505">
        <v>3</v>
      </c>
    </row>
    <row r="5021" spans="1:15" x14ac:dyDescent="0.35">
      <c r="A5021" s="500" t="s">
        <v>1105</v>
      </c>
      <c r="B5021" s="501">
        <v>4668</v>
      </c>
      <c r="C5021" s="501" t="s">
        <v>1094</v>
      </c>
      <c r="D5021" s="501" t="s">
        <v>3380</v>
      </c>
      <c r="E5021" s="501" t="s">
        <v>3381</v>
      </c>
      <c r="F5021" s="501" t="s">
        <v>723</v>
      </c>
      <c r="G5021" s="501" t="s">
        <v>724</v>
      </c>
      <c r="H5021" s="501" t="s">
        <v>7428</v>
      </c>
      <c r="I5021" s="501">
        <v>21</v>
      </c>
      <c r="J5021" s="501">
        <v>0</v>
      </c>
      <c r="K5021" s="501">
        <v>0</v>
      </c>
      <c r="L5021" s="501">
        <v>0</v>
      </c>
      <c r="M5021" s="501">
        <v>0</v>
      </c>
      <c r="N5021" s="501">
        <v>0</v>
      </c>
      <c r="O5021" s="506">
        <v>21</v>
      </c>
    </row>
    <row r="5022" spans="1:15" x14ac:dyDescent="0.35">
      <c r="A5022" s="503" t="s">
        <v>14243</v>
      </c>
      <c r="B5022" s="504">
        <v>5149</v>
      </c>
      <c r="C5022" s="504" t="s">
        <v>1089</v>
      </c>
      <c r="D5022" s="504" t="s">
        <v>3392</v>
      </c>
      <c r="E5022" s="504" t="s">
        <v>3381</v>
      </c>
      <c r="F5022" s="504" t="s">
        <v>723</v>
      </c>
      <c r="G5022" s="504" t="s">
        <v>724</v>
      </c>
      <c r="H5022" s="504" t="s">
        <v>14816</v>
      </c>
      <c r="I5022" s="504">
        <v>20</v>
      </c>
      <c r="J5022" s="504">
        <v>20</v>
      </c>
      <c r="K5022" s="504">
        <v>0</v>
      </c>
      <c r="L5022" s="504">
        <v>0</v>
      </c>
      <c r="M5022" s="504">
        <v>0</v>
      </c>
      <c r="N5022" s="504">
        <v>0</v>
      </c>
      <c r="O5022" s="505">
        <v>0</v>
      </c>
    </row>
    <row r="5023" spans="1:15" x14ac:dyDescent="0.35">
      <c r="A5023" s="500" t="s">
        <v>1310</v>
      </c>
      <c r="B5023" s="501">
        <v>5062</v>
      </c>
      <c r="C5023" s="501" t="s">
        <v>1089</v>
      </c>
      <c r="D5023" s="501" t="s">
        <v>3380</v>
      </c>
      <c r="E5023" s="501" t="s">
        <v>3381</v>
      </c>
      <c r="F5023" s="501" t="s">
        <v>723</v>
      </c>
      <c r="G5023" s="501" t="s">
        <v>724</v>
      </c>
      <c r="H5023" s="501" t="s">
        <v>11811</v>
      </c>
      <c r="I5023" s="501">
        <v>36</v>
      </c>
      <c r="J5023" s="501">
        <v>0</v>
      </c>
      <c r="K5023" s="501">
        <v>0</v>
      </c>
      <c r="L5023" s="501">
        <v>0</v>
      </c>
      <c r="M5023" s="501">
        <v>0</v>
      </c>
      <c r="N5023" s="501">
        <v>0</v>
      </c>
      <c r="O5023" s="506">
        <v>36</v>
      </c>
    </row>
    <row r="5024" spans="1:15" x14ac:dyDescent="0.35">
      <c r="A5024" s="503" t="s">
        <v>1202</v>
      </c>
      <c r="B5024" s="504" t="s">
        <v>3217</v>
      </c>
      <c r="C5024" s="504" t="s">
        <v>1094</v>
      </c>
      <c r="D5024" s="504" t="s">
        <v>3380</v>
      </c>
      <c r="E5024" s="504" t="s">
        <v>3381</v>
      </c>
      <c r="F5024" s="504" t="s">
        <v>723</v>
      </c>
      <c r="G5024" s="504" t="s">
        <v>724</v>
      </c>
      <c r="H5024" s="504" t="s">
        <v>7429</v>
      </c>
      <c r="I5024" s="504">
        <v>88</v>
      </c>
      <c r="J5024" s="504">
        <v>86</v>
      </c>
      <c r="K5024" s="504">
        <v>0</v>
      </c>
      <c r="L5024" s="504">
        <v>0</v>
      </c>
      <c r="M5024" s="504">
        <v>0</v>
      </c>
      <c r="N5024" s="504">
        <v>0</v>
      </c>
      <c r="O5024" s="505">
        <v>2</v>
      </c>
    </row>
    <row r="5025" spans="1:15" x14ac:dyDescent="0.35">
      <c r="A5025" s="500" t="s">
        <v>1312</v>
      </c>
      <c r="B5025" s="501" t="s">
        <v>3065</v>
      </c>
      <c r="C5025" s="501" t="s">
        <v>1089</v>
      </c>
      <c r="D5025" s="501" t="s">
        <v>3392</v>
      </c>
      <c r="E5025" s="501" t="s">
        <v>3381</v>
      </c>
      <c r="F5025" s="501" t="s">
        <v>723</v>
      </c>
      <c r="G5025" s="501" t="s">
        <v>724</v>
      </c>
      <c r="H5025" s="501" t="s">
        <v>7430</v>
      </c>
      <c r="I5025" s="501">
        <v>57</v>
      </c>
      <c r="J5025" s="501">
        <v>0</v>
      </c>
      <c r="K5025" s="501">
        <v>0</v>
      </c>
      <c r="L5025" s="501">
        <v>0</v>
      </c>
      <c r="M5025" s="501">
        <v>57</v>
      </c>
      <c r="N5025" s="501">
        <v>0</v>
      </c>
      <c r="O5025" s="506">
        <v>0</v>
      </c>
    </row>
    <row r="5026" spans="1:15" x14ac:dyDescent="0.35">
      <c r="A5026" s="503" t="s">
        <v>1112</v>
      </c>
      <c r="B5026" s="504" t="s">
        <v>3008</v>
      </c>
      <c r="C5026" s="504" t="s">
        <v>1094</v>
      </c>
      <c r="D5026" s="504" t="s">
        <v>3380</v>
      </c>
      <c r="E5026" s="504" t="s">
        <v>3381</v>
      </c>
      <c r="F5026" s="504" t="s">
        <v>723</v>
      </c>
      <c r="G5026" s="504" t="s">
        <v>724</v>
      </c>
      <c r="H5026" s="504" t="s">
        <v>7431</v>
      </c>
      <c r="I5026" s="504">
        <v>6</v>
      </c>
      <c r="J5026" s="504">
        <v>0</v>
      </c>
      <c r="K5026" s="504">
        <v>0</v>
      </c>
      <c r="L5026" s="504">
        <v>6</v>
      </c>
      <c r="M5026" s="504">
        <v>0</v>
      </c>
      <c r="N5026" s="504">
        <v>0</v>
      </c>
      <c r="O5026" s="505">
        <v>0</v>
      </c>
    </row>
    <row r="5027" spans="1:15" x14ac:dyDescent="0.35">
      <c r="A5027" s="500" t="s">
        <v>1114</v>
      </c>
      <c r="B5027" s="501" t="s">
        <v>2982</v>
      </c>
      <c r="C5027" s="501" t="s">
        <v>1094</v>
      </c>
      <c r="D5027" s="501" t="s">
        <v>3380</v>
      </c>
      <c r="E5027" s="501" t="s">
        <v>3381</v>
      </c>
      <c r="F5027" s="501" t="s">
        <v>723</v>
      </c>
      <c r="G5027" s="501" t="s">
        <v>724</v>
      </c>
      <c r="H5027" s="501" t="s">
        <v>7432</v>
      </c>
      <c r="I5027" s="501">
        <v>1988</v>
      </c>
      <c r="J5027" s="501">
        <v>1346</v>
      </c>
      <c r="K5027" s="501">
        <v>0</v>
      </c>
      <c r="L5027" s="501">
        <v>4</v>
      </c>
      <c r="M5027" s="501">
        <v>610</v>
      </c>
      <c r="N5027" s="501">
        <v>0</v>
      </c>
      <c r="O5027" s="506">
        <v>28</v>
      </c>
    </row>
    <row r="5028" spans="1:15" x14ac:dyDescent="0.35">
      <c r="A5028" s="503" t="s">
        <v>1210</v>
      </c>
      <c r="B5028" s="504">
        <v>4781</v>
      </c>
      <c r="C5028" s="504" t="s">
        <v>1089</v>
      </c>
      <c r="D5028" s="504" t="s">
        <v>3392</v>
      </c>
      <c r="E5028" s="504" t="s">
        <v>3381</v>
      </c>
      <c r="F5028" s="504" t="s">
        <v>723</v>
      </c>
      <c r="G5028" s="504" t="s">
        <v>724</v>
      </c>
      <c r="H5028" s="504" t="s">
        <v>7433</v>
      </c>
      <c r="I5028" s="504">
        <v>4</v>
      </c>
      <c r="J5028" s="504">
        <v>0</v>
      </c>
      <c r="K5028" s="504">
        <v>0</v>
      </c>
      <c r="L5028" s="504">
        <v>4</v>
      </c>
      <c r="M5028" s="504">
        <v>0</v>
      </c>
      <c r="N5028" s="504">
        <v>0</v>
      </c>
      <c r="O5028" s="505">
        <v>0</v>
      </c>
    </row>
    <row r="5029" spans="1:15" x14ac:dyDescent="0.35">
      <c r="A5029" s="500" t="s">
        <v>1120</v>
      </c>
      <c r="B5029" s="501" t="s">
        <v>3362</v>
      </c>
      <c r="C5029" s="501" t="s">
        <v>1094</v>
      </c>
      <c r="D5029" s="501" t="s">
        <v>3380</v>
      </c>
      <c r="E5029" s="501" t="s">
        <v>3381</v>
      </c>
      <c r="F5029" s="501" t="s">
        <v>723</v>
      </c>
      <c r="G5029" s="501" t="s">
        <v>724</v>
      </c>
      <c r="H5029" s="501" t="s">
        <v>7434</v>
      </c>
      <c r="I5029" s="501">
        <v>1</v>
      </c>
      <c r="J5029" s="501">
        <v>0</v>
      </c>
      <c r="K5029" s="501">
        <v>0</v>
      </c>
      <c r="L5029" s="501">
        <v>0</v>
      </c>
      <c r="M5029" s="501">
        <v>0</v>
      </c>
      <c r="N5029" s="501">
        <v>0</v>
      </c>
      <c r="O5029" s="506">
        <v>1</v>
      </c>
    </row>
    <row r="5030" spans="1:15" x14ac:dyDescent="0.35">
      <c r="A5030" s="503" t="s">
        <v>1332</v>
      </c>
      <c r="B5030" s="504">
        <v>4878</v>
      </c>
      <c r="C5030" s="504" t="s">
        <v>1094</v>
      </c>
      <c r="D5030" s="504" t="s">
        <v>3380</v>
      </c>
      <c r="E5030" s="504" t="s">
        <v>3381</v>
      </c>
      <c r="F5030" s="504" t="s">
        <v>723</v>
      </c>
      <c r="G5030" s="504" t="s">
        <v>724</v>
      </c>
      <c r="H5030" s="504" t="s">
        <v>11978</v>
      </c>
      <c r="I5030" s="504">
        <v>60</v>
      </c>
      <c r="J5030" s="504">
        <v>60</v>
      </c>
      <c r="K5030" s="504">
        <v>0</v>
      </c>
      <c r="L5030" s="504">
        <v>0</v>
      </c>
      <c r="M5030" s="504">
        <v>0</v>
      </c>
      <c r="N5030" s="504">
        <v>0</v>
      </c>
      <c r="O5030" s="505">
        <v>0</v>
      </c>
    </row>
    <row r="5031" spans="1:15" x14ac:dyDescent="0.35">
      <c r="A5031" s="500" t="s">
        <v>1122</v>
      </c>
      <c r="B5031" s="501" t="s">
        <v>2994</v>
      </c>
      <c r="C5031" s="501" t="s">
        <v>1094</v>
      </c>
      <c r="D5031" s="501" t="s">
        <v>3380</v>
      </c>
      <c r="E5031" s="501" t="s">
        <v>3381</v>
      </c>
      <c r="F5031" s="501" t="s">
        <v>723</v>
      </c>
      <c r="G5031" s="501" t="s">
        <v>724</v>
      </c>
      <c r="H5031" s="501" t="s">
        <v>7435</v>
      </c>
      <c r="I5031" s="501">
        <v>40</v>
      </c>
      <c r="J5031" s="501">
        <v>40</v>
      </c>
      <c r="K5031" s="501">
        <v>0</v>
      </c>
      <c r="L5031" s="501">
        <v>0</v>
      </c>
      <c r="M5031" s="501">
        <v>0</v>
      </c>
      <c r="N5031" s="501">
        <v>0</v>
      </c>
      <c r="O5031" s="506">
        <v>0</v>
      </c>
    </row>
    <row r="5032" spans="1:15" x14ac:dyDescent="0.35">
      <c r="A5032" s="503" t="s">
        <v>1124</v>
      </c>
      <c r="B5032" s="504">
        <v>4745</v>
      </c>
      <c r="C5032" s="504" t="s">
        <v>1094</v>
      </c>
      <c r="D5032" s="504" t="s">
        <v>3380</v>
      </c>
      <c r="E5032" s="504" t="s">
        <v>3381</v>
      </c>
      <c r="F5032" s="504" t="s">
        <v>723</v>
      </c>
      <c r="G5032" s="504" t="s">
        <v>724</v>
      </c>
      <c r="H5032" s="504" t="s">
        <v>14817</v>
      </c>
      <c r="I5032" s="504">
        <v>3</v>
      </c>
      <c r="J5032" s="504">
        <v>0</v>
      </c>
      <c r="K5032" s="504">
        <v>0</v>
      </c>
      <c r="L5032" s="504">
        <v>3</v>
      </c>
      <c r="M5032" s="504">
        <v>0</v>
      </c>
      <c r="N5032" s="504">
        <v>0</v>
      </c>
      <c r="O5032" s="505">
        <v>0</v>
      </c>
    </row>
    <row r="5033" spans="1:15" x14ac:dyDescent="0.35">
      <c r="A5033" s="500" t="s">
        <v>1339</v>
      </c>
      <c r="B5033" s="501" t="s">
        <v>3358</v>
      </c>
      <c r="C5033" s="501" t="s">
        <v>1094</v>
      </c>
      <c r="D5033" s="501" t="s">
        <v>3380</v>
      </c>
      <c r="E5033" s="501" t="s">
        <v>3381</v>
      </c>
      <c r="F5033" s="501" t="s">
        <v>723</v>
      </c>
      <c r="G5033" s="501" t="s">
        <v>724</v>
      </c>
      <c r="H5033" s="501" t="s">
        <v>7436</v>
      </c>
      <c r="I5033" s="501">
        <v>1</v>
      </c>
      <c r="J5033" s="501">
        <v>0</v>
      </c>
      <c r="K5033" s="501">
        <v>0</v>
      </c>
      <c r="L5033" s="501">
        <v>0</v>
      </c>
      <c r="M5033" s="501">
        <v>0</v>
      </c>
      <c r="N5033" s="501">
        <v>0</v>
      </c>
      <c r="O5033" s="506">
        <v>1</v>
      </c>
    </row>
    <row r="5034" spans="1:15" x14ac:dyDescent="0.35">
      <c r="A5034" s="503" t="s">
        <v>1233</v>
      </c>
      <c r="B5034" s="504">
        <v>4636</v>
      </c>
      <c r="C5034" s="504" t="s">
        <v>1094</v>
      </c>
      <c r="D5034" s="504" t="s">
        <v>3380</v>
      </c>
      <c r="E5034" s="504" t="s">
        <v>3381</v>
      </c>
      <c r="F5034" s="504" t="s">
        <v>723</v>
      </c>
      <c r="G5034" s="504" t="s">
        <v>724</v>
      </c>
      <c r="H5034" s="504" t="s">
        <v>14818</v>
      </c>
      <c r="I5034" s="504">
        <v>14</v>
      </c>
      <c r="J5034" s="504">
        <v>10</v>
      </c>
      <c r="K5034" s="504">
        <v>0</v>
      </c>
      <c r="L5034" s="504">
        <v>0</v>
      </c>
      <c r="M5034" s="504">
        <v>0</v>
      </c>
      <c r="N5034" s="504">
        <v>0</v>
      </c>
      <c r="O5034" s="505">
        <v>4</v>
      </c>
    </row>
    <row r="5035" spans="1:15" x14ac:dyDescent="0.35">
      <c r="A5035" s="500" t="s">
        <v>1234</v>
      </c>
      <c r="B5035" s="501" t="s">
        <v>3291</v>
      </c>
      <c r="C5035" s="501" t="s">
        <v>1094</v>
      </c>
      <c r="D5035" s="501" t="s">
        <v>3380</v>
      </c>
      <c r="E5035" s="501" t="s">
        <v>3381</v>
      </c>
      <c r="F5035" s="501" t="s">
        <v>723</v>
      </c>
      <c r="G5035" s="501" t="s">
        <v>724</v>
      </c>
      <c r="H5035" s="501" t="s">
        <v>7437</v>
      </c>
      <c r="I5035" s="501">
        <v>83</v>
      </c>
      <c r="J5035" s="501">
        <v>58</v>
      </c>
      <c r="K5035" s="501">
        <v>0</v>
      </c>
      <c r="L5035" s="501">
        <v>0</v>
      </c>
      <c r="M5035" s="501">
        <v>25</v>
      </c>
      <c r="N5035" s="501">
        <v>0</v>
      </c>
      <c r="O5035" s="506">
        <v>0</v>
      </c>
    </row>
    <row r="5036" spans="1:15" x14ac:dyDescent="0.35">
      <c r="A5036" s="503" t="s">
        <v>1126</v>
      </c>
      <c r="B5036" s="504" t="s">
        <v>2974</v>
      </c>
      <c r="C5036" s="504" t="s">
        <v>1094</v>
      </c>
      <c r="D5036" s="504" t="s">
        <v>3380</v>
      </c>
      <c r="E5036" s="504" t="s">
        <v>3381</v>
      </c>
      <c r="F5036" s="504" t="s">
        <v>723</v>
      </c>
      <c r="G5036" s="504" t="s">
        <v>724</v>
      </c>
      <c r="H5036" s="504" t="s">
        <v>7438</v>
      </c>
      <c r="I5036" s="504">
        <v>41</v>
      </c>
      <c r="J5036" s="504">
        <v>1</v>
      </c>
      <c r="K5036" s="504">
        <v>0</v>
      </c>
      <c r="L5036" s="504">
        <v>0</v>
      </c>
      <c r="M5036" s="504">
        <v>40</v>
      </c>
      <c r="N5036" s="504">
        <v>0</v>
      </c>
      <c r="O5036" s="505">
        <v>0</v>
      </c>
    </row>
    <row r="5037" spans="1:15" x14ac:dyDescent="0.35">
      <c r="A5037" s="500" t="s">
        <v>1346</v>
      </c>
      <c r="B5037" s="501" t="s">
        <v>3150</v>
      </c>
      <c r="C5037" s="501" t="s">
        <v>1094</v>
      </c>
      <c r="D5037" s="501" t="s">
        <v>3380</v>
      </c>
      <c r="E5037" s="501" t="s">
        <v>3381</v>
      </c>
      <c r="F5037" s="501" t="s">
        <v>723</v>
      </c>
      <c r="G5037" s="501" t="s">
        <v>724</v>
      </c>
      <c r="H5037" s="501" t="s">
        <v>7439</v>
      </c>
      <c r="I5037" s="501">
        <v>4</v>
      </c>
      <c r="J5037" s="501">
        <v>0</v>
      </c>
      <c r="K5037" s="501">
        <v>0</v>
      </c>
      <c r="L5037" s="501">
        <v>4</v>
      </c>
      <c r="M5037" s="501">
        <v>0</v>
      </c>
      <c r="N5037" s="501">
        <v>0</v>
      </c>
      <c r="O5037" s="506">
        <v>0</v>
      </c>
    </row>
    <row r="5038" spans="1:15" x14ac:dyDescent="0.35">
      <c r="A5038" s="503" t="s">
        <v>1361</v>
      </c>
      <c r="B5038" s="504" t="s">
        <v>2613</v>
      </c>
      <c r="C5038" s="504" t="s">
        <v>1089</v>
      </c>
      <c r="D5038" s="504" t="s">
        <v>3392</v>
      </c>
      <c r="E5038" s="504" t="s">
        <v>3381</v>
      </c>
      <c r="F5038" s="504" t="s">
        <v>723</v>
      </c>
      <c r="G5038" s="504" t="s">
        <v>724</v>
      </c>
      <c r="H5038" s="504" t="s">
        <v>7440</v>
      </c>
      <c r="I5038" s="504">
        <v>16</v>
      </c>
      <c r="J5038" s="504">
        <v>16</v>
      </c>
      <c r="K5038" s="504">
        <v>0</v>
      </c>
      <c r="L5038" s="504">
        <v>0</v>
      </c>
      <c r="M5038" s="504">
        <v>0</v>
      </c>
      <c r="N5038" s="504">
        <v>0</v>
      </c>
      <c r="O5038" s="505">
        <v>0</v>
      </c>
    </row>
    <row r="5039" spans="1:15" x14ac:dyDescent="0.35">
      <c r="A5039" s="500" t="s">
        <v>1093</v>
      </c>
      <c r="B5039" s="501" t="s">
        <v>3248</v>
      </c>
      <c r="C5039" s="501" t="s">
        <v>1094</v>
      </c>
      <c r="D5039" s="501" t="s">
        <v>3380</v>
      </c>
      <c r="E5039" s="501" t="s">
        <v>3381</v>
      </c>
      <c r="F5039" s="501" t="s">
        <v>725</v>
      </c>
      <c r="G5039" s="501" t="s">
        <v>726</v>
      </c>
      <c r="H5039" s="501" t="s">
        <v>7441</v>
      </c>
      <c r="I5039" s="501">
        <v>9</v>
      </c>
      <c r="J5039" s="501">
        <v>0</v>
      </c>
      <c r="K5039" s="501">
        <v>0</v>
      </c>
      <c r="L5039" s="501">
        <v>7</v>
      </c>
      <c r="M5039" s="501">
        <v>0</v>
      </c>
      <c r="N5039" s="501">
        <v>0</v>
      </c>
      <c r="O5039" s="506">
        <v>2</v>
      </c>
    </row>
    <row r="5040" spans="1:15" x14ac:dyDescent="0.35">
      <c r="A5040" s="503" t="s">
        <v>1096</v>
      </c>
      <c r="B5040" s="504" t="s">
        <v>3326</v>
      </c>
      <c r="C5040" s="504" t="s">
        <v>1094</v>
      </c>
      <c r="D5040" s="504" t="s">
        <v>3380</v>
      </c>
      <c r="E5040" s="504" t="s">
        <v>3381</v>
      </c>
      <c r="F5040" s="504" t="s">
        <v>725</v>
      </c>
      <c r="G5040" s="504" t="s">
        <v>726</v>
      </c>
      <c r="H5040" s="504" t="s">
        <v>7442</v>
      </c>
      <c r="I5040" s="504">
        <v>35</v>
      </c>
      <c r="J5040" s="504">
        <v>0</v>
      </c>
      <c r="K5040" s="504">
        <v>0</v>
      </c>
      <c r="L5040" s="504">
        <v>0</v>
      </c>
      <c r="M5040" s="504">
        <v>35</v>
      </c>
      <c r="N5040" s="504">
        <v>0</v>
      </c>
      <c r="O5040" s="505">
        <v>0</v>
      </c>
    </row>
    <row r="5041" spans="1:15" x14ac:dyDescent="0.35">
      <c r="A5041" s="500" t="s">
        <v>1157</v>
      </c>
      <c r="B5041" s="501" t="s">
        <v>3196</v>
      </c>
      <c r="C5041" s="501" t="s">
        <v>1089</v>
      </c>
      <c r="D5041" s="501" t="s">
        <v>3392</v>
      </c>
      <c r="E5041" s="501" t="s">
        <v>3381</v>
      </c>
      <c r="F5041" s="501" t="s">
        <v>725</v>
      </c>
      <c r="G5041" s="501" t="s">
        <v>726</v>
      </c>
      <c r="H5041" s="501" t="s">
        <v>11632</v>
      </c>
      <c r="I5041" s="501">
        <v>11</v>
      </c>
      <c r="J5041" s="501">
        <v>11</v>
      </c>
      <c r="K5041" s="501">
        <v>0</v>
      </c>
      <c r="L5041" s="501">
        <v>0</v>
      </c>
      <c r="M5041" s="501">
        <v>0</v>
      </c>
      <c r="N5041" s="501">
        <v>0</v>
      </c>
      <c r="O5041" s="506">
        <v>0</v>
      </c>
    </row>
    <row r="5042" spans="1:15" x14ac:dyDescent="0.35">
      <c r="A5042" s="503" t="s">
        <v>1158</v>
      </c>
      <c r="B5042" s="504">
        <v>4819</v>
      </c>
      <c r="C5042" s="504" t="s">
        <v>1094</v>
      </c>
      <c r="D5042" s="504" t="s">
        <v>3380</v>
      </c>
      <c r="E5042" s="504" t="s">
        <v>3381</v>
      </c>
      <c r="F5042" s="504" t="s">
        <v>725</v>
      </c>
      <c r="G5042" s="504" t="s">
        <v>726</v>
      </c>
      <c r="H5042" s="504" t="s">
        <v>7443</v>
      </c>
      <c r="I5042" s="504">
        <v>79</v>
      </c>
      <c r="J5042" s="504">
        <v>79</v>
      </c>
      <c r="K5042" s="504">
        <v>0</v>
      </c>
      <c r="L5042" s="504">
        <v>0</v>
      </c>
      <c r="M5042" s="504">
        <v>0</v>
      </c>
      <c r="N5042" s="504">
        <v>0</v>
      </c>
      <c r="O5042" s="505">
        <v>0</v>
      </c>
    </row>
    <row r="5043" spans="1:15" x14ac:dyDescent="0.35">
      <c r="A5043" s="500" t="s">
        <v>1961</v>
      </c>
      <c r="B5043" s="501">
        <v>5075</v>
      </c>
      <c r="C5043" s="501" t="s">
        <v>1094</v>
      </c>
      <c r="D5043" s="501" t="s">
        <v>3380</v>
      </c>
      <c r="E5043" s="501" t="s">
        <v>3381</v>
      </c>
      <c r="F5043" s="501" t="s">
        <v>725</v>
      </c>
      <c r="G5043" s="501" t="s">
        <v>726</v>
      </c>
      <c r="H5043" s="501" t="s">
        <v>7444</v>
      </c>
      <c r="I5043" s="501">
        <v>418</v>
      </c>
      <c r="J5043" s="501">
        <v>331</v>
      </c>
      <c r="K5043" s="501">
        <v>0</v>
      </c>
      <c r="L5043" s="501">
        <v>21</v>
      </c>
      <c r="M5043" s="501">
        <v>0</v>
      </c>
      <c r="N5043" s="501">
        <v>0</v>
      </c>
      <c r="O5043" s="506">
        <v>66</v>
      </c>
    </row>
    <row r="5044" spans="1:15" x14ac:dyDescent="0.35">
      <c r="A5044" s="503" t="s">
        <v>14208</v>
      </c>
      <c r="B5044" s="504">
        <v>4803</v>
      </c>
      <c r="C5044" s="504" t="s">
        <v>1094</v>
      </c>
      <c r="D5044" s="504" t="s">
        <v>3380</v>
      </c>
      <c r="E5044" s="504" t="s">
        <v>3381</v>
      </c>
      <c r="F5044" s="504" t="s">
        <v>725</v>
      </c>
      <c r="G5044" s="504" t="s">
        <v>726</v>
      </c>
      <c r="H5044" s="504" t="s">
        <v>14819</v>
      </c>
      <c r="I5044" s="504">
        <v>5</v>
      </c>
      <c r="J5044" s="504">
        <v>0</v>
      </c>
      <c r="K5044" s="504">
        <v>0</v>
      </c>
      <c r="L5044" s="504">
        <v>5</v>
      </c>
      <c r="M5044" s="504">
        <v>0</v>
      </c>
      <c r="N5044" s="504">
        <v>0</v>
      </c>
      <c r="O5044" s="505">
        <v>0</v>
      </c>
    </row>
    <row r="5045" spans="1:15" x14ac:dyDescent="0.35">
      <c r="A5045" s="500" t="s">
        <v>1105</v>
      </c>
      <c r="B5045" s="501">
        <v>4668</v>
      </c>
      <c r="C5045" s="501" t="s">
        <v>1094</v>
      </c>
      <c r="D5045" s="501" t="s">
        <v>3380</v>
      </c>
      <c r="E5045" s="501" t="s">
        <v>3381</v>
      </c>
      <c r="F5045" s="501" t="s">
        <v>725</v>
      </c>
      <c r="G5045" s="501" t="s">
        <v>726</v>
      </c>
      <c r="H5045" s="501" t="s">
        <v>7445</v>
      </c>
      <c r="I5045" s="501">
        <v>7</v>
      </c>
      <c r="J5045" s="501">
        <v>0</v>
      </c>
      <c r="K5045" s="501">
        <v>0</v>
      </c>
      <c r="L5045" s="501">
        <v>0</v>
      </c>
      <c r="M5045" s="501">
        <v>0</v>
      </c>
      <c r="N5045" s="501">
        <v>0</v>
      </c>
      <c r="O5045" s="506">
        <v>7</v>
      </c>
    </row>
    <row r="5046" spans="1:15" x14ac:dyDescent="0.35">
      <c r="A5046" s="503" t="s">
        <v>1109</v>
      </c>
      <c r="B5046" s="504" t="s">
        <v>2959</v>
      </c>
      <c r="C5046" s="504" t="s">
        <v>1094</v>
      </c>
      <c r="D5046" s="504" t="s">
        <v>3380</v>
      </c>
      <c r="E5046" s="504" t="s">
        <v>3381</v>
      </c>
      <c r="F5046" s="504" t="s">
        <v>725</v>
      </c>
      <c r="G5046" s="504" t="s">
        <v>726</v>
      </c>
      <c r="H5046" s="504" t="s">
        <v>7446</v>
      </c>
      <c r="I5046" s="504">
        <v>32</v>
      </c>
      <c r="J5046" s="504">
        <v>0</v>
      </c>
      <c r="K5046" s="504">
        <v>0</v>
      </c>
      <c r="L5046" s="504">
        <v>0</v>
      </c>
      <c r="M5046" s="504">
        <v>32</v>
      </c>
      <c r="N5046" s="504">
        <v>0</v>
      </c>
      <c r="O5046" s="505">
        <v>0</v>
      </c>
    </row>
    <row r="5047" spans="1:15" x14ac:dyDescent="0.35">
      <c r="A5047" s="500" t="s">
        <v>1310</v>
      </c>
      <c r="B5047" s="501">
        <v>5062</v>
      </c>
      <c r="C5047" s="501" t="s">
        <v>1089</v>
      </c>
      <c r="D5047" s="501" t="s">
        <v>3380</v>
      </c>
      <c r="E5047" s="501" t="s">
        <v>3381</v>
      </c>
      <c r="F5047" s="501" t="s">
        <v>725</v>
      </c>
      <c r="G5047" s="501" t="s">
        <v>726</v>
      </c>
      <c r="H5047" s="501" t="s">
        <v>11812</v>
      </c>
      <c r="I5047" s="501">
        <v>21</v>
      </c>
      <c r="J5047" s="501">
        <v>18</v>
      </c>
      <c r="K5047" s="501">
        <v>0</v>
      </c>
      <c r="L5047" s="501">
        <v>0</v>
      </c>
      <c r="M5047" s="501">
        <v>0</v>
      </c>
      <c r="N5047" s="501">
        <v>0</v>
      </c>
      <c r="O5047" s="506">
        <v>3</v>
      </c>
    </row>
    <row r="5048" spans="1:15" x14ac:dyDescent="0.35">
      <c r="A5048" s="503" t="s">
        <v>2093</v>
      </c>
      <c r="B5048" s="504">
        <v>4789</v>
      </c>
      <c r="C5048" s="504" t="s">
        <v>1094</v>
      </c>
      <c r="D5048" s="504" t="s">
        <v>3392</v>
      </c>
      <c r="E5048" s="504" t="s">
        <v>3381</v>
      </c>
      <c r="F5048" s="504" t="s">
        <v>725</v>
      </c>
      <c r="G5048" s="504" t="s">
        <v>726</v>
      </c>
      <c r="H5048" s="504" t="s">
        <v>7447</v>
      </c>
      <c r="I5048" s="504">
        <v>1</v>
      </c>
      <c r="J5048" s="504">
        <v>1</v>
      </c>
      <c r="K5048" s="504">
        <v>0</v>
      </c>
      <c r="L5048" s="504">
        <v>0</v>
      </c>
      <c r="M5048" s="504">
        <v>0</v>
      </c>
      <c r="N5048" s="504">
        <v>0</v>
      </c>
      <c r="O5048" s="505">
        <v>0</v>
      </c>
    </row>
    <row r="5049" spans="1:15" x14ac:dyDescent="0.35">
      <c r="A5049" s="500" t="s">
        <v>1226</v>
      </c>
      <c r="B5049" s="501">
        <v>5084</v>
      </c>
      <c r="C5049" s="501" t="s">
        <v>1094</v>
      </c>
      <c r="D5049" s="501" t="s">
        <v>3380</v>
      </c>
      <c r="E5049" s="501" t="s">
        <v>3381</v>
      </c>
      <c r="F5049" s="501" t="s">
        <v>725</v>
      </c>
      <c r="G5049" s="501" t="s">
        <v>726</v>
      </c>
      <c r="H5049" s="501" t="s">
        <v>7448</v>
      </c>
      <c r="I5049" s="501">
        <v>4586</v>
      </c>
      <c r="J5049" s="501">
        <v>3676</v>
      </c>
      <c r="K5049" s="501">
        <v>0</v>
      </c>
      <c r="L5049" s="501">
        <v>27</v>
      </c>
      <c r="M5049" s="501">
        <v>513</v>
      </c>
      <c r="N5049" s="501">
        <v>0</v>
      </c>
      <c r="O5049" s="506">
        <v>370</v>
      </c>
    </row>
    <row r="5050" spans="1:15" x14ac:dyDescent="0.35">
      <c r="A5050" s="503" t="s">
        <v>2008</v>
      </c>
      <c r="B5050" s="504" t="s">
        <v>3323</v>
      </c>
      <c r="C5050" s="504" t="s">
        <v>1094</v>
      </c>
      <c r="D5050" s="504" t="s">
        <v>3380</v>
      </c>
      <c r="E5050" s="504" t="s">
        <v>3381</v>
      </c>
      <c r="F5050" s="504" t="s">
        <v>725</v>
      </c>
      <c r="G5050" s="504" t="s">
        <v>726</v>
      </c>
      <c r="H5050" s="504" t="s">
        <v>7449</v>
      </c>
      <c r="I5050" s="504">
        <v>51</v>
      </c>
      <c r="J5050" s="504">
        <v>34</v>
      </c>
      <c r="K5050" s="504">
        <v>0</v>
      </c>
      <c r="L5050" s="504">
        <v>0</v>
      </c>
      <c r="M5050" s="504">
        <v>0</v>
      </c>
      <c r="N5050" s="504">
        <v>0</v>
      </c>
      <c r="O5050" s="505">
        <v>17</v>
      </c>
    </row>
    <row r="5051" spans="1:15" x14ac:dyDescent="0.35">
      <c r="A5051" s="500" t="s">
        <v>1126</v>
      </c>
      <c r="B5051" s="501" t="s">
        <v>2974</v>
      </c>
      <c r="C5051" s="501" t="s">
        <v>1094</v>
      </c>
      <c r="D5051" s="501" t="s">
        <v>3380</v>
      </c>
      <c r="E5051" s="501" t="s">
        <v>3381</v>
      </c>
      <c r="F5051" s="501" t="s">
        <v>725</v>
      </c>
      <c r="G5051" s="501" t="s">
        <v>726</v>
      </c>
      <c r="H5051" s="501" t="s">
        <v>7450</v>
      </c>
      <c r="I5051" s="501">
        <v>145</v>
      </c>
      <c r="J5051" s="501">
        <v>113</v>
      </c>
      <c r="K5051" s="501">
        <v>0</v>
      </c>
      <c r="L5051" s="501">
        <v>13</v>
      </c>
      <c r="M5051" s="501">
        <v>14</v>
      </c>
      <c r="N5051" s="501">
        <v>0</v>
      </c>
      <c r="O5051" s="506">
        <v>5</v>
      </c>
    </row>
    <row r="5052" spans="1:15" x14ac:dyDescent="0.35">
      <c r="A5052" s="503" t="s">
        <v>1240</v>
      </c>
      <c r="B5052" s="504" t="s">
        <v>2972</v>
      </c>
      <c r="C5052" s="504" t="s">
        <v>1094</v>
      </c>
      <c r="D5052" s="504" t="s">
        <v>3380</v>
      </c>
      <c r="E5052" s="504" t="s">
        <v>3381</v>
      </c>
      <c r="F5052" s="504" t="s">
        <v>725</v>
      </c>
      <c r="G5052" s="504" t="s">
        <v>726</v>
      </c>
      <c r="H5052" s="504" t="s">
        <v>7451</v>
      </c>
      <c r="I5052" s="504">
        <v>10</v>
      </c>
      <c r="J5052" s="504">
        <v>10</v>
      </c>
      <c r="K5052" s="504">
        <v>0</v>
      </c>
      <c r="L5052" s="504">
        <v>0</v>
      </c>
      <c r="M5052" s="504">
        <v>0</v>
      </c>
      <c r="N5052" s="504">
        <v>0</v>
      </c>
      <c r="O5052" s="505">
        <v>0</v>
      </c>
    </row>
    <row r="5053" spans="1:15" x14ac:dyDescent="0.35">
      <c r="A5053" s="500" t="s">
        <v>1134</v>
      </c>
      <c r="B5053" s="501" t="s">
        <v>3066</v>
      </c>
      <c r="C5053" s="501" t="s">
        <v>1094</v>
      </c>
      <c r="D5053" s="501" t="s">
        <v>3380</v>
      </c>
      <c r="E5053" s="501" t="s">
        <v>3381</v>
      </c>
      <c r="F5053" s="501" t="s">
        <v>725</v>
      </c>
      <c r="G5053" s="501" t="s">
        <v>726</v>
      </c>
      <c r="H5053" s="501" t="s">
        <v>12163</v>
      </c>
      <c r="I5053" s="501">
        <v>350</v>
      </c>
      <c r="J5053" s="501">
        <v>335</v>
      </c>
      <c r="K5053" s="501">
        <v>0</v>
      </c>
      <c r="L5053" s="501">
        <v>1</v>
      </c>
      <c r="M5053" s="501">
        <v>0</v>
      </c>
      <c r="N5053" s="501">
        <v>0</v>
      </c>
      <c r="O5053" s="506">
        <v>14</v>
      </c>
    </row>
    <row r="5054" spans="1:15" x14ac:dyDescent="0.35">
      <c r="A5054" s="503" t="s">
        <v>2118</v>
      </c>
      <c r="B5054" s="504" t="s">
        <v>3343</v>
      </c>
      <c r="C5054" s="504" t="s">
        <v>1094</v>
      </c>
      <c r="D5054" s="504" t="s">
        <v>3380</v>
      </c>
      <c r="E5054" s="504" t="s">
        <v>3381</v>
      </c>
      <c r="F5054" s="504" t="s">
        <v>725</v>
      </c>
      <c r="G5054" s="504" t="s">
        <v>726</v>
      </c>
      <c r="H5054" s="504" t="s">
        <v>7452</v>
      </c>
      <c r="I5054" s="504">
        <v>28</v>
      </c>
      <c r="J5054" s="504">
        <v>28</v>
      </c>
      <c r="K5054" s="504">
        <v>0</v>
      </c>
      <c r="L5054" s="504">
        <v>0</v>
      </c>
      <c r="M5054" s="504">
        <v>0</v>
      </c>
      <c r="N5054" s="504">
        <v>0</v>
      </c>
      <c r="O5054" s="505">
        <v>0</v>
      </c>
    </row>
    <row r="5055" spans="1:15" x14ac:dyDescent="0.35">
      <c r="A5055" s="500" t="s">
        <v>2127</v>
      </c>
      <c r="B5055" s="501" t="s">
        <v>3188</v>
      </c>
      <c r="C5055" s="501" t="s">
        <v>1094</v>
      </c>
      <c r="D5055" s="501" t="s">
        <v>3380</v>
      </c>
      <c r="E5055" s="501" t="s">
        <v>3381</v>
      </c>
      <c r="F5055" s="501" t="s">
        <v>725</v>
      </c>
      <c r="G5055" s="501" t="s">
        <v>726</v>
      </c>
      <c r="H5055" s="501" t="s">
        <v>7453</v>
      </c>
      <c r="I5055" s="501">
        <v>14</v>
      </c>
      <c r="J5055" s="501">
        <v>10</v>
      </c>
      <c r="K5055" s="501">
        <v>0</v>
      </c>
      <c r="L5055" s="501">
        <v>0</v>
      </c>
      <c r="M5055" s="501">
        <v>0</v>
      </c>
      <c r="N5055" s="501">
        <v>0</v>
      </c>
      <c r="O5055" s="506">
        <v>4</v>
      </c>
    </row>
    <row r="5056" spans="1:15" x14ac:dyDescent="0.35">
      <c r="A5056" s="503" t="s">
        <v>1193</v>
      </c>
      <c r="B5056" s="504" t="s">
        <v>3039</v>
      </c>
      <c r="C5056" s="504" t="s">
        <v>1094</v>
      </c>
      <c r="D5056" s="504" t="s">
        <v>3380</v>
      </c>
      <c r="E5056" s="504" t="s">
        <v>3381</v>
      </c>
      <c r="F5056" s="504" t="s">
        <v>727</v>
      </c>
      <c r="G5056" s="504" t="s">
        <v>728</v>
      </c>
      <c r="H5056" s="504" t="s">
        <v>7475</v>
      </c>
      <c r="I5056" s="504">
        <v>625</v>
      </c>
      <c r="J5056" s="504">
        <v>53</v>
      </c>
      <c r="K5056" s="504">
        <v>0</v>
      </c>
      <c r="L5056" s="504">
        <v>0</v>
      </c>
      <c r="M5056" s="504">
        <v>485</v>
      </c>
      <c r="N5056" s="504">
        <v>0</v>
      </c>
      <c r="O5056" s="505">
        <v>87</v>
      </c>
    </row>
    <row r="5057" spans="1:15" x14ac:dyDescent="0.35">
      <c r="A5057" s="500" t="s">
        <v>1391</v>
      </c>
      <c r="B5057" s="501" t="s">
        <v>3297</v>
      </c>
      <c r="C5057" s="501" t="s">
        <v>1089</v>
      </c>
      <c r="D5057" s="501" t="s">
        <v>3392</v>
      </c>
      <c r="E5057" s="501" t="s">
        <v>3381</v>
      </c>
      <c r="F5057" s="501" t="s">
        <v>727</v>
      </c>
      <c r="G5057" s="501" t="s">
        <v>728</v>
      </c>
      <c r="H5057" s="501" t="s">
        <v>7454</v>
      </c>
      <c r="I5057" s="501">
        <v>2</v>
      </c>
      <c r="J5057" s="501">
        <v>2</v>
      </c>
      <c r="K5057" s="501">
        <v>0</v>
      </c>
      <c r="L5057" s="501">
        <v>0</v>
      </c>
      <c r="M5057" s="501">
        <v>0</v>
      </c>
      <c r="N5057" s="501">
        <v>0</v>
      </c>
      <c r="O5057" s="506">
        <v>0</v>
      </c>
    </row>
    <row r="5058" spans="1:15" x14ac:dyDescent="0.35">
      <c r="A5058" s="503" t="s">
        <v>1096</v>
      </c>
      <c r="B5058" s="504" t="s">
        <v>3326</v>
      </c>
      <c r="C5058" s="504" t="s">
        <v>1094</v>
      </c>
      <c r="D5058" s="504" t="s">
        <v>3380</v>
      </c>
      <c r="E5058" s="504" t="s">
        <v>3381</v>
      </c>
      <c r="F5058" s="504" t="s">
        <v>727</v>
      </c>
      <c r="G5058" s="504" t="s">
        <v>728</v>
      </c>
      <c r="H5058" s="504" t="s">
        <v>7455</v>
      </c>
      <c r="I5058" s="504">
        <v>474</v>
      </c>
      <c r="J5058" s="504">
        <v>0</v>
      </c>
      <c r="K5058" s="504">
        <v>0</v>
      </c>
      <c r="L5058" s="504">
        <v>0</v>
      </c>
      <c r="M5058" s="504">
        <v>445</v>
      </c>
      <c r="N5058" s="504">
        <v>0</v>
      </c>
      <c r="O5058" s="505">
        <v>29</v>
      </c>
    </row>
    <row r="5059" spans="1:15" x14ac:dyDescent="0.35">
      <c r="A5059" s="500" t="s">
        <v>1670</v>
      </c>
      <c r="B5059" s="501" t="s">
        <v>3125</v>
      </c>
      <c r="C5059" s="501" t="s">
        <v>1094</v>
      </c>
      <c r="D5059" s="501" t="s">
        <v>3380</v>
      </c>
      <c r="E5059" s="501" t="s">
        <v>3381</v>
      </c>
      <c r="F5059" s="501" t="s">
        <v>727</v>
      </c>
      <c r="G5059" s="501" t="s">
        <v>728</v>
      </c>
      <c r="H5059" s="501" t="s">
        <v>7456</v>
      </c>
      <c r="I5059" s="501">
        <v>1009</v>
      </c>
      <c r="J5059" s="501">
        <v>860</v>
      </c>
      <c r="K5059" s="501">
        <v>0</v>
      </c>
      <c r="L5059" s="501">
        <v>0</v>
      </c>
      <c r="M5059" s="501">
        <v>147</v>
      </c>
      <c r="N5059" s="501">
        <v>0</v>
      </c>
      <c r="O5059" s="506">
        <v>2</v>
      </c>
    </row>
    <row r="5060" spans="1:15" x14ac:dyDescent="0.35">
      <c r="A5060" s="503" t="s">
        <v>1150</v>
      </c>
      <c r="B5060" s="504" t="s">
        <v>2975</v>
      </c>
      <c r="C5060" s="504" t="s">
        <v>1094</v>
      </c>
      <c r="D5060" s="504" t="s">
        <v>3380</v>
      </c>
      <c r="E5060" s="504" t="s">
        <v>3381</v>
      </c>
      <c r="F5060" s="504" t="s">
        <v>727</v>
      </c>
      <c r="G5060" s="504" t="s">
        <v>728</v>
      </c>
      <c r="H5060" s="504" t="s">
        <v>7457</v>
      </c>
      <c r="I5060" s="504">
        <v>507</v>
      </c>
      <c r="J5060" s="504">
        <v>496</v>
      </c>
      <c r="K5060" s="504">
        <v>0</v>
      </c>
      <c r="L5060" s="504">
        <v>0</v>
      </c>
      <c r="M5060" s="504">
        <v>0</v>
      </c>
      <c r="N5060" s="504">
        <v>0</v>
      </c>
      <c r="O5060" s="505">
        <v>11</v>
      </c>
    </row>
    <row r="5061" spans="1:15" x14ac:dyDescent="0.35">
      <c r="A5061" s="500" t="s">
        <v>1151</v>
      </c>
      <c r="B5061" s="501">
        <v>4726</v>
      </c>
      <c r="C5061" s="501" t="s">
        <v>1089</v>
      </c>
      <c r="D5061" s="501" t="s">
        <v>3392</v>
      </c>
      <c r="E5061" s="501" t="s">
        <v>3381</v>
      </c>
      <c r="F5061" s="501" t="s">
        <v>727</v>
      </c>
      <c r="G5061" s="501" t="s">
        <v>728</v>
      </c>
      <c r="H5061" s="501" t="s">
        <v>7458</v>
      </c>
      <c r="I5061" s="501">
        <v>2</v>
      </c>
      <c r="J5061" s="501">
        <v>2</v>
      </c>
      <c r="K5061" s="501">
        <v>0</v>
      </c>
      <c r="L5061" s="501">
        <v>0</v>
      </c>
      <c r="M5061" s="501">
        <v>0</v>
      </c>
      <c r="N5061" s="501">
        <v>0</v>
      </c>
      <c r="O5061" s="506">
        <v>0</v>
      </c>
    </row>
    <row r="5062" spans="1:15" x14ac:dyDescent="0.35">
      <c r="A5062" s="503" t="s">
        <v>1680</v>
      </c>
      <c r="B5062" s="504" t="s">
        <v>3168</v>
      </c>
      <c r="C5062" s="504" t="s">
        <v>1094</v>
      </c>
      <c r="D5062" s="504" t="s">
        <v>3380</v>
      </c>
      <c r="E5062" s="504" t="s">
        <v>3381</v>
      </c>
      <c r="F5062" s="504" t="s">
        <v>727</v>
      </c>
      <c r="G5062" s="504" t="s">
        <v>728</v>
      </c>
      <c r="H5062" s="504" t="s">
        <v>7459</v>
      </c>
      <c r="I5062" s="504">
        <v>19</v>
      </c>
      <c r="J5062" s="504">
        <v>0</v>
      </c>
      <c r="K5062" s="504">
        <v>0</v>
      </c>
      <c r="L5062" s="504">
        <v>19</v>
      </c>
      <c r="M5062" s="504">
        <v>0</v>
      </c>
      <c r="N5062" s="504">
        <v>0</v>
      </c>
      <c r="O5062" s="505">
        <v>0</v>
      </c>
    </row>
    <row r="5063" spans="1:15" x14ac:dyDescent="0.35">
      <c r="A5063" s="500" t="s">
        <v>1160</v>
      </c>
      <c r="B5063" s="501">
        <v>4672</v>
      </c>
      <c r="C5063" s="501" t="s">
        <v>1089</v>
      </c>
      <c r="D5063" s="501" t="s">
        <v>3392</v>
      </c>
      <c r="E5063" s="501" t="s">
        <v>3381</v>
      </c>
      <c r="F5063" s="501" t="s">
        <v>727</v>
      </c>
      <c r="G5063" s="501" t="s">
        <v>728</v>
      </c>
      <c r="H5063" s="501" t="s">
        <v>7460</v>
      </c>
      <c r="I5063" s="501">
        <v>1</v>
      </c>
      <c r="J5063" s="501">
        <v>0</v>
      </c>
      <c r="K5063" s="501">
        <v>0</v>
      </c>
      <c r="L5063" s="501">
        <v>1</v>
      </c>
      <c r="M5063" s="501">
        <v>0</v>
      </c>
      <c r="N5063" s="501">
        <v>0</v>
      </c>
      <c r="O5063" s="506">
        <v>0</v>
      </c>
    </row>
    <row r="5064" spans="1:15" x14ac:dyDescent="0.35">
      <c r="A5064" s="503" t="s">
        <v>1411</v>
      </c>
      <c r="B5064" s="504" t="s">
        <v>2873</v>
      </c>
      <c r="C5064" s="504" t="s">
        <v>1089</v>
      </c>
      <c r="D5064" s="504" t="s">
        <v>3392</v>
      </c>
      <c r="E5064" s="504" t="s">
        <v>3381</v>
      </c>
      <c r="F5064" s="504" t="s">
        <v>727</v>
      </c>
      <c r="G5064" s="504" t="s">
        <v>728</v>
      </c>
      <c r="H5064" s="504" t="s">
        <v>7461</v>
      </c>
      <c r="I5064" s="504">
        <v>32</v>
      </c>
      <c r="J5064" s="504">
        <v>4</v>
      </c>
      <c r="K5064" s="504">
        <v>28</v>
      </c>
      <c r="L5064" s="504">
        <v>0</v>
      </c>
      <c r="M5064" s="504">
        <v>0</v>
      </c>
      <c r="N5064" s="504">
        <v>0</v>
      </c>
      <c r="O5064" s="505">
        <v>0</v>
      </c>
    </row>
    <row r="5065" spans="1:15" x14ac:dyDescent="0.35">
      <c r="A5065" s="500" t="s">
        <v>1100</v>
      </c>
      <c r="B5065" s="501">
        <v>4865</v>
      </c>
      <c r="C5065" s="501" t="s">
        <v>1094</v>
      </c>
      <c r="D5065" s="501" t="s">
        <v>3380</v>
      </c>
      <c r="E5065" s="501" t="s">
        <v>3381</v>
      </c>
      <c r="F5065" s="501" t="s">
        <v>727</v>
      </c>
      <c r="G5065" s="501" t="s">
        <v>728</v>
      </c>
      <c r="H5065" s="501" t="s">
        <v>7462</v>
      </c>
      <c r="I5065" s="501">
        <v>432</v>
      </c>
      <c r="J5065" s="501">
        <v>399</v>
      </c>
      <c r="K5065" s="501">
        <v>0</v>
      </c>
      <c r="L5065" s="501">
        <v>0</v>
      </c>
      <c r="M5065" s="501">
        <v>33</v>
      </c>
      <c r="N5065" s="501">
        <v>0</v>
      </c>
      <c r="O5065" s="506">
        <v>0</v>
      </c>
    </row>
    <row r="5066" spans="1:15" x14ac:dyDescent="0.35">
      <c r="A5066" s="503" t="s">
        <v>1690</v>
      </c>
      <c r="B5066" s="504" t="s">
        <v>2675</v>
      </c>
      <c r="C5066" s="504" t="s">
        <v>1089</v>
      </c>
      <c r="D5066" s="504" t="s">
        <v>3392</v>
      </c>
      <c r="E5066" s="504" t="s">
        <v>3381</v>
      </c>
      <c r="F5066" s="504" t="s">
        <v>727</v>
      </c>
      <c r="G5066" s="504" t="s">
        <v>728</v>
      </c>
      <c r="H5066" s="504" t="s">
        <v>7463</v>
      </c>
      <c r="I5066" s="504">
        <v>16</v>
      </c>
      <c r="J5066" s="504">
        <v>1</v>
      </c>
      <c r="K5066" s="504">
        <v>15</v>
      </c>
      <c r="L5066" s="504">
        <v>0</v>
      </c>
      <c r="M5066" s="504">
        <v>0</v>
      </c>
      <c r="N5066" s="504">
        <v>0</v>
      </c>
      <c r="O5066" s="505">
        <v>0</v>
      </c>
    </row>
    <row r="5067" spans="1:15" x14ac:dyDescent="0.35">
      <c r="A5067" s="500" t="s">
        <v>1167</v>
      </c>
      <c r="B5067" s="501">
        <v>4689</v>
      </c>
      <c r="C5067" s="501" t="s">
        <v>1089</v>
      </c>
      <c r="D5067" s="501" t="s">
        <v>3392</v>
      </c>
      <c r="E5067" s="501" t="s">
        <v>3381</v>
      </c>
      <c r="F5067" s="501" t="s">
        <v>727</v>
      </c>
      <c r="G5067" s="501" t="s">
        <v>728</v>
      </c>
      <c r="H5067" s="501" t="s">
        <v>7464</v>
      </c>
      <c r="I5067" s="501">
        <v>92</v>
      </c>
      <c r="J5067" s="501">
        <v>0</v>
      </c>
      <c r="K5067" s="501">
        <v>0</v>
      </c>
      <c r="L5067" s="501">
        <v>92</v>
      </c>
      <c r="M5067" s="501">
        <v>0</v>
      </c>
      <c r="N5067" s="501">
        <v>0</v>
      </c>
      <c r="O5067" s="506">
        <v>0</v>
      </c>
    </row>
    <row r="5068" spans="1:15" x14ac:dyDescent="0.35">
      <c r="A5068" s="503" t="s">
        <v>1624</v>
      </c>
      <c r="B5068" s="504">
        <v>4792</v>
      </c>
      <c r="C5068" s="504" t="s">
        <v>1089</v>
      </c>
      <c r="D5068" s="504" t="s">
        <v>3392</v>
      </c>
      <c r="E5068" s="504" t="s">
        <v>3381</v>
      </c>
      <c r="F5068" s="504" t="s">
        <v>727</v>
      </c>
      <c r="G5068" s="504" t="s">
        <v>728</v>
      </c>
      <c r="H5068" s="504" t="s">
        <v>7465</v>
      </c>
      <c r="I5068" s="504">
        <v>11</v>
      </c>
      <c r="J5068" s="504">
        <v>0</v>
      </c>
      <c r="K5068" s="504">
        <v>0</v>
      </c>
      <c r="L5068" s="504">
        <v>11</v>
      </c>
      <c r="M5068" s="504">
        <v>0</v>
      </c>
      <c r="N5068" s="504">
        <v>0</v>
      </c>
      <c r="O5068" s="505">
        <v>0</v>
      </c>
    </row>
    <row r="5069" spans="1:15" x14ac:dyDescent="0.35">
      <c r="A5069" s="500" t="s">
        <v>14208</v>
      </c>
      <c r="B5069" s="501">
        <v>4803</v>
      </c>
      <c r="C5069" s="501" t="s">
        <v>1094</v>
      </c>
      <c r="D5069" s="501" t="s">
        <v>3380</v>
      </c>
      <c r="E5069" s="501" t="s">
        <v>3381</v>
      </c>
      <c r="F5069" s="501" t="s">
        <v>727</v>
      </c>
      <c r="G5069" s="501" t="s">
        <v>728</v>
      </c>
      <c r="H5069" s="501" t="s">
        <v>14820</v>
      </c>
      <c r="I5069" s="501">
        <v>3</v>
      </c>
      <c r="J5069" s="501">
        <v>0</v>
      </c>
      <c r="K5069" s="501">
        <v>0</v>
      </c>
      <c r="L5069" s="501">
        <v>3</v>
      </c>
      <c r="M5069" s="501">
        <v>0</v>
      </c>
      <c r="N5069" s="501">
        <v>0</v>
      </c>
      <c r="O5069" s="506">
        <v>0</v>
      </c>
    </row>
    <row r="5070" spans="1:15" x14ac:dyDescent="0.35">
      <c r="A5070" s="503" t="s">
        <v>1183</v>
      </c>
      <c r="B5070" s="504" t="s">
        <v>3038</v>
      </c>
      <c r="C5070" s="504" t="s">
        <v>1094</v>
      </c>
      <c r="D5070" s="504" t="s">
        <v>3380</v>
      </c>
      <c r="E5070" s="504" t="s">
        <v>3381</v>
      </c>
      <c r="F5070" s="504" t="s">
        <v>727</v>
      </c>
      <c r="G5070" s="504" t="s">
        <v>728</v>
      </c>
      <c r="H5070" s="504" t="s">
        <v>7466</v>
      </c>
      <c r="I5070" s="504">
        <v>2668</v>
      </c>
      <c r="J5070" s="504">
        <v>2124</v>
      </c>
      <c r="K5070" s="504">
        <v>0</v>
      </c>
      <c r="L5070" s="504">
        <v>326</v>
      </c>
      <c r="M5070" s="504">
        <v>36</v>
      </c>
      <c r="N5070" s="504">
        <v>0</v>
      </c>
      <c r="O5070" s="505">
        <v>182</v>
      </c>
    </row>
    <row r="5071" spans="1:15" x14ac:dyDescent="0.35">
      <c r="A5071" s="500" t="s">
        <v>1185</v>
      </c>
      <c r="B5071" s="501" t="s">
        <v>3253</v>
      </c>
      <c r="C5071" s="501" t="s">
        <v>1094</v>
      </c>
      <c r="D5071" s="501" t="s">
        <v>3380</v>
      </c>
      <c r="E5071" s="501" t="s">
        <v>3381</v>
      </c>
      <c r="F5071" s="501" t="s">
        <v>727</v>
      </c>
      <c r="G5071" s="501" t="s">
        <v>728</v>
      </c>
      <c r="H5071" s="501" t="s">
        <v>7467</v>
      </c>
      <c r="I5071" s="501">
        <v>2</v>
      </c>
      <c r="J5071" s="501">
        <v>0</v>
      </c>
      <c r="K5071" s="501">
        <v>0</v>
      </c>
      <c r="L5071" s="501">
        <v>2</v>
      </c>
      <c r="M5071" s="501">
        <v>0</v>
      </c>
      <c r="N5071" s="501">
        <v>0</v>
      </c>
      <c r="O5071" s="506">
        <v>0</v>
      </c>
    </row>
    <row r="5072" spans="1:15" x14ac:dyDescent="0.35">
      <c r="A5072" s="503" t="s">
        <v>1186</v>
      </c>
      <c r="B5072" s="504">
        <v>4661</v>
      </c>
      <c r="C5072" s="504" t="s">
        <v>1089</v>
      </c>
      <c r="D5072" s="504" t="s">
        <v>3392</v>
      </c>
      <c r="E5072" s="504" t="s">
        <v>3381</v>
      </c>
      <c r="F5072" s="504" t="s">
        <v>727</v>
      </c>
      <c r="G5072" s="504" t="s">
        <v>728</v>
      </c>
      <c r="H5072" s="504" t="s">
        <v>7468</v>
      </c>
      <c r="I5072" s="504">
        <v>15</v>
      </c>
      <c r="J5072" s="504">
        <v>0</v>
      </c>
      <c r="K5072" s="504">
        <v>0</v>
      </c>
      <c r="L5072" s="504">
        <v>15</v>
      </c>
      <c r="M5072" s="504">
        <v>0</v>
      </c>
      <c r="N5072" s="504">
        <v>0</v>
      </c>
      <c r="O5072" s="505">
        <v>0</v>
      </c>
    </row>
    <row r="5073" spans="1:15" x14ac:dyDescent="0.35">
      <c r="A5073" s="500" t="s">
        <v>1105</v>
      </c>
      <c r="B5073" s="501">
        <v>4668</v>
      </c>
      <c r="C5073" s="501" t="s">
        <v>1094</v>
      </c>
      <c r="D5073" s="501" t="s">
        <v>3380</v>
      </c>
      <c r="E5073" s="501" t="s">
        <v>3381</v>
      </c>
      <c r="F5073" s="501" t="s">
        <v>727</v>
      </c>
      <c r="G5073" s="501" t="s">
        <v>728</v>
      </c>
      <c r="H5073" s="501" t="s">
        <v>7469</v>
      </c>
      <c r="I5073" s="501">
        <v>7</v>
      </c>
      <c r="J5073" s="501">
        <v>0</v>
      </c>
      <c r="K5073" s="501">
        <v>0</v>
      </c>
      <c r="L5073" s="501">
        <v>0</v>
      </c>
      <c r="M5073" s="501">
        <v>0</v>
      </c>
      <c r="N5073" s="501">
        <v>0</v>
      </c>
      <c r="O5073" s="506">
        <v>7</v>
      </c>
    </row>
    <row r="5074" spans="1:15" x14ac:dyDescent="0.35">
      <c r="A5074" s="503" t="s">
        <v>1188</v>
      </c>
      <c r="B5074" s="504">
        <v>4760</v>
      </c>
      <c r="C5074" s="504" t="s">
        <v>1089</v>
      </c>
      <c r="D5074" s="504" t="s">
        <v>3392</v>
      </c>
      <c r="E5074" s="504" t="s">
        <v>3381</v>
      </c>
      <c r="F5074" s="504" t="s">
        <v>727</v>
      </c>
      <c r="G5074" s="504" t="s">
        <v>728</v>
      </c>
      <c r="H5074" s="504" t="s">
        <v>7470</v>
      </c>
      <c r="I5074" s="504">
        <v>18</v>
      </c>
      <c r="J5074" s="504">
        <v>0</v>
      </c>
      <c r="K5074" s="504">
        <v>0</v>
      </c>
      <c r="L5074" s="504">
        <v>18</v>
      </c>
      <c r="M5074" s="504">
        <v>0</v>
      </c>
      <c r="N5074" s="504">
        <v>0</v>
      </c>
      <c r="O5074" s="505">
        <v>0</v>
      </c>
    </row>
    <row r="5075" spans="1:15" x14ac:dyDescent="0.35">
      <c r="A5075" s="500" t="s">
        <v>1107</v>
      </c>
      <c r="B5075" s="501" t="s">
        <v>3109</v>
      </c>
      <c r="C5075" s="501" t="s">
        <v>1094</v>
      </c>
      <c r="D5075" s="501" t="s">
        <v>3380</v>
      </c>
      <c r="E5075" s="501" t="s">
        <v>3381</v>
      </c>
      <c r="F5075" s="501" t="s">
        <v>727</v>
      </c>
      <c r="G5075" s="501" t="s">
        <v>728</v>
      </c>
      <c r="H5075" s="501" t="s">
        <v>7471</v>
      </c>
      <c r="I5075" s="501">
        <v>18</v>
      </c>
      <c r="J5075" s="501">
        <v>0</v>
      </c>
      <c r="K5075" s="501">
        <v>0</v>
      </c>
      <c r="L5075" s="501">
        <v>18</v>
      </c>
      <c r="M5075" s="501">
        <v>0</v>
      </c>
      <c r="N5075" s="501">
        <v>0</v>
      </c>
      <c r="O5075" s="506">
        <v>0</v>
      </c>
    </row>
    <row r="5076" spans="1:15" x14ac:dyDescent="0.35">
      <c r="A5076" s="503" t="s">
        <v>1713</v>
      </c>
      <c r="B5076" s="504" t="s">
        <v>2809</v>
      </c>
      <c r="C5076" s="504" t="s">
        <v>1089</v>
      </c>
      <c r="D5076" s="504" t="s">
        <v>3392</v>
      </c>
      <c r="E5076" s="504" t="s">
        <v>3381</v>
      </c>
      <c r="F5076" s="504" t="s">
        <v>727</v>
      </c>
      <c r="G5076" s="504" t="s">
        <v>728</v>
      </c>
      <c r="H5076" s="504" t="s">
        <v>7472</v>
      </c>
      <c r="I5076" s="504">
        <v>75</v>
      </c>
      <c r="J5076" s="504">
        <v>75</v>
      </c>
      <c r="K5076" s="504">
        <v>0</v>
      </c>
      <c r="L5076" s="504">
        <v>0</v>
      </c>
      <c r="M5076" s="504">
        <v>0</v>
      </c>
      <c r="N5076" s="504">
        <v>0</v>
      </c>
      <c r="O5076" s="505">
        <v>0</v>
      </c>
    </row>
    <row r="5077" spans="1:15" x14ac:dyDescent="0.35">
      <c r="A5077" s="500" t="s">
        <v>1109</v>
      </c>
      <c r="B5077" s="501" t="s">
        <v>2959</v>
      </c>
      <c r="C5077" s="501" t="s">
        <v>1094</v>
      </c>
      <c r="D5077" s="501" t="s">
        <v>3380</v>
      </c>
      <c r="E5077" s="501" t="s">
        <v>3381</v>
      </c>
      <c r="F5077" s="501" t="s">
        <v>727</v>
      </c>
      <c r="G5077" s="501" t="s">
        <v>728</v>
      </c>
      <c r="H5077" s="501" t="s">
        <v>7473</v>
      </c>
      <c r="I5077" s="501">
        <v>77</v>
      </c>
      <c r="J5077" s="501">
        <v>0</v>
      </c>
      <c r="K5077" s="501">
        <v>0</v>
      </c>
      <c r="L5077" s="501">
        <v>0</v>
      </c>
      <c r="M5077" s="501">
        <v>77</v>
      </c>
      <c r="N5077" s="501">
        <v>0</v>
      </c>
      <c r="O5077" s="506">
        <v>0</v>
      </c>
    </row>
    <row r="5078" spans="1:15" x14ac:dyDescent="0.35">
      <c r="A5078" s="503" t="s">
        <v>1716</v>
      </c>
      <c r="B5078" s="504" t="s">
        <v>2960</v>
      </c>
      <c r="C5078" s="504" t="s">
        <v>1094</v>
      </c>
      <c r="D5078" s="504" t="s">
        <v>3380</v>
      </c>
      <c r="E5078" s="504" t="s">
        <v>3381</v>
      </c>
      <c r="F5078" s="504" t="s">
        <v>727</v>
      </c>
      <c r="G5078" s="504" t="s">
        <v>728</v>
      </c>
      <c r="H5078" s="504" t="s">
        <v>7474</v>
      </c>
      <c r="I5078" s="504">
        <v>522</v>
      </c>
      <c r="J5078" s="504">
        <v>393</v>
      </c>
      <c r="K5078" s="504">
        <v>0</v>
      </c>
      <c r="L5078" s="504">
        <v>48</v>
      </c>
      <c r="M5078" s="504">
        <v>33</v>
      </c>
      <c r="N5078" s="504">
        <v>0</v>
      </c>
      <c r="O5078" s="505">
        <v>48</v>
      </c>
    </row>
    <row r="5079" spans="1:15" x14ac:dyDescent="0.35">
      <c r="A5079" s="500" t="s">
        <v>11401</v>
      </c>
      <c r="B5079" s="501" t="s">
        <v>3241</v>
      </c>
      <c r="C5079" s="501" t="s">
        <v>1094</v>
      </c>
      <c r="D5079" s="501" t="s">
        <v>3380</v>
      </c>
      <c r="E5079" s="501" t="s">
        <v>3381</v>
      </c>
      <c r="F5079" s="501" t="s">
        <v>727</v>
      </c>
      <c r="G5079" s="501" t="s">
        <v>728</v>
      </c>
      <c r="H5079" s="501" t="s">
        <v>11782</v>
      </c>
      <c r="I5079" s="501">
        <v>3003</v>
      </c>
      <c r="J5079" s="501">
        <v>2289</v>
      </c>
      <c r="K5079" s="501">
        <v>0</v>
      </c>
      <c r="L5079" s="501">
        <v>73</v>
      </c>
      <c r="M5079" s="501">
        <v>495</v>
      </c>
      <c r="N5079" s="501">
        <v>36</v>
      </c>
      <c r="O5079" s="506">
        <v>146</v>
      </c>
    </row>
    <row r="5080" spans="1:15" x14ac:dyDescent="0.35">
      <c r="A5080" s="503" t="s">
        <v>1735</v>
      </c>
      <c r="B5080" s="504" t="s">
        <v>3072</v>
      </c>
      <c r="C5080" s="504" t="s">
        <v>1089</v>
      </c>
      <c r="D5080" s="504" t="s">
        <v>3392</v>
      </c>
      <c r="E5080" s="504" t="s">
        <v>3381</v>
      </c>
      <c r="F5080" s="504" t="s">
        <v>727</v>
      </c>
      <c r="G5080" s="504" t="s">
        <v>728</v>
      </c>
      <c r="H5080" s="504" t="s">
        <v>7476</v>
      </c>
      <c r="I5080" s="504">
        <v>19</v>
      </c>
      <c r="J5080" s="504">
        <v>6</v>
      </c>
      <c r="K5080" s="504">
        <v>0</v>
      </c>
      <c r="L5080" s="504">
        <v>5</v>
      </c>
      <c r="M5080" s="504">
        <v>8</v>
      </c>
      <c r="N5080" s="504">
        <v>0</v>
      </c>
      <c r="O5080" s="505">
        <v>0</v>
      </c>
    </row>
    <row r="5081" spans="1:15" x14ac:dyDescent="0.35">
      <c r="A5081" s="500" t="s">
        <v>1739</v>
      </c>
      <c r="B5081" s="501">
        <v>4857</v>
      </c>
      <c r="C5081" s="501" t="s">
        <v>1094</v>
      </c>
      <c r="D5081" s="501" t="s">
        <v>3380</v>
      </c>
      <c r="E5081" s="501" t="s">
        <v>3381</v>
      </c>
      <c r="F5081" s="501" t="s">
        <v>727</v>
      </c>
      <c r="G5081" s="501" t="s">
        <v>728</v>
      </c>
      <c r="H5081" s="501" t="s">
        <v>7477</v>
      </c>
      <c r="I5081" s="501">
        <v>3945</v>
      </c>
      <c r="J5081" s="501">
        <v>3245</v>
      </c>
      <c r="K5081" s="501">
        <v>21</v>
      </c>
      <c r="L5081" s="501">
        <v>280</v>
      </c>
      <c r="M5081" s="501">
        <v>244</v>
      </c>
      <c r="N5081" s="501">
        <v>0</v>
      </c>
      <c r="O5081" s="506">
        <v>155</v>
      </c>
    </row>
    <row r="5082" spans="1:15" x14ac:dyDescent="0.35">
      <c r="A5082" s="503" t="s">
        <v>1210</v>
      </c>
      <c r="B5082" s="504">
        <v>4781</v>
      </c>
      <c r="C5082" s="504" t="s">
        <v>1089</v>
      </c>
      <c r="D5082" s="504" t="s">
        <v>3392</v>
      </c>
      <c r="E5082" s="504" t="s">
        <v>3381</v>
      </c>
      <c r="F5082" s="504" t="s">
        <v>727</v>
      </c>
      <c r="G5082" s="504" t="s">
        <v>728</v>
      </c>
      <c r="H5082" s="504" t="s">
        <v>7478</v>
      </c>
      <c r="I5082" s="504">
        <v>79</v>
      </c>
      <c r="J5082" s="504">
        <v>0</v>
      </c>
      <c r="K5082" s="504">
        <v>0</v>
      </c>
      <c r="L5082" s="504">
        <v>79</v>
      </c>
      <c r="M5082" s="504">
        <v>0</v>
      </c>
      <c r="N5082" s="504">
        <v>0</v>
      </c>
      <c r="O5082" s="505">
        <v>0</v>
      </c>
    </row>
    <row r="5083" spans="1:15" x14ac:dyDescent="0.35">
      <c r="A5083" s="500" t="s">
        <v>1740</v>
      </c>
      <c r="B5083" s="501" t="s">
        <v>2771</v>
      </c>
      <c r="C5083" s="501" t="s">
        <v>1089</v>
      </c>
      <c r="D5083" s="501" t="s">
        <v>3392</v>
      </c>
      <c r="E5083" s="501" t="s">
        <v>3381</v>
      </c>
      <c r="F5083" s="501" t="s">
        <v>727</v>
      </c>
      <c r="G5083" s="501" t="s">
        <v>728</v>
      </c>
      <c r="H5083" s="501" t="s">
        <v>7479</v>
      </c>
      <c r="I5083" s="501">
        <v>85</v>
      </c>
      <c r="J5083" s="501">
        <v>85</v>
      </c>
      <c r="K5083" s="501">
        <v>0</v>
      </c>
      <c r="L5083" s="501">
        <v>0</v>
      </c>
      <c r="M5083" s="501">
        <v>0</v>
      </c>
      <c r="N5083" s="501">
        <v>0</v>
      </c>
      <c r="O5083" s="506">
        <v>0</v>
      </c>
    </row>
    <row r="5084" spans="1:15" x14ac:dyDescent="0.35">
      <c r="A5084" s="503" t="s">
        <v>1742</v>
      </c>
      <c r="B5084" s="504">
        <v>4808</v>
      </c>
      <c r="C5084" s="504" t="s">
        <v>1094</v>
      </c>
      <c r="D5084" s="504" t="s">
        <v>3380</v>
      </c>
      <c r="E5084" s="504" t="s">
        <v>3381</v>
      </c>
      <c r="F5084" s="504" t="s">
        <v>727</v>
      </c>
      <c r="G5084" s="504" t="s">
        <v>728</v>
      </c>
      <c r="H5084" s="504" t="s">
        <v>7480</v>
      </c>
      <c r="I5084" s="504">
        <v>11936</v>
      </c>
      <c r="J5084" s="504">
        <v>11571</v>
      </c>
      <c r="K5084" s="504">
        <v>0</v>
      </c>
      <c r="L5084" s="504">
        <v>6</v>
      </c>
      <c r="M5084" s="504">
        <v>240</v>
      </c>
      <c r="N5084" s="504">
        <v>0</v>
      </c>
      <c r="O5084" s="505">
        <v>119</v>
      </c>
    </row>
    <row r="5085" spans="1:15" x14ac:dyDescent="0.35">
      <c r="A5085" s="500" t="s">
        <v>1744</v>
      </c>
      <c r="B5085" s="501" t="s">
        <v>3245</v>
      </c>
      <c r="C5085" s="501" t="s">
        <v>1094</v>
      </c>
      <c r="D5085" s="501" t="s">
        <v>3380</v>
      </c>
      <c r="E5085" s="501" t="s">
        <v>3381</v>
      </c>
      <c r="F5085" s="501" t="s">
        <v>727</v>
      </c>
      <c r="G5085" s="501" t="s">
        <v>728</v>
      </c>
      <c r="H5085" s="501" t="s">
        <v>14821</v>
      </c>
      <c r="I5085" s="501">
        <v>537</v>
      </c>
      <c r="J5085" s="501">
        <v>399</v>
      </c>
      <c r="K5085" s="501">
        <v>0</v>
      </c>
      <c r="L5085" s="501">
        <v>51</v>
      </c>
      <c r="M5085" s="501">
        <v>62</v>
      </c>
      <c r="N5085" s="501">
        <v>4</v>
      </c>
      <c r="O5085" s="506">
        <v>25</v>
      </c>
    </row>
    <row r="5086" spans="1:15" x14ac:dyDescent="0.35">
      <c r="A5086" s="503" t="s">
        <v>1223</v>
      </c>
      <c r="B5086" s="504">
        <v>4768</v>
      </c>
      <c r="C5086" s="504" t="s">
        <v>1089</v>
      </c>
      <c r="D5086" s="504" t="s">
        <v>3392</v>
      </c>
      <c r="E5086" s="504" t="s">
        <v>3381</v>
      </c>
      <c r="F5086" s="504" t="s">
        <v>727</v>
      </c>
      <c r="G5086" s="504" t="s">
        <v>728</v>
      </c>
      <c r="H5086" s="504" t="s">
        <v>7481</v>
      </c>
      <c r="I5086" s="504">
        <v>3</v>
      </c>
      <c r="J5086" s="504">
        <v>0</v>
      </c>
      <c r="K5086" s="504">
        <v>0</v>
      </c>
      <c r="L5086" s="504">
        <v>3</v>
      </c>
      <c r="M5086" s="504">
        <v>0</v>
      </c>
      <c r="N5086" s="504">
        <v>0</v>
      </c>
      <c r="O5086" s="505">
        <v>0</v>
      </c>
    </row>
    <row r="5087" spans="1:15" x14ac:dyDescent="0.35">
      <c r="A5087" s="500" t="s">
        <v>1745</v>
      </c>
      <c r="B5087" s="501" t="s">
        <v>3145</v>
      </c>
      <c r="C5087" s="501" t="s">
        <v>1089</v>
      </c>
      <c r="D5087" s="501" t="s">
        <v>3392</v>
      </c>
      <c r="E5087" s="501" t="s">
        <v>3381</v>
      </c>
      <c r="F5087" s="501" t="s">
        <v>727</v>
      </c>
      <c r="G5087" s="501" t="s">
        <v>728</v>
      </c>
      <c r="H5087" s="501" t="s">
        <v>7482</v>
      </c>
      <c r="I5087" s="501">
        <v>275</v>
      </c>
      <c r="J5087" s="501">
        <v>275</v>
      </c>
      <c r="K5087" s="501">
        <v>0</v>
      </c>
      <c r="L5087" s="501">
        <v>0</v>
      </c>
      <c r="M5087" s="501">
        <v>0</v>
      </c>
      <c r="N5087" s="501">
        <v>0</v>
      </c>
      <c r="O5087" s="506">
        <v>0</v>
      </c>
    </row>
    <row r="5088" spans="1:15" x14ac:dyDescent="0.35">
      <c r="A5088" s="503" t="s">
        <v>1122</v>
      </c>
      <c r="B5088" s="504" t="s">
        <v>2994</v>
      </c>
      <c r="C5088" s="504" t="s">
        <v>1094</v>
      </c>
      <c r="D5088" s="504" t="s">
        <v>3380</v>
      </c>
      <c r="E5088" s="504" t="s">
        <v>3381</v>
      </c>
      <c r="F5088" s="504" t="s">
        <v>727</v>
      </c>
      <c r="G5088" s="504" t="s">
        <v>728</v>
      </c>
      <c r="H5088" s="504" t="s">
        <v>7483</v>
      </c>
      <c r="I5088" s="504">
        <v>1005</v>
      </c>
      <c r="J5088" s="504">
        <v>942</v>
      </c>
      <c r="K5088" s="504">
        <v>0</v>
      </c>
      <c r="L5088" s="504">
        <v>8</v>
      </c>
      <c r="M5088" s="504">
        <v>0</v>
      </c>
      <c r="N5088" s="504">
        <v>0</v>
      </c>
      <c r="O5088" s="505">
        <v>55</v>
      </c>
    </row>
    <row r="5089" spans="1:15" x14ac:dyDescent="0.35">
      <c r="A5089" s="500" t="s">
        <v>1225</v>
      </c>
      <c r="B5089" s="501" t="s">
        <v>3315</v>
      </c>
      <c r="C5089" s="501" t="s">
        <v>1094</v>
      </c>
      <c r="D5089" s="501" t="s">
        <v>3380</v>
      </c>
      <c r="E5089" s="501" t="s">
        <v>3381</v>
      </c>
      <c r="F5089" s="501" t="s">
        <v>727</v>
      </c>
      <c r="G5089" s="501" t="s">
        <v>728</v>
      </c>
      <c r="H5089" s="501" t="s">
        <v>7484</v>
      </c>
      <c r="I5089" s="501">
        <v>165</v>
      </c>
      <c r="J5089" s="501">
        <v>38</v>
      </c>
      <c r="K5089" s="501">
        <v>0</v>
      </c>
      <c r="L5089" s="501">
        <v>102</v>
      </c>
      <c r="M5089" s="501">
        <v>25</v>
      </c>
      <c r="N5089" s="501">
        <v>0</v>
      </c>
      <c r="O5089" s="506">
        <v>0</v>
      </c>
    </row>
    <row r="5090" spans="1:15" x14ac:dyDescent="0.35">
      <c r="A5090" s="503" t="s">
        <v>1228</v>
      </c>
      <c r="B5090" s="504" t="s">
        <v>3321</v>
      </c>
      <c r="C5090" s="504" t="s">
        <v>1094</v>
      </c>
      <c r="D5090" s="504" t="s">
        <v>3380</v>
      </c>
      <c r="E5090" s="504" t="s">
        <v>3381</v>
      </c>
      <c r="F5090" s="504" t="s">
        <v>727</v>
      </c>
      <c r="G5090" s="504" t="s">
        <v>728</v>
      </c>
      <c r="H5090" s="504" t="s">
        <v>7485</v>
      </c>
      <c r="I5090" s="504">
        <v>2</v>
      </c>
      <c r="J5090" s="504">
        <v>0</v>
      </c>
      <c r="K5090" s="504">
        <v>0</v>
      </c>
      <c r="L5090" s="504">
        <v>2</v>
      </c>
      <c r="M5090" s="504">
        <v>0</v>
      </c>
      <c r="N5090" s="504">
        <v>0</v>
      </c>
      <c r="O5090" s="505">
        <v>0</v>
      </c>
    </row>
    <row r="5091" spans="1:15" x14ac:dyDescent="0.35">
      <c r="A5091" s="500" t="s">
        <v>1752</v>
      </c>
      <c r="B5091" s="501">
        <v>4653</v>
      </c>
      <c r="C5091" s="501" t="s">
        <v>1094</v>
      </c>
      <c r="D5091" s="501" t="s">
        <v>3380</v>
      </c>
      <c r="E5091" s="501" t="s">
        <v>3381</v>
      </c>
      <c r="F5091" s="501" t="s">
        <v>727</v>
      </c>
      <c r="G5091" s="501" t="s">
        <v>728</v>
      </c>
      <c r="H5091" s="501" t="s">
        <v>7486</v>
      </c>
      <c r="I5091" s="501">
        <v>27</v>
      </c>
      <c r="J5091" s="501">
        <v>0</v>
      </c>
      <c r="K5091" s="501">
        <v>0</v>
      </c>
      <c r="L5091" s="501">
        <v>27</v>
      </c>
      <c r="M5091" s="501">
        <v>0</v>
      </c>
      <c r="N5091" s="501">
        <v>0</v>
      </c>
      <c r="O5091" s="506">
        <v>0</v>
      </c>
    </row>
    <row r="5092" spans="1:15" x14ac:dyDescent="0.35">
      <c r="A5092" s="503" t="s">
        <v>1234</v>
      </c>
      <c r="B5092" s="504" t="s">
        <v>3291</v>
      </c>
      <c r="C5092" s="504" t="s">
        <v>1094</v>
      </c>
      <c r="D5092" s="504" t="s">
        <v>3380</v>
      </c>
      <c r="E5092" s="504" t="s">
        <v>3381</v>
      </c>
      <c r="F5092" s="504" t="s">
        <v>727</v>
      </c>
      <c r="G5092" s="504" t="s">
        <v>728</v>
      </c>
      <c r="H5092" s="504" t="s">
        <v>7487</v>
      </c>
      <c r="I5092" s="504">
        <v>112</v>
      </c>
      <c r="J5092" s="504">
        <v>46</v>
      </c>
      <c r="K5092" s="504">
        <v>0</v>
      </c>
      <c r="L5092" s="504">
        <v>66</v>
      </c>
      <c r="M5092" s="504">
        <v>0</v>
      </c>
      <c r="N5092" s="504">
        <v>0</v>
      </c>
      <c r="O5092" s="505">
        <v>0</v>
      </c>
    </row>
    <row r="5093" spans="1:15" x14ac:dyDescent="0.35">
      <c r="A5093" s="500" t="s">
        <v>1126</v>
      </c>
      <c r="B5093" s="501" t="s">
        <v>2974</v>
      </c>
      <c r="C5093" s="501" t="s">
        <v>1094</v>
      </c>
      <c r="D5093" s="501" t="s">
        <v>3380</v>
      </c>
      <c r="E5093" s="501" t="s">
        <v>3381</v>
      </c>
      <c r="F5093" s="501" t="s">
        <v>727</v>
      </c>
      <c r="G5093" s="501" t="s">
        <v>728</v>
      </c>
      <c r="H5093" s="501" t="s">
        <v>7488</v>
      </c>
      <c r="I5093" s="501">
        <v>170</v>
      </c>
      <c r="J5093" s="501">
        <v>111</v>
      </c>
      <c r="K5093" s="501">
        <v>0</v>
      </c>
      <c r="L5093" s="501">
        <v>59</v>
      </c>
      <c r="M5093" s="501">
        <v>0</v>
      </c>
      <c r="N5093" s="501">
        <v>0</v>
      </c>
      <c r="O5093" s="506">
        <v>0</v>
      </c>
    </row>
    <row r="5094" spans="1:15" x14ac:dyDescent="0.35">
      <c r="A5094" s="503" t="s">
        <v>1764</v>
      </c>
      <c r="B5094" s="504" t="s">
        <v>3214</v>
      </c>
      <c r="C5094" s="504" t="s">
        <v>1094</v>
      </c>
      <c r="D5094" s="504" t="s">
        <v>3380</v>
      </c>
      <c r="E5094" s="504" t="s">
        <v>3381</v>
      </c>
      <c r="F5094" s="504" t="s">
        <v>727</v>
      </c>
      <c r="G5094" s="504" t="s">
        <v>728</v>
      </c>
      <c r="H5094" s="504" t="s">
        <v>7489</v>
      </c>
      <c r="I5094" s="504">
        <v>6006</v>
      </c>
      <c r="J5094" s="504">
        <v>5697</v>
      </c>
      <c r="K5094" s="504">
        <v>0</v>
      </c>
      <c r="L5094" s="504">
        <v>0</v>
      </c>
      <c r="M5094" s="504">
        <v>207</v>
      </c>
      <c r="N5094" s="504">
        <v>0</v>
      </c>
      <c r="O5094" s="505">
        <v>102</v>
      </c>
    </row>
    <row r="5095" spans="1:15" x14ac:dyDescent="0.35">
      <c r="A5095" s="500" t="s">
        <v>1774</v>
      </c>
      <c r="B5095" s="501">
        <v>4767</v>
      </c>
      <c r="C5095" s="501" t="s">
        <v>1089</v>
      </c>
      <c r="D5095" s="501" t="s">
        <v>3392</v>
      </c>
      <c r="E5095" s="501" t="s">
        <v>3381</v>
      </c>
      <c r="F5095" s="501" t="s">
        <v>727</v>
      </c>
      <c r="G5095" s="501" t="s">
        <v>728</v>
      </c>
      <c r="H5095" s="501" t="s">
        <v>7490</v>
      </c>
      <c r="I5095" s="501">
        <v>48</v>
      </c>
      <c r="J5095" s="501">
        <v>48</v>
      </c>
      <c r="K5095" s="501">
        <v>0</v>
      </c>
      <c r="L5095" s="501">
        <v>0</v>
      </c>
      <c r="M5095" s="501">
        <v>0</v>
      </c>
      <c r="N5095" s="501">
        <v>0</v>
      </c>
      <c r="O5095" s="506">
        <v>0</v>
      </c>
    </row>
    <row r="5096" spans="1:15" x14ac:dyDescent="0.35">
      <c r="A5096" s="503" t="s">
        <v>1247</v>
      </c>
      <c r="B5096" s="504">
        <v>4838</v>
      </c>
      <c r="C5096" s="504" t="s">
        <v>1089</v>
      </c>
      <c r="D5096" s="504" t="s">
        <v>3392</v>
      </c>
      <c r="E5096" s="504" t="s">
        <v>3381</v>
      </c>
      <c r="F5096" s="504" t="s">
        <v>727</v>
      </c>
      <c r="G5096" s="504" t="s">
        <v>728</v>
      </c>
      <c r="H5096" s="504" t="s">
        <v>7491</v>
      </c>
      <c r="I5096" s="504">
        <v>2</v>
      </c>
      <c r="J5096" s="504">
        <v>0</v>
      </c>
      <c r="K5096" s="504">
        <v>0</v>
      </c>
      <c r="L5096" s="504">
        <v>2</v>
      </c>
      <c r="M5096" s="504">
        <v>0</v>
      </c>
      <c r="N5096" s="504">
        <v>0</v>
      </c>
      <c r="O5096" s="505">
        <v>0</v>
      </c>
    </row>
    <row r="5097" spans="1:15" x14ac:dyDescent="0.35">
      <c r="A5097" s="500" t="s">
        <v>1249</v>
      </c>
      <c r="B5097" s="501">
        <v>4729</v>
      </c>
      <c r="C5097" s="501" t="s">
        <v>1094</v>
      </c>
      <c r="D5097" s="501" t="s">
        <v>3380</v>
      </c>
      <c r="E5097" s="501" t="s">
        <v>3381</v>
      </c>
      <c r="F5097" s="501" t="s">
        <v>727</v>
      </c>
      <c r="G5097" s="501" t="s">
        <v>728</v>
      </c>
      <c r="H5097" s="501" t="s">
        <v>7492</v>
      </c>
      <c r="I5097" s="501">
        <v>3279</v>
      </c>
      <c r="J5097" s="501">
        <v>2700</v>
      </c>
      <c r="K5097" s="501">
        <v>3</v>
      </c>
      <c r="L5097" s="501">
        <v>50</v>
      </c>
      <c r="M5097" s="501">
        <v>249</v>
      </c>
      <c r="N5097" s="501">
        <v>0</v>
      </c>
      <c r="O5097" s="506">
        <v>277</v>
      </c>
    </row>
    <row r="5098" spans="1:15" x14ac:dyDescent="0.35">
      <c r="A5098" s="503" t="s">
        <v>1252</v>
      </c>
      <c r="B5098" s="504" t="s">
        <v>2875</v>
      </c>
      <c r="C5098" s="504" t="s">
        <v>1089</v>
      </c>
      <c r="D5098" s="504" t="s">
        <v>3392</v>
      </c>
      <c r="E5098" s="504" t="s">
        <v>3381</v>
      </c>
      <c r="F5098" s="504" t="s">
        <v>727</v>
      </c>
      <c r="G5098" s="504" t="s">
        <v>728</v>
      </c>
      <c r="H5098" s="504" t="s">
        <v>7493</v>
      </c>
      <c r="I5098" s="504">
        <v>12</v>
      </c>
      <c r="J5098" s="504">
        <v>0</v>
      </c>
      <c r="K5098" s="504">
        <v>0</v>
      </c>
      <c r="L5098" s="504">
        <v>12</v>
      </c>
      <c r="M5098" s="504">
        <v>0</v>
      </c>
      <c r="N5098" s="504">
        <v>0</v>
      </c>
      <c r="O5098" s="505">
        <v>0</v>
      </c>
    </row>
    <row r="5099" spans="1:15" x14ac:dyDescent="0.35">
      <c r="A5099" s="500" t="s">
        <v>1253</v>
      </c>
      <c r="B5099" s="501" t="s">
        <v>3232</v>
      </c>
      <c r="C5099" s="501" t="s">
        <v>1094</v>
      </c>
      <c r="D5099" s="501" t="s">
        <v>3380</v>
      </c>
      <c r="E5099" s="501" t="s">
        <v>3381</v>
      </c>
      <c r="F5099" s="501" t="s">
        <v>727</v>
      </c>
      <c r="G5099" s="501" t="s">
        <v>728</v>
      </c>
      <c r="H5099" s="501" t="s">
        <v>7494</v>
      </c>
      <c r="I5099" s="501">
        <v>627</v>
      </c>
      <c r="J5099" s="501">
        <v>163</v>
      </c>
      <c r="K5099" s="501">
        <v>0</v>
      </c>
      <c r="L5099" s="501">
        <v>209</v>
      </c>
      <c r="M5099" s="501">
        <v>200</v>
      </c>
      <c r="N5099" s="501">
        <v>1</v>
      </c>
      <c r="O5099" s="506">
        <v>55</v>
      </c>
    </row>
    <row r="5100" spans="1:15" x14ac:dyDescent="0.35">
      <c r="A5100" s="503" t="s">
        <v>1260</v>
      </c>
      <c r="B5100" s="504">
        <v>4645</v>
      </c>
      <c r="C5100" s="504" t="s">
        <v>1089</v>
      </c>
      <c r="D5100" s="504" t="s">
        <v>3392</v>
      </c>
      <c r="E5100" s="504" t="s">
        <v>3381</v>
      </c>
      <c r="F5100" s="504" t="s">
        <v>727</v>
      </c>
      <c r="G5100" s="504" t="s">
        <v>728</v>
      </c>
      <c r="H5100" s="504" t="s">
        <v>7495</v>
      </c>
      <c r="I5100" s="504">
        <v>5</v>
      </c>
      <c r="J5100" s="504">
        <v>0</v>
      </c>
      <c r="K5100" s="504">
        <v>0</v>
      </c>
      <c r="L5100" s="504">
        <v>5</v>
      </c>
      <c r="M5100" s="504">
        <v>0</v>
      </c>
      <c r="N5100" s="504">
        <v>0</v>
      </c>
      <c r="O5100" s="505">
        <v>0</v>
      </c>
    </row>
    <row r="5101" spans="1:15" x14ac:dyDescent="0.35">
      <c r="A5101" s="500" t="s">
        <v>1371</v>
      </c>
      <c r="B5101" s="501" t="s">
        <v>2891</v>
      </c>
      <c r="C5101" s="501" t="s">
        <v>1089</v>
      </c>
      <c r="D5101" s="501" t="s">
        <v>3392</v>
      </c>
      <c r="E5101" s="501" t="s">
        <v>3381</v>
      </c>
      <c r="F5101" s="501" t="s">
        <v>727</v>
      </c>
      <c r="G5101" s="501" t="s">
        <v>728</v>
      </c>
      <c r="H5101" s="501" t="s">
        <v>7496</v>
      </c>
      <c r="I5101" s="501">
        <v>20</v>
      </c>
      <c r="J5101" s="501">
        <v>0</v>
      </c>
      <c r="K5101" s="501">
        <v>0</v>
      </c>
      <c r="L5101" s="501">
        <v>20</v>
      </c>
      <c r="M5101" s="501">
        <v>0</v>
      </c>
      <c r="N5101" s="501">
        <v>0</v>
      </c>
      <c r="O5101" s="506">
        <v>0</v>
      </c>
    </row>
    <row r="5102" spans="1:15" x14ac:dyDescent="0.35">
      <c r="A5102" s="503" t="s">
        <v>11410</v>
      </c>
      <c r="B5102" s="504" t="s">
        <v>3162</v>
      </c>
      <c r="C5102" s="504" t="s">
        <v>1094</v>
      </c>
      <c r="D5102" s="504" t="s">
        <v>3380</v>
      </c>
      <c r="E5102" s="504" t="s">
        <v>3381</v>
      </c>
      <c r="F5102" s="504" t="s">
        <v>727</v>
      </c>
      <c r="G5102" s="504" t="s">
        <v>728</v>
      </c>
      <c r="H5102" s="504" t="s">
        <v>12256</v>
      </c>
      <c r="I5102" s="504">
        <v>13609</v>
      </c>
      <c r="J5102" s="504">
        <v>13159</v>
      </c>
      <c r="K5102" s="504">
        <v>5</v>
      </c>
      <c r="L5102" s="504">
        <v>116</v>
      </c>
      <c r="M5102" s="504">
        <v>69</v>
      </c>
      <c r="N5102" s="504">
        <v>0</v>
      </c>
      <c r="O5102" s="505">
        <v>260</v>
      </c>
    </row>
    <row r="5103" spans="1:15" x14ac:dyDescent="0.35">
      <c r="A5103" s="500" t="s">
        <v>1266</v>
      </c>
      <c r="B5103" s="501" t="s">
        <v>3071</v>
      </c>
      <c r="C5103" s="501" t="s">
        <v>1094</v>
      </c>
      <c r="D5103" s="501" t="s">
        <v>3380</v>
      </c>
      <c r="E5103" s="501" t="s">
        <v>3381</v>
      </c>
      <c r="F5103" s="501" t="s">
        <v>727</v>
      </c>
      <c r="G5103" s="501" t="s">
        <v>728</v>
      </c>
      <c r="H5103" s="501" t="s">
        <v>7497</v>
      </c>
      <c r="I5103" s="501">
        <v>1414</v>
      </c>
      <c r="J5103" s="501">
        <v>1072</v>
      </c>
      <c r="K5103" s="501">
        <v>0</v>
      </c>
      <c r="L5103" s="501">
        <v>1</v>
      </c>
      <c r="M5103" s="501">
        <v>293</v>
      </c>
      <c r="N5103" s="501">
        <v>0</v>
      </c>
      <c r="O5103" s="506">
        <v>48</v>
      </c>
    </row>
    <row r="5104" spans="1:15" x14ac:dyDescent="0.35">
      <c r="A5104" s="503" t="s">
        <v>1790</v>
      </c>
      <c r="B5104" s="504" t="s">
        <v>2748</v>
      </c>
      <c r="C5104" s="504" t="s">
        <v>1089</v>
      </c>
      <c r="D5104" s="504" t="s">
        <v>3392</v>
      </c>
      <c r="E5104" s="504" t="s">
        <v>3381</v>
      </c>
      <c r="F5104" s="504" t="s">
        <v>727</v>
      </c>
      <c r="G5104" s="504" t="s">
        <v>728</v>
      </c>
      <c r="H5104" s="504" t="s">
        <v>7498</v>
      </c>
      <c r="I5104" s="504">
        <v>6</v>
      </c>
      <c r="J5104" s="504">
        <v>6</v>
      </c>
      <c r="K5104" s="504">
        <v>0</v>
      </c>
      <c r="L5104" s="504">
        <v>0</v>
      </c>
      <c r="M5104" s="504">
        <v>0</v>
      </c>
      <c r="N5104" s="504">
        <v>0</v>
      </c>
      <c r="O5104" s="505">
        <v>0</v>
      </c>
    </row>
    <row r="5105" spans="1:15" x14ac:dyDescent="0.35">
      <c r="A5105" s="500" t="s">
        <v>1145</v>
      </c>
      <c r="B5105" s="501" t="s">
        <v>3164</v>
      </c>
      <c r="C5105" s="501" t="s">
        <v>1094</v>
      </c>
      <c r="D5105" s="501" t="s">
        <v>3380</v>
      </c>
      <c r="E5105" s="501" t="s">
        <v>3381</v>
      </c>
      <c r="F5105" s="501" t="s">
        <v>729</v>
      </c>
      <c r="G5105" s="501" t="s">
        <v>730</v>
      </c>
      <c r="H5105" s="501" t="s">
        <v>7499</v>
      </c>
      <c r="I5105" s="501">
        <v>17</v>
      </c>
      <c r="J5105" s="501">
        <v>11</v>
      </c>
      <c r="K5105" s="501">
        <v>0</v>
      </c>
      <c r="L5105" s="501">
        <v>0</v>
      </c>
      <c r="M5105" s="501">
        <v>0</v>
      </c>
      <c r="N5105" s="501">
        <v>0</v>
      </c>
      <c r="O5105" s="506">
        <v>6</v>
      </c>
    </row>
    <row r="5106" spans="1:15" x14ac:dyDescent="0.35">
      <c r="A5106" s="503" t="s">
        <v>1146</v>
      </c>
      <c r="B5106" s="504">
        <v>4660</v>
      </c>
      <c r="C5106" s="504" t="s">
        <v>1089</v>
      </c>
      <c r="D5106" s="504" t="s">
        <v>3392</v>
      </c>
      <c r="E5106" s="504" t="s">
        <v>3381</v>
      </c>
      <c r="F5106" s="504" t="s">
        <v>729</v>
      </c>
      <c r="G5106" s="504" t="s">
        <v>730</v>
      </c>
      <c r="H5106" s="504" t="s">
        <v>11487</v>
      </c>
      <c r="I5106" s="504">
        <v>12</v>
      </c>
      <c r="J5106" s="504">
        <v>0</v>
      </c>
      <c r="K5106" s="504">
        <v>0</v>
      </c>
      <c r="L5106" s="504">
        <v>12</v>
      </c>
      <c r="M5106" s="504">
        <v>0</v>
      </c>
      <c r="N5106" s="504">
        <v>0</v>
      </c>
      <c r="O5106" s="505">
        <v>0</v>
      </c>
    </row>
    <row r="5107" spans="1:15" x14ac:dyDescent="0.35">
      <c r="A5107" s="500" t="s">
        <v>1093</v>
      </c>
      <c r="B5107" s="501" t="s">
        <v>3248</v>
      </c>
      <c r="C5107" s="501" t="s">
        <v>1094</v>
      </c>
      <c r="D5107" s="501" t="s">
        <v>3380</v>
      </c>
      <c r="E5107" s="501" t="s">
        <v>3381</v>
      </c>
      <c r="F5107" s="501" t="s">
        <v>729</v>
      </c>
      <c r="G5107" s="501" t="s">
        <v>730</v>
      </c>
      <c r="H5107" s="501" t="s">
        <v>7500</v>
      </c>
      <c r="I5107" s="501">
        <v>9</v>
      </c>
      <c r="J5107" s="501">
        <v>0</v>
      </c>
      <c r="K5107" s="501">
        <v>0</v>
      </c>
      <c r="L5107" s="501">
        <v>7</v>
      </c>
      <c r="M5107" s="501">
        <v>0</v>
      </c>
      <c r="N5107" s="501">
        <v>0</v>
      </c>
      <c r="O5107" s="506">
        <v>2</v>
      </c>
    </row>
    <row r="5108" spans="1:15" x14ac:dyDescent="0.35">
      <c r="A5108" s="503" t="s">
        <v>11363</v>
      </c>
      <c r="B5108" s="504">
        <v>4718</v>
      </c>
      <c r="C5108" s="504" t="s">
        <v>1094</v>
      </c>
      <c r="D5108" s="504" t="s">
        <v>3380</v>
      </c>
      <c r="E5108" s="504" t="s">
        <v>3381</v>
      </c>
      <c r="F5108" s="504" t="s">
        <v>729</v>
      </c>
      <c r="G5108" s="504" t="s">
        <v>730</v>
      </c>
      <c r="H5108" s="504" t="s">
        <v>11562</v>
      </c>
      <c r="I5108" s="504">
        <v>6</v>
      </c>
      <c r="J5108" s="504">
        <v>0</v>
      </c>
      <c r="K5108" s="504">
        <v>0</v>
      </c>
      <c r="L5108" s="504">
        <v>6</v>
      </c>
      <c r="M5108" s="504">
        <v>0</v>
      </c>
      <c r="N5108" s="504">
        <v>0</v>
      </c>
      <c r="O5108" s="505">
        <v>0</v>
      </c>
    </row>
    <row r="5109" spans="1:15" x14ac:dyDescent="0.35">
      <c r="A5109" s="500" t="s">
        <v>1159</v>
      </c>
      <c r="B5109" s="501" t="s">
        <v>2537</v>
      </c>
      <c r="C5109" s="501" t="s">
        <v>1089</v>
      </c>
      <c r="D5109" s="501" t="s">
        <v>3392</v>
      </c>
      <c r="E5109" s="501" t="s">
        <v>3381</v>
      </c>
      <c r="F5109" s="501" t="s">
        <v>729</v>
      </c>
      <c r="G5109" s="501" t="s">
        <v>730</v>
      </c>
      <c r="H5109" s="501" t="s">
        <v>7501</v>
      </c>
      <c r="I5109" s="501">
        <v>153</v>
      </c>
      <c r="J5109" s="501">
        <v>0</v>
      </c>
      <c r="K5109" s="501">
        <v>0</v>
      </c>
      <c r="L5109" s="501">
        <v>0</v>
      </c>
      <c r="M5109" s="501">
        <v>153</v>
      </c>
      <c r="N5109" s="501">
        <v>0</v>
      </c>
      <c r="O5109" s="506">
        <v>0</v>
      </c>
    </row>
    <row r="5110" spans="1:15" x14ac:dyDescent="0.35">
      <c r="A5110" s="503" t="s">
        <v>1170</v>
      </c>
      <c r="B5110" s="504">
        <v>4790</v>
      </c>
      <c r="C5110" s="504" t="s">
        <v>1089</v>
      </c>
      <c r="D5110" s="504" t="s">
        <v>3392</v>
      </c>
      <c r="E5110" s="504" t="s">
        <v>3381</v>
      </c>
      <c r="F5110" s="504" t="s">
        <v>729</v>
      </c>
      <c r="G5110" s="504" t="s">
        <v>730</v>
      </c>
      <c r="H5110" s="504" t="s">
        <v>7502</v>
      </c>
      <c r="I5110" s="504">
        <v>13</v>
      </c>
      <c r="J5110" s="504">
        <v>13</v>
      </c>
      <c r="K5110" s="504">
        <v>0</v>
      </c>
      <c r="L5110" s="504">
        <v>0</v>
      </c>
      <c r="M5110" s="504">
        <v>0</v>
      </c>
      <c r="N5110" s="504">
        <v>0</v>
      </c>
      <c r="O5110" s="505">
        <v>0</v>
      </c>
    </row>
    <row r="5111" spans="1:15" x14ac:dyDescent="0.35">
      <c r="A5111" s="500" t="s">
        <v>1171</v>
      </c>
      <c r="B5111" s="501" t="s">
        <v>3003</v>
      </c>
      <c r="C5111" s="501" t="s">
        <v>1094</v>
      </c>
      <c r="D5111" s="501" t="s">
        <v>3380</v>
      </c>
      <c r="E5111" s="501" t="s">
        <v>3381</v>
      </c>
      <c r="F5111" s="501" t="s">
        <v>729</v>
      </c>
      <c r="G5111" s="501" t="s">
        <v>730</v>
      </c>
      <c r="H5111" s="501" t="s">
        <v>7503</v>
      </c>
      <c r="I5111" s="501">
        <v>129</v>
      </c>
      <c r="J5111" s="501">
        <v>103</v>
      </c>
      <c r="K5111" s="501">
        <v>0</v>
      </c>
      <c r="L5111" s="501">
        <v>0</v>
      </c>
      <c r="M5111" s="501">
        <v>0</v>
      </c>
      <c r="N5111" s="501">
        <v>0</v>
      </c>
      <c r="O5111" s="506">
        <v>26</v>
      </c>
    </row>
    <row r="5112" spans="1:15" x14ac:dyDescent="0.35">
      <c r="A5112" s="503" t="s">
        <v>1173</v>
      </c>
      <c r="B5112" s="504">
        <v>4775</v>
      </c>
      <c r="C5112" s="504" t="s">
        <v>1094</v>
      </c>
      <c r="D5112" s="504" t="s">
        <v>3380</v>
      </c>
      <c r="E5112" s="504" t="s">
        <v>3381</v>
      </c>
      <c r="F5112" s="504" t="s">
        <v>729</v>
      </c>
      <c r="G5112" s="504" t="s">
        <v>730</v>
      </c>
      <c r="H5112" s="504" t="s">
        <v>7504</v>
      </c>
      <c r="I5112" s="504">
        <v>194</v>
      </c>
      <c r="J5112" s="504">
        <v>169</v>
      </c>
      <c r="K5112" s="504">
        <v>0</v>
      </c>
      <c r="L5112" s="504">
        <v>0</v>
      </c>
      <c r="M5112" s="504">
        <v>0</v>
      </c>
      <c r="N5112" s="504">
        <v>0</v>
      </c>
      <c r="O5112" s="505">
        <v>25</v>
      </c>
    </row>
    <row r="5113" spans="1:15" x14ac:dyDescent="0.35">
      <c r="A5113" s="500" t="s">
        <v>1178</v>
      </c>
      <c r="B5113" s="501" t="s">
        <v>3334</v>
      </c>
      <c r="C5113" s="501" t="s">
        <v>1094</v>
      </c>
      <c r="D5113" s="501" t="s">
        <v>3380</v>
      </c>
      <c r="E5113" s="501" t="s">
        <v>3381</v>
      </c>
      <c r="F5113" s="501" t="s">
        <v>729</v>
      </c>
      <c r="G5113" s="501" t="s">
        <v>730</v>
      </c>
      <c r="H5113" s="501" t="s">
        <v>7505</v>
      </c>
      <c r="I5113" s="501">
        <v>106</v>
      </c>
      <c r="J5113" s="501">
        <v>0</v>
      </c>
      <c r="K5113" s="501">
        <v>0</v>
      </c>
      <c r="L5113" s="501">
        <v>106</v>
      </c>
      <c r="M5113" s="501">
        <v>0</v>
      </c>
      <c r="N5113" s="501">
        <v>0</v>
      </c>
      <c r="O5113" s="506">
        <v>0</v>
      </c>
    </row>
    <row r="5114" spans="1:15" x14ac:dyDescent="0.35">
      <c r="A5114" s="503" t="s">
        <v>14208</v>
      </c>
      <c r="B5114" s="504">
        <v>4803</v>
      </c>
      <c r="C5114" s="504" t="s">
        <v>1094</v>
      </c>
      <c r="D5114" s="504" t="s">
        <v>3380</v>
      </c>
      <c r="E5114" s="504" t="s">
        <v>3381</v>
      </c>
      <c r="F5114" s="504" t="s">
        <v>729</v>
      </c>
      <c r="G5114" s="504" t="s">
        <v>730</v>
      </c>
      <c r="H5114" s="504" t="s">
        <v>14822</v>
      </c>
      <c r="I5114" s="504">
        <v>8</v>
      </c>
      <c r="J5114" s="504">
        <v>0</v>
      </c>
      <c r="K5114" s="504">
        <v>0</v>
      </c>
      <c r="L5114" s="504">
        <v>8</v>
      </c>
      <c r="M5114" s="504">
        <v>0</v>
      </c>
      <c r="N5114" s="504">
        <v>0</v>
      </c>
      <c r="O5114" s="505">
        <v>0</v>
      </c>
    </row>
    <row r="5115" spans="1:15" x14ac:dyDescent="0.35">
      <c r="A5115" s="500" t="s">
        <v>1109</v>
      </c>
      <c r="B5115" s="501" t="s">
        <v>2959</v>
      </c>
      <c r="C5115" s="501" t="s">
        <v>1094</v>
      </c>
      <c r="D5115" s="501" t="s">
        <v>3380</v>
      </c>
      <c r="E5115" s="501" t="s">
        <v>3381</v>
      </c>
      <c r="F5115" s="501" t="s">
        <v>729</v>
      </c>
      <c r="G5115" s="501" t="s">
        <v>730</v>
      </c>
      <c r="H5115" s="501" t="s">
        <v>7506</v>
      </c>
      <c r="I5115" s="501">
        <v>26</v>
      </c>
      <c r="J5115" s="501">
        <v>0</v>
      </c>
      <c r="K5115" s="501">
        <v>0</v>
      </c>
      <c r="L5115" s="501">
        <v>0</v>
      </c>
      <c r="M5115" s="501">
        <v>26</v>
      </c>
      <c r="N5115" s="501">
        <v>0</v>
      </c>
      <c r="O5115" s="506">
        <v>0</v>
      </c>
    </row>
    <row r="5116" spans="1:15" x14ac:dyDescent="0.35">
      <c r="A5116" s="503" t="s">
        <v>1190</v>
      </c>
      <c r="B5116" s="504">
        <v>4662</v>
      </c>
      <c r="C5116" s="504" t="s">
        <v>1094</v>
      </c>
      <c r="D5116" s="504" t="s">
        <v>3380</v>
      </c>
      <c r="E5116" s="504" t="s">
        <v>3381</v>
      </c>
      <c r="F5116" s="504" t="s">
        <v>729</v>
      </c>
      <c r="G5116" s="504" t="s">
        <v>730</v>
      </c>
      <c r="H5116" s="504" t="s">
        <v>7507</v>
      </c>
      <c r="I5116" s="504">
        <v>25</v>
      </c>
      <c r="J5116" s="504">
        <v>0</v>
      </c>
      <c r="K5116" s="504">
        <v>0</v>
      </c>
      <c r="L5116" s="504">
        <v>25</v>
      </c>
      <c r="M5116" s="504">
        <v>0</v>
      </c>
      <c r="N5116" s="504">
        <v>0</v>
      </c>
      <c r="O5116" s="505">
        <v>0</v>
      </c>
    </row>
    <row r="5117" spans="1:15" x14ac:dyDescent="0.35">
      <c r="A5117" s="500" t="s">
        <v>1203</v>
      </c>
      <c r="B5117" s="501" t="s">
        <v>3170</v>
      </c>
      <c r="C5117" s="501" t="s">
        <v>1094</v>
      </c>
      <c r="D5117" s="501" t="s">
        <v>3380</v>
      </c>
      <c r="E5117" s="501" t="s">
        <v>3381</v>
      </c>
      <c r="F5117" s="501" t="s">
        <v>729</v>
      </c>
      <c r="G5117" s="501" t="s">
        <v>730</v>
      </c>
      <c r="H5117" s="501" t="s">
        <v>7508</v>
      </c>
      <c r="I5117" s="501">
        <v>95</v>
      </c>
      <c r="J5117" s="501">
        <v>95</v>
      </c>
      <c r="K5117" s="501">
        <v>0</v>
      </c>
      <c r="L5117" s="501">
        <v>0</v>
      </c>
      <c r="M5117" s="501">
        <v>0</v>
      </c>
      <c r="N5117" s="501">
        <v>0</v>
      </c>
      <c r="O5117" s="506">
        <v>0</v>
      </c>
    </row>
    <row r="5118" spans="1:15" x14ac:dyDescent="0.35">
      <c r="A5118" s="503" t="s">
        <v>1112</v>
      </c>
      <c r="B5118" s="504" t="s">
        <v>3008</v>
      </c>
      <c r="C5118" s="504" t="s">
        <v>1094</v>
      </c>
      <c r="D5118" s="504" t="s">
        <v>3380</v>
      </c>
      <c r="E5118" s="504" t="s">
        <v>3381</v>
      </c>
      <c r="F5118" s="504" t="s">
        <v>729</v>
      </c>
      <c r="G5118" s="504" t="s">
        <v>730</v>
      </c>
      <c r="H5118" s="504" t="s">
        <v>7509</v>
      </c>
      <c r="I5118" s="504">
        <v>134</v>
      </c>
      <c r="J5118" s="504">
        <v>110</v>
      </c>
      <c r="K5118" s="504">
        <v>0</v>
      </c>
      <c r="L5118" s="504">
        <v>22</v>
      </c>
      <c r="M5118" s="504">
        <v>0</v>
      </c>
      <c r="N5118" s="504">
        <v>0</v>
      </c>
      <c r="O5118" s="505">
        <v>2</v>
      </c>
    </row>
    <row r="5119" spans="1:15" x14ac:dyDescent="0.35">
      <c r="A5119" s="500" t="s">
        <v>1215</v>
      </c>
      <c r="B5119" s="501">
        <v>4817</v>
      </c>
      <c r="C5119" s="501" t="s">
        <v>1094</v>
      </c>
      <c r="D5119" s="501" t="s">
        <v>3380</v>
      </c>
      <c r="E5119" s="501" t="s">
        <v>3381</v>
      </c>
      <c r="F5119" s="501" t="s">
        <v>729</v>
      </c>
      <c r="G5119" s="501" t="s">
        <v>730</v>
      </c>
      <c r="H5119" s="501" t="s">
        <v>7510</v>
      </c>
      <c r="I5119" s="501">
        <v>208</v>
      </c>
      <c r="J5119" s="501">
        <v>181</v>
      </c>
      <c r="K5119" s="501">
        <v>0</v>
      </c>
      <c r="L5119" s="501">
        <v>20</v>
      </c>
      <c r="M5119" s="501">
        <v>0</v>
      </c>
      <c r="N5119" s="501">
        <v>0</v>
      </c>
      <c r="O5119" s="506">
        <v>7</v>
      </c>
    </row>
    <row r="5120" spans="1:15" x14ac:dyDescent="0.35">
      <c r="A5120" s="503" t="s">
        <v>1218</v>
      </c>
      <c r="B5120" s="504" t="s">
        <v>3147</v>
      </c>
      <c r="C5120" s="504" t="s">
        <v>1094</v>
      </c>
      <c r="D5120" s="504" t="s">
        <v>3380</v>
      </c>
      <c r="E5120" s="504" t="s">
        <v>3381</v>
      </c>
      <c r="F5120" s="504" t="s">
        <v>729</v>
      </c>
      <c r="G5120" s="504" t="s">
        <v>730</v>
      </c>
      <c r="H5120" s="504" t="s">
        <v>14823</v>
      </c>
      <c r="I5120" s="504">
        <v>2</v>
      </c>
      <c r="J5120" s="504">
        <v>0</v>
      </c>
      <c r="K5120" s="504">
        <v>0</v>
      </c>
      <c r="L5120" s="504">
        <v>0</v>
      </c>
      <c r="M5120" s="504">
        <v>0</v>
      </c>
      <c r="N5120" s="504">
        <v>0</v>
      </c>
      <c r="O5120" s="505">
        <v>2</v>
      </c>
    </row>
    <row r="5121" spans="1:15" x14ac:dyDescent="0.35">
      <c r="A5121" s="500" t="s">
        <v>1220</v>
      </c>
      <c r="B5121" s="501">
        <v>4849</v>
      </c>
      <c r="C5121" s="501" t="s">
        <v>1094</v>
      </c>
      <c r="D5121" s="501" t="s">
        <v>3380</v>
      </c>
      <c r="E5121" s="501" t="s">
        <v>3381</v>
      </c>
      <c r="F5121" s="501" t="s">
        <v>729</v>
      </c>
      <c r="G5121" s="501" t="s">
        <v>730</v>
      </c>
      <c r="H5121" s="501" t="s">
        <v>7511</v>
      </c>
      <c r="I5121" s="501">
        <v>751</v>
      </c>
      <c r="J5121" s="501">
        <v>662</v>
      </c>
      <c r="K5121" s="501">
        <v>0</v>
      </c>
      <c r="L5121" s="501">
        <v>22</v>
      </c>
      <c r="M5121" s="501">
        <v>53</v>
      </c>
      <c r="N5121" s="501">
        <v>0</v>
      </c>
      <c r="O5121" s="506">
        <v>14</v>
      </c>
    </row>
    <row r="5122" spans="1:15" x14ac:dyDescent="0.35">
      <c r="A5122" s="503" t="s">
        <v>1122</v>
      </c>
      <c r="B5122" s="504" t="s">
        <v>2994</v>
      </c>
      <c r="C5122" s="504" t="s">
        <v>1094</v>
      </c>
      <c r="D5122" s="504" t="s">
        <v>3380</v>
      </c>
      <c r="E5122" s="504" t="s">
        <v>3381</v>
      </c>
      <c r="F5122" s="504" t="s">
        <v>729</v>
      </c>
      <c r="G5122" s="504" t="s">
        <v>730</v>
      </c>
      <c r="H5122" s="504" t="s">
        <v>7512</v>
      </c>
      <c r="I5122" s="504">
        <v>276</v>
      </c>
      <c r="J5122" s="504">
        <v>225</v>
      </c>
      <c r="K5122" s="504">
        <v>0</v>
      </c>
      <c r="L5122" s="504">
        <v>24</v>
      </c>
      <c r="M5122" s="504">
        <v>0</v>
      </c>
      <c r="N5122" s="504">
        <v>0</v>
      </c>
      <c r="O5122" s="505">
        <v>27</v>
      </c>
    </row>
    <row r="5123" spans="1:15" x14ac:dyDescent="0.35">
      <c r="A5123" s="500" t="s">
        <v>1228</v>
      </c>
      <c r="B5123" s="501" t="s">
        <v>3321</v>
      </c>
      <c r="C5123" s="501" t="s">
        <v>1094</v>
      </c>
      <c r="D5123" s="501" t="s">
        <v>3380</v>
      </c>
      <c r="E5123" s="501" t="s">
        <v>3381</v>
      </c>
      <c r="F5123" s="501" t="s">
        <v>729</v>
      </c>
      <c r="G5123" s="501" t="s">
        <v>730</v>
      </c>
      <c r="H5123" s="501" t="s">
        <v>7513</v>
      </c>
      <c r="I5123" s="501">
        <v>69</v>
      </c>
      <c r="J5123" s="501">
        <v>0</v>
      </c>
      <c r="K5123" s="501">
        <v>0</v>
      </c>
      <c r="L5123" s="501">
        <v>69</v>
      </c>
      <c r="M5123" s="501">
        <v>0</v>
      </c>
      <c r="N5123" s="501">
        <v>0</v>
      </c>
      <c r="O5123" s="506">
        <v>0</v>
      </c>
    </row>
    <row r="5124" spans="1:15" x14ac:dyDescent="0.35">
      <c r="A5124" s="503" t="s">
        <v>1124</v>
      </c>
      <c r="B5124" s="504">
        <v>4745</v>
      </c>
      <c r="C5124" s="504" t="s">
        <v>1094</v>
      </c>
      <c r="D5124" s="504" t="s">
        <v>3380</v>
      </c>
      <c r="E5124" s="504" t="s">
        <v>3381</v>
      </c>
      <c r="F5124" s="504" t="s">
        <v>729</v>
      </c>
      <c r="G5124" s="504" t="s">
        <v>730</v>
      </c>
      <c r="H5124" s="504" t="s">
        <v>7514</v>
      </c>
      <c r="I5124" s="504">
        <v>5</v>
      </c>
      <c r="J5124" s="504">
        <v>0</v>
      </c>
      <c r="K5124" s="504">
        <v>0</v>
      </c>
      <c r="L5124" s="504">
        <v>5</v>
      </c>
      <c r="M5124" s="504">
        <v>0</v>
      </c>
      <c r="N5124" s="504">
        <v>0</v>
      </c>
      <c r="O5124" s="505">
        <v>0</v>
      </c>
    </row>
    <row r="5125" spans="1:15" x14ac:dyDescent="0.35">
      <c r="A5125" s="500" t="s">
        <v>1126</v>
      </c>
      <c r="B5125" s="501" t="s">
        <v>2974</v>
      </c>
      <c r="C5125" s="501" t="s">
        <v>1094</v>
      </c>
      <c r="D5125" s="501" t="s">
        <v>3380</v>
      </c>
      <c r="E5125" s="501" t="s">
        <v>3381</v>
      </c>
      <c r="F5125" s="501" t="s">
        <v>729</v>
      </c>
      <c r="G5125" s="501" t="s">
        <v>730</v>
      </c>
      <c r="H5125" s="501" t="s">
        <v>7515</v>
      </c>
      <c r="I5125" s="501">
        <v>63</v>
      </c>
      <c r="J5125" s="501">
        <v>63</v>
      </c>
      <c r="K5125" s="501">
        <v>0</v>
      </c>
      <c r="L5125" s="501">
        <v>0</v>
      </c>
      <c r="M5125" s="501">
        <v>0</v>
      </c>
      <c r="N5125" s="501">
        <v>0</v>
      </c>
      <c r="O5125" s="506">
        <v>0</v>
      </c>
    </row>
    <row r="5126" spans="1:15" x14ac:dyDescent="0.35">
      <c r="A5126" s="503" t="s">
        <v>1238</v>
      </c>
      <c r="B5126" s="504" t="s">
        <v>2963</v>
      </c>
      <c r="C5126" s="504" t="s">
        <v>1094</v>
      </c>
      <c r="D5126" s="504" t="s">
        <v>3380</v>
      </c>
      <c r="E5126" s="504" t="s">
        <v>3381</v>
      </c>
      <c r="F5126" s="504" t="s">
        <v>729</v>
      </c>
      <c r="G5126" s="504" t="s">
        <v>730</v>
      </c>
      <c r="H5126" s="504" t="s">
        <v>7516</v>
      </c>
      <c r="I5126" s="504">
        <v>4</v>
      </c>
      <c r="J5126" s="504">
        <v>4</v>
      </c>
      <c r="K5126" s="504">
        <v>0</v>
      </c>
      <c r="L5126" s="504">
        <v>0</v>
      </c>
      <c r="M5126" s="504">
        <v>0</v>
      </c>
      <c r="N5126" s="504">
        <v>0</v>
      </c>
      <c r="O5126" s="505">
        <v>0</v>
      </c>
    </row>
    <row r="5127" spans="1:15" x14ac:dyDescent="0.35">
      <c r="A5127" s="500" t="s">
        <v>1247</v>
      </c>
      <c r="B5127" s="501">
        <v>4838</v>
      </c>
      <c r="C5127" s="501" t="s">
        <v>1089</v>
      </c>
      <c r="D5127" s="501" t="s">
        <v>3392</v>
      </c>
      <c r="E5127" s="501" t="s">
        <v>3381</v>
      </c>
      <c r="F5127" s="501" t="s">
        <v>729</v>
      </c>
      <c r="G5127" s="501" t="s">
        <v>730</v>
      </c>
      <c r="H5127" s="501" t="s">
        <v>14824</v>
      </c>
      <c r="I5127" s="501">
        <v>2</v>
      </c>
      <c r="J5127" s="501">
        <v>0</v>
      </c>
      <c r="K5127" s="501">
        <v>0</v>
      </c>
      <c r="L5127" s="501">
        <v>2</v>
      </c>
      <c r="M5127" s="501">
        <v>0</v>
      </c>
      <c r="N5127" s="501">
        <v>0</v>
      </c>
      <c r="O5127" s="506">
        <v>0</v>
      </c>
    </row>
    <row r="5128" spans="1:15" x14ac:dyDescent="0.35">
      <c r="A5128" s="503" t="s">
        <v>1249</v>
      </c>
      <c r="B5128" s="504">
        <v>4729</v>
      </c>
      <c r="C5128" s="504" t="s">
        <v>1094</v>
      </c>
      <c r="D5128" s="504" t="s">
        <v>3380</v>
      </c>
      <c r="E5128" s="504" t="s">
        <v>3381</v>
      </c>
      <c r="F5128" s="504" t="s">
        <v>729</v>
      </c>
      <c r="G5128" s="504" t="s">
        <v>730</v>
      </c>
      <c r="H5128" s="504" t="s">
        <v>7517</v>
      </c>
      <c r="I5128" s="504">
        <v>28</v>
      </c>
      <c r="J5128" s="504">
        <v>28</v>
      </c>
      <c r="K5128" s="504">
        <v>0</v>
      </c>
      <c r="L5128" s="504">
        <v>0</v>
      </c>
      <c r="M5128" s="504">
        <v>0</v>
      </c>
      <c r="N5128" s="504">
        <v>0</v>
      </c>
      <c r="O5128" s="505">
        <v>0</v>
      </c>
    </row>
    <row r="5129" spans="1:15" x14ac:dyDescent="0.35">
      <c r="A5129" s="500" t="s">
        <v>1261</v>
      </c>
      <c r="B5129" s="501" t="s">
        <v>3130</v>
      </c>
      <c r="C5129" s="501" t="s">
        <v>1094</v>
      </c>
      <c r="D5129" s="501" t="s">
        <v>3380</v>
      </c>
      <c r="E5129" s="501" t="s">
        <v>3381</v>
      </c>
      <c r="F5129" s="501" t="s">
        <v>729</v>
      </c>
      <c r="G5129" s="501" t="s">
        <v>730</v>
      </c>
      <c r="H5129" s="501" t="s">
        <v>7518</v>
      </c>
      <c r="I5129" s="501">
        <v>84</v>
      </c>
      <c r="J5129" s="501">
        <v>66</v>
      </c>
      <c r="K5129" s="501">
        <v>0</v>
      </c>
      <c r="L5129" s="501">
        <v>0</v>
      </c>
      <c r="M5129" s="501">
        <v>0</v>
      </c>
      <c r="N5129" s="501">
        <v>0</v>
      </c>
      <c r="O5129" s="506">
        <v>18</v>
      </c>
    </row>
    <row r="5130" spans="1:15" x14ac:dyDescent="0.35">
      <c r="A5130" s="503" t="s">
        <v>14389</v>
      </c>
      <c r="B5130" s="504" t="s">
        <v>2910</v>
      </c>
      <c r="C5130" s="504" t="s">
        <v>1089</v>
      </c>
      <c r="D5130" s="504" t="s">
        <v>3392</v>
      </c>
      <c r="E5130" s="504" t="s">
        <v>3381</v>
      </c>
      <c r="F5130" s="504" t="s">
        <v>729</v>
      </c>
      <c r="G5130" s="504" t="s">
        <v>730</v>
      </c>
      <c r="H5130" s="504" t="s">
        <v>14825</v>
      </c>
      <c r="I5130" s="504">
        <v>32</v>
      </c>
      <c r="J5130" s="504">
        <v>0</v>
      </c>
      <c r="K5130" s="504">
        <v>0</v>
      </c>
      <c r="L5130" s="504">
        <v>32</v>
      </c>
      <c r="M5130" s="504">
        <v>0</v>
      </c>
      <c r="N5130" s="504">
        <v>0</v>
      </c>
      <c r="O5130" s="505">
        <v>0</v>
      </c>
    </row>
    <row r="5131" spans="1:15" x14ac:dyDescent="0.35">
      <c r="A5131" s="500" t="s">
        <v>1093</v>
      </c>
      <c r="B5131" s="501" t="s">
        <v>3248</v>
      </c>
      <c r="C5131" s="501" t="s">
        <v>1094</v>
      </c>
      <c r="D5131" s="501" t="s">
        <v>3380</v>
      </c>
      <c r="E5131" s="501" t="s">
        <v>3381</v>
      </c>
      <c r="F5131" s="501" t="s">
        <v>731</v>
      </c>
      <c r="G5131" s="501" t="s">
        <v>732</v>
      </c>
      <c r="H5131" s="501" t="s">
        <v>7519</v>
      </c>
      <c r="I5131" s="501">
        <v>6</v>
      </c>
      <c r="J5131" s="501">
        <v>0</v>
      </c>
      <c r="K5131" s="501">
        <v>0</v>
      </c>
      <c r="L5131" s="501">
        <v>5</v>
      </c>
      <c r="M5131" s="501">
        <v>0</v>
      </c>
      <c r="N5131" s="501">
        <v>0</v>
      </c>
      <c r="O5131" s="506">
        <v>1</v>
      </c>
    </row>
    <row r="5132" spans="1:15" x14ac:dyDescent="0.35">
      <c r="A5132" s="503" t="s">
        <v>1096</v>
      </c>
      <c r="B5132" s="504" t="s">
        <v>3326</v>
      </c>
      <c r="C5132" s="504" t="s">
        <v>1094</v>
      </c>
      <c r="D5132" s="504" t="s">
        <v>3380</v>
      </c>
      <c r="E5132" s="504" t="s">
        <v>3381</v>
      </c>
      <c r="F5132" s="504" t="s">
        <v>731</v>
      </c>
      <c r="G5132" s="504" t="s">
        <v>732</v>
      </c>
      <c r="H5132" s="504" t="s">
        <v>7520</v>
      </c>
      <c r="I5132" s="504">
        <v>211</v>
      </c>
      <c r="J5132" s="504">
        <v>0</v>
      </c>
      <c r="K5132" s="504">
        <v>0</v>
      </c>
      <c r="L5132" s="504">
        <v>0</v>
      </c>
      <c r="M5132" s="504">
        <v>173</v>
      </c>
      <c r="N5132" s="504">
        <v>0</v>
      </c>
      <c r="O5132" s="505">
        <v>38</v>
      </c>
    </row>
    <row r="5133" spans="1:15" x14ac:dyDescent="0.35">
      <c r="A5133" s="500" t="s">
        <v>1799</v>
      </c>
      <c r="B5133" s="501">
        <v>4722</v>
      </c>
      <c r="C5133" s="501" t="s">
        <v>1089</v>
      </c>
      <c r="D5133" s="501" t="s">
        <v>3392</v>
      </c>
      <c r="E5133" s="501" t="s">
        <v>3381</v>
      </c>
      <c r="F5133" s="501" t="s">
        <v>731</v>
      </c>
      <c r="G5133" s="501" t="s">
        <v>732</v>
      </c>
      <c r="H5133" s="501" t="s">
        <v>7521</v>
      </c>
      <c r="I5133" s="501">
        <v>97</v>
      </c>
      <c r="J5133" s="501">
        <v>0</v>
      </c>
      <c r="K5133" s="501">
        <v>0</v>
      </c>
      <c r="L5133" s="501">
        <v>97</v>
      </c>
      <c r="M5133" s="501">
        <v>0</v>
      </c>
      <c r="N5133" s="501">
        <v>0</v>
      </c>
      <c r="O5133" s="506">
        <v>0</v>
      </c>
    </row>
    <row r="5134" spans="1:15" x14ac:dyDescent="0.35">
      <c r="A5134" s="503" t="s">
        <v>1100</v>
      </c>
      <c r="B5134" s="504">
        <v>4865</v>
      </c>
      <c r="C5134" s="504" t="s">
        <v>1094</v>
      </c>
      <c r="D5134" s="504" t="s">
        <v>3380</v>
      </c>
      <c r="E5134" s="504" t="s">
        <v>3381</v>
      </c>
      <c r="F5134" s="504" t="s">
        <v>731</v>
      </c>
      <c r="G5134" s="504" t="s">
        <v>732</v>
      </c>
      <c r="H5134" s="504" t="s">
        <v>7522</v>
      </c>
      <c r="I5134" s="504">
        <v>257</v>
      </c>
      <c r="J5134" s="504">
        <v>198</v>
      </c>
      <c r="K5134" s="504">
        <v>0</v>
      </c>
      <c r="L5134" s="504">
        <v>0</v>
      </c>
      <c r="M5134" s="504">
        <v>0</v>
      </c>
      <c r="N5134" s="504">
        <v>0</v>
      </c>
      <c r="O5134" s="505">
        <v>59</v>
      </c>
    </row>
    <row r="5135" spans="1:15" x14ac:dyDescent="0.35">
      <c r="A5135" s="500" t="s">
        <v>1823</v>
      </c>
      <c r="B5135" s="501" t="s">
        <v>2820</v>
      </c>
      <c r="C5135" s="501" t="s">
        <v>1089</v>
      </c>
      <c r="D5135" s="501" t="s">
        <v>3392</v>
      </c>
      <c r="E5135" s="501" t="s">
        <v>3381</v>
      </c>
      <c r="F5135" s="501" t="s">
        <v>731</v>
      </c>
      <c r="G5135" s="501" t="s">
        <v>732</v>
      </c>
      <c r="H5135" s="501" t="s">
        <v>7523</v>
      </c>
      <c r="I5135" s="501">
        <v>29</v>
      </c>
      <c r="J5135" s="501">
        <v>29</v>
      </c>
      <c r="K5135" s="501">
        <v>0</v>
      </c>
      <c r="L5135" s="501">
        <v>0</v>
      </c>
      <c r="M5135" s="501">
        <v>0</v>
      </c>
      <c r="N5135" s="501">
        <v>0</v>
      </c>
      <c r="O5135" s="506">
        <v>0</v>
      </c>
    </row>
    <row r="5136" spans="1:15" x14ac:dyDescent="0.35">
      <c r="A5136" s="503" t="s">
        <v>1443</v>
      </c>
      <c r="B5136" s="504" t="s">
        <v>3356</v>
      </c>
      <c r="C5136" s="504" t="s">
        <v>1094</v>
      </c>
      <c r="D5136" s="504" t="s">
        <v>3380</v>
      </c>
      <c r="E5136" s="504" t="s">
        <v>3381</v>
      </c>
      <c r="F5136" s="504" t="s">
        <v>731</v>
      </c>
      <c r="G5136" s="504" t="s">
        <v>732</v>
      </c>
      <c r="H5136" s="504" t="s">
        <v>7524</v>
      </c>
      <c r="I5136" s="504">
        <v>183</v>
      </c>
      <c r="J5136" s="504">
        <v>136</v>
      </c>
      <c r="K5136" s="504">
        <v>0</v>
      </c>
      <c r="L5136" s="504">
        <v>0</v>
      </c>
      <c r="M5136" s="504">
        <v>0</v>
      </c>
      <c r="N5136" s="504">
        <v>3</v>
      </c>
      <c r="O5136" s="505">
        <v>47</v>
      </c>
    </row>
    <row r="5137" spans="1:15" x14ac:dyDescent="0.35">
      <c r="A5137" s="500" t="s">
        <v>1185</v>
      </c>
      <c r="B5137" s="501" t="s">
        <v>3253</v>
      </c>
      <c r="C5137" s="501" t="s">
        <v>1094</v>
      </c>
      <c r="D5137" s="501" t="s">
        <v>3380</v>
      </c>
      <c r="E5137" s="501" t="s">
        <v>3381</v>
      </c>
      <c r="F5137" s="501" t="s">
        <v>731</v>
      </c>
      <c r="G5137" s="501" t="s">
        <v>732</v>
      </c>
      <c r="H5137" s="501" t="s">
        <v>7525</v>
      </c>
      <c r="I5137" s="501">
        <v>75</v>
      </c>
      <c r="J5137" s="501">
        <v>32</v>
      </c>
      <c r="K5137" s="501">
        <v>0</v>
      </c>
      <c r="L5137" s="501">
        <v>22</v>
      </c>
      <c r="M5137" s="501">
        <v>21</v>
      </c>
      <c r="N5137" s="501">
        <v>0</v>
      </c>
      <c r="O5137" s="506">
        <v>0</v>
      </c>
    </row>
    <row r="5138" spans="1:15" x14ac:dyDescent="0.35">
      <c r="A5138" s="503" t="s">
        <v>14223</v>
      </c>
      <c r="B5138" s="504">
        <v>4634</v>
      </c>
      <c r="C5138" s="504" t="s">
        <v>1089</v>
      </c>
      <c r="D5138" s="504" t="s">
        <v>3392</v>
      </c>
      <c r="E5138" s="504" t="s">
        <v>3381</v>
      </c>
      <c r="F5138" s="504" t="s">
        <v>731</v>
      </c>
      <c r="G5138" s="504" t="s">
        <v>732</v>
      </c>
      <c r="H5138" s="504" t="s">
        <v>14826</v>
      </c>
      <c r="I5138" s="504">
        <v>445</v>
      </c>
      <c r="J5138" s="504">
        <v>355</v>
      </c>
      <c r="K5138" s="504">
        <v>0</v>
      </c>
      <c r="L5138" s="504">
        <v>36</v>
      </c>
      <c r="M5138" s="504">
        <v>54</v>
      </c>
      <c r="N5138" s="504">
        <v>0</v>
      </c>
      <c r="O5138" s="505">
        <v>0</v>
      </c>
    </row>
    <row r="5139" spans="1:15" x14ac:dyDescent="0.35">
      <c r="A5139" s="500" t="s">
        <v>1105</v>
      </c>
      <c r="B5139" s="501">
        <v>4668</v>
      </c>
      <c r="C5139" s="501" t="s">
        <v>1094</v>
      </c>
      <c r="D5139" s="501" t="s">
        <v>3380</v>
      </c>
      <c r="E5139" s="501" t="s">
        <v>3381</v>
      </c>
      <c r="F5139" s="501" t="s">
        <v>731</v>
      </c>
      <c r="G5139" s="501" t="s">
        <v>732</v>
      </c>
      <c r="H5139" s="501" t="s">
        <v>7526</v>
      </c>
      <c r="I5139" s="501">
        <v>10</v>
      </c>
      <c r="J5139" s="501">
        <v>0</v>
      </c>
      <c r="K5139" s="501">
        <v>0</v>
      </c>
      <c r="L5139" s="501">
        <v>0</v>
      </c>
      <c r="M5139" s="501">
        <v>0</v>
      </c>
      <c r="N5139" s="501">
        <v>0</v>
      </c>
      <c r="O5139" s="506">
        <v>10</v>
      </c>
    </row>
    <row r="5140" spans="1:15" x14ac:dyDescent="0.35">
      <c r="A5140" s="503" t="s">
        <v>1107</v>
      </c>
      <c r="B5140" s="504" t="s">
        <v>3109</v>
      </c>
      <c r="C5140" s="504" t="s">
        <v>1094</v>
      </c>
      <c r="D5140" s="504" t="s">
        <v>3380</v>
      </c>
      <c r="E5140" s="504" t="s">
        <v>3381</v>
      </c>
      <c r="F5140" s="504" t="s">
        <v>731</v>
      </c>
      <c r="G5140" s="504" t="s">
        <v>732</v>
      </c>
      <c r="H5140" s="504" t="s">
        <v>7527</v>
      </c>
      <c r="I5140" s="504">
        <v>16</v>
      </c>
      <c r="J5140" s="504">
        <v>0</v>
      </c>
      <c r="K5140" s="504">
        <v>0</v>
      </c>
      <c r="L5140" s="504">
        <v>4</v>
      </c>
      <c r="M5140" s="504">
        <v>0</v>
      </c>
      <c r="N5140" s="504">
        <v>0</v>
      </c>
      <c r="O5140" s="505">
        <v>12</v>
      </c>
    </row>
    <row r="5141" spans="1:15" x14ac:dyDescent="0.35">
      <c r="A5141" s="500" t="s">
        <v>1109</v>
      </c>
      <c r="B5141" s="501" t="s">
        <v>2959</v>
      </c>
      <c r="C5141" s="501" t="s">
        <v>1094</v>
      </c>
      <c r="D5141" s="501" t="s">
        <v>3380</v>
      </c>
      <c r="E5141" s="501" t="s">
        <v>3381</v>
      </c>
      <c r="F5141" s="501" t="s">
        <v>731</v>
      </c>
      <c r="G5141" s="501" t="s">
        <v>732</v>
      </c>
      <c r="H5141" s="501" t="s">
        <v>7528</v>
      </c>
      <c r="I5141" s="501">
        <v>223</v>
      </c>
      <c r="J5141" s="501">
        <v>0</v>
      </c>
      <c r="K5141" s="501">
        <v>0</v>
      </c>
      <c r="L5141" s="501">
        <v>0</v>
      </c>
      <c r="M5141" s="501">
        <v>223</v>
      </c>
      <c r="N5141" s="501">
        <v>0</v>
      </c>
      <c r="O5141" s="506">
        <v>0</v>
      </c>
    </row>
    <row r="5142" spans="1:15" x14ac:dyDescent="0.35">
      <c r="A5142" s="503" t="s">
        <v>1189</v>
      </c>
      <c r="B5142" s="504" t="s">
        <v>3236</v>
      </c>
      <c r="C5142" s="504" t="s">
        <v>1094</v>
      </c>
      <c r="D5142" s="504" t="s">
        <v>3380</v>
      </c>
      <c r="E5142" s="504" t="s">
        <v>3381</v>
      </c>
      <c r="F5142" s="504" t="s">
        <v>731</v>
      </c>
      <c r="G5142" s="504" t="s">
        <v>732</v>
      </c>
      <c r="H5142" s="504" t="s">
        <v>7529</v>
      </c>
      <c r="I5142" s="504">
        <v>606</v>
      </c>
      <c r="J5142" s="504">
        <v>395</v>
      </c>
      <c r="K5142" s="504">
        <v>0</v>
      </c>
      <c r="L5142" s="504">
        <v>26</v>
      </c>
      <c r="M5142" s="504">
        <v>0</v>
      </c>
      <c r="N5142" s="504">
        <v>2</v>
      </c>
      <c r="O5142" s="505">
        <v>185</v>
      </c>
    </row>
    <row r="5143" spans="1:15" x14ac:dyDescent="0.35">
      <c r="A5143" s="500" t="s">
        <v>1190</v>
      </c>
      <c r="B5143" s="501">
        <v>4662</v>
      </c>
      <c r="C5143" s="501" t="s">
        <v>1094</v>
      </c>
      <c r="D5143" s="501" t="s">
        <v>3380</v>
      </c>
      <c r="E5143" s="501" t="s">
        <v>3381</v>
      </c>
      <c r="F5143" s="501" t="s">
        <v>731</v>
      </c>
      <c r="G5143" s="501" t="s">
        <v>732</v>
      </c>
      <c r="H5143" s="501" t="s">
        <v>7530</v>
      </c>
      <c r="I5143" s="501">
        <v>12</v>
      </c>
      <c r="J5143" s="501">
        <v>0</v>
      </c>
      <c r="K5143" s="501">
        <v>0</v>
      </c>
      <c r="L5143" s="501">
        <v>12</v>
      </c>
      <c r="M5143" s="501">
        <v>0</v>
      </c>
      <c r="N5143" s="501">
        <v>0</v>
      </c>
      <c r="O5143" s="506">
        <v>0</v>
      </c>
    </row>
    <row r="5144" spans="1:15" x14ac:dyDescent="0.35">
      <c r="A5144" s="503" t="s">
        <v>1856</v>
      </c>
      <c r="B5144" s="504" t="s">
        <v>2513</v>
      </c>
      <c r="C5144" s="504" t="s">
        <v>1089</v>
      </c>
      <c r="D5144" s="504" t="s">
        <v>3392</v>
      </c>
      <c r="E5144" s="504" t="s">
        <v>3381</v>
      </c>
      <c r="F5144" s="504" t="s">
        <v>731</v>
      </c>
      <c r="G5144" s="504" t="s">
        <v>732</v>
      </c>
      <c r="H5144" s="504" t="s">
        <v>7531</v>
      </c>
      <c r="I5144" s="504">
        <v>12</v>
      </c>
      <c r="J5144" s="504">
        <v>0</v>
      </c>
      <c r="K5144" s="504">
        <v>0</v>
      </c>
      <c r="L5144" s="504">
        <v>0</v>
      </c>
      <c r="M5144" s="504">
        <v>12</v>
      </c>
      <c r="N5144" s="504">
        <v>0</v>
      </c>
      <c r="O5144" s="505">
        <v>0</v>
      </c>
    </row>
    <row r="5145" spans="1:15" x14ac:dyDescent="0.35">
      <c r="A5145" s="500" t="s">
        <v>1195</v>
      </c>
      <c r="B5145" s="501">
        <v>4693</v>
      </c>
      <c r="C5145" s="501" t="s">
        <v>1089</v>
      </c>
      <c r="D5145" s="501" t="s">
        <v>3392</v>
      </c>
      <c r="E5145" s="501" t="s">
        <v>3381</v>
      </c>
      <c r="F5145" s="501" t="s">
        <v>731</v>
      </c>
      <c r="G5145" s="501" t="s">
        <v>732</v>
      </c>
      <c r="H5145" s="501" t="s">
        <v>7532</v>
      </c>
      <c r="I5145" s="501">
        <v>31</v>
      </c>
      <c r="J5145" s="501">
        <v>0</v>
      </c>
      <c r="K5145" s="501">
        <v>0</v>
      </c>
      <c r="L5145" s="501">
        <v>31</v>
      </c>
      <c r="M5145" s="501">
        <v>0</v>
      </c>
      <c r="N5145" s="501">
        <v>0</v>
      </c>
      <c r="O5145" s="506">
        <v>0</v>
      </c>
    </row>
    <row r="5146" spans="1:15" x14ac:dyDescent="0.35">
      <c r="A5146" s="503" t="s">
        <v>1202</v>
      </c>
      <c r="B5146" s="504" t="s">
        <v>3217</v>
      </c>
      <c r="C5146" s="504" t="s">
        <v>1094</v>
      </c>
      <c r="D5146" s="504" t="s">
        <v>3380</v>
      </c>
      <c r="E5146" s="504" t="s">
        <v>3381</v>
      </c>
      <c r="F5146" s="504" t="s">
        <v>731</v>
      </c>
      <c r="G5146" s="504" t="s">
        <v>732</v>
      </c>
      <c r="H5146" s="504" t="s">
        <v>7533</v>
      </c>
      <c r="I5146" s="504">
        <v>741</v>
      </c>
      <c r="J5146" s="504">
        <v>558</v>
      </c>
      <c r="K5146" s="504">
        <v>0</v>
      </c>
      <c r="L5146" s="504">
        <v>0</v>
      </c>
      <c r="M5146" s="504">
        <v>38</v>
      </c>
      <c r="N5146" s="504">
        <v>10</v>
      </c>
      <c r="O5146" s="505">
        <v>145</v>
      </c>
    </row>
    <row r="5147" spans="1:15" x14ac:dyDescent="0.35">
      <c r="A5147" s="500" t="s">
        <v>1114</v>
      </c>
      <c r="B5147" s="501" t="s">
        <v>2982</v>
      </c>
      <c r="C5147" s="501" t="s">
        <v>1094</v>
      </c>
      <c r="D5147" s="501" t="s">
        <v>3380</v>
      </c>
      <c r="E5147" s="501" t="s">
        <v>3381</v>
      </c>
      <c r="F5147" s="501" t="s">
        <v>731</v>
      </c>
      <c r="G5147" s="501" t="s">
        <v>732</v>
      </c>
      <c r="H5147" s="501" t="s">
        <v>7534</v>
      </c>
      <c r="I5147" s="501">
        <v>1143</v>
      </c>
      <c r="J5147" s="501">
        <v>669</v>
      </c>
      <c r="K5147" s="501">
        <v>0</v>
      </c>
      <c r="L5147" s="501">
        <v>9</v>
      </c>
      <c r="M5147" s="501">
        <v>72</v>
      </c>
      <c r="N5147" s="501">
        <v>0</v>
      </c>
      <c r="O5147" s="506">
        <v>393</v>
      </c>
    </row>
    <row r="5148" spans="1:15" x14ac:dyDescent="0.35">
      <c r="A5148" s="503" t="s">
        <v>1120</v>
      </c>
      <c r="B5148" s="504" t="s">
        <v>3362</v>
      </c>
      <c r="C5148" s="504" t="s">
        <v>1094</v>
      </c>
      <c r="D5148" s="504" t="s">
        <v>3380</v>
      </c>
      <c r="E5148" s="504" t="s">
        <v>3381</v>
      </c>
      <c r="F5148" s="504" t="s">
        <v>731</v>
      </c>
      <c r="G5148" s="504" t="s">
        <v>732</v>
      </c>
      <c r="H5148" s="504" t="s">
        <v>7535</v>
      </c>
      <c r="I5148" s="504">
        <v>1</v>
      </c>
      <c r="J5148" s="504">
        <v>0</v>
      </c>
      <c r="K5148" s="504">
        <v>0</v>
      </c>
      <c r="L5148" s="504">
        <v>0</v>
      </c>
      <c r="M5148" s="504">
        <v>0</v>
      </c>
      <c r="N5148" s="504">
        <v>0</v>
      </c>
      <c r="O5148" s="505">
        <v>1</v>
      </c>
    </row>
    <row r="5149" spans="1:15" x14ac:dyDescent="0.35">
      <c r="A5149" s="500" t="s">
        <v>1320</v>
      </c>
      <c r="B5149" s="501">
        <v>4720</v>
      </c>
      <c r="C5149" s="501" t="s">
        <v>1089</v>
      </c>
      <c r="D5149" s="501" t="s">
        <v>3392</v>
      </c>
      <c r="E5149" s="501" t="s">
        <v>3381</v>
      </c>
      <c r="F5149" s="501" t="s">
        <v>731</v>
      </c>
      <c r="G5149" s="501" t="s">
        <v>732</v>
      </c>
      <c r="H5149" s="501" t="s">
        <v>11881</v>
      </c>
      <c r="I5149" s="501">
        <v>3</v>
      </c>
      <c r="J5149" s="501">
        <v>3</v>
      </c>
      <c r="K5149" s="501">
        <v>0</v>
      </c>
      <c r="L5149" s="501">
        <v>0</v>
      </c>
      <c r="M5149" s="501">
        <v>0</v>
      </c>
      <c r="N5149" s="501">
        <v>0</v>
      </c>
      <c r="O5149" s="506">
        <v>0</v>
      </c>
    </row>
    <row r="5150" spans="1:15" x14ac:dyDescent="0.35">
      <c r="A5150" s="503" t="s">
        <v>1217</v>
      </c>
      <c r="B5150" s="504">
        <v>4851</v>
      </c>
      <c r="C5150" s="504" t="s">
        <v>1094</v>
      </c>
      <c r="D5150" s="504" t="s">
        <v>3380</v>
      </c>
      <c r="E5150" s="504" t="s">
        <v>3381</v>
      </c>
      <c r="F5150" s="504" t="s">
        <v>731</v>
      </c>
      <c r="G5150" s="504" t="s">
        <v>732</v>
      </c>
      <c r="H5150" s="504" t="s">
        <v>7536</v>
      </c>
      <c r="I5150" s="504">
        <v>424</v>
      </c>
      <c r="J5150" s="504">
        <v>218</v>
      </c>
      <c r="K5150" s="504">
        <v>0</v>
      </c>
      <c r="L5150" s="504">
        <v>21</v>
      </c>
      <c r="M5150" s="504">
        <v>76</v>
      </c>
      <c r="N5150" s="504">
        <v>2</v>
      </c>
      <c r="O5150" s="505">
        <v>109</v>
      </c>
    </row>
    <row r="5151" spans="1:15" x14ac:dyDescent="0.35">
      <c r="A5151" s="500" t="s">
        <v>1218</v>
      </c>
      <c r="B5151" s="501" t="s">
        <v>3147</v>
      </c>
      <c r="C5151" s="501" t="s">
        <v>1094</v>
      </c>
      <c r="D5151" s="501" t="s">
        <v>3380</v>
      </c>
      <c r="E5151" s="501" t="s">
        <v>3381</v>
      </c>
      <c r="F5151" s="501" t="s">
        <v>731</v>
      </c>
      <c r="G5151" s="501" t="s">
        <v>732</v>
      </c>
      <c r="H5151" s="501" t="s">
        <v>7537</v>
      </c>
      <c r="I5151" s="501">
        <v>336</v>
      </c>
      <c r="J5151" s="501">
        <v>0</v>
      </c>
      <c r="K5151" s="501">
        <v>0</v>
      </c>
      <c r="L5151" s="501">
        <v>0</v>
      </c>
      <c r="M5151" s="501">
        <v>0</v>
      </c>
      <c r="N5151" s="501">
        <v>0</v>
      </c>
      <c r="O5151" s="506">
        <v>336</v>
      </c>
    </row>
    <row r="5152" spans="1:15" x14ac:dyDescent="0.35">
      <c r="A5152" s="503" t="s">
        <v>11367</v>
      </c>
      <c r="B5152" s="504" t="s">
        <v>3143</v>
      </c>
      <c r="C5152" s="504" t="s">
        <v>1094</v>
      </c>
      <c r="D5152" s="504" t="s">
        <v>3380</v>
      </c>
      <c r="E5152" s="504" t="s">
        <v>3381</v>
      </c>
      <c r="F5152" s="504" t="s">
        <v>731</v>
      </c>
      <c r="G5152" s="504" t="s">
        <v>732</v>
      </c>
      <c r="H5152" s="504" t="s">
        <v>11937</v>
      </c>
      <c r="I5152" s="504">
        <v>724</v>
      </c>
      <c r="J5152" s="504">
        <v>630</v>
      </c>
      <c r="K5152" s="504">
        <v>0</v>
      </c>
      <c r="L5152" s="504">
        <v>12</v>
      </c>
      <c r="M5152" s="504">
        <v>82</v>
      </c>
      <c r="N5152" s="504">
        <v>1</v>
      </c>
      <c r="O5152" s="505">
        <v>0</v>
      </c>
    </row>
    <row r="5153" spans="1:15" x14ac:dyDescent="0.35">
      <c r="A5153" s="500" t="s">
        <v>1122</v>
      </c>
      <c r="B5153" s="501" t="s">
        <v>2994</v>
      </c>
      <c r="C5153" s="501" t="s">
        <v>1094</v>
      </c>
      <c r="D5153" s="501" t="s">
        <v>3380</v>
      </c>
      <c r="E5153" s="501" t="s">
        <v>3381</v>
      </c>
      <c r="F5153" s="501" t="s">
        <v>731</v>
      </c>
      <c r="G5153" s="501" t="s">
        <v>732</v>
      </c>
      <c r="H5153" s="501" t="s">
        <v>7538</v>
      </c>
      <c r="I5153" s="501">
        <v>2</v>
      </c>
      <c r="J5153" s="501">
        <v>2</v>
      </c>
      <c r="K5153" s="501">
        <v>0</v>
      </c>
      <c r="L5153" s="501">
        <v>0</v>
      </c>
      <c r="M5153" s="501">
        <v>0</v>
      </c>
      <c r="N5153" s="501">
        <v>0</v>
      </c>
      <c r="O5153" s="506">
        <v>0</v>
      </c>
    </row>
    <row r="5154" spans="1:15" x14ac:dyDescent="0.35">
      <c r="A5154" s="503" t="s">
        <v>1124</v>
      </c>
      <c r="B5154" s="504">
        <v>4745</v>
      </c>
      <c r="C5154" s="504" t="s">
        <v>1094</v>
      </c>
      <c r="D5154" s="504" t="s">
        <v>3380</v>
      </c>
      <c r="E5154" s="504" t="s">
        <v>3381</v>
      </c>
      <c r="F5154" s="504" t="s">
        <v>731</v>
      </c>
      <c r="G5154" s="504" t="s">
        <v>732</v>
      </c>
      <c r="H5154" s="504" t="s">
        <v>7539</v>
      </c>
      <c r="I5154" s="504">
        <v>24</v>
      </c>
      <c r="J5154" s="504">
        <v>0</v>
      </c>
      <c r="K5154" s="504">
        <v>0</v>
      </c>
      <c r="L5154" s="504">
        <v>24</v>
      </c>
      <c r="M5154" s="504">
        <v>0</v>
      </c>
      <c r="N5154" s="504">
        <v>0</v>
      </c>
      <c r="O5154" s="505">
        <v>0</v>
      </c>
    </row>
    <row r="5155" spans="1:15" x14ac:dyDescent="0.35">
      <c r="A5155" s="500" t="s">
        <v>1126</v>
      </c>
      <c r="B5155" s="501" t="s">
        <v>2974</v>
      </c>
      <c r="C5155" s="501" t="s">
        <v>1094</v>
      </c>
      <c r="D5155" s="501" t="s">
        <v>3380</v>
      </c>
      <c r="E5155" s="501" t="s">
        <v>3381</v>
      </c>
      <c r="F5155" s="501" t="s">
        <v>731</v>
      </c>
      <c r="G5155" s="501" t="s">
        <v>732</v>
      </c>
      <c r="H5155" s="501" t="s">
        <v>7540</v>
      </c>
      <c r="I5155" s="501">
        <v>132</v>
      </c>
      <c r="J5155" s="501">
        <v>102</v>
      </c>
      <c r="K5155" s="501">
        <v>0</v>
      </c>
      <c r="L5155" s="501">
        <v>9</v>
      </c>
      <c r="M5155" s="501">
        <v>21</v>
      </c>
      <c r="N5155" s="501">
        <v>0</v>
      </c>
      <c r="O5155" s="506">
        <v>0</v>
      </c>
    </row>
    <row r="5156" spans="1:15" x14ac:dyDescent="0.35">
      <c r="A5156" s="503" t="s">
        <v>1130</v>
      </c>
      <c r="B5156" s="504" t="s">
        <v>3234</v>
      </c>
      <c r="C5156" s="504" t="s">
        <v>1094</v>
      </c>
      <c r="D5156" s="504" t="s">
        <v>3380</v>
      </c>
      <c r="E5156" s="504" t="s">
        <v>3381</v>
      </c>
      <c r="F5156" s="504" t="s">
        <v>731</v>
      </c>
      <c r="G5156" s="504" t="s">
        <v>732</v>
      </c>
      <c r="H5156" s="504" t="s">
        <v>7541</v>
      </c>
      <c r="I5156" s="504">
        <v>217</v>
      </c>
      <c r="J5156" s="504">
        <v>90</v>
      </c>
      <c r="K5156" s="504">
        <v>0</v>
      </c>
      <c r="L5156" s="504">
        <v>0</v>
      </c>
      <c r="M5156" s="504">
        <v>105</v>
      </c>
      <c r="N5156" s="504">
        <v>9</v>
      </c>
      <c r="O5156" s="505">
        <v>22</v>
      </c>
    </row>
    <row r="5157" spans="1:15" x14ac:dyDescent="0.35">
      <c r="A5157" s="500" t="s">
        <v>1253</v>
      </c>
      <c r="B5157" s="501" t="s">
        <v>3232</v>
      </c>
      <c r="C5157" s="501" t="s">
        <v>1094</v>
      </c>
      <c r="D5157" s="501" t="s">
        <v>3380</v>
      </c>
      <c r="E5157" s="501" t="s">
        <v>3381</v>
      </c>
      <c r="F5157" s="501" t="s">
        <v>731</v>
      </c>
      <c r="G5157" s="501" t="s">
        <v>732</v>
      </c>
      <c r="H5157" s="501" t="s">
        <v>7542</v>
      </c>
      <c r="I5157" s="501">
        <v>184</v>
      </c>
      <c r="J5157" s="501">
        <v>111</v>
      </c>
      <c r="K5157" s="501">
        <v>0</v>
      </c>
      <c r="L5157" s="501">
        <v>57</v>
      </c>
      <c r="M5157" s="501">
        <v>12</v>
      </c>
      <c r="N5157" s="501">
        <v>1</v>
      </c>
      <c r="O5157" s="506">
        <v>4</v>
      </c>
    </row>
    <row r="5158" spans="1:15" x14ac:dyDescent="0.35">
      <c r="A5158" s="503" t="s">
        <v>1928</v>
      </c>
      <c r="B5158" s="504" t="s">
        <v>3167</v>
      </c>
      <c r="C5158" s="504" t="s">
        <v>1094</v>
      </c>
      <c r="D5158" s="504" t="s">
        <v>3380</v>
      </c>
      <c r="E5158" s="504" t="s">
        <v>3381</v>
      </c>
      <c r="F5158" s="504" t="s">
        <v>731</v>
      </c>
      <c r="G5158" s="504" t="s">
        <v>732</v>
      </c>
      <c r="H5158" s="504" t="s">
        <v>7543</v>
      </c>
      <c r="I5158" s="504">
        <v>317</v>
      </c>
      <c r="J5158" s="504">
        <v>247</v>
      </c>
      <c r="K5158" s="504">
        <v>0</v>
      </c>
      <c r="L5158" s="504">
        <v>0</v>
      </c>
      <c r="M5158" s="504">
        <v>0</v>
      </c>
      <c r="N5158" s="504">
        <v>0</v>
      </c>
      <c r="O5158" s="505">
        <v>70</v>
      </c>
    </row>
    <row r="5159" spans="1:15" x14ac:dyDescent="0.35">
      <c r="A5159" s="500" t="s">
        <v>1935</v>
      </c>
      <c r="B5159" s="501" t="s">
        <v>3305</v>
      </c>
      <c r="C5159" s="501" t="s">
        <v>1094</v>
      </c>
      <c r="D5159" s="501" t="s">
        <v>3380</v>
      </c>
      <c r="E5159" s="501" t="s">
        <v>3381</v>
      </c>
      <c r="F5159" s="501" t="s">
        <v>731</v>
      </c>
      <c r="G5159" s="501" t="s">
        <v>732</v>
      </c>
      <c r="H5159" s="501" t="s">
        <v>7544</v>
      </c>
      <c r="I5159" s="501">
        <v>442</v>
      </c>
      <c r="J5159" s="501">
        <v>263</v>
      </c>
      <c r="K5159" s="501">
        <v>0</v>
      </c>
      <c r="L5159" s="501">
        <v>0</v>
      </c>
      <c r="M5159" s="501">
        <v>62</v>
      </c>
      <c r="N5159" s="501">
        <v>0</v>
      </c>
      <c r="O5159" s="506">
        <v>117</v>
      </c>
    </row>
    <row r="5160" spans="1:15" x14ac:dyDescent="0.35">
      <c r="A5160" s="503" t="s">
        <v>1093</v>
      </c>
      <c r="B5160" s="504" t="s">
        <v>3248</v>
      </c>
      <c r="C5160" s="504" t="s">
        <v>1094</v>
      </c>
      <c r="D5160" s="504" t="s">
        <v>3380</v>
      </c>
      <c r="E5160" s="504" t="s">
        <v>3381</v>
      </c>
      <c r="F5160" s="504" t="s">
        <v>733</v>
      </c>
      <c r="G5160" s="504" t="s">
        <v>734</v>
      </c>
      <c r="H5160" s="504" t="s">
        <v>7545</v>
      </c>
      <c r="I5160" s="504">
        <v>7</v>
      </c>
      <c r="J5160" s="504">
        <v>0</v>
      </c>
      <c r="K5160" s="504">
        <v>0</v>
      </c>
      <c r="L5160" s="504">
        <v>7</v>
      </c>
      <c r="M5160" s="504">
        <v>0</v>
      </c>
      <c r="N5160" s="504">
        <v>0</v>
      </c>
      <c r="O5160" s="505">
        <v>0</v>
      </c>
    </row>
    <row r="5161" spans="1:15" x14ac:dyDescent="0.35">
      <c r="A5161" s="500" t="s">
        <v>1155</v>
      </c>
      <c r="B5161" s="501" t="s">
        <v>2639</v>
      </c>
      <c r="C5161" s="501" t="s">
        <v>1089</v>
      </c>
      <c r="D5161" s="501" t="s">
        <v>3392</v>
      </c>
      <c r="E5161" s="501" t="s">
        <v>3381</v>
      </c>
      <c r="F5161" s="501" t="s">
        <v>733</v>
      </c>
      <c r="G5161" s="501" t="s">
        <v>734</v>
      </c>
      <c r="H5161" s="501" t="s">
        <v>7546</v>
      </c>
      <c r="I5161" s="501">
        <v>1</v>
      </c>
      <c r="J5161" s="501">
        <v>1</v>
      </c>
      <c r="K5161" s="501">
        <v>0</v>
      </c>
      <c r="L5161" s="501">
        <v>0</v>
      </c>
      <c r="M5161" s="501">
        <v>0</v>
      </c>
      <c r="N5161" s="501">
        <v>0</v>
      </c>
      <c r="O5161" s="506">
        <v>0</v>
      </c>
    </row>
    <row r="5162" spans="1:15" x14ac:dyDescent="0.35">
      <c r="A5162" s="503" t="s">
        <v>1171</v>
      </c>
      <c r="B5162" s="504" t="s">
        <v>3003</v>
      </c>
      <c r="C5162" s="504" t="s">
        <v>1094</v>
      </c>
      <c r="D5162" s="504" t="s">
        <v>3380</v>
      </c>
      <c r="E5162" s="504" t="s">
        <v>3381</v>
      </c>
      <c r="F5162" s="504" t="s">
        <v>733</v>
      </c>
      <c r="G5162" s="504" t="s">
        <v>734</v>
      </c>
      <c r="H5162" s="504" t="s">
        <v>7547</v>
      </c>
      <c r="I5162" s="504">
        <v>19</v>
      </c>
      <c r="J5162" s="504">
        <v>11</v>
      </c>
      <c r="K5162" s="504">
        <v>0</v>
      </c>
      <c r="L5162" s="504">
        <v>0</v>
      </c>
      <c r="M5162" s="504">
        <v>0</v>
      </c>
      <c r="N5162" s="504">
        <v>0</v>
      </c>
      <c r="O5162" s="505">
        <v>8</v>
      </c>
    </row>
    <row r="5163" spans="1:15" x14ac:dyDescent="0.35">
      <c r="A5163" s="500" t="s">
        <v>1173</v>
      </c>
      <c r="B5163" s="501">
        <v>4775</v>
      </c>
      <c r="C5163" s="501" t="s">
        <v>1094</v>
      </c>
      <c r="D5163" s="501" t="s">
        <v>3380</v>
      </c>
      <c r="E5163" s="501" t="s">
        <v>3381</v>
      </c>
      <c r="F5163" s="501" t="s">
        <v>733</v>
      </c>
      <c r="G5163" s="501" t="s">
        <v>734</v>
      </c>
      <c r="H5163" s="501" t="s">
        <v>7548</v>
      </c>
      <c r="I5163" s="501">
        <v>242</v>
      </c>
      <c r="J5163" s="501">
        <v>161</v>
      </c>
      <c r="K5163" s="501">
        <v>0</v>
      </c>
      <c r="L5163" s="501">
        <v>27</v>
      </c>
      <c r="M5163" s="501">
        <v>0</v>
      </c>
      <c r="N5163" s="501">
        <v>0</v>
      </c>
      <c r="O5163" s="506">
        <v>54</v>
      </c>
    </row>
    <row r="5164" spans="1:15" x14ac:dyDescent="0.35">
      <c r="A5164" s="503" t="s">
        <v>1175</v>
      </c>
      <c r="B5164" s="504" t="s">
        <v>3141</v>
      </c>
      <c r="C5164" s="504" t="s">
        <v>1094</v>
      </c>
      <c r="D5164" s="504" t="s">
        <v>3380</v>
      </c>
      <c r="E5164" s="504" t="s">
        <v>3381</v>
      </c>
      <c r="F5164" s="504" t="s">
        <v>733</v>
      </c>
      <c r="G5164" s="504" t="s">
        <v>734</v>
      </c>
      <c r="H5164" s="504" t="s">
        <v>7549</v>
      </c>
      <c r="I5164" s="504">
        <v>12</v>
      </c>
      <c r="J5164" s="504">
        <v>12</v>
      </c>
      <c r="K5164" s="504">
        <v>0</v>
      </c>
      <c r="L5164" s="504">
        <v>0</v>
      </c>
      <c r="M5164" s="504">
        <v>0</v>
      </c>
      <c r="N5164" s="504">
        <v>0</v>
      </c>
      <c r="O5164" s="505">
        <v>0</v>
      </c>
    </row>
    <row r="5165" spans="1:15" x14ac:dyDescent="0.35">
      <c r="A5165" s="500" t="s">
        <v>14208</v>
      </c>
      <c r="B5165" s="501">
        <v>4803</v>
      </c>
      <c r="C5165" s="501" t="s">
        <v>1094</v>
      </c>
      <c r="D5165" s="501" t="s">
        <v>3380</v>
      </c>
      <c r="E5165" s="501" t="s">
        <v>3381</v>
      </c>
      <c r="F5165" s="501" t="s">
        <v>733</v>
      </c>
      <c r="G5165" s="501" t="s">
        <v>734</v>
      </c>
      <c r="H5165" s="501" t="s">
        <v>14827</v>
      </c>
      <c r="I5165" s="501">
        <v>1</v>
      </c>
      <c r="J5165" s="501">
        <v>0</v>
      </c>
      <c r="K5165" s="501">
        <v>0</v>
      </c>
      <c r="L5165" s="501">
        <v>1</v>
      </c>
      <c r="M5165" s="501">
        <v>0</v>
      </c>
      <c r="N5165" s="501">
        <v>0</v>
      </c>
      <c r="O5165" s="506">
        <v>0</v>
      </c>
    </row>
    <row r="5166" spans="1:15" x14ac:dyDescent="0.35">
      <c r="A5166" s="503" t="s">
        <v>1105</v>
      </c>
      <c r="B5166" s="504">
        <v>4668</v>
      </c>
      <c r="C5166" s="504" t="s">
        <v>1094</v>
      </c>
      <c r="D5166" s="504" t="s">
        <v>3380</v>
      </c>
      <c r="E5166" s="504" t="s">
        <v>3381</v>
      </c>
      <c r="F5166" s="504" t="s">
        <v>733</v>
      </c>
      <c r="G5166" s="504" t="s">
        <v>734</v>
      </c>
      <c r="H5166" s="504" t="s">
        <v>7550</v>
      </c>
      <c r="I5166" s="504">
        <v>2</v>
      </c>
      <c r="J5166" s="504">
        <v>0</v>
      </c>
      <c r="K5166" s="504">
        <v>0</v>
      </c>
      <c r="L5166" s="504">
        <v>0</v>
      </c>
      <c r="M5166" s="504">
        <v>0</v>
      </c>
      <c r="N5166" s="504">
        <v>0</v>
      </c>
      <c r="O5166" s="505">
        <v>2</v>
      </c>
    </row>
    <row r="5167" spans="1:15" x14ac:dyDescent="0.35">
      <c r="A5167" s="500" t="s">
        <v>1109</v>
      </c>
      <c r="B5167" s="501" t="s">
        <v>2959</v>
      </c>
      <c r="C5167" s="501" t="s">
        <v>1094</v>
      </c>
      <c r="D5167" s="501" t="s">
        <v>3380</v>
      </c>
      <c r="E5167" s="501" t="s">
        <v>3381</v>
      </c>
      <c r="F5167" s="501" t="s">
        <v>733</v>
      </c>
      <c r="G5167" s="501" t="s">
        <v>734</v>
      </c>
      <c r="H5167" s="501" t="s">
        <v>7551</v>
      </c>
      <c r="I5167" s="501">
        <v>46</v>
      </c>
      <c r="J5167" s="501">
        <v>0</v>
      </c>
      <c r="K5167" s="501">
        <v>0</v>
      </c>
      <c r="L5167" s="501">
        <v>0</v>
      </c>
      <c r="M5167" s="501">
        <v>46</v>
      </c>
      <c r="N5167" s="501">
        <v>0</v>
      </c>
      <c r="O5167" s="506">
        <v>0</v>
      </c>
    </row>
    <row r="5168" spans="1:15" x14ac:dyDescent="0.35">
      <c r="A5168" s="503" t="s">
        <v>1203</v>
      </c>
      <c r="B5168" s="504" t="s">
        <v>3170</v>
      </c>
      <c r="C5168" s="504" t="s">
        <v>1094</v>
      </c>
      <c r="D5168" s="504" t="s">
        <v>3380</v>
      </c>
      <c r="E5168" s="504" t="s">
        <v>3381</v>
      </c>
      <c r="F5168" s="504" t="s">
        <v>733</v>
      </c>
      <c r="G5168" s="504" t="s">
        <v>734</v>
      </c>
      <c r="H5168" s="504" t="s">
        <v>7552</v>
      </c>
      <c r="I5168" s="504">
        <v>22</v>
      </c>
      <c r="J5168" s="504">
        <v>9</v>
      </c>
      <c r="K5168" s="504">
        <v>0</v>
      </c>
      <c r="L5168" s="504">
        <v>0</v>
      </c>
      <c r="M5168" s="504">
        <v>0</v>
      </c>
      <c r="N5168" s="504">
        <v>0</v>
      </c>
      <c r="O5168" s="505">
        <v>13</v>
      </c>
    </row>
    <row r="5169" spans="1:15" x14ac:dyDescent="0.35">
      <c r="A5169" s="500" t="s">
        <v>1208</v>
      </c>
      <c r="B5169" s="501" t="s">
        <v>3096</v>
      </c>
      <c r="C5169" s="501" t="s">
        <v>1094</v>
      </c>
      <c r="D5169" s="501" t="s">
        <v>3380</v>
      </c>
      <c r="E5169" s="501" t="s">
        <v>3381</v>
      </c>
      <c r="F5169" s="501" t="s">
        <v>733</v>
      </c>
      <c r="G5169" s="501" t="s">
        <v>734</v>
      </c>
      <c r="H5169" s="501" t="s">
        <v>7553</v>
      </c>
      <c r="I5169" s="501">
        <v>48</v>
      </c>
      <c r="J5169" s="501">
        <v>48</v>
      </c>
      <c r="K5169" s="501">
        <v>0</v>
      </c>
      <c r="L5169" s="501">
        <v>0</v>
      </c>
      <c r="M5169" s="501">
        <v>0</v>
      </c>
      <c r="N5169" s="501">
        <v>0</v>
      </c>
      <c r="O5169" s="506">
        <v>0</v>
      </c>
    </row>
    <row r="5170" spans="1:15" x14ac:dyDescent="0.35">
      <c r="A5170" s="503" t="s">
        <v>1215</v>
      </c>
      <c r="B5170" s="504">
        <v>4817</v>
      </c>
      <c r="C5170" s="504" t="s">
        <v>1094</v>
      </c>
      <c r="D5170" s="504" t="s">
        <v>3380</v>
      </c>
      <c r="E5170" s="504" t="s">
        <v>3381</v>
      </c>
      <c r="F5170" s="504" t="s">
        <v>733</v>
      </c>
      <c r="G5170" s="504" t="s">
        <v>734</v>
      </c>
      <c r="H5170" s="504" t="s">
        <v>7554</v>
      </c>
      <c r="I5170" s="504">
        <v>224</v>
      </c>
      <c r="J5170" s="504">
        <v>164</v>
      </c>
      <c r="K5170" s="504">
        <v>0</v>
      </c>
      <c r="L5170" s="504">
        <v>0</v>
      </c>
      <c r="M5170" s="504">
        <v>22</v>
      </c>
      <c r="N5170" s="504">
        <v>0</v>
      </c>
      <c r="O5170" s="505">
        <v>38</v>
      </c>
    </row>
    <row r="5171" spans="1:15" x14ac:dyDescent="0.35">
      <c r="A5171" s="500" t="s">
        <v>1220</v>
      </c>
      <c r="B5171" s="501">
        <v>4849</v>
      </c>
      <c r="C5171" s="501" t="s">
        <v>1094</v>
      </c>
      <c r="D5171" s="501" t="s">
        <v>3380</v>
      </c>
      <c r="E5171" s="501" t="s">
        <v>3381</v>
      </c>
      <c r="F5171" s="501" t="s">
        <v>733</v>
      </c>
      <c r="G5171" s="501" t="s">
        <v>734</v>
      </c>
      <c r="H5171" s="501" t="s">
        <v>7555</v>
      </c>
      <c r="I5171" s="501">
        <v>92</v>
      </c>
      <c r="J5171" s="501">
        <v>54</v>
      </c>
      <c r="K5171" s="501">
        <v>0</v>
      </c>
      <c r="L5171" s="501">
        <v>0</v>
      </c>
      <c r="M5171" s="501">
        <v>9</v>
      </c>
      <c r="N5171" s="501">
        <v>0</v>
      </c>
      <c r="O5171" s="506">
        <v>29</v>
      </c>
    </row>
    <row r="5172" spans="1:15" x14ac:dyDescent="0.35">
      <c r="A5172" s="503" t="s">
        <v>1226</v>
      </c>
      <c r="B5172" s="504">
        <v>5084</v>
      </c>
      <c r="C5172" s="504" t="s">
        <v>1094</v>
      </c>
      <c r="D5172" s="504" t="s">
        <v>3380</v>
      </c>
      <c r="E5172" s="504" t="s">
        <v>3381</v>
      </c>
      <c r="F5172" s="504" t="s">
        <v>733</v>
      </c>
      <c r="G5172" s="504" t="s">
        <v>734</v>
      </c>
      <c r="H5172" s="504" t="s">
        <v>7556</v>
      </c>
      <c r="I5172" s="504">
        <v>195</v>
      </c>
      <c r="J5172" s="504">
        <v>125</v>
      </c>
      <c r="K5172" s="504">
        <v>0</v>
      </c>
      <c r="L5172" s="504">
        <v>0</v>
      </c>
      <c r="M5172" s="504">
        <v>0</v>
      </c>
      <c r="N5172" s="504">
        <v>0</v>
      </c>
      <c r="O5172" s="505">
        <v>70</v>
      </c>
    </row>
    <row r="5173" spans="1:15" x14ac:dyDescent="0.35">
      <c r="A5173" s="500" t="s">
        <v>1228</v>
      </c>
      <c r="B5173" s="501" t="s">
        <v>3321</v>
      </c>
      <c r="C5173" s="501" t="s">
        <v>1094</v>
      </c>
      <c r="D5173" s="501" t="s">
        <v>3380</v>
      </c>
      <c r="E5173" s="501" t="s">
        <v>3381</v>
      </c>
      <c r="F5173" s="501" t="s">
        <v>733</v>
      </c>
      <c r="G5173" s="501" t="s">
        <v>734</v>
      </c>
      <c r="H5173" s="501" t="s">
        <v>7557</v>
      </c>
      <c r="I5173" s="501">
        <v>4</v>
      </c>
      <c r="J5173" s="501">
        <v>0</v>
      </c>
      <c r="K5173" s="501">
        <v>0</v>
      </c>
      <c r="L5173" s="501">
        <v>4</v>
      </c>
      <c r="M5173" s="501">
        <v>0</v>
      </c>
      <c r="N5173" s="501">
        <v>0</v>
      </c>
      <c r="O5173" s="506">
        <v>0</v>
      </c>
    </row>
    <row r="5174" spans="1:15" x14ac:dyDescent="0.35">
      <c r="A5174" s="503" t="s">
        <v>1240</v>
      </c>
      <c r="B5174" s="504" t="s">
        <v>2972</v>
      </c>
      <c r="C5174" s="504" t="s">
        <v>1094</v>
      </c>
      <c r="D5174" s="504" t="s">
        <v>3380</v>
      </c>
      <c r="E5174" s="504" t="s">
        <v>3381</v>
      </c>
      <c r="F5174" s="504" t="s">
        <v>733</v>
      </c>
      <c r="G5174" s="504" t="s">
        <v>734</v>
      </c>
      <c r="H5174" s="504" t="s">
        <v>7558</v>
      </c>
      <c r="I5174" s="504">
        <v>10</v>
      </c>
      <c r="J5174" s="504">
        <v>10</v>
      </c>
      <c r="K5174" s="504">
        <v>0</v>
      </c>
      <c r="L5174" s="504">
        <v>0</v>
      </c>
      <c r="M5174" s="504">
        <v>0</v>
      </c>
      <c r="N5174" s="504">
        <v>0</v>
      </c>
      <c r="O5174" s="505">
        <v>0</v>
      </c>
    </row>
    <row r="5175" spans="1:15" x14ac:dyDescent="0.35">
      <c r="A5175" s="500" t="s">
        <v>1134</v>
      </c>
      <c r="B5175" s="501" t="s">
        <v>3066</v>
      </c>
      <c r="C5175" s="501" t="s">
        <v>1094</v>
      </c>
      <c r="D5175" s="501" t="s">
        <v>3380</v>
      </c>
      <c r="E5175" s="501" t="s">
        <v>3381</v>
      </c>
      <c r="F5175" s="501" t="s">
        <v>733</v>
      </c>
      <c r="G5175" s="501" t="s">
        <v>734</v>
      </c>
      <c r="H5175" s="501" t="s">
        <v>12164</v>
      </c>
      <c r="I5175" s="501">
        <v>44</v>
      </c>
      <c r="J5175" s="501">
        <v>44</v>
      </c>
      <c r="K5175" s="501">
        <v>0</v>
      </c>
      <c r="L5175" s="501">
        <v>0</v>
      </c>
      <c r="M5175" s="501">
        <v>0</v>
      </c>
      <c r="N5175" s="501">
        <v>0</v>
      </c>
      <c r="O5175" s="506">
        <v>0</v>
      </c>
    </row>
    <row r="5176" spans="1:15" x14ac:dyDescent="0.35">
      <c r="A5176" s="503" t="s">
        <v>1253</v>
      </c>
      <c r="B5176" s="504" t="s">
        <v>3232</v>
      </c>
      <c r="C5176" s="504" t="s">
        <v>1094</v>
      </c>
      <c r="D5176" s="504" t="s">
        <v>3380</v>
      </c>
      <c r="E5176" s="504" t="s">
        <v>3381</v>
      </c>
      <c r="F5176" s="504" t="s">
        <v>733</v>
      </c>
      <c r="G5176" s="504" t="s">
        <v>734</v>
      </c>
      <c r="H5176" s="504" t="s">
        <v>7559</v>
      </c>
      <c r="I5176" s="504">
        <v>39</v>
      </c>
      <c r="J5176" s="504">
        <v>23</v>
      </c>
      <c r="K5176" s="504">
        <v>0</v>
      </c>
      <c r="L5176" s="504">
        <v>0</v>
      </c>
      <c r="M5176" s="504">
        <v>0</v>
      </c>
      <c r="N5176" s="504">
        <v>0</v>
      </c>
      <c r="O5176" s="505">
        <v>16</v>
      </c>
    </row>
    <row r="5177" spans="1:15" x14ac:dyDescent="0.35">
      <c r="A5177" s="500" t="s">
        <v>14127</v>
      </c>
      <c r="B5177" s="501" t="s">
        <v>14126</v>
      </c>
      <c r="C5177" s="501" t="s">
        <v>1094</v>
      </c>
      <c r="D5177" s="501" t="s">
        <v>3380</v>
      </c>
      <c r="E5177" s="501" t="s">
        <v>3381</v>
      </c>
      <c r="F5177" s="501" t="s">
        <v>735</v>
      </c>
      <c r="G5177" s="501" t="s">
        <v>736</v>
      </c>
      <c r="H5177" s="501" t="s">
        <v>14828</v>
      </c>
      <c r="I5177" s="501">
        <v>57</v>
      </c>
      <c r="J5177" s="501">
        <v>30</v>
      </c>
      <c r="K5177" s="501">
        <v>0</v>
      </c>
      <c r="L5177" s="501">
        <v>0</v>
      </c>
      <c r="M5177" s="501">
        <v>0</v>
      </c>
      <c r="N5177" s="501">
        <v>0</v>
      </c>
      <c r="O5177" s="506">
        <v>27</v>
      </c>
    </row>
    <row r="5178" spans="1:15" x14ac:dyDescent="0.35">
      <c r="A5178" s="503" t="s">
        <v>1093</v>
      </c>
      <c r="B5178" s="504" t="s">
        <v>3248</v>
      </c>
      <c r="C5178" s="504" t="s">
        <v>1094</v>
      </c>
      <c r="D5178" s="504" t="s">
        <v>3380</v>
      </c>
      <c r="E5178" s="504" t="s">
        <v>3381</v>
      </c>
      <c r="F5178" s="504" t="s">
        <v>735</v>
      </c>
      <c r="G5178" s="504" t="s">
        <v>736</v>
      </c>
      <c r="H5178" s="504" t="s">
        <v>7560</v>
      </c>
      <c r="I5178" s="504">
        <v>2</v>
      </c>
      <c r="J5178" s="504">
        <v>0</v>
      </c>
      <c r="K5178" s="504">
        <v>0</v>
      </c>
      <c r="L5178" s="504">
        <v>0</v>
      </c>
      <c r="M5178" s="504">
        <v>0</v>
      </c>
      <c r="N5178" s="504">
        <v>0</v>
      </c>
      <c r="O5178" s="505">
        <v>2</v>
      </c>
    </row>
    <row r="5179" spans="1:15" x14ac:dyDescent="0.35">
      <c r="A5179" s="500" t="s">
        <v>1096</v>
      </c>
      <c r="B5179" s="501" t="s">
        <v>3326</v>
      </c>
      <c r="C5179" s="501" t="s">
        <v>1094</v>
      </c>
      <c r="D5179" s="501" t="s">
        <v>3380</v>
      </c>
      <c r="E5179" s="501" t="s">
        <v>3381</v>
      </c>
      <c r="F5179" s="501" t="s">
        <v>735</v>
      </c>
      <c r="G5179" s="501" t="s">
        <v>736</v>
      </c>
      <c r="H5179" s="501" t="s">
        <v>7561</v>
      </c>
      <c r="I5179" s="501">
        <v>133</v>
      </c>
      <c r="J5179" s="501">
        <v>0</v>
      </c>
      <c r="K5179" s="501">
        <v>0</v>
      </c>
      <c r="L5179" s="501">
        <v>0</v>
      </c>
      <c r="M5179" s="501">
        <v>133</v>
      </c>
      <c r="N5179" s="501">
        <v>0</v>
      </c>
      <c r="O5179" s="506">
        <v>0</v>
      </c>
    </row>
    <row r="5180" spans="1:15" x14ac:dyDescent="0.35">
      <c r="A5180" s="503" t="s">
        <v>1098</v>
      </c>
      <c r="B5180" s="504">
        <v>4691</v>
      </c>
      <c r="C5180" s="504" t="s">
        <v>1094</v>
      </c>
      <c r="D5180" s="504" t="s">
        <v>3380</v>
      </c>
      <c r="E5180" s="504" t="s">
        <v>3381</v>
      </c>
      <c r="F5180" s="504" t="s">
        <v>735</v>
      </c>
      <c r="G5180" s="504" t="s">
        <v>736</v>
      </c>
      <c r="H5180" s="504" t="s">
        <v>7562</v>
      </c>
      <c r="I5180" s="504">
        <v>4217</v>
      </c>
      <c r="J5180" s="504">
        <v>3235</v>
      </c>
      <c r="K5180" s="504">
        <v>0</v>
      </c>
      <c r="L5180" s="504">
        <v>74</v>
      </c>
      <c r="M5180" s="504">
        <v>702</v>
      </c>
      <c r="N5180" s="504">
        <v>0</v>
      </c>
      <c r="O5180" s="505">
        <v>206</v>
      </c>
    </row>
    <row r="5181" spans="1:15" x14ac:dyDescent="0.35">
      <c r="A5181" s="500" t="s">
        <v>11423</v>
      </c>
      <c r="B5181" s="501" t="s">
        <v>3128</v>
      </c>
      <c r="C5181" s="501" t="s">
        <v>1094</v>
      </c>
      <c r="D5181" s="501" t="s">
        <v>3380</v>
      </c>
      <c r="E5181" s="501" t="s">
        <v>3381</v>
      </c>
      <c r="F5181" s="501" t="s">
        <v>735</v>
      </c>
      <c r="G5181" s="501" t="s">
        <v>736</v>
      </c>
      <c r="H5181" s="501" t="s">
        <v>14829</v>
      </c>
      <c r="I5181" s="501">
        <v>14</v>
      </c>
      <c r="J5181" s="501">
        <v>14</v>
      </c>
      <c r="K5181" s="501">
        <v>0</v>
      </c>
      <c r="L5181" s="501">
        <v>0</v>
      </c>
      <c r="M5181" s="501">
        <v>0</v>
      </c>
      <c r="N5181" s="501">
        <v>0</v>
      </c>
      <c r="O5181" s="506">
        <v>0</v>
      </c>
    </row>
    <row r="5182" spans="1:15" x14ac:dyDescent="0.35">
      <c r="A5182" s="503" t="s">
        <v>1963</v>
      </c>
      <c r="B5182" s="504" t="s">
        <v>2629</v>
      </c>
      <c r="C5182" s="504" t="s">
        <v>1089</v>
      </c>
      <c r="D5182" s="504" t="s">
        <v>3392</v>
      </c>
      <c r="E5182" s="504" t="s">
        <v>3381</v>
      </c>
      <c r="F5182" s="504" t="s">
        <v>735</v>
      </c>
      <c r="G5182" s="504" t="s">
        <v>736</v>
      </c>
      <c r="H5182" s="504" t="s">
        <v>7563</v>
      </c>
      <c r="I5182" s="504">
        <v>33</v>
      </c>
      <c r="J5182" s="504">
        <v>0</v>
      </c>
      <c r="K5182" s="504">
        <v>0</v>
      </c>
      <c r="L5182" s="504">
        <v>0</v>
      </c>
      <c r="M5182" s="504">
        <v>33</v>
      </c>
      <c r="N5182" s="504">
        <v>0</v>
      </c>
      <c r="O5182" s="505">
        <v>0</v>
      </c>
    </row>
    <row r="5183" spans="1:15" x14ac:dyDescent="0.35">
      <c r="A5183" s="500" t="s">
        <v>1971</v>
      </c>
      <c r="B5183" s="501" t="s">
        <v>3337</v>
      </c>
      <c r="C5183" s="501" t="s">
        <v>1094</v>
      </c>
      <c r="D5183" s="501" t="s">
        <v>3380</v>
      </c>
      <c r="E5183" s="501" t="s">
        <v>3381</v>
      </c>
      <c r="F5183" s="501" t="s">
        <v>735</v>
      </c>
      <c r="G5183" s="501" t="s">
        <v>736</v>
      </c>
      <c r="H5183" s="501" t="s">
        <v>7564</v>
      </c>
      <c r="I5183" s="501">
        <v>112</v>
      </c>
      <c r="J5183" s="501">
        <v>100</v>
      </c>
      <c r="K5183" s="501">
        <v>0</v>
      </c>
      <c r="L5183" s="501">
        <v>0</v>
      </c>
      <c r="M5183" s="501">
        <v>0</v>
      </c>
      <c r="N5183" s="501">
        <v>0</v>
      </c>
      <c r="O5183" s="506">
        <v>12</v>
      </c>
    </row>
    <row r="5184" spans="1:15" x14ac:dyDescent="0.35">
      <c r="A5184" s="503" t="s">
        <v>14208</v>
      </c>
      <c r="B5184" s="504">
        <v>4803</v>
      </c>
      <c r="C5184" s="504" t="s">
        <v>1094</v>
      </c>
      <c r="D5184" s="504" t="s">
        <v>3380</v>
      </c>
      <c r="E5184" s="504" t="s">
        <v>3381</v>
      </c>
      <c r="F5184" s="504" t="s">
        <v>735</v>
      </c>
      <c r="G5184" s="504" t="s">
        <v>736</v>
      </c>
      <c r="H5184" s="504" t="s">
        <v>14830</v>
      </c>
      <c r="I5184" s="504">
        <v>30</v>
      </c>
      <c r="J5184" s="504">
        <v>0</v>
      </c>
      <c r="K5184" s="504">
        <v>0</v>
      </c>
      <c r="L5184" s="504">
        <v>30</v>
      </c>
      <c r="M5184" s="504">
        <v>0</v>
      </c>
      <c r="N5184" s="504">
        <v>0</v>
      </c>
      <c r="O5184" s="505">
        <v>0</v>
      </c>
    </row>
    <row r="5185" spans="1:15" x14ac:dyDescent="0.35">
      <c r="A5185" s="500" t="s">
        <v>1986</v>
      </c>
      <c r="B5185" s="501" t="s">
        <v>3103</v>
      </c>
      <c r="C5185" s="501" t="s">
        <v>1089</v>
      </c>
      <c r="D5185" s="501" t="s">
        <v>3392</v>
      </c>
      <c r="E5185" s="501" t="s">
        <v>3381</v>
      </c>
      <c r="F5185" s="501" t="s">
        <v>735</v>
      </c>
      <c r="G5185" s="501" t="s">
        <v>736</v>
      </c>
      <c r="H5185" s="501" t="s">
        <v>7565</v>
      </c>
      <c r="I5185" s="501">
        <v>44</v>
      </c>
      <c r="J5185" s="501">
        <v>0</v>
      </c>
      <c r="K5185" s="501">
        <v>0</v>
      </c>
      <c r="L5185" s="501">
        <v>0</v>
      </c>
      <c r="M5185" s="501">
        <v>44</v>
      </c>
      <c r="N5185" s="501">
        <v>0</v>
      </c>
      <c r="O5185" s="506">
        <v>0</v>
      </c>
    </row>
    <row r="5186" spans="1:15" x14ac:dyDescent="0.35">
      <c r="A5186" s="503" t="s">
        <v>1187</v>
      </c>
      <c r="B5186" s="504" t="s">
        <v>2951</v>
      </c>
      <c r="C5186" s="504" t="s">
        <v>1094</v>
      </c>
      <c r="D5186" s="504" t="s">
        <v>3380</v>
      </c>
      <c r="E5186" s="504" t="s">
        <v>3381</v>
      </c>
      <c r="F5186" s="504" t="s">
        <v>735</v>
      </c>
      <c r="G5186" s="504" t="s">
        <v>736</v>
      </c>
      <c r="H5186" s="504" t="s">
        <v>7566</v>
      </c>
      <c r="I5186" s="504">
        <v>143</v>
      </c>
      <c r="J5186" s="504">
        <v>131</v>
      </c>
      <c r="K5186" s="504">
        <v>0</v>
      </c>
      <c r="L5186" s="504">
        <v>0</v>
      </c>
      <c r="M5186" s="504">
        <v>0</v>
      </c>
      <c r="N5186" s="504">
        <v>0</v>
      </c>
      <c r="O5186" s="505">
        <v>12</v>
      </c>
    </row>
    <row r="5187" spans="1:15" x14ac:dyDescent="0.35">
      <c r="A5187" s="500" t="s">
        <v>1105</v>
      </c>
      <c r="B5187" s="501">
        <v>4668</v>
      </c>
      <c r="C5187" s="501" t="s">
        <v>1094</v>
      </c>
      <c r="D5187" s="501" t="s">
        <v>3380</v>
      </c>
      <c r="E5187" s="501" t="s">
        <v>3381</v>
      </c>
      <c r="F5187" s="501" t="s">
        <v>735</v>
      </c>
      <c r="G5187" s="501" t="s">
        <v>736</v>
      </c>
      <c r="H5187" s="501" t="s">
        <v>7567</v>
      </c>
      <c r="I5187" s="501">
        <v>33</v>
      </c>
      <c r="J5187" s="501">
        <v>0</v>
      </c>
      <c r="K5187" s="501">
        <v>0</v>
      </c>
      <c r="L5187" s="501">
        <v>0</v>
      </c>
      <c r="M5187" s="501">
        <v>0</v>
      </c>
      <c r="N5187" s="501">
        <v>0</v>
      </c>
      <c r="O5187" s="506">
        <v>33</v>
      </c>
    </row>
    <row r="5188" spans="1:15" x14ac:dyDescent="0.35">
      <c r="A5188" s="503" t="s">
        <v>1107</v>
      </c>
      <c r="B5188" s="504" t="s">
        <v>3109</v>
      </c>
      <c r="C5188" s="504" t="s">
        <v>1094</v>
      </c>
      <c r="D5188" s="504" t="s">
        <v>3380</v>
      </c>
      <c r="E5188" s="504" t="s">
        <v>3381</v>
      </c>
      <c r="F5188" s="504" t="s">
        <v>735</v>
      </c>
      <c r="G5188" s="504" t="s">
        <v>736</v>
      </c>
      <c r="H5188" s="504" t="s">
        <v>7568</v>
      </c>
      <c r="I5188" s="504">
        <v>10</v>
      </c>
      <c r="J5188" s="504">
        <v>0</v>
      </c>
      <c r="K5188" s="504">
        <v>0</v>
      </c>
      <c r="L5188" s="504">
        <v>10</v>
      </c>
      <c r="M5188" s="504">
        <v>0</v>
      </c>
      <c r="N5188" s="504">
        <v>0</v>
      </c>
      <c r="O5188" s="505">
        <v>0</v>
      </c>
    </row>
    <row r="5189" spans="1:15" x14ac:dyDescent="0.35">
      <c r="A5189" s="500" t="s">
        <v>1109</v>
      </c>
      <c r="B5189" s="501" t="s">
        <v>2959</v>
      </c>
      <c r="C5189" s="501" t="s">
        <v>1094</v>
      </c>
      <c r="D5189" s="501" t="s">
        <v>3380</v>
      </c>
      <c r="E5189" s="501" t="s">
        <v>3381</v>
      </c>
      <c r="F5189" s="501" t="s">
        <v>735</v>
      </c>
      <c r="G5189" s="501" t="s">
        <v>736</v>
      </c>
      <c r="H5189" s="501" t="s">
        <v>7569</v>
      </c>
      <c r="I5189" s="501">
        <v>34</v>
      </c>
      <c r="J5189" s="501">
        <v>0</v>
      </c>
      <c r="K5189" s="501">
        <v>0</v>
      </c>
      <c r="L5189" s="501">
        <v>0</v>
      </c>
      <c r="M5189" s="501">
        <v>34</v>
      </c>
      <c r="N5189" s="501">
        <v>0</v>
      </c>
      <c r="O5189" s="506">
        <v>0</v>
      </c>
    </row>
    <row r="5190" spans="1:15" x14ac:dyDescent="0.35">
      <c r="A5190" s="503" t="s">
        <v>1111</v>
      </c>
      <c r="B5190" s="504">
        <v>4873</v>
      </c>
      <c r="C5190" s="504" t="s">
        <v>1094</v>
      </c>
      <c r="D5190" s="504" t="s">
        <v>3380</v>
      </c>
      <c r="E5190" s="504" t="s">
        <v>3381</v>
      </c>
      <c r="F5190" s="504" t="s">
        <v>735</v>
      </c>
      <c r="G5190" s="504" t="s">
        <v>736</v>
      </c>
      <c r="H5190" s="504" t="s">
        <v>7570</v>
      </c>
      <c r="I5190" s="504">
        <v>1001</v>
      </c>
      <c r="J5190" s="504">
        <v>760</v>
      </c>
      <c r="K5190" s="504">
        <v>0</v>
      </c>
      <c r="L5190" s="504">
        <v>106</v>
      </c>
      <c r="M5190" s="504">
        <v>0</v>
      </c>
      <c r="N5190" s="504">
        <v>0</v>
      </c>
      <c r="O5190" s="505">
        <v>135</v>
      </c>
    </row>
    <row r="5191" spans="1:15" x14ac:dyDescent="0.35">
      <c r="A5191" s="500" t="s">
        <v>1114</v>
      </c>
      <c r="B5191" s="501" t="s">
        <v>2982</v>
      </c>
      <c r="C5191" s="501" t="s">
        <v>1094</v>
      </c>
      <c r="D5191" s="501" t="s">
        <v>3380</v>
      </c>
      <c r="E5191" s="501" t="s">
        <v>3381</v>
      </c>
      <c r="F5191" s="501" t="s">
        <v>735</v>
      </c>
      <c r="G5191" s="501" t="s">
        <v>736</v>
      </c>
      <c r="H5191" s="501" t="s">
        <v>7571</v>
      </c>
      <c r="I5191" s="501">
        <v>1</v>
      </c>
      <c r="J5191" s="501">
        <v>0</v>
      </c>
      <c r="K5191" s="501">
        <v>0</v>
      </c>
      <c r="L5191" s="501">
        <v>0</v>
      </c>
      <c r="M5191" s="501">
        <v>0</v>
      </c>
      <c r="N5191" s="501">
        <v>0</v>
      </c>
      <c r="O5191" s="506">
        <v>1</v>
      </c>
    </row>
    <row r="5192" spans="1:15" x14ac:dyDescent="0.35">
      <c r="A5192" s="503" t="s">
        <v>1235</v>
      </c>
      <c r="B5192" s="504">
        <v>4684</v>
      </c>
      <c r="C5192" s="504" t="s">
        <v>1094</v>
      </c>
      <c r="D5192" s="504" t="s">
        <v>3380</v>
      </c>
      <c r="E5192" s="504" t="s">
        <v>3381</v>
      </c>
      <c r="F5192" s="504" t="s">
        <v>735</v>
      </c>
      <c r="G5192" s="504" t="s">
        <v>736</v>
      </c>
      <c r="H5192" s="504" t="s">
        <v>7572</v>
      </c>
      <c r="I5192" s="504">
        <v>50</v>
      </c>
      <c r="J5192" s="504">
        <v>28</v>
      </c>
      <c r="K5192" s="504">
        <v>0</v>
      </c>
      <c r="L5192" s="504">
        <v>0</v>
      </c>
      <c r="M5192" s="504">
        <v>0</v>
      </c>
      <c r="N5192" s="504">
        <v>0</v>
      </c>
      <c r="O5192" s="505">
        <v>22</v>
      </c>
    </row>
    <row r="5193" spans="1:15" x14ac:dyDescent="0.35">
      <c r="A5193" s="500" t="s">
        <v>1126</v>
      </c>
      <c r="B5193" s="501" t="s">
        <v>2974</v>
      </c>
      <c r="C5193" s="501" t="s">
        <v>1094</v>
      </c>
      <c r="D5193" s="501" t="s">
        <v>3380</v>
      </c>
      <c r="E5193" s="501" t="s">
        <v>3381</v>
      </c>
      <c r="F5193" s="501" t="s">
        <v>735</v>
      </c>
      <c r="G5193" s="501" t="s">
        <v>736</v>
      </c>
      <c r="H5193" s="501" t="s">
        <v>7573</v>
      </c>
      <c r="I5193" s="501">
        <v>182</v>
      </c>
      <c r="J5193" s="501">
        <v>146</v>
      </c>
      <c r="K5193" s="501">
        <v>0</v>
      </c>
      <c r="L5193" s="501">
        <v>28</v>
      </c>
      <c r="M5193" s="501">
        <v>0</v>
      </c>
      <c r="N5193" s="501">
        <v>0</v>
      </c>
      <c r="O5193" s="506">
        <v>8</v>
      </c>
    </row>
    <row r="5194" spans="1:15" x14ac:dyDescent="0.35">
      <c r="A5194" s="503" t="s">
        <v>2010</v>
      </c>
      <c r="B5194" s="504" t="s">
        <v>3327</v>
      </c>
      <c r="C5194" s="504" t="s">
        <v>1094</v>
      </c>
      <c r="D5194" s="504" t="s">
        <v>3380</v>
      </c>
      <c r="E5194" s="504" t="s">
        <v>3381</v>
      </c>
      <c r="F5194" s="504" t="s">
        <v>735</v>
      </c>
      <c r="G5194" s="504" t="s">
        <v>736</v>
      </c>
      <c r="H5194" s="504" t="s">
        <v>7574</v>
      </c>
      <c r="I5194" s="504">
        <v>336</v>
      </c>
      <c r="J5194" s="504">
        <v>256</v>
      </c>
      <c r="K5194" s="504">
        <v>0</v>
      </c>
      <c r="L5194" s="504">
        <v>0</v>
      </c>
      <c r="M5194" s="504">
        <v>0</v>
      </c>
      <c r="N5194" s="504">
        <v>0</v>
      </c>
      <c r="O5194" s="505">
        <v>80</v>
      </c>
    </row>
    <row r="5195" spans="1:15" x14ac:dyDescent="0.35">
      <c r="A5195" s="500" t="s">
        <v>2012</v>
      </c>
      <c r="B5195" s="501">
        <v>5142</v>
      </c>
      <c r="C5195" s="501" t="s">
        <v>1089</v>
      </c>
      <c r="D5195" s="501" t="s">
        <v>3392</v>
      </c>
      <c r="E5195" s="501" t="s">
        <v>3381</v>
      </c>
      <c r="F5195" s="501" t="s">
        <v>735</v>
      </c>
      <c r="G5195" s="501" t="s">
        <v>736</v>
      </c>
      <c r="H5195" s="501" t="s">
        <v>7575</v>
      </c>
      <c r="I5195" s="501">
        <v>12</v>
      </c>
      <c r="J5195" s="501">
        <v>0</v>
      </c>
      <c r="K5195" s="501">
        <v>0</v>
      </c>
      <c r="L5195" s="501">
        <v>0</v>
      </c>
      <c r="M5195" s="501">
        <v>12</v>
      </c>
      <c r="N5195" s="501">
        <v>0</v>
      </c>
      <c r="O5195" s="506">
        <v>0</v>
      </c>
    </row>
    <row r="5196" spans="1:15" x14ac:dyDescent="0.35">
      <c r="A5196" s="503" t="s">
        <v>2017</v>
      </c>
      <c r="B5196" s="504" t="s">
        <v>3101</v>
      </c>
      <c r="C5196" s="504" t="s">
        <v>1089</v>
      </c>
      <c r="D5196" s="504" t="s">
        <v>3392</v>
      </c>
      <c r="E5196" s="504" t="s">
        <v>3381</v>
      </c>
      <c r="F5196" s="504" t="s">
        <v>735</v>
      </c>
      <c r="G5196" s="504" t="s">
        <v>736</v>
      </c>
      <c r="H5196" s="504" t="s">
        <v>7576</v>
      </c>
      <c r="I5196" s="504">
        <v>24</v>
      </c>
      <c r="J5196" s="504">
        <v>24</v>
      </c>
      <c r="K5196" s="504">
        <v>0</v>
      </c>
      <c r="L5196" s="504">
        <v>0</v>
      </c>
      <c r="M5196" s="504">
        <v>0</v>
      </c>
      <c r="N5196" s="504">
        <v>0</v>
      </c>
      <c r="O5196" s="505">
        <v>0</v>
      </c>
    </row>
    <row r="5197" spans="1:15" x14ac:dyDescent="0.35">
      <c r="A5197" s="500" t="s">
        <v>1132</v>
      </c>
      <c r="B5197" s="501">
        <v>4837</v>
      </c>
      <c r="C5197" s="501" t="s">
        <v>1094</v>
      </c>
      <c r="D5197" s="501" t="s">
        <v>3380</v>
      </c>
      <c r="E5197" s="501" t="s">
        <v>3381</v>
      </c>
      <c r="F5197" s="501" t="s">
        <v>735</v>
      </c>
      <c r="G5197" s="501" t="s">
        <v>736</v>
      </c>
      <c r="H5197" s="501" t="s">
        <v>7577</v>
      </c>
      <c r="I5197" s="501">
        <v>5</v>
      </c>
      <c r="J5197" s="501">
        <v>0</v>
      </c>
      <c r="K5197" s="501">
        <v>0</v>
      </c>
      <c r="L5197" s="501">
        <v>0</v>
      </c>
      <c r="M5197" s="501">
        <v>0</v>
      </c>
      <c r="N5197" s="501">
        <v>0</v>
      </c>
      <c r="O5197" s="506">
        <v>5</v>
      </c>
    </row>
    <row r="5198" spans="1:15" x14ac:dyDescent="0.35">
      <c r="A5198" s="503" t="s">
        <v>1134</v>
      </c>
      <c r="B5198" s="504" t="s">
        <v>3066</v>
      </c>
      <c r="C5198" s="504" t="s">
        <v>1094</v>
      </c>
      <c r="D5198" s="504" t="s">
        <v>3380</v>
      </c>
      <c r="E5198" s="504" t="s">
        <v>3381</v>
      </c>
      <c r="F5198" s="504" t="s">
        <v>735</v>
      </c>
      <c r="G5198" s="504" t="s">
        <v>736</v>
      </c>
      <c r="H5198" s="504" t="s">
        <v>7578</v>
      </c>
      <c r="I5198" s="504">
        <v>269</v>
      </c>
      <c r="J5198" s="504">
        <v>248</v>
      </c>
      <c r="K5198" s="504">
        <v>0</v>
      </c>
      <c r="L5198" s="504">
        <v>0</v>
      </c>
      <c r="M5198" s="504">
        <v>0</v>
      </c>
      <c r="N5198" s="504">
        <v>0</v>
      </c>
      <c r="O5198" s="505">
        <v>21</v>
      </c>
    </row>
    <row r="5199" spans="1:15" x14ac:dyDescent="0.35">
      <c r="A5199" s="500" t="s">
        <v>1136</v>
      </c>
      <c r="B5199" s="501">
        <v>4680</v>
      </c>
      <c r="C5199" s="501" t="s">
        <v>1094</v>
      </c>
      <c r="D5199" s="501" t="s">
        <v>3380</v>
      </c>
      <c r="E5199" s="501" t="s">
        <v>3381</v>
      </c>
      <c r="F5199" s="501" t="s">
        <v>735</v>
      </c>
      <c r="G5199" s="501" t="s">
        <v>736</v>
      </c>
      <c r="H5199" s="501" t="s">
        <v>7579</v>
      </c>
      <c r="I5199" s="501">
        <v>8</v>
      </c>
      <c r="J5199" s="501">
        <v>8</v>
      </c>
      <c r="K5199" s="501">
        <v>0</v>
      </c>
      <c r="L5199" s="501">
        <v>0</v>
      </c>
      <c r="M5199" s="501">
        <v>0</v>
      </c>
      <c r="N5199" s="501">
        <v>0</v>
      </c>
      <c r="O5199" s="506">
        <v>0</v>
      </c>
    </row>
    <row r="5200" spans="1:15" x14ac:dyDescent="0.35">
      <c r="A5200" s="503" t="s">
        <v>2025</v>
      </c>
      <c r="B5200" s="504" t="s">
        <v>2889</v>
      </c>
      <c r="C5200" s="504" t="s">
        <v>1089</v>
      </c>
      <c r="D5200" s="504" t="s">
        <v>3392</v>
      </c>
      <c r="E5200" s="504" t="s">
        <v>3381</v>
      </c>
      <c r="F5200" s="504" t="s">
        <v>735</v>
      </c>
      <c r="G5200" s="504" t="s">
        <v>736</v>
      </c>
      <c r="H5200" s="504" t="s">
        <v>7580</v>
      </c>
      <c r="I5200" s="504">
        <v>9</v>
      </c>
      <c r="J5200" s="504">
        <v>0</v>
      </c>
      <c r="K5200" s="504">
        <v>0</v>
      </c>
      <c r="L5200" s="504">
        <v>0</v>
      </c>
      <c r="M5200" s="504">
        <v>9</v>
      </c>
      <c r="N5200" s="504">
        <v>0</v>
      </c>
      <c r="O5200" s="505">
        <v>0</v>
      </c>
    </row>
    <row r="5201" spans="1:15" x14ac:dyDescent="0.35">
      <c r="A5201" s="500" t="s">
        <v>2038</v>
      </c>
      <c r="B5201" s="501">
        <v>4859</v>
      </c>
      <c r="C5201" s="501" t="s">
        <v>1089</v>
      </c>
      <c r="D5201" s="501" t="s">
        <v>3392</v>
      </c>
      <c r="E5201" s="501" t="s">
        <v>3381</v>
      </c>
      <c r="F5201" s="501" t="s">
        <v>735</v>
      </c>
      <c r="G5201" s="501" t="s">
        <v>736</v>
      </c>
      <c r="H5201" s="501" t="s">
        <v>7581</v>
      </c>
      <c r="I5201" s="501">
        <v>17</v>
      </c>
      <c r="J5201" s="501">
        <v>0</v>
      </c>
      <c r="K5201" s="501">
        <v>0</v>
      </c>
      <c r="L5201" s="501">
        <v>0</v>
      </c>
      <c r="M5201" s="501">
        <v>17</v>
      </c>
      <c r="N5201" s="501">
        <v>0</v>
      </c>
      <c r="O5201" s="506">
        <v>0</v>
      </c>
    </row>
    <row r="5202" spans="1:15" x14ac:dyDescent="0.35">
      <c r="A5202" s="503" t="s">
        <v>1249</v>
      </c>
      <c r="B5202" s="504">
        <v>4729</v>
      </c>
      <c r="C5202" s="504" t="s">
        <v>1094</v>
      </c>
      <c r="D5202" s="504" t="s">
        <v>3380</v>
      </c>
      <c r="E5202" s="504" t="s">
        <v>3381</v>
      </c>
      <c r="F5202" s="504" t="s">
        <v>735</v>
      </c>
      <c r="G5202" s="504" t="s">
        <v>736</v>
      </c>
      <c r="H5202" s="504" t="s">
        <v>7582</v>
      </c>
      <c r="I5202" s="504">
        <v>191</v>
      </c>
      <c r="J5202" s="504">
        <v>130</v>
      </c>
      <c r="K5202" s="504">
        <v>0</v>
      </c>
      <c r="L5202" s="504">
        <v>0</v>
      </c>
      <c r="M5202" s="504">
        <v>27</v>
      </c>
      <c r="N5202" s="504">
        <v>0</v>
      </c>
      <c r="O5202" s="505">
        <v>34</v>
      </c>
    </row>
    <row r="5203" spans="1:15" x14ac:dyDescent="0.35">
      <c r="A5203" s="500" t="s">
        <v>2051</v>
      </c>
      <c r="B5203" s="501" t="s">
        <v>3115</v>
      </c>
      <c r="C5203" s="501" t="s">
        <v>1089</v>
      </c>
      <c r="D5203" s="501" t="s">
        <v>3392</v>
      </c>
      <c r="E5203" s="501" t="s">
        <v>3381</v>
      </c>
      <c r="F5203" s="501" t="s">
        <v>735</v>
      </c>
      <c r="G5203" s="501" t="s">
        <v>736</v>
      </c>
      <c r="H5203" s="501" t="s">
        <v>7583</v>
      </c>
      <c r="I5203" s="501">
        <v>70</v>
      </c>
      <c r="J5203" s="501">
        <v>70</v>
      </c>
      <c r="K5203" s="501">
        <v>0</v>
      </c>
      <c r="L5203" s="501">
        <v>0</v>
      </c>
      <c r="M5203" s="501">
        <v>0</v>
      </c>
      <c r="N5203" s="501">
        <v>0</v>
      </c>
      <c r="O5203" s="506">
        <v>0</v>
      </c>
    </row>
    <row r="5204" spans="1:15" x14ac:dyDescent="0.35">
      <c r="A5204" s="503" t="s">
        <v>2053</v>
      </c>
      <c r="B5204" s="504">
        <v>4871</v>
      </c>
      <c r="C5204" s="504" t="s">
        <v>1089</v>
      </c>
      <c r="D5204" s="504" t="s">
        <v>3392</v>
      </c>
      <c r="E5204" s="504" t="s">
        <v>3381</v>
      </c>
      <c r="F5204" s="504" t="s">
        <v>735</v>
      </c>
      <c r="G5204" s="504" t="s">
        <v>736</v>
      </c>
      <c r="H5204" s="504" t="s">
        <v>7584</v>
      </c>
      <c r="I5204" s="504">
        <v>41</v>
      </c>
      <c r="J5204" s="504">
        <v>0</v>
      </c>
      <c r="K5204" s="504">
        <v>0</v>
      </c>
      <c r="L5204" s="504">
        <v>41</v>
      </c>
      <c r="M5204" s="504">
        <v>0</v>
      </c>
      <c r="N5204" s="504">
        <v>0</v>
      </c>
      <c r="O5204" s="505">
        <v>0</v>
      </c>
    </row>
    <row r="5205" spans="1:15" x14ac:dyDescent="0.35">
      <c r="A5205" s="500" t="s">
        <v>1385</v>
      </c>
      <c r="B5205" s="501" t="s">
        <v>3249</v>
      </c>
      <c r="C5205" s="501" t="s">
        <v>1094</v>
      </c>
      <c r="D5205" s="501" t="s">
        <v>3380</v>
      </c>
      <c r="E5205" s="501" t="s">
        <v>3381</v>
      </c>
      <c r="F5205" s="501" t="s">
        <v>737</v>
      </c>
      <c r="G5205" s="501" t="s">
        <v>738</v>
      </c>
      <c r="H5205" s="501" t="s">
        <v>7585</v>
      </c>
      <c r="I5205" s="501">
        <v>25</v>
      </c>
      <c r="J5205" s="501">
        <v>22</v>
      </c>
      <c r="K5205" s="501">
        <v>0</v>
      </c>
      <c r="L5205" s="501">
        <v>0</v>
      </c>
      <c r="M5205" s="501">
        <v>0</v>
      </c>
      <c r="N5205" s="501">
        <v>0</v>
      </c>
      <c r="O5205" s="506">
        <v>3</v>
      </c>
    </row>
    <row r="5206" spans="1:15" x14ac:dyDescent="0.35">
      <c r="A5206" s="503" t="s">
        <v>1386</v>
      </c>
      <c r="B5206" s="504" t="s">
        <v>3331</v>
      </c>
      <c r="C5206" s="504" t="s">
        <v>1094</v>
      </c>
      <c r="D5206" s="504" t="s">
        <v>3380</v>
      </c>
      <c r="E5206" s="504" t="s">
        <v>3381</v>
      </c>
      <c r="F5206" s="504" t="s">
        <v>737</v>
      </c>
      <c r="G5206" s="504" t="s">
        <v>738</v>
      </c>
      <c r="H5206" s="504" t="s">
        <v>7586</v>
      </c>
      <c r="I5206" s="504">
        <v>18</v>
      </c>
      <c r="J5206" s="504">
        <v>12</v>
      </c>
      <c r="K5206" s="504">
        <v>0</v>
      </c>
      <c r="L5206" s="504">
        <v>0</v>
      </c>
      <c r="M5206" s="504">
        <v>0</v>
      </c>
      <c r="N5206" s="504">
        <v>0</v>
      </c>
      <c r="O5206" s="505">
        <v>6</v>
      </c>
    </row>
    <row r="5207" spans="1:15" x14ac:dyDescent="0.35">
      <c r="A5207" s="500" t="s">
        <v>1091</v>
      </c>
      <c r="B5207" s="501" t="s">
        <v>3288</v>
      </c>
      <c r="C5207" s="501" t="s">
        <v>1089</v>
      </c>
      <c r="D5207" s="501" t="s">
        <v>3392</v>
      </c>
      <c r="E5207" s="501" t="s">
        <v>3381</v>
      </c>
      <c r="F5207" s="501" t="s">
        <v>737</v>
      </c>
      <c r="G5207" s="501" t="s">
        <v>738</v>
      </c>
      <c r="H5207" s="501" t="s">
        <v>7587</v>
      </c>
      <c r="I5207" s="501">
        <v>78</v>
      </c>
      <c r="J5207" s="501">
        <v>0</v>
      </c>
      <c r="K5207" s="501">
        <v>0</v>
      </c>
      <c r="L5207" s="501">
        <v>78</v>
      </c>
      <c r="M5207" s="501">
        <v>0</v>
      </c>
      <c r="N5207" s="501">
        <v>0</v>
      </c>
      <c r="O5207" s="506">
        <v>0</v>
      </c>
    </row>
    <row r="5208" spans="1:15" x14ac:dyDescent="0.35">
      <c r="A5208" s="503" t="s">
        <v>1093</v>
      </c>
      <c r="B5208" s="504" t="s">
        <v>3248</v>
      </c>
      <c r="C5208" s="504" t="s">
        <v>1094</v>
      </c>
      <c r="D5208" s="504" t="s">
        <v>3380</v>
      </c>
      <c r="E5208" s="504" t="s">
        <v>3381</v>
      </c>
      <c r="F5208" s="504" t="s">
        <v>737</v>
      </c>
      <c r="G5208" s="504" t="s">
        <v>738</v>
      </c>
      <c r="H5208" s="504" t="s">
        <v>7588</v>
      </c>
      <c r="I5208" s="504">
        <v>6</v>
      </c>
      <c r="J5208" s="504">
        <v>0</v>
      </c>
      <c r="K5208" s="504">
        <v>0</v>
      </c>
      <c r="L5208" s="504">
        <v>6</v>
      </c>
      <c r="M5208" s="504">
        <v>0</v>
      </c>
      <c r="N5208" s="504">
        <v>0</v>
      </c>
      <c r="O5208" s="505">
        <v>0</v>
      </c>
    </row>
    <row r="5209" spans="1:15" x14ac:dyDescent="0.35">
      <c r="A5209" s="500" t="s">
        <v>1096</v>
      </c>
      <c r="B5209" s="501" t="s">
        <v>3326</v>
      </c>
      <c r="C5209" s="501" t="s">
        <v>1094</v>
      </c>
      <c r="D5209" s="501" t="s">
        <v>3380</v>
      </c>
      <c r="E5209" s="501" t="s">
        <v>3381</v>
      </c>
      <c r="F5209" s="501" t="s">
        <v>737</v>
      </c>
      <c r="G5209" s="501" t="s">
        <v>738</v>
      </c>
      <c r="H5209" s="501" t="s">
        <v>7589</v>
      </c>
      <c r="I5209" s="501">
        <v>323</v>
      </c>
      <c r="J5209" s="501">
        <v>0</v>
      </c>
      <c r="K5209" s="501">
        <v>0</v>
      </c>
      <c r="L5209" s="501">
        <v>0</v>
      </c>
      <c r="M5209" s="501">
        <v>323</v>
      </c>
      <c r="N5209" s="501">
        <v>0</v>
      </c>
      <c r="O5209" s="506">
        <v>0</v>
      </c>
    </row>
    <row r="5210" spans="1:15" x14ac:dyDescent="0.35">
      <c r="A5210" s="503" t="s">
        <v>1161</v>
      </c>
      <c r="B5210" s="504" t="s">
        <v>3001</v>
      </c>
      <c r="C5210" s="504" t="s">
        <v>1094</v>
      </c>
      <c r="D5210" s="504" t="s">
        <v>3380</v>
      </c>
      <c r="E5210" s="504" t="s">
        <v>3381</v>
      </c>
      <c r="F5210" s="504" t="s">
        <v>737</v>
      </c>
      <c r="G5210" s="504" t="s">
        <v>738</v>
      </c>
      <c r="H5210" s="504" t="s">
        <v>14831</v>
      </c>
      <c r="I5210" s="504">
        <v>181</v>
      </c>
      <c r="J5210" s="504">
        <v>0</v>
      </c>
      <c r="K5210" s="504">
        <v>0</v>
      </c>
      <c r="L5210" s="504">
        <v>0</v>
      </c>
      <c r="M5210" s="504">
        <v>0</v>
      </c>
      <c r="N5210" s="504">
        <v>0</v>
      </c>
      <c r="O5210" s="505">
        <v>181</v>
      </c>
    </row>
    <row r="5211" spans="1:15" x14ac:dyDescent="0.35">
      <c r="A5211" s="500" t="s">
        <v>1410</v>
      </c>
      <c r="B5211" s="501" t="s">
        <v>2868</v>
      </c>
      <c r="C5211" s="501" t="s">
        <v>1094</v>
      </c>
      <c r="D5211" s="501" t="s">
        <v>3380</v>
      </c>
      <c r="E5211" s="501" t="s">
        <v>3381</v>
      </c>
      <c r="F5211" s="501" t="s">
        <v>737</v>
      </c>
      <c r="G5211" s="501" t="s">
        <v>738</v>
      </c>
      <c r="H5211" s="501" t="s">
        <v>7590</v>
      </c>
      <c r="I5211" s="501">
        <v>46</v>
      </c>
      <c r="J5211" s="501">
        <v>0</v>
      </c>
      <c r="K5211" s="501">
        <v>0</v>
      </c>
      <c r="L5211" s="501">
        <v>0</v>
      </c>
      <c r="M5211" s="501">
        <v>46</v>
      </c>
      <c r="N5211" s="501">
        <v>0</v>
      </c>
      <c r="O5211" s="506">
        <v>0</v>
      </c>
    </row>
    <row r="5212" spans="1:15" x14ac:dyDescent="0.35">
      <c r="A5212" s="503" t="s">
        <v>1412</v>
      </c>
      <c r="B5212" s="504">
        <v>4641</v>
      </c>
      <c r="C5212" s="504" t="s">
        <v>1089</v>
      </c>
      <c r="D5212" s="504" t="s">
        <v>3392</v>
      </c>
      <c r="E5212" s="504" t="s">
        <v>3381</v>
      </c>
      <c r="F5212" s="504" t="s">
        <v>737</v>
      </c>
      <c r="G5212" s="504" t="s">
        <v>738</v>
      </c>
      <c r="H5212" s="504" t="s">
        <v>7591</v>
      </c>
      <c r="I5212" s="504">
        <v>22</v>
      </c>
      <c r="J5212" s="504">
        <v>0</v>
      </c>
      <c r="K5212" s="504">
        <v>12</v>
      </c>
      <c r="L5212" s="504">
        <v>10</v>
      </c>
      <c r="M5212" s="504">
        <v>0</v>
      </c>
      <c r="N5212" s="504">
        <v>0</v>
      </c>
      <c r="O5212" s="505">
        <v>0</v>
      </c>
    </row>
    <row r="5213" spans="1:15" x14ac:dyDescent="0.35">
      <c r="A5213" s="500" t="s">
        <v>1100</v>
      </c>
      <c r="B5213" s="501">
        <v>4865</v>
      </c>
      <c r="C5213" s="501" t="s">
        <v>1094</v>
      </c>
      <c r="D5213" s="501" t="s">
        <v>3380</v>
      </c>
      <c r="E5213" s="501" t="s">
        <v>3381</v>
      </c>
      <c r="F5213" s="501" t="s">
        <v>737</v>
      </c>
      <c r="G5213" s="501" t="s">
        <v>738</v>
      </c>
      <c r="H5213" s="501" t="s">
        <v>7592</v>
      </c>
      <c r="I5213" s="501">
        <v>6383</v>
      </c>
      <c r="J5213" s="501">
        <v>6036</v>
      </c>
      <c r="K5213" s="501">
        <v>0</v>
      </c>
      <c r="L5213" s="501">
        <v>39</v>
      </c>
      <c r="M5213" s="501">
        <v>200</v>
      </c>
      <c r="N5213" s="501">
        <v>0</v>
      </c>
      <c r="O5213" s="506">
        <v>108</v>
      </c>
    </row>
    <row r="5214" spans="1:15" x14ac:dyDescent="0.35">
      <c r="A5214" s="503" t="s">
        <v>11385</v>
      </c>
      <c r="B5214" s="504">
        <v>4787</v>
      </c>
      <c r="C5214" s="504" t="s">
        <v>1089</v>
      </c>
      <c r="D5214" s="504" t="s">
        <v>3392</v>
      </c>
      <c r="E5214" s="504" t="s">
        <v>3381</v>
      </c>
      <c r="F5214" s="504" t="s">
        <v>737</v>
      </c>
      <c r="G5214" s="504" t="s">
        <v>738</v>
      </c>
      <c r="H5214" s="504" t="s">
        <v>11676</v>
      </c>
      <c r="I5214" s="504">
        <v>5</v>
      </c>
      <c r="J5214" s="504">
        <v>5</v>
      </c>
      <c r="K5214" s="504">
        <v>0</v>
      </c>
      <c r="L5214" s="504">
        <v>0</v>
      </c>
      <c r="M5214" s="504">
        <v>0</v>
      </c>
      <c r="N5214" s="504">
        <v>0</v>
      </c>
      <c r="O5214" s="505">
        <v>0</v>
      </c>
    </row>
    <row r="5215" spans="1:15" x14ac:dyDescent="0.35">
      <c r="A5215" s="500" t="s">
        <v>1433</v>
      </c>
      <c r="B5215" s="501" t="s">
        <v>3316</v>
      </c>
      <c r="C5215" s="501" t="s">
        <v>1089</v>
      </c>
      <c r="D5215" s="501" t="s">
        <v>3392</v>
      </c>
      <c r="E5215" s="501" t="s">
        <v>3381</v>
      </c>
      <c r="F5215" s="501" t="s">
        <v>737</v>
      </c>
      <c r="G5215" s="501" t="s">
        <v>738</v>
      </c>
      <c r="H5215" s="501" t="s">
        <v>7593</v>
      </c>
      <c r="I5215" s="501">
        <v>1</v>
      </c>
      <c r="J5215" s="501">
        <v>1</v>
      </c>
      <c r="K5215" s="501">
        <v>0</v>
      </c>
      <c r="L5215" s="501">
        <v>0</v>
      </c>
      <c r="M5215" s="501">
        <v>0</v>
      </c>
      <c r="N5215" s="501">
        <v>0</v>
      </c>
      <c r="O5215" s="506">
        <v>0</v>
      </c>
    </row>
    <row r="5216" spans="1:15" x14ac:dyDescent="0.35">
      <c r="A5216" s="503" t="s">
        <v>1105</v>
      </c>
      <c r="B5216" s="504">
        <v>4668</v>
      </c>
      <c r="C5216" s="504" t="s">
        <v>1094</v>
      </c>
      <c r="D5216" s="504" t="s">
        <v>3380</v>
      </c>
      <c r="E5216" s="504" t="s">
        <v>3381</v>
      </c>
      <c r="F5216" s="504" t="s">
        <v>737</v>
      </c>
      <c r="G5216" s="504" t="s">
        <v>738</v>
      </c>
      <c r="H5216" s="504" t="s">
        <v>7594</v>
      </c>
      <c r="I5216" s="504">
        <v>1</v>
      </c>
      <c r="J5216" s="504">
        <v>0</v>
      </c>
      <c r="K5216" s="504">
        <v>0</v>
      </c>
      <c r="L5216" s="504">
        <v>0</v>
      </c>
      <c r="M5216" s="504">
        <v>0</v>
      </c>
      <c r="N5216" s="504">
        <v>0</v>
      </c>
      <c r="O5216" s="505">
        <v>1</v>
      </c>
    </row>
    <row r="5217" spans="1:15" x14ac:dyDescent="0.35">
      <c r="A5217" s="500" t="s">
        <v>1107</v>
      </c>
      <c r="B5217" s="501" t="s">
        <v>3109</v>
      </c>
      <c r="C5217" s="501" t="s">
        <v>1094</v>
      </c>
      <c r="D5217" s="501" t="s">
        <v>3380</v>
      </c>
      <c r="E5217" s="501" t="s">
        <v>3381</v>
      </c>
      <c r="F5217" s="501" t="s">
        <v>737</v>
      </c>
      <c r="G5217" s="501" t="s">
        <v>738</v>
      </c>
      <c r="H5217" s="501" t="s">
        <v>7595</v>
      </c>
      <c r="I5217" s="501">
        <v>16</v>
      </c>
      <c r="J5217" s="501">
        <v>16</v>
      </c>
      <c r="K5217" s="501">
        <v>0</v>
      </c>
      <c r="L5217" s="501">
        <v>0</v>
      </c>
      <c r="M5217" s="501">
        <v>0</v>
      </c>
      <c r="N5217" s="501">
        <v>0</v>
      </c>
      <c r="O5217" s="506">
        <v>0</v>
      </c>
    </row>
    <row r="5218" spans="1:15" x14ac:dyDescent="0.35">
      <c r="A5218" s="503" t="s">
        <v>1109</v>
      </c>
      <c r="B5218" s="504" t="s">
        <v>2959</v>
      </c>
      <c r="C5218" s="504" t="s">
        <v>1094</v>
      </c>
      <c r="D5218" s="504" t="s">
        <v>3380</v>
      </c>
      <c r="E5218" s="504" t="s">
        <v>3381</v>
      </c>
      <c r="F5218" s="504" t="s">
        <v>737</v>
      </c>
      <c r="G5218" s="504" t="s">
        <v>738</v>
      </c>
      <c r="H5218" s="504" t="s">
        <v>7596</v>
      </c>
      <c r="I5218" s="504">
        <v>33</v>
      </c>
      <c r="J5218" s="504">
        <v>0</v>
      </c>
      <c r="K5218" s="504">
        <v>0</v>
      </c>
      <c r="L5218" s="504">
        <v>0</v>
      </c>
      <c r="M5218" s="504">
        <v>23</v>
      </c>
      <c r="N5218" s="504">
        <v>0</v>
      </c>
      <c r="O5218" s="505">
        <v>10</v>
      </c>
    </row>
    <row r="5219" spans="1:15" x14ac:dyDescent="0.35">
      <c r="A5219" s="500" t="s">
        <v>1189</v>
      </c>
      <c r="B5219" s="501" t="s">
        <v>3236</v>
      </c>
      <c r="C5219" s="501" t="s">
        <v>1094</v>
      </c>
      <c r="D5219" s="501" t="s">
        <v>3380</v>
      </c>
      <c r="E5219" s="501" t="s">
        <v>3381</v>
      </c>
      <c r="F5219" s="501" t="s">
        <v>737</v>
      </c>
      <c r="G5219" s="501" t="s">
        <v>738</v>
      </c>
      <c r="H5219" s="501" t="s">
        <v>7597</v>
      </c>
      <c r="I5219" s="501">
        <v>6</v>
      </c>
      <c r="J5219" s="501">
        <v>6</v>
      </c>
      <c r="K5219" s="501">
        <v>0</v>
      </c>
      <c r="L5219" s="501">
        <v>0</v>
      </c>
      <c r="M5219" s="501">
        <v>0</v>
      </c>
      <c r="N5219" s="501">
        <v>0</v>
      </c>
      <c r="O5219" s="506">
        <v>0</v>
      </c>
    </row>
    <row r="5220" spans="1:15" x14ac:dyDescent="0.35">
      <c r="A5220" s="503" t="s">
        <v>1482</v>
      </c>
      <c r="B5220" s="504" t="s">
        <v>3014</v>
      </c>
      <c r="C5220" s="504" t="s">
        <v>1089</v>
      </c>
      <c r="D5220" s="504" t="s">
        <v>3392</v>
      </c>
      <c r="E5220" s="504" t="s">
        <v>3381</v>
      </c>
      <c r="F5220" s="504" t="s">
        <v>737</v>
      </c>
      <c r="G5220" s="504" t="s">
        <v>738</v>
      </c>
      <c r="H5220" s="504" t="s">
        <v>7598</v>
      </c>
      <c r="I5220" s="504">
        <v>60</v>
      </c>
      <c r="J5220" s="504">
        <v>0</v>
      </c>
      <c r="K5220" s="504">
        <v>0</v>
      </c>
      <c r="L5220" s="504">
        <v>0</v>
      </c>
      <c r="M5220" s="504">
        <v>60</v>
      </c>
      <c r="N5220" s="504">
        <v>0</v>
      </c>
      <c r="O5220" s="505">
        <v>0</v>
      </c>
    </row>
    <row r="5221" spans="1:15" x14ac:dyDescent="0.35">
      <c r="A5221" s="500" t="s">
        <v>1202</v>
      </c>
      <c r="B5221" s="501" t="s">
        <v>3217</v>
      </c>
      <c r="C5221" s="501" t="s">
        <v>1094</v>
      </c>
      <c r="D5221" s="501" t="s">
        <v>3380</v>
      </c>
      <c r="E5221" s="501" t="s">
        <v>3381</v>
      </c>
      <c r="F5221" s="501" t="s">
        <v>737</v>
      </c>
      <c r="G5221" s="501" t="s">
        <v>738</v>
      </c>
      <c r="H5221" s="501" t="s">
        <v>7599</v>
      </c>
      <c r="I5221" s="501">
        <v>1108</v>
      </c>
      <c r="J5221" s="501">
        <v>877</v>
      </c>
      <c r="K5221" s="501">
        <v>0</v>
      </c>
      <c r="L5221" s="501">
        <v>0</v>
      </c>
      <c r="M5221" s="501">
        <v>0</v>
      </c>
      <c r="N5221" s="501">
        <v>1</v>
      </c>
      <c r="O5221" s="506">
        <v>231</v>
      </c>
    </row>
    <row r="5222" spans="1:15" x14ac:dyDescent="0.35">
      <c r="A5222" s="503" t="s">
        <v>1112</v>
      </c>
      <c r="B5222" s="504" t="s">
        <v>3008</v>
      </c>
      <c r="C5222" s="504" t="s">
        <v>1094</v>
      </c>
      <c r="D5222" s="504" t="s">
        <v>3380</v>
      </c>
      <c r="E5222" s="504" t="s">
        <v>3381</v>
      </c>
      <c r="F5222" s="504" t="s">
        <v>737</v>
      </c>
      <c r="G5222" s="504" t="s">
        <v>738</v>
      </c>
      <c r="H5222" s="504" t="s">
        <v>7600</v>
      </c>
      <c r="I5222" s="504">
        <v>193</v>
      </c>
      <c r="J5222" s="504">
        <v>90</v>
      </c>
      <c r="K5222" s="504">
        <v>0</v>
      </c>
      <c r="L5222" s="504">
        <v>17</v>
      </c>
      <c r="M5222" s="504">
        <v>0</v>
      </c>
      <c r="N5222" s="504">
        <v>0</v>
      </c>
      <c r="O5222" s="505">
        <v>86</v>
      </c>
    </row>
    <row r="5223" spans="1:15" x14ac:dyDescent="0.35">
      <c r="A5223" s="500" t="s">
        <v>1498</v>
      </c>
      <c r="B5223" s="501" t="s">
        <v>3138</v>
      </c>
      <c r="C5223" s="501" t="s">
        <v>1089</v>
      </c>
      <c r="D5223" s="501" t="s">
        <v>3392</v>
      </c>
      <c r="E5223" s="501" t="s">
        <v>3381</v>
      </c>
      <c r="F5223" s="501" t="s">
        <v>737</v>
      </c>
      <c r="G5223" s="501" t="s">
        <v>738</v>
      </c>
      <c r="H5223" s="501" t="s">
        <v>7601</v>
      </c>
      <c r="I5223" s="501">
        <v>51</v>
      </c>
      <c r="J5223" s="501">
        <v>35</v>
      </c>
      <c r="K5223" s="501">
        <v>0</v>
      </c>
      <c r="L5223" s="501">
        <v>0</v>
      </c>
      <c r="M5223" s="501">
        <v>16</v>
      </c>
      <c r="N5223" s="501">
        <v>0</v>
      </c>
      <c r="O5223" s="506">
        <v>0</v>
      </c>
    </row>
    <row r="5224" spans="1:15" x14ac:dyDescent="0.35">
      <c r="A5224" s="503" t="s">
        <v>1114</v>
      </c>
      <c r="B5224" s="504" t="s">
        <v>2982</v>
      </c>
      <c r="C5224" s="504" t="s">
        <v>1094</v>
      </c>
      <c r="D5224" s="504" t="s">
        <v>3380</v>
      </c>
      <c r="E5224" s="504" t="s">
        <v>3381</v>
      </c>
      <c r="F5224" s="504" t="s">
        <v>737</v>
      </c>
      <c r="G5224" s="504" t="s">
        <v>738</v>
      </c>
      <c r="H5224" s="504" t="s">
        <v>7602</v>
      </c>
      <c r="I5224" s="504">
        <v>924</v>
      </c>
      <c r="J5224" s="504">
        <v>908</v>
      </c>
      <c r="K5224" s="504">
        <v>0</v>
      </c>
      <c r="L5224" s="504">
        <v>0</v>
      </c>
      <c r="M5224" s="504">
        <v>0</v>
      </c>
      <c r="N5224" s="504">
        <v>0</v>
      </c>
      <c r="O5224" s="505">
        <v>16</v>
      </c>
    </row>
    <row r="5225" spans="1:15" x14ac:dyDescent="0.35">
      <c r="A5225" s="500" t="s">
        <v>14400</v>
      </c>
      <c r="B5225" s="501">
        <v>4727</v>
      </c>
      <c r="C5225" s="501" t="s">
        <v>1089</v>
      </c>
      <c r="D5225" s="501" t="s">
        <v>3392</v>
      </c>
      <c r="E5225" s="501" t="s">
        <v>3381</v>
      </c>
      <c r="F5225" s="501" t="s">
        <v>737</v>
      </c>
      <c r="G5225" s="501" t="s">
        <v>738</v>
      </c>
      <c r="H5225" s="501" t="s">
        <v>14832</v>
      </c>
      <c r="I5225" s="501">
        <v>3</v>
      </c>
      <c r="J5225" s="501">
        <v>0</v>
      </c>
      <c r="K5225" s="501">
        <v>0</v>
      </c>
      <c r="L5225" s="501">
        <v>3</v>
      </c>
      <c r="M5225" s="501">
        <v>0</v>
      </c>
      <c r="N5225" s="501">
        <v>0</v>
      </c>
      <c r="O5225" s="506">
        <v>0</v>
      </c>
    </row>
    <row r="5226" spans="1:15" x14ac:dyDescent="0.35">
      <c r="A5226" s="503" t="s">
        <v>1319</v>
      </c>
      <c r="B5226" s="504">
        <v>4880</v>
      </c>
      <c r="C5226" s="504" t="s">
        <v>1094</v>
      </c>
      <c r="D5226" s="504" t="s">
        <v>3380</v>
      </c>
      <c r="E5226" s="504" t="s">
        <v>3381</v>
      </c>
      <c r="F5226" s="504" t="s">
        <v>737</v>
      </c>
      <c r="G5226" s="504" t="s">
        <v>738</v>
      </c>
      <c r="H5226" s="504" t="s">
        <v>7603</v>
      </c>
      <c r="I5226" s="504">
        <v>285</v>
      </c>
      <c r="J5226" s="504">
        <v>254</v>
      </c>
      <c r="K5226" s="504">
        <v>0</v>
      </c>
      <c r="L5226" s="504">
        <v>12</v>
      </c>
      <c r="M5226" s="504">
        <v>13</v>
      </c>
      <c r="N5226" s="504">
        <v>0</v>
      </c>
      <c r="O5226" s="505">
        <v>6</v>
      </c>
    </row>
    <row r="5227" spans="1:15" x14ac:dyDescent="0.35">
      <c r="A5227" s="500" t="s">
        <v>1120</v>
      </c>
      <c r="B5227" s="501" t="s">
        <v>3362</v>
      </c>
      <c r="C5227" s="501" t="s">
        <v>1094</v>
      </c>
      <c r="D5227" s="501" t="s">
        <v>3380</v>
      </c>
      <c r="E5227" s="501" t="s">
        <v>3381</v>
      </c>
      <c r="F5227" s="501" t="s">
        <v>737</v>
      </c>
      <c r="G5227" s="501" t="s">
        <v>738</v>
      </c>
      <c r="H5227" s="501" t="s">
        <v>7604</v>
      </c>
      <c r="I5227" s="501">
        <v>132</v>
      </c>
      <c r="J5227" s="501">
        <v>0</v>
      </c>
      <c r="K5227" s="501">
        <v>0</v>
      </c>
      <c r="L5227" s="501">
        <v>0</v>
      </c>
      <c r="M5227" s="501">
        <v>0</v>
      </c>
      <c r="N5227" s="501">
        <v>0</v>
      </c>
      <c r="O5227" s="506">
        <v>132</v>
      </c>
    </row>
    <row r="5228" spans="1:15" x14ac:dyDescent="0.35">
      <c r="A5228" s="503" t="s">
        <v>1217</v>
      </c>
      <c r="B5228" s="504">
        <v>4851</v>
      </c>
      <c r="C5228" s="504" t="s">
        <v>1094</v>
      </c>
      <c r="D5228" s="504" t="s">
        <v>3380</v>
      </c>
      <c r="E5228" s="504" t="s">
        <v>3381</v>
      </c>
      <c r="F5228" s="504" t="s">
        <v>737</v>
      </c>
      <c r="G5228" s="504" t="s">
        <v>738</v>
      </c>
      <c r="H5228" s="504" t="s">
        <v>7605</v>
      </c>
      <c r="I5228" s="504">
        <v>547</v>
      </c>
      <c r="J5228" s="504">
        <v>437</v>
      </c>
      <c r="K5228" s="504">
        <v>0</v>
      </c>
      <c r="L5228" s="504">
        <v>25</v>
      </c>
      <c r="M5228" s="504">
        <v>0</v>
      </c>
      <c r="N5228" s="504">
        <v>2</v>
      </c>
      <c r="O5228" s="505">
        <v>85</v>
      </c>
    </row>
    <row r="5229" spans="1:15" x14ac:dyDescent="0.35">
      <c r="A5229" s="500" t="s">
        <v>1218</v>
      </c>
      <c r="B5229" s="501" t="s">
        <v>3147</v>
      </c>
      <c r="C5229" s="501" t="s">
        <v>1094</v>
      </c>
      <c r="D5229" s="501" t="s">
        <v>3380</v>
      </c>
      <c r="E5229" s="501" t="s">
        <v>3381</v>
      </c>
      <c r="F5229" s="501" t="s">
        <v>737</v>
      </c>
      <c r="G5229" s="501" t="s">
        <v>738</v>
      </c>
      <c r="H5229" s="501" t="s">
        <v>7606</v>
      </c>
      <c r="I5229" s="501">
        <v>2</v>
      </c>
      <c r="J5229" s="501">
        <v>0</v>
      </c>
      <c r="K5229" s="501">
        <v>0</v>
      </c>
      <c r="L5229" s="501">
        <v>0</v>
      </c>
      <c r="M5229" s="501">
        <v>0</v>
      </c>
      <c r="N5229" s="501">
        <v>0</v>
      </c>
      <c r="O5229" s="506">
        <v>2</v>
      </c>
    </row>
    <row r="5230" spans="1:15" x14ac:dyDescent="0.35">
      <c r="A5230" s="503" t="s">
        <v>1325</v>
      </c>
      <c r="B5230" s="504" t="s">
        <v>3011</v>
      </c>
      <c r="C5230" s="504" t="s">
        <v>1094</v>
      </c>
      <c r="D5230" s="504" t="s">
        <v>3380</v>
      </c>
      <c r="E5230" s="504" t="s">
        <v>3381</v>
      </c>
      <c r="F5230" s="504" t="s">
        <v>737</v>
      </c>
      <c r="G5230" s="504" t="s">
        <v>738</v>
      </c>
      <c r="H5230" s="504" t="s">
        <v>7607</v>
      </c>
      <c r="I5230" s="504">
        <v>1</v>
      </c>
      <c r="J5230" s="504">
        <v>0</v>
      </c>
      <c r="K5230" s="504">
        <v>0</v>
      </c>
      <c r="L5230" s="504">
        <v>0</v>
      </c>
      <c r="M5230" s="504">
        <v>0</v>
      </c>
      <c r="N5230" s="504">
        <v>0</v>
      </c>
      <c r="O5230" s="505">
        <v>1</v>
      </c>
    </row>
    <row r="5231" spans="1:15" x14ac:dyDescent="0.35">
      <c r="A5231" s="500" t="s">
        <v>1220</v>
      </c>
      <c r="B5231" s="501">
        <v>4849</v>
      </c>
      <c r="C5231" s="501" t="s">
        <v>1094</v>
      </c>
      <c r="D5231" s="501" t="s">
        <v>3380</v>
      </c>
      <c r="E5231" s="501" t="s">
        <v>3381</v>
      </c>
      <c r="F5231" s="501" t="s">
        <v>737</v>
      </c>
      <c r="G5231" s="501" t="s">
        <v>738</v>
      </c>
      <c r="H5231" s="501" t="s">
        <v>7608</v>
      </c>
      <c r="I5231" s="501">
        <v>92</v>
      </c>
      <c r="J5231" s="501">
        <v>38</v>
      </c>
      <c r="K5231" s="501">
        <v>0</v>
      </c>
      <c r="L5231" s="501">
        <v>0</v>
      </c>
      <c r="M5231" s="501">
        <v>0</v>
      </c>
      <c r="N5231" s="501">
        <v>0</v>
      </c>
      <c r="O5231" s="506">
        <v>54</v>
      </c>
    </row>
    <row r="5232" spans="1:15" x14ac:dyDescent="0.35">
      <c r="A5232" s="503" t="s">
        <v>1332</v>
      </c>
      <c r="B5232" s="504">
        <v>4878</v>
      </c>
      <c r="C5232" s="504" t="s">
        <v>1094</v>
      </c>
      <c r="D5232" s="504" t="s">
        <v>3380</v>
      </c>
      <c r="E5232" s="504" t="s">
        <v>3381</v>
      </c>
      <c r="F5232" s="504" t="s">
        <v>737</v>
      </c>
      <c r="G5232" s="504" t="s">
        <v>738</v>
      </c>
      <c r="H5232" s="504" t="s">
        <v>7609</v>
      </c>
      <c r="I5232" s="504">
        <v>250</v>
      </c>
      <c r="J5232" s="504">
        <v>245</v>
      </c>
      <c r="K5232" s="504">
        <v>0</v>
      </c>
      <c r="L5232" s="504">
        <v>0</v>
      </c>
      <c r="M5232" s="504">
        <v>0</v>
      </c>
      <c r="N5232" s="504">
        <v>0</v>
      </c>
      <c r="O5232" s="505">
        <v>5</v>
      </c>
    </row>
    <row r="5233" spans="1:15" x14ac:dyDescent="0.35">
      <c r="A5233" s="500" t="s">
        <v>1122</v>
      </c>
      <c r="B5233" s="501" t="s">
        <v>2994</v>
      </c>
      <c r="C5233" s="501" t="s">
        <v>1094</v>
      </c>
      <c r="D5233" s="501" t="s">
        <v>3380</v>
      </c>
      <c r="E5233" s="501" t="s">
        <v>3381</v>
      </c>
      <c r="F5233" s="501" t="s">
        <v>737</v>
      </c>
      <c r="G5233" s="501" t="s">
        <v>738</v>
      </c>
      <c r="H5233" s="501" t="s">
        <v>7610</v>
      </c>
      <c r="I5233" s="501">
        <v>1</v>
      </c>
      <c r="J5233" s="501">
        <v>1</v>
      </c>
      <c r="K5233" s="501">
        <v>0</v>
      </c>
      <c r="L5233" s="501">
        <v>0</v>
      </c>
      <c r="M5233" s="501">
        <v>0</v>
      </c>
      <c r="N5233" s="501">
        <v>0</v>
      </c>
      <c r="O5233" s="506">
        <v>0</v>
      </c>
    </row>
    <row r="5234" spans="1:15" x14ac:dyDescent="0.35">
      <c r="A5234" s="503" t="s">
        <v>1124</v>
      </c>
      <c r="B5234" s="504">
        <v>4745</v>
      </c>
      <c r="C5234" s="504" t="s">
        <v>1094</v>
      </c>
      <c r="D5234" s="504" t="s">
        <v>3380</v>
      </c>
      <c r="E5234" s="504" t="s">
        <v>3381</v>
      </c>
      <c r="F5234" s="504" t="s">
        <v>737</v>
      </c>
      <c r="G5234" s="504" t="s">
        <v>738</v>
      </c>
      <c r="H5234" s="504" t="s">
        <v>7611</v>
      </c>
      <c r="I5234" s="504">
        <v>1</v>
      </c>
      <c r="J5234" s="504">
        <v>0</v>
      </c>
      <c r="K5234" s="504">
        <v>0</v>
      </c>
      <c r="L5234" s="504">
        <v>1</v>
      </c>
      <c r="M5234" s="504">
        <v>0</v>
      </c>
      <c r="N5234" s="504">
        <v>0</v>
      </c>
      <c r="O5234" s="505">
        <v>0</v>
      </c>
    </row>
    <row r="5235" spans="1:15" x14ac:dyDescent="0.35">
      <c r="A5235" s="500" t="s">
        <v>1540</v>
      </c>
      <c r="B5235" s="501" t="s">
        <v>3271</v>
      </c>
      <c r="C5235" s="501" t="s">
        <v>1089</v>
      </c>
      <c r="D5235" s="501" t="s">
        <v>3392</v>
      </c>
      <c r="E5235" s="501" t="s">
        <v>3381</v>
      </c>
      <c r="F5235" s="501" t="s">
        <v>737</v>
      </c>
      <c r="G5235" s="501" t="s">
        <v>738</v>
      </c>
      <c r="H5235" s="501" t="s">
        <v>14833</v>
      </c>
      <c r="I5235" s="501">
        <v>28</v>
      </c>
      <c r="J5235" s="501">
        <v>28</v>
      </c>
      <c r="K5235" s="501">
        <v>0</v>
      </c>
      <c r="L5235" s="501">
        <v>0</v>
      </c>
      <c r="M5235" s="501">
        <v>0</v>
      </c>
      <c r="N5235" s="501">
        <v>1</v>
      </c>
      <c r="O5235" s="506">
        <v>0</v>
      </c>
    </row>
    <row r="5236" spans="1:15" x14ac:dyDescent="0.35">
      <c r="A5236" s="503" t="s">
        <v>1126</v>
      </c>
      <c r="B5236" s="504" t="s">
        <v>2974</v>
      </c>
      <c r="C5236" s="504" t="s">
        <v>1094</v>
      </c>
      <c r="D5236" s="504" t="s">
        <v>3380</v>
      </c>
      <c r="E5236" s="504" t="s">
        <v>3381</v>
      </c>
      <c r="F5236" s="504" t="s">
        <v>737</v>
      </c>
      <c r="G5236" s="504" t="s">
        <v>738</v>
      </c>
      <c r="H5236" s="504" t="s">
        <v>7612</v>
      </c>
      <c r="I5236" s="504">
        <v>111</v>
      </c>
      <c r="J5236" s="504">
        <v>36</v>
      </c>
      <c r="K5236" s="504">
        <v>0</v>
      </c>
      <c r="L5236" s="504">
        <v>0</v>
      </c>
      <c r="M5236" s="504">
        <v>75</v>
      </c>
      <c r="N5236" s="504">
        <v>0</v>
      </c>
      <c r="O5236" s="505">
        <v>0</v>
      </c>
    </row>
    <row r="5237" spans="1:15" x14ac:dyDescent="0.35">
      <c r="A5237" s="500" t="s">
        <v>1342</v>
      </c>
      <c r="B5237" s="501" t="s">
        <v>3237</v>
      </c>
      <c r="C5237" s="501" t="s">
        <v>1094</v>
      </c>
      <c r="D5237" s="501" t="s">
        <v>3380</v>
      </c>
      <c r="E5237" s="501" t="s">
        <v>3381</v>
      </c>
      <c r="F5237" s="501" t="s">
        <v>737</v>
      </c>
      <c r="G5237" s="501" t="s">
        <v>738</v>
      </c>
      <c r="H5237" s="501" t="s">
        <v>7613</v>
      </c>
      <c r="I5237" s="501">
        <v>1</v>
      </c>
      <c r="J5237" s="501">
        <v>0</v>
      </c>
      <c r="K5237" s="501">
        <v>0</v>
      </c>
      <c r="L5237" s="501">
        <v>0</v>
      </c>
      <c r="M5237" s="501">
        <v>0</v>
      </c>
      <c r="N5237" s="501">
        <v>0</v>
      </c>
      <c r="O5237" s="506">
        <v>1</v>
      </c>
    </row>
    <row r="5238" spans="1:15" x14ac:dyDescent="0.35">
      <c r="A5238" s="503" t="s">
        <v>1550</v>
      </c>
      <c r="B5238" s="504" t="s">
        <v>3282</v>
      </c>
      <c r="C5238" s="504" t="s">
        <v>1089</v>
      </c>
      <c r="D5238" s="504" t="s">
        <v>3392</v>
      </c>
      <c r="E5238" s="504" t="s">
        <v>3381</v>
      </c>
      <c r="F5238" s="504" t="s">
        <v>737</v>
      </c>
      <c r="G5238" s="504" t="s">
        <v>738</v>
      </c>
      <c r="H5238" s="504" t="s">
        <v>7614</v>
      </c>
      <c r="I5238" s="504">
        <v>4</v>
      </c>
      <c r="J5238" s="504">
        <v>4</v>
      </c>
      <c r="K5238" s="504">
        <v>0</v>
      </c>
      <c r="L5238" s="504">
        <v>0</v>
      </c>
      <c r="M5238" s="504">
        <v>0</v>
      </c>
      <c r="N5238" s="504">
        <v>0</v>
      </c>
      <c r="O5238" s="505">
        <v>0</v>
      </c>
    </row>
    <row r="5239" spans="1:15" x14ac:dyDescent="0.35">
      <c r="A5239" s="500" t="s">
        <v>1560</v>
      </c>
      <c r="B5239" s="501" t="s">
        <v>2990</v>
      </c>
      <c r="C5239" s="501" t="s">
        <v>1094</v>
      </c>
      <c r="D5239" s="501" t="s">
        <v>3380</v>
      </c>
      <c r="E5239" s="501" t="s">
        <v>3381</v>
      </c>
      <c r="F5239" s="501" t="s">
        <v>737</v>
      </c>
      <c r="G5239" s="501" t="s">
        <v>738</v>
      </c>
      <c r="H5239" s="501" t="s">
        <v>7615</v>
      </c>
      <c r="I5239" s="501">
        <v>117</v>
      </c>
      <c r="J5239" s="501">
        <v>82</v>
      </c>
      <c r="K5239" s="501">
        <v>0</v>
      </c>
      <c r="L5239" s="501">
        <v>0</v>
      </c>
      <c r="M5239" s="501">
        <v>0</v>
      </c>
      <c r="N5239" s="501">
        <v>0</v>
      </c>
      <c r="O5239" s="506">
        <v>35</v>
      </c>
    </row>
    <row r="5240" spans="1:15" x14ac:dyDescent="0.35">
      <c r="A5240" s="503" t="s">
        <v>1567</v>
      </c>
      <c r="B5240" s="504" t="s">
        <v>2598</v>
      </c>
      <c r="C5240" s="504" t="s">
        <v>1089</v>
      </c>
      <c r="D5240" s="504" t="s">
        <v>3392</v>
      </c>
      <c r="E5240" s="504" t="s">
        <v>3381</v>
      </c>
      <c r="F5240" s="504" t="s">
        <v>737</v>
      </c>
      <c r="G5240" s="504" t="s">
        <v>738</v>
      </c>
      <c r="H5240" s="504" t="s">
        <v>7616</v>
      </c>
      <c r="I5240" s="504">
        <v>8</v>
      </c>
      <c r="J5240" s="504">
        <v>8</v>
      </c>
      <c r="K5240" s="504">
        <v>0</v>
      </c>
      <c r="L5240" s="504">
        <v>0</v>
      </c>
      <c r="M5240" s="504">
        <v>0</v>
      </c>
      <c r="N5240" s="504">
        <v>0</v>
      </c>
      <c r="O5240" s="505">
        <v>0</v>
      </c>
    </row>
    <row r="5241" spans="1:15" x14ac:dyDescent="0.35">
      <c r="A5241" s="500" t="s">
        <v>1253</v>
      </c>
      <c r="B5241" s="501" t="s">
        <v>3232</v>
      </c>
      <c r="C5241" s="501" t="s">
        <v>1094</v>
      </c>
      <c r="D5241" s="501" t="s">
        <v>3380</v>
      </c>
      <c r="E5241" s="501" t="s">
        <v>3381</v>
      </c>
      <c r="F5241" s="501" t="s">
        <v>737</v>
      </c>
      <c r="G5241" s="501" t="s">
        <v>738</v>
      </c>
      <c r="H5241" s="501" t="s">
        <v>7617</v>
      </c>
      <c r="I5241" s="501">
        <v>104</v>
      </c>
      <c r="J5241" s="501">
        <v>103</v>
      </c>
      <c r="K5241" s="501">
        <v>0</v>
      </c>
      <c r="L5241" s="501">
        <v>1</v>
      </c>
      <c r="M5241" s="501">
        <v>0</v>
      </c>
      <c r="N5241" s="501">
        <v>0</v>
      </c>
      <c r="O5241" s="506">
        <v>0</v>
      </c>
    </row>
    <row r="5242" spans="1:15" x14ac:dyDescent="0.35">
      <c r="A5242" s="503" t="s">
        <v>1587</v>
      </c>
      <c r="B5242" s="504" t="s">
        <v>2978</v>
      </c>
      <c r="C5242" s="504" t="s">
        <v>1094</v>
      </c>
      <c r="D5242" s="504" t="s">
        <v>3380</v>
      </c>
      <c r="E5242" s="504" t="s">
        <v>3381</v>
      </c>
      <c r="F5242" s="504" t="s">
        <v>737</v>
      </c>
      <c r="G5242" s="504" t="s">
        <v>738</v>
      </c>
      <c r="H5242" s="504" t="s">
        <v>7618</v>
      </c>
      <c r="I5242" s="504">
        <v>1339</v>
      </c>
      <c r="J5242" s="504">
        <v>1091</v>
      </c>
      <c r="K5242" s="504">
        <v>0</v>
      </c>
      <c r="L5242" s="504">
        <v>98</v>
      </c>
      <c r="M5242" s="504">
        <v>32</v>
      </c>
      <c r="N5242" s="504">
        <v>29</v>
      </c>
      <c r="O5242" s="505">
        <v>118</v>
      </c>
    </row>
    <row r="5243" spans="1:15" x14ac:dyDescent="0.35">
      <c r="A5243" s="500" t="s">
        <v>1607</v>
      </c>
      <c r="B5243" s="501" t="s">
        <v>3324</v>
      </c>
      <c r="C5243" s="501" t="s">
        <v>1094</v>
      </c>
      <c r="D5243" s="501" t="s">
        <v>3392</v>
      </c>
      <c r="E5243" s="501" t="s">
        <v>3381</v>
      </c>
      <c r="F5243" s="501" t="s">
        <v>737</v>
      </c>
      <c r="G5243" s="501" t="s">
        <v>738</v>
      </c>
      <c r="H5243" s="501" t="s">
        <v>7619</v>
      </c>
      <c r="I5243" s="501">
        <v>147</v>
      </c>
      <c r="J5243" s="501">
        <v>36</v>
      </c>
      <c r="K5243" s="501">
        <v>0</v>
      </c>
      <c r="L5243" s="501">
        <v>111</v>
      </c>
      <c r="M5243" s="501">
        <v>0</v>
      </c>
      <c r="N5243" s="501">
        <v>0</v>
      </c>
      <c r="O5243" s="506">
        <v>0</v>
      </c>
    </row>
    <row r="5244" spans="1:15" x14ac:dyDescent="0.35">
      <c r="A5244" s="503" t="s">
        <v>14127</v>
      </c>
      <c r="B5244" s="504" t="s">
        <v>14126</v>
      </c>
      <c r="C5244" s="504" t="s">
        <v>1094</v>
      </c>
      <c r="D5244" s="504" t="s">
        <v>3380</v>
      </c>
      <c r="E5244" s="504" t="s">
        <v>3381</v>
      </c>
      <c r="F5244" s="504" t="s">
        <v>739</v>
      </c>
      <c r="G5244" s="504" t="s">
        <v>740</v>
      </c>
      <c r="H5244" s="504" t="s">
        <v>14834</v>
      </c>
      <c r="I5244" s="504">
        <v>133</v>
      </c>
      <c r="J5244" s="504">
        <v>82</v>
      </c>
      <c r="K5244" s="504">
        <v>0</v>
      </c>
      <c r="L5244" s="504">
        <v>0</v>
      </c>
      <c r="M5244" s="504">
        <v>0</v>
      </c>
      <c r="N5244" s="504">
        <v>0</v>
      </c>
      <c r="O5244" s="505">
        <v>51</v>
      </c>
    </row>
    <row r="5245" spans="1:15" x14ac:dyDescent="0.35">
      <c r="A5245" s="500" t="s">
        <v>1093</v>
      </c>
      <c r="B5245" s="501" t="s">
        <v>3248</v>
      </c>
      <c r="C5245" s="501" t="s">
        <v>1094</v>
      </c>
      <c r="D5245" s="501" t="s">
        <v>3380</v>
      </c>
      <c r="E5245" s="501" t="s">
        <v>3381</v>
      </c>
      <c r="F5245" s="501" t="s">
        <v>739</v>
      </c>
      <c r="G5245" s="501" t="s">
        <v>740</v>
      </c>
      <c r="H5245" s="501" t="s">
        <v>7620</v>
      </c>
      <c r="I5245" s="501">
        <v>3</v>
      </c>
      <c r="J5245" s="501">
        <v>0</v>
      </c>
      <c r="K5245" s="501">
        <v>0</v>
      </c>
      <c r="L5245" s="501">
        <v>0</v>
      </c>
      <c r="M5245" s="501">
        <v>0</v>
      </c>
      <c r="N5245" s="501">
        <v>0</v>
      </c>
      <c r="O5245" s="506">
        <v>3</v>
      </c>
    </row>
    <row r="5246" spans="1:15" x14ac:dyDescent="0.35">
      <c r="A5246" s="503" t="s">
        <v>1098</v>
      </c>
      <c r="B5246" s="504">
        <v>4691</v>
      </c>
      <c r="C5246" s="504" t="s">
        <v>1094</v>
      </c>
      <c r="D5246" s="504" t="s">
        <v>3380</v>
      </c>
      <c r="E5246" s="504" t="s">
        <v>3381</v>
      </c>
      <c r="F5246" s="504" t="s">
        <v>739</v>
      </c>
      <c r="G5246" s="504" t="s">
        <v>740</v>
      </c>
      <c r="H5246" s="504" t="s">
        <v>7621</v>
      </c>
      <c r="I5246" s="504">
        <v>11</v>
      </c>
      <c r="J5246" s="504">
        <v>6</v>
      </c>
      <c r="K5246" s="504">
        <v>0</v>
      </c>
      <c r="L5246" s="504">
        <v>0</v>
      </c>
      <c r="M5246" s="504">
        <v>0</v>
      </c>
      <c r="N5246" s="504">
        <v>0</v>
      </c>
      <c r="O5246" s="505">
        <v>5</v>
      </c>
    </row>
    <row r="5247" spans="1:15" x14ac:dyDescent="0.35">
      <c r="A5247" s="500" t="s">
        <v>1100</v>
      </c>
      <c r="B5247" s="501">
        <v>4865</v>
      </c>
      <c r="C5247" s="501" t="s">
        <v>1094</v>
      </c>
      <c r="D5247" s="501" t="s">
        <v>3380</v>
      </c>
      <c r="E5247" s="501" t="s">
        <v>3381</v>
      </c>
      <c r="F5247" s="501" t="s">
        <v>739</v>
      </c>
      <c r="G5247" s="501" t="s">
        <v>740</v>
      </c>
      <c r="H5247" s="501" t="s">
        <v>7622</v>
      </c>
      <c r="I5247" s="501">
        <v>20</v>
      </c>
      <c r="J5247" s="501">
        <v>20</v>
      </c>
      <c r="K5247" s="501">
        <v>0</v>
      </c>
      <c r="L5247" s="501">
        <v>0</v>
      </c>
      <c r="M5247" s="501">
        <v>0</v>
      </c>
      <c r="N5247" s="501">
        <v>0</v>
      </c>
      <c r="O5247" s="506">
        <v>0</v>
      </c>
    </row>
    <row r="5248" spans="1:15" x14ac:dyDescent="0.35">
      <c r="A5248" s="503" t="s">
        <v>1966</v>
      </c>
      <c r="B5248" s="504" t="s">
        <v>2969</v>
      </c>
      <c r="C5248" s="504" t="s">
        <v>1094</v>
      </c>
      <c r="D5248" s="504" t="s">
        <v>3380</v>
      </c>
      <c r="E5248" s="504" t="s">
        <v>3381</v>
      </c>
      <c r="F5248" s="504" t="s">
        <v>739</v>
      </c>
      <c r="G5248" s="504" t="s">
        <v>740</v>
      </c>
      <c r="H5248" s="504" t="s">
        <v>7623</v>
      </c>
      <c r="I5248" s="504">
        <v>19</v>
      </c>
      <c r="J5248" s="504">
        <v>19</v>
      </c>
      <c r="K5248" s="504">
        <v>0</v>
      </c>
      <c r="L5248" s="504">
        <v>0</v>
      </c>
      <c r="M5248" s="504">
        <v>0</v>
      </c>
      <c r="N5248" s="504">
        <v>0</v>
      </c>
      <c r="O5248" s="505">
        <v>0</v>
      </c>
    </row>
    <row r="5249" spans="1:15" x14ac:dyDescent="0.35">
      <c r="A5249" s="500" t="s">
        <v>1978</v>
      </c>
      <c r="B5249" s="501" t="s">
        <v>3119</v>
      </c>
      <c r="C5249" s="501" t="s">
        <v>1089</v>
      </c>
      <c r="D5249" s="501" t="s">
        <v>3392</v>
      </c>
      <c r="E5249" s="501" t="s">
        <v>3381</v>
      </c>
      <c r="F5249" s="501" t="s">
        <v>739</v>
      </c>
      <c r="G5249" s="501" t="s">
        <v>740</v>
      </c>
      <c r="H5249" s="501" t="s">
        <v>7624</v>
      </c>
      <c r="I5249" s="501">
        <v>31</v>
      </c>
      <c r="J5249" s="501">
        <v>31</v>
      </c>
      <c r="K5249" s="501">
        <v>0</v>
      </c>
      <c r="L5249" s="501">
        <v>0</v>
      </c>
      <c r="M5249" s="501">
        <v>0</v>
      </c>
      <c r="N5249" s="501">
        <v>0</v>
      </c>
      <c r="O5249" s="506">
        <v>0</v>
      </c>
    </row>
    <row r="5250" spans="1:15" x14ac:dyDescent="0.35">
      <c r="A5250" s="503" t="s">
        <v>1985</v>
      </c>
      <c r="B5250" s="504" t="s">
        <v>3210</v>
      </c>
      <c r="C5250" s="504" t="s">
        <v>1089</v>
      </c>
      <c r="D5250" s="504" t="s">
        <v>3392</v>
      </c>
      <c r="E5250" s="504" t="s">
        <v>3381</v>
      </c>
      <c r="F5250" s="504" t="s">
        <v>739</v>
      </c>
      <c r="G5250" s="504" t="s">
        <v>740</v>
      </c>
      <c r="H5250" s="504" t="s">
        <v>7625</v>
      </c>
      <c r="I5250" s="504">
        <v>73</v>
      </c>
      <c r="J5250" s="504">
        <v>0</v>
      </c>
      <c r="K5250" s="504">
        <v>0</v>
      </c>
      <c r="L5250" s="504">
        <v>21</v>
      </c>
      <c r="M5250" s="504">
        <v>52</v>
      </c>
      <c r="N5250" s="504">
        <v>0</v>
      </c>
      <c r="O5250" s="505">
        <v>0</v>
      </c>
    </row>
    <row r="5251" spans="1:15" x14ac:dyDescent="0.35">
      <c r="A5251" s="500" t="s">
        <v>1187</v>
      </c>
      <c r="B5251" s="501" t="s">
        <v>2951</v>
      </c>
      <c r="C5251" s="501" t="s">
        <v>1094</v>
      </c>
      <c r="D5251" s="501" t="s">
        <v>3380</v>
      </c>
      <c r="E5251" s="501" t="s">
        <v>3381</v>
      </c>
      <c r="F5251" s="501" t="s">
        <v>739</v>
      </c>
      <c r="G5251" s="501" t="s">
        <v>740</v>
      </c>
      <c r="H5251" s="501" t="s">
        <v>7626</v>
      </c>
      <c r="I5251" s="501">
        <v>113</v>
      </c>
      <c r="J5251" s="501">
        <v>79</v>
      </c>
      <c r="K5251" s="501">
        <v>0</v>
      </c>
      <c r="L5251" s="501">
        <v>0</v>
      </c>
      <c r="M5251" s="501">
        <v>0</v>
      </c>
      <c r="N5251" s="501">
        <v>0</v>
      </c>
      <c r="O5251" s="506">
        <v>34</v>
      </c>
    </row>
    <row r="5252" spans="1:15" x14ac:dyDescent="0.35">
      <c r="A5252" s="503" t="s">
        <v>1105</v>
      </c>
      <c r="B5252" s="504">
        <v>4668</v>
      </c>
      <c r="C5252" s="504" t="s">
        <v>1094</v>
      </c>
      <c r="D5252" s="504" t="s">
        <v>3380</v>
      </c>
      <c r="E5252" s="504" t="s">
        <v>3381</v>
      </c>
      <c r="F5252" s="504" t="s">
        <v>739</v>
      </c>
      <c r="G5252" s="504" t="s">
        <v>740</v>
      </c>
      <c r="H5252" s="504" t="s">
        <v>7627</v>
      </c>
      <c r="I5252" s="504">
        <v>1</v>
      </c>
      <c r="J5252" s="504">
        <v>0</v>
      </c>
      <c r="K5252" s="504">
        <v>0</v>
      </c>
      <c r="L5252" s="504">
        <v>0</v>
      </c>
      <c r="M5252" s="504">
        <v>0</v>
      </c>
      <c r="N5252" s="504">
        <v>0</v>
      </c>
      <c r="O5252" s="505">
        <v>1</v>
      </c>
    </row>
    <row r="5253" spans="1:15" x14ac:dyDescent="0.35">
      <c r="A5253" s="500" t="s">
        <v>1109</v>
      </c>
      <c r="B5253" s="501" t="s">
        <v>2959</v>
      </c>
      <c r="C5253" s="501" t="s">
        <v>1094</v>
      </c>
      <c r="D5253" s="501" t="s">
        <v>3380</v>
      </c>
      <c r="E5253" s="501" t="s">
        <v>3381</v>
      </c>
      <c r="F5253" s="501" t="s">
        <v>739</v>
      </c>
      <c r="G5253" s="501" t="s">
        <v>740</v>
      </c>
      <c r="H5253" s="501" t="s">
        <v>7628</v>
      </c>
      <c r="I5253" s="501">
        <v>39</v>
      </c>
      <c r="J5253" s="501">
        <v>0</v>
      </c>
      <c r="K5253" s="501">
        <v>0</v>
      </c>
      <c r="L5253" s="501">
        <v>0</v>
      </c>
      <c r="M5253" s="501">
        <v>39</v>
      </c>
      <c r="N5253" s="501">
        <v>0</v>
      </c>
      <c r="O5253" s="506">
        <v>0</v>
      </c>
    </row>
    <row r="5254" spans="1:15" x14ac:dyDescent="0.35">
      <c r="A5254" s="503" t="s">
        <v>1111</v>
      </c>
      <c r="B5254" s="504">
        <v>4873</v>
      </c>
      <c r="C5254" s="504" t="s">
        <v>1094</v>
      </c>
      <c r="D5254" s="504" t="s">
        <v>3380</v>
      </c>
      <c r="E5254" s="504" t="s">
        <v>3381</v>
      </c>
      <c r="F5254" s="504" t="s">
        <v>739</v>
      </c>
      <c r="G5254" s="504" t="s">
        <v>740</v>
      </c>
      <c r="H5254" s="504" t="s">
        <v>7629</v>
      </c>
      <c r="I5254" s="504">
        <v>418</v>
      </c>
      <c r="J5254" s="504">
        <v>329</v>
      </c>
      <c r="K5254" s="504">
        <v>0</v>
      </c>
      <c r="L5254" s="504">
        <v>0</v>
      </c>
      <c r="M5254" s="504">
        <v>0</v>
      </c>
      <c r="N5254" s="504">
        <v>0</v>
      </c>
      <c r="O5254" s="505">
        <v>89</v>
      </c>
    </row>
    <row r="5255" spans="1:15" x14ac:dyDescent="0.35">
      <c r="A5255" s="500" t="s">
        <v>1228</v>
      </c>
      <c r="B5255" s="501" t="s">
        <v>3321</v>
      </c>
      <c r="C5255" s="501" t="s">
        <v>1094</v>
      </c>
      <c r="D5255" s="501" t="s">
        <v>3380</v>
      </c>
      <c r="E5255" s="501" t="s">
        <v>3381</v>
      </c>
      <c r="F5255" s="501" t="s">
        <v>739</v>
      </c>
      <c r="G5255" s="501" t="s">
        <v>740</v>
      </c>
      <c r="H5255" s="501" t="s">
        <v>7630</v>
      </c>
      <c r="I5255" s="501">
        <v>3</v>
      </c>
      <c r="J5255" s="501">
        <v>0</v>
      </c>
      <c r="K5255" s="501">
        <v>0</v>
      </c>
      <c r="L5255" s="501">
        <v>3</v>
      </c>
      <c r="M5255" s="501">
        <v>0</v>
      </c>
      <c r="N5255" s="501">
        <v>0</v>
      </c>
      <c r="O5255" s="506">
        <v>0</v>
      </c>
    </row>
    <row r="5256" spans="1:15" x14ac:dyDescent="0.35">
      <c r="A5256" s="503" t="s">
        <v>1126</v>
      </c>
      <c r="B5256" s="504" t="s">
        <v>2974</v>
      </c>
      <c r="C5256" s="504" t="s">
        <v>1094</v>
      </c>
      <c r="D5256" s="504" t="s">
        <v>3380</v>
      </c>
      <c r="E5256" s="504" t="s">
        <v>3381</v>
      </c>
      <c r="F5256" s="504" t="s">
        <v>739</v>
      </c>
      <c r="G5256" s="504" t="s">
        <v>740</v>
      </c>
      <c r="H5256" s="504" t="s">
        <v>7631</v>
      </c>
      <c r="I5256" s="504">
        <v>61</v>
      </c>
      <c r="J5256" s="504">
        <v>33</v>
      </c>
      <c r="K5256" s="504">
        <v>0</v>
      </c>
      <c r="L5256" s="504">
        <v>0</v>
      </c>
      <c r="M5256" s="504">
        <v>27</v>
      </c>
      <c r="N5256" s="504">
        <v>0</v>
      </c>
      <c r="O5256" s="505">
        <v>1</v>
      </c>
    </row>
    <row r="5257" spans="1:15" x14ac:dyDescent="0.35">
      <c r="A5257" s="500" t="s">
        <v>2017</v>
      </c>
      <c r="B5257" s="501" t="s">
        <v>3101</v>
      </c>
      <c r="C5257" s="501" t="s">
        <v>1089</v>
      </c>
      <c r="D5257" s="501" t="s">
        <v>3392</v>
      </c>
      <c r="E5257" s="501" t="s">
        <v>3381</v>
      </c>
      <c r="F5257" s="501" t="s">
        <v>739</v>
      </c>
      <c r="G5257" s="501" t="s">
        <v>740</v>
      </c>
      <c r="H5257" s="501" t="s">
        <v>7632</v>
      </c>
      <c r="I5257" s="501">
        <v>83</v>
      </c>
      <c r="J5257" s="501">
        <v>83</v>
      </c>
      <c r="K5257" s="501">
        <v>0</v>
      </c>
      <c r="L5257" s="501">
        <v>0</v>
      </c>
      <c r="M5257" s="501">
        <v>0</v>
      </c>
      <c r="N5257" s="501">
        <v>0</v>
      </c>
      <c r="O5257" s="506">
        <v>0</v>
      </c>
    </row>
    <row r="5258" spans="1:15" x14ac:dyDescent="0.35">
      <c r="A5258" s="503" t="s">
        <v>1132</v>
      </c>
      <c r="B5258" s="504">
        <v>4837</v>
      </c>
      <c r="C5258" s="504" t="s">
        <v>1094</v>
      </c>
      <c r="D5258" s="504" t="s">
        <v>3380</v>
      </c>
      <c r="E5258" s="504" t="s">
        <v>3381</v>
      </c>
      <c r="F5258" s="504" t="s">
        <v>739</v>
      </c>
      <c r="G5258" s="504" t="s">
        <v>740</v>
      </c>
      <c r="H5258" s="504" t="s">
        <v>7633</v>
      </c>
      <c r="I5258" s="504">
        <v>300</v>
      </c>
      <c r="J5258" s="504">
        <v>232</v>
      </c>
      <c r="K5258" s="504">
        <v>0</v>
      </c>
      <c r="L5258" s="504">
        <v>0</v>
      </c>
      <c r="M5258" s="504">
        <v>0</v>
      </c>
      <c r="N5258" s="504">
        <v>0</v>
      </c>
      <c r="O5258" s="505">
        <v>68</v>
      </c>
    </row>
    <row r="5259" spans="1:15" x14ac:dyDescent="0.35">
      <c r="A5259" s="500" t="s">
        <v>1241</v>
      </c>
      <c r="B5259" s="501">
        <v>4717</v>
      </c>
      <c r="C5259" s="501" t="s">
        <v>1094</v>
      </c>
      <c r="D5259" s="501" t="s">
        <v>3380</v>
      </c>
      <c r="E5259" s="501" t="s">
        <v>3381</v>
      </c>
      <c r="F5259" s="501" t="s">
        <v>739</v>
      </c>
      <c r="G5259" s="501" t="s">
        <v>740</v>
      </c>
      <c r="H5259" s="501" t="s">
        <v>7634</v>
      </c>
      <c r="I5259" s="501">
        <v>30</v>
      </c>
      <c r="J5259" s="501">
        <v>30</v>
      </c>
      <c r="K5259" s="501">
        <v>0</v>
      </c>
      <c r="L5259" s="501">
        <v>0</v>
      </c>
      <c r="M5259" s="501">
        <v>0</v>
      </c>
      <c r="N5259" s="501">
        <v>0</v>
      </c>
      <c r="O5259" s="506">
        <v>0</v>
      </c>
    </row>
    <row r="5260" spans="1:15" x14ac:dyDescent="0.35">
      <c r="A5260" s="503" t="s">
        <v>1134</v>
      </c>
      <c r="B5260" s="504" t="s">
        <v>3066</v>
      </c>
      <c r="C5260" s="504" t="s">
        <v>1094</v>
      </c>
      <c r="D5260" s="504" t="s">
        <v>3380</v>
      </c>
      <c r="E5260" s="504" t="s">
        <v>3381</v>
      </c>
      <c r="F5260" s="504" t="s">
        <v>739</v>
      </c>
      <c r="G5260" s="504" t="s">
        <v>740</v>
      </c>
      <c r="H5260" s="504" t="s">
        <v>7635</v>
      </c>
      <c r="I5260" s="504">
        <v>21</v>
      </c>
      <c r="J5260" s="504">
        <v>18</v>
      </c>
      <c r="K5260" s="504">
        <v>0</v>
      </c>
      <c r="L5260" s="504">
        <v>0</v>
      </c>
      <c r="M5260" s="504">
        <v>0</v>
      </c>
      <c r="N5260" s="504">
        <v>0</v>
      </c>
      <c r="O5260" s="505">
        <v>3</v>
      </c>
    </row>
    <row r="5261" spans="1:15" x14ac:dyDescent="0.35">
      <c r="A5261" s="500" t="s">
        <v>2036</v>
      </c>
      <c r="B5261" s="501" t="s">
        <v>2851</v>
      </c>
      <c r="C5261" s="501" t="s">
        <v>1089</v>
      </c>
      <c r="D5261" s="501" t="s">
        <v>3392</v>
      </c>
      <c r="E5261" s="501" t="s">
        <v>3381</v>
      </c>
      <c r="F5261" s="501" t="s">
        <v>739</v>
      </c>
      <c r="G5261" s="501" t="s">
        <v>740</v>
      </c>
      <c r="H5261" s="501" t="s">
        <v>7636</v>
      </c>
      <c r="I5261" s="501">
        <v>10</v>
      </c>
      <c r="J5261" s="501">
        <v>0</v>
      </c>
      <c r="K5261" s="501">
        <v>0</v>
      </c>
      <c r="L5261" s="501">
        <v>0</v>
      </c>
      <c r="M5261" s="501">
        <v>10</v>
      </c>
      <c r="N5261" s="501">
        <v>0</v>
      </c>
      <c r="O5261" s="506">
        <v>0</v>
      </c>
    </row>
    <row r="5262" spans="1:15" x14ac:dyDescent="0.35">
      <c r="A5262" s="503" t="s">
        <v>1249</v>
      </c>
      <c r="B5262" s="504">
        <v>4729</v>
      </c>
      <c r="C5262" s="504" t="s">
        <v>1094</v>
      </c>
      <c r="D5262" s="504" t="s">
        <v>3380</v>
      </c>
      <c r="E5262" s="504" t="s">
        <v>3381</v>
      </c>
      <c r="F5262" s="504" t="s">
        <v>739</v>
      </c>
      <c r="G5262" s="504" t="s">
        <v>740</v>
      </c>
      <c r="H5262" s="504" t="s">
        <v>7637</v>
      </c>
      <c r="I5262" s="504">
        <v>25</v>
      </c>
      <c r="J5262" s="504">
        <v>25</v>
      </c>
      <c r="K5262" s="504">
        <v>0</v>
      </c>
      <c r="L5262" s="504">
        <v>0</v>
      </c>
      <c r="M5262" s="504">
        <v>0</v>
      </c>
      <c r="N5262" s="504">
        <v>0</v>
      </c>
      <c r="O5262" s="505">
        <v>0</v>
      </c>
    </row>
    <row r="5263" spans="1:15" x14ac:dyDescent="0.35">
      <c r="A5263" s="500" t="s">
        <v>2045</v>
      </c>
      <c r="B5263" s="501" t="s">
        <v>2474</v>
      </c>
      <c r="C5263" s="501" t="s">
        <v>1089</v>
      </c>
      <c r="D5263" s="501" t="s">
        <v>3392</v>
      </c>
      <c r="E5263" s="501" t="s">
        <v>3381</v>
      </c>
      <c r="F5263" s="501" t="s">
        <v>739</v>
      </c>
      <c r="G5263" s="501" t="s">
        <v>740</v>
      </c>
      <c r="H5263" s="501" t="s">
        <v>7638</v>
      </c>
      <c r="I5263" s="501">
        <v>83</v>
      </c>
      <c r="J5263" s="501">
        <v>0</v>
      </c>
      <c r="K5263" s="501">
        <v>0</v>
      </c>
      <c r="L5263" s="501">
        <v>0</v>
      </c>
      <c r="M5263" s="501">
        <v>83</v>
      </c>
      <c r="N5263" s="501">
        <v>0</v>
      </c>
      <c r="O5263" s="506">
        <v>0</v>
      </c>
    </row>
    <row r="5264" spans="1:15" x14ac:dyDescent="0.35">
      <c r="A5264" s="503" t="s">
        <v>2048</v>
      </c>
      <c r="B5264" s="504">
        <v>4861</v>
      </c>
      <c r="C5264" s="504" t="s">
        <v>1089</v>
      </c>
      <c r="D5264" s="504" t="s">
        <v>3392</v>
      </c>
      <c r="E5264" s="504" t="s">
        <v>3381</v>
      </c>
      <c r="F5264" s="504" t="s">
        <v>739</v>
      </c>
      <c r="G5264" s="504" t="s">
        <v>740</v>
      </c>
      <c r="H5264" s="504" t="s">
        <v>7639</v>
      </c>
      <c r="I5264" s="504">
        <v>4</v>
      </c>
      <c r="J5264" s="504">
        <v>4</v>
      </c>
      <c r="K5264" s="504">
        <v>0</v>
      </c>
      <c r="L5264" s="504">
        <v>0</v>
      </c>
      <c r="M5264" s="504">
        <v>0</v>
      </c>
      <c r="N5264" s="504">
        <v>0</v>
      </c>
      <c r="O5264" s="505">
        <v>0</v>
      </c>
    </row>
    <row r="5265" spans="1:15" x14ac:dyDescent="0.35">
      <c r="A5265" s="500" t="s">
        <v>1262</v>
      </c>
      <c r="B5265" s="501">
        <v>4772</v>
      </c>
      <c r="C5265" s="501" t="s">
        <v>1089</v>
      </c>
      <c r="D5265" s="501" t="s">
        <v>3392</v>
      </c>
      <c r="E5265" s="501" t="s">
        <v>3381</v>
      </c>
      <c r="F5265" s="501" t="s">
        <v>739</v>
      </c>
      <c r="G5265" s="501" t="s">
        <v>740</v>
      </c>
      <c r="H5265" s="501" t="s">
        <v>7640</v>
      </c>
      <c r="I5265" s="501">
        <v>4</v>
      </c>
      <c r="J5265" s="501">
        <v>0</v>
      </c>
      <c r="K5265" s="501">
        <v>0</v>
      </c>
      <c r="L5265" s="501">
        <v>4</v>
      </c>
      <c r="M5265" s="501">
        <v>0</v>
      </c>
      <c r="N5265" s="501">
        <v>0</v>
      </c>
      <c r="O5265" s="506">
        <v>0</v>
      </c>
    </row>
    <row r="5266" spans="1:15" x14ac:dyDescent="0.35">
      <c r="A5266" s="503" t="s">
        <v>2050</v>
      </c>
      <c r="B5266" s="504">
        <v>4826</v>
      </c>
      <c r="C5266" s="504" t="s">
        <v>1094</v>
      </c>
      <c r="D5266" s="504" t="s">
        <v>3380</v>
      </c>
      <c r="E5266" s="504" t="s">
        <v>3381</v>
      </c>
      <c r="F5266" s="504" t="s">
        <v>739</v>
      </c>
      <c r="G5266" s="504" t="s">
        <v>740</v>
      </c>
      <c r="H5266" s="504" t="s">
        <v>7641</v>
      </c>
      <c r="I5266" s="504">
        <v>316</v>
      </c>
      <c r="J5266" s="504">
        <v>223</v>
      </c>
      <c r="K5266" s="504">
        <v>0</v>
      </c>
      <c r="L5266" s="504">
        <v>0</v>
      </c>
      <c r="M5266" s="504">
        <v>69</v>
      </c>
      <c r="N5266" s="504">
        <v>0</v>
      </c>
      <c r="O5266" s="505">
        <v>24</v>
      </c>
    </row>
    <row r="5267" spans="1:15" x14ac:dyDescent="0.35">
      <c r="A5267" s="500" t="s">
        <v>1096</v>
      </c>
      <c r="B5267" s="501" t="s">
        <v>3326</v>
      </c>
      <c r="C5267" s="501" t="s">
        <v>1094</v>
      </c>
      <c r="D5267" s="501" t="s">
        <v>3380</v>
      </c>
      <c r="E5267" s="501" t="s">
        <v>3381</v>
      </c>
      <c r="F5267" s="501" t="s">
        <v>741</v>
      </c>
      <c r="G5267" s="501" t="s">
        <v>742</v>
      </c>
      <c r="H5267" s="501" t="s">
        <v>7642</v>
      </c>
      <c r="I5267" s="501">
        <v>31</v>
      </c>
      <c r="J5267" s="501">
        <v>0</v>
      </c>
      <c r="K5267" s="501">
        <v>0</v>
      </c>
      <c r="L5267" s="501">
        <v>0</v>
      </c>
      <c r="M5267" s="501">
        <v>31</v>
      </c>
      <c r="N5267" s="501">
        <v>0</v>
      </c>
      <c r="O5267" s="506">
        <v>0</v>
      </c>
    </row>
    <row r="5268" spans="1:15" x14ac:dyDescent="0.35">
      <c r="A5268" s="503" t="s">
        <v>1100</v>
      </c>
      <c r="B5268" s="504">
        <v>4865</v>
      </c>
      <c r="C5268" s="504" t="s">
        <v>1094</v>
      </c>
      <c r="D5268" s="504" t="s">
        <v>3380</v>
      </c>
      <c r="E5268" s="504" t="s">
        <v>3381</v>
      </c>
      <c r="F5268" s="504" t="s">
        <v>741</v>
      </c>
      <c r="G5268" s="504" t="s">
        <v>742</v>
      </c>
      <c r="H5268" s="504" t="s">
        <v>7643</v>
      </c>
      <c r="I5268" s="504">
        <v>205</v>
      </c>
      <c r="J5268" s="504">
        <v>91</v>
      </c>
      <c r="K5268" s="504">
        <v>0</v>
      </c>
      <c r="L5268" s="504">
        <v>0</v>
      </c>
      <c r="M5268" s="504">
        <v>0</v>
      </c>
      <c r="N5268" s="504">
        <v>0</v>
      </c>
      <c r="O5268" s="505">
        <v>114</v>
      </c>
    </row>
    <row r="5269" spans="1:15" x14ac:dyDescent="0.35">
      <c r="A5269" s="500" t="s">
        <v>1293</v>
      </c>
      <c r="B5269" s="501" t="s">
        <v>3212</v>
      </c>
      <c r="C5269" s="501" t="s">
        <v>1094</v>
      </c>
      <c r="D5269" s="501" t="s">
        <v>3380</v>
      </c>
      <c r="E5269" s="501" t="s">
        <v>3381</v>
      </c>
      <c r="F5269" s="501" t="s">
        <v>741</v>
      </c>
      <c r="G5269" s="501" t="s">
        <v>742</v>
      </c>
      <c r="H5269" s="501" t="s">
        <v>14835</v>
      </c>
      <c r="I5269" s="501">
        <v>8</v>
      </c>
      <c r="J5269" s="501">
        <v>4</v>
      </c>
      <c r="K5269" s="501">
        <v>0</v>
      </c>
      <c r="L5269" s="501">
        <v>0</v>
      </c>
      <c r="M5269" s="501">
        <v>0</v>
      </c>
      <c r="N5269" s="501">
        <v>0</v>
      </c>
      <c r="O5269" s="506">
        <v>4</v>
      </c>
    </row>
    <row r="5270" spans="1:15" x14ac:dyDescent="0.35">
      <c r="A5270" s="503" t="s">
        <v>1296</v>
      </c>
      <c r="B5270" s="504">
        <v>4651</v>
      </c>
      <c r="C5270" s="504" t="s">
        <v>1094</v>
      </c>
      <c r="D5270" s="504" t="s">
        <v>3380</v>
      </c>
      <c r="E5270" s="504" t="s">
        <v>3381</v>
      </c>
      <c r="F5270" s="504" t="s">
        <v>741</v>
      </c>
      <c r="G5270" s="504" t="s">
        <v>742</v>
      </c>
      <c r="H5270" s="504" t="s">
        <v>7644</v>
      </c>
      <c r="I5270" s="504">
        <v>753</v>
      </c>
      <c r="J5270" s="504">
        <v>597</v>
      </c>
      <c r="K5270" s="504">
        <v>0</v>
      </c>
      <c r="L5270" s="504">
        <v>0</v>
      </c>
      <c r="M5270" s="504">
        <v>21</v>
      </c>
      <c r="N5270" s="504">
        <v>0</v>
      </c>
      <c r="O5270" s="505">
        <v>135</v>
      </c>
    </row>
    <row r="5271" spans="1:15" x14ac:dyDescent="0.35">
      <c r="A5271" s="500" t="s">
        <v>14208</v>
      </c>
      <c r="B5271" s="501">
        <v>4803</v>
      </c>
      <c r="C5271" s="501" t="s">
        <v>1094</v>
      </c>
      <c r="D5271" s="501" t="s">
        <v>3380</v>
      </c>
      <c r="E5271" s="501" t="s">
        <v>3381</v>
      </c>
      <c r="F5271" s="501" t="s">
        <v>741</v>
      </c>
      <c r="G5271" s="501" t="s">
        <v>742</v>
      </c>
      <c r="H5271" s="501" t="s">
        <v>14836</v>
      </c>
      <c r="I5271" s="501">
        <v>1</v>
      </c>
      <c r="J5271" s="501">
        <v>0</v>
      </c>
      <c r="K5271" s="501">
        <v>0</v>
      </c>
      <c r="L5271" s="501">
        <v>1</v>
      </c>
      <c r="M5271" s="501">
        <v>0</v>
      </c>
      <c r="N5271" s="501">
        <v>0</v>
      </c>
      <c r="O5271" s="506">
        <v>0</v>
      </c>
    </row>
    <row r="5272" spans="1:15" x14ac:dyDescent="0.35">
      <c r="A5272" s="503" t="s">
        <v>1187</v>
      </c>
      <c r="B5272" s="504" t="s">
        <v>2951</v>
      </c>
      <c r="C5272" s="504" t="s">
        <v>1094</v>
      </c>
      <c r="D5272" s="504" t="s">
        <v>3380</v>
      </c>
      <c r="E5272" s="504" t="s">
        <v>3381</v>
      </c>
      <c r="F5272" s="504" t="s">
        <v>741</v>
      </c>
      <c r="G5272" s="504" t="s">
        <v>742</v>
      </c>
      <c r="H5272" s="504" t="s">
        <v>7645</v>
      </c>
      <c r="I5272" s="504">
        <v>77</v>
      </c>
      <c r="J5272" s="504">
        <v>35</v>
      </c>
      <c r="K5272" s="504">
        <v>0</v>
      </c>
      <c r="L5272" s="504">
        <v>0</v>
      </c>
      <c r="M5272" s="504">
        <v>0</v>
      </c>
      <c r="N5272" s="504">
        <v>0</v>
      </c>
      <c r="O5272" s="505">
        <v>42</v>
      </c>
    </row>
    <row r="5273" spans="1:15" x14ac:dyDescent="0.35">
      <c r="A5273" s="500" t="s">
        <v>1105</v>
      </c>
      <c r="B5273" s="501">
        <v>4668</v>
      </c>
      <c r="C5273" s="501" t="s">
        <v>1094</v>
      </c>
      <c r="D5273" s="501" t="s">
        <v>3380</v>
      </c>
      <c r="E5273" s="501" t="s">
        <v>3381</v>
      </c>
      <c r="F5273" s="501" t="s">
        <v>741</v>
      </c>
      <c r="G5273" s="501" t="s">
        <v>742</v>
      </c>
      <c r="H5273" s="501" t="s">
        <v>7646</v>
      </c>
      <c r="I5273" s="501">
        <v>39</v>
      </c>
      <c r="J5273" s="501">
        <v>0</v>
      </c>
      <c r="K5273" s="501">
        <v>0</v>
      </c>
      <c r="L5273" s="501">
        <v>0</v>
      </c>
      <c r="M5273" s="501">
        <v>0</v>
      </c>
      <c r="N5273" s="501">
        <v>0</v>
      </c>
      <c r="O5273" s="506">
        <v>39</v>
      </c>
    </row>
    <row r="5274" spans="1:15" x14ac:dyDescent="0.35">
      <c r="A5274" s="503" t="s">
        <v>1107</v>
      </c>
      <c r="B5274" s="504" t="s">
        <v>3109</v>
      </c>
      <c r="C5274" s="504" t="s">
        <v>1094</v>
      </c>
      <c r="D5274" s="504" t="s">
        <v>3380</v>
      </c>
      <c r="E5274" s="504" t="s">
        <v>3381</v>
      </c>
      <c r="F5274" s="504" t="s">
        <v>741</v>
      </c>
      <c r="G5274" s="504" t="s">
        <v>742</v>
      </c>
      <c r="H5274" s="504" t="s">
        <v>14837</v>
      </c>
      <c r="I5274" s="504">
        <v>17</v>
      </c>
      <c r="J5274" s="504">
        <v>0</v>
      </c>
      <c r="K5274" s="504">
        <v>0</v>
      </c>
      <c r="L5274" s="504">
        <v>17</v>
      </c>
      <c r="M5274" s="504">
        <v>0</v>
      </c>
      <c r="N5274" s="504">
        <v>0</v>
      </c>
      <c r="O5274" s="505">
        <v>0</v>
      </c>
    </row>
    <row r="5275" spans="1:15" x14ac:dyDescent="0.35">
      <c r="A5275" s="500" t="s">
        <v>1109</v>
      </c>
      <c r="B5275" s="501" t="s">
        <v>2959</v>
      </c>
      <c r="C5275" s="501" t="s">
        <v>1094</v>
      </c>
      <c r="D5275" s="501" t="s">
        <v>3380</v>
      </c>
      <c r="E5275" s="501" t="s">
        <v>3381</v>
      </c>
      <c r="F5275" s="501" t="s">
        <v>741</v>
      </c>
      <c r="G5275" s="501" t="s">
        <v>742</v>
      </c>
      <c r="H5275" s="501" t="s">
        <v>7647</v>
      </c>
      <c r="I5275" s="501">
        <v>65</v>
      </c>
      <c r="J5275" s="501">
        <v>0</v>
      </c>
      <c r="K5275" s="501">
        <v>0</v>
      </c>
      <c r="L5275" s="501">
        <v>0</v>
      </c>
      <c r="M5275" s="501">
        <v>33</v>
      </c>
      <c r="N5275" s="501">
        <v>0</v>
      </c>
      <c r="O5275" s="506">
        <v>32</v>
      </c>
    </row>
    <row r="5276" spans="1:15" x14ac:dyDescent="0.35">
      <c r="A5276" s="503" t="s">
        <v>1310</v>
      </c>
      <c r="B5276" s="504">
        <v>5062</v>
      </c>
      <c r="C5276" s="504" t="s">
        <v>1089</v>
      </c>
      <c r="D5276" s="504" t="s">
        <v>3380</v>
      </c>
      <c r="E5276" s="504" t="s">
        <v>3381</v>
      </c>
      <c r="F5276" s="504" t="s">
        <v>741</v>
      </c>
      <c r="G5276" s="504" t="s">
        <v>742</v>
      </c>
      <c r="H5276" s="504" t="s">
        <v>14838</v>
      </c>
      <c r="I5276" s="504">
        <v>12</v>
      </c>
      <c r="J5276" s="504">
        <v>8</v>
      </c>
      <c r="K5276" s="504">
        <v>0</v>
      </c>
      <c r="L5276" s="504">
        <v>0</v>
      </c>
      <c r="M5276" s="504">
        <v>0</v>
      </c>
      <c r="N5276" s="504">
        <v>0</v>
      </c>
      <c r="O5276" s="505">
        <v>4</v>
      </c>
    </row>
    <row r="5277" spans="1:15" x14ac:dyDescent="0.35">
      <c r="A5277" s="500" t="s">
        <v>1218</v>
      </c>
      <c r="B5277" s="501" t="s">
        <v>3147</v>
      </c>
      <c r="C5277" s="501" t="s">
        <v>1094</v>
      </c>
      <c r="D5277" s="501" t="s">
        <v>3380</v>
      </c>
      <c r="E5277" s="501" t="s">
        <v>3381</v>
      </c>
      <c r="F5277" s="501" t="s">
        <v>741</v>
      </c>
      <c r="G5277" s="501" t="s">
        <v>742</v>
      </c>
      <c r="H5277" s="501" t="s">
        <v>7648</v>
      </c>
      <c r="I5277" s="501">
        <v>87</v>
      </c>
      <c r="J5277" s="501">
        <v>0</v>
      </c>
      <c r="K5277" s="501">
        <v>0</v>
      </c>
      <c r="L5277" s="501">
        <v>0</v>
      </c>
      <c r="M5277" s="501">
        <v>0</v>
      </c>
      <c r="N5277" s="501">
        <v>0</v>
      </c>
      <c r="O5277" s="506">
        <v>87</v>
      </c>
    </row>
    <row r="5278" spans="1:15" x14ac:dyDescent="0.35">
      <c r="A5278" s="503" t="s">
        <v>11367</v>
      </c>
      <c r="B5278" s="504" t="s">
        <v>3143</v>
      </c>
      <c r="C5278" s="504" t="s">
        <v>1094</v>
      </c>
      <c r="D5278" s="504" t="s">
        <v>3380</v>
      </c>
      <c r="E5278" s="504" t="s">
        <v>3381</v>
      </c>
      <c r="F5278" s="504" t="s">
        <v>741</v>
      </c>
      <c r="G5278" s="504" t="s">
        <v>742</v>
      </c>
      <c r="H5278" s="504" t="s">
        <v>11938</v>
      </c>
      <c r="I5278" s="504">
        <v>370</v>
      </c>
      <c r="J5278" s="504">
        <v>347</v>
      </c>
      <c r="K5278" s="504">
        <v>0</v>
      </c>
      <c r="L5278" s="504">
        <v>23</v>
      </c>
      <c r="M5278" s="504">
        <v>0</v>
      </c>
      <c r="N5278" s="504">
        <v>2</v>
      </c>
      <c r="O5278" s="505">
        <v>0</v>
      </c>
    </row>
    <row r="5279" spans="1:15" x14ac:dyDescent="0.35">
      <c r="A5279" s="500" t="s">
        <v>1326</v>
      </c>
      <c r="B5279" s="501" t="s">
        <v>2954</v>
      </c>
      <c r="C5279" s="501" t="s">
        <v>1094</v>
      </c>
      <c r="D5279" s="501" t="s">
        <v>3380</v>
      </c>
      <c r="E5279" s="501" t="s">
        <v>3381</v>
      </c>
      <c r="F5279" s="501" t="s">
        <v>741</v>
      </c>
      <c r="G5279" s="501" t="s">
        <v>742</v>
      </c>
      <c r="H5279" s="501" t="s">
        <v>7649</v>
      </c>
      <c r="I5279" s="501">
        <v>371</v>
      </c>
      <c r="J5279" s="501">
        <v>260</v>
      </c>
      <c r="K5279" s="501">
        <v>0</v>
      </c>
      <c r="L5279" s="501">
        <v>22</v>
      </c>
      <c r="M5279" s="501">
        <v>72</v>
      </c>
      <c r="N5279" s="501">
        <v>0</v>
      </c>
      <c r="O5279" s="506">
        <v>17</v>
      </c>
    </row>
    <row r="5280" spans="1:15" x14ac:dyDescent="0.35">
      <c r="A5280" s="503" t="s">
        <v>1122</v>
      </c>
      <c r="B5280" s="504" t="s">
        <v>2994</v>
      </c>
      <c r="C5280" s="504" t="s">
        <v>1094</v>
      </c>
      <c r="D5280" s="504" t="s">
        <v>3380</v>
      </c>
      <c r="E5280" s="504" t="s">
        <v>3381</v>
      </c>
      <c r="F5280" s="504" t="s">
        <v>741</v>
      </c>
      <c r="G5280" s="504" t="s">
        <v>742</v>
      </c>
      <c r="H5280" s="504" t="s">
        <v>7650</v>
      </c>
      <c r="I5280" s="504">
        <v>39</v>
      </c>
      <c r="J5280" s="504">
        <v>39</v>
      </c>
      <c r="K5280" s="504">
        <v>0</v>
      </c>
      <c r="L5280" s="504">
        <v>0</v>
      </c>
      <c r="M5280" s="504">
        <v>0</v>
      </c>
      <c r="N5280" s="504">
        <v>0</v>
      </c>
      <c r="O5280" s="505">
        <v>0</v>
      </c>
    </row>
    <row r="5281" spans="1:15" x14ac:dyDescent="0.35">
      <c r="A5281" s="500" t="s">
        <v>1228</v>
      </c>
      <c r="B5281" s="501" t="s">
        <v>3321</v>
      </c>
      <c r="C5281" s="501" t="s">
        <v>1094</v>
      </c>
      <c r="D5281" s="501" t="s">
        <v>3380</v>
      </c>
      <c r="E5281" s="501" t="s">
        <v>3381</v>
      </c>
      <c r="F5281" s="501" t="s">
        <v>741</v>
      </c>
      <c r="G5281" s="501" t="s">
        <v>742</v>
      </c>
      <c r="H5281" s="501" t="s">
        <v>7651</v>
      </c>
      <c r="I5281" s="501">
        <v>3</v>
      </c>
      <c r="J5281" s="501">
        <v>0</v>
      </c>
      <c r="K5281" s="501">
        <v>0</v>
      </c>
      <c r="L5281" s="501">
        <v>3</v>
      </c>
      <c r="M5281" s="501">
        <v>0</v>
      </c>
      <c r="N5281" s="501">
        <v>0</v>
      </c>
      <c r="O5281" s="506">
        <v>0</v>
      </c>
    </row>
    <row r="5282" spans="1:15" x14ac:dyDescent="0.35">
      <c r="A5282" s="503" t="s">
        <v>1339</v>
      </c>
      <c r="B5282" s="504" t="s">
        <v>3358</v>
      </c>
      <c r="C5282" s="504" t="s">
        <v>1094</v>
      </c>
      <c r="D5282" s="504" t="s">
        <v>3380</v>
      </c>
      <c r="E5282" s="504" t="s">
        <v>3381</v>
      </c>
      <c r="F5282" s="504" t="s">
        <v>741</v>
      </c>
      <c r="G5282" s="504" t="s">
        <v>742</v>
      </c>
      <c r="H5282" s="504" t="s">
        <v>7652</v>
      </c>
      <c r="I5282" s="504">
        <v>19</v>
      </c>
      <c r="J5282" s="504">
        <v>2</v>
      </c>
      <c r="K5282" s="504">
        <v>0</v>
      </c>
      <c r="L5282" s="504">
        <v>5</v>
      </c>
      <c r="M5282" s="504">
        <v>0</v>
      </c>
      <c r="N5282" s="504">
        <v>0</v>
      </c>
      <c r="O5282" s="505">
        <v>12</v>
      </c>
    </row>
    <row r="5283" spans="1:15" x14ac:dyDescent="0.35">
      <c r="A5283" s="500" t="s">
        <v>1233</v>
      </c>
      <c r="B5283" s="501">
        <v>4636</v>
      </c>
      <c r="C5283" s="501" t="s">
        <v>1094</v>
      </c>
      <c r="D5283" s="501" t="s">
        <v>3380</v>
      </c>
      <c r="E5283" s="501" t="s">
        <v>3381</v>
      </c>
      <c r="F5283" s="501" t="s">
        <v>741</v>
      </c>
      <c r="G5283" s="501" t="s">
        <v>742</v>
      </c>
      <c r="H5283" s="501" t="s">
        <v>12017</v>
      </c>
      <c r="I5283" s="501">
        <v>62</v>
      </c>
      <c r="J5283" s="501">
        <v>39</v>
      </c>
      <c r="K5283" s="501">
        <v>0</v>
      </c>
      <c r="L5283" s="501">
        <v>0</v>
      </c>
      <c r="M5283" s="501">
        <v>0</v>
      </c>
      <c r="N5283" s="501">
        <v>0</v>
      </c>
      <c r="O5283" s="506">
        <v>23</v>
      </c>
    </row>
    <row r="5284" spans="1:15" x14ac:dyDescent="0.35">
      <c r="A5284" s="503" t="s">
        <v>11368</v>
      </c>
      <c r="B5284" s="504">
        <v>5083</v>
      </c>
      <c r="C5284" s="504" t="s">
        <v>1094</v>
      </c>
      <c r="D5284" s="504" t="s">
        <v>3380</v>
      </c>
      <c r="E5284" s="504" t="s">
        <v>3381</v>
      </c>
      <c r="F5284" s="504" t="s">
        <v>741</v>
      </c>
      <c r="G5284" s="504" t="s">
        <v>742</v>
      </c>
      <c r="H5284" s="504" t="s">
        <v>14839</v>
      </c>
      <c r="I5284" s="504">
        <v>14</v>
      </c>
      <c r="J5284" s="504">
        <v>14</v>
      </c>
      <c r="K5284" s="504">
        <v>0</v>
      </c>
      <c r="L5284" s="504">
        <v>0</v>
      </c>
      <c r="M5284" s="504">
        <v>0</v>
      </c>
      <c r="N5284" s="504">
        <v>0</v>
      </c>
      <c r="O5284" s="505">
        <v>0</v>
      </c>
    </row>
    <row r="5285" spans="1:15" x14ac:dyDescent="0.35">
      <c r="A5285" s="500" t="s">
        <v>1235</v>
      </c>
      <c r="B5285" s="501">
        <v>4684</v>
      </c>
      <c r="C5285" s="501" t="s">
        <v>1094</v>
      </c>
      <c r="D5285" s="501" t="s">
        <v>3380</v>
      </c>
      <c r="E5285" s="501" t="s">
        <v>3381</v>
      </c>
      <c r="F5285" s="501" t="s">
        <v>741</v>
      </c>
      <c r="G5285" s="501" t="s">
        <v>742</v>
      </c>
      <c r="H5285" s="501" t="s">
        <v>7653</v>
      </c>
      <c r="I5285" s="501">
        <v>9</v>
      </c>
      <c r="J5285" s="501">
        <v>0</v>
      </c>
      <c r="K5285" s="501">
        <v>0</v>
      </c>
      <c r="L5285" s="501">
        <v>0</v>
      </c>
      <c r="M5285" s="501">
        <v>0</v>
      </c>
      <c r="N5285" s="501">
        <v>0</v>
      </c>
      <c r="O5285" s="506">
        <v>9</v>
      </c>
    </row>
    <row r="5286" spans="1:15" x14ac:dyDescent="0.35">
      <c r="A5286" s="503" t="s">
        <v>1126</v>
      </c>
      <c r="B5286" s="504" t="s">
        <v>2974</v>
      </c>
      <c r="C5286" s="504" t="s">
        <v>1094</v>
      </c>
      <c r="D5286" s="504" t="s">
        <v>3380</v>
      </c>
      <c r="E5286" s="504" t="s">
        <v>3381</v>
      </c>
      <c r="F5286" s="504" t="s">
        <v>741</v>
      </c>
      <c r="G5286" s="504" t="s">
        <v>742</v>
      </c>
      <c r="H5286" s="504" t="s">
        <v>7654</v>
      </c>
      <c r="I5286" s="504">
        <v>164</v>
      </c>
      <c r="J5286" s="504">
        <v>99</v>
      </c>
      <c r="K5286" s="504">
        <v>0</v>
      </c>
      <c r="L5286" s="504">
        <v>23</v>
      </c>
      <c r="M5286" s="504">
        <v>34</v>
      </c>
      <c r="N5286" s="504">
        <v>0</v>
      </c>
      <c r="O5286" s="505">
        <v>8</v>
      </c>
    </row>
    <row r="5287" spans="1:15" x14ac:dyDescent="0.35">
      <c r="A5287" s="500" t="s">
        <v>11375</v>
      </c>
      <c r="B5287" s="501">
        <v>4696</v>
      </c>
      <c r="C5287" s="501" t="s">
        <v>1089</v>
      </c>
      <c r="D5287" s="501" t="s">
        <v>3392</v>
      </c>
      <c r="E5287" s="501" t="s">
        <v>3381</v>
      </c>
      <c r="F5287" s="501" t="s">
        <v>741</v>
      </c>
      <c r="G5287" s="501" t="s">
        <v>742</v>
      </c>
      <c r="H5287" s="501" t="s">
        <v>12121</v>
      </c>
      <c r="I5287" s="501">
        <v>22</v>
      </c>
      <c r="J5287" s="501">
        <v>0</v>
      </c>
      <c r="K5287" s="501">
        <v>0</v>
      </c>
      <c r="L5287" s="501">
        <v>22</v>
      </c>
      <c r="M5287" s="501">
        <v>0</v>
      </c>
      <c r="N5287" s="501">
        <v>0</v>
      </c>
      <c r="O5287" s="506">
        <v>0</v>
      </c>
    </row>
    <row r="5288" spans="1:15" x14ac:dyDescent="0.35">
      <c r="A5288" s="503" t="s">
        <v>1360</v>
      </c>
      <c r="B5288" s="504" t="s">
        <v>3350</v>
      </c>
      <c r="C5288" s="504" t="s">
        <v>1094</v>
      </c>
      <c r="D5288" s="504" t="s">
        <v>3380</v>
      </c>
      <c r="E5288" s="504" t="s">
        <v>3381</v>
      </c>
      <c r="F5288" s="504" t="s">
        <v>741</v>
      </c>
      <c r="G5288" s="504" t="s">
        <v>742</v>
      </c>
      <c r="H5288" s="504" t="s">
        <v>7655</v>
      </c>
      <c r="I5288" s="504">
        <v>271</v>
      </c>
      <c r="J5288" s="504">
        <v>228</v>
      </c>
      <c r="K5288" s="504">
        <v>0</v>
      </c>
      <c r="L5288" s="504">
        <v>0</v>
      </c>
      <c r="M5288" s="504">
        <v>0</v>
      </c>
      <c r="N5288" s="504">
        <v>0</v>
      </c>
      <c r="O5288" s="505">
        <v>43</v>
      </c>
    </row>
    <row r="5289" spans="1:15" x14ac:dyDescent="0.35">
      <c r="A5289" s="500" t="s">
        <v>1364</v>
      </c>
      <c r="B5289" s="501" t="s">
        <v>3277</v>
      </c>
      <c r="C5289" s="501" t="s">
        <v>1089</v>
      </c>
      <c r="D5289" s="501" t="s">
        <v>3392</v>
      </c>
      <c r="E5289" s="501" t="s">
        <v>3381</v>
      </c>
      <c r="F5289" s="501" t="s">
        <v>741</v>
      </c>
      <c r="G5289" s="501" t="s">
        <v>742</v>
      </c>
      <c r="H5289" s="501" t="s">
        <v>7656</v>
      </c>
      <c r="I5289" s="501">
        <v>9</v>
      </c>
      <c r="J5289" s="501">
        <v>0</v>
      </c>
      <c r="K5289" s="501">
        <v>0</v>
      </c>
      <c r="L5289" s="501">
        <v>9</v>
      </c>
      <c r="M5289" s="501">
        <v>0</v>
      </c>
      <c r="N5289" s="501">
        <v>0</v>
      </c>
      <c r="O5289" s="506">
        <v>0</v>
      </c>
    </row>
    <row r="5290" spans="1:15" x14ac:dyDescent="0.35">
      <c r="A5290" s="503" t="s">
        <v>1252</v>
      </c>
      <c r="B5290" s="504" t="s">
        <v>2875</v>
      </c>
      <c r="C5290" s="504" t="s">
        <v>1089</v>
      </c>
      <c r="D5290" s="504" t="s">
        <v>3392</v>
      </c>
      <c r="E5290" s="504" t="s">
        <v>3381</v>
      </c>
      <c r="F5290" s="504" t="s">
        <v>741</v>
      </c>
      <c r="G5290" s="504" t="s">
        <v>742</v>
      </c>
      <c r="H5290" s="504" t="s">
        <v>14840</v>
      </c>
      <c r="I5290" s="504">
        <v>9</v>
      </c>
      <c r="J5290" s="504">
        <v>0</v>
      </c>
      <c r="K5290" s="504">
        <v>0</v>
      </c>
      <c r="L5290" s="504">
        <v>9</v>
      </c>
      <c r="M5290" s="504">
        <v>0</v>
      </c>
      <c r="N5290" s="504">
        <v>0</v>
      </c>
      <c r="O5290" s="505">
        <v>0</v>
      </c>
    </row>
    <row r="5291" spans="1:15" x14ac:dyDescent="0.35">
      <c r="A5291" s="500" t="s">
        <v>1253</v>
      </c>
      <c r="B5291" s="501" t="s">
        <v>3232</v>
      </c>
      <c r="C5291" s="501" t="s">
        <v>1094</v>
      </c>
      <c r="D5291" s="501" t="s">
        <v>3380</v>
      </c>
      <c r="E5291" s="501" t="s">
        <v>3381</v>
      </c>
      <c r="F5291" s="501" t="s">
        <v>741</v>
      </c>
      <c r="G5291" s="501" t="s">
        <v>742</v>
      </c>
      <c r="H5291" s="501" t="s">
        <v>7657</v>
      </c>
      <c r="I5291" s="501">
        <v>19</v>
      </c>
      <c r="J5291" s="501">
        <v>0</v>
      </c>
      <c r="K5291" s="501">
        <v>0</v>
      </c>
      <c r="L5291" s="501">
        <v>0</v>
      </c>
      <c r="M5291" s="501">
        <v>19</v>
      </c>
      <c r="N5291" s="501">
        <v>0</v>
      </c>
      <c r="O5291" s="506">
        <v>0</v>
      </c>
    </row>
    <row r="5292" spans="1:15" x14ac:dyDescent="0.35">
      <c r="A5292" s="503" t="s">
        <v>1372</v>
      </c>
      <c r="B5292" s="504">
        <v>4867</v>
      </c>
      <c r="C5292" s="504" t="s">
        <v>1089</v>
      </c>
      <c r="D5292" s="504" t="s">
        <v>3392</v>
      </c>
      <c r="E5292" s="504" t="s">
        <v>3381</v>
      </c>
      <c r="F5292" s="504" t="s">
        <v>741</v>
      </c>
      <c r="G5292" s="504" t="s">
        <v>742</v>
      </c>
      <c r="H5292" s="504" t="s">
        <v>14841</v>
      </c>
      <c r="I5292" s="504">
        <v>3</v>
      </c>
      <c r="J5292" s="504">
        <v>3</v>
      </c>
      <c r="K5292" s="504">
        <v>0</v>
      </c>
      <c r="L5292" s="504">
        <v>0</v>
      </c>
      <c r="M5292" s="504">
        <v>0</v>
      </c>
      <c r="N5292" s="504">
        <v>0</v>
      </c>
      <c r="O5292" s="505">
        <v>0</v>
      </c>
    </row>
    <row r="5293" spans="1:15" x14ac:dyDescent="0.35">
      <c r="A5293" s="500" t="s">
        <v>14127</v>
      </c>
      <c r="B5293" s="501" t="s">
        <v>14126</v>
      </c>
      <c r="C5293" s="501" t="s">
        <v>1094</v>
      </c>
      <c r="D5293" s="501" t="s">
        <v>3380</v>
      </c>
      <c r="E5293" s="501" t="s">
        <v>3381</v>
      </c>
      <c r="F5293" s="501" t="s">
        <v>743</v>
      </c>
      <c r="G5293" s="501" t="s">
        <v>744</v>
      </c>
      <c r="H5293" s="501" t="s">
        <v>14842</v>
      </c>
      <c r="I5293" s="501">
        <v>39</v>
      </c>
      <c r="J5293" s="501">
        <v>37</v>
      </c>
      <c r="K5293" s="501">
        <v>0</v>
      </c>
      <c r="L5293" s="501">
        <v>0</v>
      </c>
      <c r="M5293" s="501">
        <v>0</v>
      </c>
      <c r="N5293" s="501">
        <v>0</v>
      </c>
      <c r="O5293" s="506">
        <v>2</v>
      </c>
    </row>
    <row r="5294" spans="1:15" x14ac:dyDescent="0.35">
      <c r="A5294" s="503" t="s">
        <v>1143</v>
      </c>
      <c r="B5294" s="504" t="s">
        <v>3281</v>
      </c>
      <c r="C5294" s="504" t="s">
        <v>1094</v>
      </c>
      <c r="D5294" s="504" t="s">
        <v>3380</v>
      </c>
      <c r="E5294" s="504" t="s">
        <v>3381</v>
      </c>
      <c r="F5294" s="504" t="s">
        <v>743</v>
      </c>
      <c r="G5294" s="504" t="s">
        <v>744</v>
      </c>
      <c r="H5294" s="504" t="s">
        <v>7658</v>
      </c>
      <c r="I5294" s="504">
        <v>115</v>
      </c>
      <c r="J5294" s="504">
        <v>104</v>
      </c>
      <c r="K5294" s="504">
        <v>0</v>
      </c>
      <c r="L5294" s="504">
        <v>0</v>
      </c>
      <c r="M5294" s="504">
        <v>0</v>
      </c>
      <c r="N5294" s="504">
        <v>0</v>
      </c>
      <c r="O5294" s="505">
        <v>11</v>
      </c>
    </row>
    <row r="5295" spans="1:15" x14ac:dyDescent="0.35">
      <c r="A5295" s="500" t="s">
        <v>1096</v>
      </c>
      <c r="B5295" s="501" t="s">
        <v>3326</v>
      </c>
      <c r="C5295" s="501" t="s">
        <v>1094</v>
      </c>
      <c r="D5295" s="501" t="s">
        <v>3380</v>
      </c>
      <c r="E5295" s="501" t="s">
        <v>3381</v>
      </c>
      <c r="F5295" s="501" t="s">
        <v>743</v>
      </c>
      <c r="G5295" s="501" t="s">
        <v>744</v>
      </c>
      <c r="H5295" s="501" t="s">
        <v>7659</v>
      </c>
      <c r="I5295" s="501">
        <v>140</v>
      </c>
      <c r="J5295" s="501">
        <v>0</v>
      </c>
      <c r="K5295" s="501">
        <v>0</v>
      </c>
      <c r="L5295" s="501">
        <v>0</v>
      </c>
      <c r="M5295" s="501">
        <v>140</v>
      </c>
      <c r="N5295" s="501">
        <v>0</v>
      </c>
      <c r="O5295" s="506">
        <v>0</v>
      </c>
    </row>
    <row r="5296" spans="1:15" x14ac:dyDescent="0.35">
      <c r="A5296" s="503" t="s">
        <v>12382</v>
      </c>
      <c r="B5296" s="504" t="s">
        <v>2871</v>
      </c>
      <c r="C5296" s="504" t="s">
        <v>1089</v>
      </c>
      <c r="D5296" s="504" t="s">
        <v>3392</v>
      </c>
      <c r="E5296" s="504" t="s">
        <v>3381</v>
      </c>
      <c r="F5296" s="504" t="s">
        <v>743</v>
      </c>
      <c r="G5296" s="504" t="s">
        <v>744</v>
      </c>
      <c r="H5296" s="504" t="s">
        <v>14843</v>
      </c>
      <c r="I5296" s="504">
        <v>6</v>
      </c>
      <c r="J5296" s="504">
        <v>0</v>
      </c>
      <c r="K5296" s="504">
        <v>0</v>
      </c>
      <c r="L5296" s="504">
        <v>6</v>
      </c>
      <c r="M5296" s="504">
        <v>0</v>
      </c>
      <c r="N5296" s="504">
        <v>0</v>
      </c>
      <c r="O5296" s="505">
        <v>0</v>
      </c>
    </row>
    <row r="5297" spans="1:15" x14ac:dyDescent="0.35">
      <c r="A5297" s="500" t="s">
        <v>11363</v>
      </c>
      <c r="B5297" s="501">
        <v>4718</v>
      </c>
      <c r="C5297" s="501" t="s">
        <v>1094</v>
      </c>
      <c r="D5297" s="501" t="s">
        <v>3380</v>
      </c>
      <c r="E5297" s="501" t="s">
        <v>3381</v>
      </c>
      <c r="F5297" s="501" t="s">
        <v>743</v>
      </c>
      <c r="G5297" s="501" t="s">
        <v>744</v>
      </c>
      <c r="H5297" s="501" t="s">
        <v>11563</v>
      </c>
      <c r="I5297" s="501">
        <v>5</v>
      </c>
      <c r="J5297" s="501">
        <v>0</v>
      </c>
      <c r="K5297" s="501">
        <v>0</v>
      </c>
      <c r="L5297" s="501">
        <v>5</v>
      </c>
      <c r="M5297" s="501">
        <v>0</v>
      </c>
      <c r="N5297" s="501">
        <v>0</v>
      </c>
      <c r="O5297" s="506">
        <v>0</v>
      </c>
    </row>
    <row r="5298" spans="1:15" x14ac:dyDescent="0.35">
      <c r="A5298" s="503" t="s">
        <v>1100</v>
      </c>
      <c r="B5298" s="504">
        <v>4865</v>
      </c>
      <c r="C5298" s="504" t="s">
        <v>1094</v>
      </c>
      <c r="D5298" s="504" t="s">
        <v>3380</v>
      </c>
      <c r="E5298" s="504" t="s">
        <v>3381</v>
      </c>
      <c r="F5298" s="504" t="s">
        <v>743</v>
      </c>
      <c r="G5298" s="504" t="s">
        <v>744</v>
      </c>
      <c r="H5298" s="504" t="s">
        <v>7660</v>
      </c>
      <c r="I5298" s="504">
        <v>4616</v>
      </c>
      <c r="J5298" s="504">
        <v>4047</v>
      </c>
      <c r="K5298" s="504">
        <v>3</v>
      </c>
      <c r="L5298" s="504">
        <v>29</v>
      </c>
      <c r="M5298" s="504">
        <v>376</v>
      </c>
      <c r="N5298" s="504">
        <v>0</v>
      </c>
      <c r="O5298" s="505">
        <v>161</v>
      </c>
    </row>
    <row r="5299" spans="1:15" x14ac:dyDescent="0.35">
      <c r="A5299" s="500" t="s">
        <v>1434</v>
      </c>
      <c r="B5299" s="501" t="s">
        <v>3111</v>
      </c>
      <c r="C5299" s="501" t="s">
        <v>1089</v>
      </c>
      <c r="D5299" s="501" t="s">
        <v>3392</v>
      </c>
      <c r="E5299" s="501" t="s">
        <v>3381</v>
      </c>
      <c r="F5299" s="501" t="s">
        <v>743</v>
      </c>
      <c r="G5299" s="501" t="s">
        <v>744</v>
      </c>
      <c r="H5299" s="501" t="s">
        <v>7661</v>
      </c>
      <c r="I5299" s="501">
        <v>73</v>
      </c>
      <c r="J5299" s="501">
        <v>0</v>
      </c>
      <c r="K5299" s="501">
        <v>0</v>
      </c>
      <c r="L5299" s="501">
        <v>73</v>
      </c>
      <c r="M5299" s="501">
        <v>0</v>
      </c>
      <c r="N5299" s="501">
        <v>0</v>
      </c>
      <c r="O5299" s="506">
        <v>0</v>
      </c>
    </row>
    <row r="5300" spans="1:15" x14ac:dyDescent="0.35">
      <c r="A5300" s="503" t="s">
        <v>1175</v>
      </c>
      <c r="B5300" s="504" t="s">
        <v>3141</v>
      </c>
      <c r="C5300" s="504" t="s">
        <v>1094</v>
      </c>
      <c r="D5300" s="504" t="s">
        <v>3380</v>
      </c>
      <c r="E5300" s="504" t="s">
        <v>3381</v>
      </c>
      <c r="F5300" s="504" t="s">
        <v>743</v>
      </c>
      <c r="G5300" s="504" t="s">
        <v>744</v>
      </c>
      <c r="H5300" s="504" t="s">
        <v>7662</v>
      </c>
      <c r="I5300" s="504">
        <v>30</v>
      </c>
      <c r="J5300" s="504">
        <v>28</v>
      </c>
      <c r="K5300" s="504">
        <v>0</v>
      </c>
      <c r="L5300" s="504">
        <v>0</v>
      </c>
      <c r="M5300" s="504">
        <v>0</v>
      </c>
      <c r="N5300" s="504">
        <v>0</v>
      </c>
      <c r="O5300" s="505">
        <v>2</v>
      </c>
    </row>
    <row r="5301" spans="1:15" x14ac:dyDescent="0.35">
      <c r="A5301" s="500" t="s">
        <v>1835</v>
      </c>
      <c r="B5301" s="501" t="s">
        <v>3069</v>
      </c>
      <c r="C5301" s="501" t="s">
        <v>1089</v>
      </c>
      <c r="D5301" s="501" t="s">
        <v>3392</v>
      </c>
      <c r="E5301" s="501" t="s">
        <v>3381</v>
      </c>
      <c r="F5301" s="501" t="s">
        <v>743</v>
      </c>
      <c r="G5301" s="501" t="s">
        <v>744</v>
      </c>
      <c r="H5301" s="501" t="s">
        <v>7663</v>
      </c>
      <c r="I5301" s="501">
        <v>283</v>
      </c>
      <c r="J5301" s="501">
        <v>283</v>
      </c>
      <c r="K5301" s="501">
        <v>0</v>
      </c>
      <c r="L5301" s="501">
        <v>0</v>
      </c>
      <c r="M5301" s="501">
        <v>0</v>
      </c>
      <c r="N5301" s="501">
        <v>0</v>
      </c>
      <c r="O5301" s="506">
        <v>0</v>
      </c>
    </row>
    <row r="5302" spans="1:15" x14ac:dyDescent="0.35">
      <c r="A5302" s="503" t="s">
        <v>14208</v>
      </c>
      <c r="B5302" s="504">
        <v>4803</v>
      </c>
      <c r="C5302" s="504" t="s">
        <v>1094</v>
      </c>
      <c r="D5302" s="504" t="s">
        <v>3380</v>
      </c>
      <c r="E5302" s="504" t="s">
        <v>3381</v>
      </c>
      <c r="F5302" s="504" t="s">
        <v>743</v>
      </c>
      <c r="G5302" s="504" t="s">
        <v>744</v>
      </c>
      <c r="H5302" s="504" t="s">
        <v>14844</v>
      </c>
      <c r="I5302" s="504">
        <v>5</v>
      </c>
      <c r="J5302" s="504">
        <v>0</v>
      </c>
      <c r="K5302" s="504">
        <v>0</v>
      </c>
      <c r="L5302" s="504">
        <v>5</v>
      </c>
      <c r="M5302" s="504">
        <v>0</v>
      </c>
      <c r="N5302" s="504">
        <v>0</v>
      </c>
      <c r="O5302" s="505">
        <v>0</v>
      </c>
    </row>
    <row r="5303" spans="1:15" x14ac:dyDescent="0.35">
      <c r="A5303" s="500" t="s">
        <v>1839</v>
      </c>
      <c r="B5303" s="501" t="s">
        <v>3050</v>
      </c>
      <c r="C5303" s="501" t="s">
        <v>1089</v>
      </c>
      <c r="D5303" s="501" t="s">
        <v>3392</v>
      </c>
      <c r="E5303" s="501" t="s">
        <v>3381</v>
      </c>
      <c r="F5303" s="501" t="s">
        <v>743</v>
      </c>
      <c r="G5303" s="501" t="s">
        <v>744</v>
      </c>
      <c r="H5303" s="501" t="s">
        <v>7664</v>
      </c>
      <c r="I5303" s="501">
        <v>33</v>
      </c>
      <c r="J5303" s="501">
        <v>33</v>
      </c>
      <c r="K5303" s="501">
        <v>0</v>
      </c>
      <c r="L5303" s="501">
        <v>0</v>
      </c>
      <c r="M5303" s="501">
        <v>0</v>
      </c>
      <c r="N5303" s="501">
        <v>0</v>
      </c>
      <c r="O5303" s="506">
        <v>0</v>
      </c>
    </row>
    <row r="5304" spans="1:15" x14ac:dyDescent="0.35">
      <c r="A5304" s="503" t="s">
        <v>1844</v>
      </c>
      <c r="B5304" s="504" t="s">
        <v>3093</v>
      </c>
      <c r="C5304" s="504" t="s">
        <v>1089</v>
      </c>
      <c r="D5304" s="504" t="s">
        <v>3392</v>
      </c>
      <c r="E5304" s="504" t="s">
        <v>3381</v>
      </c>
      <c r="F5304" s="504" t="s">
        <v>743</v>
      </c>
      <c r="G5304" s="504" t="s">
        <v>744</v>
      </c>
      <c r="H5304" s="504" t="s">
        <v>7665</v>
      </c>
      <c r="I5304" s="504">
        <v>14</v>
      </c>
      <c r="J5304" s="504">
        <v>0</v>
      </c>
      <c r="K5304" s="504">
        <v>0</v>
      </c>
      <c r="L5304" s="504">
        <v>0</v>
      </c>
      <c r="M5304" s="504">
        <v>14</v>
      </c>
      <c r="N5304" s="504">
        <v>0</v>
      </c>
      <c r="O5304" s="505">
        <v>0</v>
      </c>
    </row>
    <row r="5305" spans="1:15" x14ac:dyDescent="0.35">
      <c r="A5305" s="500" t="s">
        <v>1187</v>
      </c>
      <c r="B5305" s="501" t="s">
        <v>2951</v>
      </c>
      <c r="C5305" s="501" t="s">
        <v>1094</v>
      </c>
      <c r="D5305" s="501" t="s">
        <v>3380</v>
      </c>
      <c r="E5305" s="501" t="s">
        <v>3381</v>
      </c>
      <c r="F5305" s="501" t="s">
        <v>743</v>
      </c>
      <c r="G5305" s="501" t="s">
        <v>744</v>
      </c>
      <c r="H5305" s="501" t="s">
        <v>7666</v>
      </c>
      <c r="I5305" s="501">
        <v>84</v>
      </c>
      <c r="J5305" s="501">
        <v>69</v>
      </c>
      <c r="K5305" s="501">
        <v>0</v>
      </c>
      <c r="L5305" s="501">
        <v>0</v>
      </c>
      <c r="M5305" s="501">
        <v>0</v>
      </c>
      <c r="N5305" s="501">
        <v>0</v>
      </c>
      <c r="O5305" s="506">
        <v>15</v>
      </c>
    </row>
    <row r="5306" spans="1:15" x14ac:dyDescent="0.35">
      <c r="A5306" s="503" t="s">
        <v>1105</v>
      </c>
      <c r="B5306" s="504">
        <v>4668</v>
      </c>
      <c r="C5306" s="504" t="s">
        <v>1094</v>
      </c>
      <c r="D5306" s="504" t="s">
        <v>3380</v>
      </c>
      <c r="E5306" s="504" t="s">
        <v>3381</v>
      </c>
      <c r="F5306" s="504" t="s">
        <v>743</v>
      </c>
      <c r="G5306" s="504" t="s">
        <v>744</v>
      </c>
      <c r="H5306" s="504" t="s">
        <v>7667</v>
      </c>
      <c r="I5306" s="504">
        <v>24</v>
      </c>
      <c r="J5306" s="504">
        <v>0</v>
      </c>
      <c r="K5306" s="504">
        <v>0</v>
      </c>
      <c r="L5306" s="504">
        <v>0</v>
      </c>
      <c r="M5306" s="504">
        <v>0</v>
      </c>
      <c r="N5306" s="504">
        <v>0</v>
      </c>
      <c r="O5306" s="505">
        <v>24</v>
      </c>
    </row>
    <row r="5307" spans="1:15" x14ac:dyDescent="0.35">
      <c r="A5307" s="500" t="s">
        <v>1107</v>
      </c>
      <c r="B5307" s="501" t="s">
        <v>3109</v>
      </c>
      <c r="C5307" s="501" t="s">
        <v>1094</v>
      </c>
      <c r="D5307" s="501" t="s">
        <v>3380</v>
      </c>
      <c r="E5307" s="501" t="s">
        <v>3381</v>
      </c>
      <c r="F5307" s="501" t="s">
        <v>743</v>
      </c>
      <c r="G5307" s="501" t="s">
        <v>744</v>
      </c>
      <c r="H5307" s="501" t="s">
        <v>7668</v>
      </c>
      <c r="I5307" s="501">
        <v>46</v>
      </c>
      <c r="J5307" s="501">
        <v>17</v>
      </c>
      <c r="K5307" s="501">
        <v>0</v>
      </c>
      <c r="L5307" s="501">
        <v>0</v>
      </c>
      <c r="M5307" s="501">
        <v>29</v>
      </c>
      <c r="N5307" s="501">
        <v>0</v>
      </c>
      <c r="O5307" s="506">
        <v>0</v>
      </c>
    </row>
    <row r="5308" spans="1:15" x14ac:dyDescent="0.35">
      <c r="A5308" s="503" t="s">
        <v>1109</v>
      </c>
      <c r="B5308" s="504" t="s">
        <v>2959</v>
      </c>
      <c r="C5308" s="504" t="s">
        <v>1094</v>
      </c>
      <c r="D5308" s="504" t="s">
        <v>3380</v>
      </c>
      <c r="E5308" s="504" t="s">
        <v>3381</v>
      </c>
      <c r="F5308" s="504" t="s">
        <v>743</v>
      </c>
      <c r="G5308" s="504" t="s">
        <v>744</v>
      </c>
      <c r="H5308" s="504" t="s">
        <v>7669</v>
      </c>
      <c r="I5308" s="504">
        <v>27</v>
      </c>
      <c r="J5308" s="504">
        <v>0</v>
      </c>
      <c r="K5308" s="504">
        <v>0</v>
      </c>
      <c r="L5308" s="504">
        <v>0</v>
      </c>
      <c r="M5308" s="504">
        <v>27</v>
      </c>
      <c r="N5308" s="504">
        <v>0</v>
      </c>
      <c r="O5308" s="505">
        <v>0</v>
      </c>
    </row>
    <row r="5309" spans="1:15" x14ac:dyDescent="0.35">
      <c r="A5309" s="500" t="s">
        <v>1189</v>
      </c>
      <c r="B5309" s="501" t="s">
        <v>3236</v>
      </c>
      <c r="C5309" s="501" t="s">
        <v>1094</v>
      </c>
      <c r="D5309" s="501" t="s">
        <v>3380</v>
      </c>
      <c r="E5309" s="501" t="s">
        <v>3381</v>
      </c>
      <c r="F5309" s="501" t="s">
        <v>743</v>
      </c>
      <c r="G5309" s="501" t="s">
        <v>744</v>
      </c>
      <c r="H5309" s="501" t="s">
        <v>7670</v>
      </c>
      <c r="I5309" s="501">
        <v>596</v>
      </c>
      <c r="J5309" s="501">
        <v>471</v>
      </c>
      <c r="K5309" s="501">
        <v>0</v>
      </c>
      <c r="L5309" s="501">
        <v>10</v>
      </c>
      <c r="M5309" s="501">
        <v>30</v>
      </c>
      <c r="N5309" s="501">
        <v>0</v>
      </c>
      <c r="O5309" s="506">
        <v>85</v>
      </c>
    </row>
    <row r="5310" spans="1:15" x14ac:dyDescent="0.35">
      <c r="A5310" s="503" t="s">
        <v>1854</v>
      </c>
      <c r="B5310" s="504" t="s">
        <v>2555</v>
      </c>
      <c r="C5310" s="504" t="s">
        <v>1089</v>
      </c>
      <c r="D5310" s="504" t="s">
        <v>3392</v>
      </c>
      <c r="E5310" s="504" t="s">
        <v>3381</v>
      </c>
      <c r="F5310" s="504" t="s">
        <v>743</v>
      </c>
      <c r="G5310" s="504" t="s">
        <v>744</v>
      </c>
      <c r="H5310" s="504" t="s">
        <v>7671</v>
      </c>
      <c r="I5310" s="504">
        <v>6</v>
      </c>
      <c r="J5310" s="504">
        <v>6</v>
      </c>
      <c r="K5310" s="504">
        <v>0</v>
      </c>
      <c r="L5310" s="504">
        <v>0</v>
      </c>
      <c r="M5310" s="504">
        <v>0</v>
      </c>
      <c r="N5310" s="504">
        <v>0</v>
      </c>
      <c r="O5310" s="505">
        <v>0</v>
      </c>
    </row>
    <row r="5311" spans="1:15" x14ac:dyDescent="0.35">
      <c r="A5311" s="500" t="s">
        <v>1310</v>
      </c>
      <c r="B5311" s="501">
        <v>5062</v>
      </c>
      <c r="C5311" s="501" t="s">
        <v>1089</v>
      </c>
      <c r="D5311" s="501" t="s">
        <v>3380</v>
      </c>
      <c r="E5311" s="501" t="s">
        <v>3381</v>
      </c>
      <c r="F5311" s="501" t="s">
        <v>743</v>
      </c>
      <c r="G5311" s="501" t="s">
        <v>744</v>
      </c>
      <c r="H5311" s="501" t="s">
        <v>14845</v>
      </c>
      <c r="I5311" s="501">
        <v>9</v>
      </c>
      <c r="J5311" s="501">
        <v>8</v>
      </c>
      <c r="K5311" s="501">
        <v>0</v>
      </c>
      <c r="L5311" s="501">
        <v>0</v>
      </c>
      <c r="M5311" s="501">
        <v>0</v>
      </c>
      <c r="N5311" s="501">
        <v>0</v>
      </c>
      <c r="O5311" s="506">
        <v>1</v>
      </c>
    </row>
    <row r="5312" spans="1:15" x14ac:dyDescent="0.35">
      <c r="A5312" s="503" t="s">
        <v>1202</v>
      </c>
      <c r="B5312" s="504" t="s">
        <v>3217</v>
      </c>
      <c r="C5312" s="504" t="s">
        <v>1094</v>
      </c>
      <c r="D5312" s="504" t="s">
        <v>3380</v>
      </c>
      <c r="E5312" s="504" t="s">
        <v>3381</v>
      </c>
      <c r="F5312" s="504" t="s">
        <v>743</v>
      </c>
      <c r="G5312" s="504" t="s">
        <v>744</v>
      </c>
      <c r="H5312" s="504" t="s">
        <v>11838</v>
      </c>
      <c r="I5312" s="504">
        <v>1</v>
      </c>
      <c r="J5312" s="504">
        <v>0</v>
      </c>
      <c r="K5312" s="504">
        <v>0</v>
      </c>
      <c r="L5312" s="504">
        <v>0</v>
      </c>
      <c r="M5312" s="504">
        <v>0</v>
      </c>
      <c r="N5312" s="504">
        <v>0</v>
      </c>
      <c r="O5312" s="505">
        <v>1</v>
      </c>
    </row>
    <row r="5313" spans="1:15" x14ac:dyDescent="0.35">
      <c r="A5313" s="500" t="s">
        <v>1112</v>
      </c>
      <c r="B5313" s="501" t="s">
        <v>3008</v>
      </c>
      <c r="C5313" s="501" t="s">
        <v>1094</v>
      </c>
      <c r="D5313" s="501" t="s">
        <v>3380</v>
      </c>
      <c r="E5313" s="501" t="s">
        <v>3381</v>
      </c>
      <c r="F5313" s="501" t="s">
        <v>743</v>
      </c>
      <c r="G5313" s="501" t="s">
        <v>744</v>
      </c>
      <c r="H5313" s="501" t="s">
        <v>7672</v>
      </c>
      <c r="I5313" s="501">
        <v>49</v>
      </c>
      <c r="J5313" s="501">
        <v>48</v>
      </c>
      <c r="K5313" s="501">
        <v>0</v>
      </c>
      <c r="L5313" s="501">
        <v>0</v>
      </c>
      <c r="M5313" s="501">
        <v>0</v>
      </c>
      <c r="N5313" s="501">
        <v>0</v>
      </c>
      <c r="O5313" s="506">
        <v>1</v>
      </c>
    </row>
    <row r="5314" spans="1:15" x14ac:dyDescent="0.35">
      <c r="A5314" s="503" t="s">
        <v>1114</v>
      </c>
      <c r="B5314" s="504" t="s">
        <v>2982</v>
      </c>
      <c r="C5314" s="504" t="s">
        <v>1094</v>
      </c>
      <c r="D5314" s="504" t="s">
        <v>3380</v>
      </c>
      <c r="E5314" s="504" t="s">
        <v>3381</v>
      </c>
      <c r="F5314" s="504" t="s">
        <v>743</v>
      </c>
      <c r="G5314" s="504" t="s">
        <v>744</v>
      </c>
      <c r="H5314" s="504" t="s">
        <v>7673</v>
      </c>
      <c r="I5314" s="504">
        <v>605</v>
      </c>
      <c r="J5314" s="504">
        <v>324</v>
      </c>
      <c r="K5314" s="504">
        <v>0</v>
      </c>
      <c r="L5314" s="504">
        <v>18</v>
      </c>
      <c r="M5314" s="504">
        <v>0</v>
      </c>
      <c r="N5314" s="504">
        <v>0</v>
      </c>
      <c r="O5314" s="505">
        <v>263</v>
      </c>
    </row>
    <row r="5315" spans="1:15" x14ac:dyDescent="0.35">
      <c r="A5315" s="500" t="s">
        <v>1218</v>
      </c>
      <c r="B5315" s="501" t="s">
        <v>3147</v>
      </c>
      <c r="C5315" s="501" t="s">
        <v>1094</v>
      </c>
      <c r="D5315" s="501" t="s">
        <v>3380</v>
      </c>
      <c r="E5315" s="501" t="s">
        <v>3381</v>
      </c>
      <c r="F5315" s="501" t="s">
        <v>743</v>
      </c>
      <c r="G5315" s="501" t="s">
        <v>744</v>
      </c>
      <c r="H5315" s="501" t="s">
        <v>7674</v>
      </c>
      <c r="I5315" s="501">
        <v>13</v>
      </c>
      <c r="J5315" s="501">
        <v>0</v>
      </c>
      <c r="K5315" s="501">
        <v>0</v>
      </c>
      <c r="L5315" s="501">
        <v>0</v>
      </c>
      <c r="M5315" s="501">
        <v>0</v>
      </c>
      <c r="N5315" s="501">
        <v>0</v>
      </c>
      <c r="O5315" s="506">
        <v>13</v>
      </c>
    </row>
    <row r="5316" spans="1:15" x14ac:dyDescent="0.35">
      <c r="A5316" s="503" t="s">
        <v>11367</v>
      </c>
      <c r="B5316" s="504" t="s">
        <v>3143</v>
      </c>
      <c r="C5316" s="504" t="s">
        <v>1094</v>
      </c>
      <c r="D5316" s="504" t="s">
        <v>3380</v>
      </c>
      <c r="E5316" s="504" t="s">
        <v>3381</v>
      </c>
      <c r="F5316" s="504" t="s">
        <v>743</v>
      </c>
      <c r="G5316" s="504" t="s">
        <v>744</v>
      </c>
      <c r="H5316" s="504" t="s">
        <v>14846</v>
      </c>
      <c r="I5316" s="504">
        <v>10</v>
      </c>
      <c r="J5316" s="504">
        <v>10</v>
      </c>
      <c r="K5316" s="504">
        <v>0</v>
      </c>
      <c r="L5316" s="504">
        <v>0</v>
      </c>
      <c r="M5316" s="504">
        <v>0</v>
      </c>
      <c r="N5316" s="504">
        <v>0</v>
      </c>
      <c r="O5316" s="505">
        <v>0</v>
      </c>
    </row>
    <row r="5317" spans="1:15" x14ac:dyDescent="0.35">
      <c r="A5317" s="500" t="s">
        <v>1332</v>
      </c>
      <c r="B5317" s="501">
        <v>4878</v>
      </c>
      <c r="C5317" s="501" t="s">
        <v>1094</v>
      </c>
      <c r="D5317" s="501" t="s">
        <v>3380</v>
      </c>
      <c r="E5317" s="501" t="s">
        <v>3381</v>
      </c>
      <c r="F5317" s="501" t="s">
        <v>743</v>
      </c>
      <c r="G5317" s="501" t="s">
        <v>744</v>
      </c>
      <c r="H5317" s="501" t="s">
        <v>14847</v>
      </c>
      <c r="I5317" s="501">
        <v>64</v>
      </c>
      <c r="J5317" s="501">
        <v>0</v>
      </c>
      <c r="K5317" s="501">
        <v>0</v>
      </c>
      <c r="L5317" s="501">
        <v>14</v>
      </c>
      <c r="M5317" s="501">
        <v>50</v>
      </c>
      <c r="N5317" s="501">
        <v>0</v>
      </c>
      <c r="O5317" s="506">
        <v>0</v>
      </c>
    </row>
    <row r="5318" spans="1:15" x14ac:dyDescent="0.35">
      <c r="A5318" s="503" t="s">
        <v>1536</v>
      </c>
      <c r="B5318" s="504" t="s">
        <v>3178</v>
      </c>
      <c r="C5318" s="504" t="s">
        <v>1094</v>
      </c>
      <c r="D5318" s="504" t="s">
        <v>3380</v>
      </c>
      <c r="E5318" s="504" t="s">
        <v>3381</v>
      </c>
      <c r="F5318" s="504" t="s">
        <v>743</v>
      </c>
      <c r="G5318" s="504" t="s">
        <v>744</v>
      </c>
      <c r="H5318" s="504" t="s">
        <v>7675</v>
      </c>
      <c r="I5318" s="504">
        <v>553</v>
      </c>
      <c r="J5318" s="504">
        <v>426</v>
      </c>
      <c r="K5318" s="504">
        <v>0</v>
      </c>
      <c r="L5318" s="504">
        <v>0</v>
      </c>
      <c r="M5318" s="504">
        <v>0</v>
      </c>
      <c r="N5318" s="504">
        <v>0</v>
      </c>
      <c r="O5318" s="505">
        <v>127</v>
      </c>
    </row>
    <row r="5319" spans="1:15" x14ac:dyDescent="0.35">
      <c r="A5319" s="500" t="s">
        <v>1891</v>
      </c>
      <c r="B5319" s="501" t="s">
        <v>2465</v>
      </c>
      <c r="C5319" s="501" t="s">
        <v>1089</v>
      </c>
      <c r="D5319" s="501" t="s">
        <v>3392</v>
      </c>
      <c r="E5319" s="501" t="s">
        <v>3381</v>
      </c>
      <c r="F5319" s="501" t="s">
        <v>743</v>
      </c>
      <c r="G5319" s="501" t="s">
        <v>744</v>
      </c>
      <c r="H5319" s="501" t="s">
        <v>7676</v>
      </c>
      <c r="I5319" s="501">
        <v>15</v>
      </c>
      <c r="J5319" s="501">
        <v>0</v>
      </c>
      <c r="K5319" s="501">
        <v>0</v>
      </c>
      <c r="L5319" s="501">
        <v>0</v>
      </c>
      <c r="M5319" s="501">
        <v>15</v>
      </c>
      <c r="N5319" s="501">
        <v>0</v>
      </c>
      <c r="O5319" s="506">
        <v>0</v>
      </c>
    </row>
    <row r="5320" spans="1:15" x14ac:dyDescent="0.35">
      <c r="A5320" s="503" t="s">
        <v>1233</v>
      </c>
      <c r="B5320" s="504">
        <v>4636</v>
      </c>
      <c r="C5320" s="504" t="s">
        <v>1094</v>
      </c>
      <c r="D5320" s="504" t="s">
        <v>3380</v>
      </c>
      <c r="E5320" s="504" t="s">
        <v>3381</v>
      </c>
      <c r="F5320" s="504" t="s">
        <v>743</v>
      </c>
      <c r="G5320" s="504" t="s">
        <v>744</v>
      </c>
      <c r="H5320" s="504" t="s">
        <v>7677</v>
      </c>
      <c r="I5320" s="504">
        <v>63</v>
      </c>
      <c r="J5320" s="504">
        <v>28</v>
      </c>
      <c r="K5320" s="504">
        <v>0</v>
      </c>
      <c r="L5320" s="504">
        <v>0</v>
      </c>
      <c r="M5320" s="504">
        <v>0</v>
      </c>
      <c r="N5320" s="504">
        <v>0</v>
      </c>
      <c r="O5320" s="505">
        <v>35</v>
      </c>
    </row>
    <row r="5321" spans="1:15" x14ac:dyDescent="0.35">
      <c r="A5321" s="500" t="s">
        <v>11368</v>
      </c>
      <c r="B5321" s="501">
        <v>5083</v>
      </c>
      <c r="C5321" s="501" t="s">
        <v>1094</v>
      </c>
      <c r="D5321" s="501" t="s">
        <v>3380</v>
      </c>
      <c r="E5321" s="501" t="s">
        <v>3381</v>
      </c>
      <c r="F5321" s="501" t="s">
        <v>743</v>
      </c>
      <c r="G5321" s="501" t="s">
        <v>744</v>
      </c>
      <c r="H5321" s="501" t="s">
        <v>12065</v>
      </c>
      <c r="I5321" s="501">
        <v>76</v>
      </c>
      <c r="J5321" s="501">
        <v>76</v>
      </c>
      <c r="K5321" s="501">
        <v>0</v>
      </c>
      <c r="L5321" s="501">
        <v>0</v>
      </c>
      <c r="M5321" s="501">
        <v>0</v>
      </c>
      <c r="N5321" s="501">
        <v>0</v>
      </c>
      <c r="O5321" s="506">
        <v>0</v>
      </c>
    </row>
    <row r="5322" spans="1:15" x14ac:dyDescent="0.35">
      <c r="A5322" s="503" t="s">
        <v>1892</v>
      </c>
      <c r="B5322" s="504" t="s">
        <v>3172</v>
      </c>
      <c r="C5322" s="504" t="s">
        <v>1094</v>
      </c>
      <c r="D5322" s="504" t="s">
        <v>3380</v>
      </c>
      <c r="E5322" s="504" t="s">
        <v>3381</v>
      </c>
      <c r="F5322" s="504" t="s">
        <v>743</v>
      </c>
      <c r="G5322" s="504" t="s">
        <v>744</v>
      </c>
      <c r="H5322" s="504" t="s">
        <v>7678</v>
      </c>
      <c r="I5322" s="504">
        <v>169</v>
      </c>
      <c r="J5322" s="504">
        <v>121</v>
      </c>
      <c r="K5322" s="504">
        <v>0</v>
      </c>
      <c r="L5322" s="504">
        <v>0</v>
      </c>
      <c r="M5322" s="504">
        <v>0</v>
      </c>
      <c r="N5322" s="504">
        <v>0</v>
      </c>
      <c r="O5322" s="505">
        <v>48</v>
      </c>
    </row>
    <row r="5323" spans="1:15" x14ac:dyDescent="0.35">
      <c r="A5323" s="500" t="s">
        <v>1899</v>
      </c>
      <c r="B5323" s="501" t="s">
        <v>3078</v>
      </c>
      <c r="C5323" s="501" t="s">
        <v>1089</v>
      </c>
      <c r="D5323" s="501" t="s">
        <v>3392</v>
      </c>
      <c r="E5323" s="501" t="s">
        <v>3381</v>
      </c>
      <c r="F5323" s="501" t="s">
        <v>743</v>
      </c>
      <c r="G5323" s="501" t="s">
        <v>744</v>
      </c>
      <c r="H5323" s="501" t="s">
        <v>7679</v>
      </c>
      <c r="I5323" s="501">
        <v>5</v>
      </c>
      <c r="J5323" s="501">
        <v>0</v>
      </c>
      <c r="K5323" s="501">
        <v>0</v>
      </c>
      <c r="L5323" s="501">
        <v>5</v>
      </c>
      <c r="M5323" s="501">
        <v>0</v>
      </c>
      <c r="N5323" s="501">
        <v>0</v>
      </c>
      <c r="O5323" s="506">
        <v>0</v>
      </c>
    </row>
    <row r="5324" spans="1:15" x14ac:dyDescent="0.35">
      <c r="A5324" s="503" t="s">
        <v>1130</v>
      </c>
      <c r="B5324" s="504" t="s">
        <v>3234</v>
      </c>
      <c r="C5324" s="504" t="s">
        <v>1094</v>
      </c>
      <c r="D5324" s="504" t="s">
        <v>3380</v>
      </c>
      <c r="E5324" s="504" t="s">
        <v>3381</v>
      </c>
      <c r="F5324" s="504" t="s">
        <v>743</v>
      </c>
      <c r="G5324" s="504" t="s">
        <v>744</v>
      </c>
      <c r="H5324" s="504" t="s">
        <v>7680</v>
      </c>
      <c r="I5324" s="504">
        <v>231</v>
      </c>
      <c r="J5324" s="504">
        <v>204</v>
      </c>
      <c r="K5324" s="504">
        <v>0</v>
      </c>
      <c r="L5324" s="504">
        <v>0</v>
      </c>
      <c r="M5324" s="504">
        <v>20</v>
      </c>
      <c r="N5324" s="504">
        <v>0</v>
      </c>
      <c r="O5324" s="505">
        <v>7</v>
      </c>
    </row>
    <row r="5325" spans="1:15" x14ac:dyDescent="0.35">
      <c r="A5325" s="500" t="s">
        <v>1134</v>
      </c>
      <c r="B5325" s="501" t="s">
        <v>3066</v>
      </c>
      <c r="C5325" s="501" t="s">
        <v>1094</v>
      </c>
      <c r="D5325" s="501" t="s">
        <v>3380</v>
      </c>
      <c r="E5325" s="501" t="s">
        <v>3381</v>
      </c>
      <c r="F5325" s="501" t="s">
        <v>743</v>
      </c>
      <c r="G5325" s="501" t="s">
        <v>744</v>
      </c>
      <c r="H5325" s="501" t="s">
        <v>7681</v>
      </c>
      <c r="I5325" s="501">
        <v>50</v>
      </c>
      <c r="J5325" s="501">
        <v>38</v>
      </c>
      <c r="K5325" s="501">
        <v>0</v>
      </c>
      <c r="L5325" s="501">
        <v>12</v>
      </c>
      <c r="M5325" s="501">
        <v>0</v>
      </c>
      <c r="N5325" s="501">
        <v>0</v>
      </c>
      <c r="O5325" s="506">
        <v>0</v>
      </c>
    </row>
    <row r="5326" spans="1:15" x14ac:dyDescent="0.35">
      <c r="A5326" s="503" t="s">
        <v>14418</v>
      </c>
      <c r="B5326" s="504">
        <v>4749</v>
      </c>
      <c r="C5326" s="504" t="s">
        <v>1089</v>
      </c>
      <c r="D5326" s="504" t="s">
        <v>3392</v>
      </c>
      <c r="E5326" s="504" t="s">
        <v>3381</v>
      </c>
      <c r="F5326" s="504" t="s">
        <v>743</v>
      </c>
      <c r="G5326" s="504" t="s">
        <v>744</v>
      </c>
      <c r="H5326" s="504" t="s">
        <v>14848</v>
      </c>
      <c r="I5326" s="504">
        <v>4</v>
      </c>
      <c r="J5326" s="504">
        <v>0</v>
      </c>
      <c r="K5326" s="504">
        <v>0</v>
      </c>
      <c r="L5326" s="504">
        <v>4</v>
      </c>
      <c r="M5326" s="504">
        <v>0</v>
      </c>
      <c r="N5326" s="504">
        <v>0</v>
      </c>
      <c r="O5326" s="505">
        <v>0</v>
      </c>
    </row>
    <row r="5327" spans="1:15" x14ac:dyDescent="0.35">
      <c r="A5327" s="500" t="s">
        <v>1904</v>
      </c>
      <c r="B5327" s="501" t="s">
        <v>3238</v>
      </c>
      <c r="C5327" s="501" t="s">
        <v>1089</v>
      </c>
      <c r="D5327" s="501" t="s">
        <v>3392</v>
      </c>
      <c r="E5327" s="501" t="s">
        <v>3381</v>
      </c>
      <c r="F5327" s="501" t="s">
        <v>743</v>
      </c>
      <c r="G5327" s="501" t="s">
        <v>744</v>
      </c>
      <c r="H5327" s="501" t="s">
        <v>7682</v>
      </c>
      <c r="I5327" s="501">
        <v>76</v>
      </c>
      <c r="J5327" s="501">
        <v>0</v>
      </c>
      <c r="K5327" s="501">
        <v>0</v>
      </c>
      <c r="L5327" s="501">
        <v>0</v>
      </c>
      <c r="M5327" s="501">
        <v>76</v>
      </c>
      <c r="N5327" s="501">
        <v>0</v>
      </c>
      <c r="O5327" s="506">
        <v>0</v>
      </c>
    </row>
    <row r="5328" spans="1:15" x14ac:dyDescent="0.35">
      <c r="A5328" s="503" t="s">
        <v>1249</v>
      </c>
      <c r="B5328" s="504">
        <v>4729</v>
      </c>
      <c r="C5328" s="504" t="s">
        <v>1094</v>
      </c>
      <c r="D5328" s="504" t="s">
        <v>3380</v>
      </c>
      <c r="E5328" s="504" t="s">
        <v>3381</v>
      </c>
      <c r="F5328" s="504" t="s">
        <v>743</v>
      </c>
      <c r="G5328" s="504" t="s">
        <v>744</v>
      </c>
      <c r="H5328" s="504" t="s">
        <v>7683</v>
      </c>
      <c r="I5328" s="504">
        <v>72</v>
      </c>
      <c r="J5328" s="504">
        <v>59</v>
      </c>
      <c r="K5328" s="504">
        <v>0</v>
      </c>
      <c r="L5328" s="504">
        <v>0</v>
      </c>
      <c r="M5328" s="504">
        <v>0</v>
      </c>
      <c r="N5328" s="504">
        <v>0</v>
      </c>
      <c r="O5328" s="505">
        <v>13</v>
      </c>
    </row>
    <row r="5329" spans="1:15" x14ac:dyDescent="0.35">
      <c r="A5329" s="500" t="s">
        <v>1138</v>
      </c>
      <c r="B5329" s="501" t="s">
        <v>2998</v>
      </c>
      <c r="C5329" s="501" t="s">
        <v>1094</v>
      </c>
      <c r="D5329" s="501" t="s">
        <v>3380</v>
      </c>
      <c r="E5329" s="501" t="s">
        <v>3381</v>
      </c>
      <c r="F5329" s="501" t="s">
        <v>743</v>
      </c>
      <c r="G5329" s="501" t="s">
        <v>744</v>
      </c>
      <c r="H5329" s="501" t="s">
        <v>12231</v>
      </c>
      <c r="I5329" s="501">
        <v>49</v>
      </c>
      <c r="J5329" s="501">
        <v>43</v>
      </c>
      <c r="K5329" s="501">
        <v>0</v>
      </c>
      <c r="L5329" s="501">
        <v>0</v>
      </c>
      <c r="M5329" s="501">
        <v>0</v>
      </c>
      <c r="N5329" s="501">
        <v>0</v>
      </c>
      <c r="O5329" s="506">
        <v>6</v>
      </c>
    </row>
    <row r="5330" spans="1:15" x14ac:dyDescent="0.35">
      <c r="A5330" s="503" t="s">
        <v>1581</v>
      </c>
      <c r="B5330" s="504" t="s">
        <v>2888</v>
      </c>
      <c r="C5330" s="504" t="s">
        <v>1089</v>
      </c>
      <c r="D5330" s="504" t="s">
        <v>3392</v>
      </c>
      <c r="E5330" s="504" t="s">
        <v>3381</v>
      </c>
      <c r="F5330" s="504" t="s">
        <v>743</v>
      </c>
      <c r="G5330" s="504" t="s">
        <v>744</v>
      </c>
      <c r="H5330" s="504" t="s">
        <v>12238</v>
      </c>
      <c r="I5330" s="504">
        <v>16</v>
      </c>
      <c r="J5330" s="504">
        <v>0</v>
      </c>
      <c r="K5330" s="504">
        <v>0</v>
      </c>
      <c r="L5330" s="504">
        <v>16</v>
      </c>
      <c r="M5330" s="504">
        <v>0</v>
      </c>
      <c r="N5330" s="504">
        <v>16</v>
      </c>
      <c r="O5330" s="505">
        <v>0</v>
      </c>
    </row>
    <row r="5331" spans="1:15" x14ac:dyDescent="0.35">
      <c r="A5331" s="500" t="s">
        <v>1942</v>
      </c>
      <c r="B5331" s="501" t="s">
        <v>3336</v>
      </c>
      <c r="C5331" s="501" t="s">
        <v>1094</v>
      </c>
      <c r="D5331" s="501" t="s">
        <v>3380</v>
      </c>
      <c r="E5331" s="501" t="s">
        <v>3381</v>
      </c>
      <c r="F5331" s="501" t="s">
        <v>743</v>
      </c>
      <c r="G5331" s="501" t="s">
        <v>744</v>
      </c>
      <c r="H5331" s="501" t="s">
        <v>12254</v>
      </c>
      <c r="I5331" s="501">
        <v>15</v>
      </c>
      <c r="J5331" s="501">
        <v>7</v>
      </c>
      <c r="K5331" s="501">
        <v>0</v>
      </c>
      <c r="L5331" s="501">
        <v>6</v>
      </c>
      <c r="M5331" s="501">
        <v>0</v>
      </c>
      <c r="N5331" s="501">
        <v>0</v>
      </c>
      <c r="O5331" s="506">
        <v>2</v>
      </c>
    </row>
    <row r="5332" spans="1:15" x14ac:dyDescent="0.35">
      <c r="A5332" s="503" t="s">
        <v>1143</v>
      </c>
      <c r="B5332" s="504" t="s">
        <v>3281</v>
      </c>
      <c r="C5332" s="504" t="s">
        <v>1094</v>
      </c>
      <c r="D5332" s="504" t="s">
        <v>3380</v>
      </c>
      <c r="E5332" s="504" t="s">
        <v>3381</v>
      </c>
      <c r="F5332" s="504" t="s">
        <v>745</v>
      </c>
      <c r="G5332" s="504" t="s">
        <v>746</v>
      </c>
      <c r="H5332" s="504" t="s">
        <v>7684</v>
      </c>
      <c r="I5332" s="504">
        <v>493</v>
      </c>
      <c r="J5332" s="504">
        <v>424</v>
      </c>
      <c r="K5332" s="504">
        <v>0</v>
      </c>
      <c r="L5332" s="504">
        <v>0</v>
      </c>
      <c r="M5332" s="504">
        <v>54</v>
      </c>
      <c r="N5332" s="504">
        <v>9</v>
      </c>
      <c r="O5332" s="505">
        <v>15</v>
      </c>
    </row>
    <row r="5333" spans="1:15" x14ac:dyDescent="0.35">
      <c r="A5333" s="500" t="s">
        <v>1096</v>
      </c>
      <c r="B5333" s="501" t="s">
        <v>3326</v>
      </c>
      <c r="C5333" s="501" t="s">
        <v>1094</v>
      </c>
      <c r="D5333" s="501" t="s">
        <v>3380</v>
      </c>
      <c r="E5333" s="501" t="s">
        <v>3381</v>
      </c>
      <c r="F5333" s="501" t="s">
        <v>745</v>
      </c>
      <c r="G5333" s="501" t="s">
        <v>746</v>
      </c>
      <c r="H5333" s="501" t="s">
        <v>7685</v>
      </c>
      <c r="I5333" s="501">
        <v>167</v>
      </c>
      <c r="J5333" s="501">
        <v>0</v>
      </c>
      <c r="K5333" s="501">
        <v>0</v>
      </c>
      <c r="L5333" s="501">
        <v>0</v>
      </c>
      <c r="M5333" s="501">
        <v>167</v>
      </c>
      <c r="N5333" s="501">
        <v>0</v>
      </c>
      <c r="O5333" s="506">
        <v>0</v>
      </c>
    </row>
    <row r="5334" spans="1:15" x14ac:dyDescent="0.35">
      <c r="A5334" s="503" t="s">
        <v>1151</v>
      </c>
      <c r="B5334" s="504">
        <v>4726</v>
      </c>
      <c r="C5334" s="504" t="s">
        <v>1089</v>
      </c>
      <c r="D5334" s="504" t="s">
        <v>3392</v>
      </c>
      <c r="E5334" s="504" t="s">
        <v>3381</v>
      </c>
      <c r="F5334" s="504" t="s">
        <v>745</v>
      </c>
      <c r="G5334" s="504" t="s">
        <v>746</v>
      </c>
      <c r="H5334" s="504" t="s">
        <v>7686</v>
      </c>
      <c r="I5334" s="504">
        <v>1</v>
      </c>
      <c r="J5334" s="504">
        <v>1</v>
      </c>
      <c r="K5334" s="504">
        <v>0</v>
      </c>
      <c r="L5334" s="504">
        <v>0</v>
      </c>
      <c r="M5334" s="504">
        <v>0</v>
      </c>
      <c r="N5334" s="504">
        <v>0</v>
      </c>
      <c r="O5334" s="505">
        <v>0</v>
      </c>
    </row>
    <row r="5335" spans="1:15" x14ac:dyDescent="0.35">
      <c r="A5335" s="500" t="s">
        <v>1617</v>
      </c>
      <c r="B5335" s="501">
        <v>4868</v>
      </c>
      <c r="C5335" s="501" t="s">
        <v>1094</v>
      </c>
      <c r="D5335" s="501" t="s">
        <v>3380</v>
      </c>
      <c r="E5335" s="501" t="s">
        <v>3381</v>
      </c>
      <c r="F5335" s="501" t="s">
        <v>745</v>
      </c>
      <c r="G5335" s="501" t="s">
        <v>746</v>
      </c>
      <c r="H5335" s="501" t="s">
        <v>7687</v>
      </c>
      <c r="I5335" s="501">
        <v>15</v>
      </c>
      <c r="J5335" s="501">
        <v>0</v>
      </c>
      <c r="K5335" s="501">
        <v>0</v>
      </c>
      <c r="L5335" s="501">
        <v>15</v>
      </c>
      <c r="M5335" s="501">
        <v>0</v>
      </c>
      <c r="N5335" s="501">
        <v>0</v>
      </c>
      <c r="O5335" s="506">
        <v>0</v>
      </c>
    </row>
    <row r="5336" spans="1:15" x14ac:dyDescent="0.35">
      <c r="A5336" s="503" t="s">
        <v>1618</v>
      </c>
      <c r="B5336" s="504" t="s">
        <v>3355</v>
      </c>
      <c r="C5336" s="504" t="s">
        <v>1094</v>
      </c>
      <c r="D5336" s="504" t="s">
        <v>3380</v>
      </c>
      <c r="E5336" s="504" t="s">
        <v>3381</v>
      </c>
      <c r="F5336" s="504" t="s">
        <v>745</v>
      </c>
      <c r="G5336" s="504" t="s">
        <v>746</v>
      </c>
      <c r="H5336" s="504" t="s">
        <v>7688</v>
      </c>
      <c r="I5336" s="504">
        <v>63</v>
      </c>
      <c r="J5336" s="504">
        <v>49</v>
      </c>
      <c r="K5336" s="504">
        <v>0</v>
      </c>
      <c r="L5336" s="504">
        <v>0</v>
      </c>
      <c r="M5336" s="504">
        <v>0</v>
      </c>
      <c r="N5336" s="504">
        <v>0</v>
      </c>
      <c r="O5336" s="505">
        <v>14</v>
      </c>
    </row>
    <row r="5337" spans="1:15" x14ac:dyDescent="0.35">
      <c r="A5337" s="500" t="s">
        <v>1167</v>
      </c>
      <c r="B5337" s="501">
        <v>4689</v>
      </c>
      <c r="C5337" s="501" t="s">
        <v>1089</v>
      </c>
      <c r="D5337" s="501" t="s">
        <v>3392</v>
      </c>
      <c r="E5337" s="501" t="s">
        <v>3381</v>
      </c>
      <c r="F5337" s="501" t="s">
        <v>745</v>
      </c>
      <c r="G5337" s="501" t="s">
        <v>746</v>
      </c>
      <c r="H5337" s="501" t="s">
        <v>7689</v>
      </c>
      <c r="I5337" s="501">
        <v>7</v>
      </c>
      <c r="J5337" s="501">
        <v>0</v>
      </c>
      <c r="K5337" s="501">
        <v>0</v>
      </c>
      <c r="L5337" s="501">
        <v>7</v>
      </c>
      <c r="M5337" s="501">
        <v>0</v>
      </c>
      <c r="N5337" s="501">
        <v>0</v>
      </c>
      <c r="O5337" s="506">
        <v>0</v>
      </c>
    </row>
    <row r="5338" spans="1:15" x14ac:dyDescent="0.35">
      <c r="A5338" s="503" t="s">
        <v>1172</v>
      </c>
      <c r="B5338" s="504">
        <v>4648</v>
      </c>
      <c r="C5338" s="504" t="s">
        <v>1089</v>
      </c>
      <c r="D5338" s="504" t="s">
        <v>3392</v>
      </c>
      <c r="E5338" s="504" t="s">
        <v>3381</v>
      </c>
      <c r="F5338" s="504" t="s">
        <v>745</v>
      </c>
      <c r="G5338" s="504" t="s">
        <v>746</v>
      </c>
      <c r="H5338" s="504" t="s">
        <v>7690</v>
      </c>
      <c r="I5338" s="504">
        <v>10</v>
      </c>
      <c r="J5338" s="504">
        <v>0</v>
      </c>
      <c r="K5338" s="504">
        <v>0</v>
      </c>
      <c r="L5338" s="504">
        <v>10</v>
      </c>
      <c r="M5338" s="504">
        <v>0</v>
      </c>
      <c r="N5338" s="504">
        <v>0</v>
      </c>
      <c r="O5338" s="505">
        <v>0</v>
      </c>
    </row>
    <row r="5339" spans="1:15" x14ac:dyDescent="0.35">
      <c r="A5339" s="500" t="s">
        <v>1174</v>
      </c>
      <c r="B5339" s="501">
        <v>4784</v>
      </c>
      <c r="C5339" s="501" t="s">
        <v>1089</v>
      </c>
      <c r="D5339" s="501" t="s">
        <v>3392</v>
      </c>
      <c r="E5339" s="501" t="s">
        <v>3381</v>
      </c>
      <c r="F5339" s="501" t="s">
        <v>745</v>
      </c>
      <c r="G5339" s="501" t="s">
        <v>746</v>
      </c>
      <c r="H5339" s="501" t="s">
        <v>11693</v>
      </c>
      <c r="I5339" s="501">
        <v>9</v>
      </c>
      <c r="J5339" s="501">
        <v>0</v>
      </c>
      <c r="K5339" s="501">
        <v>0</v>
      </c>
      <c r="L5339" s="501">
        <v>9</v>
      </c>
      <c r="M5339" s="501">
        <v>0</v>
      </c>
      <c r="N5339" s="501">
        <v>0</v>
      </c>
      <c r="O5339" s="506">
        <v>0</v>
      </c>
    </row>
    <row r="5340" spans="1:15" x14ac:dyDescent="0.35">
      <c r="A5340" s="503" t="s">
        <v>14208</v>
      </c>
      <c r="B5340" s="504">
        <v>4803</v>
      </c>
      <c r="C5340" s="504" t="s">
        <v>1094</v>
      </c>
      <c r="D5340" s="504" t="s">
        <v>3380</v>
      </c>
      <c r="E5340" s="504" t="s">
        <v>3381</v>
      </c>
      <c r="F5340" s="504" t="s">
        <v>745</v>
      </c>
      <c r="G5340" s="504" t="s">
        <v>746</v>
      </c>
      <c r="H5340" s="504" t="s">
        <v>14849</v>
      </c>
      <c r="I5340" s="504">
        <v>8</v>
      </c>
      <c r="J5340" s="504">
        <v>0</v>
      </c>
      <c r="K5340" s="504">
        <v>0</v>
      </c>
      <c r="L5340" s="504">
        <v>8</v>
      </c>
      <c r="M5340" s="504">
        <v>0</v>
      </c>
      <c r="N5340" s="504">
        <v>0</v>
      </c>
      <c r="O5340" s="505">
        <v>0</v>
      </c>
    </row>
    <row r="5341" spans="1:15" x14ac:dyDescent="0.35">
      <c r="A5341" s="500" t="s">
        <v>1185</v>
      </c>
      <c r="B5341" s="501" t="s">
        <v>3253</v>
      </c>
      <c r="C5341" s="501" t="s">
        <v>1094</v>
      </c>
      <c r="D5341" s="501" t="s">
        <v>3380</v>
      </c>
      <c r="E5341" s="501" t="s">
        <v>3381</v>
      </c>
      <c r="F5341" s="501" t="s">
        <v>745</v>
      </c>
      <c r="G5341" s="501" t="s">
        <v>746</v>
      </c>
      <c r="H5341" s="501" t="s">
        <v>7691</v>
      </c>
      <c r="I5341" s="501">
        <v>237</v>
      </c>
      <c r="J5341" s="501">
        <v>184</v>
      </c>
      <c r="K5341" s="501">
        <v>0</v>
      </c>
      <c r="L5341" s="501">
        <v>42</v>
      </c>
      <c r="M5341" s="501">
        <v>11</v>
      </c>
      <c r="N5341" s="501">
        <v>0</v>
      </c>
      <c r="O5341" s="506">
        <v>0</v>
      </c>
    </row>
    <row r="5342" spans="1:15" x14ac:dyDescent="0.35">
      <c r="A5342" s="503" t="s">
        <v>1105</v>
      </c>
      <c r="B5342" s="504">
        <v>4668</v>
      </c>
      <c r="C5342" s="504" t="s">
        <v>1094</v>
      </c>
      <c r="D5342" s="504" t="s">
        <v>3380</v>
      </c>
      <c r="E5342" s="504" t="s">
        <v>3381</v>
      </c>
      <c r="F5342" s="504" t="s">
        <v>745</v>
      </c>
      <c r="G5342" s="504" t="s">
        <v>746</v>
      </c>
      <c r="H5342" s="504" t="s">
        <v>11735</v>
      </c>
      <c r="I5342" s="504">
        <v>19</v>
      </c>
      <c r="J5342" s="504">
        <v>0</v>
      </c>
      <c r="K5342" s="504">
        <v>0</v>
      </c>
      <c r="L5342" s="504">
        <v>0</v>
      </c>
      <c r="M5342" s="504">
        <v>0</v>
      </c>
      <c r="N5342" s="504">
        <v>0</v>
      </c>
      <c r="O5342" s="505">
        <v>19</v>
      </c>
    </row>
    <row r="5343" spans="1:15" x14ac:dyDescent="0.35">
      <c r="A5343" s="500" t="s">
        <v>1107</v>
      </c>
      <c r="B5343" s="501" t="s">
        <v>3109</v>
      </c>
      <c r="C5343" s="501" t="s">
        <v>1094</v>
      </c>
      <c r="D5343" s="501" t="s">
        <v>3380</v>
      </c>
      <c r="E5343" s="501" t="s">
        <v>3381</v>
      </c>
      <c r="F5343" s="501" t="s">
        <v>745</v>
      </c>
      <c r="G5343" s="501" t="s">
        <v>746</v>
      </c>
      <c r="H5343" s="501" t="s">
        <v>7692</v>
      </c>
      <c r="I5343" s="501">
        <v>880</v>
      </c>
      <c r="J5343" s="501">
        <v>703</v>
      </c>
      <c r="K5343" s="501">
        <v>0</v>
      </c>
      <c r="L5343" s="501">
        <v>53</v>
      </c>
      <c r="M5343" s="501">
        <v>98</v>
      </c>
      <c r="N5343" s="501">
        <v>0</v>
      </c>
      <c r="O5343" s="506">
        <v>26</v>
      </c>
    </row>
    <row r="5344" spans="1:15" x14ac:dyDescent="0.35">
      <c r="A5344" s="503" t="s">
        <v>1109</v>
      </c>
      <c r="B5344" s="504" t="s">
        <v>2959</v>
      </c>
      <c r="C5344" s="504" t="s">
        <v>1094</v>
      </c>
      <c r="D5344" s="504" t="s">
        <v>3380</v>
      </c>
      <c r="E5344" s="504" t="s">
        <v>3381</v>
      </c>
      <c r="F5344" s="504" t="s">
        <v>745</v>
      </c>
      <c r="G5344" s="504" t="s">
        <v>746</v>
      </c>
      <c r="H5344" s="504" t="s">
        <v>7693</v>
      </c>
      <c r="I5344" s="504">
        <v>71</v>
      </c>
      <c r="J5344" s="504">
        <v>0</v>
      </c>
      <c r="K5344" s="504">
        <v>0</v>
      </c>
      <c r="L5344" s="504">
        <v>0</v>
      </c>
      <c r="M5344" s="504">
        <v>71</v>
      </c>
      <c r="N5344" s="504">
        <v>0</v>
      </c>
      <c r="O5344" s="505">
        <v>0</v>
      </c>
    </row>
    <row r="5345" spans="1:15" x14ac:dyDescent="0.35">
      <c r="A5345" s="500" t="s">
        <v>1639</v>
      </c>
      <c r="B5345" s="501">
        <v>4846</v>
      </c>
      <c r="C5345" s="501" t="s">
        <v>1094</v>
      </c>
      <c r="D5345" s="501" t="s">
        <v>3380</v>
      </c>
      <c r="E5345" s="501" t="s">
        <v>3381</v>
      </c>
      <c r="F5345" s="501" t="s">
        <v>745</v>
      </c>
      <c r="G5345" s="501" t="s">
        <v>746</v>
      </c>
      <c r="H5345" s="501" t="s">
        <v>7694</v>
      </c>
      <c r="I5345" s="501">
        <v>201</v>
      </c>
      <c r="J5345" s="501">
        <v>141</v>
      </c>
      <c r="K5345" s="501">
        <v>0</v>
      </c>
      <c r="L5345" s="501">
        <v>0</v>
      </c>
      <c r="M5345" s="501">
        <v>42</v>
      </c>
      <c r="N5345" s="501">
        <v>0</v>
      </c>
      <c r="O5345" s="506">
        <v>18</v>
      </c>
    </row>
    <row r="5346" spans="1:15" x14ac:dyDescent="0.35">
      <c r="A5346" s="503" t="s">
        <v>1209</v>
      </c>
      <c r="B5346" s="504">
        <v>4779</v>
      </c>
      <c r="C5346" s="504" t="s">
        <v>1094</v>
      </c>
      <c r="D5346" s="504" t="s">
        <v>3380</v>
      </c>
      <c r="E5346" s="504" t="s">
        <v>3381</v>
      </c>
      <c r="F5346" s="504" t="s">
        <v>745</v>
      </c>
      <c r="G5346" s="504" t="s">
        <v>746</v>
      </c>
      <c r="H5346" s="504" t="s">
        <v>7695</v>
      </c>
      <c r="I5346" s="504">
        <v>43</v>
      </c>
      <c r="J5346" s="504">
        <v>0</v>
      </c>
      <c r="K5346" s="504">
        <v>0</v>
      </c>
      <c r="L5346" s="504">
        <v>43</v>
      </c>
      <c r="M5346" s="504">
        <v>0</v>
      </c>
      <c r="N5346" s="504">
        <v>0</v>
      </c>
      <c r="O5346" s="505">
        <v>0</v>
      </c>
    </row>
    <row r="5347" spans="1:15" x14ac:dyDescent="0.35">
      <c r="A5347" s="500" t="s">
        <v>1644</v>
      </c>
      <c r="B5347" s="501">
        <v>4763</v>
      </c>
      <c r="C5347" s="501" t="s">
        <v>1089</v>
      </c>
      <c r="D5347" s="501" t="s">
        <v>3392</v>
      </c>
      <c r="E5347" s="501" t="s">
        <v>3381</v>
      </c>
      <c r="F5347" s="501" t="s">
        <v>745</v>
      </c>
      <c r="G5347" s="501" t="s">
        <v>746</v>
      </c>
      <c r="H5347" s="501" t="s">
        <v>11869</v>
      </c>
      <c r="I5347" s="501">
        <v>20</v>
      </c>
      <c r="J5347" s="501">
        <v>0</v>
      </c>
      <c r="K5347" s="501">
        <v>0</v>
      </c>
      <c r="L5347" s="501">
        <v>20</v>
      </c>
      <c r="M5347" s="501">
        <v>0</v>
      </c>
      <c r="N5347" s="501">
        <v>0</v>
      </c>
      <c r="O5347" s="506">
        <v>0</v>
      </c>
    </row>
    <row r="5348" spans="1:15" x14ac:dyDescent="0.35">
      <c r="A5348" s="503" t="s">
        <v>1645</v>
      </c>
      <c r="B5348" s="504" t="s">
        <v>3239</v>
      </c>
      <c r="C5348" s="504" t="s">
        <v>1094</v>
      </c>
      <c r="D5348" s="504" t="s">
        <v>3380</v>
      </c>
      <c r="E5348" s="504" t="s">
        <v>3381</v>
      </c>
      <c r="F5348" s="504" t="s">
        <v>745</v>
      </c>
      <c r="G5348" s="504" t="s">
        <v>746</v>
      </c>
      <c r="H5348" s="504" t="s">
        <v>7696</v>
      </c>
      <c r="I5348" s="504">
        <v>911</v>
      </c>
      <c r="J5348" s="504">
        <v>678</v>
      </c>
      <c r="K5348" s="504">
        <v>0</v>
      </c>
      <c r="L5348" s="504">
        <v>154</v>
      </c>
      <c r="M5348" s="504">
        <v>60</v>
      </c>
      <c r="N5348" s="504">
        <v>0</v>
      </c>
      <c r="O5348" s="505">
        <v>19</v>
      </c>
    </row>
    <row r="5349" spans="1:15" x14ac:dyDescent="0.35">
      <c r="A5349" s="500" t="s">
        <v>1646</v>
      </c>
      <c r="B5349" s="501" t="s">
        <v>2736</v>
      </c>
      <c r="C5349" s="501" t="s">
        <v>1089</v>
      </c>
      <c r="D5349" s="501" t="s">
        <v>3392</v>
      </c>
      <c r="E5349" s="501" t="s">
        <v>3381</v>
      </c>
      <c r="F5349" s="501" t="s">
        <v>745</v>
      </c>
      <c r="G5349" s="501" t="s">
        <v>746</v>
      </c>
      <c r="H5349" s="501" t="s">
        <v>7697</v>
      </c>
      <c r="I5349" s="501">
        <v>29</v>
      </c>
      <c r="J5349" s="501">
        <v>29</v>
      </c>
      <c r="K5349" s="501">
        <v>0</v>
      </c>
      <c r="L5349" s="501">
        <v>0</v>
      </c>
      <c r="M5349" s="501">
        <v>0</v>
      </c>
      <c r="N5349" s="501">
        <v>0</v>
      </c>
      <c r="O5349" s="506">
        <v>0</v>
      </c>
    </row>
    <row r="5350" spans="1:15" x14ac:dyDescent="0.35">
      <c r="A5350" s="503" t="s">
        <v>1220</v>
      </c>
      <c r="B5350" s="504">
        <v>4849</v>
      </c>
      <c r="C5350" s="504" t="s">
        <v>1094</v>
      </c>
      <c r="D5350" s="504" t="s">
        <v>3380</v>
      </c>
      <c r="E5350" s="504" t="s">
        <v>3381</v>
      </c>
      <c r="F5350" s="504" t="s">
        <v>745</v>
      </c>
      <c r="G5350" s="504" t="s">
        <v>746</v>
      </c>
      <c r="H5350" s="504" t="s">
        <v>7698</v>
      </c>
      <c r="I5350" s="504">
        <v>1</v>
      </c>
      <c r="J5350" s="504">
        <v>0</v>
      </c>
      <c r="K5350" s="504">
        <v>0</v>
      </c>
      <c r="L5350" s="504">
        <v>0</v>
      </c>
      <c r="M5350" s="504">
        <v>0</v>
      </c>
      <c r="N5350" s="504">
        <v>0</v>
      </c>
      <c r="O5350" s="505">
        <v>1</v>
      </c>
    </row>
    <row r="5351" spans="1:15" x14ac:dyDescent="0.35">
      <c r="A5351" s="500" t="s">
        <v>1122</v>
      </c>
      <c r="B5351" s="501" t="s">
        <v>2994</v>
      </c>
      <c r="C5351" s="501" t="s">
        <v>1094</v>
      </c>
      <c r="D5351" s="501" t="s">
        <v>3380</v>
      </c>
      <c r="E5351" s="501" t="s">
        <v>3381</v>
      </c>
      <c r="F5351" s="501" t="s">
        <v>745</v>
      </c>
      <c r="G5351" s="501" t="s">
        <v>746</v>
      </c>
      <c r="H5351" s="501" t="s">
        <v>7699</v>
      </c>
      <c r="I5351" s="501">
        <v>250</v>
      </c>
      <c r="J5351" s="501">
        <v>242</v>
      </c>
      <c r="K5351" s="501">
        <v>0</v>
      </c>
      <c r="L5351" s="501">
        <v>0</v>
      </c>
      <c r="M5351" s="501">
        <v>0</v>
      </c>
      <c r="N5351" s="501">
        <v>0</v>
      </c>
      <c r="O5351" s="506">
        <v>8</v>
      </c>
    </row>
    <row r="5352" spans="1:15" x14ac:dyDescent="0.35">
      <c r="A5352" s="503" t="s">
        <v>1228</v>
      </c>
      <c r="B5352" s="504" t="s">
        <v>3321</v>
      </c>
      <c r="C5352" s="504" t="s">
        <v>1094</v>
      </c>
      <c r="D5352" s="504" t="s">
        <v>3380</v>
      </c>
      <c r="E5352" s="504" t="s">
        <v>3381</v>
      </c>
      <c r="F5352" s="504" t="s">
        <v>745</v>
      </c>
      <c r="G5352" s="504" t="s">
        <v>746</v>
      </c>
      <c r="H5352" s="504" t="s">
        <v>7700</v>
      </c>
      <c r="I5352" s="504">
        <v>8</v>
      </c>
      <c r="J5352" s="504">
        <v>0</v>
      </c>
      <c r="K5352" s="504">
        <v>0</v>
      </c>
      <c r="L5352" s="504">
        <v>8</v>
      </c>
      <c r="M5352" s="504">
        <v>0</v>
      </c>
      <c r="N5352" s="504">
        <v>0</v>
      </c>
      <c r="O5352" s="505">
        <v>0</v>
      </c>
    </row>
    <row r="5353" spans="1:15" x14ac:dyDescent="0.35">
      <c r="A5353" s="500" t="s">
        <v>1648</v>
      </c>
      <c r="B5353" s="501" t="s">
        <v>2496</v>
      </c>
      <c r="C5353" s="501" t="s">
        <v>1094</v>
      </c>
      <c r="D5353" s="501" t="s">
        <v>3380</v>
      </c>
      <c r="E5353" s="501" t="s">
        <v>3381</v>
      </c>
      <c r="F5353" s="501" t="s">
        <v>745</v>
      </c>
      <c r="G5353" s="501" t="s">
        <v>746</v>
      </c>
      <c r="H5353" s="501" t="s">
        <v>7701</v>
      </c>
      <c r="I5353" s="501">
        <v>16</v>
      </c>
      <c r="J5353" s="501">
        <v>0</v>
      </c>
      <c r="K5353" s="501">
        <v>0</v>
      </c>
      <c r="L5353" s="501">
        <v>0</v>
      </c>
      <c r="M5353" s="501">
        <v>16</v>
      </c>
      <c r="N5353" s="501">
        <v>0</v>
      </c>
      <c r="O5353" s="506">
        <v>0</v>
      </c>
    </row>
    <row r="5354" spans="1:15" x14ac:dyDescent="0.35">
      <c r="A5354" s="503" t="s">
        <v>1234</v>
      </c>
      <c r="B5354" s="504" t="s">
        <v>3291</v>
      </c>
      <c r="C5354" s="504" t="s">
        <v>1094</v>
      </c>
      <c r="D5354" s="504" t="s">
        <v>3380</v>
      </c>
      <c r="E5354" s="504" t="s">
        <v>3381</v>
      </c>
      <c r="F5354" s="504" t="s">
        <v>745</v>
      </c>
      <c r="G5354" s="504" t="s">
        <v>746</v>
      </c>
      <c r="H5354" s="504" t="s">
        <v>7702</v>
      </c>
      <c r="I5354" s="504">
        <v>13</v>
      </c>
      <c r="J5354" s="504">
        <v>0</v>
      </c>
      <c r="K5354" s="504">
        <v>0</v>
      </c>
      <c r="L5354" s="504">
        <v>13</v>
      </c>
      <c r="M5354" s="504">
        <v>0</v>
      </c>
      <c r="N5354" s="504">
        <v>0</v>
      </c>
      <c r="O5354" s="505">
        <v>0</v>
      </c>
    </row>
    <row r="5355" spans="1:15" x14ac:dyDescent="0.35">
      <c r="A5355" s="500" t="s">
        <v>1126</v>
      </c>
      <c r="B5355" s="501" t="s">
        <v>2974</v>
      </c>
      <c r="C5355" s="501" t="s">
        <v>1094</v>
      </c>
      <c r="D5355" s="501" t="s">
        <v>3380</v>
      </c>
      <c r="E5355" s="501" t="s">
        <v>3381</v>
      </c>
      <c r="F5355" s="501" t="s">
        <v>745</v>
      </c>
      <c r="G5355" s="501" t="s">
        <v>746</v>
      </c>
      <c r="H5355" s="501" t="s">
        <v>7703</v>
      </c>
      <c r="I5355" s="501">
        <v>13</v>
      </c>
      <c r="J5355" s="501">
        <v>0</v>
      </c>
      <c r="K5355" s="501">
        <v>0</v>
      </c>
      <c r="L5355" s="501">
        <v>13</v>
      </c>
      <c r="M5355" s="501">
        <v>0</v>
      </c>
      <c r="N5355" s="501">
        <v>0</v>
      </c>
      <c r="O5355" s="506">
        <v>0</v>
      </c>
    </row>
    <row r="5356" spans="1:15" x14ac:dyDescent="0.35">
      <c r="A5356" s="503" t="s">
        <v>1656</v>
      </c>
      <c r="B5356" s="504">
        <v>4756</v>
      </c>
      <c r="C5356" s="504" t="s">
        <v>1089</v>
      </c>
      <c r="D5356" s="504" t="s">
        <v>3392</v>
      </c>
      <c r="E5356" s="504" t="s">
        <v>3381</v>
      </c>
      <c r="F5356" s="504" t="s">
        <v>745</v>
      </c>
      <c r="G5356" s="504" t="s">
        <v>746</v>
      </c>
      <c r="H5356" s="504" t="s">
        <v>14850</v>
      </c>
      <c r="I5356" s="504">
        <v>36</v>
      </c>
      <c r="J5356" s="504">
        <v>0</v>
      </c>
      <c r="K5356" s="504">
        <v>0</v>
      </c>
      <c r="L5356" s="504">
        <v>36</v>
      </c>
      <c r="M5356" s="504">
        <v>0</v>
      </c>
      <c r="N5356" s="504">
        <v>0</v>
      </c>
      <c r="O5356" s="505">
        <v>0</v>
      </c>
    </row>
    <row r="5357" spans="1:15" x14ac:dyDescent="0.35">
      <c r="A5357" s="500" t="s">
        <v>1253</v>
      </c>
      <c r="B5357" s="501" t="s">
        <v>3232</v>
      </c>
      <c r="C5357" s="501" t="s">
        <v>1094</v>
      </c>
      <c r="D5357" s="501" t="s">
        <v>3380</v>
      </c>
      <c r="E5357" s="501" t="s">
        <v>3381</v>
      </c>
      <c r="F5357" s="501" t="s">
        <v>745</v>
      </c>
      <c r="G5357" s="501" t="s">
        <v>746</v>
      </c>
      <c r="H5357" s="501" t="s">
        <v>7704</v>
      </c>
      <c r="I5357" s="501">
        <v>80</v>
      </c>
      <c r="J5357" s="501">
        <v>0</v>
      </c>
      <c r="K5357" s="501">
        <v>0</v>
      </c>
      <c r="L5357" s="501">
        <v>80</v>
      </c>
      <c r="M5357" s="501">
        <v>0</v>
      </c>
      <c r="N5357" s="501">
        <v>0</v>
      </c>
      <c r="O5357" s="506">
        <v>0</v>
      </c>
    </row>
    <row r="5358" spans="1:15" x14ac:dyDescent="0.35">
      <c r="A5358" s="503" t="s">
        <v>1368</v>
      </c>
      <c r="B5358" s="504" t="s">
        <v>3220</v>
      </c>
      <c r="C5358" s="504" t="s">
        <v>1094</v>
      </c>
      <c r="D5358" s="504" t="s">
        <v>3380</v>
      </c>
      <c r="E5358" s="504" t="s">
        <v>3381</v>
      </c>
      <c r="F5358" s="504" t="s">
        <v>745</v>
      </c>
      <c r="G5358" s="504" t="s">
        <v>746</v>
      </c>
      <c r="H5358" s="504" t="s">
        <v>7705</v>
      </c>
      <c r="I5358" s="504">
        <v>11794</v>
      </c>
      <c r="J5358" s="504">
        <v>10655</v>
      </c>
      <c r="K5358" s="504">
        <v>2</v>
      </c>
      <c r="L5358" s="504">
        <v>108</v>
      </c>
      <c r="M5358" s="504">
        <v>845</v>
      </c>
      <c r="N5358" s="504">
        <v>0</v>
      </c>
      <c r="O5358" s="505">
        <v>184</v>
      </c>
    </row>
    <row r="5359" spans="1:15" x14ac:dyDescent="0.35">
      <c r="A5359" s="500" t="s">
        <v>1609</v>
      </c>
      <c r="B5359" s="501">
        <v>4758</v>
      </c>
      <c r="C5359" s="501" t="s">
        <v>1089</v>
      </c>
      <c r="D5359" s="501" t="s">
        <v>3392</v>
      </c>
      <c r="E5359" s="501" t="s">
        <v>3381</v>
      </c>
      <c r="F5359" s="501" t="s">
        <v>747</v>
      </c>
      <c r="G5359" s="501" t="s">
        <v>748</v>
      </c>
      <c r="H5359" s="501" t="s">
        <v>11480</v>
      </c>
      <c r="I5359" s="501">
        <v>7</v>
      </c>
      <c r="J5359" s="501">
        <v>7</v>
      </c>
      <c r="K5359" s="501">
        <v>0</v>
      </c>
      <c r="L5359" s="501">
        <v>0</v>
      </c>
      <c r="M5359" s="501">
        <v>0</v>
      </c>
      <c r="N5359" s="501">
        <v>0</v>
      </c>
      <c r="O5359" s="506">
        <v>0</v>
      </c>
    </row>
    <row r="5360" spans="1:15" x14ac:dyDescent="0.35">
      <c r="A5360" s="503" t="s">
        <v>1385</v>
      </c>
      <c r="B5360" s="504" t="s">
        <v>3249</v>
      </c>
      <c r="C5360" s="504" t="s">
        <v>1094</v>
      </c>
      <c r="D5360" s="504" t="s">
        <v>3380</v>
      </c>
      <c r="E5360" s="504" t="s">
        <v>3381</v>
      </c>
      <c r="F5360" s="504" t="s">
        <v>747</v>
      </c>
      <c r="G5360" s="504" t="s">
        <v>748</v>
      </c>
      <c r="H5360" s="504" t="s">
        <v>7706</v>
      </c>
      <c r="I5360" s="504">
        <v>24</v>
      </c>
      <c r="J5360" s="504">
        <v>6</v>
      </c>
      <c r="K5360" s="504">
        <v>0</v>
      </c>
      <c r="L5360" s="504">
        <v>0</v>
      </c>
      <c r="M5360" s="504">
        <v>0</v>
      </c>
      <c r="N5360" s="504">
        <v>0</v>
      </c>
      <c r="O5360" s="505">
        <v>18</v>
      </c>
    </row>
    <row r="5361" spans="1:15" x14ac:dyDescent="0.35">
      <c r="A5361" s="500" t="s">
        <v>1143</v>
      </c>
      <c r="B5361" s="501" t="s">
        <v>3281</v>
      </c>
      <c r="C5361" s="501" t="s">
        <v>1094</v>
      </c>
      <c r="D5361" s="501" t="s">
        <v>3380</v>
      </c>
      <c r="E5361" s="501" t="s">
        <v>3381</v>
      </c>
      <c r="F5361" s="501" t="s">
        <v>747</v>
      </c>
      <c r="G5361" s="501" t="s">
        <v>748</v>
      </c>
      <c r="H5361" s="501" t="s">
        <v>7707</v>
      </c>
      <c r="I5361" s="501">
        <v>124</v>
      </c>
      <c r="J5361" s="501">
        <v>89</v>
      </c>
      <c r="K5361" s="501">
        <v>0</v>
      </c>
      <c r="L5361" s="501">
        <v>0</v>
      </c>
      <c r="M5361" s="501">
        <v>0</v>
      </c>
      <c r="N5361" s="501">
        <v>0</v>
      </c>
      <c r="O5361" s="506">
        <v>35</v>
      </c>
    </row>
    <row r="5362" spans="1:15" x14ac:dyDescent="0.35">
      <c r="A5362" s="503" t="s">
        <v>1093</v>
      </c>
      <c r="B5362" s="504" t="s">
        <v>3248</v>
      </c>
      <c r="C5362" s="504" t="s">
        <v>1094</v>
      </c>
      <c r="D5362" s="504" t="s">
        <v>3380</v>
      </c>
      <c r="E5362" s="504" t="s">
        <v>3381</v>
      </c>
      <c r="F5362" s="504" t="s">
        <v>747</v>
      </c>
      <c r="G5362" s="504" t="s">
        <v>748</v>
      </c>
      <c r="H5362" s="504" t="s">
        <v>7708</v>
      </c>
      <c r="I5362" s="504">
        <v>2</v>
      </c>
      <c r="J5362" s="504">
        <v>0</v>
      </c>
      <c r="K5362" s="504">
        <v>0</v>
      </c>
      <c r="L5362" s="504">
        <v>0</v>
      </c>
      <c r="M5362" s="504">
        <v>0</v>
      </c>
      <c r="N5362" s="504">
        <v>0</v>
      </c>
      <c r="O5362" s="505">
        <v>2</v>
      </c>
    </row>
    <row r="5363" spans="1:15" x14ac:dyDescent="0.35">
      <c r="A5363" s="500" t="s">
        <v>1798</v>
      </c>
      <c r="B5363" s="501" t="s">
        <v>2554</v>
      </c>
      <c r="C5363" s="501" t="s">
        <v>1089</v>
      </c>
      <c r="D5363" s="501" t="s">
        <v>3392</v>
      </c>
      <c r="E5363" s="501" t="s">
        <v>3381</v>
      </c>
      <c r="F5363" s="501" t="s">
        <v>747</v>
      </c>
      <c r="G5363" s="501" t="s">
        <v>748</v>
      </c>
      <c r="H5363" s="501" t="s">
        <v>7709</v>
      </c>
      <c r="I5363" s="501">
        <v>12</v>
      </c>
      <c r="J5363" s="501">
        <v>12</v>
      </c>
      <c r="K5363" s="501">
        <v>0</v>
      </c>
      <c r="L5363" s="501">
        <v>0</v>
      </c>
      <c r="M5363" s="501">
        <v>0</v>
      </c>
      <c r="N5363" s="501">
        <v>0</v>
      </c>
      <c r="O5363" s="506">
        <v>0</v>
      </c>
    </row>
    <row r="5364" spans="1:15" x14ac:dyDescent="0.35">
      <c r="A5364" s="503" t="s">
        <v>1096</v>
      </c>
      <c r="B5364" s="504" t="s">
        <v>3326</v>
      </c>
      <c r="C5364" s="504" t="s">
        <v>1094</v>
      </c>
      <c r="D5364" s="504" t="s">
        <v>3380</v>
      </c>
      <c r="E5364" s="504" t="s">
        <v>3381</v>
      </c>
      <c r="F5364" s="504" t="s">
        <v>747</v>
      </c>
      <c r="G5364" s="504" t="s">
        <v>748</v>
      </c>
      <c r="H5364" s="504" t="s">
        <v>7710</v>
      </c>
      <c r="I5364" s="504">
        <v>153</v>
      </c>
      <c r="J5364" s="504">
        <v>0</v>
      </c>
      <c r="K5364" s="504">
        <v>0</v>
      </c>
      <c r="L5364" s="504">
        <v>0</v>
      </c>
      <c r="M5364" s="504">
        <v>153</v>
      </c>
      <c r="N5364" s="504">
        <v>0</v>
      </c>
      <c r="O5364" s="505">
        <v>0</v>
      </c>
    </row>
    <row r="5365" spans="1:15" x14ac:dyDescent="0.35">
      <c r="A5365" s="500" t="s">
        <v>11363</v>
      </c>
      <c r="B5365" s="501">
        <v>4718</v>
      </c>
      <c r="C5365" s="501" t="s">
        <v>1094</v>
      </c>
      <c r="D5365" s="501" t="s">
        <v>3380</v>
      </c>
      <c r="E5365" s="501" t="s">
        <v>3381</v>
      </c>
      <c r="F5365" s="501" t="s">
        <v>747</v>
      </c>
      <c r="G5365" s="501" t="s">
        <v>748</v>
      </c>
      <c r="H5365" s="501" t="s">
        <v>11564</v>
      </c>
      <c r="I5365" s="501">
        <v>9</v>
      </c>
      <c r="J5365" s="501">
        <v>0</v>
      </c>
      <c r="K5365" s="501">
        <v>0</v>
      </c>
      <c r="L5365" s="501">
        <v>9</v>
      </c>
      <c r="M5365" s="501">
        <v>0</v>
      </c>
      <c r="N5365" s="501">
        <v>0</v>
      </c>
      <c r="O5365" s="506">
        <v>0</v>
      </c>
    </row>
    <row r="5366" spans="1:15" x14ac:dyDescent="0.35">
      <c r="A5366" s="503" t="s">
        <v>1161</v>
      </c>
      <c r="B5366" s="504" t="s">
        <v>3001</v>
      </c>
      <c r="C5366" s="504" t="s">
        <v>1094</v>
      </c>
      <c r="D5366" s="504" t="s">
        <v>3380</v>
      </c>
      <c r="E5366" s="504" t="s">
        <v>3381</v>
      </c>
      <c r="F5366" s="504" t="s">
        <v>747</v>
      </c>
      <c r="G5366" s="504" t="s">
        <v>748</v>
      </c>
      <c r="H5366" s="504" t="s">
        <v>7712</v>
      </c>
      <c r="I5366" s="504">
        <v>617</v>
      </c>
      <c r="J5366" s="504">
        <v>457</v>
      </c>
      <c r="K5366" s="504">
        <v>0</v>
      </c>
      <c r="L5366" s="504">
        <v>25</v>
      </c>
      <c r="M5366" s="504">
        <v>0</v>
      </c>
      <c r="N5366" s="504">
        <v>0</v>
      </c>
      <c r="O5366" s="505">
        <v>135</v>
      </c>
    </row>
    <row r="5367" spans="1:15" x14ac:dyDescent="0.35">
      <c r="A5367" s="500" t="s">
        <v>1286</v>
      </c>
      <c r="B5367" s="501" t="s">
        <v>3341</v>
      </c>
      <c r="C5367" s="501" t="s">
        <v>1094</v>
      </c>
      <c r="D5367" s="501" t="s">
        <v>3380</v>
      </c>
      <c r="E5367" s="501" t="s">
        <v>3381</v>
      </c>
      <c r="F5367" s="501" t="s">
        <v>747</v>
      </c>
      <c r="G5367" s="501" t="s">
        <v>748</v>
      </c>
      <c r="H5367" s="501" t="s">
        <v>7713</v>
      </c>
      <c r="I5367" s="501">
        <v>67</v>
      </c>
      <c r="J5367" s="501">
        <v>17</v>
      </c>
      <c r="K5367" s="501">
        <v>0</v>
      </c>
      <c r="L5367" s="501">
        <v>0</v>
      </c>
      <c r="M5367" s="501">
        <v>0</v>
      </c>
      <c r="N5367" s="501">
        <v>0</v>
      </c>
      <c r="O5367" s="506">
        <v>50</v>
      </c>
    </row>
    <row r="5368" spans="1:15" x14ac:dyDescent="0.35">
      <c r="A5368" s="503" t="s">
        <v>1100</v>
      </c>
      <c r="B5368" s="504">
        <v>4865</v>
      </c>
      <c r="C5368" s="504" t="s">
        <v>1094</v>
      </c>
      <c r="D5368" s="504" t="s">
        <v>3380</v>
      </c>
      <c r="E5368" s="504" t="s">
        <v>3381</v>
      </c>
      <c r="F5368" s="504" t="s">
        <v>747</v>
      </c>
      <c r="G5368" s="504" t="s">
        <v>748</v>
      </c>
      <c r="H5368" s="504" t="s">
        <v>7714</v>
      </c>
      <c r="I5368" s="504">
        <v>816</v>
      </c>
      <c r="J5368" s="504">
        <v>618</v>
      </c>
      <c r="K5368" s="504">
        <v>0</v>
      </c>
      <c r="L5368" s="504">
        <v>0</v>
      </c>
      <c r="M5368" s="504">
        <v>92</v>
      </c>
      <c r="N5368" s="504">
        <v>0</v>
      </c>
      <c r="O5368" s="505">
        <v>106</v>
      </c>
    </row>
    <row r="5369" spans="1:15" x14ac:dyDescent="0.35">
      <c r="A5369" s="500" t="s">
        <v>1288</v>
      </c>
      <c r="B5369" s="501" t="s">
        <v>3243</v>
      </c>
      <c r="C5369" s="501" t="s">
        <v>1089</v>
      </c>
      <c r="D5369" s="501" t="s">
        <v>3392</v>
      </c>
      <c r="E5369" s="501" t="s">
        <v>3381</v>
      </c>
      <c r="F5369" s="501" t="s">
        <v>747</v>
      </c>
      <c r="G5369" s="501" t="s">
        <v>748</v>
      </c>
      <c r="H5369" s="501" t="s">
        <v>7715</v>
      </c>
      <c r="I5369" s="501">
        <v>130</v>
      </c>
      <c r="J5369" s="501">
        <v>130</v>
      </c>
      <c r="K5369" s="501">
        <v>0</v>
      </c>
      <c r="L5369" s="501">
        <v>0</v>
      </c>
      <c r="M5369" s="501">
        <v>0</v>
      </c>
      <c r="N5369" s="501">
        <v>0</v>
      </c>
      <c r="O5369" s="506">
        <v>0</v>
      </c>
    </row>
    <row r="5370" spans="1:15" x14ac:dyDescent="0.35">
      <c r="A5370" s="503" t="s">
        <v>1168</v>
      </c>
      <c r="B5370" s="504" t="s">
        <v>3360</v>
      </c>
      <c r="C5370" s="504" t="s">
        <v>1094</v>
      </c>
      <c r="D5370" s="504" t="s">
        <v>3380</v>
      </c>
      <c r="E5370" s="504" t="s">
        <v>3381</v>
      </c>
      <c r="F5370" s="504" t="s">
        <v>747</v>
      </c>
      <c r="G5370" s="504" t="s">
        <v>748</v>
      </c>
      <c r="H5370" s="504" t="s">
        <v>7716</v>
      </c>
      <c r="I5370" s="504">
        <v>286</v>
      </c>
      <c r="J5370" s="504">
        <v>65</v>
      </c>
      <c r="K5370" s="504">
        <v>0</v>
      </c>
      <c r="L5370" s="504">
        <v>0</v>
      </c>
      <c r="M5370" s="504">
        <v>0</v>
      </c>
      <c r="N5370" s="504">
        <v>0</v>
      </c>
      <c r="O5370" s="505">
        <v>221</v>
      </c>
    </row>
    <row r="5371" spans="1:15" x14ac:dyDescent="0.35">
      <c r="A5371" s="500" t="s">
        <v>1171</v>
      </c>
      <c r="B5371" s="501" t="s">
        <v>3003</v>
      </c>
      <c r="C5371" s="501" t="s">
        <v>1094</v>
      </c>
      <c r="D5371" s="501" t="s">
        <v>3380</v>
      </c>
      <c r="E5371" s="501" t="s">
        <v>3381</v>
      </c>
      <c r="F5371" s="501" t="s">
        <v>747</v>
      </c>
      <c r="G5371" s="501" t="s">
        <v>748</v>
      </c>
      <c r="H5371" s="501" t="s">
        <v>7717</v>
      </c>
      <c r="I5371" s="501">
        <v>97</v>
      </c>
      <c r="J5371" s="501">
        <v>58</v>
      </c>
      <c r="K5371" s="501">
        <v>0</v>
      </c>
      <c r="L5371" s="501">
        <v>0</v>
      </c>
      <c r="M5371" s="501">
        <v>0</v>
      </c>
      <c r="N5371" s="501">
        <v>0</v>
      </c>
      <c r="O5371" s="506">
        <v>39</v>
      </c>
    </row>
    <row r="5372" spans="1:15" x14ac:dyDescent="0.35">
      <c r="A5372" s="503" t="s">
        <v>1172</v>
      </c>
      <c r="B5372" s="504">
        <v>4648</v>
      </c>
      <c r="C5372" s="504" t="s">
        <v>1089</v>
      </c>
      <c r="D5372" s="504" t="s">
        <v>3392</v>
      </c>
      <c r="E5372" s="504" t="s">
        <v>3381</v>
      </c>
      <c r="F5372" s="504" t="s">
        <v>747</v>
      </c>
      <c r="G5372" s="504" t="s">
        <v>748</v>
      </c>
      <c r="H5372" s="504" t="s">
        <v>7718</v>
      </c>
      <c r="I5372" s="504">
        <v>21</v>
      </c>
      <c r="J5372" s="504">
        <v>0</v>
      </c>
      <c r="K5372" s="504">
        <v>0</v>
      </c>
      <c r="L5372" s="504">
        <v>21</v>
      </c>
      <c r="M5372" s="504">
        <v>0</v>
      </c>
      <c r="N5372" s="504">
        <v>0</v>
      </c>
      <c r="O5372" s="505">
        <v>0</v>
      </c>
    </row>
    <row r="5373" spans="1:15" x14ac:dyDescent="0.35">
      <c r="A5373" s="500" t="s">
        <v>14205</v>
      </c>
      <c r="B5373" s="501" t="s">
        <v>14204</v>
      </c>
      <c r="C5373" s="501" t="s">
        <v>1089</v>
      </c>
      <c r="D5373" s="501" t="s">
        <v>3392</v>
      </c>
      <c r="E5373" s="501" t="s">
        <v>3381</v>
      </c>
      <c r="F5373" s="501" t="s">
        <v>747</v>
      </c>
      <c r="G5373" s="501" t="s">
        <v>748</v>
      </c>
      <c r="H5373" s="501" t="s">
        <v>14851</v>
      </c>
      <c r="I5373" s="501">
        <v>72</v>
      </c>
      <c r="J5373" s="501">
        <v>24</v>
      </c>
      <c r="K5373" s="501">
        <v>48</v>
      </c>
      <c r="L5373" s="501">
        <v>0</v>
      </c>
      <c r="M5373" s="501">
        <v>0</v>
      </c>
      <c r="N5373" s="501">
        <v>0</v>
      </c>
      <c r="O5373" s="506">
        <v>0</v>
      </c>
    </row>
    <row r="5374" spans="1:15" x14ac:dyDescent="0.35">
      <c r="A5374" s="503" t="s">
        <v>14208</v>
      </c>
      <c r="B5374" s="504">
        <v>4803</v>
      </c>
      <c r="C5374" s="504" t="s">
        <v>1094</v>
      </c>
      <c r="D5374" s="504" t="s">
        <v>3380</v>
      </c>
      <c r="E5374" s="504" t="s">
        <v>3381</v>
      </c>
      <c r="F5374" s="504" t="s">
        <v>747</v>
      </c>
      <c r="G5374" s="504" t="s">
        <v>748</v>
      </c>
      <c r="H5374" s="504" t="s">
        <v>14852</v>
      </c>
      <c r="I5374" s="504">
        <v>30</v>
      </c>
      <c r="J5374" s="504">
        <v>0</v>
      </c>
      <c r="K5374" s="504">
        <v>0</v>
      </c>
      <c r="L5374" s="504">
        <v>30</v>
      </c>
      <c r="M5374" s="504">
        <v>0</v>
      </c>
      <c r="N5374" s="504">
        <v>0</v>
      </c>
      <c r="O5374" s="505">
        <v>0</v>
      </c>
    </row>
    <row r="5375" spans="1:15" x14ac:dyDescent="0.35">
      <c r="A5375" s="500" t="s">
        <v>1182</v>
      </c>
      <c r="B5375" s="501">
        <v>5060</v>
      </c>
      <c r="C5375" s="501" t="s">
        <v>1094</v>
      </c>
      <c r="D5375" s="501" t="s">
        <v>3380</v>
      </c>
      <c r="E5375" s="501" t="s">
        <v>3381</v>
      </c>
      <c r="F5375" s="501" t="s">
        <v>747</v>
      </c>
      <c r="G5375" s="501" t="s">
        <v>748</v>
      </c>
      <c r="H5375" s="501" t="s">
        <v>7719</v>
      </c>
      <c r="I5375" s="501">
        <v>461</v>
      </c>
      <c r="J5375" s="501">
        <v>191</v>
      </c>
      <c r="K5375" s="501">
        <v>0</v>
      </c>
      <c r="L5375" s="501">
        <v>114</v>
      </c>
      <c r="M5375" s="501">
        <v>0</v>
      </c>
      <c r="N5375" s="501">
        <v>0</v>
      </c>
      <c r="O5375" s="506">
        <v>156</v>
      </c>
    </row>
    <row r="5376" spans="1:15" x14ac:dyDescent="0.35">
      <c r="A5376" s="503" t="s">
        <v>1185</v>
      </c>
      <c r="B5376" s="504" t="s">
        <v>3253</v>
      </c>
      <c r="C5376" s="504" t="s">
        <v>1094</v>
      </c>
      <c r="D5376" s="504" t="s">
        <v>3380</v>
      </c>
      <c r="E5376" s="504" t="s">
        <v>3381</v>
      </c>
      <c r="F5376" s="504" t="s">
        <v>747</v>
      </c>
      <c r="G5376" s="504" t="s">
        <v>748</v>
      </c>
      <c r="H5376" s="504" t="s">
        <v>7720</v>
      </c>
      <c r="I5376" s="504">
        <v>140</v>
      </c>
      <c r="J5376" s="504">
        <v>75</v>
      </c>
      <c r="K5376" s="504">
        <v>0</v>
      </c>
      <c r="L5376" s="504">
        <v>65</v>
      </c>
      <c r="M5376" s="504">
        <v>0</v>
      </c>
      <c r="N5376" s="504">
        <v>0</v>
      </c>
      <c r="O5376" s="505">
        <v>0</v>
      </c>
    </row>
    <row r="5377" spans="1:15" x14ac:dyDescent="0.35">
      <c r="A5377" s="500" t="s">
        <v>1187</v>
      </c>
      <c r="B5377" s="501" t="s">
        <v>2951</v>
      </c>
      <c r="C5377" s="501" t="s">
        <v>1094</v>
      </c>
      <c r="D5377" s="501" t="s">
        <v>3380</v>
      </c>
      <c r="E5377" s="501" t="s">
        <v>3381</v>
      </c>
      <c r="F5377" s="501" t="s">
        <v>747</v>
      </c>
      <c r="G5377" s="501" t="s">
        <v>748</v>
      </c>
      <c r="H5377" s="501" t="s">
        <v>7721</v>
      </c>
      <c r="I5377" s="501">
        <v>263</v>
      </c>
      <c r="J5377" s="501">
        <v>239</v>
      </c>
      <c r="K5377" s="501">
        <v>0</v>
      </c>
      <c r="L5377" s="501">
        <v>0</v>
      </c>
      <c r="M5377" s="501">
        <v>0</v>
      </c>
      <c r="N5377" s="501">
        <v>0</v>
      </c>
      <c r="O5377" s="506">
        <v>24</v>
      </c>
    </row>
    <row r="5378" spans="1:15" x14ac:dyDescent="0.35">
      <c r="A5378" s="503" t="s">
        <v>1105</v>
      </c>
      <c r="B5378" s="504">
        <v>4668</v>
      </c>
      <c r="C5378" s="504" t="s">
        <v>1094</v>
      </c>
      <c r="D5378" s="504" t="s">
        <v>3380</v>
      </c>
      <c r="E5378" s="504" t="s">
        <v>3381</v>
      </c>
      <c r="F5378" s="504" t="s">
        <v>747</v>
      </c>
      <c r="G5378" s="504" t="s">
        <v>748</v>
      </c>
      <c r="H5378" s="504" t="s">
        <v>7722</v>
      </c>
      <c r="I5378" s="504">
        <v>55</v>
      </c>
      <c r="J5378" s="504">
        <v>0</v>
      </c>
      <c r="K5378" s="504">
        <v>0</v>
      </c>
      <c r="L5378" s="504">
        <v>0</v>
      </c>
      <c r="M5378" s="504">
        <v>0</v>
      </c>
      <c r="N5378" s="504">
        <v>0</v>
      </c>
      <c r="O5378" s="505">
        <v>55</v>
      </c>
    </row>
    <row r="5379" spans="1:15" x14ac:dyDescent="0.35">
      <c r="A5379" s="500" t="s">
        <v>1302</v>
      </c>
      <c r="B5379" s="501" t="s">
        <v>3094</v>
      </c>
      <c r="C5379" s="501" t="s">
        <v>1094</v>
      </c>
      <c r="D5379" s="501" t="s">
        <v>3380</v>
      </c>
      <c r="E5379" s="501" t="s">
        <v>3381</v>
      </c>
      <c r="F5379" s="501" t="s">
        <v>747</v>
      </c>
      <c r="G5379" s="501" t="s">
        <v>748</v>
      </c>
      <c r="H5379" s="501" t="s">
        <v>7723</v>
      </c>
      <c r="I5379" s="501">
        <v>137</v>
      </c>
      <c r="J5379" s="501">
        <v>104</v>
      </c>
      <c r="K5379" s="501">
        <v>0</v>
      </c>
      <c r="L5379" s="501">
        <v>0</v>
      </c>
      <c r="M5379" s="501">
        <v>0</v>
      </c>
      <c r="N5379" s="501">
        <v>0</v>
      </c>
      <c r="O5379" s="506">
        <v>33</v>
      </c>
    </row>
    <row r="5380" spans="1:15" x14ac:dyDescent="0.35">
      <c r="A5380" s="503" t="s">
        <v>1107</v>
      </c>
      <c r="B5380" s="504" t="s">
        <v>3109</v>
      </c>
      <c r="C5380" s="504" t="s">
        <v>1094</v>
      </c>
      <c r="D5380" s="504" t="s">
        <v>3380</v>
      </c>
      <c r="E5380" s="504" t="s">
        <v>3381</v>
      </c>
      <c r="F5380" s="504" t="s">
        <v>747</v>
      </c>
      <c r="G5380" s="504" t="s">
        <v>748</v>
      </c>
      <c r="H5380" s="504" t="s">
        <v>7724</v>
      </c>
      <c r="I5380" s="504">
        <v>533</v>
      </c>
      <c r="J5380" s="504">
        <v>518</v>
      </c>
      <c r="K5380" s="504">
        <v>0</v>
      </c>
      <c r="L5380" s="504">
        <v>15</v>
      </c>
      <c r="M5380" s="504">
        <v>0</v>
      </c>
      <c r="N5380" s="504">
        <v>3</v>
      </c>
      <c r="O5380" s="505">
        <v>0</v>
      </c>
    </row>
    <row r="5381" spans="1:15" x14ac:dyDescent="0.35">
      <c r="A5381" s="500" t="s">
        <v>1109</v>
      </c>
      <c r="B5381" s="501" t="s">
        <v>2959</v>
      </c>
      <c r="C5381" s="501" t="s">
        <v>1094</v>
      </c>
      <c r="D5381" s="501" t="s">
        <v>3380</v>
      </c>
      <c r="E5381" s="501" t="s">
        <v>3381</v>
      </c>
      <c r="F5381" s="501" t="s">
        <v>747</v>
      </c>
      <c r="G5381" s="501" t="s">
        <v>748</v>
      </c>
      <c r="H5381" s="501" t="s">
        <v>7725</v>
      </c>
      <c r="I5381" s="501">
        <v>63</v>
      </c>
      <c r="J5381" s="501">
        <v>0</v>
      </c>
      <c r="K5381" s="501">
        <v>0</v>
      </c>
      <c r="L5381" s="501">
        <v>0</v>
      </c>
      <c r="M5381" s="501">
        <v>63</v>
      </c>
      <c r="N5381" s="501">
        <v>0</v>
      </c>
      <c r="O5381" s="506">
        <v>0</v>
      </c>
    </row>
    <row r="5382" spans="1:15" x14ac:dyDescent="0.35">
      <c r="A5382" s="503" t="s">
        <v>1189</v>
      </c>
      <c r="B5382" s="504" t="s">
        <v>3236</v>
      </c>
      <c r="C5382" s="504" t="s">
        <v>1094</v>
      </c>
      <c r="D5382" s="504" t="s">
        <v>3380</v>
      </c>
      <c r="E5382" s="504" t="s">
        <v>3381</v>
      </c>
      <c r="F5382" s="504" t="s">
        <v>747</v>
      </c>
      <c r="G5382" s="504" t="s">
        <v>748</v>
      </c>
      <c r="H5382" s="504" t="s">
        <v>7726</v>
      </c>
      <c r="I5382" s="504">
        <v>117</v>
      </c>
      <c r="J5382" s="504">
        <v>82</v>
      </c>
      <c r="K5382" s="504">
        <v>0</v>
      </c>
      <c r="L5382" s="504">
        <v>0</v>
      </c>
      <c r="M5382" s="504">
        <v>0</v>
      </c>
      <c r="N5382" s="504">
        <v>0</v>
      </c>
      <c r="O5382" s="505">
        <v>35</v>
      </c>
    </row>
    <row r="5383" spans="1:15" x14ac:dyDescent="0.35">
      <c r="A5383" s="500" t="s">
        <v>14243</v>
      </c>
      <c r="B5383" s="501">
        <v>5149</v>
      </c>
      <c r="C5383" s="501" t="s">
        <v>1089</v>
      </c>
      <c r="D5383" s="501" t="s">
        <v>3392</v>
      </c>
      <c r="E5383" s="501" t="s">
        <v>3381</v>
      </c>
      <c r="F5383" s="501" t="s">
        <v>747</v>
      </c>
      <c r="G5383" s="501" t="s">
        <v>748</v>
      </c>
      <c r="H5383" s="501" t="s">
        <v>14853</v>
      </c>
      <c r="I5383" s="501">
        <v>31</v>
      </c>
      <c r="J5383" s="501">
        <v>31</v>
      </c>
      <c r="K5383" s="501">
        <v>0</v>
      </c>
      <c r="L5383" s="501">
        <v>0</v>
      </c>
      <c r="M5383" s="501">
        <v>0</v>
      </c>
      <c r="N5383" s="501">
        <v>0</v>
      </c>
      <c r="O5383" s="506">
        <v>0</v>
      </c>
    </row>
    <row r="5384" spans="1:15" x14ac:dyDescent="0.35">
      <c r="A5384" s="503" t="s">
        <v>1310</v>
      </c>
      <c r="B5384" s="504">
        <v>5062</v>
      </c>
      <c r="C5384" s="504" t="s">
        <v>1089</v>
      </c>
      <c r="D5384" s="504" t="s">
        <v>3380</v>
      </c>
      <c r="E5384" s="504" t="s">
        <v>3381</v>
      </c>
      <c r="F5384" s="504" t="s">
        <v>747</v>
      </c>
      <c r="G5384" s="504" t="s">
        <v>748</v>
      </c>
      <c r="H5384" s="504" t="s">
        <v>14854</v>
      </c>
      <c r="I5384" s="504">
        <v>32</v>
      </c>
      <c r="J5384" s="504">
        <v>32</v>
      </c>
      <c r="K5384" s="504">
        <v>0</v>
      </c>
      <c r="L5384" s="504">
        <v>0</v>
      </c>
      <c r="M5384" s="504">
        <v>0</v>
      </c>
      <c r="N5384" s="504">
        <v>0</v>
      </c>
      <c r="O5384" s="505">
        <v>0</v>
      </c>
    </row>
    <row r="5385" spans="1:15" x14ac:dyDescent="0.35">
      <c r="A5385" s="500" t="s">
        <v>1202</v>
      </c>
      <c r="B5385" s="501" t="s">
        <v>3217</v>
      </c>
      <c r="C5385" s="501" t="s">
        <v>1094</v>
      </c>
      <c r="D5385" s="501" t="s">
        <v>3380</v>
      </c>
      <c r="E5385" s="501" t="s">
        <v>3381</v>
      </c>
      <c r="F5385" s="501" t="s">
        <v>747</v>
      </c>
      <c r="G5385" s="501" t="s">
        <v>748</v>
      </c>
      <c r="H5385" s="501" t="s">
        <v>11839</v>
      </c>
      <c r="I5385" s="501">
        <v>253</v>
      </c>
      <c r="J5385" s="501">
        <v>151</v>
      </c>
      <c r="K5385" s="501">
        <v>0</v>
      </c>
      <c r="L5385" s="501">
        <v>0</v>
      </c>
      <c r="M5385" s="501">
        <v>0</v>
      </c>
      <c r="N5385" s="501">
        <v>0</v>
      </c>
      <c r="O5385" s="506">
        <v>102</v>
      </c>
    </row>
    <row r="5386" spans="1:15" x14ac:dyDescent="0.35">
      <c r="A5386" s="503" t="s">
        <v>1112</v>
      </c>
      <c r="B5386" s="504" t="s">
        <v>3008</v>
      </c>
      <c r="C5386" s="504" t="s">
        <v>1094</v>
      </c>
      <c r="D5386" s="504" t="s">
        <v>3380</v>
      </c>
      <c r="E5386" s="504" t="s">
        <v>3381</v>
      </c>
      <c r="F5386" s="504" t="s">
        <v>747</v>
      </c>
      <c r="G5386" s="504" t="s">
        <v>748</v>
      </c>
      <c r="H5386" s="504" t="s">
        <v>7727</v>
      </c>
      <c r="I5386" s="504">
        <v>3</v>
      </c>
      <c r="J5386" s="504">
        <v>0</v>
      </c>
      <c r="K5386" s="504">
        <v>0</v>
      </c>
      <c r="L5386" s="504">
        <v>0</v>
      </c>
      <c r="M5386" s="504">
        <v>0</v>
      </c>
      <c r="N5386" s="504">
        <v>0</v>
      </c>
      <c r="O5386" s="505">
        <v>3</v>
      </c>
    </row>
    <row r="5387" spans="1:15" x14ac:dyDescent="0.35">
      <c r="A5387" s="500" t="s">
        <v>1207</v>
      </c>
      <c r="B5387" s="501" t="s">
        <v>3202</v>
      </c>
      <c r="C5387" s="501" t="s">
        <v>1094</v>
      </c>
      <c r="D5387" s="501" t="s">
        <v>3380</v>
      </c>
      <c r="E5387" s="501" t="s">
        <v>3381</v>
      </c>
      <c r="F5387" s="501" t="s">
        <v>747</v>
      </c>
      <c r="G5387" s="501" t="s">
        <v>748</v>
      </c>
      <c r="H5387" s="501" t="s">
        <v>7728</v>
      </c>
      <c r="I5387" s="501">
        <v>100</v>
      </c>
      <c r="J5387" s="501">
        <v>0</v>
      </c>
      <c r="K5387" s="501">
        <v>0</v>
      </c>
      <c r="L5387" s="501">
        <v>0</v>
      </c>
      <c r="M5387" s="501">
        <v>100</v>
      </c>
      <c r="N5387" s="501">
        <v>0</v>
      </c>
      <c r="O5387" s="506">
        <v>0</v>
      </c>
    </row>
    <row r="5388" spans="1:15" x14ac:dyDescent="0.35">
      <c r="A5388" s="503" t="s">
        <v>1865</v>
      </c>
      <c r="B5388" s="504">
        <v>4870</v>
      </c>
      <c r="C5388" s="504" t="s">
        <v>1089</v>
      </c>
      <c r="D5388" s="504" t="s">
        <v>3392</v>
      </c>
      <c r="E5388" s="504" t="s">
        <v>3381</v>
      </c>
      <c r="F5388" s="504" t="s">
        <v>747</v>
      </c>
      <c r="G5388" s="504" t="s">
        <v>748</v>
      </c>
      <c r="H5388" s="504" t="s">
        <v>7729</v>
      </c>
      <c r="I5388" s="504">
        <v>206</v>
      </c>
      <c r="J5388" s="504">
        <v>0</v>
      </c>
      <c r="K5388" s="504">
        <v>0</v>
      </c>
      <c r="L5388" s="504">
        <v>206</v>
      </c>
      <c r="M5388" s="504">
        <v>0</v>
      </c>
      <c r="N5388" s="504">
        <v>0</v>
      </c>
      <c r="O5388" s="505">
        <v>0</v>
      </c>
    </row>
    <row r="5389" spans="1:15" x14ac:dyDescent="0.35">
      <c r="A5389" s="500" t="s">
        <v>1315</v>
      </c>
      <c r="B5389" s="501">
        <v>4825</v>
      </c>
      <c r="C5389" s="501" t="s">
        <v>1094</v>
      </c>
      <c r="D5389" s="501" t="s">
        <v>3380</v>
      </c>
      <c r="E5389" s="501" t="s">
        <v>3381</v>
      </c>
      <c r="F5389" s="501" t="s">
        <v>747</v>
      </c>
      <c r="G5389" s="501" t="s">
        <v>748</v>
      </c>
      <c r="H5389" s="501" t="s">
        <v>7730</v>
      </c>
      <c r="I5389" s="501">
        <v>147</v>
      </c>
      <c r="J5389" s="501">
        <v>72</v>
      </c>
      <c r="K5389" s="501">
        <v>0</v>
      </c>
      <c r="L5389" s="501">
        <v>0</v>
      </c>
      <c r="M5389" s="501">
        <v>0</v>
      </c>
      <c r="N5389" s="501">
        <v>0</v>
      </c>
      <c r="O5389" s="506">
        <v>75</v>
      </c>
    </row>
    <row r="5390" spans="1:15" x14ac:dyDescent="0.35">
      <c r="A5390" s="503" t="s">
        <v>1319</v>
      </c>
      <c r="B5390" s="504">
        <v>4880</v>
      </c>
      <c r="C5390" s="504" t="s">
        <v>1094</v>
      </c>
      <c r="D5390" s="504" t="s">
        <v>3380</v>
      </c>
      <c r="E5390" s="504" t="s">
        <v>3381</v>
      </c>
      <c r="F5390" s="504" t="s">
        <v>747</v>
      </c>
      <c r="G5390" s="504" t="s">
        <v>748</v>
      </c>
      <c r="H5390" s="504" t="s">
        <v>7731</v>
      </c>
      <c r="I5390" s="504">
        <v>99</v>
      </c>
      <c r="J5390" s="504">
        <v>22</v>
      </c>
      <c r="K5390" s="504">
        <v>0</v>
      </c>
      <c r="L5390" s="504">
        <v>0</v>
      </c>
      <c r="M5390" s="504">
        <v>0</v>
      </c>
      <c r="N5390" s="504">
        <v>2</v>
      </c>
      <c r="O5390" s="505">
        <v>77</v>
      </c>
    </row>
    <row r="5391" spans="1:15" x14ac:dyDescent="0.35">
      <c r="A5391" s="500" t="s">
        <v>1120</v>
      </c>
      <c r="B5391" s="501" t="s">
        <v>3362</v>
      </c>
      <c r="C5391" s="501" t="s">
        <v>1094</v>
      </c>
      <c r="D5391" s="501" t="s">
        <v>3380</v>
      </c>
      <c r="E5391" s="501" t="s">
        <v>3381</v>
      </c>
      <c r="F5391" s="501" t="s">
        <v>747</v>
      </c>
      <c r="G5391" s="501" t="s">
        <v>748</v>
      </c>
      <c r="H5391" s="501" t="s">
        <v>7732</v>
      </c>
      <c r="I5391" s="501">
        <v>2</v>
      </c>
      <c r="J5391" s="501">
        <v>0</v>
      </c>
      <c r="K5391" s="501">
        <v>0</v>
      </c>
      <c r="L5391" s="501">
        <v>0</v>
      </c>
      <c r="M5391" s="501">
        <v>0</v>
      </c>
      <c r="N5391" s="501">
        <v>0</v>
      </c>
      <c r="O5391" s="506">
        <v>2</v>
      </c>
    </row>
    <row r="5392" spans="1:15" x14ac:dyDescent="0.35">
      <c r="A5392" s="503" t="s">
        <v>1872</v>
      </c>
      <c r="B5392" s="504" t="s">
        <v>2814</v>
      </c>
      <c r="C5392" s="504" t="s">
        <v>1089</v>
      </c>
      <c r="D5392" s="504" t="s">
        <v>3392</v>
      </c>
      <c r="E5392" s="504" t="s">
        <v>3381</v>
      </c>
      <c r="F5392" s="504" t="s">
        <v>747</v>
      </c>
      <c r="G5392" s="504" t="s">
        <v>748</v>
      </c>
      <c r="H5392" s="504" t="s">
        <v>7733</v>
      </c>
      <c r="I5392" s="504">
        <v>42</v>
      </c>
      <c r="J5392" s="504">
        <v>42</v>
      </c>
      <c r="K5392" s="504">
        <v>0</v>
      </c>
      <c r="L5392" s="504">
        <v>0</v>
      </c>
      <c r="M5392" s="504">
        <v>0</v>
      </c>
      <c r="N5392" s="504">
        <v>0</v>
      </c>
      <c r="O5392" s="505">
        <v>0</v>
      </c>
    </row>
    <row r="5393" spans="1:15" x14ac:dyDescent="0.35">
      <c r="A5393" s="500" t="s">
        <v>1321</v>
      </c>
      <c r="B5393" s="501">
        <v>4635</v>
      </c>
      <c r="C5393" s="501" t="s">
        <v>1089</v>
      </c>
      <c r="D5393" s="501" t="s">
        <v>3392</v>
      </c>
      <c r="E5393" s="501" t="s">
        <v>3381</v>
      </c>
      <c r="F5393" s="501" t="s">
        <v>747</v>
      </c>
      <c r="G5393" s="501" t="s">
        <v>748</v>
      </c>
      <c r="H5393" s="501" t="s">
        <v>7734</v>
      </c>
      <c r="I5393" s="501">
        <v>29</v>
      </c>
      <c r="J5393" s="501">
        <v>29</v>
      </c>
      <c r="K5393" s="501">
        <v>0</v>
      </c>
      <c r="L5393" s="501">
        <v>0</v>
      </c>
      <c r="M5393" s="501">
        <v>0</v>
      </c>
      <c r="N5393" s="501">
        <v>0</v>
      </c>
      <c r="O5393" s="506">
        <v>0</v>
      </c>
    </row>
    <row r="5394" spans="1:15" x14ac:dyDescent="0.35">
      <c r="A5394" s="503" t="s">
        <v>1322</v>
      </c>
      <c r="B5394" s="504" t="s">
        <v>3244</v>
      </c>
      <c r="C5394" s="504" t="s">
        <v>1094</v>
      </c>
      <c r="D5394" s="504" t="s">
        <v>3380</v>
      </c>
      <c r="E5394" s="504" t="s">
        <v>3381</v>
      </c>
      <c r="F5394" s="504" t="s">
        <v>747</v>
      </c>
      <c r="G5394" s="504" t="s">
        <v>748</v>
      </c>
      <c r="H5394" s="504" t="s">
        <v>7735</v>
      </c>
      <c r="I5394" s="504">
        <v>10</v>
      </c>
      <c r="J5394" s="504">
        <v>2</v>
      </c>
      <c r="K5394" s="504">
        <v>0</v>
      </c>
      <c r="L5394" s="504">
        <v>0</v>
      </c>
      <c r="M5394" s="504">
        <v>0</v>
      </c>
      <c r="N5394" s="504">
        <v>0</v>
      </c>
      <c r="O5394" s="505">
        <v>8</v>
      </c>
    </row>
    <row r="5395" spans="1:15" x14ac:dyDescent="0.35">
      <c r="A5395" s="500" t="s">
        <v>1217</v>
      </c>
      <c r="B5395" s="501">
        <v>4851</v>
      </c>
      <c r="C5395" s="501" t="s">
        <v>1094</v>
      </c>
      <c r="D5395" s="501" t="s">
        <v>3380</v>
      </c>
      <c r="E5395" s="501" t="s">
        <v>3381</v>
      </c>
      <c r="F5395" s="501" t="s">
        <v>747</v>
      </c>
      <c r="G5395" s="501" t="s">
        <v>748</v>
      </c>
      <c r="H5395" s="501" t="s">
        <v>7736</v>
      </c>
      <c r="I5395" s="501">
        <v>424</v>
      </c>
      <c r="J5395" s="501">
        <v>296</v>
      </c>
      <c r="K5395" s="501">
        <v>13</v>
      </c>
      <c r="L5395" s="501">
        <v>0</v>
      </c>
      <c r="M5395" s="501">
        <v>0</v>
      </c>
      <c r="N5395" s="501">
        <v>0</v>
      </c>
      <c r="O5395" s="506">
        <v>115</v>
      </c>
    </row>
    <row r="5396" spans="1:15" x14ac:dyDescent="0.35">
      <c r="A5396" s="503" t="s">
        <v>1218</v>
      </c>
      <c r="B5396" s="504" t="s">
        <v>3147</v>
      </c>
      <c r="C5396" s="504" t="s">
        <v>1094</v>
      </c>
      <c r="D5396" s="504" t="s">
        <v>3380</v>
      </c>
      <c r="E5396" s="504" t="s">
        <v>3381</v>
      </c>
      <c r="F5396" s="504" t="s">
        <v>747</v>
      </c>
      <c r="G5396" s="504" t="s">
        <v>748</v>
      </c>
      <c r="H5396" s="504" t="s">
        <v>7737</v>
      </c>
      <c r="I5396" s="504">
        <v>237</v>
      </c>
      <c r="J5396" s="504">
        <v>0</v>
      </c>
      <c r="K5396" s="504">
        <v>0</v>
      </c>
      <c r="L5396" s="504">
        <v>0</v>
      </c>
      <c r="M5396" s="504">
        <v>0</v>
      </c>
      <c r="N5396" s="504">
        <v>0</v>
      </c>
      <c r="O5396" s="505">
        <v>237</v>
      </c>
    </row>
    <row r="5397" spans="1:15" x14ac:dyDescent="0.35">
      <c r="A5397" s="500" t="s">
        <v>11367</v>
      </c>
      <c r="B5397" s="501" t="s">
        <v>3143</v>
      </c>
      <c r="C5397" s="501" t="s">
        <v>1094</v>
      </c>
      <c r="D5397" s="501" t="s">
        <v>3380</v>
      </c>
      <c r="E5397" s="501" t="s">
        <v>3381</v>
      </c>
      <c r="F5397" s="501" t="s">
        <v>747</v>
      </c>
      <c r="G5397" s="501" t="s">
        <v>748</v>
      </c>
      <c r="H5397" s="501" t="s">
        <v>11939</v>
      </c>
      <c r="I5397" s="501">
        <v>447</v>
      </c>
      <c r="J5397" s="501">
        <v>395</v>
      </c>
      <c r="K5397" s="501">
        <v>0</v>
      </c>
      <c r="L5397" s="501">
        <v>52</v>
      </c>
      <c r="M5397" s="501">
        <v>0</v>
      </c>
      <c r="N5397" s="501">
        <v>1</v>
      </c>
      <c r="O5397" s="506">
        <v>0</v>
      </c>
    </row>
    <row r="5398" spans="1:15" x14ac:dyDescent="0.35">
      <c r="A5398" s="503" t="s">
        <v>1327</v>
      </c>
      <c r="B5398" s="504" t="s">
        <v>3330</v>
      </c>
      <c r="C5398" s="504" t="s">
        <v>1094</v>
      </c>
      <c r="D5398" s="504" t="s">
        <v>3380</v>
      </c>
      <c r="E5398" s="504" t="s">
        <v>3381</v>
      </c>
      <c r="F5398" s="504" t="s">
        <v>747</v>
      </c>
      <c r="G5398" s="504" t="s">
        <v>748</v>
      </c>
      <c r="H5398" s="504" t="s">
        <v>7738</v>
      </c>
      <c r="I5398" s="504">
        <v>1918</v>
      </c>
      <c r="J5398" s="504">
        <v>740</v>
      </c>
      <c r="K5398" s="504">
        <v>0</v>
      </c>
      <c r="L5398" s="504">
        <v>0</v>
      </c>
      <c r="M5398" s="504">
        <v>0</v>
      </c>
      <c r="N5398" s="504">
        <v>1</v>
      </c>
      <c r="O5398" s="505">
        <v>1178</v>
      </c>
    </row>
    <row r="5399" spans="1:15" x14ac:dyDescent="0.35">
      <c r="A5399" s="500" t="s">
        <v>1122</v>
      </c>
      <c r="B5399" s="501" t="s">
        <v>2994</v>
      </c>
      <c r="C5399" s="501" t="s">
        <v>1094</v>
      </c>
      <c r="D5399" s="501" t="s">
        <v>3380</v>
      </c>
      <c r="E5399" s="501" t="s">
        <v>3381</v>
      </c>
      <c r="F5399" s="501" t="s">
        <v>747</v>
      </c>
      <c r="G5399" s="501" t="s">
        <v>748</v>
      </c>
      <c r="H5399" s="501" t="s">
        <v>7739</v>
      </c>
      <c r="I5399" s="501">
        <v>1337</v>
      </c>
      <c r="J5399" s="501">
        <v>1071</v>
      </c>
      <c r="K5399" s="501">
        <v>0</v>
      </c>
      <c r="L5399" s="501">
        <v>0</v>
      </c>
      <c r="M5399" s="501">
        <v>0</v>
      </c>
      <c r="N5399" s="501">
        <v>0</v>
      </c>
      <c r="O5399" s="506">
        <v>266</v>
      </c>
    </row>
    <row r="5400" spans="1:15" x14ac:dyDescent="0.35">
      <c r="A5400" s="503" t="s">
        <v>1225</v>
      </c>
      <c r="B5400" s="504" t="s">
        <v>3315</v>
      </c>
      <c r="C5400" s="504" t="s">
        <v>1094</v>
      </c>
      <c r="D5400" s="504" t="s">
        <v>3380</v>
      </c>
      <c r="E5400" s="504" t="s">
        <v>3381</v>
      </c>
      <c r="F5400" s="504" t="s">
        <v>747</v>
      </c>
      <c r="G5400" s="504" t="s">
        <v>748</v>
      </c>
      <c r="H5400" s="504" t="s">
        <v>7740</v>
      </c>
      <c r="I5400" s="504">
        <v>2</v>
      </c>
      <c r="J5400" s="504">
        <v>0</v>
      </c>
      <c r="K5400" s="504">
        <v>0</v>
      </c>
      <c r="L5400" s="504">
        <v>2</v>
      </c>
      <c r="M5400" s="504">
        <v>0</v>
      </c>
      <c r="N5400" s="504">
        <v>0</v>
      </c>
      <c r="O5400" s="505">
        <v>0</v>
      </c>
    </row>
    <row r="5401" spans="1:15" x14ac:dyDescent="0.35">
      <c r="A5401" s="500" t="s">
        <v>1124</v>
      </c>
      <c r="B5401" s="501">
        <v>4745</v>
      </c>
      <c r="C5401" s="501" t="s">
        <v>1094</v>
      </c>
      <c r="D5401" s="501" t="s">
        <v>3380</v>
      </c>
      <c r="E5401" s="501" t="s">
        <v>3381</v>
      </c>
      <c r="F5401" s="501" t="s">
        <v>747</v>
      </c>
      <c r="G5401" s="501" t="s">
        <v>748</v>
      </c>
      <c r="H5401" s="501" t="s">
        <v>7741</v>
      </c>
      <c r="I5401" s="501">
        <v>1</v>
      </c>
      <c r="J5401" s="501">
        <v>0</v>
      </c>
      <c r="K5401" s="501">
        <v>0</v>
      </c>
      <c r="L5401" s="501">
        <v>1</v>
      </c>
      <c r="M5401" s="501">
        <v>0</v>
      </c>
      <c r="N5401" s="501">
        <v>0</v>
      </c>
      <c r="O5401" s="506">
        <v>0</v>
      </c>
    </row>
    <row r="5402" spans="1:15" x14ac:dyDescent="0.35">
      <c r="A5402" s="503" t="s">
        <v>1233</v>
      </c>
      <c r="B5402" s="504">
        <v>4636</v>
      </c>
      <c r="C5402" s="504" t="s">
        <v>1094</v>
      </c>
      <c r="D5402" s="504" t="s">
        <v>3380</v>
      </c>
      <c r="E5402" s="504" t="s">
        <v>3381</v>
      </c>
      <c r="F5402" s="504" t="s">
        <v>747</v>
      </c>
      <c r="G5402" s="504" t="s">
        <v>748</v>
      </c>
      <c r="H5402" s="504" t="s">
        <v>7742</v>
      </c>
      <c r="I5402" s="504">
        <v>147</v>
      </c>
      <c r="J5402" s="504">
        <v>59</v>
      </c>
      <c r="K5402" s="504">
        <v>0</v>
      </c>
      <c r="L5402" s="504">
        <v>0</v>
      </c>
      <c r="M5402" s="504">
        <v>0</v>
      </c>
      <c r="N5402" s="504">
        <v>0</v>
      </c>
      <c r="O5402" s="505">
        <v>88</v>
      </c>
    </row>
    <row r="5403" spans="1:15" x14ac:dyDescent="0.35">
      <c r="A5403" s="500" t="s">
        <v>11368</v>
      </c>
      <c r="B5403" s="501">
        <v>5083</v>
      </c>
      <c r="C5403" s="501" t="s">
        <v>1094</v>
      </c>
      <c r="D5403" s="501" t="s">
        <v>3380</v>
      </c>
      <c r="E5403" s="501" t="s">
        <v>3381</v>
      </c>
      <c r="F5403" s="501" t="s">
        <v>747</v>
      </c>
      <c r="G5403" s="501" t="s">
        <v>748</v>
      </c>
      <c r="H5403" s="501" t="s">
        <v>14855</v>
      </c>
      <c r="I5403" s="501">
        <v>103</v>
      </c>
      <c r="J5403" s="501">
        <v>103</v>
      </c>
      <c r="K5403" s="501">
        <v>0</v>
      </c>
      <c r="L5403" s="501">
        <v>0</v>
      </c>
      <c r="M5403" s="501">
        <v>0</v>
      </c>
      <c r="N5403" s="501">
        <v>0</v>
      </c>
      <c r="O5403" s="506">
        <v>0</v>
      </c>
    </row>
    <row r="5404" spans="1:15" x14ac:dyDescent="0.35">
      <c r="A5404" s="503" t="s">
        <v>1126</v>
      </c>
      <c r="B5404" s="504" t="s">
        <v>2974</v>
      </c>
      <c r="C5404" s="504" t="s">
        <v>1094</v>
      </c>
      <c r="D5404" s="504" t="s">
        <v>3380</v>
      </c>
      <c r="E5404" s="504" t="s">
        <v>3381</v>
      </c>
      <c r="F5404" s="504" t="s">
        <v>747</v>
      </c>
      <c r="G5404" s="504" t="s">
        <v>748</v>
      </c>
      <c r="H5404" s="504" t="s">
        <v>7743</v>
      </c>
      <c r="I5404" s="504">
        <v>13</v>
      </c>
      <c r="J5404" s="504">
        <v>0</v>
      </c>
      <c r="K5404" s="504">
        <v>0</v>
      </c>
      <c r="L5404" s="504">
        <v>13</v>
      </c>
      <c r="M5404" s="504">
        <v>0</v>
      </c>
      <c r="N5404" s="504">
        <v>0</v>
      </c>
      <c r="O5404" s="505">
        <v>0</v>
      </c>
    </row>
    <row r="5405" spans="1:15" x14ac:dyDescent="0.35">
      <c r="A5405" s="500" t="s">
        <v>1341</v>
      </c>
      <c r="B5405" s="501" t="s">
        <v>3183</v>
      </c>
      <c r="C5405" s="501" t="s">
        <v>1094</v>
      </c>
      <c r="D5405" s="501" t="s">
        <v>3380</v>
      </c>
      <c r="E5405" s="501" t="s">
        <v>3381</v>
      </c>
      <c r="F5405" s="501" t="s">
        <v>747</v>
      </c>
      <c r="G5405" s="501" t="s">
        <v>748</v>
      </c>
      <c r="H5405" s="501" t="s">
        <v>7744</v>
      </c>
      <c r="I5405" s="501">
        <v>6</v>
      </c>
      <c r="J5405" s="501">
        <v>0</v>
      </c>
      <c r="K5405" s="501">
        <v>0</v>
      </c>
      <c r="L5405" s="501">
        <v>0</v>
      </c>
      <c r="M5405" s="501">
        <v>0</v>
      </c>
      <c r="N5405" s="501">
        <v>0</v>
      </c>
      <c r="O5405" s="506">
        <v>6</v>
      </c>
    </row>
    <row r="5406" spans="1:15" x14ac:dyDescent="0.35">
      <c r="A5406" s="503" t="s">
        <v>1240</v>
      </c>
      <c r="B5406" s="504" t="s">
        <v>2972</v>
      </c>
      <c r="C5406" s="504" t="s">
        <v>1094</v>
      </c>
      <c r="D5406" s="504" t="s">
        <v>3380</v>
      </c>
      <c r="E5406" s="504" t="s">
        <v>3381</v>
      </c>
      <c r="F5406" s="504" t="s">
        <v>747</v>
      </c>
      <c r="G5406" s="504" t="s">
        <v>748</v>
      </c>
      <c r="H5406" s="504" t="s">
        <v>7745</v>
      </c>
      <c r="I5406" s="504">
        <v>727</v>
      </c>
      <c r="J5406" s="504">
        <v>649</v>
      </c>
      <c r="K5406" s="504">
        <v>0</v>
      </c>
      <c r="L5406" s="504">
        <v>0</v>
      </c>
      <c r="M5406" s="504">
        <v>31</v>
      </c>
      <c r="N5406" s="504">
        <v>0</v>
      </c>
      <c r="O5406" s="505">
        <v>47</v>
      </c>
    </row>
    <row r="5407" spans="1:15" x14ac:dyDescent="0.35">
      <c r="A5407" s="500" t="s">
        <v>1134</v>
      </c>
      <c r="B5407" s="501" t="s">
        <v>3066</v>
      </c>
      <c r="C5407" s="501" t="s">
        <v>1094</v>
      </c>
      <c r="D5407" s="501" t="s">
        <v>3380</v>
      </c>
      <c r="E5407" s="501" t="s">
        <v>3381</v>
      </c>
      <c r="F5407" s="501" t="s">
        <v>747</v>
      </c>
      <c r="G5407" s="501" t="s">
        <v>748</v>
      </c>
      <c r="H5407" s="501" t="s">
        <v>7746</v>
      </c>
      <c r="I5407" s="501">
        <v>86</v>
      </c>
      <c r="J5407" s="501">
        <v>53</v>
      </c>
      <c r="K5407" s="501">
        <v>0</v>
      </c>
      <c r="L5407" s="501">
        <v>0</v>
      </c>
      <c r="M5407" s="501">
        <v>0</v>
      </c>
      <c r="N5407" s="501">
        <v>0</v>
      </c>
      <c r="O5407" s="506">
        <v>33</v>
      </c>
    </row>
    <row r="5408" spans="1:15" x14ac:dyDescent="0.35">
      <c r="A5408" s="503" t="s">
        <v>1248</v>
      </c>
      <c r="B5408" s="504">
        <v>4706</v>
      </c>
      <c r="C5408" s="504" t="s">
        <v>1089</v>
      </c>
      <c r="D5408" s="504" t="s">
        <v>3392</v>
      </c>
      <c r="E5408" s="504" t="s">
        <v>3381</v>
      </c>
      <c r="F5408" s="504" t="s">
        <v>747</v>
      </c>
      <c r="G5408" s="504" t="s">
        <v>748</v>
      </c>
      <c r="H5408" s="504" t="s">
        <v>7747</v>
      </c>
      <c r="I5408" s="504">
        <v>75</v>
      </c>
      <c r="J5408" s="504">
        <v>0</v>
      </c>
      <c r="K5408" s="504">
        <v>0</v>
      </c>
      <c r="L5408" s="504">
        <v>0</v>
      </c>
      <c r="M5408" s="504">
        <v>75</v>
      </c>
      <c r="N5408" s="504">
        <v>0</v>
      </c>
      <c r="O5408" s="505">
        <v>0</v>
      </c>
    </row>
    <row r="5409" spans="1:15" x14ac:dyDescent="0.35">
      <c r="A5409" s="500" t="s">
        <v>1249</v>
      </c>
      <c r="B5409" s="501">
        <v>4729</v>
      </c>
      <c r="C5409" s="501" t="s">
        <v>1094</v>
      </c>
      <c r="D5409" s="501" t="s">
        <v>3380</v>
      </c>
      <c r="E5409" s="501" t="s">
        <v>3381</v>
      </c>
      <c r="F5409" s="501" t="s">
        <v>747</v>
      </c>
      <c r="G5409" s="501" t="s">
        <v>748</v>
      </c>
      <c r="H5409" s="501" t="s">
        <v>7748</v>
      </c>
      <c r="I5409" s="501">
        <v>4341</v>
      </c>
      <c r="J5409" s="501">
        <v>1819</v>
      </c>
      <c r="K5409" s="501">
        <v>0</v>
      </c>
      <c r="L5409" s="501">
        <v>26</v>
      </c>
      <c r="M5409" s="501">
        <v>71</v>
      </c>
      <c r="N5409" s="501">
        <v>1</v>
      </c>
      <c r="O5409" s="506">
        <v>2425</v>
      </c>
    </row>
    <row r="5410" spans="1:15" x14ac:dyDescent="0.35">
      <c r="A5410" s="503" t="s">
        <v>1252</v>
      </c>
      <c r="B5410" s="504" t="s">
        <v>2875</v>
      </c>
      <c r="C5410" s="504" t="s">
        <v>1089</v>
      </c>
      <c r="D5410" s="504" t="s">
        <v>3392</v>
      </c>
      <c r="E5410" s="504" t="s">
        <v>3381</v>
      </c>
      <c r="F5410" s="504" t="s">
        <v>747</v>
      </c>
      <c r="G5410" s="504" t="s">
        <v>748</v>
      </c>
      <c r="H5410" s="504" t="s">
        <v>7749</v>
      </c>
      <c r="I5410" s="504">
        <v>11</v>
      </c>
      <c r="J5410" s="504">
        <v>0</v>
      </c>
      <c r="K5410" s="504">
        <v>0</v>
      </c>
      <c r="L5410" s="504">
        <v>11</v>
      </c>
      <c r="M5410" s="504">
        <v>0</v>
      </c>
      <c r="N5410" s="504">
        <v>0</v>
      </c>
      <c r="O5410" s="505">
        <v>0</v>
      </c>
    </row>
    <row r="5411" spans="1:15" x14ac:dyDescent="0.35">
      <c r="A5411" s="500" t="s">
        <v>1369</v>
      </c>
      <c r="B5411" s="501" t="s">
        <v>3218</v>
      </c>
      <c r="C5411" s="501" t="s">
        <v>1094</v>
      </c>
      <c r="D5411" s="501" t="s">
        <v>3380</v>
      </c>
      <c r="E5411" s="501" t="s">
        <v>3381</v>
      </c>
      <c r="F5411" s="501" t="s">
        <v>747</v>
      </c>
      <c r="G5411" s="501" t="s">
        <v>748</v>
      </c>
      <c r="H5411" s="501" t="s">
        <v>7750</v>
      </c>
      <c r="I5411" s="501">
        <v>56</v>
      </c>
      <c r="J5411" s="501">
        <v>45</v>
      </c>
      <c r="K5411" s="501">
        <v>0</v>
      </c>
      <c r="L5411" s="501">
        <v>0</v>
      </c>
      <c r="M5411" s="501">
        <v>0</v>
      </c>
      <c r="N5411" s="501">
        <v>0</v>
      </c>
      <c r="O5411" s="506">
        <v>11</v>
      </c>
    </row>
    <row r="5412" spans="1:15" x14ac:dyDescent="0.35">
      <c r="A5412" s="503" t="s">
        <v>1156</v>
      </c>
      <c r="B5412" s="504" t="s">
        <v>3310</v>
      </c>
      <c r="C5412" s="504" t="s">
        <v>1094</v>
      </c>
      <c r="D5412" s="504" t="s">
        <v>3380</v>
      </c>
      <c r="E5412" s="504" t="s">
        <v>3381</v>
      </c>
      <c r="F5412" s="504" t="s">
        <v>747</v>
      </c>
      <c r="G5412" s="504" t="s">
        <v>748</v>
      </c>
      <c r="H5412" s="504" t="s">
        <v>7711</v>
      </c>
      <c r="I5412" s="504">
        <v>1236</v>
      </c>
      <c r="J5412" s="504">
        <v>697</v>
      </c>
      <c r="K5412" s="504">
        <v>100</v>
      </c>
      <c r="L5412" s="504">
        <v>28</v>
      </c>
      <c r="M5412" s="504">
        <v>0</v>
      </c>
      <c r="N5412" s="504">
        <v>0</v>
      </c>
      <c r="O5412" s="505">
        <v>411</v>
      </c>
    </row>
    <row r="5413" spans="1:15" x14ac:dyDescent="0.35">
      <c r="A5413" s="500" t="s">
        <v>1385</v>
      </c>
      <c r="B5413" s="501" t="s">
        <v>3249</v>
      </c>
      <c r="C5413" s="501" t="s">
        <v>1094</v>
      </c>
      <c r="D5413" s="501" t="s">
        <v>3380</v>
      </c>
      <c r="E5413" s="501" t="s">
        <v>3381</v>
      </c>
      <c r="F5413" s="501" t="s">
        <v>749</v>
      </c>
      <c r="G5413" s="501" t="s">
        <v>750</v>
      </c>
      <c r="H5413" s="501" t="s">
        <v>7751</v>
      </c>
      <c r="I5413" s="501">
        <v>14</v>
      </c>
      <c r="J5413" s="501">
        <v>11</v>
      </c>
      <c r="K5413" s="501">
        <v>0</v>
      </c>
      <c r="L5413" s="501">
        <v>0</v>
      </c>
      <c r="M5413" s="501">
        <v>0</v>
      </c>
      <c r="N5413" s="501">
        <v>0</v>
      </c>
      <c r="O5413" s="506">
        <v>3</v>
      </c>
    </row>
    <row r="5414" spans="1:15" x14ac:dyDescent="0.35">
      <c r="A5414" s="503" t="s">
        <v>1386</v>
      </c>
      <c r="B5414" s="504" t="s">
        <v>3331</v>
      </c>
      <c r="C5414" s="504" t="s">
        <v>1094</v>
      </c>
      <c r="D5414" s="504" t="s">
        <v>3380</v>
      </c>
      <c r="E5414" s="504" t="s">
        <v>3381</v>
      </c>
      <c r="F5414" s="504" t="s">
        <v>749</v>
      </c>
      <c r="G5414" s="504" t="s">
        <v>750</v>
      </c>
      <c r="H5414" s="504" t="s">
        <v>7752</v>
      </c>
      <c r="I5414" s="504">
        <v>66</v>
      </c>
      <c r="J5414" s="504">
        <v>35</v>
      </c>
      <c r="K5414" s="504">
        <v>0</v>
      </c>
      <c r="L5414" s="504">
        <v>0</v>
      </c>
      <c r="M5414" s="504">
        <v>0</v>
      </c>
      <c r="N5414" s="504">
        <v>0</v>
      </c>
      <c r="O5414" s="505">
        <v>31</v>
      </c>
    </row>
    <row r="5415" spans="1:15" x14ac:dyDescent="0.35">
      <c r="A5415" s="500" t="s">
        <v>1091</v>
      </c>
      <c r="B5415" s="501" t="s">
        <v>3288</v>
      </c>
      <c r="C5415" s="501" t="s">
        <v>1089</v>
      </c>
      <c r="D5415" s="501" t="s">
        <v>3392</v>
      </c>
      <c r="E5415" s="501" t="s">
        <v>3381</v>
      </c>
      <c r="F5415" s="501" t="s">
        <v>749</v>
      </c>
      <c r="G5415" s="501" t="s">
        <v>750</v>
      </c>
      <c r="H5415" s="501" t="s">
        <v>7753</v>
      </c>
      <c r="I5415" s="501">
        <v>21</v>
      </c>
      <c r="J5415" s="501">
        <v>0</v>
      </c>
      <c r="K5415" s="501">
        <v>0</v>
      </c>
      <c r="L5415" s="501">
        <v>21</v>
      </c>
      <c r="M5415" s="501">
        <v>0</v>
      </c>
      <c r="N5415" s="501">
        <v>0</v>
      </c>
      <c r="O5415" s="506">
        <v>0</v>
      </c>
    </row>
    <row r="5416" spans="1:15" x14ac:dyDescent="0.35">
      <c r="A5416" s="503" t="s">
        <v>1093</v>
      </c>
      <c r="B5416" s="504" t="s">
        <v>3248</v>
      </c>
      <c r="C5416" s="504" t="s">
        <v>1094</v>
      </c>
      <c r="D5416" s="504" t="s">
        <v>3380</v>
      </c>
      <c r="E5416" s="504" t="s">
        <v>3381</v>
      </c>
      <c r="F5416" s="504" t="s">
        <v>749</v>
      </c>
      <c r="G5416" s="504" t="s">
        <v>750</v>
      </c>
      <c r="H5416" s="504" t="s">
        <v>7754</v>
      </c>
      <c r="I5416" s="504">
        <v>4</v>
      </c>
      <c r="J5416" s="504">
        <v>0</v>
      </c>
      <c r="K5416" s="504">
        <v>0</v>
      </c>
      <c r="L5416" s="504">
        <v>0</v>
      </c>
      <c r="M5416" s="504">
        <v>0</v>
      </c>
      <c r="N5416" s="504">
        <v>0</v>
      </c>
      <c r="O5416" s="505">
        <v>4</v>
      </c>
    </row>
    <row r="5417" spans="1:15" x14ac:dyDescent="0.35">
      <c r="A5417" s="500" t="s">
        <v>1096</v>
      </c>
      <c r="B5417" s="501" t="s">
        <v>3326</v>
      </c>
      <c r="C5417" s="501" t="s">
        <v>1094</v>
      </c>
      <c r="D5417" s="501" t="s">
        <v>3380</v>
      </c>
      <c r="E5417" s="501" t="s">
        <v>3381</v>
      </c>
      <c r="F5417" s="501" t="s">
        <v>749</v>
      </c>
      <c r="G5417" s="501" t="s">
        <v>750</v>
      </c>
      <c r="H5417" s="501" t="s">
        <v>7755</v>
      </c>
      <c r="I5417" s="501">
        <v>21</v>
      </c>
      <c r="J5417" s="501">
        <v>0</v>
      </c>
      <c r="K5417" s="501">
        <v>0</v>
      </c>
      <c r="L5417" s="501">
        <v>0</v>
      </c>
      <c r="M5417" s="501">
        <v>21</v>
      </c>
      <c r="N5417" s="501">
        <v>0</v>
      </c>
      <c r="O5417" s="506">
        <v>0</v>
      </c>
    </row>
    <row r="5418" spans="1:15" x14ac:dyDescent="0.35">
      <c r="A5418" s="503" t="s">
        <v>11363</v>
      </c>
      <c r="B5418" s="504">
        <v>4718</v>
      </c>
      <c r="C5418" s="504" t="s">
        <v>1094</v>
      </c>
      <c r="D5418" s="504" t="s">
        <v>3380</v>
      </c>
      <c r="E5418" s="504" t="s">
        <v>3381</v>
      </c>
      <c r="F5418" s="504" t="s">
        <v>749</v>
      </c>
      <c r="G5418" s="504" t="s">
        <v>750</v>
      </c>
      <c r="H5418" s="504" t="s">
        <v>11565</v>
      </c>
      <c r="I5418" s="504">
        <v>8</v>
      </c>
      <c r="J5418" s="504">
        <v>0</v>
      </c>
      <c r="K5418" s="504">
        <v>0</v>
      </c>
      <c r="L5418" s="504">
        <v>8</v>
      </c>
      <c r="M5418" s="504">
        <v>0</v>
      </c>
      <c r="N5418" s="504">
        <v>0</v>
      </c>
      <c r="O5418" s="505">
        <v>0</v>
      </c>
    </row>
    <row r="5419" spans="1:15" x14ac:dyDescent="0.35">
      <c r="A5419" s="500" t="s">
        <v>1100</v>
      </c>
      <c r="B5419" s="501">
        <v>4865</v>
      </c>
      <c r="C5419" s="501" t="s">
        <v>1094</v>
      </c>
      <c r="D5419" s="501" t="s">
        <v>3380</v>
      </c>
      <c r="E5419" s="501" t="s">
        <v>3381</v>
      </c>
      <c r="F5419" s="501" t="s">
        <v>749</v>
      </c>
      <c r="G5419" s="501" t="s">
        <v>750</v>
      </c>
      <c r="H5419" s="501" t="s">
        <v>7756</v>
      </c>
      <c r="I5419" s="501">
        <v>3646</v>
      </c>
      <c r="J5419" s="501">
        <v>3004</v>
      </c>
      <c r="K5419" s="501">
        <v>0</v>
      </c>
      <c r="L5419" s="501">
        <v>3</v>
      </c>
      <c r="M5419" s="501">
        <v>534</v>
      </c>
      <c r="N5419" s="501">
        <v>0</v>
      </c>
      <c r="O5419" s="506">
        <v>105</v>
      </c>
    </row>
    <row r="5420" spans="1:15" x14ac:dyDescent="0.35">
      <c r="A5420" s="503" t="s">
        <v>1824</v>
      </c>
      <c r="B5420" s="504" t="s">
        <v>2514</v>
      </c>
      <c r="C5420" s="504" t="s">
        <v>1089</v>
      </c>
      <c r="D5420" s="504" t="s">
        <v>3392</v>
      </c>
      <c r="E5420" s="504" t="s">
        <v>3381</v>
      </c>
      <c r="F5420" s="504" t="s">
        <v>749</v>
      </c>
      <c r="G5420" s="504" t="s">
        <v>750</v>
      </c>
      <c r="H5420" s="504" t="s">
        <v>7757</v>
      </c>
      <c r="I5420" s="504">
        <v>20</v>
      </c>
      <c r="J5420" s="504">
        <v>0</v>
      </c>
      <c r="K5420" s="504">
        <v>0</v>
      </c>
      <c r="L5420" s="504">
        <v>20</v>
      </c>
      <c r="M5420" s="504">
        <v>0</v>
      </c>
      <c r="N5420" s="504">
        <v>0</v>
      </c>
      <c r="O5420" s="505">
        <v>0</v>
      </c>
    </row>
    <row r="5421" spans="1:15" x14ac:dyDescent="0.35">
      <c r="A5421" s="500" t="s">
        <v>1175</v>
      </c>
      <c r="B5421" s="501" t="s">
        <v>3141</v>
      </c>
      <c r="C5421" s="501" t="s">
        <v>1094</v>
      </c>
      <c r="D5421" s="501" t="s">
        <v>3380</v>
      </c>
      <c r="E5421" s="501" t="s">
        <v>3381</v>
      </c>
      <c r="F5421" s="501" t="s">
        <v>749</v>
      </c>
      <c r="G5421" s="501" t="s">
        <v>750</v>
      </c>
      <c r="H5421" s="501" t="s">
        <v>7758</v>
      </c>
      <c r="I5421" s="501">
        <v>18</v>
      </c>
      <c r="J5421" s="501">
        <v>11</v>
      </c>
      <c r="K5421" s="501">
        <v>0</v>
      </c>
      <c r="L5421" s="501">
        <v>0</v>
      </c>
      <c r="M5421" s="501">
        <v>0</v>
      </c>
      <c r="N5421" s="501">
        <v>0</v>
      </c>
      <c r="O5421" s="506">
        <v>7</v>
      </c>
    </row>
    <row r="5422" spans="1:15" x14ac:dyDescent="0.35">
      <c r="A5422" s="503" t="s">
        <v>1177</v>
      </c>
      <c r="B5422" s="504">
        <v>4702</v>
      </c>
      <c r="C5422" s="504" t="s">
        <v>1089</v>
      </c>
      <c r="D5422" s="504" t="s">
        <v>3392</v>
      </c>
      <c r="E5422" s="504" t="s">
        <v>3381</v>
      </c>
      <c r="F5422" s="504" t="s">
        <v>749</v>
      </c>
      <c r="G5422" s="504" t="s">
        <v>750</v>
      </c>
      <c r="H5422" s="504" t="s">
        <v>7759</v>
      </c>
      <c r="I5422" s="504">
        <v>5</v>
      </c>
      <c r="J5422" s="504">
        <v>0</v>
      </c>
      <c r="K5422" s="504">
        <v>0</v>
      </c>
      <c r="L5422" s="504">
        <v>5</v>
      </c>
      <c r="M5422" s="504">
        <v>0</v>
      </c>
      <c r="N5422" s="504">
        <v>0</v>
      </c>
      <c r="O5422" s="505">
        <v>0</v>
      </c>
    </row>
    <row r="5423" spans="1:15" x14ac:dyDescent="0.35">
      <c r="A5423" s="500" t="s">
        <v>1105</v>
      </c>
      <c r="B5423" s="501">
        <v>4668</v>
      </c>
      <c r="C5423" s="501" t="s">
        <v>1094</v>
      </c>
      <c r="D5423" s="501" t="s">
        <v>3380</v>
      </c>
      <c r="E5423" s="501" t="s">
        <v>3381</v>
      </c>
      <c r="F5423" s="501" t="s">
        <v>749</v>
      </c>
      <c r="G5423" s="501" t="s">
        <v>750</v>
      </c>
      <c r="H5423" s="501" t="s">
        <v>7760</v>
      </c>
      <c r="I5423" s="501">
        <v>7</v>
      </c>
      <c r="J5423" s="501">
        <v>0</v>
      </c>
      <c r="K5423" s="501">
        <v>0</v>
      </c>
      <c r="L5423" s="501">
        <v>0</v>
      </c>
      <c r="M5423" s="501">
        <v>0</v>
      </c>
      <c r="N5423" s="501">
        <v>0</v>
      </c>
      <c r="O5423" s="506">
        <v>7</v>
      </c>
    </row>
    <row r="5424" spans="1:15" x14ac:dyDescent="0.35">
      <c r="A5424" s="503" t="s">
        <v>1107</v>
      </c>
      <c r="B5424" s="504" t="s">
        <v>3109</v>
      </c>
      <c r="C5424" s="504" t="s">
        <v>1094</v>
      </c>
      <c r="D5424" s="504" t="s">
        <v>3380</v>
      </c>
      <c r="E5424" s="504" t="s">
        <v>3381</v>
      </c>
      <c r="F5424" s="504" t="s">
        <v>749</v>
      </c>
      <c r="G5424" s="504" t="s">
        <v>750</v>
      </c>
      <c r="H5424" s="504" t="s">
        <v>7761</v>
      </c>
      <c r="I5424" s="504">
        <v>27</v>
      </c>
      <c r="J5424" s="504">
        <v>0</v>
      </c>
      <c r="K5424" s="504">
        <v>0</v>
      </c>
      <c r="L5424" s="504">
        <v>27</v>
      </c>
      <c r="M5424" s="504">
        <v>0</v>
      </c>
      <c r="N5424" s="504">
        <v>1</v>
      </c>
      <c r="O5424" s="505">
        <v>0</v>
      </c>
    </row>
    <row r="5425" spans="1:15" x14ac:dyDescent="0.35">
      <c r="A5425" s="500" t="s">
        <v>1202</v>
      </c>
      <c r="B5425" s="501" t="s">
        <v>3217</v>
      </c>
      <c r="C5425" s="501" t="s">
        <v>1094</v>
      </c>
      <c r="D5425" s="501" t="s">
        <v>3380</v>
      </c>
      <c r="E5425" s="501" t="s">
        <v>3381</v>
      </c>
      <c r="F5425" s="501" t="s">
        <v>749</v>
      </c>
      <c r="G5425" s="501" t="s">
        <v>750</v>
      </c>
      <c r="H5425" s="501" t="s">
        <v>7762</v>
      </c>
      <c r="I5425" s="501">
        <v>61</v>
      </c>
      <c r="J5425" s="501">
        <v>55</v>
      </c>
      <c r="K5425" s="501">
        <v>0</v>
      </c>
      <c r="L5425" s="501">
        <v>0</v>
      </c>
      <c r="M5425" s="501">
        <v>0</v>
      </c>
      <c r="N5425" s="501">
        <v>0</v>
      </c>
      <c r="O5425" s="506">
        <v>6</v>
      </c>
    </row>
    <row r="5426" spans="1:15" x14ac:dyDescent="0.35">
      <c r="A5426" s="503" t="s">
        <v>1112</v>
      </c>
      <c r="B5426" s="504" t="s">
        <v>3008</v>
      </c>
      <c r="C5426" s="504" t="s">
        <v>1094</v>
      </c>
      <c r="D5426" s="504" t="s">
        <v>3380</v>
      </c>
      <c r="E5426" s="504" t="s">
        <v>3381</v>
      </c>
      <c r="F5426" s="504" t="s">
        <v>749</v>
      </c>
      <c r="G5426" s="504" t="s">
        <v>750</v>
      </c>
      <c r="H5426" s="504" t="s">
        <v>7763</v>
      </c>
      <c r="I5426" s="504">
        <v>74</v>
      </c>
      <c r="J5426" s="504">
        <v>17</v>
      </c>
      <c r="K5426" s="504">
        <v>0</v>
      </c>
      <c r="L5426" s="504">
        <v>0</v>
      </c>
      <c r="M5426" s="504">
        <v>0</v>
      </c>
      <c r="N5426" s="504">
        <v>0</v>
      </c>
      <c r="O5426" s="505">
        <v>57</v>
      </c>
    </row>
    <row r="5427" spans="1:15" x14ac:dyDescent="0.35">
      <c r="A5427" s="500" t="s">
        <v>1501</v>
      </c>
      <c r="B5427" s="501" t="s">
        <v>2956</v>
      </c>
      <c r="C5427" s="501" t="s">
        <v>1094</v>
      </c>
      <c r="D5427" s="501" t="s">
        <v>3380</v>
      </c>
      <c r="E5427" s="501" t="s">
        <v>3381</v>
      </c>
      <c r="F5427" s="501" t="s">
        <v>749</v>
      </c>
      <c r="G5427" s="501" t="s">
        <v>750</v>
      </c>
      <c r="H5427" s="501" t="s">
        <v>7764</v>
      </c>
      <c r="I5427" s="501">
        <v>442</v>
      </c>
      <c r="J5427" s="501">
        <v>335</v>
      </c>
      <c r="K5427" s="501">
        <v>0</v>
      </c>
      <c r="L5427" s="501">
        <v>19</v>
      </c>
      <c r="M5427" s="501">
        <v>45</v>
      </c>
      <c r="N5427" s="501">
        <v>0</v>
      </c>
      <c r="O5427" s="506">
        <v>43</v>
      </c>
    </row>
    <row r="5428" spans="1:15" x14ac:dyDescent="0.35">
      <c r="A5428" s="503" t="s">
        <v>1120</v>
      </c>
      <c r="B5428" s="504" t="s">
        <v>3362</v>
      </c>
      <c r="C5428" s="504" t="s">
        <v>1094</v>
      </c>
      <c r="D5428" s="504" t="s">
        <v>3380</v>
      </c>
      <c r="E5428" s="504" t="s">
        <v>3381</v>
      </c>
      <c r="F5428" s="504" t="s">
        <v>749</v>
      </c>
      <c r="G5428" s="504" t="s">
        <v>750</v>
      </c>
      <c r="H5428" s="504" t="s">
        <v>7765</v>
      </c>
      <c r="I5428" s="504">
        <v>7</v>
      </c>
      <c r="J5428" s="504">
        <v>0</v>
      </c>
      <c r="K5428" s="504">
        <v>0</v>
      </c>
      <c r="L5428" s="504">
        <v>0</v>
      </c>
      <c r="M5428" s="504">
        <v>0</v>
      </c>
      <c r="N5428" s="504">
        <v>0</v>
      </c>
      <c r="O5428" s="505">
        <v>7</v>
      </c>
    </row>
    <row r="5429" spans="1:15" x14ac:dyDescent="0.35">
      <c r="A5429" s="500" t="s">
        <v>1871</v>
      </c>
      <c r="B5429" s="501" t="s">
        <v>2962</v>
      </c>
      <c r="C5429" s="501" t="s">
        <v>1089</v>
      </c>
      <c r="D5429" s="501" t="s">
        <v>3392</v>
      </c>
      <c r="E5429" s="501" t="s">
        <v>3381</v>
      </c>
      <c r="F5429" s="501" t="s">
        <v>749</v>
      </c>
      <c r="G5429" s="501" t="s">
        <v>750</v>
      </c>
      <c r="H5429" s="501" t="s">
        <v>7766</v>
      </c>
      <c r="I5429" s="501">
        <v>15</v>
      </c>
      <c r="J5429" s="501">
        <v>3</v>
      </c>
      <c r="K5429" s="501">
        <v>0</v>
      </c>
      <c r="L5429" s="501">
        <v>0</v>
      </c>
      <c r="M5429" s="501">
        <v>12</v>
      </c>
      <c r="N5429" s="501">
        <v>0</v>
      </c>
      <c r="O5429" s="506">
        <v>0</v>
      </c>
    </row>
    <row r="5430" spans="1:15" x14ac:dyDescent="0.35">
      <c r="A5430" s="503" t="s">
        <v>1220</v>
      </c>
      <c r="B5430" s="504">
        <v>4849</v>
      </c>
      <c r="C5430" s="504" t="s">
        <v>1094</v>
      </c>
      <c r="D5430" s="504" t="s">
        <v>3380</v>
      </c>
      <c r="E5430" s="504" t="s">
        <v>3381</v>
      </c>
      <c r="F5430" s="504" t="s">
        <v>749</v>
      </c>
      <c r="G5430" s="504" t="s">
        <v>750</v>
      </c>
      <c r="H5430" s="504" t="s">
        <v>7767</v>
      </c>
      <c r="I5430" s="504">
        <v>20</v>
      </c>
      <c r="J5430" s="504">
        <v>20</v>
      </c>
      <c r="K5430" s="504">
        <v>0</v>
      </c>
      <c r="L5430" s="504">
        <v>0</v>
      </c>
      <c r="M5430" s="504">
        <v>0</v>
      </c>
      <c r="N5430" s="504">
        <v>0</v>
      </c>
      <c r="O5430" s="505">
        <v>0</v>
      </c>
    </row>
    <row r="5431" spans="1:15" x14ac:dyDescent="0.35">
      <c r="A5431" s="500" t="s">
        <v>1536</v>
      </c>
      <c r="B5431" s="501" t="s">
        <v>3178</v>
      </c>
      <c r="C5431" s="501" t="s">
        <v>1094</v>
      </c>
      <c r="D5431" s="501" t="s">
        <v>3380</v>
      </c>
      <c r="E5431" s="501" t="s">
        <v>3381</v>
      </c>
      <c r="F5431" s="501" t="s">
        <v>749</v>
      </c>
      <c r="G5431" s="501" t="s">
        <v>750</v>
      </c>
      <c r="H5431" s="501" t="s">
        <v>7768</v>
      </c>
      <c r="I5431" s="501">
        <v>41</v>
      </c>
      <c r="J5431" s="501">
        <v>22</v>
      </c>
      <c r="K5431" s="501">
        <v>11</v>
      </c>
      <c r="L5431" s="501">
        <v>0</v>
      </c>
      <c r="M5431" s="501">
        <v>0</v>
      </c>
      <c r="N5431" s="501">
        <v>0</v>
      </c>
      <c r="O5431" s="506">
        <v>8</v>
      </c>
    </row>
    <row r="5432" spans="1:15" x14ac:dyDescent="0.35">
      <c r="A5432" s="503" t="s">
        <v>1124</v>
      </c>
      <c r="B5432" s="504">
        <v>4745</v>
      </c>
      <c r="C5432" s="504" t="s">
        <v>1094</v>
      </c>
      <c r="D5432" s="504" t="s">
        <v>3380</v>
      </c>
      <c r="E5432" s="504" t="s">
        <v>3381</v>
      </c>
      <c r="F5432" s="504" t="s">
        <v>749</v>
      </c>
      <c r="G5432" s="504" t="s">
        <v>750</v>
      </c>
      <c r="H5432" s="504" t="s">
        <v>7769</v>
      </c>
      <c r="I5432" s="504">
        <v>12</v>
      </c>
      <c r="J5432" s="504">
        <v>0</v>
      </c>
      <c r="K5432" s="504">
        <v>0</v>
      </c>
      <c r="L5432" s="504">
        <v>12</v>
      </c>
      <c r="M5432" s="504">
        <v>0</v>
      </c>
      <c r="N5432" s="504">
        <v>0</v>
      </c>
      <c r="O5432" s="505">
        <v>0</v>
      </c>
    </row>
    <row r="5433" spans="1:15" x14ac:dyDescent="0.35">
      <c r="A5433" s="500" t="s">
        <v>1887</v>
      </c>
      <c r="B5433" s="501" t="s">
        <v>3320</v>
      </c>
      <c r="C5433" s="501" t="s">
        <v>1094</v>
      </c>
      <c r="D5433" s="501" t="s">
        <v>3380</v>
      </c>
      <c r="E5433" s="501" t="s">
        <v>3381</v>
      </c>
      <c r="F5433" s="501" t="s">
        <v>749</v>
      </c>
      <c r="G5433" s="501" t="s">
        <v>750</v>
      </c>
      <c r="H5433" s="501" t="s">
        <v>7770</v>
      </c>
      <c r="I5433" s="501">
        <v>4</v>
      </c>
      <c r="J5433" s="501">
        <v>2</v>
      </c>
      <c r="K5433" s="501">
        <v>0</v>
      </c>
      <c r="L5433" s="501">
        <v>0</v>
      </c>
      <c r="M5433" s="501">
        <v>0</v>
      </c>
      <c r="N5433" s="501">
        <v>0</v>
      </c>
      <c r="O5433" s="506">
        <v>2</v>
      </c>
    </row>
    <row r="5434" spans="1:15" x14ac:dyDescent="0.35">
      <c r="A5434" s="503" t="s">
        <v>1540</v>
      </c>
      <c r="B5434" s="504" t="s">
        <v>3271</v>
      </c>
      <c r="C5434" s="504" t="s">
        <v>1089</v>
      </c>
      <c r="D5434" s="504" t="s">
        <v>3392</v>
      </c>
      <c r="E5434" s="504" t="s">
        <v>3381</v>
      </c>
      <c r="F5434" s="504" t="s">
        <v>749</v>
      </c>
      <c r="G5434" s="504" t="s">
        <v>750</v>
      </c>
      <c r="H5434" s="504" t="s">
        <v>14856</v>
      </c>
      <c r="I5434" s="504">
        <v>2</v>
      </c>
      <c r="J5434" s="504">
        <v>2</v>
      </c>
      <c r="K5434" s="504">
        <v>0</v>
      </c>
      <c r="L5434" s="504">
        <v>0</v>
      </c>
      <c r="M5434" s="504">
        <v>0</v>
      </c>
      <c r="N5434" s="504">
        <v>0</v>
      </c>
      <c r="O5434" s="505">
        <v>0</v>
      </c>
    </row>
    <row r="5435" spans="1:15" x14ac:dyDescent="0.35">
      <c r="A5435" s="500" t="s">
        <v>1130</v>
      </c>
      <c r="B5435" s="501" t="s">
        <v>3234</v>
      </c>
      <c r="C5435" s="501" t="s">
        <v>1094</v>
      </c>
      <c r="D5435" s="501" t="s">
        <v>3380</v>
      </c>
      <c r="E5435" s="501" t="s">
        <v>3381</v>
      </c>
      <c r="F5435" s="501" t="s">
        <v>749</v>
      </c>
      <c r="G5435" s="501" t="s">
        <v>750</v>
      </c>
      <c r="H5435" s="501" t="s">
        <v>7771</v>
      </c>
      <c r="I5435" s="501">
        <v>52</v>
      </c>
      <c r="J5435" s="501">
        <v>17</v>
      </c>
      <c r="K5435" s="501">
        <v>0</v>
      </c>
      <c r="L5435" s="501">
        <v>0</v>
      </c>
      <c r="M5435" s="501">
        <v>17</v>
      </c>
      <c r="N5435" s="501">
        <v>0</v>
      </c>
      <c r="O5435" s="506">
        <v>18</v>
      </c>
    </row>
    <row r="5436" spans="1:15" x14ac:dyDescent="0.35">
      <c r="A5436" s="503" t="s">
        <v>1132</v>
      </c>
      <c r="B5436" s="504">
        <v>4837</v>
      </c>
      <c r="C5436" s="504" t="s">
        <v>1094</v>
      </c>
      <c r="D5436" s="504" t="s">
        <v>3380</v>
      </c>
      <c r="E5436" s="504" t="s">
        <v>3381</v>
      </c>
      <c r="F5436" s="504" t="s">
        <v>749</v>
      </c>
      <c r="G5436" s="504" t="s">
        <v>750</v>
      </c>
      <c r="H5436" s="504" t="s">
        <v>7772</v>
      </c>
      <c r="I5436" s="504">
        <v>1</v>
      </c>
      <c r="J5436" s="504">
        <v>0</v>
      </c>
      <c r="K5436" s="504">
        <v>0</v>
      </c>
      <c r="L5436" s="504">
        <v>0</v>
      </c>
      <c r="M5436" s="504">
        <v>0</v>
      </c>
      <c r="N5436" s="504">
        <v>0</v>
      </c>
      <c r="O5436" s="505">
        <v>1</v>
      </c>
    </row>
    <row r="5437" spans="1:15" x14ac:dyDescent="0.35">
      <c r="A5437" s="500" t="s">
        <v>1358</v>
      </c>
      <c r="B5437" s="501" t="s">
        <v>3293</v>
      </c>
      <c r="C5437" s="501" t="s">
        <v>1089</v>
      </c>
      <c r="D5437" s="501" t="s">
        <v>3392</v>
      </c>
      <c r="E5437" s="501" t="s">
        <v>3381</v>
      </c>
      <c r="F5437" s="501" t="s">
        <v>749</v>
      </c>
      <c r="G5437" s="501" t="s">
        <v>750</v>
      </c>
      <c r="H5437" s="501" t="s">
        <v>7773</v>
      </c>
      <c r="I5437" s="501">
        <v>5</v>
      </c>
      <c r="J5437" s="501">
        <v>0</v>
      </c>
      <c r="K5437" s="501">
        <v>0</v>
      </c>
      <c r="L5437" s="501">
        <v>5</v>
      </c>
      <c r="M5437" s="501">
        <v>0</v>
      </c>
      <c r="N5437" s="501">
        <v>0</v>
      </c>
      <c r="O5437" s="506">
        <v>0</v>
      </c>
    </row>
    <row r="5438" spans="1:15" x14ac:dyDescent="0.35">
      <c r="A5438" s="503" t="s">
        <v>1920</v>
      </c>
      <c r="B5438" s="504" t="s">
        <v>2919</v>
      </c>
      <c r="C5438" s="504" t="s">
        <v>1089</v>
      </c>
      <c r="D5438" s="504" t="s">
        <v>3392</v>
      </c>
      <c r="E5438" s="504" t="s">
        <v>3381</v>
      </c>
      <c r="F5438" s="504" t="s">
        <v>749</v>
      </c>
      <c r="G5438" s="504" t="s">
        <v>750</v>
      </c>
      <c r="H5438" s="504" t="s">
        <v>7774</v>
      </c>
      <c r="I5438" s="504">
        <v>62</v>
      </c>
      <c r="J5438" s="504">
        <v>0</v>
      </c>
      <c r="K5438" s="504">
        <v>0</v>
      </c>
      <c r="L5438" s="504">
        <v>62</v>
      </c>
      <c r="M5438" s="504">
        <v>0</v>
      </c>
      <c r="N5438" s="504">
        <v>0</v>
      </c>
      <c r="O5438" s="505">
        <v>0</v>
      </c>
    </row>
    <row r="5439" spans="1:15" x14ac:dyDescent="0.35">
      <c r="A5439" s="500" t="s">
        <v>1253</v>
      </c>
      <c r="B5439" s="501" t="s">
        <v>3232</v>
      </c>
      <c r="C5439" s="501" t="s">
        <v>1094</v>
      </c>
      <c r="D5439" s="501" t="s">
        <v>3380</v>
      </c>
      <c r="E5439" s="501" t="s">
        <v>3381</v>
      </c>
      <c r="F5439" s="501" t="s">
        <v>749</v>
      </c>
      <c r="G5439" s="501" t="s">
        <v>750</v>
      </c>
      <c r="H5439" s="501" t="s">
        <v>7775</v>
      </c>
      <c r="I5439" s="501">
        <v>9</v>
      </c>
      <c r="J5439" s="501">
        <v>0</v>
      </c>
      <c r="K5439" s="501">
        <v>0</v>
      </c>
      <c r="L5439" s="501">
        <v>9</v>
      </c>
      <c r="M5439" s="501">
        <v>0</v>
      </c>
      <c r="N5439" s="501">
        <v>0</v>
      </c>
      <c r="O5439" s="506">
        <v>0</v>
      </c>
    </row>
    <row r="5440" spans="1:15" x14ac:dyDescent="0.35">
      <c r="A5440" s="503" t="s">
        <v>1928</v>
      </c>
      <c r="B5440" s="504" t="s">
        <v>3167</v>
      </c>
      <c r="C5440" s="504" t="s">
        <v>1094</v>
      </c>
      <c r="D5440" s="504" t="s">
        <v>3380</v>
      </c>
      <c r="E5440" s="504" t="s">
        <v>3381</v>
      </c>
      <c r="F5440" s="504" t="s">
        <v>749</v>
      </c>
      <c r="G5440" s="504" t="s">
        <v>750</v>
      </c>
      <c r="H5440" s="504" t="s">
        <v>7776</v>
      </c>
      <c r="I5440" s="504">
        <v>3</v>
      </c>
      <c r="J5440" s="504">
        <v>0</v>
      </c>
      <c r="K5440" s="504">
        <v>0</v>
      </c>
      <c r="L5440" s="504">
        <v>0</v>
      </c>
      <c r="M5440" s="504">
        <v>0</v>
      </c>
      <c r="N5440" s="504">
        <v>0</v>
      </c>
      <c r="O5440" s="505">
        <v>3</v>
      </c>
    </row>
    <row r="5441" spans="1:15" x14ac:dyDescent="0.35">
      <c r="A5441" s="500" t="s">
        <v>1581</v>
      </c>
      <c r="B5441" s="501" t="s">
        <v>2888</v>
      </c>
      <c r="C5441" s="501" t="s">
        <v>1089</v>
      </c>
      <c r="D5441" s="501" t="s">
        <v>3392</v>
      </c>
      <c r="E5441" s="501" t="s">
        <v>3381</v>
      </c>
      <c r="F5441" s="501" t="s">
        <v>749</v>
      </c>
      <c r="G5441" s="501" t="s">
        <v>750</v>
      </c>
      <c r="H5441" s="501" t="s">
        <v>7777</v>
      </c>
      <c r="I5441" s="501">
        <v>51</v>
      </c>
      <c r="J5441" s="501">
        <v>1</v>
      </c>
      <c r="K5441" s="501">
        <v>0</v>
      </c>
      <c r="L5441" s="501">
        <v>50</v>
      </c>
      <c r="M5441" s="501">
        <v>0</v>
      </c>
      <c r="N5441" s="501">
        <v>0</v>
      </c>
      <c r="O5441" s="506">
        <v>0</v>
      </c>
    </row>
    <row r="5442" spans="1:15" x14ac:dyDescent="0.35">
      <c r="A5442" s="503" t="s">
        <v>1088</v>
      </c>
      <c r="B5442" s="504" t="s">
        <v>2879</v>
      </c>
      <c r="C5442" s="504" t="s">
        <v>1089</v>
      </c>
      <c r="D5442" s="504" t="s">
        <v>3392</v>
      </c>
      <c r="E5442" s="504" t="s">
        <v>3381</v>
      </c>
      <c r="F5442" s="504" t="s">
        <v>1</v>
      </c>
      <c r="G5442" s="504" t="s">
        <v>751</v>
      </c>
      <c r="H5442" s="504" t="s">
        <v>1090</v>
      </c>
      <c r="I5442" s="504">
        <v>10</v>
      </c>
      <c r="J5442" s="504">
        <v>0</v>
      </c>
      <c r="K5442" s="504">
        <v>0</v>
      </c>
      <c r="L5442" s="504">
        <v>0</v>
      </c>
      <c r="M5442" s="504">
        <v>10</v>
      </c>
      <c r="N5442" s="504">
        <v>0</v>
      </c>
      <c r="O5442" s="505">
        <v>0</v>
      </c>
    </row>
    <row r="5443" spans="1:15" x14ac:dyDescent="0.35">
      <c r="A5443" s="500" t="s">
        <v>1091</v>
      </c>
      <c r="B5443" s="501" t="s">
        <v>3288</v>
      </c>
      <c r="C5443" s="501" t="s">
        <v>1089</v>
      </c>
      <c r="D5443" s="501" t="s">
        <v>3392</v>
      </c>
      <c r="E5443" s="501" t="s">
        <v>3381</v>
      </c>
      <c r="F5443" s="501" t="s">
        <v>1</v>
      </c>
      <c r="G5443" s="501" t="s">
        <v>751</v>
      </c>
      <c r="H5443" s="501" t="s">
        <v>1092</v>
      </c>
      <c r="I5443" s="501">
        <v>11</v>
      </c>
      <c r="J5443" s="501">
        <v>0</v>
      </c>
      <c r="K5443" s="501">
        <v>0</v>
      </c>
      <c r="L5443" s="501">
        <v>11</v>
      </c>
      <c r="M5443" s="501">
        <v>0</v>
      </c>
      <c r="N5443" s="501">
        <v>0</v>
      </c>
      <c r="O5443" s="506">
        <v>0</v>
      </c>
    </row>
    <row r="5444" spans="1:15" x14ac:dyDescent="0.35">
      <c r="A5444" s="503" t="s">
        <v>14127</v>
      </c>
      <c r="B5444" s="504" t="s">
        <v>14126</v>
      </c>
      <c r="C5444" s="504" t="s">
        <v>1094</v>
      </c>
      <c r="D5444" s="504" t="s">
        <v>3380</v>
      </c>
      <c r="E5444" s="504" t="s">
        <v>3381</v>
      </c>
      <c r="F5444" s="504" t="s">
        <v>1</v>
      </c>
      <c r="G5444" s="504" t="s">
        <v>751</v>
      </c>
      <c r="H5444" s="504" t="s">
        <v>14857</v>
      </c>
      <c r="I5444" s="504">
        <v>374</v>
      </c>
      <c r="J5444" s="504">
        <v>372</v>
      </c>
      <c r="K5444" s="504">
        <v>0</v>
      </c>
      <c r="L5444" s="504">
        <v>0</v>
      </c>
      <c r="M5444" s="504">
        <v>0</v>
      </c>
      <c r="N5444" s="504">
        <v>0</v>
      </c>
      <c r="O5444" s="505">
        <v>2</v>
      </c>
    </row>
    <row r="5445" spans="1:15" x14ac:dyDescent="0.35">
      <c r="A5445" s="500" t="s">
        <v>1093</v>
      </c>
      <c r="B5445" s="501" t="s">
        <v>3248</v>
      </c>
      <c r="C5445" s="501" t="s">
        <v>1094</v>
      </c>
      <c r="D5445" s="501" t="s">
        <v>3380</v>
      </c>
      <c r="E5445" s="501" t="s">
        <v>3381</v>
      </c>
      <c r="F5445" s="501" t="s">
        <v>1</v>
      </c>
      <c r="G5445" s="501" t="s">
        <v>751</v>
      </c>
      <c r="H5445" s="501" t="s">
        <v>1095</v>
      </c>
      <c r="I5445" s="501">
        <v>16</v>
      </c>
      <c r="J5445" s="501">
        <v>0</v>
      </c>
      <c r="K5445" s="501">
        <v>0</v>
      </c>
      <c r="L5445" s="501">
        <v>1</v>
      </c>
      <c r="M5445" s="501">
        <v>0</v>
      </c>
      <c r="N5445" s="501">
        <v>0</v>
      </c>
      <c r="O5445" s="506">
        <v>15</v>
      </c>
    </row>
    <row r="5446" spans="1:15" x14ac:dyDescent="0.35">
      <c r="A5446" s="503" t="s">
        <v>1096</v>
      </c>
      <c r="B5446" s="504" t="s">
        <v>3326</v>
      </c>
      <c r="C5446" s="504" t="s">
        <v>1094</v>
      </c>
      <c r="D5446" s="504" t="s">
        <v>3380</v>
      </c>
      <c r="E5446" s="504" t="s">
        <v>3381</v>
      </c>
      <c r="F5446" s="504" t="s">
        <v>1</v>
      </c>
      <c r="G5446" s="504" t="s">
        <v>751</v>
      </c>
      <c r="H5446" s="504" t="s">
        <v>1097</v>
      </c>
      <c r="I5446" s="504">
        <v>72</v>
      </c>
      <c r="J5446" s="504">
        <v>0</v>
      </c>
      <c r="K5446" s="504">
        <v>0</v>
      </c>
      <c r="L5446" s="504">
        <v>0</v>
      </c>
      <c r="M5446" s="504">
        <v>72</v>
      </c>
      <c r="N5446" s="504">
        <v>0</v>
      </c>
      <c r="O5446" s="505">
        <v>0</v>
      </c>
    </row>
    <row r="5447" spans="1:15" x14ac:dyDescent="0.35">
      <c r="A5447" s="500" t="s">
        <v>1098</v>
      </c>
      <c r="B5447" s="501">
        <v>4691</v>
      </c>
      <c r="C5447" s="501" t="s">
        <v>1094</v>
      </c>
      <c r="D5447" s="501" t="s">
        <v>3380</v>
      </c>
      <c r="E5447" s="501" t="s">
        <v>3381</v>
      </c>
      <c r="F5447" s="501" t="s">
        <v>1</v>
      </c>
      <c r="G5447" s="501" t="s">
        <v>751</v>
      </c>
      <c r="H5447" s="501" t="s">
        <v>1099</v>
      </c>
      <c r="I5447" s="501">
        <v>20</v>
      </c>
      <c r="J5447" s="501">
        <v>6</v>
      </c>
      <c r="K5447" s="501">
        <v>0</v>
      </c>
      <c r="L5447" s="501">
        <v>0</v>
      </c>
      <c r="M5447" s="501">
        <v>0</v>
      </c>
      <c r="N5447" s="501">
        <v>0</v>
      </c>
      <c r="O5447" s="506">
        <v>14</v>
      </c>
    </row>
    <row r="5448" spans="1:15" x14ac:dyDescent="0.35">
      <c r="A5448" s="503" t="s">
        <v>1100</v>
      </c>
      <c r="B5448" s="504">
        <v>4865</v>
      </c>
      <c r="C5448" s="504" t="s">
        <v>1094</v>
      </c>
      <c r="D5448" s="504" t="s">
        <v>3380</v>
      </c>
      <c r="E5448" s="504" t="s">
        <v>3381</v>
      </c>
      <c r="F5448" s="504" t="s">
        <v>1</v>
      </c>
      <c r="G5448" s="504" t="s">
        <v>751</v>
      </c>
      <c r="H5448" s="504" t="s">
        <v>1101</v>
      </c>
      <c r="I5448" s="504">
        <v>12</v>
      </c>
      <c r="J5448" s="504">
        <v>0</v>
      </c>
      <c r="K5448" s="504">
        <v>0</v>
      </c>
      <c r="L5448" s="504">
        <v>12</v>
      </c>
      <c r="M5448" s="504">
        <v>0</v>
      </c>
      <c r="N5448" s="504">
        <v>0</v>
      </c>
      <c r="O5448" s="505">
        <v>0</v>
      </c>
    </row>
    <row r="5449" spans="1:15" x14ac:dyDescent="0.35">
      <c r="A5449" s="500" t="s">
        <v>1102</v>
      </c>
      <c r="B5449" s="501">
        <v>4663</v>
      </c>
      <c r="C5449" s="501" t="s">
        <v>1089</v>
      </c>
      <c r="D5449" s="501" t="s">
        <v>3392</v>
      </c>
      <c r="E5449" s="501" t="s">
        <v>3381</v>
      </c>
      <c r="F5449" s="501" t="s">
        <v>1</v>
      </c>
      <c r="G5449" s="501" t="s">
        <v>751</v>
      </c>
      <c r="H5449" s="501" t="s">
        <v>1103</v>
      </c>
      <c r="I5449" s="501">
        <v>1</v>
      </c>
      <c r="J5449" s="501">
        <v>0</v>
      </c>
      <c r="K5449" s="501">
        <v>0</v>
      </c>
      <c r="L5449" s="501">
        <v>1</v>
      </c>
      <c r="M5449" s="501">
        <v>0</v>
      </c>
      <c r="N5449" s="501">
        <v>0</v>
      </c>
      <c r="O5449" s="506">
        <v>0</v>
      </c>
    </row>
    <row r="5450" spans="1:15" x14ac:dyDescent="0.35">
      <c r="A5450" s="503" t="s">
        <v>14208</v>
      </c>
      <c r="B5450" s="504">
        <v>4803</v>
      </c>
      <c r="C5450" s="504" t="s">
        <v>1094</v>
      </c>
      <c r="D5450" s="504" t="s">
        <v>3380</v>
      </c>
      <c r="E5450" s="504" t="s">
        <v>3381</v>
      </c>
      <c r="F5450" s="504" t="s">
        <v>1</v>
      </c>
      <c r="G5450" s="504" t="s">
        <v>751</v>
      </c>
      <c r="H5450" s="504" t="s">
        <v>14858</v>
      </c>
      <c r="I5450" s="504">
        <v>27</v>
      </c>
      <c r="J5450" s="504">
        <v>0</v>
      </c>
      <c r="K5450" s="504">
        <v>0</v>
      </c>
      <c r="L5450" s="504">
        <v>27</v>
      </c>
      <c r="M5450" s="504">
        <v>0</v>
      </c>
      <c r="N5450" s="504">
        <v>0</v>
      </c>
      <c r="O5450" s="505">
        <v>0</v>
      </c>
    </row>
    <row r="5451" spans="1:15" x14ac:dyDescent="0.35">
      <c r="A5451" s="500" t="s">
        <v>1105</v>
      </c>
      <c r="B5451" s="501">
        <v>4668</v>
      </c>
      <c r="C5451" s="501" t="s">
        <v>1094</v>
      </c>
      <c r="D5451" s="501" t="s">
        <v>3380</v>
      </c>
      <c r="E5451" s="501" t="s">
        <v>3381</v>
      </c>
      <c r="F5451" s="501" t="s">
        <v>1</v>
      </c>
      <c r="G5451" s="501" t="s">
        <v>751</v>
      </c>
      <c r="H5451" s="501" t="s">
        <v>1106</v>
      </c>
      <c r="I5451" s="501">
        <v>1</v>
      </c>
      <c r="J5451" s="501">
        <v>0</v>
      </c>
      <c r="K5451" s="501">
        <v>0</v>
      </c>
      <c r="L5451" s="501">
        <v>0</v>
      </c>
      <c r="M5451" s="501">
        <v>0</v>
      </c>
      <c r="N5451" s="501">
        <v>0</v>
      </c>
      <c r="O5451" s="506">
        <v>1</v>
      </c>
    </row>
    <row r="5452" spans="1:15" x14ac:dyDescent="0.35">
      <c r="A5452" s="503" t="s">
        <v>1107</v>
      </c>
      <c r="B5452" s="504" t="s">
        <v>3109</v>
      </c>
      <c r="C5452" s="504" t="s">
        <v>1094</v>
      </c>
      <c r="D5452" s="504" t="s">
        <v>3380</v>
      </c>
      <c r="E5452" s="504" t="s">
        <v>3381</v>
      </c>
      <c r="F5452" s="504" t="s">
        <v>1</v>
      </c>
      <c r="G5452" s="504" t="s">
        <v>751</v>
      </c>
      <c r="H5452" s="504" t="s">
        <v>1108</v>
      </c>
      <c r="I5452" s="504">
        <v>36</v>
      </c>
      <c r="J5452" s="504">
        <v>0</v>
      </c>
      <c r="K5452" s="504">
        <v>0</v>
      </c>
      <c r="L5452" s="504">
        <v>36</v>
      </c>
      <c r="M5452" s="504">
        <v>0</v>
      </c>
      <c r="N5452" s="504">
        <v>0</v>
      </c>
      <c r="O5452" s="505">
        <v>0</v>
      </c>
    </row>
    <row r="5453" spans="1:15" x14ac:dyDescent="0.35">
      <c r="A5453" s="500" t="s">
        <v>1109</v>
      </c>
      <c r="B5453" s="501" t="s">
        <v>2959</v>
      </c>
      <c r="C5453" s="501" t="s">
        <v>1094</v>
      </c>
      <c r="D5453" s="501" t="s">
        <v>3380</v>
      </c>
      <c r="E5453" s="501" t="s">
        <v>3381</v>
      </c>
      <c r="F5453" s="501" t="s">
        <v>1</v>
      </c>
      <c r="G5453" s="501" t="s">
        <v>751</v>
      </c>
      <c r="H5453" s="501" t="s">
        <v>1110</v>
      </c>
      <c r="I5453" s="501">
        <v>63</v>
      </c>
      <c r="J5453" s="501">
        <v>0</v>
      </c>
      <c r="K5453" s="501">
        <v>0</v>
      </c>
      <c r="L5453" s="501">
        <v>0</v>
      </c>
      <c r="M5453" s="501">
        <v>63</v>
      </c>
      <c r="N5453" s="501">
        <v>0</v>
      </c>
      <c r="O5453" s="506">
        <v>0</v>
      </c>
    </row>
    <row r="5454" spans="1:15" x14ac:dyDescent="0.35">
      <c r="A5454" s="503" t="s">
        <v>1112</v>
      </c>
      <c r="B5454" s="504" t="s">
        <v>3008</v>
      </c>
      <c r="C5454" s="504" t="s">
        <v>1094</v>
      </c>
      <c r="D5454" s="504" t="s">
        <v>3380</v>
      </c>
      <c r="E5454" s="504" t="s">
        <v>3381</v>
      </c>
      <c r="F5454" s="504" t="s">
        <v>1</v>
      </c>
      <c r="G5454" s="504" t="s">
        <v>751</v>
      </c>
      <c r="H5454" s="504" t="s">
        <v>1113</v>
      </c>
      <c r="I5454" s="504">
        <v>2</v>
      </c>
      <c r="J5454" s="504">
        <v>0</v>
      </c>
      <c r="K5454" s="504">
        <v>0</v>
      </c>
      <c r="L5454" s="504">
        <v>0</v>
      </c>
      <c r="M5454" s="504">
        <v>0</v>
      </c>
      <c r="N5454" s="504">
        <v>0</v>
      </c>
      <c r="O5454" s="505">
        <v>2</v>
      </c>
    </row>
    <row r="5455" spans="1:15" x14ac:dyDescent="0.35">
      <c r="A5455" s="500" t="s">
        <v>1114</v>
      </c>
      <c r="B5455" s="501" t="s">
        <v>2982</v>
      </c>
      <c r="C5455" s="501" t="s">
        <v>1094</v>
      </c>
      <c r="D5455" s="501" t="s">
        <v>3380</v>
      </c>
      <c r="E5455" s="501" t="s">
        <v>3381</v>
      </c>
      <c r="F5455" s="501" t="s">
        <v>1</v>
      </c>
      <c r="G5455" s="501" t="s">
        <v>751</v>
      </c>
      <c r="H5455" s="501" t="s">
        <v>1115</v>
      </c>
      <c r="I5455" s="501">
        <v>1</v>
      </c>
      <c r="J5455" s="501">
        <v>0</v>
      </c>
      <c r="K5455" s="501">
        <v>0</v>
      </c>
      <c r="L5455" s="501">
        <v>0</v>
      </c>
      <c r="M5455" s="501">
        <v>0</v>
      </c>
      <c r="N5455" s="501">
        <v>0</v>
      </c>
      <c r="O5455" s="506">
        <v>1</v>
      </c>
    </row>
    <row r="5456" spans="1:15" x14ac:dyDescent="0.35">
      <c r="A5456" s="503" t="s">
        <v>1116</v>
      </c>
      <c r="B5456" s="504" t="s">
        <v>3042</v>
      </c>
      <c r="C5456" s="504" t="s">
        <v>1089</v>
      </c>
      <c r="D5456" s="504" t="s">
        <v>3392</v>
      </c>
      <c r="E5456" s="504" t="s">
        <v>3381</v>
      </c>
      <c r="F5456" s="504" t="s">
        <v>1</v>
      </c>
      <c r="G5456" s="504" t="s">
        <v>751</v>
      </c>
      <c r="H5456" s="504" t="s">
        <v>1117</v>
      </c>
      <c r="I5456" s="504">
        <v>102</v>
      </c>
      <c r="J5456" s="504">
        <v>0</v>
      </c>
      <c r="K5456" s="504">
        <v>0</v>
      </c>
      <c r="L5456" s="504">
        <v>0</v>
      </c>
      <c r="M5456" s="504">
        <v>102</v>
      </c>
      <c r="N5456" s="504">
        <v>0</v>
      </c>
      <c r="O5456" s="505">
        <v>0</v>
      </c>
    </row>
    <row r="5457" spans="1:15" x14ac:dyDescent="0.35">
      <c r="A5457" s="500" t="s">
        <v>14400</v>
      </c>
      <c r="B5457" s="501">
        <v>4727</v>
      </c>
      <c r="C5457" s="501" t="s">
        <v>1089</v>
      </c>
      <c r="D5457" s="501" t="s">
        <v>3392</v>
      </c>
      <c r="E5457" s="501" t="s">
        <v>3381</v>
      </c>
      <c r="F5457" s="501" t="s">
        <v>1</v>
      </c>
      <c r="G5457" s="501" t="s">
        <v>751</v>
      </c>
      <c r="H5457" s="501" t="s">
        <v>14859</v>
      </c>
      <c r="I5457" s="501">
        <v>2</v>
      </c>
      <c r="J5457" s="501">
        <v>0</v>
      </c>
      <c r="K5457" s="501">
        <v>0</v>
      </c>
      <c r="L5457" s="501">
        <v>2</v>
      </c>
      <c r="M5457" s="501">
        <v>0</v>
      </c>
      <c r="N5457" s="501">
        <v>0</v>
      </c>
      <c r="O5457" s="506">
        <v>0</v>
      </c>
    </row>
    <row r="5458" spans="1:15" x14ac:dyDescent="0.35">
      <c r="A5458" s="503" t="s">
        <v>1118</v>
      </c>
      <c r="B5458" s="504" t="s">
        <v>3123</v>
      </c>
      <c r="C5458" s="504" t="s">
        <v>1089</v>
      </c>
      <c r="D5458" s="504" t="s">
        <v>3392</v>
      </c>
      <c r="E5458" s="504" t="s">
        <v>3381</v>
      </c>
      <c r="F5458" s="504" t="s">
        <v>1</v>
      </c>
      <c r="G5458" s="504" t="s">
        <v>751</v>
      </c>
      <c r="H5458" s="504" t="s">
        <v>1119</v>
      </c>
      <c r="I5458" s="504">
        <v>47</v>
      </c>
      <c r="J5458" s="504">
        <v>47</v>
      </c>
      <c r="K5458" s="504">
        <v>0</v>
      </c>
      <c r="L5458" s="504">
        <v>0</v>
      </c>
      <c r="M5458" s="504">
        <v>0</v>
      </c>
      <c r="N5458" s="504">
        <v>0</v>
      </c>
      <c r="O5458" s="505">
        <v>0</v>
      </c>
    </row>
    <row r="5459" spans="1:15" x14ac:dyDescent="0.35">
      <c r="A5459" s="500" t="s">
        <v>1120</v>
      </c>
      <c r="B5459" s="501" t="s">
        <v>3362</v>
      </c>
      <c r="C5459" s="501" t="s">
        <v>1094</v>
      </c>
      <c r="D5459" s="501" t="s">
        <v>3380</v>
      </c>
      <c r="E5459" s="501" t="s">
        <v>3381</v>
      </c>
      <c r="F5459" s="501" t="s">
        <v>1</v>
      </c>
      <c r="G5459" s="501" t="s">
        <v>751</v>
      </c>
      <c r="H5459" s="501" t="s">
        <v>1121</v>
      </c>
      <c r="I5459" s="501">
        <v>1</v>
      </c>
      <c r="J5459" s="501">
        <v>0</v>
      </c>
      <c r="K5459" s="501">
        <v>0</v>
      </c>
      <c r="L5459" s="501">
        <v>0</v>
      </c>
      <c r="M5459" s="501">
        <v>0</v>
      </c>
      <c r="N5459" s="501">
        <v>0</v>
      </c>
      <c r="O5459" s="506">
        <v>1</v>
      </c>
    </row>
    <row r="5460" spans="1:15" x14ac:dyDescent="0.35">
      <c r="A5460" s="503" t="s">
        <v>1122</v>
      </c>
      <c r="B5460" s="504" t="s">
        <v>2994</v>
      </c>
      <c r="C5460" s="504" t="s">
        <v>1094</v>
      </c>
      <c r="D5460" s="504" t="s">
        <v>3380</v>
      </c>
      <c r="E5460" s="504" t="s">
        <v>3381</v>
      </c>
      <c r="F5460" s="504" t="s">
        <v>1</v>
      </c>
      <c r="G5460" s="504" t="s">
        <v>751</v>
      </c>
      <c r="H5460" s="504" t="s">
        <v>1123</v>
      </c>
      <c r="I5460" s="504">
        <v>61</v>
      </c>
      <c r="J5460" s="504">
        <v>61</v>
      </c>
      <c r="K5460" s="504">
        <v>0</v>
      </c>
      <c r="L5460" s="504">
        <v>0</v>
      </c>
      <c r="M5460" s="504">
        <v>0</v>
      </c>
      <c r="N5460" s="504">
        <v>0</v>
      </c>
      <c r="O5460" s="505">
        <v>0</v>
      </c>
    </row>
    <row r="5461" spans="1:15" x14ac:dyDescent="0.35">
      <c r="A5461" s="500" t="s">
        <v>1124</v>
      </c>
      <c r="B5461" s="501">
        <v>4745</v>
      </c>
      <c r="C5461" s="501" t="s">
        <v>1094</v>
      </c>
      <c r="D5461" s="501" t="s">
        <v>3380</v>
      </c>
      <c r="E5461" s="501" t="s">
        <v>3381</v>
      </c>
      <c r="F5461" s="501" t="s">
        <v>1</v>
      </c>
      <c r="G5461" s="501" t="s">
        <v>751</v>
      </c>
      <c r="H5461" s="501" t="s">
        <v>1125</v>
      </c>
      <c r="I5461" s="501">
        <v>4</v>
      </c>
      <c r="J5461" s="501">
        <v>0</v>
      </c>
      <c r="K5461" s="501">
        <v>0</v>
      </c>
      <c r="L5461" s="501">
        <v>4</v>
      </c>
      <c r="M5461" s="501">
        <v>0</v>
      </c>
      <c r="N5461" s="501">
        <v>0</v>
      </c>
      <c r="O5461" s="506">
        <v>0</v>
      </c>
    </row>
    <row r="5462" spans="1:15" x14ac:dyDescent="0.35">
      <c r="A5462" s="503" t="s">
        <v>1126</v>
      </c>
      <c r="B5462" s="504" t="s">
        <v>2974</v>
      </c>
      <c r="C5462" s="504" t="s">
        <v>1094</v>
      </c>
      <c r="D5462" s="504" t="s">
        <v>3380</v>
      </c>
      <c r="E5462" s="504" t="s">
        <v>3381</v>
      </c>
      <c r="F5462" s="504" t="s">
        <v>1</v>
      </c>
      <c r="G5462" s="504" t="s">
        <v>751</v>
      </c>
      <c r="H5462" s="504" t="s">
        <v>1127</v>
      </c>
      <c r="I5462" s="504">
        <v>15</v>
      </c>
      <c r="J5462" s="504">
        <v>0</v>
      </c>
      <c r="K5462" s="504">
        <v>0</v>
      </c>
      <c r="L5462" s="504">
        <v>15</v>
      </c>
      <c r="M5462" s="504">
        <v>0</v>
      </c>
      <c r="N5462" s="504">
        <v>0</v>
      </c>
      <c r="O5462" s="505">
        <v>0</v>
      </c>
    </row>
    <row r="5463" spans="1:15" x14ac:dyDescent="0.35">
      <c r="A5463" s="500" t="s">
        <v>1128</v>
      </c>
      <c r="B5463" s="501" t="s">
        <v>3250</v>
      </c>
      <c r="C5463" s="501" t="s">
        <v>1089</v>
      </c>
      <c r="D5463" s="501" t="s">
        <v>3392</v>
      </c>
      <c r="E5463" s="501" t="s">
        <v>3381</v>
      </c>
      <c r="F5463" s="501" t="s">
        <v>1</v>
      </c>
      <c r="G5463" s="501" t="s">
        <v>751</v>
      </c>
      <c r="H5463" s="501" t="s">
        <v>1129</v>
      </c>
      <c r="I5463" s="501">
        <v>45</v>
      </c>
      <c r="J5463" s="501">
        <v>45</v>
      </c>
      <c r="K5463" s="501">
        <v>0</v>
      </c>
      <c r="L5463" s="501">
        <v>0</v>
      </c>
      <c r="M5463" s="501">
        <v>0</v>
      </c>
      <c r="N5463" s="501">
        <v>0</v>
      </c>
      <c r="O5463" s="506">
        <v>0</v>
      </c>
    </row>
    <row r="5464" spans="1:15" x14ac:dyDescent="0.35">
      <c r="A5464" s="503" t="s">
        <v>1130</v>
      </c>
      <c r="B5464" s="504" t="s">
        <v>3234</v>
      </c>
      <c r="C5464" s="504" t="s">
        <v>1094</v>
      </c>
      <c r="D5464" s="504" t="s">
        <v>3380</v>
      </c>
      <c r="E5464" s="504" t="s">
        <v>3381</v>
      </c>
      <c r="F5464" s="504" t="s">
        <v>1</v>
      </c>
      <c r="G5464" s="504" t="s">
        <v>751</v>
      </c>
      <c r="H5464" s="504" t="s">
        <v>1131</v>
      </c>
      <c r="I5464" s="504">
        <v>4</v>
      </c>
      <c r="J5464" s="504">
        <v>4</v>
      </c>
      <c r="K5464" s="504">
        <v>0</v>
      </c>
      <c r="L5464" s="504">
        <v>0</v>
      </c>
      <c r="M5464" s="504">
        <v>0</v>
      </c>
      <c r="N5464" s="504">
        <v>0</v>
      </c>
      <c r="O5464" s="505">
        <v>0</v>
      </c>
    </row>
    <row r="5465" spans="1:15" x14ac:dyDescent="0.35">
      <c r="A5465" s="500" t="s">
        <v>1132</v>
      </c>
      <c r="B5465" s="501">
        <v>4837</v>
      </c>
      <c r="C5465" s="501" t="s">
        <v>1094</v>
      </c>
      <c r="D5465" s="501" t="s">
        <v>3380</v>
      </c>
      <c r="E5465" s="501" t="s">
        <v>3381</v>
      </c>
      <c r="F5465" s="501" t="s">
        <v>1</v>
      </c>
      <c r="G5465" s="501" t="s">
        <v>751</v>
      </c>
      <c r="H5465" s="501" t="s">
        <v>1133</v>
      </c>
      <c r="I5465" s="501">
        <v>1909</v>
      </c>
      <c r="J5465" s="501">
        <v>1572</v>
      </c>
      <c r="K5465" s="501">
        <v>0</v>
      </c>
      <c r="L5465" s="501">
        <v>35</v>
      </c>
      <c r="M5465" s="501">
        <v>157</v>
      </c>
      <c r="N5465" s="501">
        <v>0</v>
      </c>
      <c r="O5465" s="506">
        <v>145</v>
      </c>
    </row>
    <row r="5466" spans="1:15" x14ac:dyDescent="0.35">
      <c r="A5466" s="503" t="s">
        <v>1134</v>
      </c>
      <c r="B5466" s="504" t="s">
        <v>3066</v>
      </c>
      <c r="C5466" s="504" t="s">
        <v>1094</v>
      </c>
      <c r="D5466" s="504" t="s">
        <v>3380</v>
      </c>
      <c r="E5466" s="504" t="s">
        <v>3381</v>
      </c>
      <c r="F5466" s="504" t="s">
        <v>1</v>
      </c>
      <c r="G5466" s="504" t="s">
        <v>751</v>
      </c>
      <c r="H5466" s="504" t="s">
        <v>1135</v>
      </c>
      <c r="I5466" s="504">
        <v>192</v>
      </c>
      <c r="J5466" s="504">
        <v>170</v>
      </c>
      <c r="K5466" s="504">
        <v>8</v>
      </c>
      <c r="L5466" s="504">
        <v>1</v>
      </c>
      <c r="M5466" s="504">
        <v>8</v>
      </c>
      <c r="N5466" s="504">
        <v>1</v>
      </c>
      <c r="O5466" s="505">
        <v>5</v>
      </c>
    </row>
    <row r="5467" spans="1:15" x14ac:dyDescent="0.35">
      <c r="A5467" s="500" t="s">
        <v>1136</v>
      </c>
      <c r="B5467" s="501">
        <v>4680</v>
      </c>
      <c r="C5467" s="501" t="s">
        <v>1094</v>
      </c>
      <c r="D5467" s="501" t="s">
        <v>3380</v>
      </c>
      <c r="E5467" s="501" t="s">
        <v>3381</v>
      </c>
      <c r="F5467" s="501" t="s">
        <v>1</v>
      </c>
      <c r="G5467" s="501" t="s">
        <v>751</v>
      </c>
      <c r="H5467" s="501" t="s">
        <v>1137</v>
      </c>
      <c r="I5467" s="501">
        <v>126</v>
      </c>
      <c r="J5467" s="501">
        <v>54</v>
      </c>
      <c r="K5467" s="501">
        <v>0</v>
      </c>
      <c r="L5467" s="501">
        <v>27</v>
      </c>
      <c r="M5467" s="501">
        <v>0</v>
      </c>
      <c r="N5467" s="501">
        <v>0</v>
      </c>
      <c r="O5467" s="506">
        <v>45</v>
      </c>
    </row>
    <row r="5468" spans="1:15" x14ac:dyDescent="0.35">
      <c r="A5468" s="503" t="s">
        <v>1138</v>
      </c>
      <c r="B5468" s="504" t="s">
        <v>2998</v>
      </c>
      <c r="C5468" s="504" t="s">
        <v>1094</v>
      </c>
      <c r="D5468" s="504" t="s">
        <v>3380</v>
      </c>
      <c r="E5468" s="504" t="s">
        <v>3381</v>
      </c>
      <c r="F5468" s="504" t="s">
        <v>1</v>
      </c>
      <c r="G5468" s="504" t="s">
        <v>751</v>
      </c>
      <c r="H5468" s="504" t="s">
        <v>1139</v>
      </c>
      <c r="I5468" s="504">
        <v>532</v>
      </c>
      <c r="J5468" s="504">
        <v>394</v>
      </c>
      <c r="K5468" s="504">
        <v>0</v>
      </c>
      <c r="L5468" s="504">
        <v>0</v>
      </c>
      <c r="M5468" s="504">
        <v>0</v>
      </c>
      <c r="N5468" s="504">
        <v>0</v>
      </c>
      <c r="O5468" s="505">
        <v>138</v>
      </c>
    </row>
    <row r="5469" spans="1:15" x14ac:dyDescent="0.35">
      <c r="A5469" s="500" t="s">
        <v>1140</v>
      </c>
      <c r="B5469" s="501">
        <v>4850</v>
      </c>
      <c r="C5469" s="501" t="s">
        <v>1094</v>
      </c>
      <c r="D5469" s="501" t="s">
        <v>3380</v>
      </c>
      <c r="E5469" s="501" t="s">
        <v>3381</v>
      </c>
      <c r="F5469" s="501" t="s">
        <v>1</v>
      </c>
      <c r="G5469" s="501" t="s">
        <v>751</v>
      </c>
      <c r="H5469" s="501" t="s">
        <v>1141</v>
      </c>
      <c r="I5469" s="501">
        <v>191</v>
      </c>
      <c r="J5469" s="501">
        <v>143</v>
      </c>
      <c r="K5469" s="501">
        <v>0</v>
      </c>
      <c r="L5469" s="501">
        <v>9</v>
      </c>
      <c r="M5469" s="501">
        <v>0</v>
      </c>
      <c r="N5469" s="501">
        <v>0</v>
      </c>
      <c r="O5469" s="506">
        <v>39</v>
      </c>
    </row>
    <row r="5470" spans="1:15" x14ac:dyDescent="0.35">
      <c r="A5470" s="503" t="s">
        <v>1193</v>
      </c>
      <c r="B5470" s="504" t="s">
        <v>3039</v>
      </c>
      <c r="C5470" s="504" t="s">
        <v>1094</v>
      </c>
      <c r="D5470" s="504" t="s">
        <v>3380</v>
      </c>
      <c r="E5470" s="504" t="s">
        <v>3381</v>
      </c>
      <c r="F5470" s="504" t="s">
        <v>752</v>
      </c>
      <c r="G5470" s="504" t="s">
        <v>753</v>
      </c>
      <c r="H5470" s="504" t="s">
        <v>7788</v>
      </c>
      <c r="I5470" s="504">
        <v>7</v>
      </c>
      <c r="J5470" s="504">
        <v>0</v>
      </c>
      <c r="K5470" s="504">
        <v>0</v>
      </c>
      <c r="L5470" s="504">
        <v>0</v>
      </c>
      <c r="M5470" s="504">
        <v>0</v>
      </c>
      <c r="N5470" s="504">
        <v>0</v>
      </c>
      <c r="O5470" s="505">
        <v>7</v>
      </c>
    </row>
    <row r="5471" spans="1:15" x14ac:dyDescent="0.35">
      <c r="A5471" s="500" t="s">
        <v>1143</v>
      </c>
      <c r="B5471" s="501" t="s">
        <v>3281</v>
      </c>
      <c r="C5471" s="501" t="s">
        <v>1094</v>
      </c>
      <c r="D5471" s="501" t="s">
        <v>3380</v>
      </c>
      <c r="E5471" s="501" t="s">
        <v>3381</v>
      </c>
      <c r="F5471" s="501" t="s">
        <v>752</v>
      </c>
      <c r="G5471" s="501" t="s">
        <v>753</v>
      </c>
      <c r="H5471" s="501" t="s">
        <v>7778</v>
      </c>
      <c r="I5471" s="501">
        <v>6</v>
      </c>
      <c r="J5471" s="501">
        <v>4</v>
      </c>
      <c r="K5471" s="501">
        <v>0</v>
      </c>
      <c r="L5471" s="501">
        <v>0</v>
      </c>
      <c r="M5471" s="501">
        <v>0</v>
      </c>
      <c r="N5471" s="501">
        <v>0</v>
      </c>
      <c r="O5471" s="506">
        <v>2</v>
      </c>
    </row>
    <row r="5472" spans="1:15" x14ac:dyDescent="0.35">
      <c r="A5472" s="503" t="s">
        <v>1145</v>
      </c>
      <c r="B5472" s="504" t="s">
        <v>3164</v>
      </c>
      <c r="C5472" s="504" t="s">
        <v>1094</v>
      </c>
      <c r="D5472" s="504" t="s">
        <v>3380</v>
      </c>
      <c r="E5472" s="504" t="s">
        <v>3381</v>
      </c>
      <c r="F5472" s="504" t="s">
        <v>752</v>
      </c>
      <c r="G5472" s="504" t="s">
        <v>753</v>
      </c>
      <c r="H5472" s="504" t="s">
        <v>7779</v>
      </c>
      <c r="I5472" s="504">
        <v>208</v>
      </c>
      <c r="J5472" s="504">
        <v>189</v>
      </c>
      <c r="K5472" s="504">
        <v>0</v>
      </c>
      <c r="L5472" s="504">
        <v>0</v>
      </c>
      <c r="M5472" s="504">
        <v>16</v>
      </c>
      <c r="N5472" s="504">
        <v>0</v>
      </c>
      <c r="O5472" s="505">
        <v>3</v>
      </c>
    </row>
    <row r="5473" spans="1:15" x14ac:dyDescent="0.35">
      <c r="A5473" s="500" t="s">
        <v>1093</v>
      </c>
      <c r="B5473" s="501" t="s">
        <v>3248</v>
      </c>
      <c r="C5473" s="501" t="s">
        <v>1094</v>
      </c>
      <c r="D5473" s="501" t="s">
        <v>3380</v>
      </c>
      <c r="E5473" s="501" t="s">
        <v>3381</v>
      </c>
      <c r="F5473" s="501" t="s">
        <v>752</v>
      </c>
      <c r="G5473" s="501" t="s">
        <v>753</v>
      </c>
      <c r="H5473" s="501" t="s">
        <v>7780</v>
      </c>
      <c r="I5473" s="501">
        <v>26</v>
      </c>
      <c r="J5473" s="501">
        <v>0</v>
      </c>
      <c r="K5473" s="501">
        <v>0</v>
      </c>
      <c r="L5473" s="501">
        <v>22</v>
      </c>
      <c r="M5473" s="501">
        <v>0</v>
      </c>
      <c r="N5473" s="501">
        <v>0</v>
      </c>
      <c r="O5473" s="506">
        <v>4</v>
      </c>
    </row>
    <row r="5474" spans="1:15" x14ac:dyDescent="0.35">
      <c r="A5474" s="503" t="s">
        <v>1096</v>
      </c>
      <c r="B5474" s="504" t="s">
        <v>3326</v>
      </c>
      <c r="C5474" s="504" t="s">
        <v>1094</v>
      </c>
      <c r="D5474" s="504" t="s">
        <v>3380</v>
      </c>
      <c r="E5474" s="504" t="s">
        <v>3381</v>
      </c>
      <c r="F5474" s="504" t="s">
        <v>752</v>
      </c>
      <c r="G5474" s="504" t="s">
        <v>753</v>
      </c>
      <c r="H5474" s="504" t="s">
        <v>7781</v>
      </c>
      <c r="I5474" s="504">
        <v>68</v>
      </c>
      <c r="J5474" s="504">
        <v>0</v>
      </c>
      <c r="K5474" s="504">
        <v>0</v>
      </c>
      <c r="L5474" s="504">
        <v>0</v>
      </c>
      <c r="M5474" s="504">
        <v>68</v>
      </c>
      <c r="N5474" s="504">
        <v>0</v>
      </c>
      <c r="O5474" s="505">
        <v>0</v>
      </c>
    </row>
    <row r="5475" spans="1:15" x14ac:dyDescent="0.35">
      <c r="A5475" s="500" t="s">
        <v>11363</v>
      </c>
      <c r="B5475" s="501">
        <v>4718</v>
      </c>
      <c r="C5475" s="501" t="s">
        <v>1094</v>
      </c>
      <c r="D5475" s="501" t="s">
        <v>3380</v>
      </c>
      <c r="E5475" s="501" t="s">
        <v>3381</v>
      </c>
      <c r="F5475" s="501" t="s">
        <v>752</v>
      </c>
      <c r="G5475" s="501" t="s">
        <v>753</v>
      </c>
      <c r="H5475" s="501" t="s">
        <v>11566</v>
      </c>
      <c r="I5475" s="501">
        <v>6</v>
      </c>
      <c r="J5475" s="501">
        <v>0</v>
      </c>
      <c r="K5475" s="501">
        <v>0</v>
      </c>
      <c r="L5475" s="501">
        <v>6</v>
      </c>
      <c r="M5475" s="501">
        <v>0</v>
      </c>
      <c r="N5475" s="501">
        <v>0</v>
      </c>
      <c r="O5475" s="506">
        <v>0</v>
      </c>
    </row>
    <row r="5476" spans="1:15" x14ac:dyDescent="0.35">
      <c r="A5476" s="503" t="s">
        <v>1171</v>
      </c>
      <c r="B5476" s="504" t="s">
        <v>3003</v>
      </c>
      <c r="C5476" s="504" t="s">
        <v>1094</v>
      </c>
      <c r="D5476" s="504" t="s">
        <v>3380</v>
      </c>
      <c r="E5476" s="504" t="s">
        <v>3381</v>
      </c>
      <c r="F5476" s="504" t="s">
        <v>752</v>
      </c>
      <c r="G5476" s="504" t="s">
        <v>753</v>
      </c>
      <c r="H5476" s="504" t="s">
        <v>7782</v>
      </c>
      <c r="I5476" s="504">
        <v>185</v>
      </c>
      <c r="J5476" s="504">
        <v>139</v>
      </c>
      <c r="K5476" s="504">
        <v>0</v>
      </c>
      <c r="L5476" s="504">
        <v>0</v>
      </c>
      <c r="M5476" s="504">
        <v>0</v>
      </c>
      <c r="N5476" s="504">
        <v>0</v>
      </c>
      <c r="O5476" s="505">
        <v>46</v>
      </c>
    </row>
    <row r="5477" spans="1:15" x14ac:dyDescent="0.35">
      <c r="A5477" s="500" t="s">
        <v>1173</v>
      </c>
      <c r="B5477" s="501">
        <v>4775</v>
      </c>
      <c r="C5477" s="501" t="s">
        <v>1094</v>
      </c>
      <c r="D5477" s="501" t="s">
        <v>3380</v>
      </c>
      <c r="E5477" s="501" t="s">
        <v>3381</v>
      </c>
      <c r="F5477" s="501" t="s">
        <v>752</v>
      </c>
      <c r="G5477" s="501" t="s">
        <v>753</v>
      </c>
      <c r="H5477" s="501" t="s">
        <v>7783</v>
      </c>
      <c r="I5477" s="501">
        <v>34</v>
      </c>
      <c r="J5477" s="501">
        <v>28</v>
      </c>
      <c r="K5477" s="501">
        <v>0</v>
      </c>
      <c r="L5477" s="501">
        <v>0</v>
      </c>
      <c r="M5477" s="501">
        <v>0</v>
      </c>
      <c r="N5477" s="501">
        <v>0</v>
      </c>
      <c r="O5477" s="506">
        <v>6</v>
      </c>
    </row>
    <row r="5478" spans="1:15" x14ac:dyDescent="0.35">
      <c r="A5478" s="503" t="s">
        <v>1102</v>
      </c>
      <c r="B5478" s="504">
        <v>4663</v>
      </c>
      <c r="C5478" s="504" t="s">
        <v>1089</v>
      </c>
      <c r="D5478" s="504" t="s">
        <v>3392</v>
      </c>
      <c r="E5478" s="504" t="s">
        <v>3381</v>
      </c>
      <c r="F5478" s="504" t="s">
        <v>752</v>
      </c>
      <c r="G5478" s="504" t="s">
        <v>753</v>
      </c>
      <c r="H5478" s="504" t="s">
        <v>7784</v>
      </c>
      <c r="I5478" s="504">
        <v>1</v>
      </c>
      <c r="J5478" s="504">
        <v>0</v>
      </c>
      <c r="K5478" s="504">
        <v>0</v>
      </c>
      <c r="L5478" s="504">
        <v>1</v>
      </c>
      <c r="M5478" s="504">
        <v>0</v>
      </c>
      <c r="N5478" s="504">
        <v>0</v>
      </c>
      <c r="O5478" s="505">
        <v>0</v>
      </c>
    </row>
    <row r="5479" spans="1:15" x14ac:dyDescent="0.35">
      <c r="A5479" s="500" t="s">
        <v>1178</v>
      </c>
      <c r="B5479" s="501" t="s">
        <v>3334</v>
      </c>
      <c r="C5479" s="501" t="s">
        <v>1094</v>
      </c>
      <c r="D5479" s="501" t="s">
        <v>3380</v>
      </c>
      <c r="E5479" s="501" t="s">
        <v>3381</v>
      </c>
      <c r="F5479" s="501" t="s">
        <v>752</v>
      </c>
      <c r="G5479" s="501" t="s">
        <v>753</v>
      </c>
      <c r="H5479" s="501" t="s">
        <v>7785</v>
      </c>
      <c r="I5479" s="501">
        <v>49</v>
      </c>
      <c r="J5479" s="501">
        <v>0</v>
      </c>
      <c r="K5479" s="501">
        <v>0</v>
      </c>
      <c r="L5479" s="501">
        <v>49</v>
      </c>
      <c r="M5479" s="501">
        <v>0</v>
      </c>
      <c r="N5479" s="501">
        <v>1</v>
      </c>
      <c r="O5479" s="506">
        <v>0</v>
      </c>
    </row>
    <row r="5480" spans="1:15" x14ac:dyDescent="0.35">
      <c r="A5480" s="503" t="s">
        <v>14208</v>
      </c>
      <c r="B5480" s="504">
        <v>4803</v>
      </c>
      <c r="C5480" s="504" t="s">
        <v>1094</v>
      </c>
      <c r="D5480" s="504" t="s">
        <v>3380</v>
      </c>
      <c r="E5480" s="504" t="s">
        <v>3381</v>
      </c>
      <c r="F5480" s="504" t="s">
        <v>752</v>
      </c>
      <c r="G5480" s="504" t="s">
        <v>753</v>
      </c>
      <c r="H5480" s="504" t="s">
        <v>14860</v>
      </c>
      <c r="I5480" s="504">
        <v>42</v>
      </c>
      <c r="J5480" s="504">
        <v>0</v>
      </c>
      <c r="K5480" s="504">
        <v>0</v>
      </c>
      <c r="L5480" s="504">
        <v>42</v>
      </c>
      <c r="M5480" s="504">
        <v>0</v>
      </c>
      <c r="N5480" s="504">
        <v>0</v>
      </c>
      <c r="O5480" s="505">
        <v>0</v>
      </c>
    </row>
    <row r="5481" spans="1:15" x14ac:dyDescent="0.35">
      <c r="A5481" s="500" t="s">
        <v>1105</v>
      </c>
      <c r="B5481" s="501">
        <v>4668</v>
      </c>
      <c r="C5481" s="501" t="s">
        <v>1094</v>
      </c>
      <c r="D5481" s="501" t="s">
        <v>3380</v>
      </c>
      <c r="E5481" s="501" t="s">
        <v>3381</v>
      </c>
      <c r="F5481" s="501" t="s">
        <v>752</v>
      </c>
      <c r="G5481" s="501" t="s">
        <v>753</v>
      </c>
      <c r="H5481" s="501" t="s">
        <v>7786</v>
      </c>
      <c r="I5481" s="501">
        <v>7</v>
      </c>
      <c r="J5481" s="501">
        <v>0</v>
      </c>
      <c r="K5481" s="501">
        <v>0</v>
      </c>
      <c r="L5481" s="501">
        <v>0</v>
      </c>
      <c r="M5481" s="501">
        <v>0</v>
      </c>
      <c r="N5481" s="501">
        <v>0</v>
      </c>
      <c r="O5481" s="506">
        <v>7</v>
      </c>
    </row>
    <row r="5482" spans="1:15" x14ac:dyDescent="0.35">
      <c r="A5482" s="503" t="s">
        <v>1107</v>
      </c>
      <c r="B5482" s="504" t="s">
        <v>3109</v>
      </c>
      <c r="C5482" s="504" t="s">
        <v>1094</v>
      </c>
      <c r="D5482" s="504" t="s">
        <v>3380</v>
      </c>
      <c r="E5482" s="504" t="s">
        <v>3381</v>
      </c>
      <c r="F5482" s="504" t="s">
        <v>752</v>
      </c>
      <c r="G5482" s="504" t="s">
        <v>753</v>
      </c>
      <c r="H5482" s="504" t="s">
        <v>7787</v>
      </c>
      <c r="I5482" s="504">
        <v>19</v>
      </c>
      <c r="J5482" s="504">
        <v>19</v>
      </c>
      <c r="K5482" s="504">
        <v>0</v>
      </c>
      <c r="L5482" s="504">
        <v>0</v>
      </c>
      <c r="M5482" s="504">
        <v>0</v>
      </c>
      <c r="N5482" s="504">
        <v>0</v>
      </c>
      <c r="O5482" s="505">
        <v>0</v>
      </c>
    </row>
    <row r="5483" spans="1:15" x14ac:dyDescent="0.35">
      <c r="A5483" s="500" t="s">
        <v>1191</v>
      </c>
      <c r="B5483" s="501" t="s">
        <v>3222</v>
      </c>
      <c r="C5483" s="501" t="s">
        <v>1094</v>
      </c>
      <c r="D5483" s="501" t="s">
        <v>3380</v>
      </c>
      <c r="E5483" s="501" t="s">
        <v>3381</v>
      </c>
      <c r="F5483" s="501" t="s">
        <v>752</v>
      </c>
      <c r="G5483" s="501" t="s">
        <v>753</v>
      </c>
      <c r="H5483" s="501" t="s">
        <v>11774</v>
      </c>
      <c r="I5483" s="501">
        <v>8</v>
      </c>
      <c r="J5483" s="501">
        <v>8</v>
      </c>
      <c r="K5483" s="501">
        <v>0</v>
      </c>
      <c r="L5483" s="501">
        <v>0</v>
      </c>
      <c r="M5483" s="501">
        <v>0</v>
      </c>
      <c r="N5483" s="501">
        <v>0</v>
      </c>
      <c r="O5483" s="506">
        <v>0</v>
      </c>
    </row>
    <row r="5484" spans="1:15" x14ac:dyDescent="0.35">
      <c r="A5484" s="503" t="s">
        <v>1203</v>
      </c>
      <c r="B5484" s="504" t="s">
        <v>3170</v>
      </c>
      <c r="C5484" s="504" t="s">
        <v>1094</v>
      </c>
      <c r="D5484" s="504" t="s">
        <v>3380</v>
      </c>
      <c r="E5484" s="504" t="s">
        <v>3381</v>
      </c>
      <c r="F5484" s="504" t="s">
        <v>752</v>
      </c>
      <c r="G5484" s="504" t="s">
        <v>753</v>
      </c>
      <c r="H5484" s="504" t="s">
        <v>7789</v>
      </c>
      <c r="I5484" s="504">
        <v>68</v>
      </c>
      <c r="J5484" s="504">
        <v>46</v>
      </c>
      <c r="K5484" s="504">
        <v>0</v>
      </c>
      <c r="L5484" s="504">
        <v>0</v>
      </c>
      <c r="M5484" s="504">
        <v>0</v>
      </c>
      <c r="N5484" s="504">
        <v>0</v>
      </c>
      <c r="O5484" s="505">
        <v>22</v>
      </c>
    </row>
    <row r="5485" spans="1:15" x14ac:dyDescent="0.35">
      <c r="A5485" s="500" t="s">
        <v>1112</v>
      </c>
      <c r="B5485" s="501" t="s">
        <v>3008</v>
      </c>
      <c r="C5485" s="501" t="s">
        <v>1094</v>
      </c>
      <c r="D5485" s="501" t="s">
        <v>3380</v>
      </c>
      <c r="E5485" s="501" t="s">
        <v>3381</v>
      </c>
      <c r="F5485" s="501" t="s">
        <v>752</v>
      </c>
      <c r="G5485" s="501" t="s">
        <v>753</v>
      </c>
      <c r="H5485" s="501" t="s">
        <v>7790</v>
      </c>
      <c r="I5485" s="501">
        <v>2</v>
      </c>
      <c r="J5485" s="501">
        <v>0</v>
      </c>
      <c r="K5485" s="501">
        <v>0</v>
      </c>
      <c r="L5485" s="501">
        <v>0</v>
      </c>
      <c r="M5485" s="501">
        <v>0</v>
      </c>
      <c r="N5485" s="501">
        <v>0</v>
      </c>
      <c r="O5485" s="506">
        <v>2</v>
      </c>
    </row>
    <row r="5486" spans="1:15" x14ac:dyDescent="0.35">
      <c r="A5486" s="503" t="s">
        <v>1211</v>
      </c>
      <c r="B5486" s="504" t="s">
        <v>3022</v>
      </c>
      <c r="C5486" s="504" t="s">
        <v>1089</v>
      </c>
      <c r="D5486" s="504" t="s">
        <v>3392</v>
      </c>
      <c r="E5486" s="504" t="s">
        <v>3381</v>
      </c>
      <c r="F5486" s="504" t="s">
        <v>752</v>
      </c>
      <c r="G5486" s="504" t="s">
        <v>753</v>
      </c>
      <c r="H5486" s="504" t="s">
        <v>7791</v>
      </c>
      <c r="I5486" s="504">
        <v>28</v>
      </c>
      <c r="J5486" s="504">
        <v>0</v>
      </c>
      <c r="K5486" s="504">
        <v>0</v>
      </c>
      <c r="L5486" s="504">
        <v>0</v>
      </c>
      <c r="M5486" s="504">
        <v>28</v>
      </c>
      <c r="N5486" s="504">
        <v>0</v>
      </c>
      <c r="O5486" s="505">
        <v>0</v>
      </c>
    </row>
    <row r="5487" spans="1:15" x14ac:dyDescent="0.35">
      <c r="A5487" s="500" t="s">
        <v>1215</v>
      </c>
      <c r="B5487" s="501">
        <v>4817</v>
      </c>
      <c r="C5487" s="501" t="s">
        <v>1094</v>
      </c>
      <c r="D5487" s="501" t="s">
        <v>3380</v>
      </c>
      <c r="E5487" s="501" t="s">
        <v>3381</v>
      </c>
      <c r="F5487" s="501" t="s">
        <v>752</v>
      </c>
      <c r="G5487" s="501" t="s">
        <v>753</v>
      </c>
      <c r="H5487" s="501" t="s">
        <v>7792</v>
      </c>
      <c r="I5487" s="501">
        <v>1787</v>
      </c>
      <c r="J5487" s="501">
        <v>1423</v>
      </c>
      <c r="K5487" s="501">
        <v>0</v>
      </c>
      <c r="L5487" s="501">
        <v>57</v>
      </c>
      <c r="M5487" s="501">
        <v>83</v>
      </c>
      <c r="N5487" s="501">
        <v>0</v>
      </c>
      <c r="O5487" s="506">
        <v>224</v>
      </c>
    </row>
    <row r="5488" spans="1:15" x14ac:dyDescent="0.35">
      <c r="A5488" s="503" t="s">
        <v>1220</v>
      </c>
      <c r="B5488" s="504">
        <v>4849</v>
      </c>
      <c r="C5488" s="504" t="s">
        <v>1094</v>
      </c>
      <c r="D5488" s="504" t="s">
        <v>3380</v>
      </c>
      <c r="E5488" s="504" t="s">
        <v>3381</v>
      </c>
      <c r="F5488" s="504" t="s">
        <v>752</v>
      </c>
      <c r="G5488" s="504" t="s">
        <v>753</v>
      </c>
      <c r="H5488" s="504" t="s">
        <v>7793</v>
      </c>
      <c r="I5488" s="504">
        <v>4</v>
      </c>
      <c r="J5488" s="504">
        <v>4</v>
      </c>
      <c r="K5488" s="504">
        <v>0</v>
      </c>
      <c r="L5488" s="504">
        <v>0</v>
      </c>
      <c r="M5488" s="504">
        <v>0</v>
      </c>
      <c r="N5488" s="504">
        <v>0</v>
      </c>
      <c r="O5488" s="505">
        <v>0</v>
      </c>
    </row>
    <row r="5489" spans="1:15" x14ac:dyDescent="0.35">
      <c r="A5489" s="500" t="s">
        <v>1122</v>
      </c>
      <c r="B5489" s="501" t="s">
        <v>2994</v>
      </c>
      <c r="C5489" s="501" t="s">
        <v>1094</v>
      </c>
      <c r="D5489" s="501" t="s">
        <v>3380</v>
      </c>
      <c r="E5489" s="501" t="s">
        <v>3381</v>
      </c>
      <c r="F5489" s="501" t="s">
        <v>752</v>
      </c>
      <c r="G5489" s="501" t="s">
        <v>753</v>
      </c>
      <c r="H5489" s="501" t="s">
        <v>7794</v>
      </c>
      <c r="I5489" s="501">
        <v>19</v>
      </c>
      <c r="J5489" s="501">
        <v>7</v>
      </c>
      <c r="K5489" s="501">
        <v>0</v>
      </c>
      <c r="L5489" s="501">
        <v>12</v>
      </c>
      <c r="M5489" s="501">
        <v>0</v>
      </c>
      <c r="N5489" s="501">
        <v>0</v>
      </c>
      <c r="O5489" s="506">
        <v>0</v>
      </c>
    </row>
    <row r="5490" spans="1:15" x14ac:dyDescent="0.35">
      <c r="A5490" s="503" t="s">
        <v>1225</v>
      </c>
      <c r="B5490" s="504" t="s">
        <v>3315</v>
      </c>
      <c r="C5490" s="504" t="s">
        <v>1094</v>
      </c>
      <c r="D5490" s="504" t="s">
        <v>3380</v>
      </c>
      <c r="E5490" s="504" t="s">
        <v>3381</v>
      </c>
      <c r="F5490" s="504" t="s">
        <v>752</v>
      </c>
      <c r="G5490" s="504" t="s">
        <v>753</v>
      </c>
      <c r="H5490" s="504" t="s">
        <v>7795</v>
      </c>
      <c r="I5490" s="504">
        <v>18</v>
      </c>
      <c r="J5490" s="504">
        <v>0</v>
      </c>
      <c r="K5490" s="504">
        <v>0</v>
      </c>
      <c r="L5490" s="504">
        <v>18</v>
      </c>
      <c r="M5490" s="504">
        <v>0</v>
      </c>
      <c r="N5490" s="504">
        <v>0</v>
      </c>
      <c r="O5490" s="505">
        <v>0</v>
      </c>
    </row>
    <row r="5491" spans="1:15" x14ac:dyDescent="0.35">
      <c r="A5491" s="500" t="s">
        <v>1226</v>
      </c>
      <c r="B5491" s="501">
        <v>5084</v>
      </c>
      <c r="C5491" s="501" t="s">
        <v>1094</v>
      </c>
      <c r="D5491" s="501" t="s">
        <v>3380</v>
      </c>
      <c r="E5491" s="501" t="s">
        <v>3381</v>
      </c>
      <c r="F5491" s="501" t="s">
        <v>752</v>
      </c>
      <c r="G5491" s="501" t="s">
        <v>753</v>
      </c>
      <c r="H5491" s="501" t="s">
        <v>7796</v>
      </c>
      <c r="I5491" s="501">
        <v>223</v>
      </c>
      <c r="J5491" s="501">
        <v>161</v>
      </c>
      <c r="K5491" s="501">
        <v>0</v>
      </c>
      <c r="L5491" s="501">
        <v>0</v>
      </c>
      <c r="M5491" s="501">
        <v>0</v>
      </c>
      <c r="N5491" s="501">
        <v>0</v>
      </c>
      <c r="O5491" s="506">
        <v>62</v>
      </c>
    </row>
    <row r="5492" spans="1:15" x14ac:dyDescent="0.35">
      <c r="A5492" s="503" t="s">
        <v>1228</v>
      </c>
      <c r="B5492" s="504" t="s">
        <v>3321</v>
      </c>
      <c r="C5492" s="504" t="s">
        <v>1094</v>
      </c>
      <c r="D5492" s="504" t="s">
        <v>3380</v>
      </c>
      <c r="E5492" s="504" t="s">
        <v>3381</v>
      </c>
      <c r="F5492" s="504" t="s">
        <v>752</v>
      </c>
      <c r="G5492" s="504" t="s">
        <v>753</v>
      </c>
      <c r="H5492" s="504" t="s">
        <v>7797</v>
      </c>
      <c r="I5492" s="504">
        <v>71</v>
      </c>
      <c r="J5492" s="504">
        <v>0</v>
      </c>
      <c r="K5492" s="504">
        <v>0</v>
      </c>
      <c r="L5492" s="504">
        <v>71</v>
      </c>
      <c r="M5492" s="504">
        <v>0</v>
      </c>
      <c r="N5492" s="504">
        <v>0</v>
      </c>
      <c r="O5492" s="505">
        <v>0</v>
      </c>
    </row>
    <row r="5493" spans="1:15" x14ac:dyDescent="0.35">
      <c r="A5493" s="500" t="s">
        <v>1241</v>
      </c>
      <c r="B5493" s="501">
        <v>4717</v>
      </c>
      <c r="C5493" s="501" t="s">
        <v>1094</v>
      </c>
      <c r="D5493" s="501" t="s">
        <v>3380</v>
      </c>
      <c r="E5493" s="501" t="s">
        <v>3381</v>
      </c>
      <c r="F5493" s="501" t="s">
        <v>752</v>
      </c>
      <c r="G5493" s="501" t="s">
        <v>753</v>
      </c>
      <c r="H5493" s="501" t="s">
        <v>7798</v>
      </c>
      <c r="I5493" s="501">
        <v>24</v>
      </c>
      <c r="J5493" s="501">
        <v>24</v>
      </c>
      <c r="K5493" s="501">
        <v>0</v>
      </c>
      <c r="L5493" s="501">
        <v>0</v>
      </c>
      <c r="M5493" s="501">
        <v>0</v>
      </c>
      <c r="N5493" s="501">
        <v>0</v>
      </c>
      <c r="O5493" s="506">
        <v>0</v>
      </c>
    </row>
    <row r="5494" spans="1:15" x14ac:dyDescent="0.35">
      <c r="A5494" s="503" t="s">
        <v>1246</v>
      </c>
      <c r="B5494" s="504" t="s">
        <v>2510</v>
      </c>
      <c r="C5494" s="504" t="s">
        <v>1089</v>
      </c>
      <c r="D5494" s="504" t="s">
        <v>3392</v>
      </c>
      <c r="E5494" s="504" t="s">
        <v>3381</v>
      </c>
      <c r="F5494" s="504" t="s">
        <v>752</v>
      </c>
      <c r="G5494" s="504" t="s">
        <v>753</v>
      </c>
      <c r="H5494" s="504" t="s">
        <v>7799</v>
      </c>
      <c r="I5494" s="504">
        <v>69</v>
      </c>
      <c r="J5494" s="504">
        <v>0</v>
      </c>
      <c r="K5494" s="504">
        <v>0</v>
      </c>
      <c r="L5494" s="504">
        <v>0</v>
      </c>
      <c r="M5494" s="504">
        <v>69</v>
      </c>
      <c r="N5494" s="504">
        <v>0</v>
      </c>
      <c r="O5494" s="505">
        <v>0</v>
      </c>
    </row>
    <row r="5495" spans="1:15" x14ac:dyDescent="0.35">
      <c r="A5495" s="500" t="s">
        <v>1249</v>
      </c>
      <c r="B5495" s="501">
        <v>4729</v>
      </c>
      <c r="C5495" s="501" t="s">
        <v>1094</v>
      </c>
      <c r="D5495" s="501" t="s">
        <v>3380</v>
      </c>
      <c r="E5495" s="501" t="s">
        <v>3381</v>
      </c>
      <c r="F5495" s="501" t="s">
        <v>752</v>
      </c>
      <c r="G5495" s="501" t="s">
        <v>753</v>
      </c>
      <c r="H5495" s="501" t="s">
        <v>7800</v>
      </c>
      <c r="I5495" s="501">
        <v>9</v>
      </c>
      <c r="J5495" s="501">
        <v>9</v>
      </c>
      <c r="K5495" s="501">
        <v>0</v>
      </c>
      <c r="L5495" s="501">
        <v>0</v>
      </c>
      <c r="M5495" s="501">
        <v>0</v>
      </c>
      <c r="N5495" s="501">
        <v>0</v>
      </c>
      <c r="O5495" s="506">
        <v>0</v>
      </c>
    </row>
    <row r="5496" spans="1:15" x14ac:dyDescent="0.35">
      <c r="A5496" s="503" t="s">
        <v>14364</v>
      </c>
      <c r="B5496" s="504">
        <v>4640</v>
      </c>
      <c r="C5496" s="504" t="s">
        <v>1089</v>
      </c>
      <c r="D5496" s="504" t="s">
        <v>3392</v>
      </c>
      <c r="E5496" s="504" t="s">
        <v>3381</v>
      </c>
      <c r="F5496" s="504" t="s">
        <v>752</v>
      </c>
      <c r="G5496" s="504" t="s">
        <v>753</v>
      </c>
      <c r="H5496" s="504" t="s">
        <v>14861</v>
      </c>
      <c r="I5496" s="504">
        <v>36</v>
      </c>
      <c r="J5496" s="504">
        <v>0</v>
      </c>
      <c r="K5496" s="504">
        <v>0</v>
      </c>
      <c r="L5496" s="504">
        <v>36</v>
      </c>
      <c r="M5496" s="504">
        <v>0</v>
      </c>
      <c r="N5496" s="504">
        <v>0</v>
      </c>
      <c r="O5496" s="505">
        <v>0</v>
      </c>
    </row>
    <row r="5497" spans="1:15" x14ac:dyDescent="0.35">
      <c r="A5497" s="500" t="s">
        <v>1253</v>
      </c>
      <c r="B5497" s="501" t="s">
        <v>3232</v>
      </c>
      <c r="C5497" s="501" t="s">
        <v>1094</v>
      </c>
      <c r="D5497" s="501" t="s">
        <v>3380</v>
      </c>
      <c r="E5497" s="501" t="s">
        <v>3381</v>
      </c>
      <c r="F5497" s="501" t="s">
        <v>752</v>
      </c>
      <c r="G5497" s="501" t="s">
        <v>753</v>
      </c>
      <c r="H5497" s="501" t="s">
        <v>7801</v>
      </c>
      <c r="I5497" s="501">
        <v>11</v>
      </c>
      <c r="J5497" s="501">
        <v>0</v>
      </c>
      <c r="K5497" s="501">
        <v>0</v>
      </c>
      <c r="L5497" s="501">
        <v>0</v>
      </c>
      <c r="M5497" s="501">
        <v>0</v>
      </c>
      <c r="N5497" s="501">
        <v>0</v>
      </c>
      <c r="O5497" s="506">
        <v>11</v>
      </c>
    </row>
    <row r="5498" spans="1:15" x14ac:dyDescent="0.35">
      <c r="A5498" s="503" t="s">
        <v>1260</v>
      </c>
      <c r="B5498" s="504">
        <v>4645</v>
      </c>
      <c r="C5498" s="504" t="s">
        <v>1089</v>
      </c>
      <c r="D5498" s="504" t="s">
        <v>3392</v>
      </c>
      <c r="E5498" s="504" t="s">
        <v>3381</v>
      </c>
      <c r="F5498" s="504" t="s">
        <v>752</v>
      </c>
      <c r="G5498" s="504" t="s">
        <v>753</v>
      </c>
      <c r="H5498" s="504" t="s">
        <v>7802</v>
      </c>
      <c r="I5498" s="504">
        <v>12</v>
      </c>
      <c r="J5498" s="504">
        <v>0</v>
      </c>
      <c r="K5498" s="504">
        <v>0</v>
      </c>
      <c r="L5498" s="504">
        <v>12</v>
      </c>
      <c r="M5498" s="504">
        <v>0</v>
      </c>
      <c r="N5498" s="504">
        <v>0</v>
      </c>
      <c r="O5498" s="505">
        <v>0</v>
      </c>
    </row>
    <row r="5499" spans="1:15" x14ac:dyDescent="0.35">
      <c r="A5499" s="500" t="s">
        <v>1193</v>
      </c>
      <c r="B5499" s="501" t="s">
        <v>3039</v>
      </c>
      <c r="C5499" s="501" t="s">
        <v>1094</v>
      </c>
      <c r="D5499" s="501" t="s">
        <v>3380</v>
      </c>
      <c r="E5499" s="501" t="s">
        <v>3381</v>
      </c>
      <c r="F5499" s="501" t="s">
        <v>754</v>
      </c>
      <c r="G5499" s="501" t="s">
        <v>755</v>
      </c>
      <c r="H5499" s="501" t="s">
        <v>7816</v>
      </c>
      <c r="I5499" s="501">
        <v>45</v>
      </c>
      <c r="J5499" s="501">
        <v>45</v>
      </c>
      <c r="K5499" s="501">
        <v>0</v>
      </c>
      <c r="L5499" s="501">
        <v>0</v>
      </c>
      <c r="M5499" s="501">
        <v>0</v>
      </c>
      <c r="N5499" s="501">
        <v>0</v>
      </c>
      <c r="O5499" s="506">
        <v>0</v>
      </c>
    </row>
    <row r="5500" spans="1:15" x14ac:dyDescent="0.35">
      <c r="A5500" s="503" t="s">
        <v>1613</v>
      </c>
      <c r="B5500" s="504" t="s">
        <v>2791</v>
      </c>
      <c r="C5500" s="504" t="s">
        <v>1089</v>
      </c>
      <c r="D5500" s="504" t="s">
        <v>3392</v>
      </c>
      <c r="E5500" s="504" t="s">
        <v>3381</v>
      </c>
      <c r="F5500" s="504" t="s">
        <v>754</v>
      </c>
      <c r="G5500" s="504" t="s">
        <v>755</v>
      </c>
      <c r="H5500" s="504" t="s">
        <v>7803</v>
      </c>
      <c r="I5500" s="504">
        <v>12</v>
      </c>
      <c r="J5500" s="504">
        <v>12</v>
      </c>
      <c r="K5500" s="504">
        <v>0</v>
      </c>
      <c r="L5500" s="504">
        <v>0</v>
      </c>
      <c r="M5500" s="504">
        <v>0</v>
      </c>
      <c r="N5500" s="504">
        <v>0</v>
      </c>
      <c r="O5500" s="505">
        <v>0</v>
      </c>
    </row>
    <row r="5501" spans="1:15" x14ac:dyDescent="0.35">
      <c r="A5501" s="500" t="s">
        <v>1096</v>
      </c>
      <c r="B5501" s="501" t="s">
        <v>3326</v>
      </c>
      <c r="C5501" s="501" t="s">
        <v>1094</v>
      </c>
      <c r="D5501" s="501" t="s">
        <v>3380</v>
      </c>
      <c r="E5501" s="501" t="s">
        <v>3381</v>
      </c>
      <c r="F5501" s="501" t="s">
        <v>754</v>
      </c>
      <c r="G5501" s="501" t="s">
        <v>755</v>
      </c>
      <c r="H5501" s="501" t="s">
        <v>7804</v>
      </c>
      <c r="I5501" s="501">
        <v>608</v>
      </c>
      <c r="J5501" s="501">
        <v>0</v>
      </c>
      <c r="K5501" s="501">
        <v>0</v>
      </c>
      <c r="L5501" s="501">
        <v>0</v>
      </c>
      <c r="M5501" s="501">
        <v>598</v>
      </c>
      <c r="N5501" s="501">
        <v>0</v>
      </c>
      <c r="O5501" s="506">
        <v>10</v>
      </c>
    </row>
    <row r="5502" spans="1:15" x14ac:dyDescent="0.35">
      <c r="A5502" s="503" t="s">
        <v>1151</v>
      </c>
      <c r="B5502" s="504">
        <v>4726</v>
      </c>
      <c r="C5502" s="504" t="s">
        <v>1089</v>
      </c>
      <c r="D5502" s="504" t="s">
        <v>3392</v>
      </c>
      <c r="E5502" s="504" t="s">
        <v>3381</v>
      </c>
      <c r="F5502" s="504" t="s">
        <v>754</v>
      </c>
      <c r="G5502" s="504" t="s">
        <v>755</v>
      </c>
      <c r="H5502" s="504" t="s">
        <v>7805</v>
      </c>
      <c r="I5502" s="504">
        <v>2</v>
      </c>
      <c r="J5502" s="504">
        <v>2</v>
      </c>
      <c r="K5502" s="504">
        <v>0</v>
      </c>
      <c r="L5502" s="504">
        <v>0</v>
      </c>
      <c r="M5502" s="504">
        <v>0</v>
      </c>
      <c r="N5502" s="504">
        <v>0</v>
      </c>
      <c r="O5502" s="505">
        <v>0</v>
      </c>
    </row>
    <row r="5503" spans="1:15" x14ac:dyDescent="0.35">
      <c r="A5503" s="500" t="s">
        <v>1617</v>
      </c>
      <c r="B5503" s="501">
        <v>4868</v>
      </c>
      <c r="C5503" s="501" t="s">
        <v>1094</v>
      </c>
      <c r="D5503" s="501" t="s">
        <v>3380</v>
      </c>
      <c r="E5503" s="501" t="s">
        <v>3381</v>
      </c>
      <c r="F5503" s="501" t="s">
        <v>754</v>
      </c>
      <c r="G5503" s="501" t="s">
        <v>755</v>
      </c>
      <c r="H5503" s="501" t="s">
        <v>7806</v>
      </c>
      <c r="I5503" s="501">
        <v>600</v>
      </c>
      <c r="J5503" s="501">
        <v>361</v>
      </c>
      <c r="K5503" s="501">
        <v>0</v>
      </c>
      <c r="L5503" s="501">
        <v>16</v>
      </c>
      <c r="M5503" s="501">
        <v>179</v>
      </c>
      <c r="N5503" s="501">
        <v>0</v>
      </c>
      <c r="O5503" s="506">
        <v>44</v>
      </c>
    </row>
    <row r="5504" spans="1:15" x14ac:dyDescent="0.35">
      <c r="A5504" s="503" t="s">
        <v>1618</v>
      </c>
      <c r="B5504" s="504" t="s">
        <v>3355</v>
      </c>
      <c r="C5504" s="504" t="s">
        <v>1094</v>
      </c>
      <c r="D5504" s="504" t="s">
        <v>3380</v>
      </c>
      <c r="E5504" s="504" t="s">
        <v>3381</v>
      </c>
      <c r="F5504" s="504" t="s">
        <v>754</v>
      </c>
      <c r="G5504" s="504" t="s">
        <v>755</v>
      </c>
      <c r="H5504" s="504" t="s">
        <v>7807</v>
      </c>
      <c r="I5504" s="504">
        <v>4</v>
      </c>
      <c r="J5504" s="504">
        <v>4</v>
      </c>
      <c r="K5504" s="504">
        <v>0</v>
      </c>
      <c r="L5504" s="504">
        <v>0</v>
      </c>
      <c r="M5504" s="504">
        <v>0</v>
      </c>
      <c r="N5504" s="504">
        <v>0</v>
      </c>
      <c r="O5504" s="505">
        <v>0</v>
      </c>
    </row>
    <row r="5505" spans="1:15" x14ac:dyDescent="0.35">
      <c r="A5505" s="500" t="s">
        <v>1623</v>
      </c>
      <c r="B5505" s="501">
        <v>4858</v>
      </c>
      <c r="C5505" s="501" t="s">
        <v>1094</v>
      </c>
      <c r="D5505" s="501" t="s">
        <v>3380</v>
      </c>
      <c r="E5505" s="501" t="s">
        <v>3381</v>
      </c>
      <c r="F5505" s="501" t="s">
        <v>754</v>
      </c>
      <c r="G5505" s="501" t="s">
        <v>755</v>
      </c>
      <c r="H5505" s="501" t="s">
        <v>7808</v>
      </c>
      <c r="I5505" s="501">
        <v>103</v>
      </c>
      <c r="J5505" s="501">
        <v>78</v>
      </c>
      <c r="K5505" s="501">
        <v>0</v>
      </c>
      <c r="L5505" s="501">
        <v>23</v>
      </c>
      <c r="M5505" s="501">
        <v>0</v>
      </c>
      <c r="N5505" s="501">
        <v>0</v>
      </c>
      <c r="O5505" s="506">
        <v>2</v>
      </c>
    </row>
    <row r="5506" spans="1:15" x14ac:dyDescent="0.35">
      <c r="A5506" s="503" t="s">
        <v>1172</v>
      </c>
      <c r="B5506" s="504">
        <v>4648</v>
      </c>
      <c r="C5506" s="504" t="s">
        <v>1089</v>
      </c>
      <c r="D5506" s="504" t="s">
        <v>3392</v>
      </c>
      <c r="E5506" s="504" t="s">
        <v>3381</v>
      </c>
      <c r="F5506" s="504" t="s">
        <v>754</v>
      </c>
      <c r="G5506" s="504" t="s">
        <v>755</v>
      </c>
      <c r="H5506" s="504" t="s">
        <v>7809</v>
      </c>
      <c r="I5506" s="504">
        <v>12</v>
      </c>
      <c r="J5506" s="504">
        <v>0</v>
      </c>
      <c r="K5506" s="504">
        <v>0</v>
      </c>
      <c r="L5506" s="504">
        <v>12</v>
      </c>
      <c r="M5506" s="504">
        <v>0</v>
      </c>
      <c r="N5506" s="504">
        <v>0</v>
      </c>
      <c r="O5506" s="505">
        <v>0</v>
      </c>
    </row>
    <row r="5507" spans="1:15" x14ac:dyDescent="0.35">
      <c r="A5507" s="500" t="s">
        <v>1628</v>
      </c>
      <c r="B5507" s="501" t="s">
        <v>2696</v>
      </c>
      <c r="C5507" s="501" t="s">
        <v>1089</v>
      </c>
      <c r="D5507" s="501" t="s">
        <v>3392</v>
      </c>
      <c r="E5507" s="501" t="s">
        <v>3381</v>
      </c>
      <c r="F5507" s="501" t="s">
        <v>754</v>
      </c>
      <c r="G5507" s="501" t="s">
        <v>755</v>
      </c>
      <c r="H5507" s="501" t="s">
        <v>7810</v>
      </c>
      <c r="I5507" s="501">
        <v>29</v>
      </c>
      <c r="J5507" s="501">
        <v>29</v>
      </c>
      <c r="K5507" s="501">
        <v>0</v>
      </c>
      <c r="L5507" s="501">
        <v>0</v>
      </c>
      <c r="M5507" s="501">
        <v>0</v>
      </c>
      <c r="N5507" s="501">
        <v>0</v>
      </c>
      <c r="O5507" s="506">
        <v>0</v>
      </c>
    </row>
    <row r="5508" spans="1:15" x14ac:dyDescent="0.35">
      <c r="A5508" s="503" t="s">
        <v>1105</v>
      </c>
      <c r="B5508" s="504">
        <v>4668</v>
      </c>
      <c r="C5508" s="504" t="s">
        <v>1094</v>
      </c>
      <c r="D5508" s="504" t="s">
        <v>3380</v>
      </c>
      <c r="E5508" s="504" t="s">
        <v>3381</v>
      </c>
      <c r="F5508" s="504" t="s">
        <v>754</v>
      </c>
      <c r="G5508" s="504" t="s">
        <v>755</v>
      </c>
      <c r="H5508" s="504" t="s">
        <v>7811</v>
      </c>
      <c r="I5508" s="504">
        <v>11</v>
      </c>
      <c r="J5508" s="504">
        <v>0</v>
      </c>
      <c r="K5508" s="504">
        <v>0</v>
      </c>
      <c r="L5508" s="504">
        <v>0</v>
      </c>
      <c r="M5508" s="504">
        <v>0</v>
      </c>
      <c r="N5508" s="504">
        <v>0</v>
      </c>
      <c r="O5508" s="505">
        <v>11</v>
      </c>
    </row>
    <row r="5509" spans="1:15" x14ac:dyDescent="0.35">
      <c r="A5509" s="500" t="s">
        <v>1107</v>
      </c>
      <c r="B5509" s="501" t="s">
        <v>3109</v>
      </c>
      <c r="C5509" s="501" t="s">
        <v>1094</v>
      </c>
      <c r="D5509" s="501" t="s">
        <v>3380</v>
      </c>
      <c r="E5509" s="501" t="s">
        <v>3381</v>
      </c>
      <c r="F5509" s="501" t="s">
        <v>754</v>
      </c>
      <c r="G5509" s="501" t="s">
        <v>755</v>
      </c>
      <c r="H5509" s="501" t="s">
        <v>7812</v>
      </c>
      <c r="I5509" s="501">
        <v>1649</v>
      </c>
      <c r="J5509" s="501">
        <v>1038</v>
      </c>
      <c r="K5509" s="501">
        <v>0</v>
      </c>
      <c r="L5509" s="501">
        <v>350</v>
      </c>
      <c r="M5509" s="501">
        <v>186</v>
      </c>
      <c r="N5509" s="501">
        <v>0</v>
      </c>
      <c r="O5509" s="506">
        <v>75</v>
      </c>
    </row>
    <row r="5510" spans="1:15" x14ac:dyDescent="0.35">
      <c r="A5510" s="503" t="s">
        <v>1632</v>
      </c>
      <c r="B5510" s="504" t="s">
        <v>2481</v>
      </c>
      <c r="C5510" s="504" t="s">
        <v>1089</v>
      </c>
      <c r="D5510" s="504" t="s">
        <v>3392</v>
      </c>
      <c r="E5510" s="504" t="s">
        <v>3381</v>
      </c>
      <c r="F5510" s="504" t="s">
        <v>754</v>
      </c>
      <c r="G5510" s="504" t="s">
        <v>755</v>
      </c>
      <c r="H5510" s="504" t="s">
        <v>7813</v>
      </c>
      <c r="I5510" s="504">
        <v>59</v>
      </c>
      <c r="J5510" s="504">
        <v>59</v>
      </c>
      <c r="K5510" s="504">
        <v>0</v>
      </c>
      <c r="L5510" s="504">
        <v>0</v>
      </c>
      <c r="M5510" s="504">
        <v>0</v>
      </c>
      <c r="N5510" s="504">
        <v>0</v>
      </c>
      <c r="O5510" s="505">
        <v>0</v>
      </c>
    </row>
    <row r="5511" spans="1:15" x14ac:dyDescent="0.35">
      <c r="A5511" s="500" t="s">
        <v>1109</v>
      </c>
      <c r="B5511" s="501" t="s">
        <v>2959</v>
      </c>
      <c r="C5511" s="501" t="s">
        <v>1094</v>
      </c>
      <c r="D5511" s="501" t="s">
        <v>3380</v>
      </c>
      <c r="E5511" s="501" t="s">
        <v>3381</v>
      </c>
      <c r="F5511" s="501" t="s">
        <v>754</v>
      </c>
      <c r="G5511" s="501" t="s">
        <v>755</v>
      </c>
      <c r="H5511" s="501" t="s">
        <v>7814</v>
      </c>
      <c r="I5511" s="501">
        <v>22</v>
      </c>
      <c r="J5511" s="501">
        <v>0</v>
      </c>
      <c r="K5511" s="501">
        <v>0</v>
      </c>
      <c r="L5511" s="501">
        <v>0</v>
      </c>
      <c r="M5511" s="501">
        <v>22</v>
      </c>
      <c r="N5511" s="501">
        <v>0</v>
      </c>
      <c r="O5511" s="506">
        <v>0</v>
      </c>
    </row>
    <row r="5512" spans="1:15" x14ac:dyDescent="0.35">
      <c r="A5512" s="503" t="s">
        <v>1190</v>
      </c>
      <c r="B5512" s="504">
        <v>4662</v>
      </c>
      <c r="C5512" s="504" t="s">
        <v>1094</v>
      </c>
      <c r="D5512" s="504" t="s">
        <v>3380</v>
      </c>
      <c r="E5512" s="504" t="s">
        <v>3381</v>
      </c>
      <c r="F5512" s="504" t="s">
        <v>754</v>
      </c>
      <c r="G5512" s="504" t="s">
        <v>755</v>
      </c>
      <c r="H5512" s="504" t="s">
        <v>7815</v>
      </c>
      <c r="I5512" s="504">
        <v>16</v>
      </c>
      <c r="J5512" s="504">
        <v>0</v>
      </c>
      <c r="K5512" s="504">
        <v>0</v>
      </c>
      <c r="L5512" s="504">
        <v>16</v>
      </c>
      <c r="M5512" s="504">
        <v>0</v>
      </c>
      <c r="N5512" s="504">
        <v>0</v>
      </c>
      <c r="O5512" s="505">
        <v>0</v>
      </c>
    </row>
    <row r="5513" spans="1:15" x14ac:dyDescent="0.35">
      <c r="A5513" s="500" t="s">
        <v>1639</v>
      </c>
      <c r="B5513" s="501">
        <v>4846</v>
      </c>
      <c r="C5513" s="501" t="s">
        <v>1094</v>
      </c>
      <c r="D5513" s="501" t="s">
        <v>3380</v>
      </c>
      <c r="E5513" s="501" t="s">
        <v>3381</v>
      </c>
      <c r="F5513" s="501" t="s">
        <v>754</v>
      </c>
      <c r="G5513" s="501" t="s">
        <v>755</v>
      </c>
      <c r="H5513" s="501" t="s">
        <v>7817</v>
      </c>
      <c r="I5513" s="501">
        <v>3650</v>
      </c>
      <c r="J5513" s="501">
        <v>3124</v>
      </c>
      <c r="K5513" s="501">
        <v>0</v>
      </c>
      <c r="L5513" s="501">
        <v>196</v>
      </c>
      <c r="M5513" s="501">
        <v>208</v>
      </c>
      <c r="N5513" s="501">
        <v>0</v>
      </c>
      <c r="O5513" s="506">
        <v>122</v>
      </c>
    </row>
    <row r="5514" spans="1:15" x14ac:dyDescent="0.35">
      <c r="A5514" s="503" t="s">
        <v>1641</v>
      </c>
      <c r="B5514" s="504">
        <v>4633</v>
      </c>
      <c r="C5514" s="504" t="s">
        <v>1089</v>
      </c>
      <c r="D5514" s="504" t="s">
        <v>3392</v>
      </c>
      <c r="E5514" s="504" t="s">
        <v>3381</v>
      </c>
      <c r="F5514" s="504" t="s">
        <v>754</v>
      </c>
      <c r="G5514" s="504" t="s">
        <v>755</v>
      </c>
      <c r="H5514" s="504" t="s">
        <v>7818</v>
      </c>
      <c r="I5514" s="504">
        <v>756</v>
      </c>
      <c r="J5514" s="504">
        <v>413</v>
      </c>
      <c r="K5514" s="504">
        <v>0</v>
      </c>
      <c r="L5514" s="504">
        <v>319</v>
      </c>
      <c r="M5514" s="504">
        <v>24</v>
      </c>
      <c r="N5514" s="504">
        <v>0</v>
      </c>
      <c r="O5514" s="505">
        <v>0</v>
      </c>
    </row>
    <row r="5515" spans="1:15" x14ac:dyDescent="0.35">
      <c r="A5515" s="500" t="s">
        <v>1497</v>
      </c>
      <c r="B5515" s="501" t="s">
        <v>3290</v>
      </c>
      <c r="C5515" s="501" t="s">
        <v>1089</v>
      </c>
      <c r="D5515" s="501" t="s">
        <v>3392</v>
      </c>
      <c r="E5515" s="501" t="s">
        <v>3381</v>
      </c>
      <c r="F5515" s="501" t="s">
        <v>754</v>
      </c>
      <c r="G5515" s="501" t="s">
        <v>755</v>
      </c>
      <c r="H5515" s="501" t="s">
        <v>7819</v>
      </c>
      <c r="I5515" s="501">
        <v>41</v>
      </c>
      <c r="J5515" s="501">
        <v>0</v>
      </c>
      <c r="K5515" s="501">
        <v>0</v>
      </c>
      <c r="L5515" s="501">
        <v>0</v>
      </c>
      <c r="M5515" s="501">
        <v>41</v>
      </c>
      <c r="N5515" s="501">
        <v>0</v>
      </c>
      <c r="O5515" s="506">
        <v>0</v>
      </c>
    </row>
    <row r="5516" spans="1:15" x14ac:dyDescent="0.35">
      <c r="A5516" s="503" t="s">
        <v>1209</v>
      </c>
      <c r="B5516" s="504">
        <v>4779</v>
      </c>
      <c r="C5516" s="504" t="s">
        <v>1094</v>
      </c>
      <c r="D5516" s="504" t="s">
        <v>3380</v>
      </c>
      <c r="E5516" s="504" t="s">
        <v>3381</v>
      </c>
      <c r="F5516" s="504" t="s">
        <v>754</v>
      </c>
      <c r="G5516" s="504" t="s">
        <v>755</v>
      </c>
      <c r="H5516" s="504" t="s">
        <v>7820</v>
      </c>
      <c r="I5516" s="504">
        <v>23</v>
      </c>
      <c r="J5516" s="504">
        <v>0</v>
      </c>
      <c r="K5516" s="504">
        <v>0</v>
      </c>
      <c r="L5516" s="504">
        <v>23</v>
      </c>
      <c r="M5516" s="504">
        <v>0</v>
      </c>
      <c r="N5516" s="504">
        <v>0</v>
      </c>
      <c r="O5516" s="505">
        <v>0</v>
      </c>
    </row>
    <row r="5517" spans="1:15" x14ac:dyDescent="0.35">
      <c r="A5517" s="500" t="s">
        <v>1643</v>
      </c>
      <c r="B5517" s="501" t="s">
        <v>2776</v>
      </c>
      <c r="C5517" s="501" t="s">
        <v>1089</v>
      </c>
      <c r="D5517" s="501" t="s">
        <v>3392</v>
      </c>
      <c r="E5517" s="501" t="s">
        <v>3381</v>
      </c>
      <c r="F5517" s="501" t="s">
        <v>754</v>
      </c>
      <c r="G5517" s="501" t="s">
        <v>755</v>
      </c>
      <c r="H5517" s="501" t="s">
        <v>7821</v>
      </c>
      <c r="I5517" s="501">
        <v>8</v>
      </c>
      <c r="J5517" s="501">
        <v>8</v>
      </c>
      <c r="K5517" s="501">
        <v>0</v>
      </c>
      <c r="L5517" s="501">
        <v>0</v>
      </c>
      <c r="M5517" s="501">
        <v>0</v>
      </c>
      <c r="N5517" s="501">
        <v>0</v>
      </c>
      <c r="O5517" s="506">
        <v>0</v>
      </c>
    </row>
    <row r="5518" spans="1:15" x14ac:dyDescent="0.35">
      <c r="A5518" s="503" t="s">
        <v>14403</v>
      </c>
      <c r="B5518" s="504" t="s">
        <v>2880</v>
      </c>
      <c r="C5518" s="504" t="s">
        <v>1089</v>
      </c>
      <c r="D5518" s="504" t="s">
        <v>3392</v>
      </c>
      <c r="E5518" s="504" t="s">
        <v>3381</v>
      </c>
      <c r="F5518" s="504" t="s">
        <v>754</v>
      </c>
      <c r="G5518" s="504" t="s">
        <v>755</v>
      </c>
      <c r="H5518" s="504" t="s">
        <v>14862</v>
      </c>
      <c r="I5518" s="504">
        <v>226</v>
      </c>
      <c r="J5518" s="504">
        <v>17</v>
      </c>
      <c r="K5518" s="504">
        <v>125</v>
      </c>
      <c r="L5518" s="504">
        <v>84</v>
      </c>
      <c r="M5518" s="504">
        <v>0</v>
      </c>
      <c r="N5518" s="504">
        <v>0</v>
      </c>
      <c r="O5518" s="505">
        <v>0</v>
      </c>
    </row>
    <row r="5519" spans="1:15" x14ac:dyDescent="0.35">
      <c r="A5519" s="500" t="s">
        <v>1525</v>
      </c>
      <c r="B5519" s="501" t="s">
        <v>2923</v>
      </c>
      <c r="C5519" s="501" t="s">
        <v>1089</v>
      </c>
      <c r="D5519" s="501" t="s">
        <v>3392</v>
      </c>
      <c r="E5519" s="501" t="s">
        <v>3381</v>
      </c>
      <c r="F5519" s="501" t="s">
        <v>754</v>
      </c>
      <c r="G5519" s="501" t="s">
        <v>755</v>
      </c>
      <c r="H5519" s="501" t="s">
        <v>7822</v>
      </c>
      <c r="I5519" s="501">
        <v>4</v>
      </c>
      <c r="J5519" s="501">
        <v>0</v>
      </c>
      <c r="K5519" s="501">
        <v>0</v>
      </c>
      <c r="L5519" s="501">
        <v>4</v>
      </c>
      <c r="M5519" s="501">
        <v>0</v>
      </c>
      <c r="N5519" s="501">
        <v>0</v>
      </c>
      <c r="O5519" s="506">
        <v>0</v>
      </c>
    </row>
    <row r="5520" spans="1:15" x14ac:dyDescent="0.35">
      <c r="A5520" s="503" t="s">
        <v>1122</v>
      </c>
      <c r="B5520" s="504" t="s">
        <v>2994</v>
      </c>
      <c r="C5520" s="504" t="s">
        <v>1094</v>
      </c>
      <c r="D5520" s="504" t="s">
        <v>3380</v>
      </c>
      <c r="E5520" s="504" t="s">
        <v>3381</v>
      </c>
      <c r="F5520" s="504" t="s">
        <v>754</v>
      </c>
      <c r="G5520" s="504" t="s">
        <v>755</v>
      </c>
      <c r="H5520" s="504" t="s">
        <v>7823</v>
      </c>
      <c r="I5520" s="504">
        <v>1463</v>
      </c>
      <c r="J5520" s="504">
        <v>1310</v>
      </c>
      <c r="K5520" s="504">
        <v>0</v>
      </c>
      <c r="L5520" s="504">
        <v>12</v>
      </c>
      <c r="M5520" s="504">
        <v>125</v>
      </c>
      <c r="N5520" s="504">
        <v>0</v>
      </c>
      <c r="O5520" s="505">
        <v>16</v>
      </c>
    </row>
    <row r="5521" spans="1:15" x14ac:dyDescent="0.35">
      <c r="A5521" s="500" t="s">
        <v>1225</v>
      </c>
      <c r="B5521" s="501" t="s">
        <v>3315</v>
      </c>
      <c r="C5521" s="501" t="s">
        <v>1094</v>
      </c>
      <c r="D5521" s="501" t="s">
        <v>3380</v>
      </c>
      <c r="E5521" s="501" t="s">
        <v>3381</v>
      </c>
      <c r="F5521" s="501" t="s">
        <v>754</v>
      </c>
      <c r="G5521" s="501" t="s">
        <v>755</v>
      </c>
      <c r="H5521" s="501" t="s">
        <v>7824</v>
      </c>
      <c r="I5521" s="501">
        <v>28</v>
      </c>
      <c r="J5521" s="501">
        <v>0</v>
      </c>
      <c r="K5521" s="501">
        <v>0</v>
      </c>
      <c r="L5521" s="501">
        <v>28</v>
      </c>
      <c r="M5521" s="501">
        <v>0</v>
      </c>
      <c r="N5521" s="501">
        <v>0</v>
      </c>
      <c r="O5521" s="506">
        <v>0</v>
      </c>
    </row>
    <row r="5522" spans="1:15" x14ac:dyDescent="0.35">
      <c r="A5522" s="503" t="s">
        <v>1228</v>
      </c>
      <c r="B5522" s="504" t="s">
        <v>3321</v>
      </c>
      <c r="C5522" s="504" t="s">
        <v>1094</v>
      </c>
      <c r="D5522" s="504" t="s">
        <v>3380</v>
      </c>
      <c r="E5522" s="504" t="s">
        <v>3381</v>
      </c>
      <c r="F5522" s="504" t="s">
        <v>754</v>
      </c>
      <c r="G5522" s="504" t="s">
        <v>755</v>
      </c>
      <c r="H5522" s="504" t="s">
        <v>7825</v>
      </c>
      <c r="I5522" s="504">
        <v>9</v>
      </c>
      <c r="J5522" s="504">
        <v>0</v>
      </c>
      <c r="K5522" s="504">
        <v>0</v>
      </c>
      <c r="L5522" s="504">
        <v>9</v>
      </c>
      <c r="M5522" s="504">
        <v>0</v>
      </c>
      <c r="N5522" s="504">
        <v>0</v>
      </c>
      <c r="O5522" s="505">
        <v>0</v>
      </c>
    </row>
    <row r="5523" spans="1:15" x14ac:dyDescent="0.35">
      <c r="A5523" s="500" t="s">
        <v>1648</v>
      </c>
      <c r="B5523" s="501" t="s">
        <v>2496</v>
      </c>
      <c r="C5523" s="501" t="s">
        <v>1094</v>
      </c>
      <c r="D5523" s="501" t="s">
        <v>3380</v>
      </c>
      <c r="E5523" s="501" t="s">
        <v>3381</v>
      </c>
      <c r="F5523" s="501" t="s">
        <v>754</v>
      </c>
      <c r="G5523" s="501" t="s">
        <v>755</v>
      </c>
      <c r="H5523" s="501" t="s">
        <v>7826</v>
      </c>
      <c r="I5523" s="501">
        <v>78</v>
      </c>
      <c r="J5523" s="501">
        <v>15</v>
      </c>
      <c r="K5523" s="501">
        <v>0</v>
      </c>
      <c r="L5523" s="501">
        <v>33</v>
      </c>
      <c r="M5523" s="501">
        <v>30</v>
      </c>
      <c r="N5523" s="501">
        <v>0</v>
      </c>
      <c r="O5523" s="506">
        <v>0</v>
      </c>
    </row>
    <row r="5524" spans="1:15" x14ac:dyDescent="0.35">
      <c r="A5524" s="503" t="s">
        <v>11397</v>
      </c>
      <c r="B5524" s="504" t="s">
        <v>2724</v>
      </c>
      <c r="C5524" s="504" t="s">
        <v>1089</v>
      </c>
      <c r="D5524" s="504" t="s">
        <v>3392</v>
      </c>
      <c r="E5524" s="504" t="s">
        <v>3381</v>
      </c>
      <c r="F5524" s="504" t="s">
        <v>754</v>
      </c>
      <c r="G5524" s="504" t="s">
        <v>755</v>
      </c>
      <c r="H5524" s="504" t="s">
        <v>12185</v>
      </c>
      <c r="I5524" s="504">
        <v>12</v>
      </c>
      <c r="J5524" s="504">
        <v>0</v>
      </c>
      <c r="K5524" s="504">
        <v>12</v>
      </c>
      <c r="L5524" s="504">
        <v>0</v>
      </c>
      <c r="M5524" s="504">
        <v>0</v>
      </c>
      <c r="N5524" s="504">
        <v>0</v>
      </c>
      <c r="O5524" s="505">
        <v>0</v>
      </c>
    </row>
    <row r="5525" spans="1:15" x14ac:dyDescent="0.35">
      <c r="A5525" s="500" t="s">
        <v>1656</v>
      </c>
      <c r="B5525" s="501">
        <v>4756</v>
      </c>
      <c r="C5525" s="501" t="s">
        <v>1089</v>
      </c>
      <c r="D5525" s="501" t="s">
        <v>3392</v>
      </c>
      <c r="E5525" s="501" t="s">
        <v>3381</v>
      </c>
      <c r="F5525" s="501" t="s">
        <v>754</v>
      </c>
      <c r="G5525" s="501" t="s">
        <v>755</v>
      </c>
      <c r="H5525" s="501" t="s">
        <v>7827</v>
      </c>
      <c r="I5525" s="501">
        <v>53</v>
      </c>
      <c r="J5525" s="501">
        <v>17</v>
      </c>
      <c r="K5525" s="501">
        <v>0</v>
      </c>
      <c r="L5525" s="501">
        <v>36</v>
      </c>
      <c r="M5525" s="501">
        <v>0</v>
      </c>
      <c r="N5525" s="501">
        <v>0</v>
      </c>
      <c r="O5525" s="506">
        <v>0</v>
      </c>
    </row>
    <row r="5526" spans="1:15" x14ac:dyDescent="0.35">
      <c r="A5526" s="503" t="s">
        <v>1253</v>
      </c>
      <c r="B5526" s="504" t="s">
        <v>3232</v>
      </c>
      <c r="C5526" s="504" t="s">
        <v>1094</v>
      </c>
      <c r="D5526" s="504" t="s">
        <v>3380</v>
      </c>
      <c r="E5526" s="504" t="s">
        <v>3381</v>
      </c>
      <c r="F5526" s="504" t="s">
        <v>754</v>
      </c>
      <c r="G5526" s="504" t="s">
        <v>755</v>
      </c>
      <c r="H5526" s="504" t="s">
        <v>7828</v>
      </c>
      <c r="I5526" s="504">
        <v>1130</v>
      </c>
      <c r="J5526" s="504">
        <v>717</v>
      </c>
      <c r="K5526" s="504">
        <v>0</v>
      </c>
      <c r="L5526" s="504">
        <v>128</v>
      </c>
      <c r="M5526" s="504">
        <v>173</v>
      </c>
      <c r="N5526" s="504">
        <v>0</v>
      </c>
      <c r="O5526" s="505">
        <v>112</v>
      </c>
    </row>
    <row r="5527" spans="1:15" x14ac:dyDescent="0.35">
      <c r="A5527" s="500" t="s">
        <v>2123</v>
      </c>
      <c r="B5527" s="501" t="s">
        <v>3338</v>
      </c>
      <c r="C5527" s="501" t="s">
        <v>1094</v>
      </c>
      <c r="D5527" s="501" t="s">
        <v>3380</v>
      </c>
      <c r="E5527" s="501" t="s">
        <v>3381</v>
      </c>
      <c r="F5527" s="501" t="s">
        <v>754</v>
      </c>
      <c r="G5527" s="501" t="s">
        <v>755</v>
      </c>
      <c r="H5527" s="501" t="s">
        <v>14863</v>
      </c>
      <c r="I5527" s="501">
        <v>1</v>
      </c>
      <c r="J5527" s="501">
        <v>0</v>
      </c>
      <c r="K5527" s="501">
        <v>0</v>
      </c>
      <c r="L5527" s="501">
        <v>0</v>
      </c>
      <c r="M5527" s="501">
        <v>0</v>
      </c>
      <c r="N5527" s="501">
        <v>0</v>
      </c>
      <c r="O5527" s="506">
        <v>1</v>
      </c>
    </row>
    <row r="5528" spans="1:15" x14ac:dyDescent="0.35">
      <c r="A5528" s="503" t="s">
        <v>1368</v>
      </c>
      <c r="B5528" s="504" t="s">
        <v>3220</v>
      </c>
      <c r="C5528" s="504" t="s">
        <v>1094</v>
      </c>
      <c r="D5528" s="504" t="s">
        <v>3380</v>
      </c>
      <c r="E5528" s="504" t="s">
        <v>3381</v>
      </c>
      <c r="F5528" s="504" t="s">
        <v>754</v>
      </c>
      <c r="G5528" s="504" t="s">
        <v>755</v>
      </c>
      <c r="H5528" s="504" t="s">
        <v>7829</v>
      </c>
      <c r="I5528" s="504">
        <v>112</v>
      </c>
      <c r="J5528" s="504">
        <v>59</v>
      </c>
      <c r="K5528" s="504">
        <v>0</v>
      </c>
      <c r="L5528" s="504">
        <v>5</v>
      </c>
      <c r="M5528" s="504">
        <v>29</v>
      </c>
      <c r="N5528" s="504">
        <v>0</v>
      </c>
      <c r="O5528" s="505">
        <v>19</v>
      </c>
    </row>
    <row r="5529" spans="1:15" x14ac:dyDescent="0.35">
      <c r="A5529" s="500" t="s">
        <v>1661</v>
      </c>
      <c r="B5529" s="501" t="s">
        <v>3345</v>
      </c>
      <c r="C5529" s="501" t="s">
        <v>1089</v>
      </c>
      <c r="D5529" s="501" t="s">
        <v>3392</v>
      </c>
      <c r="E5529" s="501" t="s">
        <v>3381</v>
      </c>
      <c r="F5529" s="501" t="s">
        <v>754</v>
      </c>
      <c r="G5529" s="501" t="s">
        <v>755</v>
      </c>
      <c r="H5529" s="501" t="s">
        <v>7830</v>
      </c>
      <c r="I5529" s="501">
        <v>210</v>
      </c>
      <c r="J5529" s="501">
        <v>2</v>
      </c>
      <c r="K5529" s="501">
        <v>0</v>
      </c>
      <c r="L5529" s="501">
        <v>208</v>
      </c>
      <c r="M5529" s="501">
        <v>0</v>
      </c>
      <c r="N5529" s="501">
        <v>0</v>
      </c>
      <c r="O5529" s="506">
        <v>0</v>
      </c>
    </row>
    <row r="5530" spans="1:15" x14ac:dyDescent="0.35">
      <c r="A5530" s="503" t="s">
        <v>1664</v>
      </c>
      <c r="B5530" s="504" t="s">
        <v>2706</v>
      </c>
      <c r="C5530" s="504" t="s">
        <v>1089</v>
      </c>
      <c r="D5530" s="504" t="s">
        <v>3392</v>
      </c>
      <c r="E5530" s="504" t="s">
        <v>3381</v>
      </c>
      <c r="F5530" s="504" t="s">
        <v>754</v>
      </c>
      <c r="G5530" s="504" t="s">
        <v>755</v>
      </c>
      <c r="H5530" s="504" t="s">
        <v>7831</v>
      </c>
      <c r="I5530" s="504">
        <v>13</v>
      </c>
      <c r="J5530" s="504">
        <v>13</v>
      </c>
      <c r="K5530" s="504">
        <v>0</v>
      </c>
      <c r="L5530" s="504">
        <v>0</v>
      </c>
      <c r="M5530" s="504">
        <v>0</v>
      </c>
      <c r="N5530" s="504">
        <v>0</v>
      </c>
      <c r="O5530" s="505">
        <v>0</v>
      </c>
    </row>
    <row r="5531" spans="1:15" x14ac:dyDescent="0.35">
      <c r="A5531" s="500" t="s">
        <v>1668</v>
      </c>
      <c r="B5531" s="501" t="s">
        <v>3035</v>
      </c>
      <c r="C5531" s="501" t="s">
        <v>1089</v>
      </c>
      <c r="D5531" s="501" t="s">
        <v>3392</v>
      </c>
      <c r="E5531" s="501" t="s">
        <v>3381</v>
      </c>
      <c r="F5531" s="501" t="s">
        <v>756</v>
      </c>
      <c r="G5531" s="501" t="s">
        <v>757</v>
      </c>
      <c r="H5531" s="501" t="s">
        <v>7832</v>
      </c>
      <c r="I5531" s="501">
        <v>71</v>
      </c>
      <c r="J5531" s="501">
        <v>0</v>
      </c>
      <c r="K5531" s="501">
        <v>0</v>
      </c>
      <c r="L5531" s="501">
        <v>0</v>
      </c>
      <c r="M5531" s="501">
        <v>71</v>
      </c>
      <c r="N5531" s="501">
        <v>0</v>
      </c>
      <c r="O5531" s="506">
        <v>0</v>
      </c>
    </row>
    <row r="5532" spans="1:15" x14ac:dyDescent="0.35">
      <c r="A5532" s="503" t="s">
        <v>1096</v>
      </c>
      <c r="B5532" s="504" t="s">
        <v>3326</v>
      </c>
      <c r="C5532" s="504" t="s">
        <v>1094</v>
      </c>
      <c r="D5532" s="504" t="s">
        <v>3380</v>
      </c>
      <c r="E5532" s="504" t="s">
        <v>3381</v>
      </c>
      <c r="F5532" s="504" t="s">
        <v>756</v>
      </c>
      <c r="G5532" s="504" t="s">
        <v>757</v>
      </c>
      <c r="H5532" s="504" t="s">
        <v>7833</v>
      </c>
      <c r="I5532" s="504">
        <v>41</v>
      </c>
      <c r="J5532" s="504">
        <v>0</v>
      </c>
      <c r="K5532" s="504">
        <v>0</v>
      </c>
      <c r="L5532" s="504">
        <v>0</v>
      </c>
      <c r="M5532" s="504">
        <v>41</v>
      </c>
      <c r="N5532" s="504">
        <v>0</v>
      </c>
      <c r="O5532" s="505">
        <v>0</v>
      </c>
    </row>
    <row r="5533" spans="1:15" x14ac:dyDescent="0.35">
      <c r="A5533" s="500" t="s">
        <v>1672</v>
      </c>
      <c r="B5533" s="501" t="s">
        <v>3166</v>
      </c>
      <c r="C5533" s="501" t="s">
        <v>1094</v>
      </c>
      <c r="D5533" s="501" t="s">
        <v>3380</v>
      </c>
      <c r="E5533" s="501" t="s">
        <v>3381</v>
      </c>
      <c r="F5533" s="501" t="s">
        <v>756</v>
      </c>
      <c r="G5533" s="501" t="s">
        <v>757</v>
      </c>
      <c r="H5533" s="501" t="s">
        <v>7834</v>
      </c>
      <c r="I5533" s="501">
        <v>8103</v>
      </c>
      <c r="J5533" s="501">
        <v>7406</v>
      </c>
      <c r="K5533" s="501">
        <v>0</v>
      </c>
      <c r="L5533" s="501">
        <v>0</v>
      </c>
      <c r="M5533" s="501">
        <v>547</v>
      </c>
      <c r="N5533" s="501">
        <v>32</v>
      </c>
      <c r="O5533" s="506">
        <v>150</v>
      </c>
    </row>
    <row r="5534" spans="1:15" x14ac:dyDescent="0.35">
      <c r="A5534" s="503" t="s">
        <v>11363</v>
      </c>
      <c r="B5534" s="504">
        <v>4718</v>
      </c>
      <c r="C5534" s="504" t="s">
        <v>1094</v>
      </c>
      <c r="D5534" s="504" t="s">
        <v>3380</v>
      </c>
      <c r="E5534" s="504" t="s">
        <v>3381</v>
      </c>
      <c r="F5534" s="504" t="s">
        <v>756</v>
      </c>
      <c r="G5534" s="504" t="s">
        <v>757</v>
      </c>
      <c r="H5534" s="504" t="s">
        <v>11567</v>
      </c>
      <c r="I5534" s="504">
        <v>4</v>
      </c>
      <c r="J5534" s="504">
        <v>0</v>
      </c>
      <c r="K5534" s="504">
        <v>0</v>
      </c>
      <c r="L5534" s="504">
        <v>4</v>
      </c>
      <c r="M5534" s="504">
        <v>0</v>
      </c>
      <c r="N5534" s="504">
        <v>0</v>
      </c>
      <c r="O5534" s="505">
        <v>0</v>
      </c>
    </row>
    <row r="5535" spans="1:15" x14ac:dyDescent="0.35">
      <c r="A5535" s="500" t="s">
        <v>2064</v>
      </c>
      <c r="B5535" s="501" t="s">
        <v>2944</v>
      </c>
      <c r="C5535" s="501" t="s">
        <v>1089</v>
      </c>
      <c r="D5535" s="501" t="s">
        <v>3392</v>
      </c>
      <c r="E5535" s="501" t="s">
        <v>3381</v>
      </c>
      <c r="F5535" s="501" t="s">
        <v>756</v>
      </c>
      <c r="G5535" s="501" t="s">
        <v>757</v>
      </c>
      <c r="H5535" s="501" t="s">
        <v>7835</v>
      </c>
      <c r="I5535" s="501">
        <v>6</v>
      </c>
      <c r="J5535" s="501">
        <v>0</v>
      </c>
      <c r="K5535" s="501">
        <v>0</v>
      </c>
      <c r="L5535" s="501">
        <v>6</v>
      </c>
      <c r="M5535" s="501">
        <v>0</v>
      </c>
      <c r="N5535" s="501">
        <v>0</v>
      </c>
      <c r="O5535" s="506">
        <v>0</v>
      </c>
    </row>
    <row r="5536" spans="1:15" x14ac:dyDescent="0.35">
      <c r="A5536" s="503" t="s">
        <v>2070</v>
      </c>
      <c r="B5536" s="504" t="s">
        <v>3154</v>
      </c>
      <c r="C5536" s="504" t="s">
        <v>1089</v>
      </c>
      <c r="D5536" s="504" t="s">
        <v>3392</v>
      </c>
      <c r="E5536" s="504" t="s">
        <v>3381</v>
      </c>
      <c r="F5536" s="504" t="s">
        <v>756</v>
      </c>
      <c r="G5536" s="504" t="s">
        <v>757</v>
      </c>
      <c r="H5536" s="504" t="s">
        <v>7836</v>
      </c>
      <c r="I5536" s="504">
        <v>8</v>
      </c>
      <c r="J5536" s="504">
        <v>0</v>
      </c>
      <c r="K5536" s="504">
        <v>0</v>
      </c>
      <c r="L5536" s="504">
        <v>8</v>
      </c>
      <c r="M5536" s="504">
        <v>0</v>
      </c>
      <c r="N5536" s="504">
        <v>0</v>
      </c>
      <c r="O5536" s="505">
        <v>0</v>
      </c>
    </row>
    <row r="5537" spans="1:15" x14ac:dyDescent="0.35">
      <c r="A5537" s="500" t="s">
        <v>1100</v>
      </c>
      <c r="B5537" s="501">
        <v>4865</v>
      </c>
      <c r="C5537" s="501" t="s">
        <v>1094</v>
      </c>
      <c r="D5537" s="501" t="s">
        <v>3380</v>
      </c>
      <c r="E5537" s="501" t="s">
        <v>3381</v>
      </c>
      <c r="F5537" s="501" t="s">
        <v>756</v>
      </c>
      <c r="G5537" s="501" t="s">
        <v>757</v>
      </c>
      <c r="H5537" s="501" t="s">
        <v>7837</v>
      </c>
      <c r="I5537" s="501">
        <v>79</v>
      </c>
      <c r="J5537" s="501">
        <v>79</v>
      </c>
      <c r="K5537" s="501">
        <v>0</v>
      </c>
      <c r="L5537" s="501">
        <v>0</v>
      </c>
      <c r="M5537" s="501">
        <v>0</v>
      </c>
      <c r="N5537" s="501">
        <v>0</v>
      </c>
      <c r="O5537" s="506">
        <v>0</v>
      </c>
    </row>
    <row r="5538" spans="1:15" x14ac:dyDescent="0.35">
      <c r="A5538" s="503" t="s">
        <v>2078</v>
      </c>
      <c r="B5538" s="504" t="s">
        <v>3152</v>
      </c>
      <c r="C5538" s="504" t="s">
        <v>1094</v>
      </c>
      <c r="D5538" s="504" t="s">
        <v>3380</v>
      </c>
      <c r="E5538" s="504" t="s">
        <v>3381</v>
      </c>
      <c r="F5538" s="504" t="s">
        <v>756</v>
      </c>
      <c r="G5538" s="504" t="s">
        <v>757</v>
      </c>
      <c r="H5538" s="504" t="s">
        <v>7838</v>
      </c>
      <c r="I5538" s="504">
        <v>35</v>
      </c>
      <c r="J5538" s="504">
        <v>35</v>
      </c>
      <c r="K5538" s="504">
        <v>0</v>
      </c>
      <c r="L5538" s="504">
        <v>0</v>
      </c>
      <c r="M5538" s="504">
        <v>0</v>
      </c>
      <c r="N5538" s="504">
        <v>0</v>
      </c>
      <c r="O5538" s="505">
        <v>0</v>
      </c>
    </row>
    <row r="5539" spans="1:15" x14ac:dyDescent="0.35">
      <c r="A5539" s="500" t="s">
        <v>14208</v>
      </c>
      <c r="B5539" s="501">
        <v>4803</v>
      </c>
      <c r="C5539" s="501" t="s">
        <v>1094</v>
      </c>
      <c r="D5539" s="501" t="s">
        <v>3380</v>
      </c>
      <c r="E5539" s="501" t="s">
        <v>3381</v>
      </c>
      <c r="F5539" s="501" t="s">
        <v>756</v>
      </c>
      <c r="G5539" s="501" t="s">
        <v>757</v>
      </c>
      <c r="H5539" s="501" t="s">
        <v>14864</v>
      </c>
      <c r="I5539" s="501">
        <v>6</v>
      </c>
      <c r="J5539" s="501">
        <v>0</v>
      </c>
      <c r="K5539" s="501">
        <v>0</v>
      </c>
      <c r="L5539" s="501">
        <v>6</v>
      </c>
      <c r="M5539" s="501">
        <v>0</v>
      </c>
      <c r="N5539" s="501">
        <v>0</v>
      </c>
      <c r="O5539" s="506">
        <v>0</v>
      </c>
    </row>
    <row r="5540" spans="1:15" x14ac:dyDescent="0.35">
      <c r="A5540" s="503" t="s">
        <v>14213</v>
      </c>
      <c r="B5540" s="504" t="s">
        <v>3312</v>
      </c>
      <c r="C5540" s="504" t="s">
        <v>1094</v>
      </c>
      <c r="D5540" s="504" t="s">
        <v>3380</v>
      </c>
      <c r="E5540" s="504" t="s">
        <v>3381</v>
      </c>
      <c r="F5540" s="504" t="s">
        <v>756</v>
      </c>
      <c r="G5540" s="504" t="s">
        <v>757</v>
      </c>
      <c r="H5540" s="504" t="s">
        <v>14865</v>
      </c>
      <c r="I5540" s="504">
        <v>2</v>
      </c>
      <c r="J5540" s="504">
        <v>2</v>
      </c>
      <c r="K5540" s="504">
        <v>0</v>
      </c>
      <c r="L5540" s="504">
        <v>0</v>
      </c>
      <c r="M5540" s="504">
        <v>0</v>
      </c>
      <c r="N5540" s="504">
        <v>0</v>
      </c>
      <c r="O5540" s="505">
        <v>0</v>
      </c>
    </row>
    <row r="5541" spans="1:15" x14ac:dyDescent="0.35">
      <c r="A5541" s="500" t="s">
        <v>1714</v>
      </c>
      <c r="B5541" s="501" t="s">
        <v>3287</v>
      </c>
      <c r="C5541" s="501" t="s">
        <v>1094</v>
      </c>
      <c r="D5541" s="501" t="s">
        <v>3380</v>
      </c>
      <c r="E5541" s="501" t="s">
        <v>3381</v>
      </c>
      <c r="F5541" s="501" t="s">
        <v>756</v>
      </c>
      <c r="G5541" s="501" t="s">
        <v>757</v>
      </c>
      <c r="H5541" s="501" t="s">
        <v>7839</v>
      </c>
      <c r="I5541" s="501">
        <v>521</v>
      </c>
      <c r="J5541" s="501">
        <v>509</v>
      </c>
      <c r="K5541" s="501">
        <v>0</v>
      </c>
      <c r="L5541" s="501">
        <v>3</v>
      </c>
      <c r="M5541" s="501">
        <v>0</v>
      </c>
      <c r="N5541" s="501">
        <v>0</v>
      </c>
      <c r="O5541" s="506">
        <v>9</v>
      </c>
    </row>
    <row r="5542" spans="1:15" x14ac:dyDescent="0.35">
      <c r="A5542" s="503" t="s">
        <v>1109</v>
      </c>
      <c r="B5542" s="504" t="s">
        <v>2959</v>
      </c>
      <c r="C5542" s="504" t="s">
        <v>1094</v>
      </c>
      <c r="D5542" s="504" t="s">
        <v>3380</v>
      </c>
      <c r="E5542" s="504" t="s">
        <v>3381</v>
      </c>
      <c r="F5542" s="504" t="s">
        <v>756</v>
      </c>
      <c r="G5542" s="504" t="s">
        <v>757</v>
      </c>
      <c r="H5542" s="504" t="s">
        <v>7840</v>
      </c>
      <c r="I5542" s="504">
        <v>63</v>
      </c>
      <c r="J5542" s="504">
        <v>0</v>
      </c>
      <c r="K5542" s="504">
        <v>0</v>
      </c>
      <c r="L5542" s="504">
        <v>0</v>
      </c>
      <c r="M5542" s="504">
        <v>50</v>
      </c>
      <c r="N5542" s="504">
        <v>0</v>
      </c>
      <c r="O5542" s="505">
        <v>13</v>
      </c>
    </row>
    <row r="5543" spans="1:15" x14ac:dyDescent="0.35">
      <c r="A5543" s="500" t="s">
        <v>1207</v>
      </c>
      <c r="B5543" s="501" t="s">
        <v>3202</v>
      </c>
      <c r="C5543" s="501" t="s">
        <v>1094</v>
      </c>
      <c r="D5543" s="501" t="s">
        <v>3380</v>
      </c>
      <c r="E5543" s="501" t="s">
        <v>3381</v>
      </c>
      <c r="F5543" s="501" t="s">
        <v>756</v>
      </c>
      <c r="G5543" s="501" t="s">
        <v>757</v>
      </c>
      <c r="H5543" s="501" t="s">
        <v>7841</v>
      </c>
      <c r="I5543" s="501">
        <v>23</v>
      </c>
      <c r="J5543" s="501">
        <v>2</v>
      </c>
      <c r="K5543" s="501">
        <v>0</v>
      </c>
      <c r="L5543" s="501">
        <v>9</v>
      </c>
      <c r="M5543" s="501">
        <v>8</v>
      </c>
      <c r="N5543" s="501">
        <v>0</v>
      </c>
      <c r="O5543" s="506">
        <v>4</v>
      </c>
    </row>
    <row r="5544" spans="1:15" x14ac:dyDescent="0.35">
      <c r="A5544" s="503" t="s">
        <v>1748</v>
      </c>
      <c r="B5544" s="504" t="s">
        <v>3233</v>
      </c>
      <c r="C5544" s="504" t="s">
        <v>1094</v>
      </c>
      <c r="D5544" s="504" t="s">
        <v>3380</v>
      </c>
      <c r="E5544" s="504" t="s">
        <v>3381</v>
      </c>
      <c r="F5544" s="504" t="s">
        <v>756</v>
      </c>
      <c r="G5544" s="504" t="s">
        <v>757</v>
      </c>
      <c r="H5544" s="504" t="s">
        <v>7842</v>
      </c>
      <c r="I5544" s="504">
        <v>4</v>
      </c>
      <c r="J5544" s="504">
        <v>0</v>
      </c>
      <c r="K5544" s="504">
        <v>0</v>
      </c>
      <c r="L5544" s="504">
        <v>4</v>
      </c>
      <c r="M5544" s="504">
        <v>0</v>
      </c>
      <c r="N5544" s="504">
        <v>0</v>
      </c>
      <c r="O5544" s="505">
        <v>0</v>
      </c>
    </row>
    <row r="5545" spans="1:15" x14ac:dyDescent="0.35">
      <c r="A5545" s="500" t="s">
        <v>1233</v>
      </c>
      <c r="B5545" s="501">
        <v>4636</v>
      </c>
      <c r="C5545" s="501" t="s">
        <v>1094</v>
      </c>
      <c r="D5545" s="501" t="s">
        <v>3380</v>
      </c>
      <c r="E5545" s="501" t="s">
        <v>3381</v>
      </c>
      <c r="F5545" s="501" t="s">
        <v>756</v>
      </c>
      <c r="G5545" s="501" t="s">
        <v>757</v>
      </c>
      <c r="H5545" s="501" t="s">
        <v>12018</v>
      </c>
      <c r="I5545" s="501">
        <v>41</v>
      </c>
      <c r="J5545" s="501">
        <v>4</v>
      </c>
      <c r="K5545" s="501">
        <v>0</v>
      </c>
      <c r="L5545" s="501">
        <v>0</v>
      </c>
      <c r="M5545" s="501">
        <v>0</v>
      </c>
      <c r="N5545" s="501">
        <v>0</v>
      </c>
      <c r="O5545" s="506">
        <v>37</v>
      </c>
    </row>
    <row r="5546" spans="1:15" x14ac:dyDescent="0.35">
      <c r="A5546" s="503" t="s">
        <v>1126</v>
      </c>
      <c r="B5546" s="504" t="s">
        <v>2974</v>
      </c>
      <c r="C5546" s="504" t="s">
        <v>1094</v>
      </c>
      <c r="D5546" s="504" t="s">
        <v>3380</v>
      </c>
      <c r="E5546" s="504" t="s">
        <v>3381</v>
      </c>
      <c r="F5546" s="504" t="s">
        <v>756</v>
      </c>
      <c r="G5546" s="504" t="s">
        <v>757</v>
      </c>
      <c r="H5546" s="504" t="s">
        <v>7843</v>
      </c>
      <c r="I5546" s="504">
        <v>772</v>
      </c>
      <c r="J5546" s="504">
        <v>597</v>
      </c>
      <c r="K5546" s="504">
        <v>0</v>
      </c>
      <c r="L5546" s="504">
        <v>6</v>
      </c>
      <c r="M5546" s="504">
        <v>111</v>
      </c>
      <c r="N5546" s="504">
        <v>0</v>
      </c>
      <c r="O5546" s="505">
        <v>58</v>
      </c>
    </row>
    <row r="5547" spans="1:15" x14ac:dyDescent="0.35">
      <c r="A5547" s="500" t="s">
        <v>1249</v>
      </c>
      <c r="B5547" s="501">
        <v>4729</v>
      </c>
      <c r="C5547" s="501" t="s">
        <v>1094</v>
      </c>
      <c r="D5547" s="501" t="s">
        <v>3380</v>
      </c>
      <c r="E5547" s="501" t="s">
        <v>3381</v>
      </c>
      <c r="F5547" s="501" t="s">
        <v>756</v>
      </c>
      <c r="G5547" s="501" t="s">
        <v>757</v>
      </c>
      <c r="H5547" s="501" t="s">
        <v>7844</v>
      </c>
      <c r="I5547" s="501">
        <v>5</v>
      </c>
      <c r="J5547" s="501">
        <v>2</v>
      </c>
      <c r="K5547" s="501">
        <v>0</v>
      </c>
      <c r="L5547" s="501">
        <v>0</v>
      </c>
      <c r="M5547" s="501">
        <v>0</v>
      </c>
      <c r="N5547" s="501">
        <v>0</v>
      </c>
      <c r="O5547" s="506">
        <v>3</v>
      </c>
    </row>
    <row r="5548" spans="1:15" x14ac:dyDescent="0.35">
      <c r="A5548" s="503" t="s">
        <v>1253</v>
      </c>
      <c r="B5548" s="504" t="s">
        <v>3232</v>
      </c>
      <c r="C5548" s="504" t="s">
        <v>1094</v>
      </c>
      <c r="D5548" s="504" t="s">
        <v>3380</v>
      </c>
      <c r="E5548" s="504" t="s">
        <v>3381</v>
      </c>
      <c r="F5548" s="504" t="s">
        <v>756</v>
      </c>
      <c r="G5548" s="504" t="s">
        <v>757</v>
      </c>
      <c r="H5548" s="504" t="s">
        <v>7845</v>
      </c>
      <c r="I5548" s="504">
        <v>9</v>
      </c>
      <c r="J5548" s="504">
        <v>0</v>
      </c>
      <c r="K5548" s="504">
        <v>0</v>
      </c>
      <c r="L5548" s="504">
        <v>9</v>
      </c>
      <c r="M5548" s="504">
        <v>0</v>
      </c>
      <c r="N5548" s="504">
        <v>0</v>
      </c>
      <c r="O5548" s="505">
        <v>0</v>
      </c>
    </row>
    <row r="5549" spans="1:15" x14ac:dyDescent="0.35">
      <c r="A5549" s="500" t="s">
        <v>2123</v>
      </c>
      <c r="B5549" s="501" t="s">
        <v>3338</v>
      </c>
      <c r="C5549" s="501" t="s">
        <v>1094</v>
      </c>
      <c r="D5549" s="501" t="s">
        <v>3380</v>
      </c>
      <c r="E5549" s="501" t="s">
        <v>3381</v>
      </c>
      <c r="F5549" s="501" t="s">
        <v>756</v>
      </c>
      <c r="G5549" s="501" t="s">
        <v>757</v>
      </c>
      <c r="H5549" s="501" t="s">
        <v>7846</v>
      </c>
      <c r="I5549" s="501">
        <v>116</v>
      </c>
      <c r="J5549" s="501">
        <v>51</v>
      </c>
      <c r="K5549" s="501">
        <v>0</v>
      </c>
      <c r="L5549" s="501">
        <v>65</v>
      </c>
      <c r="M5549" s="501">
        <v>0</v>
      </c>
      <c r="N5549" s="501">
        <v>3</v>
      </c>
      <c r="O5549" s="506">
        <v>0</v>
      </c>
    </row>
    <row r="5550" spans="1:15" x14ac:dyDescent="0.35">
      <c r="A5550" s="503" t="s">
        <v>1385</v>
      </c>
      <c r="B5550" s="504" t="s">
        <v>3249</v>
      </c>
      <c r="C5550" s="504" t="s">
        <v>1094</v>
      </c>
      <c r="D5550" s="504" t="s">
        <v>3380</v>
      </c>
      <c r="E5550" s="504" t="s">
        <v>3381</v>
      </c>
      <c r="F5550" s="504" t="s">
        <v>758</v>
      </c>
      <c r="G5550" s="504" t="s">
        <v>759</v>
      </c>
      <c r="H5550" s="504" t="s">
        <v>7847</v>
      </c>
      <c r="I5550" s="504">
        <v>139</v>
      </c>
      <c r="J5550" s="504">
        <v>44</v>
      </c>
      <c r="K5550" s="504">
        <v>0</v>
      </c>
      <c r="L5550" s="504">
        <v>0</v>
      </c>
      <c r="M5550" s="504">
        <v>0</v>
      </c>
      <c r="N5550" s="504">
        <v>0</v>
      </c>
      <c r="O5550" s="505">
        <v>95</v>
      </c>
    </row>
    <row r="5551" spans="1:15" x14ac:dyDescent="0.35">
      <c r="A5551" s="500" t="s">
        <v>1096</v>
      </c>
      <c r="B5551" s="501" t="s">
        <v>3326</v>
      </c>
      <c r="C5551" s="501" t="s">
        <v>1094</v>
      </c>
      <c r="D5551" s="501" t="s">
        <v>3380</v>
      </c>
      <c r="E5551" s="501" t="s">
        <v>3381</v>
      </c>
      <c r="F5551" s="501" t="s">
        <v>758</v>
      </c>
      <c r="G5551" s="501" t="s">
        <v>759</v>
      </c>
      <c r="H5551" s="501" t="s">
        <v>7848</v>
      </c>
      <c r="I5551" s="501">
        <v>214</v>
      </c>
      <c r="J5551" s="501">
        <v>0</v>
      </c>
      <c r="K5551" s="501">
        <v>0</v>
      </c>
      <c r="L5551" s="501">
        <v>0</v>
      </c>
      <c r="M5551" s="501">
        <v>206</v>
      </c>
      <c r="N5551" s="501">
        <v>0</v>
      </c>
      <c r="O5551" s="506">
        <v>8</v>
      </c>
    </row>
    <row r="5552" spans="1:15" x14ac:dyDescent="0.35">
      <c r="A5552" s="503" t="s">
        <v>1270</v>
      </c>
      <c r="B5552" s="504" t="s">
        <v>3304</v>
      </c>
      <c r="C5552" s="504" t="s">
        <v>1089</v>
      </c>
      <c r="D5552" s="504" t="s">
        <v>3392</v>
      </c>
      <c r="E5552" s="504" t="s">
        <v>3381</v>
      </c>
      <c r="F5552" s="504" t="s">
        <v>758</v>
      </c>
      <c r="G5552" s="504" t="s">
        <v>759</v>
      </c>
      <c r="H5552" s="504" t="s">
        <v>7849</v>
      </c>
      <c r="I5552" s="504">
        <v>233</v>
      </c>
      <c r="J5552" s="504">
        <v>220</v>
      </c>
      <c r="K5552" s="504">
        <v>0</v>
      </c>
      <c r="L5552" s="504">
        <v>13</v>
      </c>
      <c r="M5552" s="504">
        <v>0</v>
      </c>
      <c r="N5552" s="504">
        <v>0</v>
      </c>
      <c r="O5552" s="505">
        <v>0</v>
      </c>
    </row>
    <row r="5553" spans="1:15" x14ac:dyDescent="0.35">
      <c r="A5553" s="500" t="s">
        <v>1396</v>
      </c>
      <c r="B5553" s="501" t="s">
        <v>3275</v>
      </c>
      <c r="C5553" s="501" t="s">
        <v>1089</v>
      </c>
      <c r="D5553" s="501" t="s">
        <v>3392</v>
      </c>
      <c r="E5553" s="501" t="s">
        <v>3381</v>
      </c>
      <c r="F5553" s="501" t="s">
        <v>758</v>
      </c>
      <c r="G5553" s="501" t="s">
        <v>759</v>
      </c>
      <c r="H5553" s="501" t="s">
        <v>7850</v>
      </c>
      <c r="I5553" s="501">
        <v>26</v>
      </c>
      <c r="J5553" s="501">
        <v>19</v>
      </c>
      <c r="K5553" s="501">
        <v>7</v>
      </c>
      <c r="L5553" s="501">
        <v>0</v>
      </c>
      <c r="M5553" s="501">
        <v>0</v>
      </c>
      <c r="N5553" s="501">
        <v>26</v>
      </c>
      <c r="O5553" s="506">
        <v>0</v>
      </c>
    </row>
    <row r="5554" spans="1:15" x14ac:dyDescent="0.35">
      <c r="A5554" s="503" t="s">
        <v>1397</v>
      </c>
      <c r="B5554" s="504">
        <v>4773</v>
      </c>
      <c r="C5554" s="504" t="s">
        <v>1089</v>
      </c>
      <c r="D5554" s="504" t="s">
        <v>3392</v>
      </c>
      <c r="E5554" s="504" t="s">
        <v>3381</v>
      </c>
      <c r="F5554" s="504" t="s">
        <v>758</v>
      </c>
      <c r="G5554" s="504" t="s">
        <v>759</v>
      </c>
      <c r="H5554" s="504" t="s">
        <v>7851</v>
      </c>
      <c r="I5554" s="504">
        <v>2</v>
      </c>
      <c r="J5554" s="504">
        <v>2</v>
      </c>
      <c r="K5554" s="504">
        <v>0</v>
      </c>
      <c r="L5554" s="504">
        <v>0</v>
      </c>
      <c r="M5554" s="504">
        <v>0</v>
      </c>
      <c r="N5554" s="504">
        <v>0</v>
      </c>
      <c r="O5554" s="505">
        <v>0</v>
      </c>
    </row>
    <row r="5555" spans="1:15" x14ac:dyDescent="0.35">
      <c r="A5555" s="500" t="s">
        <v>1408</v>
      </c>
      <c r="B5555" s="501">
        <v>4841</v>
      </c>
      <c r="C5555" s="501" t="s">
        <v>1089</v>
      </c>
      <c r="D5555" s="501" t="s">
        <v>3392</v>
      </c>
      <c r="E5555" s="501" t="s">
        <v>3381</v>
      </c>
      <c r="F5555" s="501" t="s">
        <v>758</v>
      </c>
      <c r="G5555" s="501" t="s">
        <v>759</v>
      </c>
      <c r="H5555" s="501" t="s">
        <v>7852</v>
      </c>
      <c r="I5555" s="501">
        <v>155</v>
      </c>
      <c r="J5555" s="501">
        <v>0</v>
      </c>
      <c r="K5555" s="501">
        <v>0</v>
      </c>
      <c r="L5555" s="501">
        <v>155</v>
      </c>
      <c r="M5555" s="501">
        <v>0</v>
      </c>
      <c r="N5555" s="501">
        <v>0</v>
      </c>
      <c r="O5555" s="506">
        <v>0</v>
      </c>
    </row>
    <row r="5556" spans="1:15" x14ac:dyDescent="0.35">
      <c r="A5556" s="503" t="s">
        <v>1161</v>
      </c>
      <c r="B5556" s="504" t="s">
        <v>3001</v>
      </c>
      <c r="C5556" s="504" t="s">
        <v>1094</v>
      </c>
      <c r="D5556" s="504" t="s">
        <v>3380</v>
      </c>
      <c r="E5556" s="504" t="s">
        <v>3381</v>
      </c>
      <c r="F5556" s="504" t="s">
        <v>758</v>
      </c>
      <c r="G5556" s="504" t="s">
        <v>759</v>
      </c>
      <c r="H5556" s="504" t="s">
        <v>7853</v>
      </c>
      <c r="I5556" s="504">
        <v>1</v>
      </c>
      <c r="J5556" s="504">
        <v>0</v>
      </c>
      <c r="K5556" s="504">
        <v>0</v>
      </c>
      <c r="L5556" s="504">
        <v>0</v>
      </c>
      <c r="M5556" s="504">
        <v>0</v>
      </c>
      <c r="N5556" s="504">
        <v>0</v>
      </c>
      <c r="O5556" s="505">
        <v>1</v>
      </c>
    </row>
    <row r="5557" spans="1:15" x14ac:dyDescent="0.35">
      <c r="A5557" s="500" t="s">
        <v>1411</v>
      </c>
      <c r="B5557" s="501" t="s">
        <v>2873</v>
      </c>
      <c r="C5557" s="501" t="s">
        <v>1089</v>
      </c>
      <c r="D5557" s="501" t="s">
        <v>3392</v>
      </c>
      <c r="E5557" s="501" t="s">
        <v>3381</v>
      </c>
      <c r="F5557" s="501" t="s">
        <v>758</v>
      </c>
      <c r="G5557" s="501" t="s">
        <v>759</v>
      </c>
      <c r="H5557" s="501" t="s">
        <v>7854</v>
      </c>
      <c r="I5557" s="501">
        <v>6</v>
      </c>
      <c r="J5557" s="501">
        <v>6</v>
      </c>
      <c r="K5557" s="501">
        <v>0</v>
      </c>
      <c r="L5557" s="501">
        <v>0</v>
      </c>
      <c r="M5557" s="501">
        <v>0</v>
      </c>
      <c r="N5557" s="501">
        <v>0</v>
      </c>
      <c r="O5557" s="506">
        <v>0</v>
      </c>
    </row>
    <row r="5558" spans="1:15" x14ac:dyDescent="0.35">
      <c r="A5558" s="503" t="s">
        <v>1100</v>
      </c>
      <c r="B5558" s="504">
        <v>4865</v>
      </c>
      <c r="C5558" s="504" t="s">
        <v>1094</v>
      </c>
      <c r="D5558" s="504" t="s">
        <v>3380</v>
      </c>
      <c r="E5558" s="504" t="s">
        <v>3381</v>
      </c>
      <c r="F5558" s="504" t="s">
        <v>758</v>
      </c>
      <c r="G5558" s="504" t="s">
        <v>759</v>
      </c>
      <c r="H5558" s="504" t="s">
        <v>7855</v>
      </c>
      <c r="I5558" s="504">
        <v>444</v>
      </c>
      <c r="J5558" s="504">
        <v>283</v>
      </c>
      <c r="K5558" s="504">
        <v>0</v>
      </c>
      <c r="L5558" s="504">
        <v>0</v>
      </c>
      <c r="M5558" s="504">
        <v>0</v>
      </c>
      <c r="N5558" s="504">
        <v>0</v>
      </c>
      <c r="O5558" s="505">
        <v>161</v>
      </c>
    </row>
    <row r="5559" spans="1:15" x14ac:dyDescent="0.35">
      <c r="A5559" s="500" t="s">
        <v>1298</v>
      </c>
      <c r="B5559" s="501" t="s">
        <v>2991</v>
      </c>
      <c r="C5559" s="501" t="s">
        <v>1094</v>
      </c>
      <c r="D5559" s="501" t="s">
        <v>3380</v>
      </c>
      <c r="E5559" s="501" t="s">
        <v>3381</v>
      </c>
      <c r="F5559" s="501" t="s">
        <v>758</v>
      </c>
      <c r="G5559" s="501" t="s">
        <v>759</v>
      </c>
      <c r="H5559" s="501" t="s">
        <v>7856</v>
      </c>
      <c r="I5559" s="501">
        <v>54</v>
      </c>
      <c r="J5559" s="501">
        <v>54</v>
      </c>
      <c r="K5559" s="501">
        <v>0</v>
      </c>
      <c r="L5559" s="501">
        <v>0</v>
      </c>
      <c r="M5559" s="501">
        <v>0</v>
      </c>
      <c r="N5559" s="501">
        <v>0</v>
      </c>
      <c r="O5559" s="506">
        <v>0</v>
      </c>
    </row>
    <row r="5560" spans="1:15" x14ac:dyDescent="0.35">
      <c r="A5560" s="503" t="s">
        <v>14208</v>
      </c>
      <c r="B5560" s="504">
        <v>4803</v>
      </c>
      <c r="C5560" s="504" t="s">
        <v>1094</v>
      </c>
      <c r="D5560" s="504" t="s">
        <v>3380</v>
      </c>
      <c r="E5560" s="504" t="s">
        <v>3381</v>
      </c>
      <c r="F5560" s="504" t="s">
        <v>758</v>
      </c>
      <c r="G5560" s="504" t="s">
        <v>759</v>
      </c>
      <c r="H5560" s="504" t="s">
        <v>14866</v>
      </c>
      <c r="I5560" s="504">
        <v>11</v>
      </c>
      <c r="J5560" s="504">
        <v>0</v>
      </c>
      <c r="K5560" s="504">
        <v>0</v>
      </c>
      <c r="L5560" s="504">
        <v>11</v>
      </c>
      <c r="M5560" s="504">
        <v>0</v>
      </c>
      <c r="N5560" s="504">
        <v>0</v>
      </c>
      <c r="O5560" s="505">
        <v>0</v>
      </c>
    </row>
    <row r="5561" spans="1:15" x14ac:dyDescent="0.35">
      <c r="A5561" s="500" t="s">
        <v>1444</v>
      </c>
      <c r="B5561" s="501">
        <v>4743</v>
      </c>
      <c r="C5561" s="501" t="s">
        <v>1089</v>
      </c>
      <c r="D5561" s="501" t="s">
        <v>3392</v>
      </c>
      <c r="E5561" s="501" t="s">
        <v>3381</v>
      </c>
      <c r="F5561" s="501" t="s">
        <v>758</v>
      </c>
      <c r="G5561" s="501" t="s">
        <v>759</v>
      </c>
      <c r="H5561" s="501" t="s">
        <v>7857</v>
      </c>
      <c r="I5561" s="501">
        <v>43</v>
      </c>
      <c r="J5561" s="501">
        <v>43</v>
      </c>
      <c r="K5561" s="501">
        <v>0</v>
      </c>
      <c r="L5561" s="501">
        <v>0</v>
      </c>
      <c r="M5561" s="501">
        <v>0</v>
      </c>
      <c r="N5561" s="501">
        <v>0</v>
      </c>
      <c r="O5561" s="506">
        <v>0</v>
      </c>
    </row>
    <row r="5562" spans="1:15" x14ac:dyDescent="0.35">
      <c r="A5562" s="503" t="s">
        <v>1185</v>
      </c>
      <c r="B5562" s="504" t="s">
        <v>3253</v>
      </c>
      <c r="C5562" s="504" t="s">
        <v>1094</v>
      </c>
      <c r="D5562" s="504" t="s">
        <v>3380</v>
      </c>
      <c r="E5562" s="504" t="s">
        <v>3381</v>
      </c>
      <c r="F5562" s="504" t="s">
        <v>758</v>
      </c>
      <c r="G5562" s="504" t="s">
        <v>759</v>
      </c>
      <c r="H5562" s="504" t="s">
        <v>7858</v>
      </c>
      <c r="I5562" s="504">
        <v>25</v>
      </c>
      <c r="J5562" s="504">
        <v>18</v>
      </c>
      <c r="K5562" s="504">
        <v>0</v>
      </c>
      <c r="L5562" s="504">
        <v>7</v>
      </c>
      <c r="M5562" s="504">
        <v>0</v>
      </c>
      <c r="N5562" s="504">
        <v>0</v>
      </c>
      <c r="O5562" s="505">
        <v>0</v>
      </c>
    </row>
    <row r="5563" spans="1:15" x14ac:dyDescent="0.35">
      <c r="A5563" s="500" t="s">
        <v>1105</v>
      </c>
      <c r="B5563" s="501">
        <v>4668</v>
      </c>
      <c r="C5563" s="501" t="s">
        <v>1094</v>
      </c>
      <c r="D5563" s="501" t="s">
        <v>3380</v>
      </c>
      <c r="E5563" s="501" t="s">
        <v>3381</v>
      </c>
      <c r="F5563" s="501" t="s">
        <v>758</v>
      </c>
      <c r="G5563" s="501" t="s">
        <v>759</v>
      </c>
      <c r="H5563" s="501" t="s">
        <v>7859</v>
      </c>
      <c r="I5563" s="501">
        <v>17</v>
      </c>
      <c r="J5563" s="501">
        <v>0</v>
      </c>
      <c r="K5563" s="501">
        <v>0</v>
      </c>
      <c r="L5563" s="501">
        <v>0</v>
      </c>
      <c r="M5563" s="501">
        <v>0</v>
      </c>
      <c r="N5563" s="501">
        <v>0</v>
      </c>
      <c r="O5563" s="506">
        <v>17</v>
      </c>
    </row>
    <row r="5564" spans="1:15" x14ac:dyDescent="0.35">
      <c r="A5564" s="503" t="s">
        <v>1107</v>
      </c>
      <c r="B5564" s="504" t="s">
        <v>3109</v>
      </c>
      <c r="C5564" s="504" t="s">
        <v>1094</v>
      </c>
      <c r="D5564" s="504" t="s">
        <v>3380</v>
      </c>
      <c r="E5564" s="504" t="s">
        <v>3381</v>
      </c>
      <c r="F5564" s="504" t="s">
        <v>758</v>
      </c>
      <c r="G5564" s="504" t="s">
        <v>759</v>
      </c>
      <c r="H5564" s="504" t="s">
        <v>7861</v>
      </c>
      <c r="I5564" s="504">
        <v>13</v>
      </c>
      <c r="J5564" s="504">
        <v>13</v>
      </c>
      <c r="K5564" s="504">
        <v>0</v>
      </c>
      <c r="L5564" s="504">
        <v>0</v>
      </c>
      <c r="M5564" s="504">
        <v>0</v>
      </c>
      <c r="N5564" s="504">
        <v>0</v>
      </c>
      <c r="O5564" s="505">
        <v>0</v>
      </c>
    </row>
    <row r="5565" spans="1:15" x14ac:dyDescent="0.35">
      <c r="A5565" s="500" t="s">
        <v>1464</v>
      </c>
      <c r="B5565" s="501" t="s">
        <v>2801</v>
      </c>
      <c r="C5565" s="501" t="s">
        <v>1089</v>
      </c>
      <c r="D5565" s="501" t="s">
        <v>3392</v>
      </c>
      <c r="E5565" s="501" t="s">
        <v>3381</v>
      </c>
      <c r="F5565" s="501" t="s">
        <v>758</v>
      </c>
      <c r="G5565" s="501" t="s">
        <v>759</v>
      </c>
      <c r="H5565" s="501" t="s">
        <v>7860</v>
      </c>
      <c r="I5565" s="501">
        <v>39</v>
      </c>
      <c r="J5565" s="501">
        <v>24</v>
      </c>
      <c r="K5565" s="501">
        <v>0</v>
      </c>
      <c r="L5565" s="501">
        <v>15</v>
      </c>
      <c r="M5565" s="501">
        <v>0</v>
      </c>
      <c r="N5565" s="501">
        <v>0</v>
      </c>
      <c r="O5565" s="506">
        <v>0</v>
      </c>
    </row>
    <row r="5566" spans="1:15" x14ac:dyDescent="0.35">
      <c r="A5566" s="503" t="s">
        <v>1480</v>
      </c>
      <c r="B5566" s="504">
        <v>4770</v>
      </c>
      <c r="C5566" s="504" t="s">
        <v>1089</v>
      </c>
      <c r="D5566" s="504" t="s">
        <v>3392</v>
      </c>
      <c r="E5566" s="504" t="s">
        <v>3381</v>
      </c>
      <c r="F5566" s="504" t="s">
        <v>758</v>
      </c>
      <c r="G5566" s="504" t="s">
        <v>759</v>
      </c>
      <c r="H5566" s="504" t="s">
        <v>7862</v>
      </c>
      <c r="I5566" s="504">
        <v>12</v>
      </c>
      <c r="J5566" s="504">
        <v>12</v>
      </c>
      <c r="K5566" s="504">
        <v>0</v>
      </c>
      <c r="L5566" s="504">
        <v>0</v>
      </c>
      <c r="M5566" s="504">
        <v>0</v>
      </c>
      <c r="N5566" s="504">
        <v>0</v>
      </c>
      <c r="O5566" s="505">
        <v>0</v>
      </c>
    </row>
    <row r="5567" spans="1:15" x14ac:dyDescent="0.35">
      <c r="A5567" s="500" t="s">
        <v>1311</v>
      </c>
      <c r="B5567" s="501" t="s">
        <v>3361</v>
      </c>
      <c r="C5567" s="501" t="s">
        <v>1094</v>
      </c>
      <c r="D5567" s="501" t="s">
        <v>3380</v>
      </c>
      <c r="E5567" s="501" t="s">
        <v>3381</v>
      </c>
      <c r="F5567" s="501" t="s">
        <v>758</v>
      </c>
      <c r="G5567" s="501" t="s">
        <v>759</v>
      </c>
      <c r="H5567" s="501" t="s">
        <v>7863</v>
      </c>
      <c r="I5567" s="501">
        <v>371</v>
      </c>
      <c r="J5567" s="501">
        <v>371</v>
      </c>
      <c r="K5567" s="501">
        <v>0</v>
      </c>
      <c r="L5567" s="501">
        <v>0</v>
      </c>
      <c r="M5567" s="501">
        <v>0</v>
      </c>
      <c r="N5567" s="501">
        <v>1</v>
      </c>
      <c r="O5567" s="506">
        <v>0</v>
      </c>
    </row>
    <row r="5568" spans="1:15" x14ac:dyDescent="0.35">
      <c r="A5568" s="503" t="s">
        <v>1202</v>
      </c>
      <c r="B5568" s="504" t="s">
        <v>3217</v>
      </c>
      <c r="C5568" s="504" t="s">
        <v>1094</v>
      </c>
      <c r="D5568" s="504" t="s">
        <v>3380</v>
      </c>
      <c r="E5568" s="504" t="s">
        <v>3381</v>
      </c>
      <c r="F5568" s="504" t="s">
        <v>758</v>
      </c>
      <c r="G5568" s="504" t="s">
        <v>759</v>
      </c>
      <c r="H5568" s="504" t="s">
        <v>7864</v>
      </c>
      <c r="I5568" s="504">
        <v>7980</v>
      </c>
      <c r="J5568" s="504">
        <v>6557</v>
      </c>
      <c r="K5568" s="504">
        <v>10</v>
      </c>
      <c r="L5568" s="504">
        <v>291</v>
      </c>
      <c r="M5568" s="504">
        <v>160</v>
      </c>
      <c r="N5568" s="504">
        <v>57</v>
      </c>
      <c r="O5568" s="505">
        <v>962</v>
      </c>
    </row>
    <row r="5569" spans="1:15" x14ac:dyDescent="0.35">
      <c r="A5569" s="500" t="s">
        <v>1493</v>
      </c>
      <c r="B5569" s="501" t="s">
        <v>2734</v>
      </c>
      <c r="C5569" s="501" t="s">
        <v>1089</v>
      </c>
      <c r="D5569" s="501" t="s">
        <v>3392</v>
      </c>
      <c r="E5569" s="501" t="s">
        <v>3381</v>
      </c>
      <c r="F5569" s="501" t="s">
        <v>758</v>
      </c>
      <c r="G5569" s="501" t="s">
        <v>759</v>
      </c>
      <c r="H5569" s="501" t="s">
        <v>7865</v>
      </c>
      <c r="I5569" s="501">
        <v>64</v>
      </c>
      <c r="J5569" s="501">
        <v>64</v>
      </c>
      <c r="K5569" s="501">
        <v>0</v>
      </c>
      <c r="L5569" s="501">
        <v>0</v>
      </c>
      <c r="M5569" s="501">
        <v>0</v>
      </c>
      <c r="N5569" s="501">
        <v>0</v>
      </c>
      <c r="O5569" s="506">
        <v>0</v>
      </c>
    </row>
    <row r="5570" spans="1:15" x14ac:dyDescent="0.35">
      <c r="A5570" s="503" t="s">
        <v>1494</v>
      </c>
      <c r="B5570" s="504" t="s">
        <v>3235</v>
      </c>
      <c r="C5570" s="504" t="s">
        <v>1094</v>
      </c>
      <c r="D5570" s="504" t="s">
        <v>3380</v>
      </c>
      <c r="E5570" s="504" t="s">
        <v>3381</v>
      </c>
      <c r="F5570" s="504" t="s">
        <v>758</v>
      </c>
      <c r="G5570" s="504" t="s">
        <v>759</v>
      </c>
      <c r="H5570" s="504" t="s">
        <v>7866</v>
      </c>
      <c r="I5570" s="504">
        <v>184</v>
      </c>
      <c r="J5570" s="504">
        <v>26</v>
      </c>
      <c r="K5570" s="504">
        <v>0</v>
      </c>
      <c r="L5570" s="504">
        <v>158</v>
      </c>
      <c r="M5570" s="504">
        <v>0</v>
      </c>
      <c r="N5570" s="504">
        <v>6</v>
      </c>
      <c r="O5570" s="505">
        <v>0</v>
      </c>
    </row>
    <row r="5571" spans="1:15" x14ac:dyDescent="0.35">
      <c r="A5571" s="500" t="s">
        <v>1495</v>
      </c>
      <c r="B5571" s="501">
        <v>4637</v>
      </c>
      <c r="C5571" s="501" t="s">
        <v>1089</v>
      </c>
      <c r="D5571" s="501" t="s">
        <v>3392</v>
      </c>
      <c r="E5571" s="501" t="s">
        <v>3381</v>
      </c>
      <c r="F5571" s="501" t="s">
        <v>758</v>
      </c>
      <c r="G5571" s="501" t="s">
        <v>759</v>
      </c>
      <c r="H5571" s="501" t="s">
        <v>7867</v>
      </c>
      <c r="I5571" s="501">
        <v>7</v>
      </c>
      <c r="J5571" s="501">
        <v>7</v>
      </c>
      <c r="K5571" s="501">
        <v>0</v>
      </c>
      <c r="L5571" s="501">
        <v>0</v>
      </c>
      <c r="M5571" s="501">
        <v>0</v>
      </c>
      <c r="N5571" s="501">
        <v>0</v>
      </c>
      <c r="O5571" s="506">
        <v>0</v>
      </c>
    </row>
    <row r="5572" spans="1:15" x14ac:dyDescent="0.35">
      <c r="A5572" s="503" t="s">
        <v>1112</v>
      </c>
      <c r="B5572" s="504" t="s">
        <v>3008</v>
      </c>
      <c r="C5572" s="504" t="s">
        <v>1094</v>
      </c>
      <c r="D5572" s="504" t="s">
        <v>3380</v>
      </c>
      <c r="E5572" s="504" t="s">
        <v>3381</v>
      </c>
      <c r="F5572" s="504" t="s">
        <v>758</v>
      </c>
      <c r="G5572" s="504" t="s">
        <v>759</v>
      </c>
      <c r="H5572" s="504" t="s">
        <v>7868</v>
      </c>
      <c r="I5572" s="504">
        <v>12</v>
      </c>
      <c r="J5572" s="504">
        <v>8</v>
      </c>
      <c r="K5572" s="504">
        <v>0</v>
      </c>
      <c r="L5572" s="504">
        <v>0</v>
      </c>
      <c r="M5572" s="504">
        <v>0</v>
      </c>
      <c r="N5572" s="504">
        <v>0</v>
      </c>
      <c r="O5572" s="505">
        <v>4</v>
      </c>
    </row>
    <row r="5573" spans="1:15" x14ac:dyDescent="0.35">
      <c r="A5573" s="500" t="s">
        <v>1315</v>
      </c>
      <c r="B5573" s="501">
        <v>4825</v>
      </c>
      <c r="C5573" s="501" t="s">
        <v>1094</v>
      </c>
      <c r="D5573" s="501" t="s">
        <v>3380</v>
      </c>
      <c r="E5573" s="501" t="s">
        <v>3381</v>
      </c>
      <c r="F5573" s="501" t="s">
        <v>758</v>
      </c>
      <c r="G5573" s="501" t="s">
        <v>759</v>
      </c>
      <c r="H5573" s="501" t="s">
        <v>7869</v>
      </c>
      <c r="I5573" s="501">
        <v>300</v>
      </c>
      <c r="J5573" s="501">
        <v>280</v>
      </c>
      <c r="K5573" s="501">
        <v>0</v>
      </c>
      <c r="L5573" s="501">
        <v>0</v>
      </c>
      <c r="M5573" s="501">
        <v>0</v>
      </c>
      <c r="N5573" s="501">
        <v>6</v>
      </c>
      <c r="O5573" s="506">
        <v>20</v>
      </c>
    </row>
    <row r="5574" spans="1:15" x14ac:dyDescent="0.35">
      <c r="A5574" s="503" t="s">
        <v>1508</v>
      </c>
      <c r="B5574" s="504" t="s">
        <v>3307</v>
      </c>
      <c r="C5574" s="504" t="s">
        <v>1089</v>
      </c>
      <c r="D5574" s="504" t="s">
        <v>3380</v>
      </c>
      <c r="E5574" s="504" t="s">
        <v>3381</v>
      </c>
      <c r="F5574" s="504" t="s">
        <v>758</v>
      </c>
      <c r="G5574" s="504" t="s">
        <v>759</v>
      </c>
      <c r="H5574" s="504" t="s">
        <v>7870</v>
      </c>
      <c r="I5574" s="504">
        <v>54</v>
      </c>
      <c r="J5574" s="504">
        <v>54</v>
      </c>
      <c r="K5574" s="504">
        <v>0</v>
      </c>
      <c r="L5574" s="504">
        <v>0</v>
      </c>
      <c r="M5574" s="504">
        <v>0</v>
      </c>
      <c r="N5574" s="504">
        <v>0</v>
      </c>
      <c r="O5574" s="505">
        <v>0</v>
      </c>
    </row>
    <row r="5575" spans="1:15" x14ac:dyDescent="0.35">
      <c r="A5575" s="500" t="s">
        <v>1319</v>
      </c>
      <c r="B5575" s="501">
        <v>4880</v>
      </c>
      <c r="C5575" s="501" t="s">
        <v>1094</v>
      </c>
      <c r="D5575" s="501" t="s">
        <v>3380</v>
      </c>
      <c r="E5575" s="501" t="s">
        <v>3381</v>
      </c>
      <c r="F5575" s="501" t="s">
        <v>758</v>
      </c>
      <c r="G5575" s="501" t="s">
        <v>759</v>
      </c>
      <c r="H5575" s="501" t="s">
        <v>7871</v>
      </c>
      <c r="I5575" s="501">
        <v>1794</v>
      </c>
      <c r="J5575" s="501">
        <v>1314</v>
      </c>
      <c r="K5575" s="501">
        <v>0</v>
      </c>
      <c r="L5575" s="501">
        <v>116</v>
      </c>
      <c r="M5575" s="501">
        <v>194</v>
      </c>
      <c r="N5575" s="501">
        <v>4</v>
      </c>
      <c r="O5575" s="506">
        <v>170</v>
      </c>
    </row>
    <row r="5576" spans="1:15" x14ac:dyDescent="0.35">
      <c r="A5576" s="503" t="s">
        <v>1120</v>
      </c>
      <c r="B5576" s="504" t="s">
        <v>3362</v>
      </c>
      <c r="C5576" s="504" t="s">
        <v>1094</v>
      </c>
      <c r="D5576" s="504" t="s">
        <v>3380</v>
      </c>
      <c r="E5576" s="504" t="s">
        <v>3381</v>
      </c>
      <c r="F5576" s="504" t="s">
        <v>758</v>
      </c>
      <c r="G5576" s="504" t="s">
        <v>759</v>
      </c>
      <c r="H5576" s="504" t="s">
        <v>7872</v>
      </c>
      <c r="I5576" s="504">
        <v>721</v>
      </c>
      <c r="J5576" s="504">
        <v>34</v>
      </c>
      <c r="K5576" s="504">
        <v>0</v>
      </c>
      <c r="L5576" s="504">
        <v>0</v>
      </c>
      <c r="M5576" s="504">
        <v>0</v>
      </c>
      <c r="N5576" s="504">
        <v>0</v>
      </c>
      <c r="O5576" s="505">
        <v>687</v>
      </c>
    </row>
    <row r="5577" spans="1:15" x14ac:dyDescent="0.35">
      <c r="A5577" s="500" t="s">
        <v>1321</v>
      </c>
      <c r="B5577" s="501">
        <v>4635</v>
      </c>
      <c r="C5577" s="501" t="s">
        <v>1089</v>
      </c>
      <c r="D5577" s="501" t="s">
        <v>3392</v>
      </c>
      <c r="E5577" s="501" t="s">
        <v>3381</v>
      </c>
      <c r="F5577" s="501" t="s">
        <v>758</v>
      </c>
      <c r="G5577" s="501" t="s">
        <v>759</v>
      </c>
      <c r="H5577" s="501" t="s">
        <v>7873</v>
      </c>
      <c r="I5577" s="501">
        <v>16</v>
      </c>
      <c r="J5577" s="501">
        <v>16</v>
      </c>
      <c r="K5577" s="501">
        <v>0</v>
      </c>
      <c r="L5577" s="501">
        <v>0</v>
      </c>
      <c r="M5577" s="501">
        <v>0</v>
      </c>
      <c r="N5577" s="501">
        <v>0</v>
      </c>
      <c r="O5577" s="506">
        <v>0</v>
      </c>
    </row>
    <row r="5578" spans="1:15" x14ac:dyDescent="0.35">
      <c r="A5578" s="503" t="s">
        <v>1322</v>
      </c>
      <c r="B5578" s="504" t="s">
        <v>3244</v>
      </c>
      <c r="C5578" s="504" t="s">
        <v>1094</v>
      </c>
      <c r="D5578" s="504" t="s">
        <v>3380</v>
      </c>
      <c r="E5578" s="504" t="s">
        <v>3381</v>
      </c>
      <c r="F5578" s="504" t="s">
        <v>758</v>
      </c>
      <c r="G5578" s="504" t="s">
        <v>759</v>
      </c>
      <c r="H5578" s="504" t="s">
        <v>7874</v>
      </c>
      <c r="I5578" s="504">
        <v>1627</v>
      </c>
      <c r="J5578" s="504">
        <v>1145</v>
      </c>
      <c r="K5578" s="504">
        <v>0</v>
      </c>
      <c r="L5578" s="504">
        <v>70</v>
      </c>
      <c r="M5578" s="504">
        <v>0</v>
      </c>
      <c r="N5578" s="504">
        <v>0</v>
      </c>
      <c r="O5578" s="505">
        <v>412</v>
      </c>
    </row>
    <row r="5579" spans="1:15" x14ac:dyDescent="0.35">
      <c r="A5579" s="500" t="s">
        <v>1218</v>
      </c>
      <c r="B5579" s="501" t="s">
        <v>3147</v>
      </c>
      <c r="C5579" s="501" t="s">
        <v>1094</v>
      </c>
      <c r="D5579" s="501" t="s">
        <v>3380</v>
      </c>
      <c r="E5579" s="501" t="s">
        <v>3381</v>
      </c>
      <c r="F5579" s="501" t="s">
        <v>758</v>
      </c>
      <c r="G5579" s="501" t="s">
        <v>759</v>
      </c>
      <c r="H5579" s="501" t="s">
        <v>14867</v>
      </c>
      <c r="I5579" s="501">
        <v>2</v>
      </c>
      <c r="J5579" s="501">
        <v>0</v>
      </c>
      <c r="K5579" s="501">
        <v>0</v>
      </c>
      <c r="L5579" s="501">
        <v>0</v>
      </c>
      <c r="M5579" s="501">
        <v>0</v>
      </c>
      <c r="N5579" s="501">
        <v>0</v>
      </c>
      <c r="O5579" s="506">
        <v>2</v>
      </c>
    </row>
    <row r="5580" spans="1:15" x14ac:dyDescent="0.35">
      <c r="A5580" s="503" t="s">
        <v>1220</v>
      </c>
      <c r="B5580" s="504">
        <v>4849</v>
      </c>
      <c r="C5580" s="504" t="s">
        <v>1094</v>
      </c>
      <c r="D5580" s="504" t="s">
        <v>3380</v>
      </c>
      <c r="E5580" s="504" t="s">
        <v>3381</v>
      </c>
      <c r="F5580" s="504" t="s">
        <v>758</v>
      </c>
      <c r="G5580" s="504" t="s">
        <v>759</v>
      </c>
      <c r="H5580" s="504" t="s">
        <v>7875</v>
      </c>
      <c r="I5580" s="504">
        <v>249</v>
      </c>
      <c r="J5580" s="504">
        <v>187</v>
      </c>
      <c r="K5580" s="504">
        <v>0</v>
      </c>
      <c r="L5580" s="504">
        <v>3</v>
      </c>
      <c r="M5580" s="504">
        <v>49</v>
      </c>
      <c r="N5580" s="504">
        <v>0</v>
      </c>
      <c r="O5580" s="505">
        <v>10</v>
      </c>
    </row>
    <row r="5581" spans="1:15" x14ac:dyDescent="0.35">
      <c r="A5581" s="500" t="s">
        <v>1332</v>
      </c>
      <c r="B5581" s="501">
        <v>4878</v>
      </c>
      <c r="C5581" s="501" t="s">
        <v>1094</v>
      </c>
      <c r="D5581" s="501" t="s">
        <v>3380</v>
      </c>
      <c r="E5581" s="501" t="s">
        <v>3381</v>
      </c>
      <c r="F5581" s="501" t="s">
        <v>758</v>
      </c>
      <c r="G5581" s="501" t="s">
        <v>759</v>
      </c>
      <c r="H5581" s="501" t="s">
        <v>7876</v>
      </c>
      <c r="I5581" s="501">
        <v>1449</v>
      </c>
      <c r="J5581" s="501">
        <v>1193</v>
      </c>
      <c r="K5581" s="501">
        <v>0</v>
      </c>
      <c r="L5581" s="501">
        <v>50</v>
      </c>
      <c r="M5581" s="501">
        <v>55</v>
      </c>
      <c r="N5581" s="501">
        <v>0</v>
      </c>
      <c r="O5581" s="506">
        <v>151</v>
      </c>
    </row>
    <row r="5582" spans="1:15" x14ac:dyDescent="0.35">
      <c r="A5582" s="503" t="s">
        <v>1524</v>
      </c>
      <c r="B5582" s="504" t="s">
        <v>2767</v>
      </c>
      <c r="C5582" s="504" t="s">
        <v>1089</v>
      </c>
      <c r="D5582" s="504" t="s">
        <v>3392</v>
      </c>
      <c r="E5582" s="504" t="s">
        <v>3381</v>
      </c>
      <c r="F5582" s="504" t="s">
        <v>758</v>
      </c>
      <c r="G5582" s="504" t="s">
        <v>759</v>
      </c>
      <c r="H5582" s="504" t="s">
        <v>7877</v>
      </c>
      <c r="I5582" s="504">
        <v>5</v>
      </c>
      <c r="J5582" s="504">
        <v>0</v>
      </c>
      <c r="K5582" s="504">
        <v>5</v>
      </c>
      <c r="L5582" s="504">
        <v>0</v>
      </c>
      <c r="M5582" s="504">
        <v>0</v>
      </c>
      <c r="N5582" s="504">
        <v>0</v>
      </c>
      <c r="O5582" s="505">
        <v>0</v>
      </c>
    </row>
    <row r="5583" spans="1:15" x14ac:dyDescent="0.35">
      <c r="A5583" s="500" t="s">
        <v>1122</v>
      </c>
      <c r="B5583" s="501" t="s">
        <v>2994</v>
      </c>
      <c r="C5583" s="501" t="s">
        <v>1094</v>
      </c>
      <c r="D5583" s="501" t="s">
        <v>3380</v>
      </c>
      <c r="E5583" s="501" t="s">
        <v>3381</v>
      </c>
      <c r="F5583" s="501" t="s">
        <v>758</v>
      </c>
      <c r="G5583" s="501" t="s">
        <v>759</v>
      </c>
      <c r="H5583" s="501" t="s">
        <v>7878</v>
      </c>
      <c r="I5583" s="501">
        <v>28</v>
      </c>
      <c r="J5583" s="501">
        <v>0</v>
      </c>
      <c r="K5583" s="501">
        <v>0</v>
      </c>
      <c r="L5583" s="501">
        <v>0</v>
      </c>
      <c r="M5583" s="501">
        <v>0</v>
      </c>
      <c r="N5583" s="501">
        <v>0</v>
      </c>
      <c r="O5583" s="506">
        <v>28</v>
      </c>
    </row>
    <row r="5584" spans="1:15" x14ac:dyDescent="0.35">
      <c r="A5584" s="503" t="s">
        <v>1225</v>
      </c>
      <c r="B5584" s="504" t="s">
        <v>3315</v>
      </c>
      <c r="C5584" s="504" t="s">
        <v>1094</v>
      </c>
      <c r="D5584" s="504" t="s">
        <v>3380</v>
      </c>
      <c r="E5584" s="504" t="s">
        <v>3381</v>
      </c>
      <c r="F5584" s="504" t="s">
        <v>758</v>
      </c>
      <c r="G5584" s="504" t="s">
        <v>759</v>
      </c>
      <c r="H5584" s="504" t="s">
        <v>7879</v>
      </c>
      <c r="I5584" s="504">
        <v>37</v>
      </c>
      <c r="J5584" s="504">
        <v>37</v>
      </c>
      <c r="K5584" s="504">
        <v>0</v>
      </c>
      <c r="L5584" s="504">
        <v>0</v>
      </c>
      <c r="M5584" s="504">
        <v>0</v>
      </c>
      <c r="N5584" s="504">
        <v>0</v>
      </c>
      <c r="O5584" s="505">
        <v>0</v>
      </c>
    </row>
    <row r="5585" spans="1:15" x14ac:dyDescent="0.35">
      <c r="A5585" s="500" t="s">
        <v>11390</v>
      </c>
      <c r="B5585" s="501">
        <v>5114</v>
      </c>
      <c r="C5585" s="501" t="s">
        <v>1089</v>
      </c>
      <c r="D5585" s="501" t="s">
        <v>3392</v>
      </c>
      <c r="E5585" s="501" t="s">
        <v>3381</v>
      </c>
      <c r="F5585" s="501" t="s">
        <v>758</v>
      </c>
      <c r="G5585" s="501" t="s">
        <v>759</v>
      </c>
      <c r="H5585" s="501" t="s">
        <v>11991</v>
      </c>
      <c r="I5585" s="501">
        <v>118</v>
      </c>
      <c r="J5585" s="501">
        <v>118</v>
      </c>
      <c r="K5585" s="501">
        <v>0</v>
      </c>
      <c r="L5585" s="501">
        <v>0</v>
      </c>
      <c r="M5585" s="501">
        <v>0</v>
      </c>
      <c r="N5585" s="501">
        <v>0</v>
      </c>
      <c r="O5585" s="506">
        <v>0</v>
      </c>
    </row>
    <row r="5586" spans="1:15" x14ac:dyDescent="0.35">
      <c r="A5586" s="503" t="s">
        <v>1233</v>
      </c>
      <c r="B5586" s="504">
        <v>4636</v>
      </c>
      <c r="C5586" s="504" t="s">
        <v>1094</v>
      </c>
      <c r="D5586" s="504" t="s">
        <v>3380</v>
      </c>
      <c r="E5586" s="504" t="s">
        <v>3381</v>
      </c>
      <c r="F5586" s="504" t="s">
        <v>758</v>
      </c>
      <c r="G5586" s="504" t="s">
        <v>759</v>
      </c>
      <c r="H5586" s="504" t="s">
        <v>7880</v>
      </c>
      <c r="I5586" s="504">
        <v>11</v>
      </c>
      <c r="J5586" s="504">
        <v>0</v>
      </c>
      <c r="K5586" s="504">
        <v>0</v>
      </c>
      <c r="L5586" s="504">
        <v>0</v>
      </c>
      <c r="M5586" s="504">
        <v>0</v>
      </c>
      <c r="N5586" s="504">
        <v>0</v>
      </c>
      <c r="O5586" s="505">
        <v>11</v>
      </c>
    </row>
    <row r="5587" spans="1:15" x14ac:dyDescent="0.35">
      <c r="A5587" s="500" t="s">
        <v>11368</v>
      </c>
      <c r="B5587" s="501">
        <v>5083</v>
      </c>
      <c r="C5587" s="501" t="s">
        <v>1094</v>
      </c>
      <c r="D5587" s="501" t="s">
        <v>3380</v>
      </c>
      <c r="E5587" s="501" t="s">
        <v>3381</v>
      </c>
      <c r="F5587" s="501" t="s">
        <v>758</v>
      </c>
      <c r="G5587" s="501" t="s">
        <v>759</v>
      </c>
      <c r="H5587" s="501" t="s">
        <v>12066</v>
      </c>
      <c r="I5587" s="501">
        <v>11</v>
      </c>
      <c r="J5587" s="501">
        <v>11</v>
      </c>
      <c r="K5587" s="501">
        <v>0</v>
      </c>
      <c r="L5587" s="501">
        <v>0</v>
      </c>
      <c r="M5587" s="501">
        <v>0</v>
      </c>
      <c r="N5587" s="501">
        <v>0</v>
      </c>
      <c r="O5587" s="506">
        <v>0</v>
      </c>
    </row>
    <row r="5588" spans="1:15" x14ac:dyDescent="0.35">
      <c r="A5588" s="503" t="s">
        <v>1235</v>
      </c>
      <c r="B5588" s="504">
        <v>4684</v>
      </c>
      <c r="C5588" s="504" t="s">
        <v>1094</v>
      </c>
      <c r="D5588" s="504" t="s">
        <v>3380</v>
      </c>
      <c r="E5588" s="504" t="s">
        <v>3381</v>
      </c>
      <c r="F5588" s="504" t="s">
        <v>758</v>
      </c>
      <c r="G5588" s="504" t="s">
        <v>759</v>
      </c>
      <c r="H5588" s="504" t="s">
        <v>7881</v>
      </c>
      <c r="I5588" s="504">
        <v>42</v>
      </c>
      <c r="J5588" s="504">
        <v>33</v>
      </c>
      <c r="K5588" s="504">
        <v>0</v>
      </c>
      <c r="L5588" s="504">
        <v>0</v>
      </c>
      <c r="M5588" s="504">
        <v>0</v>
      </c>
      <c r="N5588" s="504">
        <v>0</v>
      </c>
      <c r="O5588" s="505">
        <v>9</v>
      </c>
    </row>
    <row r="5589" spans="1:15" x14ac:dyDescent="0.35">
      <c r="A5589" s="500" t="s">
        <v>1126</v>
      </c>
      <c r="B5589" s="501" t="s">
        <v>2974</v>
      </c>
      <c r="C5589" s="501" t="s">
        <v>1094</v>
      </c>
      <c r="D5589" s="501" t="s">
        <v>3380</v>
      </c>
      <c r="E5589" s="501" t="s">
        <v>3381</v>
      </c>
      <c r="F5589" s="501" t="s">
        <v>758</v>
      </c>
      <c r="G5589" s="501" t="s">
        <v>759</v>
      </c>
      <c r="H5589" s="501" t="s">
        <v>7882</v>
      </c>
      <c r="I5589" s="501">
        <v>131</v>
      </c>
      <c r="J5589" s="501">
        <v>44</v>
      </c>
      <c r="K5589" s="501">
        <v>0</v>
      </c>
      <c r="L5589" s="501">
        <v>12</v>
      </c>
      <c r="M5589" s="501">
        <v>74</v>
      </c>
      <c r="N5589" s="501">
        <v>0</v>
      </c>
      <c r="O5589" s="506">
        <v>1</v>
      </c>
    </row>
    <row r="5590" spans="1:15" x14ac:dyDescent="0.35">
      <c r="A5590" s="503" t="s">
        <v>1130</v>
      </c>
      <c r="B5590" s="504" t="s">
        <v>3234</v>
      </c>
      <c r="C5590" s="504" t="s">
        <v>1094</v>
      </c>
      <c r="D5590" s="504" t="s">
        <v>3380</v>
      </c>
      <c r="E5590" s="504" t="s">
        <v>3381</v>
      </c>
      <c r="F5590" s="504" t="s">
        <v>758</v>
      </c>
      <c r="G5590" s="504" t="s">
        <v>759</v>
      </c>
      <c r="H5590" s="504" t="s">
        <v>7883</v>
      </c>
      <c r="I5590" s="504">
        <v>617</v>
      </c>
      <c r="J5590" s="504">
        <v>416</v>
      </c>
      <c r="K5590" s="504">
        <v>0</v>
      </c>
      <c r="L5590" s="504">
        <v>0</v>
      </c>
      <c r="M5590" s="504">
        <v>125</v>
      </c>
      <c r="N5590" s="504">
        <v>14</v>
      </c>
      <c r="O5590" s="505">
        <v>76</v>
      </c>
    </row>
    <row r="5591" spans="1:15" x14ac:dyDescent="0.35">
      <c r="A5591" s="500" t="s">
        <v>1549</v>
      </c>
      <c r="B5591" s="501" t="s">
        <v>2710</v>
      </c>
      <c r="C5591" s="501" t="s">
        <v>1089</v>
      </c>
      <c r="D5591" s="501" t="s">
        <v>3392</v>
      </c>
      <c r="E5591" s="501" t="s">
        <v>3381</v>
      </c>
      <c r="F5591" s="501" t="s">
        <v>758</v>
      </c>
      <c r="G5591" s="501" t="s">
        <v>759</v>
      </c>
      <c r="H5591" s="501" t="s">
        <v>7884</v>
      </c>
      <c r="I5591" s="501">
        <v>5</v>
      </c>
      <c r="J5591" s="501">
        <v>5</v>
      </c>
      <c r="K5591" s="501">
        <v>0</v>
      </c>
      <c r="L5591" s="501">
        <v>0</v>
      </c>
      <c r="M5591" s="501">
        <v>0</v>
      </c>
      <c r="N5591" s="501">
        <v>0</v>
      </c>
      <c r="O5591" s="506">
        <v>0</v>
      </c>
    </row>
    <row r="5592" spans="1:15" x14ac:dyDescent="0.35">
      <c r="A5592" s="503" t="s">
        <v>1346</v>
      </c>
      <c r="B5592" s="504" t="s">
        <v>3150</v>
      </c>
      <c r="C5592" s="504" t="s">
        <v>1094</v>
      </c>
      <c r="D5592" s="504" t="s">
        <v>3380</v>
      </c>
      <c r="E5592" s="504" t="s">
        <v>3381</v>
      </c>
      <c r="F5592" s="504" t="s">
        <v>758</v>
      </c>
      <c r="G5592" s="504" t="s">
        <v>759</v>
      </c>
      <c r="H5592" s="504" t="s">
        <v>7885</v>
      </c>
      <c r="I5592" s="504">
        <v>4</v>
      </c>
      <c r="J5592" s="504">
        <v>4</v>
      </c>
      <c r="K5592" s="504">
        <v>0</v>
      </c>
      <c r="L5592" s="504">
        <v>0</v>
      </c>
      <c r="M5592" s="504">
        <v>0</v>
      </c>
      <c r="N5592" s="504">
        <v>0</v>
      </c>
      <c r="O5592" s="505">
        <v>0</v>
      </c>
    </row>
    <row r="5593" spans="1:15" x14ac:dyDescent="0.35">
      <c r="A5593" s="500" t="s">
        <v>1558</v>
      </c>
      <c r="B5593" s="501">
        <v>4843</v>
      </c>
      <c r="C5593" s="501" t="s">
        <v>1089</v>
      </c>
      <c r="D5593" s="501" t="s">
        <v>3392</v>
      </c>
      <c r="E5593" s="501" t="s">
        <v>3381</v>
      </c>
      <c r="F5593" s="501" t="s">
        <v>758</v>
      </c>
      <c r="G5593" s="501" t="s">
        <v>759</v>
      </c>
      <c r="H5593" s="501" t="s">
        <v>14868</v>
      </c>
      <c r="I5593" s="501">
        <v>2</v>
      </c>
      <c r="J5593" s="501">
        <v>2</v>
      </c>
      <c r="K5593" s="501">
        <v>0</v>
      </c>
      <c r="L5593" s="501">
        <v>0</v>
      </c>
      <c r="M5593" s="501">
        <v>0</v>
      </c>
      <c r="N5593" s="501">
        <v>0</v>
      </c>
      <c r="O5593" s="506">
        <v>0</v>
      </c>
    </row>
    <row r="5594" spans="1:15" x14ac:dyDescent="0.35">
      <c r="A5594" s="503" t="s">
        <v>1347</v>
      </c>
      <c r="B5594" s="504" t="s">
        <v>3185</v>
      </c>
      <c r="C5594" s="504" t="s">
        <v>1089</v>
      </c>
      <c r="D5594" s="504" t="s">
        <v>3392</v>
      </c>
      <c r="E5594" s="504" t="s">
        <v>3381</v>
      </c>
      <c r="F5594" s="504" t="s">
        <v>758</v>
      </c>
      <c r="G5594" s="504" t="s">
        <v>759</v>
      </c>
      <c r="H5594" s="504" t="s">
        <v>7886</v>
      </c>
      <c r="I5594" s="504">
        <v>39</v>
      </c>
      <c r="J5594" s="504">
        <v>39</v>
      </c>
      <c r="K5594" s="504">
        <v>0</v>
      </c>
      <c r="L5594" s="504">
        <v>0</v>
      </c>
      <c r="M5594" s="504">
        <v>0</v>
      </c>
      <c r="N5594" s="504">
        <v>0</v>
      </c>
      <c r="O5594" s="505">
        <v>0</v>
      </c>
    </row>
    <row r="5595" spans="1:15" x14ac:dyDescent="0.35">
      <c r="A5595" s="500" t="s">
        <v>1249</v>
      </c>
      <c r="B5595" s="501">
        <v>4729</v>
      </c>
      <c r="C5595" s="501" t="s">
        <v>1094</v>
      </c>
      <c r="D5595" s="501" t="s">
        <v>3380</v>
      </c>
      <c r="E5595" s="501" t="s">
        <v>3381</v>
      </c>
      <c r="F5595" s="501" t="s">
        <v>758</v>
      </c>
      <c r="G5595" s="501" t="s">
        <v>759</v>
      </c>
      <c r="H5595" s="501" t="s">
        <v>7887</v>
      </c>
      <c r="I5595" s="501">
        <v>6</v>
      </c>
      <c r="J5595" s="501">
        <v>6</v>
      </c>
      <c r="K5595" s="501">
        <v>0</v>
      </c>
      <c r="L5595" s="501">
        <v>0</v>
      </c>
      <c r="M5595" s="501">
        <v>0</v>
      </c>
      <c r="N5595" s="501">
        <v>0</v>
      </c>
      <c r="O5595" s="506">
        <v>0</v>
      </c>
    </row>
    <row r="5596" spans="1:15" x14ac:dyDescent="0.35">
      <c r="A5596" s="503" t="s">
        <v>1573</v>
      </c>
      <c r="B5596" s="504" t="s">
        <v>2473</v>
      </c>
      <c r="C5596" s="504" t="s">
        <v>1089</v>
      </c>
      <c r="D5596" s="504" t="s">
        <v>3392</v>
      </c>
      <c r="E5596" s="504" t="s">
        <v>3381</v>
      </c>
      <c r="F5596" s="504" t="s">
        <v>758</v>
      </c>
      <c r="G5596" s="504" t="s">
        <v>759</v>
      </c>
      <c r="H5596" s="504" t="s">
        <v>7888</v>
      </c>
      <c r="I5596" s="504">
        <v>8</v>
      </c>
      <c r="J5596" s="504">
        <v>0</v>
      </c>
      <c r="K5596" s="504">
        <v>0</v>
      </c>
      <c r="L5596" s="504">
        <v>0</v>
      </c>
      <c r="M5596" s="504">
        <v>8</v>
      </c>
      <c r="N5596" s="504">
        <v>0</v>
      </c>
      <c r="O5596" s="505">
        <v>0</v>
      </c>
    </row>
    <row r="5597" spans="1:15" x14ac:dyDescent="0.35">
      <c r="A5597" s="500" t="s">
        <v>1253</v>
      </c>
      <c r="B5597" s="501" t="s">
        <v>3232</v>
      </c>
      <c r="C5597" s="501" t="s">
        <v>1094</v>
      </c>
      <c r="D5597" s="501" t="s">
        <v>3380</v>
      </c>
      <c r="E5597" s="501" t="s">
        <v>3381</v>
      </c>
      <c r="F5597" s="501" t="s">
        <v>758</v>
      </c>
      <c r="G5597" s="501" t="s">
        <v>759</v>
      </c>
      <c r="H5597" s="501" t="s">
        <v>7889</v>
      </c>
      <c r="I5597" s="501">
        <v>197</v>
      </c>
      <c r="J5597" s="501">
        <v>137</v>
      </c>
      <c r="K5597" s="501">
        <v>0</v>
      </c>
      <c r="L5597" s="501">
        <v>14</v>
      </c>
      <c r="M5597" s="501">
        <v>46</v>
      </c>
      <c r="N5597" s="501">
        <v>0</v>
      </c>
      <c r="O5597" s="506">
        <v>0</v>
      </c>
    </row>
    <row r="5598" spans="1:15" x14ac:dyDescent="0.35">
      <c r="A5598" s="503" t="s">
        <v>1594</v>
      </c>
      <c r="B5598" s="504" t="s">
        <v>2568</v>
      </c>
      <c r="C5598" s="504" t="s">
        <v>1089</v>
      </c>
      <c r="D5598" s="504" t="s">
        <v>3392</v>
      </c>
      <c r="E5598" s="504" t="s">
        <v>3381</v>
      </c>
      <c r="F5598" s="504" t="s">
        <v>758</v>
      </c>
      <c r="G5598" s="504" t="s">
        <v>759</v>
      </c>
      <c r="H5598" s="504" t="s">
        <v>7890</v>
      </c>
      <c r="I5598" s="504">
        <v>18</v>
      </c>
      <c r="J5598" s="504">
        <v>18</v>
      </c>
      <c r="K5598" s="504">
        <v>0</v>
      </c>
      <c r="L5598" s="504">
        <v>0</v>
      </c>
      <c r="M5598" s="504">
        <v>0</v>
      </c>
      <c r="N5598" s="504">
        <v>15</v>
      </c>
      <c r="O5598" s="505">
        <v>0</v>
      </c>
    </row>
    <row r="5599" spans="1:15" x14ac:dyDescent="0.35">
      <c r="A5599" s="500" t="s">
        <v>1603</v>
      </c>
      <c r="B5599" s="501" t="s">
        <v>2789</v>
      </c>
      <c r="C5599" s="501" t="s">
        <v>1089</v>
      </c>
      <c r="D5599" s="501" t="s">
        <v>3392</v>
      </c>
      <c r="E5599" s="501" t="s">
        <v>3381</v>
      </c>
      <c r="F5599" s="501" t="s">
        <v>758</v>
      </c>
      <c r="G5599" s="501" t="s">
        <v>759</v>
      </c>
      <c r="H5599" s="501" t="s">
        <v>7891</v>
      </c>
      <c r="I5599" s="501">
        <v>24</v>
      </c>
      <c r="J5599" s="501">
        <v>24</v>
      </c>
      <c r="K5599" s="501">
        <v>0</v>
      </c>
      <c r="L5599" s="501">
        <v>0</v>
      </c>
      <c r="M5599" s="501">
        <v>0</v>
      </c>
      <c r="N5599" s="501">
        <v>0</v>
      </c>
      <c r="O5599" s="506">
        <v>0</v>
      </c>
    </row>
    <row r="5600" spans="1:15" x14ac:dyDescent="0.35">
      <c r="A5600" s="503" t="s">
        <v>1093</v>
      </c>
      <c r="B5600" s="504" t="s">
        <v>3248</v>
      </c>
      <c r="C5600" s="504" t="s">
        <v>1094</v>
      </c>
      <c r="D5600" s="504" t="s">
        <v>3380</v>
      </c>
      <c r="E5600" s="504" t="s">
        <v>3381</v>
      </c>
      <c r="F5600" s="504" t="s">
        <v>760</v>
      </c>
      <c r="G5600" s="504" t="s">
        <v>761</v>
      </c>
      <c r="H5600" s="504" t="s">
        <v>7892</v>
      </c>
      <c r="I5600" s="504">
        <v>7</v>
      </c>
      <c r="J5600" s="504">
        <v>0</v>
      </c>
      <c r="K5600" s="504">
        <v>0</v>
      </c>
      <c r="L5600" s="504">
        <v>0</v>
      </c>
      <c r="M5600" s="504">
        <v>0</v>
      </c>
      <c r="N5600" s="504">
        <v>0</v>
      </c>
      <c r="O5600" s="505">
        <v>7</v>
      </c>
    </row>
    <row r="5601" spans="1:15" x14ac:dyDescent="0.35">
      <c r="A5601" s="500" t="s">
        <v>1096</v>
      </c>
      <c r="B5601" s="501" t="s">
        <v>3326</v>
      </c>
      <c r="C5601" s="501" t="s">
        <v>1094</v>
      </c>
      <c r="D5601" s="501" t="s">
        <v>3380</v>
      </c>
      <c r="E5601" s="501" t="s">
        <v>3381</v>
      </c>
      <c r="F5601" s="501" t="s">
        <v>760</v>
      </c>
      <c r="G5601" s="501" t="s">
        <v>761</v>
      </c>
      <c r="H5601" s="501" t="s">
        <v>7893</v>
      </c>
      <c r="I5601" s="501">
        <v>28</v>
      </c>
      <c r="J5601" s="501">
        <v>0</v>
      </c>
      <c r="K5601" s="501">
        <v>0</v>
      </c>
      <c r="L5601" s="501">
        <v>0</v>
      </c>
      <c r="M5601" s="501">
        <v>28</v>
      </c>
      <c r="N5601" s="501">
        <v>0</v>
      </c>
      <c r="O5601" s="506">
        <v>0</v>
      </c>
    </row>
    <row r="5602" spans="1:15" x14ac:dyDescent="0.35">
      <c r="A5602" s="503" t="s">
        <v>1151</v>
      </c>
      <c r="B5602" s="504">
        <v>4726</v>
      </c>
      <c r="C5602" s="504" t="s">
        <v>1089</v>
      </c>
      <c r="D5602" s="504" t="s">
        <v>3392</v>
      </c>
      <c r="E5602" s="504" t="s">
        <v>3381</v>
      </c>
      <c r="F5602" s="504" t="s">
        <v>760</v>
      </c>
      <c r="G5602" s="504" t="s">
        <v>761</v>
      </c>
      <c r="H5602" s="504" t="s">
        <v>14869</v>
      </c>
      <c r="I5602" s="504">
        <v>1</v>
      </c>
      <c r="J5602" s="504">
        <v>0</v>
      </c>
      <c r="K5602" s="504">
        <v>0</v>
      </c>
      <c r="L5602" s="504">
        <v>1</v>
      </c>
      <c r="M5602" s="504">
        <v>0</v>
      </c>
      <c r="N5602" s="504">
        <v>0</v>
      </c>
      <c r="O5602" s="505">
        <v>0</v>
      </c>
    </row>
    <row r="5603" spans="1:15" x14ac:dyDescent="0.35">
      <c r="A5603" s="500" t="s">
        <v>1802</v>
      </c>
      <c r="B5603" s="501">
        <v>4872</v>
      </c>
      <c r="C5603" s="501" t="s">
        <v>1089</v>
      </c>
      <c r="D5603" s="501" t="s">
        <v>3380</v>
      </c>
      <c r="E5603" s="501" t="s">
        <v>3381</v>
      </c>
      <c r="F5603" s="501" t="s">
        <v>760</v>
      </c>
      <c r="G5603" s="501" t="s">
        <v>761</v>
      </c>
      <c r="H5603" s="501" t="s">
        <v>14870</v>
      </c>
      <c r="I5603" s="501">
        <v>4</v>
      </c>
      <c r="J5603" s="501">
        <v>4</v>
      </c>
      <c r="K5603" s="501">
        <v>0</v>
      </c>
      <c r="L5603" s="501">
        <v>0</v>
      </c>
      <c r="M5603" s="501">
        <v>0</v>
      </c>
      <c r="N5603" s="501">
        <v>0</v>
      </c>
      <c r="O5603" s="506">
        <v>0</v>
      </c>
    </row>
    <row r="5604" spans="1:15" x14ac:dyDescent="0.35">
      <c r="A5604" s="503" t="s">
        <v>1098</v>
      </c>
      <c r="B5604" s="504">
        <v>4691</v>
      </c>
      <c r="C5604" s="504" t="s">
        <v>1094</v>
      </c>
      <c r="D5604" s="504" t="s">
        <v>3380</v>
      </c>
      <c r="E5604" s="504" t="s">
        <v>3381</v>
      </c>
      <c r="F5604" s="504" t="s">
        <v>760</v>
      </c>
      <c r="G5604" s="504" t="s">
        <v>761</v>
      </c>
      <c r="H5604" s="504" t="s">
        <v>7894</v>
      </c>
      <c r="I5604" s="504">
        <v>91</v>
      </c>
      <c r="J5604" s="504">
        <v>66</v>
      </c>
      <c r="K5604" s="504">
        <v>0</v>
      </c>
      <c r="L5604" s="504">
        <v>0</v>
      </c>
      <c r="M5604" s="504">
        <v>0</v>
      </c>
      <c r="N5604" s="504">
        <v>0</v>
      </c>
      <c r="O5604" s="505">
        <v>25</v>
      </c>
    </row>
    <row r="5605" spans="1:15" x14ac:dyDescent="0.35">
      <c r="A5605" s="500" t="s">
        <v>1705</v>
      </c>
      <c r="B5605" s="501" t="s">
        <v>3158</v>
      </c>
      <c r="C5605" s="501" t="s">
        <v>1094</v>
      </c>
      <c r="D5605" s="501" t="s">
        <v>3380</v>
      </c>
      <c r="E5605" s="501" t="s">
        <v>3381</v>
      </c>
      <c r="F5605" s="501" t="s">
        <v>760</v>
      </c>
      <c r="G5605" s="501" t="s">
        <v>761</v>
      </c>
      <c r="H5605" s="501" t="s">
        <v>7895</v>
      </c>
      <c r="I5605" s="501">
        <v>9</v>
      </c>
      <c r="J5605" s="501">
        <v>0</v>
      </c>
      <c r="K5605" s="501">
        <v>0</v>
      </c>
      <c r="L5605" s="501">
        <v>0</v>
      </c>
      <c r="M5605" s="501">
        <v>0</v>
      </c>
      <c r="N5605" s="501">
        <v>0</v>
      </c>
      <c r="O5605" s="506">
        <v>9</v>
      </c>
    </row>
    <row r="5606" spans="1:15" x14ac:dyDescent="0.35">
      <c r="A5606" s="503" t="s">
        <v>1179</v>
      </c>
      <c r="B5606" s="504">
        <v>4829</v>
      </c>
      <c r="C5606" s="504" t="s">
        <v>1089</v>
      </c>
      <c r="D5606" s="504" t="s">
        <v>3392</v>
      </c>
      <c r="E5606" s="504" t="s">
        <v>3381</v>
      </c>
      <c r="F5606" s="504" t="s">
        <v>760</v>
      </c>
      <c r="G5606" s="504" t="s">
        <v>761</v>
      </c>
      <c r="H5606" s="504" t="s">
        <v>7896</v>
      </c>
      <c r="I5606" s="504">
        <v>1</v>
      </c>
      <c r="J5606" s="504">
        <v>0</v>
      </c>
      <c r="K5606" s="504">
        <v>0</v>
      </c>
      <c r="L5606" s="504">
        <v>1</v>
      </c>
      <c r="M5606" s="504">
        <v>0</v>
      </c>
      <c r="N5606" s="504">
        <v>0</v>
      </c>
      <c r="O5606" s="505">
        <v>0</v>
      </c>
    </row>
    <row r="5607" spans="1:15" x14ac:dyDescent="0.35">
      <c r="A5607" s="500" t="s">
        <v>14208</v>
      </c>
      <c r="B5607" s="501">
        <v>4803</v>
      </c>
      <c r="C5607" s="501" t="s">
        <v>1094</v>
      </c>
      <c r="D5607" s="501" t="s">
        <v>3380</v>
      </c>
      <c r="E5607" s="501" t="s">
        <v>3381</v>
      </c>
      <c r="F5607" s="501" t="s">
        <v>760</v>
      </c>
      <c r="G5607" s="501" t="s">
        <v>761</v>
      </c>
      <c r="H5607" s="501" t="s">
        <v>14871</v>
      </c>
      <c r="I5607" s="501">
        <v>1</v>
      </c>
      <c r="J5607" s="501">
        <v>0</v>
      </c>
      <c r="K5607" s="501">
        <v>0</v>
      </c>
      <c r="L5607" s="501">
        <v>1</v>
      </c>
      <c r="M5607" s="501">
        <v>0</v>
      </c>
      <c r="N5607" s="501">
        <v>0</v>
      </c>
      <c r="O5607" s="506">
        <v>0</v>
      </c>
    </row>
    <row r="5608" spans="1:15" x14ac:dyDescent="0.35">
      <c r="A5608" s="503" t="s">
        <v>1187</v>
      </c>
      <c r="B5608" s="504" t="s">
        <v>2951</v>
      </c>
      <c r="C5608" s="504" t="s">
        <v>1094</v>
      </c>
      <c r="D5608" s="504" t="s">
        <v>3380</v>
      </c>
      <c r="E5608" s="504" t="s">
        <v>3381</v>
      </c>
      <c r="F5608" s="504" t="s">
        <v>760</v>
      </c>
      <c r="G5608" s="504" t="s">
        <v>761</v>
      </c>
      <c r="H5608" s="504" t="s">
        <v>7897</v>
      </c>
      <c r="I5608" s="504">
        <v>116</v>
      </c>
      <c r="J5608" s="504">
        <v>113</v>
      </c>
      <c r="K5608" s="504">
        <v>0</v>
      </c>
      <c r="L5608" s="504">
        <v>0</v>
      </c>
      <c r="M5608" s="504">
        <v>0</v>
      </c>
      <c r="N5608" s="504">
        <v>0</v>
      </c>
      <c r="O5608" s="505">
        <v>3</v>
      </c>
    </row>
    <row r="5609" spans="1:15" x14ac:dyDescent="0.35">
      <c r="A5609" s="500" t="s">
        <v>1105</v>
      </c>
      <c r="B5609" s="501">
        <v>4668</v>
      </c>
      <c r="C5609" s="501" t="s">
        <v>1094</v>
      </c>
      <c r="D5609" s="501" t="s">
        <v>3380</v>
      </c>
      <c r="E5609" s="501" t="s">
        <v>3381</v>
      </c>
      <c r="F5609" s="501" t="s">
        <v>760</v>
      </c>
      <c r="G5609" s="501" t="s">
        <v>761</v>
      </c>
      <c r="H5609" s="501" t="s">
        <v>7898</v>
      </c>
      <c r="I5609" s="501">
        <v>84</v>
      </c>
      <c r="J5609" s="501">
        <v>0</v>
      </c>
      <c r="K5609" s="501">
        <v>0</v>
      </c>
      <c r="L5609" s="501">
        <v>0</v>
      </c>
      <c r="M5609" s="501">
        <v>0</v>
      </c>
      <c r="N5609" s="501">
        <v>0</v>
      </c>
      <c r="O5609" s="506">
        <v>84</v>
      </c>
    </row>
    <row r="5610" spans="1:15" x14ac:dyDescent="0.35">
      <c r="A5610" s="503" t="s">
        <v>1109</v>
      </c>
      <c r="B5610" s="504" t="s">
        <v>2959</v>
      </c>
      <c r="C5610" s="504" t="s">
        <v>1094</v>
      </c>
      <c r="D5610" s="504" t="s">
        <v>3380</v>
      </c>
      <c r="E5610" s="504" t="s">
        <v>3381</v>
      </c>
      <c r="F5610" s="504" t="s">
        <v>760</v>
      </c>
      <c r="G5610" s="504" t="s">
        <v>761</v>
      </c>
      <c r="H5610" s="504" t="s">
        <v>7899</v>
      </c>
      <c r="I5610" s="504">
        <v>29</v>
      </c>
      <c r="J5610" s="504">
        <v>0</v>
      </c>
      <c r="K5610" s="504">
        <v>0</v>
      </c>
      <c r="L5610" s="504">
        <v>0</v>
      </c>
      <c r="M5610" s="504">
        <v>29</v>
      </c>
      <c r="N5610" s="504">
        <v>0</v>
      </c>
      <c r="O5610" s="505">
        <v>0</v>
      </c>
    </row>
    <row r="5611" spans="1:15" x14ac:dyDescent="0.35">
      <c r="A5611" s="500" t="s">
        <v>14243</v>
      </c>
      <c r="B5611" s="501">
        <v>5149</v>
      </c>
      <c r="C5611" s="501" t="s">
        <v>1089</v>
      </c>
      <c r="D5611" s="501" t="s">
        <v>3392</v>
      </c>
      <c r="E5611" s="501" t="s">
        <v>3381</v>
      </c>
      <c r="F5611" s="501" t="s">
        <v>760</v>
      </c>
      <c r="G5611" s="501" t="s">
        <v>761</v>
      </c>
      <c r="H5611" s="501" t="s">
        <v>14872</v>
      </c>
      <c r="I5611" s="501">
        <v>37</v>
      </c>
      <c r="J5611" s="501">
        <v>37</v>
      </c>
      <c r="K5611" s="501">
        <v>0</v>
      </c>
      <c r="L5611" s="501">
        <v>0</v>
      </c>
      <c r="M5611" s="501">
        <v>0</v>
      </c>
      <c r="N5611" s="501">
        <v>0</v>
      </c>
      <c r="O5611" s="506">
        <v>0</v>
      </c>
    </row>
    <row r="5612" spans="1:15" x14ac:dyDescent="0.35">
      <c r="A5612" s="503" t="s">
        <v>1310</v>
      </c>
      <c r="B5612" s="504">
        <v>5062</v>
      </c>
      <c r="C5612" s="504" t="s">
        <v>1089</v>
      </c>
      <c r="D5612" s="504" t="s">
        <v>3380</v>
      </c>
      <c r="E5612" s="504" t="s">
        <v>3381</v>
      </c>
      <c r="F5612" s="504" t="s">
        <v>760</v>
      </c>
      <c r="G5612" s="504" t="s">
        <v>761</v>
      </c>
      <c r="H5612" s="504" t="s">
        <v>11813</v>
      </c>
      <c r="I5612" s="504">
        <v>13</v>
      </c>
      <c r="J5612" s="504">
        <v>0</v>
      </c>
      <c r="K5612" s="504">
        <v>0</v>
      </c>
      <c r="L5612" s="504">
        <v>0</v>
      </c>
      <c r="M5612" s="504">
        <v>0</v>
      </c>
      <c r="N5612" s="504">
        <v>0</v>
      </c>
      <c r="O5612" s="505">
        <v>13</v>
      </c>
    </row>
    <row r="5613" spans="1:15" x14ac:dyDescent="0.35">
      <c r="A5613" s="500" t="s">
        <v>1111</v>
      </c>
      <c r="B5613" s="501">
        <v>4873</v>
      </c>
      <c r="C5613" s="501" t="s">
        <v>1094</v>
      </c>
      <c r="D5613" s="501" t="s">
        <v>3380</v>
      </c>
      <c r="E5613" s="501" t="s">
        <v>3381</v>
      </c>
      <c r="F5613" s="501" t="s">
        <v>760</v>
      </c>
      <c r="G5613" s="501" t="s">
        <v>761</v>
      </c>
      <c r="H5613" s="501" t="s">
        <v>7900</v>
      </c>
      <c r="I5613" s="501">
        <v>1055</v>
      </c>
      <c r="J5613" s="501">
        <v>897</v>
      </c>
      <c r="K5613" s="501">
        <v>0</v>
      </c>
      <c r="L5613" s="501">
        <v>21</v>
      </c>
      <c r="M5613" s="501">
        <v>0</v>
      </c>
      <c r="N5613" s="501">
        <v>0</v>
      </c>
      <c r="O5613" s="506">
        <v>137</v>
      </c>
    </row>
    <row r="5614" spans="1:15" x14ac:dyDescent="0.35">
      <c r="A5614" s="503" t="s">
        <v>1497</v>
      </c>
      <c r="B5614" s="504" t="s">
        <v>3290</v>
      </c>
      <c r="C5614" s="504" t="s">
        <v>1089</v>
      </c>
      <c r="D5614" s="504" t="s">
        <v>3392</v>
      </c>
      <c r="E5614" s="504" t="s">
        <v>3381</v>
      </c>
      <c r="F5614" s="504" t="s">
        <v>760</v>
      </c>
      <c r="G5614" s="504" t="s">
        <v>761</v>
      </c>
      <c r="H5614" s="504" t="s">
        <v>7901</v>
      </c>
      <c r="I5614" s="504">
        <v>46</v>
      </c>
      <c r="J5614" s="504">
        <v>0</v>
      </c>
      <c r="K5614" s="504">
        <v>0</v>
      </c>
      <c r="L5614" s="504">
        <v>0</v>
      </c>
      <c r="M5614" s="504">
        <v>46</v>
      </c>
      <c r="N5614" s="504">
        <v>0</v>
      </c>
      <c r="O5614" s="505">
        <v>0</v>
      </c>
    </row>
    <row r="5615" spans="1:15" x14ac:dyDescent="0.35">
      <c r="A5615" s="500" t="s">
        <v>1114</v>
      </c>
      <c r="B5615" s="501" t="s">
        <v>2982</v>
      </c>
      <c r="C5615" s="501" t="s">
        <v>1094</v>
      </c>
      <c r="D5615" s="501" t="s">
        <v>3380</v>
      </c>
      <c r="E5615" s="501" t="s">
        <v>3381</v>
      </c>
      <c r="F5615" s="501" t="s">
        <v>760</v>
      </c>
      <c r="G5615" s="501" t="s">
        <v>761</v>
      </c>
      <c r="H5615" s="501" t="s">
        <v>7902</v>
      </c>
      <c r="I5615" s="501">
        <v>2</v>
      </c>
      <c r="J5615" s="501">
        <v>0</v>
      </c>
      <c r="K5615" s="501">
        <v>0</v>
      </c>
      <c r="L5615" s="501">
        <v>0</v>
      </c>
      <c r="M5615" s="501">
        <v>0</v>
      </c>
      <c r="N5615" s="501">
        <v>0</v>
      </c>
      <c r="O5615" s="506">
        <v>2</v>
      </c>
    </row>
    <row r="5616" spans="1:15" x14ac:dyDescent="0.35">
      <c r="A5616" s="503" t="s">
        <v>1503</v>
      </c>
      <c r="B5616" s="504">
        <v>4666</v>
      </c>
      <c r="C5616" s="504" t="s">
        <v>1089</v>
      </c>
      <c r="D5616" s="504" t="s">
        <v>3392</v>
      </c>
      <c r="E5616" s="504" t="s">
        <v>3381</v>
      </c>
      <c r="F5616" s="504" t="s">
        <v>760</v>
      </c>
      <c r="G5616" s="504" t="s">
        <v>761</v>
      </c>
      <c r="H5616" s="504" t="s">
        <v>7903</v>
      </c>
      <c r="I5616" s="504">
        <v>4</v>
      </c>
      <c r="J5616" s="504">
        <v>0</v>
      </c>
      <c r="K5616" s="504">
        <v>0</v>
      </c>
      <c r="L5616" s="504">
        <v>4</v>
      </c>
      <c r="M5616" s="504">
        <v>0</v>
      </c>
      <c r="N5616" s="504">
        <v>0</v>
      </c>
      <c r="O5616" s="505">
        <v>0</v>
      </c>
    </row>
    <row r="5617" spans="1:15" x14ac:dyDescent="0.35">
      <c r="A5617" s="500" t="s">
        <v>1997</v>
      </c>
      <c r="B5617" s="501" t="s">
        <v>3340</v>
      </c>
      <c r="C5617" s="501" t="s">
        <v>1094</v>
      </c>
      <c r="D5617" s="501" t="s">
        <v>3380</v>
      </c>
      <c r="E5617" s="501" t="s">
        <v>3381</v>
      </c>
      <c r="F5617" s="501" t="s">
        <v>760</v>
      </c>
      <c r="G5617" s="501" t="s">
        <v>761</v>
      </c>
      <c r="H5617" s="501" t="s">
        <v>7904</v>
      </c>
      <c r="I5617" s="501">
        <v>3324</v>
      </c>
      <c r="J5617" s="501">
        <v>2708</v>
      </c>
      <c r="K5617" s="501">
        <v>0</v>
      </c>
      <c r="L5617" s="501">
        <v>0</v>
      </c>
      <c r="M5617" s="501">
        <v>541</v>
      </c>
      <c r="N5617" s="501">
        <v>3</v>
      </c>
      <c r="O5617" s="506">
        <v>75</v>
      </c>
    </row>
    <row r="5618" spans="1:15" x14ac:dyDescent="0.35">
      <c r="A5618" s="503" t="s">
        <v>2002</v>
      </c>
      <c r="B5618" s="504">
        <v>4747</v>
      </c>
      <c r="C5618" s="504" t="s">
        <v>1089</v>
      </c>
      <c r="D5618" s="504" t="s">
        <v>3392</v>
      </c>
      <c r="E5618" s="504" t="s">
        <v>3381</v>
      </c>
      <c r="F5618" s="504" t="s">
        <v>760</v>
      </c>
      <c r="G5618" s="504" t="s">
        <v>761</v>
      </c>
      <c r="H5618" s="504" t="s">
        <v>14873</v>
      </c>
      <c r="I5618" s="504">
        <v>6</v>
      </c>
      <c r="J5618" s="504">
        <v>0</v>
      </c>
      <c r="K5618" s="504">
        <v>0</v>
      </c>
      <c r="L5618" s="504">
        <v>6</v>
      </c>
      <c r="M5618" s="504">
        <v>0</v>
      </c>
      <c r="N5618" s="504">
        <v>0</v>
      </c>
      <c r="O5618" s="505">
        <v>0</v>
      </c>
    </row>
    <row r="5619" spans="1:15" x14ac:dyDescent="0.35">
      <c r="A5619" s="500" t="s">
        <v>1228</v>
      </c>
      <c r="B5619" s="501" t="s">
        <v>3321</v>
      </c>
      <c r="C5619" s="501" t="s">
        <v>1094</v>
      </c>
      <c r="D5619" s="501" t="s">
        <v>3380</v>
      </c>
      <c r="E5619" s="501" t="s">
        <v>3381</v>
      </c>
      <c r="F5619" s="501" t="s">
        <v>760</v>
      </c>
      <c r="G5619" s="501" t="s">
        <v>761</v>
      </c>
      <c r="H5619" s="501" t="s">
        <v>7905</v>
      </c>
      <c r="I5619" s="501">
        <v>3</v>
      </c>
      <c r="J5619" s="501">
        <v>0</v>
      </c>
      <c r="K5619" s="501">
        <v>0</v>
      </c>
      <c r="L5619" s="501">
        <v>3</v>
      </c>
      <c r="M5619" s="501">
        <v>0</v>
      </c>
      <c r="N5619" s="501">
        <v>0</v>
      </c>
      <c r="O5619" s="506">
        <v>0</v>
      </c>
    </row>
    <row r="5620" spans="1:15" x14ac:dyDescent="0.35">
      <c r="A5620" s="503" t="s">
        <v>1235</v>
      </c>
      <c r="B5620" s="504">
        <v>4684</v>
      </c>
      <c r="C5620" s="504" t="s">
        <v>1094</v>
      </c>
      <c r="D5620" s="504" t="s">
        <v>3380</v>
      </c>
      <c r="E5620" s="504" t="s">
        <v>3381</v>
      </c>
      <c r="F5620" s="504" t="s">
        <v>760</v>
      </c>
      <c r="G5620" s="504" t="s">
        <v>761</v>
      </c>
      <c r="H5620" s="504" t="s">
        <v>7906</v>
      </c>
      <c r="I5620" s="504">
        <v>13</v>
      </c>
      <c r="J5620" s="504">
        <v>7</v>
      </c>
      <c r="K5620" s="504">
        <v>0</v>
      </c>
      <c r="L5620" s="504">
        <v>0</v>
      </c>
      <c r="M5620" s="504">
        <v>0</v>
      </c>
      <c r="N5620" s="504">
        <v>0</v>
      </c>
      <c r="O5620" s="505">
        <v>6</v>
      </c>
    </row>
    <row r="5621" spans="1:15" x14ac:dyDescent="0.35">
      <c r="A5621" s="500" t="s">
        <v>1126</v>
      </c>
      <c r="B5621" s="501" t="s">
        <v>2974</v>
      </c>
      <c r="C5621" s="501" t="s">
        <v>1094</v>
      </c>
      <c r="D5621" s="501" t="s">
        <v>3380</v>
      </c>
      <c r="E5621" s="501" t="s">
        <v>3381</v>
      </c>
      <c r="F5621" s="501" t="s">
        <v>760</v>
      </c>
      <c r="G5621" s="501" t="s">
        <v>761</v>
      </c>
      <c r="H5621" s="501" t="s">
        <v>7907</v>
      </c>
      <c r="I5621" s="501">
        <v>371</v>
      </c>
      <c r="J5621" s="501">
        <v>180</v>
      </c>
      <c r="K5621" s="501">
        <v>0</v>
      </c>
      <c r="L5621" s="501">
        <v>15</v>
      </c>
      <c r="M5621" s="501">
        <v>142</v>
      </c>
      <c r="N5621" s="501">
        <v>0</v>
      </c>
      <c r="O5621" s="506">
        <v>34</v>
      </c>
    </row>
    <row r="5622" spans="1:15" x14ac:dyDescent="0.35">
      <c r="A5622" s="503" t="s">
        <v>1136</v>
      </c>
      <c r="B5622" s="504">
        <v>4680</v>
      </c>
      <c r="C5622" s="504" t="s">
        <v>1094</v>
      </c>
      <c r="D5622" s="504" t="s">
        <v>3380</v>
      </c>
      <c r="E5622" s="504" t="s">
        <v>3381</v>
      </c>
      <c r="F5622" s="504" t="s">
        <v>760</v>
      </c>
      <c r="G5622" s="504" t="s">
        <v>761</v>
      </c>
      <c r="H5622" s="504" t="s">
        <v>7908</v>
      </c>
      <c r="I5622" s="504">
        <v>99</v>
      </c>
      <c r="J5622" s="504">
        <v>73</v>
      </c>
      <c r="K5622" s="504">
        <v>0</v>
      </c>
      <c r="L5622" s="504">
        <v>0</v>
      </c>
      <c r="M5622" s="504">
        <v>0</v>
      </c>
      <c r="N5622" s="504">
        <v>0</v>
      </c>
      <c r="O5622" s="505">
        <v>26</v>
      </c>
    </row>
    <row r="5623" spans="1:15" x14ac:dyDescent="0.35">
      <c r="A5623" s="500" t="s">
        <v>2033</v>
      </c>
      <c r="B5623" s="501" t="s">
        <v>2909</v>
      </c>
      <c r="C5623" s="501" t="s">
        <v>1089</v>
      </c>
      <c r="D5623" s="501" t="s">
        <v>3392</v>
      </c>
      <c r="E5623" s="501" t="s">
        <v>3381</v>
      </c>
      <c r="F5623" s="501" t="s">
        <v>760</v>
      </c>
      <c r="G5623" s="501" t="s">
        <v>761</v>
      </c>
      <c r="H5623" s="501" t="s">
        <v>7909</v>
      </c>
      <c r="I5623" s="501">
        <v>9</v>
      </c>
      <c r="J5623" s="501">
        <v>0</v>
      </c>
      <c r="K5623" s="501">
        <v>0</v>
      </c>
      <c r="L5623" s="501">
        <v>0</v>
      </c>
      <c r="M5623" s="501">
        <v>9</v>
      </c>
      <c r="N5623" s="501">
        <v>0</v>
      </c>
      <c r="O5623" s="506">
        <v>0</v>
      </c>
    </row>
    <row r="5624" spans="1:15" x14ac:dyDescent="0.35">
      <c r="A5624" s="503" t="s">
        <v>1260</v>
      </c>
      <c r="B5624" s="504">
        <v>4645</v>
      </c>
      <c r="C5624" s="504" t="s">
        <v>1089</v>
      </c>
      <c r="D5624" s="504" t="s">
        <v>3392</v>
      </c>
      <c r="E5624" s="504" t="s">
        <v>3381</v>
      </c>
      <c r="F5624" s="504" t="s">
        <v>760</v>
      </c>
      <c r="G5624" s="504" t="s">
        <v>761</v>
      </c>
      <c r="H5624" s="504" t="s">
        <v>7910</v>
      </c>
      <c r="I5624" s="504">
        <v>12</v>
      </c>
      <c r="J5624" s="504">
        <v>0</v>
      </c>
      <c r="K5624" s="504">
        <v>0</v>
      </c>
      <c r="L5624" s="504">
        <v>12</v>
      </c>
      <c r="M5624" s="504">
        <v>0</v>
      </c>
      <c r="N5624" s="504">
        <v>0</v>
      </c>
      <c r="O5624" s="505">
        <v>0</v>
      </c>
    </row>
    <row r="5625" spans="1:15" x14ac:dyDescent="0.35">
      <c r="A5625" s="500" t="s">
        <v>2050</v>
      </c>
      <c r="B5625" s="501">
        <v>4826</v>
      </c>
      <c r="C5625" s="501" t="s">
        <v>1094</v>
      </c>
      <c r="D5625" s="501" t="s">
        <v>3380</v>
      </c>
      <c r="E5625" s="501" t="s">
        <v>3381</v>
      </c>
      <c r="F5625" s="501" t="s">
        <v>760</v>
      </c>
      <c r="G5625" s="501" t="s">
        <v>761</v>
      </c>
      <c r="H5625" s="501" t="s">
        <v>7911</v>
      </c>
      <c r="I5625" s="501">
        <v>34</v>
      </c>
      <c r="J5625" s="501">
        <v>1</v>
      </c>
      <c r="K5625" s="501">
        <v>0</v>
      </c>
      <c r="L5625" s="501">
        <v>9</v>
      </c>
      <c r="M5625" s="501">
        <v>0</v>
      </c>
      <c r="N5625" s="501">
        <v>0</v>
      </c>
      <c r="O5625" s="506">
        <v>24</v>
      </c>
    </row>
    <row r="5626" spans="1:15" x14ac:dyDescent="0.35">
      <c r="A5626" s="503" t="s">
        <v>1145</v>
      </c>
      <c r="B5626" s="504" t="s">
        <v>3164</v>
      </c>
      <c r="C5626" s="504" t="s">
        <v>1094</v>
      </c>
      <c r="D5626" s="504" t="s">
        <v>3380</v>
      </c>
      <c r="E5626" s="504" t="s">
        <v>3381</v>
      </c>
      <c r="F5626" s="504" t="s">
        <v>762</v>
      </c>
      <c r="G5626" s="504" t="s">
        <v>763</v>
      </c>
      <c r="H5626" s="504" t="s">
        <v>7912</v>
      </c>
      <c r="I5626" s="504">
        <v>104</v>
      </c>
      <c r="J5626" s="504">
        <v>87</v>
      </c>
      <c r="K5626" s="504">
        <v>1</v>
      </c>
      <c r="L5626" s="504">
        <v>3</v>
      </c>
      <c r="M5626" s="504">
        <v>0</v>
      </c>
      <c r="N5626" s="504">
        <v>0</v>
      </c>
      <c r="O5626" s="505">
        <v>13</v>
      </c>
    </row>
    <row r="5627" spans="1:15" x14ac:dyDescent="0.35">
      <c r="A5627" s="500" t="s">
        <v>1146</v>
      </c>
      <c r="B5627" s="501">
        <v>4660</v>
      </c>
      <c r="C5627" s="501" t="s">
        <v>1089</v>
      </c>
      <c r="D5627" s="501" t="s">
        <v>3392</v>
      </c>
      <c r="E5627" s="501" t="s">
        <v>3381</v>
      </c>
      <c r="F5627" s="501" t="s">
        <v>762</v>
      </c>
      <c r="G5627" s="501" t="s">
        <v>763</v>
      </c>
      <c r="H5627" s="501" t="s">
        <v>7913</v>
      </c>
      <c r="I5627" s="501">
        <v>5</v>
      </c>
      <c r="J5627" s="501">
        <v>5</v>
      </c>
      <c r="K5627" s="501">
        <v>0</v>
      </c>
      <c r="L5627" s="501">
        <v>0</v>
      </c>
      <c r="M5627" s="501">
        <v>0</v>
      </c>
      <c r="N5627" s="501">
        <v>0</v>
      </c>
      <c r="O5627" s="506">
        <v>0</v>
      </c>
    </row>
    <row r="5628" spans="1:15" x14ac:dyDescent="0.35">
      <c r="A5628" s="503" t="s">
        <v>1147</v>
      </c>
      <c r="B5628" s="504" t="s">
        <v>3274</v>
      </c>
      <c r="C5628" s="504" t="s">
        <v>1089</v>
      </c>
      <c r="D5628" s="504" t="s">
        <v>3392</v>
      </c>
      <c r="E5628" s="504" t="s">
        <v>3381</v>
      </c>
      <c r="F5628" s="504" t="s">
        <v>762</v>
      </c>
      <c r="G5628" s="504" t="s">
        <v>763</v>
      </c>
      <c r="H5628" s="504" t="s">
        <v>7914</v>
      </c>
      <c r="I5628" s="504">
        <v>2</v>
      </c>
      <c r="J5628" s="504">
        <v>0</v>
      </c>
      <c r="K5628" s="504">
        <v>0</v>
      </c>
      <c r="L5628" s="504">
        <v>2</v>
      </c>
      <c r="M5628" s="504">
        <v>0</v>
      </c>
      <c r="N5628" s="504">
        <v>0</v>
      </c>
      <c r="O5628" s="505">
        <v>0</v>
      </c>
    </row>
    <row r="5629" spans="1:15" x14ac:dyDescent="0.35">
      <c r="A5629" s="500" t="s">
        <v>1149</v>
      </c>
      <c r="B5629" s="501" t="s">
        <v>3261</v>
      </c>
      <c r="C5629" s="501" t="s">
        <v>1094</v>
      </c>
      <c r="D5629" s="501" t="s">
        <v>3380</v>
      </c>
      <c r="E5629" s="501" t="s">
        <v>3381</v>
      </c>
      <c r="F5629" s="501" t="s">
        <v>762</v>
      </c>
      <c r="G5629" s="501" t="s">
        <v>763</v>
      </c>
      <c r="H5629" s="501" t="s">
        <v>7915</v>
      </c>
      <c r="I5629" s="501">
        <v>9</v>
      </c>
      <c r="J5629" s="501">
        <v>0</v>
      </c>
      <c r="K5629" s="501">
        <v>0</v>
      </c>
      <c r="L5629" s="501">
        <v>0</v>
      </c>
      <c r="M5629" s="501">
        <v>0</v>
      </c>
      <c r="N5629" s="501">
        <v>0</v>
      </c>
      <c r="O5629" s="506">
        <v>9</v>
      </c>
    </row>
    <row r="5630" spans="1:15" x14ac:dyDescent="0.35">
      <c r="A5630" s="503" t="s">
        <v>1170</v>
      </c>
      <c r="B5630" s="504">
        <v>4790</v>
      </c>
      <c r="C5630" s="504" t="s">
        <v>1089</v>
      </c>
      <c r="D5630" s="504" t="s">
        <v>3392</v>
      </c>
      <c r="E5630" s="504" t="s">
        <v>3381</v>
      </c>
      <c r="F5630" s="504" t="s">
        <v>762</v>
      </c>
      <c r="G5630" s="504" t="s">
        <v>763</v>
      </c>
      <c r="H5630" s="504" t="s">
        <v>7916</v>
      </c>
      <c r="I5630" s="504">
        <v>36</v>
      </c>
      <c r="J5630" s="504">
        <v>36</v>
      </c>
      <c r="K5630" s="504">
        <v>0</v>
      </c>
      <c r="L5630" s="504">
        <v>0</v>
      </c>
      <c r="M5630" s="504">
        <v>0</v>
      </c>
      <c r="N5630" s="504">
        <v>0</v>
      </c>
      <c r="O5630" s="505">
        <v>0</v>
      </c>
    </row>
    <row r="5631" spans="1:15" x14ac:dyDescent="0.35">
      <c r="A5631" s="500" t="s">
        <v>1171</v>
      </c>
      <c r="B5631" s="501" t="s">
        <v>3003</v>
      </c>
      <c r="C5631" s="501" t="s">
        <v>1094</v>
      </c>
      <c r="D5631" s="501" t="s">
        <v>3380</v>
      </c>
      <c r="E5631" s="501" t="s">
        <v>3381</v>
      </c>
      <c r="F5631" s="501" t="s">
        <v>762</v>
      </c>
      <c r="G5631" s="501" t="s">
        <v>763</v>
      </c>
      <c r="H5631" s="501" t="s">
        <v>7917</v>
      </c>
      <c r="I5631" s="501">
        <v>112</v>
      </c>
      <c r="J5631" s="501">
        <v>84</v>
      </c>
      <c r="K5631" s="501">
        <v>0</v>
      </c>
      <c r="L5631" s="501">
        <v>8</v>
      </c>
      <c r="M5631" s="501">
        <v>3</v>
      </c>
      <c r="N5631" s="501">
        <v>0</v>
      </c>
      <c r="O5631" s="506">
        <v>17</v>
      </c>
    </row>
    <row r="5632" spans="1:15" x14ac:dyDescent="0.35">
      <c r="A5632" s="503" t="s">
        <v>1173</v>
      </c>
      <c r="B5632" s="504">
        <v>4775</v>
      </c>
      <c r="C5632" s="504" t="s">
        <v>1094</v>
      </c>
      <c r="D5632" s="504" t="s">
        <v>3380</v>
      </c>
      <c r="E5632" s="504" t="s">
        <v>3381</v>
      </c>
      <c r="F5632" s="504" t="s">
        <v>762</v>
      </c>
      <c r="G5632" s="504" t="s">
        <v>763</v>
      </c>
      <c r="H5632" s="504" t="s">
        <v>7918</v>
      </c>
      <c r="I5632" s="504">
        <v>116</v>
      </c>
      <c r="J5632" s="504">
        <v>41</v>
      </c>
      <c r="K5632" s="504">
        <v>0</v>
      </c>
      <c r="L5632" s="504">
        <v>22</v>
      </c>
      <c r="M5632" s="504">
        <v>0</v>
      </c>
      <c r="N5632" s="504">
        <v>0</v>
      </c>
      <c r="O5632" s="505">
        <v>53</v>
      </c>
    </row>
    <row r="5633" spans="1:15" x14ac:dyDescent="0.35">
      <c r="A5633" s="500" t="s">
        <v>1178</v>
      </c>
      <c r="B5633" s="501" t="s">
        <v>3334</v>
      </c>
      <c r="C5633" s="501" t="s">
        <v>1094</v>
      </c>
      <c r="D5633" s="501" t="s">
        <v>3380</v>
      </c>
      <c r="E5633" s="501" t="s">
        <v>3381</v>
      </c>
      <c r="F5633" s="501" t="s">
        <v>762</v>
      </c>
      <c r="G5633" s="501" t="s">
        <v>763</v>
      </c>
      <c r="H5633" s="501" t="s">
        <v>14874</v>
      </c>
      <c r="I5633" s="501">
        <v>2</v>
      </c>
      <c r="J5633" s="501">
        <v>0</v>
      </c>
      <c r="K5633" s="501">
        <v>0</v>
      </c>
      <c r="L5633" s="501">
        <v>2</v>
      </c>
      <c r="M5633" s="501">
        <v>0</v>
      </c>
      <c r="N5633" s="501">
        <v>0</v>
      </c>
      <c r="O5633" s="506">
        <v>0</v>
      </c>
    </row>
    <row r="5634" spans="1:15" x14ac:dyDescent="0.35">
      <c r="A5634" s="503" t="s">
        <v>1180</v>
      </c>
      <c r="B5634" s="504" t="s">
        <v>3184</v>
      </c>
      <c r="C5634" s="504" t="s">
        <v>1094</v>
      </c>
      <c r="D5634" s="504" t="s">
        <v>3380</v>
      </c>
      <c r="E5634" s="504" t="s">
        <v>3381</v>
      </c>
      <c r="F5634" s="504" t="s">
        <v>762</v>
      </c>
      <c r="G5634" s="504" t="s">
        <v>763</v>
      </c>
      <c r="H5634" s="504" t="s">
        <v>7919</v>
      </c>
      <c r="I5634" s="504">
        <v>30</v>
      </c>
      <c r="J5634" s="504">
        <v>24</v>
      </c>
      <c r="K5634" s="504">
        <v>0</v>
      </c>
      <c r="L5634" s="504">
        <v>6</v>
      </c>
      <c r="M5634" s="504">
        <v>0</v>
      </c>
      <c r="N5634" s="504">
        <v>0</v>
      </c>
      <c r="O5634" s="505">
        <v>0</v>
      </c>
    </row>
    <row r="5635" spans="1:15" x14ac:dyDescent="0.35">
      <c r="A5635" s="500" t="s">
        <v>14208</v>
      </c>
      <c r="B5635" s="501">
        <v>4803</v>
      </c>
      <c r="C5635" s="501" t="s">
        <v>1094</v>
      </c>
      <c r="D5635" s="501" t="s">
        <v>3380</v>
      </c>
      <c r="E5635" s="501" t="s">
        <v>3381</v>
      </c>
      <c r="F5635" s="501" t="s">
        <v>762</v>
      </c>
      <c r="G5635" s="501" t="s">
        <v>763</v>
      </c>
      <c r="H5635" s="501" t="s">
        <v>14875</v>
      </c>
      <c r="I5635" s="501">
        <v>16</v>
      </c>
      <c r="J5635" s="501">
        <v>0</v>
      </c>
      <c r="K5635" s="501">
        <v>0</v>
      </c>
      <c r="L5635" s="501">
        <v>16</v>
      </c>
      <c r="M5635" s="501">
        <v>0</v>
      </c>
      <c r="N5635" s="501">
        <v>0</v>
      </c>
      <c r="O5635" s="506">
        <v>0</v>
      </c>
    </row>
    <row r="5636" spans="1:15" x14ac:dyDescent="0.35">
      <c r="A5636" s="503" t="s">
        <v>1183</v>
      </c>
      <c r="B5636" s="504" t="s">
        <v>3038</v>
      </c>
      <c r="C5636" s="504" t="s">
        <v>1094</v>
      </c>
      <c r="D5636" s="504" t="s">
        <v>3380</v>
      </c>
      <c r="E5636" s="504" t="s">
        <v>3381</v>
      </c>
      <c r="F5636" s="504" t="s">
        <v>762</v>
      </c>
      <c r="G5636" s="504" t="s">
        <v>763</v>
      </c>
      <c r="H5636" s="504" t="s">
        <v>11713</v>
      </c>
      <c r="I5636" s="504">
        <v>12</v>
      </c>
      <c r="J5636" s="504">
        <v>1</v>
      </c>
      <c r="K5636" s="504">
        <v>0</v>
      </c>
      <c r="L5636" s="504">
        <v>0</v>
      </c>
      <c r="M5636" s="504">
        <v>0</v>
      </c>
      <c r="N5636" s="504">
        <v>0</v>
      </c>
      <c r="O5636" s="505">
        <v>11</v>
      </c>
    </row>
    <row r="5637" spans="1:15" x14ac:dyDescent="0.35">
      <c r="A5637" s="500" t="s">
        <v>1105</v>
      </c>
      <c r="B5637" s="501">
        <v>4668</v>
      </c>
      <c r="C5637" s="501" t="s">
        <v>1094</v>
      </c>
      <c r="D5637" s="501" t="s">
        <v>3380</v>
      </c>
      <c r="E5637" s="501" t="s">
        <v>3381</v>
      </c>
      <c r="F5637" s="501" t="s">
        <v>762</v>
      </c>
      <c r="G5637" s="501" t="s">
        <v>763</v>
      </c>
      <c r="H5637" s="501" t="s">
        <v>7920</v>
      </c>
      <c r="I5637" s="501">
        <v>17</v>
      </c>
      <c r="J5637" s="501">
        <v>0</v>
      </c>
      <c r="K5637" s="501">
        <v>0</v>
      </c>
      <c r="L5637" s="501">
        <v>0</v>
      </c>
      <c r="M5637" s="501">
        <v>0</v>
      </c>
      <c r="N5637" s="501">
        <v>0</v>
      </c>
      <c r="O5637" s="506">
        <v>17</v>
      </c>
    </row>
    <row r="5638" spans="1:15" x14ac:dyDescent="0.35">
      <c r="A5638" s="503" t="s">
        <v>1109</v>
      </c>
      <c r="B5638" s="504" t="s">
        <v>2959</v>
      </c>
      <c r="C5638" s="504" t="s">
        <v>1094</v>
      </c>
      <c r="D5638" s="504" t="s">
        <v>3380</v>
      </c>
      <c r="E5638" s="504" t="s">
        <v>3381</v>
      </c>
      <c r="F5638" s="504" t="s">
        <v>762</v>
      </c>
      <c r="G5638" s="504" t="s">
        <v>763</v>
      </c>
      <c r="H5638" s="504" t="s">
        <v>7921</v>
      </c>
      <c r="I5638" s="504">
        <v>41</v>
      </c>
      <c r="J5638" s="504">
        <v>0</v>
      </c>
      <c r="K5638" s="504">
        <v>0</v>
      </c>
      <c r="L5638" s="504">
        <v>0</v>
      </c>
      <c r="M5638" s="504">
        <v>41</v>
      </c>
      <c r="N5638" s="504">
        <v>0</v>
      </c>
      <c r="O5638" s="505">
        <v>0</v>
      </c>
    </row>
    <row r="5639" spans="1:15" x14ac:dyDescent="0.35">
      <c r="A5639" s="500" t="s">
        <v>1190</v>
      </c>
      <c r="B5639" s="501">
        <v>4662</v>
      </c>
      <c r="C5639" s="501" t="s">
        <v>1094</v>
      </c>
      <c r="D5639" s="501" t="s">
        <v>3380</v>
      </c>
      <c r="E5639" s="501" t="s">
        <v>3381</v>
      </c>
      <c r="F5639" s="501" t="s">
        <v>762</v>
      </c>
      <c r="G5639" s="501" t="s">
        <v>763</v>
      </c>
      <c r="H5639" s="501" t="s">
        <v>7922</v>
      </c>
      <c r="I5639" s="501">
        <v>3</v>
      </c>
      <c r="J5639" s="501">
        <v>0</v>
      </c>
      <c r="K5639" s="501">
        <v>0</v>
      </c>
      <c r="L5639" s="501">
        <v>3</v>
      </c>
      <c r="M5639" s="501">
        <v>0</v>
      </c>
      <c r="N5639" s="501">
        <v>0</v>
      </c>
      <c r="O5639" s="506">
        <v>0</v>
      </c>
    </row>
    <row r="5640" spans="1:15" x14ac:dyDescent="0.35">
      <c r="A5640" s="503" t="s">
        <v>1112</v>
      </c>
      <c r="B5640" s="504" t="s">
        <v>3008</v>
      </c>
      <c r="C5640" s="504" t="s">
        <v>1094</v>
      </c>
      <c r="D5640" s="504" t="s">
        <v>3380</v>
      </c>
      <c r="E5640" s="504" t="s">
        <v>3381</v>
      </c>
      <c r="F5640" s="504" t="s">
        <v>762</v>
      </c>
      <c r="G5640" s="504" t="s">
        <v>763</v>
      </c>
      <c r="H5640" s="504" t="s">
        <v>7923</v>
      </c>
      <c r="I5640" s="504">
        <v>137</v>
      </c>
      <c r="J5640" s="504">
        <v>113</v>
      </c>
      <c r="K5640" s="504">
        <v>0</v>
      </c>
      <c r="L5640" s="504">
        <v>0</v>
      </c>
      <c r="M5640" s="504">
        <v>24</v>
      </c>
      <c r="N5640" s="504">
        <v>0</v>
      </c>
      <c r="O5640" s="505">
        <v>0</v>
      </c>
    </row>
    <row r="5641" spans="1:15" x14ac:dyDescent="0.35">
      <c r="A5641" s="500" t="s">
        <v>1209</v>
      </c>
      <c r="B5641" s="501">
        <v>4779</v>
      </c>
      <c r="C5641" s="501" t="s">
        <v>1094</v>
      </c>
      <c r="D5641" s="501" t="s">
        <v>3380</v>
      </c>
      <c r="E5641" s="501" t="s">
        <v>3381</v>
      </c>
      <c r="F5641" s="501" t="s">
        <v>762</v>
      </c>
      <c r="G5641" s="501" t="s">
        <v>763</v>
      </c>
      <c r="H5641" s="501" t="s">
        <v>11863</v>
      </c>
      <c r="I5641" s="501">
        <v>4</v>
      </c>
      <c r="J5641" s="501">
        <v>0</v>
      </c>
      <c r="K5641" s="501">
        <v>0</v>
      </c>
      <c r="L5641" s="501">
        <v>4</v>
      </c>
      <c r="M5641" s="501">
        <v>0</v>
      </c>
      <c r="N5641" s="501">
        <v>0</v>
      </c>
      <c r="O5641" s="506">
        <v>0</v>
      </c>
    </row>
    <row r="5642" spans="1:15" x14ac:dyDescent="0.35">
      <c r="A5642" s="503" t="s">
        <v>1224</v>
      </c>
      <c r="B5642" s="504" t="s">
        <v>3135</v>
      </c>
      <c r="C5642" s="504" t="s">
        <v>1089</v>
      </c>
      <c r="D5642" s="504" t="s">
        <v>3392</v>
      </c>
      <c r="E5642" s="504" t="s">
        <v>3381</v>
      </c>
      <c r="F5642" s="504" t="s">
        <v>762</v>
      </c>
      <c r="G5642" s="504" t="s">
        <v>763</v>
      </c>
      <c r="H5642" s="504" t="s">
        <v>7924</v>
      </c>
      <c r="I5642" s="504">
        <v>14</v>
      </c>
      <c r="J5642" s="504">
        <v>14</v>
      </c>
      <c r="K5642" s="504">
        <v>0</v>
      </c>
      <c r="L5642" s="504">
        <v>0</v>
      </c>
      <c r="M5642" s="504">
        <v>0</v>
      </c>
      <c r="N5642" s="504">
        <v>0</v>
      </c>
      <c r="O5642" s="505">
        <v>0</v>
      </c>
    </row>
    <row r="5643" spans="1:15" x14ac:dyDescent="0.35">
      <c r="A5643" s="500" t="s">
        <v>1225</v>
      </c>
      <c r="B5643" s="501" t="s">
        <v>3315</v>
      </c>
      <c r="C5643" s="501" t="s">
        <v>1094</v>
      </c>
      <c r="D5643" s="501" t="s">
        <v>3380</v>
      </c>
      <c r="E5643" s="501" t="s">
        <v>3381</v>
      </c>
      <c r="F5643" s="501" t="s">
        <v>762</v>
      </c>
      <c r="G5643" s="501" t="s">
        <v>763</v>
      </c>
      <c r="H5643" s="501" t="s">
        <v>7925</v>
      </c>
      <c r="I5643" s="501">
        <v>8</v>
      </c>
      <c r="J5643" s="501">
        <v>0</v>
      </c>
      <c r="K5643" s="501">
        <v>0</v>
      </c>
      <c r="L5643" s="501">
        <v>8</v>
      </c>
      <c r="M5643" s="501">
        <v>0</v>
      </c>
      <c r="N5643" s="501">
        <v>0</v>
      </c>
      <c r="O5643" s="506">
        <v>0</v>
      </c>
    </row>
    <row r="5644" spans="1:15" x14ac:dyDescent="0.35">
      <c r="A5644" s="503" t="s">
        <v>1226</v>
      </c>
      <c r="B5644" s="504">
        <v>5084</v>
      </c>
      <c r="C5644" s="504" t="s">
        <v>1094</v>
      </c>
      <c r="D5644" s="504" t="s">
        <v>3380</v>
      </c>
      <c r="E5644" s="504" t="s">
        <v>3381</v>
      </c>
      <c r="F5644" s="504" t="s">
        <v>762</v>
      </c>
      <c r="G5644" s="504" t="s">
        <v>763</v>
      </c>
      <c r="H5644" s="504" t="s">
        <v>7926</v>
      </c>
      <c r="I5644" s="504">
        <v>66</v>
      </c>
      <c r="J5644" s="504">
        <v>44</v>
      </c>
      <c r="K5644" s="504">
        <v>0</v>
      </c>
      <c r="L5644" s="504">
        <v>0</v>
      </c>
      <c r="M5644" s="504">
        <v>0</v>
      </c>
      <c r="N5644" s="504">
        <v>0</v>
      </c>
      <c r="O5644" s="505">
        <v>22</v>
      </c>
    </row>
    <row r="5645" spans="1:15" x14ac:dyDescent="0.35">
      <c r="A5645" s="500" t="s">
        <v>1124</v>
      </c>
      <c r="B5645" s="501">
        <v>4745</v>
      </c>
      <c r="C5645" s="501" t="s">
        <v>1094</v>
      </c>
      <c r="D5645" s="501" t="s">
        <v>3380</v>
      </c>
      <c r="E5645" s="501" t="s">
        <v>3381</v>
      </c>
      <c r="F5645" s="501" t="s">
        <v>762</v>
      </c>
      <c r="G5645" s="501" t="s">
        <v>763</v>
      </c>
      <c r="H5645" s="501" t="s">
        <v>7927</v>
      </c>
      <c r="I5645" s="501">
        <v>4</v>
      </c>
      <c r="J5645" s="501">
        <v>0</v>
      </c>
      <c r="K5645" s="501">
        <v>0</v>
      </c>
      <c r="L5645" s="501">
        <v>4</v>
      </c>
      <c r="M5645" s="501">
        <v>0</v>
      </c>
      <c r="N5645" s="501">
        <v>0</v>
      </c>
      <c r="O5645" s="506">
        <v>0</v>
      </c>
    </row>
    <row r="5646" spans="1:15" x14ac:dyDescent="0.35">
      <c r="A5646" s="503" t="s">
        <v>1232</v>
      </c>
      <c r="B5646" s="504">
        <v>4608</v>
      </c>
      <c r="C5646" s="504" t="s">
        <v>1089</v>
      </c>
      <c r="D5646" s="504" t="s">
        <v>3392</v>
      </c>
      <c r="E5646" s="504" t="s">
        <v>3381</v>
      </c>
      <c r="F5646" s="504" t="s">
        <v>762</v>
      </c>
      <c r="G5646" s="504" t="s">
        <v>763</v>
      </c>
      <c r="H5646" s="504" t="s">
        <v>7928</v>
      </c>
      <c r="I5646" s="504">
        <v>132</v>
      </c>
      <c r="J5646" s="504">
        <v>132</v>
      </c>
      <c r="K5646" s="504">
        <v>0</v>
      </c>
      <c r="L5646" s="504">
        <v>0</v>
      </c>
      <c r="M5646" s="504">
        <v>0</v>
      </c>
      <c r="N5646" s="504">
        <v>2</v>
      </c>
      <c r="O5646" s="505">
        <v>0</v>
      </c>
    </row>
    <row r="5647" spans="1:15" x14ac:dyDescent="0.35">
      <c r="A5647" s="500" t="s">
        <v>1233</v>
      </c>
      <c r="B5647" s="501">
        <v>4636</v>
      </c>
      <c r="C5647" s="501" t="s">
        <v>1094</v>
      </c>
      <c r="D5647" s="501" t="s">
        <v>3380</v>
      </c>
      <c r="E5647" s="501" t="s">
        <v>3381</v>
      </c>
      <c r="F5647" s="501" t="s">
        <v>762</v>
      </c>
      <c r="G5647" s="501" t="s">
        <v>763</v>
      </c>
      <c r="H5647" s="501" t="s">
        <v>7929</v>
      </c>
      <c r="I5647" s="501">
        <v>63</v>
      </c>
      <c r="J5647" s="501">
        <v>12</v>
      </c>
      <c r="K5647" s="501">
        <v>0</v>
      </c>
      <c r="L5647" s="501">
        <v>0</v>
      </c>
      <c r="M5647" s="501">
        <v>0</v>
      </c>
      <c r="N5647" s="501">
        <v>0</v>
      </c>
      <c r="O5647" s="506">
        <v>51</v>
      </c>
    </row>
    <row r="5648" spans="1:15" x14ac:dyDescent="0.35">
      <c r="A5648" s="503" t="s">
        <v>11368</v>
      </c>
      <c r="B5648" s="504">
        <v>5083</v>
      </c>
      <c r="C5648" s="504" t="s">
        <v>1094</v>
      </c>
      <c r="D5648" s="504" t="s">
        <v>3380</v>
      </c>
      <c r="E5648" s="504" t="s">
        <v>3381</v>
      </c>
      <c r="F5648" s="504" t="s">
        <v>762</v>
      </c>
      <c r="G5648" s="504" t="s">
        <v>763</v>
      </c>
      <c r="H5648" s="504" t="s">
        <v>12067</v>
      </c>
      <c r="I5648" s="504">
        <v>6</v>
      </c>
      <c r="J5648" s="504">
        <v>6</v>
      </c>
      <c r="K5648" s="504">
        <v>0</v>
      </c>
      <c r="L5648" s="504">
        <v>0</v>
      </c>
      <c r="M5648" s="504">
        <v>0</v>
      </c>
      <c r="N5648" s="504">
        <v>0</v>
      </c>
      <c r="O5648" s="505">
        <v>0</v>
      </c>
    </row>
    <row r="5649" spans="1:15" x14ac:dyDescent="0.35">
      <c r="A5649" s="500" t="s">
        <v>1235</v>
      </c>
      <c r="B5649" s="501">
        <v>4684</v>
      </c>
      <c r="C5649" s="501" t="s">
        <v>1094</v>
      </c>
      <c r="D5649" s="501" t="s">
        <v>3380</v>
      </c>
      <c r="E5649" s="501" t="s">
        <v>3381</v>
      </c>
      <c r="F5649" s="501" t="s">
        <v>762</v>
      </c>
      <c r="G5649" s="501" t="s">
        <v>763</v>
      </c>
      <c r="H5649" s="501" t="s">
        <v>7930</v>
      </c>
      <c r="I5649" s="501">
        <v>7</v>
      </c>
      <c r="J5649" s="501">
        <v>7</v>
      </c>
      <c r="K5649" s="501">
        <v>0</v>
      </c>
      <c r="L5649" s="501">
        <v>0</v>
      </c>
      <c r="M5649" s="501">
        <v>0</v>
      </c>
      <c r="N5649" s="501">
        <v>0</v>
      </c>
      <c r="O5649" s="506">
        <v>0</v>
      </c>
    </row>
    <row r="5650" spans="1:15" x14ac:dyDescent="0.35">
      <c r="A5650" s="503" t="s">
        <v>1126</v>
      </c>
      <c r="B5650" s="504" t="s">
        <v>2974</v>
      </c>
      <c r="C5650" s="504" t="s">
        <v>1094</v>
      </c>
      <c r="D5650" s="504" t="s">
        <v>3380</v>
      </c>
      <c r="E5650" s="504" t="s">
        <v>3381</v>
      </c>
      <c r="F5650" s="504" t="s">
        <v>762</v>
      </c>
      <c r="G5650" s="504" t="s">
        <v>763</v>
      </c>
      <c r="H5650" s="504" t="s">
        <v>7931</v>
      </c>
      <c r="I5650" s="504">
        <v>12</v>
      </c>
      <c r="J5650" s="504">
        <v>0</v>
      </c>
      <c r="K5650" s="504">
        <v>0</v>
      </c>
      <c r="L5650" s="504">
        <v>12</v>
      </c>
      <c r="M5650" s="504">
        <v>0</v>
      </c>
      <c r="N5650" s="504">
        <v>0</v>
      </c>
      <c r="O5650" s="505">
        <v>0</v>
      </c>
    </row>
    <row r="5651" spans="1:15" x14ac:dyDescent="0.35">
      <c r="A5651" s="500" t="s">
        <v>1238</v>
      </c>
      <c r="B5651" s="501" t="s">
        <v>2963</v>
      </c>
      <c r="C5651" s="501" t="s">
        <v>1094</v>
      </c>
      <c r="D5651" s="501" t="s">
        <v>3380</v>
      </c>
      <c r="E5651" s="501" t="s">
        <v>3381</v>
      </c>
      <c r="F5651" s="501" t="s">
        <v>762</v>
      </c>
      <c r="G5651" s="501" t="s">
        <v>763</v>
      </c>
      <c r="H5651" s="501" t="s">
        <v>7932</v>
      </c>
      <c r="I5651" s="501">
        <v>251</v>
      </c>
      <c r="J5651" s="501">
        <v>196</v>
      </c>
      <c r="K5651" s="501">
        <v>0</v>
      </c>
      <c r="L5651" s="501">
        <v>0</v>
      </c>
      <c r="M5651" s="501">
        <v>22</v>
      </c>
      <c r="N5651" s="501">
        <v>0</v>
      </c>
      <c r="O5651" s="506">
        <v>33</v>
      </c>
    </row>
    <row r="5652" spans="1:15" x14ac:dyDescent="0.35">
      <c r="A5652" s="503" t="s">
        <v>1249</v>
      </c>
      <c r="B5652" s="504">
        <v>4729</v>
      </c>
      <c r="C5652" s="504" t="s">
        <v>1094</v>
      </c>
      <c r="D5652" s="504" t="s">
        <v>3380</v>
      </c>
      <c r="E5652" s="504" t="s">
        <v>3381</v>
      </c>
      <c r="F5652" s="504" t="s">
        <v>762</v>
      </c>
      <c r="G5652" s="504" t="s">
        <v>763</v>
      </c>
      <c r="H5652" s="504" t="s">
        <v>7933</v>
      </c>
      <c r="I5652" s="504">
        <v>172</v>
      </c>
      <c r="J5652" s="504">
        <v>126</v>
      </c>
      <c r="K5652" s="504">
        <v>0</v>
      </c>
      <c r="L5652" s="504">
        <v>0</v>
      </c>
      <c r="M5652" s="504">
        <v>27</v>
      </c>
      <c r="N5652" s="504">
        <v>0</v>
      </c>
      <c r="O5652" s="505">
        <v>19</v>
      </c>
    </row>
    <row r="5653" spans="1:15" x14ac:dyDescent="0.35">
      <c r="A5653" s="500" t="s">
        <v>1257</v>
      </c>
      <c r="B5653" s="501" t="s">
        <v>3151</v>
      </c>
      <c r="C5653" s="501" t="s">
        <v>1094</v>
      </c>
      <c r="D5653" s="501" t="s">
        <v>3380</v>
      </c>
      <c r="E5653" s="501" t="s">
        <v>3381</v>
      </c>
      <c r="F5653" s="501" t="s">
        <v>762</v>
      </c>
      <c r="G5653" s="501" t="s">
        <v>763</v>
      </c>
      <c r="H5653" s="501" t="s">
        <v>7934</v>
      </c>
      <c r="I5653" s="501">
        <v>22</v>
      </c>
      <c r="J5653" s="501">
        <v>9</v>
      </c>
      <c r="K5653" s="501">
        <v>0</v>
      </c>
      <c r="L5653" s="501">
        <v>0</v>
      </c>
      <c r="M5653" s="501">
        <v>0</v>
      </c>
      <c r="N5653" s="501">
        <v>0</v>
      </c>
      <c r="O5653" s="506">
        <v>13</v>
      </c>
    </row>
    <row r="5654" spans="1:15" x14ac:dyDescent="0.35">
      <c r="A5654" s="503" t="s">
        <v>1145</v>
      </c>
      <c r="B5654" s="504" t="s">
        <v>3164</v>
      </c>
      <c r="C5654" s="504" t="s">
        <v>1094</v>
      </c>
      <c r="D5654" s="504" t="s">
        <v>3380</v>
      </c>
      <c r="E5654" s="504" t="s">
        <v>3381</v>
      </c>
      <c r="F5654" s="504" t="s">
        <v>764</v>
      </c>
      <c r="G5654" s="504" t="s">
        <v>765</v>
      </c>
      <c r="H5654" s="504" t="s">
        <v>7935</v>
      </c>
      <c r="I5654" s="504">
        <v>95</v>
      </c>
      <c r="J5654" s="504">
        <v>74</v>
      </c>
      <c r="K5654" s="504">
        <v>0</v>
      </c>
      <c r="L5654" s="504">
        <v>0</v>
      </c>
      <c r="M5654" s="504">
        <v>0</v>
      </c>
      <c r="N5654" s="504">
        <v>0</v>
      </c>
      <c r="O5654" s="505">
        <v>21</v>
      </c>
    </row>
    <row r="5655" spans="1:15" x14ac:dyDescent="0.35">
      <c r="A5655" s="500" t="s">
        <v>1096</v>
      </c>
      <c r="B5655" s="501" t="s">
        <v>3326</v>
      </c>
      <c r="C5655" s="501" t="s">
        <v>1094</v>
      </c>
      <c r="D5655" s="501" t="s">
        <v>3380</v>
      </c>
      <c r="E5655" s="501" t="s">
        <v>3381</v>
      </c>
      <c r="F5655" s="501" t="s">
        <v>764</v>
      </c>
      <c r="G5655" s="501" t="s">
        <v>765</v>
      </c>
      <c r="H5655" s="501" t="s">
        <v>7936</v>
      </c>
      <c r="I5655" s="501">
        <v>52</v>
      </c>
      <c r="J5655" s="501">
        <v>0</v>
      </c>
      <c r="K5655" s="501">
        <v>0</v>
      </c>
      <c r="L5655" s="501">
        <v>0</v>
      </c>
      <c r="M5655" s="501">
        <v>52</v>
      </c>
      <c r="N5655" s="501">
        <v>0</v>
      </c>
      <c r="O5655" s="506">
        <v>0</v>
      </c>
    </row>
    <row r="5656" spans="1:15" x14ac:dyDescent="0.35">
      <c r="A5656" s="503" t="s">
        <v>1151</v>
      </c>
      <c r="B5656" s="504">
        <v>4726</v>
      </c>
      <c r="C5656" s="504" t="s">
        <v>1089</v>
      </c>
      <c r="D5656" s="504" t="s">
        <v>3392</v>
      </c>
      <c r="E5656" s="504" t="s">
        <v>3381</v>
      </c>
      <c r="F5656" s="504" t="s">
        <v>764</v>
      </c>
      <c r="G5656" s="504" t="s">
        <v>765</v>
      </c>
      <c r="H5656" s="504" t="s">
        <v>7937</v>
      </c>
      <c r="I5656" s="504">
        <v>2</v>
      </c>
      <c r="J5656" s="504">
        <v>2</v>
      </c>
      <c r="K5656" s="504">
        <v>0</v>
      </c>
      <c r="L5656" s="504">
        <v>0</v>
      </c>
      <c r="M5656" s="504">
        <v>0</v>
      </c>
      <c r="N5656" s="504">
        <v>0</v>
      </c>
      <c r="O5656" s="505">
        <v>0</v>
      </c>
    </row>
    <row r="5657" spans="1:15" x14ac:dyDescent="0.35">
      <c r="A5657" s="500" t="s">
        <v>11363</v>
      </c>
      <c r="B5657" s="501">
        <v>4718</v>
      </c>
      <c r="C5657" s="501" t="s">
        <v>1094</v>
      </c>
      <c r="D5657" s="501" t="s">
        <v>3380</v>
      </c>
      <c r="E5657" s="501" t="s">
        <v>3381</v>
      </c>
      <c r="F5657" s="501" t="s">
        <v>764</v>
      </c>
      <c r="G5657" s="501" t="s">
        <v>765</v>
      </c>
      <c r="H5657" s="501" t="s">
        <v>14876</v>
      </c>
      <c r="I5657" s="501">
        <v>14</v>
      </c>
      <c r="J5657" s="501">
        <v>0</v>
      </c>
      <c r="K5657" s="501">
        <v>0</v>
      </c>
      <c r="L5657" s="501">
        <v>14</v>
      </c>
      <c r="M5657" s="501">
        <v>0</v>
      </c>
      <c r="N5657" s="501">
        <v>0</v>
      </c>
      <c r="O5657" s="506">
        <v>0</v>
      </c>
    </row>
    <row r="5658" spans="1:15" x14ac:dyDescent="0.35">
      <c r="A5658" s="503" t="s">
        <v>1164</v>
      </c>
      <c r="B5658" s="504">
        <v>4751</v>
      </c>
      <c r="C5658" s="504" t="s">
        <v>1089</v>
      </c>
      <c r="D5658" s="504" t="s">
        <v>3392</v>
      </c>
      <c r="E5658" s="504" t="s">
        <v>3381</v>
      </c>
      <c r="F5658" s="504" t="s">
        <v>764</v>
      </c>
      <c r="G5658" s="504" t="s">
        <v>765</v>
      </c>
      <c r="H5658" s="504" t="s">
        <v>7938</v>
      </c>
      <c r="I5658" s="504">
        <v>5</v>
      </c>
      <c r="J5658" s="504">
        <v>0</v>
      </c>
      <c r="K5658" s="504">
        <v>0</v>
      </c>
      <c r="L5658" s="504">
        <v>5</v>
      </c>
      <c r="M5658" s="504">
        <v>0</v>
      </c>
      <c r="N5658" s="504">
        <v>0</v>
      </c>
      <c r="O5658" s="505">
        <v>0</v>
      </c>
    </row>
    <row r="5659" spans="1:15" x14ac:dyDescent="0.35">
      <c r="A5659" s="500" t="s">
        <v>14208</v>
      </c>
      <c r="B5659" s="501">
        <v>4803</v>
      </c>
      <c r="C5659" s="501" t="s">
        <v>1094</v>
      </c>
      <c r="D5659" s="501" t="s">
        <v>3380</v>
      </c>
      <c r="E5659" s="501" t="s">
        <v>3381</v>
      </c>
      <c r="F5659" s="501" t="s">
        <v>764</v>
      </c>
      <c r="G5659" s="501" t="s">
        <v>765</v>
      </c>
      <c r="H5659" s="501" t="s">
        <v>14877</v>
      </c>
      <c r="I5659" s="501">
        <v>53</v>
      </c>
      <c r="J5659" s="501">
        <v>0</v>
      </c>
      <c r="K5659" s="501">
        <v>0</v>
      </c>
      <c r="L5659" s="501">
        <v>53</v>
      </c>
      <c r="M5659" s="501">
        <v>0</v>
      </c>
      <c r="N5659" s="501">
        <v>0</v>
      </c>
      <c r="O5659" s="506">
        <v>0</v>
      </c>
    </row>
    <row r="5660" spans="1:15" x14ac:dyDescent="0.35">
      <c r="A5660" s="503" t="s">
        <v>2150</v>
      </c>
      <c r="B5660" s="504" t="s">
        <v>2588</v>
      </c>
      <c r="C5660" s="504" t="s">
        <v>1089</v>
      </c>
      <c r="D5660" s="504" t="s">
        <v>3392</v>
      </c>
      <c r="E5660" s="504" t="s">
        <v>3381</v>
      </c>
      <c r="F5660" s="504" t="s">
        <v>764</v>
      </c>
      <c r="G5660" s="504" t="s">
        <v>765</v>
      </c>
      <c r="H5660" s="504" t="s">
        <v>7939</v>
      </c>
      <c r="I5660" s="504">
        <v>6</v>
      </c>
      <c r="J5660" s="504">
        <v>0</v>
      </c>
      <c r="K5660" s="504">
        <v>0</v>
      </c>
      <c r="L5660" s="504">
        <v>0</v>
      </c>
      <c r="M5660" s="504">
        <v>6</v>
      </c>
      <c r="N5660" s="504">
        <v>0</v>
      </c>
      <c r="O5660" s="505">
        <v>0</v>
      </c>
    </row>
    <row r="5661" spans="1:15" x14ac:dyDescent="0.35">
      <c r="A5661" s="500" t="s">
        <v>2151</v>
      </c>
      <c r="B5661" s="501" t="s">
        <v>3332</v>
      </c>
      <c r="C5661" s="501" t="s">
        <v>1089</v>
      </c>
      <c r="D5661" s="501" t="s">
        <v>3392</v>
      </c>
      <c r="E5661" s="501" t="s">
        <v>3381</v>
      </c>
      <c r="F5661" s="501" t="s">
        <v>764</v>
      </c>
      <c r="G5661" s="501" t="s">
        <v>765</v>
      </c>
      <c r="H5661" s="501" t="s">
        <v>7940</v>
      </c>
      <c r="I5661" s="501">
        <v>187</v>
      </c>
      <c r="J5661" s="501">
        <v>0</v>
      </c>
      <c r="K5661" s="501">
        <v>0</v>
      </c>
      <c r="L5661" s="501">
        <v>187</v>
      </c>
      <c r="M5661" s="501">
        <v>0</v>
      </c>
      <c r="N5661" s="501">
        <v>72</v>
      </c>
      <c r="O5661" s="506">
        <v>0</v>
      </c>
    </row>
    <row r="5662" spans="1:15" x14ac:dyDescent="0.35">
      <c r="A5662" s="503" t="s">
        <v>1109</v>
      </c>
      <c r="B5662" s="504" t="s">
        <v>2959</v>
      </c>
      <c r="C5662" s="504" t="s">
        <v>1094</v>
      </c>
      <c r="D5662" s="504" t="s">
        <v>3380</v>
      </c>
      <c r="E5662" s="504" t="s">
        <v>3381</v>
      </c>
      <c r="F5662" s="504" t="s">
        <v>764</v>
      </c>
      <c r="G5662" s="504" t="s">
        <v>765</v>
      </c>
      <c r="H5662" s="504" t="s">
        <v>7941</v>
      </c>
      <c r="I5662" s="504">
        <v>67</v>
      </c>
      <c r="J5662" s="504">
        <v>0</v>
      </c>
      <c r="K5662" s="504">
        <v>0</v>
      </c>
      <c r="L5662" s="504">
        <v>0</v>
      </c>
      <c r="M5662" s="504">
        <v>67</v>
      </c>
      <c r="N5662" s="504">
        <v>0</v>
      </c>
      <c r="O5662" s="505">
        <v>0</v>
      </c>
    </row>
    <row r="5663" spans="1:15" x14ac:dyDescent="0.35">
      <c r="A5663" s="500" t="s">
        <v>1190</v>
      </c>
      <c r="B5663" s="501">
        <v>4662</v>
      </c>
      <c r="C5663" s="501" t="s">
        <v>1094</v>
      </c>
      <c r="D5663" s="501" t="s">
        <v>3380</v>
      </c>
      <c r="E5663" s="501" t="s">
        <v>3381</v>
      </c>
      <c r="F5663" s="501" t="s">
        <v>764</v>
      </c>
      <c r="G5663" s="501" t="s">
        <v>765</v>
      </c>
      <c r="H5663" s="501" t="s">
        <v>7942</v>
      </c>
      <c r="I5663" s="501">
        <v>164</v>
      </c>
      <c r="J5663" s="501">
        <v>0</v>
      </c>
      <c r="K5663" s="501">
        <v>0</v>
      </c>
      <c r="L5663" s="501">
        <v>104</v>
      </c>
      <c r="M5663" s="501">
        <v>60</v>
      </c>
      <c r="N5663" s="501">
        <v>0</v>
      </c>
      <c r="O5663" s="506">
        <v>0</v>
      </c>
    </row>
    <row r="5664" spans="1:15" x14ac:dyDescent="0.35">
      <c r="A5664" s="503" t="s">
        <v>1199</v>
      </c>
      <c r="B5664" s="504">
        <v>4877</v>
      </c>
      <c r="C5664" s="504" t="s">
        <v>1094</v>
      </c>
      <c r="D5664" s="504" t="s">
        <v>3380</v>
      </c>
      <c r="E5664" s="504" t="s">
        <v>3381</v>
      </c>
      <c r="F5664" s="504" t="s">
        <v>764</v>
      </c>
      <c r="G5664" s="504" t="s">
        <v>765</v>
      </c>
      <c r="H5664" s="504" t="s">
        <v>7943</v>
      </c>
      <c r="I5664" s="504">
        <v>7130</v>
      </c>
      <c r="J5664" s="504">
        <v>6126</v>
      </c>
      <c r="K5664" s="504">
        <v>0</v>
      </c>
      <c r="L5664" s="504">
        <v>0</v>
      </c>
      <c r="M5664" s="504">
        <v>881</v>
      </c>
      <c r="N5664" s="504">
        <v>0</v>
      </c>
      <c r="O5664" s="505">
        <v>123</v>
      </c>
    </row>
    <row r="5665" spans="1:15" x14ac:dyDescent="0.35">
      <c r="A5665" s="500" t="s">
        <v>1203</v>
      </c>
      <c r="B5665" s="501" t="s">
        <v>3170</v>
      </c>
      <c r="C5665" s="501" t="s">
        <v>1094</v>
      </c>
      <c r="D5665" s="501" t="s">
        <v>3380</v>
      </c>
      <c r="E5665" s="501" t="s">
        <v>3381</v>
      </c>
      <c r="F5665" s="501" t="s">
        <v>764</v>
      </c>
      <c r="G5665" s="501" t="s">
        <v>765</v>
      </c>
      <c r="H5665" s="501" t="s">
        <v>7944</v>
      </c>
      <c r="I5665" s="501">
        <v>1534</v>
      </c>
      <c r="J5665" s="501">
        <v>1418</v>
      </c>
      <c r="K5665" s="501">
        <v>0</v>
      </c>
      <c r="L5665" s="501">
        <v>65</v>
      </c>
      <c r="M5665" s="501">
        <v>0</v>
      </c>
      <c r="N5665" s="501">
        <v>1</v>
      </c>
      <c r="O5665" s="506">
        <v>51</v>
      </c>
    </row>
    <row r="5666" spans="1:15" x14ac:dyDescent="0.35">
      <c r="A5666" s="503" t="s">
        <v>1209</v>
      </c>
      <c r="B5666" s="504">
        <v>4779</v>
      </c>
      <c r="C5666" s="504" t="s">
        <v>1094</v>
      </c>
      <c r="D5666" s="504" t="s">
        <v>3380</v>
      </c>
      <c r="E5666" s="504" t="s">
        <v>3381</v>
      </c>
      <c r="F5666" s="504" t="s">
        <v>764</v>
      </c>
      <c r="G5666" s="504" t="s">
        <v>765</v>
      </c>
      <c r="H5666" s="504" t="s">
        <v>7945</v>
      </c>
      <c r="I5666" s="504">
        <v>12</v>
      </c>
      <c r="J5666" s="504">
        <v>0</v>
      </c>
      <c r="K5666" s="504">
        <v>0</v>
      </c>
      <c r="L5666" s="504">
        <v>12</v>
      </c>
      <c r="M5666" s="504">
        <v>0</v>
      </c>
      <c r="N5666" s="504">
        <v>0</v>
      </c>
      <c r="O5666" s="505">
        <v>0</v>
      </c>
    </row>
    <row r="5667" spans="1:15" x14ac:dyDescent="0.35">
      <c r="A5667" s="500" t="s">
        <v>1122</v>
      </c>
      <c r="B5667" s="501" t="s">
        <v>2994</v>
      </c>
      <c r="C5667" s="501" t="s">
        <v>1094</v>
      </c>
      <c r="D5667" s="501" t="s">
        <v>3380</v>
      </c>
      <c r="E5667" s="501" t="s">
        <v>3381</v>
      </c>
      <c r="F5667" s="501" t="s">
        <v>764</v>
      </c>
      <c r="G5667" s="501" t="s">
        <v>765</v>
      </c>
      <c r="H5667" s="501" t="s">
        <v>7946</v>
      </c>
      <c r="I5667" s="501">
        <v>7</v>
      </c>
      <c r="J5667" s="501">
        <v>7</v>
      </c>
      <c r="K5667" s="501">
        <v>0</v>
      </c>
      <c r="L5667" s="501">
        <v>0</v>
      </c>
      <c r="M5667" s="501">
        <v>0</v>
      </c>
      <c r="N5667" s="501">
        <v>0</v>
      </c>
      <c r="O5667" s="506">
        <v>0</v>
      </c>
    </row>
    <row r="5668" spans="1:15" x14ac:dyDescent="0.35">
      <c r="A5668" s="503" t="s">
        <v>1225</v>
      </c>
      <c r="B5668" s="504" t="s">
        <v>3315</v>
      </c>
      <c r="C5668" s="504" t="s">
        <v>1094</v>
      </c>
      <c r="D5668" s="504" t="s">
        <v>3380</v>
      </c>
      <c r="E5668" s="504" t="s">
        <v>3381</v>
      </c>
      <c r="F5668" s="504" t="s">
        <v>764</v>
      </c>
      <c r="G5668" s="504" t="s">
        <v>765</v>
      </c>
      <c r="H5668" s="504" t="s">
        <v>11987</v>
      </c>
      <c r="I5668" s="504">
        <v>60</v>
      </c>
      <c r="J5668" s="504">
        <v>0</v>
      </c>
      <c r="K5668" s="504">
        <v>0</v>
      </c>
      <c r="L5668" s="504">
        <v>60</v>
      </c>
      <c r="M5668" s="504">
        <v>0</v>
      </c>
      <c r="N5668" s="504">
        <v>0</v>
      </c>
      <c r="O5668" s="505">
        <v>0</v>
      </c>
    </row>
    <row r="5669" spans="1:15" x14ac:dyDescent="0.35">
      <c r="A5669" s="500" t="s">
        <v>1228</v>
      </c>
      <c r="B5669" s="501" t="s">
        <v>3321</v>
      </c>
      <c r="C5669" s="501" t="s">
        <v>1094</v>
      </c>
      <c r="D5669" s="501" t="s">
        <v>3380</v>
      </c>
      <c r="E5669" s="501" t="s">
        <v>3381</v>
      </c>
      <c r="F5669" s="501" t="s">
        <v>764</v>
      </c>
      <c r="G5669" s="501" t="s">
        <v>765</v>
      </c>
      <c r="H5669" s="501" t="s">
        <v>7947</v>
      </c>
      <c r="I5669" s="501">
        <v>39</v>
      </c>
      <c r="J5669" s="501">
        <v>0</v>
      </c>
      <c r="K5669" s="501">
        <v>0</v>
      </c>
      <c r="L5669" s="501">
        <v>39</v>
      </c>
      <c r="M5669" s="501">
        <v>0</v>
      </c>
      <c r="N5669" s="501">
        <v>0</v>
      </c>
      <c r="O5669" s="506">
        <v>0</v>
      </c>
    </row>
    <row r="5670" spans="1:15" x14ac:dyDescent="0.35">
      <c r="A5670" s="503" t="s">
        <v>1126</v>
      </c>
      <c r="B5670" s="504" t="s">
        <v>2974</v>
      </c>
      <c r="C5670" s="504" t="s">
        <v>1094</v>
      </c>
      <c r="D5670" s="504" t="s">
        <v>3380</v>
      </c>
      <c r="E5670" s="504" t="s">
        <v>3381</v>
      </c>
      <c r="F5670" s="504" t="s">
        <v>764</v>
      </c>
      <c r="G5670" s="504" t="s">
        <v>765</v>
      </c>
      <c r="H5670" s="504" t="s">
        <v>7948</v>
      </c>
      <c r="I5670" s="504">
        <v>69</v>
      </c>
      <c r="J5670" s="504">
        <v>56</v>
      </c>
      <c r="K5670" s="504">
        <v>0</v>
      </c>
      <c r="L5670" s="504">
        <v>9</v>
      </c>
      <c r="M5670" s="504">
        <v>0</v>
      </c>
      <c r="N5670" s="504">
        <v>0</v>
      </c>
      <c r="O5670" s="505">
        <v>4</v>
      </c>
    </row>
    <row r="5671" spans="1:15" x14ac:dyDescent="0.35">
      <c r="A5671" s="500" t="s">
        <v>1249</v>
      </c>
      <c r="B5671" s="501">
        <v>4729</v>
      </c>
      <c r="C5671" s="501" t="s">
        <v>1094</v>
      </c>
      <c r="D5671" s="501" t="s">
        <v>3380</v>
      </c>
      <c r="E5671" s="501" t="s">
        <v>3381</v>
      </c>
      <c r="F5671" s="501" t="s">
        <v>764</v>
      </c>
      <c r="G5671" s="501" t="s">
        <v>765</v>
      </c>
      <c r="H5671" s="501" t="s">
        <v>7949</v>
      </c>
      <c r="I5671" s="501">
        <v>314</v>
      </c>
      <c r="J5671" s="501">
        <v>236</v>
      </c>
      <c r="K5671" s="501">
        <v>0</v>
      </c>
      <c r="L5671" s="501">
        <v>0</v>
      </c>
      <c r="M5671" s="501">
        <v>30</v>
      </c>
      <c r="N5671" s="501">
        <v>0</v>
      </c>
      <c r="O5671" s="506">
        <v>48</v>
      </c>
    </row>
    <row r="5672" spans="1:15" x14ac:dyDescent="0.35">
      <c r="A5672" s="503" t="s">
        <v>1253</v>
      </c>
      <c r="B5672" s="504" t="s">
        <v>3232</v>
      </c>
      <c r="C5672" s="504" t="s">
        <v>1094</v>
      </c>
      <c r="D5672" s="504" t="s">
        <v>3380</v>
      </c>
      <c r="E5672" s="504" t="s">
        <v>3381</v>
      </c>
      <c r="F5672" s="504" t="s">
        <v>764</v>
      </c>
      <c r="G5672" s="504" t="s">
        <v>765</v>
      </c>
      <c r="H5672" s="504" t="s">
        <v>7950</v>
      </c>
      <c r="I5672" s="504">
        <v>1</v>
      </c>
      <c r="J5672" s="504">
        <v>1</v>
      </c>
      <c r="K5672" s="504">
        <v>0</v>
      </c>
      <c r="L5672" s="504">
        <v>0</v>
      </c>
      <c r="M5672" s="504">
        <v>0</v>
      </c>
      <c r="N5672" s="504">
        <v>0</v>
      </c>
      <c r="O5672" s="505">
        <v>0</v>
      </c>
    </row>
    <row r="5673" spans="1:15" x14ac:dyDescent="0.35">
      <c r="A5673" s="500" t="s">
        <v>1257</v>
      </c>
      <c r="B5673" s="501" t="s">
        <v>3151</v>
      </c>
      <c r="C5673" s="501" t="s">
        <v>1094</v>
      </c>
      <c r="D5673" s="501" t="s">
        <v>3380</v>
      </c>
      <c r="E5673" s="501" t="s">
        <v>3381</v>
      </c>
      <c r="F5673" s="501" t="s">
        <v>764</v>
      </c>
      <c r="G5673" s="501" t="s">
        <v>765</v>
      </c>
      <c r="H5673" s="501" t="s">
        <v>7951</v>
      </c>
      <c r="I5673" s="501">
        <v>4</v>
      </c>
      <c r="J5673" s="501">
        <v>4</v>
      </c>
      <c r="K5673" s="501">
        <v>0</v>
      </c>
      <c r="L5673" s="501">
        <v>0</v>
      </c>
      <c r="M5673" s="501">
        <v>0</v>
      </c>
      <c r="N5673" s="501">
        <v>0</v>
      </c>
      <c r="O5673" s="506">
        <v>0</v>
      </c>
    </row>
    <row r="5674" spans="1:15" x14ac:dyDescent="0.35">
      <c r="A5674" s="503" t="s">
        <v>1193</v>
      </c>
      <c r="B5674" s="504" t="s">
        <v>3039</v>
      </c>
      <c r="C5674" s="504" t="s">
        <v>1094</v>
      </c>
      <c r="D5674" s="504" t="s">
        <v>3380</v>
      </c>
      <c r="E5674" s="504" t="s">
        <v>3381</v>
      </c>
      <c r="F5674" s="504" t="s">
        <v>766</v>
      </c>
      <c r="G5674" s="504" t="s">
        <v>767</v>
      </c>
      <c r="H5674" s="504" t="s">
        <v>7965</v>
      </c>
      <c r="I5674" s="504">
        <v>49</v>
      </c>
      <c r="J5674" s="504">
        <v>0</v>
      </c>
      <c r="K5674" s="504">
        <v>0</v>
      </c>
      <c r="L5674" s="504">
        <v>0</v>
      </c>
      <c r="M5674" s="504">
        <v>49</v>
      </c>
      <c r="N5674" s="504">
        <v>0</v>
      </c>
      <c r="O5674" s="505">
        <v>0</v>
      </c>
    </row>
    <row r="5675" spans="1:15" x14ac:dyDescent="0.35">
      <c r="A5675" s="500" t="s">
        <v>1093</v>
      </c>
      <c r="B5675" s="501" t="s">
        <v>3248</v>
      </c>
      <c r="C5675" s="501" t="s">
        <v>1094</v>
      </c>
      <c r="D5675" s="501" t="s">
        <v>3380</v>
      </c>
      <c r="E5675" s="501" t="s">
        <v>3381</v>
      </c>
      <c r="F5675" s="501" t="s">
        <v>766</v>
      </c>
      <c r="G5675" s="501" t="s">
        <v>767</v>
      </c>
      <c r="H5675" s="501" t="s">
        <v>7952</v>
      </c>
      <c r="I5675" s="501">
        <v>8</v>
      </c>
      <c r="J5675" s="501">
        <v>0</v>
      </c>
      <c r="K5675" s="501">
        <v>0</v>
      </c>
      <c r="L5675" s="501">
        <v>8</v>
      </c>
      <c r="M5675" s="501">
        <v>0</v>
      </c>
      <c r="N5675" s="501">
        <v>0</v>
      </c>
      <c r="O5675" s="506">
        <v>0</v>
      </c>
    </row>
    <row r="5676" spans="1:15" x14ac:dyDescent="0.35">
      <c r="A5676" s="503" t="s">
        <v>1096</v>
      </c>
      <c r="B5676" s="504" t="s">
        <v>3326</v>
      </c>
      <c r="C5676" s="504" t="s">
        <v>1094</v>
      </c>
      <c r="D5676" s="504" t="s">
        <v>3380</v>
      </c>
      <c r="E5676" s="504" t="s">
        <v>3381</v>
      </c>
      <c r="F5676" s="504" t="s">
        <v>766</v>
      </c>
      <c r="G5676" s="504" t="s">
        <v>767</v>
      </c>
      <c r="H5676" s="504" t="s">
        <v>7953</v>
      </c>
      <c r="I5676" s="504">
        <v>30</v>
      </c>
      <c r="J5676" s="504">
        <v>0</v>
      </c>
      <c r="K5676" s="504">
        <v>0</v>
      </c>
      <c r="L5676" s="504">
        <v>0</v>
      </c>
      <c r="M5676" s="504">
        <v>30</v>
      </c>
      <c r="N5676" s="504">
        <v>0</v>
      </c>
      <c r="O5676" s="505">
        <v>0</v>
      </c>
    </row>
    <row r="5677" spans="1:15" x14ac:dyDescent="0.35">
      <c r="A5677" s="500" t="s">
        <v>1273</v>
      </c>
      <c r="B5677" s="501" t="s">
        <v>3197</v>
      </c>
      <c r="C5677" s="501" t="s">
        <v>1094</v>
      </c>
      <c r="D5677" s="501" t="s">
        <v>3380</v>
      </c>
      <c r="E5677" s="501" t="s">
        <v>3381</v>
      </c>
      <c r="F5677" s="501" t="s">
        <v>766</v>
      </c>
      <c r="G5677" s="501" t="s">
        <v>767</v>
      </c>
      <c r="H5677" s="501" t="s">
        <v>7954</v>
      </c>
      <c r="I5677" s="501">
        <v>31</v>
      </c>
      <c r="J5677" s="501">
        <v>20</v>
      </c>
      <c r="K5677" s="501">
        <v>0</v>
      </c>
      <c r="L5677" s="501">
        <v>0</v>
      </c>
      <c r="M5677" s="501">
        <v>0</v>
      </c>
      <c r="N5677" s="501">
        <v>0</v>
      </c>
      <c r="O5677" s="506">
        <v>11</v>
      </c>
    </row>
    <row r="5678" spans="1:15" x14ac:dyDescent="0.35">
      <c r="A5678" s="503" t="s">
        <v>1161</v>
      </c>
      <c r="B5678" s="504" t="s">
        <v>3001</v>
      </c>
      <c r="C5678" s="504" t="s">
        <v>1094</v>
      </c>
      <c r="D5678" s="504" t="s">
        <v>3380</v>
      </c>
      <c r="E5678" s="504" t="s">
        <v>3381</v>
      </c>
      <c r="F5678" s="504" t="s">
        <v>766</v>
      </c>
      <c r="G5678" s="504" t="s">
        <v>767</v>
      </c>
      <c r="H5678" s="504" t="s">
        <v>7955</v>
      </c>
      <c r="I5678" s="504">
        <v>212</v>
      </c>
      <c r="J5678" s="504">
        <v>158</v>
      </c>
      <c r="K5678" s="504">
        <v>0</v>
      </c>
      <c r="L5678" s="504">
        <v>22</v>
      </c>
      <c r="M5678" s="504">
        <v>0</v>
      </c>
      <c r="N5678" s="504">
        <v>0</v>
      </c>
      <c r="O5678" s="505">
        <v>32</v>
      </c>
    </row>
    <row r="5679" spans="1:15" x14ac:dyDescent="0.35">
      <c r="A5679" s="500" t="s">
        <v>1100</v>
      </c>
      <c r="B5679" s="501">
        <v>4865</v>
      </c>
      <c r="C5679" s="501" t="s">
        <v>1094</v>
      </c>
      <c r="D5679" s="501" t="s">
        <v>3380</v>
      </c>
      <c r="E5679" s="501" t="s">
        <v>3381</v>
      </c>
      <c r="F5679" s="501" t="s">
        <v>766</v>
      </c>
      <c r="G5679" s="501" t="s">
        <v>767</v>
      </c>
      <c r="H5679" s="501" t="s">
        <v>7956</v>
      </c>
      <c r="I5679" s="501">
        <v>385</v>
      </c>
      <c r="J5679" s="501">
        <v>338</v>
      </c>
      <c r="K5679" s="501">
        <v>0</v>
      </c>
      <c r="L5679" s="501">
        <v>0</v>
      </c>
      <c r="M5679" s="501">
        <v>24</v>
      </c>
      <c r="N5679" s="501">
        <v>0</v>
      </c>
      <c r="O5679" s="506">
        <v>23</v>
      </c>
    </row>
    <row r="5680" spans="1:15" x14ac:dyDescent="0.35">
      <c r="A5680" s="503" t="s">
        <v>1295</v>
      </c>
      <c r="B5680" s="504">
        <v>5090</v>
      </c>
      <c r="C5680" s="504" t="s">
        <v>1094</v>
      </c>
      <c r="D5680" s="504" t="s">
        <v>3380</v>
      </c>
      <c r="E5680" s="504" t="s">
        <v>3381</v>
      </c>
      <c r="F5680" s="504" t="s">
        <v>766</v>
      </c>
      <c r="G5680" s="504" t="s">
        <v>767</v>
      </c>
      <c r="H5680" s="504" t="s">
        <v>7957</v>
      </c>
      <c r="I5680" s="504">
        <v>1318</v>
      </c>
      <c r="J5680" s="504">
        <v>1077</v>
      </c>
      <c r="K5680" s="504">
        <v>0</v>
      </c>
      <c r="L5680" s="504">
        <v>8</v>
      </c>
      <c r="M5680" s="504">
        <v>207</v>
      </c>
      <c r="N5680" s="504">
        <v>0</v>
      </c>
      <c r="O5680" s="505">
        <v>26</v>
      </c>
    </row>
    <row r="5681" spans="1:15" x14ac:dyDescent="0.35">
      <c r="A5681" s="500" t="s">
        <v>1185</v>
      </c>
      <c r="B5681" s="501" t="s">
        <v>3253</v>
      </c>
      <c r="C5681" s="501" t="s">
        <v>1094</v>
      </c>
      <c r="D5681" s="501" t="s">
        <v>3380</v>
      </c>
      <c r="E5681" s="501" t="s">
        <v>3381</v>
      </c>
      <c r="F5681" s="501" t="s">
        <v>766</v>
      </c>
      <c r="G5681" s="501" t="s">
        <v>767</v>
      </c>
      <c r="H5681" s="501" t="s">
        <v>7958</v>
      </c>
      <c r="I5681" s="501">
        <v>13</v>
      </c>
      <c r="J5681" s="501">
        <v>8</v>
      </c>
      <c r="K5681" s="501">
        <v>0</v>
      </c>
      <c r="L5681" s="501">
        <v>5</v>
      </c>
      <c r="M5681" s="501">
        <v>0</v>
      </c>
      <c r="N5681" s="501">
        <v>0</v>
      </c>
      <c r="O5681" s="506">
        <v>0</v>
      </c>
    </row>
    <row r="5682" spans="1:15" x14ac:dyDescent="0.35">
      <c r="A5682" s="503" t="s">
        <v>1187</v>
      </c>
      <c r="B5682" s="504" t="s">
        <v>2951</v>
      </c>
      <c r="C5682" s="504" t="s">
        <v>1094</v>
      </c>
      <c r="D5682" s="504" t="s">
        <v>3380</v>
      </c>
      <c r="E5682" s="504" t="s">
        <v>3381</v>
      </c>
      <c r="F5682" s="504" t="s">
        <v>766</v>
      </c>
      <c r="G5682" s="504" t="s">
        <v>767</v>
      </c>
      <c r="H5682" s="504" t="s">
        <v>7959</v>
      </c>
      <c r="I5682" s="504">
        <v>2</v>
      </c>
      <c r="J5682" s="504">
        <v>0</v>
      </c>
      <c r="K5682" s="504">
        <v>0</v>
      </c>
      <c r="L5682" s="504">
        <v>0</v>
      </c>
      <c r="M5682" s="504">
        <v>0</v>
      </c>
      <c r="N5682" s="504">
        <v>0</v>
      </c>
      <c r="O5682" s="505">
        <v>2</v>
      </c>
    </row>
    <row r="5683" spans="1:15" x14ac:dyDescent="0.35">
      <c r="A5683" s="500" t="s">
        <v>11371</v>
      </c>
      <c r="B5683" s="501">
        <v>4815</v>
      </c>
      <c r="C5683" s="501" t="s">
        <v>1089</v>
      </c>
      <c r="D5683" s="501" t="s">
        <v>3392</v>
      </c>
      <c r="E5683" s="501" t="s">
        <v>3381</v>
      </c>
      <c r="F5683" s="501" t="s">
        <v>766</v>
      </c>
      <c r="G5683" s="501" t="s">
        <v>767</v>
      </c>
      <c r="H5683" s="501" t="s">
        <v>11728</v>
      </c>
      <c r="I5683" s="501">
        <v>21</v>
      </c>
      <c r="J5683" s="501">
        <v>0</v>
      </c>
      <c r="K5683" s="501">
        <v>5</v>
      </c>
      <c r="L5683" s="501">
        <v>16</v>
      </c>
      <c r="M5683" s="501">
        <v>0</v>
      </c>
      <c r="N5683" s="501">
        <v>0</v>
      </c>
      <c r="O5683" s="506">
        <v>0</v>
      </c>
    </row>
    <row r="5684" spans="1:15" x14ac:dyDescent="0.35">
      <c r="A5684" s="503" t="s">
        <v>1105</v>
      </c>
      <c r="B5684" s="504">
        <v>4668</v>
      </c>
      <c r="C5684" s="504" t="s">
        <v>1094</v>
      </c>
      <c r="D5684" s="504" t="s">
        <v>3380</v>
      </c>
      <c r="E5684" s="504" t="s">
        <v>3381</v>
      </c>
      <c r="F5684" s="504" t="s">
        <v>766</v>
      </c>
      <c r="G5684" s="504" t="s">
        <v>767</v>
      </c>
      <c r="H5684" s="504" t="s">
        <v>7960</v>
      </c>
      <c r="I5684" s="504">
        <v>56</v>
      </c>
      <c r="J5684" s="504">
        <v>0</v>
      </c>
      <c r="K5684" s="504">
        <v>0</v>
      </c>
      <c r="L5684" s="504">
        <v>0</v>
      </c>
      <c r="M5684" s="504">
        <v>0</v>
      </c>
      <c r="N5684" s="504">
        <v>0</v>
      </c>
      <c r="O5684" s="505">
        <v>56</v>
      </c>
    </row>
    <row r="5685" spans="1:15" x14ac:dyDescent="0.35">
      <c r="A5685" s="500" t="s">
        <v>1302</v>
      </c>
      <c r="B5685" s="501" t="s">
        <v>3094</v>
      </c>
      <c r="C5685" s="501" t="s">
        <v>1094</v>
      </c>
      <c r="D5685" s="501" t="s">
        <v>3380</v>
      </c>
      <c r="E5685" s="501" t="s">
        <v>3381</v>
      </c>
      <c r="F5685" s="501" t="s">
        <v>766</v>
      </c>
      <c r="G5685" s="501" t="s">
        <v>767</v>
      </c>
      <c r="H5685" s="501" t="s">
        <v>7961</v>
      </c>
      <c r="I5685" s="501">
        <v>133</v>
      </c>
      <c r="J5685" s="501">
        <v>112</v>
      </c>
      <c r="K5685" s="501">
        <v>0</v>
      </c>
      <c r="L5685" s="501">
        <v>0</v>
      </c>
      <c r="M5685" s="501">
        <v>0</v>
      </c>
      <c r="N5685" s="501">
        <v>0</v>
      </c>
      <c r="O5685" s="506">
        <v>21</v>
      </c>
    </row>
    <row r="5686" spans="1:15" x14ac:dyDescent="0.35">
      <c r="A5686" s="503" t="s">
        <v>1107</v>
      </c>
      <c r="B5686" s="504" t="s">
        <v>3109</v>
      </c>
      <c r="C5686" s="504" t="s">
        <v>1094</v>
      </c>
      <c r="D5686" s="504" t="s">
        <v>3380</v>
      </c>
      <c r="E5686" s="504" t="s">
        <v>3381</v>
      </c>
      <c r="F5686" s="504" t="s">
        <v>766</v>
      </c>
      <c r="G5686" s="504" t="s">
        <v>767</v>
      </c>
      <c r="H5686" s="504" t="s">
        <v>7962</v>
      </c>
      <c r="I5686" s="504">
        <v>247</v>
      </c>
      <c r="J5686" s="504">
        <v>186</v>
      </c>
      <c r="K5686" s="504">
        <v>0</v>
      </c>
      <c r="L5686" s="504">
        <v>4</v>
      </c>
      <c r="M5686" s="504">
        <v>0</v>
      </c>
      <c r="N5686" s="504">
        <v>0</v>
      </c>
      <c r="O5686" s="505">
        <v>57</v>
      </c>
    </row>
    <row r="5687" spans="1:15" x14ac:dyDescent="0.35">
      <c r="A5687" s="500" t="s">
        <v>1109</v>
      </c>
      <c r="B5687" s="501" t="s">
        <v>2959</v>
      </c>
      <c r="C5687" s="501" t="s">
        <v>1094</v>
      </c>
      <c r="D5687" s="501" t="s">
        <v>3380</v>
      </c>
      <c r="E5687" s="501" t="s">
        <v>3381</v>
      </c>
      <c r="F5687" s="501" t="s">
        <v>766</v>
      </c>
      <c r="G5687" s="501" t="s">
        <v>767</v>
      </c>
      <c r="H5687" s="501" t="s">
        <v>7963</v>
      </c>
      <c r="I5687" s="501">
        <v>23</v>
      </c>
      <c r="J5687" s="501">
        <v>0</v>
      </c>
      <c r="K5687" s="501">
        <v>0</v>
      </c>
      <c r="L5687" s="501">
        <v>0</v>
      </c>
      <c r="M5687" s="501">
        <v>23</v>
      </c>
      <c r="N5687" s="501">
        <v>0</v>
      </c>
      <c r="O5687" s="506">
        <v>0</v>
      </c>
    </row>
    <row r="5688" spans="1:15" x14ac:dyDescent="0.35">
      <c r="A5688" s="503" t="s">
        <v>1190</v>
      </c>
      <c r="B5688" s="504">
        <v>4662</v>
      </c>
      <c r="C5688" s="504" t="s">
        <v>1094</v>
      </c>
      <c r="D5688" s="504" t="s">
        <v>3380</v>
      </c>
      <c r="E5688" s="504" t="s">
        <v>3381</v>
      </c>
      <c r="F5688" s="504" t="s">
        <v>766</v>
      </c>
      <c r="G5688" s="504" t="s">
        <v>767</v>
      </c>
      <c r="H5688" s="504" t="s">
        <v>7964</v>
      </c>
      <c r="I5688" s="504">
        <v>1</v>
      </c>
      <c r="J5688" s="504">
        <v>0</v>
      </c>
      <c r="K5688" s="504">
        <v>0</v>
      </c>
      <c r="L5688" s="504">
        <v>1</v>
      </c>
      <c r="M5688" s="504">
        <v>0</v>
      </c>
      <c r="N5688" s="504">
        <v>0</v>
      </c>
      <c r="O5688" s="505">
        <v>0</v>
      </c>
    </row>
    <row r="5689" spans="1:15" x14ac:dyDescent="0.35">
      <c r="A5689" s="500" t="s">
        <v>1112</v>
      </c>
      <c r="B5689" s="501" t="s">
        <v>3008</v>
      </c>
      <c r="C5689" s="501" t="s">
        <v>1094</v>
      </c>
      <c r="D5689" s="501" t="s">
        <v>3380</v>
      </c>
      <c r="E5689" s="501" t="s">
        <v>3381</v>
      </c>
      <c r="F5689" s="501" t="s">
        <v>766</v>
      </c>
      <c r="G5689" s="501" t="s">
        <v>767</v>
      </c>
      <c r="H5689" s="501" t="s">
        <v>7966</v>
      </c>
      <c r="I5689" s="501">
        <v>16</v>
      </c>
      <c r="J5689" s="501">
        <v>10</v>
      </c>
      <c r="K5689" s="501">
        <v>0</v>
      </c>
      <c r="L5689" s="501">
        <v>6</v>
      </c>
      <c r="M5689" s="501">
        <v>0</v>
      </c>
      <c r="N5689" s="501">
        <v>0</v>
      </c>
      <c r="O5689" s="506">
        <v>0</v>
      </c>
    </row>
    <row r="5690" spans="1:15" x14ac:dyDescent="0.35">
      <c r="A5690" s="503" t="s">
        <v>1319</v>
      </c>
      <c r="B5690" s="504">
        <v>4880</v>
      </c>
      <c r="C5690" s="504" t="s">
        <v>1094</v>
      </c>
      <c r="D5690" s="504" t="s">
        <v>3380</v>
      </c>
      <c r="E5690" s="504" t="s">
        <v>3381</v>
      </c>
      <c r="F5690" s="504" t="s">
        <v>766</v>
      </c>
      <c r="G5690" s="504" t="s">
        <v>767</v>
      </c>
      <c r="H5690" s="504" t="s">
        <v>7967</v>
      </c>
      <c r="I5690" s="504">
        <v>38</v>
      </c>
      <c r="J5690" s="504">
        <v>6</v>
      </c>
      <c r="K5690" s="504">
        <v>0</v>
      </c>
      <c r="L5690" s="504">
        <v>13</v>
      </c>
      <c r="M5690" s="504">
        <v>17</v>
      </c>
      <c r="N5690" s="504">
        <v>1</v>
      </c>
      <c r="O5690" s="505">
        <v>2</v>
      </c>
    </row>
    <row r="5691" spans="1:15" x14ac:dyDescent="0.35">
      <c r="A5691" s="500" t="s">
        <v>1120</v>
      </c>
      <c r="B5691" s="501" t="s">
        <v>3362</v>
      </c>
      <c r="C5691" s="501" t="s">
        <v>1094</v>
      </c>
      <c r="D5691" s="501" t="s">
        <v>3380</v>
      </c>
      <c r="E5691" s="501" t="s">
        <v>3381</v>
      </c>
      <c r="F5691" s="501" t="s">
        <v>766</v>
      </c>
      <c r="G5691" s="501" t="s">
        <v>767</v>
      </c>
      <c r="H5691" s="501" t="s">
        <v>7968</v>
      </c>
      <c r="I5691" s="501">
        <v>3</v>
      </c>
      <c r="J5691" s="501">
        <v>0</v>
      </c>
      <c r="K5691" s="501">
        <v>0</v>
      </c>
      <c r="L5691" s="501">
        <v>0</v>
      </c>
      <c r="M5691" s="501">
        <v>0</v>
      </c>
      <c r="N5691" s="501">
        <v>0</v>
      </c>
      <c r="O5691" s="506">
        <v>3</v>
      </c>
    </row>
    <row r="5692" spans="1:15" x14ac:dyDescent="0.35">
      <c r="A5692" s="503" t="s">
        <v>1324</v>
      </c>
      <c r="B5692" s="504">
        <v>4766</v>
      </c>
      <c r="C5692" s="504" t="s">
        <v>1089</v>
      </c>
      <c r="D5692" s="504" t="s">
        <v>3392</v>
      </c>
      <c r="E5692" s="504" t="s">
        <v>3381</v>
      </c>
      <c r="F5692" s="504" t="s">
        <v>766</v>
      </c>
      <c r="G5692" s="504" t="s">
        <v>767</v>
      </c>
      <c r="H5692" s="504" t="s">
        <v>7969</v>
      </c>
      <c r="I5692" s="504">
        <v>41</v>
      </c>
      <c r="J5692" s="504">
        <v>41</v>
      </c>
      <c r="K5692" s="504">
        <v>0</v>
      </c>
      <c r="L5692" s="504">
        <v>0</v>
      </c>
      <c r="M5692" s="504">
        <v>0</v>
      </c>
      <c r="N5692" s="504">
        <v>0</v>
      </c>
      <c r="O5692" s="505">
        <v>0</v>
      </c>
    </row>
    <row r="5693" spans="1:15" x14ac:dyDescent="0.35">
      <c r="A5693" s="500" t="s">
        <v>1325</v>
      </c>
      <c r="B5693" s="501" t="s">
        <v>3011</v>
      </c>
      <c r="C5693" s="501" t="s">
        <v>1094</v>
      </c>
      <c r="D5693" s="501" t="s">
        <v>3380</v>
      </c>
      <c r="E5693" s="501" t="s">
        <v>3381</v>
      </c>
      <c r="F5693" s="501" t="s">
        <v>766</v>
      </c>
      <c r="G5693" s="501" t="s">
        <v>767</v>
      </c>
      <c r="H5693" s="501" t="s">
        <v>7970</v>
      </c>
      <c r="I5693" s="501">
        <v>120</v>
      </c>
      <c r="J5693" s="501">
        <v>76</v>
      </c>
      <c r="K5693" s="501">
        <v>0</v>
      </c>
      <c r="L5693" s="501">
        <v>22</v>
      </c>
      <c r="M5693" s="501">
        <v>0</v>
      </c>
      <c r="N5693" s="501">
        <v>0</v>
      </c>
      <c r="O5693" s="506">
        <v>22</v>
      </c>
    </row>
    <row r="5694" spans="1:15" x14ac:dyDescent="0.35">
      <c r="A5694" s="503" t="s">
        <v>1327</v>
      </c>
      <c r="B5694" s="504" t="s">
        <v>3330</v>
      </c>
      <c r="C5694" s="504" t="s">
        <v>1094</v>
      </c>
      <c r="D5694" s="504" t="s">
        <v>3380</v>
      </c>
      <c r="E5694" s="504" t="s">
        <v>3381</v>
      </c>
      <c r="F5694" s="504" t="s">
        <v>766</v>
      </c>
      <c r="G5694" s="504" t="s">
        <v>767</v>
      </c>
      <c r="H5694" s="504" t="s">
        <v>7971</v>
      </c>
      <c r="I5694" s="504">
        <v>20</v>
      </c>
      <c r="J5694" s="504">
        <v>10</v>
      </c>
      <c r="K5694" s="504">
        <v>0</v>
      </c>
      <c r="L5694" s="504">
        <v>0</v>
      </c>
      <c r="M5694" s="504">
        <v>0</v>
      </c>
      <c r="N5694" s="504">
        <v>0</v>
      </c>
      <c r="O5694" s="505">
        <v>10</v>
      </c>
    </row>
    <row r="5695" spans="1:15" x14ac:dyDescent="0.35">
      <c r="A5695" s="500" t="s">
        <v>1122</v>
      </c>
      <c r="B5695" s="501" t="s">
        <v>2994</v>
      </c>
      <c r="C5695" s="501" t="s">
        <v>1094</v>
      </c>
      <c r="D5695" s="501" t="s">
        <v>3380</v>
      </c>
      <c r="E5695" s="501" t="s">
        <v>3381</v>
      </c>
      <c r="F5695" s="501" t="s">
        <v>766</v>
      </c>
      <c r="G5695" s="501" t="s">
        <v>767</v>
      </c>
      <c r="H5695" s="501" t="s">
        <v>7972</v>
      </c>
      <c r="I5695" s="501">
        <v>5</v>
      </c>
      <c r="J5695" s="501">
        <v>5</v>
      </c>
      <c r="K5695" s="501">
        <v>0</v>
      </c>
      <c r="L5695" s="501">
        <v>0</v>
      </c>
      <c r="M5695" s="501">
        <v>0</v>
      </c>
      <c r="N5695" s="501">
        <v>0</v>
      </c>
      <c r="O5695" s="506">
        <v>0</v>
      </c>
    </row>
    <row r="5696" spans="1:15" x14ac:dyDescent="0.35">
      <c r="A5696" s="503" t="s">
        <v>1124</v>
      </c>
      <c r="B5696" s="504">
        <v>4745</v>
      </c>
      <c r="C5696" s="504" t="s">
        <v>1094</v>
      </c>
      <c r="D5696" s="504" t="s">
        <v>3380</v>
      </c>
      <c r="E5696" s="504" t="s">
        <v>3381</v>
      </c>
      <c r="F5696" s="504" t="s">
        <v>766</v>
      </c>
      <c r="G5696" s="504" t="s">
        <v>767</v>
      </c>
      <c r="H5696" s="504" t="s">
        <v>7973</v>
      </c>
      <c r="I5696" s="504">
        <v>8</v>
      </c>
      <c r="J5696" s="504">
        <v>0</v>
      </c>
      <c r="K5696" s="504">
        <v>0</v>
      </c>
      <c r="L5696" s="504">
        <v>8</v>
      </c>
      <c r="M5696" s="504">
        <v>0</v>
      </c>
      <c r="N5696" s="504">
        <v>0</v>
      </c>
      <c r="O5696" s="505">
        <v>0</v>
      </c>
    </row>
    <row r="5697" spans="1:15" x14ac:dyDescent="0.35">
      <c r="A5697" s="500" t="s">
        <v>1233</v>
      </c>
      <c r="B5697" s="501">
        <v>4636</v>
      </c>
      <c r="C5697" s="501" t="s">
        <v>1094</v>
      </c>
      <c r="D5697" s="501" t="s">
        <v>3380</v>
      </c>
      <c r="E5697" s="501" t="s">
        <v>3381</v>
      </c>
      <c r="F5697" s="501" t="s">
        <v>766</v>
      </c>
      <c r="G5697" s="501" t="s">
        <v>767</v>
      </c>
      <c r="H5697" s="501" t="s">
        <v>14878</v>
      </c>
      <c r="I5697" s="501">
        <v>26</v>
      </c>
      <c r="J5697" s="501">
        <v>17</v>
      </c>
      <c r="K5697" s="501">
        <v>0</v>
      </c>
      <c r="L5697" s="501">
        <v>0</v>
      </c>
      <c r="M5697" s="501">
        <v>0</v>
      </c>
      <c r="N5697" s="501">
        <v>0</v>
      </c>
      <c r="O5697" s="506">
        <v>9</v>
      </c>
    </row>
    <row r="5698" spans="1:15" x14ac:dyDescent="0.35">
      <c r="A5698" s="503" t="s">
        <v>1126</v>
      </c>
      <c r="B5698" s="504" t="s">
        <v>2974</v>
      </c>
      <c r="C5698" s="504" t="s">
        <v>1094</v>
      </c>
      <c r="D5698" s="504" t="s">
        <v>3380</v>
      </c>
      <c r="E5698" s="504" t="s">
        <v>3381</v>
      </c>
      <c r="F5698" s="504" t="s">
        <v>766</v>
      </c>
      <c r="G5698" s="504" t="s">
        <v>767</v>
      </c>
      <c r="H5698" s="504" t="s">
        <v>7974</v>
      </c>
      <c r="I5698" s="504">
        <v>129</v>
      </c>
      <c r="J5698" s="504">
        <v>98</v>
      </c>
      <c r="K5698" s="504">
        <v>0</v>
      </c>
      <c r="L5698" s="504">
        <v>0</v>
      </c>
      <c r="M5698" s="504">
        <v>0</v>
      </c>
      <c r="N5698" s="504">
        <v>0</v>
      </c>
      <c r="O5698" s="505">
        <v>31</v>
      </c>
    </row>
    <row r="5699" spans="1:15" x14ac:dyDescent="0.35">
      <c r="A5699" s="500" t="s">
        <v>1341</v>
      </c>
      <c r="B5699" s="501" t="s">
        <v>3183</v>
      </c>
      <c r="C5699" s="501" t="s">
        <v>1094</v>
      </c>
      <c r="D5699" s="501" t="s">
        <v>3380</v>
      </c>
      <c r="E5699" s="501" t="s">
        <v>3381</v>
      </c>
      <c r="F5699" s="501" t="s">
        <v>766</v>
      </c>
      <c r="G5699" s="501" t="s">
        <v>767</v>
      </c>
      <c r="H5699" s="501" t="s">
        <v>7975</v>
      </c>
      <c r="I5699" s="501">
        <v>8041</v>
      </c>
      <c r="J5699" s="501">
        <v>7056</v>
      </c>
      <c r="K5699" s="501">
        <v>0</v>
      </c>
      <c r="L5699" s="501">
        <v>82</v>
      </c>
      <c r="M5699" s="501">
        <v>674</v>
      </c>
      <c r="N5699" s="501">
        <v>0</v>
      </c>
      <c r="O5699" s="506">
        <v>229</v>
      </c>
    </row>
    <row r="5700" spans="1:15" x14ac:dyDescent="0.35">
      <c r="A5700" s="503" t="s">
        <v>1130</v>
      </c>
      <c r="B5700" s="504" t="s">
        <v>3234</v>
      </c>
      <c r="C5700" s="504" t="s">
        <v>1094</v>
      </c>
      <c r="D5700" s="504" t="s">
        <v>3380</v>
      </c>
      <c r="E5700" s="504" t="s">
        <v>3381</v>
      </c>
      <c r="F5700" s="504" t="s">
        <v>766</v>
      </c>
      <c r="G5700" s="504" t="s">
        <v>767</v>
      </c>
      <c r="H5700" s="504" t="s">
        <v>12126</v>
      </c>
      <c r="I5700" s="504">
        <v>1</v>
      </c>
      <c r="J5700" s="504">
        <v>0</v>
      </c>
      <c r="K5700" s="504">
        <v>0</v>
      </c>
      <c r="L5700" s="504">
        <v>0</v>
      </c>
      <c r="M5700" s="504">
        <v>0</v>
      </c>
      <c r="N5700" s="504">
        <v>0</v>
      </c>
      <c r="O5700" s="505">
        <v>1</v>
      </c>
    </row>
    <row r="5701" spans="1:15" x14ac:dyDescent="0.35">
      <c r="A5701" s="500" t="s">
        <v>1345</v>
      </c>
      <c r="B5701" s="501" t="s">
        <v>3247</v>
      </c>
      <c r="C5701" s="501" t="s">
        <v>1094</v>
      </c>
      <c r="D5701" s="501" t="s">
        <v>3380</v>
      </c>
      <c r="E5701" s="501" t="s">
        <v>3381</v>
      </c>
      <c r="F5701" s="501" t="s">
        <v>766</v>
      </c>
      <c r="G5701" s="501" t="s">
        <v>767</v>
      </c>
      <c r="H5701" s="501" t="s">
        <v>7976</v>
      </c>
      <c r="I5701" s="501">
        <v>5</v>
      </c>
      <c r="J5701" s="501">
        <v>0</v>
      </c>
      <c r="K5701" s="501">
        <v>0</v>
      </c>
      <c r="L5701" s="501">
        <v>5</v>
      </c>
      <c r="M5701" s="501">
        <v>0</v>
      </c>
      <c r="N5701" s="501">
        <v>0</v>
      </c>
      <c r="O5701" s="506">
        <v>0</v>
      </c>
    </row>
    <row r="5702" spans="1:15" x14ac:dyDescent="0.35">
      <c r="A5702" s="503" t="s">
        <v>1240</v>
      </c>
      <c r="B5702" s="504" t="s">
        <v>2972</v>
      </c>
      <c r="C5702" s="504" t="s">
        <v>1094</v>
      </c>
      <c r="D5702" s="504" t="s">
        <v>3380</v>
      </c>
      <c r="E5702" s="504" t="s">
        <v>3381</v>
      </c>
      <c r="F5702" s="504" t="s">
        <v>766</v>
      </c>
      <c r="G5702" s="504" t="s">
        <v>767</v>
      </c>
      <c r="H5702" s="504" t="s">
        <v>7977</v>
      </c>
      <c r="I5702" s="504">
        <v>112</v>
      </c>
      <c r="J5702" s="504">
        <v>93</v>
      </c>
      <c r="K5702" s="504">
        <v>0</v>
      </c>
      <c r="L5702" s="504">
        <v>0</v>
      </c>
      <c r="M5702" s="504">
        <v>0</v>
      </c>
      <c r="N5702" s="504">
        <v>0</v>
      </c>
      <c r="O5702" s="505">
        <v>19</v>
      </c>
    </row>
    <row r="5703" spans="1:15" x14ac:dyDescent="0.35">
      <c r="A5703" s="500" t="s">
        <v>1134</v>
      </c>
      <c r="B5703" s="501" t="s">
        <v>3066</v>
      </c>
      <c r="C5703" s="501" t="s">
        <v>1094</v>
      </c>
      <c r="D5703" s="501" t="s">
        <v>3380</v>
      </c>
      <c r="E5703" s="501" t="s">
        <v>3381</v>
      </c>
      <c r="F5703" s="501" t="s">
        <v>766</v>
      </c>
      <c r="G5703" s="501" t="s">
        <v>767</v>
      </c>
      <c r="H5703" s="501" t="s">
        <v>12165</v>
      </c>
      <c r="I5703" s="501">
        <v>38</v>
      </c>
      <c r="J5703" s="501">
        <v>34</v>
      </c>
      <c r="K5703" s="501">
        <v>0</v>
      </c>
      <c r="L5703" s="501">
        <v>0</v>
      </c>
      <c r="M5703" s="501">
        <v>0</v>
      </c>
      <c r="N5703" s="501">
        <v>0</v>
      </c>
      <c r="O5703" s="506">
        <v>4</v>
      </c>
    </row>
    <row r="5704" spans="1:15" x14ac:dyDescent="0.35">
      <c r="A5704" s="503" t="s">
        <v>1249</v>
      </c>
      <c r="B5704" s="504">
        <v>4729</v>
      </c>
      <c r="C5704" s="504" t="s">
        <v>1094</v>
      </c>
      <c r="D5704" s="504" t="s">
        <v>3380</v>
      </c>
      <c r="E5704" s="504" t="s">
        <v>3381</v>
      </c>
      <c r="F5704" s="504" t="s">
        <v>766</v>
      </c>
      <c r="G5704" s="504" t="s">
        <v>767</v>
      </c>
      <c r="H5704" s="504" t="s">
        <v>7978</v>
      </c>
      <c r="I5704" s="504">
        <v>182</v>
      </c>
      <c r="J5704" s="504">
        <v>146</v>
      </c>
      <c r="K5704" s="504">
        <v>0</v>
      </c>
      <c r="L5704" s="504">
        <v>0</v>
      </c>
      <c r="M5704" s="504">
        <v>0</v>
      </c>
      <c r="N5704" s="504">
        <v>0</v>
      </c>
      <c r="O5704" s="505">
        <v>36</v>
      </c>
    </row>
    <row r="5705" spans="1:15" x14ac:dyDescent="0.35">
      <c r="A5705" s="500" t="s">
        <v>1364</v>
      </c>
      <c r="B5705" s="501" t="s">
        <v>3277</v>
      </c>
      <c r="C5705" s="501" t="s">
        <v>1089</v>
      </c>
      <c r="D5705" s="501" t="s">
        <v>3392</v>
      </c>
      <c r="E5705" s="501" t="s">
        <v>3381</v>
      </c>
      <c r="F5705" s="501" t="s">
        <v>766</v>
      </c>
      <c r="G5705" s="501" t="s">
        <v>767</v>
      </c>
      <c r="H5705" s="501" t="s">
        <v>7979</v>
      </c>
      <c r="I5705" s="501">
        <v>22</v>
      </c>
      <c r="J5705" s="501">
        <v>0</v>
      </c>
      <c r="K5705" s="501">
        <v>0</v>
      </c>
      <c r="L5705" s="501">
        <v>22</v>
      </c>
      <c r="M5705" s="501">
        <v>0</v>
      </c>
      <c r="N5705" s="501">
        <v>0</v>
      </c>
      <c r="O5705" s="506">
        <v>0</v>
      </c>
    </row>
    <row r="5706" spans="1:15" x14ac:dyDescent="0.35">
      <c r="A5706" s="503" t="s">
        <v>1369</v>
      </c>
      <c r="B5706" s="504" t="s">
        <v>3218</v>
      </c>
      <c r="C5706" s="504" t="s">
        <v>1094</v>
      </c>
      <c r="D5706" s="504" t="s">
        <v>3380</v>
      </c>
      <c r="E5706" s="504" t="s">
        <v>3381</v>
      </c>
      <c r="F5706" s="504" t="s">
        <v>766</v>
      </c>
      <c r="G5706" s="504" t="s">
        <v>767</v>
      </c>
      <c r="H5706" s="504" t="s">
        <v>7980</v>
      </c>
      <c r="I5706" s="504">
        <v>17</v>
      </c>
      <c r="J5706" s="504">
        <v>0</v>
      </c>
      <c r="K5706" s="504">
        <v>0</v>
      </c>
      <c r="L5706" s="504">
        <v>0</v>
      </c>
      <c r="M5706" s="504">
        <v>0</v>
      </c>
      <c r="N5706" s="504">
        <v>0</v>
      </c>
      <c r="O5706" s="505">
        <v>17</v>
      </c>
    </row>
    <row r="5707" spans="1:15" x14ac:dyDescent="0.35">
      <c r="A5707" s="500" t="s">
        <v>1145</v>
      </c>
      <c r="B5707" s="501" t="s">
        <v>3164</v>
      </c>
      <c r="C5707" s="501" t="s">
        <v>1094</v>
      </c>
      <c r="D5707" s="501" t="s">
        <v>3380</v>
      </c>
      <c r="E5707" s="501" t="s">
        <v>3381</v>
      </c>
      <c r="F5707" s="501" t="s">
        <v>768</v>
      </c>
      <c r="G5707" s="501" t="s">
        <v>769</v>
      </c>
      <c r="H5707" s="501" t="s">
        <v>7981</v>
      </c>
      <c r="I5707" s="501">
        <v>316</v>
      </c>
      <c r="J5707" s="501">
        <v>178</v>
      </c>
      <c r="K5707" s="501">
        <v>0</v>
      </c>
      <c r="L5707" s="501">
        <v>0</v>
      </c>
      <c r="M5707" s="501">
        <v>0</v>
      </c>
      <c r="N5707" s="501">
        <v>0</v>
      </c>
      <c r="O5707" s="506">
        <v>138</v>
      </c>
    </row>
    <row r="5708" spans="1:15" x14ac:dyDescent="0.35">
      <c r="A5708" s="503" t="s">
        <v>1093</v>
      </c>
      <c r="B5708" s="504" t="s">
        <v>3248</v>
      </c>
      <c r="C5708" s="504" t="s">
        <v>1094</v>
      </c>
      <c r="D5708" s="504" t="s">
        <v>3380</v>
      </c>
      <c r="E5708" s="504" t="s">
        <v>3381</v>
      </c>
      <c r="F5708" s="504" t="s">
        <v>768</v>
      </c>
      <c r="G5708" s="504" t="s">
        <v>769</v>
      </c>
      <c r="H5708" s="504" t="s">
        <v>7982</v>
      </c>
      <c r="I5708" s="504">
        <v>2</v>
      </c>
      <c r="J5708" s="504">
        <v>0</v>
      </c>
      <c r="K5708" s="504">
        <v>0</v>
      </c>
      <c r="L5708" s="504">
        <v>0</v>
      </c>
      <c r="M5708" s="504">
        <v>0</v>
      </c>
      <c r="N5708" s="504">
        <v>0</v>
      </c>
      <c r="O5708" s="505">
        <v>2</v>
      </c>
    </row>
    <row r="5709" spans="1:15" x14ac:dyDescent="0.35">
      <c r="A5709" s="500" t="s">
        <v>11363</v>
      </c>
      <c r="B5709" s="501">
        <v>4718</v>
      </c>
      <c r="C5709" s="501" t="s">
        <v>1094</v>
      </c>
      <c r="D5709" s="501" t="s">
        <v>3380</v>
      </c>
      <c r="E5709" s="501" t="s">
        <v>3381</v>
      </c>
      <c r="F5709" s="501" t="s">
        <v>768</v>
      </c>
      <c r="G5709" s="501" t="s">
        <v>769</v>
      </c>
      <c r="H5709" s="501" t="s">
        <v>11568</v>
      </c>
      <c r="I5709" s="501">
        <v>40</v>
      </c>
      <c r="J5709" s="501">
        <v>0</v>
      </c>
      <c r="K5709" s="501">
        <v>0</v>
      </c>
      <c r="L5709" s="501">
        <v>40</v>
      </c>
      <c r="M5709" s="501">
        <v>0</v>
      </c>
      <c r="N5709" s="501">
        <v>0</v>
      </c>
      <c r="O5709" s="506">
        <v>0</v>
      </c>
    </row>
    <row r="5710" spans="1:15" x14ac:dyDescent="0.35">
      <c r="A5710" s="503" t="s">
        <v>1171</v>
      </c>
      <c r="B5710" s="504" t="s">
        <v>3003</v>
      </c>
      <c r="C5710" s="504" t="s">
        <v>1094</v>
      </c>
      <c r="D5710" s="504" t="s">
        <v>3380</v>
      </c>
      <c r="E5710" s="504" t="s">
        <v>3381</v>
      </c>
      <c r="F5710" s="504" t="s">
        <v>768</v>
      </c>
      <c r="G5710" s="504" t="s">
        <v>769</v>
      </c>
      <c r="H5710" s="504" t="s">
        <v>7983</v>
      </c>
      <c r="I5710" s="504">
        <v>109</v>
      </c>
      <c r="J5710" s="504">
        <v>106</v>
      </c>
      <c r="K5710" s="504">
        <v>0</v>
      </c>
      <c r="L5710" s="504">
        <v>0</v>
      </c>
      <c r="M5710" s="504">
        <v>0</v>
      </c>
      <c r="N5710" s="504">
        <v>0</v>
      </c>
      <c r="O5710" s="505">
        <v>3</v>
      </c>
    </row>
    <row r="5711" spans="1:15" x14ac:dyDescent="0.35">
      <c r="A5711" s="500" t="s">
        <v>1173</v>
      </c>
      <c r="B5711" s="501">
        <v>4775</v>
      </c>
      <c r="C5711" s="501" t="s">
        <v>1094</v>
      </c>
      <c r="D5711" s="501" t="s">
        <v>3380</v>
      </c>
      <c r="E5711" s="501" t="s">
        <v>3381</v>
      </c>
      <c r="F5711" s="501" t="s">
        <v>768</v>
      </c>
      <c r="G5711" s="501" t="s">
        <v>769</v>
      </c>
      <c r="H5711" s="501" t="s">
        <v>7984</v>
      </c>
      <c r="I5711" s="501">
        <v>8</v>
      </c>
      <c r="J5711" s="501">
        <v>2</v>
      </c>
      <c r="K5711" s="501">
        <v>0</v>
      </c>
      <c r="L5711" s="501">
        <v>0</v>
      </c>
      <c r="M5711" s="501">
        <v>0</v>
      </c>
      <c r="N5711" s="501">
        <v>0</v>
      </c>
      <c r="O5711" s="506">
        <v>6</v>
      </c>
    </row>
    <row r="5712" spans="1:15" x14ac:dyDescent="0.35">
      <c r="A5712" s="503" t="s">
        <v>1102</v>
      </c>
      <c r="B5712" s="504">
        <v>4663</v>
      </c>
      <c r="C5712" s="504" t="s">
        <v>1089</v>
      </c>
      <c r="D5712" s="504" t="s">
        <v>3392</v>
      </c>
      <c r="E5712" s="504" t="s">
        <v>3381</v>
      </c>
      <c r="F5712" s="504" t="s">
        <v>768</v>
      </c>
      <c r="G5712" s="504" t="s">
        <v>769</v>
      </c>
      <c r="H5712" s="504" t="s">
        <v>7985</v>
      </c>
      <c r="I5712" s="504">
        <v>2</v>
      </c>
      <c r="J5712" s="504">
        <v>0</v>
      </c>
      <c r="K5712" s="504">
        <v>0</v>
      </c>
      <c r="L5712" s="504">
        <v>2</v>
      </c>
      <c r="M5712" s="504">
        <v>0</v>
      </c>
      <c r="N5712" s="504">
        <v>0</v>
      </c>
      <c r="O5712" s="505">
        <v>0</v>
      </c>
    </row>
    <row r="5713" spans="1:15" x14ac:dyDescent="0.35">
      <c r="A5713" s="500" t="s">
        <v>1178</v>
      </c>
      <c r="B5713" s="501" t="s">
        <v>3334</v>
      </c>
      <c r="C5713" s="501" t="s">
        <v>1094</v>
      </c>
      <c r="D5713" s="501" t="s">
        <v>3380</v>
      </c>
      <c r="E5713" s="501" t="s">
        <v>3381</v>
      </c>
      <c r="F5713" s="501" t="s">
        <v>768</v>
      </c>
      <c r="G5713" s="501" t="s">
        <v>769</v>
      </c>
      <c r="H5713" s="501" t="s">
        <v>7986</v>
      </c>
      <c r="I5713" s="501">
        <v>6</v>
      </c>
      <c r="J5713" s="501">
        <v>0</v>
      </c>
      <c r="K5713" s="501">
        <v>0</v>
      </c>
      <c r="L5713" s="501">
        <v>6</v>
      </c>
      <c r="M5713" s="501">
        <v>0</v>
      </c>
      <c r="N5713" s="501">
        <v>0</v>
      </c>
      <c r="O5713" s="506">
        <v>0</v>
      </c>
    </row>
    <row r="5714" spans="1:15" x14ac:dyDescent="0.35">
      <c r="A5714" s="503" t="s">
        <v>14208</v>
      </c>
      <c r="B5714" s="504">
        <v>4803</v>
      </c>
      <c r="C5714" s="504" t="s">
        <v>1094</v>
      </c>
      <c r="D5714" s="504" t="s">
        <v>3380</v>
      </c>
      <c r="E5714" s="504" t="s">
        <v>3381</v>
      </c>
      <c r="F5714" s="504" t="s">
        <v>768</v>
      </c>
      <c r="G5714" s="504" t="s">
        <v>769</v>
      </c>
      <c r="H5714" s="504" t="s">
        <v>14879</v>
      </c>
      <c r="I5714" s="504">
        <v>17</v>
      </c>
      <c r="J5714" s="504">
        <v>0</v>
      </c>
      <c r="K5714" s="504">
        <v>0</v>
      </c>
      <c r="L5714" s="504">
        <v>17</v>
      </c>
      <c r="M5714" s="504">
        <v>0</v>
      </c>
      <c r="N5714" s="504">
        <v>0</v>
      </c>
      <c r="O5714" s="505">
        <v>0</v>
      </c>
    </row>
    <row r="5715" spans="1:15" x14ac:dyDescent="0.35">
      <c r="A5715" s="500" t="s">
        <v>1105</v>
      </c>
      <c r="B5715" s="501">
        <v>4668</v>
      </c>
      <c r="C5715" s="501" t="s">
        <v>1094</v>
      </c>
      <c r="D5715" s="501" t="s">
        <v>3380</v>
      </c>
      <c r="E5715" s="501" t="s">
        <v>3381</v>
      </c>
      <c r="F5715" s="501" t="s">
        <v>768</v>
      </c>
      <c r="G5715" s="501" t="s">
        <v>769</v>
      </c>
      <c r="H5715" s="501" t="s">
        <v>7987</v>
      </c>
      <c r="I5715" s="501">
        <v>12</v>
      </c>
      <c r="J5715" s="501">
        <v>0</v>
      </c>
      <c r="K5715" s="501">
        <v>0</v>
      </c>
      <c r="L5715" s="501">
        <v>0</v>
      </c>
      <c r="M5715" s="501">
        <v>0</v>
      </c>
      <c r="N5715" s="501">
        <v>0</v>
      </c>
      <c r="O5715" s="506">
        <v>12</v>
      </c>
    </row>
    <row r="5716" spans="1:15" x14ac:dyDescent="0.35">
      <c r="A5716" s="503" t="s">
        <v>1109</v>
      </c>
      <c r="B5716" s="504" t="s">
        <v>2959</v>
      </c>
      <c r="C5716" s="504" t="s">
        <v>1094</v>
      </c>
      <c r="D5716" s="504" t="s">
        <v>3380</v>
      </c>
      <c r="E5716" s="504" t="s">
        <v>3381</v>
      </c>
      <c r="F5716" s="504" t="s">
        <v>768</v>
      </c>
      <c r="G5716" s="504" t="s">
        <v>769</v>
      </c>
      <c r="H5716" s="504" t="s">
        <v>7988</v>
      </c>
      <c r="I5716" s="504">
        <v>73</v>
      </c>
      <c r="J5716" s="504">
        <v>0</v>
      </c>
      <c r="K5716" s="504">
        <v>0</v>
      </c>
      <c r="L5716" s="504">
        <v>0</v>
      </c>
      <c r="M5716" s="504">
        <v>73</v>
      </c>
      <c r="N5716" s="504">
        <v>0</v>
      </c>
      <c r="O5716" s="505">
        <v>0</v>
      </c>
    </row>
    <row r="5717" spans="1:15" x14ac:dyDescent="0.35">
      <c r="A5717" s="500" t="s">
        <v>1190</v>
      </c>
      <c r="B5717" s="501">
        <v>4662</v>
      </c>
      <c r="C5717" s="501" t="s">
        <v>1094</v>
      </c>
      <c r="D5717" s="501" t="s">
        <v>3380</v>
      </c>
      <c r="E5717" s="501" t="s">
        <v>3381</v>
      </c>
      <c r="F5717" s="501" t="s">
        <v>768</v>
      </c>
      <c r="G5717" s="501" t="s">
        <v>769</v>
      </c>
      <c r="H5717" s="501" t="s">
        <v>7989</v>
      </c>
      <c r="I5717" s="501">
        <v>3</v>
      </c>
      <c r="J5717" s="501">
        <v>0</v>
      </c>
      <c r="K5717" s="501">
        <v>0</v>
      </c>
      <c r="L5717" s="501">
        <v>3</v>
      </c>
      <c r="M5717" s="501">
        <v>0</v>
      </c>
      <c r="N5717" s="501">
        <v>0</v>
      </c>
      <c r="O5717" s="506">
        <v>0</v>
      </c>
    </row>
    <row r="5718" spans="1:15" x14ac:dyDescent="0.35">
      <c r="A5718" s="503" t="s">
        <v>1194</v>
      </c>
      <c r="B5718" s="504" t="s">
        <v>2985</v>
      </c>
      <c r="C5718" s="504" t="s">
        <v>1089</v>
      </c>
      <c r="D5718" s="504" t="s">
        <v>3392</v>
      </c>
      <c r="E5718" s="504" t="s">
        <v>3381</v>
      </c>
      <c r="F5718" s="504" t="s">
        <v>768</v>
      </c>
      <c r="G5718" s="504" t="s">
        <v>769</v>
      </c>
      <c r="H5718" s="504" t="s">
        <v>7990</v>
      </c>
      <c r="I5718" s="504">
        <v>31</v>
      </c>
      <c r="J5718" s="504">
        <v>31</v>
      </c>
      <c r="K5718" s="504">
        <v>0</v>
      </c>
      <c r="L5718" s="504">
        <v>0</v>
      </c>
      <c r="M5718" s="504">
        <v>0</v>
      </c>
      <c r="N5718" s="504">
        <v>0</v>
      </c>
      <c r="O5718" s="505">
        <v>0</v>
      </c>
    </row>
    <row r="5719" spans="1:15" x14ac:dyDescent="0.35">
      <c r="A5719" s="500" t="s">
        <v>1200</v>
      </c>
      <c r="B5719" s="501" t="s">
        <v>3122</v>
      </c>
      <c r="C5719" s="501" t="s">
        <v>1089</v>
      </c>
      <c r="D5719" s="501" t="s">
        <v>3392</v>
      </c>
      <c r="E5719" s="501" t="s">
        <v>3381</v>
      </c>
      <c r="F5719" s="501" t="s">
        <v>768</v>
      </c>
      <c r="G5719" s="501" t="s">
        <v>769</v>
      </c>
      <c r="H5719" s="501" t="s">
        <v>7991</v>
      </c>
      <c r="I5719" s="501">
        <v>48</v>
      </c>
      <c r="J5719" s="501">
        <v>48</v>
      </c>
      <c r="K5719" s="501">
        <v>0</v>
      </c>
      <c r="L5719" s="501">
        <v>0</v>
      </c>
      <c r="M5719" s="501">
        <v>0</v>
      </c>
      <c r="N5719" s="501">
        <v>0</v>
      </c>
      <c r="O5719" s="506">
        <v>0</v>
      </c>
    </row>
    <row r="5720" spans="1:15" x14ac:dyDescent="0.35">
      <c r="A5720" s="503" t="s">
        <v>1203</v>
      </c>
      <c r="B5720" s="504" t="s">
        <v>3170</v>
      </c>
      <c r="C5720" s="504" t="s">
        <v>1094</v>
      </c>
      <c r="D5720" s="504" t="s">
        <v>3380</v>
      </c>
      <c r="E5720" s="504" t="s">
        <v>3381</v>
      </c>
      <c r="F5720" s="504" t="s">
        <v>768</v>
      </c>
      <c r="G5720" s="504" t="s">
        <v>769</v>
      </c>
      <c r="H5720" s="504" t="s">
        <v>7992</v>
      </c>
      <c r="I5720" s="504">
        <v>561</v>
      </c>
      <c r="J5720" s="504">
        <v>336</v>
      </c>
      <c r="K5720" s="504">
        <v>0</v>
      </c>
      <c r="L5720" s="504">
        <v>23</v>
      </c>
      <c r="M5720" s="504">
        <v>25</v>
      </c>
      <c r="N5720" s="504">
        <v>2</v>
      </c>
      <c r="O5720" s="505">
        <v>177</v>
      </c>
    </row>
    <row r="5721" spans="1:15" x14ac:dyDescent="0.35">
      <c r="A5721" s="500" t="s">
        <v>1215</v>
      </c>
      <c r="B5721" s="501">
        <v>4817</v>
      </c>
      <c r="C5721" s="501" t="s">
        <v>1094</v>
      </c>
      <c r="D5721" s="501" t="s">
        <v>3380</v>
      </c>
      <c r="E5721" s="501" t="s">
        <v>3381</v>
      </c>
      <c r="F5721" s="501" t="s">
        <v>768</v>
      </c>
      <c r="G5721" s="501" t="s">
        <v>769</v>
      </c>
      <c r="H5721" s="501" t="s">
        <v>7993</v>
      </c>
      <c r="I5721" s="501">
        <v>316</v>
      </c>
      <c r="J5721" s="501">
        <v>250</v>
      </c>
      <c r="K5721" s="501">
        <v>0</v>
      </c>
      <c r="L5721" s="501">
        <v>3</v>
      </c>
      <c r="M5721" s="501">
        <v>0</v>
      </c>
      <c r="N5721" s="501">
        <v>0</v>
      </c>
      <c r="O5721" s="506">
        <v>63</v>
      </c>
    </row>
    <row r="5722" spans="1:15" x14ac:dyDescent="0.35">
      <c r="A5722" s="503" t="s">
        <v>1216</v>
      </c>
      <c r="B5722" s="504" t="s">
        <v>3207</v>
      </c>
      <c r="C5722" s="504" t="s">
        <v>1094</v>
      </c>
      <c r="D5722" s="504" t="s">
        <v>3380</v>
      </c>
      <c r="E5722" s="504" t="s">
        <v>3381</v>
      </c>
      <c r="F5722" s="504" t="s">
        <v>768</v>
      </c>
      <c r="G5722" s="504" t="s">
        <v>769</v>
      </c>
      <c r="H5722" s="504" t="s">
        <v>7994</v>
      </c>
      <c r="I5722" s="504">
        <v>13</v>
      </c>
      <c r="J5722" s="504">
        <v>13</v>
      </c>
      <c r="K5722" s="504">
        <v>0</v>
      </c>
      <c r="L5722" s="504">
        <v>0</v>
      </c>
      <c r="M5722" s="504">
        <v>0</v>
      </c>
      <c r="N5722" s="504">
        <v>0</v>
      </c>
      <c r="O5722" s="505">
        <v>0</v>
      </c>
    </row>
    <row r="5723" spans="1:15" x14ac:dyDescent="0.35">
      <c r="A5723" s="500" t="s">
        <v>1221</v>
      </c>
      <c r="B5723" s="501">
        <v>4728</v>
      </c>
      <c r="C5723" s="501" t="s">
        <v>1089</v>
      </c>
      <c r="D5723" s="501" t="s">
        <v>3392</v>
      </c>
      <c r="E5723" s="501" t="s">
        <v>3381</v>
      </c>
      <c r="F5723" s="501" t="s">
        <v>768</v>
      </c>
      <c r="G5723" s="501" t="s">
        <v>769</v>
      </c>
      <c r="H5723" s="501" t="s">
        <v>7995</v>
      </c>
      <c r="I5723" s="501">
        <v>10</v>
      </c>
      <c r="J5723" s="501">
        <v>0</v>
      </c>
      <c r="K5723" s="501">
        <v>0</v>
      </c>
      <c r="L5723" s="501">
        <v>10</v>
      </c>
      <c r="M5723" s="501">
        <v>0</v>
      </c>
      <c r="N5723" s="501">
        <v>0</v>
      </c>
      <c r="O5723" s="506">
        <v>0</v>
      </c>
    </row>
    <row r="5724" spans="1:15" x14ac:dyDescent="0.35">
      <c r="A5724" s="503" t="s">
        <v>1223</v>
      </c>
      <c r="B5724" s="504">
        <v>4768</v>
      </c>
      <c r="C5724" s="504" t="s">
        <v>1089</v>
      </c>
      <c r="D5724" s="504" t="s">
        <v>3392</v>
      </c>
      <c r="E5724" s="504" t="s">
        <v>3381</v>
      </c>
      <c r="F5724" s="504" t="s">
        <v>768</v>
      </c>
      <c r="G5724" s="504" t="s">
        <v>769</v>
      </c>
      <c r="H5724" s="504" t="s">
        <v>7996</v>
      </c>
      <c r="I5724" s="504">
        <v>1</v>
      </c>
      <c r="J5724" s="504">
        <v>0</v>
      </c>
      <c r="K5724" s="504">
        <v>0</v>
      </c>
      <c r="L5724" s="504">
        <v>1</v>
      </c>
      <c r="M5724" s="504">
        <v>0</v>
      </c>
      <c r="N5724" s="504">
        <v>0</v>
      </c>
      <c r="O5724" s="505">
        <v>0</v>
      </c>
    </row>
    <row r="5725" spans="1:15" x14ac:dyDescent="0.35">
      <c r="A5725" s="500" t="s">
        <v>1122</v>
      </c>
      <c r="B5725" s="501" t="s">
        <v>2994</v>
      </c>
      <c r="C5725" s="501" t="s">
        <v>1094</v>
      </c>
      <c r="D5725" s="501" t="s">
        <v>3380</v>
      </c>
      <c r="E5725" s="501" t="s">
        <v>3381</v>
      </c>
      <c r="F5725" s="501" t="s">
        <v>768</v>
      </c>
      <c r="G5725" s="501" t="s">
        <v>769</v>
      </c>
      <c r="H5725" s="501" t="s">
        <v>7997</v>
      </c>
      <c r="I5725" s="501">
        <v>61</v>
      </c>
      <c r="J5725" s="501">
        <v>59</v>
      </c>
      <c r="K5725" s="501">
        <v>0</v>
      </c>
      <c r="L5725" s="501">
        <v>0</v>
      </c>
      <c r="M5725" s="501">
        <v>0</v>
      </c>
      <c r="N5725" s="501">
        <v>0</v>
      </c>
      <c r="O5725" s="506">
        <v>2</v>
      </c>
    </row>
    <row r="5726" spans="1:15" x14ac:dyDescent="0.35">
      <c r="A5726" s="503" t="s">
        <v>1226</v>
      </c>
      <c r="B5726" s="504">
        <v>5084</v>
      </c>
      <c r="C5726" s="504" t="s">
        <v>1094</v>
      </c>
      <c r="D5726" s="504" t="s">
        <v>3380</v>
      </c>
      <c r="E5726" s="504" t="s">
        <v>3381</v>
      </c>
      <c r="F5726" s="504" t="s">
        <v>768</v>
      </c>
      <c r="G5726" s="504" t="s">
        <v>769</v>
      </c>
      <c r="H5726" s="504" t="s">
        <v>7998</v>
      </c>
      <c r="I5726" s="504">
        <v>234</v>
      </c>
      <c r="J5726" s="504">
        <v>156</v>
      </c>
      <c r="K5726" s="504">
        <v>0</v>
      </c>
      <c r="L5726" s="504">
        <v>1</v>
      </c>
      <c r="M5726" s="504">
        <v>0</v>
      </c>
      <c r="N5726" s="504">
        <v>0</v>
      </c>
      <c r="O5726" s="505">
        <v>77</v>
      </c>
    </row>
    <row r="5727" spans="1:15" x14ac:dyDescent="0.35">
      <c r="A5727" s="500" t="s">
        <v>1228</v>
      </c>
      <c r="B5727" s="501" t="s">
        <v>3321</v>
      </c>
      <c r="C5727" s="501" t="s">
        <v>1094</v>
      </c>
      <c r="D5727" s="501" t="s">
        <v>3380</v>
      </c>
      <c r="E5727" s="501" t="s">
        <v>3381</v>
      </c>
      <c r="F5727" s="501" t="s">
        <v>768</v>
      </c>
      <c r="G5727" s="501" t="s">
        <v>769</v>
      </c>
      <c r="H5727" s="501" t="s">
        <v>7999</v>
      </c>
      <c r="I5727" s="501">
        <v>28</v>
      </c>
      <c r="J5727" s="501">
        <v>0</v>
      </c>
      <c r="K5727" s="501">
        <v>0</v>
      </c>
      <c r="L5727" s="501">
        <v>28</v>
      </c>
      <c r="M5727" s="501">
        <v>0</v>
      </c>
      <c r="N5727" s="501">
        <v>0</v>
      </c>
      <c r="O5727" s="506">
        <v>0</v>
      </c>
    </row>
    <row r="5728" spans="1:15" x14ac:dyDescent="0.35">
      <c r="A5728" s="503" t="s">
        <v>1124</v>
      </c>
      <c r="B5728" s="504">
        <v>4745</v>
      </c>
      <c r="C5728" s="504" t="s">
        <v>1094</v>
      </c>
      <c r="D5728" s="504" t="s">
        <v>3380</v>
      </c>
      <c r="E5728" s="504" t="s">
        <v>3381</v>
      </c>
      <c r="F5728" s="504" t="s">
        <v>768</v>
      </c>
      <c r="G5728" s="504" t="s">
        <v>769</v>
      </c>
      <c r="H5728" s="504" t="s">
        <v>8000</v>
      </c>
      <c r="I5728" s="504">
        <v>12</v>
      </c>
      <c r="J5728" s="504">
        <v>0</v>
      </c>
      <c r="K5728" s="504">
        <v>0</v>
      </c>
      <c r="L5728" s="504">
        <v>12</v>
      </c>
      <c r="M5728" s="504">
        <v>0</v>
      </c>
      <c r="N5728" s="504">
        <v>0</v>
      </c>
      <c r="O5728" s="505">
        <v>0</v>
      </c>
    </row>
    <row r="5729" spans="1:15" x14ac:dyDescent="0.35">
      <c r="A5729" s="500" t="s">
        <v>1233</v>
      </c>
      <c r="B5729" s="501">
        <v>4636</v>
      </c>
      <c r="C5729" s="501" t="s">
        <v>1094</v>
      </c>
      <c r="D5729" s="501" t="s">
        <v>3380</v>
      </c>
      <c r="E5729" s="501" t="s">
        <v>3381</v>
      </c>
      <c r="F5729" s="501" t="s">
        <v>768</v>
      </c>
      <c r="G5729" s="501" t="s">
        <v>769</v>
      </c>
      <c r="H5729" s="501" t="s">
        <v>12019</v>
      </c>
      <c r="I5729" s="501">
        <v>44</v>
      </c>
      <c r="J5729" s="501">
        <v>19</v>
      </c>
      <c r="K5729" s="501">
        <v>0</v>
      </c>
      <c r="L5729" s="501">
        <v>0</v>
      </c>
      <c r="M5729" s="501">
        <v>0</v>
      </c>
      <c r="N5729" s="501">
        <v>0</v>
      </c>
      <c r="O5729" s="506">
        <v>25</v>
      </c>
    </row>
    <row r="5730" spans="1:15" x14ac:dyDescent="0.35">
      <c r="A5730" s="503" t="s">
        <v>11368</v>
      </c>
      <c r="B5730" s="504">
        <v>5083</v>
      </c>
      <c r="C5730" s="504" t="s">
        <v>1094</v>
      </c>
      <c r="D5730" s="504" t="s">
        <v>3380</v>
      </c>
      <c r="E5730" s="504" t="s">
        <v>3381</v>
      </c>
      <c r="F5730" s="504" t="s">
        <v>768</v>
      </c>
      <c r="G5730" s="504" t="s">
        <v>769</v>
      </c>
      <c r="H5730" s="504" t="s">
        <v>14880</v>
      </c>
      <c r="I5730" s="504">
        <v>14</v>
      </c>
      <c r="J5730" s="504">
        <v>14</v>
      </c>
      <c r="K5730" s="504">
        <v>0</v>
      </c>
      <c r="L5730" s="504">
        <v>0</v>
      </c>
      <c r="M5730" s="504">
        <v>0</v>
      </c>
      <c r="N5730" s="504">
        <v>0</v>
      </c>
      <c r="O5730" s="505">
        <v>0</v>
      </c>
    </row>
    <row r="5731" spans="1:15" x14ac:dyDescent="0.35">
      <c r="A5731" s="500" t="s">
        <v>1126</v>
      </c>
      <c r="B5731" s="501" t="s">
        <v>2974</v>
      </c>
      <c r="C5731" s="501" t="s">
        <v>1094</v>
      </c>
      <c r="D5731" s="501" t="s">
        <v>3380</v>
      </c>
      <c r="E5731" s="501" t="s">
        <v>3381</v>
      </c>
      <c r="F5731" s="501" t="s">
        <v>768</v>
      </c>
      <c r="G5731" s="501" t="s">
        <v>769</v>
      </c>
      <c r="H5731" s="501" t="s">
        <v>8001</v>
      </c>
      <c r="I5731" s="501">
        <v>12</v>
      </c>
      <c r="J5731" s="501">
        <v>9</v>
      </c>
      <c r="K5731" s="501">
        <v>0</v>
      </c>
      <c r="L5731" s="501">
        <v>0</v>
      </c>
      <c r="M5731" s="501">
        <v>0</v>
      </c>
      <c r="N5731" s="501">
        <v>0</v>
      </c>
      <c r="O5731" s="506">
        <v>3</v>
      </c>
    </row>
    <row r="5732" spans="1:15" x14ac:dyDescent="0.35">
      <c r="A5732" s="503" t="s">
        <v>1255</v>
      </c>
      <c r="B5732" s="504" t="s">
        <v>2595</v>
      </c>
      <c r="C5732" s="504" t="s">
        <v>1089</v>
      </c>
      <c r="D5732" s="504" t="s">
        <v>3392</v>
      </c>
      <c r="E5732" s="504" t="s">
        <v>3381</v>
      </c>
      <c r="F5732" s="504" t="s">
        <v>768</v>
      </c>
      <c r="G5732" s="504" t="s">
        <v>769</v>
      </c>
      <c r="H5732" s="504" t="s">
        <v>8002</v>
      </c>
      <c r="I5732" s="504">
        <v>4</v>
      </c>
      <c r="J5732" s="504">
        <v>4</v>
      </c>
      <c r="K5732" s="504">
        <v>0</v>
      </c>
      <c r="L5732" s="504">
        <v>0</v>
      </c>
      <c r="M5732" s="504">
        <v>0</v>
      </c>
      <c r="N5732" s="504">
        <v>2</v>
      </c>
      <c r="O5732" s="505">
        <v>0</v>
      </c>
    </row>
    <row r="5733" spans="1:15" x14ac:dyDescent="0.35">
      <c r="A5733" s="500" t="s">
        <v>1145</v>
      </c>
      <c r="B5733" s="501" t="s">
        <v>3164</v>
      </c>
      <c r="C5733" s="501" t="s">
        <v>1094</v>
      </c>
      <c r="D5733" s="501" t="s">
        <v>3380</v>
      </c>
      <c r="E5733" s="501" t="s">
        <v>3381</v>
      </c>
      <c r="F5733" s="501" t="s">
        <v>770</v>
      </c>
      <c r="G5733" s="501" t="s">
        <v>771</v>
      </c>
      <c r="H5733" s="501" t="s">
        <v>8003</v>
      </c>
      <c r="I5733" s="501">
        <v>74</v>
      </c>
      <c r="J5733" s="501">
        <v>55</v>
      </c>
      <c r="K5733" s="501">
        <v>0</v>
      </c>
      <c r="L5733" s="501">
        <v>0</v>
      </c>
      <c r="M5733" s="501">
        <v>0</v>
      </c>
      <c r="N5733" s="501">
        <v>0</v>
      </c>
      <c r="O5733" s="506">
        <v>19</v>
      </c>
    </row>
    <row r="5734" spans="1:15" x14ac:dyDescent="0.35">
      <c r="A5734" s="503" t="s">
        <v>1096</v>
      </c>
      <c r="B5734" s="504" t="s">
        <v>3326</v>
      </c>
      <c r="C5734" s="504" t="s">
        <v>1094</v>
      </c>
      <c r="D5734" s="504" t="s">
        <v>3380</v>
      </c>
      <c r="E5734" s="504" t="s">
        <v>3381</v>
      </c>
      <c r="F5734" s="504" t="s">
        <v>770</v>
      </c>
      <c r="G5734" s="504" t="s">
        <v>771</v>
      </c>
      <c r="H5734" s="504" t="s">
        <v>8004</v>
      </c>
      <c r="I5734" s="504">
        <v>177</v>
      </c>
      <c r="J5734" s="504">
        <v>0</v>
      </c>
      <c r="K5734" s="504">
        <v>0</v>
      </c>
      <c r="L5734" s="504">
        <v>0</v>
      </c>
      <c r="M5734" s="504">
        <v>177</v>
      </c>
      <c r="N5734" s="504">
        <v>0</v>
      </c>
      <c r="O5734" s="505">
        <v>0</v>
      </c>
    </row>
    <row r="5735" spans="1:15" x14ac:dyDescent="0.35">
      <c r="A5735" s="500" t="s">
        <v>11363</v>
      </c>
      <c r="B5735" s="501">
        <v>4718</v>
      </c>
      <c r="C5735" s="501" t="s">
        <v>1094</v>
      </c>
      <c r="D5735" s="501" t="s">
        <v>3380</v>
      </c>
      <c r="E5735" s="501" t="s">
        <v>3381</v>
      </c>
      <c r="F5735" s="501" t="s">
        <v>770</v>
      </c>
      <c r="G5735" s="501" t="s">
        <v>771</v>
      </c>
      <c r="H5735" s="501" t="s">
        <v>11569</v>
      </c>
      <c r="I5735" s="501">
        <v>40</v>
      </c>
      <c r="J5735" s="501">
        <v>0</v>
      </c>
      <c r="K5735" s="501">
        <v>0</v>
      </c>
      <c r="L5735" s="501">
        <v>40</v>
      </c>
      <c r="M5735" s="501">
        <v>0</v>
      </c>
      <c r="N5735" s="501">
        <v>0</v>
      </c>
      <c r="O5735" s="506">
        <v>0</v>
      </c>
    </row>
    <row r="5736" spans="1:15" x14ac:dyDescent="0.35">
      <c r="A5736" s="503" t="s">
        <v>1160</v>
      </c>
      <c r="B5736" s="504">
        <v>4672</v>
      </c>
      <c r="C5736" s="504" t="s">
        <v>1089</v>
      </c>
      <c r="D5736" s="504" t="s">
        <v>3392</v>
      </c>
      <c r="E5736" s="504" t="s">
        <v>3381</v>
      </c>
      <c r="F5736" s="504" t="s">
        <v>770</v>
      </c>
      <c r="G5736" s="504" t="s">
        <v>771</v>
      </c>
      <c r="H5736" s="504" t="s">
        <v>8005</v>
      </c>
      <c r="I5736" s="504">
        <v>28</v>
      </c>
      <c r="J5736" s="504">
        <v>0</v>
      </c>
      <c r="K5736" s="504">
        <v>0</v>
      </c>
      <c r="L5736" s="504">
        <v>28</v>
      </c>
      <c r="M5736" s="504">
        <v>0</v>
      </c>
      <c r="N5736" s="504">
        <v>0</v>
      </c>
      <c r="O5736" s="505">
        <v>0</v>
      </c>
    </row>
    <row r="5737" spans="1:15" x14ac:dyDescent="0.35">
      <c r="A5737" s="500" t="s">
        <v>1178</v>
      </c>
      <c r="B5737" s="501" t="s">
        <v>3334</v>
      </c>
      <c r="C5737" s="501" t="s">
        <v>1094</v>
      </c>
      <c r="D5737" s="501" t="s">
        <v>3380</v>
      </c>
      <c r="E5737" s="501" t="s">
        <v>3381</v>
      </c>
      <c r="F5737" s="501" t="s">
        <v>770</v>
      </c>
      <c r="G5737" s="501" t="s">
        <v>771</v>
      </c>
      <c r="H5737" s="501" t="s">
        <v>8006</v>
      </c>
      <c r="I5737" s="501">
        <v>26</v>
      </c>
      <c r="J5737" s="501">
        <v>0</v>
      </c>
      <c r="K5737" s="501">
        <v>0</v>
      </c>
      <c r="L5737" s="501">
        <v>26</v>
      </c>
      <c r="M5737" s="501">
        <v>0</v>
      </c>
      <c r="N5737" s="501">
        <v>0</v>
      </c>
      <c r="O5737" s="506">
        <v>0</v>
      </c>
    </row>
    <row r="5738" spans="1:15" x14ac:dyDescent="0.35">
      <c r="A5738" s="503" t="s">
        <v>14208</v>
      </c>
      <c r="B5738" s="504">
        <v>4803</v>
      </c>
      <c r="C5738" s="504" t="s">
        <v>1094</v>
      </c>
      <c r="D5738" s="504" t="s">
        <v>3380</v>
      </c>
      <c r="E5738" s="504" t="s">
        <v>3381</v>
      </c>
      <c r="F5738" s="504" t="s">
        <v>770</v>
      </c>
      <c r="G5738" s="504" t="s">
        <v>771</v>
      </c>
      <c r="H5738" s="504" t="s">
        <v>14881</v>
      </c>
      <c r="I5738" s="504">
        <v>5</v>
      </c>
      <c r="J5738" s="504">
        <v>0</v>
      </c>
      <c r="K5738" s="504">
        <v>0</v>
      </c>
      <c r="L5738" s="504">
        <v>5</v>
      </c>
      <c r="M5738" s="504">
        <v>0</v>
      </c>
      <c r="N5738" s="504">
        <v>0</v>
      </c>
      <c r="O5738" s="505">
        <v>0</v>
      </c>
    </row>
    <row r="5739" spans="1:15" x14ac:dyDescent="0.35">
      <c r="A5739" s="500" t="s">
        <v>1107</v>
      </c>
      <c r="B5739" s="501" t="s">
        <v>3109</v>
      </c>
      <c r="C5739" s="501" t="s">
        <v>1094</v>
      </c>
      <c r="D5739" s="501" t="s">
        <v>3380</v>
      </c>
      <c r="E5739" s="501" t="s">
        <v>3381</v>
      </c>
      <c r="F5739" s="501" t="s">
        <v>770</v>
      </c>
      <c r="G5739" s="501" t="s">
        <v>771</v>
      </c>
      <c r="H5739" s="501" t="s">
        <v>8007</v>
      </c>
      <c r="I5739" s="501">
        <v>23</v>
      </c>
      <c r="J5739" s="501">
        <v>0</v>
      </c>
      <c r="K5739" s="501">
        <v>0</v>
      </c>
      <c r="L5739" s="501">
        <v>23</v>
      </c>
      <c r="M5739" s="501">
        <v>0</v>
      </c>
      <c r="N5739" s="501">
        <v>0</v>
      </c>
      <c r="O5739" s="506">
        <v>0</v>
      </c>
    </row>
    <row r="5740" spans="1:15" x14ac:dyDescent="0.35">
      <c r="A5740" s="503" t="s">
        <v>1109</v>
      </c>
      <c r="B5740" s="504" t="s">
        <v>2959</v>
      </c>
      <c r="C5740" s="504" t="s">
        <v>1094</v>
      </c>
      <c r="D5740" s="504" t="s">
        <v>3380</v>
      </c>
      <c r="E5740" s="504" t="s">
        <v>3381</v>
      </c>
      <c r="F5740" s="504" t="s">
        <v>770</v>
      </c>
      <c r="G5740" s="504" t="s">
        <v>771</v>
      </c>
      <c r="H5740" s="504" t="s">
        <v>8008</v>
      </c>
      <c r="I5740" s="504">
        <v>42</v>
      </c>
      <c r="J5740" s="504">
        <v>0</v>
      </c>
      <c r="K5740" s="504">
        <v>0</v>
      </c>
      <c r="L5740" s="504">
        <v>0</v>
      </c>
      <c r="M5740" s="504">
        <v>42</v>
      </c>
      <c r="N5740" s="504">
        <v>0</v>
      </c>
      <c r="O5740" s="505">
        <v>0</v>
      </c>
    </row>
    <row r="5741" spans="1:15" x14ac:dyDescent="0.35">
      <c r="A5741" s="500" t="s">
        <v>1190</v>
      </c>
      <c r="B5741" s="501">
        <v>4662</v>
      </c>
      <c r="C5741" s="501" t="s">
        <v>1094</v>
      </c>
      <c r="D5741" s="501" t="s">
        <v>3380</v>
      </c>
      <c r="E5741" s="501" t="s">
        <v>3381</v>
      </c>
      <c r="F5741" s="501" t="s">
        <v>770</v>
      </c>
      <c r="G5741" s="501" t="s">
        <v>771</v>
      </c>
      <c r="H5741" s="501" t="s">
        <v>8009</v>
      </c>
      <c r="I5741" s="501">
        <v>16</v>
      </c>
      <c r="J5741" s="501">
        <v>0</v>
      </c>
      <c r="K5741" s="501">
        <v>0</v>
      </c>
      <c r="L5741" s="501">
        <v>16</v>
      </c>
      <c r="M5741" s="501">
        <v>0</v>
      </c>
      <c r="N5741" s="501">
        <v>0</v>
      </c>
      <c r="O5741" s="506">
        <v>0</v>
      </c>
    </row>
    <row r="5742" spans="1:15" x14ac:dyDescent="0.35">
      <c r="A5742" s="503" t="s">
        <v>1200</v>
      </c>
      <c r="B5742" s="504" t="s">
        <v>3122</v>
      </c>
      <c r="C5742" s="504" t="s">
        <v>1089</v>
      </c>
      <c r="D5742" s="504" t="s">
        <v>3392</v>
      </c>
      <c r="E5742" s="504" t="s">
        <v>3381</v>
      </c>
      <c r="F5742" s="504" t="s">
        <v>770</v>
      </c>
      <c r="G5742" s="504" t="s">
        <v>771</v>
      </c>
      <c r="H5742" s="504" t="s">
        <v>8010</v>
      </c>
      <c r="I5742" s="504">
        <v>39</v>
      </c>
      <c r="J5742" s="504">
        <v>39</v>
      </c>
      <c r="K5742" s="504">
        <v>0</v>
      </c>
      <c r="L5742" s="504">
        <v>0</v>
      </c>
      <c r="M5742" s="504">
        <v>0</v>
      </c>
      <c r="N5742" s="504">
        <v>0</v>
      </c>
      <c r="O5742" s="505">
        <v>0</v>
      </c>
    </row>
    <row r="5743" spans="1:15" x14ac:dyDescent="0.35">
      <c r="A5743" s="500" t="s">
        <v>1203</v>
      </c>
      <c r="B5743" s="501" t="s">
        <v>3170</v>
      </c>
      <c r="C5743" s="501" t="s">
        <v>1094</v>
      </c>
      <c r="D5743" s="501" t="s">
        <v>3380</v>
      </c>
      <c r="E5743" s="501" t="s">
        <v>3381</v>
      </c>
      <c r="F5743" s="501" t="s">
        <v>770</v>
      </c>
      <c r="G5743" s="501" t="s">
        <v>771</v>
      </c>
      <c r="H5743" s="501" t="s">
        <v>8011</v>
      </c>
      <c r="I5743" s="501">
        <v>441</v>
      </c>
      <c r="J5743" s="501">
        <v>415</v>
      </c>
      <c r="K5743" s="501">
        <v>0</v>
      </c>
      <c r="L5743" s="501">
        <v>0</v>
      </c>
      <c r="M5743" s="501">
        <v>0</v>
      </c>
      <c r="N5743" s="501">
        <v>1</v>
      </c>
      <c r="O5743" s="506">
        <v>26</v>
      </c>
    </row>
    <row r="5744" spans="1:15" x14ac:dyDescent="0.35">
      <c r="A5744" s="503" t="s">
        <v>1216</v>
      </c>
      <c r="B5744" s="504" t="s">
        <v>3207</v>
      </c>
      <c r="C5744" s="504" t="s">
        <v>1094</v>
      </c>
      <c r="D5744" s="504" t="s">
        <v>3380</v>
      </c>
      <c r="E5744" s="504" t="s">
        <v>3381</v>
      </c>
      <c r="F5744" s="504" t="s">
        <v>770</v>
      </c>
      <c r="G5744" s="504" t="s">
        <v>771</v>
      </c>
      <c r="H5744" s="504" t="s">
        <v>8012</v>
      </c>
      <c r="I5744" s="504">
        <v>9936</v>
      </c>
      <c r="J5744" s="504">
        <v>9864</v>
      </c>
      <c r="K5744" s="504">
        <v>2</v>
      </c>
      <c r="L5744" s="504">
        <v>58</v>
      </c>
      <c r="M5744" s="504">
        <v>0</v>
      </c>
      <c r="N5744" s="504">
        <v>0</v>
      </c>
      <c r="O5744" s="505">
        <v>12</v>
      </c>
    </row>
    <row r="5745" spans="1:15" x14ac:dyDescent="0.35">
      <c r="A5745" s="500" t="s">
        <v>1122</v>
      </c>
      <c r="B5745" s="501" t="s">
        <v>2994</v>
      </c>
      <c r="C5745" s="501" t="s">
        <v>1094</v>
      </c>
      <c r="D5745" s="501" t="s">
        <v>3380</v>
      </c>
      <c r="E5745" s="501" t="s">
        <v>3381</v>
      </c>
      <c r="F5745" s="501" t="s">
        <v>770</v>
      </c>
      <c r="G5745" s="501" t="s">
        <v>771</v>
      </c>
      <c r="H5745" s="501" t="s">
        <v>8013</v>
      </c>
      <c r="I5745" s="501">
        <v>103</v>
      </c>
      <c r="J5745" s="501">
        <v>102</v>
      </c>
      <c r="K5745" s="501">
        <v>0</v>
      </c>
      <c r="L5745" s="501">
        <v>1</v>
      </c>
      <c r="M5745" s="501">
        <v>0</v>
      </c>
      <c r="N5745" s="501">
        <v>0</v>
      </c>
      <c r="O5745" s="506">
        <v>0</v>
      </c>
    </row>
    <row r="5746" spans="1:15" x14ac:dyDescent="0.35">
      <c r="A5746" s="503" t="s">
        <v>1225</v>
      </c>
      <c r="B5746" s="504" t="s">
        <v>3315</v>
      </c>
      <c r="C5746" s="504" t="s">
        <v>1094</v>
      </c>
      <c r="D5746" s="504" t="s">
        <v>3380</v>
      </c>
      <c r="E5746" s="504" t="s">
        <v>3381</v>
      </c>
      <c r="F5746" s="504" t="s">
        <v>770</v>
      </c>
      <c r="G5746" s="504" t="s">
        <v>771</v>
      </c>
      <c r="H5746" s="504" t="s">
        <v>8014</v>
      </c>
      <c r="I5746" s="504">
        <v>16</v>
      </c>
      <c r="J5746" s="504">
        <v>0</v>
      </c>
      <c r="K5746" s="504">
        <v>0</v>
      </c>
      <c r="L5746" s="504">
        <v>16</v>
      </c>
      <c r="M5746" s="504">
        <v>0</v>
      </c>
      <c r="N5746" s="504">
        <v>0</v>
      </c>
      <c r="O5746" s="505">
        <v>0</v>
      </c>
    </row>
    <row r="5747" spans="1:15" x14ac:dyDescent="0.35">
      <c r="A5747" s="500" t="s">
        <v>1228</v>
      </c>
      <c r="B5747" s="501" t="s">
        <v>3321</v>
      </c>
      <c r="C5747" s="501" t="s">
        <v>1094</v>
      </c>
      <c r="D5747" s="501" t="s">
        <v>3380</v>
      </c>
      <c r="E5747" s="501" t="s">
        <v>3381</v>
      </c>
      <c r="F5747" s="501" t="s">
        <v>770</v>
      </c>
      <c r="G5747" s="501" t="s">
        <v>771</v>
      </c>
      <c r="H5747" s="501" t="s">
        <v>8015</v>
      </c>
      <c r="I5747" s="501">
        <v>35</v>
      </c>
      <c r="J5747" s="501">
        <v>0</v>
      </c>
      <c r="K5747" s="501">
        <v>0</v>
      </c>
      <c r="L5747" s="501">
        <v>35</v>
      </c>
      <c r="M5747" s="501">
        <v>0</v>
      </c>
      <c r="N5747" s="501">
        <v>0</v>
      </c>
      <c r="O5747" s="506">
        <v>0</v>
      </c>
    </row>
    <row r="5748" spans="1:15" x14ac:dyDescent="0.35">
      <c r="A5748" s="503" t="s">
        <v>1126</v>
      </c>
      <c r="B5748" s="504" t="s">
        <v>2974</v>
      </c>
      <c r="C5748" s="504" t="s">
        <v>1094</v>
      </c>
      <c r="D5748" s="504" t="s">
        <v>3380</v>
      </c>
      <c r="E5748" s="504" t="s">
        <v>3381</v>
      </c>
      <c r="F5748" s="504" t="s">
        <v>770</v>
      </c>
      <c r="G5748" s="504" t="s">
        <v>771</v>
      </c>
      <c r="H5748" s="504" t="s">
        <v>8016</v>
      </c>
      <c r="I5748" s="504">
        <v>157</v>
      </c>
      <c r="J5748" s="504">
        <v>89</v>
      </c>
      <c r="K5748" s="504">
        <v>0</v>
      </c>
      <c r="L5748" s="504">
        <v>26</v>
      </c>
      <c r="M5748" s="504">
        <v>40</v>
      </c>
      <c r="N5748" s="504">
        <v>0</v>
      </c>
      <c r="O5748" s="505">
        <v>2</v>
      </c>
    </row>
    <row r="5749" spans="1:15" x14ac:dyDescent="0.35">
      <c r="A5749" s="500" t="s">
        <v>1249</v>
      </c>
      <c r="B5749" s="501">
        <v>4729</v>
      </c>
      <c r="C5749" s="501" t="s">
        <v>1094</v>
      </c>
      <c r="D5749" s="501" t="s">
        <v>3380</v>
      </c>
      <c r="E5749" s="501" t="s">
        <v>3381</v>
      </c>
      <c r="F5749" s="501" t="s">
        <v>770</v>
      </c>
      <c r="G5749" s="501" t="s">
        <v>771</v>
      </c>
      <c r="H5749" s="501" t="s">
        <v>8017</v>
      </c>
      <c r="I5749" s="501">
        <v>445</v>
      </c>
      <c r="J5749" s="501">
        <v>375</v>
      </c>
      <c r="K5749" s="501">
        <v>0</v>
      </c>
      <c r="L5749" s="501">
        <v>0</v>
      </c>
      <c r="M5749" s="501">
        <v>49</v>
      </c>
      <c r="N5749" s="501">
        <v>0</v>
      </c>
      <c r="O5749" s="506">
        <v>21</v>
      </c>
    </row>
    <row r="5750" spans="1:15" x14ac:dyDescent="0.35">
      <c r="A5750" s="503" t="s">
        <v>1253</v>
      </c>
      <c r="B5750" s="504" t="s">
        <v>3232</v>
      </c>
      <c r="C5750" s="504" t="s">
        <v>1094</v>
      </c>
      <c r="D5750" s="504" t="s">
        <v>3380</v>
      </c>
      <c r="E5750" s="504" t="s">
        <v>3381</v>
      </c>
      <c r="F5750" s="504" t="s">
        <v>770</v>
      </c>
      <c r="G5750" s="504" t="s">
        <v>771</v>
      </c>
      <c r="H5750" s="504" t="s">
        <v>8018</v>
      </c>
      <c r="I5750" s="504">
        <v>86</v>
      </c>
      <c r="J5750" s="504">
        <v>86</v>
      </c>
      <c r="K5750" s="504">
        <v>0</v>
      </c>
      <c r="L5750" s="504">
        <v>0</v>
      </c>
      <c r="M5750" s="504">
        <v>0</v>
      </c>
      <c r="N5750" s="504">
        <v>0</v>
      </c>
      <c r="O5750" s="505">
        <v>0</v>
      </c>
    </row>
    <row r="5751" spans="1:15" x14ac:dyDescent="0.35">
      <c r="A5751" s="500" t="s">
        <v>1096</v>
      </c>
      <c r="B5751" s="501" t="s">
        <v>3326</v>
      </c>
      <c r="C5751" s="501" t="s">
        <v>1094</v>
      </c>
      <c r="D5751" s="501" t="s">
        <v>3380</v>
      </c>
      <c r="E5751" s="501" t="s">
        <v>3381</v>
      </c>
      <c r="F5751" s="501" t="s">
        <v>772</v>
      </c>
      <c r="G5751" s="501" t="s">
        <v>773</v>
      </c>
      <c r="H5751" s="501" t="s">
        <v>8019</v>
      </c>
      <c r="I5751" s="501">
        <v>41</v>
      </c>
      <c r="J5751" s="501">
        <v>0</v>
      </c>
      <c r="K5751" s="501">
        <v>0</v>
      </c>
      <c r="L5751" s="501">
        <v>0</v>
      </c>
      <c r="M5751" s="501">
        <v>41</v>
      </c>
      <c r="N5751" s="501">
        <v>0</v>
      </c>
      <c r="O5751" s="506">
        <v>0</v>
      </c>
    </row>
    <row r="5752" spans="1:15" x14ac:dyDescent="0.35">
      <c r="A5752" s="503" t="s">
        <v>1282</v>
      </c>
      <c r="B5752" s="504" t="s">
        <v>2953</v>
      </c>
      <c r="C5752" s="504" t="s">
        <v>1094</v>
      </c>
      <c r="D5752" s="504" t="s">
        <v>3380</v>
      </c>
      <c r="E5752" s="504" t="s">
        <v>3381</v>
      </c>
      <c r="F5752" s="504" t="s">
        <v>772</v>
      </c>
      <c r="G5752" s="504" t="s">
        <v>773</v>
      </c>
      <c r="H5752" s="504" t="s">
        <v>8020</v>
      </c>
      <c r="I5752" s="504">
        <v>520</v>
      </c>
      <c r="J5752" s="504">
        <v>385</v>
      </c>
      <c r="K5752" s="504">
        <v>0</v>
      </c>
      <c r="L5752" s="504">
        <v>0</v>
      </c>
      <c r="M5752" s="504">
        <v>70</v>
      </c>
      <c r="N5752" s="504">
        <v>0</v>
      </c>
      <c r="O5752" s="505">
        <v>65</v>
      </c>
    </row>
    <row r="5753" spans="1:15" x14ac:dyDescent="0.35">
      <c r="A5753" s="500" t="s">
        <v>1100</v>
      </c>
      <c r="B5753" s="501">
        <v>4865</v>
      </c>
      <c r="C5753" s="501" t="s">
        <v>1094</v>
      </c>
      <c r="D5753" s="501" t="s">
        <v>3380</v>
      </c>
      <c r="E5753" s="501" t="s">
        <v>3381</v>
      </c>
      <c r="F5753" s="501" t="s">
        <v>772</v>
      </c>
      <c r="G5753" s="501" t="s">
        <v>773</v>
      </c>
      <c r="H5753" s="501" t="s">
        <v>8021</v>
      </c>
      <c r="I5753" s="501">
        <v>241</v>
      </c>
      <c r="J5753" s="501">
        <v>134</v>
      </c>
      <c r="K5753" s="501">
        <v>0</v>
      </c>
      <c r="L5753" s="501">
        <v>14</v>
      </c>
      <c r="M5753" s="501">
        <v>0</v>
      </c>
      <c r="N5753" s="501">
        <v>0</v>
      </c>
      <c r="O5753" s="506">
        <v>93</v>
      </c>
    </row>
    <row r="5754" spans="1:15" x14ac:dyDescent="0.35">
      <c r="A5754" s="503" t="s">
        <v>1290</v>
      </c>
      <c r="B5754" s="504" t="s">
        <v>2979</v>
      </c>
      <c r="C5754" s="504" t="s">
        <v>1094</v>
      </c>
      <c r="D5754" s="504" t="s">
        <v>3380</v>
      </c>
      <c r="E5754" s="504" t="s">
        <v>3381</v>
      </c>
      <c r="F5754" s="504" t="s">
        <v>772</v>
      </c>
      <c r="G5754" s="504" t="s">
        <v>773</v>
      </c>
      <c r="H5754" s="504" t="s">
        <v>8022</v>
      </c>
      <c r="I5754" s="504">
        <v>90</v>
      </c>
      <c r="J5754" s="504">
        <v>90</v>
      </c>
      <c r="K5754" s="504">
        <v>0</v>
      </c>
      <c r="L5754" s="504">
        <v>0</v>
      </c>
      <c r="M5754" s="504">
        <v>0</v>
      </c>
      <c r="N5754" s="504">
        <v>0</v>
      </c>
      <c r="O5754" s="505">
        <v>0</v>
      </c>
    </row>
    <row r="5755" spans="1:15" x14ac:dyDescent="0.35">
      <c r="A5755" s="500" t="s">
        <v>1102</v>
      </c>
      <c r="B5755" s="501">
        <v>4663</v>
      </c>
      <c r="C5755" s="501" t="s">
        <v>1089</v>
      </c>
      <c r="D5755" s="501" t="s">
        <v>3392</v>
      </c>
      <c r="E5755" s="501" t="s">
        <v>3381</v>
      </c>
      <c r="F5755" s="501" t="s">
        <v>772</v>
      </c>
      <c r="G5755" s="501" t="s">
        <v>773</v>
      </c>
      <c r="H5755" s="501" t="s">
        <v>11688</v>
      </c>
      <c r="I5755" s="501">
        <v>10</v>
      </c>
      <c r="J5755" s="501">
        <v>0</v>
      </c>
      <c r="K5755" s="501">
        <v>0</v>
      </c>
      <c r="L5755" s="501">
        <v>10</v>
      </c>
      <c r="M5755" s="501">
        <v>0</v>
      </c>
      <c r="N5755" s="501">
        <v>0</v>
      </c>
      <c r="O5755" s="506">
        <v>0</v>
      </c>
    </row>
    <row r="5756" spans="1:15" x14ac:dyDescent="0.35">
      <c r="A5756" s="503" t="s">
        <v>1296</v>
      </c>
      <c r="B5756" s="504">
        <v>4651</v>
      </c>
      <c r="C5756" s="504" t="s">
        <v>1094</v>
      </c>
      <c r="D5756" s="504" t="s">
        <v>3380</v>
      </c>
      <c r="E5756" s="504" t="s">
        <v>3381</v>
      </c>
      <c r="F5756" s="504" t="s">
        <v>772</v>
      </c>
      <c r="G5756" s="504" t="s">
        <v>773</v>
      </c>
      <c r="H5756" s="504" t="s">
        <v>8023</v>
      </c>
      <c r="I5756" s="504">
        <v>5076</v>
      </c>
      <c r="J5756" s="504">
        <v>4476</v>
      </c>
      <c r="K5756" s="504">
        <v>0</v>
      </c>
      <c r="L5756" s="504">
        <v>29</v>
      </c>
      <c r="M5756" s="504">
        <v>469</v>
      </c>
      <c r="N5756" s="504">
        <v>0</v>
      </c>
      <c r="O5756" s="505">
        <v>102</v>
      </c>
    </row>
    <row r="5757" spans="1:15" x14ac:dyDescent="0.35">
      <c r="A5757" s="500" t="s">
        <v>1185</v>
      </c>
      <c r="B5757" s="501" t="s">
        <v>3253</v>
      </c>
      <c r="C5757" s="501" t="s">
        <v>1094</v>
      </c>
      <c r="D5757" s="501" t="s">
        <v>3380</v>
      </c>
      <c r="E5757" s="501" t="s">
        <v>3381</v>
      </c>
      <c r="F5757" s="501" t="s">
        <v>772</v>
      </c>
      <c r="G5757" s="501" t="s">
        <v>773</v>
      </c>
      <c r="H5757" s="501" t="s">
        <v>8024</v>
      </c>
      <c r="I5757" s="501">
        <v>4</v>
      </c>
      <c r="J5757" s="501">
        <v>1</v>
      </c>
      <c r="K5757" s="501">
        <v>0</v>
      </c>
      <c r="L5757" s="501">
        <v>3</v>
      </c>
      <c r="M5757" s="501">
        <v>0</v>
      </c>
      <c r="N5757" s="501">
        <v>0</v>
      </c>
      <c r="O5757" s="506">
        <v>0</v>
      </c>
    </row>
    <row r="5758" spans="1:15" x14ac:dyDescent="0.35">
      <c r="A5758" s="503" t="s">
        <v>1187</v>
      </c>
      <c r="B5758" s="504" t="s">
        <v>2951</v>
      </c>
      <c r="C5758" s="504" t="s">
        <v>1094</v>
      </c>
      <c r="D5758" s="504" t="s">
        <v>3380</v>
      </c>
      <c r="E5758" s="504" t="s">
        <v>3381</v>
      </c>
      <c r="F5758" s="504" t="s">
        <v>772</v>
      </c>
      <c r="G5758" s="504" t="s">
        <v>773</v>
      </c>
      <c r="H5758" s="504" t="s">
        <v>8025</v>
      </c>
      <c r="I5758" s="504">
        <v>37</v>
      </c>
      <c r="J5758" s="504">
        <v>35</v>
      </c>
      <c r="K5758" s="504">
        <v>0</v>
      </c>
      <c r="L5758" s="504">
        <v>0</v>
      </c>
      <c r="M5758" s="504">
        <v>0</v>
      </c>
      <c r="N5758" s="504">
        <v>0</v>
      </c>
      <c r="O5758" s="505">
        <v>2</v>
      </c>
    </row>
    <row r="5759" spans="1:15" x14ac:dyDescent="0.35">
      <c r="A5759" s="500" t="s">
        <v>1107</v>
      </c>
      <c r="B5759" s="501" t="s">
        <v>3109</v>
      </c>
      <c r="C5759" s="501" t="s">
        <v>1094</v>
      </c>
      <c r="D5759" s="501" t="s">
        <v>3380</v>
      </c>
      <c r="E5759" s="501" t="s">
        <v>3381</v>
      </c>
      <c r="F5759" s="501" t="s">
        <v>772</v>
      </c>
      <c r="G5759" s="501" t="s">
        <v>773</v>
      </c>
      <c r="H5759" s="501" t="s">
        <v>14882</v>
      </c>
      <c r="I5759" s="501">
        <v>1</v>
      </c>
      <c r="J5759" s="501">
        <v>0</v>
      </c>
      <c r="K5759" s="501">
        <v>0</v>
      </c>
      <c r="L5759" s="501">
        <v>1</v>
      </c>
      <c r="M5759" s="501">
        <v>0</v>
      </c>
      <c r="N5759" s="501">
        <v>0</v>
      </c>
      <c r="O5759" s="506">
        <v>0</v>
      </c>
    </row>
    <row r="5760" spans="1:15" x14ac:dyDescent="0.35">
      <c r="A5760" s="503" t="s">
        <v>1304</v>
      </c>
      <c r="B5760" s="504">
        <v>4785</v>
      </c>
      <c r="C5760" s="504" t="s">
        <v>1089</v>
      </c>
      <c r="D5760" s="504" t="s">
        <v>3392</v>
      </c>
      <c r="E5760" s="504" t="s">
        <v>3381</v>
      </c>
      <c r="F5760" s="504" t="s">
        <v>772</v>
      </c>
      <c r="G5760" s="504" t="s">
        <v>773</v>
      </c>
      <c r="H5760" s="504" t="s">
        <v>8026</v>
      </c>
      <c r="I5760" s="504">
        <v>22</v>
      </c>
      <c r="J5760" s="504">
        <v>22</v>
      </c>
      <c r="K5760" s="504">
        <v>0</v>
      </c>
      <c r="L5760" s="504">
        <v>0</v>
      </c>
      <c r="M5760" s="504">
        <v>0</v>
      </c>
      <c r="N5760" s="504">
        <v>0</v>
      </c>
      <c r="O5760" s="505">
        <v>0</v>
      </c>
    </row>
    <row r="5761" spans="1:15" x14ac:dyDescent="0.35">
      <c r="A5761" s="500" t="s">
        <v>1109</v>
      </c>
      <c r="B5761" s="501" t="s">
        <v>2959</v>
      </c>
      <c r="C5761" s="501" t="s">
        <v>1094</v>
      </c>
      <c r="D5761" s="501" t="s">
        <v>3380</v>
      </c>
      <c r="E5761" s="501" t="s">
        <v>3381</v>
      </c>
      <c r="F5761" s="501" t="s">
        <v>772</v>
      </c>
      <c r="G5761" s="501" t="s">
        <v>773</v>
      </c>
      <c r="H5761" s="501" t="s">
        <v>8027</v>
      </c>
      <c r="I5761" s="501">
        <v>93</v>
      </c>
      <c r="J5761" s="501">
        <v>0</v>
      </c>
      <c r="K5761" s="501">
        <v>0</v>
      </c>
      <c r="L5761" s="501">
        <v>0</v>
      </c>
      <c r="M5761" s="501">
        <v>57</v>
      </c>
      <c r="N5761" s="501">
        <v>0</v>
      </c>
      <c r="O5761" s="506">
        <v>36</v>
      </c>
    </row>
    <row r="5762" spans="1:15" x14ac:dyDescent="0.35">
      <c r="A5762" s="503" t="s">
        <v>1190</v>
      </c>
      <c r="B5762" s="504">
        <v>4662</v>
      </c>
      <c r="C5762" s="504" t="s">
        <v>1094</v>
      </c>
      <c r="D5762" s="504" t="s">
        <v>3380</v>
      </c>
      <c r="E5762" s="504" t="s">
        <v>3381</v>
      </c>
      <c r="F5762" s="504" t="s">
        <v>772</v>
      </c>
      <c r="G5762" s="504" t="s">
        <v>773</v>
      </c>
      <c r="H5762" s="504" t="s">
        <v>11768</v>
      </c>
      <c r="I5762" s="504">
        <v>16</v>
      </c>
      <c r="J5762" s="504">
        <v>0</v>
      </c>
      <c r="K5762" s="504">
        <v>0</v>
      </c>
      <c r="L5762" s="504">
        <v>16</v>
      </c>
      <c r="M5762" s="504">
        <v>0</v>
      </c>
      <c r="N5762" s="504">
        <v>0</v>
      </c>
      <c r="O5762" s="505">
        <v>0</v>
      </c>
    </row>
    <row r="5763" spans="1:15" x14ac:dyDescent="0.35">
      <c r="A5763" s="500" t="s">
        <v>11367</v>
      </c>
      <c r="B5763" s="501" t="s">
        <v>3143</v>
      </c>
      <c r="C5763" s="501" t="s">
        <v>1094</v>
      </c>
      <c r="D5763" s="501" t="s">
        <v>3380</v>
      </c>
      <c r="E5763" s="501" t="s">
        <v>3381</v>
      </c>
      <c r="F5763" s="501" t="s">
        <v>772</v>
      </c>
      <c r="G5763" s="501" t="s">
        <v>773</v>
      </c>
      <c r="H5763" s="501" t="s">
        <v>11940</v>
      </c>
      <c r="I5763" s="501">
        <v>207</v>
      </c>
      <c r="J5763" s="501">
        <v>161</v>
      </c>
      <c r="K5763" s="501">
        <v>0</v>
      </c>
      <c r="L5763" s="501">
        <v>8</v>
      </c>
      <c r="M5763" s="501">
        <v>38</v>
      </c>
      <c r="N5763" s="501">
        <v>0</v>
      </c>
      <c r="O5763" s="506">
        <v>0</v>
      </c>
    </row>
    <row r="5764" spans="1:15" x14ac:dyDescent="0.35">
      <c r="A5764" s="503" t="s">
        <v>1122</v>
      </c>
      <c r="B5764" s="504" t="s">
        <v>2994</v>
      </c>
      <c r="C5764" s="504" t="s">
        <v>1094</v>
      </c>
      <c r="D5764" s="504" t="s">
        <v>3380</v>
      </c>
      <c r="E5764" s="504" t="s">
        <v>3381</v>
      </c>
      <c r="F5764" s="504" t="s">
        <v>772</v>
      </c>
      <c r="G5764" s="504" t="s">
        <v>773</v>
      </c>
      <c r="H5764" s="504" t="s">
        <v>8028</v>
      </c>
      <c r="I5764" s="504">
        <v>109</v>
      </c>
      <c r="J5764" s="504">
        <v>109</v>
      </c>
      <c r="K5764" s="504">
        <v>0</v>
      </c>
      <c r="L5764" s="504">
        <v>0</v>
      </c>
      <c r="M5764" s="504">
        <v>0</v>
      </c>
      <c r="N5764" s="504">
        <v>0</v>
      </c>
      <c r="O5764" s="505">
        <v>0</v>
      </c>
    </row>
    <row r="5765" spans="1:15" x14ac:dyDescent="0.35">
      <c r="A5765" s="500" t="s">
        <v>1228</v>
      </c>
      <c r="B5765" s="501" t="s">
        <v>3321</v>
      </c>
      <c r="C5765" s="501" t="s">
        <v>1094</v>
      </c>
      <c r="D5765" s="501" t="s">
        <v>3380</v>
      </c>
      <c r="E5765" s="501" t="s">
        <v>3381</v>
      </c>
      <c r="F5765" s="501" t="s">
        <v>772</v>
      </c>
      <c r="G5765" s="501" t="s">
        <v>773</v>
      </c>
      <c r="H5765" s="501" t="s">
        <v>8029</v>
      </c>
      <c r="I5765" s="501">
        <v>21</v>
      </c>
      <c r="J5765" s="501">
        <v>0</v>
      </c>
      <c r="K5765" s="501">
        <v>0</v>
      </c>
      <c r="L5765" s="501">
        <v>21</v>
      </c>
      <c r="M5765" s="501">
        <v>0</v>
      </c>
      <c r="N5765" s="501">
        <v>0</v>
      </c>
      <c r="O5765" s="506">
        <v>0</v>
      </c>
    </row>
    <row r="5766" spans="1:15" x14ac:dyDescent="0.35">
      <c r="A5766" s="503" t="s">
        <v>1339</v>
      </c>
      <c r="B5766" s="504" t="s">
        <v>3358</v>
      </c>
      <c r="C5766" s="504" t="s">
        <v>1094</v>
      </c>
      <c r="D5766" s="504" t="s">
        <v>3380</v>
      </c>
      <c r="E5766" s="504" t="s">
        <v>3381</v>
      </c>
      <c r="F5766" s="504" t="s">
        <v>772</v>
      </c>
      <c r="G5766" s="504" t="s">
        <v>773</v>
      </c>
      <c r="H5766" s="504" t="s">
        <v>8030</v>
      </c>
      <c r="I5766" s="504">
        <v>42</v>
      </c>
      <c r="J5766" s="504">
        <v>32</v>
      </c>
      <c r="K5766" s="504">
        <v>0</v>
      </c>
      <c r="L5766" s="504">
        <v>9</v>
      </c>
      <c r="M5766" s="504">
        <v>0</v>
      </c>
      <c r="N5766" s="504">
        <v>0</v>
      </c>
      <c r="O5766" s="505">
        <v>1</v>
      </c>
    </row>
    <row r="5767" spans="1:15" x14ac:dyDescent="0.35">
      <c r="A5767" s="500" t="s">
        <v>1235</v>
      </c>
      <c r="B5767" s="501">
        <v>4684</v>
      </c>
      <c r="C5767" s="501" t="s">
        <v>1094</v>
      </c>
      <c r="D5767" s="501" t="s">
        <v>3380</v>
      </c>
      <c r="E5767" s="501" t="s">
        <v>3381</v>
      </c>
      <c r="F5767" s="501" t="s">
        <v>772</v>
      </c>
      <c r="G5767" s="501" t="s">
        <v>773</v>
      </c>
      <c r="H5767" s="501" t="s">
        <v>8031</v>
      </c>
      <c r="I5767" s="501">
        <v>25</v>
      </c>
      <c r="J5767" s="501">
        <v>0</v>
      </c>
      <c r="K5767" s="501">
        <v>0</v>
      </c>
      <c r="L5767" s="501">
        <v>25</v>
      </c>
      <c r="M5767" s="501">
        <v>0</v>
      </c>
      <c r="N5767" s="501">
        <v>0</v>
      </c>
      <c r="O5767" s="506">
        <v>0</v>
      </c>
    </row>
    <row r="5768" spans="1:15" x14ac:dyDescent="0.35">
      <c r="A5768" s="503" t="s">
        <v>1262</v>
      </c>
      <c r="B5768" s="504">
        <v>4772</v>
      </c>
      <c r="C5768" s="504" t="s">
        <v>1089</v>
      </c>
      <c r="D5768" s="504" t="s">
        <v>3392</v>
      </c>
      <c r="E5768" s="504" t="s">
        <v>3381</v>
      </c>
      <c r="F5768" s="504" t="s">
        <v>772</v>
      </c>
      <c r="G5768" s="504" t="s">
        <v>773</v>
      </c>
      <c r="H5768" s="504" t="s">
        <v>8032</v>
      </c>
      <c r="I5768" s="504">
        <v>3</v>
      </c>
      <c r="J5768" s="504">
        <v>0</v>
      </c>
      <c r="K5768" s="504">
        <v>0</v>
      </c>
      <c r="L5768" s="504">
        <v>3</v>
      </c>
      <c r="M5768" s="504">
        <v>0</v>
      </c>
      <c r="N5768" s="504">
        <v>0</v>
      </c>
      <c r="O5768" s="505">
        <v>0</v>
      </c>
    </row>
    <row r="5769" spans="1:15" x14ac:dyDescent="0.35">
      <c r="A5769" s="500" t="s">
        <v>1143</v>
      </c>
      <c r="B5769" s="501" t="s">
        <v>3281</v>
      </c>
      <c r="C5769" s="501" t="s">
        <v>1094</v>
      </c>
      <c r="D5769" s="501" t="s">
        <v>3380</v>
      </c>
      <c r="E5769" s="501" t="s">
        <v>3381</v>
      </c>
      <c r="F5769" s="501" t="s">
        <v>14115</v>
      </c>
      <c r="G5769" s="501" t="s">
        <v>14116</v>
      </c>
      <c r="H5769" s="501" t="s">
        <v>14883</v>
      </c>
      <c r="I5769" s="501">
        <v>87</v>
      </c>
      <c r="J5769" s="501">
        <v>80</v>
      </c>
      <c r="K5769" s="501">
        <v>0</v>
      </c>
      <c r="L5769" s="501">
        <v>0</v>
      </c>
      <c r="M5769" s="501">
        <v>0</v>
      </c>
      <c r="N5769" s="501">
        <v>0</v>
      </c>
      <c r="O5769" s="506">
        <v>7</v>
      </c>
    </row>
    <row r="5770" spans="1:15" x14ac:dyDescent="0.35">
      <c r="A5770" s="503" t="s">
        <v>1093</v>
      </c>
      <c r="B5770" s="504" t="s">
        <v>3248</v>
      </c>
      <c r="C5770" s="504" t="s">
        <v>1094</v>
      </c>
      <c r="D5770" s="504" t="s">
        <v>3380</v>
      </c>
      <c r="E5770" s="504" t="s">
        <v>3381</v>
      </c>
      <c r="F5770" s="504" t="s">
        <v>14115</v>
      </c>
      <c r="G5770" s="504" t="s">
        <v>14116</v>
      </c>
      <c r="H5770" s="504" t="s">
        <v>14884</v>
      </c>
      <c r="I5770" s="504">
        <v>11</v>
      </c>
      <c r="J5770" s="504">
        <v>0</v>
      </c>
      <c r="K5770" s="504">
        <v>0</v>
      </c>
      <c r="L5770" s="504">
        <v>0</v>
      </c>
      <c r="M5770" s="504">
        <v>0</v>
      </c>
      <c r="N5770" s="504">
        <v>0</v>
      </c>
      <c r="O5770" s="505">
        <v>11</v>
      </c>
    </row>
    <row r="5771" spans="1:15" x14ac:dyDescent="0.35">
      <c r="A5771" s="500" t="s">
        <v>1096</v>
      </c>
      <c r="B5771" s="501" t="s">
        <v>3326</v>
      </c>
      <c r="C5771" s="501" t="s">
        <v>1094</v>
      </c>
      <c r="D5771" s="501" t="s">
        <v>3380</v>
      </c>
      <c r="E5771" s="501" t="s">
        <v>3381</v>
      </c>
      <c r="F5771" s="501" t="s">
        <v>14115</v>
      </c>
      <c r="G5771" s="501" t="s">
        <v>14116</v>
      </c>
      <c r="H5771" s="501" t="s">
        <v>14885</v>
      </c>
      <c r="I5771" s="501">
        <v>160</v>
      </c>
      <c r="J5771" s="501">
        <v>0</v>
      </c>
      <c r="K5771" s="501">
        <v>0</v>
      </c>
      <c r="L5771" s="501">
        <v>0</v>
      </c>
      <c r="M5771" s="501">
        <v>160</v>
      </c>
      <c r="N5771" s="501">
        <v>0</v>
      </c>
      <c r="O5771" s="506">
        <v>0</v>
      </c>
    </row>
    <row r="5772" spans="1:15" x14ac:dyDescent="0.35">
      <c r="A5772" s="503" t="s">
        <v>11363</v>
      </c>
      <c r="B5772" s="504">
        <v>4718</v>
      </c>
      <c r="C5772" s="504" t="s">
        <v>1094</v>
      </c>
      <c r="D5772" s="504" t="s">
        <v>3380</v>
      </c>
      <c r="E5772" s="504" t="s">
        <v>3381</v>
      </c>
      <c r="F5772" s="504" t="s">
        <v>14115</v>
      </c>
      <c r="G5772" s="504" t="s">
        <v>14116</v>
      </c>
      <c r="H5772" s="504" t="s">
        <v>14886</v>
      </c>
      <c r="I5772" s="504">
        <v>10</v>
      </c>
      <c r="J5772" s="504">
        <v>0</v>
      </c>
      <c r="K5772" s="504">
        <v>0</v>
      </c>
      <c r="L5772" s="504">
        <v>10</v>
      </c>
      <c r="M5772" s="504">
        <v>0</v>
      </c>
      <c r="N5772" s="504">
        <v>0</v>
      </c>
      <c r="O5772" s="505">
        <v>0</v>
      </c>
    </row>
    <row r="5773" spans="1:15" x14ac:dyDescent="0.35">
      <c r="A5773" s="500" t="s">
        <v>1161</v>
      </c>
      <c r="B5773" s="501" t="s">
        <v>3001</v>
      </c>
      <c r="C5773" s="501" t="s">
        <v>1094</v>
      </c>
      <c r="D5773" s="501" t="s">
        <v>3380</v>
      </c>
      <c r="E5773" s="501" t="s">
        <v>3381</v>
      </c>
      <c r="F5773" s="501" t="s">
        <v>14115</v>
      </c>
      <c r="G5773" s="501" t="s">
        <v>14116</v>
      </c>
      <c r="H5773" s="501" t="s">
        <v>14887</v>
      </c>
      <c r="I5773" s="501">
        <v>19</v>
      </c>
      <c r="J5773" s="501">
        <v>19</v>
      </c>
      <c r="K5773" s="501">
        <v>0</v>
      </c>
      <c r="L5773" s="501">
        <v>0</v>
      </c>
      <c r="M5773" s="501">
        <v>0</v>
      </c>
      <c r="N5773" s="501">
        <v>0</v>
      </c>
      <c r="O5773" s="506">
        <v>0</v>
      </c>
    </row>
    <row r="5774" spans="1:15" x14ac:dyDescent="0.35">
      <c r="A5774" s="503" t="s">
        <v>1164</v>
      </c>
      <c r="B5774" s="504">
        <v>4751</v>
      </c>
      <c r="C5774" s="504" t="s">
        <v>1089</v>
      </c>
      <c r="D5774" s="504" t="s">
        <v>3392</v>
      </c>
      <c r="E5774" s="504" t="s">
        <v>3381</v>
      </c>
      <c r="F5774" s="504" t="s">
        <v>14115</v>
      </c>
      <c r="G5774" s="504" t="s">
        <v>14116</v>
      </c>
      <c r="H5774" s="504" t="s">
        <v>14888</v>
      </c>
      <c r="I5774" s="504">
        <v>10</v>
      </c>
      <c r="J5774" s="504">
        <v>0</v>
      </c>
      <c r="K5774" s="504">
        <v>0</v>
      </c>
      <c r="L5774" s="504">
        <v>10</v>
      </c>
      <c r="M5774" s="504">
        <v>0</v>
      </c>
      <c r="N5774" s="504">
        <v>0</v>
      </c>
      <c r="O5774" s="505">
        <v>0</v>
      </c>
    </row>
    <row r="5775" spans="1:15" x14ac:dyDescent="0.35">
      <c r="A5775" s="500" t="s">
        <v>1100</v>
      </c>
      <c r="B5775" s="501">
        <v>4865</v>
      </c>
      <c r="C5775" s="501" t="s">
        <v>1094</v>
      </c>
      <c r="D5775" s="501" t="s">
        <v>3380</v>
      </c>
      <c r="E5775" s="501" t="s">
        <v>3381</v>
      </c>
      <c r="F5775" s="501" t="s">
        <v>14115</v>
      </c>
      <c r="G5775" s="501" t="s">
        <v>14116</v>
      </c>
      <c r="H5775" s="501" t="s">
        <v>14889</v>
      </c>
      <c r="I5775" s="501">
        <v>118</v>
      </c>
      <c r="J5775" s="501">
        <v>82</v>
      </c>
      <c r="K5775" s="501">
        <v>0</v>
      </c>
      <c r="L5775" s="501">
        <v>0</v>
      </c>
      <c r="M5775" s="501">
        <v>0</v>
      </c>
      <c r="N5775" s="501">
        <v>0</v>
      </c>
      <c r="O5775" s="506">
        <v>36</v>
      </c>
    </row>
    <row r="5776" spans="1:15" x14ac:dyDescent="0.35">
      <c r="A5776" s="503" t="s">
        <v>1167</v>
      </c>
      <c r="B5776" s="504">
        <v>4689</v>
      </c>
      <c r="C5776" s="504" t="s">
        <v>1089</v>
      </c>
      <c r="D5776" s="504" t="s">
        <v>3392</v>
      </c>
      <c r="E5776" s="504" t="s">
        <v>3381</v>
      </c>
      <c r="F5776" s="504" t="s">
        <v>14115</v>
      </c>
      <c r="G5776" s="504" t="s">
        <v>14116</v>
      </c>
      <c r="H5776" s="504" t="s">
        <v>14890</v>
      </c>
      <c r="I5776" s="504">
        <v>6</v>
      </c>
      <c r="J5776" s="504">
        <v>0</v>
      </c>
      <c r="K5776" s="504">
        <v>0</v>
      </c>
      <c r="L5776" s="504">
        <v>6</v>
      </c>
      <c r="M5776" s="504">
        <v>0</v>
      </c>
      <c r="N5776" s="504">
        <v>0</v>
      </c>
      <c r="O5776" s="505">
        <v>0</v>
      </c>
    </row>
    <row r="5777" spans="1:15" x14ac:dyDescent="0.35">
      <c r="A5777" s="500" t="s">
        <v>1168</v>
      </c>
      <c r="B5777" s="501" t="s">
        <v>3360</v>
      </c>
      <c r="C5777" s="501" t="s">
        <v>1094</v>
      </c>
      <c r="D5777" s="501" t="s">
        <v>3380</v>
      </c>
      <c r="E5777" s="501" t="s">
        <v>3381</v>
      </c>
      <c r="F5777" s="501" t="s">
        <v>14115</v>
      </c>
      <c r="G5777" s="501" t="s">
        <v>14116</v>
      </c>
      <c r="H5777" s="501" t="s">
        <v>14891</v>
      </c>
      <c r="I5777" s="501">
        <v>160</v>
      </c>
      <c r="J5777" s="501">
        <v>84</v>
      </c>
      <c r="K5777" s="501">
        <v>0</v>
      </c>
      <c r="L5777" s="501">
        <v>0</v>
      </c>
      <c r="M5777" s="501">
        <v>0</v>
      </c>
      <c r="N5777" s="501">
        <v>0</v>
      </c>
      <c r="O5777" s="506">
        <v>76</v>
      </c>
    </row>
    <row r="5778" spans="1:15" x14ac:dyDescent="0.35">
      <c r="A5778" s="503" t="s">
        <v>1171</v>
      </c>
      <c r="B5778" s="504" t="s">
        <v>3003</v>
      </c>
      <c r="C5778" s="504" t="s">
        <v>1094</v>
      </c>
      <c r="D5778" s="504" t="s">
        <v>3380</v>
      </c>
      <c r="E5778" s="504" t="s">
        <v>3381</v>
      </c>
      <c r="F5778" s="504" t="s">
        <v>14115</v>
      </c>
      <c r="G5778" s="504" t="s">
        <v>14116</v>
      </c>
      <c r="H5778" s="504" t="s">
        <v>14892</v>
      </c>
      <c r="I5778" s="504">
        <v>59</v>
      </c>
      <c r="J5778" s="504">
        <v>57</v>
      </c>
      <c r="K5778" s="504">
        <v>0</v>
      </c>
      <c r="L5778" s="504">
        <v>0</v>
      </c>
      <c r="M5778" s="504">
        <v>0</v>
      </c>
      <c r="N5778" s="504">
        <v>0</v>
      </c>
      <c r="O5778" s="505">
        <v>2</v>
      </c>
    </row>
    <row r="5779" spans="1:15" x14ac:dyDescent="0.35">
      <c r="A5779" s="500" t="s">
        <v>1172</v>
      </c>
      <c r="B5779" s="501">
        <v>4648</v>
      </c>
      <c r="C5779" s="501" t="s">
        <v>1089</v>
      </c>
      <c r="D5779" s="501" t="s">
        <v>3392</v>
      </c>
      <c r="E5779" s="501" t="s">
        <v>3381</v>
      </c>
      <c r="F5779" s="501" t="s">
        <v>14115</v>
      </c>
      <c r="G5779" s="501" t="s">
        <v>14116</v>
      </c>
      <c r="H5779" s="501" t="s">
        <v>14893</v>
      </c>
      <c r="I5779" s="501">
        <v>4</v>
      </c>
      <c r="J5779" s="501">
        <v>0</v>
      </c>
      <c r="K5779" s="501">
        <v>0</v>
      </c>
      <c r="L5779" s="501">
        <v>4</v>
      </c>
      <c r="M5779" s="501">
        <v>0</v>
      </c>
      <c r="N5779" s="501">
        <v>0</v>
      </c>
      <c r="O5779" s="506">
        <v>0</v>
      </c>
    </row>
    <row r="5780" spans="1:15" x14ac:dyDescent="0.35">
      <c r="A5780" s="503" t="s">
        <v>1173</v>
      </c>
      <c r="B5780" s="504">
        <v>4775</v>
      </c>
      <c r="C5780" s="504" t="s">
        <v>1094</v>
      </c>
      <c r="D5780" s="504" t="s">
        <v>3380</v>
      </c>
      <c r="E5780" s="504" t="s">
        <v>3381</v>
      </c>
      <c r="F5780" s="504" t="s">
        <v>14115</v>
      </c>
      <c r="G5780" s="504" t="s">
        <v>14116</v>
      </c>
      <c r="H5780" s="504" t="s">
        <v>14894</v>
      </c>
      <c r="I5780" s="504">
        <v>737</v>
      </c>
      <c r="J5780" s="504">
        <v>494</v>
      </c>
      <c r="K5780" s="504">
        <v>0</v>
      </c>
      <c r="L5780" s="504">
        <v>51</v>
      </c>
      <c r="M5780" s="504">
        <v>0</v>
      </c>
      <c r="N5780" s="504">
        <v>0</v>
      </c>
      <c r="O5780" s="505">
        <v>192</v>
      </c>
    </row>
    <row r="5781" spans="1:15" x14ac:dyDescent="0.35">
      <c r="A5781" s="500" t="s">
        <v>1102</v>
      </c>
      <c r="B5781" s="501">
        <v>4663</v>
      </c>
      <c r="C5781" s="501" t="s">
        <v>1089</v>
      </c>
      <c r="D5781" s="501" t="s">
        <v>3392</v>
      </c>
      <c r="E5781" s="501" t="s">
        <v>3381</v>
      </c>
      <c r="F5781" s="501" t="s">
        <v>14115</v>
      </c>
      <c r="G5781" s="501" t="s">
        <v>14116</v>
      </c>
      <c r="H5781" s="501" t="s">
        <v>14895</v>
      </c>
      <c r="I5781" s="501">
        <v>2</v>
      </c>
      <c r="J5781" s="501">
        <v>0</v>
      </c>
      <c r="K5781" s="501">
        <v>0</v>
      </c>
      <c r="L5781" s="501">
        <v>2</v>
      </c>
      <c r="M5781" s="501">
        <v>0</v>
      </c>
      <c r="N5781" s="501">
        <v>0</v>
      </c>
      <c r="O5781" s="506">
        <v>0</v>
      </c>
    </row>
    <row r="5782" spans="1:15" x14ac:dyDescent="0.35">
      <c r="A5782" s="503" t="s">
        <v>1179</v>
      </c>
      <c r="B5782" s="504">
        <v>4829</v>
      </c>
      <c r="C5782" s="504" t="s">
        <v>1089</v>
      </c>
      <c r="D5782" s="504" t="s">
        <v>3392</v>
      </c>
      <c r="E5782" s="504" t="s">
        <v>3381</v>
      </c>
      <c r="F5782" s="504" t="s">
        <v>14115</v>
      </c>
      <c r="G5782" s="504" t="s">
        <v>14116</v>
      </c>
      <c r="H5782" s="504" t="s">
        <v>14896</v>
      </c>
      <c r="I5782" s="504">
        <v>1</v>
      </c>
      <c r="J5782" s="504">
        <v>0</v>
      </c>
      <c r="K5782" s="504">
        <v>0</v>
      </c>
      <c r="L5782" s="504">
        <v>1</v>
      </c>
      <c r="M5782" s="504">
        <v>0</v>
      </c>
      <c r="N5782" s="504">
        <v>0</v>
      </c>
      <c r="O5782" s="505">
        <v>0</v>
      </c>
    </row>
    <row r="5783" spans="1:15" x14ac:dyDescent="0.35">
      <c r="A5783" s="500" t="s">
        <v>1180</v>
      </c>
      <c r="B5783" s="501" t="s">
        <v>3184</v>
      </c>
      <c r="C5783" s="501" t="s">
        <v>1094</v>
      </c>
      <c r="D5783" s="501" t="s">
        <v>3380</v>
      </c>
      <c r="E5783" s="501" t="s">
        <v>3381</v>
      </c>
      <c r="F5783" s="501" t="s">
        <v>14115</v>
      </c>
      <c r="G5783" s="501" t="s">
        <v>14116</v>
      </c>
      <c r="H5783" s="501" t="s">
        <v>14897</v>
      </c>
      <c r="I5783" s="501">
        <v>18</v>
      </c>
      <c r="J5783" s="501">
        <v>9</v>
      </c>
      <c r="K5783" s="501">
        <v>9</v>
      </c>
      <c r="L5783" s="501">
        <v>0</v>
      </c>
      <c r="M5783" s="501">
        <v>0</v>
      </c>
      <c r="N5783" s="501">
        <v>0</v>
      </c>
      <c r="O5783" s="506">
        <v>0</v>
      </c>
    </row>
    <row r="5784" spans="1:15" x14ac:dyDescent="0.35">
      <c r="A5784" s="503" t="s">
        <v>14208</v>
      </c>
      <c r="B5784" s="504">
        <v>4803</v>
      </c>
      <c r="C5784" s="504" t="s">
        <v>1094</v>
      </c>
      <c r="D5784" s="504" t="s">
        <v>3380</v>
      </c>
      <c r="E5784" s="504" t="s">
        <v>3381</v>
      </c>
      <c r="F5784" s="504" t="s">
        <v>14115</v>
      </c>
      <c r="G5784" s="504" t="s">
        <v>14116</v>
      </c>
      <c r="H5784" s="504" t="s">
        <v>14898</v>
      </c>
      <c r="I5784" s="504">
        <v>17</v>
      </c>
      <c r="J5784" s="504">
        <v>0</v>
      </c>
      <c r="K5784" s="504">
        <v>0</v>
      </c>
      <c r="L5784" s="504">
        <v>17</v>
      </c>
      <c r="M5784" s="504">
        <v>0</v>
      </c>
      <c r="N5784" s="504">
        <v>0</v>
      </c>
      <c r="O5784" s="505">
        <v>0</v>
      </c>
    </row>
    <row r="5785" spans="1:15" x14ac:dyDescent="0.35">
      <c r="A5785" s="500" t="s">
        <v>1182</v>
      </c>
      <c r="B5785" s="501">
        <v>5060</v>
      </c>
      <c r="C5785" s="501" t="s">
        <v>1094</v>
      </c>
      <c r="D5785" s="501" t="s">
        <v>3380</v>
      </c>
      <c r="E5785" s="501" t="s">
        <v>3381</v>
      </c>
      <c r="F5785" s="501" t="s">
        <v>14115</v>
      </c>
      <c r="G5785" s="501" t="s">
        <v>14116</v>
      </c>
      <c r="H5785" s="501" t="s">
        <v>14899</v>
      </c>
      <c r="I5785" s="501">
        <v>776</v>
      </c>
      <c r="J5785" s="501">
        <v>733</v>
      </c>
      <c r="K5785" s="501">
        <v>0</v>
      </c>
      <c r="L5785" s="501">
        <v>1</v>
      </c>
      <c r="M5785" s="501">
        <v>0</v>
      </c>
      <c r="N5785" s="501">
        <v>0</v>
      </c>
      <c r="O5785" s="506">
        <v>42</v>
      </c>
    </row>
    <row r="5786" spans="1:15" x14ac:dyDescent="0.35">
      <c r="A5786" s="503" t="s">
        <v>1184</v>
      </c>
      <c r="B5786" s="504" t="s">
        <v>3215</v>
      </c>
      <c r="C5786" s="504" t="s">
        <v>1094</v>
      </c>
      <c r="D5786" s="504" t="s">
        <v>3380</v>
      </c>
      <c r="E5786" s="504" t="s">
        <v>3381</v>
      </c>
      <c r="F5786" s="504" t="s">
        <v>14115</v>
      </c>
      <c r="G5786" s="504" t="s">
        <v>14116</v>
      </c>
      <c r="H5786" s="504" t="s">
        <v>14900</v>
      </c>
      <c r="I5786" s="504">
        <v>4942</v>
      </c>
      <c r="J5786" s="504">
        <v>4478</v>
      </c>
      <c r="K5786" s="504">
        <v>0</v>
      </c>
      <c r="L5786" s="504">
        <v>248</v>
      </c>
      <c r="M5786" s="504">
        <v>0</v>
      </c>
      <c r="N5786" s="504">
        <v>0</v>
      </c>
      <c r="O5786" s="505">
        <v>216</v>
      </c>
    </row>
    <row r="5787" spans="1:15" x14ac:dyDescent="0.35">
      <c r="A5787" s="500" t="s">
        <v>14213</v>
      </c>
      <c r="B5787" s="501" t="s">
        <v>3312</v>
      </c>
      <c r="C5787" s="501" t="s">
        <v>1094</v>
      </c>
      <c r="D5787" s="501" t="s">
        <v>3380</v>
      </c>
      <c r="E5787" s="501" t="s">
        <v>3381</v>
      </c>
      <c r="F5787" s="501" t="s">
        <v>14115</v>
      </c>
      <c r="G5787" s="501" t="s">
        <v>14116</v>
      </c>
      <c r="H5787" s="501" t="s">
        <v>14901</v>
      </c>
      <c r="I5787" s="501">
        <v>26</v>
      </c>
      <c r="J5787" s="501">
        <v>0</v>
      </c>
      <c r="K5787" s="501">
        <v>0</v>
      </c>
      <c r="L5787" s="501">
        <v>0</v>
      </c>
      <c r="M5787" s="501">
        <v>26</v>
      </c>
      <c r="N5787" s="501">
        <v>0</v>
      </c>
      <c r="O5787" s="506">
        <v>0</v>
      </c>
    </row>
    <row r="5788" spans="1:15" x14ac:dyDescent="0.35">
      <c r="A5788" s="503" t="s">
        <v>1105</v>
      </c>
      <c r="B5788" s="504">
        <v>4668</v>
      </c>
      <c r="C5788" s="504" t="s">
        <v>1094</v>
      </c>
      <c r="D5788" s="504" t="s">
        <v>3380</v>
      </c>
      <c r="E5788" s="504" t="s">
        <v>3381</v>
      </c>
      <c r="F5788" s="504" t="s">
        <v>14115</v>
      </c>
      <c r="G5788" s="504" t="s">
        <v>14116</v>
      </c>
      <c r="H5788" s="504" t="s">
        <v>14902</v>
      </c>
      <c r="I5788" s="504">
        <v>10</v>
      </c>
      <c r="J5788" s="504">
        <v>0</v>
      </c>
      <c r="K5788" s="504">
        <v>0</v>
      </c>
      <c r="L5788" s="504">
        <v>0</v>
      </c>
      <c r="M5788" s="504">
        <v>0</v>
      </c>
      <c r="N5788" s="504">
        <v>0</v>
      </c>
      <c r="O5788" s="505">
        <v>10</v>
      </c>
    </row>
    <row r="5789" spans="1:15" x14ac:dyDescent="0.35">
      <c r="A5789" s="500" t="s">
        <v>1107</v>
      </c>
      <c r="B5789" s="501" t="s">
        <v>3109</v>
      </c>
      <c r="C5789" s="501" t="s">
        <v>1094</v>
      </c>
      <c r="D5789" s="501" t="s">
        <v>3380</v>
      </c>
      <c r="E5789" s="501" t="s">
        <v>3381</v>
      </c>
      <c r="F5789" s="501" t="s">
        <v>14115</v>
      </c>
      <c r="G5789" s="501" t="s">
        <v>14116</v>
      </c>
      <c r="H5789" s="501" t="s">
        <v>14903</v>
      </c>
      <c r="I5789" s="501">
        <v>1013</v>
      </c>
      <c r="J5789" s="501">
        <v>786</v>
      </c>
      <c r="K5789" s="501">
        <v>0</v>
      </c>
      <c r="L5789" s="501">
        <v>33</v>
      </c>
      <c r="M5789" s="501">
        <v>0</v>
      </c>
      <c r="N5789" s="501">
        <v>0</v>
      </c>
      <c r="O5789" s="506">
        <v>194</v>
      </c>
    </row>
    <row r="5790" spans="1:15" x14ac:dyDescent="0.35">
      <c r="A5790" s="503" t="s">
        <v>1109</v>
      </c>
      <c r="B5790" s="504" t="s">
        <v>2959</v>
      </c>
      <c r="C5790" s="504" t="s">
        <v>1094</v>
      </c>
      <c r="D5790" s="504" t="s">
        <v>3380</v>
      </c>
      <c r="E5790" s="504" t="s">
        <v>3381</v>
      </c>
      <c r="F5790" s="504" t="s">
        <v>14115</v>
      </c>
      <c r="G5790" s="504" t="s">
        <v>14116</v>
      </c>
      <c r="H5790" s="504" t="s">
        <v>14904</v>
      </c>
      <c r="I5790" s="504">
        <v>126</v>
      </c>
      <c r="J5790" s="504">
        <v>0</v>
      </c>
      <c r="K5790" s="504">
        <v>0</v>
      </c>
      <c r="L5790" s="504">
        <v>0</v>
      </c>
      <c r="M5790" s="504">
        <v>126</v>
      </c>
      <c r="N5790" s="504">
        <v>0</v>
      </c>
      <c r="O5790" s="505">
        <v>0</v>
      </c>
    </row>
    <row r="5791" spans="1:15" x14ac:dyDescent="0.35">
      <c r="A5791" s="500" t="s">
        <v>1189</v>
      </c>
      <c r="B5791" s="501" t="s">
        <v>3236</v>
      </c>
      <c r="C5791" s="501" t="s">
        <v>1094</v>
      </c>
      <c r="D5791" s="501" t="s">
        <v>3380</v>
      </c>
      <c r="E5791" s="501" t="s">
        <v>3381</v>
      </c>
      <c r="F5791" s="501" t="s">
        <v>14115</v>
      </c>
      <c r="G5791" s="501" t="s">
        <v>14116</v>
      </c>
      <c r="H5791" s="501" t="s">
        <v>14905</v>
      </c>
      <c r="I5791" s="501">
        <v>13</v>
      </c>
      <c r="J5791" s="501">
        <v>8</v>
      </c>
      <c r="K5791" s="501">
        <v>0</v>
      </c>
      <c r="L5791" s="501">
        <v>0</v>
      </c>
      <c r="M5791" s="501">
        <v>0</v>
      </c>
      <c r="N5791" s="501">
        <v>0</v>
      </c>
      <c r="O5791" s="506">
        <v>5</v>
      </c>
    </row>
    <row r="5792" spans="1:15" x14ac:dyDescent="0.35">
      <c r="A5792" s="503" t="s">
        <v>1190</v>
      </c>
      <c r="B5792" s="504">
        <v>4662</v>
      </c>
      <c r="C5792" s="504" t="s">
        <v>1094</v>
      </c>
      <c r="D5792" s="504" t="s">
        <v>3380</v>
      </c>
      <c r="E5792" s="504" t="s">
        <v>3381</v>
      </c>
      <c r="F5792" s="504" t="s">
        <v>14115</v>
      </c>
      <c r="G5792" s="504" t="s">
        <v>14116</v>
      </c>
      <c r="H5792" s="504" t="s">
        <v>14906</v>
      </c>
      <c r="I5792" s="504">
        <v>63</v>
      </c>
      <c r="J5792" s="504">
        <v>0</v>
      </c>
      <c r="K5792" s="504">
        <v>0</v>
      </c>
      <c r="L5792" s="504">
        <v>63</v>
      </c>
      <c r="M5792" s="504">
        <v>0</v>
      </c>
      <c r="N5792" s="504">
        <v>0</v>
      </c>
      <c r="O5792" s="505">
        <v>0</v>
      </c>
    </row>
    <row r="5793" spans="1:15" x14ac:dyDescent="0.35">
      <c r="A5793" s="500" t="s">
        <v>1195</v>
      </c>
      <c r="B5793" s="501">
        <v>4693</v>
      </c>
      <c r="C5793" s="501" t="s">
        <v>1089</v>
      </c>
      <c r="D5793" s="501" t="s">
        <v>3392</v>
      </c>
      <c r="E5793" s="501" t="s">
        <v>3381</v>
      </c>
      <c r="F5793" s="501" t="s">
        <v>14115</v>
      </c>
      <c r="G5793" s="501" t="s">
        <v>14116</v>
      </c>
      <c r="H5793" s="501" t="s">
        <v>14907</v>
      </c>
      <c r="I5793" s="501">
        <v>12</v>
      </c>
      <c r="J5793" s="501">
        <v>0</v>
      </c>
      <c r="K5793" s="501">
        <v>0</v>
      </c>
      <c r="L5793" s="501">
        <v>12</v>
      </c>
      <c r="M5793" s="501">
        <v>0</v>
      </c>
      <c r="N5793" s="501">
        <v>0</v>
      </c>
      <c r="O5793" s="506">
        <v>0</v>
      </c>
    </row>
    <row r="5794" spans="1:15" x14ac:dyDescent="0.35">
      <c r="A5794" s="503" t="s">
        <v>1310</v>
      </c>
      <c r="B5794" s="504">
        <v>5062</v>
      </c>
      <c r="C5794" s="504" t="s">
        <v>1089</v>
      </c>
      <c r="D5794" s="504" t="s">
        <v>3380</v>
      </c>
      <c r="E5794" s="504" t="s">
        <v>3381</v>
      </c>
      <c r="F5794" s="504" t="s">
        <v>14115</v>
      </c>
      <c r="G5794" s="504" t="s">
        <v>14116</v>
      </c>
      <c r="H5794" s="504" t="s">
        <v>14908</v>
      </c>
      <c r="I5794" s="504">
        <v>5</v>
      </c>
      <c r="J5794" s="504">
        <v>0</v>
      </c>
      <c r="K5794" s="504">
        <v>0</v>
      </c>
      <c r="L5794" s="504">
        <v>0</v>
      </c>
      <c r="M5794" s="504">
        <v>0</v>
      </c>
      <c r="N5794" s="504">
        <v>0</v>
      </c>
      <c r="O5794" s="505">
        <v>5</v>
      </c>
    </row>
    <row r="5795" spans="1:15" x14ac:dyDescent="0.35">
      <c r="A5795" s="500" t="s">
        <v>1202</v>
      </c>
      <c r="B5795" s="501" t="s">
        <v>3217</v>
      </c>
      <c r="C5795" s="501" t="s">
        <v>1094</v>
      </c>
      <c r="D5795" s="501" t="s">
        <v>3380</v>
      </c>
      <c r="E5795" s="501" t="s">
        <v>3381</v>
      </c>
      <c r="F5795" s="501" t="s">
        <v>14115</v>
      </c>
      <c r="G5795" s="501" t="s">
        <v>14116</v>
      </c>
      <c r="H5795" s="501" t="s">
        <v>14909</v>
      </c>
      <c r="I5795" s="501">
        <v>1</v>
      </c>
      <c r="J5795" s="501">
        <v>0</v>
      </c>
      <c r="K5795" s="501">
        <v>0</v>
      </c>
      <c r="L5795" s="501">
        <v>0</v>
      </c>
      <c r="M5795" s="501">
        <v>0</v>
      </c>
      <c r="N5795" s="501">
        <v>0</v>
      </c>
      <c r="O5795" s="506">
        <v>1</v>
      </c>
    </row>
    <row r="5796" spans="1:15" x14ac:dyDescent="0.35">
      <c r="A5796" s="503" t="s">
        <v>1203</v>
      </c>
      <c r="B5796" s="504" t="s">
        <v>3170</v>
      </c>
      <c r="C5796" s="504" t="s">
        <v>1094</v>
      </c>
      <c r="D5796" s="504" t="s">
        <v>3380</v>
      </c>
      <c r="E5796" s="504" t="s">
        <v>3381</v>
      </c>
      <c r="F5796" s="504" t="s">
        <v>14115</v>
      </c>
      <c r="G5796" s="504" t="s">
        <v>14116</v>
      </c>
      <c r="H5796" s="504" t="s">
        <v>14910</v>
      </c>
      <c r="I5796" s="504">
        <v>3760</v>
      </c>
      <c r="J5796" s="504">
        <v>3131</v>
      </c>
      <c r="K5796" s="504">
        <v>0</v>
      </c>
      <c r="L5796" s="504">
        <v>21</v>
      </c>
      <c r="M5796" s="504">
        <v>364</v>
      </c>
      <c r="N5796" s="504">
        <v>4</v>
      </c>
      <c r="O5796" s="505">
        <v>244</v>
      </c>
    </row>
    <row r="5797" spans="1:15" x14ac:dyDescent="0.35">
      <c r="A5797" s="500" t="s">
        <v>1205</v>
      </c>
      <c r="B5797" s="501" t="s">
        <v>2996</v>
      </c>
      <c r="C5797" s="501" t="s">
        <v>1089</v>
      </c>
      <c r="D5797" s="501" t="s">
        <v>3392</v>
      </c>
      <c r="E5797" s="501" t="s">
        <v>3381</v>
      </c>
      <c r="F5797" s="501" t="s">
        <v>14115</v>
      </c>
      <c r="G5797" s="501" t="s">
        <v>14116</v>
      </c>
      <c r="H5797" s="501" t="s">
        <v>14911</v>
      </c>
      <c r="I5797" s="501">
        <v>36</v>
      </c>
      <c r="J5797" s="501">
        <v>0</v>
      </c>
      <c r="K5797" s="501">
        <v>0</v>
      </c>
      <c r="L5797" s="501">
        <v>0</v>
      </c>
      <c r="M5797" s="501">
        <v>36</v>
      </c>
      <c r="N5797" s="501">
        <v>0</v>
      </c>
      <c r="O5797" s="506">
        <v>0</v>
      </c>
    </row>
    <row r="5798" spans="1:15" x14ac:dyDescent="0.35">
      <c r="A5798" s="503" t="s">
        <v>1112</v>
      </c>
      <c r="B5798" s="504" t="s">
        <v>3008</v>
      </c>
      <c r="C5798" s="504" t="s">
        <v>1094</v>
      </c>
      <c r="D5798" s="504" t="s">
        <v>3380</v>
      </c>
      <c r="E5798" s="504" t="s">
        <v>3381</v>
      </c>
      <c r="F5798" s="504" t="s">
        <v>14115</v>
      </c>
      <c r="G5798" s="504" t="s">
        <v>14116</v>
      </c>
      <c r="H5798" s="504" t="s">
        <v>14912</v>
      </c>
      <c r="I5798" s="504">
        <v>329</v>
      </c>
      <c r="J5798" s="504">
        <v>312</v>
      </c>
      <c r="K5798" s="504">
        <v>0</v>
      </c>
      <c r="L5798" s="504">
        <v>0</v>
      </c>
      <c r="M5798" s="504">
        <v>0</v>
      </c>
      <c r="N5798" s="504">
        <v>0</v>
      </c>
      <c r="O5798" s="505">
        <v>17</v>
      </c>
    </row>
    <row r="5799" spans="1:15" x14ac:dyDescent="0.35">
      <c r="A5799" s="500" t="s">
        <v>1207</v>
      </c>
      <c r="B5799" s="501" t="s">
        <v>3202</v>
      </c>
      <c r="C5799" s="501" t="s">
        <v>1094</v>
      </c>
      <c r="D5799" s="501" t="s">
        <v>3380</v>
      </c>
      <c r="E5799" s="501" t="s">
        <v>3381</v>
      </c>
      <c r="F5799" s="501" t="s">
        <v>14115</v>
      </c>
      <c r="G5799" s="501" t="s">
        <v>14116</v>
      </c>
      <c r="H5799" s="501" t="s">
        <v>14913</v>
      </c>
      <c r="I5799" s="501">
        <v>253</v>
      </c>
      <c r="J5799" s="501">
        <v>160</v>
      </c>
      <c r="K5799" s="501">
        <v>0</v>
      </c>
      <c r="L5799" s="501">
        <v>43</v>
      </c>
      <c r="M5799" s="501">
        <v>41</v>
      </c>
      <c r="N5799" s="501">
        <v>0</v>
      </c>
      <c r="O5799" s="506">
        <v>9</v>
      </c>
    </row>
    <row r="5800" spans="1:15" x14ac:dyDescent="0.35">
      <c r="A5800" s="503" t="s">
        <v>1212</v>
      </c>
      <c r="B5800" s="504" t="s">
        <v>3139</v>
      </c>
      <c r="C5800" s="504" t="s">
        <v>1089</v>
      </c>
      <c r="D5800" s="504" t="s">
        <v>3392</v>
      </c>
      <c r="E5800" s="504" t="s">
        <v>3381</v>
      </c>
      <c r="F5800" s="504" t="s">
        <v>14115</v>
      </c>
      <c r="G5800" s="504" t="s">
        <v>14116</v>
      </c>
      <c r="H5800" s="504" t="s">
        <v>14914</v>
      </c>
      <c r="I5800" s="504">
        <v>69</v>
      </c>
      <c r="J5800" s="504">
        <v>69</v>
      </c>
      <c r="K5800" s="504">
        <v>0</v>
      </c>
      <c r="L5800" s="504">
        <v>0</v>
      </c>
      <c r="M5800" s="504">
        <v>0</v>
      </c>
      <c r="N5800" s="504">
        <v>0</v>
      </c>
      <c r="O5800" s="505">
        <v>0</v>
      </c>
    </row>
    <row r="5801" spans="1:15" x14ac:dyDescent="0.35">
      <c r="A5801" s="500" t="s">
        <v>1215</v>
      </c>
      <c r="B5801" s="501">
        <v>4817</v>
      </c>
      <c r="C5801" s="501" t="s">
        <v>1094</v>
      </c>
      <c r="D5801" s="501" t="s">
        <v>3380</v>
      </c>
      <c r="E5801" s="501" t="s">
        <v>3381</v>
      </c>
      <c r="F5801" s="501" t="s">
        <v>14115</v>
      </c>
      <c r="G5801" s="501" t="s">
        <v>14116</v>
      </c>
      <c r="H5801" s="501" t="s">
        <v>14915</v>
      </c>
      <c r="I5801" s="501">
        <v>105</v>
      </c>
      <c r="J5801" s="501">
        <v>73</v>
      </c>
      <c r="K5801" s="501">
        <v>0</v>
      </c>
      <c r="L5801" s="501">
        <v>0</v>
      </c>
      <c r="M5801" s="501">
        <v>0</v>
      </c>
      <c r="N5801" s="501">
        <v>0</v>
      </c>
      <c r="O5801" s="506">
        <v>32</v>
      </c>
    </row>
    <row r="5802" spans="1:15" x14ac:dyDescent="0.35">
      <c r="A5802" s="503" t="s">
        <v>1217</v>
      </c>
      <c r="B5802" s="504">
        <v>4851</v>
      </c>
      <c r="C5802" s="504" t="s">
        <v>1094</v>
      </c>
      <c r="D5802" s="504" t="s">
        <v>3380</v>
      </c>
      <c r="E5802" s="504" t="s">
        <v>3381</v>
      </c>
      <c r="F5802" s="504" t="s">
        <v>14115</v>
      </c>
      <c r="G5802" s="504" t="s">
        <v>14116</v>
      </c>
      <c r="H5802" s="504" t="s">
        <v>14916</v>
      </c>
      <c r="I5802" s="504">
        <v>330</v>
      </c>
      <c r="J5802" s="504">
        <v>117</v>
      </c>
      <c r="K5802" s="504">
        <v>206</v>
      </c>
      <c r="L5802" s="504">
        <v>0</v>
      </c>
      <c r="M5802" s="504">
        <v>0</v>
      </c>
      <c r="N5802" s="504">
        <v>0</v>
      </c>
      <c r="O5802" s="505">
        <v>7</v>
      </c>
    </row>
    <row r="5803" spans="1:15" x14ac:dyDescent="0.35">
      <c r="A5803" s="500" t="s">
        <v>1218</v>
      </c>
      <c r="B5803" s="501" t="s">
        <v>3147</v>
      </c>
      <c r="C5803" s="501" t="s">
        <v>1094</v>
      </c>
      <c r="D5803" s="501" t="s">
        <v>3380</v>
      </c>
      <c r="E5803" s="501" t="s">
        <v>3381</v>
      </c>
      <c r="F5803" s="501" t="s">
        <v>14115</v>
      </c>
      <c r="G5803" s="501" t="s">
        <v>14116</v>
      </c>
      <c r="H5803" s="501" t="s">
        <v>14917</v>
      </c>
      <c r="I5803" s="501">
        <v>309</v>
      </c>
      <c r="J5803" s="501">
        <v>30</v>
      </c>
      <c r="K5803" s="501">
        <v>0</v>
      </c>
      <c r="L5803" s="501">
        <v>0</v>
      </c>
      <c r="M5803" s="501">
        <v>0</v>
      </c>
      <c r="N5803" s="501">
        <v>0</v>
      </c>
      <c r="O5803" s="506">
        <v>279</v>
      </c>
    </row>
    <row r="5804" spans="1:15" x14ac:dyDescent="0.35">
      <c r="A5804" s="503" t="s">
        <v>11367</v>
      </c>
      <c r="B5804" s="504" t="s">
        <v>3143</v>
      </c>
      <c r="C5804" s="504" t="s">
        <v>1094</v>
      </c>
      <c r="D5804" s="504" t="s">
        <v>3380</v>
      </c>
      <c r="E5804" s="504" t="s">
        <v>3381</v>
      </c>
      <c r="F5804" s="504" t="s">
        <v>14115</v>
      </c>
      <c r="G5804" s="504" t="s">
        <v>14116</v>
      </c>
      <c r="H5804" s="504" t="s">
        <v>14918</v>
      </c>
      <c r="I5804" s="504">
        <v>1543</v>
      </c>
      <c r="J5804" s="504">
        <v>1418</v>
      </c>
      <c r="K5804" s="504">
        <v>0</v>
      </c>
      <c r="L5804" s="504">
        <v>55</v>
      </c>
      <c r="M5804" s="504">
        <v>70</v>
      </c>
      <c r="N5804" s="504">
        <v>0</v>
      </c>
      <c r="O5804" s="505">
        <v>0</v>
      </c>
    </row>
    <row r="5805" spans="1:15" x14ac:dyDescent="0.35">
      <c r="A5805" s="500" t="s">
        <v>1220</v>
      </c>
      <c r="B5805" s="501">
        <v>4849</v>
      </c>
      <c r="C5805" s="501" t="s">
        <v>1094</v>
      </c>
      <c r="D5805" s="501" t="s">
        <v>3380</v>
      </c>
      <c r="E5805" s="501" t="s">
        <v>3381</v>
      </c>
      <c r="F5805" s="501" t="s">
        <v>14115</v>
      </c>
      <c r="G5805" s="501" t="s">
        <v>14116</v>
      </c>
      <c r="H5805" s="501" t="s">
        <v>14919</v>
      </c>
      <c r="I5805" s="501">
        <v>834</v>
      </c>
      <c r="J5805" s="501">
        <v>730</v>
      </c>
      <c r="K5805" s="501">
        <v>0</v>
      </c>
      <c r="L5805" s="501">
        <v>90</v>
      </c>
      <c r="M5805" s="501">
        <v>0</v>
      </c>
      <c r="N5805" s="501">
        <v>0</v>
      </c>
      <c r="O5805" s="506">
        <v>14</v>
      </c>
    </row>
    <row r="5806" spans="1:15" x14ac:dyDescent="0.35">
      <c r="A5806" s="503" t="s">
        <v>1222</v>
      </c>
      <c r="B5806" s="504" t="s">
        <v>2538</v>
      </c>
      <c r="C5806" s="504" t="s">
        <v>1089</v>
      </c>
      <c r="D5806" s="504" t="s">
        <v>3392</v>
      </c>
      <c r="E5806" s="504" t="s">
        <v>3381</v>
      </c>
      <c r="F5806" s="504" t="s">
        <v>14115</v>
      </c>
      <c r="G5806" s="504" t="s">
        <v>14116</v>
      </c>
      <c r="H5806" s="504" t="s">
        <v>14920</v>
      </c>
      <c r="I5806" s="504">
        <v>8</v>
      </c>
      <c r="J5806" s="504">
        <v>0</v>
      </c>
      <c r="K5806" s="504">
        <v>0</v>
      </c>
      <c r="L5806" s="504">
        <v>0</v>
      </c>
      <c r="M5806" s="504">
        <v>8</v>
      </c>
      <c r="N5806" s="504">
        <v>0</v>
      </c>
      <c r="O5806" s="505">
        <v>0</v>
      </c>
    </row>
    <row r="5807" spans="1:15" x14ac:dyDescent="0.35">
      <c r="A5807" s="500" t="s">
        <v>1122</v>
      </c>
      <c r="B5807" s="501" t="s">
        <v>2994</v>
      </c>
      <c r="C5807" s="501" t="s">
        <v>1094</v>
      </c>
      <c r="D5807" s="501" t="s">
        <v>3380</v>
      </c>
      <c r="E5807" s="501" t="s">
        <v>3381</v>
      </c>
      <c r="F5807" s="501" t="s">
        <v>14115</v>
      </c>
      <c r="G5807" s="501" t="s">
        <v>14116</v>
      </c>
      <c r="H5807" s="501" t="s">
        <v>14921</v>
      </c>
      <c r="I5807" s="501">
        <v>499</v>
      </c>
      <c r="J5807" s="501">
        <v>453</v>
      </c>
      <c r="K5807" s="501">
        <v>0</v>
      </c>
      <c r="L5807" s="501">
        <v>0</v>
      </c>
      <c r="M5807" s="501">
        <v>40</v>
      </c>
      <c r="N5807" s="501">
        <v>0</v>
      </c>
      <c r="O5807" s="506">
        <v>6</v>
      </c>
    </row>
    <row r="5808" spans="1:15" x14ac:dyDescent="0.35">
      <c r="A5808" s="503" t="s">
        <v>1225</v>
      </c>
      <c r="B5808" s="504" t="s">
        <v>3315</v>
      </c>
      <c r="C5808" s="504" t="s">
        <v>1094</v>
      </c>
      <c r="D5808" s="504" t="s">
        <v>3380</v>
      </c>
      <c r="E5808" s="504" t="s">
        <v>3381</v>
      </c>
      <c r="F5808" s="504" t="s">
        <v>14115</v>
      </c>
      <c r="G5808" s="504" t="s">
        <v>14116</v>
      </c>
      <c r="H5808" s="504" t="s">
        <v>14922</v>
      </c>
      <c r="I5808" s="504">
        <v>49</v>
      </c>
      <c r="J5808" s="504">
        <v>0</v>
      </c>
      <c r="K5808" s="504">
        <v>0</v>
      </c>
      <c r="L5808" s="504">
        <v>49</v>
      </c>
      <c r="M5808" s="504">
        <v>0</v>
      </c>
      <c r="N5808" s="504">
        <v>0</v>
      </c>
      <c r="O5808" s="505">
        <v>0</v>
      </c>
    </row>
    <row r="5809" spans="1:15" x14ac:dyDescent="0.35">
      <c r="A5809" s="500" t="s">
        <v>1226</v>
      </c>
      <c r="B5809" s="501">
        <v>5084</v>
      </c>
      <c r="C5809" s="501" t="s">
        <v>1094</v>
      </c>
      <c r="D5809" s="501" t="s">
        <v>3380</v>
      </c>
      <c r="E5809" s="501" t="s">
        <v>3381</v>
      </c>
      <c r="F5809" s="501" t="s">
        <v>14115</v>
      </c>
      <c r="G5809" s="501" t="s">
        <v>14116</v>
      </c>
      <c r="H5809" s="501" t="s">
        <v>14923</v>
      </c>
      <c r="I5809" s="501">
        <v>194</v>
      </c>
      <c r="J5809" s="501">
        <v>144</v>
      </c>
      <c r="K5809" s="501">
        <v>0</v>
      </c>
      <c r="L5809" s="501">
        <v>0</v>
      </c>
      <c r="M5809" s="501">
        <v>0</v>
      </c>
      <c r="N5809" s="501">
        <v>0</v>
      </c>
      <c r="O5809" s="506">
        <v>50</v>
      </c>
    </row>
    <row r="5810" spans="1:15" x14ac:dyDescent="0.35">
      <c r="A5810" s="503" t="s">
        <v>1233</v>
      </c>
      <c r="B5810" s="504">
        <v>4636</v>
      </c>
      <c r="C5810" s="504" t="s">
        <v>1094</v>
      </c>
      <c r="D5810" s="504" t="s">
        <v>3380</v>
      </c>
      <c r="E5810" s="504" t="s">
        <v>3381</v>
      </c>
      <c r="F5810" s="504" t="s">
        <v>14115</v>
      </c>
      <c r="G5810" s="504" t="s">
        <v>14116</v>
      </c>
      <c r="H5810" s="504" t="s">
        <v>14924</v>
      </c>
      <c r="I5810" s="504">
        <v>4</v>
      </c>
      <c r="J5810" s="504">
        <v>0</v>
      </c>
      <c r="K5810" s="504">
        <v>0</v>
      </c>
      <c r="L5810" s="504">
        <v>0</v>
      </c>
      <c r="M5810" s="504">
        <v>0</v>
      </c>
      <c r="N5810" s="504">
        <v>0</v>
      </c>
      <c r="O5810" s="505">
        <v>4</v>
      </c>
    </row>
    <row r="5811" spans="1:15" x14ac:dyDescent="0.35">
      <c r="A5811" s="500" t="s">
        <v>1126</v>
      </c>
      <c r="B5811" s="501" t="s">
        <v>2974</v>
      </c>
      <c r="C5811" s="501" t="s">
        <v>1094</v>
      </c>
      <c r="D5811" s="501" t="s">
        <v>3380</v>
      </c>
      <c r="E5811" s="501" t="s">
        <v>3381</v>
      </c>
      <c r="F5811" s="501" t="s">
        <v>14115</v>
      </c>
      <c r="G5811" s="501" t="s">
        <v>14116</v>
      </c>
      <c r="H5811" s="501" t="s">
        <v>14925</v>
      </c>
      <c r="I5811" s="501">
        <v>48</v>
      </c>
      <c r="J5811" s="501">
        <v>5</v>
      </c>
      <c r="K5811" s="501">
        <v>0</v>
      </c>
      <c r="L5811" s="501">
        <v>6</v>
      </c>
      <c r="M5811" s="501">
        <v>37</v>
      </c>
      <c r="N5811" s="501">
        <v>0</v>
      </c>
      <c r="O5811" s="506">
        <v>0</v>
      </c>
    </row>
    <row r="5812" spans="1:15" x14ac:dyDescent="0.35">
      <c r="A5812" s="503" t="s">
        <v>1240</v>
      </c>
      <c r="B5812" s="504" t="s">
        <v>2972</v>
      </c>
      <c r="C5812" s="504" t="s">
        <v>1094</v>
      </c>
      <c r="D5812" s="504" t="s">
        <v>3380</v>
      </c>
      <c r="E5812" s="504" t="s">
        <v>3381</v>
      </c>
      <c r="F5812" s="504" t="s">
        <v>14115</v>
      </c>
      <c r="G5812" s="504" t="s">
        <v>14116</v>
      </c>
      <c r="H5812" s="504" t="s">
        <v>14926</v>
      </c>
      <c r="I5812" s="504">
        <v>11</v>
      </c>
      <c r="J5812" s="504">
        <v>11</v>
      </c>
      <c r="K5812" s="504">
        <v>0</v>
      </c>
      <c r="L5812" s="504">
        <v>0</v>
      </c>
      <c r="M5812" s="504">
        <v>0</v>
      </c>
      <c r="N5812" s="504">
        <v>0</v>
      </c>
      <c r="O5812" s="505">
        <v>0</v>
      </c>
    </row>
    <row r="5813" spans="1:15" x14ac:dyDescent="0.35">
      <c r="A5813" s="500" t="s">
        <v>1241</v>
      </c>
      <c r="B5813" s="501">
        <v>4717</v>
      </c>
      <c r="C5813" s="501" t="s">
        <v>1094</v>
      </c>
      <c r="D5813" s="501" t="s">
        <v>3380</v>
      </c>
      <c r="E5813" s="501" t="s">
        <v>3381</v>
      </c>
      <c r="F5813" s="501" t="s">
        <v>14115</v>
      </c>
      <c r="G5813" s="501" t="s">
        <v>14116</v>
      </c>
      <c r="H5813" s="501" t="s">
        <v>14927</v>
      </c>
      <c r="I5813" s="501">
        <v>34</v>
      </c>
      <c r="J5813" s="501">
        <v>34</v>
      </c>
      <c r="K5813" s="501">
        <v>0</v>
      </c>
      <c r="L5813" s="501">
        <v>0</v>
      </c>
      <c r="M5813" s="501">
        <v>0</v>
      </c>
      <c r="N5813" s="501">
        <v>0</v>
      </c>
      <c r="O5813" s="506">
        <v>0</v>
      </c>
    </row>
    <row r="5814" spans="1:15" x14ac:dyDescent="0.35">
      <c r="A5814" s="503" t="s">
        <v>1134</v>
      </c>
      <c r="B5814" s="504" t="s">
        <v>3066</v>
      </c>
      <c r="C5814" s="504" t="s">
        <v>1094</v>
      </c>
      <c r="D5814" s="504" t="s">
        <v>3380</v>
      </c>
      <c r="E5814" s="504" t="s">
        <v>3381</v>
      </c>
      <c r="F5814" s="504" t="s">
        <v>14115</v>
      </c>
      <c r="G5814" s="504" t="s">
        <v>14116</v>
      </c>
      <c r="H5814" s="504" t="s">
        <v>14928</v>
      </c>
      <c r="I5814" s="504">
        <v>23</v>
      </c>
      <c r="J5814" s="504">
        <v>23</v>
      </c>
      <c r="K5814" s="504">
        <v>0</v>
      </c>
      <c r="L5814" s="504">
        <v>0</v>
      </c>
      <c r="M5814" s="504">
        <v>0</v>
      </c>
      <c r="N5814" s="504">
        <v>0</v>
      </c>
      <c r="O5814" s="505">
        <v>0</v>
      </c>
    </row>
    <row r="5815" spans="1:15" x14ac:dyDescent="0.35">
      <c r="A5815" s="500" t="s">
        <v>1245</v>
      </c>
      <c r="B5815" s="501" t="s">
        <v>2859</v>
      </c>
      <c r="C5815" s="501" t="s">
        <v>1094</v>
      </c>
      <c r="D5815" s="501" t="s">
        <v>3380</v>
      </c>
      <c r="E5815" s="501" t="s">
        <v>3381</v>
      </c>
      <c r="F5815" s="501" t="s">
        <v>14115</v>
      </c>
      <c r="G5815" s="501" t="s">
        <v>14116</v>
      </c>
      <c r="H5815" s="501" t="s">
        <v>14929</v>
      </c>
      <c r="I5815" s="501">
        <v>23</v>
      </c>
      <c r="J5815" s="501">
        <v>0</v>
      </c>
      <c r="K5815" s="501">
        <v>0</v>
      </c>
      <c r="L5815" s="501">
        <v>0</v>
      </c>
      <c r="M5815" s="501">
        <v>23</v>
      </c>
      <c r="N5815" s="501">
        <v>0</v>
      </c>
      <c r="O5815" s="506">
        <v>0</v>
      </c>
    </row>
    <row r="5816" spans="1:15" x14ac:dyDescent="0.35">
      <c r="A5816" s="503" t="s">
        <v>1248</v>
      </c>
      <c r="B5816" s="504">
        <v>4706</v>
      </c>
      <c r="C5816" s="504" t="s">
        <v>1089</v>
      </c>
      <c r="D5816" s="504" t="s">
        <v>3392</v>
      </c>
      <c r="E5816" s="504" t="s">
        <v>3381</v>
      </c>
      <c r="F5816" s="504" t="s">
        <v>14115</v>
      </c>
      <c r="G5816" s="504" t="s">
        <v>14116</v>
      </c>
      <c r="H5816" s="504" t="s">
        <v>14930</v>
      </c>
      <c r="I5816" s="504">
        <v>16</v>
      </c>
      <c r="J5816" s="504">
        <v>0</v>
      </c>
      <c r="K5816" s="504">
        <v>0</v>
      </c>
      <c r="L5816" s="504">
        <v>0</v>
      </c>
      <c r="M5816" s="504">
        <v>16</v>
      </c>
      <c r="N5816" s="504">
        <v>0</v>
      </c>
      <c r="O5816" s="505">
        <v>0</v>
      </c>
    </row>
    <row r="5817" spans="1:15" x14ac:dyDescent="0.35">
      <c r="A5817" s="500" t="s">
        <v>1249</v>
      </c>
      <c r="B5817" s="501">
        <v>4729</v>
      </c>
      <c r="C5817" s="501" t="s">
        <v>1094</v>
      </c>
      <c r="D5817" s="501" t="s">
        <v>3380</v>
      </c>
      <c r="E5817" s="501" t="s">
        <v>3381</v>
      </c>
      <c r="F5817" s="501" t="s">
        <v>14115</v>
      </c>
      <c r="G5817" s="501" t="s">
        <v>14116</v>
      </c>
      <c r="H5817" s="501" t="s">
        <v>14931</v>
      </c>
      <c r="I5817" s="501">
        <v>116</v>
      </c>
      <c r="J5817" s="501">
        <v>99</v>
      </c>
      <c r="K5817" s="501">
        <v>0</v>
      </c>
      <c r="L5817" s="501">
        <v>0</v>
      </c>
      <c r="M5817" s="501">
        <v>0</v>
      </c>
      <c r="N5817" s="501">
        <v>0</v>
      </c>
      <c r="O5817" s="506">
        <v>17</v>
      </c>
    </row>
    <row r="5818" spans="1:15" x14ac:dyDescent="0.35">
      <c r="A5818" s="503" t="s">
        <v>1251</v>
      </c>
      <c r="B5818" s="504" t="s">
        <v>2487</v>
      </c>
      <c r="C5818" s="504" t="s">
        <v>1089</v>
      </c>
      <c r="D5818" s="504" t="s">
        <v>3392</v>
      </c>
      <c r="E5818" s="504" t="s">
        <v>3381</v>
      </c>
      <c r="F5818" s="504" t="s">
        <v>14115</v>
      </c>
      <c r="G5818" s="504" t="s">
        <v>14116</v>
      </c>
      <c r="H5818" s="504" t="s">
        <v>14932</v>
      </c>
      <c r="I5818" s="504">
        <v>20</v>
      </c>
      <c r="J5818" s="504">
        <v>20</v>
      </c>
      <c r="K5818" s="504">
        <v>0</v>
      </c>
      <c r="L5818" s="504">
        <v>0</v>
      </c>
      <c r="M5818" s="504">
        <v>0</v>
      </c>
      <c r="N5818" s="504">
        <v>0</v>
      </c>
      <c r="O5818" s="505">
        <v>0</v>
      </c>
    </row>
    <row r="5819" spans="1:15" x14ac:dyDescent="0.35">
      <c r="A5819" s="500" t="s">
        <v>1252</v>
      </c>
      <c r="B5819" s="501" t="s">
        <v>2875</v>
      </c>
      <c r="C5819" s="501" t="s">
        <v>1089</v>
      </c>
      <c r="D5819" s="501" t="s">
        <v>3392</v>
      </c>
      <c r="E5819" s="501" t="s">
        <v>3381</v>
      </c>
      <c r="F5819" s="501" t="s">
        <v>14115</v>
      </c>
      <c r="G5819" s="501" t="s">
        <v>14116</v>
      </c>
      <c r="H5819" s="501" t="s">
        <v>14933</v>
      </c>
      <c r="I5819" s="501">
        <v>5</v>
      </c>
      <c r="J5819" s="501">
        <v>0</v>
      </c>
      <c r="K5819" s="501">
        <v>0</v>
      </c>
      <c r="L5819" s="501">
        <v>5</v>
      </c>
      <c r="M5819" s="501">
        <v>0</v>
      </c>
      <c r="N5819" s="501">
        <v>0</v>
      </c>
      <c r="O5819" s="506">
        <v>0</v>
      </c>
    </row>
    <row r="5820" spans="1:15" x14ac:dyDescent="0.35">
      <c r="A5820" s="503" t="s">
        <v>1253</v>
      </c>
      <c r="B5820" s="504" t="s">
        <v>3232</v>
      </c>
      <c r="C5820" s="504" t="s">
        <v>1094</v>
      </c>
      <c r="D5820" s="504" t="s">
        <v>3380</v>
      </c>
      <c r="E5820" s="504" t="s">
        <v>3381</v>
      </c>
      <c r="F5820" s="504" t="s">
        <v>14115</v>
      </c>
      <c r="G5820" s="504" t="s">
        <v>14116</v>
      </c>
      <c r="H5820" s="504" t="s">
        <v>14934</v>
      </c>
      <c r="I5820" s="504">
        <v>285</v>
      </c>
      <c r="J5820" s="504">
        <v>182</v>
      </c>
      <c r="K5820" s="504">
        <v>0</v>
      </c>
      <c r="L5820" s="504">
        <v>0</v>
      </c>
      <c r="M5820" s="504">
        <v>45</v>
      </c>
      <c r="N5820" s="504">
        <v>0</v>
      </c>
      <c r="O5820" s="505">
        <v>58</v>
      </c>
    </row>
    <row r="5821" spans="1:15" x14ac:dyDescent="0.35">
      <c r="A5821" s="500" t="s">
        <v>1262</v>
      </c>
      <c r="B5821" s="501">
        <v>4772</v>
      </c>
      <c r="C5821" s="501" t="s">
        <v>1089</v>
      </c>
      <c r="D5821" s="501" t="s">
        <v>3392</v>
      </c>
      <c r="E5821" s="501" t="s">
        <v>3381</v>
      </c>
      <c r="F5821" s="501" t="s">
        <v>14115</v>
      </c>
      <c r="G5821" s="501" t="s">
        <v>14116</v>
      </c>
      <c r="H5821" s="501" t="s">
        <v>14935</v>
      </c>
      <c r="I5821" s="501">
        <v>4</v>
      </c>
      <c r="J5821" s="501">
        <v>0</v>
      </c>
      <c r="K5821" s="501">
        <v>0</v>
      </c>
      <c r="L5821" s="501">
        <v>4</v>
      </c>
      <c r="M5821" s="501">
        <v>0</v>
      </c>
      <c r="N5821" s="501">
        <v>0</v>
      </c>
      <c r="O5821" s="506">
        <v>0</v>
      </c>
    </row>
    <row r="5822" spans="1:15" x14ac:dyDescent="0.35">
      <c r="A5822" s="503" t="s">
        <v>1156</v>
      </c>
      <c r="B5822" s="504" t="s">
        <v>3310</v>
      </c>
      <c r="C5822" s="504" t="s">
        <v>1094</v>
      </c>
      <c r="D5822" s="504" t="s">
        <v>3380</v>
      </c>
      <c r="E5822" s="504" t="s">
        <v>3381</v>
      </c>
      <c r="F5822" s="504" t="s">
        <v>14115</v>
      </c>
      <c r="G5822" s="504" t="s">
        <v>14116</v>
      </c>
      <c r="H5822" s="504" t="s">
        <v>14936</v>
      </c>
      <c r="I5822" s="504">
        <v>477</v>
      </c>
      <c r="J5822" s="504">
        <v>349</v>
      </c>
      <c r="K5822" s="504">
        <v>0</v>
      </c>
      <c r="L5822" s="504">
        <v>23</v>
      </c>
      <c r="M5822" s="504">
        <v>0</v>
      </c>
      <c r="N5822" s="504">
        <v>0</v>
      </c>
      <c r="O5822" s="505">
        <v>105</v>
      </c>
    </row>
    <row r="5823" spans="1:15" x14ac:dyDescent="0.35">
      <c r="A5823" s="500" t="s">
        <v>14127</v>
      </c>
      <c r="B5823" s="501" t="s">
        <v>14126</v>
      </c>
      <c r="C5823" s="501" t="s">
        <v>1094</v>
      </c>
      <c r="D5823" s="501" t="s">
        <v>3380</v>
      </c>
      <c r="E5823" s="501" t="s">
        <v>3381</v>
      </c>
      <c r="F5823" s="501" t="s">
        <v>774</v>
      </c>
      <c r="G5823" s="501" t="s">
        <v>775</v>
      </c>
      <c r="H5823" s="501" t="s">
        <v>14937</v>
      </c>
      <c r="I5823" s="501">
        <v>29</v>
      </c>
      <c r="J5823" s="501">
        <v>26</v>
      </c>
      <c r="K5823" s="501">
        <v>0</v>
      </c>
      <c r="L5823" s="501">
        <v>0</v>
      </c>
      <c r="M5823" s="501">
        <v>0</v>
      </c>
      <c r="N5823" s="501">
        <v>0</v>
      </c>
      <c r="O5823" s="506">
        <v>3</v>
      </c>
    </row>
    <row r="5824" spans="1:15" x14ac:dyDescent="0.35">
      <c r="A5824" s="503" t="s">
        <v>1093</v>
      </c>
      <c r="B5824" s="504" t="s">
        <v>3248</v>
      </c>
      <c r="C5824" s="504" t="s">
        <v>1094</v>
      </c>
      <c r="D5824" s="504" t="s">
        <v>3380</v>
      </c>
      <c r="E5824" s="504" t="s">
        <v>3381</v>
      </c>
      <c r="F5824" s="504" t="s">
        <v>774</v>
      </c>
      <c r="G5824" s="504" t="s">
        <v>775</v>
      </c>
      <c r="H5824" s="504" t="s">
        <v>8033</v>
      </c>
      <c r="I5824" s="504">
        <v>17</v>
      </c>
      <c r="J5824" s="504">
        <v>0</v>
      </c>
      <c r="K5824" s="504">
        <v>0</v>
      </c>
      <c r="L5824" s="504">
        <v>9</v>
      </c>
      <c r="M5824" s="504">
        <v>0</v>
      </c>
      <c r="N5824" s="504">
        <v>0</v>
      </c>
      <c r="O5824" s="505">
        <v>8</v>
      </c>
    </row>
    <row r="5825" spans="1:15" x14ac:dyDescent="0.35">
      <c r="A5825" s="500" t="s">
        <v>1096</v>
      </c>
      <c r="B5825" s="501" t="s">
        <v>3326</v>
      </c>
      <c r="C5825" s="501" t="s">
        <v>1094</v>
      </c>
      <c r="D5825" s="501" t="s">
        <v>3380</v>
      </c>
      <c r="E5825" s="501" t="s">
        <v>3381</v>
      </c>
      <c r="F5825" s="501" t="s">
        <v>774</v>
      </c>
      <c r="G5825" s="501" t="s">
        <v>775</v>
      </c>
      <c r="H5825" s="501" t="s">
        <v>8034</v>
      </c>
      <c r="I5825" s="501">
        <v>287</v>
      </c>
      <c r="J5825" s="501">
        <v>1</v>
      </c>
      <c r="K5825" s="501">
        <v>0</v>
      </c>
      <c r="L5825" s="501">
        <v>0</v>
      </c>
      <c r="M5825" s="501">
        <v>271</v>
      </c>
      <c r="N5825" s="501">
        <v>0</v>
      </c>
      <c r="O5825" s="506">
        <v>15</v>
      </c>
    </row>
    <row r="5826" spans="1:15" x14ac:dyDescent="0.35">
      <c r="A5826" s="503" t="s">
        <v>1098</v>
      </c>
      <c r="B5826" s="504">
        <v>4691</v>
      </c>
      <c r="C5826" s="504" t="s">
        <v>1094</v>
      </c>
      <c r="D5826" s="504" t="s">
        <v>3380</v>
      </c>
      <c r="E5826" s="504" t="s">
        <v>3381</v>
      </c>
      <c r="F5826" s="504" t="s">
        <v>774</v>
      </c>
      <c r="G5826" s="504" t="s">
        <v>775</v>
      </c>
      <c r="H5826" s="504" t="s">
        <v>8035</v>
      </c>
      <c r="I5826" s="504">
        <v>110</v>
      </c>
      <c r="J5826" s="504">
        <v>66</v>
      </c>
      <c r="K5826" s="504">
        <v>0</v>
      </c>
      <c r="L5826" s="504">
        <v>0</v>
      </c>
      <c r="M5826" s="504">
        <v>0</v>
      </c>
      <c r="N5826" s="504">
        <v>0</v>
      </c>
      <c r="O5826" s="505">
        <v>44</v>
      </c>
    </row>
    <row r="5827" spans="1:15" x14ac:dyDescent="0.35">
      <c r="A5827" s="500" t="s">
        <v>11422</v>
      </c>
      <c r="B5827" s="501" t="s">
        <v>2939</v>
      </c>
      <c r="C5827" s="501" t="s">
        <v>1089</v>
      </c>
      <c r="D5827" s="501" t="s">
        <v>3392</v>
      </c>
      <c r="E5827" s="501" t="s">
        <v>3381</v>
      </c>
      <c r="F5827" s="501" t="s">
        <v>774</v>
      </c>
      <c r="G5827" s="501" t="s">
        <v>775</v>
      </c>
      <c r="H5827" s="501" t="s">
        <v>11625</v>
      </c>
      <c r="I5827" s="501">
        <v>16</v>
      </c>
      <c r="J5827" s="501">
        <v>0</v>
      </c>
      <c r="K5827" s="501">
        <v>0</v>
      </c>
      <c r="L5827" s="501">
        <v>16</v>
      </c>
      <c r="M5827" s="501">
        <v>0</v>
      </c>
      <c r="N5827" s="501">
        <v>0</v>
      </c>
      <c r="O5827" s="506">
        <v>0</v>
      </c>
    </row>
    <row r="5828" spans="1:15" x14ac:dyDescent="0.35">
      <c r="A5828" s="503" t="s">
        <v>11423</v>
      </c>
      <c r="B5828" s="504" t="s">
        <v>3128</v>
      </c>
      <c r="C5828" s="504" t="s">
        <v>1094</v>
      </c>
      <c r="D5828" s="504" t="s">
        <v>3380</v>
      </c>
      <c r="E5828" s="504" t="s">
        <v>3381</v>
      </c>
      <c r="F5828" s="504" t="s">
        <v>774</v>
      </c>
      <c r="G5828" s="504" t="s">
        <v>775</v>
      </c>
      <c r="H5828" s="504" t="s">
        <v>11629</v>
      </c>
      <c r="I5828" s="504">
        <v>7</v>
      </c>
      <c r="J5828" s="504">
        <v>4</v>
      </c>
      <c r="K5828" s="504">
        <v>0</v>
      </c>
      <c r="L5828" s="504">
        <v>0</v>
      </c>
      <c r="M5828" s="504">
        <v>0</v>
      </c>
      <c r="N5828" s="504">
        <v>0</v>
      </c>
      <c r="O5828" s="505">
        <v>3</v>
      </c>
    </row>
    <row r="5829" spans="1:15" x14ac:dyDescent="0.35">
      <c r="A5829" s="500" t="s">
        <v>1954</v>
      </c>
      <c r="B5829" s="501" t="s">
        <v>3084</v>
      </c>
      <c r="C5829" s="501" t="s">
        <v>1089</v>
      </c>
      <c r="D5829" s="501" t="s">
        <v>3392</v>
      </c>
      <c r="E5829" s="501" t="s">
        <v>3381</v>
      </c>
      <c r="F5829" s="501" t="s">
        <v>774</v>
      </c>
      <c r="G5829" s="501" t="s">
        <v>775</v>
      </c>
      <c r="H5829" s="501" t="s">
        <v>8036</v>
      </c>
      <c r="I5829" s="501">
        <v>20</v>
      </c>
      <c r="J5829" s="501">
        <v>20</v>
      </c>
      <c r="K5829" s="501">
        <v>0</v>
      </c>
      <c r="L5829" s="501">
        <v>0</v>
      </c>
      <c r="M5829" s="501">
        <v>0</v>
      </c>
      <c r="N5829" s="501">
        <v>0</v>
      </c>
      <c r="O5829" s="506">
        <v>0</v>
      </c>
    </row>
    <row r="5830" spans="1:15" x14ac:dyDescent="0.35">
      <c r="A5830" s="503" t="s">
        <v>1955</v>
      </c>
      <c r="B5830" s="504" t="s">
        <v>3246</v>
      </c>
      <c r="C5830" s="504" t="s">
        <v>1094</v>
      </c>
      <c r="D5830" s="504" t="s">
        <v>3380</v>
      </c>
      <c r="E5830" s="504" t="s">
        <v>3381</v>
      </c>
      <c r="F5830" s="504" t="s">
        <v>774</v>
      </c>
      <c r="G5830" s="504" t="s">
        <v>775</v>
      </c>
      <c r="H5830" s="504" t="s">
        <v>8037</v>
      </c>
      <c r="I5830" s="504">
        <v>4</v>
      </c>
      <c r="J5830" s="504">
        <v>0</v>
      </c>
      <c r="K5830" s="504">
        <v>0</v>
      </c>
      <c r="L5830" s="504">
        <v>4</v>
      </c>
      <c r="M5830" s="504">
        <v>0</v>
      </c>
      <c r="N5830" s="504">
        <v>0</v>
      </c>
      <c r="O5830" s="505">
        <v>0</v>
      </c>
    </row>
    <row r="5831" spans="1:15" x14ac:dyDescent="0.35">
      <c r="A5831" s="500" t="s">
        <v>1971</v>
      </c>
      <c r="B5831" s="501" t="s">
        <v>3337</v>
      </c>
      <c r="C5831" s="501" t="s">
        <v>1094</v>
      </c>
      <c r="D5831" s="501" t="s">
        <v>3380</v>
      </c>
      <c r="E5831" s="501" t="s">
        <v>3381</v>
      </c>
      <c r="F5831" s="501" t="s">
        <v>774</v>
      </c>
      <c r="G5831" s="501" t="s">
        <v>775</v>
      </c>
      <c r="H5831" s="501" t="s">
        <v>8038</v>
      </c>
      <c r="I5831" s="501">
        <v>479</v>
      </c>
      <c r="J5831" s="501">
        <v>333</v>
      </c>
      <c r="K5831" s="501">
        <v>0</v>
      </c>
      <c r="L5831" s="501">
        <v>48</v>
      </c>
      <c r="M5831" s="501">
        <v>56</v>
      </c>
      <c r="N5831" s="501">
        <v>0</v>
      </c>
      <c r="O5831" s="506">
        <v>42</v>
      </c>
    </row>
    <row r="5832" spans="1:15" x14ac:dyDescent="0.35">
      <c r="A5832" s="503" t="s">
        <v>1975</v>
      </c>
      <c r="B5832" s="504" t="s">
        <v>3268</v>
      </c>
      <c r="C5832" s="504" t="s">
        <v>1089</v>
      </c>
      <c r="D5832" s="504" t="s">
        <v>3392</v>
      </c>
      <c r="E5832" s="504" t="s">
        <v>3381</v>
      </c>
      <c r="F5832" s="504" t="s">
        <v>774</v>
      </c>
      <c r="G5832" s="504" t="s">
        <v>775</v>
      </c>
      <c r="H5832" s="504" t="s">
        <v>8039</v>
      </c>
      <c r="I5832" s="504">
        <v>96</v>
      </c>
      <c r="J5832" s="504">
        <v>84</v>
      </c>
      <c r="K5832" s="504">
        <v>0</v>
      </c>
      <c r="L5832" s="504">
        <v>12</v>
      </c>
      <c r="M5832" s="504">
        <v>0</v>
      </c>
      <c r="N5832" s="504">
        <v>0</v>
      </c>
      <c r="O5832" s="505">
        <v>0</v>
      </c>
    </row>
    <row r="5833" spans="1:15" x14ac:dyDescent="0.35">
      <c r="A5833" s="500" t="s">
        <v>1175</v>
      </c>
      <c r="B5833" s="501" t="s">
        <v>3141</v>
      </c>
      <c r="C5833" s="501" t="s">
        <v>1094</v>
      </c>
      <c r="D5833" s="501" t="s">
        <v>3380</v>
      </c>
      <c r="E5833" s="501" t="s">
        <v>3381</v>
      </c>
      <c r="F5833" s="501" t="s">
        <v>774</v>
      </c>
      <c r="G5833" s="501" t="s">
        <v>775</v>
      </c>
      <c r="H5833" s="501" t="s">
        <v>8040</v>
      </c>
      <c r="I5833" s="501">
        <v>48</v>
      </c>
      <c r="J5833" s="501">
        <v>30</v>
      </c>
      <c r="K5833" s="501">
        <v>0</v>
      </c>
      <c r="L5833" s="501">
        <v>0</v>
      </c>
      <c r="M5833" s="501">
        <v>0</v>
      </c>
      <c r="N5833" s="501">
        <v>0</v>
      </c>
      <c r="O5833" s="506">
        <v>18</v>
      </c>
    </row>
    <row r="5834" spans="1:15" x14ac:dyDescent="0.35">
      <c r="A5834" s="503" t="s">
        <v>14208</v>
      </c>
      <c r="B5834" s="504">
        <v>4803</v>
      </c>
      <c r="C5834" s="504" t="s">
        <v>1094</v>
      </c>
      <c r="D5834" s="504" t="s">
        <v>3380</v>
      </c>
      <c r="E5834" s="504" t="s">
        <v>3381</v>
      </c>
      <c r="F5834" s="504" t="s">
        <v>774</v>
      </c>
      <c r="G5834" s="504" t="s">
        <v>775</v>
      </c>
      <c r="H5834" s="504" t="s">
        <v>14938</v>
      </c>
      <c r="I5834" s="504">
        <v>18</v>
      </c>
      <c r="J5834" s="504">
        <v>0</v>
      </c>
      <c r="K5834" s="504">
        <v>0</v>
      </c>
      <c r="L5834" s="504">
        <v>18</v>
      </c>
      <c r="M5834" s="504">
        <v>0</v>
      </c>
      <c r="N5834" s="504">
        <v>0</v>
      </c>
      <c r="O5834" s="505">
        <v>0</v>
      </c>
    </row>
    <row r="5835" spans="1:15" x14ac:dyDescent="0.35">
      <c r="A5835" s="500" t="s">
        <v>1185</v>
      </c>
      <c r="B5835" s="501" t="s">
        <v>3253</v>
      </c>
      <c r="C5835" s="501" t="s">
        <v>1094</v>
      </c>
      <c r="D5835" s="501" t="s">
        <v>3380</v>
      </c>
      <c r="E5835" s="501" t="s">
        <v>3381</v>
      </c>
      <c r="F5835" s="501" t="s">
        <v>774</v>
      </c>
      <c r="G5835" s="501" t="s">
        <v>775</v>
      </c>
      <c r="H5835" s="501" t="s">
        <v>8041</v>
      </c>
      <c r="I5835" s="501">
        <v>6</v>
      </c>
      <c r="J5835" s="501">
        <v>0</v>
      </c>
      <c r="K5835" s="501">
        <v>0</v>
      </c>
      <c r="L5835" s="501">
        <v>6</v>
      </c>
      <c r="M5835" s="501">
        <v>0</v>
      </c>
      <c r="N5835" s="501">
        <v>0</v>
      </c>
      <c r="O5835" s="506">
        <v>0</v>
      </c>
    </row>
    <row r="5836" spans="1:15" x14ac:dyDescent="0.35">
      <c r="A5836" s="503" t="s">
        <v>1105</v>
      </c>
      <c r="B5836" s="504">
        <v>4668</v>
      </c>
      <c r="C5836" s="504" t="s">
        <v>1094</v>
      </c>
      <c r="D5836" s="504" t="s">
        <v>3380</v>
      </c>
      <c r="E5836" s="504" t="s">
        <v>3381</v>
      </c>
      <c r="F5836" s="504" t="s">
        <v>774</v>
      </c>
      <c r="G5836" s="504" t="s">
        <v>775</v>
      </c>
      <c r="H5836" s="504" t="s">
        <v>8042</v>
      </c>
      <c r="I5836" s="504">
        <v>17</v>
      </c>
      <c r="J5836" s="504">
        <v>0</v>
      </c>
      <c r="K5836" s="504">
        <v>0</v>
      </c>
      <c r="L5836" s="504">
        <v>0</v>
      </c>
      <c r="M5836" s="504">
        <v>0</v>
      </c>
      <c r="N5836" s="504">
        <v>0</v>
      </c>
      <c r="O5836" s="505">
        <v>17</v>
      </c>
    </row>
    <row r="5837" spans="1:15" x14ac:dyDescent="0.35">
      <c r="A5837" s="500" t="s">
        <v>1188</v>
      </c>
      <c r="B5837" s="501">
        <v>4760</v>
      </c>
      <c r="C5837" s="501" t="s">
        <v>1089</v>
      </c>
      <c r="D5837" s="501" t="s">
        <v>3392</v>
      </c>
      <c r="E5837" s="501" t="s">
        <v>3381</v>
      </c>
      <c r="F5837" s="501" t="s">
        <v>774</v>
      </c>
      <c r="G5837" s="501" t="s">
        <v>775</v>
      </c>
      <c r="H5837" s="501" t="s">
        <v>8043</v>
      </c>
      <c r="I5837" s="501">
        <v>6</v>
      </c>
      <c r="J5837" s="501">
        <v>0</v>
      </c>
      <c r="K5837" s="501">
        <v>0</v>
      </c>
      <c r="L5837" s="501">
        <v>6</v>
      </c>
      <c r="M5837" s="501">
        <v>0</v>
      </c>
      <c r="N5837" s="501">
        <v>0</v>
      </c>
      <c r="O5837" s="506">
        <v>0</v>
      </c>
    </row>
    <row r="5838" spans="1:15" x14ac:dyDescent="0.35">
      <c r="A5838" s="503" t="s">
        <v>1107</v>
      </c>
      <c r="B5838" s="504" t="s">
        <v>3109</v>
      </c>
      <c r="C5838" s="504" t="s">
        <v>1094</v>
      </c>
      <c r="D5838" s="504" t="s">
        <v>3380</v>
      </c>
      <c r="E5838" s="504" t="s">
        <v>3381</v>
      </c>
      <c r="F5838" s="504" t="s">
        <v>774</v>
      </c>
      <c r="G5838" s="504" t="s">
        <v>775</v>
      </c>
      <c r="H5838" s="504" t="s">
        <v>8044</v>
      </c>
      <c r="I5838" s="504">
        <v>8</v>
      </c>
      <c r="J5838" s="504">
        <v>0</v>
      </c>
      <c r="K5838" s="504">
        <v>0</v>
      </c>
      <c r="L5838" s="504">
        <v>8</v>
      </c>
      <c r="M5838" s="504">
        <v>0</v>
      </c>
      <c r="N5838" s="504">
        <v>0</v>
      </c>
      <c r="O5838" s="505">
        <v>0</v>
      </c>
    </row>
    <row r="5839" spans="1:15" x14ac:dyDescent="0.35">
      <c r="A5839" s="500" t="s">
        <v>1109</v>
      </c>
      <c r="B5839" s="501" t="s">
        <v>2959</v>
      </c>
      <c r="C5839" s="501" t="s">
        <v>1094</v>
      </c>
      <c r="D5839" s="501" t="s">
        <v>3380</v>
      </c>
      <c r="E5839" s="501" t="s">
        <v>3381</v>
      </c>
      <c r="F5839" s="501" t="s">
        <v>774</v>
      </c>
      <c r="G5839" s="501" t="s">
        <v>775</v>
      </c>
      <c r="H5839" s="501" t="s">
        <v>8045</v>
      </c>
      <c r="I5839" s="501">
        <v>136</v>
      </c>
      <c r="J5839" s="501">
        <v>0</v>
      </c>
      <c r="K5839" s="501">
        <v>0</v>
      </c>
      <c r="L5839" s="501">
        <v>0</v>
      </c>
      <c r="M5839" s="501">
        <v>106</v>
      </c>
      <c r="N5839" s="501">
        <v>0</v>
      </c>
      <c r="O5839" s="506">
        <v>30</v>
      </c>
    </row>
    <row r="5840" spans="1:15" x14ac:dyDescent="0.35">
      <c r="A5840" s="503" t="s">
        <v>1190</v>
      </c>
      <c r="B5840" s="504">
        <v>4662</v>
      </c>
      <c r="C5840" s="504" t="s">
        <v>1094</v>
      </c>
      <c r="D5840" s="504" t="s">
        <v>3380</v>
      </c>
      <c r="E5840" s="504" t="s">
        <v>3381</v>
      </c>
      <c r="F5840" s="504" t="s">
        <v>774</v>
      </c>
      <c r="G5840" s="504" t="s">
        <v>775</v>
      </c>
      <c r="H5840" s="504" t="s">
        <v>11769</v>
      </c>
      <c r="I5840" s="504">
        <v>13</v>
      </c>
      <c r="J5840" s="504">
        <v>0</v>
      </c>
      <c r="K5840" s="504">
        <v>0</v>
      </c>
      <c r="L5840" s="504">
        <v>13</v>
      </c>
      <c r="M5840" s="504">
        <v>0</v>
      </c>
      <c r="N5840" s="504">
        <v>0</v>
      </c>
      <c r="O5840" s="505">
        <v>0</v>
      </c>
    </row>
    <row r="5841" spans="1:15" x14ac:dyDescent="0.35">
      <c r="A5841" s="500" t="s">
        <v>1111</v>
      </c>
      <c r="B5841" s="501">
        <v>4873</v>
      </c>
      <c r="C5841" s="501" t="s">
        <v>1094</v>
      </c>
      <c r="D5841" s="501" t="s">
        <v>3380</v>
      </c>
      <c r="E5841" s="501" t="s">
        <v>3381</v>
      </c>
      <c r="F5841" s="501" t="s">
        <v>774</v>
      </c>
      <c r="G5841" s="501" t="s">
        <v>775</v>
      </c>
      <c r="H5841" s="501" t="s">
        <v>8046</v>
      </c>
      <c r="I5841" s="501">
        <v>1551</v>
      </c>
      <c r="J5841" s="501">
        <v>1115</v>
      </c>
      <c r="K5841" s="501">
        <v>0</v>
      </c>
      <c r="L5841" s="501">
        <v>28</v>
      </c>
      <c r="M5841" s="501">
        <v>132</v>
      </c>
      <c r="N5841" s="501">
        <v>0</v>
      </c>
      <c r="O5841" s="506">
        <v>276</v>
      </c>
    </row>
    <row r="5842" spans="1:15" x14ac:dyDescent="0.35">
      <c r="A5842" s="503" t="s">
        <v>1990</v>
      </c>
      <c r="B5842" s="504" t="s">
        <v>2874</v>
      </c>
      <c r="C5842" s="504" t="s">
        <v>1089</v>
      </c>
      <c r="D5842" s="504" t="s">
        <v>3392</v>
      </c>
      <c r="E5842" s="504" t="s">
        <v>3381</v>
      </c>
      <c r="F5842" s="504" t="s">
        <v>774</v>
      </c>
      <c r="G5842" s="504" t="s">
        <v>775</v>
      </c>
      <c r="H5842" s="504" t="s">
        <v>8047</v>
      </c>
      <c r="I5842" s="504">
        <v>34</v>
      </c>
      <c r="J5842" s="504">
        <v>0</v>
      </c>
      <c r="K5842" s="504">
        <v>0</v>
      </c>
      <c r="L5842" s="504">
        <v>0</v>
      </c>
      <c r="M5842" s="504">
        <v>34</v>
      </c>
      <c r="N5842" s="504">
        <v>0</v>
      </c>
      <c r="O5842" s="505">
        <v>0</v>
      </c>
    </row>
    <row r="5843" spans="1:15" x14ac:dyDescent="0.35">
      <c r="A5843" s="500" t="s">
        <v>1202</v>
      </c>
      <c r="B5843" s="501" t="s">
        <v>3217</v>
      </c>
      <c r="C5843" s="501" t="s">
        <v>1094</v>
      </c>
      <c r="D5843" s="501" t="s">
        <v>3380</v>
      </c>
      <c r="E5843" s="501" t="s">
        <v>3381</v>
      </c>
      <c r="F5843" s="501" t="s">
        <v>774</v>
      </c>
      <c r="G5843" s="501" t="s">
        <v>775</v>
      </c>
      <c r="H5843" s="501" t="s">
        <v>11840</v>
      </c>
      <c r="I5843" s="501">
        <v>1</v>
      </c>
      <c r="J5843" s="501">
        <v>0</v>
      </c>
      <c r="K5843" s="501">
        <v>0</v>
      </c>
      <c r="L5843" s="501">
        <v>0</v>
      </c>
      <c r="M5843" s="501">
        <v>0</v>
      </c>
      <c r="N5843" s="501">
        <v>0</v>
      </c>
      <c r="O5843" s="506">
        <v>1</v>
      </c>
    </row>
    <row r="5844" spans="1:15" x14ac:dyDescent="0.35">
      <c r="A5844" s="503" t="s">
        <v>1994</v>
      </c>
      <c r="B5844" s="504" t="s">
        <v>3206</v>
      </c>
      <c r="C5844" s="504" t="s">
        <v>1094</v>
      </c>
      <c r="D5844" s="504" t="s">
        <v>3380</v>
      </c>
      <c r="E5844" s="504" t="s">
        <v>3381</v>
      </c>
      <c r="F5844" s="504" t="s">
        <v>774</v>
      </c>
      <c r="G5844" s="504" t="s">
        <v>775</v>
      </c>
      <c r="H5844" s="504" t="s">
        <v>8048</v>
      </c>
      <c r="I5844" s="504">
        <v>30</v>
      </c>
      <c r="J5844" s="504">
        <v>20</v>
      </c>
      <c r="K5844" s="504">
        <v>0</v>
      </c>
      <c r="L5844" s="504">
        <v>0</v>
      </c>
      <c r="M5844" s="504">
        <v>0</v>
      </c>
      <c r="N5844" s="504">
        <v>0</v>
      </c>
      <c r="O5844" s="505">
        <v>10</v>
      </c>
    </row>
    <row r="5845" spans="1:15" x14ac:dyDescent="0.35">
      <c r="A5845" s="500" t="s">
        <v>1497</v>
      </c>
      <c r="B5845" s="501" t="s">
        <v>3290</v>
      </c>
      <c r="C5845" s="501" t="s">
        <v>1089</v>
      </c>
      <c r="D5845" s="501" t="s">
        <v>3392</v>
      </c>
      <c r="E5845" s="501" t="s">
        <v>3381</v>
      </c>
      <c r="F5845" s="501" t="s">
        <v>774</v>
      </c>
      <c r="G5845" s="501" t="s">
        <v>775</v>
      </c>
      <c r="H5845" s="501" t="s">
        <v>8049</v>
      </c>
      <c r="I5845" s="501">
        <v>17</v>
      </c>
      <c r="J5845" s="501">
        <v>0</v>
      </c>
      <c r="K5845" s="501">
        <v>0</v>
      </c>
      <c r="L5845" s="501">
        <v>0</v>
      </c>
      <c r="M5845" s="501">
        <v>17</v>
      </c>
      <c r="N5845" s="501">
        <v>0</v>
      </c>
      <c r="O5845" s="506">
        <v>0</v>
      </c>
    </row>
    <row r="5846" spans="1:15" x14ac:dyDescent="0.35">
      <c r="A5846" s="503" t="s">
        <v>1114</v>
      </c>
      <c r="B5846" s="504" t="s">
        <v>2982</v>
      </c>
      <c r="C5846" s="504" t="s">
        <v>1094</v>
      </c>
      <c r="D5846" s="504" t="s">
        <v>3380</v>
      </c>
      <c r="E5846" s="504" t="s">
        <v>3381</v>
      </c>
      <c r="F5846" s="504" t="s">
        <v>774</v>
      </c>
      <c r="G5846" s="504" t="s">
        <v>775</v>
      </c>
      <c r="H5846" s="504" t="s">
        <v>8050</v>
      </c>
      <c r="I5846" s="504">
        <v>2</v>
      </c>
      <c r="J5846" s="504">
        <v>0</v>
      </c>
      <c r="K5846" s="504">
        <v>0</v>
      </c>
      <c r="L5846" s="504">
        <v>0</v>
      </c>
      <c r="M5846" s="504">
        <v>0</v>
      </c>
      <c r="N5846" s="504">
        <v>0</v>
      </c>
      <c r="O5846" s="505">
        <v>2</v>
      </c>
    </row>
    <row r="5847" spans="1:15" x14ac:dyDescent="0.35">
      <c r="A5847" s="500" t="s">
        <v>1998</v>
      </c>
      <c r="B5847" s="501" t="s">
        <v>3200</v>
      </c>
      <c r="C5847" s="501" t="s">
        <v>1094</v>
      </c>
      <c r="D5847" s="501" t="s">
        <v>3380</v>
      </c>
      <c r="E5847" s="501" t="s">
        <v>3381</v>
      </c>
      <c r="F5847" s="501" t="s">
        <v>774</v>
      </c>
      <c r="G5847" s="501" t="s">
        <v>775</v>
      </c>
      <c r="H5847" s="501" t="s">
        <v>8052</v>
      </c>
      <c r="I5847" s="501">
        <v>6393</v>
      </c>
      <c r="J5847" s="501">
        <v>6176</v>
      </c>
      <c r="K5847" s="501">
        <v>0</v>
      </c>
      <c r="L5847" s="501">
        <v>87</v>
      </c>
      <c r="M5847" s="501">
        <v>0</v>
      </c>
      <c r="N5847" s="501">
        <v>67</v>
      </c>
      <c r="O5847" s="506">
        <v>130</v>
      </c>
    </row>
    <row r="5848" spans="1:15" x14ac:dyDescent="0.35">
      <c r="A5848" s="503" t="s">
        <v>1503</v>
      </c>
      <c r="B5848" s="504">
        <v>4666</v>
      </c>
      <c r="C5848" s="504" t="s">
        <v>1089</v>
      </c>
      <c r="D5848" s="504" t="s">
        <v>3392</v>
      </c>
      <c r="E5848" s="504" t="s">
        <v>3381</v>
      </c>
      <c r="F5848" s="504" t="s">
        <v>774</v>
      </c>
      <c r="G5848" s="504" t="s">
        <v>775</v>
      </c>
      <c r="H5848" s="504" t="s">
        <v>8051</v>
      </c>
      <c r="I5848" s="504">
        <v>1</v>
      </c>
      <c r="J5848" s="504">
        <v>0</v>
      </c>
      <c r="K5848" s="504">
        <v>0</v>
      </c>
      <c r="L5848" s="504">
        <v>1</v>
      </c>
      <c r="M5848" s="504">
        <v>0</v>
      </c>
      <c r="N5848" s="504">
        <v>0</v>
      </c>
      <c r="O5848" s="505">
        <v>0</v>
      </c>
    </row>
    <row r="5849" spans="1:15" x14ac:dyDescent="0.35">
      <c r="A5849" s="500" t="s">
        <v>1122</v>
      </c>
      <c r="B5849" s="501" t="s">
        <v>2994</v>
      </c>
      <c r="C5849" s="501" t="s">
        <v>1094</v>
      </c>
      <c r="D5849" s="501" t="s">
        <v>3380</v>
      </c>
      <c r="E5849" s="501" t="s">
        <v>3381</v>
      </c>
      <c r="F5849" s="501" t="s">
        <v>774</v>
      </c>
      <c r="G5849" s="501" t="s">
        <v>775</v>
      </c>
      <c r="H5849" s="501" t="s">
        <v>8053</v>
      </c>
      <c r="I5849" s="501">
        <v>4</v>
      </c>
      <c r="J5849" s="501">
        <v>4</v>
      </c>
      <c r="K5849" s="501">
        <v>0</v>
      </c>
      <c r="L5849" s="501">
        <v>0</v>
      </c>
      <c r="M5849" s="501">
        <v>0</v>
      </c>
      <c r="N5849" s="501">
        <v>0</v>
      </c>
      <c r="O5849" s="506">
        <v>0</v>
      </c>
    </row>
    <row r="5850" spans="1:15" x14ac:dyDescent="0.35">
      <c r="A5850" s="503" t="s">
        <v>1225</v>
      </c>
      <c r="B5850" s="504" t="s">
        <v>3315</v>
      </c>
      <c r="C5850" s="504" t="s">
        <v>1094</v>
      </c>
      <c r="D5850" s="504" t="s">
        <v>3380</v>
      </c>
      <c r="E5850" s="504" t="s">
        <v>3381</v>
      </c>
      <c r="F5850" s="504" t="s">
        <v>774</v>
      </c>
      <c r="G5850" s="504" t="s">
        <v>775</v>
      </c>
      <c r="H5850" s="504" t="s">
        <v>8054</v>
      </c>
      <c r="I5850" s="504">
        <v>28</v>
      </c>
      <c r="J5850" s="504">
        <v>10</v>
      </c>
      <c r="K5850" s="504">
        <v>0</v>
      </c>
      <c r="L5850" s="504">
        <v>17</v>
      </c>
      <c r="M5850" s="504">
        <v>0</v>
      </c>
      <c r="N5850" s="504">
        <v>0</v>
      </c>
      <c r="O5850" s="505">
        <v>1</v>
      </c>
    </row>
    <row r="5851" spans="1:15" x14ac:dyDescent="0.35">
      <c r="A5851" s="500" t="s">
        <v>2008</v>
      </c>
      <c r="B5851" s="501" t="s">
        <v>3323</v>
      </c>
      <c r="C5851" s="501" t="s">
        <v>1094</v>
      </c>
      <c r="D5851" s="501" t="s">
        <v>3380</v>
      </c>
      <c r="E5851" s="501" t="s">
        <v>3381</v>
      </c>
      <c r="F5851" s="501" t="s">
        <v>774</v>
      </c>
      <c r="G5851" s="501" t="s">
        <v>775</v>
      </c>
      <c r="H5851" s="501" t="s">
        <v>8055</v>
      </c>
      <c r="I5851" s="501">
        <v>71</v>
      </c>
      <c r="J5851" s="501">
        <v>5</v>
      </c>
      <c r="K5851" s="501">
        <v>66</v>
      </c>
      <c r="L5851" s="501">
        <v>0</v>
      </c>
      <c r="M5851" s="501">
        <v>0</v>
      </c>
      <c r="N5851" s="501">
        <v>0</v>
      </c>
      <c r="O5851" s="506">
        <v>0</v>
      </c>
    </row>
    <row r="5852" spans="1:15" x14ac:dyDescent="0.35">
      <c r="A5852" s="503" t="s">
        <v>1234</v>
      </c>
      <c r="B5852" s="504" t="s">
        <v>3291</v>
      </c>
      <c r="C5852" s="504" t="s">
        <v>1094</v>
      </c>
      <c r="D5852" s="504" t="s">
        <v>3380</v>
      </c>
      <c r="E5852" s="504" t="s">
        <v>3381</v>
      </c>
      <c r="F5852" s="504" t="s">
        <v>774</v>
      </c>
      <c r="G5852" s="504" t="s">
        <v>775</v>
      </c>
      <c r="H5852" s="504" t="s">
        <v>8056</v>
      </c>
      <c r="I5852" s="504">
        <v>28</v>
      </c>
      <c r="J5852" s="504">
        <v>0</v>
      </c>
      <c r="K5852" s="504">
        <v>0</v>
      </c>
      <c r="L5852" s="504">
        <v>28</v>
      </c>
      <c r="M5852" s="504">
        <v>0</v>
      </c>
      <c r="N5852" s="504">
        <v>0</v>
      </c>
      <c r="O5852" s="505">
        <v>0</v>
      </c>
    </row>
    <row r="5853" spans="1:15" x14ac:dyDescent="0.35">
      <c r="A5853" s="500" t="s">
        <v>1126</v>
      </c>
      <c r="B5853" s="501" t="s">
        <v>2974</v>
      </c>
      <c r="C5853" s="501" t="s">
        <v>1094</v>
      </c>
      <c r="D5853" s="501" t="s">
        <v>3380</v>
      </c>
      <c r="E5853" s="501" t="s">
        <v>3381</v>
      </c>
      <c r="F5853" s="501" t="s">
        <v>774</v>
      </c>
      <c r="G5853" s="501" t="s">
        <v>775</v>
      </c>
      <c r="H5853" s="501" t="s">
        <v>8057</v>
      </c>
      <c r="I5853" s="501">
        <v>60</v>
      </c>
      <c r="J5853" s="501">
        <v>8</v>
      </c>
      <c r="K5853" s="501">
        <v>0</v>
      </c>
      <c r="L5853" s="501">
        <v>52</v>
      </c>
      <c r="M5853" s="501">
        <v>0</v>
      </c>
      <c r="N5853" s="501">
        <v>0</v>
      </c>
      <c r="O5853" s="506">
        <v>0</v>
      </c>
    </row>
    <row r="5854" spans="1:15" x14ac:dyDescent="0.35">
      <c r="A5854" s="503" t="s">
        <v>2013</v>
      </c>
      <c r="B5854" s="504" t="s">
        <v>2837</v>
      </c>
      <c r="C5854" s="504" t="s">
        <v>1089</v>
      </c>
      <c r="D5854" s="504" t="s">
        <v>3392</v>
      </c>
      <c r="E5854" s="504" t="s">
        <v>3381</v>
      </c>
      <c r="F5854" s="504" t="s">
        <v>774</v>
      </c>
      <c r="G5854" s="504" t="s">
        <v>775</v>
      </c>
      <c r="H5854" s="504" t="s">
        <v>8058</v>
      </c>
      <c r="I5854" s="504">
        <v>25</v>
      </c>
      <c r="J5854" s="504">
        <v>0</v>
      </c>
      <c r="K5854" s="504">
        <v>0</v>
      </c>
      <c r="L5854" s="504">
        <v>0</v>
      </c>
      <c r="M5854" s="504">
        <v>25</v>
      </c>
      <c r="N5854" s="504">
        <v>0</v>
      </c>
      <c r="O5854" s="505">
        <v>0</v>
      </c>
    </row>
    <row r="5855" spans="1:15" x14ac:dyDescent="0.35">
      <c r="A5855" s="500" t="s">
        <v>2017</v>
      </c>
      <c r="B5855" s="501" t="s">
        <v>3101</v>
      </c>
      <c r="C5855" s="501" t="s">
        <v>1089</v>
      </c>
      <c r="D5855" s="501" t="s">
        <v>3392</v>
      </c>
      <c r="E5855" s="501" t="s">
        <v>3381</v>
      </c>
      <c r="F5855" s="501" t="s">
        <v>774</v>
      </c>
      <c r="G5855" s="501" t="s">
        <v>775</v>
      </c>
      <c r="H5855" s="501" t="s">
        <v>8059</v>
      </c>
      <c r="I5855" s="501">
        <v>18</v>
      </c>
      <c r="J5855" s="501">
        <v>18</v>
      </c>
      <c r="K5855" s="501">
        <v>0</v>
      </c>
      <c r="L5855" s="501">
        <v>0</v>
      </c>
      <c r="M5855" s="501">
        <v>0</v>
      </c>
      <c r="N5855" s="501">
        <v>0</v>
      </c>
      <c r="O5855" s="506">
        <v>0</v>
      </c>
    </row>
    <row r="5856" spans="1:15" x14ac:dyDescent="0.35">
      <c r="A5856" s="503" t="s">
        <v>1132</v>
      </c>
      <c r="B5856" s="504">
        <v>4837</v>
      </c>
      <c r="C5856" s="504" t="s">
        <v>1094</v>
      </c>
      <c r="D5856" s="504" t="s">
        <v>3380</v>
      </c>
      <c r="E5856" s="504" t="s">
        <v>3381</v>
      </c>
      <c r="F5856" s="504" t="s">
        <v>774</v>
      </c>
      <c r="G5856" s="504" t="s">
        <v>775</v>
      </c>
      <c r="H5856" s="504" t="s">
        <v>8060</v>
      </c>
      <c r="I5856" s="504">
        <v>203</v>
      </c>
      <c r="J5856" s="504">
        <v>182</v>
      </c>
      <c r="K5856" s="504">
        <v>0</v>
      </c>
      <c r="L5856" s="504">
        <v>0</v>
      </c>
      <c r="M5856" s="504">
        <v>0</v>
      </c>
      <c r="N5856" s="504">
        <v>0</v>
      </c>
      <c r="O5856" s="505">
        <v>21</v>
      </c>
    </row>
    <row r="5857" spans="1:15" x14ac:dyDescent="0.35">
      <c r="A5857" s="500" t="s">
        <v>1134</v>
      </c>
      <c r="B5857" s="501" t="s">
        <v>3066</v>
      </c>
      <c r="C5857" s="501" t="s">
        <v>1094</v>
      </c>
      <c r="D5857" s="501" t="s">
        <v>3380</v>
      </c>
      <c r="E5857" s="501" t="s">
        <v>3381</v>
      </c>
      <c r="F5857" s="501" t="s">
        <v>774</v>
      </c>
      <c r="G5857" s="501" t="s">
        <v>775</v>
      </c>
      <c r="H5857" s="501" t="s">
        <v>8061</v>
      </c>
      <c r="I5857" s="501">
        <v>367</v>
      </c>
      <c r="J5857" s="501">
        <v>353</v>
      </c>
      <c r="K5857" s="501">
        <v>0</v>
      </c>
      <c r="L5857" s="501">
        <v>0</v>
      </c>
      <c r="M5857" s="501">
        <v>0</v>
      </c>
      <c r="N5857" s="501">
        <v>0</v>
      </c>
      <c r="O5857" s="506">
        <v>14</v>
      </c>
    </row>
    <row r="5858" spans="1:15" x14ac:dyDescent="0.35">
      <c r="A5858" s="503" t="s">
        <v>1245</v>
      </c>
      <c r="B5858" s="504" t="s">
        <v>2859</v>
      </c>
      <c r="C5858" s="504" t="s">
        <v>1094</v>
      </c>
      <c r="D5858" s="504" t="s">
        <v>3380</v>
      </c>
      <c r="E5858" s="504" t="s">
        <v>3381</v>
      </c>
      <c r="F5858" s="504" t="s">
        <v>774</v>
      </c>
      <c r="G5858" s="504" t="s">
        <v>775</v>
      </c>
      <c r="H5858" s="504" t="s">
        <v>8062</v>
      </c>
      <c r="I5858" s="504">
        <v>10</v>
      </c>
      <c r="J5858" s="504">
        <v>0</v>
      </c>
      <c r="K5858" s="504">
        <v>0</v>
      </c>
      <c r="L5858" s="504">
        <v>0</v>
      </c>
      <c r="M5858" s="504">
        <v>10</v>
      </c>
      <c r="N5858" s="504">
        <v>0</v>
      </c>
      <c r="O5858" s="505">
        <v>0</v>
      </c>
    </row>
    <row r="5859" spans="1:15" x14ac:dyDescent="0.35">
      <c r="A5859" s="500" t="s">
        <v>1249</v>
      </c>
      <c r="B5859" s="501">
        <v>4729</v>
      </c>
      <c r="C5859" s="501" t="s">
        <v>1094</v>
      </c>
      <c r="D5859" s="501" t="s">
        <v>3380</v>
      </c>
      <c r="E5859" s="501" t="s">
        <v>3381</v>
      </c>
      <c r="F5859" s="501" t="s">
        <v>774</v>
      </c>
      <c r="G5859" s="501" t="s">
        <v>775</v>
      </c>
      <c r="H5859" s="501" t="s">
        <v>8063</v>
      </c>
      <c r="I5859" s="501">
        <v>112</v>
      </c>
      <c r="J5859" s="501">
        <v>89</v>
      </c>
      <c r="K5859" s="501">
        <v>0</v>
      </c>
      <c r="L5859" s="501">
        <v>8</v>
      </c>
      <c r="M5859" s="501">
        <v>0</v>
      </c>
      <c r="N5859" s="501">
        <v>0</v>
      </c>
      <c r="O5859" s="506">
        <v>15</v>
      </c>
    </row>
    <row r="5860" spans="1:15" x14ac:dyDescent="0.35">
      <c r="A5860" s="503" t="s">
        <v>1252</v>
      </c>
      <c r="B5860" s="504" t="s">
        <v>2875</v>
      </c>
      <c r="C5860" s="504" t="s">
        <v>1089</v>
      </c>
      <c r="D5860" s="504" t="s">
        <v>3392</v>
      </c>
      <c r="E5860" s="504" t="s">
        <v>3381</v>
      </c>
      <c r="F5860" s="504" t="s">
        <v>774</v>
      </c>
      <c r="G5860" s="504" t="s">
        <v>775</v>
      </c>
      <c r="H5860" s="504" t="s">
        <v>8064</v>
      </c>
      <c r="I5860" s="504">
        <v>10</v>
      </c>
      <c r="J5860" s="504">
        <v>0</v>
      </c>
      <c r="K5860" s="504">
        <v>0</v>
      </c>
      <c r="L5860" s="504">
        <v>10</v>
      </c>
      <c r="M5860" s="504">
        <v>0</v>
      </c>
      <c r="N5860" s="504">
        <v>0</v>
      </c>
      <c r="O5860" s="505">
        <v>0</v>
      </c>
    </row>
    <row r="5861" spans="1:15" x14ac:dyDescent="0.35">
      <c r="A5861" s="500" t="s">
        <v>1262</v>
      </c>
      <c r="B5861" s="501">
        <v>4772</v>
      </c>
      <c r="C5861" s="501" t="s">
        <v>1089</v>
      </c>
      <c r="D5861" s="501" t="s">
        <v>3392</v>
      </c>
      <c r="E5861" s="501" t="s">
        <v>3381</v>
      </c>
      <c r="F5861" s="501" t="s">
        <v>774</v>
      </c>
      <c r="G5861" s="501" t="s">
        <v>775</v>
      </c>
      <c r="H5861" s="501" t="s">
        <v>8065</v>
      </c>
      <c r="I5861" s="501">
        <v>9</v>
      </c>
      <c r="J5861" s="501">
        <v>0</v>
      </c>
      <c r="K5861" s="501">
        <v>0</v>
      </c>
      <c r="L5861" s="501">
        <v>9</v>
      </c>
      <c r="M5861" s="501">
        <v>0</v>
      </c>
      <c r="N5861" s="501">
        <v>0</v>
      </c>
      <c r="O5861" s="506">
        <v>0</v>
      </c>
    </row>
    <row r="5862" spans="1:15" x14ac:dyDescent="0.35">
      <c r="A5862" s="503" t="s">
        <v>1193</v>
      </c>
      <c r="B5862" s="504" t="s">
        <v>3039</v>
      </c>
      <c r="C5862" s="504" t="s">
        <v>1094</v>
      </c>
      <c r="D5862" s="504" t="s">
        <v>3380</v>
      </c>
      <c r="E5862" s="504" t="s">
        <v>3381</v>
      </c>
      <c r="F5862" s="504" t="s">
        <v>776</v>
      </c>
      <c r="G5862" s="504" t="s">
        <v>777</v>
      </c>
      <c r="H5862" s="504" t="s">
        <v>8080</v>
      </c>
      <c r="I5862" s="504">
        <v>38</v>
      </c>
      <c r="J5862" s="504">
        <v>0</v>
      </c>
      <c r="K5862" s="504">
        <v>0</v>
      </c>
      <c r="L5862" s="504">
        <v>21</v>
      </c>
      <c r="M5862" s="504">
        <v>17</v>
      </c>
      <c r="N5862" s="504">
        <v>0</v>
      </c>
      <c r="O5862" s="505">
        <v>0</v>
      </c>
    </row>
    <row r="5863" spans="1:15" x14ac:dyDescent="0.35">
      <c r="A5863" s="500" t="s">
        <v>1096</v>
      </c>
      <c r="B5863" s="501" t="s">
        <v>3326</v>
      </c>
      <c r="C5863" s="501" t="s">
        <v>1094</v>
      </c>
      <c r="D5863" s="501" t="s">
        <v>3380</v>
      </c>
      <c r="E5863" s="501" t="s">
        <v>3381</v>
      </c>
      <c r="F5863" s="501" t="s">
        <v>776</v>
      </c>
      <c r="G5863" s="501" t="s">
        <v>777</v>
      </c>
      <c r="H5863" s="501" t="s">
        <v>8066</v>
      </c>
      <c r="I5863" s="501">
        <v>742</v>
      </c>
      <c r="J5863" s="501">
        <v>0</v>
      </c>
      <c r="K5863" s="501">
        <v>0</v>
      </c>
      <c r="L5863" s="501">
        <v>0</v>
      </c>
      <c r="M5863" s="501">
        <v>732</v>
      </c>
      <c r="N5863" s="501">
        <v>0</v>
      </c>
      <c r="O5863" s="506">
        <v>10</v>
      </c>
    </row>
    <row r="5864" spans="1:15" x14ac:dyDescent="0.35">
      <c r="A5864" s="503" t="s">
        <v>1151</v>
      </c>
      <c r="B5864" s="504">
        <v>4726</v>
      </c>
      <c r="C5864" s="504" t="s">
        <v>1089</v>
      </c>
      <c r="D5864" s="504" t="s">
        <v>3392</v>
      </c>
      <c r="E5864" s="504" t="s">
        <v>3381</v>
      </c>
      <c r="F5864" s="504" t="s">
        <v>776</v>
      </c>
      <c r="G5864" s="504" t="s">
        <v>777</v>
      </c>
      <c r="H5864" s="504" t="s">
        <v>8067</v>
      </c>
      <c r="I5864" s="504">
        <v>2</v>
      </c>
      <c r="J5864" s="504">
        <v>2</v>
      </c>
      <c r="K5864" s="504">
        <v>0</v>
      </c>
      <c r="L5864" s="504">
        <v>0</v>
      </c>
      <c r="M5864" s="504">
        <v>0</v>
      </c>
      <c r="N5864" s="504">
        <v>0</v>
      </c>
      <c r="O5864" s="505">
        <v>0</v>
      </c>
    </row>
    <row r="5865" spans="1:15" x14ac:dyDescent="0.35">
      <c r="A5865" s="500" t="s">
        <v>1617</v>
      </c>
      <c r="B5865" s="501">
        <v>4868</v>
      </c>
      <c r="C5865" s="501" t="s">
        <v>1094</v>
      </c>
      <c r="D5865" s="501" t="s">
        <v>3380</v>
      </c>
      <c r="E5865" s="501" t="s">
        <v>3381</v>
      </c>
      <c r="F5865" s="501" t="s">
        <v>776</v>
      </c>
      <c r="G5865" s="501" t="s">
        <v>777</v>
      </c>
      <c r="H5865" s="501" t="s">
        <v>8068</v>
      </c>
      <c r="I5865" s="501">
        <v>830</v>
      </c>
      <c r="J5865" s="501">
        <v>564</v>
      </c>
      <c r="K5865" s="501">
        <v>0</v>
      </c>
      <c r="L5865" s="501">
        <v>3</v>
      </c>
      <c r="M5865" s="501">
        <v>227</v>
      </c>
      <c r="N5865" s="501">
        <v>0</v>
      </c>
      <c r="O5865" s="506">
        <v>36</v>
      </c>
    </row>
    <row r="5866" spans="1:15" x14ac:dyDescent="0.35">
      <c r="A5866" s="503" t="s">
        <v>11363</v>
      </c>
      <c r="B5866" s="504">
        <v>4718</v>
      </c>
      <c r="C5866" s="504" t="s">
        <v>1094</v>
      </c>
      <c r="D5866" s="504" t="s">
        <v>3380</v>
      </c>
      <c r="E5866" s="504" t="s">
        <v>3381</v>
      </c>
      <c r="F5866" s="504" t="s">
        <v>776</v>
      </c>
      <c r="G5866" s="504" t="s">
        <v>777</v>
      </c>
      <c r="H5866" s="504" t="s">
        <v>11570</v>
      </c>
      <c r="I5866" s="504">
        <v>12</v>
      </c>
      <c r="J5866" s="504">
        <v>0</v>
      </c>
      <c r="K5866" s="504">
        <v>0</v>
      </c>
      <c r="L5866" s="504">
        <v>12</v>
      </c>
      <c r="M5866" s="504">
        <v>0</v>
      </c>
      <c r="N5866" s="504">
        <v>0</v>
      </c>
      <c r="O5866" s="505">
        <v>0</v>
      </c>
    </row>
    <row r="5867" spans="1:15" x14ac:dyDescent="0.35">
      <c r="A5867" s="500" t="s">
        <v>1623</v>
      </c>
      <c r="B5867" s="501">
        <v>4858</v>
      </c>
      <c r="C5867" s="501" t="s">
        <v>1094</v>
      </c>
      <c r="D5867" s="501" t="s">
        <v>3380</v>
      </c>
      <c r="E5867" s="501" t="s">
        <v>3381</v>
      </c>
      <c r="F5867" s="501" t="s">
        <v>776</v>
      </c>
      <c r="G5867" s="501" t="s">
        <v>777</v>
      </c>
      <c r="H5867" s="501" t="s">
        <v>8069</v>
      </c>
      <c r="I5867" s="501">
        <v>40</v>
      </c>
      <c r="J5867" s="501">
        <v>6</v>
      </c>
      <c r="K5867" s="501">
        <v>0</v>
      </c>
      <c r="L5867" s="501">
        <v>0</v>
      </c>
      <c r="M5867" s="501">
        <v>0</v>
      </c>
      <c r="N5867" s="501">
        <v>0</v>
      </c>
      <c r="O5867" s="506">
        <v>34</v>
      </c>
    </row>
    <row r="5868" spans="1:15" x14ac:dyDescent="0.35">
      <c r="A5868" s="503" t="s">
        <v>1167</v>
      </c>
      <c r="B5868" s="504">
        <v>4689</v>
      </c>
      <c r="C5868" s="504" t="s">
        <v>1089</v>
      </c>
      <c r="D5868" s="504" t="s">
        <v>3392</v>
      </c>
      <c r="E5868" s="504" t="s">
        <v>3381</v>
      </c>
      <c r="F5868" s="504" t="s">
        <v>776</v>
      </c>
      <c r="G5868" s="504" t="s">
        <v>777</v>
      </c>
      <c r="H5868" s="504" t="s">
        <v>8070</v>
      </c>
      <c r="I5868" s="504">
        <v>13</v>
      </c>
      <c r="J5868" s="504">
        <v>0</v>
      </c>
      <c r="K5868" s="504">
        <v>0</v>
      </c>
      <c r="L5868" s="504">
        <v>13</v>
      </c>
      <c r="M5868" s="504">
        <v>0</v>
      </c>
      <c r="N5868" s="504">
        <v>0</v>
      </c>
      <c r="O5868" s="505">
        <v>0</v>
      </c>
    </row>
    <row r="5869" spans="1:15" x14ac:dyDescent="0.35">
      <c r="A5869" s="500" t="s">
        <v>1624</v>
      </c>
      <c r="B5869" s="501">
        <v>4792</v>
      </c>
      <c r="C5869" s="501" t="s">
        <v>1089</v>
      </c>
      <c r="D5869" s="501" t="s">
        <v>3392</v>
      </c>
      <c r="E5869" s="501" t="s">
        <v>3381</v>
      </c>
      <c r="F5869" s="501" t="s">
        <v>776</v>
      </c>
      <c r="G5869" s="501" t="s">
        <v>777</v>
      </c>
      <c r="H5869" s="501" t="s">
        <v>8071</v>
      </c>
      <c r="I5869" s="501">
        <v>14</v>
      </c>
      <c r="J5869" s="501">
        <v>0</v>
      </c>
      <c r="K5869" s="501">
        <v>0</v>
      </c>
      <c r="L5869" s="501">
        <v>14</v>
      </c>
      <c r="M5869" s="501">
        <v>0</v>
      </c>
      <c r="N5869" s="501">
        <v>0</v>
      </c>
      <c r="O5869" s="506">
        <v>0</v>
      </c>
    </row>
    <row r="5870" spans="1:15" x14ac:dyDescent="0.35">
      <c r="A5870" s="503" t="s">
        <v>1172</v>
      </c>
      <c r="B5870" s="504">
        <v>4648</v>
      </c>
      <c r="C5870" s="504" t="s">
        <v>1089</v>
      </c>
      <c r="D5870" s="504" t="s">
        <v>3392</v>
      </c>
      <c r="E5870" s="504" t="s">
        <v>3381</v>
      </c>
      <c r="F5870" s="504" t="s">
        <v>776</v>
      </c>
      <c r="G5870" s="504" t="s">
        <v>777</v>
      </c>
      <c r="H5870" s="504" t="s">
        <v>8072</v>
      </c>
      <c r="I5870" s="504">
        <v>3</v>
      </c>
      <c r="J5870" s="504">
        <v>0</v>
      </c>
      <c r="K5870" s="504">
        <v>0</v>
      </c>
      <c r="L5870" s="504">
        <v>3</v>
      </c>
      <c r="M5870" s="504">
        <v>0</v>
      </c>
      <c r="N5870" s="504">
        <v>0</v>
      </c>
      <c r="O5870" s="505">
        <v>0</v>
      </c>
    </row>
    <row r="5871" spans="1:15" x14ac:dyDescent="0.35">
      <c r="A5871" s="500" t="s">
        <v>1629</v>
      </c>
      <c r="B5871" s="501" t="s">
        <v>3176</v>
      </c>
      <c r="C5871" s="501" t="s">
        <v>1094</v>
      </c>
      <c r="D5871" s="501" t="s">
        <v>3380</v>
      </c>
      <c r="E5871" s="501" t="s">
        <v>3381</v>
      </c>
      <c r="F5871" s="501" t="s">
        <v>776</v>
      </c>
      <c r="G5871" s="501" t="s">
        <v>777</v>
      </c>
      <c r="H5871" s="501" t="s">
        <v>8073</v>
      </c>
      <c r="I5871" s="501">
        <v>1</v>
      </c>
      <c r="J5871" s="501">
        <v>0</v>
      </c>
      <c r="K5871" s="501">
        <v>0</v>
      </c>
      <c r="L5871" s="501">
        <v>0</v>
      </c>
      <c r="M5871" s="501">
        <v>0</v>
      </c>
      <c r="N5871" s="501">
        <v>0</v>
      </c>
      <c r="O5871" s="506">
        <v>1</v>
      </c>
    </row>
    <row r="5872" spans="1:15" x14ac:dyDescent="0.35">
      <c r="A5872" s="503" t="s">
        <v>1185</v>
      </c>
      <c r="B5872" s="504" t="s">
        <v>3253</v>
      </c>
      <c r="C5872" s="504" t="s">
        <v>1094</v>
      </c>
      <c r="D5872" s="504" t="s">
        <v>3380</v>
      </c>
      <c r="E5872" s="504" t="s">
        <v>3381</v>
      </c>
      <c r="F5872" s="504" t="s">
        <v>776</v>
      </c>
      <c r="G5872" s="504" t="s">
        <v>777</v>
      </c>
      <c r="H5872" s="504" t="s">
        <v>8074</v>
      </c>
      <c r="I5872" s="504">
        <v>65</v>
      </c>
      <c r="J5872" s="504">
        <v>42</v>
      </c>
      <c r="K5872" s="504">
        <v>0</v>
      </c>
      <c r="L5872" s="504">
        <v>15</v>
      </c>
      <c r="M5872" s="504">
        <v>8</v>
      </c>
      <c r="N5872" s="504">
        <v>0</v>
      </c>
      <c r="O5872" s="505">
        <v>0</v>
      </c>
    </row>
    <row r="5873" spans="1:15" x14ac:dyDescent="0.35">
      <c r="A5873" s="500" t="s">
        <v>1186</v>
      </c>
      <c r="B5873" s="501">
        <v>4661</v>
      </c>
      <c r="C5873" s="501" t="s">
        <v>1089</v>
      </c>
      <c r="D5873" s="501" t="s">
        <v>3392</v>
      </c>
      <c r="E5873" s="501" t="s">
        <v>3381</v>
      </c>
      <c r="F5873" s="501" t="s">
        <v>776</v>
      </c>
      <c r="G5873" s="501" t="s">
        <v>777</v>
      </c>
      <c r="H5873" s="501" t="s">
        <v>14939</v>
      </c>
      <c r="I5873" s="501">
        <v>1</v>
      </c>
      <c r="J5873" s="501">
        <v>0</v>
      </c>
      <c r="K5873" s="501">
        <v>0</v>
      </c>
      <c r="L5873" s="501">
        <v>1</v>
      </c>
      <c r="M5873" s="501">
        <v>0</v>
      </c>
      <c r="N5873" s="501">
        <v>0</v>
      </c>
      <c r="O5873" s="506">
        <v>0</v>
      </c>
    </row>
    <row r="5874" spans="1:15" x14ac:dyDescent="0.35">
      <c r="A5874" s="503" t="s">
        <v>1630</v>
      </c>
      <c r="B5874" s="504">
        <v>4744</v>
      </c>
      <c r="C5874" s="504" t="s">
        <v>1089</v>
      </c>
      <c r="D5874" s="504" t="s">
        <v>3392</v>
      </c>
      <c r="E5874" s="504" t="s">
        <v>3381</v>
      </c>
      <c r="F5874" s="504" t="s">
        <v>776</v>
      </c>
      <c r="G5874" s="504" t="s">
        <v>777</v>
      </c>
      <c r="H5874" s="504" t="s">
        <v>8075</v>
      </c>
      <c r="I5874" s="504">
        <v>4</v>
      </c>
      <c r="J5874" s="504">
        <v>4</v>
      </c>
      <c r="K5874" s="504">
        <v>0</v>
      </c>
      <c r="L5874" s="504">
        <v>0</v>
      </c>
      <c r="M5874" s="504">
        <v>0</v>
      </c>
      <c r="N5874" s="504">
        <v>0</v>
      </c>
      <c r="O5874" s="505">
        <v>0</v>
      </c>
    </row>
    <row r="5875" spans="1:15" x14ac:dyDescent="0.35">
      <c r="A5875" s="500" t="s">
        <v>1105</v>
      </c>
      <c r="B5875" s="501">
        <v>4668</v>
      </c>
      <c r="C5875" s="501" t="s">
        <v>1094</v>
      </c>
      <c r="D5875" s="501" t="s">
        <v>3380</v>
      </c>
      <c r="E5875" s="501" t="s">
        <v>3381</v>
      </c>
      <c r="F5875" s="501" t="s">
        <v>776</v>
      </c>
      <c r="G5875" s="501" t="s">
        <v>777</v>
      </c>
      <c r="H5875" s="501" t="s">
        <v>8076</v>
      </c>
      <c r="I5875" s="501">
        <v>5</v>
      </c>
      <c r="J5875" s="501">
        <v>0</v>
      </c>
      <c r="K5875" s="501">
        <v>0</v>
      </c>
      <c r="L5875" s="501">
        <v>0</v>
      </c>
      <c r="M5875" s="501">
        <v>0</v>
      </c>
      <c r="N5875" s="501">
        <v>0</v>
      </c>
      <c r="O5875" s="506">
        <v>5</v>
      </c>
    </row>
    <row r="5876" spans="1:15" x14ac:dyDescent="0.35">
      <c r="A5876" s="503" t="s">
        <v>1107</v>
      </c>
      <c r="B5876" s="504" t="s">
        <v>3109</v>
      </c>
      <c r="C5876" s="504" t="s">
        <v>1094</v>
      </c>
      <c r="D5876" s="504" t="s">
        <v>3380</v>
      </c>
      <c r="E5876" s="504" t="s">
        <v>3381</v>
      </c>
      <c r="F5876" s="504" t="s">
        <v>776</v>
      </c>
      <c r="G5876" s="504" t="s">
        <v>777</v>
      </c>
      <c r="H5876" s="504" t="s">
        <v>8077</v>
      </c>
      <c r="I5876" s="504">
        <v>1524</v>
      </c>
      <c r="J5876" s="504">
        <v>1264</v>
      </c>
      <c r="K5876" s="504">
        <v>0</v>
      </c>
      <c r="L5876" s="504">
        <v>138</v>
      </c>
      <c r="M5876" s="504">
        <v>53</v>
      </c>
      <c r="N5876" s="504">
        <v>0</v>
      </c>
      <c r="O5876" s="505">
        <v>69</v>
      </c>
    </row>
    <row r="5877" spans="1:15" x14ac:dyDescent="0.35">
      <c r="A5877" s="500" t="s">
        <v>1109</v>
      </c>
      <c r="B5877" s="501" t="s">
        <v>2959</v>
      </c>
      <c r="C5877" s="501" t="s">
        <v>1094</v>
      </c>
      <c r="D5877" s="501" t="s">
        <v>3380</v>
      </c>
      <c r="E5877" s="501" t="s">
        <v>3381</v>
      </c>
      <c r="F5877" s="501" t="s">
        <v>776</v>
      </c>
      <c r="G5877" s="501" t="s">
        <v>777</v>
      </c>
      <c r="H5877" s="501" t="s">
        <v>8078</v>
      </c>
      <c r="I5877" s="501">
        <v>206</v>
      </c>
      <c r="J5877" s="501">
        <v>0</v>
      </c>
      <c r="K5877" s="501">
        <v>0</v>
      </c>
      <c r="L5877" s="501">
        <v>0</v>
      </c>
      <c r="M5877" s="501">
        <v>185</v>
      </c>
      <c r="N5877" s="501">
        <v>0</v>
      </c>
      <c r="O5877" s="506">
        <v>21</v>
      </c>
    </row>
    <row r="5878" spans="1:15" x14ac:dyDescent="0.35">
      <c r="A5878" s="503" t="s">
        <v>1190</v>
      </c>
      <c r="B5878" s="504">
        <v>4662</v>
      </c>
      <c r="C5878" s="504" t="s">
        <v>1094</v>
      </c>
      <c r="D5878" s="504" t="s">
        <v>3380</v>
      </c>
      <c r="E5878" s="504" t="s">
        <v>3381</v>
      </c>
      <c r="F5878" s="504" t="s">
        <v>776</v>
      </c>
      <c r="G5878" s="504" t="s">
        <v>777</v>
      </c>
      <c r="H5878" s="504" t="s">
        <v>8079</v>
      </c>
      <c r="I5878" s="504">
        <v>32</v>
      </c>
      <c r="J5878" s="504">
        <v>0</v>
      </c>
      <c r="K5878" s="504">
        <v>0</v>
      </c>
      <c r="L5878" s="504">
        <v>32</v>
      </c>
      <c r="M5878" s="504">
        <v>0</v>
      </c>
      <c r="N5878" s="504">
        <v>0</v>
      </c>
      <c r="O5878" s="505">
        <v>0</v>
      </c>
    </row>
    <row r="5879" spans="1:15" x14ac:dyDescent="0.35">
      <c r="A5879" s="500" t="s">
        <v>1639</v>
      </c>
      <c r="B5879" s="501">
        <v>4846</v>
      </c>
      <c r="C5879" s="501" t="s">
        <v>1094</v>
      </c>
      <c r="D5879" s="501" t="s">
        <v>3380</v>
      </c>
      <c r="E5879" s="501" t="s">
        <v>3381</v>
      </c>
      <c r="F5879" s="501" t="s">
        <v>776</v>
      </c>
      <c r="G5879" s="501" t="s">
        <v>777</v>
      </c>
      <c r="H5879" s="501" t="s">
        <v>8081</v>
      </c>
      <c r="I5879" s="501">
        <v>1601</v>
      </c>
      <c r="J5879" s="501">
        <v>1388</v>
      </c>
      <c r="K5879" s="501">
        <v>0</v>
      </c>
      <c r="L5879" s="501">
        <v>111</v>
      </c>
      <c r="M5879" s="501">
        <v>15</v>
      </c>
      <c r="N5879" s="501">
        <v>0</v>
      </c>
      <c r="O5879" s="506">
        <v>87</v>
      </c>
    </row>
    <row r="5880" spans="1:15" x14ac:dyDescent="0.35">
      <c r="A5880" s="503" t="s">
        <v>1202</v>
      </c>
      <c r="B5880" s="504" t="s">
        <v>3217</v>
      </c>
      <c r="C5880" s="504" t="s">
        <v>1094</v>
      </c>
      <c r="D5880" s="504" t="s">
        <v>3380</v>
      </c>
      <c r="E5880" s="504" t="s">
        <v>3381</v>
      </c>
      <c r="F5880" s="504" t="s">
        <v>776</v>
      </c>
      <c r="G5880" s="504" t="s">
        <v>777</v>
      </c>
      <c r="H5880" s="504" t="s">
        <v>11841</v>
      </c>
      <c r="I5880" s="504">
        <v>1</v>
      </c>
      <c r="J5880" s="504">
        <v>0</v>
      </c>
      <c r="K5880" s="504">
        <v>0</v>
      </c>
      <c r="L5880" s="504">
        <v>0</v>
      </c>
      <c r="M5880" s="504">
        <v>0</v>
      </c>
      <c r="N5880" s="504">
        <v>0</v>
      </c>
      <c r="O5880" s="505">
        <v>1</v>
      </c>
    </row>
    <row r="5881" spans="1:15" x14ac:dyDescent="0.35">
      <c r="A5881" s="500" t="s">
        <v>1112</v>
      </c>
      <c r="B5881" s="501" t="s">
        <v>3008</v>
      </c>
      <c r="C5881" s="501" t="s">
        <v>1094</v>
      </c>
      <c r="D5881" s="501" t="s">
        <v>3380</v>
      </c>
      <c r="E5881" s="501" t="s">
        <v>3381</v>
      </c>
      <c r="F5881" s="501" t="s">
        <v>776</v>
      </c>
      <c r="G5881" s="501" t="s">
        <v>777</v>
      </c>
      <c r="H5881" s="501" t="s">
        <v>8082</v>
      </c>
      <c r="I5881" s="501">
        <v>1</v>
      </c>
      <c r="J5881" s="501">
        <v>0</v>
      </c>
      <c r="K5881" s="501">
        <v>0</v>
      </c>
      <c r="L5881" s="501">
        <v>0</v>
      </c>
      <c r="M5881" s="501">
        <v>0</v>
      </c>
      <c r="N5881" s="501">
        <v>0</v>
      </c>
      <c r="O5881" s="506">
        <v>1</v>
      </c>
    </row>
    <row r="5882" spans="1:15" x14ac:dyDescent="0.35">
      <c r="A5882" s="503" t="s">
        <v>1209</v>
      </c>
      <c r="B5882" s="504">
        <v>4779</v>
      </c>
      <c r="C5882" s="504" t="s">
        <v>1094</v>
      </c>
      <c r="D5882" s="504" t="s">
        <v>3380</v>
      </c>
      <c r="E5882" s="504" t="s">
        <v>3381</v>
      </c>
      <c r="F5882" s="504" t="s">
        <v>776</v>
      </c>
      <c r="G5882" s="504" t="s">
        <v>777</v>
      </c>
      <c r="H5882" s="504" t="s">
        <v>8083</v>
      </c>
      <c r="I5882" s="504">
        <v>17</v>
      </c>
      <c r="J5882" s="504">
        <v>0</v>
      </c>
      <c r="K5882" s="504">
        <v>0</v>
      </c>
      <c r="L5882" s="504">
        <v>17</v>
      </c>
      <c r="M5882" s="504">
        <v>0</v>
      </c>
      <c r="N5882" s="504">
        <v>0</v>
      </c>
      <c r="O5882" s="505">
        <v>0</v>
      </c>
    </row>
    <row r="5883" spans="1:15" x14ac:dyDescent="0.35">
      <c r="A5883" s="500" t="s">
        <v>1644</v>
      </c>
      <c r="B5883" s="501">
        <v>4763</v>
      </c>
      <c r="C5883" s="501" t="s">
        <v>1089</v>
      </c>
      <c r="D5883" s="501" t="s">
        <v>3392</v>
      </c>
      <c r="E5883" s="501" t="s">
        <v>3381</v>
      </c>
      <c r="F5883" s="501" t="s">
        <v>776</v>
      </c>
      <c r="G5883" s="501" t="s">
        <v>777</v>
      </c>
      <c r="H5883" s="501" t="s">
        <v>11870</v>
      </c>
      <c r="I5883" s="501">
        <v>37</v>
      </c>
      <c r="J5883" s="501">
        <v>12</v>
      </c>
      <c r="K5883" s="501">
        <v>0</v>
      </c>
      <c r="L5883" s="501">
        <v>25</v>
      </c>
      <c r="M5883" s="501">
        <v>0</v>
      </c>
      <c r="N5883" s="501">
        <v>0</v>
      </c>
      <c r="O5883" s="506">
        <v>0</v>
      </c>
    </row>
    <row r="5884" spans="1:15" x14ac:dyDescent="0.35">
      <c r="A5884" s="503" t="s">
        <v>1122</v>
      </c>
      <c r="B5884" s="504" t="s">
        <v>2994</v>
      </c>
      <c r="C5884" s="504" t="s">
        <v>1094</v>
      </c>
      <c r="D5884" s="504" t="s">
        <v>3380</v>
      </c>
      <c r="E5884" s="504" t="s">
        <v>3381</v>
      </c>
      <c r="F5884" s="504" t="s">
        <v>776</v>
      </c>
      <c r="G5884" s="504" t="s">
        <v>777</v>
      </c>
      <c r="H5884" s="504" t="s">
        <v>8084</v>
      </c>
      <c r="I5884" s="504">
        <v>666</v>
      </c>
      <c r="J5884" s="504">
        <v>604</v>
      </c>
      <c r="K5884" s="504">
        <v>0</v>
      </c>
      <c r="L5884" s="504">
        <v>4</v>
      </c>
      <c r="M5884" s="504">
        <v>55</v>
      </c>
      <c r="N5884" s="504">
        <v>0</v>
      </c>
      <c r="O5884" s="505">
        <v>3</v>
      </c>
    </row>
    <row r="5885" spans="1:15" x14ac:dyDescent="0.35">
      <c r="A5885" s="500" t="s">
        <v>1225</v>
      </c>
      <c r="B5885" s="501" t="s">
        <v>3315</v>
      </c>
      <c r="C5885" s="501" t="s">
        <v>1094</v>
      </c>
      <c r="D5885" s="501" t="s">
        <v>3380</v>
      </c>
      <c r="E5885" s="501" t="s">
        <v>3381</v>
      </c>
      <c r="F5885" s="501" t="s">
        <v>776</v>
      </c>
      <c r="G5885" s="501" t="s">
        <v>777</v>
      </c>
      <c r="H5885" s="501" t="s">
        <v>8085</v>
      </c>
      <c r="I5885" s="501">
        <v>11</v>
      </c>
      <c r="J5885" s="501">
        <v>0</v>
      </c>
      <c r="K5885" s="501">
        <v>0</v>
      </c>
      <c r="L5885" s="501">
        <v>11</v>
      </c>
      <c r="M5885" s="501">
        <v>0</v>
      </c>
      <c r="N5885" s="501">
        <v>0</v>
      </c>
      <c r="O5885" s="506">
        <v>0</v>
      </c>
    </row>
    <row r="5886" spans="1:15" x14ac:dyDescent="0.35">
      <c r="A5886" s="503" t="s">
        <v>1228</v>
      </c>
      <c r="B5886" s="504" t="s">
        <v>3321</v>
      </c>
      <c r="C5886" s="504" t="s">
        <v>1094</v>
      </c>
      <c r="D5886" s="504" t="s">
        <v>3380</v>
      </c>
      <c r="E5886" s="504" t="s">
        <v>3381</v>
      </c>
      <c r="F5886" s="504" t="s">
        <v>776</v>
      </c>
      <c r="G5886" s="504" t="s">
        <v>777</v>
      </c>
      <c r="H5886" s="504" t="s">
        <v>8086</v>
      </c>
      <c r="I5886" s="504">
        <v>11</v>
      </c>
      <c r="J5886" s="504">
        <v>0</v>
      </c>
      <c r="K5886" s="504">
        <v>0</v>
      </c>
      <c r="L5886" s="504">
        <v>11</v>
      </c>
      <c r="M5886" s="504">
        <v>0</v>
      </c>
      <c r="N5886" s="504">
        <v>0</v>
      </c>
      <c r="O5886" s="505">
        <v>0</v>
      </c>
    </row>
    <row r="5887" spans="1:15" x14ac:dyDescent="0.35">
      <c r="A5887" s="500" t="s">
        <v>1648</v>
      </c>
      <c r="B5887" s="501" t="s">
        <v>2496</v>
      </c>
      <c r="C5887" s="501" t="s">
        <v>1094</v>
      </c>
      <c r="D5887" s="501" t="s">
        <v>3380</v>
      </c>
      <c r="E5887" s="501" t="s">
        <v>3381</v>
      </c>
      <c r="F5887" s="501" t="s">
        <v>776</v>
      </c>
      <c r="G5887" s="501" t="s">
        <v>777</v>
      </c>
      <c r="H5887" s="501" t="s">
        <v>8087</v>
      </c>
      <c r="I5887" s="501">
        <v>14</v>
      </c>
      <c r="J5887" s="501">
        <v>8</v>
      </c>
      <c r="K5887" s="501">
        <v>0</v>
      </c>
      <c r="L5887" s="501">
        <v>0</v>
      </c>
      <c r="M5887" s="501">
        <v>6</v>
      </c>
      <c r="N5887" s="501">
        <v>0</v>
      </c>
      <c r="O5887" s="506">
        <v>0</v>
      </c>
    </row>
    <row r="5888" spans="1:15" x14ac:dyDescent="0.35">
      <c r="A5888" s="503" t="s">
        <v>1649</v>
      </c>
      <c r="B5888" s="504" t="s">
        <v>2802</v>
      </c>
      <c r="C5888" s="504" t="s">
        <v>1089</v>
      </c>
      <c r="D5888" s="504" t="s">
        <v>3392</v>
      </c>
      <c r="E5888" s="504" t="s">
        <v>3381</v>
      </c>
      <c r="F5888" s="504" t="s">
        <v>776</v>
      </c>
      <c r="G5888" s="504" t="s">
        <v>777</v>
      </c>
      <c r="H5888" s="504" t="s">
        <v>8088</v>
      </c>
      <c r="I5888" s="504">
        <v>39</v>
      </c>
      <c r="J5888" s="504">
        <v>39</v>
      </c>
      <c r="K5888" s="504">
        <v>0</v>
      </c>
      <c r="L5888" s="504">
        <v>0</v>
      </c>
      <c r="M5888" s="504">
        <v>0</v>
      </c>
      <c r="N5888" s="504">
        <v>0</v>
      </c>
      <c r="O5888" s="505">
        <v>0</v>
      </c>
    </row>
    <row r="5889" spans="1:15" x14ac:dyDescent="0.35">
      <c r="A5889" s="500" t="s">
        <v>1124</v>
      </c>
      <c r="B5889" s="501">
        <v>4745</v>
      </c>
      <c r="C5889" s="501" t="s">
        <v>1094</v>
      </c>
      <c r="D5889" s="501" t="s">
        <v>3380</v>
      </c>
      <c r="E5889" s="501" t="s">
        <v>3381</v>
      </c>
      <c r="F5889" s="501" t="s">
        <v>776</v>
      </c>
      <c r="G5889" s="501" t="s">
        <v>777</v>
      </c>
      <c r="H5889" s="501" t="s">
        <v>8089</v>
      </c>
      <c r="I5889" s="501">
        <v>16</v>
      </c>
      <c r="J5889" s="501">
        <v>0</v>
      </c>
      <c r="K5889" s="501">
        <v>0</v>
      </c>
      <c r="L5889" s="501">
        <v>16</v>
      </c>
      <c r="M5889" s="501">
        <v>0</v>
      </c>
      <c r="N5889" s="501">
        <v>0</v>
      </c>
      <c r="O5889" s="506">
        <v>0</v>
      </c>
    </row>
    <row r="5890" spans="1:15" x14ac:dyDescent="0.35">
      <c r="A5890" s="503" t="s">
        <v>1654</v>
      </c>
      <c r="B5890" s="504" t="s">
        <v>3037</v>
      </c>
      <c r="C5890" s="504" t="s">
        <v>1089</v>
      </c>
      <c r="D5890" s="504" t="s">
        <v>3392</v>
      </c>
      <c r="E5890" s="504" t="s">
        <v>3381</v>
      </c>
      <c r="F5890" s="504" t="s">
        <v>776</v>
      </c>
      <c r="G5890" s="504" t="s">
        <v>777</v>
      </c>
      <c r="H5890" s="504" t="s">
        <v>8090</v>
      </c>
      <c r="I5890" s="504">
        <v>115</v>
      </c>
      <c r="J5890" s="504">
        <v>90</v>
      </c>
      <c r="K5890" s="504">
        <v>0</v>
      </c>
      <c r="L5890" s="504">
        <v>25</v>
      </c>
      <c r="M5890" s="504">
        <v>0</v>
      </c>
      <c r="N5890" s="504">
        <v>0</v>
      </c>
      <c r="O5890" s="505">
        <v>0</v>
      </c>
    </row>
    <row r="5891" spans="1:15" x14ac:dyDescent="0.35">
      <c r="A5891" s="500" t="s">
        <v>1656</v>
      </c>
      <c r="B5891" s="501">
        <v>4756</v>
      </c>
      <c r="C5891" s="501" t="s">
        <v>1089</v>
      </c>
      <c r="D5891" s="501" t="s">
        <v>3392</v>
      </c>
      <c r="E5891" s="501" t="s">
        <v>3381</v>
      </c>
      <c r="F5891" s="501" t="s">
        <v>776</v>
      </c>
      <c r="G5891" s="501" t="s">
        <v>777</v>
      </c>
      <c r="H5891" s="501" t="s">
        <v>8091</v>
      </c>
      <c r="I5891" s="501">
        <v>9</v>
      </c>
      <c r="J5891" s="501">
        <v>8</v>
      </c>
      <c r="K5891" s="501">
        <v>0</v>
      </c>
      <c r="L5891" s="501">
        <v>1</v>
      </c>
      <c r="M5891" s="501">
        <v>0</v>
      </c>
      <c r="N5891" s="501">
        <v>0</v>
      </c>
      <c r="O5891" s="506">
        <v>0</v>
      </c>
    </row>
    <row r="5892" spans="1:15" x14ac:dyDescent="0.35">
      <c r="A5892" s="503" t="s">
        <v>1252</v>
      </c>
      <c r="B5892" s="504" t="s">
        <v>2875</v>
      </c>
      <c r="C5892" s="504" t="s">
        <v>1089</v>
      </c>
      <c r="D5892" s="504" t="s">
        <v>3392</v>
      </c>
      <c r="E5892" s="504" t="s">
        <v>3381</v>
      </c>
      <c r="F5892" s="504" t="s">
        <v>776</v>
      </c>
      <c r="G5892" s="504" t="s">
        <v>777</v>
      </c>
      <c r="H5892" s="504" t="s">
        <v>8092</v>
      </c>
      <c r="I5892" s="504">
        <v>8</v>
      </c>
      <c r="J5892" s="504">
        <v>0</v>
      </c>
      <c r="K5892" s="504">
        <v>0</v>
      </c>
      <c r="L5892" s="504">
        <v>8</v>
      </c>
      <c r="M5892" s="504">
        <v>0</v>
      </c>
      <c r="N5892" s="504">
        <v>0</v>
      </c>
      <c r="O5892" s="505">
        <v>0</v>
      </c>
    </row>
    <row r="5893" spans="1:15" x14ac:dyDescent="0.35">
      <c r="A5893" s="500" t="s">
        <v>1253</v>
      </c>
      <c r="B5893" s="501" t="s">
        <v>3232</v>
      </c>
      <c r="C5893" s="501" t="s">
        <v>1094</v>
      </c>
      <c r="D5893" s="501" t="s">
        <v>3380</v>
      </c>
      <c r="E5893" s="501" t="s">
        <v>3381</v>
      </c>
      <c r="F5893" s="501" t="s">
        <v>776</v>
      </c>
      <c r="G5893" s="501" t="s">
        <v>777</v>
      </c>
      <c r="H5893" s="501" t="s">
        <v>8093</v>
      </c>
      <c r="I5893" s="501">
        <v>578</v>
      </c>
      <c r="J5893" s="501">
        <v>285</v>
      </c>
      <c r="K5893" s="501">
        <v>0</v>
      </c>
      <c r="L5893" s="501">
        <v>59</v>
      </c>
      <c r="M5893" s="501">
        <v>87</v>
      </c>
      <c r="N5893" s="501">
        <v>0</v>
      </c>
      <c r="O5893" s="506">
        <v>147</v>
      </c>
    </row>
    <row r="5894" spans="1:15" x14ac:dyDescent="0.35">
      <c r="A5894" s="503" t="s">
        <v>1368</v>
      </c>
      <c r="B5894" s="504" t="s">
        <v>3220</v>
      </c>
      <c r="C5894" s="504" t="s">
        <v>1094</v>
      </c>
      <c r="D5894" s="504" t="s">
        <v>3380</v>
      </c>
      <c r="E5894" s="504" t="s">
        <v>3381</v>
      </c>
      <c r="F5894" s="504" t="s">
        <v>776</v>
      </c>
      <c r="G5894" s="504" t="s">
        <v>777</v>
      </c>
      <c r="H5894" s="504" t="s">
        <v>8094</v>
      </c>
      <c r="I5894" s="504">
        <v>7</v>
      </c>
      <c r="J5894" s="504">
        <v>0</v>
      </c>
      <c r="K5894" s="504">
        <v>0</v>
      </c>
      <c r="L5894" s="504">
        <v>0</v>
      </c>
      <c r="M5894" s="504">
        <v>0</v>
      </c>
      <c r="N5894" s="504">
        <v>0</v>
      </c>
      <c r="O5894" s="505">
        <v>7</v>
      </c>
    </row>
    <row r="5895" spans="1:15" x14ac:dyDescent="0.35">
      <c r="A5895" s="500" t="s">
        <v>1371</v>
      </c>
      <c r="B5895" s="501" t="s">
        <v>2891</v>
      </c>
      <c r="C5895" s="501" t="s">
        <v>1089</v>
      </c>
      <c r="D5895" s="501" t="s">
        <v>3392</v>
      </c>
      <c r="E5895" s="501" t="s">
        <v>3381</v>
      </c>
      <c r="F5895" s="501" t="s">
        <v>776</v>
      </c>
      <c r="G5895" s="501" t="s">
        <v>777</v>
      </c>
      <c r="H5895" s="501" t="s">
        <v>8095</v>
      </c>
      <c r="I5895" s="501">
        <v>9</v>
      </c>
      <c r="J5895" s="501">
        <v>0</v>
      </c>
      <c r="K5895" s="501">
        <v>0</v>
      </c>
      <c r="L5895" s="501">
        <v>9</v>
      </c>
      <c r="M5895" s="501">
        <v>0</v>
      </c>
      <c r="N5895" s="501">
        <v>0</v>
      </c>
      <c r="O5895" s="506">
        <v>0</v>
      </c>
    </row>
    <row r="5896" spans="1:15" x14ac:dyDescent="0.35">
      <c r="A5896" s="503" t="s">
        <v>1661</v>
      </c>
      <c r="B5896" s="504" t="s">
        <v>3345</v>
      </c>
      <c r="C5896" s="504" t="s">
        <v>1089</v>
      </c>
      <c r="D5896" s="504" t="s">
        <v>3392</v>
      </c>
      <c r="E5896" s="504" t="s">
        <v>3381</v>
      </c>
      <c r="F5896" s="504" t="s">
        <v>776</v>
      </c>
      <c r="G5896" s="504" t="s">
        <v>777</v>
      </c>
      <c r="H5896" s="504" t="s">
        <v>8096</v>
      </c>
      <c r="I5896" s="504">
        <v>44</v>
      </c>
      <c r="J5896" s="504">
        <v>8</v>
      </c>
      <c r="K5896" s="504">
        <v>0</v>
      </c>
      <c r="L5896" s="504">
        <v>36</v>
      </c>
      <c r="M5896" s="504">
        <v>0</v>
      </c>
      <c r="N5896" s="504">
        <v>0</v>
      </c>
      <c r="O5896" s="505">
        <v>0</v>
      </c>
    </row>
    <row r="5897" spans="1:15" x14ac:dyDescent="0.35">
      <c r="A5897" s="500" t="s">
        <v>1662</v>
      </c>
      <c r="B5897" s="501" t="s">
        <v>2600</v>
      </c>
      <c r="C5897" s="501" t="s">
        <v>1089</v>
      </c>
      <c r="D5897" s="501" t="s">
        <v>3392</v>
      </c>
      <c r="E5897" s="501" t="s">
        <v>3381</v>
      </c>
      <c r="F5897" s="501" t="s">
        <v>776</v>
      </c>
      <c r="G5897" s="501" t="s">
        <v>777</v>
      </c>
      <c r="H5897" s="501" t="s">
        <v>8097</v>
      </c>
      <c r="I5897" s="501">
        <v>30</v>
      </c>
      <c r="J5897" s="501">
        <v>30</v>
      </c>
      <c r="K5897" s="501">
        <v>0</v>
      </c>
      <c r="L5897" s="501">
        <v>0</v>
      </c>
      <c r="M5897" s="501">
        <v>0</v>
      </c>
      <c r="N5897" s="501">
        <v>0</v>
      </c>
      <c r="O5897" s="506">
        <v>0</v>
      </c>
    </row>
    <row r="5898" spans="1:15" x14ac:dyDescent="0.35">
      <c r="A5898" s="503" t="s">
        <v>1666</v>
      </c>
      <c r="B5898" s="504">
        <v>4793</v>
      </c>
      <c r="C5898" s="504" t="s">
        <v>1089</v>
      </c>
      <c r="D5898" s="504" t="s">
        <v>3392</v>
      </c>
      <c r="E5898" s="504" t="s">
        <v>3381</v>
      </c>
      <c r="F5898" s="504" t="s">
        <v>776</v>
      </c>
      <c r="G5898" s="504" t="s">
        <v>777</v>
      </c>
      <c r="H5898" s="504" t="s">
        <v>8098</v>
      </c>
      <c r="I5898" s="504">
        <v>24</v>
      </c>
      <c r="J5898" s="504">
        <v>0</v>
      </c>
      <c r="K5898" s="504">
        <v>0</v>
      </c>
      <c r="L5898" s="504">
        <v>24</v>
      </c>
      <c r="M5898" s="504">
        <v>0</v>
      </c>
      <c r="N5898" s="504">
        <v>0</v>
      </c>
      <c r="O5898" s="505">
        <v>0</v>
      </c>
    </row>
    <row r="5899" spans="1:15" x14ac:dyDescent="0.35">
      <c r="A5899" s="500" t="s">
        <v>1093</v>
      </c>
      <c r="B5899" s="501" t="s">
        <v>3248</v>
      </c>
      <c r="C5899" s="501" t="s">
        <v>1094</v>
      </c>
      <c r="D5899" s="501" t="s">
        <v>3380</v>
      </c>
      <c r="E5899" s="501" t="s">
        <v>3381</v>
      </c>
      <c r="F5899" s="501" t="s">
        <v>778</v>
      </c>
      <c r="G5899" s="501" t="s">
        <v>779</v>
      </c>
      <c r="H5899" s="501" t="s">
        <v>8099</v>
      </c>
      <c r="I5899" s="501">
        <v>1</v>
      </c>
      <c r="J5899" s="501">
        <v>0</v>
      </c>
      <c r="K5899" s="501">
        <v>0</v>
      </c>
      <c r="L5899" s="501">
        <v>0</v>
      </c>
      <c r="M5899" s="501">
        <v>0</v>
      </c>
      <c r="N5899" s="501">
        <v>0</v>
      </c>
      <c r="O5899" s="506">
        <v>1</v>
      </c>
    </row>
    <row r="5900" spans="1:15" x14ac:dyDescent="0.35">
      <c r="A5900" s="503" t="s">
        <v>1961</v>
      </c>
      <c r="B5900" s="504">
        <v>5075</v>
      </c>
      <c r="C5900" s="504" t="s">
        <v>1094</v>
      </c>
      <c r="D5900" s="504" t="s">
        <v>3380</v>
      </c>
      <c r="E5900" s="504" t="s">
        <v>3381</v>
      </c>
      <c r="F5900" s="504" t="s">
        <v>778</v>
      </c>
      <c r="G5900" s="504" t="s">
        <v>779</v>
      </c>
      <c r="H5900" s="504" t="s">
        <v>8100</v>
      </c>
      <c r="I5900" s="504">
        <v>39</v>
      </c>
      <c r="J5900" s="504">
        <v>27</v>
      </c>
      <c r="K5900" s="504">
        <v>0</v>
      </c>
      <c r="L5900" s="504">
        <v>0</v>
      </c>
      <c r="M5900" s="504">
        <v>0</v>
      </c>
      <c r="N5900" s="504">
        <v>0</v>
      </c>
      <c r="O5900" s="505">
        <v>12</v>
      </c>
    </row>
    <row r="5901" spans="1:15" x14ac:dyDescent="0.35">
      <c r="A5901" s="500" t="s">
        <v>1171</v>
      </c>
      <c r="B5901" s="501" t="s">
        <v>3003</v>
      </c>
      <c r="C5901" s="501" t="s">
        <v>1094</v>
      </c>
      <c r="D5901" s="501" t="s">
        <v>3380</v>
      </c>
      <c r="E5901" s="501" t="s">
        <v>3381</v>
      </c>
      <c r="F5901" s="501" t="s">
        <v>778</v>
      </c>
      <c r="G5901" s="501" t="s">
        <v>779</v>
      </c>
      <c r="H5901" s="501" t="s">
        <v>8101</v>
      </c>
      <c r="I5901" s="501">
        <v>27</v>
      </c>
      <c r="J5901" s="501">
        <v>24</v>
      </c>
      <c r="K5901" s="501">
        <v>0</v>
      </c>
      <c r="L5901" s="501">
        <v>0</v>
      </c>
      <c r="M5901" s="501">
        <v>0</v>
      </c>
      <c r="N5901" s="501">
        <v>0</v>
      </c>
      <c r="O5901" s="506">
        <v>3</v>
      </c>
    </row>
    <row r="5902" spans="1:15" x14ac:dyDescent="0.35">
      <c r="A5902" s="503" t="s">
        <v>1832</v>
      </c>
      <c r="B5902" s="504">
        <v>4797</v>
      </c>
      <c r="C5902" s="504" t="s">
        <v>1089</v>
      </c>
      <c r="D5902" s="504" t="s">
        <v>3392</v>
      </c>
      <c r="E5902" s="504" t="s">
        <v>3381</v>
      </c>
      <c r="F5902" s="504" t="s">
        <v>778</v>
      </c>
      <c r="G5902" s="504" t="s">
        <v>779</v>
      </c>
      <c r="H5902" s="504" t="s">
        <v>8102</v>
      </c>
      <c r="I5902" s="504">
        <v>2</v>
      </c>
      <c r="J5902" s="504">
        <v>0</v>
      </c>
      <c r="K5902" s="504">
        <v>0</v>
      </c>
      <c r="L5902" s="504">
        <v>2</v>
      </c>
      <c r="M5902" s="504">
        <v>0</v>
      </c>
      <c r="N5902" s="504">
        <v>0</v>
      </c>
      <c r="O5902" s="505">
        <v>0</v>
      </c>
    </row>
    <row r="5903" spans="1:15" x14ac:dyDescent="0.35">
      <c r="A5903" s="500" t="s">
        <v>1310</v>
      </c>
      <c r="B5903" s="501">
        <v>5062</v>
      </c>
      <c r="C5903" s="501" t="s">
        <v>1089</v>
      </c>
      <c r="D5903" s="501" t="s">
        <v>3380</v>
      </c>
      <c r="E5903" s="501" t="s">
        <v>3381</v>
      </c>
      <c r="F5903" s="501" t="s">
        <v>778</v>
      </c>
      <c r="G5903" s="501" t="s">
        <v>779</v>
      </c>
      <c r="H5903" s="501" t="s">
        <v>8103</v>
      </c>
      <c r="I5903" s="501">
        <v>11</v>
      </c>
      <c r="J5903" s="501">
        <v>8</v>
      </c>
      <c r="K5903" s="501">
        <v>0</v>
      </c>
      <c r="L5903" s="501">
        <v>0</v>
      </c>
      <c r="M5903" s="501">
        <v>0</v>
      </c>
      <c r="N5903" s="501">
        <v>0</v>
      </c>
      <c r="O5903" s="506">
        <v>3</v>
      </c>
    </row>
    <row r="5904" spans="1:15" x14ac:dyDescent="0.35">
      <c r="A5904" s="503" t="s">
        <v>1207</v>
      </c>
      <c r="B5904" s="504" t="s">
        <v>3202</v>
      </c>
      <c r="C5904" s="504" t="s">
        <v>1094</v>
      </c>
      <c r="D5904" s="504" t="s">
        <v>3380</v>
      </c>
      <c r="E5904" s="504" t="s">
        <v>3381</v>
      </c>
      <c r="F5904" s="504" t="s">
        <v>778</v>
      </c>
      <c r="G5904" s="504" t="s">
        <v>779</v>
      </c>
      <c r="H5904" s="504" t="s">
        <v>8104</v>
      </c>
      <c r="I5904" s="504">
        <v>393</v>
      </c>
      <c r="J5904" s="504">
        <v>342</v>
      </c>
      <c r="K5904" s="504">
        <v>0</v>
      </c>
      <c r="L5904" s="504">
        <v>0</v>
      </c>
      <c r="M5904" s="504">
        <v>6</v>
      </c>
      <c r="N5904" s="504">
        <v>0</v>
      </c>
      <c r="O5904" s="505">
        <v>45</v>
      </c>
    </row>
    <row r="5905" spans="1:15" x14ac:dyDescent="0.35">
      <c r="A5905" s="500" t="s">
        <v>1217</v>
      </c>
      <c r="B5905" s="501">
        <v>4851</v>
      </c>
      <c r="C5905" s="501" t="s">
        <v>1094</v>
      </c>
      <c r="D5905" s="501" t="s">
        <v>3380</v>
      </c>
      <c r="E5905" s="501" t="s">
        <v>3381</v>
      </c>
      <c r="F5905" s="501" t="s">
        <v>778</v>
      </c>
      <c r="G5905" s="501" t="s">
        <v>779</v>
      </c>
      <c r="H5905" s="501" t="s">
        <v>8105</v>
      </c>
      <c r="I5905" s="501">
        <v>58</v>
      </c>
      <c r="J5905" s="501">
        <v>17</v>
      </c>
      <c r="K5905" s="501">
        <v>0</v>
      </c>
      <c r="L5905" s="501">
        <v>0</v>
      </c>
      <c r="M5905" s="501">
        <v>41</v>
      </c>
      <c r="N5905" s="501">
        <v>0</v>
      </c>
      <c r="O5905" s="506">
        <v>0</v>
      </c>
    </row>
    <row r="5906" spans="1:15" x14ac:dyDescent="0.35">
      <c r="A5906" s="503" t="s">
        <v>1218</v>
      </c>
      <c r="B5906" s="504" t="s">
        <v>3147</v>
      </c>
      <c r="C5906" s="504" t="s">
        <v>1094</v>
      </c>
      <c r="D5906" s="504" t="s">
        <v>3380</v>
      </c>
      <c r="E5906" s="504" t="s">
        <v>3381</v>
      </c>
      <c r="F5906" s="504" t="s">
        <v>778</v>
      </c>
      <c r="G5906" s="504" t="s">
        <v>779</v>
      </c>
      <c r="H5906" s="504" t="s">
        <v>8106</v>
      </c>
      <c r="I5906" s="504">
        <v>16</v>
      </c>
      <c r="J5906" s="504">
        <v>0</v>
      </c>
      <c r="K5906" s="504">
        <v>0</v>
      </c>
      <c r="L5906" s="504">
        <v>0</v>
      </c>
      <c r="M5906" s="504">
        <v>0</v>
      </c>
      <c r="N5906" s="504">
        <v>0</v>
      </c>
      <c r="O5906" s="505">
        <v>16</v>
      </c>
    </row>
    <row r="5907" spans="1:15" x14ac:dyDescent="0.35">
      <c r="A5907" s="500" t="s">
        <v>11367</v>
      </c>
      <c r="B5907" s="501" t="s">
        <v>3143</v>
      </c>
      <c r="C5907" s="501" t="s">
        <v>1094</v>
      </c>
      <c r="D5907" s="501" t="s">
        <v>3380</v>
      </c>
      <c r="E5907" s="501" t="s">
        <v>3381</v>
      </c>
      <c r="F5907" s="501" t="s">
        <v>778</v>
      </c>
      <c r="G5907" s="501" t="s">
        <v>779</v>
      </c>
      <c r="H5907" s="501" t="s">
        <v>11941</v>
      </c>
      <c r="I5907" s="501">
        <v>56</v>
      </c>
      <c r="J5907" s="501">
        <v>56</v>
      </c>
      <c r="K5907" s="501">
        <v>0</v>
      </c>
      <c r="L5907" s="501">
        <v>0</v>
      </c>
      <c r="M5907" s="501">
        <v>0</v>
      </c>
      <c r="N5907" s="501">
        <v>0</v>
      </c>
      <c r="O5907" s="506">
        <v>0</v>
      </c>
    </row>
    <row r="5908" spans="1:15" x14ac:dyDescent="0.35">
      <c r="A5908" s="503" t="s">
        <v>1220</v>
      </c>
      <c r="B5908" s="504">
        <v>4849</v>
      </c>
      <c r="C5908" s="504" t="s">
        <v>1094</v>
      </c>
      <c r="D5908" s="504" t="s">
        <v>3380</v>
      </c>
      <c r="E5908" s="504" t="s">
        <v>3381</v>
      </c>
      <c r="F5908" s="504" t="s">
        <v>778</v>
      </c>
      <c r="G5908" s="504" t="s">
        <v>779</v>
      </c>
      <c r="H5908" s="504" t="s">
        <v>8107</v>
      </c>
      <c r="I5908" s="504">
        <v>55</v>
      </c>
      <c r="J5908" s="504">
        <v>55</v>
      </c>
      <c r="K5908" s="504">
        <v>0</v>
      </c>
      <c r="L5908" s="504">
        <v>0</v>
      </c>
      <c r="M5908" s="504">
        <v>0</v>
      </c>
      <c r="N5908" s="504">
        <v>0</v>
      </c>
      <c r="O5908" s="505">
        <v>0</v>
      </c>
    </row>
    <row r="5909" spans="1:15" x14ac:dyDescent="0.35">
      <c r="A5909" s="500" t="s">
        <v>1226</v>
      </c>
      <c r="B5909" s="501">
        <v>5084</v>
      </c>
      <c r="C5909" s="501" t="s">
        <v>1094</v>
      </c>
      <c r="D5909" s="501" t="s">
        <v>3380</v>
      </c>
      <c r="E5909" s="501" t="s">
        <v>3381</v>
      </c>
      <c r="F5909" s="501" t="s">
        <v>778</v>
      </c>
      <c r="G5909" s="501" t="s">
        <v>779</v>
      </c>
      <c r="H5909" s="501" t="s">
        <v>8108</v>
      </c>
      <c r="I5909" s="501">
        <v>752</v>
      </c>
      <c r="J5909" s="501">
        <v>569</v>
      </c>
      <c r="K5909" s="501">
        <v>0</v>
      </c>
      <c r="L5909" s="501">
        <v>0</v>
      </c>
      <c r="M5909" s="501">
        <v>0</v>
      </c>
      <c r="N5909" s="501">
        <v>0</v>
      </c>
      <c r="O5909" s="506">
        <v>183</v>
      </c>
    </row>
    <row r="5910" spans="1:15" x14ac:dyDescent="0.35">
      <c r="A5910" s="503" t="s">
        <v>1233</v>
      </c>
      <c r="B5910" s="504">
        <v>4636</v>
      </c>
      <c r="C5910" s="504" t="s">
        <v>1094</v>
      </c>
      <c r="D5910" s="504" t="s">
        <v>3380</v>
      </c>
      <c r="E5910" s="504" t="s">
        <v>3381</v>
      </c>
      <c r="F5910" s="504" t="s">
        <v>778</v>
      </c>
      <c r="G5910" s="504" t="s">
        <v>779</v>
      </c>
      <c r="H5910" s="504" t="s">
        <v>12020</v>
      </c>
      <c r="I5910" s="504">
        <v>24</v>
      </c>
      <c r="J5910" s="504">
        <v>10</v>
      </c>
      <c r="K5910" s="504">
        <v>0</v>
      </c>
      <c r="L5910" s="504">
        <v>0</v>
      </c>
      <c r="M5910" s="504">
        <v>0</v>
      </c>
      <c r="N5910" s="504">
        <v>0</v>
      </c>
      <c r="O5910" s="505">
        <v>14</v>
      </c>
    </row>
    <row r="5911" spans="1:15" x14ac:dyDescent="0.35">
      <c r="A5911" s="500" t="s">
        <v>11368</v>
      </c>
      <c r="B5911" s="501">
        <v>5083</v>
      </c>
      <c r="C5911" s="501" t="s">
        <v>1094</v>
      </c>
      <c r="D5911" s="501" t="s">
        <v>3380</v>
      </c>
      <c r="E5911" s="501" t="s">
        <v>3381</v>
      </c>
      <c r="F5911" s="501" t="s">
        <v>778</v>
      </c>
      <c r="G5911" s="501" t="s">
        <v>779</v>
      </c>
      <c r="H5911" s="501" t="s">
        <v>14940</v>
      </c>
      <c r="I5911" s="501">
        <v>14</v>
      </c>
      <c r="J5911" s="501">
        <v>14</v>
      </c>
      <c r="K5911" s="501">
        <v>0</v>
      </c>
      <c r="L5911" s="501">
        <v>0</v>
      </c>
      <c r="M5911" s="501">
        <v>0</v>
      </c>
      <c r="N5911" s="501">
        <v>0</v>
      </c>
      <c r="O5911" s="506">
        <v>0</v>
      </c>
    </row>
    <row r="5912" spans="1:15" x14ac:dyDescent="0.35">
      <c r="A5912" s="503" t="s">
        <v>1240</v>
      </c>
      <c r="B5912" s="504" t="s">
        <v>2972</v>
      </c>
      <c r="C5912" s="504" t="s">
        <v>1094</v>
      </c>
      <c r="D5912" s="504" t="s">
        <v>3380</v>
      </c>
      <c r="E5912" s="504" t="s">
        <v>3381</v>
      </c>
      <c r="F5912" s="504" t="s">
        <v>778</v>
      </c>
      <c r="G5912" s="504" t="s">
        <v>779</v>
      </c>
      <c r="H5912" s="504" t="s">
        <v>8109</v>
      </c>
      <c r="I5912" s="504">
        <v>17</v>
      </c>
      <c r="J5912" s="504">
        <v>17</v>
      </c>
      <c r="K5912" s="504">
        <v>0</v>
      </c>
      <c r="L5912" s="504">
        <v>0</v>
      </c>
      <c r="M5912" s="504">
        <v>0</v>
      </c>
      <c r="N5912" s="504">
        <v>0</v>
      </c>
      <c r="O5912" s="505">
        <v>0</v>
      </c>
    </row>
    <row r="5913" spans="1:15" x14ac:dyDescent="0.35">
      <c r="A5913" s="500" t="s">
        <v>1134</v>
      </c>
      <c r="B5913" s="501" t="s">
        <v>3066</v>
      </c>
      <c r="C5913" s="501" t="s">
        <v>1094</v>
      </c>
      <c r="D5913" s="501" t="s">
        <v>3380</v>
      </c>
      <c r="E5913" s="501" t="s">
        <v>3381</v>
      </c>
      <c r="F5913" s="501" t="s">
        <v>778</v>
      </c>
      <c r="G5913" s="501" t="s">
        <v>779</v>
      </c>
      <c r="H5913" s="501" t="s">
        <v>12166</v>
      </c>
      <c r="I5913" s="501">
        <v>65</v>
      </c>
      <c r="J5913" s="501">
        <v>38</v>
      </c>
      <c r="K5913" s="501">
        <v>0</v>
      </c>
      <c r="L5913" s="501">
        <v>6</v>
      </c>
      <c r="M5913" s="501">
        <v>0</v>
      </c>
      <c r="N5913" s="501">
        <v>0</v>
      </c>
      <c r="O5913" s="506">
        <v>21</v>
      </c>
    </row>
    <row r="5914" spans="1:15" x14ac:dyDescent="0.35">
      <c r="A5914" s="503" t="s">
        <v>1258</v>
      </c>
      <c r="B5914" s="504" t="s">
        <v>3174</v>
      </c>
      <c r="C5914" s="504" t="s">
        <v>1094</v>
      </c>
      <c r="D5914" s="504" t="s">
        <v>3380</v>
      </c>
      <c r="E5914" s="504" t="s">
        <v>3381</v>
      </c>
      <c r="F5914" s="504" t="s">
        <v>778</v>
      </c>
      <c r="G5914" s="504" t="s">
        <v>779</v>
      </c>
      <c r="H5914" s="504" t="s">
        <v>8110</v>
      </c>
      <c r="I5914" s="504">
        <v>11</v>
      </c>
      <c r="J5914" s="504">
        <v>8</v>
      </c>
      <c r="K5914" s="504">
        <v>0</v>
      </c>
      <c r="L5914" s="504">
        <v>0</v>
      </c>
      <c r="M5914" s="504">
        <v>0</v>
      </c>
      <c r="N5914" s="504">
        <v>0</v>
      </c>
      <c r="O5914" s="505">
        <v>3</v>
      </c>
    </row>
    <row r="5915" spans="1:15" x14ac:dyDescent="0.35">
      <c r="A5915" s="500" t="s">
        <v>2128</v>
      </c>
      <c r="B5915" s="501" t="s">
        <v>3133</v>
      </c>
      <c r="C5915" s="501" t="s">
        <v>1089</v>
      </c>
      <c r="D5915" s="501" t="s">
        <v>3392</v>
      </c>
      <c r="E5915" s="501" t="s">
        <v>3381</v>
      </c>
      <c r="F5915" s="501" t="s">
        <v>778</v>
      </c>
      <c r="G5915" s="501" t="s">
        <v>779</v>
      </c>
      <c r="H5915" s="501" t="s">
        <v>8111</v>
      </c>
      <c r="I5915" s="501">
        <v>2</v>
      </c>
      <c r="J5915" s="501">
        <v>2</v>
      </c>
      <c r="K5915" s="501">
        <v>0</v>
      </c>
      <c r="L5915" s="501">
        <v>0</v>
      </c>
      <c r="M5915" s="501">
        <v>0</v>
      </c>
      <c r="N5915" s="501">
        <v>0</v>
      </c>
      <c r="O5915" s="506">
        <v>0</v>
      </c>
    </row>
    <row r="5916" spans="1:15" x14ac:dyDescent="0.35">
      <c r="A5916" s="503" t="s">
        <v>1262</v>
      </c>
      <c r="B5916" s="504">
        <v>4772</v>
      </c>
      <c r="C5916" s="504" t="s">
        <v>1089</v>
      </c>
      <c r="D5916" s="504" t="s">
        <v>3392</v>
      </c>
      <c r="E5916" s="504" t="s">
        <v>3381</v>
      </c>
      <c r="F5916" s="504" t="s">
        <v>778</v>
      </c>
      <c r="G5916" s="504" t="s">
        <v>779</v>
      </c>
      <c r="H5916" s="504" t="s">
        <v>8112</v>
      </c>
      <c r="I5916" s="504">
        <v>1</v>
      </c>
      <c r="J5916" s="504">
        <v>0</v>
      </c>
      <c r="K5916" s="504">
        <v>0</v>
      </c>
      <c r="L5916" s="504">
        <v>1</v>
      </c>
      <c r="M5916" s="504">
        <v>0</v>
      </c>
      <c r="N5916" s="504">
        <v>0</v>
      </c>
      <c r="O5916" s="505">
        <v>0</v>
      </c>
    </row>
    <row r="5917" spans="1:15" x14ac:dyDescent="0.35">
      <c r="A5917" s="500" t="s">
        <v>1147</v>
      </c>
      <c r="B5917" s="501" t="s">
        <v>3274</v>
      </c>
      <c r="C5917" s="501" t="s">
        <v>1089</v>
      </c>
      <c r="D5917" s="501" t="s">
        <v>3392</v>
      </c>
      <c r="E5917" s="501" t="s">
        <v>3381</v>
      </c>
      <c r="F5917" s="501" t="s">
        <v>780</v>
      </c>
      <c r="G5917" s="501" t="s">
        <v>781</v>
      </c>
      <c r="H5917" s="501" t="s">
        <v>8113</v>
      </c>
      <c r="I5917" s="501">
        <v>2</v>
      </c>
      <c r="J5917" s="501">
        <v>0</v>
      </c>
      <c r="K5917" s="501">
        <v>2</v>
      </c>
      <c r="L5917" s="501">
        <v>0</v>
      </c>
      <c r="M5917" s="501">
        <v>0</v>
      </c>
      <c r="N5917" s="501">
        <v>0</v>
      </c>
      <c r="O5917" s="506">
        <v>0</v>
      </c>
    </row>
    <row r="5918" spans="1:15" x14ac:dyDescent="0.35">
      <c r="A5918" s="503" t="s">
        <v>1093</v>
      </c>
      <c r="B5918" s="504" t="s">
        <v>3248</v>
      </c>
      <c r="C5918" s="504" t="s">
        <v>1094</v>
      </c>
      <c r="D5918" s="504" t="s">
        <v>3380</v>
      </c>
      <c r="E5918" s="504" t="s">
        <v>3381</v>
      </c>
      <c r="F5918" s="504" t="s">
        <v>780</v>
      </c>
      <c r="G5918" s="504" t="s">
        <v>781</v>
      </c>
      <c r="H5918" s="504" t="s">
        <v>8114</v>
      </c>
      <c r="I5918" s="504">
        <v>6</v>
      </c>
      <c r="J5918" s="504">
        <v>0</v>
      </c>
      <c r="K5918" s="504">
        <v>0</v>
      </c>
      <c r="L5918" s="504">
        <v>0</v>
      </c>
      <c r="M5918" s="504">
        <v>0</v>
      </c>
      <c r="N5918" s="504">
        <v>0</v>
      </c>
      <c r="O5918" s="505">
        <v>6</v>
      </c>
    </row>
    <row r="5919" spans="1:15" x14ac:dyDescent="0.35">
      <c r="A5919" s="500" t="s">
        <v>1171</v>
      </c>
      <c r="B5919" s="501" t="s">
        <v>3003</v>
      </c>
      <c r="C5919" s="501" t="s">
        <v>1094</v>
      </c>
      <c r="D5919" s="501" t="s">
        <v>3380</v>
      </c>
      <c r="E5919" s="501" t="s">
        <v>3381</v>
      </c>
      <c r="F5919" s="501" t="s">
        <v>780</v>
      </c>
      <c r="G5919" s="501" t="s">
        <v>781</v>
      </c>
      <c r="H5919" s="501" t="s">
        <v>8115</v>
      </c>
      <c r="I5919" s="501">
        <v>125</v>
      </c>
      <c r="J5919" s="501">
        <v>79</v>
      </c>
      <c r="K5919" s="501">
        <v>0</v>
      </c>
      <c r="L5919" s="501">
        <v>0</v>
      </c>
      <c r="M5919" s="501">
        <v>0</v>
      </c>
      <c r="N5919" s="501">
        <v>0</v>
      </c>
      <c r="O5919" s="506">
        <v>46</v>
      </c>
    </row>
    <row r="5920" spans="1:15" x14ac:dyDescent="0.35">
      <c r="A5920" s="503" t="s">
        <v>1173</v>
      </c>
      <c r="B5920" s="504">
        <v>4775</v>
      </c>
      <c r="C5920" s="504" t="s">
        <v>1094</v>
      </c>
      <c r="D5920" s="504" t="s">
        <v>3380</v>
      </c>
      <c r="E5920" s="504" t="s">
        <v>3381</v>
      </c>
      <c r="F5920" s="504" t="s">
        <v>780</v>
      </c>
      <c r="G5920" s="504" t="s">
        <v>781</v>
      </c>
      <c r="H5920" s="504" t="s">
        <v>8116</v>
      </c>
      <c r="I5920" s="504">
        <v>1665</v>
      </c>
      <c r="J5920" s="504">
        <v>1246</v>
      </c>
      <c r="K5920" s="504">
        <v>0</v>
      </c>
      <c r="L5920" s="504">
        <v>100</v>
      </c>
      <c r="M5920" s="504">
        <v>72</v>
      </c>
      <c r="N5920" s="504">
        <v>0</v>
      </c>
      <c r="O5920" s="505">
        <v>247</v>
      </c>
    </row>
    <row r="5921" spans="1:15" x14ac:dyDescent="0.35">
      <c r="A5921" s="500" t="s">
        <v>1175</v>
      </c>
      <c r="B5921" s="501" t="s">
        <v>3141</v>
      </c>
      <c r="C5921" s="501" t="s">
        <v>1094</v>
      </c>
      <c r="D5921" s="501" t="s">
        <v>3380</v>
      </c>
      <c r="E5921" s="501" t="s">
        <v>3381</v>
      </c>
      <c r="F5921" s="501" t="s">
        <v>780</v>
      </c>
      <c r="G5921" s="501" t="s">
        <v>781</v>
      </c>
      <c r="H5921" s="501" t="s">
        <v>8117</v>
      </c>
      <c r="I5921" s="501">
        <v>5</v>
      </c>
      <c r="J5921" s="501">
        <v>5</v>
      </c>
      <c r="K5921" s="501">
        <v>0</v>
      </c>
      <c r="L5921" s="501">
        <v>0</v>
      </c>
      <c r="M5921" s="501">
        <v>0</v>
      </c>
      <c r="N5921" s="501">
        <v>0</v>
      </c>
      <c r="O5921" s="506">
        <v>0</v>
      </c>
    </row>
    <row r="5922" spans="1:15" x14ac:dyDescent="0.35">
      <c r="A5922" s="503" t="s">
        <v>1176</v>
      </c>
      <c r="B5922" s="504" t="s">
        <v>2604</v>
      </c>
      <c r="C5922" s="504" t="s">
        <v>1089</v>
      </c>
      <c r="D5922" s="504" t="s">
        <v>3392</v>
      </c>
      <c r="E5922" s="504" t="s">
        <v>3381</v>
      </c>
      <c r="F5922" s="504" t="s">
        <v>780</v>
      </c>
      <c r="G5922" s="504" t="s">
        <v>781</v>
      </c>
      <c r="H5922" s="504" t="s">
        <v>8118</v>
      </c>
      <c r="I5922" s="504">
        <v>10</v>
      </c>
      <c r="J5922" s="504">
        <v>0</v>
      </c>
      <c r="K5922" s="504">
        <v>0</v>
      </c>
      <c r="L5922" s="504">
        <v>0</v>
      </c>
      <c r="M5922" s="504">
        <v>10</v>
      </c>
      <c r="N5922" s="504">
        <v>0</v>
      </c>
      <c r="O5922" s="505">
        <v>0</v>
      </c>
    </row>
    <row r="5923" spans="1:15" x14ac:dyDescent="0.35">
      <c r="A5923" s="500" t="s">
        <v>1179</v>
      </c>
      <c r="B5923" s="501">
        <v>4829</v>
      </c>
      <c r="C5923" s="501" t="s">
        <v>1089</v>
      </c>
      <c r="D5923" s="501" t="s">
        <v>3392</v>
      </c>
      <c r="E5923" s="501" t="s">
        <v>3381</v>
      </c>
      <c r="F5923" s="501" t="s">
        <v>780</v>
      </c>
      <c r="G5923" s="501" t="s">
        <v>781</v>
      </c>
      <c r="H5923" s="501" t="s">
        <v>8119</v>
      </c>
      <c r="I5923" s="501">
        <v>4</v>
      </c>
      <c r="J5923" s="501">
        <v>0</v>
      </c>
      <c r="K5923" s="501">
        <v>0</v>
      </c>
      <c r="L5923" s="501">
        <v>4</v>
      </c>
      <c r="M5923" s="501">
        <v>0</v>
      </c>
      <c r="N5923" s="501">
        <v>0</v>
      </c>
      <c r="O5923" s="506">
        <v>0</v>
      </c>
    </row>
    <row r="5924" spans="1:15" x14ac:dyDescent="0.35">
      <c r="A5924" s="503" t="s">
        <v>1180</v>
      </c>
      <c r="B5924" s="504" t="s">
        <v>3184</v>
      </c>
      <c r="C5924" s="504" t="s">
        <v>1094</v>
      </c>
      <c r="D5924" s="504" t="s">
        <v>3380</v>
      </c>
      <c r="E5924" s="504" t="s">
        <v>3381</v>
      </c>
      <c r="F5924" s="504" t="s">
        <v>780</v>
      </c>
      <c r="G5924" s="504" t="s">
        <v>781</v>
      </c>
      <c r="H5924" s="504" t="s">
        <v>8120</v>
      </c>
      <c r="I5924" s="504">
        <v>47</v>
      </c>
      <c r="J5924" s="504">
        <v>27</v>
      </c>
      <c r="K5924" s="504">
        <v>0</v>
      </c>
      <c r="L5924" s="504">
        <v>0</v>
      </c>
      <c r="M5924" s="504">
        <v>0</v>
      </c>
      <c r="N5924" s="504">
        <v>0</v>
      </c>
      <c r="O5924" s="505">
        <v>20</v>
      </c>
    </row>
    <row r="5925" spans="1:15" x14ac:dyDescent="0.35">
      <c r="A5925" s="500" t="s">
        <v>1181</v>
      </c>
      <c r="B5925" s="501" t="s">
        <v>3211</v>
      </c>
      <c r="C5925" s="501" t="s">
        <v>1094</v>
      </c>
      <c r="D5925" s="501" t="s">
        <v>3380</v>
      </c>
      <c r="E5925" s="501" t="s">
        <v>3381</v>
      </c>
      <c r="F5925" s="501" t="s">
        <v>780</v>
      </c>
      <c r="G5925" s="501" t="s">
        <v>781</v>
      </c>
      <c r="H5925" s="501" t="s">
        <v>14941</v>
      </c>
      <c r="I5925" s="501">
        <v>4</v>
      </c>
      <c r="J5925" s="501">
        <v>3</v>
      </c>
      <c r="K5925" s="501">
        <v>0</v>
      </c>
      <c r="L5925" s="501">
        <v>0</v>
      </c>
      <c r="M5925" s="501">
        <v>0</v>
      </c>
      <c r="N5925" s="501">
        <v>0</v>
      </c>
      <c r="O5925" s="506">
        <v>1</v>
      </c>
    </row>
    <row r="5926" spans="1:15" x14ac:dyDescent="0.35">
      <c r="A5926" s="503" t="s">
        <v>14208</v>
      </c>
      <c r="B5926" s="504">
        <v>4803</v>
      </c>
      <c r="C5926" s="504" t="s">
        <v>1094</v>
      </c>
      <c r="D5926" s="504" t="s">
        <v>3380</v>
      </c>
      <c r="E5926" s="504" t="s">
        <v>3381</v>
      </c>
      <c r="F5926" s="504" t="s">
        <v>780</v>
      </c>
      <c r="G5926" s="504" t="s">
        <v>781</v>
      </c>
      <c r="H5926" s="504" t="s">
        <v>14942</v>
      </c>
      <c r="I5926" s="504">
        <v>1</v>
      </c>
      <c r="J5926" s="504">
        <v>0</v>
      </c>
      <c r="K5926" s="504">
        <v>0</v>
      </c>
      <c r="L5926" s="504">
        <v>1</v>
      </c>
      <c r="M5926" s="504">
        <v>0</v>
      </c>
      <c r="N5926" s="504">
        <v>0</v>
      </c>
      <c r="O5926" s="505">
        <v>0</v>
      </c>
    </row>
    <row r="5927" spans="1:15" x14ac:dyDescent="0.35">
      <c r="A5927" s="500" t="s">
        <v>1105</v>
      </c>
      <c r="B5927" s="501">
        <v>4668</v>
      </c>
      <c r="C5927" s="501" t="s">
        <v>1094</v>
      </c>
      <c r="D5927" s="501" t="s">
        <v>3380</v>
      </c>
      <c r="E5927" s="501" t="s">
        <v>3381</v>
      </c>
      <c r="F5927" s="501" t="s">
        <v>780</v>
      </c>
      <c r="G5927" s="501" t="s">
        <v>781</v>
      </c>
      <c r="H5927" s="501" t="s">
        <v>8121</v>
      </c>
      <c r="I5927" s="501">
        <v>22</v>
      </c>
      <c r="J5927" s="501">
        <v>0</v>
      </c>
      <c r="K5927" s="501">
        <v>0</v>
      </c>
      <c r="L5927" s="501">
        <v>0</v>
      </c>
      <c r="M5927" s="501">
        <v>0</v>
      </c>
      <c r="N5927" s="501">
        <v>0</v>
      </c>
      <c r="O5927" s="506">
        <v>22</v>
      </c>
    </row>
    <row r="5928" spans="1:15" x14ac:dyDescent="0.35">
      <c r="A5928" s="503" t="s">
        <v>1109</v>
      </c>
      <c r="B5928" s="504" t="s">
        <v>2959</v>
      </c>
      <c r="C5928" s="504" t="s">
        <v>1094</v>
      </c>
      <c r="D5928" s="504" t="s">
        <v>3380</v>
      </c>
      <c r="E5928" s="504" t="s">
        <v>3381</v>
      </c>
      <c r="F5928" s="504" t="s">
        <v>780</v>
      </c>
      <c r="G5928" s="504" t="s">
        <v>781</v>
      </c>
      <c r="H5928" s="504" t="s">
        <v>8122</v>
      </c>
      <c r="I5928" s="504">
        <v>44</v>
      </c>
      <c r="J5928" s="504">
        <v>0</v>
      </c>
      <c r="K5928" s="504">
        <v>0</v>
      </c>
      <c r="L5928" s="504">
        <v>0</v>
      </c>
      <c r="M5928" s="504">
        <v>44</v>
      </c>
      <c r="N5928" s="504">
        <v>0</v>
      </c>
      <c r="O5928" s="505">
        <v>0</v>
      </c>
    </row>
    <row r="5929" spans="1:15" x14ac:dyDescent="0.35">
      <c r="A5929" s="500" t="s">
        <v>1310</v>
      </c>
      <c r="B5929" s="501">
        <v>5062</v>
      </c>
      <c r="C5929" s="501" t="s">
        <v>1089</v>
      </c>
      <c r="D5929" s="501" t="s">
        <v>3380</v>
      </c>
      <c r="E5929" s="501" t="s">
        <v>3381</v>
      </c>
      <c r="F5929" s="501" t="s">
        <v>780</v>
      </c>
      <c r="G5929" s="501" t="s">
        <v>781</v>
      </c>
      <c r="H5929" s="501" t="s">
        <v>14943</v>
      </c>
      <c r="I5929" s="501">
        <v>7</v>
      </c>
      <c r="J5929" s="501">
        <v>5</v>
      </c>
      <c r="K5929" s="501">
        <v>0</v>
      </c>
      <c r="L5929" s="501">
        <v>0</v>
      </c>
      <c r="M5929" s="501">
        <v>0</v>
      </c>
      <c r="N5929" s="501">
        <v>0</v>
      </c>
      <c r="O5929" s="506">
        <v>2</v>
      </c>
    </row>
    <row r="5930" spans="1:15" x14ac:dyDescent="0.35">
      <c r="A5930" s="503" t="s">
        <v>1203</v>
      </c>
      <c r="B5930" s="504" t="s">
        <v>3170</v>
      </c>
      <c r="C5930" s="504" t="s">
        <v>1094</v>
      </c>
      <c r="D5930" s="504" t="s">
        <v>3380</v>
      </c>
      <c r="E5930" s="504" t="s">
        <v>3381</v>
      </c>
      <c r="F5930" s="504" t="s">
        <v>780</v>
      </c>
      <c r="G5930" s="504" t="s">
        <v>781</v>
      </c>
      <c r="H5930" s="504" t="s">
        <v>8123</v>
      </c>
      <c r="I5930" s="504">
        <v>19</v>
      </c>
      <c r="J5930" s="504">
        <v>16</v>
      </c>
      <c r="K5930" s="504">
        <v>0</v>
      </c>
      <c r="L5930" s="504">
        <v>0</v>
      </c>
      <c r="M5930" s="504">
        <v>0</v>
      </c>
      <c r="N5930" s="504">
        <v>0</v>
      </c>
      <c r="O5930" s="505">
        <v>3</v>
      </c>
    </row>
    <row r="5931" spans="1:15" x14ac:dyDescent="0.35">
      <c r="A5931" s="500" t="s">
        <v>1207</v>
      </c>
      <c r="B5931" s="501" t="s">
        <v>3202</v>
      </c>
      <c r="C5931" s="501" t="s">
        <v>1094</v>
      </c>
      <c r="D5931" s="501" t="s">
        <v>3380</v>
      </c>
      <c r="E5931" s="501" t="s">
        <v>3381</v>
      </c>
      <c r="F5931" s="501" t="s">
        <v>780</v>
      </c>
      <c r="G5931" s="501" t="s">
        <v>781</v>
      </c>
      <c r="H5931" s="501" t="s">
        <v>8124</v>
      </c>
      <c r="I5931" s="501">
        <v>183</v>
      </c>
      <c r="J5931" s="501">
        <v>131</v>
      </c>
      <c r="K5931" s="501">
        <v>0</v>
      </c>
      <c r="L5931" s="501">
        <v>0</v>
      </c>
      <c r="M5931" s="501">
        <v>0</v>
      </c>
      <c r="N5931" s="501">
        <v>0</v>
      </c>
      <c r="O5931" s="506">
        <v>52</v>
      </c>
    </row>
    <row r="5932" spans="1:15" x14ac:dyDescent="0.35">
      <c r="A5932" s="503" t="s">
        <v>1215</v>
      </c>
      <c r="B5932" s="504">
        <v>4817</v>
      </c>
      <c r="C5932" s="504" t="s">
        <v>1094</v>
      </c>
      <c r="D5932" s="504" t="s">
        <v>3380</v>
      </c>
      <c r="E5932" s="504" t="s">
        <v>3381</v>
      </c>
      <c r="F5932" s="504" t="s">
        <v>780</v>
      </c>
      <c r="G5932" s="504" t="s">
        <v>781</v>
      </c>
      <c r="H5932" s="504" t="s">
        <v>8125</v>
      </c>
      <c r="I5932" s="504">
        <v>144</v>
      </c>
      <c r="J5932" s="504">
        <v>105</v>
      </c>
      <c r="K5932" s="504">
        <v>0</v>
      </c>
      <c r="L5932" s="504">
        <v>2</v>
      </c>
      <c r="M5932" s="504">
        <v>0</v>
      </c>
      <c r="N5932" s="504">
        <v>0</v>
      </c>
      <c r="O5932" s="505">
        <v>37</v>
      </c>
    </row>
    <row r="5933" spans="1:15" x14ac:dyDescent="0.35">
      <c r="A5933" s="500" t="s">
        <v>1220</v>
      </c>
      <c r="B5933" s="501">
        <v>4849</v>
      </c>
      <c r="C5933" s="501" t="s">
        <v>1094</v>
      </c>
      <c r="D5933" s="501" t="s">
        <v>3380</v>
      </c>
      <c r="E5933" s="501" t="s">
        <v>3381</v>
      </c>
      <c r="F5933" s="501" t="s">
        <v>780</v>
      </c>
      <c r="G5933" s="501" t="s">
        <v>781</v>
      </c>
      <c r="H5933" s="501" t="s">
        <v>8126</v>
      </c>
      <c r="I5933" s="501">
        <v>31</v>
      </c>
      <c r="J5933" s="501">
        <v>31</v>
      </c>
      <c r="K5933" s="501">
        <v>0</v>
      </c>
      <c r="L5933" s="501">
        <v>0</v>
      </c>
      <c r="M5933" s="501">
        <v>0</v>
      </c>
      <c r="N5933" s="501">
        <v>0</v>
      </c>
      <c r="O5933" s="506">
        <v>0</v>
      </c>
    </row>
    <row r="5934" spans="1:15" x14ac:dyDescent="0.35">
      <c r="A5934" s="503" t="s">
        <v>1122</v>
      </c>
      <c r="B5934" s="504" t="s">
        <v>2994</v>
      </c>
      <c r="C5934" s="504" t="s">
        <v>1094</v>
      </c>
      <c r="D5934" s="504" t="s">
        <v>3380</v>
      </c>
      <c r="E5934" s="504" t="s">
        <v>3381</v>
      </c>
      <c r="F5934" s="504" t="s">
        <v>780</v>
      </c>
      <c r="G5934" s="504" t="s">
        <v>781</v>
      </c>
      <c r="H5934" s="504" t="s">
        <v>11983</v>
      </c>
      <c r="I5934" s="504">
        <v>2</v>
      </c>
      <c r="J5934" s="504">
        <v>0</v>
      </c>
      <c r="K5934" s="504">
        <v>0</v>
      </c>
      <c r="L5934" s="504">
        <v>0</v>
      </c>
      <c r="M5934" s="504">
        <v>0</v>
      </c>
      <c r="N5934" s="504">
        <v>0</v>
      </c>
      <c r="O5934" s="505">
        <v>2</v>
      </c>
    </row>
    <row r="5935" spans="1:15" x14ac:dyDescent="0.35">
      <c r="A5935" s="500" t="s">
        <v>1226</v>
      </c>
      <c r="B5935" s="501">
        <v>5084</v>
      </c>
      <c r="C5935" s="501" t="s">
        <v>1094</v>
      </c>
      <c r="D5935" s="501" t="s">
        <v>3380</v>
      </c>
      <c r="E5935" s="501" t="s">
        <v>3381</v>
      </c>
      <c r="F5935" s="501" t="s">
        <v>780</v>
      </c>
      <c r="G5935" s="501" t="s">
        <v>781</v>
      </c>
      <c r="H5935" s="501" t="s">
        <v>8127</v>
      </c>
      <c r="I5935" s="501">
        <v>237</v>
      </c>
      <c r="J5935" s="501">
        <v>178</v>
      </c>
      <c r="K5935" s="501">
        <v>0</v>
      </c>
      <c r="L5935" s="501">
        <v>0</v>
      </c>
      <c r="M5935" s="501">
        <v>0</v>
      </c>
      <c r="N5935" s="501">
        <v>0</v>
      </c>
      <c r="O5935" s="506">
        <v>59</v>
      </c>
    </row>
    <row r="5936" spans="1:15" x14ac:dyDescent="0.35">
      <c r="A5936" s="503" t="s">
        <v>1235</v>
      </c>
      <c r="B5936" s="504">
        <v>4684</v>
      </c>
      <c r="C5936" s="504" t="s">
        <v>1094</v>
      </c>
      <c r="D5936" s="504" t="s">
        <v>3380</v>
      </c>
      <c r="E5936" s="504" t="s">
        <v>3381</v>
      </c>
      <c r="F5936" s="504" t="s">
        <v>780</v>
      </c>
      <c r="G5936" s="504" t="s">
        <v>781</v>
      </c>
      <c r="H5936" s="504" t="s">
        <v>8128</v>
      </c>
      <c r="I5936" s="504">
        <v>26</v>
      </c>
      <c r="J5936" s="504">
        <v>22</v>
      </c>
      <c r="K5936" s="504">
        <v>0</v>
      </c>
      <c r="L5936" s="504">
        <v>0</v>
      </c>
      <c r="M5936" s="504">
        <v>0</v>
      </c>
      <c r="N5936" s="504">
        <v>0</v>
      </c>
      <c r="O5936" s="505">
        <v>4</v>
      </c>
    </row>
    <row r="5937" spans="1:15" x14ac:dyDescent="0.35">
      <c r="A5937" s="500" t="s">
        <v>1126</v>
      </c>
      <c r="B5937" s="501" t="s">
        <v>2974</v>
      </c>
      <c r="C5937" s="501" t="s">
        <v>1094</v>
      </c>
      <c r="D5937" s="501" t="s">
        <v>3380</v>
      </c>
      <c r="E5937" s="501" t="s">
        <v>3381</v>
      </c>
      <c r="F5937" s="501" t="s">
        <v>780</v>
      </c>
      <c r="G5937" s="501" t="s">
        <v>781</v>
      </c>
      <c r="H5937" s="501" t="s">
        <v>8129</v>
      </c>
      <c r="I5937" s="501">
        <v>183</v>
      </c>
      <c r="J5937" s="501">
        <v>183</v>
      </c>
      <c r="K5937" s="501">
        <v>0</v>
      </c>
      <c r="L5937" s="501">
        <v>0</v>
      </c>
      <c r="M5937" s="501">
        <v>0</v>
      </c>
      <c r="N5937" s="501">
        <v>0</v>
      </c>
      <c r="O5937" s="506">
        <v>0</v>
      </c>
    </row>
    <row r="5938" spans="1:15" x14ac:dyDescent="0.35">
      <c r="A5938" s="503" t="s">
        <v>1240</v>
      </c>
      <c r="B5938" s="504" t="s">
        <v>2972</v>
      </c>
      <c r="C5938" s="504" t="s">
        <v>1094</v>
      </c>
      <c r="D5938" s="504" t="s">
        <v>3380</v>
      </c>
      <c r="E5938" s="504" t="s">
        <v>3381</v>
      </c>
      <c r="F5938" s="504" t="s">
        <v>780</v>
      </c>
      <c r="G5938" s="504" t="s">
        <v>781</v>
      </c>
      <c r="H5938" s="504" t="s">
        <v>12147</v>
      </c>
      <c r="I5938" s="504">
        <v>22</v>
      </c>
      <c r="J5938" s="504">
        <v>22</v>
      </c>
      <c r="K5938" s="504">
        <v>0</v>
      </c>
      <c r="L5938" s="504">
        <v>0</v>
      </c>
      <c r="M5938" s="504">
        <v>0</v>
      </c>
      <c r="N5938" s="504">
        <v>0</v>
      </c>
      <c r="O5938" s="505">
        <v>0</v>
      </c>
    </row>
    <row r="5939" spans="1:15" x14ac:dyDescent="0.35">
      <c r="A5939" s="500" t="s">
        <v>1247</v>
      </c>
      <c r="B5939" s="501">
        <v>4838</v>
      </c>
      <c r="C5939" s="501" t="s">
        <v>1089</v>
      </c>
      <c r="D5939" s="501" t="s">
        <v>3392</v>
      </c>
      <c r="E5939" s="501" t="s">
        <v>3381</v>
      </c>
      <c r="F5939" s="501" t="s">
        <v>780</v>
      </c>
      <c r="G5939" s="501" t="s">
        <v>781</v>
      </c>
      <c r="H5939" s="501" t="s">
        <v>8130</v>
      </c>
      <c r="I5939" s="501">
        <v>9</v>
      </c>
      <c r="J5939" s="501">
        <v>0</v>
      </c>
      <c r="K5939" s="501">
        <v>0</v>
      </c>
      <c r="L5939" s="501">
        <v>9</v>
      </c>
      <c r="M5939" s="501">
        <v>0</v>
      </c>
      <c r="N5939" s="501">
        <v>0</v>
      </c>
      <c r="O5939" s="506">
        <v>0</v>
      </c>
    </row>
    <row r="5940" spans="1:15" x14ac:dyDescent="0.35">
      <c r="A5940" s="503" t="s">
        <v>1253</v>
      </c>
      <c r="B5940" s="504" t="s">
        <v>3232</v>
      </c>
      <c r="C5940" s="504" t="s">
        <v>1094</v>
      </c>
      <c r="D5940" s="504" t="s">
        <v>3380</v>
      </c>
      <c r="E5940" s="504" t="s">
        <v>3381</v>
      </c>
      <c r="F5940" s="504" t="s">
        <v>780</v>
      </c>
      <c r="G5940" s="504" t="s">
        <v>781</v>
      </c>
      <c r="H5940" s="504" t="s">
        <v>8131</v>
      </c>
      <c r="I5940" s="504">
        <v>159</v>
      </c>
      <c r="J5940" s="504">
        <v>114</v>
      </c>
      <c r="K5940" s="504">
        <v>0</v>
      </c>
      <c r="L5940" s="504">
        <v>0</v>
      </c>
      <c r="M5940" s="504">
        <v>0</v>
      </c>
      <c r="N5940" s="504">
        <v>0</v>
      </c>
      <c r="O5940" s="505">
        <v>45</v>
      </c>
    </row>
    <row r="5941" spans="1:15" x14ac:dyDescent="0.35">
      <c r="A5941" s="500" t="s">
        <v>1258</v>
      </c>
      <c r="B5941" s="501" t="s">
        <v>3174</v>
      </c>
      <c r="C5941" s="501" t="s">
        <v>1094</v>
      </c>
      <c r="D5941" s="501" t="s">
        <v>3380</v>
      </c>
      <c r="E5941" s="501" t="s">
        <v>3381</v>
      </c>
      <c r="F5941" s="501" t="s">
        <v>780</v>
      </c>
      <c r="G5941" s="501" t="s">
        <v>781</v>
      </c>
      <c r="H5941" s="501" t="s">
        <v>8132</v>
      </c>
      <c r="I5941" s="501">
        <v>47</v>
      </c>
      <c r="J5941" s="501">
        <v>35</v>
      </c>
      <c r="K5941" s="501">
        <v>0</v>
      </c>
      <c r="L5941" s="501">
        <v>0</v>
      </c>
      <c r="M5941" s="501">
        <v>0</v>
      </c>
      <c r="N5941" s="501">
        <v>0</v>
      </c>
      <c r="O5941" s="506">
        <v>12</v>
      </c>
    </row>
    <row r="5942" spans="1:15" x14ac:dyDescent="0.35">
      <c r="A5942" s="503" t="s">
        <v>1193</v>
      </c>
      <c r="B5942" s="504" t="s">
        <v>3039</v>
      </c>
      <c r="C5942" s="504" t="s">
        <v>1094</v>
      </c>
      <c r="D5942" s="504" t="s">
        <v>3380</v>
      </c>
      <c r="E5942" s="504" t="s">
        <v>3381</v>
      </c>
      <c r="F5942" s="504" t="s">
        <v>782</v>
      </c>
      <c r="G5942" s="504" t="s">
        <v>783</v>
      </c>
      <c r="H5942" s="504" t="s">
        <v>8149</v>
      </c>
      <c r="I5942" s="504">
        <v>752</v>
      </c>
      <c r="J5942" s="504">
        <v>455</v>
      </c>
      <c r="K5942" s="504">
        <v>0</v>
      </c>
      <c r="L5942" s="504">
        <v>34</v>
      </c>
      <c r="M5942" s="504">
        <v>221</v>
      </c>
      <c r="N5942" s="504">
        <v>0</v>
      </c>
      <c r="O5942" s="505">
        <v>42</v>
      </c>
    </row>
    <row r="5943" spans="1:15" x14ac:dyDescent="0.35">
      <c r="A5943" s="500" t="s">
        <v>1093</v>
      </c>
      <c r="B5943" s="501" t="s">
        <v>3248</v>
      </c>
      <c r="C5943" s="501" t="s">
        <v>1094</v>
      </c>
      <c r="D5943" s="501" t="s">
        <v>3380</v>
      </c>
      <c r="E5943" s="501" t="s">
        <v>3381</v>
      </c>
      <c r="F5943" s="501" t="s">
        <v>782</v>
      </c>
      <c r="G5943" s="501" t="s">
        <v>783</v>
      </c>
      <c r="H5943" s="501" t="s">
        <v>8133</v>
      </c>
      <c r="I5943" s="501">
        <v>1</v>
      </c>
      <c r="J5943" s="501">
        <v>0</v>
      </c>
      <c r="K5943" s="501">
        <v>0</v>
      </c>
      <c r="L5943" s="501">
        <v>0</v>
      </c>
      <c r="M5943" s="501">
        <v>0</v>
      </c>
      <c r="N5943" s="501">
        <v>0</v>
      </c>
      <c r="O5943" s="506">
        <v>1</v>
      </c>
    </row>
    <row r="5944" spans="1:15" x14ac:dyDescent="0.35">
      <c r="A5944" s="503" t="s">
        <v>1096</v>
      </c>
      <c r="B5944" s="504" t="s">
        <v>3326</v>
      </c>
      <c r="C5944" s="504" t="s">
        <v>1094</v>
      </c>
      <c r="D5944" s="504" t="s">
        <v>3380</v>
      </c>
      <c r="E5944" s="504" t="s">
        <v>3381</v>
      </c>
      <c r="F5944" s="504" t="s">
        <v>782</v>
      </c>
      <c r="G5944" s="504" t="s">
        <v>783</v>
      </c>
      <c r="H5944" s="504" t="s">
        <v>8134</v>
      </c>
      <c r="I5944" s="504">
        <v>543</v>
      </c>
      <c r="J5944" s="504">
        <v>0</v>
      </c>
      <c r="K5944" s="504">
        <v>0</v>
      </c>
      <c r="L5944" s="504">
        <v>0</v>
      </c>
      <c r="M5944" s="504">
        <v>543</v>
      </c>
      <c r="N5944" s="504">
        <v>0</v>
      </c>
      <c r="O5944" s="505">
        <v>0</v>
      </c>
    </row>
    <row r="5945" spans="1:15" x14ac:dyDescent="0.35">
      <c r="A5945" s="500" t="s">
        <v>1151</v>
      </c>
      <c r="B5945" s="501">
        <v>4726</v>
      </c>
      <c r="C5945" s="501" t="s">
        <v>1089</v>
      </c>
      <c r="D5945" s="501" t="s">
        <v>3392</v>
      </c>
      <c r="E5945" s="501" t="s">
        <v>3381</v>
      </c>
      <c r="F5945" s="501" t="s">
        <v>782</v>
      </c>
      <c r="G5945" s="501" t="s">
        <v>783</v>
      </c>
      <c r="H5945" s="501" t="s">
        <v>8135</v>
      </c>
      <c r="I5945" s="501">
        <v>1</v>
      </c>
      <c r="J5945" s="501">
        <v>1</v>
      </c>
      <c r="K5945" s="501">
        <v>0</v>
      </c>
      <c r="L5945" s="501">
        <v>0</v>
      </c>
      <c r="M5945" s="501">
        <v>0</v>
      </c>
      <c r="N5945" s="501">
        <v>0</v>
      </c>
      <c r="O5945" s="506">
        <v>0</v>
      </c>
    </row>
    <row r="5946" spans="1:15" x14ac:dyDescent="0.35">
      <c r="A5946" s="503" t="s">
        <v>1616</v>
      </c>
      <c r="B5946" s="504" t="s">
        <v>3302</v>
      </c>
      <c r="C5946" s="504" t="s">
        <v>1089</v>
      </c>
      <c r="D5946" s="504" t="s">
        <v>3392</v>
      </c>
      <c r="E5946" s="504" t="s">
        <v>3381</v>
      </c>
      <c r="F5946" s="504" t="s">
        <v>782</v>
      </c>
      <c r="G5946" s="504" t="s">
        <v>783</v>
      </c>
      <c r="H5946" s="504" t="s">
        <v>8136</v>
      </c>
      <c r="I5946" s="504">
        <v>9</v>
      </c>
      <c r="J5946" s="504">
        <v>0</v>
      </c>
      <c r="K5946" s="504">
        <v>0</v>
      </c>
      <c r="L5946" s="504">
        <v>0</v>
      </c>
      <c r="M5946" s="504">
        <v>9</v>
      </c>
      <c r="N5946" s="504">
        <v>0</v>
      </c>
      <c r="O5946" s="505">
        <v>0</v>
      </c>
    </row>
    <row r="5947" spans="1:15" x14ac:dyDescent="0.35">
      <c r="A5947" s="500" t="s">
        <v>1617</v>
      </c>
      <c r="B5947" s="501">
        <v>4868</v>
      </c>
      <c r="C5947" s="501" t="s">
        <v>1094</v>
      </c>
      <c r="D5947" s="501" t="s">
        <v>3380</v>
      </c>
      <c r="E5947" s="501" t="s">
        <v>3381</v>
      </c>
      <c r="F5947" s="501" t="s">
        <v>782</v>
      </c>
      <c r="G5947" s="501" t="s">
        <v>783</v>
      </c>
      <c r="H5947" s="501" t="s">
        <v>8137</v>
      </c>
      <c r="I5947" s="501">
        <v>7938</v>
      </c>
      <c r="J5947" s="501">
        <v>6002</v>
      </c>
      <c r="K5947" s="501">
        <v>0</v>
      </c>
      <c r="L5947" s="501">
        <v>48</v>
      </c>
      <c r="M5947" s="501">
        <v>1769</v>
      </c>
      <c r="N5947" s="501">
        <v>0</v>
      </c>
      <c r="O5947" s="506">
        <v>119</v>
      </c>
    </row>
    <row r="5948" spans="1:15" x14ac:dyDescent="0.35">
      <c r="A5948" s="503" t="s">
        <v>11363</v>
      </c>
      <c r="B5948" s="504">
        <v>4718</v>
      </c>
      <c r="C5948" s="504" t="s">
        <v>1094</v>
      </c>
      <c r="D5948" s="504" t="s">
        <v>3380</v>
      </c>
      <c r="E5948" s="504" t="s">
        <v>3381</v>
      </c>
      <c r="F5948" s="504" t="s">
        <v>782</v>
      </c>
      <c r="G5948" s="504" t="s">
        <v>783</v>
      </c>
      <c r="H5948" s="504" t="s">
        <v>11571</v>
      </c>
      <c r="I5948" s="504">
        <v>6</v>
      </c>
      <c r="J5948" s="504">
        <v>0</v>
      </c>
      <c r="K5948" s="504">
        <v>0</v>
      </c>
      <c r="L5948" s="504">
        <v>6</v>
      </c>
      <c r="M5948" s="504">
        <v>0</v>
      </c>
      <c r="N5948" s="504">
        <v>0</v>
      </c>
      <c r="O5948" s="505">
        <v>0</v>
      </c>
    </row>
    <row r="5949" spans="1:15" x14ac:dyDescent="0.35">
      <c r="A5949" s="500" t="s">
        <v>1619</v>
      </c>
      <c r="B5949" s="501" t="s">
        <v>2798</v>
      </c>
      <c r="C5949" s="501" t="s">
        <v>1089</v>
      </c>
      <c r="D5949" s="501" t="s">
        <v>3392</v>
      </c>
      <c r="E5949" s="501" t="s">
        <v>3381</v>
      </c>
      <c r="F5949" s="501" t="s">
        <v>782</v>
      </c>
      <c r="G5949" s="501" t="s">
        <v>783</v>
      </c>
      <c r="H5949" s="501" t="s">
        <v>8138</v>
      </c>
      <c r="I5949" s="501">
        <v>147</v>
      </c>
      <c r="J5949" s="501">
        <v>147</v>
      </c>
      <c r="K5949" s="501">
        <v>0</v>
      </c>
      <c r="L5949" s="501">
        <v>0</v>
      </c>
      <c r="M5949" s="501">
        <v>0</v>
      </c>
      <c r="N5949" s="501">
        <v>0</v>
      </c>
      <c r="O5949" s="506">
        <v>0</v>
      </c>
    </row>
    <row r="5950" spans="1:15" x14ac:dyDescent="0.35">
      <c r="A5950" s="503" t="s">
        <v>1623</v>
      </c>
      <c r="B5950" s="504">
        <v>4858</v>
      </c>
      <c r="C5950" s="504" t="s">
        <v>1094</v>
      </c>
      <c r="D5950" s="504" t="s">
        <v>3380</v>
      </c>
      <c r="E5950" s="504" t="s">
        <v>3381</v>
      </c>
      <c r="F5950" s="504" t="s">
        <v>782</v>
      </c>
      <c r="G5950" s="504" t="s">
        <v>783</v>
      </c>
      <c r="H5950" s="504" t="s">
        <v>8139</v>
      </c>
      <c r="I5950" s="504">
        <v>328</v>
      </c>
      <c r="J5950" s="504">
        <v>299</v>
      </c>
      <c r="K5950" s="504">
        <v>0</v>
      </c>
      <c r="L5950" s="504">
        <v>0</v>
      </c>
      <c r="M5950" s="504">
        <v>0</v>
      </c>
      <c r="N5950" s="504">
        <v>0</v>
      </c>
      <c r="O5950" s="505">
        <v>29</v>
      </c>
    </row>
    <row r="5951" spans="1:15" x14ac:dyDescent="0.35">
      <c r="A5951" s="500" t="s">
        <v>1172</v>
      </c>
      <c r="B5951" s="501">
        <v>4648</v>
      </c>
      <c r="C5951" s="501" t="s">
        <v>1089</v>
      </c>
      <c r="D5951" s="501" t="s">
        <v>3392</v>
      </c>
      <c r="E5951" s="501" t="s">
        <v>3381</v>
      </c>
      <c r="F5951" s="501" t="s">
        <v>782</v>
      </c>
      <c r="G5951" s="501" t="s">
        <v>783</v>
      </c>
      <c r="H5951" s="501" t="s">
        <v>8140</v>
      </c>
      <c r="I5951" s="501">
        <v>7</v>
      </c>
      <c r="J5951" s="501">
        <v>0</v>
      </c>
      <c r="K5951" s="501">
        <v>0</v>
      </c>
      <c r="L5951" s="501">
        <v>7</v>
      </c>
      <c r="M5951" s="501">
        <v>0</v>
      </c>
      <c r="N5951" s="501">
        <v>0</v>
      </c>
      <c r="O5951" s="506">
        <v>0</v>
      </c>
    </row>
    <row r="5952" spans="1:15" x14ac:dyDescent="0.35">
      <c r="A5952" s="503" t="s">
        <v>1174</v>
      </c>
      <c r="B5952" s="504">
        <v>4784</v>
      </c>
      <c r="C5952" s="504" t="s">
        <v>1089</v>
      </c>
      <c r="D5952" s="504" t="s">
        <v>3392</v>
      </c>
      <c r="E5952" s="504" t="s">
        <v>3381</v>
      </c>
      <c r="F5952" s="504" t="s">
        <v>782</v>
      </c>
      <c r="G5952" s="504" t="s">
        <v>783</v>
      </c>
      <c r="H5952" s="504" t="s">
        <v>8141</v>
      </c>
      <c r="I5952" s="504">
        <v>18</v>
      </c>
      <c r="J5952" s="504">
        <v>0</v>
      </c>
      <c r="K5952" s="504">
        <v>0</v>
      </c>
      <c r="L5952" s="504">
        <v>18</v>
      </c>
      <c r="M5952" s="504">
        <v>0</v>
      </c>
      <c r="N5952" s="504">
        <v>0</v>
      </c>
      <c r="O5952" s="505">
        <v>0</v>
      </c>
    </row>
    <row r="5953" spans="1:15" x14ac:dyDescent="0.35">
      <c r="A5953" s="500" t="s">
        <v>1629</v>
      </c>
      <c r="B5953" s="501" t="s">
        <v>3176</v>
      </c>
      <c r="C5953" s="501" t="s">
        <v>1094</v>
      </c>
      <c r="D5953" s="501" t="s">
        <v>3380</v>
      </c>
      <c r="E5953" s="501" t="s">
        <v>3381</v>
      </c>
      <c r="F5953" s="501" t="s">
        <v>782</v>
      </c>
      <c r="G5953" s="501" t="s">
        <v>783</v>
      </c>
      <c r="H5953" s="501" t="s">
        <v>8142</v>
      </c>
      <c r="I5953" s="501">
        <v>18</v>
      </c>
      <c r="J5953" s="501">
        <v>17</v>
      </c>
      <c r="K5953" s="501">
        <v>0</v>
      </c>
      <c r="L5953" s="501">
        <v>0</v>
      </c>
      <c r="M5953" s="501">
        <v>0</v>
      </c>
      <c r="N5953" s="501">
        <v>0</v>
      </c>
      <c r="O5953" s="506">
        <v>1</v>
      </c>
    </row>
    <row r="5954" spans="1:15" x14ac:dyDescent="0.35">
      <c r="A5954" s="503" t="s">
        <v>14208</v>
      </c>
      <c r="B5954" s="504">
        <v>4803</v>
      </c>
      <c r="C5954" s="504" t="s">
        <v>1094</v>
      </c>
      <c r="D5954" s="504" t="s">
        <v>3380</v>
      </c>
      <c r="E5954" s="504" t="s">
        <v>3381</v>
      </c>
      <c r="F5954" s="504" t="s">
        <v>782</v>
      </c>
      <c r="G5954" s="504" t="s">
        <v>783</v>
      </c>
      <c r="H5954" s="504" t="s">
        <v>14944</v>
      </c>
      <c r="I5954" s="504">
        <v>59</v>
      </c>
      <c r="J5954" s="504">
        <v>0</v>
      </c>
      <c r="K5954" s="504">
        <v>0</v>
      </c>
      <c r="L5954" s="504">
        <v>59</v>
      </c>
      <c r="M5954" s="504">
        <v>0</v>
      </c>
      <c r="N5954" s="504">
        <v>0</v>
      </c>
      <c r="O5954" s="505">
        <v>0</v>
      </c>
    </row>
    <row r="5955" spans="1:15" x14ac:dyDescent="0.35">
      <c r="A5955" s="500" t="s">
        <v>1186</v>
      </c>
      <c r="B5955" s="501">
        <v>4661</v>
      </c>
      <c r="C5955" s="501" t="s">
        <v>1089</v>
      </c>
      <c r="D5955" s="501" t="s">
        <v>3392</v>
      </c>
      <c r="E5955" s="501" t="s">
        <v>3381</v>
      </c>
      <c r="F5955" s="501" t="s">
        <v>782</v>
      </c>
      <c r="G5955" s="501" t="s">
        <v>783</v>
      </c>
      <c r="H5955" s="501" t="s">
        <v>11723</v>
      </c>
      <c r="I5955" s="501">
        <v>15</v>
      </c>
      <c r="J5955" s="501">
        <v>0</v>
      </c>
      <c r="K5955" s="501">
        <v>0</v>
      </c>
      <c r="L5955" s="501">
        <v>15</v>
      </c>
      <c r="M5955" s="501">
        <v>0</v>
      </c>
      <c r="N5955" s="501">
        <v>0</v>
      </c>
      <c r="O5955" s="506">
        <v>0</v>
      </c>
    </row>
    <row r="5956" spans="1:15" x14ac:dyDescent="0.35">
      <c r="A5956" s="503" t="s">
        <v>1630</v>
      </c>
      <c r="B5956" s="504">
        <v>4744</v>
      </c>
      <c r="C5956" s="504" t="s">
        <v>1089</v>
      </c>
      <c r="D5956" s="504" t="s">
        <v>3392</v>
      </c>
      <c r="E5956" s="504" t="s">
        <v>3381</v>
      </c>
      <c r="F5956" s="504" t="s">
        <v>782</v>
      </c>
      <c r="G5956" s="504" t="s">
        <v>783</v>
      </c>
      <c r="H5956" s="504" t="s">
        <v>8143</v>
      </c>
      <c r="I5956" s="504">
        <v>22</v>
      </c>
      <c r="J5956" s="504">
        <v>22</v>
      </c>
      <c r="K5956" s="504">
        <v>0</v>
      </c>
      <c r="L5956" s="504">
        <v>0</v>
      </c>
      <c r="M5956" s="504">
        <v>0</v>
      </c>
      <c r="N5956" s="504">
        <v>0</v>
      </c>
      <c r="O5956" s="505">
        <v>0</v>
      </c>
    </row>
    <row r="5957" spans="1:15" x14ac:dyDescent="0.35">
      <c r="A5957" s="500" t="s">
        <v>1105</v>
      </c>
      <c r="B5957" s="501">
        <v>4668</v>
      </c>
      <c r="C5957" s="501" t="s">
        <v>1094</v>
      </c>
      <c r="D5957" s="501" t="s">
        <v>3380</v>
      </c>
      <c r="E5957" s="501" t="s">
        <v>3381</v>
      </c>
      <c r="F5957" s="501" t="s">
        <v>782</v>
      </c>
      <c r="G5957" s="501" t="s">
        <v>783</v>
      </c>
      <c r="H5957" s="501" t="s">
        <v>8144</v>
      </c>
      <c r="I5957" s="501">
        <v>65</v>
      </c>
      <c r="J5957" s="501">
        <v>0</v>
      </c>
      <c r="K5957" s="501">
        <v>0</v>
      </c>
      <c r="L5957" s="501">
        <v>0</v>
      </c>
      <c r="M5957" s="501">
        <v>0</v>
      </c>
      <c r="N5957" s="501">
        <v>0</v>
      </c>
      <c r="O5957" s="506">
        <v>65</v>
      </c>
    </row>
    <row r="5958" spans="1:15" x14ac:dyDescent="0.35">
      <c r="A5958" s="503" t="s">
        <v>1631</v>
      </c>
      <c r="B5958" s="504" t="s">
        <v>2755</v>
      </c>
      <c r="C5958" s="504" t="s">
        <v>1089</v>
      </c>
      <c r="D5958" s="504" t="s">
        <v>3392</v>
      </c>
      <c r="E5958" s="504" t="s">
        <v>3381</v>
      </c>
      <c r="F5958" s="504" t="s">
        <v>782</v>
      </c>
      <c r="G5958" s="504" t="s">
        <v>783</v>
      </c>
      <c r="H5958" s="504" t="s">
        <v>8145</v>
      </c>
      <c r="I5958" s="504">
        <v>26</v>
      </c>
      <c r="J5958" s="504">
        <v>26</v>
      </c>
      <c r="K5958" s="504">
        <v>0</v>
      </c>
      <c r="L5958" s="504">
        <v>0</v>
      </c>
      <c r="M5958" s="504">
        <v>0</v>
      </c>
      <c r="N5958" s="504">
        <v>0</v>
      </c>
      <c r="O5958" s="505">
        <v>0</v>
      </c>
    </row>
    <row r="5959" spans="1:15" x14ac:dyDescent="0.35">
      <c r="A5959" s="500" t="s">
        <v>1107</v>
      </c>
      <c r="B5959" s="501" t="s">
        <v>3109</v>
      </c>
      <c r="C5959" s="501" t="s">
        <v>1094</v>
      </c>
      <c r="D5959" s="501" t="s">
        <v>3380</v>
      </c>
      <c r="E5959" s="501" t="s">
        <v>3381</v>
      </c>
      <c r="F5959" s="501" t="s">
        <v>782</v>
      </c>
      <c r="G5959" s="501" t="s">
        <v>783</v>
      </c>
      <c r="H5959" s="501" t="s">
        <v>8146</v>
      </c>
      <c r="I5959" s="501">
        <v>755</v>
      </c>
      <c r="J5959" s="501">
        <v>558</v>
      </c>
      <c r="K5959" s="501">
        <v>0</v>
      </c>
      <c r="L5959" s="501">
        <v>94</v>
      </c>
      <c r="M5959" s="501">
        <v>19</v>
      </c>
      <c r="N5959" s="501">
        <v>0</v>
      </c>
      <c r="O5959" s="506">
        <v>84</v>
      </c>
    </row>
    <row r="5960" spans="1:15" x14ac:dyDescent="0.35">
      <c r="A5960" s="503" t="s">
        <v>1109</v>
      </c>
      <c r="B5960" s="504" t="s">
        <v>2959</v>
      </c>
      <c r="C5960" s="504" t="s">
        <v>1094</v>
      </c>
      <c r="D5960" s="504" t="s">
        <v>3380</v>
      </c>
      <c r="E5960" s="504" t="s">
        <v>3381</v>
      </c>
      <c r="F5960" s="504" t="s">
        <v>782</v>
      </c>
      <c r="G5960" s="504" t="s">
        <v>783</v>
      </c>
      <c r="H5960" s="504" t="s">
        <v>8147</v>
      </c>
      <c r="I5960" s="504">
        <v>79</v>
      </c>
      <c r="J5960" s="504">
        <v>0</v>
      </c>
      <c r="K5960" s="504">
        <v>0</v>
      </c>
      <c r="L5960" s="504">
        <v>0</v>
      </c>
      <c r="M5960" s="504">
        <v>79</v>
      </c>
      <c r="N5960" s="504">
        <v>0</v>
      </c>
      <c r="O5960" s="505">
        <v>0</v>
      </c>
    </row>
    <row r="5961" spans="1:15" x14ac:dyDescent="0.35">
      <c r="A5961" s="500" t="s">
        <v>1190</v>
      </c>
      <c r="B5961" s="501">
        <v>4662</v>
      </c>
      <c r="C5961" s="501" t="s">
        <v>1094</v>
      </c>
      <c r="D5961" s="501" t="s">
        <v>3380</v>
      </c>
      <c r="E5961" s="501" t="s">
        <v>3381</v>
      </c>
      <c r="F5961" s="501" t="s">
        <v>782</v>
      </c>
      <c r="G5961" s="501" t="s">
        <v>783</v>
      </c>
      <c r="H5961" s="501" t="s">
        <v>8148</v>
      </c>
      <c r="I5961" s="501">
        <v>46</v>
      </c>
      <c r="J5961" s="501">
        <v>0</v>
      </c>
      <c r="K5961" s="501">
        <v>0</v>
      </c>
      <c r="L5961" s="501">
        <v>46</v>
      </c>
      <c r="M5961" s="501">
        <v>0</v>
      </c>
      <c r="N5961" s="501">
        <v>0</v>
      </c>
      <c r="O5961" s="506">
        <v>0</v>
      </c>
    </row>
    <row r="5962" spans="1:15" x14ac:dyDescent="0.35">
      <c r="A5962" s="503" t="s">
        <v>1639</v>
      </c>
      <c r="B5962" s="504">
        <v>4846</v>
      </c>
      <c r="C5962" s="504" t="s">
        <v>1094</v>
      </c>
      <c r="D5962" s="504" t="s">
        <v>3380</v>
      </c>
      <c r="E5962" s="504" t="s">
        <v>3381</v>
      </c>
      <c r="F5962" s="504" t="s">
        <v>782</v>
      </c>
      <c r="G5962" s="504" t="s">
        <v>783</v>
      </c>
      <c r="H5962" s="504" t="s">
        <v>8150</v>
      </c>
      <c r="I5962" s="504">
        <v>6525</v>
      </c>
      <c r="J5962" s="504">
        <v>6052</v>
      </c>
      <c r="K5962" s="504">
        <v>0</v>
      </c>
      <c r="L5962" s="504">
        <v>10</v>
      </c>
      <c r="M5962" s="504">
        <v>276</v>
      </c>
      <c r="N5962" s="504">
        <v>0</v>
      </c>
      <c r="O5962" s="505">
        <v>187</v>
      </c>
    </row>
    <row r="5963" spans="1:15" x14ac:dyDescent="0.35">
      <c r="A5963" s="500" t="s">
        <v>1209</v>
      </c>
      <c r="B5963" s="501">
        <v>4779</v>
      </c>
      <c r="C5963" s="501" t="s">
        <v>1094</v>
      </c>
      <c r="D5963" s="501" t="s">
        <v>3380</v>
      </c>
      <c r="E5963" s="501" t="s">
        <v>3381</v>
      </c>
      <c r="F5963" s="501" t="s">
        <v>782</v>
      </c>
      <c r="G5963" s="501" t="s">
        <v>783</v>
      </c>
      <c r="H5963" s="501" t="s">
        <v>8151</v>
      </c>
      <c r="I5963" s="501">
        <v>5</v>
      </c>
      <c r="J5963" s="501">
        <v>0</v>
      </c>
      <c r="K5963" s="501">
        <v>0</v>
      </c>
      <c r="L5963" s="501">
        <v>5</v>
      </c>
      <c r="M5963" s="501">
        <v>0</v>
      </c>
      <c r="N5963" s="501">
        <v>0</v>
      </c>
      <c r="O5963" s="506">
        <v>0</v>
      </c>
    </row>
    <row r="5964" spans="1:15" x14ac:dyDescent="0.35">
      <c r="A5964" s="503" t="s">
        <v>1122</v>
      </c>
      <c r="B5964" s="504" t="s">
        <v>2994</v>
      </c>
      <c r="C5964" s="504" t="s">
        <v>1094</v>
      </c>
      <c r="D5964" s="504" t="s">
        <v>3380</v>
      </c>
      <c r="E5964" s="504" t="s">
        <v>3381</v>
      </c>
      <c r="F5964" s="504" t="s">
        <v>782</v>
      </c>
      <c r="G5964" s="504" t="s">
        <v>783</v>
      </c>
      <c r="H5964" s="504" t="s">
        <v>8152</v>
      </c>
      <c r="I5964" s="504">
        <v>580</v>
      </c>
      <c r="J5964" s="504">
        <v>506</v>
      </c>
      <c r="K5964" s="504">
        <v>0</v>
      </c>
      <c r="L5964" s="504">
        <v>13</v>
      </c>
      <c r="M5964" s="504">
        <v>38</v>
      </c>
      <c r="N5964" s="504">
        <v>0</v>
      </c>
      <c r="O5964" s="505">
        <v>23</v>
      </c>
    </row>
    <row r="5965" spans="1:15" x14ac:dyDescent="0.35">
      <c r="A5965" s="500" t="s">
        <v>1225</v>
      </c>
      <c r="B5965" s="501" t="s">
        <v>3315</v>
      </c>
      <c r="C5965" s="501" t="s">
        <v>1094</v>
      </c>
      <c r="D5965" s="501" t="s">
        <v>3380</v>
      </c>
      <c r="E5965" s="501" t="s">
        <v>3381</v>
      </c>
      <c r="F5965" s="501" t="s">
        <v>782</v>
      </c>
      <c r="G5965" s="501" t="s">
        <v>783</v>
      </c>
      <c r="H5965" s="501" t="s">
        <v>8153</v>
      </c>
      <c r="I5965" s="501">
        <v>35</v>
      </c>
      <c r="J5965" s="501">
        <v>0</v>
      </c>
      <c r="K5965" s="501">
        <v>0</v>
      </c>
      <c r="L5965" s="501">
        <v>35</v>
      </c>
      <c r="M5965" s="501">
        <v>0</v>
      </c>
      <c r="N5965" s="501">
        <v>0</v>
      </c>
      <c r="O5965" s="506">
        <v>0</v>
      </c>
    </row>
    <row r="5966" spans="1:15" x14ac:dyDescent="0.35">
      <c r="A5966" s="503" t="s">
        <v>1648</v>
      </c>
      <c r="B5966" s="504" t="s">
        <v>2496</v>
      </c>
      <c r="C5966" s="504" t="s">
        <v>1094</v>
      </c>
      <c r="D5966" s="504" t="s">
        <v>3380</v>
      </c>
      <c r="E5966" s="504" t="s">
        <v>3381</v>
      </c>
      <c r="F5966" s="504" t="s">
        <v>782</v>
      </c>
      <c r="G5966" s="504" t="s">
        <v>783</v>
      </c>
      <c r="H5966" s="504" t="s">
        <v>8154</v>
      </c>
      <c r="I5966" s="504">
        <v>34</v>
      </c>
      <c r="J5966" s="504">
        <v>11</v>
      </c>
      <c r="K5966" s="504">
        <v>0</v>
      </c>
      <c r="L5966" s="504">
        <v>0</v>
      </c>
      <c r="M5966" s="504">
        <v>8</v>
      </c>
      <c r="N5966" s="504">
        <v>0</v>
      </c>
      <c r="O5966" s="505">
        <v>15</v>
      </c>
    </row>
    <row r="5967" spans="1:15" x14ac:dyDescent="0.35">
      <c r="A5967" s="500" t="s">
        <v>1124</v>
      </c>
      <c r="B5967" s="501">
        <v>4745</v>
      </c>
      <c r="C5967" s="501" t="s">
        <v>1094</v>
      </c>
      <c r="D5967" s="501" t="s">
        <v>3380</v>
      </c>
      <c r="E5967" s="501" t="s">
        <v>3381</v>
      </c>
      <c r="F5967" s="501" t="s">
        <v>782</v>
      </c>
      <c r="G5967" s="501" t="s">
        <v>783</v>
      </c>
      <c r="H5967" s="501" t="s">
        <v>8155</v>
      </c>
      <c r="I5967" s="501">
        <v>24</v>
      </c>
      <c r="J5967" s="501">
        <v>0</v>
      </c>
      <c r="K5967" s="501">
        <v>0</v>
      </c>
      <c r="L5967" s="501">
        <v>24</v>
      </c>
      <c r="M5967" s="501">
        <v>0</v>
      </c>
      <c r="N5967" s="501">
        <v>0</v>
      </c>
      <c r="O5967" s="506">
        <v>0</v>
      </c>
    </row>
    <row r="5968" spans="1:15" x14ac:dyDescent="0.35">
      <c r="A5968" s="503" t="s">
        <v>1233</v>
      </c>
      <c r="B5968" s="504">
        <v>4636</v>
      </c>
      <c r="C5968" s="504" t="s">
        <v>1094</v>
      </c>
      <c r="D5968" s="504" t="s">
        <v>3380</v>
      </c>
      <c r="E5968" s="504" t="s">
        <v>3381</v>
      </c>
      <c r="F5968" s="504" t="s">
        <v>782</v>
      </c>
      <c r="G5968" s="504" t="s">
        <v>783</v>
      </c>
      <c r="H5968" s="504" t="s">
        <v>14945</v>
      </c>
      <c r="I5968" s="504">
        <v>4</v>
      </c>
      <c r="J5968" s="504">
        <v>4</v>
      </c>
      <c r="K5968" s="504">
        <v>0</v>
      </c>
      <c r="L5968" s="504">
        <v>0</v>
      </c>
      <c r="M5968" s="504">
        <v>0</v>
      </c>
      <c r="N5968" s="504">
        <v>0</v>
      </c>
      <c r="O5968" s="505">
        <v>0</v>
      </c>
    </row>
    <row r="5969" spans="1:15" x14ac:dyDescent="0.35">
      <c r="A5969" s="500" t="s">
        <v>1656</v>
      </c>
      <c r="B5969" s="501">
        <v>4756</v>
      </c>
      <c r="C5969" s="501" t="s">
        <v>1089</v>
      </c>
      <c r="D5969" s="501" t="s">
        <v>3392</v>
      </c>
      <c r="E5969" s="501" t="s">
        <v>3381</v>
      </c>
      <c r="F5969" s="501" t="s">
        <v>782</v>
      </c>
      <c r="G5969" s="501" t="s">
        <v>783</v>
      </c>
      <c r="H5969" s="501" t="s">
        <v>8156</v>
      </c>
      <c r="I5969" s="501">
        <v>31</v>
      </c>
      <c r="J5969" s="501">
        <v>13</v>
      </c>
      <c r="K5969" s="501">
        <v>0</v>
      </c>
      <c r="L5969" s="501">
        <v>18</v>
      </c>
      <c r="M5969" s="501">
        <v>0</v>
      </c>
      <c r="N5969" s="501">
        <v>0</v>
      </c>
      <c r="O5969" s="506">
        <v>0</v>
      </c>
    </row>
    <row r="5970" spans="1:15" x14ac:dyDescent="0.35">
      <c r="A5970" s="503" t="s">
        <v>1657</v>
      </c>
      <c r="B5970" s="504" t="s">
        <v>2886</v>
      </c>
      <c r="C5970" s="504" t="s">
        <v>1089</v>
      </c>
      <c r="D5970" s="504" t="s">
        <v>3392</v>
      </c>
      <c r="E5970" s="504" t="s">
        <v>3381</v>
      </c>
      <c r="F5970" s="504" t="s">
        <v>782</v>
      </c>
      <c r="G5970" s="504" t="s">
        <v>783</v>
      </c>
      <c r="H5970" s="504" t="s">
        <v>8157</v>
      </c>
      <c r="I5970" s="504">
        <v>9</v>
      </c>
      <c r="J5970" s="504">
        <v>0</v>
      </c>
      <c r="K5970" s="504">
        <v>0</v>
      </c>
      <c r="L5970" s="504">
        <v>0</v>
      </c>
      <c r="M5970" s="504">
        <v>9</v>
      </c>
      <c r="N5970" s="504">
        <v>0</v>
      </c>
      <c r="O5970" s="505">
        <v>0</v>
      </c>
    </row>
    <row r="5971" spans="1:15" x14ac:dyDescent="0.35">
      <c r="A5971" s="500" t="s">
        <v>1245</v>
      </c>
      <c r="B5971" s="501" t="s">
        <v>2859</v>
      </c>
      <c r="C5971" s="501" t="s">
        <v>1094</v>
      </c>
      <c r="D5971" s="501" t="s">
        <v>3380</v>
      </c>
      <c r="E5971" s="501" t="s">
        <v>3381</v>
      </c>
      <c r="F5971" s="501" t="s">
        <v>782</v>
      </c>
      <c r="G5971" s="501" t="s">
        <v>783</v>
      </c>
      <c r="H5971" s="501" t="s">
        <v>8158</v>
      </c>
      <c r="I5971" s="501">
        <v>19</v>
      </c>
      <c r="J5971" s="501">
        <v>0</v>
      </c>
      <c r="K5971" s="501">
        <v>0</v>
      </c>
      <c r="L5971" s="501">
        <v>0</v>
      </c>
      <c r="M5971" s="501">
        <v>19</v>
      </c>
      <c r="N5971" s="501">
        <v>0</v>
      </c>
      <c r="O5971" s="506">
        <v>0</v>
      </c>
    </row>
    <row r="5972" spans="1:15" x14ac:dyDescent="0.35">
      <c r="A5972" s="503" t="s">
        <v>11398</v>
      </c>
      <c r="B5972" s="504" t="s">
        <v>3224</v>
      </c>
      <c r="C5972" s="504" t="s">
        <v>1089</v>
      </c>
      <c r="D5972" s="504" t="s">
        <v>3392</v>
      </c>
      <c r="E5972" s="504" t="s">
        <v>3381</v>
      </c>
      <c r="F5972" s="504" t="s">
        <v>782</v>
      </c>
      <c r="G5972" s="504" t="s">
        <v>783</v>
      </c>
      <c r="H5972" s="504" t="s">
        <v>12205</v>
      </c>
      <c r="I5972" s="504">
        <v>7</v>
      </c>
      <c r="J5972" s="504">
        <v>0</v>
      </c>
      <c r="K5972" s="504">
        <v>0</v>
      </c>
      <c r="L5972" s="504">
        <v>7</v>
      </c>
      <c r="M5972" s="504">
        <v>0</v>
      </c>
      <c r="N5972" s="504">
        <v>0</v>
      </c>
      <c r="O5972" s="505">
        <v>0</v>
      </c>
    </row>
    <row r="5973" spans="1:15" x14ac:dyDescent="0.35">
      <c r="A5973" s="500" t="s">
        <v>1658</v>
      </c>
      <c r="B5973" s="501">
        <v>4683</v>
      </c>
      <c r="C5973" s="501" t="s">
        <v>1089</v>
      </c>
      <c r="D5973" s="501" t="s">
        <v>3392</v>
      </c>
      <c r="E5973" s="501" t="s">
        <v>3381</v>
      </c>
      <c r="F5973" s="501" t="s">
        <v>782</v>
      </c>
      <c r="G5973" s="501" t="s">
        <v>783</v>
      </c>
      <c r="H5973" s="501" t="s">
        <v>8159</v>
      </c>
      <c r="I5973" s="501">
        <v>20</v>
      </c>
      <c r="J5973" s="501">
        <v>20</v>
      </c>
      <c r="K5973" s="501">
        <v>0</v>
      </c>
      <c r="L5973" s="501">
        <v>0</v>
      </c>
      <c r="M5973" s="501">
        <v>0</v>
      </c>
      <c r="N5973" s="501">
        <v>0</v>
      </c>
      <c r="O5973" s="506">
        <v>0</v>
      </c>
    </row>
    <row r="5974" spans="1:15" x14ac:dyDescent="0.35">
      <c r="A5974" s="503" t="s">
        <v>1659</v>
      </c>
      <c r="B5974" s="504" t="s">
        <v>2531</v>
      </c>
      <c r="C5974" s="504" t="s">
        <v>1089</v>
      </c>
      <c r="D5974" s="504" t="s">
        <v>3392</v>
      </c>
      <c r="E5974" s="504" t="s">
        <v>3381</v>
      </c>
      <c r="F5974" s="504" t="s">
        <v>782</v>
      </c>
      <c r="G5974" s="504" t="s">
        <v>783</v>
      </c>
      <c r="H5974" s="504" t="s">
        <v>8160</v>
      </c>
      <c r="I5974" s="504">
        <v>10</v>
      </c>
      <c r="J5974" s="504">
        <v>10</v>
      </c>
      <c r="K5974" s="504">
        <v>0</v>
      </c>
      <c r="L5974" s="504">
        <v>0</v>
      </c>
      <c r="M5974" s="504">
        <v>0</v>
      </c>
      <c r="N5974" s="504">
        <v>0</v>
      </c>
      <c r="O5974" s="505">
        <v>0</v>
      </c>
    </row>
    <row r="5975" spans="1:15" x14ac:dyDescent="0.35">
      <c r="A5975" s="500" t="s">
        <v>1253</v>
      </c>
      <c r="B5975" s="501" t="s">
        <v>3232</v>
      </c>
      <c r="C5975" s="501" t="s">
        <v>1094</v>
      </c>
      <c r="D5975" s="501" t="s">
        <v>3380</v>
      </c>
      <c r="E5975" s="501" t="s">
        <v>3381</v>
      </c>
      <c r="F5975" s="501" t="s">
        <v>782</v>
      </c>
      <c r="G5975" s="501" t="s">
        <v>783</v>
      </c>
      <c r="H5975" s="501" t="s">
        <v>8161</v>
      </c>
      <c r="I5975" s="501">
        <v>444</v>
      </c>
      <c r="J5975" s="501">
        <v>313</v>
      </c>
      <c r="K5975" s="501">
        <v>0</v>
      </c>
      <c r="L5975" s="501">
        <v>29</v>
      </c>
      <c r="M5975" s="501">
        <v>0</v>
      </c>
      <c r="N5975" s="501">
        <v>0</v>
      </c>
      <c r="O5975" s="506">
        <v>102</v>
      </c>
    </row>
    <row r="5976" spans="1:15" x14ac:dyDescent="0.35">
      <c r="A5976" s="503" t="s">
        <v>1368</v>
      </c>
      <c r="B5976" s="504" t="s">
        <v>3220</v>
      </c>
      <c r="C5976" s="504" t="s">
        <v>1094</v>
      </c>
      <c r="D5976" s="504" t="s">
        <v>3380</v>
      </c>
      <c r="E5976" s="504" t="s">
        <v>3381</v>
      </c>
      <c r="F5976" s="504" t="s">
        <v>782</v>
      </c>
      <c r="G5976" s="504" t="s">
        <v>783</v>
      </c>
      <c r="H5976" s="504" t="s">
        <v>8162</v>
      </c>
      <c r="I5976" s="504">
        <v>164</v>
      </c>
      <c r="J5976" s="504">
        <v>133</v>
      </c>
      <c r="K5976" s="504">
        <v>0</v>
      </c>
      <c r="L5976" s="504">
        <v>0</v>
      </c>
      <c r="M5976" s="504">
        <v>0</v>
      </c>
      <c r="N5976" s="504">
        <v>0</v>
      </c>
      <c r="O5976" s="505">
        <v>31</v>
      </c>
    </row>
    <row r="5977" spans="1:15" x14ac:dyDescent="0.35">
      <c r="A5977" s="500" t="s">
        <v>1661</v>
      </c>
      <c r="B5977" s="501" t="s">
        <v>3345</v>
      </c>
      <c r="C5977" s="501" t="s">
        <v>1089</v>
      </c>
      <c r="D5977" s="501" t="s">
        <v>3392</v>
      </c>
      <c r="E5977" s="501" t="s">
        <v>3381</v>
      </c>
      <c r="F5977" s="501" t="s">
        <v>782</v>
      </c>
      <c r="G5977" s="501" t="s">
        <v>783</v>
      </c>
      <c r="H5977" s="501" t="s">
        <v>8163</v>
      </c>
      <c r="I5977" s="501">
        <v>16</v>
      </c>
      <c r="J5977" s="501">
        <v>0</v>
      </c>
      <c r="K5977" s="501">
        <v>0</v>
      </c>
      <c r="L5977" s="501">
        <v>16</v>
      </c>
      <c r="M5977" s="501">
        <v>0</v>
      </c>
      <c r="N5977" s="501">
        <v>0</v>
      </c>
      <c r="O5977" s="506">
        <v>0</v>
      </c>
    </row>
    <row r="5978" spans="1:15" x14ac:dyDescent="0.35">
      <c r="A5978" s="503" t="s">
        <v>1262</v>
      </c>
      <c r="B5978" s="504">
        <v>4772</v>
      </c>
      <c r="C5978" s="504" t="s">
        <v>1089</v>
      </c>
      <c r="D5978" s="504" t="s">
        <v>3392</v>
      </c>
      <c r="E5978" s="504" t="s">
        <v>3381</v>
      </c>
      <c r="F5978" s="504" t="s">
        <v>782</v>
      </c>
      <c r="G5978" s="504" t="s">
        <v>783</v>
      </c>
      <c r="H5978" s="504" t="s">
        <v>8164</v>
      </c>
      <c r="I5978" s="504">
        <v>5</v>
      </c>
      <c r="J5978" s="504">
        <v>0</v>
      </c>
      <c r="K5978" s="504">
        <v>0</v>
      </c>
      <c r="L5978" s="504">
        <v>5</v>
      </c>
      <c r="M5978" s="504">
        <v>0</v>
      </c>
      <c r="N5978" s="504">
        <v>0</v>
      </c>
      <c r="O5978" s="505">
        <v>0</v>
      </c>
    </row>
    <row r="5979" spans="1:15" x14ac:dyDescent="0.35">
      <c r="A5979" s="500" t="s">
        <v>1096</v>
      </c>
      <c r="B5979" s="501" t="s">
        <v>3326</v>
      </c>
      <c r="C5979" s="501" t="s">
        <v>1094</v>
      </c>
      <c r="D5979" s="501" t="s">
        <v>3380</v>
      </c>
      <c r="E5979" s="501" t="s">
        <v>3381</v>
      </c>
      <c r="F5979" s="501" t="s">
        <v>784</v>
      </c>
      <c r="G5979" s="501" t="s">
        <v>785</v>
      </c>
      <c r="H5979" s="501" t="s">
        <v>8165</v>
      </c>
      <c r="I5979" s="501">
        <v>154</v>
      </c>
      <c r="J5979" s="501">
        <v>3</v>
      </c>
      <c r="K5979" s="501">
        <v>0</v>
      </c>
      <c r="L5979" s="501">
        <v>0</v>
      </c>
      <c r="M5979" s="501">
        <v>151</v>
      </c>
      <c r="N5979" s="501">
        <v>0</v>
      </c>
      <c r="O5979" s="506">
        <v>0</v>
      </c>
    </row>
    <row r="5980" spans="1:15" x14ac:dyDescent="0.35">
      <c r="A5980" s="503" t="s">
        <v>1282</v>
      </c>
      <c r="B5980" s="504" t="s">
        <v>2953</v>
      </c>
      <c r="C5980" s="504" t="s">
        <v>1094</v>
      </c>
      <c r="D5980" s="504" t="s">
        <v>3380</v>
      </c>
      <c r="E5980" s="504" t="s">
        <v>3381</v>
      </c>
      <c r="F5980" s="504" t="s">
        <v>784</v>
      </c>
      <c r="G5980" s="504" t="s">
        <v>785</v>
      </c>
      <c r="H5980" s="504" t="s">
        <v>8167</v>
      </c>
      <c r="I5980" s="504">
        <v>1967</v>
      </c>
      <c r="J5980" s="504">
        <v>1678</v>
      </c>
      <c r="K5980" s="504">
        <v>0</v>
      </c>
      <c r="L5980" s="504">
        <v>116</v>
      </c>
      <c r="M5980" s="504">
        <v>168</v>
      </c>
      <c r="N5980" s="504">
        <v>0</v>
      </c>
      <c r="O5980" s="505">
        <v>5</v>
      </c>
    </row>
    <row r="5981" spans="1:15" x14ac:dyDescent="0.35">
      <c r="A5981" s="500" t="s">
        <v>1100</v>
      </c>
      <c r="B5981" s="501">
        <v>4865</v>
      </c>
      <c r="C5981" s="501" t="s">
        <v>1094</v>
      </c>
      <c r="D5981" s="501" t="s">
        <v>3380</v>
      </c>
      <c r="E5981" s="501" t="s">
        <v>3381</v>
      </c>
      <c r="F5981" s="501" t="s">
        <v>784</v>
      </c>
      <c r="G5981" s="501" t="s">
        <v>785</v>
      </c>
      <c r="H5981" s="501" t="s">
        <v>8168</v>
      </c>
      <c r="I5981" s="501">
        <v>251</v>
      </c>
      <c r="J5981" s="501">
        <v>189</v>
      </c>
      <c r="K5981" s="501">
        <v>0</v>
      </c>
      <c r="L5981" s="501">
        <v>2</v>
      </c>
      <c r="M5981" s="501">
        <v>0</v>
      </c>
      <c r="N5981" s="501">
        <v>0</v>
      </c>
      <c r="O5981" s="506">
        <v>60</v>
      </c>
    </row>
    <row r="5982" spans="1:15" x14ac:dyDescent="0.35">
      <c r="A5982" s="503" t="s">
        <v>1287</v>
      </c>
      <c r="B5982" s="504" t="s">
        <v>2784</v>
      </c>
      <c r="C5982" s="504" t="s">
        <v>1089</v>
      </c>
      <c r="D5982" s="504" t="s">
        <v>3392</v>
      </c>
      <c r="E5982" s="504" t="s">
        <v>3381</v>
      </c>
      <c r="F5982" s="504" t="s">
        <v>784</v>
      </c>
      <c r="G5982" s="504" t="s">
        <v>785</v>
      </c>
      <c r="H5982" s="504" t="s">
        <v>8169</v>
      </c>
      <c r="I5982" s="504">
        <v>1</v>
      </c>
      <c r="J5982" s="504">
        <v>1</v>
      </c>
      <c r="K5982" s="504">
        <v>0</v>
      </c>
      <c r="L5982" s="504">
        <v>0</v>
      </c>
      <c r="M5982" s="504">
        <v>0</v>
      </c>
      <c r="N5982" s="504">
        <v>0</v>
      </c>
      <c r="O5982" s="505">
        <v>0</v>
      </c>
    </row>
    <row r="5983" spans="1:15" x14ac:dyDescent="0.35">
      <c r="A5983" s="500" t="s">
        <v>1289</v>
      </c>
      <c r="B5983" s="501" t="s">
        <v>3285</v>
      </c>
      <c r="C5983" s="501" t="s">
        <v>1089</v>
      </c>
      <c r="D5983" s="501" t="s">
        <v>3392</v>
      </c>
      <c r="E5983" s="501" t="s">
        <v>3381</v>
      </c>
      <c r="F5983" s="501" t="s">
        <v>784</v>
      </c>
      <c r="G5983" s="501" t="s">
        <v>785</v>
      </c>
      <c r="H5983" s="501" t="s">
        <v>8170</v>
      </c>
      <c r="I5983" s="501">
        <v>51</v>
      </c>
      <c r="J5983" s="501">
        <v>0</v>
      </c>
      <c r="K5983" s="501">
        <v>0</v>
      </c>
      <c r="L5983" s="501">
        <v>0</v>
      </c>
      <c r="M5983" s="501">
        <v>51</v>
      </c>
      <c r="N5983" s="501">
        <v>0</v>
      </c>
      <c r="O5983" s="506">
        <v>0</v>
      </c>
    </row>
    <row r="5984" spans="1:15" x14ac:dyDescent="0.35">
      <c r="A5984" s="503" t="s">
        <v>1290</v>
      </c>
      <c r="B5984" s="504" t="s">
        <v>2979</v>
      </c>
      <c r="C5984" s="504" t="s">
        <v>1094</v>
      </c>
      <c r="D5984" s="504" t="s">
        <v>3380</v>
      </c>
      <c r="E5984" s="504" t="s">
        <v>3381</v>
      </c>
      <c r="F5984" s="504" t="s">
        <v>784</v>
      </c>
      <c r="G5984" s="504" t="s">
        <v>785</v>
      </c>
      <c r="H5984" s="504" t="s">
        <v>8171</v>
      </c>
      <c r="I5984" s="504">
        <v>719</v>
      </c>
      <c r="J5984" s="504">
        <v>572</v>
      </c>
      <c r="K5984" s="504">
        <v>0</v>
      </c>
      <c r="L5984" s="504">
        <v>44</v>
      </c>
      <c r="M5984" s="504">
        <v>67</v>
      </c>
      <c r="N5984" s="504">
        <v>0</v>
      </c>
      <c r="O5984" s="505">
        <v>36</v>
      </c>
    </row>
    <row r="5985" spans="1:15" x14ac:dyDescent="0.35">
      <c r="A5985" s="500" t="s">
        <v>1172</v>
      </c>
      <c r="B5985" s="501">
        <v>4648</v>
      </c>
      <c r="C5985" s="501" t="s">
        <v>1089</v>
      </c>
      <c r="D5985" s="501" t="s">
        <v>3392</v>
      </c>
      <c r="E5985" s="501" t="s">
        <v>3381</v>
      </c>
      <c r="F5985" s="501" t="s">
        <v>784</v>
      </c>
      <c r="G5985" s="501" t="s">
        <v>785</v>
      </c>
      <c r="H5985" s="501" t="s">
        <v>8172</v>
      </c>
      <c r="I5985" s="501">
        <v>2</v>
      </c>
      <c r="J5985" s="501">
        <v>0</v>
      </c>
      <c r="K5985" s="501">
        <v>0</v>
      </c>
      <c r="L5985" s="501">
        <v>2</v>
      </c>
      <c r="M5985" s="501">
        <v>0</v>
      </c>
      <c r="N5985" s="501">
        <v>0</v>
      </c>
      <c r="O5985" s="506">
        <v>0</v>
      </c>
    </row>
    <row r="5986" spans="1:15" x14ac:dyDescent="0.35">
      <c r="A5986" s="503" t="s">
        <v>1296</v>
      </c>
      <c r="B5986" s="504">
        <v>4651</v>
      </c>
      <c r="C5986" s="504" t="s">
        <v>1094</v>
      </c>
      <c r="D5986" s="504" t="s">
        <v>3380</v>
      </c>
      <c r="E5986" s="504" t="s">
        <v>3381</v>
      </c>
      <c r="F5986" s="504" t="s">
        <v>784</v>
      </c>
      <c r="G5986" s="504" t="s">
        <v>785</v>
      </c>
      <c r="H5986" s="504" t="s">
        <v>8173</v>
      </c>
      <c r="I5986" s="504">
        <v>581</v>
      </c>
      <c r="J5986" s="504">
        <v>495</v>
      </c>
      <c r="K5986" s="504">
        <v>0</v>
      </c>
      <c r="L5986" s="504">
        <v>0</v>
      </c>
      <c r="M5986" s="504">
        <v>35</v>
      </c>
      <c r="N5986" s="504">
        <v>0</v>
      </c>
      <c r="O5986" s="505">
        <v>51</v>
      </c>
    </row>
    <row r="5987" spans="1:15" x14ac:dyDescent="0.35">
      <c r="A5987" s="500" t="s">
        <v>14208</v>
      </c>
      <c r="B5987" s="501">
        <v>4803</v>
      </c>
      <c r="C5987" s="501" t="s">
        <v>1094</v>
      </c>
      <c r="D5987" s="501" t="s">
        <v>3380</v>
      </c>
      <c r="E5987" s="501" t="s">
        <v>3381</v>
      </c>
      <c r="F5987" s="501" t="s">
        <v>784</v>
      </c>
      <c r="G5987" s="501" t="s">
        <v>785</v>
      </c>
      <c r="H5987" s="501" t="s">
        <v>14946</v>
      </c>
      <c r="I5987" s="501">
        <v>6</v>
      </c>
      <c r="J5987" s="501">
        <v>0</v>
      </c>
      <c r="K5987" s="501">
        <v>0</v>
      </c>
      <c r="L5987" s="501">
        <v>6</v>
      </c>
      <c r="M5987" s="501">
        <v>0</v>
      </c>
      <c r="N5987" s="501">
        <v>0</v>
      </c>
      <c r="O5987" s="506">
        <v>0</v>
      </c>
    </row>
    <row r="5988" spans="1:15" x14ac:dyDescent="0.35">
      <c r="A5988" s="503" t="s">
        <v>1300</v>
      </c>
      <c r="B5988" s="504" t="s">
        <v>2467</v>
      </c>
      <c r="C5988" s="504" t="s">
        <v>1089</v>
      </c>
      <c r="D5988" s="504" t="s">
        <v>3392</v>
      </c>
      <c r="E5988" s="504" t="s">
        <v>3381</v>
      </c>
      <c r="F5988" s="504" t="s">
        <v>784</v>
      </c>
      <c r="G5988" s="504" t="s">
        <v>785</v>
      </c>
      <c r="H5988" s="504" t="s">
        <v>8174</v>
      </c>
      <c r="I5988" s="504">
        <v>98</v>
      </c>
      <c r="J5988" s="504">
        <v>0</v>
      </c>
      <c r="K5988" s="504">
        <v>0</v>
      </c>
      <c r="L5988" s="504">
        <v>0</v>
      </c>
      <c r="M5988" s="504">
        <v>98</v>
      </c>
      <c r="N5988" s="504">
        <v>0</v>
      </c>
      <c r="O5988" s="505">
        <v>0</v>
      </c>
    </row>
    <row r="5989" spans="1:15" x14ac:dyDescent="0.35">
      <c r="A5989" s="500" t="s">
        <v>1185</v>
      </c>
      <c r="B5989" s="501" t="s">
        <v>3253</v>
      </c>
      <c r="C5989" s="501" t="s">
        <v>1094</v>
      </c>
      <c r="D5989" s="501" t="s">
        <v>3380</v>
      </c>
      <c r="E5989" s="501" t="s">
        <v>3381</v>
      </c>
      <c r="F5989" s="501" t="s">
        <v>784</v>
      </c>
      <c r="G5989" s="501" t="s">
        <v>785</v>
      </c>
      <c r="H5989" s="501" t="s">
        <v>8175</v>
      </c>
      <c r="I5989" s="501">
        <v>46</v>
      </c>
      <c r="J5989" s="501">
        <v>31</v>
      </c>
      <c r="K5989" s="501">
        <v>0</v>
      </c>
      <c r="L5989" s="501">
        <v>15</v>
      </c>
      <c r="M5989" s="501">
        <v>0</v>
      </c>
      <c r="N5989" s="501">
        <v>0</v>
      </c>
      <c r="O5989" s="506">
        <v>0</v>
      </c>
    </row>
    <row r="5990" spans="1:15" x14ac:dyDescent="0.35">
      <c r="A5990" s="503" t="s">
        <v>1107</v>
      </c>
      <c r="B5990" s="504" t="s">
        <v>3109</v>
      </c>
      <c r="C5990" s="504" t="s">
        <v>1094</v>
      </c>
      <c r="D5990" s="504" t="s">
        <v>3380</v>
      </c>
      <c r="E5990" s="504" t="s">
        <v>3381</v>
      </c>
      <c r="F5990" s="504" t="s">
        <v>784</v>
      </c>
      <c r="G5990" s="504" t="s">
        <v>785</v>
      </c>
      <c r="H5990" s="504" t="s">
        <v>8176</v>
      </c>
      <c r="I5990" s="504">
        <v>34</v>
      </c>
      <c r="J5990" s="504">
        <v>0</v>
      </c>
      <c r="K5990" s="504">
        <v>0</v>
      </c>
      <c r="L5990" s="504">
        <v>34</v>
      </c>
      <c r="M5990" s="504">
        <v>0</v>
      </c>
      <c r="N5990" s="504">
        <v>0</v>
      </c>
      <c r="O5990" s="505">
        <v>0</v>
      </c>
    </row>
    <row r="5991" spans="1:15" x14ac:dyDescent="0.35">
      <c r="A5991" s="500" t="s">
        <v>1109</v>
      </c>
      <c r="B5991" s="501" t="s">
        <v>2959</v>
      </c>
      <c r="C5991" s="501" t="s">
        <v>1094</v>
      </c>
      <c r="D5991" s="501" t="s">
        <v>3380</v>
      </c>
      <c r="E5991" s="501" t="s">
        <v>3381</v>
      </c>
      <c r="F5991" s="501" t="s">
        <v>784</v>
      </c>
      <c r="G5991" s="501" t="s">
        <v>785</v>
      </c>
      <c r="H5991" s="501" t="s">
        <v>8177</v>
      </c>
      <c r="I5991" s="501">
        <v>73</v>
      </c>
      <c r="J5991" s="501">
        <v>0</v>
      </c>
      <c r="K5991" s="501">
        <v>0</v>
      </c>
      <c r="L5991" s="501">
        <v>0</v>
      </c>
      <c r="M5991" s="501">
        <v>73</v>
      </c>
      <c r="N5991" s="501">
        <v>0</v>
      </c>
      <c r="O5991" s="506">
        <v>0</v>
      </c>
    </row>
    <row r="5992" spans="1:15" x14ac:dyDescent="0.35">
      <c r="A5992" s="503" t="s">
        <v>1202</v>
      </c>
      <c r="B5992" s="504" t="s">
        <v>3217</v>
      </c>
      <c r="C5992" s="504" t="s">
        <v>1094</v>
      </c>
      <c r="D5992" s="504" t="s">
        <v>3380</v>
      </c>
      <c r="E5992" s="504" t="s">
        <v>3381</v>
      </c>
      <c r="F5992" s="504" t="s">
        <v>784</v>
      </c>
      <c r="G5992" s="504" t="s">
        <v>785</v>
      </c>
      <c r="H5992" s="504" t="s">
        <v>8178</v>
      </c>
      <c r="I5992" s="504">
        <v>1</v>
      </c>
      <c r="J5992" s="504">
        <v>0</v>
      </c>
      <c r="K5992" s="504">
        <v>0</v>
      </c>
      <c r="L5992" s="504">
        <v>0</v>
      </c>
      <c r="M5992" s="504">
        <v>0</v>
      </c>
      <c r="N5992" s="504">
        <v>0</v>
      </c>
      <c r="O5992" s="505">
        <v>1</v>
      </c>
    </row>
    <row r="5993" spans="1:15" x14ac:dyDescent="0.35">
      <c r="A5993" s="500" t="s">
        <v>1112</v>
      </c>
      <c r="B5993" s="501" t="s">
        <v>3008</v>
      </c>
      <c r="C5993" s="501" t="s">
        <v>1094</v>
      </c>
      <c r="D5993" s="501" t="s">
        <v>3380</v>
      </c>
      <c r="E5993" s="501" t="s">
        <v>3381</v>
      </c>
      <c r="F5993" s="501" t="s">
        <v>784</v>
      </c>
      <c r="G5993" s="501" t="s">
        <v>785</v>
      </c>
      <c r="H5993" s="501" t="s">
        <v>8179</v>
      </c>
      <c r="I5993" s="501">
        <v>20</v>
      </c>
      <c r="J5993" s="501">
        <v>16</v>
      </c>
      <c r="K5993" s="501">
        <v>0</v>
      </c>
      <c r="L5993" s="501">
        <v>0</v>
      </c>
      <c r="M5993" s="501">
        <v>0</v>
      </c>
      <c r="N5993" s="501">
        <v>0</v>
      </c>
      <c r="O5993" s="506">
        <v>4</v>
      </c>
    </row>
    <row r="5994" spans="1:15" x14ac:dyDescent="0.35">
      <c r="A5994" s="503" t="s">
        <v>1114</v>
      </c>
      <c r="B5994" s="504" t="s">
        <v>2982</v>
      </c>
      <c r="C5994" s="504" t="s">
        <v>1094</v>
      </c>
      <c r="D5994" s="504" t="s">
        <v>3380</v>
      </c>
      <c r="E5994" s="504" t="s">
        <v>3381</v>
      </c>
      <c r="F5994" s="504" t="s">
        <v>784</v>
      </c>
      <c r="G5994" s="504" t="s">
        <v>785</v>
      </c>
      <c r="H5994" s="504" t="s">
        <v>8180</v>
      </c>
      <c r="I5994" s="504">
        <v>2</v>
      </c>
      <c r="J5994" s="504">
        <v>0</v>
      </c>
      <c r="K5994" s="504">
        <v>0</v>
      </c>
      <c r="L5994" s="504">
        <v>0</v>
      </c>
      <c r="M5994" s="504">
        <v>0</v>
      </c>
      <c r="N5994" s="504">
        <v>0</v>
      </c>
      <c r="O5994" s="505">
        <v>2</v>
      </c>
    </row>
    <row r="5995" spans="1:15" x14ac:dyDescent="0.35">
      <c r="A5995" s="500" t="s">
        <v>1317</v>
      </c>
      <c r="B5995" s="501" t="s">
        <v>2444</v>
      </c>
      <c r="C5995" s="501" t="s">
        <v>1089</v>
      </c>
      <c r="D5995" s="501" t="s">
        <v>3392</v>
      </c>
      <c r="E5995" s="501" t="s">
        <v>3381</v>
      </c>
      <c r="F5995" s="501" t="s">
        <v>784</v>
      </c>
      <c r="G5995" s="501" t="s">
        <v>785</v>
      </c>
      <c r="H5995" s="501" t="s">
        <v>8181</v>
      </c>
      <c r="I5995" s="501">
        <v>69</v>
      </c>
      <c r="J5995" s="501">
        <v>0</v>
      </c>
      <c r="K5995" s="501">
        <v>0</v>
      </c>
      <c r="L5995" s="501">
        <v>12</v>
      </c>
      <c r="M5995" s="501">
        <v>57</v>
      </c>
      <c r="N5995" s="501">
        <v>0</v>
      </c>
      <c r="O5995" s="506">
        <v>0</v>
      </c>
    </row>
    <row r="5996" spans="1:15" x14ac:dyDescent="0.35">
      <c r="A5996" s="503" t="s">
        <v>1318</v>
      </c>
      <c r="B5996" s="504" t="s">
        <v>3052</v>
      </c>
      <c r="C5996" s="504" t="s">
        <v>1089</v>
      </c>
      <c r="D5996" s="504" t="s">
        <v>3392</v>
      </c>
      <c r="E5996" s="504" t="s">
        <v>3381</v>
      </c>
      <c r="F5996" s="504" t="s">
        <v>784</v>
      </c>
      <c r="G5996" s="504" t="s">
        <v>785</v>
      </c>
      <c r="H5996" s="504" t="s">
        <v>8182</v>
      </c>
      <c r="I5996" s="504">
        <v>291</v>
      </c>
      <c r="J5996" s="504">
        <v>12</v>
      </c>
      <c r="K5996" s="504">
        <v>0</v>
      </c>
      <c r="L5996" s="504">
        <v>0</v>
      </c>
      <c r="M5996" s="504">
        <v>279</v>
      </c>
      <c r="N5996" s="504">
        <v>6</v>
      </c>
      <c r="O5996" s="505">
        <v>0</v>
      </c>
    </row>
    <row r="5997" spans="1:15" x14ac:dyDescent="0.35">
      <c r="A5997" s="500" t="s">
        <v>1218</v>
      </c>
      <c r="B5997" s="501" t="s">
        <v>3147</v>
      </c>
      <c r="C5997" s="501" t="s">
        <v>1094</v>
      </c>
      <c r="D5997" s="501" t="s">
        <v>3380</v>
      </c>
      <c r="E5997" s="501" t="s">
        <v>3381</v>
      </c>
      <c r="F5997" s="501" t="s">
        <v>784</v>
      </c>
      <c r="G5997" s="501" t="s">
        <v>785</v>
      </c>
      <c r="H5997" s="501" t="s">
        <v>8183</v>
      </c>
      <c r="I5997" s="501">
        <v>131</v>
      </c>
      <c r="J5997" s="501">
        <v>0</v>
      </c>
      <c r="K5997" s="501">
        <v>0</v>
      </c>
      <c r="L5997" s="501">
        <v>0</v>
      </c>
      <c r="M5997" s="501">
        <v>0</v>
      </c>
      <c r="N5997" s="501">
        <v>0</v>
      </c>
      <c r="O5997" s="506">
        <v>131</v>
      </c>
    </row>
    <row r="5998" spans="1:15" x14ac:dyDescent="0.35">
      <c r="A5998" s="503" t="s">
        <v>11367</v>
      </c>
      <c r="B5998" s="504" t="s">
        <v>3143</v>
      </c>
      <c r="C5998" s="504" t="s">
        <v>1094</v>
      </c>
      <c r="D5998" s="504" t="s">
        <v>3380</v>
      </c>
      <c r="E5998" s="504" t="s">
        <v>3381</v>
      </c>
      <c r="F5998" s="504" t="s">
        <v>784</v>
      </c>
      <c r="G5998" s="504" t="s">
        <v>785</v>
      </c>
      <c r="H5998" s="504" t="s">
        <v>11942</v>
      </c>
      <c r="I5998" s="504">
        <v>703</v>
      </c>
      <c r="J5998" s="504">
        <v>642</v>
      </c>
      <c r="K5998" s="504">
        <v>0</v>
      </c>
      <c r="L5998" s="504">
        <v>6</v>
      </c>
      <c r="M5998" s="504">
        <v>55</v>
      </c>
      <c r="N5998" s="504">
        <v>0</v>
      </c>
      <c r="O5998" s="505">
        <v>0</v>
      </c>
    </row>
    <row r="5999" spans="1:15" x14ac:dyDescent="0.35">
      <c r="A5999" s="500" t="s">
        <v>1326</v>
      </c>
      <c r="B5999" s="501" t="s">
        <v>2954</v>
      </c>
      <c r="C5999" s="501" t="s">
        <v>1094</v>
      </c>
      <c r="D5999" s="501" t="s">
        <v>3380</v>
      </c>
      <c r="E5999" s="501" t="s">
        <v>3381</v>
      </c>
      <c r="F5999" s="501" t="s">
        <v>784</v>
      </c>
      <c r="G5999" s="501" t="s">
        <v>785</v>
      </c>
      <c r="H5999" s="501" t="s">
        <v>8184</v>
      </c>
      <c r="I5999" s="501">
        <v>257</v>
      </c>
      <c r="J5999" s="501">
        <v>214</v>
      </c>
      <c r="K5999" s="501">
        <v>0</v>
      </c>
      <c r="L5999" s="501">
        <v>33</v>
      </c>
      <c r="M5999" s="501">
        <v>0</v>
      </c>
      <c r="N5999" s="501">
        <v>0</v>
      </c>
      <c r="O5999" s="506">
        <v>10</v>
      </c>
    </row>
    <row r="6000" spans="1:15" x14ac:dyDescent="0.35">
      <c r="A6000" s="503" t="s">
        <v>1122</v>
      </c>
      <c r="B6000" s="504" t="s">
        <v>2994</v>
      </c>
      <c r="C6000" s="504" t="s">
        <v>1094</v>
      </c>
      <c r="D6000" s="504" t="s">
        <v>3380</v>
      </c>
      <c r="E6000" s="504" t="s">
        <v>3381</v>
      </c>
      <c r="F6000" s="504" t="s">
        <v>784</v>
      </c>
      <c r="G6000" s="504" t="s">
        <v>785</v>
      </c>
      <c r="H6000" s="504" t="s">
        <v>8185</v>
      </c>
      <c r="I6000" s="504">
        <v>227</v>
      </c>
      <c r="J6000" s="504">
        <v>227</v>
      </c>
      <c r="K6000" s="504">
        <v>0</v>
      </c>
      <c r="L6000" s="504">
        <v>0</v>
      </c>
      <c r="M6000" s="504">
        <v>0</v>
      </c>
      <c r="N6000" s="504">
        <v>0</v>
      </c>
      <c r="O6000" s="505">
        <v>0</v>
      </c>
    </row>
    <row r="6001" spans="1:15" x14ac:dyDescent="0.35">
      <c r="A6001" s="500" t="s">
        <v>1124</v>
      </c>
      <c r="B6001" s="501">
        <v>4745</v>
      </c>
      <c r="C6001" s="501" t="s">
        <v>1094</v>
      </c>
      <c r="D6001" s="501" t="s">
        <v>3380</v>
      </c>
      <c r="E6001" s="501" t="s">
        <v>3381</v>
      </c>
      <c r="F6001" s="501" t="s">
        <v>784</v>
      </c>
      <c r="G6001" s="501" t="s">
        <v>785</v>
      </c>
      <c r="H6001" s="501" t="s">
        <v>8186</v>
      </c>
      <c r="I6001" s="501">
        <v>34</v>
      </c>
      <c r="J6001" s="501">
        <v>0</v>
      </c>
      <c r="K6001" s="501">
        <v>0</v>
      </c>
      <c r="L6001" s="501">
        <v>34</v>
      </c>
      <c r="M6001" s="501">
        <v>0</v>
      </c>
      <c r="N6001" s="501">
        <v>0</v>
      </c>
      <c r="O6001" s="506">
        <v>0</v>
      </c>
    </row>
    <row r="6002" spans="1:15" x14ac:dyDescent="0.35">
      <c r="A6002" s="503" t="s">
        <v>1339</v>
      </c>
      <c r="B6002" s="504" t="s">
        <v>3358</v>
      </c>
      <c r="C6002" s="504" t="s">
        <v>1094</v>
      </c>
      <c r="D6002" s="504" t="s">
        <v>3380</v>
      </c>
      <c r="E6002" s="504" t="s">
        <v>3381</v>
      </c>
      <c r="F6002" s="504" t="s">
        <v>784</v>
      </c>
      <c r="G6002" s="504" t="s">
        <v>785</v>
      </c>
      <c r="H6002" s="504" t="s">
        <v>8187</v>
      </c>
      <c r="I6002" s="504">
        <v>153</v>
      </c>
      <c r="J6002" s="504">
        <v>59</v>
      </c>
      <c r="K6002" s="504">
        <v>0</v>
      </c>
      <c r="L6002" s="504">
        <v>0</v>
      </c>
      <c r="M6002" s="504">
        <v>92</v>
      </c>
      <c r="N6002" s="504">
        <v>0</v>
      </c>
      <c r="O6002" s="505">
        <v>2</v>
      </c>
    </row>
    <row r="6003" spans="1:15" x14ac:dyDescent="0.35">
      <c r="A6003" s="500" t="s">
        <v>1235</v>
      </c>
      <c r="B6003" s="501">
        <v>4684</v>
      </c>
      <c r="C6003" s="501" t="s">
        <v>1094</v>
      </c>
      <c r="D6003" s="501" t="s">
        <v>3380</v>
      </c>
      <c r="E6003" s="501" t="s">
        <v>3381</v>
      </c>
      <c r="F6003" s="501" t="s">
        <v>784</v>
      </c>
      <c r="G6003" s="501" t="s">
        <v>785</v>
      </c>
      <c r="H6003" s="501" t="s">
        <v>8188</v>
      </c>
      <c r="I6003" s="501">
        <v>51</v>
      </c>
      <c r="J6003" s="501">
        <v>0</v>
      </c>
      <c r="K6003" s="501">
        <v>0</v>
      </c>
      <c r="L6003" s="501">
        <v>51</v>
      </c>
      <c r="M6003" s="501">
        <v>0</v>
      </c>
      <c r="N6003" s="501">
        <v>0</v>
      </c>
      <c r="O6003" s="506">
        <v>0</v>
      </c>
    </row>
    <row r="6004" spans="1:15" x14ac:dyDescent="0.35">
      <c r="A6004" s="503" t="s">
        <v>1130</v>
      </c>
      <c r="B6004" s="504" t="s">
        <v>3234</v>
      </c>
      <c r="C6004" s="504" t="s">
        <v>1094</v>
      </c>
      <c r="D6004" s="504" t="s">
        <v>3380</v>
      </c>
      <c r="E6004" s="504" t="s">
        <v>3381</v>
      </c>
      <c r="F6004" s="504" t="s">
        <v>784</v>
      </c>
      <c r="G6004" s="504" t="s">
        <v>785</v>
      </c>
      <c r="H6004" s="504" t="s">
        <v>8189</v>
      </c>
      <c r="I6004" s="504">
        <v>1</v>
      </c>
      <c r="J6004" s="504">
        <v>0</v>
      </c>
      <c r="K6004" s="504">
        <v>0</v>
      </c>
      <c r="L6004" s="504">
        <v>0</v>
      </c>
      <c r="M6004" s="504">
        <v>0</v>
      </c>
      <c r="N6004" s="504">
        <v>0</v>
      </c>
      <c r="O6004" s="505">
        <v>1</v>
      </c>
    </row>
    <row r="6005" spans="1:15" x14ac:dyDescent="0.35">
      <c r="A6005" s="500" t="s">
        <v>1134</v>
      </c>
      <c r="B6005" s="501" t="s">
        <v>3066</v>
      </c>
      <c r="C6005" s="501" t="s">
        <v>1094</v>
      </c>
      <c r="D6005" s="501" t="s">
        <v>3380</v>
      </c>
      <c r="E6005" s="501" t="s">
        <v>3381</v>
      </c>
      <c r="F6005" s="501" t="s">
        <v>784</v>
      </c>
      <c r="G6005" s="501" t="s">
        <v>785</v>
      </c>
      <c r="H6005" s="501" t="s">
        <v>8190</v>
      </c>
      <c r="I6005" s="501">
        <v>25</v>
      </c>
      <c r="J6005" s="501">
        <v>0</v>
      </c>
      <c r="K6005" s="501">
        <v>0</v>
      </c>
      <c r="L6005" s="501">
        <v>0</v>
      </c>
      <c r="M6005" s="501">
        <v>25</v>
      </c>
      <c r="N6005" s="501">
        <v>0</v>
      </c>
      <c r="O6005" s="506">
        <v>0</v>
      </c>
    </row>
    <row r="6006" spans="1:15" x14ac:dyDescent="0.35">
      <c r="A6006" s="503" t="s">
        <v>1249</v>
      </c>
      <c r="B6006" s="504">
        <v>4729</v>
      </c>
      <c r="C6006" s="504" t="s">
        <v>1094</v>
      </c>
      <c r="D6006" s="504" t="s">
        <v>3380</v>
      </c>
      <c r="E6006" s="504" t="s">
        <v>3381</v>
      </c>
      <c r="F6006" s="504" t="s">
        <v>784</v>
      </c>
      <c r="G6006" s="504" t="s">
        <v>785</v>
      </c>
      <c r="H6006" s="504" t="s">
        <v>12210</v>
      </c>
      <c r="I6006" s="504">
        <v>1</v>
      </c>
      <c r="J6006" s="504">
        <v>1</v>
      </c>
      <c r="K6006" s="504">
        <v>0</v>
      </c>
      <c r="L6006" s="504">
        <v>0</v>
      </c>
      <c r="M6006" s="504">
        <v>0</v>
      </c>
      <c r="N6006" s="504">
        <v>0</v>
      </c>
      <c r="O6006" s="505">
        <v>0</v>
      </c>
    </row>
    <row r="6007" spans="1:15" x14ac:dyDescent="0.35">
      <c r="A6007" s="500" t="s">
        <v>1367</v>
      </c>
      <c r="B6007" s="501" t="s">
        <v>2541</v>
      </c>
      <c r="C6007" s="501" t="s">
        <v>1089</v>
      </c>
      <c r="D6007" s="501" t="s">
        <v>3392</v>
      </c>
      <c r="E6007" s="501" t="s">
        <v>3381</v>
      </c>
      <c r="F6007" s="501" t="s">
        <v>784</v>
      </c>
      <c r="G6007" s="501" t="s">
        <v>785</v>
      </c>
      <c r="H6007" s="501" t="s">
        <v>8191</v>
      </c>
      <c r="I6007" s="501">
        <v>25</v>
      </c>
      <c r="J6007" s="501">
        <v>3</v>
      </c>
      <c r="K6007" s="501">
        <v>0</v>
      </c>
      <c r="L6007" s="501">
        <v>0</v>
      </c>
      <c r="M6007" s="501">
        <v>22</v>
      </c>
      <c r="N6007" s="501">
        <v>0</v>
      </c>
      <c r="O6007" s="506">
        <v>0</v>
      </c>
    </row>
    <row r="6008" spans="1:15" x14ac:dyDescent="0.35">
      <c r="A6008" s="503" t="s">
        <v>1383</v>
      </c>
      <c r="B6008" s="504" t="s">
        <v>2928</v>
      </c>
      <c r="C6008" s="504" t="s">
        <v>1089</v>
      </c>
      <c r="D6008" s="504" t="s">
        <v>3392</v>
      </c>
      <c r="E6008" s="504" t="s">
        <v>3381</v>
      </c>
      <c r="F6008" s="504" t="s">
        <v>784</v>
      </c>
      <c r="G6008" s="504" t="s">
        <v>785</v>
      </c>
      <c r="H6008" s="504" t="s">
        <v>8192</v>
      </c>
      <c r="I6008" s="504">
        <v>154</v>
      </c>
      <c r="J6008" s="504">
        <v>0</v>
      </c>
      <c r="K6008" s="504">
        <v>0</v>
      </c>
      <c r="L6008" s="504">
        <v>154</v>
      </c>
      <c r="M6008" s="504">
        <v>0</v>
      </c>
      <c r="N6008" s="504">
        <v>0</v>
      </c>
      <c r="O6008" s="505">
        <v>0</v>
      </c>
    </row>
    <row r="6009" spans="1:15" x14ac:dyDescent="0.35">
      <c r="A6009" s="500" t="s">
        <v>1156</v>
      </c>
      <c r="B6009" s="501" t="s">
        <v>3310</v>
      </c>
      <c r="C6009" s="501" t="s">
        <v>1094</v>
      </c>
      <c r="D6009" s="501" t="s">
        <v>3380</v>
      </c>
      <c r="E6009" s="501" t="s">
        <v>3381</v>
      </c>
      <c r="F6009" s="501" t="s">
        <v>784</v>
      </c>
      <c r="G6009" s="501" t="s">
        <v>785</v>
      </c>
      <c r="H6009" s="501" t="s">
        <v>8166</v>
      </c>
      <c r="I6009" s="501">
        <v>1</v>
      </c>
      <c r="J6009" s="501">
        <v>0</v>
      </c>
      <c r="K6009" s="501">
        <v>0</v>
      </c>
      <c r="L6009" s="501">
        <v>0</v>
      </c>
      <c r="M6009" s="501">
        <v>0</v>
      </c>
      <c r="N6009" s="501">
        <v>0</v>
      </c>
      <c r="O6009" s="506">
        <v>1</v>
      </c>
    </row>
    <row r="6010" spans="1:15" x14ac:dyDescent="0.35">
      <c r="A6010" s="503" t="s">
        <v>1193</v>
      </c>
      <c r="B6010" s="504" t="s">
        <v>3039</v>
      </c>
      <c r="C6010" s="504" t="s">
        <v>1094</v>
      </c>
      <c r="D6010" s="504" t="s">
        <v>3380</v>
      </c>
      <c r="E6010" s="504" t="s">
        <v>3381</v>
      </c>
      <c r="F6010" s="504" t="s">
        <v>786</v>
      </c>
      <c r="G6010" s="504" t="s">
        <v>787</v>
      </c>
      <c r="H6010" s="504" t="s">
        <v>8207</v>
      </c>
      <c r="I6010" s="504">
        <v>68</v>
      </c>
      <c r="J6010" s="504">
        <v>0</v>
      </c>
      <c r="K6010" s="504">
        <v>0</v>
      </c>
      <c r="L6010" s="504">
        <v>0</v>
      </c>
      <c r="M6010" s="504">
        <v>68</v>
      </c>
      <c r="N6010" s="504">
        <v>0</v>
      </c>
      <c r="O6010" s="505">
        <v>0</v>
      </c>
    </row>
    <row r="6011" spans="1:15" x14ac:dyDescent="0.35">
      <c r="A6011" s="500" t="s">
        <v>1143</v>
      </c>
      <c r="B6011" s="501" t="s">
        <v>3281</v>
      </c>
      <c r="C6011" s="501" t="s">
        <v>1094</v>
      </c>
      <c r="D6011" s="501" t="s">
        <v>3380</v>
      </c>
      <c r="E6011" s="501" t="s">
        <v>3381</v>
      </c>
      <c r="F6011" s="501" t="s">
        <v>786</v>
      </c>
      <c r="G6011" s="501" t="s">
        <v>787</v>
      </c>
      <c r="H6011" s="501" t="s">
        <v>8193</v>
      </c>
      <c r="I6011" s="501">
        <v>64</v>
      </c>
      <c r="J6011" s="501">
        <v>12</v>
      </c>
      <c r="K6011" s="501">
        <v>0</v>
      </c>
      <c r="L6011" s="501">
        <v>0</v>
      </c>
      <c r="M6011" s="501">
        <v>52</v>
      </c>
      <c r="N6011" s="501">
        <v>0</v>
      </c>
      <c r="O6011" s="506">
        <v>0</v>
      </c>
    </row>
    <row r="6012" spans="1:15" x14ac:dyDescent="0.35">
      <c r="A6012" s="503" t="s">
        <v>1093</v>
      </c>
      <c r="B6012" s="504" t="s">
        <v>3248</v>
      </c>
      <c r="C6012" s="504" t="s">
        <v>1094</v>
      </c>
      <c r="D6012" s="504" t="s">
        <v>3380</v>
      </c>
      <c r="E6012" s="504" t="s">
        <v>3381</v>
      </c>
      <c r="F6012" s="504" t="s">
        <v>786</v>
      </c>
      <c r="G6012" s="504" t="s">
        <v>787</v>
      </c>
      <c r="H6012" s="504" t="s">
        <v>8194</v>
      </c>
      <c r="I6012" s="504">
        <v>7</v>
      </c>
      <c r="J6012" s="504">
        <v>0</v>
      </c>
      <c r="K6012" s="504">
        <v>0</v>
      </c>
      <c r="L6012" s="504">
        <v>4</v>
      </c>
      <c r="M6012" s="504">
        <v>0</v>
      </c>
      <c r="N6012" s="504">
        <v>0</v>
      </c>
      <c r="O6012" s="505">
        <v>3</v>
      </c>
    </row>
    <row r="6013" spans="1:15" x14ac:dyDescent="0.35">
      <c r="A6013" s="500" t="s">
        <v>1096</v>
      </c>
      <c r="B6013" s="501" t="s">
        <v>3326</v>
      </c>
      <c r="C6013" s="501" t="s">
        <v>1094</v>
      </c>
      <c r="D6013" s="501" t="s">
        <v>3380</v>
      </c>
      <c r="E6013" s="501" t="s">
        <v>3381</v>
      </c>
      <c r="F6013" s="501" t="s">
        <v>786</v>
      </c>
      <c r="G6013" s="501" t="s">
        <v>787</v>
      </c>
      <c r="H6013" s="501" t="s">
        <v>8195</v>
      </c>
      <c r="I6013" s="501">
        <v>430</v>
      </c>
      <c r="J6013" s="501">
        <v>0</v>
      </c>
      <c r="K6013" s="501">
        <v>0</v>
      </c>
      <c r="L6013" s="501">
        <v>0</v>
      </c>
      <c r="M6013" s="501">
        <v>422</v>
      </c>
      <c r="N6013" s="501">
        <v>0</v>
      </c>
      <c r="O6013" s="506">
        <v>8</v>
      </c>
    </row>
    <row r="6014" spans="1:15" x14ac:dyDescent="0.35">
      <c r="A6014" s="503" t="s">
        <v>11363</v>
      </c>
      <c r="B6014" s="504">
        <v>4718</v>
      </c>
      <c r="C6014" s="504" t="s">
        <v>1094</v>
      </c>
      <c r="D6014" s="504" t="s">
        <v>3380</v>
      </c>
      <c r="E6014" s="504" t="s">
        <v>3381</v>
      </c>
      <c r="F6014" s="504" t="s">
        <v>786</v>
      </c>
      <c r="G6014" s="504" t="s">
        <v>787</v>
      </c>
      <c r="H6014" s="504" t="s">
        <v>11572</v>
      </c>
      <c r="I6014" s="504">
        <v>24</v>
      </c>
      <c r="J6014" s="504">
        <v>0</v>
      </c>
      <c r="K6014" s="504">
        <v>0</v>
      </c>
      <c r="L6014" s="504">
        <v>24</v>
      </c>
      <c r="M6014" s="504">
        <v>0</v>
      </c>
      <c r="N6014" s="504">
        <v>0</v>
      </c>
      <c r="O6014" s="505">
        <v>0</v>
      </c>
    </row>
    <row r="6015" spans="1:15" x14ac:dyDescent="0.35">
      <c r="A6015" s="500" t="s">
        <v>1160</v>
      </c>
      <c r="B6015" s="501">
        <v>4672</v>
      </c>
      <c r="C6015" s="501" t="s">
        <v>1089</v>
      </c>
      <c r="D6015" s="501" t="s">
        <v>3392</v>
      </c>
      <c r="E6015" s="501" t="s">
        <v>3381</v>
      </c>
      <c r="F6015" s="501" t="s">
        <v>786</v>
      </c>
      <c r="G6015" s="501" t="s">
        <v>787</v>
      </c>
      <c r="H6015" s="501" t="s">
        <v>8196</v>
      </c>
      <c r="I6015" s="501">
        <v>8</v>
      </c>
      <c r="J6015" s="501">
        <v>0</v>
      </c>
      <c r="K6015" s="501">
        <v>0</v>
      </c>
      <c r="L6015" s="501">
        <v>8</v>
      </c>
      <c r="M6015" s="501">
        <v>0</v>
      </c>
      <c r="N6015" s="501">
        <v>0</v>
      </c>
      <c r="O6015" s="506">
        <v>0</v>
      </c>
    </row>
    <row r="6016" spans="1:15" x14ac:dyDescent="0.35">
      <c r="A6016" s="503" t="s">
        <v>1164</v>
      </c>
      <c r="B6016" s="504">
        <v>4751</v>
      </c>
      <c r="C6016" s="504" t="s">
        <v>1089</v>
      </c>
      <c r="D6016" s="504" t="s">
        <v>3392</v>
      </c>
      <c r="E6016" s="504" t="s">
        <v>3381</v>
      </c>
      <c r="F6016" s="504" t="s">
        <v>786</v>
      </c>
      <c r="G6016" s="504" t="s">
        <v>787</v>
      </c>
      <c r="H6016" s="504" t="s">
        <v>8197</v>
      </c>
      <c r="I6016" s="504">
        <v>3</v>
      </c>
      <c r="J6016" s="504">
        <v>0</v>
      </c>
      <c r="K6016" s="504">
        <v>0</v>
      </c>
      <c r="L6016" s="504">
        <v>3</v>
      </c>
      <c r="M6016" s="504">
        <v>0</v>
      </c>
      <c r="N6016" s="504">
        <v>0</v>
      </c>
      <c r="O6016" s="505">
        <v>0</v>
      </c>
    </row>
    <row r="6017" spans="1:15" x14ac:dyDescent="0.35">
      <c r="A6017" s="500" t="s">
        <v>1100</v>
      </c>
      <c r="B6017" s="501">
        <v>4865</v>
      </c>
      <c r="C6017" s="501" t="s">
        <v>1094</v>
      </c>
      <c r="D6017" s="501" t="s">
        <v>3380</v>
      </c>
      <c r="E6017" s="501" t="s">
        <v>3381</v>
      </c>
      <c r="F6017" s="501" t="s">
        <v>786</v>
      </c>
      <c r="G6017" s="501" t="s">
        <v>787</v>
      </c>
      <c r="H6017" s="501" t="s">
        <v>8198</v>
      </c>
      <c r="I6017" s="501">
        <v>134</v>
      </c>
      <c r="J6017" s="501">
        <v>125</v>
      </c>
      <c r="K6017" s="501">
        <v>0</v>
      </c>
      <c r="L6017" s="501">
        <v>0</v>
      </c>
      <c r="M6017" s="501">
        <v>9</v>
      </c>
      <c r="N6017" s="501">
        <v>0</v>
      </c>
      <c r="O6017" s="506">
        <v>0</v>
      </c>
    </row>
    <row r="6018" spans="1:15" x14ac:dyDescent="0.35">
      <c r="A6018" s="503" t="s">
        <v>1170</v>
      </c>
      <c r="B6018" s="504">
        <v>4790</v>
      </c>
      <c r="C6018" s="504" t="s">
        <v>1089</v>
      </c>
      <c r="D6018" s="504" t="s">
        <v>3392</v>
      </c>
      <c r="E6018" s="504" t="s">
        <v>3381</v>
      </c>
      <c r="F6018" s="504" t="s">
        <v>786</v>
      </c>
      <c r="G6018" s="504" t="s">
        <v>787</v>
      </c>
      <c r="H6018" s="504" t="s">
        <v>8199</v>
      </c>
      <c r="I6018" s="504">
        <v>7</v>
      </c>
      <c r="J6018" s="504">
        <v>7</v>
      </c>
      <c r="K6018" s="504">
        <v>0</v>
      </c>
      <c r="L6018" s="504">
        <v>0</v>
      </c>
      <c r="M6018" s="504">
        <v>0</v>
      </c>
      <c r="N6018" s="504">
        <v>0</v>
      </c>
      <c r="O6018" s="505">
        <v>0</v>
      </c>
    </row>
    <row r="6019" spans="1:15" x14ac:dyDescent="0.35">
      <c r="A6019" s="500" t="s">
        <v>1171</v>
      </c>
      <c r="B6019" s="501" t="s">
        <v>3003</v>
      </c>
      <c r="C6019" s="501" t="s">
        <v>1094</v>
      </c>
      <c r="D6019" s="501" t="s">
        <v>3380</v>
      </c>
      <c r="E6019" s="501" t="s">
        <v>3381</v>
      </c>
      <c r="F6019" s="501" t="s">
        <v>786</v>
      </c>
      <c r="G6019" s="501" t="s">
        <v>787</v>
      </c>
      <c r="H6019" s="501" t="s">
        <v>8200</v>
      </c>
      <c r="I6019" s="501">
        <v>577</v>
      </c>
      <c r="J6019" s="501">
        <v>253</v>
      </c>
      <c r="K6019" s="501">
        <v>218</v>
      </c>
      <c r="L6019" s="501">
        <v>38</v>
      </c>
      <c r="M6019" s="501">
        <v>29</v>
      </c>
      <c r="N6019" s="501">
        <v>0</v>
      </c>
      <c r="O6019" s="506">
        <v>39</v>
      </c>
    </row>
    <row r="6020" spans="1:15" x14ac:dyDescent="0.35">
      <c r="A6020" s="503" t="s">
        <v>1173</v>
      </c>
      <c r="B6020" s="504">
        <v>4775</v>
      </c>
      <c r="C6020" s="504" t="s">
        <v>1094</v>
      </c>
      <c r="D6020" s="504" t="s">
        <v>3380</v>
      </c>
      <c r="E6020" s="504" t="s">
        <v>3381</v>
      </c>
      <c r="F6020" s="504" t="s">
        <v>786</v>
      </c>
      <c r="G6020" s="504" t="s">
        <v>787</v>
      </c>
      <c r="H6020" s="504" t="s">
        <v>8201</v>
      </c>
      <c r="I6020" s="504">
        <v>97</v>
      </c>
      <c r="J6020" s="504">
        <v>62</v>
      </c>
      <c r="K6020" s="504">
        <v>0</v>
      </c>
      <c r="L6020" s="504">
        <v>25</v>
      </c>
      <c r="M6020" s="504">
        <v>0</v>
      </c>
      <c r="N6020" s="504">
        <v>0</v>
      </c>
      <c r="O6020" s="505">
        <v>10</v>
      </c>
    </row>
    <row r="6021" spans="1:15" x14ac:dyDescent="0.35">
      <c r="A6021" s="500" t="s">
        <v>1178</v>
      </c>
      <c r="B6021" s="501" t="s">
        <v>3334</v>
      </c>
      <c r="C6021" s="501" t="s">
        <v>1094</v>
      </c>
      <c r="D6021" s="501" t="s">
        <v>3380</v>
      </c>
      <c r="E6021" s="501" t="s">
        <v>3381</v>
      </c>
      <c r="F6021" s="501" t="s">
        <v>786</v>
      </c>
      <c r="G6021" s="501" t="s">
        <v>787</v>
      </c>
      <c r="H6021" s="501" t="s">
        <v>8202</v>
      </c>
      <c r="I6021" s="501">
        <v>461</v>
      </c>
      <c r="J6021" s="501">
        <v>0</v>
      </c>
      <c r="K6021" s="501">
        <v>0</v>
      </c>
      <c r="L6021" s="501">
        <v>461</v>
      </c>
      <c r="M6021" s="501">
        <v>0</v>
      </c>
      <c r="N6021" s="501">
        <v>4</v>
      </c>
      <c r="O6021" s="506">
        <v>0</v>
      </c>
    </row>
    <row r="6022" spans="1:15" x14ac:dyDescent="0.35">
      <c r="A6022" s="503" t="s">
        <v>14208</v>
      </c>
      <c r="B6022" s="504">
        <v>4803</v>
      </c>
      <c r="C6022" s="504" t="s">
        <v>1094</v>
      </c>
      <c r="D6022" s="504" t="s">
        <v>3380</v>
      </c>
      <c r="E6022" s="504" t="s">
        <v>3381</v>
      </c>
      <c r="F6022" s="504" t="s">
        <v>786</v>
      </c>
      <c r="G6022" s="504" t="s">
        <v>787</v>
      </c>
      <c r="H6022" s="504" t="s">
        <v>14947</v>
      </c>
      <c r="I6022" s="504">
        <v>34</v>
      </c>
      <c r="J6022" s="504">
        <v>0</v>
      </c>
      <c r="K6022" s="504">
        <v>0</v>
      </c>
      <c r="L6022" s="504">
        <v>34</v>
      </c>
      <c r="M6022" s="504">
        <v>0</v>
      </c>
      <c r="N6022" s="504">
        <v>0</v>
      </c>
      <c r="O6022" s="505">
        <v>0</v>
      </c>
    </row>
    <row r="6023" spans="1:15" x14ac:dyDescent="0.35">
      <c r="A6023" s="500" t="s">
        <v>1186</v>
      </c>
      <c r="B6023" s="501">
        <v>4661</v>
      </c>
      <c r="C6023" s="501" t="s">
        <v>1089</v>
      </c>
      <c r="D6023" s="501" t="s">
        <v>3392</v>
      </c>
      <c r="E6023" s="501" t="s">
        <v>3381</v>
      </c>
      <c r="F6023" s="501" t="s">
        <v>786</v>
      </c>
      <c r="G6023" s="501" t="s">
        <v>787</v>
      </c>
      <c r="H6023" s="501" t="s">
        <v>14948</v>
      </c>
      <c r="I6023" s="501">
        <v>1</v>
      </c>
      <c r="J6023" s="501">
        <v>0</v>
      </c>
      <c r="K6023" s="501">
        <v>0</v>
      </c>
      <c r="L6023" s="501">
        <v>1</v>
      </c>
      <c r="M6023" s="501">
        <v>0</v>
      </c>
      <c r="N6023" s="501">
        <v>0</v>
      </c>
      <c r="O6023" s="506">
        <v>0</v>
      </c>
    </row>
    <row r="6024" spans="1:15" x14ac:dyDescent="0.35">
      <c r="A6024" s="503" t="s">
        <v>1105</v>
      </c>
      <c r="B6024" s="504">
        <v>4668</v>
      </c>
      <c r="C6024" s="504" t="s">
        <v>1094</v>
      </c>
      <c r="D6024" s="504" t="s">
        <v>3380</v>
      </c>
      <c r="E6024" s="504" t="s">
        <v>3381</v>
      </c>
      <c r="F6024" s="504" t="s">
        <v>786</v>
      </c>
      <c r="G6024" s="504" t="s">
        <v>787</v>
      </c>
      <c r="H6024" s="504" t="s">
        <v>8203</v>
      </c>
      <c r="I6024" s="504">
        <v>5</v>
      </c>
      <c r="J6024" s="504">
        <v>0</v>
      </c>
      <c r="K6024" s="504">
        <v>0</v>
      </c>
      <c r="L6024" s="504">
        <v>0</v>
      </c>
      <c r="M6024" s="504">
        <v>0</v>
      </c>
      <c r="N6024" s="504">
        <v>0</v>
      </c>
      <c r="O6024" s="505">
        <v>5</v>
      </c>
    </row>
    <row r="6025" spans="1:15" x14ac:dyDescent="0.35">
      <c r="A6025" s="500" t="s">
        <v>1188</v>
      </c>
      <c r="B6025" s="501">
        <v>4760</v>
      </c>
      <c r="C6025" s="501" t="s">
        <v>1089</v>
      </c>
      <c r="D6025" s="501" t="s">
        <v>3392</v>
      </c>
      <c r="E6025" s="501" t="s">
        <v>3381</v>
      </c>
      <c r="F6025" s="501" t="s">
        <v>786</v>
      </c>
      <c r="G6025" s="501" t="s">
        <v>787</v>
      </c>
      <c r="H6025" s="501" t="s">
        <v>8204</v>
      </c>
      <c r="I6025" s="501">
        <v>43</v>
      </c>
      <c r="J6025" s="501">
        <v>0</v>
      </c>
      <c r="K6025" s="501">
        <v>0</v>
      </c>
      <c r="L6025" s="501">
        <v>43</v>
      </c>
      <c r="M6025" s="501">
        <v>0</v>
      </c>
      <c r="N6025" s="501">
        <v>0</v>
      </c>
      <c r="O6025" s="506">
        <v>0</v>
      </c>
    </row>
    <row r="6026" spans="1:15" x14ac:dyDescent="0.35">
      <c r="A6026" s="503" t="s">
        <v>1109</v>
      </c>
      <c r="B6026" s="504" t="s">
        <v>2959</v>
      </c>
      <c r="C6026" s="504" t="s">
        <v>1094</v>
      </c>
      <c r="D6026" s="504" t="s">
        <v>3380</v>
      </c>
      <c r="E6026" s="504" t="s">
        <v>3381</v>
      </c>
      <c r="F6026" s="504" t="s">
        <v>786</v>
      </c>
      <c r="G6026" s="504" t="s">
        <v>787</v>
      </c>
      <c r="H6026" s="504" t="s">
        <v>8205</v>
      </c>
      <c r="I6026" s="504">
        <v>226</v>
      </c>
      <c r="J6026" s="504">
        <v>0</v>
      </c>
      <c r="K6026" s="504">
        <v>0</v>
      </c>
      <c r="L6026" s="504">
        <v>0</v>
      </c>
      <c r="M6026" s="504">
        <v>226</v>
      </c>
      <c r="N6026" s="504">
        <v>0</v>
      </c>
      <c r="O6026" s="505">
        <v>0</v>
      </c>
    </row>
    <row r="6027" spans="1:15" x14ac:dyDescent="0.35">
      <c r="A6027" s="500" t="s">
        <v>1190</v>
      </c>
      <c r="B6027" s="501">
        <v>4662</v>
      </c>
      <c r="C6027" s="501" t="s">
        <v>1094</v>
      </c>
      <c r="D6027" s="501" t="s">
        <v>3380</v>
      </c>
      <c r="E6027" s="501" t="s">
        <v>3381</v>
      </c>
      <c r="F6027" s="501" t="s">
        <v>786</v>
      </c>
      <c r="G6027" s="501" t="s">
        <v>787</v>
      </c>
      <c r="H6027" s="501" t="s">
        <v>8206</v>
      </c>
      <c r="I6027" s="501">
        <v>45</v>
      </c>
      <c r="J6027" s="501">
        <v>0</v>
      </c>
      <c r="K6027" s="501">
        <v>0</v>
      </c>
      <c r="L6027" s="501">
        <v>45</v>
      </c>
      <c r="M6027" s="501">
        <v>0</v>
      </c>
      <c r="N6027" s="501">
        <v>0</v>
      </c>
      <c r="O6027" s="506">
        <v>0</v>
      </c>
    </row>
    <row r="6028" spans="1:15" x14ac:dyDescent="0.35">
      <c r="A6028" s="503" t="s">
        <v>1203</v>
      </c>
      <c r="B6028" s="504" t="s">
        <v>3170</v>
      </c>
      <c r="C6028" s="504" t="s">
        <v>1094</v>
      </c>
      <c r="D6028" s="504" t="s">
        <v>3380</v>
      </c>
      <c r="E6028" s="504" t="s">
        <v>3381</v>
      </c>
      <c r="F6028" s="504" t="s">
        <v>786</v>
      </c>
      <c r="G6028" s="504" t="s">
        <v>787</v>
      </c>
      <c r="H6028" s="504" t="s">
        <v>8208</v>
      </c>
      <c r="I6028" s="504">
        <v>207</v>
      </c>
      <c r="J6028" s="504">
        <v>206</v>
      </c>
      <c r="K6028" s="504">
        <v>0</v>
      </c>
      <c r="L6028" s="504">
        <v>0</v>
      </c>
      <c r="M6028" s="504">
        <v>0</v>
      </c>
      <c r="N6028" s="504">
        <v>1</v>
      </c>
      <c r="O6028" s="505">
        <v>1</v>
      </c>
    </row>
    <row r="6029" spans="1:15" x14ac:dyDescent="0.35">
      <c r="A6029" s="500" t="s">
        <v>1204</v>
      </c>
      <c r="B6029" s="501" t="s">
        <v>3266</v>
      </c>
      <c r="C6029" s="501" t="s">
        <v>1089</v>
      </c>
      <c r="D6029" s="501" t="s">
        <v>3392</v>
      </c>
      <c r="E6029" s="501" t="s">
        <v>3381</v>
      </c>
      <c r="F6029" s="501" t="s">
        <v>786</v>
      </c>
      <c r="G6029" s="501" t="s">
        <v>787</v>
      </c>
      <c r="H6029" s="501" t="s">
        <v>8209</v>
      </c>
      <c r="I6029" s="501">
        <v>110</v>
      </c>
      <c r="J6029" s="501">
        <v>0</v>
      </c>
      <c r="K6029" s="501">
        <v>0</v>
      </c>
      <c r="L6029" s="501">
        <v>0</v>
      </c>
      <c r="M6029" s="501">
        <v>110</v>
      </c>
      <c r="N6029" s="501">
        <v>0</v>
      </c>
      <c r="O6029" s="506">
        <v>0</v>
      </c>
    </row>
    <row r="6030" spans="1:15" x14ac:dyDescent="0.35">
      <c r="A6030" s="503" t="s">
        <v>1112</v>
      </c>
      <c r="B6030" s="504" t="s">
        <v>3008</v>
      </c>
      <c r="C6030" s="504" t="s">
        <v>1094</v>
      </c>
      <c r="D6030" s="504" t="s">
        <v>3380</v>
      </c>
      <c r="E6030" s="504" t="s">
        <v>3381</v>
      </c>
      <c r="F6030" s="504" t="s">
        <v>786</v>
      </c>
      <c r="G6030" s="504" t="s">
        <v>787</v>
      </c>
      <c r="H6030" s="504" t="s">
        <v>8210</v>
      </c>
      <c r="I6030" s="504">
        <v>1959</v>
      </c>
      <c r="J6030" s="504">
        <v>1210</v>
      </c>
      <c r="K6030" s="504">
        <v>0</v>
      </c>
      <c r="L6030" s="504">
        <v>43</v>
      </c>
      <c r="M6030" s="504">
        <v>593</v>
      </c>
      <c r="N6030" s="504">
        <v>0</v>
      </c>
      <c r="O6030" s="505">
        <v>113</v>
      </c>
    </row>
    <row r="6031" spans="1:15" x14ac:dyDescent="0.35">
      <c r="A6031" s="500" t="s">
        <v>1207</v>
      </c>
      <c r="B6031" s="501" t="s">
        <v>3202</v>
      </c>
      <c r="C6031" s="501" t="s">
        <v>1094</v>
      </c>
      <c r="D6031" s="501" t="s">
        <v>3380</v>
      </c>
      <c r="E6031" s="501" t="s">
        <v>3381</v>
      </c>
      <c r="F6031" s="501" t="s">
        <v>786</v>
      </c>
      <c r="G6031" s="501" t="s">
        <v>787</v>
      </c>
      <c r="H6031" s="501" t="s">
        <v>8211</v>
      </c>
      <c r="I6031" s="501">
        <v>1</v>
      </c>
      <c r="J6031" s="501">
        <v>0</v>
      </c>
      <c r="K6031" s="501">
        <v>0</v>
      </c>
      <c r="L6031" s="501">
        <v>0</v>
      </c>
      <c r="M6031" s="501">
        <v>0</v>
      </c>
      <c r="N6031" s="501">
        <v>0</v>
      </c>
      <c r="O6031" s="506">
        <v>1</v>
      </c>
    </row>
    <row r="6032" spans="1:15" x14ac:dyDescent="0.35">
      <c r="A6032" s="503" t="s">
        <v>1210</v>
      </c>
      <c r="B6032" s="504">
        <v>4781</v>
      </c>
      <c r="C6032" s="504" t="s">
        <v>1089</v>
      </c>
      <c r="D6032" s="504" t="s">
        <v>3392</v>
      </c>
      <c r="E6032" s="504" t="s">
        <v>3381</v>
      </c>
      <c r="F6032" s="504" t="s">
        <v>786</v>
      </c>
      <c r="G6032" s="504" t="s">
        <v>787</v>
      </c>
      <c r="H6032" s="504" t="s">
        <v>8212</v>
      </c>
      <c r="I6032" s="504">
        <v>32</v>
      </c>
      <c r="J6032" s="504">
        <v>0</v>
      </c>
      <c r="K6032" s="504">
        <v>0</v>
      </c>
      <c r="L6032" s="504">
        <v>32</v>
      </c>
      <c r="M6032" s="504">
        <v>0</v>
      </c>
      <c r="N6032" s="504">
        <v>0</v>
      </c>
      <c r="O6032" s="505">
        <v>0</v>
      </c>
    </row>
    <row r="6033" spans="1:15" x14ac:dyDescent="0.35">
      <c r="A6033" s="500" t="s">
        <v>1214</v>
      </c>
      <c r="B6033" s="501">
        <v>4862</v>
      </c>
      <c r="C6033" s="501" t="s">
        <v>1089</v>
      </c>
      <c r="D6033" s="501" t="s">
        <v>3392</v>
      </c>
      <c r="E6033" s="501" t="s">
        <v>3381</v>
      </c>
      <c r="F6033" s="501" t="s">
        <v>786</v>
      </c>
      <c r="G6033" s="501" t="s">
        <v>787</v>
      </c>
      <c r="H6033" s="501" t="s">
        <v>8213</v>
      </c>
      <c r="I6033" s="501">
        <v>50</v>
      </c>
      <c r="J6033" s="501">
        <v>31</v>
      </c>
      <c r="K6033" s="501">
        <v>0</v>
      </c>
      <c r="L6033" s="501">
        <v>19</v>
      </c>
      <c r="M6033" s="501">
        <v>0</v>
      </c>
      <c r="N6033" s="501">
        <v>0</v>
      </c>
      <c r="O6033" s="506">
        <v>0</v>
      </c>
    </row>
    <row r="6034" spans="1:15" x14ac:dyDescent="0.35">
      <c r="A6034" s="503" t="s">
        <v>1215</v>
      </c>
      <c r="B6034" s="504">
        <v>4817</v>
      </c>
      <c r="C6034" s="504" t="s">
        <v>1094</v>
      </c>
      <c r="D6034" s="504" t="s">
        <v>3380</v>
      </c>
      <c r="E6034" s="504" t="s">
        <v>3381</v>
      </c>
      <c r="F6034" s="504" t="s">
        <v>786</v>
      </c>
      <c r="G6034" s="504" t="s">
        <v>787</v>
      </c>
      <c r="H6034" s="504" t="s">
        <v>8214</v>
      </c>
      <c r="I6034" s="504">
        <v>2240</v>
      </c>
      <c r="J6034" s="504">
        <v>1890</v>
      </c>
      <c r="K6034" s="504">
        <v>0</v>
      </c>
      <c r="L6034" s="504">
        <v>209</v>
      </c>
      <c r="M6034" s="504">
        <v>90</v>
      </c>
      <c r="N6034" s="504">
        <v>0</v>
      </c>
      <c r="O6034" s="505">
        <v>51</v>
      </c>
    </row>
    <row r="6035" spans="1:15" x14ac:dyDescent="0.35">
      <c r="A6035" s="500" t="s">
        <v>1220</v>
      </c>
      <c r="B6035" s="501">
        <v>4849</v>
      </c>
      <c r="C6035" s="501" t="s">
        <v>1094</v>
      </c>
      <c r="D6035" s="501" t="s">
        <v>3380</v>
      </c>
      <c r="E6035" s="501" t="s">
        <v>3381</v>
      </c>
      <c r="F6035" s="501" t="s">
        <v>786</v>
      </c>
      <c r="G6035" s="501" t="s">
        <v>787</v>
      </c>
      <c r="H6035" s="501" t="s">
        <v>8215</v>
      </c>
      <c r="I6035" s="501">
        <v>748</v>
      </c>
      <c r="J6035" s="501">
        <v>604</v>
      </c>
      <c r="K6035" s="501">
        <v>0</v>
      </c>
      <c r="L6035" s="501">
        <v>45</v>
      </c>
      <c r="M6035" s="501">
        <v>75</v>
      </c>
      <c r="N6035" s="501">
        <v>0</v>
      </c>
      <c r="O6035" s="506">
        <v>24</v>
      </c>
    </row>
    <row r="6036" spans="1:15" x14ac:dyDescent="0.35">
      <c r="A6036" s="503" t="s">
        <v>1223</v>
      </c>
      <c r="B6036" s="504">
        <v>4768</v>
      </c>
      <c r="C6036" s="504" t="s">
        <v>1089</v>
      </c>
      <c r="D6036" s="504" t="s">
        <v>3392</v>
      </c>
      <c r="E6036" s="504" t="s">
        <v>3381</v>
      </c>
      <c r="F6036" s="504" t="s">
        <v>786</v>
      </c>
      <c r="G6036" s="504" t="s">
        <v>787</v>
      </c>
      <c r="H6036" s="504" t="s">
        <v>8216</v>
      </c>
      <c r="I6036" s="504">
        <v>4</v>
      </c>
      <c r="J6036" s="504">
        <v>0</v>
      </c>
      <c r="K6036" s="504">
        <v>0</v>
      </c>
      <c r="L6036" s="504">
        <v>4</v>
      </c>
      <c r="M6036" s="504">
        <v>0</v>
      </c>
      <c r="N6036" s="504">
        <v>0</v>
      </c>
      <c r="O6036" s="505">
        <v>0</v>
      </c>
    </row>
    <row r="6037" spans="1:15" x14ac:dyDescent="0.35">
      <c r="A6037" s="500" t="s">
        <v>1122</v>
      </c>
      <c r="B6037" s="501" t="s">
        <v>2994</v>
      </c>
      <c r="C6037" s="501" t="s">
        <v>1094</v>
      </c>
      <c r="D6037" s="501" t="s">
        <v>3380</v>
      </c>
      <c r="E6037" s="501" t="s">
        <v>3381</v>
      </c>
      <c r="F6037" s="501" t="s">
        <v>786</v>
      </c>
      <c r="G6037" s="501" t="s">
        <v>787</v>
      </c>
      <c r="H6037" s="501" t="s">
        <v>8217</v>
      </c>
      <c r="I6037" s="501">
        <v>951</v>
      </c>
      <c r="J6037" s="501">
        <v>878</v>
      </c>
      <c r="K6037" s="501">
        <v>0</v>
      </c>
      <c r="L6037" s="501">
        <v>70</v>
      </c>
      <c r="M6037" s="501">
        <v>0</v>
      </c>
      <c r="N6037" s="501">
        <v>0</v>
      </c>
      <c r="O6037" s="506">
        <v>3</v>
      </c>
    </row>
    <row r="6038" spans="1:15" x14ac:dyDescent="0.35">
      <c r="A6038" s="503" t="s">
        <v>1225</v>
      </c>
      <c r="B6038" s="504" t="s">
        <v>3315</v>
      </c>
      <c r="C6038" s="504" t="s">
        <v>1094</v>
      </c>
      <c r="D6038" s="504" t="s">
        <v>3380</v>
      </c>
      <c r="E6038" s="504" t="s">
        <v>3381</v>
      </c>
      <c r="F6038" s="504" t="s">
        <v>786</v>
      </c>
      <c r="G6038" s="504" t="s">
        <v>787</v>
      </c>
      <c r="H6038" s="504" t="s">
        <v>8218</v>
      </c>
      <c r="I6038" s="504">
        <v>63</v>
      </c>
      <c r="J6038" s="504">
        <v>0</v>
      </c>
      <c r="K6038" s="504">
        <v>0</v>
      </c>
      <c r="L6038" s="504">
        <v>24</v>
      </c>
      <c r="M6038" s="504">
        <v>39</v>
      </c>
      <c r="N6038" s="504">
        <v>0</v>
      </c>
      <c r="O6038" s="505">
        <v>0</v>
      </c>
    </row>
    <row r="6039" spans="1:15" x14ac:dyDescent="0.35">
      <c r="A6039" s="500" t="s">
        <v>1226</v>
      </c>
      <c r="B6039" s="501">
        <v>5084</v>
      </c>
      <c r="C6039" s="501" t="s">
        <v>1094</v>
      </c>
      <c r="D6039" s="501" t="s">
        <v>3380</v>
      </c>
      <c r="E6039" s="501" t="s">
        <v>3381</v>
      </c>
      <c r="F6039" s="501" t="s">
        <v>786</v>
      </c>
      <c r="G6039" s="501" t="s">
        <v>787</v>
      </c>
      <c r="H6039" s="501" t="s">
        <v>14949</v>
      </c>
      <c r="I6039" s="501">
        <v>17</v>
      </c>
      <c r="J6039" s="501">
        <v>17</v>
      </c>
      <c r="K6039" s="501">
        <v>0</v>
      </c>
      <c r="L6039" s="501">
        <v>0</v>
      </c>
      <c r="M6039" s="501">
        <v>0</v>
      </c>
      <c r="N6039" s="501">
        <v>0</v>
      </c>
      <c r="O6039" s="506">
        <v>0</v>
      </c>
    </row>
    <row r="6040" spans="1:15" x14ac:dyDescent="0.35">
      <c r="A6040" s="503" t="s">
        <v>1228</v>
      </c>
      <c r="B6040" s="504" t="s">
        <v>3321</v>
      </c>
      <c r="C6040" s="504" t="s">
        <v>1094</v>
      </c>
      <c r="D6040" s="504" t="s">
        <v>3380</v>
      </c>
      <c r="E6040" s="504" t="s">
        <v>3381</v>
      </c>
      <c r="F6040" s="504" t="s">
        <v>786</v>
      </c>
      <c r="G6040" s="504" t="s">
        <v>787</v>
      </c>
      <c r="H6040" s="504" t="s">
        <v>8219</v>
      </c>
      <c r="I6040" s="504">
        <v>37</v>
      </c>
      <c r="J6040" s="504">
        <v>0</v>
      </c>
      <c r="K6040" s="504">
        <v>0</v>
      </c>
      <c r="L6040" s="504">
        <v>37</v>
      </c>
      <c r="M6040" s="504">
        <v>0</v>
      </c>
      <c r="N6040" s="504">
        <v>0</v>
      </c>
      <c r="O6040" s="505">
        <v>0</v>
      </c>
    </row>
    <row r="6041" spans="1:15" x14ac:dyDescent="0.35">
      <c r="A6041" s="500" t="s">
        <v>1234</v>
      </c>
      <c r="B6041" s="501" t="s">
        <v>3291</v>
      </c>
      <c r="C6041" s="501" t="s">
        <v>1094</v>
      </c>
      <c r="D6041" s="501" t="s">
        <v>3380</v>
      </c>
      <c r="E6041" s="501" t="s">
        <v>3381</v>
      </c>
      <c r="F6041" s="501" t="s">
        <v>786</v>
      </c>
      <c r="G6041" s="501" t="s">
        <v>787</v>
      </c>
      <c r="H6041" s="501" t="s">
        <v>8220</v>
      </c>
      <c r="I6041" s="501">
        <v>76</v>
      </c>
      <c r="J6041" s="501">
        <v>76</v>
      </c>
      <c r="K6041" s="501">
        <v>0</v>
      </c>
      <c r="L6041" s="501">
        <v>0</v>
      </c>
      <c r="M6041" s="501">
        <v>0</v>
      </c>
      <c r="N6041" s="501">
        <v>0</v>
      </c>
      <c r="O6041" s="506">
        <v>0</v>
      </c>
    </row>
    <row r="6042" spans="1:15" x14ac:dyDescent="0.35">
      <c r="A6042" s="503" t="s">
        <v>1132</v>
      </c>
      <c r="B6042" s="504">
        <v>4837</v>
      </c>
      <c r="C6042" s="504" t="s">
        <v>1094</v>
      </c>
      <c r="D6042" s="504" t="s">
        <v>3380</v>
      </c>
      <c r="E6042" s="504" t="s">
        <v>3381</v>
      </c>
      <c r="F6042" s="504" t="s">
        <v>786</v>
      </c>
      <c r="G6042" s="504" t="s">
        <v>787</v>
      </c>
      <c r="H6042" s="504" t="s">
        <v>8221</v>
      </c>
      <c r="I6042" s="504">
        <v>1</v>
      </c>
      <c r="J6042" s="504">
        <v>0</v>
      </c>
      <c r="K6042" s="504">
        <v>0</v>
      </c>
      <c r="L6042" s="504">
        <v>0</v>
      </c>
      <c r="M6042" s="504">
        <v>0</v>
      </c>
      <c r="N6042" s="504">
        <v>0</v>
      </c>
      <c r="O6042" s="505">
        <v>1</v>
      </c>
    </row>
    <row r="6043" spans="1:15" x14ac:dyDescent="0.35">
      <c r="A6043" s="500" t="s">
        <v>1241</v>
      </c>
      <c r="B6043" s="501">
        <v>4717</v>
      </c>
      <c r="C6043" s="501" t="s">
        <v>1094</v>
      </c>
      <c r="D6043" s="501" t="s">
        <v>3380</v>
      </c>
      <c r="E6043" s="501" t="s">
        <v>3381</v>
      </c>
      <c r="F6043" s="501" t="s">
        <v>786</v>
      </c>
      <c r="G6043" s="501" t="s">
        <v>787</v>
      </c>
      <c r="H6043" s="501" t="s">
        <v>8222</v>
      </c>
      <c r="I6043" s="501">
        <v>52</v>
      </c>
      <c r="J6043" s="501">
        <v>52</v>
      </c>
      <c r="K6043" s="501">
        <v>0</v>
      </c>
      <c r="L6043" s="501">
        <v>0</v>
      </c>
      <c r="M6043" s="501">
        <v>0</v>
      </c>
      <c r="N6043" s="501">
        <v>0</v>
      </c>
      <c r="O6043" s="506">
        <v>0</v>
      </c>
    </row>
    <row r="6044" spans="1:15" x14ac:dyDescent="0.35">
      <c r="A6044" s="503" t="s">
        <v>1134</v>
      </c>
      <c r="B6044" s="504" t="s">
        <v>3066</v>
      </c>
      <c r="C6044" s="504" t="s">
        <v>1094</v>
      </c>
      <c r="D6044" s="504" t="s">
        <v>3380</v>
      </c>
      <c r="E6044" s="504" t="s">
        <v>3381</v>
      </c>
      <c r="F6044" s="504" t="s">
        <v>786</v>
      </c>
      <c r="G6044" s="504" t="s">
        <v>787</v>
      </c>
      <c r="H6044" s="504" t="s">
        <v>8223</v>
      </c>
      <c r="I6044" s="504">
        <v>133</v>
      </c>
      <c r="J6044" s="504">
        <v>46</v>
      </c>
      <c r="K6044" s="504">
        <v>0</v>
      </c>
      <c r="L6044" s="504">
        <v>0</v>
      </c>
      <c r="M6044" s="504">
        <v>87</v>
      </c>
      <c r="N6044" s="504">
        <v>0</v>
      </c>
      <c r="O6044" s="505">
        <v>0</v>
      </c>
    </row>
    <row r="6045" spans="1:15" x14ac:dyDescent="0.35">
      <c r="A6045" s="500" t="s">
        <v>1245</v>
      </c>
      <c r="B6045" s="501" t="s">
        <v>2859</v>
      </c>
      <c r="C6045" s="501" t="s">
        <v>1094</v>
      </c>
      <c r="D6045" s="501" t="s">
        <v>3380</v>
      </c>
      <c r="E6045" s="501" t="s">
        <v>3381</v>
      </c>
      <c r="F6045" s="501" t="s">
        <v>786</v>
      </c>
      <c r="G6045" s="501" t="s">
        <v>787</v>
      </c>
      <c r="H6045" s="501" t="s">
        <v>8224</v>
      </c>
      <c r="I6045" s="501">
        <v>43</v>
      </c>
      <c r="J6045" s="501">
        <v>0</v>
      </c>
      <c r="K6045" s="501">
        <v>0</v>
      </c>
      <c r="L6045" s="501">
        <v>0</v>
      </c>
      <c r="M6045" s="501">
        <v>43</v>
      </c>
      <c r="N6045" s="501">
        <v>0</v>
      </c>
      <c r="O6045" s="506">
        <v>0</v>
      </c>
    </row>
    <row r="6046" spans="1:15" x14ac:dyDescent="0.35">
      <c r="A6046" s="503" t="s">
        <v>1248</v>
      </c>
      <c r="B6046" s="504">
        <v>4706</v>
      </c>
      <c r="C6046" s="504" t="s">
        <v>1089</v>
      </c>
      <c r="D6046" s="504" t="s">
        <v>3392</v>
      </c>
      <c r="E6046" s="504" t="s">
        <v>3381</v>
      </c>
      <c r="F6046" s="504" t="s">
        <v>786</v>
      </c>
      <c r="G6046" s="504" t="s">
        <v>787</v>
      </c>
      <c r="H6046" s="504" t="s">
        <v>8225</v>
      </c>
      <c r="I6046" s="504">
        <v>84</v>
      </c>
      <c r="J6046" s="504">
        <v>0</v>
      </c>
      <c r="K6046" s="504">
        <v>0</v>
      </c>
      <c r="L6046" s="504">
        <v>0</v>
      </c>
      <c r="M6046" s="504">
        <v>84</v>
      </c>
      <c r="N6046" s="504">
        <v>0</v>
      </c>
      <c r="O6046" s="505">
        <v>0</v>
      </c>
    </row>
    <row r="6047" spans="1:15" x14ac:dyDescent="0.35">
      <c r="A6047" s="500" t="s">
        <v>1249</v>
      </c>
      <c r="B6047" s="501">
        <v>4729</v>
      </c>
      <c r="C6047" s="501" t="s">
        <v>1094</v>
      </c>
      <c r="D6047" s="501" t="s">
        <v>3380</v>
      </c>
      <c r="E6047" s="501" t="s">
        <v>3381</v>
      </c>
      <c r="F6047" s="501" t="s">
        <v>786</v>
      </c>
      <c r="G6047" s="501" t="s">
        <v>787</v>
      </c>
      <c r="H6047" s="501" t="s">
        <v>8226</v>
      </c>
      <c r="I6047" s="501">
        <v>397</v>
      </c>
      <c r="J6047" s="501">
        <v>335</v>
      </c>
      <c r="K6047" s="501">
        <v>0</v>
      </c>
      <c r="L6047" s="501">
        <v>2</v>
      </c>
      <c r="M6047" s="501">
        <v>60</v>
      </c>
      <c r="N6047" s="501">
        <v>0</v>
      </c>
      <c r="O6047" s="506">
        <v>0</v>
      </c>
    </row>
    <row r="6048" spans="1:15" x14ac:dyDescent="0.35">
      <c r="A6048" s="503" t="s">
        <v>1253</v>
      </c>
      <c r="B6048" s="504" t="s">
        <v>3232</v>
      </c>
      <c r="C6048" s="504" t="s">
        <v>1094</v>
      </c>
      <c r="D6048" s="504" t="s">
        <v>3380</v>
      </c>
      <c r="E6048" s="504" t="s">
        <v>3381</v>
      </c>
      <c r="F6048" s="504" t="s">
        <v>786</v>
      </c>
      <c r="G6048" s="504" t="s">
        <v>787</v>
      </c>
      <c r="H6048" s="504" t="s">
        <v>8227</v>
      </c>
      <c r="I6048" s="504">
        <v>137</v>
      </c>
      <c r="J6048" s="504">
        <v>70</v>
      </c>
      <c r="K6048" s="504">
        <v>0</v>
      </c>
      <c r="L6048" s="504">
        <v>0</v>
      </c>
      <c r="M6048" s="504">
        <v>43</v>
      </c>
      <c r="N6048" s="504">
        <v>0</v>
      </c>
      <c r="O6048" s="505">
        <v>24</v>
      </c>
    </row>
    <row r="6049" spans="1:15" x14ac:dyDescent="0.35">
      <c r="A6049" s="500" t="s">
        <v>1261</v>
      </c>
      <c r="B6049" s="501" t="s">
        <v>3130</v>
      </c>
      <c r="C6049" s="501" t="s">
        <v>1094</v>
      </c>
      <c r="D6049" s="501" t="s">
        <v>3380</v>
      </c>
      <c r="E6049" s="501" t="s">
        <v>3381</v>
      </c>
      <c r="F6049" s="501" t="s">
        <v>786</v>
      </c>
      <c r="G6049" s="501" t="s">
        <v>787</v>
      </c>
      <c r="H6049" s="501" t="s">
        <v>8228</v>
      </c>
      <c r="I6049" s="501">
        <v>966</v>
      </c>
      <c r="J6049" s="501">
        <v>770</v>
      </c>
      <c r="K6049" s="501">
        <v>0</v>
      </c>
      <c r="L6049" s="501">
        <v>74</v>
      </c>
      <c r="M6049" s="501">
        <v>92</v>
      </c>
      <c r="N6049" s="501">
        <v>28</v>
      </c>
      <c r="O6049" s="506">
        <v>30</v>
      </c>
    </row>
    <row r="6050" spans="1:15" x14ac:dyDescent="0.35">
      <c r="A6050" s="503" t="s">
        <v>1263</v>
      </c>
      <c r="B6050" s="504" t="s">
        <v>2486</v>
      </c>
      <c r="C6050" s="504" t="s">
        <v>1089</v>
      </c>
      <c r="D6050" s="504" t="s">
        <v>3392</v>
      </c>
      <c r="E6050" s="504" t="s">
        <v>3381</v>
      </c>
      <c r="F6050" s="504" t="s">
        <v>786</v>
      </c>
      <c r="G6050" s="504" t="s">
        <v>787</v>
      </c>
      <c r="H6050" s="504" t="s">
        <v>8229</v>
      </c>
      <c r="I6050" s="504">
        <v>20</v>
      </c>
      <c r="J6050" s="504">
        <v>20</v>
      </c>
      <c r="K6050" s="504">
        <v>0</v>
      </c>
      <c r="L6050" s="504">
        <v>0</v>
      </c>
      <c r="M6050" s="504">
        <v>0</v>
      </c>
      <c r="N6050" s="504">
        <v>0</v>
      </c>
      <c r="O6050" s="505">
        <v>0</v>
      </c>
    </row>
    <row r="6051" spans="1:15" x14ac:dyDescent="0.35">
      <c r="A6051" s="500" t="s">
        <v>1264</v>
      </c>
      <c r="B6051" s="501">
        <v>4671</v>
      </c>
      <c r="C6051" s="501" t="s">
        <v>1089</v>
      </c>
      <c r="D6051" s="501" t="s">
        <v>3392</v>
      </c>
      <c r="E6051" s="501" t="s">
        <v>3381</v>
      </c>
      <c r="F6051" s="501" t="s">
        <v>786</v>
      </c>
      <c r="G6051" s="501" t="s">
        <v>787</v>
      </c>
      <c r="H6051" s="501" t="s">
        <v>8230</v>
      </c>
      <c r="I6051" s="501">
        <v>55</v>
      </c>
      <c r="J6051" s="501">
        <v>0</v>
      </c>
      <c r="K6051" s="501">
        <v>0</v>
      </c>
      <c r="L6051" s="501">
        <v>55</v>
      </c>
      <c r="M6051" s="501">
        <v>0</v>
      </c>
      <c r="N6051" s="501">
        <v>0</v>
      </c>
      <c r="O6051" s="506">
        <v>0</v>
      </c>
    </row>
    <row r="6052" spans="1:15" x14ac:dyDescent="0.35">
      <c r="A6052" s="503" t="s">
        <v>14389</v>
      </c>
      <c r="B6052" s="504" t="s">
        <v>2910</v>
      </c>
      <c r="C6052" s="504" t="s">
        <v>1089</v>
      </c>
      <c r="D6052" s="504" t="s">
        <v>3392</v>
      </c>
      <c r="E6052" s="504" t="s">
        <v>3381</v>
      </c>
      <c r="F6052" s="504" t="s">
        <v>786</v>
      </c>
      <c r="G6052" s="504" t="s">
        <v>787</v>
      </c>
      <c r="H6052" s="504" t="s">
        <v>14950</v>
      </c>
      <c r="I6052" s="504">
        <v>111</v>
      </c>
      <c r="J6052" s="504">
        <v>0</v>
      </c>
      <c r="K6052" s="504">
        <v>0</v>
      </c>
      <c r="L6052" s="504">
        <v>111</v>
      </c>
      <c r="M6052" s="504">
        <v>0</v>
      </c>
      <c r="N6052" s="504">
        <v>0</v>
      </c>
      <c r="O6052" s="505">
        <v>0</v>
      </c>
    </row>
    <row r="6053" spans="1:15" x14ac:dyDescent="0.35">
      <c r="A6053" s="500" t="s">
        <v>1093</v>
      </c>
      <c r="B6053" s="501" t="s">
        <v>3248</v>
      </c>
      <c r="C6053" s="501" t="s">
        <v>1094</v>
      </c>
      <c r="D6053" s="501" t="s">
        <v>3380</v>
      </c>
      <c r="E6053" s="501" t="s">
        <v>3381</v>
      </c>
      <c r="F6053" s="501" t="s">
        <v>788</v>
      </c>
      <c r="G6053" s="501" t="s">
        <v>789</v>
      </c>
      <c r="H6053" s="501" t="s">
        <v>8231</v>
      </c>
      <c r="I6053" s="501">
        <v>15</v>
      </c>
      <c r="J6053" s="501">
        <v>0</v>
      </c>
      <c r="K6053" s="501">
        <v>0</v>
      </c>
      <c r="L6053" s="501">
        <v>11</v>
      </c>
      <c r="M6053" s="501">
        <v>0</v>
      </c>
      <c r="N6053" s="501">
        <v>0</v>
      </c>
      <c r="O6053" s="506">
        <v>4</v>
      </c>
    </row>
    <row r="6054" spans="1:15" x14ac:dyDescent="0.35">
      <c r="A6054" s="503" t="s">
        <v>1096</v>
      </c>
      <c r="B6054" s="504" t="s">
        <v>3326</v>
      </c>
      <c r="C6054" s="504" t="s">
        <v>1094</v>
      </c>
      <c r="D6054" s="504" t="s">
        <v>3380</v>
      </c>
      <c r="E6054" s="504" t="s">
        <v>3381</v>
      </c>
      <c r="F6054" s="504" t="s">
        <v>788</v>
      </c>
      <c r="G6054" s="504" t="s">
        <v>789</v>
      </c>
      <c r="H6054" s="504" t="s">
        <v>8232</v>
      </c>
      <c r="I6054" s="504">
        <v>124</v>
      </c>
      <c r="J6054" s="504">
        <v>0</v>
      </c>
      <c r="K6054" s="504">
        <v>0</v>
      </c>
      <c r="L6054" s="504">
        <v>0</v>
      </c>
      <c r="M6054" s="504">
        <v>124</v>
      </c>
      <c r="N6054" s="504">
        <v>0</v>
      </c>
      <c r="O6054" s="505">
        <v>0</v>
      </c>
    </row>
    <row r="6055" spans="1:15" x14ac:dyDescent="0.35">
      <c r="A6055" s="500" t="s">
        <v>11363</v>
      </c>
      <c r="B6055" s="501">
        <v>4718</v>
      </c>
      <c r="C6055" s="501" t="s">
        <v>1094</v>
      </c>
      <c r="D6055" s="501" t="s">
        <v>3380</v>
      </c>
      <c r="E6055" s="501" t="s">
        <v>3381</v>
      </c>
      <c r="F6055" s="501" t="s">
        <v>788</v>
      </c>
      <c r="G6055" s="501" t="s">
        <v>789</v>
      </c>
      <c r="H6055" s="501" t="s">
        <v>11573</v>
      </c>
      <c r="I6055" s="501">
        <v>44</v>
      </c>
      <c r="J6055" s="501">
        <v>0</v>
      </c>
      <c r="K6055" s="501">
        <v>0</v>
      </c>
      <c r="L6055" s="501">
        <v>44</v>
      </c>
      <c r="M6055" s="501">
        <v>0</v>
      </c>
      <c r="N6055" s="501">
        <v>0</v>
      </c>
      <c r="O6055" s="506">
        <v>0</v>
      </c>
    </row>
    <row r="6056" spans="1:15" x14ac:dyDescent="0.35">
      <c r="A6056" s="503" t="s">
        <v>1158</v>
      </c>
      <c r="B6056" s="504">
        <v>4819</v>
      </c>
      <c r="C6056" s="504" t="s">
        <v>1094</v>
      </c>
      <c r="D6056" s="504" t="s">
        <v>3380</v>
      </c>
      <c r="E6056" s="504" t="s">
        <v>3381</v>
      </c>
      <c r="F6056" s="504" t="s">
        <v>788</v>
      </c>
      <c r="G6056" s="504" t="s">
        <v>789</v>
      </c>
      <c r="H6056" s="504" t="s">
        <v>8233</v>
      </c>
      <c r="I6056" s="504">
        <v>344</v>
      </c>
      <c r="J6056" s="504">
        <v>297</v>
      </c>
      <c r="K6056" s="504">
        <v>0</v>
      </c>
      <c r="L6056" s="504">
        <v>20</v>
      </c>
      <c r="M6056" s="504">
        <v>0</v>
      </c>
      <c r="N6056" s="504">
        <v>0</v>
      </c>
      <c r="O6056" s="505">
        <v>27</v>
      </c>
    </row>
    <row r="6057" spans="1:15" x14ac:dyDescent="0.35">
      <c r="A6057" s="500" t="s">
        <v>1961</v>
      </c>
      <c r="B6057" s="501">
        <v>5075</v>
      </c>
      <c r="C6057" s="501" t="s">
        <v>1094</v>
      </c>
      <c r="D6057" s="501" t="s">
        <v>3380</v>
      </c>
      <c r="E6057" s="501" t="s">
        <v>3381</v>
      </c>
      <c r="F6057" s="501" t="s">
        <v>788</v>
      </c>
      <c r="G6057" s="501" t="s">
        <v>789</v>
      </c>
      <c r="H6057" s="501" t="s">
        <v>8234</v>
      </c>
      <c r="I6057" s="501">
        <v>206</v>
      </c>
      <c r="J6057" s="501">
        <v>154</v>
      </c>
      <c r="K6057" s="501">
        <v>0</v>
      </c>
      <c r="L6057" s="501">
        <v>0</v>
      </c>
      <c r="M6057" s="501">
        <v>0</v>
      </c>
      <c r="N6057" s="501">
        <v>0</v>
      </c>
      <c r="O6057" s="506">
        <v>52</v>
      </c>
    </row>
    <row r="6058" spans="1:15" x14ac:dyDescent="0.35">
      <c r="A6058" s="503" t="s">
        <v>1100</v>
      </c>
      <c r="B6058" s="504">
        <v>4865</v>
      </c>
      <c r="C6058" s="504" t="s">
        <v>1094</v>
      </c>
      <c r="D6058" s="504" t="s">
        <v>3380</v>
      </c>
      <c r="E6058" s="504" t="s">
        <v>3381</v>
      </c>
      <c r="F6058" s="504" t="s">
        <v>788</v>
      </c>
      <c r="G6058" s="504" t="s">
        <v>789</v>
      </c>
      <c r="H6058" s="504" t="s">
        <v>8235</v>
      </c>
      <c r="I6058" s="504">
        <v>72</v>
      </c>
      <c r="J6058" s="504">
        <v>50</v>
      </c>
      <c r="K6058" s="504">
        <v>0</v>
      </c>
      <c r="L6058" s="504">
        <v>0</v>
      </c>
      <c r="M6058" s="504">
        <v>0</v>
      </c>
      <c r="N6058" s="504">
        <v>0</v>
      </c>
      <c r="O6058" s="505">
        <v>22</v>
      </c>
    </row>
    <row r="6059" spans="1:15" x14ac:dyDescent="0.35">
      <c r="A6059" s="500" t="s">
        <v>1171</v>
      </c>
      <c r="B6059" s="501" t="s">
        <v>3003</v>
      </c>
      <c r="C6059" s="501" t="s">
        <v>1094</v>
      </c>
      <c r="D6059" s="501" t="s">
        <v>3380</v>
      </c>
      <c r="E6059" s="501" t="s">
        <v>3381</v>
      </c>
      <c r="F6059" s="501" t="s">
        <v>788</v>
      </c>
      <c r="G6059" s="501" t="s">
        <v>789</v>
      </c>
      <c r="H6059" s="501" t="s">
        <v>8236</v>
      </c>
      <c r="I6059" s="501">
        <v>16</v>
      </c>
      <c r="J6059" s="501">
        <v>11</v>
      </c>
      <c r="K6059" s="501">
        <v>0</v>
      </c>
      <c r="L6059" s="501">
        <v>0</v>
      </c>
      <c r="M6059" s="501">
        <v>0</v>
      </c>
      <c r="N6059" s="501">
        <v>0</v>
      </c>
      <c r="O6059" s="506">
        <v>5</v>
      </c>
    </row>
    <row r="6060" spans="1:15" x14ac:dyDescent="0.35">
      <c r="A6060" s="503" t="s">
        <v>1173</v>
      </c>
      <c r="B6060" s="504">
        <v>4775</v>
      </c>
      <c r="C6060" s="504" t="s">
        <v>1094</v>
      </c>
      <c r="D6060" s="504" t="s">
        <v>3380</v>
      </c>
      <c r="E6060" s="504" t="s">
        <v>3381</v>
      </c>
      <c r="F6060" s="504" t="s">
        <v>788</v>
      </c>
      <c r="G6060" s="504" t="s">
        <v>789</v>
      </c>
      <c r="H6060" s="504" t="s">
        <v>8237</v>
      </c>
      <c r="I6060" s="504">
        <v>1</v>
      </c>
      <c r="J6060" s="504">
        <v>0</v>
      </c>
      <c r="K6060" s="504">
        <v>0</v>
      </c>
      <c r="L6060" s="504">
        <v>0</v>
      </c>
      <c r="M6060" s="504">
        <v>0</v>
      </c>
      <c r="N6060" s="504">
        <v>0</v>
      </c>
      <c r="O6060" s="505">
        <v>1</v>
      </c>
    </row>
    <row r="6061" spans="1:15" x14ac:dyDescent="0.35">
      <c r="A6061" s="500" t="s">
        <v>1832</v>
      </c>
      <c r="B6061" s="501">
        <v>4797</v>
      </c>
      <c r="C6061" s="501" t="s">
        <v>1089</v>
      </c>
      <c r="D6061" s="501" t="s">
        <v>3392</v>
      </c>
      <c r="E6061" s="501" t="s">
        <v>3381</v>
      </c>
      <c r="F6061" s="501" t="s">
        <v>788</v>
      </c>
      <c r="G6061" s="501" t="s">
        <v>789</v>
      </c>
      <c r="H6061" s="501" t="s">
        <v>8238</v>
      </c>
      <c r="I6061" s="501">
        <v>14</v>
      </c>
      <c r="J6061" s="501">
        <v>0</v>
      </c>
      <c r="K6061" s="501">
        <v>0</v>
      </c>
      <c r="L6061" s="501">
        <v>14</v>
      </c>
      <c r="M6061" s="501">
        <v>0</v>
      </c>
      <c r="N6061" s="501">
        <v>0</v>
      </c>
      <c r="O6061" s="506">
        <v>0</v>
      </c>
    </row>
    <row r="6062" spans="1:15" x14ac:dyDescent="0.35">
      <c r="A6062" s="503" t="s">
        <v>14208</v>
      </c>
      <c r="B6062" s="504">
        <v>4803</v>
      </c>
      <c r="C6062" s="504" t="s">
        <v>1094</v>
      </c>
      <c r="D6062" s="504" t="s">
        <v>3380</v>
      </c>
      <c r="E6062" s="504" t="s">
        <v>3381</v>
      </c>
      <c r="F6062" s="504" t="s">
        <v>788</v>
      </c>
      <c r="G6062" s="504" t="s">
        <v>789</v>
      </c>
      <c r="H6062" s="504" t="s">
        <v>14951</v>
      </c>
      <c r="I6062" s="504">
        <v>23</v>
      </c>
      <c r="J6062" s="504">
        <v>0</v>
      </c>
      <c r="K6062" s="504">
        <v>0</v>
      </c>
      <c r="L6062" s="504">
        <v>23</v>
      </c>
      <c r="M6062" s="504">
        <v>0</v>
      </c>
      <c r="N6062" s="504">
        <v>0</v>
      </c>
      <c r="O6062" s="505">
        <v>0</v>
      </c>
    </row>
    <row r="6063" spans="1:15" x14ac:dyDescent="0.35">
      <c r="A6063" s="500" t="s">
        <v>14213</v>
      </c>
      <c r="B6063" s="501" t="s">
        <v>3312</v>
      </c>
      <c r="C6063" s="501" t="s">
        <v>1094</v>
      </c>
      <c r="D6063" s="501" t="s">
        <v>3380</v>
      </c>
      <c r="E6063" s="501" t="s">
        <v>3381</v>
      </c>
      <c r="F6063" s="501" t="s">
        <v>788</v>
      </c>
      <c r="G6063" s="501" t="s">
        <v>789</v>
      </c>
      <c r="H6063" s="501" t="s">
        <v>14952</v>
      </c>
      <c r="I6063" s="501">
        <v>21</v>
      </c>
      <c r="J6063" s="501">
        <v>6</v>
      </c>
      <c r="K6063" s="501">
        <v>0</v>
      </c>
      <c r="L6063" s="501">
        <v>15</v>
      </c>
      <c r="M6063" s="501">
        <v>0</v>
      </c>
      <c r="N6063" s="501">
        <v>0</v>
      </c>
      <c r="O6063" s="506">
        <v>0</v>
      </c>
    </row>
    <row r="6064" spans="1:15" x14ac:dyDescent="0.35">
      <c r="A6064" s="503" t="s">
        <v>1105</v>
      </c>
      <c r="B6064" s="504">
        <v>4668</v>
      </c>
      <c r="C6064" s="504" t="s">
        <v>1094</v>
      </c>
      <c r="D6064" s="504" t="s">
        <v>3380</v>
      </c>
      <c r="E6064" s="504" t="s">
        <v>3381</v>
      </c>
      <c r="F6064" s="504" t="s">
        <v>788</v>
      </c>
      <c r="G6064" s="504" t="s">
        <v>789</v>
      </c>
      <c r="H6064" s="504" t="s">
        <v>8239</v>
      </c>
      <c r="I6064" s="504">
        <v>29</v>
      </c>
      <c r="J6064" s="504">
        <v>0</v>
      </c>
      <c r="K6064" s="504">
        <v>0</v>
      </c>
      <c r="L6064" s="504">
        <v>0</v>
      </c>
      <c r="M6064" s="504">
        <v>0</v>
      </c>
      <c r="N6064" s="504">
        <v>0</v>
      </c>
      <c r="O6064" s="505">
        <v>29</v>
      </c>
    </row>
    <row r="6065" spans="1:15" x14ac:dyDescent="0.35">
      <c r="A6065" s="500" t="s">
        <v>1109</v>
      </c>
      <c r="B6065" s="501" t="s">
        <v>2959</v>
      </c>
      <c r="C6065" s="501" t="s">
        <v>1094</v>
      </c>
      <c r="D6065" s="501" t="s">
        <v>3380</v>
      </c>
      <c r="E6065" s="501" t="s">
        <v>3381</v>
      </c>
      <c r="F6065" s="501" t="s">
        <v>788</v>
      </c>
      <c r="G6065" s="501" t="s">
        <v>789</v>
      </c>
      <c r="H6065" s="501" t="s">
        <v>8240</v>
      </c>
      <c r="I6065" s="501">
        <v>199</v>
      </c>
      <c r="J6065" s="501">
        <v>0</v>
      </c>
      <c r="K6065" s="501">
        <v>0</v>
      </c>
      <c r="L6065" s="501">
        <v>0</v>
      </c>
      <c r="M6065" s="501">
        <v>174</v>
      </c>
      <c r="N6065" s="501">
        <v>0</v>
      </c>
      <c r="O6065" s="506">
        <v>25</v>
      </c>
    </row>
    <row r="6066" spans="1:15" x14ac:dyDescent="0.35">
      <c r="A6066" s="503" t="s">
        <v>1634</v>
      </c>
      <c r="B6066" s="504">
        <v>4822</v>
      </c>
      <c r="C6066" s="504" t="s">
        <v>1089</v>
      </c>
      <c r="D6066" s="504" t="s">
        <v>3392</v>
      </c>
      <c r="E6066" s="504" t="s">
        <v>3381</v>
      </c>
      <c r="F6066" s="504" t="s">
        <v>788</v>
      </c>
      <c r="G6066" s="504" t="s">
        <v>789</v>
      </c>
      <c r="H6066" s="504" t="s">
        <v>8241</v>
      </c>
      <c r="I6066" s="504">
        <v>2</v>
      </c>
      <c r="J6066" s="504">
        <v>0</v>
      </c>
      <c r="K6066" s="504">
        <v>0</v>
      </c>
      <c r="L6066" s="504">
        <v>2</v>
      </c>
      <c r="M6066" s="504">
        <v>0</v>
      </c>
      <c r="N6066" s="504">
        <v>0</v>
      </c>
      <c r="O6066" s="505">
        <v>0</v>
      </c>
    </row>
    <row r="6067" spans="1:15" x14ac:dyDescent="0.35">
      <c r="A6067" s="500" t="s">
        <v>1190</v>
      </c>
      <c r="B6067" s="501">
        <v>4662</v>
      </c>
      <c r="C6067" s="501" t="s">
        <v>1094</v>
      </c>
      <c r="D6067" s="501" t="s">
        <v>3380</v>
      </c>
      <c r="E6067" s="501" t="s">
        <v>3381</v>
      </c>
      <c r="F6067" s="501" t="s">
        <v>788</v>
      </c>
      <c r="G6067" s="501" t="s">
        <v>789</v>
      </c>
      <c r="H6067" s="501" t="s">
        <v>8242</v>
      </c>
      <c r="I6067" s="501">
        <v>53</v>
      </c>
      <c r="J6067" s="501">
        <v>0</v>
      </c>
      <c r="K6067" s="501">
        <v>0</v>
      </c>
      <c r="L6067" s="501">
        <v>53</v>
      </c>
      <c r="M6067" s="501">
        <v>0</v>
      </c>
      <c r="N6067" s="501">
        <v>0</v>
      </c>
      <c r="O6067" s="506">
        <v>0</v>
      </c>
    </row>
    <row r="6068" spans="1:15" x14ac:dyDescent="0.35">
      <c r="A6068" s="503" t="s">
        <v>1310</v>
      </c>
      <c r="B6068" s="504">
        <v>5062</v>
      </c>
      <c r="C6068" s="504" t="s">
        <v>1089</v>
      </c>
      <c r="D6068" s="504" t="s">
        <v>3380</v>
      </c>
      <c r="E6068" s="504" t="s">
        <v>3381</v>
      </c>
      <c r="F6068" s="504" t="s">
        <v>788</v>
      </c>
      <c r="G6068" s="504" t="s">
        <v>789</v>
      </c>
      <c r="H6068" s="504" t="s">
        <v>14953</v>
      </c>
      <c r="I6068" s="504">
        <v>10</v>
      </c>
      <c r="J6068" s="504">
        <v>7</v>
      </c>
      <c r="K6068" s="504">
        <v>0</v>
      </c>
      <c r="L6068" s="504">
        <v>0</v>
      </c>
      <c r="M6068" s="504">
        <v>0</v>
      </c>
      <c r="N6068" s="504">
        <v>0</v>
      </c>
      <c r="O6068" s="505">
        <v>3</v>
      </c>
    </row>
    <row r="6069" spans="1:15" x14ac:dyDescent="0.35">
      <c r="A6069" s="500" t="s">
        <v>1203</v>
      </c>
      <c r="B6069" s="501" t="s">
        <v>3170</v>
      </c>
      <c r="C6069" s="501" t="s">
        <v>1094</v>
      </c>
      <c r="D6069" s="501" t="s">
        <v>3380</v>
      </c>
      <c r="E6069" s="501" t="s">
        <v>3381</v>
      </c>
      <c r="F6069" s="501" t="s">
        <v>788</v>
      </c>
      <c r="G6069" s="501" t="s">
        <v>789</v>
      </c>
      <c r="H6069" s="501" t="s">
        <v>8243</v>
      </c>
      <c r="I6069" s="501">
        <v>138</v>
      </c>
      <c r="J6069" s="501">
        <v>103</v>
      </c>
      <c r="K6069" s="501">
        <v>0</v>
      </c>
      <c r="L6069" s="501">
        <v>30</v>
      </c>
      <c r="M6069" s="501">
        <v>0</v>
      </c>
      <c r="N6069" s="501">
        <v>0</v>
      </c>
      <c r="O6069" s="506">
        <v>5</v>
      </c>
    </row>
    <row r="6070" spans="1:15" x14ac:dyDescent="0.35">
      <c r="A6070" s="503" t="s">
        <v>1497</v>
      </c>
      <c r="B6070" s="504" t="s">
        <v>3290</v>
      </c>
      <c r="C6070" s="504" t="s">
        <v>1089</v>
      </c>
      <c r="D6070" s="504" t="s">
        <v>3392</v>
      </c>
      <c r="E6070" s="504" t="s">
        <v>3381</v>
      </c>
      <c r="F6070" s="504" t="s">
        <v>788</v>
      </c>
      <c r="G6070" s="504" t="s">
        <v>789</v>
      </c>
      <c r="H6070" s="504" t="s">
        <v>8244</v>
      </c>
      <c r="I6070" s="504">
        <v>34</v>
      </c>
      <c r="J6070" s="504">
        <v>0</v>
      </c>
      <c r="K6070" s="504">
        <v>0</v>
      </c>
      <c r="L6070" s="504">
        <v>0</v>
      </c>
      <c r="M6070" s="504">
        <v>34</v>
      </c>
      <c r="N6070" s="504">
        <v>0</v>
      </c>
      <c r="O6070" s="505">
        <v>0</v>
      </c>
    </row>
    <row r="6071" spans="1:15" x14ac:dyDescent="0.35">
      <c r="A6071" s="500" t="s">
        <v>1207</v>
      </c>
      <c r="B6071" s="501" t="s">
        <v>3202</v>
      </c>
      <c r="C6071" s="501" t="s">
        <v>1094</v>
      </c>
      <c r="D6071" s="501" t="s">
        <v>3380</v>
      </c>
      <c r="E6071" s="501" t="s">
        <v>3381</v>
      </c>
      <c r="F6071" s="501" t="s">
        <v>788</v>
      </c>
      <c r="G6071" s="501" t="s">
        <v>789</v>
      </c>
      <c r="H6071" s="501" t="s">
        <v>8245</v>
      </c>
      <c r="I6071" s="501">
        <v>632</v>
      </c>
      <c r="J6071" s="501">
        <v>469</v>
      </c>
      <c r="K6071" s="501">
        <v>0</v>
      </c>
      <c r="L6071" s="501">
        <v>0</v>
      </c>
      <c r="M6071" s="501">
        <v>0</v>
      </c>
      <c r="N6071" s="501">
        <v>0</v>
      </c>
      <c r="O6071" s="506">
        <v>163</v>
      </c>
    </row>
    <row r="6072" spans="1:15" x14ac:dyDescent="0.35">
      <c r="A6072" s="503" t="s">
        <v>1209</v>
      </c>
      <c r="B6072" s="504">
        <v>4779</v>
      </c>
      <c r="C6072" s="504" t="s">
        <v>1094</v>
      </c>
      <c r="D6072" s="504" t="s">
        <v>3380</v>
      </c>
      <c r="E6072" s="504" t="s">
        <v>3381</v>
      </c>
      <c r="F6072" s="504" t="s">
        <v>788</v>
      </c>
      <c r="G6072" s="504" t="s">
        <v>789</v>
      </c>
      <c r="H6072" s="504" t="s">
        <v>11864</v>
      </c>
      <c r="I6072" s="504">
        <v>25</v>
      </c>
      <c r="J6072" s="504">
        <v>0</v>
      </c>
      <c r="K6072" s="504">
        <v>0</v>
      </c>
      <c r="L6072" s="504">
        <v>25</v>
      </c>
      <c r="M6072" s="504">
        <v>0</v>
      </c>
      <c r="N6072" s="504">
        <v>0</v>
      </c>
      <c r="O6072" s="505">
        <v>0</v>
      </c>
    </row>
    <row r="6073" spans="1:15" x14ac:dyDescent="0.35">
      <c r="A6073" s="500" t="s">
        <v>11431</v>
      </c>
      <c r="B6073" s="501" t="s">
        <v>11456</v>
      </c>
      <c r="C6073" s="501" t="s">
        <v>1089</v>
      </c>
      <c r="D6073" s="501" t="s">
        <v>3392</v>
      </c>
      <c r="E6073" s="501" t="s">
        <v>3381</v>
      </c>
      <c r="F6073" s="501" t="s">
        <v>788</v>
      </c>
      <c r="G6073" s="501" t="s">
        <v>789</v>
      </c>
      <c r="H6073" s="501" t="s">
        <v>11871</v>
      </c>
      <c r="I6073" s="501">
        <v>28</v>
      </c>
      <c r="J6073" s="501">
        <v>0</v>
      </c>
      <c r="K6073" s="501">
        <v>0</v>
      </c>
      <c r="L6073" s="501">
        <v>0</v>
      </c>
      <c r="M6073" s="501">
        <v>28</v>
      </c>
      <c r="N6073" s="501">
        <v>0</v>
      </c>
      <c r="O6073" s="506">
        <v>0</v>
      </c>
    </row>
    <row r="6074" spans="1:15" x14ac:dyDescent="0.35">
      <c r="A6074" s="503" t="s">
        <v>1218</v>
      </c>
      <c r="B6074" s="504" t="s">
        <v>3147</v>
      </c>
      <c r="C6074" s="504" t="s">
        <v>1094</v>
      </c>
      <c r="D6074" s="504" t="s">
        <v>3380</v>
      </c>
      <c r="E6074" s="504" t="s">
        <v>3381</v>
      </c>
      <c r="F6074" s="504" t="s">
        <v>788</v>
      </c>
      <c r="G6074" s="504" t="s">
        <v>789</v>
      </c>
      <c r="H6074" s="504" t="s">
        <v>8246</v>
      </c>
      <c r="I6074" s="504">
        <v>95</v>
      </c>
      <c r="J6074" s="504">
        <v>2</v>
      </c>
      <c r="K6074" s="504">
        <v>0</v>
      </c>
      <c r="L6074" s="504">
        <v>0</v>
      </c>
      <c r="M6074" s="504">
        <v>0</v>
      </c>
      <c r="N6074" s="504">
        <v>0</v>
      </c>
      <c r="O6074" s="505">
        <v>93</v>
      </c>
    </row>
    <row r="6075" spans="1:15" x14ac:dyDescent="0.35">
      <c r="A6075" s="500" t="s">
        <v>11367</v>
      </c>
      <c r="B6075" s="501" t="s">
        <v>3143</v>
      </c>
      <c r="C6075" s="501" t="s">
        <v>1094</v>
      </c>
      <c r="D6075" s="501" t="s">
        <v>3380</v>
      </c>
      <c r="E6075" s="501" t="s">
        <v>3381</v>
      </c>
      <c r="F6075" s="501" t="s">
        <v>788</v>
      </c>
      <c r="G6075" s="501" t="s">
        <v>789</v>
      </c>
      <c r="H6075" s="501" t="s">
        <v>11943</v>
      </c>
      <c r="I6075" s="501">
        <v>707</v>
      </c>
      <c r="J6075" s="501">
        <v>707</v>
      </c>
      <c r="K6075" s="501">
        <v>0</v>
      </c>
      <c r="L6075" s="501">
        <v>0</v>
      </c>
      <c r="M6075" s="501">
        <v>0</v>
      </c>
      <c r="N6075" s="501">
        <v>0</v>
      </c>
      <c r="O6075" s="506">
        <v>0</v>
      </c>
    </row>
    <row r="6076" spans="1:15" x14ac:dyDescent="0.35">
      <c r="A6076" s="503" t="s">
        <v>1220</v>
      </c>
      <c r="B6076" s="504">
        <v>4849</v>
      </c>
      <c r="C6076" s="504" t="s">
        <v>1094</v>
      </c>
      <c r="D6076" s="504" t="s">
        <v>3380</v>
      </c>
      <c r="E6076" s="504" t="s">
        <v>3381</v>
      </c>
      <c r="F6076" s="504" t="s">
        <v>788</v>
      </c>
      <c r="G6076" s="504" t="s">
        <v>789</v>
      </c>
      <c r="H6076" s="504" t="s">
        <v>8247</v>
      </c>
      <c r="I6076" s="504">
        <v>93</v>
      </c>
      <c r="J6076" s="504">
        <v>80</v>
      </c>
      <c r="K6076" s="504">
        <v>0</v>
      </c>
      <c r="L6076" s="504">
        <v>3</v>
      </c>
      <c r="M6076" s="504">
        <v>0</v>
      </c>
      <c r="N6076" s="504">
        <v>0</v>
      </c>
      <c r="O6076" s="505">
        <v>10</v>
      </c>
    </row>
    <row r="6077" spans="1:15" x14ac:dyDescent="0.35">
      <c r="A6077" s="500" t="s">
        <v>1225</v>
      </c>
      <c r="B6077" s="501" t="s">
        <v>3315</v>
      </c>
      <c r="C6077" s="501" t="s">
        <v>1094</v>
      </c>
      <c r="D6077" s="501" t="s">
        <v>3380</v>
      </c>
      <c r="E6077" s="501" t="s">
        <v>3381</v>
      </c>
      <c r="F6077" s="501" t="s">
        <v>788</v>
      </c>
      <c r="G6077" s="501" t="s">
        <v>789</v>
      </c>
      <c r="H6077" s="501" t="s">
        <v>8248</v>
      </c>
      <c r="I6077" s="501">
        <v>1</v>
      </c>
      <c r="J6077" s="501">
        <v>0</v>
      </c>
      <c r="K6077" s="501">
        <v>0</v>
      </c>
      <c r="L6077" s="501">
        <v>1</v>
      </c>
      <c r="M6077" s="501">
        <v>0</v>
      </c>
      <c r="N6077" s="501">
        <v>0</v>
      </c>
      <c r="O6077" s="506">
        <v>0</v>
      </c>
    </row>
    <row r="6078" spans="1:15" x14ac:dyDescent="0.35">
      <c r="A6078" s="503" t="s">
        <v>1226</v>
      </c>
      <c r="B6078" s="504">
        <v>5084</v>
      </c>
      <c r="C6078" s="504" t="s">
        <v>1094</v>
      </c>
      <c r="D6078" s="504" t="s">
        <v>3380</v>
      </c>
      <c r="E6078" s="504" t="s">
        <v>3381</v>
      </c>
      <c r="F6078" s="504" t="s">
        <v>788</v>
      </c>
      <c r="G6078" s="504" t="s">
        <v>789</v>
      </c>
      <c r="H6078" s="504" t="s">
        <v>8249</v>
      </c>
      <c r="I6078" s="504">
        <v>117</v>
      </c>
      <c r="J6078" s="504">
        <v>80</v>
      </c>
      <c r="K6078" s="504">
        <v>0</v>
      </c>
      <c r="L6078" s="504">
        <v>0</v>
      </c>
      <c r="M6078" s="504">
        <v>0</v>
      </c>
      <c r="N6078" s="504">
        <v>0</v>
      </c>
      <c r="O6078" s="505">
        <v>37</v>
      </c>
    </row>
    <row r="6079" spans="1:15" x14ac:dyDescent="0.35">
      <c r="A6079" s="500" t="s">
        <v>1124</v>
      </c>
      <c r="B6079" s="501">
        <v>4745</v>
      </c>
      <c r="C6079" s="501" t="s">
        <v>1094</v>
      </c>
      <c r="D6079" s="501" t="s">
        <v>3380</v>
      </c>
      <c r="E6079" s="501" t="s">
        <v>3381</v>
      </c>
      <c r="F6079" s="501" t="s">
        <v>788</v>
      </c>
      <c r="G6079" s="501" t="s">
        <v>789</v>
      </c>
      <c r="H6079" s="501" t="s">
        <v>8250</v>
      </c>
      <c r="I6079" s="501">
        <v>13</v>
      </c>
      <c r="J6079" s="501">
        <v>0</v>
      </c>
      <c r="K6079" s="501">
        <v>0</v>
      </c>
      <c r="L6079" s="501">
        <v>13</v>
      </c>
      <c r="M6079" s="501">
        <v>0</v>
      </c>
      <c r="N6079" s="501">
        <v>0</v>
      </c>
      <c r="O6079" s="506">
        <v>0</v>
      </c>
    </row>
    <row r="6080" spans="1:15" x14ac:dyDescent="0.35">
      <c r="A6080" s="503" t="s">
        <v>1233</v>
      </c>
      <c r="B6080" s="504">
        <v>4636</v>
      </c>
      <c r="C6080" s="504" t="s">
        <v>1094</v>
      </c>
      <c r="D6080" s="504" t="s">
        <v>3380</v>
      </c>
      <c r="E6080" s="504" t="s">
        <v>3381</v>
      </c>
      <c r="F6080" s="504" t="s">
        <v>788</v>
      </c>
      <c r="G6080" s="504" t="s">
        <v>789</v>
      </c>
      <c r="H6080" s="504" t="s">
        <v>8251</v>
      </c>
      <c r="I6080" s="504">
        <v>23</v>
      </c>
      <c r="J6080" s="504">
        <v>11</v>
      </c>
      <c r="K6080" s="504">
        <v>0</v>
      </c>
      <c r="L6080" s="504">
        <v>0</v>
      </c>
      <c r="M6080" s="504">
        <v>0</v>
      </c>
      <c r="N6080" s="504">
        <v>0</v>
      </c>
      <c r="O6080" s="505">
        <v>12</v>
      </c>
    </row>
    <row r="6081" spans="1:15" x14ac:dyDescent="0.35">
      <c r="A6081" s="500" t="s">
        <v>11368</v>
      </c>
      <c r="B6081" s="501">
        <v>5083</v>
      </c>
      <c r="C6081" s="501" t="s">
        <v>1094</v>
      </c>
      <c r="D6081" s="501" t="s">
        <v>3380</v>
      </c>
      <c r="E6081" s="501" t="s">
        <v>3381</v>
      </c>
      <c r="F6081" s="501" t="s">
        <v>788</v>
      </c>
      <c r="G6081" s="501" t="s">
        <v>789</v>
      </c>
      <c r="H6081" s="501" t="s">
        <v>14954</v>
      </c>
      <c r="I6081" s="501">
        <v>19</v>
      </c>
      <c r="J6081" s="501">
        <v>19</v>
      </c>
      <c r="K6081" s="501">
        <v>0</v>
      </c>
      <c r="L6081" s="501">
        <v>0</v>
      </c>
      <c r="M6081" s="501">
        <v>0</v>
      </c>
      <c r="N6081" s="501">
        <v>0</v>
      </c>
      <c r="O6081" s="506">
        <v>0</v>
      </c>
    </row>
    <row r="6082" spans="1:15" x14ac:dyDescent="0.35">
      <c r="A6082" s="503" t="s">
        <v>1126</v>
      </c>
      <c r="B6082" s="504" t="s">
        <v>2974</v>
      </c>
      <c r="C6082" s="504" t="s">
        <v>1094</v>
      </c>
      <c r="D6082" s="504" t="s">
        <v>3380</v>
      </c>
      <c r="E6082" s="504" t="s">
        <v>3381</v>
      </c>
      <c r="F6082" s="504" t="s">
        <v>788</v>
      </c>
      <c r="G6082" s="504" t="s">
        <v>789</v>
      </c>
      <c r="H6082" s="504" t="s">
        <v>8252</v>
      </c>
      <c r="I6082" s="504">
        <v>36</v>
      </c>
      <c r="J6082" s="504">
        <v>36</v>
      </c>
      <c r="K6082" s="504">
        <v>0</v>
      </c>
      <c r="L6082" s="504">
        <v>0</v>
      </c>
      <c r="M6082" s="504">
        <v>0</v>
      </c>
      <c r="N6082" s="504">
        <v>0</v>
      </c>
      <c r="O6082" s="505">
        <v>0</v>
      </c>
    </row>
    <row r="6083" spans="1:15" x14ac:dyDescent="0.35">
      <c r="A6083" s="500" t="s">
        <v>1240</v>
      </c>
      <c r="B6083" s="501" t="s">
        <v>2972</v>
      </c>
      <c r="C6083" s="501" t="s">
        <v>1094</v>
      </c>
      <c r="D6083" s="501" t="s">
        <v>3380</v>
      </c>
      <c r="E6083" s="501" t="s">
        <v>3381</v>
      </c>
      <c r="F6083" s="501" t="s">
        <v>788</v>
      </c>
      <c r="G6083" s="501" t="s">
        <v>789</v>
      </c>
      <c r="H6083" s="501" t="s">
        <v>8253</v>
      </c>
      <c r="I6083" s="501">
        <v>70</v>
      </c>
      <c r="J6083" s="501">
        <v>66</v>
      </c>
      <c r="K6083" s="501">
        <v>0</v>
      </c>
      <c r="L6083" s="501">
        <v>0</v>
      </c>
      <c r="M6083" s="501">
        <v>0</v>
      </c>
      <c r="N6083" s="501">
        <v>0</v>
      </c>
      <c r="O6083" s="506">
        <v>4</v>
      </c>
    </row>
    <row r="6084" spans="1:15" x14ac:dyDescent="0.35">
      <c r="A6084" s="503" t="s">
        <v>1134</v>
      </c>
      <c r="B6084" s="504" t="s">
        <v>3066</v>
      </c>
      <c r="C6084" s="504" t="s">
        <v>1094</v>
      </c>
      <c r="D6084" s="504" t="s">
        <v>3380</v>
      </c>
      <c r="E6084" s="504" t="s">
        <v>3381</v>
      </c>
      <c r="F6084" s="504" t="s">
        <v>788</v>
      </c>
      <c r="G6084" s="504" t="s">
        <v>789</v>
      </c>
      <c r="H6084" s="504" t="s">
        <v>8254</v>
      </c>
      <c r="I6084" s="504">
        <v>340</v>
      </c>
      <c r="J6084" s="504">
        <v>298</v>
      </c>
      <c r="K6084" s="504">
        <v>0</v>
      </c>
      <c r="L6084" s="504">
        <v>0</v>
      </c>
      <c r="M6084" s="504">
        <v>0</v>
      </c>
      <c r="N6084" s="504">
        <v>0</v>
      </c>
      <c r="O6084" s="505">
        <v>42</v>
      </c>
    </row>
    <row r="6085" spans="1:15" x14ac:dyDescent="0.35">
      <c r="A6085" s="500" t="s">
        <v>1247</v>
      </c>
      <c r="B6085" s="501">
        <v>4838</v>
      </c>
      <c r="C6085" s="501" t="s">
        <v>1089</v>
      </c>
      <c r="D6085" s="501" t="s">
        <v>3392</v>
      </c>
      <c r="E6085" s="501" t="s">
        <v>3381</v>
      </c>
      <c r="F6085" s="501" t="s">
        <v>788</v>
      </c>
      <c r="G6085" s="501" t="s">
        <v>789</v>
      </c>
      <c r="H6085" s="501" t="s">
        <v>14955</v>
      </c>
      <c r="I6085" s="501">
        <v>4</v>
      </c>
      <c r="J6085" s="501">
        <v>0</v>
      </c>
      <c r="K6085" s="501">
        <v>0</v>
      </c>
      <c r="L6085" s="501">
        <v>4</v>
      </c>
      <c r="M6085" s="501">
        <v>0</v>
      </c>
      <c r="N6085" s="501">
        <v>0</v>
      </c>
      <c r="O6085" s="506">
        <v>0</v>
      </c>
    </row>
    <row r="6086" spans="1:15" x14ac:dyDescent="0.35">
      <c r="A6086" s="503" t="s">
        <v>1260</v>
      </c>
      <c r="B6086" s="504">
        <v>4645</v>
      </c>
      <c r="C6086" s="504" t="s">
        <v>1089</v>
      </c>
      <c r="D6086" s="504" t="s">
        <v>3392</v>
      </c>
      <c r="E6086" s="504" t="s">
        <v>3381</v>
      </c>
      <c r="F6086" s="504" t="s">
        <v>788</v>
      </c>
      <c r="G6086" s="504" t="s">
        <v>789</v>
      </c>
      <c r="H6086" s="504" t="s">
        <v>8255</v>
      </c>
      <c r="I6086" s="504">
        <v>8</v>
      </c>
      <c r="J6086" s="504">
        <v>0</v>
      </c>
      <c r="K6086" s="504">
        <v>0</v>
      </c>
      <c r="L6086" s="504">
        <v>8</v>
      </c>
      <c r="M6086" s="504">
        <v>0</v>
      </c>
      <c r="N6086" s="504">
        <v>0</v>
      </c>
      <c r="O6086" s="505">
        <v>0</v>
      </c>
    </row>
    <row r="6087" spans="1:15" x14ac:dyDescent="0.35">
      <c r="A6087" s="500" t="s">
        <v>1371</v>
      </c>
      <c r="B6087" s="501" t="s">
        <v>2891</v>
      </c>
      <c r="C6087" s="501" t="s">
        <v>1089</v>
      </c>
      <c r="D6087" s="501" t="s">
        <v>3392</v>
      </c>
      <c r="E6087" s="501" t="s">
        <v>3381</v>
      </c>
      <c r="F6087" s="501" t="s">
        <v>788</v>
      </c>
      <c r="G6087" s="501" t="s">
        <v>789</v>
      </c>
      <c r="H6087" s="501" t="s">
        <v>8256</v>
      </c>
      <c r="I6087" s="501">
        <v>1</v>
      </c>
      <c r="J6087" s="501">
        <v>0</v>
      </c>
      <c r="K6087" s="501">
        <v>0</v>
      </c>
      <c r="L6087" s="501">
        <v>1</v>
      </c>
      <c r="M6087" s="501">
        <v>0</v>
      </c>
      <c r="N6087" s="501">
        <v>0</v>
      </c>
      <c r="O6087" s="506">
        <v>0</v>
      </c>
    </row>
    <row r="6088" spans="1:15" x14ac:dyDescent="0.35">
      <c r="A6088" s="503" t="s">
        <v>1262</v>
      </c>
      <c r="B6088" s="504">
        <v>4772</v>
      </c>
      <c r="C6088" s="504" t="s">
        <v>1089</v>
      </c>
      <c r="D6088" s="504" t="s">
        <v>3392</v>
      </c>
      <c r="E6088" s="504" t="s">
        <v>3381</v>
      </c>
      <c r="F6088" s="504" t="s">
        <v>788</v>
      </c>
      <c r="G6088" s="504" t="s">
        <v>789</v>
      </c>
      <c r="H6088" s="504" t="s">
        <v>8257</v>
      </c>
      <c r="I6088" s="504">
        <v>3</v>
      </c>
      <c r="J6088" s="504">
        <v>0</v>
      </c>
      <c r="K6088" s="504">
        <v>0</v>
      </c>
      <c r="L6088" s="504">
        <v>3</v>
      </c>
      <c r="M6088" s="504">
        <v>0</v>
      </c>
      <c r="N6088" s="504">
        <v>0</v>
      </c>
      <c r="O6088" s="505">
        <v>0</v>
      </c>
    </row>
    <row r="6089" spans="1:15" x14ac:dyDescent="0.35">
      <c r="A6089" s="500" t="s">
        <v>1147</v>
      </c>
      <c r="B6089" s="501" t="s">
        <v>3274</v>
      </c>
      <c r="C6089" s="501" t="s">
        <v>1089</v>
      </c>
      <c r="D6089" s="501" t="s">
        <v>3392</v>
      </c>
      <c r="E6089" s="501" t="s">
        <v>3381</v>
      </c>
      <c r="F6089" s="501" t="s">
        <v>790</v>
      </c>
      <c r="G6089" s="501" t="s">
        <v>791</v>
      </c>
      <c r="H6089" s="501" t="s">
        <v>8258</v>
      </c>
      <c r="I6089" s="501">
        <v>5</v>
      </c>
      <c r="J6089" s="501">
        <v>0</v>
      </c>
      <c r="K6089" s="501">
        <v>0</v>
      </c>
      <c r="L6089" s="501">
        <v>5</v>
      </c>
      <c r="M6089" s="501">
        <v>0</v>
      </c>
      <c r="N6089" s="501">
        <v>0</v>
      </c>
      <c r="O6089" s="506">
        <v>0</v>
      </c>
    </row>
    <row r="6090" spans="1:15" x14ac:dyDescent="0.35">
      <c r="A6090" s="503" t="s">
        <v>1093</v>
      </c>
      <c r="B6090" s="504" t="s">
        <v>3248</v>
      </c>
      <c r="C6090" s="504" t="s">
        <v>1094</v>
      </c>
      <c r="D6090" s="504" t="s">
        <v>3380</v>
      </c>
      <c r="E6090" s="504" t="s">
        <v>3381</v>
      </c>
      <c r="F6090" s="504" t="s">
        <v>790</v>
      </c>
      <c r="G6090" s="504" t="s">
        <v>791</v>
      </c>
      <c r="H6090" s="504" t="s">
        <v>8259</v>
      </c>
      <c r="I6090" s="504">
        <v>12</v>
      </c>
      <c r="J6090" s="504">
        <v>0</v>
      </c>
      <c r="K6090" s="504">
        <v>0</v>
      </c>
      <c r="L6090" s="504">
        <v>8</v>
      </c>
      <c r="M6090" s="504">
        <v>0</v>
      </c>
      <c r="N6090" s="504">
        <v>0</v>
      </c>
      <c r="O6090" s="505">
        <v>4</v>
      </c>
    </row>
    <row r="6091" spans="1:15" x14ac:dyDescent="0.35">
      <c r="A6091" s="500" t="s">
        <v>1096</v>
      </c>
      <c r="B6091" s="501" t="s">
        <v>3326</v>
      </c>
      <c r="C6091" s="501" t="s">
        <v>1094</v>
      </c>
      <c r="D6091" s="501" t="s">
        <v>3380</v>
      </c>
      <c r="E6091" s="501" t="s">
        <v>3381</v>
      </c>
      <c r="F6091" s="501" t="s">
        <v>790</v>
      </c>
      <c r="G6091" s="501" t="s">
        <v>791</v>
      </c>
      <c r="H6091" s="501" t="s">
        <v>8260</v>
      </c>
      <c r="I6091" s="501">
        <v>49</v>
      </c>
      <c r="J6091" s="501">
        <v>0</v>
      </c>
      <c r="K6091" s="501">
        <v>0</v>
      </c>
      <c r="L6091" s="501">
        <v>0</v>
      </c>
      <c r="M6091" s="501">
        <v>49</v>
      </c>
      <c r="N6091" s="501">
        <v>0</v>
      </c>
      <c r="O6091" s="506">
        <v>0</v>
      </c>
    </row>
    <row r="6092" spans="1:15" x14ac:dyDescent="0.35">
      <c r="A6092" s="503" t="s">
        <v>1173</v>
      </c>
      <c r="B6092" s="504">
        <v>4775</v>
      </c>
      <c r="C6092" s="504" t="s">
        <v>1094</v>
      </c>
      <c r="D6092" s="504" t="s">
        <v>3380</v>
      </c>
      <c r="E6092" s="504" t="s">
        <v>3381</v>
      </c>
      <c r="F6092" s="504" t="s">
        <v>790</v>
      </c>
      <c r="G6092" s="504" t="s">
        <v>791</v>
      </c>
      <c r="H6092" s="504" t="s">
        <v>8261</v>
      </c>
      <c r="I6092" s="504">
        <v>32</v>
      </c>
      <c r="J6092" s="504">
        <v>22</v>
      </c>
      <c r="K6092" s="504">
        <v>0</v>
      </c>
      <c r="L6092" s="504">
        <v>0</v>
      </c>
      <c r="M6092" s="504">
        <v>0</v>
      </c>
      <c r="N6092" s="504">
        <v>0</v>
      </c>
      <c r="O6092" s="505">
        <v>10</v>
      </c>
    </row>
    <row r="6093" spans="1:15" x14ac:dyDescent="0.35">
      <c r="A6093" s="500" t="s">
        <v>1109</v>
      </c>
      <c r="B6093" s="501" t="s">
        <v>2959</v>
      </c>
      <c r="C6093" s="501" t="s">
        <v>1094</v>
      </c>
      <c r="D6093" s="501" t="s">
        <v>3380</v>
      </c>
      <c r="E6093" s="501" t="s">
        <v>3381</v>
      </c>
      <c r="F6093" s="501" t="s">
        <v>790</v>
      </c>
      <c r="G6093" s="501" t="s">
        <v>791</v>
      </c>
      <c r="H6093" s="501" t="s">
        <v>8262</v>
      </c>
      <c r="I6093" s="501">
        <v>36</v>
      </c>
      <c r="J6093" s="501">
        <v>0</v>
      </c>
      <c r="K6093" s="501">
        <v>0</v>
      </c>
      <c r="L6093" s="501">
        <v>0</v>
      </c>
      <c r="M6093" s="501">
        <v>36</v>
      </c>
      <c r="N6093" s="501">
        <v>0</v>
      </c>
      <c r="O6093" s="506">
        <v>0</v>
      </c>
    </row>
    <row r="6094" spans="1:15" x14ac:dyDescent="0.35">
      <c r="A6094" s="503" t="s">
        <v>14243</v>
      </c>
      <c r="B6094" s="504">
        <v>5149</v>
      </c>
      <c r="C6094" s="504" t="s">
        <v>1089</v>
      </c>
      <c r="D6094" s="504" t="s">
        <v>3392</v>
      </c>
      <c r="E6094" s="504" t="s">
        <v>3381</v>
      </c>
      <c r="F6094" s="504" t="s">
        <v>790</v>
      </c>
      <c r="G6094" s="504" t="s">
        <v>791</v>
      </c>
      <c r="H6094" s="504" t="s">
        <v>14956</v>
      </c>
      <c r="I6094" s="504">
        <v>13</v>
      </c>
      <c r="J6094" s="504">
        <v>13</v>
      </c>
      <c r="K6094" s="504">
        <v>0</v>
      </c>
      <c r="L6094" s="504">
        <v>0</v>
      </c>
      <c r="M6094" s="504">
        <v>0</v>
      </c>
      <c r="N6094" s="504">
        <v>0</v>
      </c>
      <c r="O6094" s="505">
        <v>0</v>
      </c>
    </row>
    <row r="6095" spans="1:15" x14ac:dyDescent="0.35">
      <c r="A6095" s="500" t="s">
        <v>1310</v>
      </c>
      <c r="B6095" s="501">
        <v>5062</v>
      </c>
      <c r="C6095" s="501" t="s">
        <v>1089</v>
      </c>
      <c r="D6095" s="501" t="s">
        <v>3380</v>
      </c>
      <c r="E6095" s="501" t="s">
        <v>3381</v>
      </c>
      <c r="F6095" s="501" t="s">
        <v>790</v>
      </c>
      <c r="G6095" s="501" t="s">
        <v>791</v>
      </c>
      <c r="H6095" s="501" t="s">
        <v>11814</v>
      </c>
      <c r="I6095" s="501">
        <v>23</v>
      </c>
      <c r="J6095" s="501">
        <v>8</v>
      </c>
      <c r="K6095" s="501">
        <v>0</v>
      </c>
      <c r="L6095" s="501">
        <v>0</v>
      </c>
      <c r="M6095" s="501">
        <v>0</v>
      </c>
      <c r="N6095" s="501">
        <v>0</v>
      </c>
      <c r="O6095" s="506">
        <v>15</v>
      </c>
    </row>
    <row r="6096" spans="1:15" x14ac:dyDescent="0.35">
      <c r="A6096" s="503" t="s">
        <v>1203</v>
      </c>
      <c r="B6096" s="504" t="s">
        <v>3170</v>
      </c>
      <c r="C6096" s="504" t="s">
        <v>1094</v>
      </c>
      <c r="D6096" s="504" t="s">
        <v>3380</v>
      </c>
      <c r="E6096" s="504" t="s">
        <v>3381</v>
      </c>
      <c r="F6096" s="504" t="s">
        <v>790</v>
      </c>
      <c r="G6096" s="504" t="s">
        <v>791</v>
      </c>
      <c r="H6096" s="504" t="s">
        <v>8263</v>
      </c>
      <c r="I6096" s="504">
        <v>22</v>
      </c>
      <c r="J6096" s="504">
        <v>13</v>
      </c>
      <c r="K6096" s="504">
        <v>0</v>
      </c>
      <c r="L6096" s="504">
        <v>0</v>
      </c>
      <c r="M6096" s="504">
        <v>0</v>
      </c>
      <c r="N6096" s="504">
        <v>0</v>
      </c>
      <c r="O6096" s="505">
        <v>9</v>
      </c>
    </row>
    <row r="6097" spans="1:15" x14ac:dyDescent="0.35">
      <c r="A6097" s="500" t="s">
        <v>1112</v>
      </c>
      <c r="B6097" s="501" t="s">
        <v>3008</v>
      </c>
      <c r="C6097" s="501" t="s">
        <v>1094</v>
      </c>
      <c r="D6097" s="501" t="s">
        <v>3380</v>
      </c>
      <c r="E6097" s="501" t="s">
        <v>3381</v>
      </c>
      <c r="F6097" s="501" t="s">
        <v>790</v>
      </c>
      <c r="G6097" s="501" t="s">
        <v>791</v>
      </c>
      <c r="H6097" s="501" t="s">
        <v>8264</v>
      </c>
      <c r="I6097" s="501">
        <v>34</v>
      </c>
      <c r="J6097" s="501">
        <v>34</v>
      </c>
      <c r="K6097" s="501">
        <v>0</v>
      </c>
      <c r="L6097" s="501">
        <v>0</v>
      </c>
      <c r="M6097" s="501">
        <v>0</v>
      </c>
      <c r="N6097" s="501">
        <v>0</v>
      </c>
      <c r="O6097" s="506">
        <v>0</v>
      </c>
    </row>
    <row r="6098" spans="1:15" x14ac:dyDescent="0.35">
      <c r="A6098" s="503" t="s">
        <v>1207</v>
      </c>
      <c r="B6098" s="504" t="s">
        <v>3202</v>
      </c>
      <c r="C6098" s="504" t="s">
        <v>1094</v>
      </c>
      <c r="D6098" s="504" t="s">
        <v>3380</v>
      </c>
      <c r="E6098" s="504" t="s">
        <v>3381</v>
      </c>
      <c r="F6098" s="504" t="s">
        <v>790</v>
      </c>
      <c r="G6098" s="504" t="s">
        <v>791</v>
      </c>
      <c r="H6098" s="504" t="s">
        <v>8265</v>
      </c>
      <c r="I6098" s="504">
        <v>17</v>
      </c>
      <c r="J6098" s="504">
        <v>10</v>
      </c>
      <c r="K6098" s="504">
        <v>0</v>
      </c>
      <c r="L6098" s="504">
        <v>0</v>
      </c>
      <c r="M6098" s="504">
        <v>0</v>
      </c>
      <c r="N6098" s="504">
        <v>0</v>
      </c>
      <c r="O6098" s="505">
        <v>7</v>
      </c>
    </row>
    <row r="6099" spans="1:15" x14ac:dyDescent="0.35">
      <c r="A6099" s="500" t="s">
        <v>1209</v>
      </c>
      <c r="B6099" s="501">
        <v>4779</v>
      </c>
      <c r="C6099" s="501" t="s">
        <v>1094</v>
      </c>
      <c r="D6099" s="501" t="s">
        <v>3380</v>
      </c>
      <c r="E6099" s="501" t="s">
        <v>3381</v>
      </c>
      <c r="F6099" s="501" t="s">
        <v>790</v>
      </c>
      <c r="G6099" s="501" t="s">
        <v>791</v>
      </c>
      <c r="H6099" s="501" t="s">
        <v>8266</v>
      </c>
      <c r="I6099" s="501">
        <v>8</v>
      </c>
      <c r="J6099" s="501">
        <v>0</v>
      </c>
      <c r="K6099" s="501">
        <v>0</v>
      </c>
      <c r="L6099" s="501">
        <v>8</v>
      </c>
      <c r="M6099" s="501">
        <v>0</v>
      </c>
      <c r="N6099" s="501">
        <v>0</v>
      </c>
      <c r="O6099" s="506">
        <v>0</v>
      </c>
    </row>
    <row r="6100" spans="1:15" x14ac:dyDescent="0.35">
      <c r="A6100" s="503" t="s">
        <v>1213</v>
      </c>
      <c r="B6100" s="504">
        <v>4676</v>
      </c>
      <c r="C6100" s="504" t="s">
        <v>1089</v>
      </c>
      <c r="D6100" s="504" t="s">
        <v>3392</v>
      </c>
      <c r="E6100" s="504" t="s">
        <v>3381</v>
      </c>
      <c r="F6100" s="504" t="s">
        <v>790</v>
      </c>
      <c r="G6100" s="504" t="s">
        <v>791</v>
      </c>
      <c r="H6100" s="504" t="s">
        <v>8267</v>
      </c>
      <c r="I6100" s="504">
        <v>6</v>
      </c>
      <c r="J6100" s="504">
        <v>0</v>
      </c>
      <c r="K6100" s="504">
        <v>0</v>
      </c>
      <c r="L6100" s="504">
        <v>6</v>
      </c>
      <c r="M6100" s="504">
        <v>0</v>
      </c>
      <c r="N6100" s="504">
        <v>0</v>
      </c>
      <c r="O6100" s="505">
        <v>0</v>
      </c>
    </row>
    <row r="6101" spans="1:15" x14ac:dyDescent="0.35">
      <c r="A6101" s="500" t="s">
        <v>1215</v>
      </c>
      <c r="B6101" s="501">
        <v>4817</v>
      </c>
      <c r="C6101" s="501" t="s">
        <v>1094</v>
      </c>
      <c r="D6101" s="501" t="s">
        <v>3380</v>
      </c>
      <c r="E6101" s="501" t="s">
        <v>3381</v>
      </c>
      <c r="F6101" s="501" t="s">
        <v>790</v>
      </c>
      <c r="G6101" s="501" t="s">
        <v>791</v>
      </c>
      <c r="H6101" s="501" t="s">
        <v>8268</v>
      </c>
      <c r="I6101" s="501">
        <v>18</v>
      </c>
      <c r="J6101" s="501">
        <v>12</v>
      </c>
      <c r="K6101" s="501">
        <v>0</v>
      </c>
      <c r="L6101" s="501">
        <v>0</v>
      </c>
      <c r="M6101" s="501">
        <v>0</v>
      </c>
      <c r="N6101" s="501">
        <v>0</v>
      </c>
      <c r="O6101" s="506">
        <v>6</v>
      </c>
    </row>
    <row r="6102" spans="1:15" x14ac:dyDescent="0.35">
      <c r="A6102" s="503" t="s">
        <v>1220</v>
      </c>
      <c r="B6102" s="504">
        <v>4849</v>
      </c>
      <c r="C6102" s="504" t="s">
        <v>1094</v>
      </c>
      <c r="D6102" s="504" t="s">
        <v>3380</v>
      </c>
      <c r="E6102" s="504" t="s">
        <v>3381</v>
      </c>
      <c r="F6102" s="504" t="s">
        <v>790</v>
      </c>
      <c r="G6102" s="504" t="s">
        <v>791</v>
      </c>
      <c r="H6102" s="504" t="s">
        <v>8269</v>
      </c>
      <c r="I6102" s="504">
        <v>124</v>
      </c>
      <c r="J6102" s="504">
        <v>109</v>
      </c>
      <c r="K6102" s="504">
        <v>0</v>
      </c>
      <c r="L6102" s="504">
        <v>0</v>
      </c>
      <c r="M6102" s="504">
        <v>10</v>
      </c>
      <c r="N6102" s="504">
        <v>0</v>
      </c>
      <c r="O6102" s="505">
        <v>5</v>
      </c>
    </row>
    <row r="6103" spans="1:15" x14ac:dyDescent="0.35">
      <c r="A6103" s="500" t="s">
        <v>1226</v>
      </c>
      <c r="B6103" s="501">
        <v>5084</v>
      </c>
      <c r="C6103" s="501" t="s">
        <v>1094</v>
      </c>
      <c r="D6103" s="501" t="s">
        <v>3380</v>
      </c>
      <c r="E6103" s="501" t="s">
        <v>3381</v>
      </c>
      <c r="F6103" s="501" t="s">
        <v>790</v>
      </c>
      <c r="G6103" s="501" t="s">
        <v>791</v>
      </c>
      <c r="H6103" s="501" t="s">
        <v>8270</v>
      </c>
      <c r="I6103" s="501">
        <v>225</v>
      </c>
      <c r="J6103" s="501">
        <v>164</v>
      </c>
      <c r="K6103" s="501">
        <v>0</v>
      </c>
      <c r="L6103" s="501">
        <v>0</v>
      </c>
      <c r="M6103" s="501">
        <v>0</v>
      </c>
      <c r="N6103" s="501">
        <v>0</v>
      </c>
      <c r="O6103" s="506">
        <v>61</v>
      </c>
    </row>
    <row r="6104" spans="1:15" x14ac:dyDescent="0.35">
      <c r="A6104" s="503" t="s">
        <v>1228</v>
      </c>
      <c r="B6104" s="504" t="s">
        <v>3321</v>
      </c>
      <c r="C6104" s="504" t="s">
        <v>1094</v>
      </c>
      <c r="D6104" s="504" t="s">
        <v>3380</v>
      </c>
      <c r="E6104" s="504" t="s">
        <v>3381</v>
      </c>
      <c r="F6104" s="504" t="s">
        <v>790</v>
      </c>
      <c r="G6104" s="504" t="s">
        <v>791</v>
      </c>
      <c r="H6104" s="504" t="s">
        <v>8271</v>
      </c>
      <c r="I6104" s="504">
        <v>19</v>
      </c>
      <c r="J6104" s="504">
        <v>0</v>
      </c>
      <c r="K6104" s="504">
        <v>0</v>
      </c>
      <c r="L6104" s="504">
        <v>19</v>
      </c>
      <c r="M6104" s="504">
        <v>0</v>
      </c>
      <c r="N6104" s="504">
        <v>0</v>
      </c>
      <c r="O6104" s="505">
        <v>0</v>
      </c>
    </row>
    <row r="6105" spans="1:15" x14ac:dyDescent="0.35">
      <c r="A6105" s="500" t="s">
        <v>1134</v>
      </c>
      <c r="B6105" s="501" t="s">
        <v>3066</v>
      </c>
      <c r="C6105" s="501" t="s">
        <v>1094</v>
      </c>
      <c r="D6105" s="501" t="s">
        <v>3380</v>
      </c>
      <c r="E6105" s="501" t="s">
        <v>3381</v>
      </c>
      <c r="F6105" s="501" t="s">
        <v>790</v>
      </c>
      <c r="G6105" s="501" t="s">
        <v>791</v>
      </c>
      <c r="H6105" s="501" t="s">
        <v>8272</v>
      </c>
      <c r="I6105" s="501">
        <v>45</v>
      </c>
      <c r="J6105" s="501">
        <v>36</v>
      </c>
      <c r="K6105" s="501">
        <v>0</v>
      </c>
      <c r="L6105" s="501">
        <v>0</v>
      </c>
      <c r="M6105" s="501">
        <v>0</v>
      </c>
      <c r="N6105" s="501">
        <v>0</v>
      </c>
      <c r="O6105" s="506">
        <v>9</v>
      </c>
    </row>
    <row r="6106" spans="1:15" x14ac:dyDescent="0.35">
      <c r="A6106" s="503" t="s">
        <v>11369</v>
      </c>
      <c r="B6106" s="504" t="s">
        <v>3107</v>
      </c>
      <c r="C6106" s="504" t="s">
        <v>1089</v>
      </c>
      <c r="D6106" s="504" t="s">
        <v>3392</v>
      </c>
      <c r="E6106" s="504" t="s">
        <v>3381</v>
      </c>
      <c r="F6106" s="504" t="s">
        <v>790</v>
      </c>
      <c r="G6106" s="504" t="s">
        <v>791</v>
      </c>
      <c r="H6106" s="504" t="s">
        <v>12221</v>
      </c>
      <c r="I6106" s="504">
        <v>35</v>
      </c>
      <c r="J6106" s="504">
        <v>35</v>
      </c>
      <c r="K6106" s="504">
        <v>0</v>
      </c>
      <c r="L6106" s="504">
        <v>0</v>
      </c>
      <c r="M6106" s="504">
        <v>0</v>
      </c>
      <c r="N6106" s="504">
        <v>0</v>
      </c>
      <c r="O6106" s="505">
        <v>0</v>
      </c>
    </row>
    <row r="6107" spans="1:15" x14ac:dyDescent="0.35">
      <c r="A6107" s="500" t="s">
        <v>1253</v>
      </c>
      <c r="B6107" s="501" t="s">
        <v>3232</v>
      </c>
      <c r="C6107" s="501" t="s">
        <v>1094</v>
      </c>
      <c r="D6107" s="501" t="s">
        <v>3380</v>
      </c>
      <c r="E6107" s="501" t="s">
        <v>3381</v>
      </c>
      <c r="F6107" s="501" t="s">
        <v>790</v>
      </c>
      <c r="G6107" s="501" t="s">
        <v>791</v>
      </c>
      <c r="H6107" s="501" t="s">
        <v>8273</v>
      </c>
      <c r="I6107" s="501">
        <v>142</v>
      </c>
      <c r="J6107" s="501">
        <v>97</v>
      </c>
      <c r="K6107" s="501">
        <v>0</v>
      </c>
      <c r="L6107" s="501">
        <v>10</v>
      </c>
      <c r="M6107" s="501">
        <v>0</v>
      </c>
      <c r="N6107" s="501">
        <v>0</v>
      </c>
      <c r="O6107" s="506">
        <v>35</v>
      </c>
    </row>
    <row r="6108" spans="1:15" x14ac:dyDescent="0.35">
      <c r="A6108" s="503" t="s">
        <v>1260</v>
      </c>
      <c r="B6108" s="504">
        <v>4645</v>
      </c>
      <c r="C6108" s="504" t="s">
        <v>1089</v>
      </c>
      <c r="D6108" s="504" t="s">
        <v>3392</v>
      </c>
      <c r="E6108" s="504" t="s">
        <v>3381</v>
      </c>
      <c r="F6108" s="504" t="s">
        <v>790</v>
      </c>
      <c r="G6108" s="504" t="s">
        <v>791</v>
      </c>
      <c r="H6108" s="504" t="s">
        <v>8274</v>
      </c>
      <c r="I6108" s="504">
        <v>7</v>
      </c>
      <c r="J6108" s="504">
        <v>0</v>
      </c>
      <c r="K6108" s="504">
        <v>0</v>
      </c>
      <c r="L6108" s="504">
        <v>7</v>
      </c>
      <c r="M6108" s="504">
        <v>0</v>
      </c>
      <c r="N6108" s="504">
        <v>0</v>
      </c>
      <c r="O6108" s="505">
        <v>0</v>
      </c>
    </row>
    <row r="6109" spans="1:15" x14ac:dyDescent="0.35">
      <c r="A6109" s="500" t="s">
        <v>1096</v>
      </c>
      <c r="B6109" s="501" t="s">
        <v>3326</v>
      </c>
      <c r="C6109" s="501" t="s">
        <v>1094</v>
      </c>
      <c r="D6109" s="501" t="s">
        <v>3380</v>
      </c>
      <c r="E6109" s="501" t="s">
        <v>3381</v>
      </c>
      <c r="F6109" s="501" t="s">
        <v>792</v>
      </c>
      <c r="G6109" s="501" t="s">
        <v>793</v>
      </c>
      <c r="H6109" s="501" t="s">
        <v>8275</v>
      </c>
      <c r="I6109" s="501">
        <v>312</v>
      </c>
      <c r="J6109" s="501">
        <v>0</v>
      </c>
      <c r="K6109" s="501">
        <v>0</v>
      </c>
      <c r="L6109" s="501">
        <v>0</v>
      </c>
      <c r="M6109" s="501">
        <v>312</v>
      </c>
      <c r="N6109" s="501">
        <v>0</v>
      </c>
      <c r="O6109" s="506">
        <v>0</v>
      </c>
    </row>
    <row r="6110" spans="1:15" x14ac:dyDescent="0.35">
      <c r="A6110" s="503" t="s">
        <v>1150</v>
      </c>
      <c r="B6110" s="504" t="s">
        <v>2975</v>
      </c>
      <c r="C6110" s="504" t="s">
        <v>1094</v>
      </c>
      <c r="D6110" s="504" t="s">
        <v>3380</v>
      </c>
      <c r="E6110" s="504" t="s">
        <v>3381</v>
      </c>
      <c r="F6110" s="504" t="s">
        <v>792</v>
      </c>
      <c r="G6110" s="504" t="s">
        <v>793</v>
      </c>
      <c r="H6110" s="504" t="s">
        <v>8276</v>
      </c>
      <c r="I6110" s="504">
        <v>22</v>
      </c>
      <c r="J6110" s="504">
        <v>18</v>
      </c>
      <c r="K6110" s="504">
        <v>0</v>
      </c>
      <c r="L6110" s="504">
        <v>0</v>
      </c>
      <c r="M6110" s="504">
        <v>0</v>
      </c>
      <c r="N6110" s="504">
        <v>0</v>
      </c>
      <c r="O6110" s="505">
        <v>4</v>
      </c>
    </row>
    <row r="6111" spans="1:15" x14ac:dyDescent="0.35">
      <c r="A6111" s="500" t="s">
        <v>11385</v>
      </c>
      <c r="B6111" s="501">
        <v>4787</v>
      </c>
      <c r="C6111" s="501" t="s">
        <v>1089</v>
      </c>
      <c r="D6111" s="501" t="s">
        <v>3392</v>
      </c>
      <c r="E6111" s="501" t="s">
        <v>3381</v>
      </c>
      <c r="F6111" s="501" t="s">
        <v>792</v>
      </c>
      <c r="G6111" s="501" t="s">
        <v>793</v>
      </c>
      <c r="H6111" s="501" t="s">
        <v>14957</v>
      </c>
      <c r="I6111" s="501">
        <v>3</v>
      </c>
      <c r="J6111" s="501">
        <v>0</v>
      </c>
      <c r="K6111" s="501">
        <v>0</v>
      </c>
      <c r="L6111" s="501">
        <v>3</v>
      </c>
      <c r="M6111" s="501">
        <v>0</v>
      </c>
      <c r="N6111" s="501">
        <v>0</v>
      </c>
      <c r="O6111" s="506">
        <v>0</v>
      </c>
    </row>
    <row r="6112" spans="1:15" x14ac:dyDescent="0.35">
      <c r="A6112" s="503" t="s">
        <v>1174</v>
      </c>
      <c r="B6112" s="504">
        <v>4784</v>
      </c>
      <c r="C6112" s="504" t="s">
        <v>1089</v>
      </c>
      <c r="D6112" s="504" t="s">
        <v>3392</v>
      </c>
      <c r="E6112" s="504" t="s">
        <v>3381</v>
      </c>
      <c r="F6112" s="504" t="s">
        <v>792</v>
      </c>
      <c r="G6112" s="504" t="s">
        <v>793</v>
      </c>
      <c r="H6112" s="504" t="s">
        <v>8277</v>
      </c>
      <c r="I6112" s="504">
        <v>5</v>
      </c>
      <c r="J6112" s="504">
        <v>0</v>
      </c>
      <c r="K6112" s="504">
        <v>0</v>
      </c>
      <c r="L6112" s="504">
        <v>5</v>
      </c>
      <c r="M6112" s="504">
        <v>0</v>
      </c>
      <c r="N6112" s="504">
        <v>0</v>
      </c>
      <c r="O6112" s="505">
        <v>0</v>
      </c>
    </row>
    <row r="6113" spans="1:15" x14ac:dyDescent="0.35">
      <c r="A6113" s="500" t="s">
        <v>1703</v>
      </c>
      <c r="B6113" s="501">
        <v>4582</v>
      </c>
      <c r="C6113" s="501" t="s">
        <v>1094</v>
      </c>
      <c r="D6113" s="501" t="s">
        <v>3380</v>
      </c>
      <c r="E6113" s="501" t="s">
        <v>3381</v>
      </c>
      <c r="F6113" s="501" t="s">
        <v>792</v>
      </c>
      <c r="G6113" s="501" t="s">
        <v>793</v>
      </c>
      <c r="H6113" s="501" t="s">
        <v>8278</v>
      </c>
      <c r="I6113" s="501">
        <v>11284</v>
      </c>
      <c r="J6113" s="501">
        <v>11249</v>
      </c>
      <c r="K6113" s="501">
        <v>3</v>
      </c>
      <c r="L6113" s="501">
        <v>0</v>
      </c>
      <c r="M6113" s="501">
        <v>0</v>
      </c>
      <c r="N6113" s="501">
        <v>0</v>
      </c>
      <c r="O6113" s="506">
        <v>32</v>
      </c>
    </row>
    <row r="6114" spans="1:15" x14ac:dyDescent="0.35">
      <c r="A6114" s="503" t="s">
        <v>1704</v>
      </c>
      <c r="B6114" s="504" t="s">
        <v>3221</v>
      </c>
      <c r="C6114" s="504" t="s">
        <v>1094</v>
      </c>
      <c r="D6114" s="504" t="s">
        <v>3380</v>
      </c>
      <c r="E6114" s="504" t="s">
        <v>3381</v>
      </c>
      <c r="F6114" s="504" t="s">
        <v>792</v>
      </c>
      <c r="G6114" s="504" t="s">
        <v>793</v>
      </c>
      <c r="H6114" s="504" t="s">
        <v>8279</v>
      </c>
      <c r="I6114" s="504">
        <v>909</v>
      </c>
      <c r="J6114" s="504">
        <v>766</v>
      </c>
      <c r="K6114" s="504">
        <v>0</v>
      </c>
      <c r="L6114" s="504">
        <v>143</v>
      </c>
      <c r="M6114" s="504">
        <v>0</v>
      </c>
      <c r="N6114" s="504">
        <v>0</v>
      </c>
      <c r="O6114" s="505">
        <v>0</v>
      </c>
    </row>
    <row r="6115" spans="1:15" x14ac:dyDescent="0.35">
      <c r="A6115" s="500" t="s">
        <v>14208</v>
      </c>
      <c r="B6115" s="501">
        <v>4803</v>
      </c>
      <c r="C6115" s="501" t="s">
        <v>1094</v>
      </c>
      <c r="D6115" s="501" t="s">
        <v>3380</v>
      </c>
      <c r="E6115" s="501" t="s">
        <v>3381</v>
      </c>
      <c r="F6115" s="501" t="s">
        <v>792</v>
      </c>
      <c r="G6115" s="501" t="s">
        <v>793</v>
      </c>
      <c r="H6115" s="501" t="s">
        <v>14958</v>
      </c>
      <c r="I6115" s="501">
        <v>2</v>
      </c>
      <c r="J6115" s="501">
        <v>0</v>
      </c>
      <c r="K6115" s="501">
        <v>0</v>
      </c>
      <c r="L6115" s="501">
        <v>2</v>
      </c>
      <c r="M6115" s="501">
        <v>0</v>
      </c>
      <c r="N6115" s="501">
        <v>0</v>
      </c>
      <c r="O6115" s="506">
        <v>0</v>
      </c>
    </row>
    <row r="6116" spans="1:15" x14ac:dyDescent="0.35">
      <c r="A6116" s="503" t="s">
        <v>1183</v>
      </c>
      <c r="B6116" s="504" t="s">
        <v>3038</v>
      </c>
      <c r="C6116" s="504" t="s">
        <v>1094</v>
      </c>
      <c r="D6116" s="504" t="s">
        <v>3380</v>
      </c>
      <c r="E6116" s="504" t="s">
        <v>3381</v>
      </c>
      <c r="F6116" s="504" t="s">
        <v>792</v>
      </c>
      <c r="G6116" s="504" t="s">
        <v>793</v>
      </c>
      <c r="H6116" s="504" t="s">
        <v>8280</v>
      </c>
      <c r="I6116" s="504">
        <v>1319</v>
      </c>
      <c r="J6116" s="504">
        <v>1039</v>
      </c>
      <c r="K6116" s="504">
        <v>0</v>
      </c>
      <c r="L6116" s="504">
        <v>135</v>
      </c>
      <c r="M6116" s="504">
        <v>0</v>
      </c>
      <c r="N6116" s="504">
        <v>0</v>
      </c>
      <c r="O6116" s="505">
        <v>145</v>
      </c>
    </row>
    <row r="6117" spans="1:15" x14ac:dyDescent="0.35">
      <c r="A6117" s="500" t="s">
        <v>1186</v>
      </c>
      <c r="B6117" s="501">
        <v>4661</v>
      </c>
      <c r="C6117" s="501" t="s">
        <v>1089</v>
      </c>
      <c r="D6117" s="501" t="s">
        <v>3392</v>
      </c>
      <c r="E6117" s="501" t="s">
        <v>3381</v>
      </c>
      <c r="F6117" s="501" t="s">
        <v>792</v>
      </c>
      <c r="G6117" s="501" t="s">
        <v>793</v>
      </c>
      <c r="H6117" s="501" t="s">
        <v>8281</v>
      </c>
      <c r="I6117" s="501">
        <v>7</v>
      </c>
      <c r="J6117" s="501">
        <v>0</v>
      </c>
      <c r="K6117" s="501">
        <v>0</v>
      </c>
      <c r="L6117" s="501">
        <v>7</v>
      </c>
      <c r="M6117" s="501">
        <v>0</v>
      </c>
      <c r="N6117" s="501">
        <v>0</v>
      </c>
      <c r="O6117" s="506">
        <v>0</v>
      </c>
    </row>
    <row r="6118" spans="1:15" x14ac:dyDescent="0.35">
      <c r="A6118" s="503" t="s">
        <v>1109</v>
      </c>
      <c r="B6118" s="504" t="s">
        <v>2959</v>
      </c>
      <c r="C6118" s="504" t="s">
        <v>1094</v>
      </c>
      <c r="D6118" s="504" t="s">
        <v>3380</v>
      </c>
      <c r="E6118" s="504" t="s">
        <v>3381</v>
      </c>
      <c r="F6118" s="504" t="s">
        <v>792</v>
      </c>
      <c r="G6118" s="504" t="s">
        <v>793</v>
      </c>
      <c r="H6118" s="504" t="s">
        <v>8282</v>
      </c>
      <c r="I6118" s="504">
        <v>35</v>
      </c>
      <c r="J6118" s="504">
        <v>0</v>
      </c>
      <c r="K6118" s="504">
        <v>0</v>
      </c>
      <c r="L6118" s="504">
        <v>0</v>
      </c>
      <c r="M6118" s="504">
        <v>35</v>
      </c>
      <c r="N6118" s="504">
        <v>0</v>
      </c>
      <c r="O6118" s="505">
        <v>0</v>
      </c>
    </row>
    <row r="6119" spans="1:15" x14ac:dyDescent="0.35">
      <c r="A6119" s="500" t="s">
        <v>11401</v>
      </c>
      <c r="B6119" s="501" t="s">
        <v>3241</v>
      </c>
      <c r="C6119" s="501" t="s">
        <v>1094</v>
      </c>
      <c r="D6119" s="501" t="s">
        <v>3380</v>
      </c>
      <c r="E6119" s="501" t="s">
        <v>3381</v>
      </c>
      <c r="F6119" s="501" t="s">
        <v>792</v>
      </c>
      <c r="G6119" s="501" t="s">
        <v>793</v>
      </c>
      <c r="H6119" s="501" t="s">
        <v>14959</v>
      </c>
      <c r="I6119" s="501">
        <v>604</v>
      </c>
      <c r="J6119" s="501">
        <v>603</v>
      </c>
      <c r="K6119" s="501">
        <v>0</v>
      </c>
      <c r="L6119" s="501">
        <v>1</v>
      </c>
      <c r="M6119" s="501">
        <v>0</v>
      </c>
      <c r="N6119" s="501">
        <v>0</v>
      </c>
      <c r="O6119" s="506">
        <v>0</v>
      </c>
    </row>
    <row r="6120" spans="1:15" x14ac:dyDescent="0.35">
      <c r="A6120" s="503" t="s">
        <v>11402</v>
      </c>
      <c r="B6120" s="504" t="s">
        <v>3344</v>
      </c>
      <c r="C6120" s="504" t="s">
        <v>1094</v>
      </c>
      <c r="D6120" s="504" t="s">
        <v>3380</v>
      </c>
      <c r="E6120" s="504" t="s">
        <v>3381</v>
      </c>
      <c r="F6120" s="504" t="s">
        <v>792</v>
      </c>
      <c r="G6120" s="504" t="s">
        <v>793</v>
      </c>
      <c r="H6120" s="504" t="s">
        <v>11797</v>
      </c>
      <c r="I6120" s="504">
        <v>5</v>
      </c>
      <c r="J6120" s="504">
        <v>0</v>
      </c>
      <c r="K6120" s="504">
        <v>0</v>
      </c>
      <c r="L6120" s="504">
        <v>5</v>
      </c>
      <c r="M6120" s="504">
        <v>0</v>
      </c>
      <c r="N6120" s="504">
        <v>0</v>
      </c>
      <c r="O6120" s="505">
        <v>0</v>
      </c>
    </row>
    <row r="6121" spans="1:15" x14ac:dyDescent="0.35">
      <c r="A6121" s="500" t="s">
        <v>1503</v>
      </c>
      <c r="B6121" s="501">
        <v>4666</v>
      </c>
      <c r="C6121" s="501" t="s">
        <v>1089</v>
      </c>
      <c r="D6121" s="501" t="s">
        <v>3392</v>
      </c>
      <c r="E6121" s="501" t="s">
        <v>3381</v>
      </c>
      <c r="F6121" s="501" t="s">
        <v>792</v>
      </c>
      <c r="G6121" s="501" t="s">
        <v>793</v>
      </c>
      <c r="H6121" s="501" t="s">
        <v>8283</v>
      </c>
      <c r="I6121" s="501">
        <v>2</v>
      </c>
      <c r="J6121" s="501">
        <v>0</v>
      </c>
      <c r="K6121" s="501">
        <v>0</v>
      </c>
      <c r="L6121" s="501">
        <v>2</v>
      </c>
      <c r="M6121" s="501">
        <v>0</v>
      </c>
      <c r="N6121" s="501">
        <v>0</v>
      </c>
      <c r="O6121" s="506">
        <v>0</v>
      </c>
    </row>
    <row r="6122" spans="1:15" x14ac:dyDescent="0.35">
      <c r="A6122" s="503" t="s">
        <v>1744</v>
      </c>
      <c r="B6122" s="504" t="s">
        <v>3245</v>
      </c>
      <c r="C6122" s="504" t="s">
        <v>1094</v>
      </c>
      <c r="D6122" s="504" t="s">
        <v>3380</v>
      </c>
      <c r="E6122" s="504" t="s">
        <v>3381</v>
      </c>
      <c r="F6122" s="504" t="s">
        <v>792</v>
      </c>
      <c r="G6122" s="504" t="s">
        <v>793</v>
      </c>
      <c r="H6122" s="504" t="s">
        <v>14960</v>
      </c>
      <c r="I6122" s="504">
        <v>1163</v>
      </c>
      <c r="J6122" s="504">
        <v>1042</v>
      </c>
      <c r="K6122" s="504">
        <v>0</v>
      </c>
      <c r="L6122" s="504">
        <v>2</v>
      </c>
      <c r="M6122" s="504">
        <v>70</v>
      </c>
      <c r="N6122" s="504">
        <v>29</v>
      </c>
      <c r="O6122" s="505">
        <v>49</v>
      </c>
    </row>
    <row r="6123" spans="1:15" x14ac:dyDescent="0.35">
      <c r="A6123" s="500" t="s">
        <v>1223</v>
      </c>
      <c r="B6123" s="501">
        <v>4768</v>
      </c>
      <c r="C6123" s="501" t="s">
        <v>1089</v>
      </c>
      <c r="D6123" s="501" t="s">
        <v>3392</v>
      </c>
      <c r="E6123" s="501" t="s">
        <v>3381</v>
      </c>
      <c r="F6123" s="501" t="s">
        <v>792</v>
      </c>
      <c r="G6123" s="501" t="s">
        <v>793</v>
      </c>
      <c r="H6123" s="501" t="s">
        <v>8284</v>
      </c>
      <c r="I6123" s="501">
        <v>26</v>
      </c>
      <c r="J6123" s="501">
        <v>0</v>
      </c>
      <c r="K6123" s="501">
        <v>0</v>
      </c>
      <c r="L6123" s="501">
        <v>26</v>
      </c>
      <c r="M6123" s="501">
        <v>0</v>
      </c>
      <c r="N6123" s="501">
        <v>0</v>
      </c>
      <c r="O6123" s="506">
        <v>0</v>
      </c>
    </row>
    <row r="6124" spans="1:15" x14ac:dyDescent="0.35">
      <c r="A6124" s="503" t="s">
        <v>1122</v>
      </c>
      <c r="B6124" s="504" t="s">
        <v>2994</v>
      </c>
      <c r="C6124" s="504" t="s">
        <v>1094</v>
      </c>
      <c r="D6124" s="504" t="s">
        <v>3380</v>
      </c>
      <c r="E6124" s="504" t="s">
        <v>3381</v>
      </c>
      <c r="F6124" s="504" t="s">
        <v>792</v>
      </c>
      <c r="G6124" s="504" t="s">
        <v>793</v>
      </c>
      <c r="H6124" s="504" t="s">
        <v>8285</v>
      </c>
      <c r="I6124" s="504">
        <v>409</v>
      </c>
      <c r="J6124" s="504">
        <v>339</v>
      </c>
      <c r="K6124" s="504">
        <v>0</v>
      </c>
      <c r="L6124" s="504">
        <v>20</v>
      </c>
      <c r="M6124" s="504">
        <v>42</v>
      </c>
      <c r="N6124" s="504">
        <v>0</v>
      </c>
      <c r="O6124" s="505">
        <v>8</v>
      </c>
    </row>
    <row r="6125" spans="1:15" x14ac:dyDescent="0.35">
      <c r="A6125" s="500" t="s">
        <v>1225</v>
      </c>
      <c r="B6125" s="501" t="s">
        <v>3315</v>
      </c>
      <c r="C6125" s="501" t="s">
        <v>1094</v>
      </c>
      <c r="D6125" s="501" t="s">
        <v>3380</v>
      </c>
      <c r="E6125" s="501" t="s">
        <v>3381</v>
      </c>
      <c r="F6125" s="501" t="s">
        <v>792</v>
      </c>
      <c r="G6125" s="501" t="s">
        <v>793</v>
      </c>
      <c r="H6125" s="501" t="s">
        <v>8286</v>
      </c>
      <c r="I6125" s="501">
        <v>104</v>
      </c>
      <c r="J6125" s="501">
        <v>20</v>
      </c>
      <c r="K6125" s="501">
        <v>0</v>
      </c>
      <c r="L6125" s="501">
        <v>84</v>
      </c>
      <c r="M6125" s="501">
        <v>0</v>
      </c>
      <c r="N6125" s="501">
        <v>0</v>
      </c>
      <c r="O6125" s="506">
        <v>0</v>
      </c>
    </row>
    <row r="6126" spans="1:15" x14ac:dyDescent="0.35">
      <c r="A6126" s="503" t="s">
        <v>1751</v>
      </c>
      <c r="B6126" s="504" t="s">
        <v>3012</v>
      </c>
      <c r="C6126" s="504" t="s">
        <v>1094</v>
      </c>
      <c r="D6126" s="504" t="s">
        <v>3392</v>
      </c>
      <c r="E6126" s="504" t="s">
        <v>3381</v>
      </c>
      <c r="F6126" s="504" t="s">
        <v>792</v>
      </c>
      <c r="G6126" s="504" t="s">
        <v>793</v>
      </c>
      <c r="H6126" s="504" t="s">
        <v>8287</v>
      </c>
      <c r="I6126" s="504">
        <v>2</v>
      </c>
      <c r="J6126" s="504">
        <v>2</v>
      </c>
      <c r="K6126" s="504">
        <v>0</v>
      </c>
      <c r="L6126" s="504">
        <v>0</v>
      </c>
      <c r="M6126" s="504">
        <v>0</v>
      </c>
      <c r="N6126" s="504">
        <v>0</v>
      </c>
      <c r="O6126" s="505">
        <v>0</v>
      </c>
    </row>
    <row r="6127" spans="1:15" x14ac:dyDescent="0.35">
      <c r="A6127" s="500" t="s">
        <v>1752</v>
      </c>
      <c r="B6127" s="501">
        <v>4653</v>
      </c>
      <c r="C6127" s="501" t="s">
        <v>1094</v>
      </c>
      <c r="D6127" s="501" t="s">
        <v>3380</v>
      </c>
      <c r="E6127" s="501" t="s">
        <v>3381</v>
      </c>
      <c r="F6127" s="501" t="s">
        <v>792</v>
      </c>
      <c r="G6127" s="501" t="s">
        <v>793</v>
      </c>
      <c r="H6127" s="501" t="s">
        <v>8288</v>
      </c>
      <c r="I6127" s="501">
        <v>1383</v>
      </c>
      <c r="J6127" s="501">
        <v>1254</v>
      </c>
      <c r="K6127" s="501">
        <v>0</v>
      </c>
      <c r="L6127" s="501">
        <v>120</v>
      </c>
      <c r="M6127" s="501">
        <v>0</v>
      </c>
      <c r="N6127" s="501">
        <v>0</v>
      </c>
      <c r="O6127" s="506">
        <v>9</v>
      </c>
    </row>
    <row r="6128" spans="1:15" x14ac:dyDescent="0.35">
      <c r="A6128" s="503" t="s">
        <v>1249</v>
      </c>
      <c r="B6128" s="504">
        <v>4729</v>
      </c>
      <c r="C6128" s="504" t="s">
        <v>1094</v>
      </c>
      <c r="D6128" s="504" t="s">
        <v>3380</v>
      </c>
      <c r="E6128" s="504" t="s">
        <v>3381</v>
      </c>
      <c r="F6128" s="504" t="s">
        <v>792</v>
      </c>
      <c r="G6128" s="504" t="s">
        <v>793</v>
      </c>
      <c r="H6128" s="504" t="s">
        <v>8289</v>
      </c>
      <c r="I6128" s="504">
        <v>1198</v>
      </c>
      <c r="J6128" s="504">
        <v>788</v>
      </c>
      <c r="K6128" s="504">
        <v>2</v>
      </c>
      <c r="L6128" s="504">
        <v>4</v>
      </c>
      <c r="M6128" s="504">
        <v>300</v>
      </c>
      <c r="N6128" s="504">
        <v>0</v>
      </c>
      <c r="O6128" s="505">
        <v>104</v>
      </c>
    </row>
    <row r="6129" spans="1:15" x14ac:dyDescent="0.35">
      <c r="A6129" s="500" t="s">
        <v>1253</v>
      </c>
      <c r="B6129" s="501" t="s">
        <v>3232</v>
      </c>
      <c r="C6129" s="501" t="s">
        <v>1094</v>
      </c>
      <c r="D6129" s="501" t="s">
        <v>3380</v>
      </c>
      <c r="E6129" s="501" t="s">
        <v>3381</v>
      </c>
      <c r="F6129" s="501" t="s">
        <v>792</v>
      </c>
      <c r="G6129" s="501" t="s">
        <v>793</v>
      </c>
      <c r="H6129" s="501" t="s">
        <v>8290</v>
      </c>
      <c r="I6129" s="501">
        <v>32</v>
      </c>
      <c r="J6129" s="501">
        <v>0</v>
      </c>
      <c r="K6129" s="501">
        <v>0</v>
      </c>
      <c r="L6129" s="501">
        <v>0</v>
      </c>
      <c r="M6129" s="501">
        <v>32</v>
      </c>
      <c r="N6129" s="501">
        <v>0</v>
      </c>
      <c r="O6129" s="506">
        <v>0</v>
      </c>
    </row>
    <row r="6130" spans="1:15" x14ac:dyDescent="0.35">
      <c r="A6130" s="503" t="s">
        <v>1371</v>
      </c>
      <c r="B6130" s="504" t="s">
        <v>2891</v>
      </c>
      <c r="C6130" s="504" t="s">
        <v>1089</v>
      </c>
      <c r="D6130" s="504" t="s">
        <v>3392</v>
      </c>
      <c r="E6130" s="504" t="s">
        <v>3381</v>
      </c>
      <c r="F6130" s="504" t="s">
        <v>792</v>
      </c>
      <c r="G6130" s="504" t="s">
        <v>793</v>
      </c>
      <c r="H6130" s="504" t="s">
        <v>8291</v>
      </c>
      <c r="I6130" s="504">
        <v>4</v>
      </c>
      <c r="J6130" s="504">
        <v>0</v>
      </c>
      <c r="K6130" s="504">
        <v>0</v>
      </c>
      <c r="L6130" s="504">
        <v>4</v>
      </c>
      <c r="M6130" s="504">
        <v>0</v>
      </c>
      <c r="N6130" s="504">
        <v>0</v>
      </c>
      <c r="O6130" s="505">
        <v>0</v>
      </c>
    </row>
    <row r="6131" spans="1:15" x14ac:dyDescent="0.35">
      <c r="A6131" s="500" t="s">
        <v>1385</v>
      </c>
      <c r="B6131" s="501" t="s">
        <v>3249</v>
      </c>
      <c r="C6131" s="501" t="s">
        <v>1094</v>
      </c>
      <c r="D6131" s="501" t="s">
        <v>3380</v>
      </c>
      <c r="E6131" s="501" t="s">
        <v>3381</v>
      </c>
      <c r="F6131" s="501" t="s">
        <v>794</v>
      </c>
      <c r="G6131" s="501" t="s">
        <v>795</v>
      </c>
      <c r="H6131" s="501" t="s">
        <v>8292</v>
      </c>
      <c r="I6131" s="501">
        <v>1122</v>
      </c>
      <c r="J6131" s="501">
        <v>914</v>
      </c>
      <c r="K6131" s="501">
        <v>2</v>
      </c>
      <c r="L6131" s="501">
        <v>154</v>
      </c>
      <c r="M6131" s="501">
        <v>0</v>
      </c>
      <c r="N6131" s="501">
        <v>0</v>
      </c>
      <c r="O6131" s="506">
        <v>52</v>
      </c>
    </row>
    <row r="6132" spans="1:15" x14ac:dyDescent="0.35">
      <c r="A6132" s="503" t="s">
        <v>1386</v>
      </c>
      <c r="B6132" s="504" t="s">
        <v>3331</v>
      </c>
      <c r="C6132" s="504" t="s">
        <v>1094</v>
      </c>
      <c r="D6132" s="504" t="s">
        <v>3380</v>
      </c>
      <c r="E6132" s="504" t="s">
        <v>3381</v>
      </c>
      <c r="F6132" s="504" t="s">
        <v>794</v>
      </c>
      <c r="G6132" s="504" t="s">
        <v>795</v>
      </c>
      <c r="H6132" s="504" t="s">
        <v>8293</v>
      </c>
      <c r="I6132" s="504">
        <v>15</v>
      </c>
      <c r="J6132" s="504">
        <v>11</v>
      </c>
      <c r="K6132" s="504">
        <v>0</v>
      </c>
      <c r="L6132" s="504">
        <v>0</v>
      </c>
      <c r="M6132" s="504">
        <v>0</v>
      </c>
      <c r="N6132" s="504">
        <v>0</v>
      </c>
      <c r="O6132" s="505">
        <v>4</v>
      </c>
    </row>
    <row r="6133" spans="1:15" x14ac:dyDescent="0.35">
      <c r="A6133" s="500" t="s">
        <v>1093</v>
      </c>
      <c r="B6133" s="501" t="s">
        <v>3248</v>
      </c>
      <c r="C6133" s="501" t="s">
        <v>1094</v>
      </c>
      <c r="D6133" s="501" t="s">
        <v>3380</v>
      </c>
      <c r="E6133" s="501" t="s">
        <v>3381</v>
      </c>
      <c r="F6133" s="501" t="s">
        <v>794</v>
      </c>
      <c r="G6133" s="501" t="s">
        <v>795</v>
      </c>
      <c r="H6133" s="501" t="s">
        <v>8294</v>
      </c>
      <c r="I6133" s="501">
        <v>70</v>
      </c>
      <c r="J6133" s="501">
        <v>0</v>
      </c>
      <c r="K6133" s="501">
        <v>0</v>
      </c>
      <c r="L6133" s="501">
        <v>63</v>
      </c>
      <c r="M6133" s="501">
        <v>0</v>
      </c>
      <c r="N6133" s="501">
        <v>0</v>
      </c>
      <c r="O6133" s="506">
        <v>7</v>
      </c>
    </row>
    <row r="6134" spans="1:15" x14ac:dyDescent="0.35">
      <c r="A6134" s="503" t="s">
        <v>1096</v>
      </c>
      <c r="B6134" s="504" t="s">
        <v>3326</v>
      </c>
      <c r="C6134" s="504" t="s">
        <v>1094</v>
      </c>
      <c r="D6134" s="504" t="s">
        <v>3380</v>
      </c>
      <c r="E6134" s="504" t="s">
        <v>3381</v>
      </c>
      <c r="F6134" s="504" t="s">
        <v>794</v>
      </c>
      <c r="G6134" s="504" t="s">
        <v>795</v>
      </c>
      <c r="H6134" s="504" t="s">
        <v>8295</v>
      </c>
      <c r="I6134" s="504">
        <v>253</v>
      </c>
      <c r="J6134" s="504">
        <v>0</v>
      </c>
      <c r="K6134" s="504">
        <v>0</v>
      </c>
      <c r="L6134" s="504">
        <v>0</v>
      </c>
      <c r="M6134" s="504">
        <v>232</v>
      </c>
      <c r="N6134" s="504">
        <v>0</v>
      </c>
      <c r="O6134" s="505">
        <v>21</v>
      </c>
    </row>
    <row r="6135" spans="1:15" x14ac:dyDescent="0.35">
      <c r="A6135" s="500" t="s">
        <v>1158</v>
      </c>
      <c r="B6135" s="501">
        <v>4819</v>
      </c>
      <c r="C6135" s="501" t="s">
        <v>1094</v>
      </c>
      <c r="D6135" s="501" t="s">
        <v>3380</v>
      </c>
      <c r="E6135" s="501" t="s">
        <v>3381</v>
      </c>
      <c r="F6135" s="501" t="s">
        <v>794</v>
      </c>
      <c r="G6135" s="501" t="s">
        <v>795</v>
      </c>
      <c r="H6135" s="501" t="s">
        <v>8297</v>
      </c>
      <c r="I6135" s="501">
        <v>7</v>
      </c>
      <c r="J6135" s="501">
        <v>4</v>
      </c>
      <c r="K6135" s="501">
        <v>0</v>
      </c>
      <c r="L6135" s="501">
        <v>0</v>
      </c>
      <c r="M6135" s="501">
        <v>0</v>
      </c>
      <c r="N6135" s="501">
        <v>0</v>
      </c>
      <c r="O6135" s="506">
        <v>3</v>
      </c>
    </row>
    <row r="6136" spans="1:15" x14ac:dyDescent="0.35">
      <c r="A6136" s="503" t="s">
        <v>1161</v>
      </c>
      <c r="B6136" s="504" t="s">
        <v>3001</v>
      </c>
      <c r="C6136" s="504" t="s">
        <v>1094</v>
      </c>
      <c r="D6136" s="504" t="s">
        <v>3380</v>
      </c>
      <c r="E6136" s="504" t="s">
        <v>3381</v>
      </c>
      <c r="F6136" s="504" t="s">
        <v>794</v>
      </c>
      <c r="G6136" s="504" t="s">
        <v>795</v>
      </c>
      <c r="H6136" s="504" t="s">
        <v>8298</v>
      </c>
      <c r="I6136" s="504">
        <v>1248</v>
      </c>
      <c r="J6136" s="504">
        <v>797</v>
      </c>
      <c r="K6136" s="504">
        <v>0</v>
      </c>
      <c r="L6136" s="504">
        <v>5</v>
      </c>
      <c r="M6136" s="504">
        <v>74</v>
      </c>
      <c r="N6136" s="504">
        <v>0</v>
      </c>
      <c r="O6136" s="505">
        <v>372</v>
      </c>
    </row>
    <row r="6137" spans="1:15" x14ac:dyDescent="0.35">
      <c r="A6137" s="500" t="s">
        <v>1705</v>
      </c>
      <c r="B6137" s="501" t="s">
        <v>3158</v>
      </c>
      <c r="C6137" s="501" t="s">
        <v>1094</v>
      </c>
      <c r="D6137" s="501" t="s">
        <v>3380</v>
      </c>
      <c r="E6137" s="501" t="s">
        <v>3381</v>
      </c>
      <c r="F6137" s="501" t="s">
        <v>794</v>
      </c>
      <c r="G6137" s="501" t="s">
        <v>795</v>
      </c>
      <c r="H6137" s="501" t="s">
        <v>8299</v>
      </c>
      <c r="I6137" s="501">
        <v>1</v>
      </c>
      <c r="J6137" s="501">
        <v>0</v>
      </c>
      <c r="K6137" s="501">
        <v>0</v>
      </c>
      <c r="L6137" s="501">
        <v>0</v>
      </c>
      <c r="M6137" s="501">
        <v>0</v>
      </c>
      <c r="N6137" s="501">
        <v>0</v>
      </c>
      <c r="O6137" s="506">
        <v>1</v>
      </c>
    </row>
    <row r="6138" spans="1:15" x14ac:dyDescent="0.35">
      <c r="A6138" s="503" t="s">
        <v>14208</v>
      </c>
      <c r="B6138" s="504">
        <v>4803</v>
      </c>
      <c r="C6138" s="504" t="s">
        <v>1094</v>
      </c>
      <c r="D6138" s="504" t="s">
        <v>3380</v>
      </c>
      <c r="E6138" s="504" t="s">
        <v>3381</v>
      </c>
      <c r="F6138" s="504" t="s">
        <v>794</v>
      </c>
      <c r="G6138" s="504" t="s">
        <v>795</v>
      </c>
      <c r="H6138" s="504" t="s">
        <v>14961</v>
      </c>
      <c r="I6138" s="504">
        <v>3</v>
      </c>
      <c r="J6138" s="504">
        <v>0</v>
      </c>
      <c r="K6138" s="504">
        <v>0</v>
      </c>
      <c r="L6138" s="504">
        <v>3</v>
      </c>
      <c r="M6138" s="504">
        <v>0</v>
      </c>
      <c r="N6138" s="504">
        <v>0</v>
      </c>
      <c r="O6138" s="505">
        <v>0</v>
      </c>
    </row>
    <row r="6139" spans="1:15" x14ac:dyDescent="0.35">
      <c r="A6139" s="500" t="s">
        <v>14213</v>
      </c>
      <c r="B6139" s="501" t="s">
        <v>3312</v>
      </c>
      <c r="C6139" s="501" t="s">
        <v>1094</v>
      </c>
      <c r="D6139" s="501" t="s">
        <v>3380</v>
      </c>
      <c r="E6139" s="501" t="s">
        <v>3381</v>
      </c>
      <c r="F6139" s="501" t="s">
        <v>794</v>
      </c>
      <c r="G6139" s="501" t="s">
        <v>795</v>
      </c>
      <c r="H6139" s="501" t="s">
        <v>14962</v>
      </c>
      <c r="I6139" s="501">
        <v>1418</v>
      </c>
      <c r="J6139" s="501">
        <v>757</v>
      </c>
      <c r="K6139" s="501">
        <v>0</v>
      </c>
      <c r="L6139" s="501">
        <v>55</v>
      </c>
      <c r="M6139" s="501">
        <v>422</v>
      </c>
      <c r="N6139" s="501">
        <v>0</v>
      </c>
      <c r="O6139" s="506">
        <v>184</v>
      </c>
    </row>
    <row r="6140" spans="1:15" x14ac:dyDescent="0.35">
      <c r="A6140" s="503" t="s">
        <v>1187</v>
      </c>
      <c r="B6140" s="504" t="s">
        <v>2951</v>
      </c>
      <c r="C6140" s="504" t="s">
        <v>1094</v>
      </c>
      <c r="D6140" s="504" t="s">
        <v>3380</v>
      </c>
      <c r="E6140" s="504" t="s">
        <v>3381</v>
      </c>
      <c r="F6140" s="504" t="s">
        <v>794</v>
      </c>
      <c r="G6140" s="504" t="s">
        <v>795</v>
      </c>
      <c r="H6140" s="504" t="s">
        <v>8300</v>
      </c>
      <c r="I6140" s="504">
        <v>51</v>
      </c>
      <c r="J6140" s="504">
        <v>51</v>
      </c>
      <c r="K6140" s="504">
        <v>0</v>
      </c>
      <c r="L6140" s="504">
        <v>0</v>
      </c>
      <c r="M6140" s="504">
        <v>0</v>
      </c>
      <c r="N6140" s="504">
        <v>0</v>
      </c>
      <c r="O6140" s="505">
        <v>0</v>
      </c>
    </row>
    <row r="6141" spans="1:15" x14ac:dyDescent="0.35">
      <c r="A6141" s="500" t="s">
        <v>1107</v>
      </c>
      <c r="B6141" s="501" t="s">
        <v>3109</v>
      </c>
      <c r="C6141" s="501" t="s">
        <v>1094</v>
      </c>
      <c r="D6141" s="501" t="s">
        <v>3380</v>
      </c>
      <c r="E6141" s="501" t="s">
        <v>3381</v>
      </c>
      <c r="F6141" s="501" t="s">
        <v>794</v>
      </c>
      <c r="G6141" s="501" t="s">
        <v>795</v>
      </c>
      <c r="H6141" s="501" t="s">
        <v>8301</v>
      </c>
      <c r="I6141" s="501">
        <v>262</v>
      </c>
      <c r="J6141" s="501">
        <v>156</v>
      </c>
      <c r="K6141" s="501">
        <v>0</v>
      </c>
      <c r="L6141" s="501">
        <v>89</v>
      </c>
      <c r="M6141" s="501">
        <v>0</v>
      </c>
      <c r="N6141" s="501">
        <v>0</v>
      </c>
      <c r="O6141" s="506">
        <v>17</v>
      </c>
    </row>
    <row r="6142" spans="1:15" x14ac:dyDescent="0.35">
      <c r="A6142" s="503" t="s">
        <v>1109</v>
      </c>
      <c r="B6142" s="504" t="s">
        <v>2959</v>
      </c>
      <c r="C6142" s="504" t="s">
        <v>1094</v>
      </c>
      <c r="D6142" s="504" t="s">
        <v>3380</v>
      </c>
      <c r="E6142" s="504" t="s">
        <v>3381</v>
      </c>
      <c r="F6142" s="504" t="s">
        <v>794</v>
      </c>
      <c r="G6142" s="504" t="s">
        <v>795</v>
      </c>
      <c r="H6142" s="504" t="s">
        <v>8302</v>
      </c>
      <c r="I6142" s="504">
        <v>26</v>
      </c>
      <c r="J6142" s="504">
        <v>0</v>
      </c>
      <c r="K6142" s="504">
        <v>0</v>
      </c>
      <c r="L6142" s="504">
        <v>0</v>
      </c>
      <c r="M6142" s="504">
        <v>26</v>
      </c>
      <c r="N6142" s="504">
        <v>0</v>
      </c>
      <c r="O6142" s="505">
        <v>0</v>
      </c>
    </row>
    <row r="6143" spans="1:15" x14ac:dyDescent="0.35">
      <c r="A6143" s="500" t="s">
        <v>1190</v>
      </c>
      <c r="B6143" s="501">
        <v>4662</v>
      </c>
      <c r="C6143" s="501" t="s">
        <v>1094</v>
      </c>
      <c r="D6143" s="501" t="s">
        <v>3380</v>
      </c>
      <c r="E6143" s="501" t="s">
        <v>3381</v>
      </c>
      <c r="F6143" s="501" t="s">
        <v>794</v>
      </c>
      <c r="G6143" s="501" t="s">
        <v>795</v>
      </c>
      <c r="H6143" s="501" t="s">
        <v>8303</v>
      </c>
      <c r="I6143" s="501">
        <v>16</v>
      </c>
      <c r="J6143" s="501">
        <v>0</v>
      </c>
      <c r="K6143" s="501">
        <v>0</v>
      </c>
      <c r="L6143" s="501">
        <v>16</v>
      </c>
      <c r="M6143" s="501">
        <v>0</v>
      </c>
      <c r="N6143" s="501">
        <v>0</v>
      </c>
      <c r="O6143" s="506">
        <v>0</v>
      </c>
    </row>
    <row r="6144" spans="1:15" x14ac:dyDescent="0.35">
      <c r="A6144" s="503" t="s">
        <v>1112</v>
      </c>
      <c r="B6144" s="504" t="s">
        <v>3008</v>
      </c>
      <c r="C6144" s="504" t="s">
        <v>1094</v>
      </c>
      <c r="D6144" s="504" t="s">
        <v>3380</v>
      </c>
      <c r="E6144" s="504" t="s">
        <v>3381</v>
      </c>
      <c r="F6144" s="504" t="s">
        <v>794</v>
      </c>
      <c r="G6144" s="504" t="s">
        <v>795</v>
      </c>
      <c r="H6144" s="504" t="s">
        <v>8304</v>
      </c>
      <c r="I6144" s="504">
        <v>116</v>
      </c>
      <c r="J6144" s="504">
        <v>111</v>
      </c>
      <c r="K6144" s="504">
        <v>0</v>
      </c>
      <c r="L6144" s="504">
        <v>0</v>
      </c>
      <c r="M6144" s="504">
        <v>0</v>
      </c>
      <c r="N6144" s="504">
        <v>0</v>
      </c>
      <c r="O6144" s="505">
        <v>5</v>
      </c>
    </row>
    <row r="6145" spans="1:15" x14ac:dyDescent="0.35">
      <c r="A6145" s="500" t="s">
        <v>11367</v>
      </c>
      <c r="B6145" s="501" t="s">
        <v>3143</v>
      </c>
      <c r="C6145" s="501" t="s">
        <v>1094</v>
      </c>
      <c r="D6145" s="501" t="s">
        <v>3380</v>
      </c>
      <c r="E6145" s="501" t="s">
        <v>3381</v>
      </c>
      <c r="F6145" s="501" t="s">
        <v>794</v>
      </c>
      <c r="G6145" s="501" t="s">
        <v>795</v>
      </c>
      <c r="H6145" s="501" t="s">
        <v>11944</v>
      </c>
      <c r="I6145" s="501">
        <v>120</v>
      </c>
      <c r="J6145" s="501">
        <v>103</v>
      </c>
      <c r="K6145" s="501">
        <v>0</v>
      </c>
      <c r="L6145" s="501">
        <v>9</v>
      </c>
      <c r="M6145" s="501">
        <v>0</v>
      </c>
      <c r="N6145" s="501">
        <v>0</v>
      </c>
      <c r="O6145" s="506">
        <v>8</v>
      </c>
    </row>
    <row r="6146" spans="1:15" x14ac:dyDescent="0.35">
      <c r="A6146" s="503" t="s">
        <v>1233</v>
      </c>
      <c r="B6146" s="504">
        <v>4636</v>
      </c>
      <c r="C6146" s="504" t="s">
        <v>1094</v>
      </c>
      <c r="D6146" s="504" t="s">
        <v>3380</v>
      </c>
      <c r="E6146" s="504" t="s">
        <v>3381</v>
      </c>
      <c r="F6146" s="504" t="s">
        <v>794</v>
      </c>
      <c r="G6146" s="504" t="s">
        <v>795</v>
      </c>
      <c r="H6146" s="504" t="s">
        <v>12021</v>
      </c>
      <c r="I6146" s="504">
        <v>4</v>
      </c>
      <c r="J6146" s="504">
        <v>0</v>
      </c>
      <c r="K6146" s="504">
        <v>0</v>
      </c>
      <c r="L6146" s="504">
        <v>0</v>
      </c>
      <c r="M6146" s="504">
        <v>0</v>
      </c>
      <c r="N6146" s="504">
        <v>0</v>
      </c>
      <c r="O6146" s="505">
        <v>4</v>
      </c>
    </row>
    <row r="6147" spans="1:15" x14ac:dyDescent="0.35">
      <c r="A6147" s="500" t="s">
        <v>11368</v>
      </c>
      <c r="B6147" s="501">
        <v>5083</v>
      </c>
      <c r="C6147" s="501" t="s">
        <v>1094</v>
      </c>
      <c r="D6147" s="501" t="s">
        <v>3380</v>
      </c>
      <c r="E6147" s="501" t="s">
        <v>3381</v>
      </c>
      <c r="F6147" s="501" t="s">
        <v>794</v>
      </c>
      <c r="G6147" s="501" t="s">
        <v>795</v>
      </c>
      <c r="H6147" s="501" t="s">
        <v>12068</v>
      </c>
      <c r="I6147" s="501">
        <v>13</v>
      </c>
      <c r="J6147" s="501">
        <v>13</v>
      </c>
      <c r="K6147" s="501">
        <v>0</v>
      </c>
      <c r="L6147" s="501">
        <v>0</v>
      </c>
      <c r="M6147" s="501">
        <v>0</v>
      </c>
      <c r="N6147" s="501">
        <v>0</v>
      </c>
      <c r="O6147" s="506">
        <v>0</v>
      </c>
    </row>
    <row r="6148" spans="1:15" x14ac:dyDescent="0.35">
      <c r="A6148" s="503" t="s">
        <v>1898</v>
      </c>
      <c r="B6148" s="504" t="s">
        <v>3148</v>
      </c>
      <c r="C6148" s="504" t="s">
        <v>1094</v>
      </c>
      <c r="D6148" s="504" t="s">
        <v>3380</v>
      </c>
      <c r="E6148" s="504" t="s">
        <v>3381</v>
      </c>
      <c r="F6148" s="504" t="s">
        <v>794</v>
      </c>
      <c r="G6148" s="504" t="s">
        <v>795</v>
      </c>
      <c r="H6148" s="504" t="s">
        <v>8305</v>
      </c>
      <c r="I6148" s="504">
        <v>103</v>
      </c>
      <c r="J6148" s="504">
        <v>84</v>
      </c>
      <c r="K6148" s="504">
        <v>0</v>
      </c>
      <c r="L6148" s="504">
        <v>0</v>
      </c>
      <c r="M6148" s="504">
        <v>0</v>
      </c>
      <c r="N6148" s="504">
        <v>0</v>
      </c>
      <c r="O6148" s="505">
        <v>19</v>
      </c>
    </row>
    <row r="6149" spans="1:15" x14ac:dyDescent="0.35">
      <c r="A6149" s="500" t="s">
        <v>1132</v>
      </c>
      <c r="B6149" s="501">
        <v>4837</v>
      </c>
      <c r="C6149" s="501" t="s">
        <v>1094</v>
      </c>
      <c r="D6149" s="501" t="s">
        <v>3380</v>
      </c>
      <c r="E6149" s="501" t="s">
        <v>3381</v>
      </c>
      <c r="F6149" s="501" t="s">
        <v>794</v>
      </c>
      <c r="G6149" s="501" t="s">
        <v>795</v>
      </c>
      <c r="H6149" s="501" t="s">
        <v>8306</v>
      </c>
      <c r="I6149" s="501">
        <v>44</v>
      </c>
      <c r="J6149" s="501">
        <v>33</v>
      </c>
      <c r="K6149" s="501">
        <v>0</v>
      </c>
      <c r="L6149" s="501">
        <v>0</v>
      </c>
      <c r="M6149" s="501">
        <v>0</v>
      </c>
      <c r="N6149" s="501">
        <v>0</v>
      </c>
      <c r="O6149" s="506">
        <v>11</v>
      </c>
    </row>
    <row r="6150" spans="1:15" x14ac:dyDescent="0.35">
      <c r="A6150" s="503" t="s">
        <v>1902</v>
      </c>
      <c r="B6150" s="504" t="s">
        <v>3077</v>
      </c>
      <c r="C6150" s="504" t="s">
        <v>1089</v>
      </c>
      <c r="D6150" s="504" t="s">
        <v>3392</v>
      </c>
      <c r="E6150" s="504" t="s">
        <v>3381</v>
      </c>
      <c r="F6150" s="504" t="s">
        <v>794</v>
      </c>
      <c r="G6150" s="504" t="s">
        <v>795</v>
      </c>
      <c r="H6150" s="504" t="s">
        <v>8307</v>
      </c>
      <c r="I6150" s="504">
        <v>38</v>
      </c>
      <c r="J6150" s="504">
        <v>0</v>
      </c>
      <c r="K6150" s="504">
        <v>0</v>
      </c>
      <c r="L6150" s="504">
        <v>0</v>
      </c>
      <c r="M6150" s="504">
        <v>38</v>
      </c>
      <c r="N6150" s="504">
        <v>0</v>
      </c>
      <c r="O6150" s="505">
        <v>0</v>
      </c>
    </row>
    <row r="6151" spans="1:15" x14ac:dyDescent="0.35">
      <c r="A6151" s="500" t="s">
        <v>1345</v>
      </c>
      <c r="B6151" s="501" t="s">
        <v>3247</v>
      </c>
      <c r="C6151" s="501" t="s">
        <v>1094</v>
      </c>
      <c r="D6151" s="501" t="s">
        <v>3380</v>
      </c>
      <c r="E6151" s="501" t="s">
        <v>3381</v>
      </c>
      <c r="F6151" s="501" t="s">
        <v>794</v>
      </c>
      <c r="G6151" s="501" t="s">
        <v>795</v>
      </c>
      <c r="H6151" s="501" t="s">
        <v>8308</v>
      </c>
      <c r="I6151" s="501">
        <v>12</v>
      </c>
      <c r="J6151" s="501">
        <v>0</v>
      </c>
      <c r="K6151" s="501">
        <v>0</v>
      </c>
      <c r="L6151" s="501">
        <v>12</v>
      </c>
      <c r="M6151" s="501">
        <v>0</v>
      </c>
      <c r="N6151" s="501">
        <v>0</v>
      </c>
      <c r="O6151" s="506">
        <v>0</v>
      </c>
    </row>
    <row r="6152" spans="1:15" x14ac:dyDescent="0.35">
      <c r="A6152" s="503" t="s">
        <v>1240</v>
      </c>
      <c r="B6152" s="504" t="s">
        <v>2972</v>
      </c>
      <c r="C6152" s="504" t="s">
        <v>1094</v>
      </c>
      <c r="D6152" s="504" t="s">
        <v>3380</v>
      </c>
      <c r="E6152" s="504" t="s">
        <v>3381</v>
      </c>
      <c r="F6152" s="504" t="s">
        <v>794</v>
      </c>
      <c r="G6152" s="504" t="s">
        <v>795</v>
      </c>
      <c r="H6152" s="504" t="s">
        <v>12148</v>
      </c>
      <c r="I6152" s="504">
        <v>1</v>
      </c>
      <c r="J6152" s="504">
        <v>0</v>
      </c>
      <c r="K6152" s="504">
        <v>0</v>
      </c>
      <c r="L6152" s="504">
        <v>0</v>
      </c>
      <c r="M6152" s="504">
        <v>0</v>
      </c>
      <c r="N6152" s="504">
        <v>0</v>
      </c>
      <c r="O6152" s="505">
        <v>1</v>
      </c>
    </row>
    <row r="6153" spans="1:15" x14ac:dyDescent="0.35">
      <c r="A6153" s="500" t="s">
        <v>1134</v>
      </c>
      <c r="B6153" s="501" t="s">
        <v>3066</v>
      </c>
      <c r="C6153" s="501" t="s">
        <v>1094</v>
      </c>
      <c r="D6153" s="501" t="s">
        <v>3380</v>
      </c>
      <c r="E6153" s="501" t="s">
        <v>3381</v>
      </c>
      <c r="F6153" s="501" t="s">
        <v>794</v>
      </c>
      <c r="G6153" s="501" t="s">
        <v>795</v>
      </c>
      <c r="H6153" s="501" t="s">
        <v>12167</v>
      </c>
      <c r="I6153" s="501">
        <v>72</v>
      </c>
      <c r="J6153" s="501">
        <v>72</v>
      </c>
      <c r="K6153" s="501">
        <v>0</v>
      </c>
      <c r="L6153" s="501">
        <v>0</v>
      </c>
      <c r="M6153" s="501">
        <v>0</v>
      </c>
      <c r="N6153" s="501">
        <v>0</v>
      </c>
      <c r="O6153" s="506">
        <v>0</v>
      </c>
    </row>
    <row r="6154" spans="1:15" x14ac:dyDescent="0.35">
      <c r="A6154" s="503" t="s">
        <v>11417</v>
      </c>
      <c r="B6154" s="504" t="s">
        <v>2898</v>
      </c>
      <c r="C6154" s="504" t="s">
        <v>1089</v>
      </c>
      <c r="D6154" s="504" t="s">
        <v>3392</v>
      </c>
      <c r="E6154" s="504" t="s">
        <v>3381</v>
      </c>
      <c r="F6154" s="504" t="s">
        <v>794</v>
      </c>
      <c r="G6154" s="504" t="s">
        <v>795</v>
      </c>
      <c r="H6154" s="504" t="s">
        <v>12197</v>
      </c>
      <c r="I6154" s="504">
        <v>11</v>
      </c>
      <c r="J6154" s="504">
        <v>0</v>
      </c>
      <c r="K6154" s="504">
        <v>0</v>
      </c>
      <c r="L6154" s="504">
        <v>0</v>
      </c>
      <c r="M6154" s="504">
        <v>11</v>
      </c>
      <c r="N6154" s="504">
        <v>0</v>
      </c>
      <c r="O6154" s="505">
        <v>0</v>
      </c>
    </row>
    <row r="6155" spans="1:15" x14ac:dyDescent="0.35">
      <c r="A6155" s="500" t="s">
        <v>1253</v>
      </c>
      <c r="B6155" s="501" t="s">
        <v>3232</v>
      </c>
      <c r="C6155" s="501" t="s">
        <v>1094</v>
      </c>
      <c r="D6155" s="501" t="s">
        <v>3380</v>
      </c>
      <c r="E6155" s="501" t="s">
        <v>3381</v>
      </c>
      <c r="F6155" s="501" t="s">
        <v>794</v>
      </c>
      <c r="G6155" s="501" t="s">
        <v>795</v>
      </c>
      <c r="H6155" s="501" t="s">
        <v>8309</v>
      </c>
      <c r="I6155" s="501">
        <v>8</v>
      </c>
      <c r="J6155" s="501">
        <v>0</v>
      </c>
      <c r="K6155" s="501">
        <v>0</v>
      </c>
      <c r="L6155" s="501">
        <v>8</v>
      </c>
      <c r="M6155" s="501">
        <v>0</v>
      </c>
      <c r="N6155" s="501">
        <v>0</v>
      </c>
      <c r="O6155" s="506">
        <v>0</v>
      </c>
    </row>
    <row r="6156" spans="1:15" x14ac:dyDescent="0.35">
      <c r="A6156" s="503" t="s">
        <v>1156</v>
      </c>
      <c r="B6156" s="504" t="s">
        <v>3310</v>
      </c>
      <c r="C6156" s="504" t="s">
        <v>1094</v>
      </c>
      <c r="D6156" s="504" t="s">
        <v>3380</v>
      </c>
      <c r="E6156" s="504" t="s">
        <v>3381</v>
      </c>
      <c r="F6156" s="504" t="s">
        <v>794</v>
      </c>
      <c r="G6156" s="504" t="s">
        <v>795</v>
      </c>
      <c r="H6156" s="504" t="s">
        <v>8296</v>
      </c>
      <c r="I6156" s="504">
        <v>81</v>
      </c>
      <c r="J6156" s="504">
        <v>5</v>
      </c>
      <c r="K6156" s="504">
        <v>0</v>
      </c>
      <c r="L6156" s="504">
        <v>0</v>
      </c>
      <c r="M6156" s="504">
        <v>57</v>
      </c>
      <c r="N6156" s="504">
        <v>0</v>
      </c>
      <c r="O6156" s="505">
        <v>19</v>
      </c>
    </row>
    <row r="6157" spans="1:15" x14ac:dyDescent="0.35">
      <c r="A6157" s="500" t="s">
        <v>1143</v>
      </c>
      <c r="B6157" s="501" t="s">
        <v>3281</v>
      </c>
      <c r="C6157" s="501" t="s">
        <v>1094</v>
      </c>
      <c r="D6157" s="501" t="s">
        <v>3380</v>
      </c>
      <c r="E6157" s="501" t="s">
        <v>3381</v>
      </c>
      <c r="F6157" s="501" t="s">
        <v>796</v>
      </c>
      <c r="G6157" s="501" t="s">
        <v>797</v>
      </c>
      <c r="H6157" s="501" t="s">
        <v>8310</v>
      </c>
      <c r="I6157" s="501">
        <v>384</v>
      </c>
      <c r="J6157" s="501">
        <v>380</v>
      </c>
      <c r="K6157" s="501">
        <v>0</v>
      </c>
      <c r="L6157" s="501">
        <v>3</v>
      </c>
      <c r="M6157" s="501">
        <v>0</v>
      </c>
      <c r="N6157" s="501">
        <v>2</v>
      </c>
      <c r="O6157" s="506">
        <v>1</v>
      </c>
    </row>
    <row r="6158" spans="1:15" x14ac:dyDescent="0.35">
      <c r="A6158" s="503" t="s">
        <v>1096</v>
      </c>
      <c r="B6158" s="504" t="s">
        <v>3326</v>
      </c>
      <c r="C6158" s="504" t="s">
        <v>1094</v>
      </c>
      <c r="D6158" s="504" t="s">
        <v>3380</v>
      </c>
      <c r="E6158" s="504" t="s">
        <v>3381</v>
      </c>
      <c r="F6158" s="504" t="s">
        <v>796</v>
      </c>
      <c r="G6158" s="504" t="s">
        <v>797</v>
      </c>
      <c r="H6158" s="504" t="s">
        <v>8311</v>
      </c>
      <c r="I6158" s="504">
        <v>146</v>
      </c>
      <c r="J6158" s="504">
        <v>0</v>
      </c>
      <c r="K6158" s="504">
        <v>0</v>
      </c>
      <c r="L6158" s="504">
        <v>0</v>
      </c>
      <c r="M6158" s="504">
        <v>146</v>
      </c>
      <c r="N6158" s="504">
        <v>0</v>
      </c>
      <c r="O6158" s="505">
        <v>0</v>
      </c>
    </row>
    <row r="6159" spans="1:15" x14ac:dyDescent="0.35">
      <c r="A6159" s="500" t="s">
        <v>1151</v>
      </c>
      <c r="B6159" s="501">
        <v>4726</v>
      </c>
      <c r="C6159" s="501" t="s">
        <v>1089</v>
      </c>
      <c r="D6159" s="501" t="s">
        <v>3392</v>
      </c>
      <c r="E6159" s="501" t="s">
        <v>3381</v>
      </c>
      <c r="F6159" s="501" t="s">
        <v>796</v>
      </c>
      <c r="G6159" s="501" t="s">
        <v>797</v>
      </c>
      <c r="H6159" s="501" t="s">
        <v>8312</v>
      </c>
      <c r="I6159" s="501">
        <v>1</v>
      </c>
      <c r="J6159" s="501">
        <v>1</v>
      </c>
      <c r="K6159" s="501">
        <v>0</v>
      </c>
      <c r="L6159" s="501">
        <v>0</v>
      </c>
      <c r="M6159" s="501">
        <v>0</v>
      </c>
      <c r="N6159" s="501">
        <v>0</v>
      </c>
      <c r="O6159" s="506">
        <v>0</v>
      </c>
    </row>
    <row r="6160" spans="1:15" x14ac:dyDescent="0.35">
      <c r="A6160" s="503" t="s">
        <v>1680</v>
      </c>
      <c r="B6160" s="504" t="s">
        <v>3168</v>
      </c>
      <c r="C6160" s="504" t="s">
        <v>1094</v>
      </c>
      <c r="D6160" s="504" t="s">
        <v>3380</v>
      </c>
      <c r="E6160" s="504" t="s">
        <v>3381</v>
      </c>
      <c r="F6160" s="504" t="s">
        <v>796</v>
      </c>
      <c r="G6160" s="504" t="s">
        <v>797</v>
      </c>
      <c r="H6160" s="504" t="s">
        <v>8313</v>
      </c>
      <c r="I6160" s="504">
        <v>120</v>
      </c>
      <c r="J6160" s="504">
        <v>80</v>
      </c>
      <c r="K6160" s="504">
        <v>0</v>
      </c>
      <c r="L6160" s="504">
        <v>40</v>
      </c>
      <c r="M6160" s="504">
        <v>0</v>
      </c>
      <c r="N6160" s="504">
        <v>0</v>
      </c>
      <c r="O6160" s="505">
        <v>0</v>
      </c>
    </row>
    <row r="6161" spans="1:15" x14ac:dyDescent="0.35">
      <c r="A6161" s="500" t="s">
        <v>1160</v>
      </c>
      <c r="B6161" s="501">
        <v>4672</v>
      </c>
      <c r="C6161" s="501" t="s">
        <v>1089</v>
      </c>
      <c r="D6161" s="501" t="s">
        <v>3392</v>
      </c>
      <c r="E6161" s="501" t="s">
        <v>3381</v>
      </c>
      <c r="F6161" s="501" t="s">
        <v>796</v>
      </c>
      <c r="G6161" s="501" t="s">
        <v>797</v>
      </c>
      <c r="H6161" s="501" t="s">
        <v>8314</v>
      </c>
      <c r="I6161" s="501">
        <v>3</v>
      </c>
      <c r="J6161" s="501">
        <v>0</v>
      </c>
      <c r="K6161" s="501">
        <v>0</v>
      </c>
      <c r="L6161" s="501">
        <v>3</v>
      </c>
      <c r="M6161" s="501">
        <v>0</v>
      </c>
      <c r="N6161" s="501">
        <v>0</v>
      </c>
      <c r="O6161" s="506">
        <v>0</v>
      </c>
    </row>
    <row r="6162" spans="1:15" x14ac:dyDescent="0.35">
      <c r="A6162" s="503" t="s">
        <v>1102</v>
      </c>
      <c r="B6162" s="504">
        <v>4663</v>
      </c>
      <c r="C6162" s="504" t="s">
        <v>1089</v>
      </c>
      <c r="D6162" s="504" t="s">
        <v>3392</v>
      </c>
      <c r="E6162" s="504" t="s">
        <v>3381</v>
      </c>
      <c r="F6162" s="504" t="s">
        <v>796</v>
      </c>
      <c r="G6162" s="504" t="s">
        <v>797</v>
      </c>
      <c r="H6162" s="504" t="s">
        <v>8315</v>
      </c>
      <c r="I6162" s="504">
        <v>34</v>
      </c>
      <c r="J6162" s="504">
        <v>0</v>
      </c>
      <c r="K6162" s="504">
        <v>0</v>
      </c>
      <c r="L6162" s="504">
        <v>34</v>
      </c>
      <c r="M6162" s="504">
        <v>0</v>
      </c>
      <c r="N6162" s="504">
        <v>0</v>
      </c>
      <c r="O6162" s="505">
        <v>0</v>
      </c>
    </row>
    <row r="6163" spans="1:15" x14ac:dyDescent="0.35">
      <c r="A6163" s="500" t="s">
        <v>1183</v>
      </c>
      <c r="B6163" s="501" t="s">
        <v>3038</v>
      </c>
      <c r="C6163" s="501" t="s">
        <v>1094</v>
      </c>
      <c r="D6163" s="501" t="s">
        <v>3380</v>
      </c>
      <c r="E6163" s="501" t="s">
        <v>3381</v>
      </c>
      <c r="F6163" s="501" t="s">
        <v>796</v>
      </c>
      <c r="G6163" s="501" t="s">
        <v>797</v>
      </c>
      <c r="H6163" s="501" t="s">
        <v>8316</v>
      </c>
      <c r="I6163" s="501">
        <v>196</v>
      </c>
      <c r="J6163" s="501">
        <v>196</v>
      </c>
      <c r="K6163" s="501">
        <v>0</v>
      </c>
      <c r="L6163" s="501">
        <v>0</v>
      </c>
      <c r="M6163" s="501">
        <v>0</v>
      </c>
      <c r="N6163" s="501">
        <v>0</v>
      </c>
      <c r="O6163" s="506">
        <v>0</v>
      </c>
    </row>
    <row r="6164" spans="1:15" x14ac:dyDescent="0.35">
      <c r="A6164" s="503" t="s">
        <v>1105</v>
      </c>
      <c r="B6164" s="504">
        <v>4668</v>
      </c>
      <c r="C6164" s="504" t="s">
        <v>1094</v>
      </c>
      <c r="D6164" s="504" t="s">
        <v>3380</v>
      </c>
      <c r="E6164" s="504" t="s">
        <v>3381</v>
      </c>
      <c r="F6164" s="504" t="s">
        <v>796</v>
      </c>
      <c r="G6164" s="504" t="s">
        <v>797</v>
      </c>
      <c r="H6164" s="504" t="s">
        <v>11736</v>
      </c>
      <c r="I6164" s="504">
        <v>4</v>
      </c>
      <c r="J6164" s="504">
        <v>0</v>
      </c>
      <c r="K6164" s="504">
        <v>0</v>
      </c>
      <c r="L6164" s="504">
        <v>0</v>
      </c>
      <c r="M6164" s="504">
        <v>0</v>
      </c>
      <c r="N6164" s="504">
        <v>0</v>
      </c>
      <c r="O6164" s="505">
        <v>4</v>
      </c>
    </row>
    <row r="6165" spans="1:15" x14ac:dyDescent="0.35">
      <c r="A6165" s="500" t="s">
        <v>1109</v>
      </c>
      <c r="B6165" s="501" t="s">
        <v>2959</v>
      </c>
      <c r="C6165" s="501" t="s">
        <v>1094</v>
      </c>
      <c r="D6165" s="501" t="s">
        <v>3380</v>
      </c>
      <c r="E6165" s="501" t="s">
        <v>3381</v>
      </c>
      <c r="F6165" s="501" t="s">
        <v>796</v>
      </c>
      <c r="G6165" s="501" t="s">
        <v>797</v>
      </c>
      <c r="H6165" s="501" t="s">
        <v>8317</v>
      </c>
      <c r="I6165" s="501">
        <v>29</v>
      </c>
      <c r="J6165" s="501">
        <v>0</v>
      </c>
      <c r="K6165" s="501">
        <v>0</v>
      </c>
      <c r="L6165" s="501">
        <v>0</v>
      </c>
      <c r="M6165" s="501">
        <v>29</v>
      </c>
      <c r="N6165" s="501">
        <v>0</v>
      </c>
      <c r="O6165" s="506">
        <v>0</v>
      </c>
    </row>
    <row r="6166" spans="1:15" x14ac:dyDescent="0.35">
      <c r="A6166" s="503" t="s">
        <v>1190</v>
      </c>
      <c r="B6166" s="504">
        <v>4662</v>
      </c>
      <c r="C6166" s="504" t="s">
        <v>1094</v>
      </c>
      <c r="D6166" s="504" t="s">
        <v>3380</v>
      </c>
      <c r="E6166" s="504" t="s">
        <v>3381</v>
      </c>
      <c r="F6166" s="504" t="s">
        <v>796</v>
      </c>
      <c r="G6166" s="504" t="s">
        <v>797</v>
      </c>
      <c r="H6166" s="504" t="s">
        <v>8318</v>
      </c>
      <c r="I6166" s="504">
        <v>18</v>
      </c>
      <c r="J6166" s="504">
        <v>0</v>
      </c>
      <c r="K6166" s="504">
        <v>0</v>
      </c>
      <c r="L6166" s="504">
        <v>18</v>
      </c>
      <c r="M6166" s="504">
        <v>0</v>
      </c>
      <c r="N6166" s="504">
        <v>0</v>
      </c>
      <c r="O6166" s="505">
        <v>0</v>
      </c>
    </row>
    <row r="6167" spans="1:15" x14ac:dyDescent="0.35">
      <c r="A6167" s="500" t="s">
        <v>2161</v>
      </c>
      <c r="B6167" s="501" t="s">
        <v>3205</v>
      </c>
      <c r="C6167" s="501" t="s">
        <v>1094</v>
      </c>
      <c r="D6167" s="501" t="s">
        <v>3380</v>
      </c>
      <c r="E6167" s="501" t="s">
        <v>3381</v>
      </c>
      <c r="F6167" s="501" t="s">
        <v>796</v>
      </c>
      <c r="G6167" s="501" t="s">
        <v>797</v>
      </c>
      <c r="H6167" s="501" t="s">
        <v>14963</v>
      </c>
      <c r="I6167" s="501">
        <v>4</v>
      </c>
      <c r="J6167" s="501">
        <v>4</v>
      </c>
      <c r="K6167" s="501">
        <v>0</v>
      </c>
      <c r="L6167" s="501">
        <v>0</v>
      </c>
      <c r="M6167" s="501">
        <v>0</v>
      </c>
      <c r="N6167" s="501">
        <v>0</v>
      </c>
      <c r="O6167" s="506">
        <v>0</v>
      </c>
    </row>
    <row r="6168" spans="1:15" x14ac:dyDescent="0.35">
      <c r="A6168" s="503" t="s">
        <v>1716</v>
      </c>
      <c r="B6168" s="504" t="s">
        <v>2960</v>
      </c>
      <c r="C6168" s="504" t="s">
        <v>1094</v>
      </c>
      <c r="D6168" s="504" t="s">
        <v>3380</v>
      </c>
      <c r="E6168" s="504" t="s">
        <v>3381</v>
      </c>
      <c r="F6168" s="504" t="s">
        <v>796</v>
      </c>
      <c r="G6168" s="504" t="s">
        <v>797</v>
      </c>
      <c r="H6168" s="504" t="s">
        <v>8319</v>
      </c>
      <c r="I6168" s="504">
        <v>27</v>
      </c>
      <c r="J6168" s="504">
        <v>27</v>
      </c>
      <c r="K6168" s="504">
        <v>0</v>
      </c>
      <c r="L6168" s="504">
        <v>0</v>
      </c>
      <c r="M6168" s="504">
        <v>0</v>
      </c>
      <c r="N6168" s="504">
        <v>0</v>
      </c>
      <c r="O6168" s="505">
        <v>0</v>
      </c>
    </row>
    <row r="6169" spans="1:15" x14ac:dyDescent="0.35">
      <c r="A6169" s="500" t="s">
        <v>11401</v>
      </c>
      <c r="B6169" s="501" t="s">
        <v>3241</v>
      </c>
      <c r="C6169" s="501" t="s">
        <v>1094</v>
      </c>
      <c r="D6169" s="501" t="s">
        <v>3380</v>
      </c>
      <c r="E6169" s="501" t="s">
        <v>3381</v>
      </c>
      <c r="F6169" s="501" t="s">
        <v>796</v>
      </c>
      <c r="G6169" s="501" t="s">
        <v>797</v>
      </c>
      <c r="H6169" s="501" t="s">
        <v>14964</v>
      </c>
      <c r="I6169" s="501">
        <v>3</v>
      </c>
      <c r="J6169" s="501">
        <v>3</v>
      </c>
      <c r="K6169" s="501">
        <v>0</v>
      </c>
      <c r="L6169" s="501">
        <v>0</v>
      </c>
      <c r="M6169" s="501">
        <v>0</v>
      </c>
      <c r="N6169" s="501">
        <v>0</v>
      </c>
      <c r="O6169" s="506">
        <v>0</v>
      </c>
    </row>
    <row r="6170" spans="1:15" x14ac:dyDescent="0.35">
      <c r="A6170" s="503" t="s">
        <v>1739</v>
      </c>
      <c r="B6170" s="504">
        <v>4857</v>
      </c>
      <c r="C6170" s="504" t="s">
        <v>1094</v>
      </c>
      <c r="D6170" s="504" t="s">
        <v>3380</v>
      </c>
      <c r="E6170" s="504" t="s">
        <v>3381</v>
      </c>
      <c r="F6170" s="504" t="s">
        <v>796</v>
      </c>
      <c r="G6170" s="504" t="s">
        <v>797</v>
      </c>
      <c r="H6170" s="504" t="s">
        <v>8320</v>
      </c>
      <c r="I6170" s="504">
        <v>110</v>
      </c>
      <c r="J6170" s="504">
        <v>105</v>
      </c>
      <c r="K6170" s="504">
        <v>0</v>
      </c>
      <c r="L6170" s="504">
        <v>5</v>
      </c>
      <c r="M6170" s="504">
        <v>0</v>
      </c>
      <c r="N6170" s="504">
        <v>0</v>
      </c>
      <c r="O6170" s="505">
        <v>0</v>
      </c>
    </row>
    <row r="6171" spans="1:15" x14ac:dyDescent="0.35">
      <c r="A6171" s="500" t="s">
        <v>1208</v>
      </c>
      <c r="B6171" s="501" t="s">
        <v>3096</v>
      </c>
      <c r="C6171" s="501" t="s">
        <v>1094</v>
      </c>
      <c r="D6171" s="501" t="s">
        <v>3380</v>
      </c>
      <c r="E6171" s="501" t="s">
        <v>3381</v>
      </c>
      <c r="F6171" s="501" t="s">
        <v>796</v>
      </c>
      <c r="G6171" s="501" t="s">
        <v>797</v>
      </c>
      <c r="H6171" s="501" t="s">
        <v>8321</v>
      </c>
      <c r="I6171" s="501">
        <v>91</v>
      </c>
      <c r="J6171" s="501">
        <v>91</v>
      </c>
      <c r="K6171" s="501">
        <v>0</v>
      </c>
      <c r="L6171" s="501">
        <v>0</v>
      </c>
      <c r="M6171" s="501">
        <v>0</v>
      </c>
      <c r="N6171" s="501">
        <v>0</v>
      </c>
      <c r="O6171" s="506">
        <v>0</v>
      </c>
    </row>
    <row r="6172" spans="1:15" x14ac:dyDescent="0.35">
      <c r="A6172" s="503" t="s">
        <v>1209</v>
      </c>
      <c r="B6172" s="504">
        <v>4779</v>
      </c>
      <c r="C6172" s="504" t="s">
        <v>1094</v>
      </c>
      <c r="D6172" s="504" t="s">
        <v>3380</v>
      </c>
      <c r="E6172" s="504" t="s">
        <v>3381</v>
      </c>
      <c r="F6172" s="504" t="s">
        <v>796</v>
      </c>
      <c r="G6172" s="504" t="s">
        <v>797</v>
      </c>
      <c r="H6172" s="504" t="s">
        <v>8322</v>
      </c>
      <c r="I6172" s="504">
        <v>33</v>
      </c>
      <c r="J6172" s="504">
        <v>0</v>
      </c>
      <c r="K6172" s="504">
        <v>0</v>
      </c>
      <c r="L6172" s="504">
        <v>33</v>
      </c>
      <c r="M6172" s="504">
        <v>0</v>
      </c>
      <c r="N6172" s="504">
        <v>0</v>
      </c>
      <c r="O6172" s="505">
        <v>0</v>
      </c>
    </row>
    <row r="6173" spans="1:15" x14ac:dyDescent="0.35">
      <c r="A6173" s="500" t="s">
        <v>1746</v>
      </c>
      <c r="B6173" s="501">
        <v>5086</v>
      </c>
      <c r="C6173" s="501" t="s">
        <v>1089</v>
      </c>
      <c r="D6173" s="501" t="s">
        <v>3392</v>
      </c>
      <c r="E6173" s="501" t="s">
        <v>3381</v>
      </c>
      <c r="F6173" s="501" t="s">
        <v>796</v>
      </c>
      <c r="G6173" s="501" t="s">
        <v>797</v>
      </c>
      <c r="H6173" s="501" t="s">
        <v>8323</v>
      </c>
      <c r="I6173" s="501">
        <v>95</v>
      </c>
      <c r="J6173" s="501">
        <v>0</v>
      </c>
      <c r="K6173" s="501">
        <v>0</v>
      </c>
      <c r="L6173" s="501">
        <v>95</v>
      </c>
      <c r="M6173" s="501">
        <v>0</v>
      </c>
      <c r="N6173" s="501">
        <v>0</v>
      </c>
      <c r="O6173" s="506">
        <v>0</v>
      </c>
    </row>
    <row r="6174" spans="1:15" x14ac:dyDescent="0.35">
      <c r="A6174" s="503" t="s">
        <v>1122</v>
      </c>
      <c r="B6174" s="504" t="s">
        <v>2994</v>
      </c>
      <c r="C6174" s="504" t="s">
        <v>1094</v>
      </c>
      <c r="D6174" s="504" t="s">
        <v>3380</v>
      </c>
      <c r="E6174" s="504" t="s">
        <v>3381</v>
      </c>
      <c r="F6174" s="504" t="s">
        <v>796</v>
      </c>
      <c r="G6174" s="504" t="s">
        <v>797</v>
      </c>
      <c r="H6174" s="504" t="s">
        <v>8324</v>
      </c>
      <c r="I6174" s="504">
        <v>18</v>
      </c>
      <c r="J6174" s="504">
        <v>18</v>
      </c>
      <c r="K6174" s="504">
        <v>0</v>
      </c>
      <c r="L6174" s="504">
        <v>0</v>
      </c>
      <c r="M6174" s="504">
        <v>0</v>
      </c>
      <c r="N6174" s="504">
        <v>0</v>
      </c>
      <c r="O6174" s="505">
        <v>0</v>
      </c>
    </row>
    <row r="6175" spans="1:15" x14ac:dyDescent="0.35">
      <c r="A6175" s="500" t="s">
        <v>1228</v>
      </c>
      <c r="B6175" s="501" t="s">
        <v>3321</v>
      </c>
      <c r="C6175" s="501" t="s">
        <v>1094</v>
      </c>
      <c r="D6175" s="501" t="s">
        <v>3380</v>
      </c>
      <c r="E6175" s="501" t="s">
        <v>3381</v>
      </c>
      <c r="F6175" s="501" t="s">
        <v>796</v>
      </c>
      <c r="G6175" s="501" t="s">
        <v>797</v>
      </c>
      <c r="H6175" s="501" t="s">
        <v>8325</v>
      </c>
      <c r="I6175" s="501">
        <v>21</v>
      </c>
      <c r="J6175" s="501">
        <v>1</v>
      </c>
      <c r="K6175" s="501">
        <v>0</v>
      </c>
      <c r="L6175" s="501">
        <v>20</v>
      </c>
      <c r="M6175" s="501">
        <v>0</v>
      </c>
      <c r="N6175" s="501">
        <v>0</v>
      </c>
      <c r="O6175" s="506">
        <v>0</v>
      </c>
    </row>
    <row r="6176" spans="1:15" x14ac:dyDescent="0.35">
      <c r="A6176" s="503" t="s">
        <v>1235</v>
      </c>
      <c r="B6176" s="504">
        <v>4684</v>
      </c>
      <c r="C6176" s="504" t="s">
        <v>1094</v>
      </c>
      <c r="D6176" s="504" t="s">
        <v>3380</v>
      </c>
      <c r="E6176" s="504" t="s">
        <v>3381</v>
      </c>
      <c r="F6176" s="504" t="s">
        <v>796</v>
      </c>
      <c r="G6176" s="504" t="s">
        <v>797</v>
      </c>
      <c r="H6176" s="504" t="s">
        <v>12106</v>
      </c>
      <c r="I6176" s="504">
        <v>19</v>
      </c>
      <c r="J6176" s="504">
        <v>0</v>
      </c>
      <c r="K6176" s="504">
        <v>0</v>
      </c>
      <c r="L6176" s="504">
        <v>19</v>
      </c>
      <c r="M6176" s="504">
        <v>0</v>
      </c>
      <c r="N6176" s="504">
        <v>0</v>
      </c>
      <c r="O6176" s="505">
        <v>0</v>
      </c>
    </row>
    <row r="6177" spans="1:15" x14ac:dyDescent="0.35">
      <c r="A6177" s="500" t="s">
        <v>1257</v>
      </c>
      <c r="B6177" s="501" t="s">
        <v>3151</v>
      </c>
      <c r="C6177" s="501" t="s">
        <v>1094</v>
      </c>
      <c r="D6177" s="501" t="s">
        <v>3380</v>
      </c>
      <c r="E6177" s="501" t="s">
        <v>3381</v>
      </c>
      <c r="F6177" s="501" t="s">
        <v>796</v>
      </c>
      <c r="G6177" s="501" t="s">
        <v>797</v>
      </c>
      <c r="H6177" s="501" t="s">
        <v>8326</v>
      </c>
      <c r="I6177" s="501">
        <v>3228</v>
      </c>
      <c r="J6177" s="501">
        <v>3198</v>
      </c>
      <c r="K6177" s="501">
        <v>0</v>
      </c>
      <c r="L6177" s="501">
        <v>19</v>
      </c>
      <c r="M6177" s="501">
        <v>0</v>
      </c>
      <c r="N6177" s="501">
        <v>0</v>
      </c>
      <c r="O6177" s="506">
        <v>11</v>
      </c>
    </row>
    <row r="6178" spans="1:15" x14ac:dyDescent="0.35">
      <c r="A6178" s="503" t="s">
        <v>1780</v>
      </c>
      <c r="B6178" s="504" t="s">
        <v>3192</v>
      </c>
      <c r="C6178" s="504" t="s">
        <v>1094</v>
      </c>
      <c r="D6178" s="504" t="s">
        <v>3380</v>
      </c>
      <c r="E6178" s="504" t="s">
        <v>3381</v>
      </c>
      <c r="F6178" s="504" t="s">
        <v>796</v>
      </c>
      <c r="G6178" s="504" t="s">
        <v>797</v>
      </c>
      <c r="H6178" s="504" t="s">
        <v>14965</v>
      </c>
      <c r="I6178" s="504">
        <v>6</v>
      </c>
      <c r="J6178" s="504">
        <v>6</v>
      </c>
      <c r="K6178" s="504">
        <v>0</v>
      </c>
      <c r="L6178" s="504">
        <v>0</v>
      </c>
      <c r="M6178" s="504">
        <v>0</v>
      </c>
      <c r="N6178" s="504">
        <v>0</v>
      </c>
      <c r="O6178" s="505">
        <v>0</v>
      </c>
    </row>
    <row r="6179" spans="1:15" x14ac:dyDescent="0.35">
      <c r="A6179" s="500" t="s">
        <v>1789</v>
      </c>
      <c r="B6179" s="501" t="s">
        <v>3219</v>
      </c>
      <c r="C6179" s="501" t="s">
        <v>1094</v>
      </c>
      <c r="D6179" s="501" t="s">
        <v>3380</v>
      </c>
      <c r="E6179" s="501" t="s">
        <v>3381</v>
      </c>
      <c r="F6179" s="501" t="s">
        <v>796</v>
      </c>
      <c r="G6179" s="501" t="s">
        <v>797</v>
      </c>
      <c r="H6179" s="501" t="s">
        <v>8327</v>
      </c>
      <c r="I6179" s="501">
        <v>24</v>
      </c>
      <c r="J6179" s="501">
        <v>1</v>
      </c>
      <c r="K6179" s="501">
        <v>0</v>
      </c>
      <c r="L6179" s="501">
        <v>0</v>
      </c>
      <c r="M6179" s="501">
        <v>23</v>
      </c>
      <c r="N6179" s="501">
        <v>0</v>
      </c>
      <c r="O6179" s="506">
        <v>0</v>
      </c>
    </row>
    <row r="6180" spans="1:15" x14ac:dyDescent="0.35">
      <c r="A6180" s="503" t="s">
        <v>1266</v>
      </c>
      <c r="B6180" s="504" t="s">
        <v>3071</v>
      </c>
      <c r="C6180" s="504" t="s">
        <v>1094</v>
      </c>
      <c r="D6180" s="504" t="s">
        <v>3380</v>
      </c>
      <c r="E6180" s="504" t="s">
        <v>3381</v>
      </c>
      <c r="F6180" s="504" t="s">
        <v>796</v>
      </c>
      <c r="G6180" s="504" t="s">
        <v>797</v>
      </c>
      <c r="H6180" s="504" t="s">
        <v>8328</v>
      </c>
      <c r="I6180" s="504">
        <v>94</v>
      </c>
      <c r="J6180" s="504">
        <v>94</v>
      </c>
      <c r="K6180" s="504">
        <v>0</v>
      </c>
      <c r="L6180" s="504">
        <v>0</v>
      </c>
      <c r="M6180" s="504">
        <v>0</v>
      </c>
      <c r="N6180" s="504">
        <v>0</v>
      </c>
      <c r="O6180" s="505">
        <v>0</v>
      </c>
    </row>
    <row r="6181" spans="1:15" x14ac:dyDescent="0.35">
      <c r="A6181" s="500" t="s">
        <v>1143</v>
      </c>
      <c r="B6181" s="501" t="s">
        <v>3281</v>
      </c>
      <c r="C6181" s="501" t="s">
        <v>1094</v>
      </c>
      <c r="D6181" s="501" t="s">
        <v>3380</v>
      </c>
      <c r="E6181" s="501" t="s">
        <v>3381</v>
      </c>
      <c r="F6181" s="501" t="s">
        <v>798</v>
      </c>
      <c r="G6181" s="501" t="s">
        <v>799</v>
      </c>
      <c r="H6181" s="501" t="s">
        <v>8329</v>
      </c>
      <c r="I6181" s="501">
        <v>1693</v>
      </c>
      <c r="J6181" s="501">
        <v>1350</v>
      </c>
      <c r="K6181" s="501">
        <v>0</v>
      </c>
      <c r="L6181" s="501">
        <v>0</v>
      </c>
      <c r="M6181" s="501">
        <v>219</v>
      </c>
      <c r="N6181" s="501">
        <v>2</v>
      </c>
      <c r="O6181" s="506">
        <v>124</v>
      </c>
    </row>
    <row r="6182" spans="1:15" x14ac:dyDescent="0.35">
      <c r="A6182" s="503" t="s">
        <v>1096</v>
      </c>
      <c r="B6182" s="504" t="s">
        <v>3326</v>
      </c>
      <c r="C6182" s="504" t="s">
        <v>1094</v>
      </c>
      <c r="D6182" s="504" t="s">
        <v>3380</v>
      </c>
      <c r="E6182" s="504" t="s">
        <v>3381</v>
      </c>
      <c r="F6182" s="504" t="s">
        <v>798</v>
      </c>
      <c r="G6182" s="504" t="s">
        <v>799</v>
      </c>
      <c r="H6182" s="504" t="s">
        <v>8330</v>
      </c>
      <c r="I6182" s="504">
        <v>145</v>
      </c>
      <c r="J6182" s="504">
        <v>0</v>
      </c>
      <c r="K6182" s="504">
        <v>0</v>
      </c>
      <c r="L6182" s="504">
        <v>0</v>
      </c>
      <c r="M6182" s="504">
        <v>145</v>
      </c>
      <c r="N6182" s="504">
        <v>6</v>
      </c>
      <c r="O6182" s="505">
        <v>0</v>
      </c>
    </row>
    <row r="6183" spans="1:15" x14ac:dyDescent="0.35">
      <c r="A6183" s="500" t="s">
        <v>11363</v>
      </c>
      <c r="B6183" s="501">
        <v>4718</v>
      </c>
      <c r="C6183" s="501" t="s">
        <v>1094</v>
      </c>
      <c r="D6183" s="501" t="s">
        <v>3380</v>
      </c>
      <c r="E6183" s="501" t="s">
        <v>3381</v>
      </c>
      <c r="F6183" s="501" t="s">
        <v>798</v>
      </c>
      <c r="G6183" s="501" t="s">
        <v>799</v>
      </c>
      <c r="H6183" s="501" t="s">
        <v>11574</v>
      </c>
      <c r="I6183" s="501">
        <v>6</v>
      </c>
      <c r="J6183" s="501">
        <v>0</v>
      </c>
      <c r="K6183" s="501">
        <v>0</v>
      </c>
      <c r="L6183" s="501">
        <v>6</v>
      </c>
      <c r="M6183" s="501">
        <v>0</v>
      </c>
      <c r="N6183" s="501">
        <v>0</v>
      </c>
      <c r="O6183" s="506">
        <v>0</v>
      </c>
    </row>
    <row r="6184" spans="1:15" x14ac:dyDescent="0.35">
      <c r="A6184" s="503" t="s">
        <v>1286</v>
      </c>
      <c r="B6184" s="504" t="s">
        <v>3341</v>
      </c>
      <c r="C6184" s="504" t="s">
        <v>1094</v>
      </c>
      <c r="D6184" s="504" t="s">
        <v>3380</v>
      </c>
      <c r="E6184" s="504" t="s">
        <v>3381</v>
      </c>
      <c r="F6184" s="504" t="s">
        <v>798</v>
      </c>
      <c r="G6184" s="504" t="s">
        <v>799</v>
      </c>
      <c r="H6184" s="504" t="s">
        <v>8332</v>
      </c>
      <c r="I6184" s="504">
        <v>17</v>
      </c>
      <c r="J6184" s="504">
        <v>17</v>
      </c>
      <c r="K6184" s="504">
        <v>0</v>
      </c>
      <c r="L6184" s="504">
        <v>0</v>
      </c>
      <c r="M6184" s="504">
        <v>0</v>
      </c>
      <c r="N6184" s="504">
        <v>0</v>
      </c>
      <c r="O6184" s="505">
        <v>0</v>
      </c>
    </row>
    <row r="6185" spans="1:15" x14ac:dyDescent="0.35">
      <c r="A6185" s="500" t="s">
        <v>1164</v>
      </c>
      <c r="B6185" s="501">
        <v>4751</v>
      </c>
      <c r="C6185" s="501" t="s">
        <v>1089</v>
      </c>
      <c r="D6185" s="501" t="s">
        <v>3392</v>
      </c>
      <c r="E6185" s="501" t="s">
        <v>3381</v>
      </c>
      <c r="F6185" s="501" t="s">
        <v>798</v>
      </c>
      <c r="G6185" s="501" t="s">
        <v>799</v>
      </c>
      <c r="H6185" s="501" t="s">
        <v>8333</v>
      </c>
      <c r="I6185" s="501">
        <v>19</v>
      </c>
      <c r="J6185" s="501">
        <v>0</v>
      </c>
      <c r="K6185" s="501">
        <v>0</v>
      </c>
      <c r="L6185" s="501">
        <v>19</v>
      </c>
      <c r="M6185" s="501">
        <v>0</v>
      </c>
      <c r="N6185" s="501">
        <v>0</v>
      </c>
      <c r="O6185" s="506">
        <v>0</v>
      </c>
    </row>
    <row r="6186" spans="1:15" x14ac:dyDescent="0.35">
      <c r="A6186" s="503" t="s">
        <v>1100</v>
      </c>
      <c r="B6186" s="504">
        <v>4865</v>
      </c>
      <c r="C6186" s="504" t="s">
        <v>1094</v>
      </c>
      <c r="D6186" s="504" t="s">
        <v>3380</v>
      </c>
      <c r="E6186" s="504" t="s">
        <v>3381</v>
      </c>
      <c r="F6186" s="504" t="s">
        <v>798</v>
      </c>
      <c r="G6186" s="504" t="s">
        <v>799</v>
      </c>
      <c r="H6186" s="504" t="s">
        <v>8334</v>
      </c>
      <c r="I6186" s="504">
        <v>338</v>
      </c>
      <c r="J6186" s="504">
        <v>331</v>
      </c>
      <c r="K6186" s="504">
        <v>0</v>
      </c>
      <c r="L6186" s="504">
        <v>0</v>
      </c>
      <c r="M6186" s="504">
        <v>0</v>
      </c>
      <c r="N6186" s="504">
        <v>0</v>
      </c>
      <c r="O6186" s="505">
        <v>7</v>
      </c>
    </row>
    <row r="6187" spans="1:15" x14ac:dyDescent="0.35">
      <c r="A6187" s="500" t="s">
        <v>1168</v>
      </c>
      <c r="B6187" s="501" t="s">
        <v>3360</v>
      </c>
      <c r="C6187" s="501" t="s">
        <v>1094</v>
      </c>
      <c r="D6187" s="501" t="s">
        <v>3380</v>
      </c>
      <c r="E6187" s="501" t="s">
        <v>3381</v>
      </c>
      <c r="F6187" s="501" t="s">
        <v>798</v>
      </c>
      <c r="G6187" s="501" t="s">
        <v>799</v>
      </c>
      <c r="H6187" s="501" t="s">
        <v>8335</v>
      </c>
      <c r="I6187" s="501">
        <v>10462</v>
      </c>
      <c r="J6187" s="501">
        <v>8669</v>
      </c>
      <c r="K6187" s="501">
        <v>10</v>
      </c>
      <c r="L6187" s="501">
        <v>73</v>
      </c>
      <c r="M6187" s="501">
        <v>1209</v>
      </c>
      <c r="N6187" s="501">
        <v>0</v>
      </c>
      <c r="O6187" s="506">
        <v>501</v>
      </c>
    </row>
    <row r="6188" spans="1:15" x14ac:dyDescent="0.35">
      <c r="A6188" s="503" t="s">
        <v>1177</v>
      </c>
      <c r="B6188" s="504">
        <v>4702</v>
      </c>
      <c r="C6188" s="504" t="s">
        <v>1089</v>
      </c>
      <c r="D6188" s="504" t="s">
        <v>3392</v>
      </c>
      <c r="E6188" s="504" t="s">
        <v>3381</v>
      </c>
      <c r="F6188" s="504" t="s">
        <v>798</v>
      </c>
      <c r="G6188" s="504" t="s">
        <v>799</v>
      </c>
      <c r="H6188" s="504" t="s">
        <v>8336</v>
      </c>
      <c r="I6188" s="504">
        <v>40</v>
      </c>
      <c r="J6188" s="504">
        <v>0</v>
      </c>
      <c r="K6188" s="504">
        <v>0</v>
      </c>
      <c r="L6188" s="504">
        <v>40</v>
      </c>
      <c r="M6188" s="504">
        <v>0</v>
      </c>
      <c r="N6188" s="504">
        <v>0</v>
      </c>
      <c r="O6188" s="505">
        <v>0</v>
      </c>
    </row>
    <row r="6189" spans="1:15" x14ac:dyDescent="0.35">
      <c r="A6189" s="500" t="s">
        <v>1179</v>
      </c>
      <c r="B6189" s="501">
        <v>4829</v>
      </c>
      <c r="C6189" s="501" t="s">
        <v>1089</v>
      </c>
      <c r="D6189" s="501" t="s">
        <v>3392</v>
      </c>
      <c r="E6189" s="501" t="s">
        <v>3381</v>
      </c>
      <c r="F6189" s="501" t="s">
        <v>798</v>
      </c>
      <c r="G6189" s="501" t="s">
        <v>799</v>
      </c>
      <c r="H6189" s="501" t="s">
        <v>8337</v>
      </c>
      <c r="I6189" s="501">
        <v>3</v>
      </c>
      <c r="J6189" s="501">
        <v>0</v>
      </c>
      <c r="K6189" s="501">
        <v>0</v>
      </c>
      <c r="L6189" s="501">
        <v>3</v>
      </c>
      <c r="M6189" s="501">
        <v>0</v>
      </c>
      <c r="N6189" s="501">
        <v>0</v>
      </c>
      <c r="O6189" s="506">
        <v>0</v>
      </c>
    </row>
    <row r="6190" spans="1:15" x14ac:dyDescent="0.35">
      <c r="A6190" s="503" t="s">
        <v>1180</v>
      </c>
      <c r="B6190" s="504" t="s">
        <v>3184</v>
      </c>
      <c r="C6190" s="504" t="s">
        <v>1094</v>
      </c>
      <c r="D6190" s="504" t="s">
        <v>3380</v>
      </c>
      <c r="E6190" s="504" t="s">
        <v>3381</v>
      </c>
      <c r="F6190" s="504" t="s">
        <v>798</v>
      </c>
      <c r="G6190" s="504" t="s">
        <v>799</v>
      </c>
      <c r="H6190" s="504" t="s">
        <v>8338</v>
      </c>
      <c r="I6190" s="504">
        <v>26</v>
      </c>
      <c r="J6190" s="504">
        <v>10</v>
      </c>
      <c r="K6190" s="504">
        <v>16</v>
      </c>
      <c r="L6190" s="504">
        <v>0</v>
      </c>
      <c r="M6190" s="504">
        <v>0</v>
      </c>
      <c r="N6190" s="504">
        <v>0</v>
      </c>
      <c r="O6190" s="505">
        <v>0</v>
      </c>
    </row>
    <row r="6191" spans="1:15" x14ac:dyDescent="0.35">
      <c r="A6191" s="500" t="s">
        <v>14208</v>
      </c>
      <c r="B6191" s="501">
        <v>4803</v>
      </c>
      <c r="C6191" s="501" t="s">
        <v>1094</v>
      </c>
      <c r="D6191" s="501" t="s">
        <v>3380</v>
      </c>
      <c r="E6191" s="501" t="s">
        <v>3381</v>
      </c>
      <c r="F6191" s="501" t="s">
        <v>798</v>
      </c>
      <c r="G6191" s="501" t="s">
        <v>799</v>
      </c>
      <c r="H6191" s="501" t="s">
        <v>14966</v>
      </c>
      <c r="I6191" s="501">
        <v>17</v>
      </c>
      <c r="J6191" s="501">
        <v>0</v>
      </c>
      <c r="K6191" s="501">
        <v>0</v>
      </c>
      <c r="L6191" s="501">
        <v>17</v>
      </c>
      <c r="M6191" s="501">
        <v>0</v>
      </c>
      <c r="N6191" s="501">
        <v>0</v>
      </c>
      <c r="O6191" s="506">
        <v>0</v>
      </c>
    </row>
    <row r="6192" spans="1:15" x14ac:dyDescent="0.35">
      <c r="A6192" s="503" t="s">
        <v>1182</v>
      </c>
      <c r="B6192" s="504">
        <v>5060</v>
      </c>
      <c r="C6192" s="504" t="s">
        <v>1094</v>
      </c>
      <c r="D6192" s="504" t="s">
        <v>3380</v>
      </c>
      <c r="E6192" s="504" t="s">
        <v>3381</v>
      </c>
      <c r="F6192" s="504" t="s">
        <v>798</v>
      </c>
      <c r="G6192" s="504" t="s">
        <v>799</v>
      </c>
      <c r="H6192" s="504" t="s">
        <v>8339</v>
      </c>
      <c r="I6192" s="504">
        <v>1</v>
      </c>
      <c r="J6192" s="504">
        <v>0</v>
      </c>
      <c r="K6192" s="504">
        <v>0</v>
      </c>
      <c r="L6192" s="504">
        <v>1</v>
      </c>
      <c r="M6192" s="504">
        <v>0</v>
      </c>
      <c r="N6192" s="504">
        <v>0</v>
      </c>
      <c r="O6192" s="505">
        <v>0</v>
      </c>
    </row>
    <row r="6193" spans="1:15" x14ac:dyDescent="0.35">
      <c r="A6193" s="500" t="s">
        <v>1185</v>
      </c>
      <c r="B6193" s="501" t="s">
        <v>3253</v>
      </c>
      <c r="C6193" s="501" t="s">
        <v>1094</v>
      </c>
      <c r="D6193" s="501" t="s">
        <v>3380</v>
      </c>
      <c r="E6193" s="501" t="s">
        <v>3381</v>
      </c>
      <c r="F6193" s="501" t="s">
        <v>798</v>
      </c>
      <c r="G6193" s="501" t="s">
        <v>799</v>
      </c>
      <c r="H6193" s="501" t="s">
        <v>8340</v>
      </c>
      <c r="I6193" s="501">
        <v>7</v>
      </c>
      <c r="J6193" s="501">
        <v>0</v>
      </c>
      <c r="K6193" s="501">
        <v>0</v>
      </c>
      <c r="L6193" s="501">
        <v>7</v>
      </c>
      <c r="M6193" s="501">
        <v>0</v>
      </c>
      <c r="N6193" s="501">
        <v>0</v>
      </c>
      <c r="O6193" s="506">
        <v>0</v>
      </c>
    </row>
    <row r="6194" spans="1:15" x14ac:dyDescent="0.35">
      <c r="A6194" s="503" t="s">
        <v>1105</v>
      </c>
      <c r="B6194" s="504">
        <v>4668</v>
      </c>
      <c r="C6194" s="504" t="s">
        <v>1094</v>
      </c>
      <c r="D6194" s="504" t="s">
        <v>3380</v>
      </c>
      <c r="E6194" s="504" t="s">
        <v>3381</v>
      </c>
      <c r="F6194" s="504" t="s">
        <v>798</v>
      </c>
      <c r="G6194" s="504" t="s">
        <v>799</v>
      </c>
      <c r="H6194" s="504" t="s">
        <v>8341</v>
      </c>
      <c r="I6194" s="504">
        <v>66</v>
      </c>
      <c r="J6194" s="504">
        <v>0</v>
      </c>
      <c r="K6194" s="504">
        <v>0</v>
      </c>
      <c r="L6194" s="504">
        <v>0</v>
      </c>
      <c r="M6194" s="504">
        <v>0</v>
      </c>
      <c r="N6194" s="504">
        <v>0</v>
      </c>
      <c r="O6194" s="505">
        <v>66</v>
      </c>
    </row>
    <row r="6195" spans="1:15" x14ac:dyDescent="0.35">
      <c r="A6195" s="500" t="s">
        <v>1107</v>
      </c>
      <c r="B6195" s="501" t="s">
        <v>3109</v>
      </c>
      <c r="C6195" s="501" t="s">
        <v>1094</v>
      </c>
      <c r="D6195" s="501" t="s">
        <v>3380</v>
      </c>
      <c r="E6195" s="501" t="s">
        <v>3381</v>
      </c>
      <c r="F6195" s="501" t="s">
        <v>798</v>
      </c>
      <c r="G6195" s="501" t="s">
        <v>799</v>
      </c>
      <c r="H6195" s="501" t="s">
        <v>8342</v>
      </c>
      <c r="I6195" s="501">
        <v>517</v>
      </c>
      <c r="J6195" s="501">
        <v>457</v>
      </c>
      <c r="K6195" s="501">
        <v>0</v>
      </c>
      <c r="L6195" s="501">
        <v>31</v>
      </c>
      <c r="M6195" s="501">
        <v>0</v>
      </c>
      <c r="N6195" s="501">
        <v>0</v>
      </c>
      <c r="O6195" s="506">
        <v>29</v>
      </c>
    </row>
    <row r="6196" spans="1:15" x14ac:dyDescent="0.35">
      <c r="A6196" s="503" t="s">
        <v>1109</v>
      </c>
      <c r="B6196" s="504" t="s">
        <v>2959</v>
      </c>
      <c r="C6196" s="504" t="s">
        <v>1094</v>
      </c>
      <c r="D6196" s="504" t="s">
        <v>3380</v>
      </c>
      <c r="E6196" s="504" t="s">
        <v>3381</v>
      </c>
      <c r="F6196" s="504" t="s">
        <v>798</v>
      </c>
      <c r="G6196" s="504" t="s">
        <v>799</v>
      </c>
      <c r="H6196" s="504" t="s">
        <v>8343</v>
      </c>
      <c r="I6196" s="504">
        <v>130</v>
      </c>
      <c r="J6196" s="504">
        <v>0</v>
      </c>
      <c r="K6196" s="504">
        <v>0</v>
      </c>
      <c r="L6196" s="504">
        <v>0</v>
      </c>
      <c r="M6196" s="504">
        <v>130</v>
      </c>
      <c r="N6196" s="504">
        <v>0</v>
      </c>
      <c r="O6196" s="505">
        <v>0</v>
      </c>
    </row>
    <row r="6197" spans="1:15" x14ac:dyDescent="0.35">
      <c r="A6197" s="500" t="s">
        <v>1306</v>
      </c>
      <c r="B6197" s="501" t="s">
        <v>3005</v>
      </c>
      <c r="C6197" s="501" t="s">
        <v>1094</v>
      </c>
      <c r="D6197" s="501" t="s">
        <v>3380</v>
      </c>
      <c r="E6197" s="501" t="s">
        <v>3381</v>
      </c>
      <c r="F6197" s="501" t="s">
        <v>798</v>
      </c>
      <c r="G6197" s="501" t="s">
        <v>799</v>
      </c>
      <c r="H6197" s="501" t="s">
        <v>8344</v>
      </c>
      <c r="I6197" s="501">
        <v>1</v>
      </c>
      <c r="J6197" s="501">
        <v>1</v>
      </c>
      <c r="K6197" s="501">
        <v>0</v>
      </c>
      <c r="L6197" s="501">
        <v>0</v>
      </c>
      <c r="M6197" s="501">
        <v>0</v>
      </c>
      <c r="N6197" s="501">
        <v>0</v>
      </c>
      <c r="O6197" s="506">
        <v>0</v>
      </c>
    </row>
    <row r="6198" spans="1:15" x14ac:dyDescent="0.35">
      <c r="A6198" s="503" t="s">
        <v>1189</v>
      </c>
      <c r="B6198" s="504" t="s">
        <v>3236</v>
      </c>
      <c r="C6198" s="504" t="s">
        <v>1094</v>
      </c>
      <c r="D6198" s="504" t="s">
        <v>3380</v>
      </c>
      <c r="E6198" s="504" t="s">
        <v>3381</v>
      </c>
      <c r="F6198" s="504" t="s">
        <v>798</v>
      </c>
      <c r="G6198" s="504" t="s">
        <v>799</v>
      </c>
      <c r="H6198" s="504" t="s">
        <v>8345</v>
      </c>
      <c r="I6198" s="504">
        <v>977</v>
      </c>
      <c r="J6198" s="504">
        <v>673</v>
      </c>
      <c r="K6198" s="504">
        <v>3</v>
      </c>
      <c r="L6198" s="504">
        <v>23</v>
      </c>
      <c r="M6198" s="504">
        <v>266</v>
      </c>
      <c r="N6198" s="504">
        <v>4</v>
      </c>
      <c r="O6198" s="505">
        <v>12</v>
      </c>
    </row>
    <row r="6199" spans="1:15" x14ac:dyDescent="0.35">
      <c r="A6199" s="500" t="s">
        <v>1190</v>
      </c>
      <c r="B6199" s="501">
        <v>4662</v>
      </c>
      <c r="C6199" s="501" t="s">
        <v>1094</v>
      </c>
      <c r="D6199" s="501" t="s">
        <v>3380</v>
      </c>
      <c r="E6199" s="501" t="s">
        <v>3381</v>
      </c>
      <c r="F6199" s="501" t="s">
        <v>798</v>
      </c>
      <c r="G6199" s="501" t="s">
        <v>799</v>
      </c>
      <c r="H6199" s="501" t="s">
        <v>8346</v>
      </c>
      <c r="I6199" s="501">
        <v>22</v>
      </c>
      <c r="J6199" s="501">
        <v>0</v>
      </c>
      <c r="K6199" s="501">
        <v>0</v>
      </c>
      <c r="L6199" s="501">
        <v>22</v>
      </c>
      <c r="M6199" s="501">
        <v>0</v>
      </c>
      <c r="N6199" s="501">
        <v>0</v>
      </c>
      <c r="O6199" s="506">
        <v>0</v>
      </c>
    </row>
    <row r="6200" spans="1:15" x14ac:dyDescent="0.35">
      <c r="A6200" s="503" t="s">
        <v>1202</v>
      </c>
      <c r="B6200" s="504" t="s">
        <v>3217</v>
      </c>
      <c r="C6200" s="504" t="s">
        <v>1094</v>
      </c>
      <c r="D6200" s="504" t="s">
        <v>3380</v>
      </c>
      <c r="E6200" s="504" t="s">
        <v>3381</v>
      </c>
      <c r="F6200" s="504" t="s">
        <v>798</v>
      </c>
      <c r="G6200" s="504" t="s">
        <v>799</v>
      </c>
      <c r="H6200" s="504" t="s">
        <v>11842</v>
      </c>
      <c r="I6200" s="504">
        <v>2</v>
      </c>
      <c r="J6200" s="504">
        <v>0</v>
      </c>
      <c r="K6200" s="504">
        <v>0</v>
      </c>
      <c r="L6200" s="504">
        <v>0</v>
      </c>
      <c r="M6200" s="504">
        <v>0</v>
      </c>
      <c r="N6200" s="504">
        <v>0</v>
      </c>
      <c r="O6200" s="505">
        <v>2</v>
      </c>
    </row>
    <row r="6201" spans="1:15" x14ac:dyDescent="0.35">
      <c r="A6201" s="500" t="s">
        <v>1203</v>
      </c>
      <c r="B6201" s="501" t="s">
        <v>3170</v>
      </c>
      <c r="C6201" s="501" t="s">
        <v>1094</v>
      </c>
      <c r="D6201" s="501" t="s">
        <v>3380</v>
      </c>
      <c r="E6201" s="501" t="s">
        <v>3381</v>
      </c>
      <c r="F6201" s="501" t="s">
        <v>798</v>
      </c>
      <c r="G6201" s="501" t="s">
        <v>799</v>
      </c>
      <c r="H6201" s="501" t="s">
        <v>8347</v>
      </c>
      <c r="I6201" s="501">
        <v>1832</v>
      </c>
      <c r="J6201" s="501">
        <v>1169</v>
      </c>
      <c r="K6201" s="501">
        <v>0</v>
      </c>
      <c r="L6201" s="501">
        <v>148</v>
      </c>
      <c r="M6201" s="501">
        <v>339</v>
      </c>
      <c r="N6201" s="501">
        <v>2</v>
      </c>
      <c r="O6201" s="506">
        <v>176</v>
      </c>
    </row>
    <row r="6202" spans="1:15" x14ac:dyDescent="0.35">
      <c r="A6202" s="503" t="s">
        <v>1208</v>
      </c>
      <c r="B6202" s="504" t="s">
        <v>3096</v>
      </c>
      <c r="C6202" s="504" t="s">
        <v>1094</v>
      </c>
      <c r="D6202" s="504" t="s">
        <v>3380</v>
      </c>
      <c r="E6202" s="504" t="s">
        <v>3381</v>
      </c>
      <c r="F6202" s="504" t="s">
        <v>798</v>
      </c>
      <c r="G6202" s="504" t="s">
        <v>799</v>
      </c>
      <c r="H6202" s="504" t="s">
        <v>8348</v>
      </c>
      <c r="I6202" s="504">
        <v>23</v>
      </c>
      <c r="J6202" s="504">
        <v>18</v>
      </c>
      <c r="K6202" s="504">
        <v>0</v>
      </c>
      <c r="L6202" s="504">
        <v>0</v>
      </c>
      <c r="M6202" s="504">
        <v>0</v>
      </c>
      <c r="N6202" s="504">
        <v>0</v>
      </c>
      <c r="O6202" s="505">
        <v>5</v>
      </c>
    </row>
    <row r="6203" spans="1:15" x14ac:dyDescent="0.35">
      <c r="A6203" s="500" t="s">
        <v>14400</v>
      </c>
      <c r="B6203" s="501">
        <v>4727</v>
      </c>
      <c r="C6203" s="501" t="s">
        <v>1089</v>
      </c>
      <c r="D6203" s="501" t="s">
        <v>3392</v>
      </c>
      <c r="E6203" s="501" t="s">
        <v>3381</v>
      </c>
      <c r="F6203" s="501" t="s">
        <v>798</v>
      </c>
      <c r="G6203" s="501" t="s">
        <v>799</v>
      </c>
      <c r="H6203" s="501" t="s">
        <v>14967</v>
      </c>
      <c r="I6203" s="501">
        <v>4</v>
      </c>
      <c r="J6203" s="501">
        <v>0</v>
      </c>
      <c r="K6203" s="501">
        <v>0</v>
      </c>
      <c r="L6203" s="501">
        <v>4</v>
      </c>
      <c r="M6203" s="501">
        <v>0</v>
      </c>
      <c r="N6203" s="501">
        <v>0</v>
      </c>
      <c r="O6203" s="506">
        <v>0</v>
      </c>
    </row>
    <row r="6204" spans="1:15" x14ac:dyDescent="0.35">
      <c r="A6204" s="503" t="s">
        <v>1122</v>
      </c>
      <c r="B6204" s="504" t="s">
        <v>2994</v>
      </c>
      <c r="C6204" s="504" t="s">
        <v>1094</v>
      </c>
      <c r="D6204" s="504" t="s">
        <v>3380</v>
      </c>
      <c r="E6204" s="504" t="s">
        <v>3381</v>
      </c>
      <c r="F6204" s="504" t="s">
        <v>798</v>
      </c>
      <c r="G6204" s="504" t="s">
        <v>799</v>
      </c>
      <c r="H6204" s="504" t="s">
        <v>8349</v>
      </c>
      <c r="I6204" s="504">
        <v>70</v>
      </c>
      <c r="J6204" s="504">
        <v>70</v>
      </c>
      <c r="K6204" s="504">
        <v>0</v>
      </c>
      <c r="L6204" s="504">
        <v>0</v>
      </c>
      <c r="M6204" s="504">
        <v>0</v>
      </c>
      <c r="N6204" s="504">
        <v>0</v>
      </c>
      <c r="O6204" s="505">
        <v>0</v>
      </c>
    </row>
    <row r="6205" spans="1:15" x14ac:dyDescent="0.35">
      <c r="A6205" s="500" t="s">
        <v>1225</v>
      </c>
      <c r="B6205" s="501" t="s">
        <v>3315</v>
      </c>
      <c r="C6205" s="501" t="s">
        <v>1094</v>
      </c>
      <c r="D6205" s="501" t="s">
        <v>3380</v>
      </c>
      <c r="E6205" s="501" t="s">
        <v>3381</v>
      </c>
      <c r="F6205" s="501" t="s">
        <v>798</v>
      </c>
      <c r="G6205" s="501" t="s">
        <v>799</v>
      </c>
      <c r="H6205" s="501" t="s">
        <v>8350</v>
      </c>
      <c r="I6205" s="501">
        <v>18</v>
      </c>
      <c r="J6205" s="501">
        <v>0</v>
      </c>
      <c r="K6205" s="501">
        <v>0</v>
      </c>
      <c r="L6205" s="501">
        <v>18</v>
      </c>
      <c r="M6205" s="501">
        <v>0</v>
      </c>
      <c r="N6205" s="501">
        <v>0</v>
      </c>
      <c r="O6205" s="506">
        <v>0</v>
      </c>
    </row>
    <row r="6206" spans="1:15" x14ac:dyDescent="0.35">
      <c r="A6206" s="503" t="s">
        <v>1339</v>
      </c>
      <c r="B6206" s="504" t="s">
        <v>3358</v>
      </c>
      <c r="C6206" s="504" t="s">
        <v>1094</v>
      </c>
      <c r="D6206" s="504" t="s">
        <v>3380</v>
      </c>
      <c r="E6206" s="504" t="s">
        <v>3381</v>
      </c>
      <c r="F6206" s="504" t="s">
        <v>798</v>
      </c>
      <c r="G6206" s="504" t="s">
        <v>799</v>
      </c>
      <c r="H6206" s="504" t="s">
        <v>8351</v>
      </c>
      <c r="I6206" s="504">
        <v>1</v>
      </c>
      <c r="J6206" s="504">
        <v>0</v>
      </c>
      <c r="K6206" s="504">
        <v>0</v>
      </c>
      <c r="L6206" s="504">
        <v>0</v>
      </c>
      <c r="M6206" s="504">
        <v>0</v>
      </c>
      <c r="N6206" s="504">
        <v>0</v>
      </c>
      <c r="O6206" s="505">
        <v>1</v>
      </c>
    </row>
    <row r="6207" spans="1:15" x14ac:dyDescent="0.35">
      <c r="A6207" s="500" t="s">
        <v>1233</v>
      </c>
      <c r="B6207" s="501">
        <v>4636</v>
      </c>
      <c r="C6207" s="501" t="s">
        <v>1094</v>
      </c>
      <c r="D6207" s="501" t="s">
        <v>3380</v>
      </c>
      <c r="E6207" s="501" t="s">
        <v>3381</v>
      </c>
      <c r="F6207" s="501" t="s">
        <v>798</v>
      </c>
      <c r="G6207" s="501" t="s">
        <v>799</v>
      </c>
      <c r="H6207" s="501" t="s">
        <v>12022</v>
      </c>
      <c r="I6207" s="501">
        <v>20</v>
      </c>
      <c r="J6207" s="501">
        <v>11</v>
      </c>
      <c r="K6207" s="501">
        <v>0</v>
      </c>
      <c r="L6207" s="501">
        <v>0</v>
      </c>
      <c r="M6207" s="501">
        <v>0</v>
      </c>
      <c r="N6207" s="501">
        <v>0</v>
      </c>
      <c r="O6207" s="506">
        <v>9</v>
      </c>
    </row>
    <row r="6208" spans="1:15" x14ac:dyDescent="0.35">
      <c r="A6208" s="503" t="s">
        <v>11368</v>
      </c>
      <c r="B6208" s="504">
        <v>5083</v>
      </c>
      <c r="C6208" s="504" t="s">
        <v>1094</v>
      </c>
      <c r="D6208" s="504" t="s">
        <v>3380</v>
      </c>
      <c r="E6208" s="504" t="s">
        <v>3381</v>
      </c>
      <c r="F6208" s="504" t="s">
        <v>798</v>
      </c>
      <c r="G6208" s="504" t="s">
        <v>799</v>
      </c>
      <c r="H6208" s="504" t="s">
        <v>14968</v>
      </c>
      <c r="I6208" s="504">
        <v>29</v>
      </c>
      <c r="J6208" s="504">
        <v>29</v>
      </c>
      <c r="K6208" s="504">
        <v>0</v>
      </c>
      <c r="L6208" s="504">
        <v>0</v>
      </c>
      <c r="M6208" s="504">
        <v>0</v>
      </c>
      <c r="N6208" s="504">
        <v>0</v>
      </c>
      <c r="O6208" s="505">
        <v>0</v>
      </c>
    </row>
    <row r="6209" spans="1:15" x14ac:dyDescent="0.35">
      <c r="A6209" s="500" t="s">
        <v>1558</v>
      </c>
      <c r="B6209" s="501">
        <v>4843</v>
      </c>
      <c r="C6209" s="501" t="s">
        <v>1089</v>
      </c>
      <c r="D6209" s="501" t="s">
        <v>3392</v>
      </c>
      <c r="E6209" s="501" t="s">
        <v>3381</v>
      </c>
      <c r="F6209" s="501" t="s">
        <v>798</v>
      </c>
      <c r="G6209" s="501" t="s">
        <v>799</v>
      </c>
      <c r="H6209" s="501" t="s">
        <v>14969</v>
      </c>
      <c r="I6209" s="501">
        <v>1</v>
      </c>
      <c r="J6209" s="501">
        <v>1</v>
      </c>
      <c r="K6209" s="501">
        <v>0</v>
      </c>
      <c r="L6209" s="501">
        <v>0</v>
      </c>
      <c r="M6209" s="501">
        <v>0</v>
      </c>
      <c r="N6209" s="501">
        <v>0</v>
      </c>
      <c r="O6209" s="506">
        <v>0</v>
      </c>
    </row>
    <row r="6210" spans="1:15" x14ac:dyDescent="0.35">
      <c r="A6210" s="503" t="s">
        <v>1249</v>
      </c>
      <c r="B6210" s="504">
        <v>4729</v>
      </c>
      <c r="C6210" s="504" t="s">
        <v>1094</v>
      </c>
      <c r="D6210" s="504" t="s">
        <v>3380</v>
      </c>
      <c r="E6210" s="504" t="s">
        <v>3381</v>
      </c>
      <c r="F6210" s="504" t="s">
        <v>798</v>
      </c>
      <c r="G6210" s="504" t="s">
        <v>799</v>
      </c>
      <c r="H6210" s="504" t="s">
        <v>8352</v>
      </c>
      <c r="I6210" s="504">
        <v>3</v>
      </c>
      <c r="J6210" s="504">
        <v>3</v>
      </c>
      <c r="K6210" s="504">
        <v>0</v>
      </c>
      <c r="L6210" s="504">
        <v>0</v>
      </c>
      <c r="M6210" s="504">
        <v>0</v>
      </c>
      <c r="N6210" s="504">
        <v>0</v>
      </c>
      <c r="O6210" s="505">
        <v>0</v>
      </c>
    </row>
    <row r="6211" spans="1:15" x14ac:dyDescent="0.35">
      <c r="A6211" s="500" t="s">
        <v>1364</v>
      </c>
      <c r="B6211" s="501" t="s">
        <v>3277</v>
      </c>
      <c r="C6211" s="501" t="s">
        <v>1089</v>
      </c>
      <c r="D6211" s="501" t="s">
        <v>3392</v>
      </c>
      <c r="E6211" s="501" t="s">
        <v>3381</v>
      </c>
      <c r="F6211" s="501" t="s">
        <v>798</v>
      </c>
      <c r="G6211" s="501" t="s">
        <v>799</v>
      </c>
      <c r="H6211" s="501" t="s">
        <v>8353</v>
      </c>
      <c r="I6211" s="501">
        <v>31</v>
      </c>
      <c r="J6211" s="501">
        <v>0</v>
      </c>
      <c r="K6211" s="501">
        <v>0</v>
      </c>
      <c r="L6211" s="501">
        <v>31</v>
      </c>
      <c r="M6211" s="501">
        <v>0</v>
      </c>
      <c r="N6211" s="501">
        <v>0</v>
      </c>
      <c r="O6211" s="506">
        <v>0</v>
      </c>
    </row>
    <row r="6212" spans="1:15" x14ac:dyDescent="0.35">
      <c r="A6212" s="503" t="s">
        <v>1262</v>
      </c>
      <c r="B6212" s="504">
        <v>4772</v>
      </c>
      <c r="C6212" s="504" t="s">
        <v>1089</v>
      </c>
      <c r="D6212" s="504" t="s">
        <v>3392</v>
      </c>
      <c r="E6212" s="504" t="s">
        <v>3381</v>
      </c>
      <c r="F6212" s="504" t="s">
        <v>798</v>
      </c>
      <c r="G6212" s="504" t="s">
        <v>799</v>
      </c>
      <c r="H6212" s="504" t="s">
        <v>8354</v>
      </c>
      <c r="I6212" s="504">
        <v>22</v>
      </c>
      <c r="J6212" s="504">
        <v>0</v>
      </c>
      <c r="K6212" s="504">
        <v>0</v>
      </c>
      <c r="L6212" s="504">
        <v>22</v>
      </c>
      <c r="M6212" s="504">
        <v>0</v>
      </c>
      <c r="N6212" s="504">
        <v>0</v>
      </c>
      <c r="O6212" s="505">
        <v>0</v>
      </c>
    </row>
    <row r="6213" spans="1:15" x14ac:dyDescent="0.35">
      <c r="A6213" s="500" t="s">
        <v>1264</v>
      </c>
      <c r="B6213" s="501">
        <v>4671</v>
      </c>
      <c r="C6213" s="501" t="s">
        <v>1089</v>
      </c>
      <c r="D6213" s="501" t="s">
        <v>3392</v>
      </c>
      <c r="E6213" s="501" t="s">
        <v>3381</v>
      </c>
      <c r="F6213" s="501" t="s">
        <v>798</v>
      </c>
      <c r="G6213" s="501" t="s">
        <v>799</v>
      </c>
      <c r="H6213" s="501" t="s">
        <v>14970</v>
      </c>
      <c r="I6213" s="501">
        <v>9</v>
      </c>
      <c r="J6213" s="501">
        <v>0</v>
      </c>
      <c r="K6213" s="501">
        <v>0</v>
      </c>
      <c r="L6213" s="501">
        <v>9</v>
      </c>
      <c r="M6213" s="501">
        <v>0</v>
      </c>
      <c r="N6213" s="501">
        <v>0</v>
      </c>
      <c r="O6213" s="506">
        <v>0</v>
      </c>
    </row>
    <row r="6214" spans="1:15" x14ac:dyDescent="0.35">
      <c r="A6214" s="503" t="s">
        <v>1384</v>
      </c>
      <c r="B6214" s="504" t="s">
        <v>2938</v>
      </c>
      <c r="C6214" s="504" t="s">
        <v>1089</v>
      </c>
      <c r="D6214" s="504" t="s">
        <v>3392</v>
      </c>
      <c r="E6214" s="504" t="s">
        <v>3381</v>
      </c>
      <c r="F6214" s="504" t="s">
        <v>798</v>
      </c>
      <c r="G6214" s="504" t="s">
        <v>799</v>
      </c>
      <c r="H6214" s="504" t="s">
        <v>8355</v>
      </c>
      <c r="I6214" s="504">
        <v>78</v>
      </c>
      <c r="J6214" s="504">
        <v>0</v>
      </c>
      <c r="K6214" s="504">
        <v>0</v>
      </c>
      <c r="L6214" s="504">
        <v>78</v>
      </c>
      <c r="M6214" s="504">
        <v>0</v>
      </c>
      <c r="N6214" s="504">
        <v>0</v>
      </c>
      <c r="O6214" s="505">
        <v>0</v>
      </c>
    </row>
    <row r="6215" spans="1:15" x14ac:dyDescent="0.35">
      <c r="A6215" s="500" t="s">
        <v>1156</v>
      </c>
      <c r="B6215" s="501" t="s">
        <v>3310</v>
      </c>
      <c r="C6215" s="501" t="s">
        <v>1094</v>
      </c>
      <c r="D6215" s="501" t="s">
        <v>3380</v>
      </c>
      <c r="E6215" s="501" t="s">
        <v>3381</v>
      </c>
      <c r="F6215" s="501" t="s">
        <v>798</v>
      </c>
      <c r="G6215" s="501" t="s">
        <v>799</v>
      </c>
      <c r="H6215" s="501" t="s">
        <v>8331</v>
      </c>
      <c r="I6215" s="501">
        <v>529</v>
      </c>
      <c r="J6215" s="501">
        <v>340</v>
      </c>
      <c r="K6215" s="501">
        <v>0</v>
      </c>
      <c r="L6215" s="501">
        <v>0</v>
      </c>
      <c r="M6215" s="501">
        <v>0</v>
      </c>
      <c r="N6215" s="501">
        <v>0</v>
      </c>
      <c r="O6215" s="506">
        <v>189</v>
      </c>
    </row>
    <row r="6216" spans="1:15" x14ac:dyDescent="0.35">
      <c r="A6216" s="503" t="s">
        <v>1093</v>
      </c>
      <c r="B6216" s="504" t="s">
        <v>3248</v>
      </c>
      <c r="C6216" s="504" t="s">
        <v>1094</v>
      </c>
      <c r="D6216" s="504" t="s">
        <v>3380</v>
      </c>
      <c r="E6216" s="504" t="s">
        <v>3381</v>
      </c>
      <c r="F6216" s="504" t="s">
        <v>800</v>
      </c>
      <c r="G6216" s="504" t="s">
        <v>801</v>
      </c>
      <c r="H6216" s="504" t="s">
        <v>8356</v>
      </c>
      <c r="I6216" s="504">
        <v>14</v>
      </c>
      <c r="J6216" s="504">
        <v>0</v>
      </c>
      <c r="K6216" s="504">
        <v>0</v>
      </c>
      <c r="L6216" s="504">
        <v>0</v>
      </c>
      <c r="M6216" s="504">
        <v>0</v>
      </c>
      <c r="N6216" s="504">
        <v>0</v>
      </c>
      <c r="O6216" s="505">
        <v>14</v>
      </c>
    </row>
    <row r="6217" spans="1:15" x14ac:dyDescent="0.35">
      <c r="A6217" s="500" t="s">
        <v>1096</v>
      </c>
      <c r="B6217" s="501" t="s">
        <v>3326</v>
      </c>
      <c r="C6217" s="501" t="s">
        <v>1094</v>
      </c>
      <c r="D6217" s="501" t="s">
        <v>3380</v>
      </c>
      <c r="E6217" s="501" t="s">
        <v>3381</v>
      </c>
      <c r="F6217" s="501" t="s">
        <v>800</v>
      </c>
      <c r="G6217" s="501" t="s">
        <v>801</v>
      </c>
      <c r="H6217" s="501" t="s">
        <v>8357</v>
      </c>
      <c r="I6217" s="501">
        <v>123</v>
      </c>
      <c r="J6217" s="501">
        <v>0</v>
      </c>
      <c r="K6217" s="501">
        <v>0</v>
      </c>
      <c r="L6217" s="501">
        <v>0</v>
      </c>
      <c r="M6217" s="501">
        <v>123</v>
      </c>
      <c r="N6217" s="501">
        <v>0</v>
      </c>
      <c r="O6217" s="506">
        <v>0</v>
      </c>
    </row>
    <row r="6218" spans="1:15" x14ac:dyDescent="0.35">
      <c r="A6218" s="503" t="s">
        <v>1098</v>
      </c>
      <c r="B6218" s="504">
        <v>4691</v>
      </c>
      <c r="C6218" s="504" t="s">
        <v>1094</v>
      </c>
      <c r="D6218" s="504" t="s">
        <v>3380</v>
      </c>
      <c r="E6218" s="504" t="s">
        <v>3381</v>
      </c>
      <c r="F6218" s="504" t="s">
        <v>800</v>
      </c>
      <c r="G6218" s="504" t="s">
        <v>801</v>
      </c>
      <c r="H6218" s="504" t="s">
        <v>8358</v>
      </c>
      <c r="I6218" s="504">
        <v>415</v>
      </c>
      <c r="J6218" s="504">
        <v>236</v>
      </c>
      <c r="K6218" s="504">
        <v>0</v>
      </c>
      <c r="L6218" s="504">
        <v>123</v>
      </c>
      <c r="M6218" s="504">
        <v>0</v>
      </c>
      <c r="N6218" s="504">
        <v>0</v>
      </c>
      <c r="O6218" s="505">
        <v>56</v>
      </c>
    </row>
    <row r="6219" spans="1:15" x14ac:dyDescent="0.35">
      <c r="A6219" s="500" t="s">
        <v>1808</v>
      </c>
      <c r="B6219" s="501" t="s">
        <v>3242</v>
      </c>
      <c r="C6219" s="501" t="s">
        <v>1094</v>
      </c>
      <c r="D6219" s="501" t="s">
        <v>3380</v>
      </c>
      <c r="E6219" s="501" t="s">
        <v>3381</v>
      </c>
      <c r="F6219" s="501" t="s">
        <v>800</v>
      </c>
      <c r="G6219" s="501" t="s">
        <v>801</v>
      </c>
      <c r="H6219" s="501" t="s">
        <v>8359</v>
      </c>
      <c r="I6219" s="501">
        <v>193</v>
      </c>
      <c r="J6219" s="501">
        <v>24</v>
      </c>
      <c r="K6219" s="501">
        <v>0</v>
      </c>
      <c r="L6219" s="501">
        <v>169</v>
      </c>
      <c r="M6219" s="501">
        <v>0</v>
      </c>
      <c r="N6219" s="501">
        <v>0</v>
      </c>
      <c r="O6219" s="506">
        <v>0</v>
      </c>
    </row>
    <row r="6220" spans="1:15" x14ac:dyDescent="0.35">
      <c r="A6220" s="503" t="s">
        <v>1161</v>
      </c>
      <c r="B6220" s="504" t="s">
        <v>3001</v>
      </c>
      <c r="C6220" s="504" t="s">
        <v>1094</v>
      </c>
      <c r="D6220" s="504" t="s">
        <v>3380</v>
      </c>
      <c r="E6220" s="504" t="s">
        <v>3381</v>
      </c>
      <c r="F6220" s="504" t="s">
        <v>800</v>
      </c>
      <c r="G6220" s="504" t="s">
        <v>801</v>
      </c>
      <c r="H6220" s="504" t="s">
        <v>8360</v>
      </c>
      <c r="I6220" s="504">
        <v>1</v>
      </c>
      <c r="J6220" s="504">
        <v>0</v>
      </c>
      <c r="K6220" s="504">
        <v>0</v>
      </c>
      <c r="L6220" s="504">
        <v>0</v>
      </c>
      <c r="M6220" s="504">
        <v>0</v>
      </c>
      <c r="N6220" s="504">
        <v>0</v>
      </c>
      <c r="O6220" s="505">
        <v>1</v>
      </c>
    </row>
    <row r="6221" spans="1:15" x14ac:dyDescent="0.35">
      <c r="A6221" s="500" t="s">
        <v>1100</v>
      </c>
      <c r="B6221" s="501">
        <v>4865</v>
      </c>
      <c r="C6221" s="501" t="s">
        <v>1094</v>
      </c>
      <c r="D6221" s="501" t="s">
        <v>3380</v>
      </c>
      <c r="E6221" s="501" t="s">
        <v>3381</v>
      </c>
      <c r="F6221" s="501" t="s">
        <v>800</v>
      </c>
      <c r="G6221" s="501" t="s">
        <v>801</v>
      </c>
      <c r="H6221" s="501" t="s">
        <v>8361</v>
      </c>
      <c r="I6221" s="501">
        <v>1356</v>
      </c>
      <c r="J6221" s="501">
        <v>1290</v>
      </c>
      <c r="K6221" s="501">
        <v>0</v>
      </c>
      <c r="L6221" s="501">
        <v>0</v>
      </c>
      <c r="M6221" s="501">
        <v>56</v>
      </c>
      <c r="N6221" s="501">
        <v>0</v>
      </c>
      <c r="O6221" s="506">
        <v>10</v>
      </c>
    </row>
    <row r="6222" spans="1:15" x14ac:dyDescent="0.35">
      <c r="A6222" s="503" t="s">
        <v>1174</v>
      </c>
      <c r="B6222" s="504">
        <v>4784</v>
      </c>
      <c r="C6222" s="504" t="s">
        <v>1089</v>
      </c>
      <c r="D6222" s="504" t="s">
        <v>3392</v>
      </c>
      <c r="E6222" s="504" t="s">
        <v>3381</v>
      </c>
      <c r="F6222" s="504" t="s">
        <v>800</v>
      </c>
      <c r="G6222" s="504" t="s">
        <v>801</v>
      </c>
      <c r="H6222" s="504" t="s">
        <v>8362</v>
      </c>
      <c r="I6222" s="504">
        <v>4</v>
      </c>
      <c r="J6222" s="504">
        <v>0</v>
      </c>
      <c r="K6222" s="504">
        <v>0</v>
      </c>
      <c r="L6222" s="504">
        <v>4</v>
      </c>
      <c r="M6222" s="504">
        <v>0</v>
      </c>
      <c r="N6222" s="504">
        <v>0</v>
      </c>
      <c r="O6222" s="505">
        <v>0</v>
      </c>
    </row>
    <row r="6223" spans="1:15" x14ac:dyDescent="0.35">
      <c r="A6223" s="500" t="s">
        <v>14208</v>
      </c>
      <c r="B6223" s="501">
        <v>4803</v>
      </c>
      <c r="C6223" s="501" t="s">
        <v>1094</v>
      </c>
      <c r="D6223" s="501" t="s">
        <v>3380</v>
      </c>
      <c r="E6223" s="501" t="s">
        <v>3381</v>
      </c>
      <c r="F6223" s="501" t="s">
        <v>800</v>
      </c>
      <c r="G6223" s="501" t="s">
        <v>801</v>
      </c>
      <c r="H6223" s="501" t="s">
        <v>14971</v>
      </c>
      <c r="I6223" s="501">
        <v>11</v>
      </c>
      <c r="J6223" s="501">
        <v>0</v>
      </c>
      <c r="K6223" s="501">
        <v>0</v>
      </c>
      <c r="L6223" s="501">
        <v>11</v>
      </c>
      <c r="M6223" s="501">
        <v>0</v>
      </c>
      <c r="N6223" s="501">
        <v>0</v>
      </c>
      <c r="O6223" s="506">
        <v>0</v>
      </c>
    </row>
    <row r="6224" spans="1:15" x14ac:dyDescent="0.35">
      <c r="A6224" s="503" t="s">
        <v>1187</v>
      </c>
      <c r="B6224" s="504" t="s">
        <v>2951</v>
      </c>
      <c r="C6224" s="504" t="s">
        <v>1094</v>
      </c>
      <c r="D6224" s="504" t="s">
        <v>3380</v>
      </c>
      <c r="E6224" s="504" t="s">
        <v>3381</v>
      </c>
      <c r="F6224" s="504" t="s">
        <v>800</v>
      </c>
      <c r="G6224" s="504" t="s">
        <v>801</v>
      </c>
      <c r="H6224" s="504" t="s">
        <v>8363</v>
      </c>
      <c r="I6224" s="504">
        <v>50</v>
      </c>
      <c r="J6224" s="504">
        <v>50</v>
      </c>
      <c r="K6224" s="504">
        <v>0</v>
      </c>
      <c r="L6224" s="504">
        <v>0</v>
      </c>
      <c r="M6224" s="504">
        <v>0</v>
      </c>
      <c r="N6224" s="504">
        <v>0</v>
      </c>
      <c r="O6224" s="505">
        <v>0</v>
      </c>
    </row>
    <row r="6225" spans="1:15" x14ac:dyDescent="0.35">
      <c r="A6225" s="500" t="s">
        <v>1105</v>
      </c>
      <c r="B6225" s="501">
        <v>4668</v>
      </c>
      <c r="C6225" s="501" t="s">
        <v>1094</v>
      </c>
      <c r="D6225" s="501" t="s">
        <v>3380</v>
      </c>
      <c r="E6225" s="501" t="s">
        <v>3381</v>
      </c>
      <c r="F6225" s="501" t="s">
        <v>800</v>
      </c>
      <c r="G6225" s="501" t="s">
        <v>801</v>
      </c>
      <c r="H6225" s="501" t="s">
        <v>8364</v>
      </c>
      <c r="I6225" s="501">
        <v>37</v>
      </c>
      <c r="J6225" s="501">
        <v>0</v>
      </c>
      <c r="K6225" s="501">
        <v>0</v>
      </c>
      <c r="L6225" s="501">
        <v>0</v>
      </c>
      <c r="M6225" s="501">
        <v>0</v>
      </c>
      <c r="N6225" s="501">
        <v>0</v>
      </c>
      <c r="O6225" s="506">
        <v>37</v>
      </c>
    </row>
    <row r="6226" spans="1:15" x14ac:dyDescent="0.35">
      <c r="A6226" s="503" t="s">
        <v>1107</v>
      </c>
      <c r="B6226" s="504" t="s">
        <v>3109</v>
      </c>
      <c r="C6226" s="504" t="s">
        <v>1094</v>
      </c>
      <c r="D6226" s="504" t="s">
        <v>3380</v>
      </c>
      <c r="E6226" s="504" t="s">
        <v>3381</v>
      </c>
      <c r="F6226" s="504" t="s">
        <v>800</v>
      </c>
      <c r="G6226" s="504" t="s">
        <v>801</v>
      </c>
      <c r="H6226" s="504" t="s">
        <v>8365</v>
      </c>
      <c r="I6226" s="504">
        <v>33</v>
      </c>
      <c r="J6226" s="504">
        <v>0</v>
      </c>
      <c r="K6226" s="504">
        <v>0</v>
      </c>
      <c r="L6226" s="504">
        <v>33</v>
      </c>
      <c r="M6226" s="504">
        <v>0</v>
      </c>
      <c r="N6226" s="504">
        <v>0</v>
      </c>
      <c r="O6226" s="505">
        <v>0</v>
      </c>
    </row>
    <row r="6227" spans="1:15" x14ac:dyDescent="0.35">
      <c r="A6227" s="500" t="s">
        <v>1109</v>
      </c>
      <c r="B6227" s="501" t="s">
        <v>2959</v>
      </c>
      <c r="C6227" s="501" t="s">
        <v>1094</v>
      </c>
      <c r="D6227" s="501" t="s">
        <v>3380</v>
      </c>
      <c r="E6227" s="501" t="s">
        <v>3381</v>
      </c>
      <c r="F6227" s="501" t="s">
        <v>800</v>
      </c>
      <c r="G6227" s="501" t="s">
        <v>801</v>
      </c>
      <c r="H6227" s="501" t="s">
        <v>8366</v>
      </c>
      <c r="I6227" s="501">
        <v>121</v>
      </c>
      <c r="J6227" s="501">
        <v>0</v>
      </c>
      <c r="K6227" s="501">
        <v>0</v>
      </c>
      <c r="L6227" s="501">
        <v>0</v>
      </c>
      <c r="M6227" s="501">
        <v>121</v>
      </c>
      <c r="N6227" s="501">
        <v>0</v>
      </c>
      <c r="O6227" s="506">
        <v>0</v>
      </c>
    </row>
    <row r="6228" spans="1:15" x14ac:dyDescent="0.35">
      <c r="A6228" s="503" t="s">
        <v>1197</v>
      </c>
      <c r="B6228" s="504">
        <v>4863</v>
      </c>
      <c r="C6228" s="504" t="s">
        <v>1089</v>
      </c>
      <c r="D6228" s="504" t="s">
        <v>3392</v>
      </c>
      <c r="E6228" s="504" t="s">
        <v>3381</v>
      </c>
      <c r="F6228" s="504" t="s">
        <v>800</v>
      </c>
      <c r="G6228" s="504" t="s">
        <v>801</v>
      </c>
      <c r="H6228" s="504" t="s">
        <v>8367</v>
      </c>
      <c r="I6228" s="504">
        <v>12</v>
      </c>
      <c r="J6228" s="504">
        <v>0</v>
      </c>
      <c r="K6228" s="504">
        <v>0</v>
      </c>
      <c r="L6228" s="504">
        <v>12</v>
      </c>
      <c r="M6228" s="504">
        <v>0</v>
      </c>
      <c r="N6228" s="504">
        <v>0</v>
      </c>
      <c r="O6228" s="505">
        <v>0</v>
      </c>
    </row>
    <row r="6229" spans="1:15" x14ac:dyDescent="0.35">
      <c r="A6229" s="500" t="s">
        <v>1111</v>
      </c>
      <c r="B6229" s="501">
        <v>4873</v>
      </c>
      <c r="C6229" s="501" t="s">
        <v>1094</v>
      </c>
      <c r="D6229" s="501" t="s">
        <v>3380</v>
      </c>
      <c r="E6229" s="501" t="s">
        <v>3381</v>
      </c>
      <c r="F6229" s="501" t="s">
        <v>800</v>
      </c>
      <c r="G6229" s="501" t="s">
        <v>801</v>
      </c>
      <c r="H6229" s="501" t="s">
        <v>8368</v>
      </c>
      <c r="I6229" s="501">
        <v>2888</v>
      </c>
      <c r="J6229" s="501">
        <v>1946</v>
      </c>
      <c r="K6229" s="501">
        <v>0</v>
      </c>
      <c r="L6229" s="501">
        <v>113</v>
      </c>
      <c r="M6229" s="501">
        <v>383</v>
      </c>
      <c r="N6229" s="501">
        <v>0</v>
      </c>
      <c r="O6229" s="506">
        <v>446</v>
      </c>
    </row>
    <row r="6230" spans="1:15" x14ac:dyDescent="0.35">
      <c r="A6230" s="503" t="s">
        <v>1114</v>
      </c>
      <c r="B6230" s="504" t="s">
        <v>2982</v>
      </c>
      <c r="C6230" s="504" t="s">
        <v>1094</v>
      </c>
      <c r="D6230" s="504" t="s">
        <v>3380</v>
      </c>
      <c r="E6230" s="504" t="s">
        <v>3381</v>
      </c>
      <c r="F6230" s="504" t="s">
        <v>800</v>
      </c>
      <c r="G6230" s="504" t="s">
        <v>801</v>
      </c>
      <c r="H6230" s="504" t="s">
        <v>8369</v>
      </c>
      <c r="I6230" s="504">
        <v>4</v>
      </c>
      <c r="J6230" s="504">
        <v>0</v>
      </c>
      <c r="K6230" s="504">
        <v>0</v>
      </c>
      <c r="L6230" s="504">
        <v>0</v>
      </c>
      <c r="M6230" s="504">
        <v>0</v>
      </c>
      <c r="N6230" s="504">
        <v>0</v>
      </c>
      <c r="O6230" s="505">
        <v>4</v>
      </c>
    </row>
    <row r="6231" spans="1:15" x14ac:dyDescent="0.35">
      <c r="A6231" s="500" t="s">
        <v>1996</v>
      </c>
      <c r="B6231" s="501" t="s">
        <v>2461</v>
      </c>
      <c r="C6231" s="501" t="s">
        <v>1089</v>
      </c>
      <c r="D6231" s="501" t="s">
        <v>3392</v>
      </c>
      <c r="E6231" s="501" t="s">
        <v>3381</v>
      </c>
      <c r="F6231" s="501" t="s">
        <v>800</v>
      </c>
      <c r="G6231" s="501" t="s">
        <v>801</v>
      </c>
      <c r="H6231" s="501" t="s">
        <v>8370</v>
      </c>
      <c r="I6231" s="501">
        <v>16</v>
      </c>
      <c r="J6231" s="501">
        <v>0</v>
      </c>
      <c r="K6231" s="501">
        <v>0</v>
      </c>
      <c r="L6231" s="501">
        <v>0</v>
      </c>
      <c r="M6231" s="501">
        <v>16</v>
      </c>
      <c r="N6231" s="501">
        <v>0</v>
      </c>
      <c r="O6231" s="506">
        <v>0</v>
      </c>
    </row>
    <row r="6232" spans="1:15" x14ac:dyDescent="0.35">
      <c r="A6232" s="503" t="s">
        <v>1122</v>
      </c>
      <c r="B6232" s="504" t="s">
        <v>2994</v>
      </c>
      <c r="C6232" s="504" t="s">
        <v>1094</v>
      </c>
      <c r="D6232" s="504" t="s">
        <v>3380</v>
      </c>
      <c r="E6232" s="504" t="s">
        <v>3381</v>
      </c>
      <c r="F6232" s="504" t="s">
        <v>800</v>
      </c>
      <c r="G6232" s="504" t="s">
        <v>801</v>
      </c>
      <c r="H6232" s="504" t="s">
        <v>8371</v>
      </c>
      <c r="I6232" s="504">
        <v>20</v>
      </c>
      <c r="J6232" s="504">
        <v>19</v>
      </c>
      <c r="K6232" s="504">
        <v>0</v>
      </c>
      <c r="L6232" s="504">
        <v>0</v>
      </c>
      <c r="M6232" s="504">
        <v>0</v>
      </c>
      <c r="N6232" s="504">
        <v>0</v>
      </c>
      <c r="O6232" s="505">
        <v>1</v>
      </c>
    </row>
    <row r="6233" spans="1:15" x14ac:dyDescent="0.35">
      <c r="A6233" s="500" t="s">
        <v>2003</v>
      </c>
      <c r="B6233" s="501" t="s">
        <v>2643</v>
      </c>
      <c r="C6233" s="501" t="s">
        <v>1089</v>
      </c>
      <c r="D6233" s="501" t="s">
        <v>3392</v>
      </c>
      <c r="E6233" s="501" t="s">
        <v>3381</v>
      </c>
      <c r="F6233" s="501" t="s">
        <v>800</v>
      </c>
      <c r="G6233" s="501" t="s">
        <v>801</v>
      </c>
      <c r="H6233" s="501" t="s">
        <v>8372</v>
      </c>
      <c r="I6233" s="501">
        <v>73</v>
      </c>
      <c r="J6233" s="501">
        <v>0</v>
      </c>
      <c r="K6233" s="501">
        <v>0</v>
      </c>
      <c r="L6233" s="501">
        <v>0</v>
      </c>
      <c r="M6233" s="501">
        <v>73</v>
      </c>
      <c r="N6233" s="501">
        <v>0</v>
      </c>
      <c r="O6233" s="506">
        <v>0</v>
      </c>
    </row>
    <row r="6234" spans="1:15" x14ac:dyDescent="0.35">
      <c r="A6234" s="503" t="s">
        <v>2004</v>
      </c>
      <c r="B6234" s="504" t="s">
        <v>3226</v>
      </c>
      <c r="C6234" s="504" t="s">
        <v>1094</v>
      </c>
      <c r="D6234" s="504" t="s">
        <v>3380</v>
      </c>
      <c r="E6234" s="504" t="s">
        <v>3381</v>
      </c>
      <c r="F6234" s="504" t="s">
        <v>800</v>
      </c>
      <c r="G6234" s="504" t="s">
        <v>801</v>
      </c>
      <c r="H6234" s="504" t="s">
        <v>8373</v>
      </c>
      <c r="I6234" s="504">
        <v>14240</v>
      </c>
      <c r="J6234" s="504">
        <v>12195</v>
      </c>
      <c r="K6234" s="504">
        <v>0</v>
      </c>
      <c r="L6234" s="504">
        <v>1778</v>
      </c>
      <c r="M6234" s="504">
        <v>0</v>
      </c>
      <c r="N6234" s="504">
        <v>0</v>
      </c>
      <c r="O6234" s="505">
        <v>267</v>
      </c>
    </row>
    <row r="6235" spans="1:15" x14ac:dyDescent="0.35">
      <c r="A6235" s="500" t="s">
        <v>1234</v>
      </c>
      <c r="B6235" s="501" t="s">
        <v>3291</v>
      </c>
      <c r="C6235" s="501" t="s">
        <v>1094</v>
      </c>
      <c r="D6235" s="501" t="s">
        <v>3380</v>
      </c>
      <c r="E6235" s="501" t="s">
        <v>3381</v>
      </c>
      <c r="F6235" s="501" t="s">
        <v>800</v>
      </c>
      <c r="G6235" s="501" t="s">
        <v>801</v>
      </c>
      <c r="H6235" s="501" t="s">
        <v>8374</v>
      </c>
      <c r="I6235" s="501">
        <v>31</v>
      </c>
      <c r="J6235" s="501">
        <v>31</v>
      </c>
      <c r="K6235" s="501">
        <v>0</v>
      </c>
      <c r="L6235" s="501">
        <v>0</v>
      </c>
      <c r="M6235" s="501">
        <v>0</v>
      </c>
      <c r="N6235" s="501">
        <v>0</v>
      </c>
      <c r="O6235" s="506">
        <v>0</v>
      </c>
    </row>
    <row r="6236" spans="1:15" x14ac:dyDescent="0.35">
      <c r="A6236" s="503" t="s">
        <v>1235</v>
      </c>
      <c r="B6236" s="504">
        <v>4684</v>
      </c>
      <c r="C6236" s="504" t="s">
        <v>1094</v>
      </c>
      <c r="D6236" s="504" t="s">
        <v>3380</v>
      </c>
      <c r="E6236" s="504" t="s">
        <v>3381</v>
      </c>
      <c r="F6236" s="504" t="s">
        <v>800</v>
      </c>
      <c r="G6236" s="504" t="s">
        <v>801</v>
      </c>
      <c r="H6236" s="504" t="s">
        <v>8375</v>
      </c>
      <c r="I6236" s="504">
        <v>28</v>
      </c>
      <c r="J6236" s="504">
        <v>27</v>
      </c>
      <c r="K6236" s="504">
        <v>0</v>
      </c>
      <c r="L6236" s="504">
        <v>1</v>
      </c>
      <c r="M6236" s="504">
        <v>0</v>
      </c>
      <c r="N6236" s="504">
        <v>0</v>
      </c>
      <c r="O6236" s="505">
        <v>0</v>
      </c>
    </row>
    <row r="6237" spans="1:15" x14ac:dyDescent="0.35">
      <c r="A6237" s="500" t="s">
        <v>1126</v>
      </c>
      <c r="B6237" s="501" t="s">
        <v>2974</v>
      </c>
      <c r="C6237" s="501" t="s">
        <v>1094</v>
      </c>
      <c r="D6237" s="501" t="s">
        <v>3380</v>
      </c>
      <c r="E6237" s="501" t="s">
        <v>3381</v>
      </c>
      <c r="F6237" s="501" t="s">
        <v>800</v>
      </c>
      <c r="G6237" s="501" t="s">
        <v>801</v>
      </c>
      <c r="H6237" s="501" t="s">
        <v>8376</v>
      </c>
      <c r="I6237" s="501">
        <v>633</v>
      </c>
      <c r="J6237" s="501">
        <v>538</v>
      </c>
      <c r="K6237" s="501">
        <v>0</v>
      </c>
      <c r="L6237" s="501">
        <v>14</v>
      </c>
      <c r="M6237" s="501">
        <v>58</v>
      </c>
      <c r="N6237" s="501">
        <v>90</v>
      </c>
      <c r="O6237" s="506">
        <v>23</v>
      </c>
    </row>
    <row r="6238" spans="1:15" x14ac:dyDescent="0.35">
      <c r="A6238" s="503" t="s">
        <v>1132</v>
      </c>
      <c r="B6238" s="504">
        <v>4837</v>
      </c>
      <c r="C6238" s="504" t="s">
        <v>1094</v>
      </c>
      <c r="D6238" s="504" t="s">
        <v>3380</v>
      </c>
      <c r="E6238" s="504" t="s">
        <v>3381</v>
      </c>
      <c r="F6238" s="504" t="s">
        <v>800</v>
      </c>
      <c r="G6238" s="504" t="s">
        <v>801</v>
      </c>
      <c r="H6238" s="504" t="s">
        <v>8377</v>
      </c>
      <c r="I6238" s="504">
        <v>1355</v>
      </c>
      <c r="J6238" s="504">
        <v>920</v>
      </c>
      <c r="K6238" s="504">
        <v>0</v>
      </c>
      <c r="L6238" s="504">
        <v>81</v>
      </c>
      <c r="M6238" s="504">
        <v>158</v>
      </c>
      <c r="N6238" s="504">
        <v>0</v>
      </c>
      <c r="O6238" s="505">
        <v>196</v>
      </c>
    </row>
    <row r="6239" spans="1:15" x14ac:dyDescent="0.35">
      <c r="A6239" s="500" t="s">
        <v>2021</v>
      </c>
      <c r="B6239" s="501" t="s">
        <v>3099</v>
      </c>
      <c r="C6239" s="501" t="s">
        <v>1089</v>
      </c>
      <c r="D6239" s="501" t="s">
        <v>3392</v>
      </c>
      <c r="E6239" s="501" t="s">
        <v>3381</v>
      </c>
      <c r="F6239" s="501" t="s">
        <v>800</v>
      </c>
      <c r="G6239" s="501" t="s">
        <v>801</v>
      </c>
      <c r="H6239" s="501" t="s">
        <v>8378</v>
      </c>
      <c r="I6239" s="501">
        <v>481</v>
      </c>
      <c r="J6239" s="501">
        <v>481</v>
      </c>
      <c r="K6239" s="501">
        <v>0</v>
      </c>
      <c r="L6239" s="501">
        <v>0</v>
      </c>
      <c r="M6239" s="501">
        <v>0</v>
      </c>
      <c r="N6239" s="501">
        <v>0</v>
      </c>
      <c r="O6239" s="506">
        <v>0</v>
      </c>
    </row>
    <row r="6240" spans="1:15" x14ac:dyDescent="0.35">
      <c r="A6240" s="503" t="s">
        <v>1245</v>
      </c>
      <c r="B6240" s="504" t="s">
        <v>2859</v>
      </c>
      <c r="C6240" s="504" t="s">
        <v>1094</v>
      </c>
      <c r="D6240" s="504" t="s">
        <v>3380</v>
      </c>
      <c r="E6240" s="504" t="s">
        <v>3381</v>
      </c>
      <c r="F6240" s="504" t="s">
        <v>800</v>
      </c>
      <c r="G6240" s="504" t="s">
        <v>801</v>
      </c>
      <c r="H6240" s="504" t="s">
        <v>8379</v>
      </c>
      <c r="I6240" s="504">
        <v>18</v>
      </c>
      <c r="J6240" s="504">
        <v>0</v>
      </c>
      <c r="K6240" s="504">
        <v>0</v>
      </c>
      <c r="L6240" s="504">
        <v>0</v>
      </c>
      <c r="M6240" s="504">
        <v>18</v>
      </c>
      <c r="N6240" s="504">
        <v>0</v>
      </c>
      <c r="O6240" s="505">
        <v>0</v>
      </c>
    </row>
    <row r="6241" spans="1:15" x14ac:dyDescent="0.35">
      <c r="A6241" s="500" t="s">
        <v>1249</v>
      </c>
      <c r="B6241" s="501">
        <v>4729</v>
      </c>
      <c r="C6241" s="501" t="s">
        <v>1094</v>
      </c>
      <c r="D6241" s="501" t="s">
        <v>3380</v>
      </c>
      <c r="E6241" s="501" t="s">
        <v>3381</v>
      </c>
      <c r="F6241" s="501" t="s">
        <v>800</v>
      </c>
      <c r="G6241" s="501" t="s">
        <v>801</v>
      </c>
      <c r="H6241" s="501" t="s">
        <v>8380</v>
      </c>
      <c r="I6241" s="501">
        <v>527</v>
      </c>
      <c r="J6241" s="501">
        <v>508</v>
      </c>
      <c r="K6241" s="501">
        <v>0</v>
      </c>
      <c r="L6241" s="501">
        <v>0</v>
      </c>
      <c r="M6241" s="501">
        <v>0</v>
      </c>
      <c r="N6241" s="501">
        <v>0</v>
      </c>
      <c r="O6241" s="506">
        <v>19</v>
      </c>
    </row>
    <row r="6242" spans="1:15" x14ac:dyDescent="0.35">
      <c r="A6242" s="503" t="s">
        <v>2050</v>
      </c>
      <c r="B6242" s="504">
        <v>4826</v>
      </c>
      <c r="C6242" s="504" t="s">
        <v>1094</v>
      </c>
      <c r="D6242" s="504" t="s">
        <v>3380</v>
      </c>
      <c r="E6242" s="504" t="s">
        <v>3381</v>
      </c>
      <c r="F6242" s="504" t="s">
        <v>800</v>
      </c>
      <c r="G6242" s="504" t="s">
        <v>801</v>
      </c>
      <c r="H6242" s="504" t="s">
        <v>8381</v>
      </c>
      <c r="I6242" s="504">
        <v>821</v>
      </c>
      <c r="J6242" s="504">
        <v>580</v>
      </c>
      <c r="K6242" s="504">
        <v>0</v>
      </c>
      <c r="L6242" s="504">
        <v>72</v>
      </c>
      <c r="M6242" s="504">
        <v>56</v>
      </c>
      <c r="N6242" s="504">
        <v>0</v>
      </c>
      <c r="O6242" s="505">
        <v>113</v>
      </c>
    </row>
    <row r="6243" spans="1:15" x14ac:dyDescent="0.35">
      <c r="A6243" s="500" t="s">
        <v>14127</v>
      </c>
      <c r="B6243" s="501" t="s">
        <v>14126</v>
      </c>
      <c r="C6243" s="501" t="s">
        <v>1094</v>
      </c>
      <c r="D6243" s="501" t="s">
        <v>3380</v>
      </c>
      <c r="E6243" s="501" t="s">
        <v>3381</v>
      </c>
      <c r="F6243" s="501" t="s">
        <v>802</v>
      </c>
      <c r="G6243" s="501" t="s">
        <v>803</v>
      </c>
      <c r="H6243" s="501" t="s">
        <v>14972</v>
      </c>
      <c r="I6243" s="501">
        <v>494</v>
      </c>
      <c r="J6243" s="501">
        <v>450</v>
      </c>
      <c r="K6243" s="501">
        <v>0</v>
      </c>
      <c r="L6243" s="501">
        <v>0</v>
      </c>
      <c r="M6243" s="501">
        <v>0</v>
      </c>
      <c r="N6243" s="501">
        <v>0</v>
      </c>
      <c r="O6243" s="506">
        <v>44</v>
      </c>
    </row>
    <row r="6244" spans="1:15" x14ac:dyDescent="0.35">
      <c r="A6244" s="503" t="s">
        <v>1093</v>
      </c>
      <c r="B6244" s="504" t="s">
        <v>3248</v>
      </c>
      <c r="C6244" s="504" t="s">
        <v>1094</v>
      </c>
      <c r="D6244" s="504" t="s">
        <v>3380</v>
      </c>
      <c r="E6244" s="504" t="s">
        <v>3381</v>
      </c>
      <c r="F6244" s="504" t="s">
        <v>802</v>
      </c>
      <c r="G6244" s="504" t="s">
        <v>803</v>
      </c>
      <c r="H6244" s="504" t="s">
        <v>8382</v>
      </c>
      <c r="I6244" s="504">
        <v>8</v>
      </c>
      <c r="J6244" s="504">
        <v>0</v>
      </c>
      <c r="K6244" s="504">
        <v>0</v>
      </c>
      <c r="L6244" s="504">
        <v>6</v>
      </c>
      <c r="M6244" s="504">
        <v>0</v>
      </c>
      <c r="N6244" s="504">
        <v>0</v>
      </c>
      <c r="O6244" s="505">
        <v>2</v>
      </c>
    </row>
    <row r="6245" spans="1:15" x14ac:dyDescent="0.35">
      <c r="A6245" s="500" t="s">
        <v>1795</v>
      </c>
      <c r="B6245" s="501" t="s">
        <v>3018</v>
      </c>
      <c r="C6245" s="501" t="s">
        <v>1089</v>
      </c>
      <c r="D6245" s="501" t="s">
        <v>3392</v>
      </c>
      <c r="E6245" s="501" t="s">
        <v>3381</v>
      </c>
      <c r="F6245" s="501" t="s">
        <v>802</v>
      </c>
      <c r="G6245" s="501" t="s">
        <v>803</v>
      </c>
      <c r="H6245" s="501" t="s">
        <v>8383</v>
      </c>
      <c r="I6245" s="501">
        <v>142</v>
      </c>
      <c r="J6245" s="501">
        <v>0</v>
      </c>
      <c r="K6245" s="501">
        <v>0</v>
      </c>
      <c r="L6245" s="501">
        <v>0</v>
      </c>
      <c r="M6245" s="501">
        <v>142</v>
      </c>
      <c r="N6245" s="501">
        <v>0</v>
      </c>
      <c r="O6245" s="506">
        <v>0</v>
      </c>
    </row>
    <row r="6246" spans="1:15" x14ac:dyDescent="0.35">
      <c r="A6246" s="503" t="s">
        <v>1096</v>
      </c>
      <c r="B6246" s="504" t="s">
        <v>3326</v>
      </c>
      <c r="C6246" s="504" t="s">
        <v>1094</v>
      </c>
      <c r="D6246" s="504" t="s">
        <v>3380</v>
      </c>
      <c r="E6246" s="504" t="s">
        <v>3381</v>
      </c>
      <c r="F6246" s="504" t="s">
        <v>802</v>
      </c>
      <c r="G6246" s="504" t="s">
        <v>803</v>
      </c>
      <c r="H6246" s="504" t="s">
        <v>8384</v>
      </c>
      <c r="I6246" s="504">
        <v>11</v>
      </c>
      <c r="J6246" s="504">
        <v>0</v>
      </c>
      <c r="K6246" s="504">
        <v>0</v>
      </c>
      <c r="L6246" s="504">
        <v>0</v>
      </c>
      <c r="M6246" s="504">
        <v>11</v>
      </c>
      <c r="N6246" s="504">
        <v>0</v>
      </c>
      <c r="O6246" s="505">
        <v>0</v>
      </c>
    </row>
    <row r="6247" spans="1:15" x14ac:dyDescent="0.35">
      <c r="A6247" s="500" t="s">
        <v>11363</v>
      </c>
      <c r="B6247" s="501">
        <v>4718</v>
      </c>
      <c r="C6247" s="501" t="s">
        <v>1094</v>
      </c>
      <c r="D6247" s="501" t="s">
        <v>3380</v>
      </c>
      <c r="E6247" s="501" t="s">
        <v>3381</v>
      </c>
      <c r="F6247" s="501" t="s">
        <v>802</v>
      </c>
      <c r="G6247" s="501" t="s">
        <v>803</v>
      </c>
      <c r="H6247" s="501" t="s">
        <v>11575</v>
      </c>
      <c r="I6247" s="501">
        <v>14</v>
      </c>
      <c r="J6247" s="501">
        <v>0</v>
      </c>
      <c r="K6247" s="501">
        <v>0</v>
      </c>
      <c r="L6247" s="501">
        <v>14</v>
      </c>
      <c r="M6247" s="501">
        <v>0</v>
      </c>
      <c r="N6247" s="501">
        <v>0</v>
      </c>
      <c r="O6247" s="506">
        <v>0</v>
      </c>
    </row>
    <row r="6248" spans="1:15" x14ac:dyDescent="0.35">
      <c r="A6248" s="503" t="s">
        <v>1277</v>
      </c>
      <c r="B6248" s="504" t="s">
        <v>3056</v>
      </c>
      <c r="C6248" s="504" t="s">
        <v>1089</v>
      </c>
      <c r="D6248" s="504" t="s">
        <v>3392</v>
      </c>
      <c r="E6248" s="504" t="s">
        <v>3381</v>
      </c>
      <c r="F6248" s="504" t="s">
        <v>802</v>
      </c>
      <c r="G6248" s="504" t="s">
        <v>803</v>
      </c>
      <c r="H6248" s="504" t="s">
        <v>8385</v>
      </c>
      <c r="I6248" s="504">
        <v>3</v>
      </c>
      <c r="J6248" s="504">
        <v>3</v>
      </c>
      <c r="K6248" s="504">
        <v>0</v>
      </c>
      <c r="L6248" s="504">
        <v>0</v>
      </c>
      <c r="M6248" s="504">
        <v>0</v>
      </c>
      <c r="N6248" s="504">
        <v>0</v>
      </c>
      <c r="O6248" s="505">
        <v>0</v>
      </c>
    </row>
    <row r="6249" spans="1:15" x14ac:dyDescent="0.35">
      <c r="A6249" s="500" t="s">
        <v>1808</v>
      </c>
      <c r="B6249" s="501" t="s">
        <v>3242</v>
      </c>
      <c r="C6249" s="501" t="s">
        <v>1094</v>
      </c>
      <c r="D6249" s="501" t="s">
        <v>3380</v>
      </c>
      <c r="E6249" s="501" t="s">
        <v>3381</v>
      </c>
      <c r="F6249" s="501" t="s">
        <v>802</v>
      </c>
      <c r="G6249" s="501" t="s">
        <v>803</v>
      </c>
      <c r="H6249" s="501" t="s">
        <v>8386</v>
      </c>
      <c r="I6249" s="501">
        <v>2</v>
      </c>
      <c r="J6249" s="501">
        <v>0</v>
      </c>
      <c r="K6249" s="501">
        <v>0</v>
      </c>
      <c r="L6249" s="501">
        <v>2</v>
      </c>
      <c r="M6249" s="501">
        <v>0</v>
      </c>
      <c r="N6249" s="501">
        <v>0</v>
      </c>
      <c r="O6249" s="506">
        <v>0</v>
      </c>
    </row>
    <row r="6250" spans="1:15" x14ac:dyDescent="0.35">
      <c r="A6250" s="503" t="s">
        <v>11412</v>
      </c>
      <c r="B6250" s="504" t="s">
        <v>2965</v>
      </c>
      <c r="C6250" s="504" t="s">
        <v>1089</v>
      </c>
      <c r="D6250" s="504" t="s">
        <v>3392</v>
      </c>
      <c r="E6250" s="504" t="s">
        <v>3381</v>
      </c>
      <c r="F6250" s="504" t="s">
        <v>802</v>
      </c>
      <c r="G6250" s="504" t="s">
        <v>803</v>
      </c>
      <c r="H6250" s="504" t="s">
        <v>11644</v>
      </c>
      <c r="I6250" s="504">
        <v>80</v>
      </c>
      <c r="J6250" s="504">
        <v>0</v>
      </c>
      <c r="K6250" s="504">
        <v>0</v>
      </c>
      <c r="L6250" s="504">
        <v>0</v>
      </c>
      <c r="M6250" s="504">
        <v>80</v>
      </c>
      <c r="N6250" s="504">
        <v>0</v>
      </c>
      <c r="O6250" s="505">
        <v>0</v>
      </c>
    </row>
    <row r="6251" spans="1:15" x14ac:dyDescent="0.35">
      <c r="A6251" s="500" t="s">
        <v>1100</v>
      </c>
      <c r="B6251" s="501">
        <v>4865</v>
      </c>
      <c r="C6251" s="501" t="s">
        <v>1094</v>
      </c>
      <c r="D6251" s="501" t="s">
        <v>3380</v>
      </c>
      <c r="E6251" s="501" t="s">
        <v>3381</v>
      </c>
      <c r="F6251" s="501" t="s">
        <v>802</v>
      </c>
      <c r="G6251" s="501" t="s">
        <v>803</v>
      </c>
      <c r="H6251" s="501" t="s">
        <v>8387</v>
      </c>
      <c r="I6251" s="501">
        <v>409</v>
      </c>
      <c r="J6251" s="501">
        <v>323</v>
      </c>
      <c r="K6251" s="501">
        <v>0</v>
      </c>
      <c r="L6251" s="501">
        <v>22</v>
      </c>
      <c r="M6251" s="501">
        <v>0</v>
      </c>
      <c r="N6251" s="501">
        <v>0</v>
      </c>
      <c r="O6251" s="506">
        <v>64</v>
      </c>
    </row>
    <row r="6252" spans="1:15" x14ac:dyDescent="0.35">
      <c r="A6252" s="503" t="s">
        <v>1829</v>
      </c>
      <c r="B6252" s="504" t="s">
        <v>2844</v>
      </c>
      <c r="C6252" s="504" t="s">
        <v>1089</v>
      </c>
      <c r="D6252" s="504" t="s">
        <v>3392</v>
      </c>
      <c r="E6252" s="504" t="s">
        <v>3381</v>
      </c>
      <c r="F6252" s="504" t="s">
        <v>802</v>
      </c>
      <c r="G6252" s="504" t="s">
        <v>803</v>
      </c>
      <c r="H6252" s="504" t="s">
        <v>8388</v>
      </c>
      <c r="I6252" s="504">
        <v>36</v>
      </c>
      <c r="J6252" s="504">
        <v>0</v>
      </c>
      <c r="K6252" s="504">
        <v>0</v>
      </c>
      <c r="L6252" s="504">
        <v>0</v>
      </c>
      <c r="M6252" s="504">
        <v>36</v>
      </c>
      <c r="N6252" s="504">
        <v>0</v>
      </c>
      <c r="O6252" s="505">
        <v>0</v>
      </c>
    </row>
    <row r="6253" spans="1:15" x14ac:dyDescent="0.35">
      <c r="A6253" s="500" t="s">
        <v>14208</v>
      </c>
      <c r="B6253" s="501">
        <v>4803</v>
      </c>
      <c r="C6253" s="501" t="s">
        <v>1094</v>
      </c>
      <c r="D6253" s="501" t="s">
        <v>3380</v>
      </c>
      <c r="E6253" s="501" t="s">
        <v>3381</v>
      </c>
      <c r="F6253" s="501" t="s">
        <v>802</v>
      </c>
      <c r="G6253" s="501" t="s">
        <v>803</v>
      </c>
      <c r="H6253" s="501" t="s">
        <v>14973</v>
      </c>
      <c r="I6253" s="501">
        <v>1</v>
      </c>
      <c r="J6253" s="501">
        <v>0</v>
      </c>
      <c r="K6253" s="501">
        <v>0</v>
      </c>
      <c r="L6253" s="501">
        <v>1</v>
      </c>
      <c r="M6253" s="501">
        <v>0</v>
      </c>
      <c r="N6253" s="501">
        <v>0</v>
      </c>
      <c r="O6253" s="506">
        <v>0</v>
      </c>
    </row>
    <row r="6254" spans="1:15" x14ac:dyDescent="0.35">
      <c r="A6254" s="503" t="s">
        <v>1185</v>
      </c>
      <c r="B6254" s="504" t="s">
        <v>3253</v>
      </c>
      <c r="C6254" s="504" t="s">
        <v>1094</v>
      </c>
      <c r="D6254" s="504" t="s">
        <v>3380</v>
      </c>
      <c r="E6254" s="504" t="s">
        <v>3381</v>
      </c>
      <c r="F6254" s="504" t="s">
        <v>802</v>
      </c>
      <c r="G6254" s="504" t="s">
        <v>803</v>
      </c>
      <c r="H6254" s="504" t="s">
        <v>8389</v>
      </c>
      <c r="I6254" s="504">
        <v>23</v>
      </c>
      <c r="J6254" s="504">
        <v>12</v>
      </c>
      <c r="K6254" s="504">
        <v>0</v>
      </c>
      <c r="L6254" s="504">
        <v>11</v>
      </c>
      <c r="M6254" s="504">
        <v>0</v>
      </c>
      <c r="N6254" s="504">
        <v>0</v>
      </c>
      <c r="O6254" s="505">
        <v>0</v>
      </c>
    </row>
    <row r="6255" spans="1:15" x14ac:dyDescent="0.35">
      <c r="A6255" s="500" t="s">
        <v>1846</v>
      </c>
      <c r="B6255" s="501" t="s">
        <v>3311</v>
      </c>
      <c r="C6255" s="501" t="s">
        <v>1089</v>
      </c>
      <c r="D6255" s="501" t="s">
        <v>3392</v>
      </c>
      <c r="E6255" s="501" t="s">
        <v>3381</v>
      </c>
      <c r="F6255" s="501" t="s">
        <v>802</v>
      </c>
      <c r="G6255" s="501" t="s">
        <v>803</v>
      </c>
      <c r="H6255" s="501" t="s">
        <v>8390</v>
      </c>
      <c r="I6255" s="501">
        <v>29</v>
      </c>
      <c r="J6255" s="501">
        <v>0</v>
      </c>
      <c r="K6255" s="501">
        <v>0</v>
      </c>
      <c r="L6255" s="501">
        <v>29</v>
      </c>
      <c r="M6255" s="501">
        <v>0</v>
      </c>
      <c r="N6255" s="501">
        <v>0</v>
      </c>
      <c r="O6255" s="506">
        <v>0</v>
      </c>
    </row>
    <row r="6256" spans="1:15" x14ac:dyDescent="0.35">
      <c r="A6256" s="503" t="s">
        <v>1105</v>
      </c>
      <c r="B6256" s="504">
        <v>4668</v>
      </c>
      <c r="C6256" s="504" t="s">
        <v>1094</v>
      </c>
      <c r="D6256" s="504" t="s">
        <v>3380</v>
      </c>
      <c r="E6256" s="504" t="s">
        <v>3381</v>
      </c>
      <c r="F6256" s="504" t="s">
        <v>802</v>
      </c>
      <c r="G6256" s="504" t="s">
        <v>803</v>
      </c>
      <c r="H6256" s="504" t="s">
        <v>11737</v>
      </c>
      <c r="I6256" s="504">
        <v>10</v>
      </c>
      <c r="J6256" s="504">
        <v>0</v>
      </c>
      <c r="K6256" s="504">
        <v>0</v>
      </c>
      <c r="L6256" s="504">
        <v>0</v>
      </c>
      <c r="M6256" s="504">
        <v>0</v>
      </c>
      <c r="N6256" s="504">
        <v>0</v>
      </c>
      <c r="O6256" s="505">
        <v>10</v>
      </c>
    </row>
    <row r="6257" spans="1:15" x14ac:dyDescent="0.35">
      <c r="A6257" s="500" t="s">
        <v>1107</v>
      </c>
      <c r="B6257" s="501" t="s">
        <v>3109</v>
      </c>
      <c r="C6257" s="501" t="s">
        <v>1094</v>
      </c>
      <c r="D6257" s="501" t="s">
        <v>3380</v>
      </c>
      <c r="E6257" s="501" t="s">
        <v>3381</v>
      </c>
      <c r="F6257" s="501" t="s">
        <v>802</v>
      </c>
      <c r="G6257" s="501" t="s">
        <v>803</v>
      </c>
      <c r="H6257" s="501" t="s">
        <v>8391</v>
      </c>
      <c r="I6257" s="501">
        <v>139</v>
      </c>
      <c r="J6257" s="501">
        <v>109</v>
      </c>
      <c r="K6257" s="501">
        <v>0</v>
      </c>
      <c r="L6257" s="501">
        <v>0</v>
      </c>
      <c r="M6257" s="501">
        <v>24</v>
      </c>
      <c r="N6257" s="501">
        <v>0</v>
      </c>
      <c r="O6257" s="506">
        <v>6</v>
      </c>
    </row>
    <row r="6258" spans="1:15" x14ac:dyDescent="0.35">
      <c r="A6258" s="503" t="s">
        <v>1109</v>
      </c>
      <c r="B6258" s="504" t="s">
        <v>2959</v>
      </c>
      <c r="C6258" s="504" t="s">
        <v>1094</v>
      </c>
      <c r="D6258" s="504" t="s">
        <v>3380</v>
      </c>
      <c r="E6258" s="504" t="s">
        <v>3381</v>
      </c>
      <c r="F6258" s="504" t="s">
        <v>802</v>
      </c>
      <c r="G6258" s="504" t="s">
        <v>803</v>
      </c>
      <c r="H6258" s="504" t="s">
        <v>8392</v>
      </c>
      <c r="I6258" s="504">
        <v>283</v>
      </c>
      <c r="J6258" s="504">
        <v>0</v>
      </c>
      <c r="K6258" s="504">
        <v>0</v>
      </c>
      <c r="L6258" s="504">
        <v>0</v>
      </c>
      <c r="M6258" s="504">
        <v>243</v>
      </c>
      <c r="N6258" s="504">
        <v>0</v>
      </c>
      <c r="O6258" s="505">
        <v>40</v>
      </c>
    </row>
    <row r="6259" spans="1:15" x14ac:dyDescent="0.35">
      <c r="A6259" s="500" t="s">
        <v>1189</v>
      </c>
      <c r="B6259" s="501" t="s">
        <v>3236</v>
      </c>
      <c r="C6259" s="501" t="s">
        <v>1094</v>
      </c>
      <c r="D6259" s="501" t="s">
        <v>3380</v>
      </c>
      <c r="E6259" s="501" t="s">
        <v>3381</v>
      </c>
      <c r="F6259" s="501" t="s">
        <v>802</v>
      </c>
      <c r="G6259" s="501" t="s">
        <v>803</v>
      </c>
      <c r="H6259" s="501" t="s">
        <v>8393</v>
      </c>
      <c r="I6259" s="501">
        <v>202</v>
      </c>
      <c r="J6259" s="501">
        <v>197</v>
      </c>
      <c r="K6259" s="501">
        <v>0</v>
      </c>
      <c r="L6259" s="501">
        <v>0</v>
      </c>
      <c r="M6259" s="501">
        <v>0</v>
      </c>
      <c r="N6259" s="501">
        <v>0</v>
      </c>
      <c r="O6259" s="506">
        <v>5</v>
      </c>
    </row>
    <row r="6260" spans="1:15" x14ac:dyDescent="0.35">
      <c r="A6260" s="503" t="s">
        <v>1863</v>
      </c>
      <c r="B6260" s="504" t="s">
        <v>3173</v>
      </c>
      <c r="C6260" s="504" t="s">
        <v>1094</v>
      </c>
      <c r="D6260" s="504" t="s">
        <v>3380</v>
      </c>
      <c r="E6260" s="504" t="s">
        <v>3381</v>
      </c>
      <c r="F6260" s="504" t="s">
        <v>802</v>
      </c>
      <c r="G6260" s="504" t="s">
        <v>803</v>
      </c>
      <c r="H6260" s="504" t="s">
        <v>8394</v>
      </c>
      <c r="I6260" s="504">
        <v>87</v>
      </c>
      <c r="J6260" s="504">
        <v>87</v>
      </c>
      <c r="K6260" s="504">
        <v>0</v>
      </c>
      <c r="L6260" s="504">
        <v>0</v>
      </c>
      <c r="M6260" s="504">
        <v>0</v>
      </c>
      <c r="N6260" s="504">
        <v>1</v>
      </c>
      <c r="O6260" s="505">
        <v>0</v>
      </c>
    </row>
    <row r="6261" spans="1:15" x14ac:dyDescent="0.35">
      <c r="A6261" s="500" t="s">
        <v>1114</v>
      </c>
      <c r="B6261" s="501" t="s">
        <v>2982</v>
      </c>
      <c r="C6261" s="501" t="s">
        <v>1094</v>
      </c>
      <c r="D6261" s="501" t="s">
        <v>3380</v>
      </c>
      <c r="E6261" s="501" t="s">
        <v>3381</v>
      </c>
      <c r="F6261" s="501" t="s">
        <v>802</v>
      </c>
      <c r="G6261" s="501" t="s">
        <v>803</v>
      </c>
      <c r="H6261" s="501" t="s">
        <v>8395</v>
      </c>
      <c r="I6261" s="501">
        <v>2</v>
      </c>
      <c r="J6261" s="501">
        <v>0</v>
      </c>
      <c r="K6261" s="501">
        <v>0</v>
      </c>
      <c r="L6261" s="501">
        <v>0</v>
      </c>
      <c r="M6261" s="501">
        <v>0</v>
      </c>
      <c r="N6261" s="501">
        <v>0</v>
      </c>
      <c r="O6261" s="506">
        <v>2</v>
      </c>
    </row>
    <row r="6262" spans="1:15" x14ac:dyDescent="0.35">
      <c r="A6262" s="503" t="s">
        <v>1122</v>
      </c>
      <c r="B6262" s="504" t="s">
        <v>2994</v>
      </c>
      <c r="C6262" s="504" t="s">
        <v>1094</v>
      </c>
      <c r="D6262" s="504" t="s">
        <v>3380</v>
      </c>
      <c r="E6262" s="504" t="s">
        <v>3381</v>
      </c>
      <c r="F6262" s="504" t="s">
        <v>802</v>
      </c>
      <c r="G6262" s="504" t="s">
        <v>803</v>
      </c>
      <c r="H6262" s="504" t="s">
        <v>8396</v>
      </c>
      <c r="I6262" s="504">
        <v>85</v>
      </c>
      <c r="J6262" s="504">
        <v>85</v>
      </c>
      <c r="K6262" s="504">
        <v>0</v>
      </c>
      <c r="L6262" s="504">
        <v>0</v>
      </c>
      <c r="M6262" s="504">
        <v>0</v>
      </c>
      <c r="N6262" s="504">
        <v>0</v>
      </c>
      <c r="O6262" s="505">
        <v>0</v>
      </c>
    </row>
    <row r="6263" spans="1:15" x14ac:dyDescent="0.35">
      <c r="A6263" s="500" t="s">
        <v>1879</v>
      </c>
      <c r="B6263" s="501" t="s">
        <v>2894</v>
      </c>
      <c r="C6263" s="501" t="s">
        <v>1089</v>
      </c>
      <c r="D6263" s="501" t="s">
        <v>3392</v>
      </c>
      <c r="E6263" s="501" t="s">
        <v>3381</v>
      </c>
      <c r="F6263" s="501" t="s">
        <v>802</v>
      </c>
      <c r="G6263" s="501" t="s">
        <v>803</v>
      </c>
      <c r="H6263" s="501" t="s">
        <v>8397</v>
      </c>
      <c r="I6263" s="501">
        <v>41</v>
      </c>
      <c r="J6263" s="501">
        <v>10</v>
      </c>
      <c r="K6263" s="501">
        <v>0</v>
      </c>
      <c r="L6263" s="501">
        <v>31</v>
      </c>
      <c r="M6263" s="501">
        <v>0</v>
      </c>
      <c r="N6263" s="501">
        <v>0</v>
      </c>
      <c r="O6263" s="506">
        <v>0</v>
      </c>
    </row>
    <row r="6264" spans="1:15" x14ac:dyDescent="0.35">
      <c r="A6264" s="503" t="s">
        <v>1880</v>
      </c>
      <c r="B6264" s="504" t="s">
        <v>2997</v>
      </c>
      <c r="C6264" s="504" t="s">
        <v>1089</v>
      </c>
      <c r="D6264" s="504" t="s">
        <v>3392</v>
      </c>
      <c r="E6264" s="504" t="s">
        <v>3381</v>
      </c>
      <c r="F6264" s="504" t="s">
        <v>802</v>
      </c>
      <c r="G6264" s="504" t="s">
        <v>803</v>
      </c>
      <c r="H6264" s="504" t="s">
        <v>8398</v>
      </c>
      <c r="I6264" s="504">
        <v>146</v>
      </c>
      <c r="J6264" s="504">
        <v>35</v>
      </c>
      <c r="K6264" s="504">
        <v>0</v>
      </c>
      <c r="L6264" s="504">
        <v>0</v>
      </c>
      <c r="M6264" s="504">
        <v>111</v>
      </c>
      <c r="N6264" s="504">
        <v>0</v>
      </c>
      <c r="O6264" s="505">
        <v>0</v>
      </c>
    </row>
    <row r="6265" spans="1:15" x14ac:dyDescent="0.35">
      <c r="A6265" s="500" t="s">
        <v>1234</v>
      </c>
      <c r="B6265" s="501" t="s">
        <v>3291</v>
      </c>
      <c r="C6265" s="501" t="s">
        <v>1094</v>
      </c>
      <c r="D6265" s="501" t="s">
        <v>3380</v>
      </c>
      <c r="E6265" s="501" t="s">
        <v>3381</v>
      </c>
      <c r="F6265" s="501" t="s">
        <v>802</v>
      </c>
      <c r="G6265" s="501" t="s">
        <v>803</v>
      </c>
      <c r="H6265" s="501" t="s">
        <v>8399</v>
      </c>
      <c r="I6265" s="501">
        <v>24</v>
      </c>
      <c r="J6265" s="501">
        <v>24</v>
      </c>
      <c r="K6265" s="501">
        <v>0</v>
      </c>
      <c r="L6265" s="501">
        <v>0</v>
      </c>
      <c r="M6265" s="501">
        <v>0</v>
      </c>
      <c r="N6265" s="501">
        <v>0</v>
      </c>
      <c r="O6265" s="506">
        <v>0</v>
      </c>
    </row>
    <row r="6266" spans="1:15" x14ac:dyDescent="0.35">
      <c r="A6266" s="503" t="s">
        <v>1126</v>
      </c>
      <c r="B6266" s="504" t="s">
        <v>2974</v>
      </c>
      <c r="C6266" s="504" t="s">
        <v>1094</v>
      </c>
      <c r="D6266" s="504" t="s">
        <v>3380</v>
      </c>
      <c r="E6266" s="504" t="s">
        <v>3381</v>
      </c>
      <c r="F6266" s="504" t="s">
        <v>802</v>
      </c>
      <c r="G6266" s="504" t="s">
        <v>803</v>
      </c>
      <c r="H6266" s="504" t="s">
        <v>8400</v>
      </c>
      <c r="I6266" s="504">
        <v>128</v>
      </c>
      <c r="J6266" s="504">
        <v>128</v>
      </c>
      <c r="K6266" s="504">
        <v>0</v>
      </c>
      <c r="L6266" s="504">
        <v>0</v>
      </c>
      <c r="M6266" s="504">
        <v>0</v>
      </c>
      <c r="N6266" s="504">
        <v>0</v>
      </c>
      <c r="O6266" s="505">
        <v>0</v>
      </c>
    </row>
    <row r="6267" spans="1:15" x14ac:dyDescent="0.35">
      <c r="A6267" s="500" t="s">
        <v>1130</v>
      </c>
      <c r="B6267" s="501" t="s">
        <v>3234</v>
      </c>
      <c r="C6267" s="501" t="s">
        <v>1094</v>
      </c>
      <c r="D6267" s="501" t="s">
        <v>3380</v>
      </c>
      <c r="E6267" s="501" t="s">
        <v>3381</v>
      </c>
      <c r="F6267" s="501" t="s">
        <v>802</v>
      </c>
      <c r="G6267" s="501" t="s">
        <v>803</v>
      </c>
      <c r="H6267" s="501" t="s">
        <v>8401</v>
      </c>
      <c r="I6267" s="501">
        <v>690</v>
      </c>
      <c r="J6267" s="501">
        <v>487</v>
      </c>
      <c r="K6267" s="501">
        <v>0</v>
      </c>
      <c r="L6267" s="501">
        <v>0</v>
      </c>
      <c r="M6267" s="501">
        <v>155</v>
      </c>
      <c r="N6267" s="501">
        <v>17</v>
      </c>
      <c r="O6267" s="506">
        <v>48</v>
      </c>
    </row>
    <row r="6268" spans="1:15" x14ac:dyDescent="0.35">
      <c r="A6268" s="503" t="s">
        <v>1901</v>
      </c>
      <c r="B6268" s="504" t="s">
        <v>2766</v>
      </c>
      <c r="C6268" s="504" t="s">
        <v>1089</v>
      </c>
      <c r="D6268" s="504" t="s">
        <v>3392</v>
      </c>
      <c r="E6268" s="504" t="s">
        <v>3381</v>
      </c>
      <c r="F6268" s="504" t="s">
        <v>802</v>
      </c>
      <c r="G6268" s="504" t="s">
        <v>803</v>
      </c>
      <c r="H6268" s="504" t="s">
        <v>8402</v>
      </c>
      <c r="I6268" s="504">
        <v>37</v>
      </c>
      <c r="J6268" s="504">
        <v>33</v>
      </c>
      <c r="K6268" s="504">
        <v>4</v>
      </c>
      <c r="L6268" s="504">
        <v>0</v>
      </c>
      <c r="M6268" s="504">
        <v>0</v>
      </c>
      <c r="N6268" s="504">
        <v>0</v>
      </c>
      <c r="O6268" s="505">
        <v>0</v>
      </c>
    </row>
    <row r="6269" spans="1:15" x14ac:dyDescent="0.35">
      <c r="A6269" s="500" t="s">
        <v>1132</v>
      </c>
      <c r="B6269" s="501">
        <v>4837</v>
      </c>
      <c r="C6269" s="501" t="s">
        <v>1094</v>
      </c>
      <c r="D6269" s="501" t="s">
        <v>3380</v>
      </c>
      <c r="E6269" s="501" t="s">
        <v>3381</v>
      </c>
      <c r="F6269" s="501" t="s">
        <v>802</v>
      </c>
      <c r="G6269" s="501" t="s">
        <v>803</v>
      </c>
      <c r="H6269" s="501" t="s">
        <v>8403</v>
      </c>
      <c r="I6269" s="501">
        <v>3</v>
      </c>
      <c r="J6269" s="501">
        <v>0</v>
      </c>
      <c r="K6269" s="501">
        <v>0</v>
      </c>
      <c r="L6269" s="501">
        <v>0</v>
      </c>
      <c r="M6269" s="501">
        <v>0</v>
      </c>
      <c r="N6269" s="501">
        <v>0</v>
      </c>
      <c r="O6269" s="506">
        <v>3</v>
      </c>
    </row>
    <row r="6270" spans="1:15" x14ac:dyDescent="0.35">
      <c r="A6270" s="503" t="s">
        <v>1134</v>
      </c>
      <c r="B6270" s="504" t="s">
        <v>3066</v>
      </c>
      <c r="C6270" s="504" t="s">
        <v>1094</v>
      </c>
      <c r="D6270" s="504" t="s">
        <v>3380</v>
      </c>
      <c r="E6270" s="504" t="s">
        <v>3381</v>
      </c>
      <c r="F6270" s="504" t="s">
        <v>802</v>
      </c>
      <c r="G6270" s="504" t="s">
        <v>803</v>
      </c>
      <c r="H6270" s="504" t="s">
        <v>8404</v>
      </c>
      <c r="I6270" s="504">
        <v>102</v>
      </c>
      <c r="J6270" s="504">
        <v>95</v>
      </c>
      <c r="K6270" s="504">
        <v>0</v>
      </c>
      <c r="L6270" s="504">
        <v>7</v>
      </c>
      <c r="M6270" s="504">
        <v>0</v>
      </c>
      <c r="N6270" s="504">
        <v>0</v>
      </c>
      <c r="O6270" s="505">
        <v>0</v>
      </c>
    </row>
    <row r="6271" spans="1:15" x14ac:dyDescent="0.35">
      <c r="A6271" s="500" t="s">
        <v>1249</v>
      </c>
      <c r="B6271" s="501">
        <v>4729</v>
      </c>
      <c r="C6271" s="501" t="s">
        <v>1094</v>
      </c>
      <c r="D6271" s="501" t="s">
        <v>3380</v>
      </c>
      <c r="E6271" s="501" t="s">
        <v>3381</v>
      </c>
      <c r="F6271" s="501" t="s">
        <v>802</v>
      </c>
      <c r="G6271" s="501" t="s">
        <v>803</v>
      </c>
      <c r="H6271" s="501" t="s">
        <v>8405</v>
      </c>
      <c r="I6271" s="501">
        <v>332</v>
      </c>
      <c r="J6271" s="501">
        <v>238</v>
      </c>
      <c r="K6271" s="501">
        <v>0</v>
      </c>
      <c r="L6271" s="501">
        <v>6</v>
      </c>
      <c r="M6271" s="501">
        <v>34</v>
      </c>
      <c r="N6271" s="501">
        <v>0</v>
      </c>
      <c r="O6271" s="506">
        <v>54</v>
      </c>
    </row>
    <row r="6272" spans="1:15" x14ac:dyDescent="0.35">
      <c r="A6272" s="503" t="s">
        <v>11419</v>
      </c>
      <c r="B6272" s="504" t="s">
        <v>3159</v>
      </c>
      <c r="C6272" s="504" t="s">
        <v>1089</v>
      </c>
      <c r="D6272" s="504" t="s">
        <v>3392</v>
      </c>
      <c r="E6272" s="504" t="s">
        <v>3381</v>
      </c>
      <c r="F6272" s="504" t="s">
        <v>802</v>
      </c>
      <c r="G6272" s="504" t="s">
        <v>803</v>
      </c>
      <c r="H6272" s="504" t="s">
        <v>12215</v>
      </c>
      <c r="I6272" s="504">
        <v>82</v>
      </c>
      <c r="J6272" s="504">
        <v>0</v>
      </c>
      <c r="K6272" s="504">
        <v>0</v>
      </c>
      <c r="L6272" s="504">
        <v>0</v>
      </c>
      <c r="M6272" s="504">
        <v>82</v>
      </c>
      <c r="N6272" s="504">
        <v>0</v>
      </c>
      <c r="O6272" s="505">
        <v>0</v>
      </c>
    </row>
    <row r="6273" spans="1:15" x14ac:dyDescent="0.35">
      <c r="A6273" s="500" t="s">
        <v>1924</v>
      </c>
      <c r="B6273" s="501" t="s">
        <v>3348</v>
      </c>
      <c r="C6273" s="501" t="s">
        <v>1089</v>
      </c>
      <c r="D6273" s="501" t="s">
        <v>3392</v>
      </c>
      <c r="E6273" s="501" t="s">
        <v>3381</v>
      </c>
      <c r="F6273" s="501" t="s">
        <v>802</v>
      </c>
      <c r="G6273" s="501" t="s">
        <v>803</v>
      </c>
      <c r="H6273" s="501" t="s">
        <v>8406</v>
      </c>
      <c r="I6273" s="501">
        <v>84</v>
      </c>
      <c r="J6273" s="501">
        <v>0</v>
      </c>
      <c r="K6273" s="501">
        <v>23</v>
      </c>
      <c r="L6273" s="501">
        <v>61</v>
      </c>
      <c r="M6273" s="501">
        <v>0</v>
      </c>
      <c r="N6273" s="501">
        <v>0</v>
      </c>
      <c r="O6273" s="506">
        <v>0</v>
      </c>
    </row>
    <row r="6274" spans="1:15" x14ac:dyDescent="0.35">
      <c r="A6274" s="503" t="s">
        <v>1138</v>
      </c>
      <c r="B6274" s="504" t="s">
        <v>2998</v>
      </c>
      <c r="C6274" s="504" t="s">
        <v>1094</v>
      </c>
      <c r="D6274" s="504" t="s">
        <v>3380</v>
      </c>
      <c r="E6274" s="504" t="s">
        <v>3381</v>
      </c>
      <c r="F6274" s="504" t="s">
        <v>802</v>
      </c>
      <c r="G6274" s="504" t="s">
        <v>803</v>
      </c>
      <c r="H6274" s="504" t="s">
        <v>8407</v>
      </c>
      <c r="I6274" s="504">
        <v>359</v>
      </c>
      <c r="J6274" s="504">
        <v>339</v>
      </c>
      <c r="K6274" s="504">
        <v>0</v>
      </c>
      <c r="L6274" s="504">
        <v>0</v>
      </c>
      <c r="M6274" s="504">
        <v>0</v>
      </c>
      <c r="N6274" s="504">
        <v>0</v>
      </c>
      <c r="O6274" s="505">
        <v>20</v>
      </c>
    </row>
    <row r="6275" spans="1:15" x14ac:dyDescent="0.35">
      <c r="A6275" s="500" t="s">
        <v>1930</v>
      </c>
      <c r="B6275" s="501" t="s">
        <v>3313</v>
      </c>
      <c r="C6275" s="501" t="s">
        <v>1089</v>
      </c>
      <c r="D6275" s="501" t="s">
        <v>3392</v>
      </c>
      <c r="E6275" s="501" t="s">
        <v>3381</v>
      </c>
      <c r="F6275" s="501" t="s">
        <v>802</v>
      </c>
      <c r="G6275" s="501" t="s">
        <v>803</v>
      </c>
      <c r="H6275" s="501" t="s">
        <v>8408</v>
      </c>
      <c r="I6275" s="501">
        <v>241</v>
      </c>
      <c r="J6275" s="501">
        <v>0</v>
      </c>
      <c r="K6275" s="501">
        <v>0</v>
      </c>
      <c r="L6275" s="501">
        <v>241</v>
      </c>
      <c r="M6275" s="501">
        <v>0</v>
      </c>
      <c r="N6275" s="501">
        <v>0</v>
      </c>
      <c r="O6275" s="506">
        <v>0</v>
      </c>
    </row>
    <row r="6276" spans="1:15" x14ac:dyDescent="0.35">
      <c r="A6276" s="503" t="s">
        <v>1140</v>
      </c>
      <c r="B6276" s="504">
        <v>4850</v>
      </c>
      <c r="C6276" s="504" t="s">
        <v>1094</v>
      </c>
      <c r="D6276" s="504" t="s">
        <v>3380</v>
      </c>
      <c r="E6276" s="504" t="s">
        <v>3381</v>
      </c>
      <c r="F6276" s="504" t="s">
        <v>802</v>
      </c>
      <c r="G6276" s="504" t="s">
        <v>803</v>
      </c>
      <c r="H6276" s="504" t="s">
        <v>8409</v>
      </c>
      <c r="I6276" s="504">
        <v>2757</v>
      </c>
      <c r="J6276" s="504">
        <v>2164</v>
      </c>
      <c r="K6276" s="504">
        <v>0</v>
      </c>
      <c r="L6276" s="504">
        <v>59</v>
      </c>
      <c r="M6276" s="504">
        <v>148</v>
      </c>
      <c r="N6276" s="504">
        <v>0</v>
      </c>
      <c r="O6276" s="505">
        <v>386</v>
      </c>
    </row>
    <row r="6277" spans="1:15" x14ac:dyDescent="0.35">
      <c r="A6277" s="500" t="s">
        <v>1262</v>
      </c>
      <c r="B6277" s="501">
        <v>4772</v>
      </c>
      <c r="C6277" s="501" t="s">
        <v>1089</v>
      </c>
      <c r="D6277" s="501" t="s">
        <v>3392</v>
      </c>
      <c r="E6277" s="501" t="s">
        <v>3381</v>
      </c>
      <c r="F6277" s="501" t="s">
        <v>802</v>
      </c>
      <c r="G6277" s="501" t="s">
        <v>803</v>
      </c>
      <c r="H6277" s="501" t="s">
        <v>8410</v>
      </c>
      <c r="I6277" s="501">
        <v>9</v>
      </c>
      <c r="J6277" s="501">
        <v>0</v>
      </c>
      <c r="K6277" s="501">
        <v>0</v>
      </c>
      <c r="L6277" s="501">
        <v>9</v>
      </c>
      <c r="M6277" s="501">
        <v>0</v>
      </c>
      <c r="N6277" s="501">
        <v>0</v>
      </c>
      <c r="O6277" s="506">
        <v>0</v>
      </c>
    </row>
    <row r="6278" spans="1:15" x14ac:dyDescent="0.35">
      <c r="A6278" s="503" t="s">
        <v>1096</v>
      </c>
      <c r="B6278" s="504" t="s">
        <v>3326</v>
      </c>
      <c r="C6278" s="504" t="s">
        <v>1094</v>
      </c>
      <c r="D6278" s="504" t="s">
        <v>3380</v>
      </c>
      <c r="E6278" s="504" t="s">
        <v>3381</v>
      </c>
      <c r="F6278" s="504" t="s">
        <v>804</v>
      </c>
      <c r="G6278" s="504" t="s">
        <v>805</v>
      </c>
      <c r="H6278" s="504" t="s">
        <v>8411</v>
      </c>
      <c r="I6278" s="504">
        <v>94</v>
      </c>
      <c r="J6278" s="504">
        <v>0</v>
      </c>
      <c r="K6278" s="504">
        <v>0</v>
      </c>
      <c r="L6278" s="504">
        <v>0</v>
      </c>
      <c r="M6278" s="504">
        <v>63</v>
      </c>
      <c r="N6278" s="504">
        <v>0</v>
      </c>
      <c r="O6278" s="505">
        <v>31</v>
      </c>
    </row>
    <row r="6279" spans="1:15" x14ac:dyDescent="0.35">
      <c r="A6279" s="500" t="s">
        <v>1151</v>
      </c>
      <c r="B6279" s="501">
        <v>4726</v>
      </c>
      <c r="C6279" s="501" t="s">
        <v>1089</v>
      </c>
      <c r="D6279" s="501" t="s">
        <v>3392</v>
      </c>
      <c r="E6279" s="501" t="s">
        <v>3381</v>
      </c>
      <c r="F6279" s="501" t="s">
        <v>804</v>
      </c>
      <c r="G6279" s="501" t="s">
        <v>805</v>
      </c>
      <c r="H6279" s="501" t="s">
        <v>8412</v>
      </c>
      <c r="I6279" s="501">
        <v>20</v>
      </c>
      <c r="J6279" s="501">
        <v>20</v>
      </c>
      <c r="K6279" s="501">
        <v>0</v>
      </c>
      <c r="L6279" s="501">
        <v>0</v>
      </c>
      <c r="M6279" s="501">
        <v>0</v>
      </c>
      <c r="N6279" s="501">
        <v>0</v>
      </c>
      <c r="O6279" s="506">
        <v>0</v>
      </c>
    </row>
    <row r="6280" spans="1:15" x14ac:dyDescent="0.35">
      <c r="A6280" s="503" t="s">
        <v>1673</v>
      </c>
      <c r="B6280" s="504">
        <v>4731</v>
      </c>
      <c r="C6280" s="504" t="s">
        <v>1089</v>
      </c>
      <c r="D6280" s="504" t="s">
        <v>3392</v>
      </c>
      <c r="E6280" s="504" t="s">
        <v>3381</v>
      </c>
      <c r="F6280" s="504" t="s">
        <v>804</v>
      </c>
      <c r="G6280" s="504" t="s">
        <v>805</v>
      </c>
      <c r="H6280" s="504" t="s">
        <v>8413</v>
      </c>
      <c r="I6280" s="504">
        <v>13</v>
      </c>
      <c r="J6280" s="504">
        <v>0</v>
      </c>
      <c r="K6280" s="504">
        <v>0</v>
      </c>
      <c r="L6280" s="504">
        <v>13</v>
      </c>
      <c r="M6280" s="504">
        <v>0</v>
      </c>
      <c r="N6280" s="504">
        <v>0</v>
      </c>
      <c r="O6280" s="505">
        <v>0</v>
      </c>
    </row>
    <row r="6281" spans="1:15" x14ac:dyDescent="0.35">
      <c r="A6281" s="500" t="s">
        <v>1674</v>
      </c>
      <c r="B6281" s="501">
        <v>4765</v>
      </c>
      <c r="C6281" s="501" t="s">
        <v>1089</v>
      </c>
      <c r="D6281" s="501" t="s">
        <v>3392</v>
      </c>
      <c r="E6281" s="501" t="s">
        <v>3381</v>
      </c>
      <c r="F6281" s="501" t="s">
        <v>804</v>
      </c>
      <c r="G6281" s="501" t="s">
        <v>805</v>
      </c>
      <c r="H6281" s="501" t="s">
        <v>14974</v>
      </c>
      <c r="I6281" s="501">
        <v>2</v>
      </c>
      <c r="J6281" s="501">
        <v>2</v>
      </c>
      <c r="K6281" s="501">
        <v>0</v>
      </c>
      <c r="L6281" s="501">
        <v>0</v>
      </c>
      <c r="M6281" s="501">
        <v>0</v>
      </c>
      <c r="N6281" s="501">
        <v>0</v>
      </c>
      <c r="O6281" s="506">
        <v>0</v>
      </c>
    </row>
    <row r="6282" spans="1:15" x14ac:dyDescent="0.35">
      <c r="A6282" s="503" t="s">
        <v>11363</v>
      </c>
      <c r="B6282" s="504">
        <v>4718</v>
      </c>
      <c r="C6282" s="504" t="s">
        <v>1094</v>
      </c>
      <c r="D6282" s="504" t="s">
        <v>3380</v>
      </c>
      <c r="E6282" s="504" t="s">
        <v>3381</v>
      </c>
      <c r="F6282" s="504" t="s">
        <v>804</v>
      </c>
      <c r="G6282" s="504" t="s">
        <v>805</v>
      </c>
      <c r="H6282" s="504" t="s">
        <v>11576</v>
      </c>
      <c r="I6282" s="504">
        <v>10</v>
      </c>
      <c r="J6282" s="504">
        <v>0</v>
      </c>
      <c r="K6282" s="504">
        <v>0</v>
      </c>
      <c r="L6282" s="504">
        <v>10</v>
      </c>
      <c r="M6282" s="504">
        <v>0</v>
      </c>
      <c r="N6282" s="504">
        <v>0</v>
      </c>
      <c r="O6282" s="505">
        <v>0</v>
      </c>
    </row>
    <row r="6283" spans="1:15" x14ac:dyDescent="0.35">
      <c r="A6283" s="500" t="s">
        <v>1678</v>
      </c>
      <c r="B6283" s="501">
        <v>4568</v>
      </c>
      <c r="C6283" s="501" t="s">
        <v>1094</v>
      </c>
      <c r="D6283" s="501" t="s">
        <v>3380</v>
      </c>
      <c r="E6283" s="501" t="s">
        <v>3381</v>
      </c>
      <c r="F6283" s="501" t="s">
        <v>804</v>
      </c>
      <c r="G6283" s="501" t="s">
        <v>805</v>
      </c>
      <c r="H6283" s="501" t="s">
        <v>11620</v>
      </c>
      <c r="I6283" s="501">
        <v>17</v>
      </c>
      <c r="J6283" s="501">
        <v>17</v>
      </c>
      <c r="K6283" s="501">
        <v>0</v>
      </c>
      <c r="L6283" s="501">
        <v>0</v>
      </c>
      <c r="M6283" s="501">
        <v>0</v>
      </c>
      <c r="N6283" s="501">
        <v>0</v>
      </c>
      <c r="O6283" s="506">
        <v>0</v>
      </c>
    </row>
    <row r="6284" spans="1:15" x14ac:dyDescent="0.35">
      <c r="A6284" s="503" t="s">
        <v>1680</v>
      </c>
      <c r="B6284" s="504" t="s">
        <v>3168</v>
      </c>
      <c r="C6284" s="504" t="s">
        <v>1094</v>
      </c>
      <c r="D6284" s="504" t="s">
        <v>3380</v>
      </c>
      <c r="E6284" s="504" t="s">
        <v>3381</v>
      </c>
      <c r="F6284" s="504" t="s">
        <v>804</v>
      </c>
      <c r="G6284" s="504" t="s">
        <v>805</v>
      </c>
      <c r="H6284" s="504" t="s">
        <v>11636</v>
      </c>
      <c r="I6284" s="504">
        <v>8</v>
      </c>
      <c r="J6284" s="504">
        <v>0</v>
      </c>
      <c r="K6284" s="504">
        <v>0</v>
      </c>
      <c r="L6284" s="504">
        <v>8</v>
      </c>
      <c r="M6284" s="504">
        <v>0</v>
      </c>
      <c r="N6284" s="504">
        <v>0</v>
      </c>
      <c r="O6284" s="505">
        <v>0</v>
      </c>
    </row>
    <row r="6285" spans="1:15" x14ac:dyDescent="0.35">
      <c r="A6285" s="500" t="s">
        <v>1160</v>
      </c>
      <c r="B6285" s="501">
        <v>4672</v>
      </c>
      <c r="C6285" s="501" t="s">
        <v>1089</v>
      </c>
      <c r="D6285" s="501" t="s">
        <v>3392</v>
      </c>
      <c r="E6285" s="501" t="s">
        <v>3381</v>
      </c>
      <c r="F6285" s="501" t="s">
        <v>804</v>
      </c>
      <c r="G6285" s="501" t="s">
        <v>805</v>
      </c>
      <c r="H6285" s="501" t="s">
        <v>8414</v>
      </c>
      <c r="I6285" s="501">
        <v>1</v>
      </c>
      <c r="J6285" s="501">
        <v>0</v>
      </c>
      <c r="K6285" s="501">
        <v>0</v>
      </c>
      <c r="L6285" s="501">
        <v>1</v>
      </c>
      <c r="M6285" s="501">
        <v>0</v>
      </c>
      <c r="N6285" s="501">
        <v>0</v>
      </c>
      <c r="O6285" s="506">
        <v>0</v>
      </c>
    </row>
    <row r="6286" spans="1:15" x14ac:dyDescent="0.35">
      <c r="A6286" s="503" t="s">
        <v>1691</v>
      </c>
      <c r="B6286" s="504" t="s">
        <v>3199</v>
      </c>
      <c r="C6286" s="504" t="s">
        <v>1094</v>
      </c>
      <c r="D6286" s="504" t="s">
        <v>3380</v>
      </c>
      <c r="E6286" s="504" t="s">
        <v>3381</v>
      </c>
      <c r="F6286" s="504" t="s">
        <v>804</v>
      </c>
      <c r="G6286" s="504" t="s">
        <v>805</v>
      </c>
      <c r="H6286" s="504" t="s">
        <v>8415</v>
      </c>
      <c r="I6286" s="504">
        <v>6562</v>
      </c>
      <c r="J6286" s="504">
        <v>5941</v>
      </c>
      <c r="K6286" s="504">
        <v>0</v>
      </c>
      <c r="L6286" s="504">
        <v>167</v>
      </c>
      <c r="M6286" s="504">
        <v>429</v>
      </c>
      <c r="N6286" s="504">
        <v>0</v>
      </c>
      <c r="O6286" s="505">
        <v>25</v>
      </c>
    </row>
    <row r="6287" spans="1:15" x14ac:dyDescent="0.35">
      <c r="A6287" s="500" t="s">
        <v>1167</v>
      </c>
      <c r="B6287" s="501">
        <v>4689</v>
      </c>
      <c r="C6287" s="501" t="s">
        <v>1089</v>
      </c>
      <c r="D6287" s="501" t="s">
        <v>3392</v>
      </c>
      <c r="E6287" s="501" t="s">
        <v>3381</v>
      </c>
      <c r="F6287" s="501" t="s">
        <v>804</v>
      </c>
      <c r="G6287" s="501" t="s">
        <v>805</v>
      </c>
      <c r="H6287" s="501" t="s">
        <v>8416</v>
      </c>
      <c r="I6287" s="501">
        <v>1</v>
      </c>
      <c r="J6287" s="501">
        <v>0</v>
      </c>
      <c r="K6287" s="501">
        <v>0</v>
      </c>
      <c r="L6287" s="501">
        <v>1</v>
      </c>
      <c r="M6287" s="501">
        <v>0</v>
      </c>
      <c r="N6287" s="501">
        <v>0</v>
      </c>
      <c r="O6287" s="506">
        <v>0</v>
      </c>
    </row>
    <row r="6288" spans="1:15" x14ac:dyDescent="0.35">
      <c r="A6288" s="503" t="s">
        <v>1102</v>
      </c>
      <c r="B6288" s="504">
        <v>4663</v>
      </c>
      <c r="C6288" s="504" t="s">
        <v>1089</v>
      </c>
      <c r="D6288" s="504" t="s">
        <v>3392</v>
      </c>
      <c r="E6288" s="504" t="s">
        <v>3381</v>
      </c>
      <c r="F6288" s="504" t="s">
        <v>804</v>
      </c>
      <c r="G6288" s="504" t="s">
        <v>805</v>
      </c>
      <c r="H6288" s="504" t="s">
        <v>8417</v>
      </c>
      <c r="I6288" s="504">
        <v>3</v>
      </c>
      <c r="J6288" s="504">
        <v>0</v>
      </c>
      <c r="K6288" s="504">
        <v>0</v>
      </c>
      <c r="L6288" s="504">
        <v>3</v>
      </c>
      <c r="M6288" s="504">
        <v>0</v>
      </c>
      <c r="N6288" s="504">
        <v>0</v>
      </c>
      <c r="O6288" s="505">
        <v>0</v>
      </c>
    </row>
    <row r="6289" spans="1:15" x14ac:dyDescent="0.35">
      <c r="A6289" s="500" t="s">
        <v>1174</v>
      </c>
      <c r="B6289" s="501">
        <v>4784</v>
      </c>
      <c r="C6289" s="501" t="s">
        <v>1089</v>
      </c>
      <c r="D6289" s="501" t="s">
        <v>3392</v>
      </c>
      <c r="E6289" s="501" t="s">
        <v>3381</v>
      </c>
      <c r="F6289" s="501" t="s">
        <v>804</v>
      </c>
      <c r="G6289" s="501" t="s">
        <v>805</v>
      </c>
      <c r="H6289" s="501" t="s">
        <v>8418</v>
      </c>
      <c r="I6289" s="501">
        <v>18</v>
      </c>
      <c r="J6289" s="501">
        <v>0</v>
      </c>
      <c r="K6289" s="501">
        <v>0</v>
      </c>
      <c r="L6289" s="501">
        <v>18</v>
      </c>
      <c r="M6289" s="501">
        <v>0</v>
      </c>
      <c r="N6289" s="501">
        <v>0</v>
      </c>
      <c r="O6289" s="506">
        <v>0</v>
      </c>
    </row>
    <row r="6290" spans="1:15" x14ac:dyDescent="0.35">
      <c r="A6290" s="503" t="s">
        <v>14208</v>
      </c>
      <c r="B6290" s="504">
        <v>4803</v>
      </c>
      <c r="C6290" s="504" t="s">
        <v>1094</v>
      </c>
      <c r="D6290" s="504" t="s">
        <v>3380</v>
      </c>
      <c r="E6290" s="504" t="s">
        <v>3381</v>
      </c>
      <c r="F6290" s="504" t="s">
        <v>804</v>
      </c>
      <c r="G6290" s="504" t="s">
        <v>805</v>
      </c>
      <c r="H6290" s="504" t="s">
        <v>14975</v>
      </c>
      <c r="I6290" s="504">
        <v>13</v>
      </c>
      <c r="J6290" s="504">
        <v>0</v>
      </c>
      <c r="K6290" s="504">
        <v>0</v>
      </c>
      <c r="L6290" s="504">
        <v>13</v>
      </c>
      <c r="M6290" s="504">
        <v>0</v>
      </c>
      <c r="N6290" s="504">
        <v>0</v>
      </c>
      <c r="O6290" s="505">
        <v>0</v>
      </c>
    </row>
    <row r="6291" spans="1:15" x14ac:dyDescent="0.35">
      <c r="A6291" s="500" t="s">
        <v>1183</v>
      </c>
      <c r="B6291" s="501" t="s">
        <v>3038</v>
      </c>
      <c r="C6291" s="501" t="s">
        <v>1094</v>
      </c>
      <c r="D6291" s="501" t="s">
        <v>3380</v>
      </c>
      <c r="E6291" s="501" t="s">
        <v>3381</v>
      </c>
      <c r="F6291" s="501" t="s">
        <v>804</v>
      </c>
      <c r="G6291" s="501" t="s">
        <v>805</v>
      </c>
      <c r="H6291" s="501" t="s">
        <v>8419</v>
      </c>
      <c r="I6291" s="501">
        <v>260</v>
      </c>
      <c r="J6291" s="501">
        <v>204</v>
      </c>
      <c r="K6291" s="501">
        <v>0</v>
      </c>
      <c r="L6291" s="501">
        <v>8</v>
      </c>
      <c r="M6291" s="501">
        <v>0</v>
      </c>
      <c r="N6291" s="501">
        <v>0</v>
      </c>
      <c r="O6291" s="506">
        <v>48</v>
      </c>
    </row>
    <row r="6292" spans="1:15" x14ac:dyDescent="0.35">
      <c r="A6292" s="503" t="s">
        <v>1186</v>
      </c>
      <c r="B6292" s="504">
        <v>4661</v>
      </c>
      <c r="C6292" s="504" t="s">
        <v>1089</v>
      </c>
      <c r="D6292" s="504" t="s">
        <v>3392</v>
      </c>
      <c r="E6292" s="504" t="s">
        <v>3381</v>
      </c>
      <c r="F6292" s="504" t="s">
        <v>804</v>
      </c>
      <c r="G6292" s="504" t="s">
        <v>805</v>
      </c>
      <c r="H6292" s="504" t="s">
        <v>8420</v>
      </c>
      <c r="I6292" s="504">
        <v>34</v>
      </c>
      <c r="J6292" s="504">
        <v>0</v>
      </c>
      <c r="K6292" s="504">
        <v>0</v>
      </c>
      <c r="L6292" s="504">
        <v>34</v>
      </c>
      <c r="M6292" s="504">
        <v>0</v>
      </c>
      <c r="N6292" s="504">
        <v>0</v>
      </c>
      <c r="O6292" s="505">
        <v>0</v>
      </c>
    </row>
    <row r="6293" spans="1:15" x14ac:dyDescent="0.35">
      <c r="A6293" s="500" t="s">
        <v>1105</v>
      </c>
      <c r="B6293" s="501">
        <v>4668</v>
      </c>
      <c r="C6293" s="501" t="s">
        <v>1094</v>
      </c>
      <c r="D6293" s="501" t="s">
        <v>3380</v>
      </c>
      <c r="E6293" s="501" t="s">
        <v>3381</v>
      </c>
      <c r="F6293" s="501" t="s">
        <v>804</v>
      </c>
      <c r="G6293" s="501" t="s">
        <v>805</v>
      </c>
      <c r="H6293" s="501" t="s">
        <v>8421</v>
      </c>
      <c r="I6293" s="501">
        <v>184</v>
      </c>
      <c r="J6293" s="501">
        <v>0</v>
      </c>
      <c r="K6293" s="501">
        <v>0</v>
      </c>
      <c r="L6293" s="501">
        <v>0</v>
      </c>
      <c r="M6293" s="501">
        <v>0</v>
      </c>
      <c r="N6293" s="501">
        <v>0</v>
      </c>
      <c r="O6293" s="506">
        <v>184</v>
      </c>
    </row>
    <row r="6294" spans="1:15" x14ac:dyDescent="0.35">
      <c r="A6294" s="503" t="s">
        <v>1188</v>
      </c>
      <c r="B6294" s="504">
        <v>4760</v>
      </c>
      <c r="C6294" s="504" t="s">
        <v>1089</v>
      </c>
      <c r="D6294" s="504" t="s">
        <v>3392</v>
      </c>
      <c r="E6294" s="504" t="s">
        <v>3381</v>
      </c>
      <c r="F6294" s="504" t="s">
        <v>804</v>
      </c>
      <c r="G6294" s="504" t="s">
        <v>805</v>
      </c>
      <c r="H6294" s="504" t="s">
        <v>8422</v>
      </c>
      <c r="I6294" s="504">
        <v>4</v>
      </c>
      <c r="J6294" s="504">
        <v>0</v>
      </c>
      <c r="K6294" s="504">
        <v>0</v>
      </c>
      <c r="L6294" s="504">
        <v>4</v>
      </c>
      <c r="M6294" s="504">
        <v>0</v>
      </c>
      <c r="N6294" s="504">
        <v>0</v>
      </c>
      <c r="O6294" s="505">
        <v>0</v>
      </c>
    </row>
    <row r="6295" spans="1:15" x14ac:dyDescent="0.35">
      <c r="A6295" s="500" t="s">
        <v>1109</v>
      </c>
      <c r="B6295" s="501" t="s">
        <v>2959</v>
      </c>
      <c r="C6295" s="501" t="s">
        <v>1094</v>
      </c>
      <c r="D6295" s="501" t="s">
        <v>3380</v>
      </c>
      <c r="E6295" s="501" t="s">
        <v>3381</v>
      </c>
      <c r="F6295" s="501" t="s">
        <v>804</v>
      </c>
      <c r="G6295" s="501" t="s">
        <v>805</v>
      </c>
      <c r="H6295" s="501" t="s">
        <v>8423</v>
      </c>
      <c r="I6295" s="501">
        <v>41</v>
      </c>
      <c r="J6295" s="501">
        <v>0</v>
      </c>
      <c r="K6295" s="501">
        <v>0</v>
      </c>
      <c r="L6295" s="501">
        <v>0</v>
      </c>
      <c r="M6295" s="501">
        <v>41</v>
      </c>
      <c r="N6295" s="501">
        <v>0</v>
      </c>
      <c r="O6295" s="506">
        <v>0</v>
      </c>
    </row>
    <row r="6296" spans="1:15" x14ac:dyDescent="0.35">
      <c r="A6296" s="503" t="s">
        <v>1190</v>
      </c>
      <c r="B6296" s="504">
        <v>4662</v>
      </c>
      <c r="C6296" s="504" t="s">
        <v>1094</v>
      </c>
      <c r="D6296" s="504" t="s">
        <v>3380</v>
      </c>
      <c r="E6296" s="504" t="s">
        <v>3381</v>
      </c>
      <c r="F6296" s="504" t="s">
        <v>804</v>
      </c>
      <c r="G6296" s="504" t="s">
        <v>805</v>
      </c>
      <c r="H6296" s="504" t="s">
        <v>8424</v>
      </c>
      <c r="I6296" s="504">
        <v>21</v>
      </c>
      <c r="J6296" s="504">
        <v>0</v>
      </c>
      <c r="K6296" s="504">
        <v>0</v>
      </c>
      <c r="L6296" s="504">
        <v>21</v>
      </c>
      <c r="M6296" s="504">
        <v>0</v>
      </c>
      <c r="N6296" s="504">
        <v>0</v>
      </c>
      <c r="O6296" s="505">
        <v>0</v>
      </c>
    </row>
    <row r="6297" spans="1:15" x14ac:dyDescent="0.35">
      <c r="A6297" s="500" t="s">
        <v>11401</v>
      </c>
      <c r="B6297" s="501" t="s">
        <v>3241</v>
      </c>
      <c r="C6297" s="501" t="s">
        <v>1094</v>
      </c>
      <c r="D6297" s="501" t="s">
        <v>3380</v>
      </c>
      <c r="E6297" s="501" t="s">
        <v>3381</v>
      </c>
      <c r="F6297" s="501" t="s">
        <v>804</v>
      </c>
      <c r="G6297" s="501" t="s">
        <v>805</v>
      </c>
      <c r="H6297" s="501" t="s">
        <v>11783</v>
      </c>
      <c r="I6297" s="501">
        <v>582</v>
      </c>
      <c r="J6297" s="501">
        <v>528</v>
      </c>
      <c r="K6297" s="501">
        <v>0</v>
      </c>
      <c r="L6297" s="501">
        <v>0</v>
      </c>
      <c r="M6297" s="501">
        <v>0</v>
      </c>
      <c r="N6297" s="501">
        <v>0</v>
      </c>
      <c r="O6297" s="506">
        <v>54</v>
      </c>
    </row>
    <row r="6298" spans="1:15" x14ac:dyDescent="0.35">
      <c r="A6298" s="503" t="s">
        <v>1310</v>
      </c>
      <c r="B6298" s="504">
        <v>5062</v>
      </c>
      <c r="C6298" s="504" t="s">
        <v>1089</v>
      </c>
      <c r="D6298" s="504" t="s">
        <v>3380</v>
      </c>
      <c r="E6298" s="504" t="s">
        <v>3381</v>
      </c>
      <c r="F6298" s="504" t="s">
        <v>804</v>
      </c>
      <c r="G6298" s="504" t="s">
        <v>805</v>
      </c>
      <c r="H6298" s="504" t="s">
        <v>14976</v>
      </c>
      <c r="I6298" s="504">
        <v>3</v>
      </c>
      <c r="J6298" s="504">
        <v>0</v>
      </c>
      <c r="K6298" s="504">
        <v>0</v>
      </c>
      <c r="L6298" s="504">
        <v>0</v>
      </c>
      <c r="M6298" s="504">
        <v>0</v>
      </c>
      <c r="N6298" s="504">
        <v>0</v>
      </c>
      <c r="O6298" s="505">
        <v>3</v>
      </c>
    </row>
    <row r="6299" spans="1:15" x14ac:dyDescent="0.35">
      <c r="A6299" s="500" t="s">
        <v>1730</v>
      </c>
      <c r="B6299" s="501" t="s">
        <v>3351</v>
      </c>
      <c r="C6299" s="501" t="s">
        <v>1094</v>
      </c>
      <c r="D6299" s="501" t="s">
        <v>3380</v>
      </c>
      <c r="E6299" s="501" t="s">
        <v>3381</v>
      </c>
      <c r="F6299" s="501" t="s">
        <v>804</v>
      </c>
      <c r="G6299" s="501" t="s">
        <v>805</v>
      </c>
      <c r="H6299" s="501" t="s">
        <v>8425</v>
      </c>
      <c r="I6299" s="501">
        <v>6</v>
      </c>
      <c r="J6299" s="501">
        <v>6</v>
      </c>
      <c r="K6299" s="501">
        <v>0</v>
      </c>
      <c r="L6299" s="501">
        <v>0</v>
      </c>
      <c r="M6299" s="501">
        <v>0</v>
      </c>
      <c r="N6299" s="501">
        <v>0</v>
      </c>
      <c r="O6299" s="506">
        <v>0</v>
      </c>
    </row>
    <row r="6300" spans="1:15" x14ac:dyDescent="0.35">
      <c r="A6300" s="503" t="s">
        <v>1209</v>
      </c>
      <c r="B6300" s="504">
        <v>4779</v>
      </c>
      <c r="C6300" s="504" t="s">
        <v>1094</v>
      </c>
      <c r="D6300" s="504" t="s">
        <v>3380</v>
      </c>
      <c r="E6300" s="504" t="s">
        <v>3381</v>
      </c>
      <c r="F6300" s="504" t="s">
        <v>804</v>
      </c>
      <c r="G6300" s="504" t="s">
        <v>805</v>
      </c>
      <c r="H6300" s="504" t="s">
        <v>8426</v>
      </c>
      <c r="I6300" s="504">
        <v>38</v>
      </c>
      <c r="J6300" s="504">
        <v>0</v>
      </c>
      <c r="K6300" s="504">
        <v>0</v>
      </c>
      <c r="L6300" s="504">
        <v>38</v>
      </c>
      <c r="M6300" s="504">
        <v>0</v>
      </c>
      <c r="N6300" s="504">
        <v>0</v>
      </c>
      <c r="O6300" s="505">
        <v>0</v>
      </c>
    </row>
    <row r="6301" spans="1:15" x14ac:dyDescent="0.35">
      <c r="A6301" s="500" t="s">
        <v>1503</v>
      </c>
      <c r="B6301" s="501">
        <v>4666</v>
      </c>
      <c r="C6301" s="501" t="s">
        <v>1089</v>
      </c>
      <c r="D6301" s="501" t="s">
        <v>3392</v>
      </c>
      <c r="E6301" s="501" t="s">
        <v>3381</v>
      </c>
      <c r="F6301" s="501" t="s">
        <v>804</v>
      </c>
      <c r="G6301" s="501" t="s">
        <v>805</v>
      </c>
      <c r="H6301" s="501" t="s">
        <v>8427</v>
      </c>
      <c r="I6301" s="501">
        <v>2</v>
      </c>
      <c r="J6301" s="501">
        <v>0</v>
      </c>
      <c r="K6301" s="501">
        <v>0</v>
      </c>
      <c r="L6301" s="501">
        <v>2</v>
      </c>
      <c r="M6301" s="501">
        <v>0</v>
      </c>
      <c r="N6301" s="501">
        <v>0</v>
      </c>
      <c r="O6301" s="506">
        <v>0</v>
      </c>
    </row>
    <row r="6302" spans="1:15" x14ac:dyDescent="0.35">
      <c r="A6302" s="503" t="s">
        <v>1744</v>
      </c>
      <c r="B6302" s="504" t="s">
        <v>3245</v>
      </c>
      <c r="C6302" s="504" t="s">
        <v>1094</v>
      </c>
      <c r="D6302" s="504" t="s">
        <v>3380</v>
      </c>
      <c r="E6302" s="504" t="s">
        <v>3381</v>
      </c>
      <c r="F6302" s="504" t="s">
        <v>804</v>
      </c>
      <c r="G6302" s="504" t="s">
        <v>805</v>
      </c>
      <c r="H6302" s="504" t="s">
        <v>8428</v>
      </c>
      <c r="I6302" s="504">
        <v>1016</v>
      </c>
      <c r="J6302" s="504">
        <v>873</v>
      </c>
      <c r="K6302" s="504">
        <v>0</v>
      </c>
      <c r="L6302" s="504">
        <v>26</v>
      </c>
      <c r="M6302" s="504">
        <v>56</v>
      </c>
      <c r="N6302" s="504">
        <v>1</v>
      </c>
      <c r="O6302" s="505">
        <v>61</v>
      </c>
    </row>
    <row r="6303" spans="1:15" x14ac:dyDescent="0.35">
      <c r="A6303" s="500" t="s">
        <v>1525</v>
      </c>
      <c r="B6303" s="501" t="s">
        <v>2923</v>
      </c>
      <c r="C6303" s="501" t="s">
        <v>1089</v>
      </c>
      <c r="D6303" s="501" t="s">
        <v>3392</v>
      </c>
      <c r="E6303" s="501" t="s">
        <v>3381</v>
      </c>
      <c r="F6303" s="501" t="s">
        <v>804</v>
      </c>
      <c r="G6303" s="501" t="s">
        <v>805</v>
      </c>
      <c r="H6303" s="501" t="s">
        <v>8429</v>
      </c>
      <c r="I6303" s="501">
        <v>10</v>
      </c>
      <c r="J6303" s="501">
        <v>0</v>
      </c>
      <c r="K6303" s="501">
        <v>0</v>
      </c>
      <c r="L6303" s="501">
        <v>10</v>
      </c>
      <c r="M6303" s="501">
        <v>0</v>
      </c>
      <c r="N6303" s="501">
        <v>0</v>
      </c>
      <c r="O6303" s="506">
        <v>0</v>
      </c>
    </row>
    <row r="6304" spans="1:15" x14ac:dyDescent="0.35">
      <c r="A6304" s="503" t="s">
        <v>1122</v>
      </c>
      <c r="B6304" s="504" t="s">
        <v>2994</v>
      </c>
      <c r="C6304" s="504" t="s">
        <v>1094</v>
      </c>
      <c r="D6304" s="504" t="s">
        <v>3380</v>
      </c>
      <c r="E6304" s="504" t="s">
        <v>3381</v>
      </c>
      <c r="F6304" s="504" t="s">
        <v>804</v>
      </c>
      <c r="G6304" s="504" t="s">
        <v>805</v>
      </c>
      <c r="H6304" s="504" t="s">
        <v>8430</v>
      </c>
      <c r="I6304" s="504">
        <v>2238</v>
      </c>
      <c r="J6304" s="504">
        <v>1884</v>
      </c>
      <c r="K6304" s="504">
        <v>0</v>
      </c>
      <c r="L6304" s="504">
        <v>21</v>
      </c>
      <c r="M6304" s="504">
        <v>224</v>
      </c>
      <c r="N6304" s="504">
        <v>0</v>
      </c>
      <c r="O6304" s="505">
        <v>109</v>
      </c>
    </row>
    <row r="6305" spans="1:15" x14ac:dyDescent="0.35">
      <c r="A6305" s="500" t="s">
        <v>1225</v>
      </c>
      <c r="B6305" s="501" t="s">
        <v>3315</v>
      </c>
      <c r="C6305" s="501" t="s">
        <v>1094</v>
      </c>
      <c r="D6305" s="501" t="s">
        <v>3380</v>
      </c>
      <c r="E6305" s="501" t="s">
        <v>3381</v>
      </c>
      <c r="F6305" s="501" t="s">
        <v>804</v>
      </c>
      <c r="G6305" s="501" t="s">
        <v>805</v>
      </c>
      <c r="H6305" s="501" t="s">
        <v>8431</v>
      </c>
      <c r="I6305" s="501">
        <v>201</v>
      </c>
      <c r="J6305" s="501">
        <v>2</v>
      </c>
      <c r="K6305" s="501">
        <v>0</v>
      </c>
      <c r="L6305" s="501">
        <v>159</v>
      </c>
      <c r="M6305" s="501">
        <v>40</v>
      </c>
      <c r="N6305" s="501">
        <v>0</v>
      </c>
      <c r="O6305" s="506">
        <v>0</v>
      </c>
    </row>
    <row r="6306" spans="1:15" x14ac:dyDescent="0.35">
      <c r="A6306" s="503" t="s">
        <v>1228</v>
      </c>
      <c r="B6306" s="504" t="s">
        <v>3321</v>
      </c>
      <c r="C6306" s="504" t="s">
        <v>1094</v>
      </c>
      <c r="D6306" s="504" t="s">
        <v>3380</v>
      </c>
      <c r="E6306" s="504" t="s">
        <v>3381</v>
      </c>
      <c r="F6306" s="504" t="s">
        <v>804</v>
      </c>
      <c r="G6306" s="504" t="s">
        <v>805</v>
      </c>
      <c r="H6306" s="504" t="s">
        <v>8432</v>
      </c>
      <c r="I6306" s="504">
        <v>190</v>
      </c>
      <c r="J6306" s="504">
        <v>83</v>
      </c>
      <c r="K6306" s="504">
        <v>0</v>
      </c>
      <c r="L6306" s="504">
        <v>75</v>
      </c>
      <c r="M6306" s="504">
        <v>0</v>
      </c>
      <c r="N6306" s="504">
        <v>0</v>
      </c>
      <c r="O6306" s="505">
        <v>32</v>
      </c>
    </row>
    <row r="6307" spans="1:15" x14ac:dyDescent="0.35">
      <c r="A6307" s="500" t="s">
        <v>1233</v>
      </c>
      <c r="B6307" s="501">
        <v>4636</v>
      </c>
      <c r="C6307" s="501" t="s">
        <v>1094</v>
      </c>
      <c r="D6307" s="501" t="s">
        <v>3380</v>
      </c>
      <c r="E6307" s="501" t="s">
        <v>3381</v>
      </c>
      <c r="F6307" s="501" t="s">
        <v>804</v>
      </c>
      <c r="G6307" s="501" t="s">
        <v>805</v>
      </c>
      <c r="H6307" s="501" t="s">
        <v>8433</v>
      </c>
      <c r="I6307" s="501">
        <v>45</v>
      </c>
      <c r="J6307" s="501">
        <v>0</v>
      </c>
      <c r="K6307" s="501">
        <v>0</v>
      </c>
      <c r="L6307" s="501">
        <v>0</v>
      </c>
      <c r="M6307" s="501">
        <v>0</v>
      </c>
      <c r="N6307" s="501">
        <v>0</v>
      </c>
      <c r="O6307" s="506">
        <v>45</v>
      </c>
    </row>
    <row r="6308" spans="1:15" x14ac:dyDescent="0.35">
      <c r="A6308" s="503" t="s">
        <v>11368</v>
      </c>
      <c r="B6308" s="504">
        <v>5083</v>
      </c>
      <c r="C6308" s="504" t="s">
        <v>1094</v>
      </c>
      <c r="D6308" s="504" t="s">
        <v>3380</v>
      </c>
      <c r="E6308" s="504" t="s">
        <v>3381</v>
      </c>
      <c r="F6308" s="504" t="s">
        <v>804</v>
      </c>
      <c r="G6308" s="504" t="s">
        <v>805</v>
      </c>
      <c r="H6308" s="504" t="s">
        <v>12069</v>
      </c>
      <c r="I6308" s="504">
        <v>44</v>
      </c>
      <c r="J6308" s="504">
        <v>44</v>
      </c>
      <c r="K6308" s="504">
        <v>0</v>
      </c>
      <c r="L6308" s="504">
        <v>0</v>
      </c>
      <c r="M6308" s="504">
        <v>0</v>
      </c>
      <c r="N6308" s="504">
        <v>0</v>
      </c>
      <c r="O6308" s="505">
        <v>0</v>
      </c>
    </row>
    <row r="6309" spans="1:15" x14ac:dyDescent="0.35">
      <c r="A6309" s="500" t="s">
        <v>1234</v>
      </c>
      <c r="B6309" s="501" t="s">
        <v>3291</v>
      </c>
      <c r="C6309" s="501" t="s">
        <v>1094</v>
      </c>
      <c r="D6309" s="501" t="s">
        <v>3380</v>
      </c>
      <c r="E6309" s="501" t="s">
        <v>3381</v>
      </c>
      <c r="F6309" s="501" t="s">
        <v>804</v>
      </c>
      <c r="G6309" s="501" t="s">
        <v>805</v>
      </c>
      <c r="H6309" s="501" t="s">
        <v>8434</v>
      </c>
      <c r="I6309" s="501">
        <v>16</v>
      </c>
      <c r="J6309" s="501">
        <v>0</v>
      </c>
      <c r="K6309" s="501">
        <v>0</v>
      </c>
      <c r="L6309" s="501">
        <v>16</v>
      </c>
      <c r="M6309" s="501">
        <v>0</v>
      </c>
      <c r="N6309" s="501">
        <v>0</v>
      </c>
      <c r="O6309" s="506">
        <v>0</v>
      </c>
    </row>
    <row r="6310" spans="1:15" x14ac:dyDescent="0.35">
      <c r="A6310" s="503" t="s">
        <v>1257</v>
      </c>
      <c r="B6310" s="504" t="s">
        <v>3151</v>
      </c>
      <c r="C6310" s="504" t="s">
        <v>1094</v>
      </c>
      <c r="D6310" s="504" t="s">
        <v>3380</v>
      </c>
      <c r="E6310" s="504" t="s">
        <v>3381</v>
      </c>
      <c r="F6310" s="504" t="s">
        <v>804</v>
      </c>
      <c r="G6310" s="504" t="s">
        <v>805</v>
      </c>
      <c r="H6310" s="504" t="s">
        <v>8435</v>
      </c>
      <c r="I6310" s="504">
        <v>35</v>
      </c>
      <c r="J6310" s="504">
        <v>19</v>
      </c>
      <c r="K6310" s="504">
        <v>0</v>
      </c>
      <c r="L6310" s="504">
        <v>0</v>
      </c>
      <c r="M6310" s="504">
        <v>0</v>
      </c>
      <c r="N6310" s="504">
        <v>0</v>
      </c>
      <c r="O6310" s="505">
        <v>16</v>
      </c>
    </row>
    <row r="6311" spans="1:15" x14ac:dyDescent="0.35">
      <c r="A6311" s="500" t="s">
        <v>1266</v>
      </c>
      <c r="B6311" s="501" t="s">
        <v>3071</v>
      </c>
      <c r="C6311" s="501" t="s">
        <v>1094</v>
      </c>
      <c r="D6311" s="501" t="s">
        <v>3380</v>
      </c>
      <c r="E6311" s="501" t="s">
        <v>3381</v>
      </c>
      <c r="F6311" s="501" t="s">
        <v>804</v>
      </c>
      <c r="G6311" s="501" t="s">
        <v>805</v>
      </c>
      <c r="H6311" s="501" t="s">
        <v>8436</v>
      </c>
      <c r="I6311" s="501">
        <v>963</v>
      </c>
      <c r="J6311" s="501">
        <v>612</v>
      </c>
      <c r="K6311" s="501">
        <v>0</v>
      </c>
      <c r="L6311" s="501">
        <v>31</v>
      </c>
      <c r="M6311" s="501">
        <v>251</v>
      </c>
      <c r="N6311" s="501">
        <v>0</v>
      </c>
      <c r="O6311" s="506">
        <v>69</v>
      </c>
    </row>
    <row r="6312" spans="1:15" x14ac:dyDescent="0.35">
      <c r="A6312" s="503" t="s">
        <v>1385</v>
      </c>
      <c r="B6312" s="504" t="s">
        <v>3249</v>
      </c>
      <c r="C6312" s="504" t="s">
        <v>1094</v>
      </c>
      <c r="D6312" s="504" t="s">
        <v>3380</v>
      </c>
      <c r="E6312" s="504" t="s">
        <v>3381</v>
      </c>
      <c r="F6312" s="504" t="s">
        <v>806</v>
      </c>
      <c r="G6312" s="504" t="s">
        <v>807</v>
      </c>
      <c r="H6312" s="504" t="s">
        <v>8437</v>
      </c>
      <c r="I6312" s="504">
        <v>125</v>
      </c>
      <c r="J6312" s="504">
        <v>63</v>
      </c>
      <c r="K6312" s="504">
        <v>0</v>
      </c>
      <c r="L6312" s="504">
        <v>35</v>
      </c>
      <c r="M6312" s="504">
        <v>0</v>
      </c>
      <c r="N6312" s="504">
        <v>0</v>
      </c>
      <c r="O6312" s="505">
        <v>27</v>
      </c>
    </row>
    <row r="6313" spans="1:15" x14ac:dyDescent="0.35">
      <c r="A6313" s="500" t="s">
        <v>1791</v>
      </c>
      <c r="B6313" s="501" t="s">
        <v>3367</v>
      </c>
      <c r="C6313" s="501" t="s">
        <v>1089</v>
      </c>
      <c r="D6313" s="501" t="s">
        <v>3392</v>
      </c>
      <c r="E6313" s="501" t="s">
        <v>3381</v>
      </c>
      <c r="F6313" s="501" t="s">
        <v>806</v>
      </c>
      <c r="G6313" s="501" t="s">
        <v>807</v>
      </c>
      <c r="H6313" s="501" t="s">
        <v>8438</v>
      </c>
      <c r="I6313" s="501">
        <v>16</v>
      </c>
      <c r="J6313" s="501">
        <v>0</v>
      </c>
      <c r="K6313" s="501">
        <v>16</v>
      </c>
      <c r="L6313" s="501">
        <v>0</v>
      </c>
      <c r="M6313" s="501">
        <v>0</v>
      </c>
      <c r="N6313" s="501">
        <v>0</v>
      </c>
      <c r="O6313" s="506">
        <v>0</v>
      </c>
    </row>
    <row r="6314" spans="1:15" x14ac:dyDescent="0.35">
      <c r="A6314" s="503" t="s">
        <v>1386</v>
      </c>
      <c r="B6314" s="504" t="s">
        <v>3331</v>
      </c>
      <c r="C6314" s="504" t="s">
        <v>1094</v>
      </c>
      <c r="D6314" s="504" t="s">
        <v>3380</v>
      </c>
      <c r="E6314" s="504" t="s">
        <v>3381</v>
      </c>
      <c r="F6314" s="504" t="s">
        <v>806</v>
      </c>
      <c r="G6314" s="504" t="s">
        <v>807</v>
      </c>
      <c r="H6314" s="504" t="s">
        <v>8439</v>
      </c>
      <c r="I6314" s="504">
        <v>199</v>
      </c>
      <c r="J6314" s="504">
        <v>51</v>
      </c>
      <c r="K6314" s="504">
        <v>0</v>
      </c>
      <c r="L6314" s="504">
        <v>4</v>
      </c>
      <c r="M6314" s="504">
        <v>144</v>
      </c>
      <c r="N6314" s="504">
        <v>0</v>
      </c>
      <c r="O6314" s="505">
        <v>0</v>
      </c>
    </row>
    <row r="6315" spans="1:15" x14ac:dyDescent="0.35">
      <c r="A6315" s="500" t="s">
        <v>1091</v>
      </c>
      <c r="B6315" s="501" t="s">
        <v>3288</v>
      </c>
      <c r="C6315" s="501" t="s">
        <v>1089</v>
      </c>
      <c r="D6315" s="501" t="s">
        <v>3392</v>
      </c>
      <c r="E6315" s="501" t="s">
        <v>3381</v>
      </c>
      <c r="F6315" s="501" t="s">
        <v>806</v>
      </c>
      <c r="G6315" s="501" t="s">
        <v>807</v>
      </c>
      <c r="H6315" s="501" t="s">
        <v>8440</v>
      </c>
      <c r="I6315" s="501">
        <v>63</v>
      </c>
      <c r="J6315" s="501">
        <v>5</v>
      </c>
      <c r="K6315" s="501">
        <v>0</v>
      </c>
      <c r="L6315" s="501">
        <v>58</v>
      </c>
      <c r="M6315" s="501">
        <v>0</v>
      </c>
      <c r="N6315" s="501">
        <v>0</v>
      </c>
      <c r="O6315" s="506">
        <v>0</v>
      </c>
    </row>
    <row r="6316" spans="1:15" x14ac:dyDescent="0.35">
      <c r="A6316" s="503" t="s">
        <v>14127</v>
      </c>
      <c r="B6316" s="504" t="s">
        <v>14126</v>
      </c>
      <c r="C6316" s="504" t="s">
        <v>1094</v>
      </c>
      <c r="D6316" s="504" t="s">
        <v>3380</v>
      </c>
      <c r="E6316" s="504" t="s">
        <v>3381</v>
      </c>
      <c r="F6316" s="504" t="s">
        <v>806</v>
      </c>
      <c r="G6316" s="504" t="s">
        <v>807</v>
      </c>
      <c r="H6316" s="504" t="s">
        <v>14977</v>
      </c>
      <c r="I6316" s="504">
        <v>116</v>
      </c>
      <c r="J6316" s="504">
        <v>90</v>
      </c>
      <c r="K6316" s="504">
        <v>0</v>
      </c>
      <c r="L6316" s="504">
        <v>8</v>
      </c>
      <c r="M6316" s="504">
        <v>0</v>
      </c>
      <c r="N6316" s="504">
        <v>0</v>
      </c>
      <c r="O6316" s="505">
        <v>18</v>
      </c>
    </row>
    <row r="6317" spans="1:15" x14ac:dyDescent="0.35">
      <c r="A6317" s="500" t="s">
        <v>1093</v>
      </c>
      <c r="B6317" s="501" t="s">
        <v>3248</v>
      </c>
      <c r="C6317" s="501" t="s">
        <v>1094</v>
      </c>
      <c r="D6317" s="501" t="s">
        <v>3380</v>
      </c>
      <c r="E6317" s="501" t="s">
        <v>3381</v>
      </c>
      <c r="F6317" s="501" t="s">
        <v>806</v>
      </c>
      <c r="G6317" s="501" t="s">
        <v>807</v>
      </c>
      <c r="H6317" s="501" t="s">
        <v>8441</v>
      </c>
      <c r="I6317" s="501">
        <v>1</v>
      </c>
      <c r="J6317" s="501">
        <v>0</v>
      </c>
      <c r="K6317" s="501">
        <v>0</v>
      </c>
      <c r="L6317" s="501">
        <v>0</v>
      </c>
      <c r="M6317" s="501">
        <v>0</v>
      </c>
      <c r="N6317" s="501">
        <v>0</v>
      </c>
      <c r="O6317" s="506">
        <v>1</v>
      </c>
    </row>
    <row r="6318" spans="1:15" x14ac:dyDescent="0.35">
      <c r="A6318" s="503" t="s">
        <v>1096</v>
      </c>
      <c r="B6318" s="504" t="s">
        <v>3326</v>
      </c>
      <c r="C6318" s="504" t="s">
        <v>1094</v>
      </c>
      <c r="D6318" s="504" t="s">
        <v>3380</v>
      </c>
      <c r="E6318" s="504" t="s">
        <v>3381</v>
      </c>
      <c r="F6318" s="504" t="s">
        <v>806</v>
      </c>
      <c r="G6318" s="504" t="s">
        <v>807</v>
      </c>
      <c r="H6318" s="504" t="s">
        <v>8442</v>
      </c>
      <c r="I6318" s="504">
        <v>85</v>
      </c>
      <c r="J6318" s="504">
        <v>0</v>
      </c>
      <c r="K6318" s="504">
        <v>0</v>
      </c>
      <c r="L6318" s="504">
        <v>0</v>
      </c>
      <c r="M6318" s="504">
        <v>85</v>
      </c>
      <c r="N6318" s="504">
        <v>0</v>
      </c>
      <c r="O6318" s="505">
        <v>0</v>
      </c>
    </row>
    <row r="6319" spans="1:15" x14ac:dyDescent="0.35">
      <c r="A6319" s="500" t="s">
        <v>11363</v>
      </c>
      <c r="B6319" s="501">
        <v>4718</v>
      </c>
      <c r="C6319" s="501" t="s">
        <v>1094</v>
      </c>
      <c r="D6319" s="501" t="s">
        <v>3380</v>
      </c>
      <c r="E6319" s="501" t="s">
        <v>3381</v>
      </c>
      <c r="F6319" s="501" t="s">
        <v>806</v>
      </c>
      <c r="G6319" s="501" t="s">
        <v>807</v>
      </c>
      <c r="H6319" s="501" t="s">
        <v>11577</v>
      </c>
      <c r="I6319" s="501">
        <v>14</v>
      </c>
      <c r="J6319" s="501">
        <v>0</v>
      </c>
      <c r="K6319" s="501">
        <v>0</v>
      </c>
      <c r="L6319" s="501">
        <v>14</v>
      </c>
      <c r="M6319" s="501">
        <v>0</v>
      </c>
      <c r="N6319" s="501">
        <v>0</v>
      </c>
      <c r="O6319" s="506">
        <v>0</v>
      </c>
    </row>
    <row r="6320" spans="1:15" x14ac:dyDescent="0.35">
      <c r="A6320" s="503" t="s">
        <v>1161</v>
      </c>
      <c r="B6320" s="504" t="s">
        <v>3001</v>
      </c>
      <c r="C6320" s="504" t="s">
        <v>1094</v>
      </c>
      <c r="D6320" s="504" t="s">
        <v>3380</v>
      </c>
      <c r="E6320" s="504" t="s">
        <v>3381</v>
      </c>
      <c r="F6320" s="504" t="s">
        <v>806</v>
      </c>
      <c r="G6320" s="504" t="s">
        <v>807</v>
      </c>
      <c r="H6320" s="504" t="s">
        <v>8443</v>
      </c>
      <c r="I6320" s="504">
        <v>1027</v>
      </c>
      <c r="J6320" s="504">
        <v>759</v>
      </c>
      <c r="K6320" s="504">
        <v>0</v>
      </c>
      <c r="L6320" s="504">
        <v>0</v>
      </c>
      <c r="M6320" s="504">
        <v>90</v>
      </c>
      <c r="N6320" s="504">
        <v>0</v>
      </c>
      <c r="O6320" s="505">
        <v>178</v>
      </c>
    </row>
    <row r="6321" spans="1:15" x14ac:dyDescent="0.35">
      <c r="A6321" s="500" t="s">
        <v>1100</v>
      </c>
      <c r="B6321" s="501">
        <v>4865</v>
      </c>
      <c r="C6321" s="501" t="s">
        <v>1094</v>
      </c>
      <c r="D6321" s="501" t="s">
        <v>3380</v>
      </c>
      <c r="E6321" s="501" t="s">
        <v>3381</v>
      </c>
      <c r="F6321" s="501" t="s">
        <v>806</v>
      </c>
      <c r="G6321" s="501" t="s">
        <v>807</v>
      </c>
      <c r="H6321" s="501" t="s">
        <v>8444</v>
      </c>
      <c r="I6321" s="501">
        <v>82</v>
      </c>
      <c r="J6321" s="501">
        <v>67</v>
      </c>
      <c r="K6321" s="501">
        <v>0</v>
      </c>
      <c r="L6321" s="501">
        <v>0</v>
      </c>
      <c r="M6321" s="501">
        <v>0</v>
      </c>
      <c r="N6321" s="501">
        <v>0</v>
      </c>
      <c r="O6321" s="506">
        <v>15</v>
      </c>
    </row>
    <row r="6322" spans="1:15" x14ac:dyDescent="0.35">
      <c r="A6322" s="503" t="s">
        <v>1287</v>
      </c>
      <c r="B6322" s="504" t="s">
        <v>2784</v>
      </c>
      <c r="C6322" s="504" t="s">
        <v>1089</v>
      </c>
      <c r="D6322" s="504" t="s">
        <v>3392</v>
      </c>
      <c r="E6322" s="504" t="s">
        <v>3381</v>
      </c>
      <c r="F6322" s="504" t="s">
        <v>806</v>
      </c>
      <c r="G6322" s="504" t="s">
        <v>807</v>
      </c>
      <c r="H6322" s="504" t="s">
        <v>8445</v>
      </c>
      <c r="I6322" s="504">
        <v>57</v>
      </c>
      <c r="J6322" s="504">
        <v>57</v>
      </c>
      <c r="K6322" s="504">
        <v>0</v>
      </c>
      <c r="L6322" s="504">
        <v>0</v>
      </c>
      <c r="M6322" s="504">
        <v>0</v>
      </c>
      <c r="N6322" s="504">
        <v>0</v>
      </c>
      <c r="O6322" s="505">
        <v>0</v>
      </c>
    </row>
    <row r="6323" spans="1:15" x14ac:dyDescent="0.35">
      <c r="A6323" s="500" t="s">
        <v>1167</v>
      </c>
      <c r="B6323" s="501">
        <v>4689</v>
      </c>
      <c r="C6323" s="501" t="s">
        <v>1089</v>
      </c>
      <c r="D6323" s="501" t="s">
        <v>3392</v>
      </c>
      <c r="E6323" s="501" t="s">
        <v>3381</v>
      </c>
      <c r="F6323" s="501" t="s">
        <v>806</v>
      </c>
      <c r="G6323" s="501" t="s">
        <v>807</v>
      </c>
      <c r="H6323" s="501" t="s">
        <v>8446</v>
      </c>
      <c r="I6323" s="501">
        <v>13</v>
      </c>
      <c r="J6323" s="501">
        <v>0</v>
      </c>
      <c r="K6323" s="501">
        <v>0</v>
      </c>
      <c r="L6323" s="501">
        <v>13</v>
      </c>
      <c r="M6323" s="501">
        <v>0</v>
      </c>
      <c r="N6323" s="501">
        <v>0</v>
      </c>
      <c r="O6323" s="506">
        <v>0</v>
      </c>
    </row>
    <row r="6324" spans="1:15" x14ac:dyDescent="0.35">
      <c r="A6324" s="503" t="s">
        <v>1172</v>
      </c>
      <c r="B6324" s="504">
        <v>4648</v>
      </c>
      <c r="C6324" s="504" t="s">
        <v>1089</v>
      </c>
      <c r="D6324" s="504" t="s">
        <v>3392</v>
      </c>
      <c r="E6324" s="504" t="s">
        <v>3381</v>
      </c>
      <c r="F6324" s="504" t="s">
        <v>806</v>
      </c>
      <c r="G6324" s="504" t="s">
        <v>807</v>
      </c>
      <c r="H6324" s="504" t="s">
        <v>14978</v>
      </c>
      <c r="I6324" s="504">
        <v>6</v>
      </c>
      <c r="J6324" s="504">
        <v>0</v>
      </c>
      <c r="K6324" s="504">
        <v>0</v>
      </c>
      <c r="L6324" s="504">
        <v>6</v>
      </c>
      <c r="M6324" s="504">
        <v>0</v>
      </c>
      <c r="N6324" s="504">
        <v>0</v>
      </c>
      <c r="O6324" s="505">
        <v>0</v>
      </c>
    </row>
    <row r="6325" spans="1:15" x14ac:dyDescent="0.35">
      <c r="A6325" s="500" t="s">
        <v>1832</v>
      </c>
      <c r="B6325" s="501">
        <v>4797</v>
      </c>
      <c r="C6325" s="501" t="s">
        <v>1089</v>
      </c>
      <c r="D6325" s="501" t="s">
        <v>3392</v>
      </c>
      <c r="E6325" s="501" t="s">
        <v>3381</v>
      </c>
      <c r="F6325" s="501" t="s">
        <v>806</v>
      </c>
      <c r="G6325" s="501" t="s">
        <v>807</v>
      </c>
      <c r="H6325" s="501" t="s">
        <v>8447</v>
      </c>
      <c r="I6325" s="501">
        <v>1</v>
      </c>
      <c r="J6325" s="501">
        <v>0</v>
      </c>
      <c r="K6325" s="501">
        <v>0</v>
      </c>
      <c r="L6325" s="501">
        <v>1</v>
      </c>
      <c r="M6325" s="501">
        <v>0</v>
      </c>
      <c r="N6325" s="501">
        <v>0</v>
      </c>
      <c r="O6325" s="506">
        <v>0</v>
      </c>
    </row>
    <row r="6326" spans="1:15" x14ac:dyDescent="0.35">
      <c r="A6326" s="503" t="s">
        <v>1105</v>
      </c>
      <c r="B6326" s="504">
        <v>4668</v>
      </c>
      <c r="C6326" s="504" t="s">
        <v>1094</v>
      </c>
      <c r="D6326" s="504" t="s">
        <v>3380</v>
      </c>
      <c r="E6326" s="504" t="s">
        <v>3381</v>
      </c>
      <c r="F6326" s="504" t="s">
        <v>806</v>
      </c>
      <c r="G6326" s="504" t="s">
        <v>807</v>
      </c>
      <c r="H6326" s="504" t="s">
        <v>8448</v>
      </c>
      <c r="I6326" s="504">
        <v>1</v>
      </c>
      <c r="J6326" s="504">
        <v>0</v>
      </c>
      <c r="K6326" s="504">
        <v>0</v>
      </c>
      <c r="L6326" s="504">
        <v>0</v>
      </c>
      <c r="M6326" s="504">
        <v>0</v>
      </c>
      <c r="N6326" s="504">
        <v>0</v>
      </c>
      <c r="O6326" s="505">
        <v>1</v>
      </c>
    </row>
    <row r="6327" spans="1:15" x14ac:dyDescent="0.35">
      <c r="A6327" s="500" t="s">
        <v>1107</v>
      </c>
      <c r="B6327" s="501" t="s">
        <v>3109</v>
      </c>
      <c r="C6327" s="501" t="s">
        <v>1094</v>
      </c>
      <c r="D6327" s="501" t="s">
        <v>3380</v>
      </c>
      <c r="E6327" s="501" t="s">
        <v>3381</v>
      </c>
      <c r="F6327" s="501" t="s">
        <v>806</v>
      </c>
      <c r="G6327" s="501" t="s">
        <v>807</v>
      </c>
      <c r="H6327" s="501" t="s">
        <v>8449</v>
      </c>
      <c r="I6327" s="501">
        <v>434</v>
      </c>
      <c r="J6327" s="501">
        <v>247</v>
      </c>
      <c r="K6327" s="501">
        <v>0</v>
      </c>
      <c r="L6327" s="501">
        <v>1</v>
      </c>
      <c r="M6327" s="501">
        <v>71</v>
      </c>
      <c r="N6327" s="501">
        <v>0</v>
      </c>
      <c r="O6327" s="506">
        <v>115</v>
      </c>
    </row>
    <row r="6328" spans="1:15" x14ac:dyDescent="0.35">
      <c r="A6328" s="503" t="s">
        <v>1305</v>
      </c>
      <c r="B6328" s="504" t="s">
        <v>3144</v>
      </c>
      <c r="C6328" s="504" t="s">
        <v>1094</v>
      </c>
      <c r="D6328" s="504" t="s">
        <v>3380</v>
      </c>
      <c r="E6328" s="504" t="s">
        <v>3381</v>
      </c>
      <c r="F6328" s="504" t="s">
        <v>806</v>
      </c>
      <c r="G6328" s="504" t="s">
        <v>807</v>
      </c>
      <c r="H6328" s="504" t="s">
        <v>8450</v>
      </c>
      <c r="I6328" s="504">
        <v>4</v>
      </c>
      <c r="J6328" s="504">
        <v>4</v>
      </c>
      <c r="K6328" s="504">
        <v>0</v>
      </c>
      <c r="L6328" s="504">
        <v>0</v>
      </c>
      <c r="M6328" s="504">
        <v>0</v>
      </c>
      <c r="N6328" s="504">
        <v>0</v>
      </c>
      <c r="O6328" s="505">
        <v>0</v>
      </c>
    </row>
    <row r="6329" spans="1:15" x14ac:dyDescent="0.35">
      <c r="A6329" s="500" t="s">
        <v>1202</v>
      </c>
      <c r="B6329" s="501" t="s">
        <v>3217</v>
      </c>
      <c r="C6329" s="501" t="s">
        <v>1094</v>
      </c>
      <c r="D6329" s="501" t="s">
        <v>3380</v>
      </c>
      <c r="E6329" s="501" t="s">
        <v>3381</v>
      </c>
      <c r="F6329" s="501" t="s">
        <v>806</v>
      </c>
      <c r="G6329" s="501" t="s">
        <v>807</v>
      </c>
      <c r="H6329" s="501" t="s">
        <v>8451</v>
      </c>
      <c r="I6329" s="501">
        <v>196</v>
      </c>
      <c r="J6329" s="501">
        <v>145</v>
      </c>
      <c r="K6329" s="501">
        <v>0</v>
      </c>
      <c r="L6329" s="501">
        <v>0</v>
      </c>
      <c r="M6329" s="501">
        <v>0</v>
      </c>
      <c r="N6329" s="501">
        <v>0</v>
      </c>
      <c r="O6329" s="506">
        <v>51</v>
      </c>
    </row>
    <row r="6330" spans="1:15" x14ac:dyDescent="0.35">
      <c r="A6330" s="503" t="s">
        <v>1862</v>
      </c>
      <c r="B6330" s="504">
        <v>4777</v>
      </c>
      <c r="C6330" s="504" t="s">
        <v>1089</v>
      </c>
      <c r="D6330" s="504" t="s">
        <v>3392</v>
      </c>
      <c r="E6330" s="504" t="s">
        <v>3381</v>
      </c>
      <c r="F6330" s="504" t="s">
        <v>806</v>
      </c>
      <c r="G6330" s="504" t="s">
        <v>807</v>
      </c>
      <c r="H6330" s="504" t="s">
        <v>8452</v>
      </c>
      <c r="I6330" s="504">
        <v>1</v>
      </c>
      <c r="J6330" s="504">
        <v>1</v>
      </c>
      <c r="K6330" s="504">
        <v>0</v>
      </c>
      <c r="L6330" s="504">
        <v>0</v>
      </c>
      <c r="M6330" s="504">
        <v>0</v>
      </c>
      <c r="N6330" s="504">
        <v>0</v>
      </c>
      <c r="O6330" s="505">
        <v>0</v>
      </c>
    </row>
    <row r="6331" spans="1:15" x14ac:dyDescent="0.35">
      <c r="A6331" s="500" t="s">
        <v>1112</v>
      </c>
      <c r="B6331" s="501" t="s">
        <v>3008</v>
      </c>
      <c r="C6331" s="501" t="s">
        <v>1094</v>
      </c>
      <c r="D6331" s="501" t="s">
        <v>3380</v>
      </c>
      <c r="E6331" s="501" t="s">
        <v>3381</v>
      </c>
      <c r="F6331" s="501" t="s">
        <v>806</v>
      </c>
      <c r="G6331" s="501" t="s">
        <v>807</v>
      </c>
      <c r="H6331" s="501" t="s">
        <v>8453</v>
      </c>
      <c r="I6331" s="501">
        <v>730</v>
      </c>
      <c r="J6331" s="501">
        <v>439</v>
      </c>
      <c r="K6331" s="501">
        <v>0</v>
      </c>
      <c r="L6331" s="501">
        <v>0</v>
      </c>
      <c r="M6331" s="501">
        <v>0</v>
      </c>
      <c r="N6331" s="501">
        <v>1</v>
      </c>
      <c r="O6331" s="506">
        <v>291</v>
      </c>
    </row>
    <row r="6332" spans="1:15" x14ac:dyDescent="0.35">
      <c r="A6332" s="503" t="s">
        <v>1208</v>
      </c>
      <c r="B6332" s="504" t="s">
        <v>3096</v>
      </c>
      <c r="C6332" s="504" t="s">
        <v>1094</v>
      </c>
      <c r="D6332" s="504" t="s">
        <v>3380</v>
      </c>
      <c r="E6332" s="504" t="s">
        <v>3381</v>
      </c>
      <c r="F6332" s="504" t="s">
        <v>806</v>
      </c>
      <c r="G6332" s="504" t="s">
        <v>807</v>
      </c>
      <c r="H6332" s="504" t="s">
        <v>8454</v>
      </c>
      <c r="I6332" s="504">
        <v>52</v>
      </c>
      <c r="J6332" s="504">
        <v>52</v>
      </c>
      <c r="K6332" s="504">
        <v>0</v>
      </c>
      <c r="L6332" s="504">
        <v>0</v>
      </c>
      <c r="M6332" s="504">
        <v>0</v>
      </c>
      <c r="N6332" s="504">
        <v>0</v>
      </c>
      <c r="O6332" s="505">
        <v>0</v>
      </c>
    </row>
    <row r="6333" spans="1:15" x14ac:dyDescent="0.35">
      <c r="A6333" s="500" t="s">
        <v>1315</v>
      </c>
      <c r="B6333" s="501">
        <v>4825</v>
      </c>
      <c r="C6333" s="501" t="s">
        <v>1094</v>
      </c>
      <c r="D6333" s="501" t="s">
        <v>3380</v>
      </c>
      <c r="E6333" s="501" t="s">
        <v>3381</v>
      </c>
      <c r="F6333" s="501" t="s">
        <v>806</v>
      </c>
      <c r="G6333" s="501" t="s">
        <v>807</v>
      </c>
      <c r="H6333" s="501" t="s">
        <v>8455</v>
      </c>
      <c r="I6333" s="501">
        <v>45</v>
      </c>
      <c r="J6333" s="501">
        <v>0</v>
      </c>
      <c r="K6333" s="501">
        <v>0</v>
      </c>
      <c r="L6333" s="501">
        <v>0</v>
      </c>
      <c r="M6333" s="501">
        <v>0</v>
      </c>
      <c r="N6333" s="501">
        <v>0</v>
      </c>
      <c r="O6333" s="506">
        <v>45</v>
      </c>
    </row>
    <row r="6334" spans="1:15" x14ac:dyDescent="0.35">
      <c r="A6334" s="503" t="s">
        <v>1322</v>
      </c>
      <c r="B6334" s="504" t="s">
        <v>3244</v>
      </c>
      <c r="C6334" s="504" t="s">
        <v>1094</v>
      </c>
      <c r="D6334" s="504" t="s">
        <v>3380</v>
      </c>
      <c r="E6334" s="504" t="s">
        <v>3381</v>
      </c>
      <c r="F6334" s="504" t="s">
        <v>806</v>
      </c>
      <c r="G6334" s="504" t="s">
        <v>807</v>
      </c>
      <c r="H6334" s="504" t="s">
        <v>8456</v>
      </c>
      <c r="I6334" s="504">
        <v>124</v>
      </c>
      <c r="J6334" s="504">
        <v>115</v>
      </c>
      <c r="K6334" s="504">
        <v>0</v>
      </c>
      <c r="L6334" s="504">
        <v>0</v>
      </c>
      <c r="M6334" s="504">
        <v>0</v>
      </c>
      <c r="N6334" s="504">
        <v>0</v>
      </c>
      <c r="O6334" s="505">
        <v>9</v>
      </c>
    </row>
    <row r="6335" spans="1:15" x14ac:dyDescent="0.35">
      <c r="A6335" s="500" t="s">
        <v>1873</v>
      </c>
      <c r="B6335" s="501" t="s">
        <v>2658</v>
      </c>
      <c r="C6335" s="501" t="s">
        <v>1089</v>
      </c>
      <c r="D6335" s="501" t="s">
        <v>3392</v>
      </c>
      <c r="E6335" s="501" t="s">
        <v>3381</v>
      </c>
      <c r="F6335" s="501" t="s">
        <v>806</v>
      </c>
      <c r="G6335" s="501" t="s">
        <v>807</v>
      </c>
      <c r="H6335" s="501" t="s">
        <v>8457</v>
      </c>
      <c r="I6335" s="501">
        <v>92</v>
      </c>
      <c r="J6335" s="501">
        <v>92</v>
      </c>
      <c r="K6335" s="501">
        <v>0</v>
      </c>
      <c r="L6335" s="501">
        <v>0</v>
      </c>
      <c r="M6335" s="501">
        <v>0</v>
      </c>
      <c r="N6335" s="501">
        <v>0</v>
      </c>
      <c r="O6335" s="506">
        <v>0</v>
      </c>
    </row>
    <row r="6336" spans="1:15" x14ac:dyDescent="0.35">
      <c r="A6336" s="503" t="s">
        <v>1220</v>
      </c>
      <c r="B6336" s="504">
        <v>4849</v>
      </c>
      <c r="C6336" s="504" t="s">
        <v>1094</v>
      </c>
      <c r="D6336" s="504" t="s">
        <v>3380</v>
      </c>
      <c r="E6336" s="504" t="s">
        <v>3381</v>
      </c>
      <c r="F6336" s="504" t="s">
        <v>806</v>
      </c>
      <c r="G6336" s="504" t="s">
        <v>807</v>
      </c>
      <c r="H6336" s="504" t="s">
        <v>8458</v>
      </c>
      <c r="I6336" s="504">
        <v>26</v>
      </c>
      <c r="J6336" s="504">
        <v>26</v>
      </c>
      <c r="K6336" s="504">
        <v>0</v>
      </c>
      <c r="L6336" s="504">
        <v>0</v>
      </c>
      <c r="M6336" s="504">
        <v>0</v>
      </c>
      <c r="N6336" s="504">
        <v>0</v>
      </c>
      <c r="O6336" s="505">
        <v>0</v>
      </c>
    </row>
    <row r="6337" spans="1:15" x14ac:dyDescent="0.35">
      <c r="A6337" s="500" t="s">
        <v>1122</v>
      </c>
      <c r="B6337" s="501" t="s">
        <v>2994</v>
      </c>
      <c r="C6337" s="501" t="s">
        <v>1094</v>
      </c>
      <c r="D6337" s="501" t="s">
        <v>3380</v>
      </c>
      <c r="E6337" s="501" t="s">
        <v>3381</v>
      </c>
      <c r="F6337" s="501" t="s">
        <v>806</v>
      </c>
      <c r="G6337" s="501" t="s">
        <v>807</v>
      </c>
      <c r="H6337" s="501" t="s">
        <v>8459</v>
      </c>
      <c r="I6337" s="501">
        <v>18</v>
      </c>
      <c r="J6337" s="501">
        <v>0</v>
      </c>
      <c r="K6337" s="501">
        <v>0</v>
      </c>
      <c r="L6337" s="501">
        <v>0</v>
      </c>
      <c r="M6337" s="501">
        <v>0</v>
      </c>
      <c r="N6337" s="501">
        <v>0</v>
      </c>
      <c r="O6337" s="506">
        <v>18</v>
      </c>
    </row>
    <row r="6338" spans="1:15" x14ac:dyDescent="0.35">
      <c r="A6338" s="503" t="s">
        <v>1882</v>
      </c>
      <c r="B6338" s="504" t="s">
        <v>3231</v>
      </c>
      <c r="C6338" s="504" t="s">
        <v>1089</v>
      </c>
      <c r="D6338" s="504" t="s">
        <v>3392</v>
      </c>
      <c r="E6338" s="504" t="s">
        <v>3381</v>
      </c>
      <c r="F6338" s="504" t="s">
        <v>806</v>
      </c>
      <c r="G6338" s="504" t="s">
        <v>807</v>
      </c>
      <c r="H6338" s="504" t="s">
        <v>8460</v>
      </c>
      <c r="I6338" s="504">
        <v>40</v>
      </c>
      <c r="J6338" s="504">
        <v>0</v>
      </c>
      <c r="K6338" s="504">
        <v>0</v>
      </c>
      <c r="L6338" s="504">
        <v>40</v>
      </c>
      <c r="M6338" s="504">
        <v>0</v>
      </c>
      <c r="N6338" s="504">
        <v>0</v>
      </c>
      <c r="O6338" s="505">
        <v>0</v>
      </c>
    </row>
    <row r="6339" spans="1:15" x14ac:dyDescent="0.35">
      <c r="A6339" s="500" t="s">
        <v>1233</v>
      </c>
      <c r="B6339" s="501">
        <v>4636</v>
      </c>
      <c r="C6339" s="501" t="s">
        <v>1094</v>
      </c>
      <c r="D6339" s="501" t="s">
        <v>3380</v>
      </c>
      <c r="E6339" s="501" t="s">
        <v>3381</v>
      </c>
      <c r="F6339" s="501" t="s">
        <v>806</v>
      </c>
      <c r="G6339" s="501" t="s">
        <v>807</v>
      </c>
      <c r="H6339" s="501" t="s">
        <v>12023</v>
      </c>
      <c r="I6339" s="501">
        <v>6</v>
      </c>
      <c r="J6339" s="501">
        <v>0</v>
      </c>
      <c r="K6339" s="501">
        <v>0</v>
      </c>
      <c r="L6339" s="501">
        <v>0</v>
      </c>
      <c r="M6339" s="501">
        <v>0</v>
      </c>
      <c r="N6339" s="501">
        <v>0</v>
      </c>
      <c r="O6339" s="506">
        <v>6</v>
      </c>
    </row>
    <row r="6340" spans="1:15" x14ac:dyDescent="0.35">
      <c r="A6340" s="503" t="s">
        <v>11368</v>
      </c>
      <c r="B6340" s="504">
        <v>5083</v>
      </c>
      <c r="C6340" s="504" t="s">
        <v>1094</v>
      </c>
      <c r="D6340" s="504" t="s">
        <v>3380</v>
      </c>
      <c r="E6340" s="504" t="s">
        <v>3381</v>
      </c>
      <c r="F6340" s="504" t="s">
        <v>806</v>
      </c>
      <c r="G6340" s="504" t="s">
        <v>807</v>
      </c>
      <c r="H6340" s="504" t="s">
        <v>14979</v>
      </c>
      <c r="I6340" s="504">
        <v>20</v>
      </c>
      <c r="J6340" s="504">
        <v>20</v>
      </c>
      <c r="K6340" s="504">
        <v>0</v>
      </c>
      <c r="L6340" s="504">
        <v>0</v>
      </c>
      <c r="M6340" s="504">
        <v>0</v>
      </c>
      <c r="N6340" s="504">
        <v>0</v>
      </c>
      <c r="O6340" s="505">
        <v>0</v>
      </c>
    </row>
    <row r="6341" spans="1:15" x14ac:dyDescent="0.35">
      <c r="A6341" s="500" t="s">
        <v>1234</v>
      </c>
      <c r="B6341" s="501" t="s">
        <v>3291</v>
      </c>
      <c r="C6341" s="501" t="s">
        <v>1094</v>
      </c>
      <c r="D6341" s="501" t="s">
        <v>3380</v>
      </c>
      <c r="E6341" s="501" t="s">
        <v>3381</v>
      </c>
      <c r="F6341" s="501" t="s">
        <v>806</v>
      </c>
      <c r="G6341" s="501" t="s">
        <v>807</v>
      </c>
      <c r="H6341" s="501" t="s">
        <v>8461</v>
      </c>
      <c r="I6341" s="501">
        <v>39</v>
      </c>
      <c r="J6341" s="501">
        <v>0</v>
      </c>
      <c r="K6341" s="501">
        <v>0</v>
      </c>
      <c r="L6341" s="501">
        <v>39</v>
      </c>
      <c r="M6341" s="501">
        <v>0</v>
      </c>
      <c r="N6341" s="501">
        <v>0</v>
      </c>
      <c r="O6341" s="506">
        <v>0</v>
      </c>
    </row>
    <row r="6342" spans="1:15" x14ac:dyDescent="0.35">
      <c r="A6342" s="503" t="s">
        <v>1126</v>
      </c>
      <c r="B6342" s="504" t="s">
        <v>2974</v>
      </c>
      <c r="C6342" s="504" t="s">
        <v>1094</v>
      </c>
      <c r="D6342" s="504" t="s">
        <v>3380</v>
      </c>
      <c r="E6342" s="504" t="s">
        <v>3381</v>
      </c>
      <c r="F6342" s="504" t="s">
        <v>806</v>
      </c>
      <c r="G6342" s="504" t="s">
        <v>807</v>
      </c>
      <c r="H6342" s="504" t="s">
        <v>8462</v>
      </c>
      <c r="I6342" s="504">
        <v>255</v>
      </c>
      <c r="J6342" s="504">
        <v>237</v>
      </c>
      <c r="K6342" s="504">
        <v>0</v>
      </c>
      <c r="L6342" s="504">
        <v>0</v>
      </c>
      <c r="M6342" s="504">
        <v>0</v>
      </c>
      <c r="N6342" s="504">
        <v>0</v>
      </c>
      <c r="O6342" s="505">
        <v>18</v>
      </c>
    </row>
    <row r="6343" spans="1:15" x14ac:dyDescent="0.35">
      <c r="A6343" s="500" t="s">
        <v>1898</v>
      </c>
      <c r="B6343" s="501" t="s">
        <v>3148</v>
      </c>
      <c r="C6343" s="501" t="s">
        <v>1094</v>
      </c>
      <c r="D6343" s="501" t="s">
        <v>3380</v>
      </c>
      <c r="E6343" s="501" t="s">
        <v>3381</v>
      </c>
      <c r="F6343" s="501" t="s">
        <v>806</v>
      </c>
      <c r="G6343" s="501" t="s">
        <v>807</v>
      </c>
      <c r="H6343" s="501" t="s">
        <v>8463</v>
      </c>
      <c r="I6343" s="501">
        <v>1</v>
      </c>
      <c r="J6343" s="501">
        <v>0</v>
      </c>
      <c r="K6343" s="501">
        <v>0</v>
      </c>
      <c r="L6343" s="501">
        <v>0</v>
      </c>
      <c r="M6343" s="501">
        <v>0</v>
      </c>
      <c r="N6343" s="501">
        <v>0</v>
      </c>
      <c r="O6343" s="506">
        <v>1</v>
      </c>
    </row>
    <row r="6344" spans="1:15" x14ac:dyDescent="0.35">
      <c r="A6344" s="503" t="s">
        <v>1130</v>
      </c>
      <c r="B6344" s="504" t="s">
        <v>3234</v>
      </c>
      <c r="C6344" s="504" t="s">
        <v>1094</v>
      </c>
      <c r="D6344" s="504" t="s">
        <v>3380</v>
      </c>
      <c r="E6344" s="504" t="s">
        <v>3381</v>
      </c>
      <c r="F6344" s="504" t="s">
        <v>806</v>
      </c>
      <c r="G6344" s="504" t="s">
        <v>807</v>
      </c>
      <c r="H6344" s="504" t="s">
        <v>8464</v>
      </c>
      <c r="I6344" s="504">
        <v>796</v>
      </c>
      <c r="J6344" s="504">
        <v>585</v>
      </c>
      <c r="K6344" s="504">
        <v>0</v>
      </c>
      <c r="L6344" s="504">
        <v>0</v>
      </c>
      <c r="M6344" s="504">
        <v>142</v>
      </c>
      <c r="N6344" s="504">
        <v>2</v>
      </c>
      <c r="O6344" s="505">
        <v>69</v>
      </c>
    </row>
    <row r="6345" spans="1:15" x14ac:dyDescent="0.35">
      <c r="A6345" s="500" t="s">
        <v>1132</v>
      </c>
      <c r="B6345" s="501">
        <v>4837</v>
      </c>
      <c r="C6345" s="501" t="s">
        <v>1094</v>
      </c>
      <c r="D6345" s="501" t="s">
        <v>3380</v>
      </c>
      <c r="E6345" s="501" t="s">
        <v>3381</v>
      </c>
      <c r="F6345" s="501" t="s">
        <v>806</v>
      </c>
      <c r="G6345" s="501" t="s">
        <v>807</v>
      </c>
      <c r="H6345" s="501" t="s">
        <v>8465</v>
      </c>
      <c r="I6345" s="501">
        <v>309</v>
      </c>
      <c r="J6345" s="501">
        <v>215</v>
      </c>
      <c r="K6345" s="501">
        <v>0</v>
      </c>
      <c r="L6345" s="501">
        <v>26</v>
      </c>
      <c r="M6345" s="501">
        <v>0</v>
      </c>
      <c r="N6345" s="501">
        <v>0</v>
      </c>
      <c r="O6345" s="506">
        <v>68</v>
      </c>
    </row>
    <row r="6346" spans="1:15" x14ac:dyDescent="0.35">
      <c r="A6346" s="503" t="s">
        <v>1345</v>
      </c>
      <c r="B6346" s="504" t="s">
        <v>3247</v>
      </c>
      <c r="C6346" s="504" t="s">
        <v>1094</v>
      </c>
      <c r="D6346" s="504" t="s">
        <v>3380</v>
      </c>
      <c r="E6346" s="504" t="s">
        <v>3381</v>
      </c>
      <c r="F6346" s="504" t="s">
        <v>806</v>
      </c>
      <c r="G6346" s="504" t="s">
        <v>807</v>
      </c>
      <c r="H6346" s="504" t="s">
        <v>12138</v>
      </c>
      <c r="I6346" s="504">
        <v>10</v>
      </c>
      <c r="J6346" s="504">
        <v>0</v>
      </c>
      <c r="K6346" s="504">
        <v>0</v>
      </c>
      <c r="L6346" s="504">
        <v>10</v>
      </c>
      <c r="M6346" s="504">
        <v>0</v>
      </c>
      <c r="N6346" s="504">
        <v>0</v>
      </c>
      <c r="O6346" s="505">
        <v>0</v>
      </c>
    </row>
    <row r="6347" spans="1:15" x14ac:dyDescent="0.35">
      <c r="A6347" s="500" t="s">
        <v>1240</v>
      </c>
      <c r="B6347" s="501" t="s">
        <v>2972</v>
      </c>
      <c r="C6347" s="501" t="s">
        <v>1094</v>
      </c>
      <c r="D6347" s="501" t="s">
        <v>3380</v>
      </c>
      <c r="E6347" s="501" t="s">
        <v>3381</v>
      </c>
      <c r="F6347" s="501" t="s">
        <v>806</v>
      </c>
      <c r="G6347" s="501" t="s">
        <v>807</v>
      </c>
      <c r="H6347" s="501" t="s">
        <v>14980</v>
      </c>
      <c r="I6347" s="501">
        <v>1</v>
      </c>
      <c r="J6347" s="501">
        <v>0</v>
      </c>
      <c r="K6347" s="501">
        <v>0</v>
      </c>
      <c r="L6347" s="501">
        <v>0</v>
      </c>
      <c r="M6347" s="501">
        <v>0</v>
      </c>
      <c r="N6347" s="501">
        <v>0</v>
      </c>
      <c r="O6347" s="506">
        <v>1</v>
      </c>
    </row>
    <row r="6348" spans="1:15" x14ac:dyDescent="0.35">
      <c r="A6348" s="503" t="s">
        <v>1134</v>
      </c>
      <c r="B6348" s="504" t="s">
        <v>3066</v>
      </c>
      <c r="C6348" s="504" t="s">
        <v>1094</v>
      </c>
      <c r="D6348" s="504" t="s">
        <v>3380</v>
      </c>
      <c r="E6348" s="504" t="s">
        <v>3381</v>
      </c>
      <c r="F6348" s="504" t="s">
        <v>806</v>
      </c>
      <c r="G6348" s="504" t="s">
        <v>807</v>
      </c>
      <c r="H6348" s="504" t="s">
        <v>8466</v>
      </c>
      <c r="I6348" s="504">
        <v>518</v>
      </c>
      <c r="J6348" s="504">
        <v>466</v>
      </c>
      <c r="K6348" s="504">
        <v>0</v>
      </c>
      <c r="L6348" s="504">
        <v>0</v>
      </c>
      <c r="M6348" s="504">
        <v>28</v>
      </c>
      <c r="N6348" s="504">
        <v>0</v>
      </c>
      <c r="O6348" s="505">
        <v>24</v>
      </c>
    </row>
    <row r="6349" spans="1:15" x14ac:dyDescent="0.35">
      <c r="A6349" s="500" t="s">
        <v>1253</v>
      </c>
      <c r="B6349" s="501" t="s">
        <v>3232</v>
      </c>
      <c r="C6349" s="501" t="s">
        <v>1094</v>
      </c>
      <c r="D6349" s="501" t="s">
        <v>3380</v>
      </c>
      <c r="E6349" s="501" t="s">
        <v>3381</v>
      </c>
      <c r="F6349" s="501" t="s">
        <v>806</v>
      </c>
      <c r="G6349" s="501" t="s">
        <v>807</v>
      </c>
      <c r="H6349" s="501" t="s">
        <v>8467</v>
      </c>
      <c r="I6349" s="501">
        <v>48</v>
      </c>
      <c r="J6349" s="501">
        <v>9</v>
      </c>
      <c r="K6349" s="501">
        <v>0</v>
      </c>
      <c r="L6349" s="501">
        <v>38</v>
      </c>
      <c r="M6349" s="501">
        <v>1</v>
      </c>
      <c r="N6349" s="501">
        <v>0</v>
      </c>
      <c r="O6349" s="506">
        <v>0</v>
      </c>
    </row>
    <row r="6350" spans="1:15" x14ac:dyDescent="0.35">
      <c r="A6350" s="503" t="s">
        <v>1138</v>
      </c>
      <c r="B6350" s="504" t="s">
        <v>2998</v>
      </c>
      <c r="C6350" s="504" t="s">
        <v>1094</v>
      </c>
      <c r="D6350" s="504" t="s">
        <v>3380</v>
      </c>
      <c r="E6350" s="504" t="s">
        <v>3381</v>
      </c>
      <c r="F6350" s="504" t="s">
        <v>806</v>
      </c>
      <c r="G6350" s="504" t="s">
        <v>807</v>
      </c>
      <c r="H6350" s="504" t="s">
        <v>8468</v>
      </c>
      <c r="I6350" s="504">
        <v>10</v>
      </c>
      <c r="J6350" s="504">
        <v>10</v>
      </c>
      <c r="K6350" s="504">
        <v>0</v>
      </c>
      <c r="L6350" s="504">
        <v>0</v>
      </c>
      <c r="M6350" s="504">
        <v>0</v>
      </c>
      <c r="N6350" s="504">
        <v>0</v>
      </c>
      <c r="O6350" s="505">
        <v>0</v>
      </c>
    </row>
    <row r="6351" spans="1:15" x14ac:dyDescent="0.35">
      <c r="A6351" s="500" t="s">
        <v>1260</v>
      </c>
      <c r="B6351" s="501">
        <v>4645</v>
      </c>
      <c r="C6351" s="501" t="s">
        <v>1089</v>
      </c>
      <c r="D6351" s="501" t="s">
        <v>3392</v>
      </c>
      <c r="E6351" s="501" t="s">
        <v>3381</v>
      </c>
      <c r="F6351" s="501" t="s">
        <v>806</v>
      </c>
      <c r="G6351" s="501" t="s">
        <v>807</v>
      </c>
      <c r="H6351" s="501" t="s">
        <v>8469</v>
      </c>
      <c r="I6351" s="501">
        <v>14</v>
      </c>
      <c r="J6351" s="501">
        <v>0</v>
      </c>
      <c r="K6351" s="501">
        <v>0</v>
      </c>
      <c r="L6351" s="501">
        <v>14</v>
      </c>
      <c r="M6351" s="501">
        <v>0</v>
      </c>
      <c r="N6351" s="501">
        <v>0</v>
      </c>
      <c r="O6351" s="506">
        <v>0</v>
      </c>
    </row>
    <row r="6352" spans="1:15" x14ac:dyDescent="0.35">
      <c r="A6352" s="503" t="s">
        <v>1093</v>
      </c>
      <c r="B6352" s="504" t="s">
        <v>3248</v>
      </c>
      <c r="C6352" s="504" t="s">
        <v>1094</v>
      </c>
      <c r="D6352" s="504" t="s">
        <v>3380</v>
      </c>
      <c r="E6352" s="504" t="s">
        <v>3381</v>
      </c>
      <c r="F6352" s="504" t="s">
        <v>808</v>
      </c>
      <c r="G6352" s="504" t="s">
        <v>809</v>
      </c>
      <c r="H6352" s="504" t="s">
        <v>8470</v>
      </c>
      <c r="I6352" s="504">
        <v>19</v>
      </c>
      <c r="J6352" s="504">
        <v>0</v>
      </c>
      <c r="K6352" s="504">
        <v>0</v>
      </c>
      <c r="L6352" s="504">
        <v>19</v>
      </c>
      <c r="M6352" s="504">
        <v>0</v>
      </c>
      <c r="N6352" s="504">
        <v>0</v>
      </c>
      <c r="O6352" s="505">
        <v>0</v>
      </c>
    </row>
    <row r="6353" spans="1:15" x14ac:dyDescent="0.35">
      <c r="A6353" s="500" t="s">
        <v>1096</v>
      </c>
      <c r="B6353" s="501" t="s">
        <v>3326</v>
      </c>
      <c r="C6353" s="501" t="s">
        <v>1094</v>
      </c>
      <c r="D6353" s="501" t="s">
        <v>3380</v>
      </c>
      <c r="E6353" s="501" t="s">
        <v>3381</v>
      </c>
      <c r="F6353" s="501" t="s">
        <v>808</v>
      </c>
      <c r="G6353" s="501" t="s">
        <v>809</v>
      </c>
      <c r="H6353" s="501" t="s">
        <v>8471</v>
      </c>
      <c r="I6353" s="501">
        <v>323</v>
      </c>
      <c r="J6353" s="501">
        <v>0</v>
      </c>
      <c r="K6353" s="501">
        <v>0</v>
      </c>
      <c r="L6353" s="501">
        <v>0</v>
      </c>
      <c r="M6353" s="501">
        <v>289</v>
      </c>
      <c r="N6353" s="501">
        <v>0</v>
      </c>
      <c r="O6353" s="506">
        <v>34</v>
      </c>
    </row>
    <row r="6354" spans="1:15" x14ac:dyDescent="0.35">
      <c r="A6354" s="503" t="s">
        <v>1411</v>
      </c>
      <c r="B6354" s="504" t="s">
        <v>2873</v>
      </c>
      <c r="C6354" s="504" t="s">
        <v>1089</v>
      </c>
      <c r="D6354" s="504" t="s">
        <v>3392</v>
      </c>
      <c r="E6354" s="504" t="s">
        <v>3381</v>
      </c>
      <c r="F6354" s="504" t="s">
        <v>808</v>
      </c>
      <c r="G6354" s="504" t="s">
        <v>809</v>
      </c>
      <c r="H6354" s="504" t="s">
        <v>8472</v>
      </c>
      <c r="I6354" s="504">
        <v>67</v>
      </c>
      <c r="J6354" s="504">
        <v>2</v>
      </c>
      <c r="K6354" s="504">
        <v>0</v>
      </c>
      <c r="L6354" s="504">
        <v>65</v>
      </c>
      <c r="M6354" s="504">
        <v>0</v>
      </c>
      <c r="N6354" s="504">
        <v>0</v>
      </c>
      <c r="O6354" s="505">
        <v>0</v>
      </c>
    </row>
    <row r="6355" spans="1:15" x14ac:dyDescent="0.35">
      <c r="A6355" s="500" t="s">
        <v>1100</v>
      </c>
      <c r="B6355" s="501">
        <v>4865</v>
      </c>
      <c r="C6355" s="501" t="s">
        <v>1094</v>
      </c>
      <c r="D6355" s="501" t="s">
        <v>3380</v>
      </c>
      <c r="E6355" s="501" t="s">
        <v>3381</v>
      </c>
      <c r="F6355" s="501" t="s">
        <v>808</v>
      </c>
      <c r="G6355" s="501" t="s">
        <v>809</v>
      </c>
      <c r="H6355" s="501" t="s">
        <v>8473</v>
      </c>
      <c r="I6355" s="501">
        <v>481</v>
      </c>
      <c r="J6355" s="501">
        <v>396</v>
      </c>
      <c r="K6355" s="501">
        <v>0</v>
      </c>
      <c r="L6355" s="501">
        <v>0</v>
      </c>
      <c r="M6355" s="501">
        <v>0</v>
      </c>
      <c r="N6355" s="501">
        <v>0</v>
      </c>
      <c r="O6355" s="506">
        <v>85</v>
      </c>
    </row>
    <row r="6356" spans="1:15" x14ac:dyDescent="0.35">
      <c r="A6356" s="503" t="s">
        <v>1420</v>
      </c>
      <c r="B6356" s="504">
        <v>4764</v>
      </c>
      <c r="C6356" s="504" t="s">
        <v>1089</v>
      </c>
      <c r="D6356" s="504" t="s">
        <v>3392</v>
      </c>
      <c r="E6356" s="504" t="s">
        <v>3381</v>
      </c>
      <c r="F6356" s="504" t="s">
        <v>808</v>
      </c>
      <c r="G6356" s="504" t="s">
        <v>809</v>
      </c>
      <c r="H6356" s="504" t="s">
        <v>11665</v>
      </c>
      <c r="I6356" s="504">
        <v>6</v>
      </c>
      <c r="J6356" s="504">
        <v>6</v>
      </c>
      <c r="K6356" s="504">
        <v>0</v>
      </c>
      <c r="L6356" s="504">
        <v>0</v>
      </c>
      <c r="M6356" s="504">
        <v>0</v>
      </c>
      <c r="N6356" s="504">
        <v>0</v>
      </c>
      <c r="O6356" s="505">
        <v>0</v>
      </c>
    </row>
    <row r="6357" spans="1:15" x14ac:dyDescent="0.35">
      <c r="A6357" s="500" t="s">
        <v>1294</v>
      </c>
      <c r="B6357" s="501" t="s">
        <v>3114</v>
      </c>
      <c r="C6357" s="501" t="s">
        <v>1094</v>
      </c>
      <c r="D6357" s="501" t="s">
        <v>3380</v>
      </c>
      <c r="E6357" s="501" t="s">
        <v>3381</v>
      </c>
      <c r="F6357" s="501" t="s">
        <v>808</v>
      </c>
      <c r="G6357" s="501" t="s">
        <v>809</v>
      </c>
      <c r="H6357" s="501" t="s">
        <v>8474</v>
      </c>
      <c r="I6357" s="501">
        <v>42</v>
      </c>
      <c r="J6357" s="501">
        <v>42</v>
      </c>
      <c r="K6357" s="501">
        <v>0</v>
      </c>
      <c r="L6357" s="501">
        <v>0</v>
      </c>
      <c r="M6357" s="501">
        <v>0</v>
      </c>
      <c r="N6357" s="501">
        <v>0</v>
      </c>
      <c r="O6357" s="506">
        <v>0</v>
      </c>
    </row>
    <row r="6358" spans="1:15" x14ac:dyDescent="0.35">
      <c r="A6358" s="503" t="s">
        <v>1440</v>
      </c>
      <c r="B6358" s="504" t="s">
        <v>2964</v>
      </c>
      <c r="C6358" s="504" t="s">
        <v>1089</v>
      </c>
      <c r="D6358" s="504" t="s">
        <v>3392</v>
      </c>
      <c r="E6358" s="504" t="s">
        <v>3381</v>
      </c>
      <c r="F6358" s="504" t="s">
        <v>808</v>
      </c>
      <c r="G6358" s="504" t="s">
        <v>809</v>
      </c>
      <c r="H6358" s="504" t="s">
        <v>8475</v>
      </c>
      <c r="I6358" s="504">
        <v>123</v>
      </c>
      <c r="J6358" s="504">
        <v>123</v>
      </c>
      <c r="K6358" s="504">
        <v>0</v>
      </c>
      <c r="L6358" s="504">
        <v>0</v>
      </c>
      <c r="M6358" s="504">
        <v>0</v>
      </c>
      <c r="N6358" s="504">
        <v>0</v>
      </c>
      <c r="O6358" s="505">
        <v>0</v>
      </c>
    </row>
    <row r="6359" spans="1:15" x14ac:dyDescent="0.35">
      <c r="A6359" s="500" t="s">
        <v>14208</v>
      </c>
      <c r="B6359" s="501">
        <v>4803</v>
      </c>
      <c r="C6359" s="501" t="s">
        <v>1094</v>
      </c>
      <c r="D6359" s="501" t="s">
        <v>3380</v>
      </c>
      <c r="E6359" s="501" t="s">
        <v>3381</v>
      </c>
      <c r="F6359" s="501" t="s">
        <v>808</v>
      </c>
      <c r="G6359" s="501" t="s">
        <v>809</v>
      </c>
      <c r="H6359" s="501" t="s">
        <v>14981</v>
      </c>
      <c r="I6359" s="501">
        <v>17</v>
      </c>
      <c r="J6359" s="501">
        <v>0</v>
      </c>
      <c r="K6359" s="501">
        <v>0</v>
      </c>
      <c r="L6359" s="501">
        <v>17</v>
      </c>
      <c r="M6359" s="501">
        <v>0</v>
      </c>
      <c r="N6359" s="501">
        <v>0</v>
      </c>
      <c r="O6359" s="506">
        <v>0</v>
      </c>
    </row>
    <row r="6360" spans="1:15" x14ac:dyDescent="0.35">
      <c r="A6360" s="503" t="s">
        <v>1185</v>
      </c>
      <c r="B6360" s="504" t="s">
        <v>3253</v>
      </c>
      <c r="C6360" s="504" t="s">
        <v>1094</v>
      </c>
      <c r="D6360" s="504" t="s">
        <v>3380</v>
      </c>
      <c r="E6360" s="504" t="s">
        <v>3381</v>
      </c>
      <c r="F6360" s="504" t="s">
        <v>808</v>
      </c>
      <c r="G6360" s="504" t="s">
        <v>809</v>
      </c>
      <c r="H6360" s="504" t="s">
        <v>8476</v>
      </c>
      <c r="I6360" s="504">
        <v>46</v>
      </c>
      <c r="J6360" s="504">
        <v>14</v>
      </c>
      <c r="K6360" s="504">
        <v>0</v>
      </c>
      <c r="L6360" s="504">
        <v>32</v>
      </c>
      <c r="M6360" s="504">
        <v>0</v>
      </c>
      <c r="N6360" s="504">
        <v>0</v>
      </c>
      <c r="O6360" s="505">
        <v>0</v>
      </c>
    </row>
    <row r="6361" spans="1:15" x14ac:dyDescent="0.35">
      <c r="A6361" s="500" t="s">
        <v>1105</v>
      </c>
      <c r="B6361" s="501">
        <v>4668</v>
      </c>
      <c r="C6361" s="501" t="s">
        <v>1094</v>
      </c>
      <c r="D6361" s="501" t="s">
        <v>3380</v>
      </c>
      <c r="E6361" s="501" t="s">
        <v>3381</v>
      </c>
      <c r="F6361" s="501" t="s">
        <v>808</v>
      </c>
      <c r="G6361" s="501" t="s">
        <v>809</v>
      </c>
      <c r="H6361" s="501" t="s">
        <v>8477</v>
      </c>
      <c r="I6361" s="501">
        <v>4</v>
      </c>
      <c r="J6361" s="501">
        <v>0</v>
      </c>
      <c r="K6361" s="501">
        <v>0</v>
      </c>
      <c r="L6361" s="501">
        <v>0</v>
      </c>
      <c r="M6361" s="501">
        <v>0</v>
      </c>
      <c r="N6361" s="501">
        <v>0</v>
      </c>
      <c r="O6361" s="506">
        <v>4</v>
      </c>
    </row>
    <row r="6362" spans="1:15" x14ac:dyDescent="0.35">
      <c r="A6362" s="503" t="s">
        <v>1107</v>
      </c>
      <c r="B6362" s="504" t="s">
        <v>3109</v>
      </c>
      <c r="C6362" s="504" t="s">
        <v>1094</v>
      </c>
      <c r="D6362" s="504" t="s">
        <v>3380</v>
      </c>
      <c r="E6362" s="504" t="s">
        <v>3381</v>
      </c>
      <c r="F6362" s="504" t="s">
        <v>808</v>
      </c>
      <c r="G6362" s="504" t="s">
        <v>809</v>
      </c>
      <c r="H6362" s="504" t="s">
        <v>8478</v>
      </c>
      <c r="I6362" s="504">
        <v>74</v>
      </c>
      <c r="J6362" s="504">
        <v>74</v>
      </c>
      <c r="K6362" s="504">
        <v>0</v>
      </c>
      <c r="L6362" s="504">
        <v>0</v>
      </c>
      <c r="M6362" s="504">
        <v>0</v>
      </c>
      <c r="N6362" s="504">
        <v>0</v>
      </c>
      <c r="O6362" s="505">
        <v>0</v>
      </c>
    </row>
    <row r="6363" spans="1:15" x14ac:dyDescent="0.35">
      <c r="A6363" s="500" t="s">
        <v>1465</v>
      </c>
      <c r="B6363" s="501" t="s">
        <v>3286</v>
      </c>
      <c r="C6363" s="501" t="s">
        <v>1089</v>
      </c>
      <c r="D6363" s="501" t="s">
        <v>3392</v>
      </c>
      <c r="E6363" s="501" t="s">
        <v>3381</v>
      </c>
      <c r="F6363" s="501" t="s">
        <v>808</v>
      </c>
      <c r="G6363" s="501" t="s">
        <v>809</v>
      </c>
      <c r="H6363" s="501" t="s">
        <v>8479</v>
      </c>
      <c r="I6363" s="501">
        <v>70</v>
      </c>
      <c r="J6363" s="501">
        <v>0</v>
      </c>
      <c r="K6363" s="501">
        <v>0</v>
      </c>
      <c r="L6363" s="501">
        <v>0</v>
      </c>
      <c r="M6363" s="501">
        <v>70</v>
      </c>
      <c r="N6363" s="501">
        <v>0</v>
      </c>
      <c r="O6363" s="506">
        <v>0</v>
      </c>
    </row>
    <row r="6364" spans="1:15" x14ac:dyDescent="0.35">
      <c r="A6364" s="503" t="s">
        <v>1109</v>
      </c>
      <c r="B6364" s="504" t="s">
        <v>2959</v>
      </c>
      <c r="C6364" s="504" t="s">
        <v>1094</v>
      </c>
      <c r="D6364" s="504" t="s">
        <v>3380</v>
      </c>
      <c r="E6364" s="504" t="s">
        <v>3381</v>
      </c>
      <c r="F6364" s="504" t="s">
        <v>808</v>
      </c>
      <c r="G6364" s="504" t="s">
        <v>809</v>
      </c>
      <c r="H6364" s="504" t="s">
        <v>8480</v>
      </c>
      <c r="I6364" s="504">
        <v>232</v>
      </c>
      <c r="J6364" s="504">
        <v>0</v>
      </c>
      <c r="K6364" s="504">
        <v>0</v>
      </c>
      <c r="L6364" s="504">
        <v>0</v>
      </c>
      <c r="M6364" s="504">
        <v>220</v>
      </c>
      <c r="N6364" s="504">
        <v>0</v>
      </c>
      <c r="O6364" s="505">
        <v>12</v>
      </c>
    </row>
    <row r="6365" spans="1:15" x14ac:dyDescent="0.35">
      <c r="A6365" s="500" t="s">
        <v>1311</v>
      </c>
      <c r="B6365" s="501" t="s">
        <v>3361</v>
      </c>
      <c r="C6365" s="501" t="s">
        <v>1094</v>
      </c>
      <c r="D6365" s="501" t="s">
        <v>3380</v>
      </c>
      <c r="E6365" s="501" t="s">
        <v>3381</v>
      </c>
      <c r="F6365" s="501" t="s">
        <v>808</v>
      </c>
      <c r="G6365" s="501" t="s">
        <v>809</v>
      </c>
      <c r="H6365" s="501" t="s">
        <v>8481</v>
      </c>
      <c r="I6365" s="501">
        <v>7</v>
      </c>
      <c r="J6365" s="501">
        <v>7</v>
      </c>
      <c r="K6365" s="501">
        <v>0</v>
      </c>
      <c r="L6365" s="501">
        <v>0</v>
      </c>
      <c r="M6365" s="501">
        <v>0</v>
      </c>
      <c r="N6365" s="501">
        <v>0</v>
      </c>
      <c r="O6365" s="506">
        <v>0</v>
      </c>
    </row>
    <row r="6366" spans="1:15" x14ac:dyDescent="0.35">
      <c r="A6366" s="503" t="s">
        <v>1202</v>
      </c>
      <c r="B6366" s="504" t="s">
        <v>3217</v>
      </c>
      <c r="C6366" s="504" t="s">
        <v>1094</v>
      </c>
      <c r="D6366" s="504" t="s">
        <v>3380</v>
      </c>
      <c r="E6366" s="504" t="s">
        <v>3381</v>
      </c>
      <c r="F6366" s="504" t="s">
        <v>808</v>
      </c>
      <c r="G6366" s="504" t="s">
        <v>809</v>
      </c>
      <c r="H6366" s="504" t="s">
        <v>8482</v>
      </c>
      <c r="I6366" s="504">
        <v>2200</v>
      </c>
      <c r="J6366" s="504">
        <v>1493</v>
      </c>
      <c r="K6366" s="504">
        <v>0</v>
      </c>
      <c r="L6366" s="504">
        <v>90</v>
      </c>
      <c r="M6366" s="504">
        <v>174</v>
      </c>
      <c r="N6366" s="504">
        <v>7</v>
      </c>
      <c r="O6366" s="505">
        <v>443</v>
      </c>
    </row>
    <row r="6367" spans="1:15" x14ac:dyDescent="0.35">
      <c r="A6367" s="500" t="s">
        <v>1494</v>
      </c>
      <c r="B6367" s="501" t="s">
        <v>3235</v>
      </c>
      <c r="C6367" s="501" t="s">
        <v>1094</v>
      </c>
      <c r="D6367" s="501" t="s">
        <v>3380</v>
      </c>
      <c r="E6367" s="501" t="s">
        <v>3381</v>
      </c>
      <c r="F6367" s="501" t="s">
        <v>808</v>
      </c>
      <c r="G6367" s="501" t="s">
        <v>809</v>
      </c>
      <c r="H6367" s="501" t="s">
        <v>8483</v>
      </c>
      <c r="I6367" s="501">
        <v>9</v>
      </c>
      <c r="J6367" s="501">
        <v>0</v>
      </c>
      <c r="K6367" s="501">
        <v>0</v>
      </c>
      <c r="L6367" s="501">
        <v>9</v>
      </c>
      <c r="M6367" s="501">
        <v>0</v>
      </c>
      <c r="N6367" s="501">
        <v>1</v>
      </c>
      <c r="O6367" s="506">
        <v>0</v>
      </c>
    </row>
    <row r="6368" spans="1:15" x14ac:dyDescent="0.35">
      <c r="A6368" s="503" t="s">
        <v>1112</v>
      </c>
      <c r="B6368" s="504" t="s">
        <v>3008</v>
      </c>
      <c r="C6368" s="504" t="s">
        <v>1094</v>
      </c>
      <c r="D6368" s="504" t="s">
        <v>3380</v>
      </c>
      <c r="E6368" s="504" t="s">
        <v>3381</v>
      </c>
      <c r="F6368" s="504" t="s">
        <v>808</v>
      </c>
      <c r="G6368" s="504" t="s">
        <v>809</v>
      </c>
      <c r="H6368" s="504" t="s">
        <v>8484</v>
      </c>
      <c r="I6368" s="504">
        <v>175</v>
      </c>
      <c r="J6368" s="504">
        <v>104</v>
      </c>
      <c r="K6368" s="504">
        <v>0</v>
      </c>
      <c r="L6368" s="504">
        <v>0</v>
      </c>
      <c r="M6368" s="504">
        <v>0</v>
      </c>
      <c r="N6368" s="504">
        <v>0</v>
      </c>
      <c r="O6368" s="505">
        <v>71</v>
      </c>
    </row>
    <row r="6369" spans="1:15" x14ac:dyDescent="0.35">
      <c r="A6369" s="500" t="s">
        <v>1315</v>
      </c>
      <c r="B6369" s="501">
        <v>4825</v>
      </c>
      <c r="C6369" s="501" t="s">
        <v>1094</v>
      </c>
      <c r="D6369" s="501" t="s">
        <v>3380</v>
      </c>
      <c r="E6369" s="501" t="s">
        <v>3381</v>
      </c>
      <c r="F6369" s="501" t="s">
        <v>808</v>
      </c>
      <c r="G6369" s="501" t="s">
        <v>809</v>
      </c>
      <c r="H6369" s="501" t="s">
        <v>8485</v>
      </c>
      <c r="I6369" s="501">
        <v>43</v>
      </c>
      <c r="J6369" s="501">
        <v>43</v>
      </c>
      <c r="K6369" s="501">
        <v>0</v>
      </c>
      <c r="L6369" s="501">
        <v>0</v>
      </c>
      <c r="M6369" s="501">
        <v>0</v>
      </c>
      <c r="N6369" s="501">
        <v>6</v>
      </c>
      <c r="O6369" s="506">
        <v>0</v>
      </c>
    </row>
    <row r="6370" spans="1:15" x14ac:dyDescent="0.35">
      <c r="A6370" s="503" t="s">
        <v>1316</v>
      </c>
      <c r="B6370" s="504" t="s">
        <v>2949</v>
      </c>
      <c r="C6370" s="504" t="s">
        <v>1094</v>
      </c>
      <c r="D6370" s="504" t="s">
        <v>3380</v>
      </c>
      <c r="E6370" s="504" t="s">
        <v>3381</v>
      </c>
      <c r="F6370" s="504" t="s">
        <v>808</v>
      </c>
      <c r="G6370" s="504" t="s">
        <v>809</v>
      </c>
      <c r="H6370" s="504" t="s">
        <v>8486</v>
      </c>
      <c r="I6370" s="504">
        <v>65</v>
      </c>
      <c r="J6370" s="504">
        <v>46</v>
      </c>
      <c r="K6370" s="504">
        <v>0</v>
      </c>
      <c r="L6370" s="504">
        <v>0</v>
      </c>
      <c r="M6370" s="504">
        <v>0</v>
      </c>
      <c r="N6370" s="504">
        <v>0</v>
      </c>
      <c r="O6370" s="505">
        <v>19</v>
      </c>
    </row>
    <row r="6371" spans="1:15" x14ac:dyDescent="0.35">
      <c r="A6371" s="500" t="s">
        <v>1319</v>
      </c>
      <c r="B6371" s="501">
        <v>4880</v>
      </c>
      <c r="C6371" s="501" t="s">
        <v>1094</v>
      </c>
      <c r="D6371" s="501" t="s">
        <v>3380</v>
      </c>
      <c r="E6371" s="501" t="s">
        <v>3381</v>
      </c>
      <c r="F6371" s="501" t="s">
        <v>808</v>
      </c>
      <c r="G6371" s="501" t="s">
        <v>809</v>
      </c>
      <c r="H6371" s="501" t="s">
        <v>8487</v>
      </c>
      <c r="I6371" s="501">
        <v>398</v>
      </c>
      <c r="J6371" s="501">
        <v>216</v>
      </c>
      <c r="K6371" s="501">
        <v>0</v>
      </c>
      <c r="L6371" s="501">
        <v>15</v>
      </c>
      <c r="M6371" s="501">
        <v>146</v>
      </c>
      <c r="N6371" s="501">
        <v>4</v>
      </c>
      <c r="O6371" s="506">
        <v>21</v>
      </c>
    </row>
    <row r="6372" spans="1:15" x14ac:dyDescent="0.35">
      <c r="A6372" s="503" t="s">
        <v>1120</v>
      </c>
      <c r="B6372" s="504" t="s">
        <v>3362</v>
      </c>
      <c r="C6372" s="504" t="s">
        <v>1094</v>
      </c>
      <c r="D6372" s="504" t="s">
        <v>3380</v>
      </c>
      <c r="E6372" s="504" t="s">
        <v>3381</v>
      </c>
      <c r="F6372" s="504" t="s">
        <v>808</v>
      </c>
      <c r="G6372" s="504" t="s">
        <v>809</v>
      </c>
      <c r="H6372" s="504" t="s">
        <v>8488</v>
      </c>
      <c r="I6372" s="504">
        <v>1</v>
      </c>
      <c r="J6372" s="504">
        <v>0</v>
      </c>
      <c r="K6372" s="504">
        <v>0</v>
      </c>
      <c r="L6372" s="504">
        <v>0</v>
      </c>
      <c r="M6372" s="504">
        <v>0</v>
      </c>
      <c r="N6372" s="504">
        <v>0</v>
      </c>
      <c r="O6372" s="505">
        <v>1</v>
      </c>
    </row>
    <row r="6373" spans="1:15" x14ac:dyDescent="0.35">
      <c r="A6373" s="500" t="s">
        <v>1322</v>
      </c>
      <c r="B6373" s="501" t="s">
        <v>3244</v>
      </c>
      <c r="C6373" s="501" t="s">
        <v>1094</v>
      </c>
      <c r="D6373" s="501" t="s">
        <v>3380</v>
      </c>
      <c r="E6373" s="501" t="s">
        <v>3381</v>
      </c>
      <c r="F6373" s="501" t="s">
        <v>808</v>
      </c>
      <c r="G6373" s="501" t="s">
        <v>809</v>
      </c>
      <c r="H6373" s="501" t="s">
        <v>8489</v>
      </c>
      <c r="I6373" s="501">
        <v>24</v>
      </c>
      <c r="J6373" s="501">
        <v>12</v>
      </c>
      <c r="K6373" s="501">
        <v>0</v>
      </c>
      <c r="L6373" s="501">
        <v>0</v>
      </c>
      <c r="M6373" s="501">
        <v>0</v>
      </c>
      <c r="N6373" s="501">
        <v>0</v>
      </c>
      <c r="O6373" s="506">
        <v>12</v>
      </c>
    </row>
    <row r="6374" spans="1:15" x14ac:dyDescent="0.35">
      <c r="A6374" s="503" t="s">
        <v>1218</v>
      </c>
      <c r="B6374" s="504" t="s">
        <v>3147</v>
      </c>
      <c r="C6374" s="504" t="s">
        <v>1094</v>
      </c>
      <c r="D6374" s="504" t="s">
        <v>3380</v>
      </c>
      <c r="E6374" s="504" t="s">
        <v>3381</v>
      </c>
      <c r="F6374" s="504" t="s">
        <v>808</v>
      </c>
      <c r="G6374" s="504" t="s">
        <v>809</v>
      </c>
      <c r="H6374" s="504" t="s">
        <v>8490</v>
      </c>
      <c r="I6374" s="504">
        <v>38</v>
      </c>
      <c r="J6374" s="504">
        <v>0</v>
      </c>
      <c r="K6374" s="504">
        <v>0</v>
      </c>
      <c r="L6374" s="504">
        <v>0</v>
      </c>
      <c r="M6374" s="504">
        <v>0</v>
      </c>
      <c r="N6374" s="504">
        <v>0</v>
      </c>
      <c r="O6374" s="505">
        <v>38</v>
      </c>
    </row>
    <row r="6375" spans="1:15" x14ac:dyDescent="0.35">
      <c r="A6375" s="500" t="s">
        <v>1325</v>
      </c>
      <c r="B6375" s="501" t="s">
        <v>3011</v>
      </c>
      <c r="C6375" s="501" t="s">
        <v>1094</v>
      </c>
      <c r="D6375" s="501" t="s">
        <v>3380</v>
      </c>
      <c r="E6375" s="501" t="s">
        <v>3381</v>
      </c>
      <c r="F6375" s="501" t="s">
        <v>808</v>
      </c>
      <c r="G6375" s="501" t="s">
        <v>809</v>
      </c>
      <c r="H6375" s="501" t="s">
        <v>8491</v>
      </c>
      <c r="I6375" s="501">
        <v>1</v>
      </c>
      <c r="J6375" s="501">
        <v>0</v>
      </c>
      <c r="K6375" s="501">
        <v>0</v>
      </c>
      <c r="L6375" s="501">
        <v>0</v>
      </c>
      <c r="M6375" s="501">
        <v>0</v>
      </c>
      <c r="N6375" s="501">
        <v>0</v>
      </c>
      <c r="O6375" s="506">
        <v>1</v>
      </c>
    </row>
    <row r="6376" spans="1:15" x14ac:dyDescent="0.35">
      <c r="A6376" s="503" t="s">
        <v>1220</v>
      </c>
      <c r="B6376" s="504">
        <v>4849</v>
      </c>
      <c r="C6376" s="504" t="s">
        <v>1094</v>
      </c>
      <c r="D6376" s="504" t="s">
        <v>3380</v>
      </c>
      <c r="E6376" s="504" t="s">
        <v>3381</v>
      </c>
      <c r="F6376" s="504" t="s">
        <v>808</v>
      </c>
      <c r="G6376" s="504" t="s">
        <v>809</v>
      </c>
      <c r="H6376" s="504" t="s">
        <v>8492</v>
      </c>
      <c r="I6376" s="504">
        <v>30</v>
      </c>
      <c r="J6376" s="504">
        <v>30</v>
      </c>
      <c r="K6376" s="504">
        <v>0</v>
      </c>
      <c r="L6376" s="504">
        <v>0</v>
      </c>
      <c r="M6376" s="504">
        <v>0</v>
      </c>
      <c r="N6376" s="504">
        <v>0</v>
      </c>
      <c r="O6376" s="505">
        <v>0</v>
      </c>
    </row>
    <row r="6377" spans="1:15" x14ac:dyDescent="0.35">
      <c r="A6377" s="500" t="s">
        <v>1332</v>
      </c>
      <c r="B6377" s="501">
        <v>4878</v>
      </c>
      <c r="C6377" s="501" t="s">
        <v>1094</v>
      </c>
      <c r="D6377" s="501" t="s">
        <v>3380</v>
      </c>
      <c r="E6377" s="501" t="s">
        <v>3381</v>
      </c>
      <c r="F6377" s="501" t="s">
        <v>808</v>
      </c>
      <c r="G6377" s="501" t="s">
        <v>809</v>
      </c>
      <c r="H6377" s="501" t="s">
        <v>8493</v>
      </c>
      <c r="I6377" s="501">
        <v>342</v>
      </c>
      <c r="J6377" s="501">
        <v>270</v>
      </c>
      <c r="K6377" s="501">
        <v>0</v>
      </c>
      <c r="L6377" s="501">
        <v>40</v>
      </c>
      <c r="M6377" s="501">
        <v>32</v>
      </c>
      <c r="N6377" s="501">
        <v>0</v>
      </c>
      <c r="O6377" s="506">
        <v>0</v>
      </c>
    </row>
    <row r="6378" spans="1:15" x14ac:dyDescent="0.35">
      <c r="A6378" s="503" t="s">
        <v>1122</v>
      </c>
      <c r="B6378" s="504" t="s">
        <v>2994</v>
      </c>
      <c r="C6378" s="504" t="s">
        <v>1094</v>
      </c>
      <c r="D6378" s="504" t="s">
        <v>3380</v>
      </c>
      <c r="E6378" s="504" t="s">
        <v>3381</v>
      </c>
      <c r="F6378" s="504" t="s">
        <v>808</v>
      </c>
      <c r="G6378" s="504" t="s">
        <v>809</v>
      </c>
      <c r="H6378" s="504" t="s">
        <v>8494</v>
      </c>
      <c r="I6378" s="504">
        <v>27</v>
      </c>
      <c r="J6378" s="504">
        <v>27</v>
      </c>
      <c r="K6378" s="504">
        <v>0</v>
      </c>
      <c r="L6378" s="504">
        <v>0</v>
      </c>
      <c r="M6378" s="504">
        <v>0</v>
      </c>
      <c r="N6378" s="504">
        <v>0</v>
      </c>
      <c r="O6378" s="505">
        <v>0</v>
      </c>
    </row>
    <row r="6379" spans="1:15" x14ac:dyDescent="0.35">
      <c r="A6379" s="500" t="s">
        <v>1225</v>
      </c>
      <c r="B6379" s="501" t="s">
        <v>3315</v>
      </c>
      <c r="C6379" s="501" t="s">
        <v>1094</v>
      </c>
      <c r="D6379" s="501" t="s">
        <v>3380</v>
      </c>
      <c r="E6379" s="501" t="s">
        <v>3381</v>
      </c>
      <c r="F6379" s="501" t="s">
        <v>808</v>
      </c>
      <c r="G6379" s="501" t="s">
        <v>809</v>
      </c>
      <c r="H6379" s="501" t="s">
        <v>8495</v>
      </c>
      <c r="I6379" s="501">
        <v>9</v>
      </c>
      <c r="J6379" s="501">
        <v>8</v>
      </c>
      <c r="K6379" s="501">
        <v>0</v>
      </c>
      <c r="L6379" s="501">
        <v>0</v>
      </c>
      <c r="M6379" s="501">
        <v>0</v>
      </c>
      <c r="N6379" s="501">
        <v>0</v>
      </c>
      <c r="O6379" s="506">
        <v>1</v>
      </c>
    </row>
    <row r="6380" spans="1:15" x14ac:dyDescent="0.35">
      <c r="A6380" s="503" t="s">
        <v>1126</v>
      </c>
      <c r="B6380" s="504" t="s">
        <v>2974</v>
      </c>
      <c r="C6380" s="504" t="s">
        <v>1094</v>
      </c>
      <c r="D6380" s="504" t="s">
        <v>3380</v>
      </c>
      <c r="E6380" s="504" t="s">
        <v>3381</v>
      </c>
      <c r="F6380" s="504" t="s">
        <v>808</v>
      </c>
      <c r="G6380" s="504" t="s">
        <v>809</v>
      </c>
      <c r="H6380" s="504" t="s">
        <v>8496</v>
      </c>
      <c r="I6380" s="504">
        <v>33</v>
      </c>
      <c r="J6380" s="504">
        <v>17</v>
      </c>
      <c r="K6380" s="504">
        <v>0</v>
      </c>
      <c r="L6380" s="504">
        <v>8</v>
      </c>
      <c r="M6380" s="504">
        <v>8</v>
      </c>
      <c r="N6380" s="504">
        <v>0</v>
      </c>
      <c r="O6380" s="505">
        <v>0</v>
      </c>
    </row>
    <row r="6381" spans="1:15" x14ac:dyDescent="0.35">
      <c r="A6381" s="500" t="s">
        <v>1342</v>
      </c>
      <c r="B6381" s="501" t="s">
        <v>3237</v>
      </c>
      <c r="C6381" s="501" t="s">
        <v>1094</v>
      </c>
      <c r="D6381" s="501" t="s">
        <v>3380</v>
      </c>
      <c r="E6381" s="501" t="s">
        <v>3381</v>
      </c>
      <c r="F6381" s="501" t="s">
        <v>808</v>
      </c>
      <c r="G6381" s="501" t="s">
        <v>809</v>
      </c>
      <c r="H6381" s="501" t="s">
        <v>8497</v>
      </c>
      <c r="I6381" s="501">
        <v>1</v>
      </c>
      <c r="J6381" s="501">
        <v>0</v>
      </c>
      <c r="K6381" s="501">
        <v>0</v>
      </c>
      <c r="L6381" s="501">
        <v>0</v>
      </c>
      <c r="M6381" s="501">
        <v>0</v>
      </c>
      <c r="N6381" s="501">
        <v>0</v>
      </c>
      <c r="O6381" s="506">
        <v>1</v>
      </c>
    </row>
    <row r="6382" spans="1:15" x14ac:dyDescent="0.35">
      <c r="A6382" s="503" t="s">
        <v>1130</v>
      </c>
      <c r="B6382" s="504" t="s">
        <v>3234</v>
      </c>
      <c r="C6382" s="504" t="s">
        <v>1094</v>
      </c>
      <c r="D6382" s="504" t="s">
        <v>3380</v>
      </c>
      <c r="E6382" s="504" t="s">
        <v>3381</v>
      </c>
      <c r="F6382" s="504" t="s">
        <v>808</v>
      </c>
      <c r="G6382" s="504" t="s">
        <v>809</v>
      </c>
      <c r="H6382" s="504" t="s">
        <v>8498</v>
      </c>
      <c r="I6382" s="504">
        <v>97</v>
      </c>
      <c r="J6382" s="504">
        <v>73</v>
      </c>
      <c r="K6382" s="504">
        <v>0</v>
      </c>
      <c r="L6382" s="504">
        <v>0</v>
      </c>
      <c r="M6382" s="504">
        <v>0</v>
      </c>
      <c r="N6382" s="504">
        <v>0</v>
      </c>
      <c r="O6382" s="505">
        <v>24</v>
      </c>
    </row>
    <row r="6383" spans="1:15" x14ac:dyDescent="0.35">
      <c r="A6383" s="500" t="s">
        <v>1346</v>
      </c>
      <c r="B6383" s="501" t="s">
        <v>3150</v>
      </c>
      <c r="C6383" s="501" t="s">
        <v>1094</v>
      </c>
      <c r="D6383" s="501" t="s">
        <v>3380</v>
      </c>
      <c r="E6383" s="501" t="s">
        <v>3381</v>
      </c>
      <c r="F6383" s="501" t="s">
        <v>808</v>
      </c>
      <c r="G6383" s="501" t="s">
        <v>809</v>
      </c>
      <c r="H6383" s="501" t="s">
        <v>8499</v>
      </c>
      <c r="I6383" s="501">
        <v>530</v>
      </c>
      <c r="J6383" s="501">
        <v>498</v>
      </c>
      <c r="K6383" s="501">
        <v>0</v>
      </c>
      <c r="L6383" s="501">
        <v>14</v>
      </c>
      <c r="M6383" s="501">
        <v>0</v>
      </c>
      <c r="N6383" s="501">
        <v>18</v>
      </c>
      <c r="O6383" s="506">
        <v>18</v>
      </c>
    </row>
    <row r="6384" spans="1:15" x14ac:dyDescent="0.35">
      <c r="A6384" s="503" t="s">
        <v>1245</v>
      </c>
      <c r="B6384" s="504" t="s">
        <v>2859</v>
      </c>
      <c r="C6384" s="504" t="s">
        <v>1094</v>
      </c>
      <c r="D6384" s="504" t="s">
        <v>3380</v>
      </c>
      <c r="E6384" s="504" t="s">
        <v>3381</v>
      </c>
      <c r="F6384" s="504" t="s">
        <v>808</v>
      </c>
      <c r="G6384" s="504" t="s">
        <v>809</v>
      </c>
      <c r="H6384" s="504" t="s">
        <v>8500</v>
      </c>
      <c r="I6384" s="504">
        <v>10</v>
      </c>
      <c r="J6384" s="504">
        <v>0</v>
      </c>
      <c r="K6384" s="504">
        <v>0</v>
      </c>
      <c r="L6384" s="504">
        <v>0</v>
      </c>
      <c r="M6384" s="504">
        <v>10</v>
      </c>
      <c r="N6384" s="504">
        <v>0</v>
      </c>
      <c r="O6384" s="505">
        <v>0</v>
      </c>
    </row>
    <row r="6385" spans="1:15" x14ac:dyDescent="0.35">
      <c r="A6385" s="500" t="s">
        <v>1362</v>
      </c>
      <c r="B6385" s="501" t="s">
        <v>2977</v>
      </c>
      <c r="C6385" s="501" t="s">
        <v>1094</v>
      </c>
      <c r="D6385" s="501" t="s">
        <v>3380</v>
      </c>
      <c r="E6385" s="501" t="s">
        <v>3381</v>
      </c>
      <c r="F6385" s="501" t="s">
        <v>808</v>
      </c>
      <c r="G6385" s="501" t="s">
        <v>809</v>
      </c>
      <c r="H6385" s="501" t="s">
        <v>8501</v>
      </c>
      <c r="I6385" s="501">
        <v>89</v>
      </c>
      <c r="J6385" s="501">
        <v>14</v>
      </c>
      <c r="K6385" s="501">
        <v>0</v>
      </c>
      <c r="L6385" s="501">
        <v>0</v>
      </c>
      <c r="M6385" s="501">
        <v>70</v>
      </c>
      <c r="N6385" s="501">
        <v>0</v>
      </c>
      <c r="O6385" s="506">
        <v>5</v>
      </c>
    </row>
    <row r="6386" spans="1:15" x14ac:dyDescent="0.35">
      <c r="A6386" s="503" t="s">
        <v>1253</v>
      </c>
      <c r="B6386" s="504" t="s">
        <v>3232</v>
      </c>
      <c r="C6386" s="504" t="s">
        <v>1094</v>
      </c>
      <c r="D6386" s="504" t="s">
        <v>3380</v>
      </c>
      <c r="E6386" s="504" t="s">
        <v>3381</v>
      </c>
      <c r="F6386" s="504" t="s">
        <v>808</v>
      </c>
      <c r="G6386" s="504" t="s">
        <v>809</v>
      </c>
      <c r="H6386" s="504" t="s">
        <v>8502</v>
      </c>
      <c r="I6386" s="504">
        <v>36</v>
      </c>
      <c r="J6386" s="504">
        <v>0</v>
      </c>
      <c r="K6386" s="504">
        <v>0</v>
      </c>
      <c r="L6386" s="504">
        <v>0</v>
      </c>
      <c r="M6386" s="504">
        <v>36</v>
      </c>
      <c r="N6386" s="504">
        <v>0</v>
      </c>
      <c r="O6386" s="505">
        <v>0</v>
      </c>
    </row>
    <row r="6387" spans="1:15" x14ac:dyDescent="0.35">
      <c r="A6387" s="500" t="s">
        <v>1592</v>
      </c>
      <c r="B6387" s="501" t="s">
        <v>2436</v>
      </c>
      <c r="C6387" s="501" t="s">
        <v>1089</v>
      </c>
      <c r="D6387" s="501" t="s">
        <v>3392</v>
      </c>
      <c r="E6387" s="501" t="s">
        <v>3381</v>
      </c>
      <c r="F6387" s="501" t="s">
        <v>808</v>
      </c>
      <c r="G6387" s="501" t="s">
        <v>809</v>
      </c>
      <c r="H6387" s="501" t="s">
        <v>8503</v>
      </c>
      <c r="I6387" s="501">
        <v>39</v>
      </c>
      <c r="J6387" s="501">
        <v>0</v>
      </c>
      <c r="K6387" s="501">
        <v>0</v>
      </c>
      <c r="L6387" s="501">
        <v>0</v>
      </c>
      <c r="M6387" s="501">
        <v>39</v>
      </c>
      <c r="N6387" s="501">
        <v>0</v>
      </c>
      <c r="O6387" s="506">
        <v>0</v>
      </c>
    </row>
    <row r="6388" spans="1:15" x14ac:dyDescent="0.35">
      <c r="A6388" s="503" t="s">
        <v>1143</v>
      </c>
      <c r="B6388" s="504" t="s">
        <v>3281</v>
      </c>
      <c r="C6388" s="504" t="s">
        <v>1094</v>
      </c>
      <c r="D6388" s="504" t="s">
        <v>3380</v>
      </c>
      <c r="E6388" s="504" t="s">
        <v>3381</v>
      </c>
      <c r="F6388" s="504" t="s">
        <v>810</v>
      </c>
      <c r="G6388" s="504" t="s">
        <v>811</v>
      </c>
      <c r="H6388" s="504" t="s">
        <v>8504</v>
      </c>
      <c r="I6388" s="504">
        <v>398</v>
      </c>
      <c r="J6388" s="504">
        <v>355</v>
      </c>
      <c r="K6388" s="504">
        <v>0</v>
      </c>
      <c r="L6388" s="504">
        <v>0</v>
      </c>
      <c r="M6388" s="504">
        <v>39</v>
      </c>
      <c r="N6388" s="504">
        <v>2</v>
      </c>
      <c r="O6388" s="505">
        <v>4</v>
      </c>
    </row>
    <row r="6389" spans="1:15" x14ac:dyDescent="0.35">
      <c r="A6389" s="500" t="s">
        <v>1096</v>
      </c>
      <c r="B6389" s="501" t="s">
        <v>3326</v>
      </c>
      <c r="C6389" s="501" t="s">
        <v>1094</v>
      </c>
      <c r="D6389" s="501" t="s">
        <v>3380</v>
      </c>
      <c r="E6389" s="501" t="s">
        <v>3381</v>
      </c>
      <c r="F6389" s="501" t="s">
        <v>810</v>
      </c>
      <c r="G6389" s="501" t="s">
        <v>811</v>
      </c>
      <c r="H6389" s="501" t="s">
        <v>8505</v>
      </c>
      <c r="I6389" s="501">
        <v>235</v>
      </c>
      <c r="J6389" s="501">
        <v>0</v>
      </c>
      <c r="K6389" s="501">
        <v>0</v>
      </c>
      <c r="L6389" s="501">
        <v>0</v>
      </c>
      <c r="M6389" s="501">
        <v>235</v>
      </c>
      <c r="N6389" s="501">
        <v>0</v>
      </c>
      <c r="O6389" s="506">
        <v>0</v>
      </c>
    </row>
    <row r="6390" spans="1:15" x14ac:dyDescent="0.35">
      <c r="A6390" s="503" t="s">
        <v>1617</v>
      </c>
      <c r="B6390" s="504">
        <v>4868</v>
      </c>
      <c r="C6390" s="504" t="s">
        <v>1094</v>
      </c>
      <c r="D6390" s="504" t="s">
        <v>3380</v>
      </c>
      <c r="E6390" s="504" t="s">
        <v>3381</v>
      </c>
      <c r="F6390" s="504" t="s">
        <v>810</v>
      </c>
      <c r="G6390" s="504" t="s">
        <v>811</v>
      </c>
      <c r="H6390" s="504" t="s">
        <v>8506</v>
      </c>
      <c r="I6390" s="504">
        <v>32</v>
      </c>
      <c r="J6390" s="504">
        <v>8</v>
      </c>
      <c r="K6390" s="504">
        <v>0</v>
      </c>
      <c r="L6390" s="504">
        <v>24</v>
      </c>
      <c r="M6390" s="504">
        <v>0</v>
      </c>
      <c r="N6390" s="504">
        <v>0</v>
      </c>
      <c r="O6390" s="505">
        <v>0</v>
      </c>
    </row>
    <row r="6391" spans="1:15" x14ac:dyDescent="0.35">
      <c r="A6391" s="500" t="s">
        <v>11363</v>
      </c>
      <c r="B6391" s="501">
        <v>4718</v>
      </c>
      <c r="C6391" s="501" t="s">
        <v>1094</v>
      </c>
      <c r="D6391" s="501" t="s">
        <v>3380</v>
      </c>
      <c r="E6391" s="501" t="s">
        <v>3381</v>
      </c>
      <c r="F6391" s="501" t="s">
        <v>810</v>
      </c>
      <c r="G6391" s="501" t="s">
        <v>811</v>
      </c>
      <c r="H6391" s="501" t="s">
        <v>11578</v>
      </c>
      <c r="I6391" s="501">
        <v>6</v>
      </c>
      <c r="J6391" s="501">
        <v>0</v>
      </c>
      <c r="K6391" s="501">
        <v>0</v>
      </c>
      <c r="L6391" s="501">
        <v>6</v>
      </c>
      <c r="M6391" s="501">
        <v>0</v>
      </c>
      <c r="N6391" s="501">
        <v>0</v>
      </c>
      <c r="O6391" s="506">
        <v>0</v>
      </c>
    </row>
    <row r="6392" spans="1:15" x14ac:dyDescent="0.35">
      <c r="A6392" s="503" t="s">
        <v>1618</v>
      </c>
      <c r="B6392" s="504" t="s">
        <v>3355</v>
      </c>
      <c r="C6392" s="504" t="s">
        <v>1094</v>
      </c>
      <c r="D6392" s="504" t="s">
        <v>3380</v>
      </c>
      <c r="E6392" s="504" t="s">
        <v>3381</v>
      </c>
      <c r="F6392" s="504" t="s">
        <v>810</v>
      </c>
      <c r="G6392" s="504" t="s">
        <v>811</v>
      </c>
      <c r="H6392" s="504" t="s">
        <v>8507</v>
      </c>
      <c r="I6392" s="504">
        <v>10095</v>
      </c>
      <c r="J6392" s="504">
        <v>9834</v>
      </c>
      <c r="K6392" s="504">
        <v>0</v>
      </c>
      <c r="L6392" s="504">
        <v>67</v>
      </c>
      <c r="M6392" s="504">
        <v>70</v>
      </c>
      <c r="N6392" s="504">
        <v>0</v>
      </c>
      <c r="O6392" s="505">
        <v>124</v>
      </c>
    </row>
    <row r="6393" spans="1:15" x14ac:dyDescent="0.35">
      <c r="A6393" s="500" t="s">
        <v>1621</v>
      </c>
      <c r="B6393" s="501" t="s">
        <v>3319</v>
      </c>
      <c r="C6393" s="501" t="s">
        <v>1094</v>
      </c>
      <c r="D6393" s="501" t="s">
        <v>3380</v>
      </c>
      <c r="E6393" s="501" t="s">
        <v>3381</v>
      </c>
      <c r="F6393" s="501" t="s">
        <v>810</v>
      </c>
      <c r="G6393" s="501" t="s">
        <v>811</v>
      </c>
      <c r="H6393" s="501" t="s">
        <v>8508</v>
      </c>
      <c r="I6393" s="501">
        <v>23</v>
      </c>
      <c r="J6393" s="501">
        <v>23</v>
      </c>
      <c r="K6393" s="501">
        <v>0</v>
      </c>
      <c r="L6393" s="501">
        <v>0</v>
      </c>
      <c r="M6393" s="501">
        <v>0</v>
      </c>
      <c r="N6393" s="501">
        <v>0</v>
      </c>
      <c r="O6393" s="506">
        <v>0</v>
      </c>
    </row>
    <row r="6394" spans="1:15" x14ac:dyDescent="0.35">
      <c r="A6394" s="503" t="s">
        <v>1167</v>
      </c>
      <c r="B6394" s="504">
        <v>4689</v>
      </c>
      <c r="C6394" s="504" t="s">
        <v>1089</v>
      </c>
      <c r="D6394" s="504" t="s">
        <v>3392</v>
      </c>
      <c r="E6394" s="504" t="s">
        <v>3381</v>
      </c>
      <c r="F6394" s="504" t="s">
        <v>810</v>
      </c>
      <c r="G6394" s="504" t="s">
        <v>811</v>
      </c>
      <c r="H6394" s="504" t="s">
        <v>8509</v>
      </c>
      <c r="I6394" s="504">
        <v>3</v>
      </c>
      <c r="J6394" s="504">
        <v>0</v>
      </c>
      <c r="K6394" s="504">
        <v>0</v>
      </c>
      <c r="L6394" s="504">
        <v>3</v>
      </c>
      <c r="M6394" s="504">
        <v>0</v>
      </c>
      <c r="N6394" s="504">
        <v>0</v>
      </c>
      <c r="O6394" s="505">
        <v>0</v>
      </c>
    </row>
    <row r="6395" spans="1:15" x14ac:dyDescent="0.35">
      <c r="A6395" s="500" t="s">
        <v>1174</v>
      </c>
      <c r="B6395" s="501">
        <v>4784</v>
      </c>
      <c r="C6395" s="501" t="s">
        <v>1089</v>
      </c>
      <c r="D6395" s="501" t="s">
        <v>3392</v>
      </c>
      <c r="E6395" s="501" t="s">
        <v>3381</v>
      </c>
      <c r="F6395" s="501" t="s">
        <v>810</v>
      </c>
      <c r="G6395" s="501" t="s">
        <v>811</v>
      </c>
      <c r="H6395" s="501" t="s">
        <v>8510</v>
      </c>
      <c r="I6395" s="501">
        <v>44</v>
      </c>
      <c r="J6395" s="501">
        <v>0</v>
      </c>
      <c r="K6395" s="501">
        <v>0</v>
      </c>
      <c r="L6395" s="501">
        <v>44</v>
      </c>
      <c r="M6395" s="501">
        <v>0</v>
      </c>
      <c r="N6395" s="501">
        <v>0</v>
      </c>
      <c r="O6395" s="506">
        <v>0</v>
      </c>
    </row>
    <row r="6396" spans="1:15" x14ac:dyDescent="0.35">
      <c r="A6396" s="503" t="s">
        <v>1629</v>
      </c>
      <c r="B6396" s="504" t="s">
        <v>3176</v>
      </c>
      <c r="C6396" s="504" t="s">
        <v>1094</v>
      </c>
      <c r="D6396" s="504" t="s">
        <v>3380</v>
      </c>
      <c r="E6396" s="504" t="s">
        <v>3381</v>
      </c>
      <c r="F6396" s="504" t="s">
        <v>810</v>
      </c>
      <c r="G6396" s="504" t="s">
        <v>811</v>
      </c>
      <c r="H6396" s="504" t="s">
        <v>8511</v>
      </c>
      <c r="I6396" s="504">
        <v>19</v>
      </c>
      <c r="J6396" s="504">
        <v>13</v>
      </c>
      <c r="K6396" s="504">
        <v>0</v>
      </c>
      <c r="L6396" s="504">
        <v>0</v>
      </c>
      <c r="M6396" s="504">
        <v>0</v>
      </c>
      <c r="N6396" s="504">
        <v>0</v>
      </c>
      <c r="O6396" s="505">
        <v>6</v>
      </c>
    </row>
    <row r="6397" spans="1:15" x14ac:dyDescent="0.35">
      <c r="A6397" s="500" t="s">
        <v>14208</v>
      </c>
      <c r="B6397" s="501">
        <v>4803</v>
      </c>
      <c r="C6397" s="501" t="s">
        <v>1094</v>
      </c>
      <c r="D6397" s="501" t="s">
        <v>3380</v>
      </c>
      <c r="E6397" s="501" t="s">
        <v>3381</v>
      </c>
      <c r="F6397" s="501" t="s">
        <v>810</v>
      </c>
      <c r="G6397" s="501" t="s">
        <v>811</v>
      </c>
      <c r="H6397" s="501" t="s">
        <v>14982</v>
      </c>
      <c r="I6397" s="501">
        <v>6</v>
      </c>
      <c r="J6397" s="501">
        <v>0</v>
      </c>
      <c r="K6397" s="501">
        <v>0</v>
      </c>
      <c r="L6397" s="501">
        <v>6</v>
      </c>
      <c r="M6397" s="501">
        <v>0</v>
      </c>
      <c r="N6397" s="501">
        <v>0</v>
      </c>
      <c r="O6397" s="506">
        <v>0</v>
      </c>
    </row>
    <row r="6398" spans="1:15" x14ac:dyDescent="0.35">
      <c r="A6398" s="503" t="s">
        <v>1105</v>
      </c>
      <c r="B6398" s="504">
        <v>4668</v>
      </c>
      <c r="C6398" s="504" t="s">
        <v>1094</v>
      </c>
      <c r="D6398" s="504" t="s">
        <v>3380</v>
      </c>
      <c r="E6398" s="504" t="s">
        <v>3381</v>
      </c>
      <c r="F6398" s="504" t="s">
        <v>810</v>
      </c>
      <c r="G6398" s="504" t="s">
        <v>811</v>
      </c>
      <c r="H6398" s="504" t="s">
        <v>8512</v>
      </c>
      <c r="I6398" s="504">
        <v>11</v>
      </c>
      <c r="J6398" s="504">
        <v>0</v>
      </c>
      <c r="K6398" s="504">
        <v>0</v>
      </c>
      <c r="L6398" s="504">
        <v>0</v>
      </c>
      <c r="M6398" s="504">
        <v>0</v>
      </c>
      <c r="N6398" s="504">
        <v>0</v>
      </c>
      <c r="O6398" s="505">
        <v>11</v>
      </c>
    </row>
    <row r="6399" spans="1:15" x14ac:dyDescent="0.35">
      <c r="A6399" s="500" t="s">
        <v>1107</v>
      </c>
      <c r="B6399" s="501" t="s">
        <v>3109</v>
      </c>
      <c r="C6399" s="501" t="s">
        <v>1094</v>
      </c>
      <c r="D6399" s="501" t="s">
        <v>3380</v>
      </c>
      <c r="E6399" s="501" t="s">
        <v>3381</v>
      </c>
      <c r="F6399" s="501" t="s">
        <v>810</v>
      </c>
      <c r="G6399" s="501" t="s">
        <v>811</v>
      </c>
      <c r="H6399" s="501" t="s">
        <v>8513</v>
      </c>
      <c r="I6399" s="501">
        <v>286</v>
      </c>
      <c r="J6399" s="501">
        <v>200</v>
      </c>
      <c r="K6399" s="501">
        <v>0</v>
      </c>
      <c r="L6399" s="501">
        <v>36</v>
      </c>
      <c r="M6399" s="501">
        <v>36</v>
      </c>
      <c r="N6399" s="501">
        <v>0</v>
      </c>
      <c r="O6399" s="506">
        <v>14</v>
      </c>
    </row>
    <row r="6400" spans="1:15" x14ac:dyDescent="0.35">
      <c r="A6400" s="503" t="s">
        <v>1639</v>
      </c>
      <c r="B6400" s="504">
        <v>4846</v>
      </c>
      <c r="C6400" s="504" t="s">
        <v>1094</v>
      </c>
      <c r="D6400" s="504" t="s">
        <v>3380</v>
      </c>
      <c r="E6400" s="504" t="s">
        <v>3381</v>
      </c>
      <c r="F6400" s="504" t="s">
        <v>810</v>
      </c>
      <c r="G6400" s="504" t="s">
        <v>811</v>
      </c>
      <c r="H6400" s="504" t="s">
        <v>8514</v>
      </c>
      <c r="I6400" s="504">
        <v>187</v>
      </c>
      <c r="J6400" s="504">
        <v>125</v>
      </c>
      <c r="K6400" s="504">
        <v>0</v>
      </c>
      <c r="L6400" s="504">
        <v>0</v>
      </c>
      <c r="M6400" s="504">
        <v>62</v>
      </c>
      <c r="N6400" s="504">
        <v>0</v>
      </c>
      <c r="O6400" s="505">
        <v>0</v>
      </c>
    </row>
    <row r="6401" spans="1:15" x14ac:dyDescent="0.35">
      <c r="A6401" s="500" t="s">
        <v>1645</v>
      </c>
      <c r="B6401" s="501" t="s">
        <v>3239</v>
      </c>
      <c r="C6401" s="501" t="s">
        <v>1094</v>
      </c>
      <c r="D6401" s="501" t="s">
        <v>3380</v>
      </c>
      <c r="E6401" s="501" t="s">
        <v>3381</v>
      </c>
      <c r="F6401" s="501" t="s">
        <v>810</v>
      </c>
      <c r="G6401" s="501" t="s">
        <v>811</v>
      </c>
      <c r="H6401" s="501" t="s">
        <v>8515</v>
      </c>
      <c r="I6401" s="501">
        <v>138</v>
      </c>
      <c r="J6401" s="501">
        <v>111</v>
      </c>
      <c r="K6401" s="501">
        <v>0</v>
      </c>
      <c r="L6401" s="501">
        <v>26</v>
      </c>
      <c r="M6401" s="501">
        <v>0</v>
      </c>
      <c r="N6401" s="501">
        <v>0</v>
      </c>
      <c r="O6401" s="506">
        <v>1</v>
      </c>
    </row>
    <row r="6402" spans="1:15" x14ac:dyDescent="0.35">
      <c r="A6402" s="503" t="s">
        <v>1223</v>
      </c>
      <c r="B6402" s="504">
        <v>4768</v>
      </c>
      <c r="C6402" s="504" t="s">
        <v>1089</v>
      </c>
      <c r="D6402" s="504" t="s">
        <v>3392</v>
      </c>
      <c r="E6402" s="504" t="s">
        <v>3381</v>
      </c>
      <c r="F6402" s="504" t="s">
        <v>810</v>
      </c>
      <c r="G6402" s="504" t="s">
        <v>811</v>
      </c>
      <c r="H6402" s="504" t="s">
        <v>8516</v>
      </c>
      <c r="I6402" s="504">
        <v>10</v>
      </c>
      <c r="J6402" s="504">
        <v>0</v>
      </c>
      <c r="K6402" s="504">
        <v>0</v>
      </c>
      <c r="L6402" s="504">
        <v>10</v>
      </c>
      <c r="M6402" s="504">
        <v>0</v>
      </c>
      <c r="N6402" s="504">
        <v>0</v>
      </c>
      <c r="O6402" s="505">
        <v>0</v>
      </c>
    </row>
    <row r="6403" spans="1:15" x14ac:dyDescent="0.35">
      <c r="A6403" s="500" t="s">
        <v>1122</v>
      </c>
      <c r="B6403" s="501" t="s">
        <v>2994</v>
      </c>
      <c r="C6403" s="501" t="s">
        <v>1094</v>
      </c>
      <c r="D6403" s="501" t="s">
        <v>3380</v>
      </c>
      <c r="E6403" s="501" t="s">
        <v>3381</v>
      </c>
      <c r="F6403" s="501" t="s">
        <v>810</v>
      </c>
      <c r="G6403" s="501" t="s">
        <v>811</v>
      </c>
      <c r="H6403" s="501" t="s">
        <v>8517</v>
      </c>
      <c r="I6403" s="501">
        <v>4</v>
      </c>
      <c r="J6403" s="501">
        <v>2</v>
      </c>
      <c r="K6403" s="501">
        <v>0</v>
      </c>
      <c r="L6403" s="501">
        <v>0</v>
      </c>
      <c r="M6403" s="501">
        <v>0</v>
      </c>
      <c r="N6403" s="501">
        <v>0</v>
      </c>
      <c r="O6403" s="506">
        <v>2</v>
      </c>
    </row>
    <row r="6404" spans="1:15" x14ac:dyDescent="0.35">
      <c r="A6404" s="503" t="s">
        <v>1228</v>
      </c>
      <c r="B6404" s="504" t="s">
        <v>3321</v>
      </c>
      <c r="C6404" s="504" t="s">
        <v>1094</v>
      </c>
      <c r="D6404" s="504" t="s">
        <v>3380</v>
      </c>
      <c r="E6404" s="504" t="s">
        <v>3381</v>
      </c>
      <c r="F6404" s="504" t="s">
        <v>810</v>
      </c>
      <c r="G6404" s="504" t="s">
        <v>811</v>
      </c>
      <c r="H6404" s="504" t="s">
        <v>8518</v>
      </c>
      <c r="I6404" s="504">
        <v>1</v>
      </c>
      <c r="J6404" s="504">
        <v>0</v>
      </c>
      <c r="K6404" s="504">
        <v>0</v>
      </c>
      <c r="L6404" s="504">
        <v>0</v>
      </c>
      <c r="M6404" s="504">
        <v>0</v>
      </c>
      <c r="N6404" s="504">
        <v>0</v>
      </c>
      <c r="O6404" s="505">
        <v>1</v>
      </c>
    </row>
    <row r="6405" spans="1:15" x14ac:dyDescent="0.35">
      <c r="A6405" s="500" t="s">
        <v>14293</v>
      </c>
      <c r="B6405" s="501">
        <v>5108</v>
      </c>
      <c r="C6405" s="501" t="s">
        <v>1089</v>
      </c>
      <c r="D6405" s="501" t="s">
        <v>3392</v>
      </c>
      <c r="E6405" s="501" t="s">
        <v>3381</v>
      </c>
      <c r="F6405" s="501" t="s">
        <v>810</v>
      </c>
      <c r="G6405" s="501" t="s">
        <v>811</v>
      </c>
      <c r="H6405" s="501" t="s">
        <v>14983</v>
      </c>
      <c r="I6405" s="501">
        <v>8</v>
      </c>
      <c r="J6405" s="501">
        <v>0</v>
      </c>
      <c r="K6405" s="501">
        <v>0</v>
      </c>
      <c r="L6405" s="501">
        <v>8</v>
      </c>
      <c r="M6405" s="501">
        <v>0</v>
      </c>
      <c r="N6405" s="501">
        <v>0</v>
      </c>
      <c r="O6405" s="506">
        <v>0</v>
      </c>
    </row>
    <row r="6406" spans="1:15" x14ac:dyDescent="0.35">
      <c r="A6406" s="503" t="s">
        <v>1648</v>
      </c>
      <c r="B6406" s="504" t="s">
        <v>2496</v>
      </c>
      <c r="C6406" s="504" t="s">
        <v>1094</v>
      </c>
      <c r="D6406" s="504" t="s">
        <v>3380</v>
      </c>
      <c r="E6406" s="504" t="s">
        <v>3381</v>
      </c>
      <c r="F6406" s="504" t="s">
        <v>810</v>
      </c>
      <c r="G6406" s="504" t="s">
        <v>811</v>
      </c>
      <c r="H6406" s="504" t="s">
        <v>8519</v>
      </c>
      <c r="I6406" s="504">
        <v>24</v>
      </c>
      <c r="J6406" s="504">
        <v>0</v>
      </c>
      <c r="K6406" s="504">
        <v>0</v>
      </c>
      <c r="L6406" s="504">
        <v>0</v>
      </c>
      <c r="M6406" s="504">
        <v>24</v>
      </c>
      <c r="N6406" s="504">
        <v>0</v>
      </c>
      <c r="O6406" s="505">
        <v>0</v>
      </c>
    </row>
    <row r="6407" spans="1:15" x14ac:dyDescent="0.35">
      <c r="A6407" s="500" t="s">
        <v>1124</v>
      </c>
      <c r="B6407" s="501">
        <v>4745</v>
      </c>
      <c r="C6407" s="501" t="s">
        <v>1094</v>
      </c>
      <c r="D6407" s="501" t="s">
        <v>3380</v>
      </c>
      <c r="E6407" s="501" t="s">
        <v>3381</v>
      </c>
      <c r="F6407" s="501" t="s">
        <v>810</v>
      </c>
      <c r="G6407" s="501" t="s">
        <v>811</v>
      </c>
      <c r="H6407" s="501" t="s">
        <v>8520</v>
      </c>
      <c r="I6407" s="501">
        <v>7</v>
      </c>
      <c r="J6407" s="501">
        <v>0</v>
      </c>
      <c r="K6407" s="501">
        <v>0</v>
      </c>
      <c r="L6407" s="501">
        <v>7</v>
      </c>
      <c r="M6407" s="501">
        <v>0</v>
      </c>
      <c r="N6407" s="501">
        <v>0</v>
      </c>
      <c r="O6407" s="506">
        <v>0</v>
      </c>
    </row>
    <row r="6408" spans="1:15" x14ac:dyDescent="0.35">
      <c r="A6408" s="503" t="s">
        <v>1652</v>
      </c>
      <c r="B6408" s="504" t="s">
        <v>2644</v>
      </c>
      <c r="C6408" s="504" t="s">
        <v>1089</v>
      </c>
      <c r="D6408" s="504" t="s">
        <v>3392</v>
      </c>
      <c r="E6408" s="504" t="s">
        <v>3381</v>
      </c>
      <c r="F6408" s="504" t="s">
        <v>810</v>
      </c>
      <c r="G6408" s="504" t="s">
        <v>811</v>
      </c>
      <c r="H6408" s="504" t="s">
        <v>8521</v>
      </c>
      <c r="I6408" s="504">
        <v>25</v>
      </c>
      <c r="J6408" s="504">
        <v>0</v>
      </c>
      <c r="K6408" s="504">
        <v>0</v>
      </c>
      <c r="L6408" s="504">
        <v>0</v>
      </c>
      <c r="M6408" s="504">
        <v>25</v>
      </c>
      <c r="N6408" s="504">
        <v>0</v>
      </c>
      <c r="O6408" s="505">
        <v>0</v>
      </c>
    </row>
    <row r="6409" spans="1:15" x14ac:dyDescent="0.35">
      <c r="A6409" s="500" t="s">
        <v>1252</v>
      </c>
      <c r="B6409" s="501" t="s">
        <v>2875</v>
      </c>
      <c r="C6409" s="501" t="s">
        <v>1089</v>
      </c>
      <c r="D6409" s="501" t="s">
        <v>3392</v>
      </c>
      <c r="E6409" s="501" t="s">
        <v>3381</v>
      </c>
      <c r="F6409" s="501" t="s">
        <v>810</v>
      </c>
      <c r="G6409" s="501" t="s">
        <v>811</v>
      </c>
      <c r="H6409" s="501" t="s">
        <v>8522</v>
      </c>
      <c r="I6409" s="501">
        <v>11</v>
      </c>
      <c r="J6409" s="501">
        <v>0</v>
      </c>
      <c r="K6409" s="501">
        <v>0</v>
      </c>
      <c r="L6409" s="501">
        <v>11</v>
      </c>
      <c r="M6409" s="501">
        <v>0</v>
      </c>
      <c r="N6409" s="501">
        <v>0</v>
      </c>
      <c r="O6409" s="506">
        <v>0</v>
      </c>
    </row>
    <row r="6410" spans="1:15" x14ac:dyDescent="0.35">
      <c r="A6410" s="503" t="s">
        <v>1253</v>
      </c>
      <c r="B6410" s="504" t="s">
        <v>3232</v>
      </c>
      <c r="C6410" s="504" t="s">
        <v>1094</v>
      </c>
      <c r="D6410" s="504" t="s">
        <v>3380</v>
      </c>
      <c r="E6410" s="504" t="s">
        <v>3381</v>
      </c>
      <c r="F6410" s="504" t="s">
        <v>810</v>
      </c>
      <c r="G6410" s="504" t="s">
        <v>811</v>
      </c>
      <c r="H6410" s="504" t="s">
        <v>8523</v>
      </c>
      <c r="I6410" s="504">
        <v>49</v>
      </c>
      <c r="J6410" s="504">
        <v>0</v>
      </c>
      <c r="K6410" s="504">
        <v>0</v>
      </c>
      <c r="L6410" s="504">
        <v>6</v>
      </c>
      <c r="M6410" s="504">
        <v>43</v>
      </c>
      <c r="N6410" s="504">
        <v>0</v>
      </c>
      <c r="O6410" s="505">
        <v>0</v>
      </c>
    </row>
    <row r="6411" spans="1:15" x14ac:dyDescent="0.35">
      <c r="A6411" s="500" t="s">
        <v>1368</v>
      </c>
      <c r="B6411" s="501" t="s">
        <v>3220</v>
      </c>
      <c r="C6411" s="501" t="s">
        <v>1094</v>
      </c>
      <c r="D6411" s="501" t="s">
        <v>3380</v>
      </c>
      <c r="E6411" s="501" t="s">
        <v>3381</v>
      </c>
      <c r="F6411" s="501" t="s">
        <v>810</v>
      </c>
      <c r="G6411" s="501" t="s">
        <v>811</v>
      </c>
      <c r="H6411" s="501" t="s">
        <v>8524</v>
      </c>
      <c r="I6411" s="501">
        <v>1070</v>
      </c>
      <c r="J6411" s="501">
        <v>781</v>
      </c>
      <c r="K6411" s="501">
        <v>0</v>
      </c>
      <c r="L6411" s="501">
        <v>35</v>
      </c>
      <c r="M6411" s="501">
        <v>101</v>
      </c>
      <c r="N6411" s="501">
        <v>0</v>
      </c>
      <c r="O6411" s="506">
        <v>153</v>
      </c>
    </row>
    <row r="6412" spans="1:15" x14ac:dyDescent="0.35">
      <c r="A6412" s="503" t="s">
        <v>1093</v>
      </c>
      <c r="B6412" s="504" t="s">
        <v>3248</v>
      </c>
      <c r="C6412" s="504" t="s">
        <v>1094</v>
      </c>
      <c r="D6412" s="504" t="s">
        <v>3380</v>
      </c>
      <c r="E6412" s="504" t="s">
        <v>3381</v>
      </c>
      <c r="F6412" s="504" t="s">
        <v>812</v>
      </c>
      <c r="G6412" s="504" t="s">
        <v>813</v>
      </c>
      <c r="H6412" s="504" t="s">
        <v>8525</v>
      </c>
      <c r="I6412" s="504">
        <v>13</v>
      </c>
      <c r="J6412" s="504">
        <v>0</v>
      </c>
      <c r="K6412" s="504">
        <v>0</v>
      </c>
      <c r="L6412" s="504">
        <v>13</v>
      </c>
      <c r="M6412" s="504">
        <v>0</v>
      </c>
      <c r="N6412" s="504">
        <v>0</v>
      </c>
      <c r="O6412" s="505">
        <v>0</v>
      </c>
    </row>
    <row r="6413" spans="1:15" x14ac:dyDescent="0.35">
      <c r="A6413" s="500" t="s">
        <v>1096</v>
      </c>
      <c r="B6413" s="501" t="s">
        <v>3326</v>
      </c>
      <c r="C6413" s="501" t="s">
        <v>1094</v>
      </c>
      <c r="D6413" s="501" t="s">
        <v>3380</v>
      </c>
      <c r="E6413" s="501" t="s">
        <v>3381</v>
      </c>
      <c r="F6413" s="501" t="s">
        <v>812</v>
      </c>
      <c r="G6413" s="501" t="s">
        <v>813</v>
      </c>
      <c r="H6413" s="501" t="s">
        <v>8526</v>
      </c>
      <c r="I6413" s="501">
        <v>58</v>
      </c>
      <c r="J6413" s="501">
        <v>0</v>
      </c>
      <c r="K6413" s="501">
        <v>0</v>
      </c>
      <c r="L6413" s="501">
        <v>0</v>
      </c>
      <c r="M6413" s="501">
        <v>58</v>
      </c>
      <c r="N6413" s="501">
        <v>0</v>
      </c>
      <c r="O6413" s="506">
        <v>0</v>
      </c>
    </row>
    <row r="6414" spans="1:15" x14ac:dyDescent="0.35">
      <c r="A6414" s="503" t="s">
        <v>1158</v>
      </c>
      <c r="B6414" s="504">
        <v>4819</v>
      </c>
      <c r="C6414" s="504" t="s">
        <v>1094</v>
      </c>
      <c r="D6414" s="504" t="s">
        <v>3380</v>
      </c>
      <c r="E6414" s="504" t="s">
        <v>3381</v>
      </c>
      <c r="F6414" s="504" t="s">
        <v>812</v>
      </c>
      <c r="G6414" s="504" t="s">
        <v>813</v>
      </c>
      <c r="H6414" s="504" t="s">
        <v>8527</v>
      </c>
      <c r="I6414" s="504">
        <v>251</v>
      </c>
      <c r="J6414" s="504">
        <v>221</v>
      </c>
      <c r="K6414" s="504">
        <v>0</v>
      </c>
      <c r="L6414" s="504">
        <v>16</v>
      </c>
      <c r="M6414" s="504">
        <v>0</v>
      </c>
      <c r="N6414" s="504">
        <v>0</v>
      </c>
      <c r="O6414" s="505">
        <v>14</v>
      </c>
    </row>
    <row r="6415" spans="1:15" x14ac:dyDescent="0.35">
      <c r="A6415" s="500" t="s">
        <v>2066</v>
      </c>
      <c r="B6415" s="501" t="s">
        <v>3359</v>
      </c>
      <c r="C6415" s="501" t="s">
        <v>1094</v>
      </c>
      <c r="D6415" s="501" t="s">
        <v>3380</v>
      </c>
      <c r="E6415" s="501" t="s">
        <v>3381</v>
      </c>
      <c r="F6415" s="501" t="s">
        <v>812</v>
      </c>
      <c r="G6415" s="501" t="s">
        <v>813</v>
      </c>
      <c r="H6415" s="501" t="s">
        <v>8528</v>
      </c>
      <c r="I6415" s="501">
        <v>161</v>
      </c>
      <c r="J6415" s="501">
        <v>124</v>
      </c>
      <c r="K6415" s="501">
        <v>0</v>
      </c>
      <c r="L6415" s="501">
        <v>0</v>
      </c>
      <c r="M6415" s="501">
        <v>0</v>
      </c>
      <c r="N6415" s="501">
        <v>0</v>
      </c>
      <c r="O6415" s="506">
        <v>37</v>
      </c>
    </row>
    <row r="6416" spans="1:15" x14ac:dyDescent="0.35">
      <c r="A6416" s="503" t="s">
        <v>1961</v>
      </c>
      <c r="B6416" s="504">
        <v>5075</v>
      </c>
      <c r="C6416" s="504" t="s">
        <v>1094</v>
      </c>
      <c r="D6416" s="504" t="s">
        <v>3380</v>
      </c>
      <c r="E6416" s="504" t="s">
        <v>3381</v>
      </c>
      <c r="F6416" s="504" t="s">
        <v>812</v>
      </c>
      <c r="G6416" s="504" t="s">
        <v>813</v>
      </c>
      <c r="H6416" s="504" t="s">
        <v>8529</v>
      </c>
      <c r="I6416" s="504">
        <v>148</v>
      </c>
      <c r="J6416" s="504">
        <v>129</v>
      </c>
      <c r="K6416" s="504">
        <v>0</v>
      </c>
      <c r="L6416" s="504">
        <v>10</v>
      </c>
      <c r="M6416" s="504">
        <v>0</v>
      </c>
      <c r="N6416" s="504">
        <v>0</v>
      </c>
      <c r="O6416" s="505">
        <v>9</v>
      </c>
    </row>
    <row r="6417" spans="1:15" x14ac:dyDescent="0.35">
      <c r="A6417" s="500" t="s">
        <v>1172</v>
      </c>
      <c r="B6417" s="501">
        <v>4648</v>
      </c>
      <c r="C6417" s="501" t="s">
        <v>1089</v>
      </c>
      <c r="D6417" s="501" t="s">
        <v>3392</v>
      </c>
      <c r="E6417" s="501" t="s">
        <v>3381</v>
      </c>
      <c r="F6417" s="501" t="s">
        <v>812</v>
      </c>
      <c r="G6417" s="501" t="s">
        <v>813</v>
      </c>
      <c r="H6417" s="501" t="s">
        <v>8530</v>
      </c>
      <c r="I6417" s="501">
        <v>2</v>
      </c>
      <c r="J6417" s="501">
        <v>0</v>
      </c>
      <c r="K6417" s="501">
        <v>0</v>
      </c>
      <c r="L6417" s="501">
        <v>2</v>
      </c>
      <c r="M6417" s="501">
        <v>0</v>
      </c>
      <c r="N6417" s="501">
        <v>0</v>
      </c>
      <c r="O6417" s="506">
        <v>0</v>
      </c>
    </row>
    <row r="6418" spans="1:15" x14ac:dyDescent="0.35">
      <c r="A6418" s="503" t="s">
        <v>14213</v>
      </c>
      <c r="B6418" s="504" t="s">
        <v>3312</v>
      </c>
      <c r="C6418" s="504" t="s">
        <v>1094</v>
      </c>
      <c r="D6418" s="504" t="s">
        <v>3380</v>
      </c>
      <c r="E6418" s="504" t="s">
        <v>3381</v>
      </c>
      <c r="F6418" s="504" t="s">
        <v>812</v>
      </c>
      <c r="G6418" s="504" t="s">
        <v>813</v>
      </c>
      <c r="H6418" s="504" t="s">
        <v>14984</v>
      </c>
      <c r="I6418" s="504">
        <v>628</v>
      </c>
      <c r="J6418" s="504">
        <v>581</v>
      </c>
      <c r="K6418" s="504">
        <v>0</v>
      </c>
      <c r="L6418" s="504">
        <v>0</v>
      </c>
      <c r="M6418" s="504">
        <v>0</v>
      </c>
      <c r="N6418" s="504">
        <v>0</v>
      </c>
      <c r="O6418" s="505">
        <v>47</v>
      </c>
    </row>
    <row r="6419" spans="1:15" x14ac:dyDescent="0.35">
      <c r="A6419" s="500" t="s">
        <v>1186</v>
      </c>
      <c r="B6419" s="501">
        <v>4661</v>
      </c>
      <c r="C6419" s="501" t="s">
        <v>1089</v>
      </c>
      <c r="D6419" s="501" t="s">
        <v>3392</v>
      </c>
      <c r="E6419" s="501" t="s">
        <v>3381</v>
      </c>
      <c r="F6419" s="501" t="s">
        <v>812</v>
      </c>
      <c r="G6419" s="501" t="s">
        <v>813</v>
      </c>
      <c r="H6419" s="501" t="s">
        <v>8531</v>
      </c>
      <c r="I6419" s="501">
        <v>2</v>
      </c>
      <c r="J6419" s="501">
        <v>0</v>
      </c>
      <c r="K6419" s="501">
        <v>0</v>
      </c>
      <c r="L6419" s="501">
        <v>2</v>
      </c>
      <c r="M6419" s="501">
        <v>0</v>
      </c>
      <c r="N6419" s="501">
        <v>0</v>
      </c>
      <c r="O6419" s="506">
        <v>0</v>
      </c>
    </row>
    <row r="6420" spans="1:15" x14ac:dyDescent="0.35">
      <c r="A6420" s="503" t="s">
        <v>1105</v>
      </c>
      <c r="B6420" s="504">
        <v>4668</v>
      </c>
      <c r="C6420" s="504" t="s">
        <v>1094</v>
      </c>
      <c r="D6420" s="504" t="s">
        <v>3380</v>
      </c>
      <c r="E6420" s="504" t="s">
        <v>3381</v>
      </c>
      <c r="F6420" s="504" t="s">
        <v>812</v>
      </c>
      <c r="G6420" s="504" t="s">
        <v>813</v>
      </c>
      <c r="H6420" s="504" t="s">
        <v>8532</v>
      </c>
      <c r="I6420" s="504">
        <v>11</v>
      </c>
      <c r="J6420" s="504">
        <v>0</v>
      </c>
      <c r="K6420" s="504">
        <v>0</v>
      </c>
      <c r="L6420" s="504">
        <v>0</v>
      </c>
      <c r="M6420" s="504">
        <v>0</v>
      </c>
      <c r="N6420" s="504">
        <v>0</v>
      </c>
      <c r="O6420" s="505">
        <v>11</v>
      </c>
    </row>
    <row r="6421" spans="1:15" x14ac:dyDescent="0.35">
      <c r="A6421" s="500" t="s">
        <v>1109</v>
      </c>
      <c r="B6421" s="501" t="s">
        <v>2959</v>
      </c>
      <c r="C6421" s="501" t="s">
        <v>1094</v>
      </c>
      <c r="D6421" s="501" t="s">
        <v>3380</v>
      </c>
      <c r="E6421" s="501" t="s">
        <v>3381</v>
      </c>
      <c r="F6421" s="501" t="s">
        <v>812</v>
      </c>
      <c r="G6421" s="501" t="s">
        <v>813</v>
      </c>
      <c r="H6421" s="501" t="s">
        <v>8533</v>
      </c>
      <c r="I6421" s="501">
        <v>22</v>
      </c>
      <c r="J6421" s="501">
        <v>0</v>
      </c>
      <c r="K6421" s="501">
        <v>0</v>
      </c>
      <c r="L6421" s="501">
        <v>0</v>
      </c>
      <c r="M6421" s="501">
        <v>22</v>
      </c>
      <c r="N6421" s="501">
        <v>0</v>
      </c>
      <c r="O6421" s="506">
        <v>0</v>
      </c>
    </row>
    <row r="6422" spans="1:15" x14ac:dyDescent="0.35">
      <c r="A6422" s="503" t="s">
        <v>1190</v>
      </c>
      <c r="B6422" s="504">
        <v>4662</v>
      </c>
      <c r="C6422" s="504" t="s">
        <v>1094</v>
      </c>
      <c r="D6422" s="504" t="s">
        <v>3380</v>
      </c>
      <c r="E6422" s="504" t="s">
        <v>3381</v>
      </c>
      <c r="F6422" s="504" t="s">
        <v>812</v>
      </c>
      <c r="G6422" s="504" t="s">
        <v>813</v>
      </c>
      <c r="H6422" s="504" t="s">
        <v>8534</v>
      </c>
      <c r="I6422" s="504">
        <v>46</v>
      </c>
      <c r="J6422" s="504">
        <v>0</v>
      </c>
      <c r="K6422" s="504">
        <v>0</v>
      </c>
      <c r="L6422" s="504">
        <v>46</v>
      </c>
      <c r="M6422" s="504">
        <v>0</v>
      </c>
      <c r="N6422" s="504">
        <v>0</v>
      </c>
      <c r="O6422" s="505">
        <v>0</v>
      </c>
    </row>
    <row r="6423" spans="1:15" x14ac:dyDescent="0.35">
      <c r="A6423" s="500" t="s">
        <v>1207</v>
      </c>
      <c r="B6423" s="501" t="s">
        <v>3202</v>
      </c>
      <c r="C6423" s="501" t="s">
        <v>1094</v>
      </c>
      <c r="D6423" s="501" t="s">
        <v>3380</v>
      </c>
      <c r="E6423" s="501" t="s">
        <v>3381</v>
      </c>
      <c r="F6423" s="501" t="s">
        <v>812</v>
      </c>
      <c r="G6423" s="501" t="s">
        <v>813</v>
      </c>
      <c r="H6423" s="501" t="s">
        <v>8535</v>
      </c>
      <c r="I6423" s="501">
        <v>141</v>
      </c>
      <c r="J6423" s="501">
        <v>76</v>
      </c>
      <c r="K6423" s="501">
        <v>0</v>
      </c>
      <c r="L6423" s="501">
        <v>4</v>
      </c>
      <c r="M6423" s="501">
        <v>58</v>
      </c>
      <c r="N6423" s="501">
        <v>0</v>
      </c>
      <c r="O6423" s="506">
        <v>3</v>
      </c>
    </row>
    <row r="6424" spans="1:15" x14ac:dyDescent="0.35">
      <c r="A6424" s="503" t="s">
        <v>2091</v>
      </c>
      <c r="B6424" s="504" t="s">
        <v>2858</v>
      </c>
      <c r="C6424" s="504" t="s">
        <v>1089</v>
      </c>
      <c r="D6424" s="504" t="s">
        <v>3392</v>
      </c>
      <c r="E6424" s="504" t="s">
        <v>3381</v>
      </c>
      <c r="F6424" s="504" t="s">
        <v>812</v>
      </c>
      <c r="G6424" s="504" t="s">
        <v>813</v>
      </c>
      <c r="H6424" s="504" t="s">
        <v>14985</v>
      </c>
      <c r="I6424" s="504">
        <v>51</v>
      </c>
      <c r="J6424" s="504">
        <v>51</v>
      </c>
      <c r="K6424" s="504">
        <v>0</v>
      </c>
      <c r="L6424" s="504">
        <v>0</v>
      </c>
      <c r="M6424" s="504">
        <v>0</v>
      </c>
      <c r="N6424" s="504">
        <v>0</v>
      </c>
      <c r="O6424" s="505">
        <v>0</v>
      </c>
    </row>
    <row r="6425" spans="1:15" x14ac:dyDescent="0.35">
      <c r="A6425" s="500" t="s">
        <v>11367</v>
      </c>
      <c r="B6425" s="501" t="s">
        <v>3143</v>
      </c>
      <c r="C6425" s="501" t="s">
        <v>1094</v>
      </c>
      <c r="D6425" s="501" t="s">
        <v>3380</v>
      </c>
      <c r="E6425" s="501" t="s">
        <v>3381</v>
      </c>
      <c r="F6425" s="501" t="s">
        <v>812</v>
      </c>
      <c r="G6425" s="501" t="s">
        <v>813</v>
      </c>
      <c r="H6425" s="501" t="s">
        <v>11945</v>
      </c>
      <c r="I6425" s="501">
        <v>54</v>
      </c>
      <c r="J6425" s="501">
        <v>54</v>
      </c>
      <c r="K6425" s="501">
        <v>0</v>
      </c>
      <c r="L6425" s="501">
        <v>0</v>
      </c>
      <c r="M6425" s="501">
        <v>0</v>
      </c>
      <c r="N6425" s="501">
        <v>0</v>
      </c>
      <c r="O6425" s="506">
        <v>0</v>
      </c>
    </row>
    <row r="6426" spans="1:15" x14ac:dyDescent="0.35">
      <c r="A6426" s="503" t="s">
        <v>1226</v>
      </c>
      <c r="B6426" s="504">
        <v>5084</v>
      </c>
      <c r="C6426" s="504" t="s">
        <v>1094</v>
      </c>
      <c r="D6426" s="504" t="s">
        <v>3380</v>
      </c>
      <c r="E6426" s="504" t="s">
        <v>3381</v>
      </c>
      <c r="F6426" s="504" t="s">
        <v>812</v>
      </c>
      <c r="G6426" s="504" t="s">
        <v>813</v>
      </c>
      <c r="H6426" s="504" t="s">
        <v>8536</v>
      </c>
      <c r="I6426" s="504">
        <v>460</v>
      </c>
      <c r="J6426" s="504">
        <v>364</v>
      </c>
      <c r="K6426" s="504">
        <v>0</v>
      </c>
      <c r="L6426" s="504">
        <v>0</v>
      </c>
      <c r="M6426" s="504">
        <v>0</v>
      </c>
      <c r="N6426" s="504">
        <v>0</v>
      </c>
      <c r="O6426" s="505">
        <v>96</v>
      </c>
    </row>
    <row r="6427" spans="1:15" x14ac:dyDescent="0.35">
      <c r="A6427" s="500" t="s">
        <v>2008</v>
      </c>
      <c r="B6427" s="501" t="s">
        <v>3323</v>
      </c>
      <c r="C6427" s="501" t="s">
        <v>1094</v>
      </c>
      <c r="D6427" s="501" t="s">
        <v>3380</v>
      </c>
      <c r="E6427" s="501" t="s">
        <v>3381</v>
      </c>
      <c r="F6427" s="501" t="s">
        <v>812</v>
      </c>
      <c r="G6427" s="501" t="s">
        <v>813</v>
      </c>
      <c r="H6427" s="501" t="s">
        <v>8537</v>
      </c>
      <c r="I6427" s="501">
        <v>179</v>
      </c>
      <c r="J6427" s="501">
        <v>84</v>
      </c>
      <c r="K6427" s="501">
        <v>0</v>
      </c>
      <c r="L6427" s="501">
        <v>32</v>
      </c>
      <c r="M6427" s="501">
        <v>42</v>
      </c>
      <c r="N6427" s="501">
        <v>0</v>
      </c>
      <c r="O6427" s="506">
        <v>21</v>
      </c>
    </row>
    <row r="6428" spans="1:15" x14ac:dyDescent="0.35">
      <c r="A6428" s="503" t="s">
        <v>1235</v>
      </c>
      <c r="B6428" s="504">
        <v>4684</v>
      </c>
      <c r="C6428" s="504" t="s">
        <v>1094</v>
      </c>
      <c r="D6428" s="504" t="s">
        <v>3380</v>
      </c>
      <c r="E6428" s="504" t="s">
        <v>3381</v>
      </c>
      <c r="F6428" s="504" t="s">
        <v>812</v>
      </c>
      <c r="G6428" s="504" t="s">
        <v>813</v>
      </c>
      <c r="H6428" s="504" t="s">
        <v>8538</v>
      </c>
      <c r="I6428" s="504">
        <v>11</v>
      </c>
      <c r="J6428" s="504">
        <v>0</v>
      </c>
      <c r="K6428" s="504">
        <v>0</v>
      </c>
      <c r="L6428" s="504">
        <v>0</v>
      </c>
      <c r="M6428" s="504">
        <v>0</v>
      </c>
      <c r="N6428" s="504">
        <v>0</v>
      </c>
      <c r="O6428" s="505">
        <v>11</v>
      </c>
    </row>
    <row r="6429" spans="1:15" x14ac:dyDescent="0.35">
      <c r="A6429" s="500" t="s">
        <v>1126</v>
      </c>
      <c r="B6429" s="501" t="s">
        <v>2974</v>
      </c>
      <c r="C6429" s="501" t="s">
        <v>1094</v>
      </c>
      <c r="D6429" s="501" t="s">
        <v>3380</v>
      </c>
      <c r="E6429" s="501" t="s">
        <v>3381</v>
      </c>
      <c r="F6429" s="501" t="s">
        <v>812</v>
      </c>
      <c r="G6429" s="501" t="s">
        <v>813</v>
      </c>
      <c r="H6429" s="501" t="s">
        <v>8539</v>
      </c>
      <c r="I6429" s="501">
        <v>23</v>
      </c>
      <c r="J6429" s="501">
        <v>23</v>
      </c>
      <c r="K6429" s="501">
        <v>0</v>
      </c>
      <c r="L6429" s="501">
        <v>0</v>
      </c>
      <c r="M6429" s="501">
        <v>0</v>
      </c>
      <c r="N6429" s="501">
        <v>0</v>
      </c>
      <c r="O6429" s="506">
        <v>0</v>
      </c>
    </row>
    <row r="6430" spans="1:15" x14ac:dyDescent="0.35">
      <c r="A6430" s="503" t="s">
        <v>1240</v>
      </c>
      <c r="B6430" s="504" t="s">
        <v>2972</v>
      </c>
      <c r="C6430" s="504" t="s">
        <v>1094</v>
      </c>
      <c r="D6430" s="504" t="s">
        <v>3380</v>
      </c>
      <c r="E6430" s="504" t="s">
        <v>3381</v>
      </c>
      <c r="F6430" s="504" t="s">
        <v>812</v>
      </c>
      <c r="G6430" s="504" t="s">
        <v>813</v>
      </c>
      <c r="H6430" s="504" t="s">
        <v>8540</v>
      </c>
      <c r="I6430" s="504">
        <v>29</v>
      </c>
      <c r="J6430" s="504">
        <v>29</v>
      </c>
      <c r="K6430" s="504">
        <v>0</v>
      </c>
      <c r="L6430" s="504">
        <v>0</v>
      </c>
      <c r="M6430" s="504">
        <v>0</v>
      </c>
      <c r="N6430" s="504">
        <v>0</v>
      </c>
      <c r="O6430" s="505">
        <v>0</v>
      </c>
    </row>
    <row r="6431" spans="1:15" x14ac:dyDescent="0.35">
      <c r="A6431" s="500" t="s">
        <v>1259</v>
      </c>
      <c r="B6431" s="501" t="s">
        <v>3025</v>
      </c>
      <c r="C6431" s="501" t="s">
        <v>1094</v>
      </c>
      <c r="D6431" s="501" t="s">
        <v>3380</v>
      </c>
      <c r="E6431" s="501" t="s">
        <v>3381</v>
      </c>
      <c r="F6431" s="501" t="s">
        <v>812</v>
      </c>
      <c r="G6431" s="501" t="s">
        <v>813</v>
      </c>
      <c r="H6431" s="501" t="s">
        <v>8541</v>
      </c>
      <c r="I6431" s="501">
        <v>13</v>
      </c>
      <c r="J6431" s="501">
        <v>13</v>
      </c>
      <c r="K6431" s="501">
        <v>0</v>
      </c>
      <c r="L6431" s="501">
        <v>0</v>
      </c>
      <c r="M6431" s="501">
        <v>0</v>
      </c>
      <c r="N6431" s="501">
        <v>0</v>
      </c>
      <c r="O6431" s="506">
        <v>0</v>
      </c>
    </row>
    <row r="6432" spans="1:15" x14ac:dyDescent="0.35">
      <c r="A6432" s="503" t="s">
        <v>2127</v>
      </c>
      <c r="B6432" s="504" t="s">
        <v>3188</v>
      </c>
      <c r="C6432" s="504" t="s">
        <v>1094</v>
      </c>
      <c r="D6432" s="504" t="s">
        <v>3380</v>
      </c>
      <c r="E6432" s="504" t="s">
        <v>3381</v>
      </c>
      <c r="F6432" s="504" t="s">
        <v>812</v>
      </c>
      <c r="G6432" s="504" t="s">
        <v>813</v>
      </c>
      <c r="H6432" s="504" t="s">
        <v>8542</v>
      </c>
      <c r="I6432" s="504">
        <v>102</v>
      </c>
      <c r="J6432" s="504">
        <v>81</v>
      </c>
      <c r="K6432" s="504">
        <v>0</v>
      </c>
      <c r="L6432" s="504">
        <v>0</v>
      </c>
      <c r="M6432" s="504">
        <v>0</v>
      </c>
      <c r="N6432" s="504">
        <v>0</v>
      </c>
      <c r="O6432" s="505">
        <v>21</v>
      </c>
    </row>
    <row r="6433" spans="1:15" x14ac:dyDescent="0.35">
      <c r="A6433" s="500" t="s">
        <v>2131</v>
      </c>
      <c r="B6433" s="501" t="s">
        <v>3299</v>
      </c>
      <c r="C6433" s="501" t="s">
        <v>1089</v>
      </c>
      <c r="D6433" s="501" t="s">
        <v>3392</v>
      </c>
      <c r="E6433" s="501" t="s">
        <v>3381</v>
      </c>
      <c r="F6433" s="501" t="s">
        <v>812</v>
      </c>
      <c r="G6433" s="501" t="s">
        <v>813</v>
      </c>
      <c r="H6433" s="501" t="s">
        <v>8543</v>
      </c>
      <c r="I6433" s="501">
        <v>170</v>
      </c>
      <c r="J6433" s="501">
        <v>114</v>
      </c>
      <c r="K6433" s="501">
        <v>0</v>
      </c>
      <c r="L6433" s="501">
        <v>56</v>
      </c>
      <c r="M6433" s="501">
        <v>0</v>
      </c>
      <c r="N6433" s="501">
        <v>0</v>
      </c>
      <c r="O6433" s="506">
        <v>0</v>
      </c>
    </row>
    <row r="6434" spans="1:15" x14ac:dyDescent="0.35">
      <c r="A6434" s="503" t="s">
        <v>1386</v>
      </c>
      <c r="B6434" s="504" t="s">
        <v>3331</v>
      </c>
      <c r="C6434" s="504" t="s">
        <v>1094</v>
      </c>
      <c r="D6434" s="504" t="s">
        <v>3380</v>
      </c>
      <c r="E6434" s="504" t="s">
        <v>3381</v>
      </c>
      <c r="F6434" s="504" t="s">
        <v>814</v>
      </c>
      <c r="G6434" s="504" t="s">
        <v>815</v>
      </c>
      <c r="H6434" s="504" t="s">
        <v>8544</v>
      </c>
      <c r="I6434" s="504">
        <v>23</v>
      </c>
      <c r="J6434" s="504">
        <v>23</v>
      </c>
      <c r="K6434" s="504">
        <v>0</v>
      </c>
      <c r="L6434" s="504">
        <v>0</v>
      </c>
      <c r="M6434" s="504">
        <v>0</v>
      </c>
      <c r="N6434" s="504">
        <v>0</v>
      </c>
      <c r="O6434" s="505">
        <v>0</v>
      </c>
    </row>
    <row r="6435" spans="1:15" x14ac:dyDescent="0.35">
      <c r="A6435" s="500" t="s">
        <v>1143</v>
      </c>
      <c r="B6435" s="501" t="s">
        <v>3281</v>
      </c>
      <c r="C6435" s="501" t="s">
        <v>1094</v>
      </c>
      <c r="D6435" s="501" t="s">
        <v>3380</v>
      </c>
      <c r="E6435" s="501" t="s">
        <v>3381</v>
      </c>
      <c r="F6435" s="501" t="s">
        <v>814</v>
      </c>
      <c r="G6435" s="501" t="s">
        <v>815</v>
      </c>
      <c r="H6435" s="501" t="s">
        <v>8545</v>
      </c>
      <c r="I6435" s="501">
        <v>65</v>
      </c>
      <c r="J6435" s="501">
        <v>65</v>
      </c>
      <c r="K6435" s="501">
        <v>0</v>
      </c>
      <c r="L6435" s="501">
        <v>0</v>
      </c>
      <c r="M6435" s="501">
        <v>0</v>
      </c>
      <c r="N6435" s="501">
        <v>0</v>
      </c>
      <c r="O6435" s="506">
        <v>0</v>
      </c>
    </row>
    <row r="6436" spans="1:15" x14ac:dyDescent="0.35">
      <c r="A6436" s="503" t="s">
        <v>1093</v>
      </c>
      <c r="B6436" s="504" t="s">
        <v>3248</v>
      </c>
      <c r="C6436" s="504" t="s">
        <v>1094</v>
      </c>
      <c r="D6436" s="504" t="s">
        <v>3380</v>
      </c>
      <c r="E6436" s="504" t="s">
        <v>3381</v>
      </c>
      <c r="F6436" s="504" t="s">
        <v>814</v>
      </c>
      <c r="G6436" s="504" t="s">
        <v>815</v>
      </c>
      <c r="H6436" s="504" t="s">
        <v>8546</v>
      </c>
      <c r="I6436" s="504">
        <v>7</v>
      </c>
      <c r="J6436" s="504">
        <v>0</v>
      </c>
      <c r="K6436" s="504">
        <v>0</v>
      </c>
      <c r="L6436" s="504">
        <v>6</v>
      </c>
      <c r="M6436" s="504">
        <v>0</v>
      </c>
      <c r="N6436" s="504">
        <v>0</v>
      </c>
      <c r="O6436" s="505">
        <v>1</v>
      </c>
    </row>
    <row r="6437" spans="1:15" x14ac:dyDescent="0.35">
      <c r="A6437" s="500" t="s">
        <v>1096</v>
      </c>
      <c r="B6437" s="501" t="s">
        <v>3326</v>
      </c>
      <c r="C6437" s="501" t="s">
        <v>1094</v>
      </c>
      <c r="D6437" s="501" t="s">
        <v>3380</v>
      </c>
      <c r="E6437" s="501" t="s">
        <v>3381</v>
      </c>
      <c r="F6437" s="501" t="s">
        <v>814</v>
      </c>
      <c r="G6437" s="501" t="s">
        <v>815</v>
      </c>
      <c r="H6437" s="501" t="s">
        <v>8547</v>
      </c>
      <c r="I6437" s="501">
        <v>81</v>
      </c>
      <c r="J6437" s="501">
        <v>0</v>
      </c>
      <c r="K6437" s="501">
        <v>0</v>
      </c>
      <c r="L6437" s="501">
        <v>0</v>
      </c>
      <c r="M6437" s="501">
        <v>81</v>
      </c>
      <c r="N6437" s="501">
        <v>0</v>
      </c>
      <c r="O6437" s="506">
        <v>0</v>
      </c>
    </row>
    <row r="6438" spans="1:15" x14ac:dyDescent="0.35">
      <c r="A6438" s="503" t="s">
        <v>11363</v>
      </c>
      <c r="B6438" s="504">
        <v>4718</v>
      </c>
      <c r="C6438" s="504" t="s">
        <v>1094</v>
      </c>
      <c r="D6438" s="504" t="s">
        <v>3380</v>
      </c>
      <c r="E6438" s="504" t="s">
        <v>3381</v>
      </c>
      <c r="F6438" s="504" t="s">
        <v>814</v>
      </c>
      <c r="G6438" s="504" t="s">
        <v>815</v>
      </c>
      <c r="H6438" s="504" t="s">
        <v>11579</v>
      </c>
      <c r="I6438" s="504">
        <v>12</v>
      </c>
      <c r="J6438" s="504">
        <v>0</v>
      </c>
      <c r="K6438" s="504">
        <v>0</v>
      </c>
      <c r="L6438" s="504">
        <v>12</v>
      </c>
      <c r="M6438" s="504">
        <v>0</v>
      </c>
      <c r="N6438" s="504">
        <v>0</v>
      </c>
      <c r="O6438" s="505">
        <v>0</v>
      </c>
    </row>
    <row r="6439" spans="1:15" x14ac:dyDescent="0.35">
      <c r="A6439" s="500" t="s">
        <v>14208</v>
      </c>
      <c r="B6439" s="501">
        <v>4803</v>
      </c>
      <c r="C6439" s="501" t="s">
        <v>1094</v>
      </c>
      <c r="D6439" s="501" t="s">
        <v>3380</v>
      </c>
      <c r="E6439" s="501" t="s">
        <v>3381</v>
      </c>
      <c r="F6439" s="501" t="s">
        <v>814</v>
      </c>
      <c r="G6439" s="501" t="s">
        <v>815</v>
      </c>
      <c r="H6439" s="501" t="s">
        <v>14986</v>
      </c>
      <c r="I6439" s="501">
        <v>1</v>
      </c>
      <c r="J6439" s="501">
        <v>0</v>
      </c>
      <c r="K6439" s="501">
        <v>0</v>
      </c>
      <c r="L6439" s="501">
        <v>1</v>
      </c>
      <c r="M6439" s="501">
        <v>0</v>
      </c>
      <c r="N6439" s="501">
        <v>0</v>
      </c>
      <c r="O6439" s="506">
        <v>0</v>
      </c>
    </row>
    <row r="6440" spans="1:15" x14ac:dyDescent="0.35">
      <c r="A6440" s="503" t="s">
        <v>1105</v>
      </c>
      <c r="B6440" s="504">
        <v>4668</v>
      </c>
      <c r="C6440" s="504" t="s">
        <v>1094</v>
      </c>
      <c r="D6440" s="504" t="s">
        <v>3380</v>
      </c>
      <c r="E6440" s="504" t="s">
        <v>3381</v>
      </c>
      <c r="F6440" s="504" t="s">
        <v>814</v>
      </c>
      <c r="G6440" s="504" t="s">
        <v>815</v>
      </c>
      <c r="H6440" s="504" t="s">
        <v>8548</v>
      </c>
      <c r="I6440" s="504">
        <v>23</v>
      </c>
      <c r="J6440" s="504">
        <v>0</v>
      </c>
      <c r="K6440" s="504">
        <v>0</v>
      </c>
      <c r="L6440" s="504">
        <v>0</v>
      </c>
      <c r="M6440" s="504">
        <v>0</v>
      </c>
      <c r="N6440" s="504">
        <v>0</v>
      </c>
      <c r="O6440" s="505">
        <v>23</v>
      </c>
    </row>
    <row r="6441" spans="1:15" x14ac:dyDescent="0.35">
      <c r="A6441" s="500" t="s">
        <v>1188</v>
      </c>
      <c r="B6441" s="501">
        <v>4760</v>
      </c>
      <c r="C6441" s="501" t="s">
        <v>1089</v>
      </c>
      <c r="D6441" s="501" t="s">
        <v>3392</v>
      </c>
      <c r="E6441" s="501" t="s">
        <v>3381</v>
      </c>
      <c r="F6441" s="501" t="s">
        <v>814</v>
      </c>
      <c r="G6441" s="501" t="s">
        <v>815</v>
      </c>
      <c r="H6441" s="501" t="s">
        <v>8549</v>
      </c>
      <c r="I6441" s="501">
        <v>14</v>
      </c>
      <c r="J6441" s="501">
        <v>0</v>
      </c>
      <c r="K6441" s="501">
        <v>0</v>
      </c>
      <c r="L6441" s="501">
        <v>14</v>
      </c>
      <c r="M6441" s="501">
        <v>0</v>
      </c>
      <c r="N6441" s="501">
        <v>0</v>
      </c>
      <c r="O6441" s="506">
        <v>0</v>
      </c>
    </row>
    <row r="6442" spans="1:15" x14ac:dyDescent="0.35">
      <c r="A6442" s="503" t="s">
        <v>1107</v>
      </c>
      <c r="B6442" s="504" t="s">
        <v>3109</v>
      </c>
      <c r="C6442" s="504" t="s">
        <v>1094</v>
      </c>
      <c r="D6442" s="504" t="s">
        <v>3380</v>
      </c>
      <c r="E6442" s="504" t="s">
        <v>3381</v>
      </c>
      <c r="F6442" s="504" t="s">
        <v>814</v>
      </c>
      <c r="G6442" s="504" t="s">
        <v>815</v>
      </c>
      <c r="H6442" s="504" t="s">
        <v>8550</v>
      </c>
      <c r="I6442" s="504">
        <v>10</v>
      </c>
      <c r="J6442" s="504">
        <v>0</v>
      </c>
      <c r="K6442" s="504">
        <v>0</v>
      </c>
      <c r="L6442" s="504">
        <v>10</v>
      </c>
      <c r="M6442" s="504">
        <v>0</v>
      </c>
      <c r="N6442" s="504">
        <v>0</v>
      </c>
      <c r="O6442" s="505">
        <v>0</v>
      </c>
    </row>
    <row r="6443" spans="1:15" x14ac:dyDescent="0.35">
      <c r="A6443" s="500" t="s">
        <v>1109</v>
      </c>
      <c r="B6443" s="501" t="s">
        <v>2959</v>
      </c>
      <c r="C6443" s="501" t="s">
        <v>1094</v>
      </c>
      <c r="D6443" s="501" t="s">
        <v>3380</v>
      </c>
      <c r="E6443" s="501" t="s">
        <v>3381</v>
      </c>
      <c r="F6443" s="501" t="s">
        <v>814</v>
      </c>
      <c r="G6443" s="501" t="s">
        <v>815</v>
      </c>
      <c r="H6443" s="501" t="s">
        <v>8551</v>
      </c>
      <c r="I6443" s="501">
        <v>60</v>
      </c>
      <c r="J6443" s="501">
        <v>0</v>
      </c>
      <c r="K6443" s="501">
        <v>0</v>
      </c>
      <c r="L6443" s="501">
        <v>0</v>
      </c>
      <c r="M6443" s="501">
        <v>45</v>
      </c>
      <c r="N6443" s="501">
        <v>0</v>
      </c>
      <c r="O6443" s="506">
        <v>15</v>
      </c>
    </row>
    <row r="6444" spans="1:15" x14ac:dyDescent="0.35">
      <c r="A6444" s="503" t="s">
        <v>1189</v>
      </c>
      <c r="B6444" s="504" t="s">
        <v>3236</v>
      </c>
      <c r="C6444" s="504" t="s">
        <v>1094</v>
      </c>
      <c r="D6444" s="504" t="s">
        <v>3380</v>
      </c>
      <c r="E6444" s="504" t="s">
        <v>3381</v>
      </c>
      <c r="F6444" s="504" t="s">
        <v>814</v>
      </c>
      <c r="G6444" s="504" t="s">
        <v>815</v>
      </c>
      <c r="H6444" s="504" t="s">
        <v>8552</v>
      </c>
      <c r="I6444" s="504">
        <v>346</v>
      </c>
      <c r="J6444" s="504">
        <v>267</v>
      </c>
      <c r="K6444" s="504">
        <v>0</v>
      </c>
      <c r="L6444" s="504">
        <v>29</v>
      </c>
      <c r="M6444" s="504">
        <v>17</v>
      </c>
      <c r="N6444" s="504">
        <v>0</v>
      </c>
      <c r="O6444" s="505">
        <v>33</v>
      </c>
    </row>
    <row r="6445" spans="1:15" x14ac:dyDescent="0.35">
      <c r="A6445" s="500" t="s">
        <v>1190</v>
      </c>
      <c r="B6445" s="501">
        <v>4662</v>
      </c>
      <c r="C6445" s="501" t="s">
        <v>1094</v>
      </c>
      <c r="D6445" s="501" t="s">
        <v>3380</v>
      </c>
      <c r="E6445" s="501" t="s">
        <v>3381</v>
      </c>
      <c r="F6445" s="501" t="s">
        <v>814</v>
      </c>
      <c r="G6445" s="501" t="s">
        <v>815</v>
      </c>
      <c r="H6445" s="501" t="s">
        <v>14987</v>
      </c>
      <c r="I6445" s="501">
        <v>14</v>
      </c>
      <c r="J6445" s="501">
        <v>0</v>
      </c>
      <c r="K6445" s="501">
        <v>0</v>
      </c>
      <c r="L6445" s="501">
        <v>14</v>
      </c>
      <c r="M6445" s="501">
        <v>0</v>
      </c>
      <c r="N6445" s="501">
        <v>0</v>
      </c>
      <c r="O6445" s="506">
        <v>0</v>
      </c>
    </row>
    <row r="6446" spans="1:15" x14ac:dyDescent="0.35">
      <c r="A6446" s="503" t="s">
        <v>1202</v>
      </c>
      <c r="B6446" s="504" t="s">
        <v>3217</v>
      </c>
      <c r="C6446" s="504" t="s">
        <v>1094</v>
      </c>
      <c r="D6446" s="504" t="s">
        <v>3380</v>
      </c>
      <c r="E6446" s="504" t="s">
        <v>3381</v>
      </c>
      <c r="F6446" s="504" t="s">
        <v>814</v>
      </c>
      <c r="G6446" s="504" t="s">
        <v>815</v>
      </c>
      <c r="H6446" s="504" t="s">
        <v>8553</v>
      </c>
      <c r="I6446" s="504">
        <v>249</v>
      </c>
      <c r="J6446" s="504">
        <v>216</v>
      </c>
      <c r="K6446" s="504">
        <v>0</v>
      </c>
      <c r="L6446" s="504">
        <v>0</v>
      </c>
      <c r="M6446" s="504">
        <v>0</v>
      </c>
      <c r="N6446" s="504">
        <v>0</v>
      </c>
      <c r="O6446" s="505">
        <v>33</v>
      </c>
    </row>
    <row r="6447" spans="1:15" x14ac:dyDescent="0.35">
      <c r="A6447" s="500" t="s">
        <v>1112</v>
      </c>
      <c r="B6447" s="501" t="s">
        <v>3008</v>
      </c>
      <c r="C6447" s="501" t="s">
        <v>1094</v>
      </c>
      <c r="D6447" s="501" t="s">
        <v>3380</v>
      </c>
      <c r="E6447" s="501" t="s">
        <v>3381</v>
      </c>
      <c r="F6447" s="501" t="s">
        <v>814</v>
      </c>
      <c r="G6447" s="501" t="s">
        <v>815</v>
      </c>
      <c r="H6447" s="501" t="s">
        <v>8554</v>
      </c>
      <c r="I6447" s="501">
        <v>350</v>
      </c>
      <c r="J6447" s="501">
        <v>115</v>
      </c>
      <c r="K6447" s="501">
        <v>0</v>
      </c>
      <c r="L6447" s="501">
        <v>17</v>
      </c>
      <c r="M6447" s="501">
        <v>0</v>
      </c>
      <c r="N6447" s="501">
        <v>0</v>
      </c>
      <c r="O6447" s="506">
        <v>218</v>
      </c>
    </row>
    <row r="6448" spans="1:15" x14ac:dyDescent="0.35">
      <c r="A6448" s="503" t="s">
        <v>1114</v>
      </c>
      <c r="B6448" s="504" t="s">
        <v>2982</v>
      </c>
      <c r="C6448" s="504" t="s">
        <v>1094</v>
      </c>
      <c r="D6448" s="504" t="s">
        <v>3380</v>
      </c>
      <c r="E6448" s="504" t="s">
        <v>3381</v>
      </c>
      <c r="F6448" s="504" t="s">
        <v>814</v>
      </c>
      <c r="G6448" s="504" t="s">
        <v>815</v>
      </c>
      <c r="H6448" s="504" t="s">
        <v>8555</v>
      </c>
      <c r="I6448" s="504">
        <v>1</v>
      </c>
      <c r="J6448" s="504">
        <v>0</v>
      </c>
      <c r="K6448" s="504">
        <v>0</v>
      </c>
      <c r="L6448" s="504">
        <v>0</v>
      </c>
      <c r="M6448" s="504">
        <v>0</v>
      </c>
      <c r="N6448" s="504">
        <v>0</v>
      </c>
      <c r="O6448" s="505">
        <v>1</v>
      </c>
    </row>
    <row r="6449" spans="1:15" x14ac:dyDescent="0.35">
      <c r="A6449" s="500" t="s">
        <v>1501</v>
      </c>
      <c r="B6449" s="501" t="s">
        <v>2956</v>
      </c>
      <c r="C6449" s="501" t="s">
        <v>1094</v>
      </c>
      <c r="D6449" s="501" t="s">
        <v>3380</v>
      </c>
      <c r="E6449" s="501" t="s">
        <v>3381</v>
      </c>
      <c r="F6449" s="501" t="s">
        <v>814</v>
      </c>
      <c r="G6449" s="501" t="s">
        <v>815</v>
      </c>
      <c r="H6449" s="501" t="s">
        <v>8556</v>
      </c>
      <c r="I6449" s="501">
        <v>247</v>
      </c>
      <c r="J6449" s="501">
        <v>170</v>
      </c>
      <c r="K6449" s="501">
        <v>0</v>
      </c>
      <c r="L6449" s="501">
        <v>5</v>
      </c>
      <c r="M6449" s="501">
        <v>41</v>
      </c>
      <c r="N6449" s="501">
        <v>0</v>
      </c>
      <c r="O6449" s="506">
        <v>31</v>
      </c>
    </row>
    <row r="6450" spans="1:15" x14ac:dyDescent="0.35">
      <c r="A6450" s="503" t="s">
        <v>1120</v>
      </c>
      <c r="B6450" s="504" t="s">
        <v>3362</v>
      </c>
      <c r="C6450" s="504" t="s">
        <v>1094</v>
      </c>
      <c r="D6450" s="504" t="s">
        <v>3380</v>
      </c>
      <c r="E6450" s="504" t="s">
        <v>3381</v>
      </c>
      <c r="F6450" s="504" t="s">
        <v>814</v>
      </c>
      <c r="G6450" s="504" t="s">
        <v>815</v>
      </c>
      <c r="H6450" s="504" t="s">
        <v>8557</v>
      </c>
      <c r="I6450" s="504">
        <v>1</v>
      </c>
      <c r="J6450" s="504">
        <v>0</v>
      </c>
      <c r="K6450" s="504">
        <v>0</v>
      </c>
      <c r="L6450" s="504">
        <v>0</v>
      </c>
      <c r="M6450" s="504">
        <v>0</v>
      </c>
      <c r="N6450" s="504">
        <v>0</v>
      </c>
      <c r="O6450" s="505">
        <v>1</v>
      </c>
    </row>
    <row r="6451" spans="1:15" x14ac:dyDescent="0.35">
      <c r="A6451" s="500" t="s">
        <v>1217</v>
      </c>
      <c r="B6451" s="501">
        <v>4851</v>
      </c>
      <c r="C6451" s="501" t="s">
        <v>1094</v>
      </c>
      <c r="D6451" s="501" t="s">
        <v>3380</v>
      </c>
      <c r="E6451" s="501" t="s">
        <v>3381</v>
      </c>
      <c r="F6451" s="501" t="s">
        <v>814</v>
      </c>
      <c r="G6451" s="501" t="s">
        <v>815</v>
      </c>
      <c r="H6451" s="501" t="s">
        <v>8558</v>
      </c>
      <c r="I6451" s="501">
        <v>369</v>
      </c>
      <c r="J6451" s="501">
        <v>220</v>
      </c>
      <c r="K6451" s="501">
        <v>0</v>
      </c>
      <c r="L6451" s="501">
        <v>15</v>
      </c>
      <c r="M6451" s="501">
        <v>0</v>
      </c>
      <c r="N6451" s="501">
        <v>3</v>
      </c>
      <c r="O6451" s="506">
        <v>134</v>
      </c>
    </row>
    <row r="6452" spans="1:15" x14ac:dyDescent="0.35">
      <c r="A6452" s="503" t="s">
        <v>1218</v>
      </c>
      <c r="B6452" s="504" t="s">
        <v>3147</v>
      </c>
      <c r="C6452" s="504" t="s">
        <v>1094</v>
      </c>
      <c r="D6452" s="504" t="s">
        <v>3380</v>
      </c>
      <c r="E6452" s="504" t="s">
        <v>3381</v>
      </c>
      <c r="F6452" s="504" t="s">
        <v>814</v>
      </c>
      <c r="G6452" s="504" t="s">
        <v>815</v>
      </c>
      <c r="H6452" s="504" t="s">
        <v>8559</v>
      </c>
      <c r="I6452" s="504">
        <v>94</v>
      </c>
      <c r="J6452" s="504">
        <v>0</v>
      </c>
      <c r="K6452" s="504">
        <v>0</v>
      </c>
      <c r="L6452" s="504">
        <v>0</v>
      </c>
      <c r="M6452" s="504">
        <v>0</v>
      </c>
      <c r="N6452" s="504">
        <v>0</v>
      </c>
      <c r="O6452" s="505">
        <v>94</v>
      </c>
    </row>
    <row r="6453" spans="1:15" x14ac:dyDescent="0.35">
      <c r="A6453" s="500" t="s">
        <v>11367</v>
      </c>
      <c r="B6453" s="501" t="s">
        <v>3143</v>
      </c>
      <c r="C6453" s="501" t="s">
        <v>1094</v>
      </c>
      <c r="D6453" s="501" t="s">
        <v>3380</v>
      </c>
      <c r="E6453" s="501" t="s">
        <v>3381</v>
      </c>
      <c r="F6453" s="501" t="s">
        <v>814</v>
      </c>
      <c r="G6453" s="501" t="s">
        <v>815</v>
      </c>
      <c r="H6453" s="501" t="s">
        <v>11946</v>
      </c>
      <c r="I6453" s="501">
        <v>246</v>
      </c>
      <c r="J6453" s="501">
        <v>219</v>
      </c>
      <c r="K6453" s="501">
        <v>0</v>
      </c>
      <c r="L6453" s="501">
        <v>8</v>
      </c>
      <c r="M6453" s="501">
        <v>19</v>
      </c>
      <c r="N6453" s="501">
        <v>0</v>
      </c>
      <c r="O6453" s="506">
        <v>0</v>
      </c>
    </row>
    <row r="6454" spans="1:15" x14ac:dyDescent="0.35">
      <c r="A6454" s="503" t="s">
        <v>1329</v>
      </c>
      <c r="B6454" s="504">
        <v>5056</v>
      </c>
      <c r="C6454" s="504" t="s">
        <v>1089</v>
      </c>
      <c r="D6454" s="504" t="s">
        <v>3392</v>
      </c>
      <c r="E6454" s="504" t="s">
        <v>3381</v>
      </c>
      <c r="F6454" s="504" t="s">
        <v>814</v>
      </c>
      <c r="G6454" s="504" t="s">
        <v>815</v>
      </c>
      <c r="H6454" s="504" t="s">
        <v>14988</v>
      </c>
      <c r="I6454" s="504">
        <v>10</v>
      </c>
      <c r="J6454" s="504">
        <v>10</v>
      </c>
      <c r="K6454" s="504">
        <v>0</v>
      </c>
      <c r="L6454" s="504">
        <v>0</v>
      </c>
      <c r="M6454" s="504">
        <v>0</v>
      </c>
      <c r="N6454" s="504">
        <v>0</v>
      </c>
      <c r="O6454" s="505">
        <v>0</v>
      </c>
    </row>
    <row r="6455" spans="1:15" x14ac:dyDescent="0.35">
      <c r="A6455" s="500" t="s">
        <v>1536</v>
      </c>
      <c r="B6455" s="501" t="s">
        <v>3178</v>
      </c>
      <c r="C6455" s="501" t="s">
        <v>1094</v>
      </c>
      <c r="D6455" s="501" t="s">
        <v>3380</v>
      </c>
      <c r="E6455" s="501" t="s">
        <v>3381</v>
      </c>
      <c r="F6455" s="501" t="s">
        <v>814</v>
      </c>
      <c r="G6455" s="501" t="s">
        <v>815</v>
      </c>
      <c r="H6455" s="501" t="s">
        <v>8560</v>
      </c>
      <c r="I6455" s="501">
        <v>5154</v>
      </c>
      <c r="J6455" s="501">
        <v>4597</v>
      </c>
      <c r="K6455" s="501">
        <v>0</v>
      </c>
      <c r="L6455" s="501">
        <v>0</v>
      </c>
      <c r="M6455" s="501">
        <v>339</v>
      </c>
      <c r="N6455" s="501">
        <v>0</v>
      </c>
      <c r="O6455" s="506">
        <v>218</v>
      </c>
    </row>
    <row r="6456" spans="1:15" x14ac:dyDescent="0.35">
      <c r="A6456" s="503" t="s">
        <v>1124</v>
      </c>
      <c r="B6456" s="504">
        <v>4745</v>
      </c>
      <c r="C6456" s="504" t="s">
        <v>1094</v>
      </c>
      <c r="D6456" s="504" t="s">
        <v>3380</v>
      </c>
      <c r="E6456" s="504" t="s">
        <v>3381</v>
      </c>
      <c r="F6456" s="504" t="s">
        <v>814</v>
      </c>
      <c r="G6456" s="504" t="s">
        <v>815</v>
      </c>
      <c r="H6456" s="504" t="s">
        <v>8561</v>
      </c>
      <c r="I6456" s="504">
        <v>39</v>
      </c>
      <c r="J6456" s="504">
        <v>0</v>
      </c>
      <c r="K6456" s="504">
        <v>0</v>
      </c>
      <c r="L6456" s="504">
        <v>39</v>
      </c>
      <c r="M6456" s="504">
        <v>0</v>
      </c>
      <c r="N6456" s="504">
        <v>0</v>
      </c>
      <c r="O6456" s="505">
        <v>0</v>
      </c>
    </row>
    <row r="6457" spans="1:15" x14ac:dyDescent="0.35">
      <c r="A6457" s="500" t="s">
        <v>1887</v>
      </c>
      <c r="B6457" s="501" t="s">
        <v>3320</v>
      </c>
      <c r="C6457" s="501" t="s">
        <v>1094</v>
      </c>
      <c r="D6457" s="501" t="s">
        <v>3380</v>
      </c>
      <c r="E6457" s="501" t="s">
        <v>3381</v>
      </c>
      <c r="F6457" s="501" t="s">
        <v>814</v>
      </c>
      <c r="G6457" s="501" t="s">
        <v>815</v>
      </c>
      <c r="H6457" s="501" t="s">
        <v>12003</v>
      </c>
      <c r="I6457" s="501">
        <v>43</v>
      </c>
      <c r="J6457" s="501">
        <v>21</v>
      </c>
      <c r="K6457" s="501">
        <v>0</v>
      </c>
      <c r="L6457" s="501">
        <v>0</v>
      </c>
      <c r="M6457" s="501">
        <v>0</v>
      </c>
      <c r="N6457" s="501">
        <v>0</v>
      </c>
      <c r="O6457" s="506">
        <v>22</v>
      </c>
    </row>
    <row r="6458" spans="1:15" x14ac:dyDescent="0.35">
      <c r="A6458" s="503" t="s">
        <v>1540</v>
      </c>
      <c r="B6458" s="504" t="s">
        <v>3271</v>
      </c>
      <c r="C6458" s="504" t="s">
        <v>1089</v>
      </c>
      <c r="D6458" s="504" t="s">
        <v>3392</v>
      </c>
      <c r="E6458" s="504" t="s">
        <v>3381</v>
      </c>
      <c r="F6458" s="504" t="s">
        <v>814</v>
      </c>
      <c r="G6458" s="504" t="s">
        <v>815</v>
      </c>
      <c r="H6458" s="504" t="s">
        <v>14989</v>
      </c>
      <c r="I6458" s="504">
        <v>1</v>
      </c>
      <c r="J6458" s="504">
        <v>1</v>
      </c>
      <c r="K6458" s="504">
        <v>0</v>
      </c>
      <c r="L6458" s="504">
        <v>0</v>
      </c>
      <c r="M6458" s="504">
        <v>0</v>
      </c>
      <c r="N6458" s="504">
        <v>0</v>
      </c>
      <c r="O6458" s="505">
        <v>0</v>
      </c>
    </row>
    <row r="6459" spans="1:15" x14ac:dyDescent="0.35">
      <c r="A6459" s="500" t="s">
        <v>1233</v>
      </c>
      <c r="B6459" s="501">
        <v>4636</v>
      </c>
      <c r="C6459" s="501" t="s">
        <v>1094</v>
      </c>
      <c r="D6459" s="501" t="s">
        <v>3380</v>
      </c>
      <c r="E6459" s="501" t="s">
        <v>3381</v>
      </c>
      <c r="F6459" s="501" t="s">
        <v>814</v>
      </c>
      <c r="G6459" s="501" t="s">
        <v>815</v>
      </c>
      <c r="H6459" s="501" t="s">
        <v>14990</v>
      </c>
      <c r="I6459" s="501">
        <v>38</v>
      </c>
      <c r="J6459" s="501">
        <v>7</v>
      </c>
      <c r="K6459" s="501">
        <v>0</v>
      </c>
      <c r="L6459" s="501">
        <v>0</v>
      </c>
      <c r="M6459" s="501">
        <v>0</v>
      </c>
      <c r="N6459" s="501">
        <v>0</v>
      </c>
      <c r="O6459" s="506">
        <v>31</v>
      </c>
    </row>
    <row r="6460" spans="1:15" x14ac:dyDescent="0.35">
      <c r="A6460" s="503" t="s">
        <v>1235</v>
      </c>
      <c r="B6460" s="504">
        <v>4684</v>
      </c>
      <c r="C6460" s="504" t="s">
        <v>1094</v>
      </c>
      <c r="D6460" s="504" t="s">
        <v>3380</v>
      </c>
      <c r="E6460" s="504" t="s">
        <v>3381</v>
      </c>
      <c r="F6460" s="504" t="s">
        <v>814</v>
      </c>
      <c r="G6460" s="504" t="s">
        <v>815</v>
      </c>
      <c r="H6460" s="504" t="s">
        <v>12107</v>
      </c>
      <c r="I6460" s="504">
        <v>13</v>
      </c>
      <c r="J6460" s="504">
        <v>0</v>
      </c>
      <c r="K6460" s="504">
        <v>0</v>
      </c>
      <c r="L6460" s="504">
        <v>0</v>
      </c>
      <c r="M6460" s="504">
        <v>0</v>
      </c>
      <c r="N6460" s="504">
        <v>0</v>
      </c>
      <c r="O6460" s="505">
        <v>13</v>
      </c>
    </row>
    <row r="6461" spans="1:15" x14ac:dyDescent="0.35">
      <c r="A6461" s="500" t="s">
        <v>1130</v>
      </c>
      <c r="B6461" s="501" t="s">
        <v>3234</v>
      </c>
      <c r="C6461" s="501" t="s">
        <v>1094</v>
      </c>
      <c r="D6461" s="501" t="s">
        <v>3380</v>
      </c>
      <c r="E6461" s="501" t="s">
        <v>3381</v>
      </c>
      <c r="F6461" s="501" t="s">
        <v>814</v>
      </c>
      <c r="G6461" s="501" t="s">
        <v>815</v>
      </c>
      <c r="H6461" s="501" t="s">
        <v>8562</v>
      </c>
      <c r="I6461" s="501">
        <v>240</v>
      </c>
      <c r="J6461" s="501">
        <v>191</v>
      </c>
      <c r="K6461" s="501">
        <v>0</v>
      </c>
      <c r="L6461" s="501">
        <v>0</v>
      </c>
      <c r="M6461" s="501">
        <v>0</v>
      </c>
      <c r="N6461" s="501">
        <v>1</v>
      </c>
      <c r="O6461" s="506">
        <v>49</v>
      </c>
    </row>
    <row r="6462" spans="1:15" x14ac:dyDescent="0.35">
      <c r="A6462" s="503" t="s">
        <v>1134</v>
      </c>
      <c r="B6462" s="504" t="s">
        <v>3066</v>
      </c>
      <c r="C6462" s="504" t="s">
        <v>1094</v>
      </c>
      <c r="D6462" s="504" t="s">
        <v>3380</v>
      </c>
      <c r="E6462" s="504" t="s">
        <v>3381</v>
      </c>
      <c r="F6462" s="504" t="s">
        <v>814</v>
      </c>
      <c r="G6462" s="504" t="s">
        <v>815</v>
      </c>
      <c r="H6462" s="504" t="s">
        <v>8563</v>
      </c>
      <c r="I6462" s="504">
        <v>48</v>
      </c>
      <c r="J6462" s="504">
        <v>40</v>
      </c>
      <c r="K6462" s="504">
        <v>0</v>
      </c>
      <c r="L6462" s="504">
        <v>0</v>
      </c>
      <c r="M6462" s="504">
        <v>0</v>
      </c>
      <c r="N6462" s="504">
        <v>0</v>
      </c>
      <c r="O6462" s="505">
        <v>8</v>
      </c>
    </row>
    <row r="6463" spans="1:15" x14ac:dyDescent="0.35">
      <c r="A6463" s="500" t="s">
        <v>1358</v>
      </c>
      <c r="B6463" s="501" t="s">
        <v>3293</v>
      </c>
      <c r="C6463" s="501" t="s">
        <v>1089</v>
      </c>
      <c r="D6463" s="501" t="s">
        <v>3392</v>
      </c>
      <c r="E6463" s="501" t="s">
        <v>3381</v>
      </c>
      <c r="F6463" s="501" t="s">
        <v>814</v>
      </c>
      <c r="G6463" s="501" t="s">
        <v>815</v>
      </c>
      <c r="H6463" s="501" t="s">
        <v>8564</v>
      </c>
      <c r="I6463" s="501">
        <v>37</v>
      </c>
      <c r="J6463" s="501">
        <v>0</v>
      </c>
      <c r="K6463" s="501">
        <v>0</v>
      </c>
      <c r="L6463" s="501">
        <v>30</v>
      </c>
      <c r="M6463" s="501">
        <v>7</v>
      </c>
      <c r="N6463" s="501">
        <v>0</v>
      </c>
      <c r="O6463" s="506">
        <v>0</v>
      </c>
    </row>
    <row r="6464" spans="1:15" x14ac:dyDescent="0.35">
      <c r="A6464" s="503" t="s">
        <v>1249</v>
      </c>
      <c r="B6464" s="504">
        <v>4729</v>
      </c>
      <c r="C6464" s="504" t="s">
        <v>1094</v>
      </c>
      <c r="D6464" s="504" t="s">
        <v>3380</v>
      </c>
      <c r="E6464" s="504" t="s">
        <v>3381</v>
      </c>
      <c r="F6464" s="504" t="s">
        <v>814</v>
      </c>
      <c r="G6464" s="504" t="s">
        <v>815</v>
      </c>
      <c r="H6464" s="504" t="s">
        <v>8565</v>
      </c>
      <c r="I6464" s="504">
        <v>141</v>
      </c>
      <c r="J6464" s="504">
        <v>92</v>
      </c>
      <c r="K6464" s="504">
        <v>0</v>
      </c>
      <c r="L6464" s="504">
        <v>0</v>
      </c>
      <c r="M6464" s="504">
        <v>0</v>
      </c>
      <c r="N6464" s="504">
        <v>0</v>
      </c>
      <c r="O6464" s="505">
        <v>49</v>
      </c>
    </row>
    <row r="6465" spans="1:15" x14ac:dyDescent="0.35">
      <c r="A6465" s="500" t="s">
        <v>1581</v>
      </c>
      <c r="B6465" s="501" t="s">
        <v>2888</v>
      </c>
      <c r="C6465" s="501" t="s">
        <v>1089</v>
      </c>
      <c r="D6465" s="501" t="s">
        <v>3392</v>
      </c>
      <c r="E6465" s="501" t="s">
        <v>3381</v>
      </c>
      <c r="F6465" s="501" t="s">
        <v>814</v>
      </c>
      <c r="G6465" s="501" t="s">
        <v>815</v>
      </c>
      <c r="H6465" s="501" t="s">
        <v>8566</v>
      </c>
      <c r="I6465" s="501">
        <v>175</v>
      </c>
      <c r="J6465" s="501">
        <v>0</v>
      </c>
      <c r="K6465" s="501">
        <v>0</v>
      </c>
      <c r="L6465" s="501">
        <v>175</v>
      </c>
      <c r="M6465" s="501">
        <v>0</v>
      </c>
      <c r="N6465" s="501">
        <v>0</v>
      </c>
      <c r="O6465" s="506">
        <v>0</v>
      </c>
    </row>
    <row r="6466" spans="1:15" x14ac:dyDescent="0.35">
      <c r="A6466" s="503" t="s">
        <v>1262</v>
      </c>
      <c r="B6466" s="504">
        <v>4772</v>
      </c>
      <c r="C6466" s="504" t="s">
        <v>1089</v>
      </c>
      <c r="D6466" s="504" t="s">
        <v>3392</v>
      </c>
      <c r="E6466" s="504" t="s">
        <v>3381</v>
      </c>
      <c r="F6466" s="504" t="s">
        <v>814</v>
      </c>
      <c r="G6466" s="504" t="s">
        <v>815</v>
      </c>
      <c r="H6466" s="504" t="s">
        <v>8567</v>
      </c>
      <c r="I6466" s="504">
        <v>4</v>
      </c>
      <c r="J6466" s="504">
        <v>0</v>
      </c>
      <c r="K6466" s="504">
        <v>0</v>
      </c>
      <c r="L6466" s="504">
        <v>4</v>
      </c>
      <c r="M6466" s="504">
        <v>0</v>
      </c>
      <c r="N6466" s="504">
        <v>0</v>
      </c>
      <c r="O6466" s="505">
        <v>0</v>
      </c>
    </row>
    <row r="6467" spans="1:15" x14ac:dyDescent="0.35">
      <c r="A6467" s="500" t="s">
        <v>1945</v>
      </c>
      <c r="B6467" s="501">
        <v>4854</v>
      </c>
      <c r="C6467" s="501" t="s">
        <v>1089</v>
      </c>
      <c r="D6467" s="501" t="s">
        <v>3392</v>
      </c>
      <c r="E6467" s="501" t="s">
        <v>3381</v>
      </c>
      <c r="F6467" s="501" t="s">
        <v>814</v>
      </c>
      <c r="G6467" s="501" t="s">
        <v>815</v>
      </c>
      <c r="H6467" s="501" t="s">
        <v>8568</v>
      </c>
      <c r="I6467" s="501">
        <v>57</v>
      </c>
      <c r="J6467" s="501">
        <v>0</v>
      </c>
      <c r="K6467" s="501">
        <v>0</v>
      </c>
      <c r="L6467" s="501">
        <v>57</v>
      </c>
      <c r="M6467" s="501">
        <v>0</v>
      </c>
      <c r="N6467" s="501">
        <v>0</v>
      </c>
      <c r="O6467" s="506">
        <v>0</v>
      </c>
    </row>
    <row r="6468" spans="1:15" x14ac:dyDescent="0.35">
      <c r="A6468" s="503" t="s">
        <v>1143</v>
      </c>
      <c r="B6468" s="504" t="s">
        <v>3281</v>
      </c>
      <c r="C6468" s="504" t="s">
        <v>1094</v>
      </c>
      <c r="D6468" s="504" t="s">
        <v>3380</v>
      </c>
      <c r="E6468" s="504" t="s">
        <v>3381</v>
      </c>
      <c r="F6468" s="504" t="s">
        <v>816</v>
      </c>
      <c r="G6468" s="504" t="s">
        <v>817</v>
      </c>
      <c r="H6468" s="504" t="s">
        <v>8569</v>
      </c>
      <c r="I6468" s="504">
        <v>77</v>
      </c>
      <c r="J6468" s="504">
        <v>72</v>
      </c>
      <c r="K6468" s="504">
        <v>0</v>
      </c>
      <c r="L6468" s="504">
        <v>0</v>
      </c>
      <c r="M6468" s="504">
        <v>0</v>
      </c>
      <c r="N6468" s="504">
        <v>0</v>
      </c>
      <c r="O6468" s="505">
        <v>5</v>
      </c>
    </row>
    <row r="6469" spans="1:15" x14ac:dyDescent="0.35">
      <c r="A6469" s="500" t="s">
        <v>1680</v>
      </c>
      <c r="B6469" s="501" t="s">
        <v>3168</v>
      </c>
      <c r="C6469" s="501" t="s">
        <v>1094</v>
      </c>
      <c r="D6469" s="501" t="s">
        <v>3380</v>
      </c>
      <c r="E6469" s="501" t="s">
        <v>3381</v>
      </c>
      <c r="F6469" s="501" t="s">
        <v>816</v>
      </c>
      <c r="G6469" s="501" t="s">
        <v>817</v>
      </c>
      <c r="H6469" s="501" t="s">
        <v>8570</v>
      </c>
      <c r="I6469" s="501">
        <v>34</v>
      </c>
      <c r="J6469" s="501">
        <v>32</v>
      </c>
      <c r="K6469" s="501">
        <v>0</v>
      </c>
      <c r="L6469" s="501">
        <v>0</v>
      </c>
      <c r="M6469" s="501">
        <v>0</v>
      </c>
      <c r="N6469" s="501">
        <v>0</v>
      </c>
      <c r="O6469" s="506">
        <v>2</v>
      </c>
    </row>
    <row r="6470" spans="1:15" x14ac:dyDescent="0.35">
      <c r="A6470" s="503" t="s">
        <v>1160</v>
      </c>
      <c r="B6470" s="504">
        <v>4672</v>
      </c>
      <c r="C6470" s="504" t="s">
        <v>1089</v>
      </c>
      <c r="D6470" s="504" t="s">
        <v>3392</v>
      </c>
      <c r="E6470" s="504" t="s">
        <v>3381</v>
      </c>
      <c r="F6470" s="504" t="s">
        <v>816</v>
      </c>
      <c r="G6470" s="504" t="s">
        <v>817</v>
      </c>
      <c r="H6470" s="504" t="s">
        <v>8571</v>
      </c>
      <c r="I6470" s="504">
        <v>11</v>
      </c>
      <c r="J6470" s="504">
        <v>0</v>
      </c>
      <c r="K6470" s="504">
        <v>0</v>
      </c>
      <c r="L6470" s="504">
        <v>11</v>
      </c>
      <c r="M6470" s="504">
        <v>0</v>
      </c>
      <c r="N6470" s="504">
        <v>0</v>
      </c>
      <c r="O6470" s="505">
        <v>0</v>
      </c>
    </row>
    <row r="6471" spans="1:15" x14ac:dyDescent="0.35">
      <c r="A6471" s="500" t="s">
        <v>14208</v>
      </c>
      <c r="B6471" s="501">
        <v>4803</v>
      </c>
      <c r="C6471" s="501" t="s">
        <v>1094</v>
      </c>
      <c r="D6471" s="501" t="s">
        <v>3380</v>
      </c>
      <c r="E6471" s="501" t="s">
        <v>3381</v>
      </c>
      <c r="F6471" s="501" t="s">
        <v>816</v>
      </c>
      <c r="G6471" s="501" t="s">
        <v>817</v>
      </c>
      <c r="H6471" s="501" t="s">
        <v>14991</v>
      </c>
      <c r="I6471" s="501">
        <v>3</v>
      </c>
      <c r="J6471" s="501">
        <v>0</v>
      </c>
      <c r="K6471" s="501">
        <v>0</v>
      </c>
      <c r="L6471" s="501">
        <v>3</v>
      </c>
      <c r="M6471" s="501">
        <v>0</v>
      </c>
      <c r="N6471" s="501">
        <v>0</v>
      </c>
      <c r="O6471" s="506">
        <v>0</v>
      </c>
    </row>
    <row r="6472" spans="1:15" x14ac:dyDescent="0.35">
      <c r="A6472" s="503" t="s">
        <v>1183</v>
      </c>
      <c r="B6472" s="504" t="s">
        <v>3038</v>
      </c>
      <c r="C6472" s="504" t="s">
        <v>1094</v>
      </c>
      <c r="D6472" s="504" t="s">
        <v>3380</v>
      </c>
      <c r="E6472" s="504" t="s">
        <v>3381</v>
      </c>
      <c r="F6472" s="504" t="s">
        <v>816</v>
      </c>
      <c r="G6472" s="504" t="s">
        <v>817</v>
      </c>
      <c r="H6472" s="504" t="s">
        <v>8572</v>
      </c>
      <c r="I6472" s="504">
        <v>281</v>
      </c>
      <c r="J6472" s="504">
        <v>142</v>
      </c>
      <c r="K6472" s="504">
        <v>0</v>
      </c>
      <c r="L6472" s="504">
        <v>9</v>
      </c>
      <c r="M6472" s="504">
        <v>0</v>
      </c>
      <c r="N6472" s="504">
        <v>0</v>
      </c>
      <c r="O6472" s="505">
        <v>130</v>
      </c>
    </row>
    <row r="6473" spans="1:15" x14ac:dyDescent="0.35">
      <c r="A6473" s="500" t="s">
        <v>1105</v>
      </c>
      <c r="B6473" s="501">
        <v>4668</v>
      </c>
      <c r="C6473" s="501" t="s">
        <v>1094</v>
      </c>
      <c r="D6473" s="501" t="s">
        <v>3380</v>
      </c>
      <c r="E6473" s="501" t="s">
        <v>3381</v>
      </c>
      <c r="F6473" s="501" t="s">
        <v>816</v>
      </c>
      <c r="G6473" s="501" t="s">
        <v>817</v>
      </c>
      <c r="H6473" s="501" t="s">
        <v>8573</v>
      </c>
      <c r="I6473" s="501">
        <v>113</v>
      </c>
      <c r="J6473" s="501">
        <v>0</v>
      </c>
      <c r="K6473" s="501">
        <v>0</v>
      </c>
      <c r="L6473" s="501">
        <v>0</v>
      </c>
      <c r="M6473" s="501">
        <v>0</v>
      </c>
      <c r="N6473" s="501">
        <v>0</v>
      </c>
      <c r="O6473" s="506">
        <v>113</v>
      </c>
    </row>
    <row r="6474" spans="1:15" x14ac:dyDescent="0.35">
      <c r="A6474" s="503" t="s">
        <v>1109</v>
      </c>
      <c r="B6474" s="504" t="s">
        <v>2959</v>
      </c>
      <c r="C6474" s="504" t="s">
        <v>1094</v>
      </c>
      <c r="D6474" s="504" t="s">
        <v>3380</v>
      </c>
      <c r="E6474" s="504" t="s">
        <v>3381</v>
      </c>
      <c r="F6474" s="504" t="s">
        <v>816</v>
      </c>
      <c r="G6474" s="504" t="s">
        <v>817</v>
      </c>
      <c r="H6474" s="504" t="s">
        <v>8574</v>
      </c>
      <c r="I6474" s="504">
        <v>39</v>
      </c>
      <c r="J6474" s="504">
        <v>0</v>
      </c>
      <c r="K6474" s="504">
        <v>0</v>
      </c>
      <c r="L6474" s="504">
        <v>0</v>
      </c>
      <c r="M6474" s="504">
        <v>39</v>
      </c>
      <c r="N6474" s="504">
        <v>0</v>
      </c>
      <c r="O6474" s="505">
        <v>0</v>
      </c>
    </row>
    <row r="6475" spans="1:15" x14ac:dyDescent="0.35">
      <c r="A6475" s="500" t="s">
        <v>11401</v>
      </c>
      <c r="B6475" s="501" t="s">
        <v>3241</v>
      </c>
      <c r="C6475" s="501" t="s">
        <v>1094</v>
      </c>
      <c r="D6475" s="501" t="s">
        <v>3380</v>
      </c>
      <c r="E6475" s="501" t="s">
        <v>3381</v>
      </c>
      <c r="F6475" s="501" t="s">
        <v>816</v>
      </c>
      <c r="G6475" s="501" t="s">
        <v>817</v>
      </c>
      <c r="H6475" s="501" t="s">
        <v>11784</v>
      </c>
      <c r="I6475" s="501">
        <v>231</v>
      </c>
      <c r="J6475" s="501">
        <v>180</v>
      </c>
      <c r="K6475" s="501">
        <v>0</v>
      </c>
      <c r="L6475" s="501">
        <v>0</v>
      </c>
      <c r="M6475" s="501">
        <v>0</v>
      </c>
      <c r="N6475" s="501">
        <v>1</v>
      </c>
      <c r="O6475" s="506">
        <v>51</v>
      </c>
    </row>
    <row r="6476" spans="1:15" x14ac:dyDescent="0.35">
      <c r="A6476" s="503" t="s">
        <v>1739</v>
      </c>
      <c r="B6476" s="504">
        <v>4857</v>
      </c>
      <c r="C6476" s="504" t="s">
        <v>1094</v>
      </c>
      <c r="D6476" s="504" t="s">
        <v>3380</v>
      </c>
      <c r="E6476" s="504" t="s">
        <v>3381</v>
      </c>
      <c r="F6476" s="504" t="s">
        <v>816</v>
      </c>
      <c r="G6476" s="504" t="s">
        <v>817</v>
      </c>
      <c r="H6476" s="504" t="s">
        <v>8575</v>
      </c>
      <c r="I6476" s="504">
        <v>342</v>
      </c>
      <c r="J6476" s="504">
        <v>236</v>
      </c>
      <c r="K6476" s="504">
        <v>0</v>
      </c>
      <c r="L6476" s="504">
        <v>4</v>
      </c>
      <c r="M6476" s="504">
        <v>48</v>
      </c>
      <c r="N6476" s="504">
        <v>0</v>
      </c>
      <c r="O6476" s="505">
        <v>54</v>
      </c>
    </row>
    <row r="6477" spans="1:15" x14ac:dyDescent="0.35">
      <c r="A6477" s="500" t="s">
        <v>1209</v>
      </c>
      <c r="B6477" s="501">
        <v>4779</v>
      </c>
      <c r="C6477" s="501" t="s">
        <v>1094</v>
      </c>
      <c r="D6477" s="501" t="s">
        <v>3380</v>
      </c>
      <c r="E6477" s="501" t="s">
        <v>3381</v>
      </c>
      <c r="F6477" s="501" t="s">
        <v>816</v>
      </c>
      <c r="G6477" s="501" t="s">
        <v>817</v>
      </c>
      <c r="H6477" s="501" t="s">
        <v>8576</v>
      </c>
      <c r="I6477" s="501">
        <v>1</v>
      </c>
      <c r="J6477" s="501">
        <v>0</v>
      </c>
      <c r="K6477" s="501">
        <v>0</v>
      </c>
      <c r="L6477" s="501">
        <v>1</v>
      </c>
      <c r="M6477" s="501">
        <v>0</v>
      </c>
      <c r="N6477" s="501">
        <v>0</v>
      </c>
      <c r="O6477" s="506">
        <v>0</v>
      </c>
    </row>
    <row r="6478" spans="1:15" x14ac:dyDescent="0.35">
      <c r="A6478" s="503" t="s">
        <v>1503</v>
      </c>
      <c r="B6478" s="504">
        <v>4666</v>
      </c>
      <c r="C6478" s="504" t="s">
        <v>1089</v>
      </c>
      <c r="D6478" s="504" t="s">
        <v>3392</v>
      </c>
      <c r="E6478" s="504" t="s">
        <v>3381</v>
      </c>
      <c r="F6478" s="504" t="s">
        <v>816</v>
      </c>
      <c r="G6478" s="504" t="s">
        <v>817</v>
      </c>
      <c r="H6478" s="504" t="s">
        <v>8577</v>
      </c>
      <c r="I6478" s="504">
        <v>2</v>
      </c>
      <c r="J6478" s="504">
        <v>0</v>
      </c>
      <c r="K6478" s="504">
        <v>0</v>
      </c>
      <c r="L6478" s="504">
        <v>2</v>
      </c>
      <c r="M6478" s="504">
        <v>0</v>
      </c>
      <c r="N6478" s="504">
        <v>0</v>
      </c>
      <c r="O6478" s="505">
        <v>0</v>
      </c>
    </row>
    <row r="6479" spans="1:15" x14ac:dyDescent="0.35">
      <c r="A6479" s="500" t="s">
        <v>1744</v>
      </c>
      <c r="B6479" s="501" t="s">
        <v>3245</v>
      </c>
      <c r="C6479" s="501" t="s">
        <v>1094</v>
      </c>
      <c r="D6479" s="501" t="s">
        <v>3380</v>
      </c>
      <c r="E6479" s="501" t="s">
        <v>3381</v>
      </c>
      <c r="F6479" s="501" t="s">
        <v>816</v>
      </c>
      <c r="G6479" s="501" t="s">
        <v>817</v>
      </c>
      <c r="H6479" s="501" t="s">
        <v>8578</v>
      </c>
      <c r="I6479" s="501">
        <v>1272</v>
      </c>
      <c r="J6479" s="501">
        <v>601</v>
      </c>
      <c r="K6479" s="501">
        <v>0</v>
      </c>
      <c r="L6479" s="501">
        <v>12</v>
      </c>
      <c r="M6479" s="501">
        <v>603</v>
      </c>
      <c r="N6479" s="501">
        <v>75</v>
      </c>
      <c r="O6479" s="506">
        <v>56</v>
      </c>
    </row>
    <row r="6480" spans="1:15" x14ac:dyDescent="0.35">
      <c r="A6480" s="503" t="s">
        <v>1122</v>
      </c>
      <c r="B6480" s="504" t="s">
        <v>2994</v>
      </c>
      <c r="C6480" s="504" t="s">
        <v>1094</v>
      </c>
      <c r="D6480" s="504" t="s">
        <v>3380</v>
      </c>
      <c r="E6480" s="504" t="s">
        <v>3381</v>
      </c>
      <c r="F6480" s="504" t="s">
        <v>816</v>
      </c>
      <c r="G6480" s="504" t="s">
        <v>817</v>
      </c>
      <c r="H6480" s="504" t="s">
        <v>8579</v>
      </c>
      <c r="I6480" s="504">
        <v>29</v>
      </c>
      <c r="J6480" s="504">
        <v>26</v>
      </c>
      <c r="K6480" s="504">
        <v>0</v>
      </c>
      <c r="L6480" s="504">
        <v>0</v>
      </c>
      <c r="M6480" s="504">
        <v>0</v>
      </c>
      <c r="N6480" s="504">
        <v>0</v>
      </c>
      <c r="O6480" s="505">
        <v>3</v>
      </c>
    </row>
    <row r="6481" spans="1:15" x14ac:dyDescent="0.35">
      <c r="A6481" s="500" t="s">
        <v>1225</v>
      </c>
      <c r="B6481" s="501" t="s">
        <v>3315</v>
      </c>
      <c r="C6481" s="501" t="s">
        <v>1094</v>
      </c>
      <c r="D6481" s="501" t="s">
        <v>3380</v>
      </c>
      <c r="E6481" s="501" t="s">
        <v>3381</v>
      </c>
      <c r="F6481" s="501" t="s">
        <v>816</v>
      </c>
      <c r="G6481" s="501" t="s">
        <v>817</v>
      </c>
      <c r="H6481" s="501" t="s">
        <v>8580</v>
      </c>
      <c r="I6481" s="501">
        <v>18</v>
      </c>
      <c r="J6481" s="501">
        <v>0</v>
      </c>
      <c r="K6481" s="501">
        <v>0</v>
      </c>
      <c r="L6481" s="501">
        <v>18</v>
      </c>
      <c r="M6481" s="501">
        <v>0</v>
      </c>
      <c r="N6481" s="501">
        <v>0</v>
      </c>
      <c r="O6481" s="506">
        <v>0</v>
      </c>
    </row>
    <row r="6482" spans="1:15" x14ac:dyDescent="0.35">
      <c r="A6482" s="503" t="s">
        <v>1228</v>
      </c>
      <c r="B6482" s="504" t="s">
        <v>3321</v>
      </c>
      <c r="C6482" s="504" t="s">
        <v>1094</v>
      </c>
      <c r="D6482" s="504" t="s">
        <v>3380</v>
      </c>
      <c r="E6482" s="504" t="s">
        <v>3381</v>
      </c>
      <c r="F6482" s="504" t="s">
        <v>816</v>
      </c>
      <c r="G6482" s="504" t="s">
        <v>817</v>
      </c>
      <c r="H6482" s="504" t="s">
        <v>8581</v>
      </c>
      <c r="I6482" s="504">
        <v>46</v>
      </c>
      <c r="J6482" s="504">
        <v>15</v>
      </c>
      <c r="K6482" s="504">
        <v>0</v>
      </c>
      <c r="L6482" s="504">
        <v>12</v>
      </c>
      <c r="M6482" s="504">
        <v>0</v>
      </c>
      <c r="N6482" s="504">
        <v>0</v>
      </c>
      <c r="O6482" s="505">
        <v>19</v>
      </c>
    </row>
    <row r="6483" spans="1:15" x14ac:dyDescent="0.35">
      <c r="A6483" s="500" t="s">
        <v>1752</v>
      </c>
      <c r="B6483" s="501">
        <v>4653</v>
      </c>
      <c r="C6483" s="501" t="s">
        <v>1094</v>
      </c>
      <c r="D6483" s="501" t="s">
        <v>3380</v>
      </c>
      <c r="E6483" s="501" t="s">
        <v>3381</v>
      </c>
      <c r="F6483" s="501" t="s">
        <v>816</v>
      </c>
      <c r="G6483" s="501" t="s">
        <v>817</v>
      </c>
      <c r="H6483" s="501" t="s">
        <v>8582</v>
      </c>
      <c r="I6483" s="501">
        <v>13</v>
      </c>
      <c r="J6483" s="501">
        <v>0</v>
      </c>
      <c r="K6483" s="501">
        <v>0</v>
      </c>
      <c r="L6483" s="501">
        <v>13</v>
      </c>
      <c r="M6483" s="501">
        <v>0</v>
      </c>
      <c r="N6483" s="501">
        <v>0</v>
      </c>
      <c r="O6483" s="506">
        <v>0</v>
      </c>
    </row>
    <row r="6484" spans="1:15" x14ac:dyDescent="0.35">
      <c r="A6484" s="503" t="s">
        <v>1233</v>
      </c>
      <c r="B6484" s="504">
        <v>4636</v>
      </c>
      <c r="C6484" s="504" t="s">
        <v>1094</v>
      </c>
      <c r="D6484" s="504" t="s">
        <v>3380</v>
      </c>
      <c r="E6484" s="504" t="s">
        <v>3381</v>
      </c>
      <c r="F6484" s="504" t="s">
        <v>816</v>
      </c>
      <c r="G6484" s="504" t="s">
        <v>817</v>
      </c>
      <c r="H6484" s="504" t="s">
        <v>8583</v>
      </c>
      <c r="I6484" s="504">
        <v>37</v>
      </c>
      <c r="J6484" s="504">
        <v>4</v>
      </c>
      <c r="K6484" s="504">
        <v>0</v>
      </c>
      <c r="L6484" s="504">
        <v>0</v>
      </c>
      <c r="M6484" s="504">
        <v>0</v>
      </c>
      <c r="N6484" s="504">
        <v>0</v>
      </c>
      <c r="O6484" s="505">
        <v>33</v>
      </c>
    </row>
    <row r="6485" spans="1:15" x14ac:dyDescent="0.35">
      <c r="A6485" s="500" t="s">
        <v>11368</v>
      </c>
      <c r="B6485" s="501">
        <v>5083</v>
      </c>
      <c r="C6485" s="501" t="s">
        <v>1094</v>
      </c>
      <c r="D6485" s="501" t="s">
        <v>3380</v>
      </c>
      <c r="E6485" s="501" t="s">
        <v>3381</v>
      </c>
      <c r="F6485" s="501" t="s">
        <v>816</v>
      </c>
      <c r="G6485" s="501" t="s">
        <v>817</v>
      </c>
      <c r="H6485" s="501" t="s">
        <v>12070</v>
      </c>
      <c r="I6485" s="501">
        <v>30</v>
      </c>
      <c r="J6485" s="501">
        <v>30</v>
      </c>
      <c r="K6485" s="501">
        <v>0</v>
      </c>
      <c r="L6485" s="501">
        <v>0</v>
      </c>
      <c r="M6485" s="501">
        <v>0</v>
      </c>
      <c r="N6485" s="501">
        <v>0</v>
      </c>
      <c r="O6485" s="506">
        <v>0</v>
      </c>
    </row>
    <row r="6486" spans="1:15" x14ac:dyDescent="0.35">
      <c r="A6486" s="503" t="s">
        <v>1126</v>
      </c>
      <c r="B6486" s="504" t="s">
        <v>2974</v>
      </c>
      <c r="C6486" s="504" t="s">
        <v>1094</v>
      </c>
      <c r="D6486" s="504" t="s">
        <v>3380</v>
      </c>
      <c r="E6486" s="504" t="s">
        <v>3381</v>
      </c>
      <c r="F6486" s="504" t="s">
        <v>816</v>
      </c>
      <c r="G6486" s="504" t="s">
        <v>817</v>
      </c>
      <c r="H6486" s="504" t="s">
        <v>8584</v>
      </c>
      <c r="I6486" s="504">
        <v>6</v>
      </c>
      <c r="J6486" s="504">
        <v>6</v>
      </c>
      <c r="K6486" s="504">
        <v>0</v>
      </c>
      <c r="L6486" s="504">
        <v>0</v>
      </c>
      <c r="M6486" s="504">
        <v>0</v>
      </c>
      <c r="N6486" s="504">
        <v>0</v>
      </c>
      <c r="O6486" s="505">
        <v>0</v>
      </c>
    </row>
    <row r="6487" spans="1:15" x14ac:dyDescent="0.35">
      <c r="A6487" s="500" t="s">
        <v>1772</v>
      </c>
      <c r="B6487" s="501" t="s">
        <v>2930</v>
      </c>
      <c r="C6487" s="501" t="s">
        <v>1089</v>
      </c>
      <c r="D6487" s="501" t="s">
        <v>3392</v>
      </c>
      <c r="E6487" s="501" t="s">
        <v>3381</v>
      </c>
      <c r="F6487" s="501" t="s">
        <v>816</v>
      </c>
      <c r="G6487" s="501" t="s">
        <v>817</v>
      </c>
      <c r="H6487" s="501" t="s">
        <v>14992</v>
      </c>
      <c r="I6487" s="501">
        <v>10</v>
      </c>
      <c r="J6487" s="501">
        <v>0</v>
      </c>
      <c r="K6487" s="501">
        <v>0</v>
      </c>
      <c r="L6487" s="501">
        <v>0</v>
      </c>
      <c r="M6487" s="501">
        <v>10</v>
      </c>
      <c r="N6487" s="501">
        <v>0</v>
      </c>
      <c r="O6487" s="506">
        <v>0</v>
      </c>
    </row>
    <row r="6488" spans="1:15" x14ac:dyDescent="0.35">
      <c r="A6488" s="503" t="s">
        <v>1257</v>
      </c>
      <c r="B6488" s="504" t="s">
        <v>3151</v>
      </c>
      <c r="C6488" s="504" t="s">
        <v>1094</v>
      </c>
      <c r="D6488" s="504" t="s">
        <v>3380</v>
      </c>
      <c r="E6488" s="504" t="s">
        <v>3381</v>
      </c>
      <c r="F6488" s="504" t="s">
        <v>816</v>
      </c>
      <c r="G6488" s="504" t="s">
        <v>817</v>
      </c>
      <c r="H6488" s="504" t="s">
        <v>8585</v>
      </c>
      <c r="I6488" s="504">
        <v>78</v>
      </c>
      <c r="J6488" s="504">
        <v>24</v>
      </c>
      <c r="K6488" s="504">
        <v>0</v>
      </c>
      <c r="L6488" s="504">
        <v>0</v>
      </c>
      <c r="M6488" s="504">
        <v>0</v>
      </c>
      <c r="N6488" s="504">
        <v>0</v>
      </c>
      <c r="O6488" s="505">
        <v>54</v>
      </c>
    </row>
    <row r="6489" spans="1:15" x14ac:dyDescent="0.35">
      <c r="A6489" s="500" t="s">
        <v>1781</v>
      </c>
      <c r="B6489" s="501" t="s">
        <v>2587</v>
      </c>
      <c r="C6489" s="501" t="s">
        <v>1089</v>
      </c>
      <c r="D6489" s="501" t="s">
        <v>3392</v>
      </c>
      <c r="E6489" s="501" t="s">
        <v>3381</v>
      </c>
      <c r="F6489" s="501" t="s">
        <v>816</v>
      </c>
      <c r="G6489" s="501" t="s">
        <v>817</v>
      </c>
      <c r="H6489" s="501" t="s">
        <v>8586</v>
      </c>
      <c r="I6489" s="501">
        <v>24</v>
      </c>
      <c r="J6489" s="501">
        <v>0</v>
      </c>
      <c r="K6489" s="501">
        <v>0</v>
      </c>
      <c r="L6489" s="501">
        <v>0</v>
      </c>
      <c r="M6489" s="501">
        <v>24</v>
      </c>
      <c r="N6489" s="501">
        <v>0</v>
      </c>
      <c r="O6489" s="506">
        <v>0</v>
      </c>
    </row>
    <row r="6490" spans="1:15" x14ac:dyDescent="0.35">
      <c r="A6490" s="503" t="s">
        <v>1266</v>
      </c>
      <c r="B6490" s="504" t="s">
        <v>3071</v>
      </c>
      <c r="C6490" s="504" t="s">
        <v>1094</v>
      </c>
      <c r="D6490" s="504" t="s">
        <v>3380</v>
      </c>
      <c r="E6490" s="504" t="s">
        <v>3381</v>
      </c>
      <c r="F6490" s="504" t="s">
        <v>816</v>
      </c>
      <c r="G6490" s="504" t="s">
        <v>817</v>
      </c>
      <c r="H6490" s="504" t="s">
        <v>8587</v>
      </c>
      <c r="I6490" s="504">
        <v>39</v>
      </c>
      <c r="J6490" s="504">
        <v>14</v>
      </c>
      <c r="K6490" s="504">
        <v>0</v>
      </c>
      <c r="L6490" s="504">
        <v>0</v>
      </c>
      <c r="M6490" s="504">
        <v>25</v>
      </c>
      <c r="N6490" s="504">
        <v>0</v>
      </c>
      <c r="O6490" s="505">
        <v>0</v>
      </c>
    </row>
    <row r="6491" spans="1:15" x14ac:dyDescent="0.35">
      <c r="A6491" s="500" t="s">
        <v>1385</v>
      </c>
      <c r="B6491" s="501" t="s">
        <v>3249</v>
      </c>
      <c r="C6491" s="501" t="s">
        <v>1094</v>
      </c>
      <c r="D6491" s="501" t="s">
        <v>3380</v>
      </c>
      <c r="E6491" s="501" t="s">
        <v>3381</v>
      </c>
      <c r="F6491" s="501" t="s">
        <v>818</v>
      </c>
      <c r="G6491" s="501" t="s">
        <v>819</v>
      </c>
      <c r="H6491" s="501" t="s">
        <v>8588</v>
      </c>
      <c r="I6491" s="501">
        <v>58</v>
      </c>
      <c r="J6491" s="501">
        <v>31</v>
      </c>
      <c r="K6491" s="501">
        <v>0</v>
      </c>
      <c r="L6491" s="501">
        <v>27</v>
      </c>
      <c r="M6491" s="501">
        <v>0</v>
      </c>
      <c r="N6491" s="501">
        <v>0</v>
      </c>
      <c r="O6491" s="506">
        <v>0</v>
      </c>
    </row>
    <row r="6492" spans="1:15" x14ac:dyDescent="0.35">
      <c r="A6492" s="503" t="s">
        <v>1386</v>
      </c>
      <c r="B6492" s="504" t="s">
        <v>3331</v>
      </c>
      <c r="C6492" s="504" t="s">
        <v>1094</v>
      </c>
      <c r="D6492" s="504" t="s">
        <v>3380</v>
      </c>
      <c r="E6492" s="504" t="s">
        <v>3381</v>
      </c>
      <c r="F6492" s="504" t="s">
        <v>818</v>
      </c>
      <c r="G6492" s="504" t="s">
        <v>819</v>
      </c>
      <c r="H6492" s="504" t="s">
        <v>8589</v>
      </c>
      <c r="I6492" s="504">
        <v>80</v>
      </c>
      <c r="J6492" s="504">
        <v>68</v>
      </c>
      <c r="K6492" s="504">
        <v>0</v>
      </c>
      <c r="L6492" s="504">
        <v>0</v>
      </c>
      <c r="M6492" s="504">
        <v>0</v>
      </c>
      <c r="N6492" s="504">
        <v>0</v>
      </c>
      <c r="O6492" s="505">
        <v>12</v>
      </c>
    </row>
    <row r="6493" spans="1:15" x14ac:dyDescent="0.35">
      <c r="A6493" s="500" t="s">
        <v>1096</v>
      </c>
      <c r="B6493" s="501" t="s">
        <v>3326</v>
      </c>
      <c r="C6493" s="501" t="s">
        <v>1094</v>
      </c>
      <c r="D6493" s="501" t="s">
        <v>3380</v>
      </c>
      <c r="E6493" s="501" t="s">
        <v>3381</v>
      </c>
      <c r="F6493" s="501" t="s">
        <v>818</v>
      </c>
      <c r="G6493" s="501" t="s">
        <v>819</v>
      </c>
      <c r="H6493" s="501" t="s">
        <v>8590</v>
      </c>
      <c r="I6493" s="501">
        <v>39</v>
      </c>
      <c r="J6493" s="501">
        <v>0</v>
      </c>
      <c r="K6493" s="501">
        <v>0</v>
      </c>
      <c r="L6493" s="501">
        <v>0</v>
      </c>
      <c r="M6493" s="501">
        <v>39</v>
      </c>
      <c r="N6493" s="501">
        <v>0</v>
      </c>
      <c r="O6493" s="506">
        <v>0</v>
      </c>
    </row>
    <row r="6494" spans="1:15" x14ac:dyDescent="0.35">
      <c r="A6494" s="503" t="s">
        <v>1161</v>
      </c>
      <c r="B6494" s="504" t="s">
        <v>3001</v>
      </c>
      <c r="C6494" s="504" t="s">
        <v>1094</v>
      </c>
      <c r="D6494" s="504" t="s">
        <v>3380</v>
      </c>
      <c r="E6494" s="504" t="s">
        <v>3381</v>
      </c>
      <c r="F6494" s="504" t="s">
        <v>818</v>
      </c>
      <c r="G6494" s="504" t="s">
        <v>819</v>
      </c>
      <c r="H6494" s="504" t="s">
        <v>8591</v>
      </c>
      <c r="I6494" s="504">
        <v>3</v>
      </c>
      <c r="J6494" s="504">
        <v>0</v>
      </c>
      <c r="K6494" s="504">
        <v>0</v>
      </c>
      <c r="L6494" s="504">
        <v>0</v>
      </c>
      <c r="M6494" s="504">
        <v>0</v>
      </c>
      <c r="N6494" s="504">
        <v>0</v>
      </c>
      <c r="O6494" s="505">
        <v>3</v>
      </c>
    </row>
    <row r="6495" spans="1:15" x14ac:dyDescent="0.35">
      <c r="A6495" s="500" t="s">
        <v>1410</v>
      </c>
      <c r="B6495" s="501" t="s">
        <v>2868</v>
      </c>
      <c r="C6495" s="501" t="s">
        <v>1094</v>
      </c>
      <c r="D6495" s="501" t="s">
        <v>3380</v>
      </c>
      <c r="E6495" s="501" t="s">
        <v>3381</v>
      </c>
      <c r="F6495" s="501" t="s">
        <v>818</v>
      </c>
      <c r="G6495" s="501" t="s">
        <v>819</v>
      </c>
      <c r="H6495" s="501" t="s">
        <v>8592</v>
      </c>
      <c r="I6495" s="501">
        <v>22</v>
      </c>
      <c r="J6495" s="501">
        <v>2</v>
      </c>
      <c r="K6495" s="501">
        <v>0</v>
      </c>
      <c r="L6495" s="501">
        <v>0</v>
      </c>
      <c r="M6495" s="501">
        <v>20</v>
      </c>
      <c r="N6495" s="501">
        <v>0</v>
      </c>
      <c r="O6495" s="506">
        <v>0</v>
      </c>
    </row>
    <row r="6496" spans="1:15" x14ac:dyDescent="0.35">
      <c r="A6496" s="503" t="s">
        <v>1692</v>
      </c>
      <c r="B6496" s="504">
        <v>4780</v>
      </c>
      <c r="C6496" s="504" t="s">
        <v>1089</v>
      </c>
      <c r="D6496" s="504" t="s">
        <v>3392</v>
      </c>
      <c r="E6496" s="504" t="s">
        <v>3381</v>
      </c>
      <c r="F6496" s="504" t="s">
        <v>818</v>
      </c>
      <c r="G6496" s="504" t="s">
        <v>819</v>
      </c>
      <c r="H6496" s="504" t="s">
        <v>11654</v>
      </c>
      <c r="I6496" s="504">
        <v>6</v>
      </c>
      <c r="J6496" s="504">
        <v>0</v>
      </c>
      <c r="K6496" s="504">
        <v>6</v>
      </c>
      <c r="L6496" s="504">
        <v>0</v>
      </c>
      <c r="M6496" s="504">
        <v>0</v>
      </c>
      <c r="N6496" s="504">
        <v>6</v>
      </c>
      <c r="O6496" s="505">
        <v>0</v>
      </c>
    </row>
    <row r="6497" spans="1:15" x14ac:dyDescent="0.35">
      <c r="A6497" s="500" t="s">
        <v>14208</v>
      </c>
      <c r="B6497" s="501">
        <v>4803</v>
      </c>
      <c r="C6497" s="501" t="s">
        <v>1094</v>
      </c>
      <c r="D6497" s="501" t="s">
        <v>3380</v>
      </c>
      <c r="E6497" s="501" t="s">
        <v>3381</v>
      </c>
      <c r="F6497" s="501" t="s">
        <v>818</v>
      </c>
      <c r="G6497" s="501" t="s">
        <v>819</v>
      </c>
      <c r="H6497" s="501" t="s">
        <v>14993</v>
      </c>
      <c r="I6497" s="501">
        <v>6</v>
      </c>
      <c r="J6497" s="501">
        <v>0</v>
      </c>
      <c r="K6497" s="501">
        <v>0</v>
      </c>
      <c r="L6497" s="501">
        <v>6</v>
      </c>
      <c r="M6497" s="501">
        <v>0</v>
      </c>
      <c r="N6497" s="501">
        <v>0</v>
      </c>
      <c r="O6497" s="506">
        <v>0</v>
      </c>
    </row>
    <row r="6498" spans="1:15" x14ac:dyDescent="0.35">
      <c r="A6498" s="503" t="s">
        <v>1187</v>
      </c>
      <c r="B6498" s="504" t="s">
        <v>2951</v>
      </c>
      <c r="C6498" s="504" t="s">
        <v>1094</v>
      </c>
      <c r="D6498" s="504" t="s">
        <v>3380</v>
      </c>
      <c r="E6498" s="504" t="s">
        <v>3381</v>
      </c>
      <c r="F6498" s="504" t="s">
        <v>818</v>
      </c>
      <c r="G6498" s="504" t="s">
        <v>819</v>
      </c>
      <c r="H6498" s="504" t="s">
        <v>8593</v>
      </c>
      <c r="I6498" s="504">
        <v>30</v>
      </c>
      <c r="J6498" s="504">
        <v>30</v>
      </c>
      <c r="K6498" s="504">
        <v>0</v>
      </c>
      <c r="L6498" s="504">
        <v>0</v>
      </c>
      <c r="M6498" s="504">
        <v>0</v>
      </c>
      <c r="N6498" s="504">
        <v>0</v>
      </c>
      <c r="O6498" s="505">
        <v>0</v>
      </c>
    </row>
    <row r="6499" spans="1:15" x14ac:dyDescent="0.35">
      <c r="A6499" s="500" t="s">
        <v>1107</v>
      </c>
      <c r="B6499" s="501" t="s">
        <v>3109</v>
      </c>
      <c r="C6499" s="501" t="s">
        <v>1094</v>
      </c>
      <c r="D6499" s="501" t="s">
        <v>3380</v>
      </c>
      <c r="E6499" s="501" t="s">
        <v>3381</v>
      </c>
      <c r="F6499" s="501" t="s">
        <v>818</v>
      </c>
      <c r="G6499" s="501" t="s">
        <v>819</v>
      </c>
      <c r="H6499" s="501" t="s">
        <v>8594</v>
      </c>
      <c r="I6499" s="501">
        <v>18</v>
      </c>
      <c r="J6499" s="501">
        <v>0</v>
      </c>
      <c r="K6499" s="501">
        <v>0</v>
      </c>
      <c r="L6499" s="501">
        <v>18</v>
      </c>
      <c r="M6499" s="501">
        <v>0</v>
      </c>
      <c r="N6499" s="501">
        <v>0</v>
      </c>
      <c r="O6499" s="506">
        <v>0</v>
      </c>
    </row>
    <row r="6500" spans="1:15" x14ac:dyDescent="0.35">
      <c r="A6500" s="503" t="s">
        <v>1109</v>
      </c>
      <c r="B6500" s="504" t="s">
        <v>2959</v>
      </c>
      <c r="C6500" s="504" t="s">
        <v>1094</v>
      </c>
      <c r="D6500" s="504" t="s">
        <v>3380</v>
      </c>
      <c r="E6500" s="504" t="s">
        <v>3381</v>
      </c>
      <c r="F6500" s="504" t="s">
        <v>818</v>
      </c>
      <c r="G6500" s="504" t="s">
        <v>819</v>
      </c>
      <c r="H6500" s="504" t="s">
        <v>8595</v>
      </c>
      <c r="I6500" s="504">
        <v>2</v>
      </c>
      <c r="J6500" s="504">
        <v>0</v>
      </c>
      <c r="K6500" s="504">
        <v>0</v>
      </c>
      <c r="L6500" s="504">
        <v>0</v>
      </c>
      <c r="M6500" s="504">
        <v>2</v>
      </c>
      <c r="N6500" s="504">
        <v>0</v>
      </c>
      <c r="O6500" s="505">
        <v>0</v>
      </c>
    </row>
    <row r="6501" spans="1:15" x14ac:dyDescent="0.35">
      <c r="A6501" s="500" t="s">
        <v>1474</v>
      </c>
      <c r="B6501" s="501" t="s">
        <v>3300</v>
      </c>
      <c r="C6501" s="501" t="s">
        <v>1094</v>
      </c>
      <c r="D6501" s="501" t="s">
        <v>3380</v>
      </c>
      <c r="E6501" s="501" t="s">
        <v>3381</v>
      </c>
      <c r="F6501" s="501" t="s">
        <v>818</v>
      </c>
      <c r="G6501" s="501" t="s">
        <v>819</v>
      </c>
      <c r="H6501" s="501" t="s">
        <v>8596</v>
      </c>
      <c r="I6501" s="501">
        <v>30</v>
      </c>
      <c r="J6501" s="501">
        <v>27</v>
      </c>
      <c r="K6501" s="501">
        <v>0</v>
      </c>
      <c r="L6501" s="501">
        <v>0</v>
      </c>
      <c r="M6501" s="501">
        <v>0</v>
      </c>
      <c r="N6501" s="501">
        <v>0</v>
      </c>
      <c r="O6501" s="506">
        <v>3</v>
      </c>
    </row>
    <row r="6502" spans="1:15" x14ac:dyDescent="0.35">
      <c r="A6502" s="503" t="s">
        <v>1202</v>
      </c>
      <c r="B6502" s="504" t="s">
        <v>3217</v>
      </c>
      <c r="C6502" s="504" t="s">
        <v>1094</v>
      </c>
      <c r="D6502" s="504" t="s">
        <v>3380</v>
      </c>
      <c r="E6502" s="504" t="s">
        <v>3381</v>
      </c>
      <c r="F6502" s="504" t="s">
        <v>818</v>
      </c>
      <c r="G6502" s="504" t="s">
        <v>819</v>
      </c>
      <c r="H6502" s="504" t="s">
        <v>8597</v>
      </c>
      <c r="I6502" s="504">
        <v>645</v>
      </c>
      <c r="J6502" s="504">
        <v>495</v>
      </c>
      <c r="K6502" s="504">
        <v>0</v>
      </c>
      <c r="L6502" s="504">
        <v>35</v>
      </c>
      <c r="M6502" s="504">
        <v>84</v>
      </c>
      <c r="N6502" s="504">
        <v>7</v>
      </c>
      <c r="O6502" s="505">
        <v>31</v>
      </c>
    </row>
    <row r="6503" spans="1:15" x14ac:dyDescent="0.35">
      <c r="A6503" s="500" t="s">
        <v>1492</v>
      </c>
      <c r="B6503" s="501" t="s">
        <v>3354</v>
      </c>
      <c r="C6503" s="501" t="s">
        <v>1089</v>
      </c>
      <c r="D6503" s="501" t="s">
        <v>3392</v>
      </c>
      <c r="E6503" s="501" t="s">
        <v>3381</v>
      </c>
      <c r="F6503" s="501" t="s">
        <v>818</v>
      </c>
      <c r="G6503" s="501" t="s">
        <v>819</v>
      </c>
      <c r="H6503" s="501" t="s">
        <v>8598</v>
      </c>
      <c r="I6503" s="501">
        <v>15</v>
      </c>
      <c r="J6503" s="501">
        <v>0</v>
      </c>
      <c r="K6503" s="501">
        <v>0</v>
      </c>
      <c r="L6503" s="501">
        <v>15</v>
      </c>
      <c r="M6503" s="501">
        <v>0</v>
      </c>
      <c r="N6503" s="501">
        <v>0</v>
      </c>
      <c r="O6503" s="506">
        <v>0</v>
      </c>
    </row>
    <row r="6504" spans="1:15" x14ac:dyDescent="0.35">
      <c r="A6504" s="503" t="s">
        <v>1494</v>
      </c>
      <c r="B6504" s="504" t="s">
        <v>3235</v>
      </c>
      <c r="C6504" s="504" t="s">
        <v>1094</v>
      </c>
      <c r="D6504" s="504" t="s">
        <v>3380</v>
      </c>
      <c r="E6504" s="504" t="s">
        <v>3381</v>
      </c>
      <c r="F6504" s="504" t="s">
        <v>818</v>
      </c>
      <c r="G6504" s="504" t="s">
        <v>819</v>
      </c>
      <c r="H6504" s="504" t="s">
        <v>8599</v>
      </c>
      <c r="I6504" s="504">
        <v>12</v>
      </c>
      <c r="J6504" s="504">
        <v>0</v>
      </c>
      <c r="K6504" s="504">
        <v>0</v>
      </c>
      <c r="L6504" s="504">
        <v>12</v>
      </c>
      <c r="M6504" s="504">
        <v>0</v>
      </c>
      <c r="N6504" s="504">
        <v>0</v>
      </c>
      <c r="O6504" s="505">
        <v>0</v>
      </c>
    </row>
    <row r="6505" spans="1:15" x14ac:dyDescent="0.35">
      <c r="A6505" s="500" t="s">
        <v>1112</v>
      </c>
      <c r="B6505" s="501" t="s">
        <v>3008</v>
      </c>
      <c r="C6505" s="501" t="s">
        <v>1094</v>
      </c>
      <c r="D6505" s="501" t="s">
        <v>3380</v>
      </c>
      <c r="E6505" s="501" t="s">
        <v>3381</v>
      </c>
      <c r="F6505" s="501" t="s">
        <v>818</v>
      </c>
      <c r="G6505" s="501" t="s">
        <v>819</v>
      </c>
      <c r="H6505" s="501" t="s">
        <v>8600</v>
      </c>
      <c r="I6505" s="501">
        <v>542</v>
      </c>
      <c r="J6505" s="501">
        <v>348</v>
      </c>
      <c r="K6505" s="501">
        <v>0</v>
      </c>
      <c r="L6505" s="501">
        <v>25</v>
      </c>
      <c r="M6505" s="501">
        <v>0</v>
      </c>
      <c r="N6505" s="501">
        <v>2</v>
      </c>
      <c r="O6505" s="506">
        <v>169</v>
      </c>
    </row>
    <row r="6506" spans="1:15" x14ac:dyDescent="0.35">
      <c r="A6506" s="503" t="s">
        <v>1501</v>
      </c>
      <c r="B6506" s="504" t="s">
        <v>2956</v>
      </c>
      <c r="C6506" s="504" t="s">
        <v>1094</v>
      </c>
      <c r="D6506" s="504" t="s">
        <v>3380</v>
      </c>
      <c r="E6506" s="504" t="s">
        <v>3381</v>
      </c>
      <c r="F6506" s="504" t="s">
        <v>818</v>
      </c>
      <c r="G6506" s="504" t="s">
        <v>819</v>
      </c>
      <c r="H6506" s="504" t="s">
        <v>8601</v>
      </c>
      <c r="I6506" s="504">
        <v>5</v>
      </c>
      <c r="J6506" s="504">
        <v>5</v>
      </c>
      <c r="K6506" s="504">
        <v>0</v>
      </c>
      <c r="L6506" s="504">
        <v>0</v>
      </c>
      <c r="M6506" s="504">
        <v>0</v>
      </c>
      <c r="N6506" s="504">
        <v>0</v>
      </c>
      <c r="O6506" s="505">
        <v>0</v>
      </c>
    </row>
    <row r="6507" spans="1:15" x14ac:dyDescent="0.35">
      <c r="A6507" s="500" t="s">
        <v>1315</v>
      </c>
      <c r="B6507" s="501">
        <v>4825</v>
      </c>
      <c r="C6507" s="501" t="s">
        <v>1094</v>
      </c>
      <c r="D6507" s="501" t="s">
        <v>3380</v>
      </c>
      <c r="E6507" s="501" t="s">
        <v>3381</v>
      </c>
      <c r="F6507" s="501" t="s">
        <v>818</v>
      </c>
      <c r="G6507" s="501" t="s">
        <v>819</v>
      </c>
      <c r="H6507" s="501" t="s">
        <v>8602</v>
      </c>
      <c r="I6507" s="501">
        <v>114</v>
      </c>
      <c r="J6507" s="501">
        <v>107</v>
      </c>
      <c r="K6507" s="501">
        <v>0</v>
      </c>
      <c r="L6507" s="501">
        <v>0</v>
      </c>
      <c r="M6507" s="501">
        <v>0</v>
      </c>
      <c r="N6507" s="501">
        <v>3</v>
      </c>
      <c r="O6507" s="506">
        <v>7</v>
      </c>
    </row>
    <row r="6508" spans="1:15" x14ac:dyDescent="0.35">
      <c r="A6508" s="503" t="s">
        <v>1319</v>
      </c>
      <c r="B6508" s="504">
        <v>4880</v>
      </c>
      <c r="C6508" s="504" t="s">
        <v>1094</v>
      </c>
      <c r="D6508" s="504" t="s">
        <v>3380</v>
      </c>
      <c r="E6508" s="504" t="s">
        <v>3381</v>
      </c>
      <c r="F6508" s="504" t="s">
        <v>818</v>
      </c>
      <c r="G6508" s="504" t="s">
        <v>819</v>
      </c>
      <c r="H6508" s="504" t="s">
        <v>8603</v>
      </c>
      <c r="I6508" s="504">
        <v>79</v>
      </c>
      <c r="J6508" s="504">
        <v>79</v>
      </c>
      <c r="K6508" s="504">
        <v>0</v>
      </c>
      <c r="L6508" s="504">
        <v>0</v>
      </c>
      <c r="M6508" s="504">
        <v>0</v>
      </c>
      <c r="N6508" s="504">
        <v>0</v>
      </c>
      <c r="O6508" s="505">
        <v>0</v>
      </c>
    </row>
    <row r="6509" spans="1:15" x14ac:dyDescent="0.35">
      <c r="A6509" s="500" t="s">
        <v>1120</v>
      </c>
      <c r="B6509" s="501" t="s">
        <v>3362</v>
      </c>
      <c r="C6509" s="501" t="s">
        <v>1094</v>
      </c>
      <c r="D6509" s="501" t="s">
        <v>3380</v>
      </c>
      <c r="E6509" s="501" t="s">
        <v>3381</v>
      </c>
      <c r="F6509" s="501" t="s">
        <v>818</v>
      </c>
      <c r="G6509" s="501" t="s">
        <v>819</v>
      </c>
      <c r="H6509" s="501" t="s">
        <v>8604</v>
      </c>
      <c r="I6509" s="501">
        <v>50</v>
      </c>
      <c r="J6509" s="501">
        <v>0</v>
      </c>
      <c r="K6509" s="501">
        <v>0</v>
      </c>
      <c r="L6509" s="501">
        <v>0</v>
      </c>
      <c r="M6509" s="501">
        <v>0</v>
      </c>
      <c r="N6509" s="501">
        <v>0</v>
      </c>
      <c r="O6509" s="506">
        <v>50</v>
      </c>
    </row>
    <row r="6510" spans="1:15" x14ac:dyDescent="0.35">
      <c r="A6510" s="503" t="s">
        <v>1220</v>
      </c>
      <c r="B6510" s="504">
        <v>4849</v>
      </c>
      <c r="C6510" s="504" t="s">
        <v>1094</v>
      </c>
      <c r="D6510" s="504" t="s">
        <v>3380</v>
      </c>
      <c r="E6510" s="504" t="s">
        <v>3381</v>
      </c>
      <c r="F6510" s="504" t="s">
        <v>818</v>
      </c>
      <c r="G6510" s="504" t="s">
        <v>819</v>
      </c>
      <c r="H6510" s="504" t="s">
        <v>8605</v>
      </c>
      <c r="I6510" s="504">
        <v>1837</v>
      </c>
      <c r="J6510" s="504">
        <v>1420</v>
      </c>
      <c r="K6510" s="504">
        <v>0</v>
      </c>
      <c r="L6510" s="504">
        <v>100</v>
      </c>
      <c r="M6510" s="504">
        <v>192</v>
      </c>
      <c r="N6510" s="504">
        <v>0</v>
      </c>
      <c r="O6510" s="505">
        <v>125</v>
      </c>
    </row>
    <row r="6511" spans="1:15" x14ac:dyDescent="0.35">
      <c r="A6511" s="500" t="s">
        <v>1122</v>
      </c>
      <c r="B6511" s="501" t="s">
        <v>2994</v>
      </c>
      <c r="C6511" s="501" t="s">
        <v>1094</v>
      </c>
      <c r="D6511" s="501" t="s">
        <v>3380</v>
      </c>
      <c r="E6511" s="501" t="s">
        <v>3381</v>
      </c>
      <c r="F6511" s="501" t="s">
        <v>818</v>
      </c>
      <c r="G6511" s="501" t="s">
        <v>819</v>
      </c>
      <c r="H6511" s="501" t="s">
        <v>8606</v>
      </c>
      <c r="I6511" s="501">
        <v>145</v>
      </c>
      <c r="J6511" s="501">
        <v>145</v>
      </c>
      <c r="K6511" s="501">
        <v>0</v>
      </c>
      <c r="L6511" s="501">
        <v>0</v>
      </c>
      <c r="M6511" s="501">
        <v>0</v>
      </c>
      <c r="N6511" s="501">
        <v>0</v>
      </c>
      <c r="O6511" s="506">
        <v>0</v>
      </c>
    </row>
    <row r="6512" spans="1:15" x14ac:dyDescent="0.35">
      <c r="A6512" s="503" t="s">
        <v>1124</v>
      </c>
      <c r="B6512" s="504">
        <v>4745</v>
      </c>
      <c r="C6512" s="504" t="s">
        <v>1094</v>
      </c>
      <c r="D6512" s="504" t="s">
        <v>3380</v>
      </c>
      <c r="E6512" s="504" t="s">
        <v>3381</v>
      </c>
      <c r="F6512" s="504" t="s">
        <v>818</v>
      </c>
      <c r="G6512" s="504" t="s">
        <v>819</v>
      </c>
      <c r="H6512" s="504" t="s">
        <v>8607</v>
      </c>
      <c r="I6512" s="504">
        <v>11</v>
      </c>
      <c r="J6512" s="504">
        <v>0</v>
      </c>
      <c r="K6512" s="504">
        <v>0</v>
      </c>
      <c r="L6512" s="504">
        <v>11</v>
      </c>
      <c r="M6512" s="504">
        <v>0</v>
      </c>
      <c r="N6512" s="504">
        <v>0</v>
      </c>
      <c r="O6512" s="505">
        <v>0</v>
      </c>
    </row>
    <row r="6513" spans="1:15" x14ac:dyDescent="0.35">
      <c r="A6513" s="500" t="s">
        <v>11391</v>
      </c>
      <c r="B6513" s="501" t="s">
        <v>11460</v>
      </c>
      <c r="C6513" s="501" t="s">
        <v>1089</v>
      </c>
      <c r="D6513" s="501" t="s">
        <v>3392</v>
      </c>
      <c r="E6513" s="501" t="s">
        <v>3381</v>
      </c>
      <c r="F6513" s="501" t="s">
        <v>818</v>
      </c>
      <c r="G6513" s="501" t="s">
        <v>819</v>
      </c>
      <c r="H6513" s="501" t="s">
        <v>12002</v>
      </c>
      <c r="I6513" s="501">
        <v>25</v>
      </c>
      <c r="J6513" s="501">
        <v>25</v>
      </c>
      <c r="K6513" s="501">
        <v>0</v>
      </c>
      <c r="L6513" s="501">
        <v>0</v>
      </c>
      <c r="M6513" s="501">
        <v>0</v>
      </c>
      <c r="N6513" s="501">
        <v>0</v>
      </c>
      <c r="O6513" s="506">
        <v>0</v>
      </c>
    </row>
    <row r="6514" spans="1:15" x14ac:dyDescent="0.35">
      <c r="A6514" s="503" t="s">
        <v>1539</v>
      </c>
      <c r="B6514" s="504" t="s">
        <v>3171</v>
      </c>
      <c r="C6514" s="504" t="s">
        <v>1094</v>
      </c>
      <c r="D6514" s="504" t="s">
        <v>3380</v>
      </c>
      <c r="E6514" s="504" t="s">
        <v>3381</v>
      </c>
      <c r="F6514" s="504" t="s">
        <v>818</v>
      </c>
      <c r="G6514" s="504" t="s">
        <v>819</v>
      </c>
      <c r="H6514" s="504" t="s">
        <v>8608</v>
      </c>
      <c r="I6514" s="504">
        <v>6279</v>
      </c>
      <c r="J6514" s="504">
        <v>5858</v>
      </c>
      <c r="K6514" s="504">
        <v>0</v>
      </c>
      <c r="L6514" s="504">
        <v>0</v>
      </c>
      <c r="M6514" s="504">
        <v>391</v>
      </c>
      <c r="N6514" s="504">
        <v>0</v>
      </c>
      <c r="O6514" s="505">
        <v>30</v>
      </c>
    </row>
    <row r="6515" spans="1:15" x14ac:dyDescent="0.35">
      <c r="A6515" s="500" t="s">
        <v>1342</v>
      </c>
      <c r="B6515" s="501" t="s">
        <v>3237</v>
      </c>
      <c r="C6515" s="501" t="s">
        <v>1094</v>
      </c>
      <c r="D6515" s="501" t="s">
        <v>3380</v>
      </c>
      <c r="E6515" s="501" t="s">
        <v>3381</v>
      </c>
      <c r="F6515" s="501" t="s">
        <v>818</v>
      </c>
      <c r="G6515" s="501" t="s">
        <v>819</v>
      </c>
      <c r="H6515" s="501" t="s">
        <v>8609</v>
      </c>
      <c r="I6515" s="501">
        <v>33</v>
      </c>
      <c r="J6515" s="501">
        <v>5</v>
      </c>
      <c r="K6515" s="501">
        <v>0</v>
      </c>
      <c r="L6515" s="501">
        <v>5</v>
      </c>
      <c r="M6515" s="501">
        <v>0</v>
      </c>
      <c r="N6515" s="501">
        <v>0</v>
      </c>
      <c r="O6515" s="506">
        <v>23</v>
      </c>
    </row>
    <row r="6516" spans="1:15" x14ac:dyDescent="0.35">
      <c r="A6516" s="503" t="s">
        <v>1245</v>
      </c>
      <c r="B6516" s="504" t="s">
        <v>2859</v>
      </c>
      <c r="C6516" s="504" t="s">
        <v>1094</v>
      </c>
      <c r="D6516" s="504" t="s">
        <v>3380</v>
      </c>
      <c r="E6516" s="504" t="s">
        <v>3381</v>
      </c>
      <c r="F6516" s="504" t="s">
        <v>818</v>
      </c>
      <c r="G6516" s="504" t="s">
        <v>819</v>
      </c>
      <c r="H6516" s="504" t="s">
        <v>8610</v>
      </c>
      <c r="I6516" s="504">
        <v>9</v>
      </c>
      <c r="J6516" s="504">
        <v>0</v>
      </c>
      <c r="K6516" s="504">
        <v>0</v>
      </c>
      <c r="L6516" s="504">
        <v>0</v>
      </c>
      <c r="M6516" s="504">
        <v>9</v>
      </c>
      <c r="N6516" s="504">
        <v>0</v>
      </c>
      <c r="O6516" s="505">
        <v>0</v>
      </c>
    </row>
    <row r="6517" spans="1:15" x14ac:dyDescent="0.35">
      <c r="A6517" s="500" t="s">
        <v>1566</v>
      </c>
      <c r="B6517" s="501" t="s">
        <v>2503</v>
      </c>
      <c r="C6517" s="501" t="s">
        <v>1089</v>
      </c>
      <c r="D6517" s="501" t="s">
        <v>3392</v>
      </c>
      <c r="E6517" s="501" t="s">
        <v>3381</v>
      </c>
      <c r="F6517" s="501" t="s">
        <v>818</v>
      </c>
      <c r="G6517" s="501" t="s">
        <v>819</v>
      </c>
      <c r="H6517" s="501" t="s">
        <v>8611</v>
      </c>
      <c r="I6517" s="501">
        <v>33</v>
      </c>
      <c r="J6517" s="501">
        <v>0</v>
      </c>
      <c r="K6517" s="501">
        <v>0</v>
      </c>
      <c r="L6517" s="501">
        <v>0</v>
      </c>
      <c r="M6517" s="501">
        <v>33</v>
      </c>
      <c r="N6517" s="501">
        <v>0</v>
      </c>
      <c r="O6517" s="506">
        <v>0</v>
      </c>
    </row>
    <row r="6518" spans="1:15" x14ac:dyDescent="0.35">
      <c r="A6518" s="503" t="s">
        <v>1249</v>
      </c>
      <c r="B6518" s="504">
        <v>4729</v>
      </c>
      <c r="C6518" s="504" t="s">
        <v>1094</v>
      </c>
      <c r="D6518" s="504" t="s">
        <v>3380</v>
      </c>
      <c r="E6518" s="504" t="s">
        <v>3381</v>
      </c>
      <c r="F6518" s="504" t="s">
        <v>818</v>
      </c>
      <c r="G6518" s="504" t="s">
        <v>819</v>
      </c>
      <c r="H6518" s="504" t="s">
        <v>8612</v>
      </c>
      <c r="I6518" s="504">
        <v>174</v>
      </c>
      <c r="J6518" s="504">
        <v>146</v>
      </c>
      <c r="K6518" s="504">
        <v>0</v>
      </c>
      <c r="L6518" s="504">
        <v>0</v>
      </c>
      <c r="M6518" s="504">
        <v>28</v>
      </c>
      <c r="N6518" s="504">
        <v>0</v>
      </c>
      <c r="O6518" s="505">
        <v>0</v>
      </c>
    </row>
    <row r="6519" spans="1:15" x14ac:dyDescent="0.35">
      <c r="A6519" s="500" t="s">
        <v>1570</v>
      </c>
      <c r="B6519" s="501" t="s">
        <v>2490</v>
      </c>
      <c r="C6519" s="501" t="s">
        <v>1089</v>
      </c>
      <c r="D6519" s="501" t="s">
        <v>3392</v>
      </c>
      <c r="E6519" s="501" t="s">
        <v>3381</v>
      </c>
      <c r="F6519" s="501" t="s">
        <v>818</v>
      </c>
      <c r="G6519" s="501" t="s">
        <v>819</v>
      </c>
      <c r="H6519" s="501" t="s">
        <v>8613</v>
      </c>
      <c r="I6519" s="501">
        <v>12</v>
      </c>
      <c r="J6519" s="501">
        <v>0</v>
      </c>
      <c r="K6519" s="501">
        <v>0</v>
      </c>
      <c r="L6519" s="501">
        <v>0</v>
      </c>
      <c r="M6519" s="501">
        <v>12</v>
      </c>
      <c r="N6519" s="501">
        <v>0</v>
      </c>
      <c r="O6519" s="506">
        <v>0</v>
      </c>
    </row>
    <row r="6520" spans="1:15" x14ac:dyDescent="0.35">
      <c r="A6520" s="503" t="s">
        <v>1575</v>
      </c>
      <c r="B6520" s="504" t="s">
        <v>3349</v>
      </c>
      <c r="C6520" s="504" t="s">
        <v>1089</v>
      </c>
      <c r="D6520" s="504" t="s">
        <v>3392</v>
      </c>
      <c r="E6520" s="504" t="s">
        <v>3381</v>
      </c>
      <c r="F6520" s="504" t="s">
        <v>818</v>
      </c>
      <c r="G6520" s="504" t="s">
        <v>819</v>
      </c>
      <c r="H6520" s="504" t="s">
        <v>8614</v>
      </c>
      <c r="I6520" s="504">
        <v>37</v>
      </c>
      <c r="J6520" s="504">
        <v>21</v>
      </c>
      <c r="K6520" s="504">
        <v>0</v>
      </c>
      <c r="L6520" s="504">
        <v>16</v>
      </c>
      <c r="M6520" s="504">
        <v>0</v>
      </c>
      <c r="N6520" s="504">
        <v>0</v>
      </c>
      <c r="O6520" s="505">
        <v>0</v>
      </c>
    </row>
    <row r="6521" spans="1:15" x14ac:dyDescent="0.35">
      <c r="A6521" s="500" t="s">
        <v>1143</v>
      </c>
      <c r="B6521" s="501" t="s">
        <v>3281</v>
      </c>
      <c r="C6521" s="501" t="s">
        <v>1094</v>
      </c>
      <c r="D6521" s="501" t="s">
        <v>3380</v>
      </c>
      <c r="E6521" s="501" t="s">
        <v>3381</v>
      </c>
      <c r="F6521" s="501" t="s">
        <v>820</v>
      </c>
      <c r="G6521" s="501" t="s">
        <v>821</v>
      </c>
      <c r="H6521" s="501" t="s">
        <v>8615</v>
      </c>
      <c r="I6521" s="501">
        <v>7</v>
      </c>
      <c r="J6521" s="501">
        <v>0</v>
      </c>
      <c r="K6521" s="501">
        <v>0</v>
      </c>
      <c r="L6521" s="501">
        <v>0</v>
      </c>
      <c r="M6521" s="501">
        <v>0</v>
      </c>
      <c r="N6521" s="501">
        <v>0</v>
      </c>
      <c r="O6521" s="506">
        <v>7</v>
      </c>
    </row>
    <row r="6522" spans="1:15" x14ac:dyDescent="0.35">
      <c r="A6522" s="503" t="s">
        <v>1096</v>
      </c>
      <c r="B6522" s="504" t="s">
        <v>3326</v>
      </c>
      <c r="C6522" s="504" t="s">
        <v>1094</v>
      </c>
      <c r="D6522" s="504" t="s">
        <v>3380</v>
      </c>
      <c r="E6522" s="504" t="s">
        <v>3381</v>
      </c>
      <c r="F6522" s="504" t="s">
        <v>820</v>
      </c>
      <c r="G6522" s="504" t="s">
        <v>821</v>
      </c>
      <c r="H6522" s="504" t="s">
        <v>8616</v>
      </c>
      <c r="I6522" s="504">
        <v>21</v>
      </c>
      <c r="J6522" s="504">
        <v>0</v>
      </c>
      <c r="K6522" s="504">
        <v>0</v>
      </c>
      <c r="L6522" s="504">
        <v>0</v>
      </c>
      <c r="M6522" s="504">
        <v>21</v>
      </c>
      <c r="N6522" s="504">
        <v>0</v>
      </c>
      <c r="O6522" s="505">
        <v>0</v>
      </c>
    </row>
    <row r="6523" spans="1:15" x14ac:dyDescent="0.35">
      <c r="A6523" s="500" t="s">
        <v>1621</v>
      </c>
      <c r="B6523" s="501" t="s">
        <v>3319</v>
      </c>
      <c r="C6523" s="501" t="s">
        <v>1094</v>
      </c>
      <c r="D6523" s="501" t="s">
        <v>3380</v>
      </c>
      <c r="E6523" s="501" t="s">
        <v>3381</v>
      </c>
      <c r="F6523" s="501" t="s">
        <v>820</v>
      </c>
      <c r="G6523" s="501" t="s">
        <v>821</v>
      </c>
      <c r="H6523" s="501" t="s">
        <v>8617</v>
      </c>
      <c r="I6523" s="501">
        <v>443</v>
      </c>
      <c r="J6523" s="501">
        <v>352</v>
      </c>
      <c r="K6523" s="501">
        <v>0</v>
      </c>
      <c r="L6523" s="501">
        <v>59</v>
      </c>
      <c r="M6523" s="501">
        <v>0</v>
      </c>
      <c r="N6523" s="501">
        <v>1</v>
      </c>
      <c r="O6523" s="506">
        <v>32</v>
      </c>
    </row>
    <row r="6524" spans="1:15" x14ac:dyDescent="0.35">
      <c r="A6524" s="503" t="s">
        <v>1172</v>
      </c>
      <c r="B6524" s="504">
        <v>4648</v>
      </c>
      <c r="C6524" s="504" t="s">
        <v>1089</v>
      </c>
      <c r="D6524" s="504" t="s">
        <v>3392</v>
      </c>
      <c r="E6524" s="504" t="s">
        <v>3381</v>
      </c>
      <c r="F6524" s="504" t="s">
        <v>820</v>
      </c>
      <c r="G6524" s="504" t="s">
        <v>821</v>
      </c>
      <c r="H6524" s="504" t="s">
        <v>8618</v>
      </c>
      <c r="I6524" s="504">
        <v>10</v>
      </c>
      <c r="J6524" s="504">
        <v>0</v>
      </c>
      <c r="K6524" s="504">
        <v>0</v>
      </c>
      <c r="L6524" s="504">
        <v>10</v>
      </c>
      <c r="M6524" s="504">
        <v>0</v>
      </c>
      <c r="N6524" s="504">
        <v>0</v>
      </c>
      <c r="O6524" s="505">
        <v>0</v>
      </c>
    </row>
    <row r="6525" spans="1:15" x14ac:dyDescent="0.35">
      <c r="A6525" s="500" t="s">
        <v>1105</v>
      </c>
      <c r="B6525" s="501">
        <v>4668</v>
      </c>
      <c r="C6525" s="501" t="s">
        <v>1094</v>
      </c>
      <c r="D6525" s="501" t="s">
        <v>3380</v>
      </c>
      <c r="E6525" s="501" t="s">
        <v>3381</v>
      </c>
      <c r="F6525" s="501" t="s">
        <v>820</v>
      </c>
      <c r="G6525" s="501" t="s">
        <v>821</v>
      </c>
      <c r="H6525" s="501" t="s">
        <v>8619</v>
      </c>
      <c r="I6525" s="501">
        <v>5</v>
      </c>
      <c r="J6525" s="501">
        <v>0</v>
      </c>
      <c r="K6525" s="501">
        <v>0</v>
      </c>
      <c r="L6525" s="501">
        <v>0</v>
      </c>
      <c r="M6525" s="501">
        <v>0</v>
      </c>
      <c r="N6525" s="501">
        <v>0</v>
      </c>
      <c r="O6525" s="506">
        <v>5</v>
      </c>
    </row>
    <row r="6526" spans="1:15" x14ac:dyDescent="0.35">
      <c r="A6526" s="503" t="s">
        <v>1107</v>
      </c>
      <c r="B6526" s="504" t="s">
        <v>3109</v>
      </c>
      <c r="C6526" s="504" t="s">
        <v>1094</v>
      </c>
      <c r="D6526" s="504" t="s">
        <v>3380</v>
      </c>
      <c r="E6526" s="504" t="s">
        <v>3381</v>
      </c>
      <c r="F6526" s="504" t="s">
        <v>820</v>
      </c>
      <c r="G6526" s="504" t="s">
        <v>821</v>
      </c>
      <c r="H6526" s="504" t="s">
        <v>8620</v>
      </c>
      <c r="I6526" s="504">
        <v>119</v>
      </c>
      <c r="J6526" s="504">
        <v>116</v>
      </c>
      <c r="K6526" s="504">
        <v>0</v>
      </c>
      <c r="L6526" s="504">
        <v>0</v>
      </c>
      <c r="M6526" s="504">
        <v>0</v>
      </c>
      <c r="N6526" s="504">
        <v>0</v>
      </c>
      <c r="O6526" s="505">
        <v>3</v>
      </c>
    </row>
    <row r="6527" spans="1:15" x14ac:dyDescent="0.35">
      <c r="A6527" s="500" t="s">
        <v>1109</v>
      </c>
      <c r="B6527" s="501" t="s">
        <v>2959</v>
      </c>
      <c r="C6527" s="501" t="s">
        <v>1094</v>
      </c>
      <c r="D6527" s="501" t="s">
        <v>3380</v>
      </c>
      <c r="E6527" s="501" t="s">
        <v>3381</v>
      </c>
      <c r="F6527" s="501" t="s">
        <v>820</v>
      </c>
      <c r="G6527" s="501" t="s">
        <v>821</v>
      </c>
      <c r="H6527" s="501" t="s">
        <v>8621</v>
      </c>
      <c r="I6527" s="501">
        <v>81</v>
      </c>
      <c r="J6527" s="501">
        <v>0</v>
      </c>
      <c r="K6527" s="501">
        <v>0</v>
      </c>
      <c r="L6527" s="501">
        <v>1</v>
      </c>
      <c r="M6527" s="501">
        <v>75</v>
      </c>
      <c r="N6527" s="501">
        <v>0</v>
      </c>
      <c r="O6527" s="506">
        <v>5</v>
      </c>
    </row>
    <row r="6528" spans="1:15" x14ac:dyDescent="0.35">
      <c r="A6528" s="503" t="s">
        <v>1645</v>
      </c>
      <c r="B6528" s="504" t="s">
        <v>3239</v>
      </c>
      <c r="C6528" s="504" t="s">
        <v>1094</v>
      </c>
      <c r="D6528" s="504" t="s">
        <v>3380</v>
      </c>
      <c r="E6528" s="504" t="s">
        <v>3381</v>
      </c>
      <c r="F6528" s="504" t="s">
        <v>820</v>
      </c>
      <c r="G6528" s="504" t="s">
        <v>821</v>
      </c>
      <c r="H6528" s="504" t="s">
        <v>8622</v>
      </c>
      <c r="I6528" s="504">
        <v>16</v>
      </c>
      <c r="J6528" s="504">
        <v>12</v>
      </c>
      <c r="K6528" s="504">
        <v>0</v>
      </c>
      <c r="L6528" s="504">
        <v>4</v>
      </c>
      <c r="M6528" s="504">
        <v>0</v>
      </c>
      <c r="N6528" s="504">
        <v>0</v>
      </c>
      <c r="O6528" s="505">
        <v>0</v>
      </c>
    </row>
    <row r="6529" spans="1:15" x14ac:dyDescent="0.35">
      <c r="A6529" s="500" t="s">
        <v>1122</v>
      </c>
      <c r="B6529" s="501" t="s">
        <v>2994</v>
      </c>
      <c r="C6529" s="501" t="s">
        <v>1094</v>
      </c>
      <c r="D6529" s="501" t="s">
        <v>3380</v>
      </c>
      <c r="E6529" s="501" t="s">
        <v>3381</v>
      </c>
      <c r="F6529" s="501" t="s">
        <v>820</v>
      </c>
      <c r="G6529" s="501" t="s">
        <v>821</v>
      </c>
      <c r="H6529" s="501" t="s">
        <v>8623</v>
      </c>
      <c r="I6529" s="501">
        <v>56</v>
      </c>
      <c r="J6529" s="501">
        <v>55</v>
      </c>
      <c r="K6529" s="501">
        <v>0</v>
      </c>
      <c r="L6529" s="501">
        <v>0</v>
      </c>
      <c r="M6529" s="501">
        <v>0</v>
      </c>
      <c r="N6529" s="501">
        <v>0</v>
      </c>
      <c r="O6529" s="506">
        <v>1</v>
      </c>
    </row>
    <row r="6530" spans="1:15" x14ac:dyDescent="0.35">
      <c r="A6530" s="503" t="s">
        <v>1126</v>
      </c>
      <c r="B6530" s="504" t="s">
        <v>2974</v>
      </c>
      <c r="C6530" s="504" t="s">
        <v>1094</v>
      </c>
      <c r="D6530" s="504" t="s">
        <v>3380</v>
      </c>
      <c r="E6530" s="504" t="s">
        <v>3381</v>
      </c>
      <c r="F6530" s="504" t="s">
        <v>820</v>
      </c>
      <c r="G6530" s="504" t="s">
        <v>821</v>
      </c>
      <c r="H6530" s="504" t="s">
        <v>8624</v>
      </c>
      <c r="I6530" s="504">
        <v>60</v>
      </c>
      <c r="J6530" s="504">
        <v>48</v>
      </c>
      <c r="K6530" s="504">
        <v>0</v>
      </c>
      <c r="L6530" s="504">
        <v>0</v>
      </c>
      <c r="M6530" s="504">
        <v>0</v>
      </c>
      <c r="N6530" s="504">
        <v>0</v>
      </c>
      <c r="O6530" s="505">
        <v>12</v>
      </c>
    </row>
    <row r="6531" spans="1:15" x14ac:dyDescent="0.35">
      <c r="A6531" s="500" t="s">
        <v>1253</v>
      </c>
      <c r="B6531" s="501" t="s">
        <v>3232</v>
      </c>
      <c r="C6531" s="501" t="s">
        <v>1094</v>
      </c>
      <c r="D6531" s="501" t="s">
        <v>3380</v>
      </c>
      <c r="E6531" s="501" t="s">
        <v>3381</v>
      </c>
      <c r="F6531" s="501" t="s">
        <v>820</v>
      </c>
      <c r="G6531" s="501" t="s">
        <v>821</v>
      </c>
      <c r="H6531" s="501" t="s">
        <v>8625</v>
      </c>
      <c r="I6531" s="501">
        <v>56</v>
      </c>
      <c r="J6531" s="501">
        <v>12</v>
      </c>
      <c r="K6531" s="501">
        <v>0</v>
      </c>
      <c r="L6531" s="501">
        <v>44</v>
      </c>
      <c r="M6531" s="501">
        <v>0</v>
      </c>
      <c r="N6531" s="501">
        <v>0</v>
      </c>
      <c r="O6531" s="506">
        <v>0</v>
      </c>
    </row>
    <row r="6532" spans="1:15" x14ac:dyDescent="0.35">
      <c r="A6532" s="503" t="s">
        <v>1368</v>
      </c>
      <c r="B6532" s="504" t="s">
        <v>3220</v>
      </c>
      <c r="C6532" s="504" t="s">
        <v>1094</v>
      </c>
      <c r="D6532" s="504" t="s">
        <v>3380</v>
      </c>
      <c r="E6532" s="504" t="s">
        <v>3381</v>
      </c>
      <c r="F6532" s="504" t="s">
        <v>820</v>
      </c>
      <c r="G6532" s="504" t="s">
        <v>821</v>
      </c>
      <c r="H6532" s="504" t="s">
        <v>8626</v>
      </c>
      <c r="I6532" s="504">
        <v>52</v>
      </c>
      <c r="J6532" s="504">
        <v>52</v>
      </c>
      <c r="K6532" s="504">
        <v>0</v>
      </c>
      <c r="L6532" s="504">
        <v>0</v>
      </c>
      <c r="M6532" s="504">
        <v>0</v>
      </c>
      <c r="N6532" s="504">
        <v>0</v>
      </c>
      <c r="O6532" s="505">
        <v>0</v>
      </c>
    </row>
    <row r="6533" spans="1:15" x14ac:dyDescent="0.35">
      <c r="A6533" s="500" t="s">
        <v>1257</v>
      </c>
      <c r="B6533" s="501" t="s">
        <v>3151</v>
      </c>
      <c r="C6533" s="501" t="s">
        <v>1094</v>
      </c>
      <c r="D6533" s="501" t="s">
        <v>3380</v>
      </c>
      <c r="E6533" s="501" t="s">
        <v>3381</v>
      </c>
      <c r="F6533" s="501" t="s">
        <v>820</v>
      </c>
      <c r="G6533" s="501" t="s">
        <v>821</v>
      </c>
      <c r="H6533" s="501" t="s">
        <v>8627</v>
      </c>
      <c r="I6533" s="501">
        <v>81</v>
      </c>
      <c r="J6533" s="501">
        <v>81</v>
      </c>
      <c r="K6533" s="501">
        <v>0</v>
      </c>
      <c r="L6533" s="501">
        <v>0</v>
      </c>
      <c r="M6533" s="501">
        <v>0</v>
      </c>
      <c r="N6533" s="501">
        <v>0</v>
      </c>
      <c r="O6533" s="506">
        <v>0</v>
      </c>
    </row>
    <row r="6534" spans="1:15" x14ac:dyDescent="0.35">
      <c r="A6534" s="503" t="s">
        <v>1193</v>
      </c>
      <c r="B6534" s="504" t="s">
        <v>3039</v>
      </c>
      <c r="C6534" s="504" t="s">
        <v>1094</v>
      </c>
      <c r="D6534" s="504" t="s">
        <v>3380</v>
      </c>
      <c r="E6534" s="504" t="s">
        <v>3381</v>
      </c>
      <c r="F6534" s="504" t="s">
        <v>822</v>
      </c>
      <c r="G6534" s="504" t="s">
        <v>823</v>
      </c>
      <c r="H6534" s="504" t="s">
        <v>8641</v>
      </c>
      <c r="I6534" s="504">
        <v>46</v>
      </c>
      <c r="J6534" s="504">
        <v>0</v>
      </c>
      <c r="K6534" s="504">
        <v>0</v>
      </c>
      <c r="L6534" s="504">
        <v>0</v>
      </c>
      <c r="M6534" s="504">
        <v>46</v>
      </c>
      <c r="N6534" s="504">
        <v>0</v>
      </c>
      <c r="O6534" s="505">
        <v>0</v>
      </c>
    </row>
    <row r="6535" spans="1:15" x14ac:dyDescent="0.35">
      <c r="A6535" s="500" t="s">
        <v>1143</v>
      </c>
      <c r="B6535" s="501" t="s">
        <v>3281</v>
      </c>
      <c r="C6535" s="501" t="s">
        <v>1094</v>
      </c>
      <c r="D6535" s="501" t="s">
        <v>3380</v>
      </c>
      <c r="E6535" s="501" t="s">
        <v>3381</v>
      </c>
      <c r="F6535" s="501" t="s">
        <v>822</v>
      </c>
      <c r="G6535" s="501" t="s">
        <v>823</v>
      </c>
      <c r="H6535" s="501" t="s">
        <v>8628</v>
      </c>
      <c r="I6535" s="501">
        <v>55</v>
      </c>
      <c r="J6535" s="501">
        <v>55</v>
      </c>
      <c r="K6535" s="501">
        <v>0</v>
      </c>
      <c r="L6535" s="501">
        <v>0</v>
      </c>
      <c r="M6535" s="501">
        <v>0</v>
      </c>
      <c r="N6535" s="501">
        <v>0</v>
      </c>
      <c r="O6535" s="506">
        <v>0</v>
      </c>
    </row>
    <row r="6536" spans="1:15" x14ac:dyDescent="0.35">
      <c r="A6536" s="503" t="s">
        <v>1096</v>
      </c>
      <c r="B6536" s="504" t="s">
        <v>3326</v>
      </c>
      <c r="C6536" s="504" t="s">
        <v>1094</v>
      </c>
      <c r="D6536" s="504" t="s">
        <v>3380</v>
      </c>
      <c r="E6536" s="504" t="s">
        <v>3381</v>
      </c>
      <c r="F6536" s="504" t="s">
        <v>822</v>
      </c>
      <c r="G6536" s="504" t="s">
        <v>823</v>
      </c>
      <c r="H6536" s="504" t="s">
        <v>8629</v>
      </c>
      <c r="I6536" s="504">
        <v>224</v>
      </c>
      <c r="J6536" s="504">
        <v>0</v>
      </c>
      <c r="K6536" s="504">
        <v>0</v>
      </c>
      <c r="L6536" s="504">
        <v>0</v>
      </c>
      <c r="M6536" s="504">
        <v>224</v>
      </c>
      <c r="N6536" s="504">
        <v>0</v>
      </c>
      <c r="O6536" s="505">
        <v>0</v>
      </c>
    </row>
    <row r="6537" spans="1:15" x14ac:dyDescent="0.35">
      <c r="A6537" s="500" t="s">
        <v>1150</v>
      </c>
      <c r="B6537" s="501" t="s">
        <v>2975</v>
      </c>
      <c r="C6537" s="501" t="s">
        <v>1094</v>
      </c>
      <c r="D6537" s="501" t="s">
        <v>3380</v>
      </c>
      <c r="E6537" s="501" t="s">
        <v>3381</v>
      </c>
      <c r="F6537" s="501" t="s">
        <v>822</v>
      </c>
      <c r="G6537" s="501" t="s">
        <v>823</v>
      </c>
      <c r="H6537" s="501" t="s">
        <v>8630</v>
      </c>
      <c r="I6537" s="501">
        <v>181</v>
      </c>
      <c r="J6537" s="501">
        <v>181</v>
      </c>
      <c r="K6537" s="501">
        <v>0</v>
      </c>
      <c r="L6537" s="501">
        <v>0</v>
      </c>
      <c r="M6537" s="501">
        <v>0</v>
      </c>
      <c r="N6537" s="501">
        <v>0</v>
      </c>
      <c r="O6537" s="506">
        <v>0</v>
      </c>
    </row>
    <row r="6538" spans="1:15" x14ac:dyDescent="0.35">
      <c r="A6538" s="503" t="s">
        <v>1677</v>
      </c>
      <c r="B6538" s="504">
        <v>4719</v>
      </c>
      <c r="C6538" s="504" t="s">
        <v>1089</v>
      </c>
      <c r="D6538" s="504" t="s">
        <v>3392</v>
      </c>
      <c r="E6538" s="504" t="s">
        <v>3381</v>
      </c>
      <c r="F6538" s="504" t="s">
        <v>822</v>
      </c>
      <c r="G6538" s="504" t="s">
        <v>823</v>
      </c>
      <c r="H6538" s="504" t="s">
        <v>8631</v>
      </c>
      <c r="I6538" s="504">
        <v>43</v>
      </c>
      <c r="J6538" s="504">
        <v>0</v>
      </c>
      <c r="K6538" s="504">
        <v>0</v>
      </c>
      <c r="L6538" s="504">
        <v>43</v>
      </c>
      <c r="M6538" s="504">
        <v>0</v>
      </c>
      <c r="N6538" s="504">
        <v>0</v>
      </c>
      <c r="O6538" s="505">
        <v>0</v>
      </c>
    </row>
    <row r="6539" spans="1:15" x14ac:dyDescent="0.35">
      <c r="A6539" s="500" t="s">
        <v>1160</v>
      </c>
      <c r="B6539" s="501">
        <v>4672</v>
      </c>
      <c r="C6539" s="501" t="s">
        <v>1089</v>
      </c>
      <c r="D6539" s="501" t="s">
        <v>3392</v>
      </c>
      <c r="E6539" s="501" t="s">
        <v>3381</v>
      </c>
      <c r="F6539" s="501" t="s">
        <v>822</v>
      </c>
      <c r="G6539" s="501" t="s">
        <v>823</v>
      </c>
      <c r="H6539" s="501" t="s">
        <v>8632</v>
      </c>
      <c r="I6539" s="501">
        <v>3</v>
      </c>
      <c r="J6539" s="501">
        <v>0</v>
      </c>
      <c r="K6539" s="501">
        <v>0</v>
      </c>
      <c r="L6539" s="501">
        <v>3</v>
      </c>
      <c r="M6539" s="501">
        <v>0</v>
      </c>
      <c r="N6539" s="501">
        <v>0</v>
      </c>
      <c r="O6539" s="506">
        <v>0</v>
      </c>
    </row>
    <row r="6540" spans="1:15" x14ac:dyDescent="0.35">
      <c r="A6540" s="503" t="s">
        <v>11385</v>
      </c>
      <c r="B6540" s="504">
        <v>4787</v>
      </c>
      <c r="C6540" s="504" t="s">
        <v>1089</v>
      </c>
      <c r="D6540" s="504" t="s">
        <v>3392</v>
      </c>
      <c r="E6540" s="504" t="s">
        <v>3381</v>
      </c>
      <c r="F6540" s="504" t="s">
        <v>822</v>
      </c>
      <c r="G6540" s="504" t="s">
        <v>823</v>
      </c>
      <c r="H6540" s="504" t="s">
        <v>11677</v>
      </c>
      <c r="I6540" s="504">
        <v>43</v>
      </c>
      <c r="J6540" s="504">
        <v>0</v>
      </c>
      <c r="K6540" s="504">
        <v>0</v>
      </c>
      <c r="L6540" s="504">
        <v>43</v>
      </c>
      <c r="M6540" s="504">
        <v>0</v>
      </c>
      <c r="N6540" s="504">
        <v>0</v>
      </c>
      <c r="O6540" s="505">
        <v>0</v>
      </c>
    </row>
    <row r="6541" spans="1:15" x14ac:dyDescent="0.35">
      <c r="A6541" s="500" t="s">
        <v>1627</v>
      </c>
      <c r="B6541" s="501">
        <v>4771</v>
      </c>
      <c r="C6541" s="501" t="s">
        <v>1089</v>
      </c>
      <c r="D6541" s="501" t="s">
        <v>3392</v>
      </c>
      <c r="E6541" s="501" t="s">
        <v>3381</v>
      </c>
      <c r="F6541" s="501" t="s">
        <v>822</v>
      </c>
      <c r="G6541" s="501" t="s">
        <v>823</v>
      </c>
      <c r="H6541" s="501" t="s">
        <v>8633</v>
      </c>
      <c r="I6541" s="501">
        <v>4</v>
      </c>
      <c r="J6541" s="501">
        <v>0</v>
      </c>
      <c r="K6541" s="501">
        <v>0</v>
      </c>
      <c r="L6541" s="501">
        <v>4</v>
      </c>
      <c r="M6541" s="501">
        <v>0</v>
      </c>
      <c r="N6541" s="501">
        <v>0</v>
      </c>
      <c r="O6541" s="506">
        <v>0</v>
      </c>
    </row>
    <row r="6542" spans="1:15" x14ac:dyDescent="0.35">
      <c r="A6542" s="503" t="s">
        <v>1703</v>
      </c>
      <c r="B6542" s="504">
        <v>4582</v>
      </c>
      <c r="C6542" s="504" t="s">
        <v>1094</v>
      </c>
      <c r="D6542" s="504" t="s">
        <v>3380</v>
      </c>
      <c r="E6542" s="504" t="s">
        <v>3381</v>
      </c>
      <c r="F6542" s="504" t="s">
        <v>822</v>
      </c>
      <c r="G6542" s="504" t="s">
        <v>823</v>
      </c>
      <c r="H6542" s="504" t="s">
        <v>8634</v>
      </c>
      <c r="I6542" s="504">
        <v>77</v>
      </c>
      <c r="J6542" s="504">
        <v>74</v>
      </c>
      <c r="K6542" s="504">
        <v>0</v>
      </c>
      <c r="L6542" s="504">
        <v>0</v>
      </c>
      <c r="M6542" s="504">
        <v>0</v>
      </c>
      <c r="N6542" s="504">
        <v>0</v>
      </c>
      <c r="O6542" s="505">
        <v>3</v>
      </c>
    </row>
    <row r="6543" spans="1:15" x14ac:dyDescent="0.35">
      <c r="A6543" s="500" t="s">
        <v>14208</v>
      </c>
      <c r="B6543" s="501">
        <v>4803</v>
      </c>
      <c r="C6543" s="501" t="s">
        <v>1094</v>
      </c>
      <c r="D6543" s="501" t="s">
        <v>3380</v>
      </c>
      <c r="E6543" s="501" t="s">
        <v>3381</v>
      </c>
      <c r="F6543" s="501" t="s">
        <v>822</v>
      </c>
      <c r="G6543" s="501" t="s">
        <v>823</v>
      </c>
      <c r="H6543" s="501" t="s">
        <v>14994</v>
      </c>
      <c r="I6543" s="501">
        <v>11</v>
      </c>
      <c r="J6543" s="501">
        <v>0</v>
      </c>
      <c r="K6543" s="501">
        <v>0</v>
      </c>
      <c r="L6543" s="501">
        <v>11</v>
      </c>
      <c r="M6543" s="501">
        <v>0</v>
      </c>
      <c r="N6543" s="501">
        <v>0</v>
      </c>
      <c r="O6543" s="506">
        <v>0</v>
      </c>
    </row>
    <row r="6544" spans="1:15" x14ac:dyDescent="0.35">
      <c r="A6544" s="503" t="s">
        <v>1183</v>
      </c>
      <c r="B6544" s="504" t="s">
        <v>3038</v>
      </c>
      <c r="C6544" s="504" t="s">
        <v>1094</v>
      </c>
      <c r="D6544" s="504" t="s">
        <v>3380</v>
      </c>
      <c r="E6544" s="504" t="s">
        <v>3381</v>
      </c>
      <c r="F6544" s="504" t="s">
        <v>822</v>
      </c>
      <c r="G6544" s="504" t="s">
        <v>823</v>
      </c>
      <c r="H6544" s="504" t="s">
        <v>8635</v>
      </c>
      <c r="I6544" s="504">
        <v>690</v>
      </c>
      <c r="J6544" s="504">
        <v>655</v>
      </c>
      <c r="K6544" s="504">
        <v>0</v>
      </c>
      <c r="L6544" s="504">
        <v>3</v>
      </c>
      <c r="M6544" s="504">
        <v>0</v>
      </c>
      <c r="N6544" s="504">
        <v>0</v>
      </c>
      <c r="O6544" s="505">
        <v>32</v>
      </c>
    </row>
    <row r="6545" spans="1:15" x14ac:dyDescent="0.35">
      <c r="A6545" s="500" t="s">
        <v>1186</v>
      </c>
      <c r="B6545" s="501">
        <v>4661</v>
      </c>
      <c r="C6545" s="501" t="s">
        <v>1089</v>
      </c>
      <c r="D6545" s="501" t="s">
        <v>3392</v>
      </c>
      <c r="E6545" s="501" t="s">
        <v>3381</v>
      </c>
      <c r="F6545" s="501" t="s">
        <v>822</v>
      </c>
      <c r="G6545" s="501" t="s">
        <v>823</v>
      </c>
      <c r="H6545" s="501" t="s">
        <v>8636</v>
      </c>
      <c r="I6545" s="501">
        <v>21</v>
      </c>
      <c r="J6545" s="501">
        <v>0</v>
      </c>
      <c r="K6545" s="501">
        <v>0</v>
      </c>
      <c r="L6545" s="501">
        <v>21</v>
      </c>
      <c r="M6545" s="501">
        <v>0</v>
      </c>
      <c r="N6545" s="501">
        <v>0</v>
      </c>
      <c r="O6545" s="506">
        <v>0</v>
      </c>
    </row>
    <row r="6546" spans="1:15" x14ac:dyDescent="0.35">
      <c r="A6546" s="503" t="s">
        <v>1105</v>
      </c>
      <c r="B6546" s="504">
        <v>4668</v>
      </c>
      <c r="C6546" s="504" t="s">
        <v>1094</v>
      </c>
      <c r="D6546" s="504" t="s">
        <v>3380</v>
      </c>
      <c r="E6546" s="504" t="s">
        <v>3381</v>
      </c>
      <c r="F6546" s="504" t="s">
        <v>822</v>
      </c>
      <c r="G6546" s="504" t="s">
        <v>823</v>
      </c>
      <c r="H6546" s="504" t="s">
        <v>8637</v>
      </c>
      <c r="I6546" s="504">
        <v>19</v>
      </c>
      <c r="J6546" s="504">
        <v>0</v>
      </c>
      <c r="K6546" s="504">
        <v>0</v>
      </c>
      <c r="L6546" s="504">
        <v>0</v>
      </c>
      <c r="M6546" s="504">
        <v>0</v>
      </c>
      <c r="N6546" s="504">
        <v>0</v>
      </c>
      <c r="O6546" s="505">
        <v>19</v>
      </c>
    </row>
    <row r="6547" spans="1:15" x14ac:dyDescent="0.35">
      <c r="A6547" s="500" t="s">
        <v>1109</v>
      </c>
      <c r="B6547" s="501" t="s">
        <v>2959</v>
      </c>
      <c r="C6547" s="501" t="s">
        <v>1094</v>
      </c>
      <c r="D6547" s="501" t="s">
        <v>3380</v>
      </c>
      <c r="E6547" s="501" t="s">
        <v>3381</v>
      </c>
      <c r="F6547" s="501" t="s">
        <v>822</v>
      </c>
      <c r="G6547" s="501" t="s">
        <v>823</v>
      </c>
      <c r="H6547" s="501" t="s">
        <v>8638</v>
      </c>
      <c r="I6547" s="501">
        <v>94</v>
      </c>
      <c r="J6547" s="501">
        <v>0</v>
      </c>
      <c r="K6547" s="501">
        <v>0</v>
      </c>
      <c r="L6547" s="501">
        <v>0</v>
      </c>
      <c r="M6547" s="501">
        <v>94</v>
      </c>
      <c r="N6547" s="501">
        <v>0</v>
      </c>
      <c r="O6547" s="506">
        <v>0</v>
      </c>
    </row>
    <row r="6548" spans="1:15" x14ac:dyDescent="0.35">
      <c r="A6548" s="503" t="s">
        <v>1190</v>
      </c>
      <c r="B6548" s="504">
        <v>4662</v>
      </c>
      <c r="C6548" s="504" t="s">
        <v>1094</v>
      </c>
      <c r="D6548" s="504" t="s">
        <v>3380</v>
      </c>
      <c r="E6548" s="504" t="s">
        <v>3381</v>
      </c>
      <c r="F6548" s="504" t="s">
        <v>822</v>
      </c>
      <c r="G6548" s="504" t="s">
        <v>823</v>
      </c>
      <c r="H6548" s="504" t="s">
        <v>8639</v>
      </c>
      <c r="I6548" s="504">
        <v>19</v>
      </c>
      <c r="J6548" s="504">
        <v>0</v>
      </c>
      <c r="K6548" s="504">
        <v>0</v>
      </c>
      <c r="L6548" s="504">
        <v>19</v>
      </c>
      <c r="M6548" s="504">
        <v>0</v>
      </c>
      <c r="N6548" s="504">
        <v>0</v>
      </c>
      <c r="O6548" s="505">
        <v>0</v>
      </c>
    </row>
    <row r="6549" spans="1:15" x14ac:dyDescent="0.35">
      <c r="A6549" s="500" t="s">
        <v>1717</v>
      </c>
      <c r="B6549" s="501">
        <v>4737</v>
      </c>
      <c r="C6549" s="501" t="s">
        <v>1089</v>
      </c>
      <c r="D6549" s="501" t="s">
        <v>3392</v>
      </c>
      <c r="E6549" s="501" t="s">
        <v>3381</v>
      </c>
      <c r="F6549" s="501" t="s">
        <v>822</v>
      </c>
      <c r="G6549" s="501" t="s">
        <v>823</v>
      </c>
      <c r="H6549" s="501" t="s">
        <v>8640</v>
      </c>
      <c r="I6549" s="501">
        <v>155</v>
      </c>
      <c r="J6549" s="501">
        <v>155</v>
      </c>
      <c r="K6549" s="501">
        <v>0</v>
      </c>
      <c r="L6549" s="501">
        <v>0</v>
      </c>
      <c r="M6549" s="501">
        <v>0</v>
      </c>
      <c r="N6549" s="501">
        <v>0</v>
      </c>
      <c r="O6549" s="506">
        <v>0</v>
      </c>
    </row>
    <row r="6550" spans="1:15" x14ac:dyDescent="0.35">
      <c r="A6550" s="503" t="s">
        <v>11401</v>
      </c>
      <c r="B6550" s="504" t="s">
        <v>3241</v>
      </c>
      <c r="C6550" s="504" t="s">
        <v>1094</v>
      </c>
      <c r="D6550" s="504" t="s">
        <v>3380</v>
      </c>
      <c r="E6550" s="504" t="s">
        <v>3381</v>
      </c>
      <c r="F6550" s="504" t="s">
        <v>822</v>
      </c>
      <c r="G6550" s="504" t="s">
        <v>823</v>
      </c>
      <c r="H6550" s="504" t="s">
        <v>11785</v>
      </c>
      <c r="I6550" s="504">
        <v>2</v>
      </c>
      <c r="J6550" s="504">
        <v>0</v>
      </c>
      <c r="K6550" s="504">
        <v>0</v>
      </c>
      <c r="L6550" s="504">
        <v>2</v>
      </c>
      <c r="M6550" s="504">
        <v>0</v>
      </c>
      <c r="N6550" s="504">
        <v>0</v>
      </c>
      <c r="O6550" s="505">
        <v>0</v>
      </c>
    </row>
    <row r="6551" spans="1:15" x14ac:dyDescent="0.35">
      <c r="A6551" s="500" t="s">
        <v>1195</v>
      </c>
      <c r="B6551" s="501">
        <v>4693</v>
      </c>
      <c r="C6551" s="501" t="s">
        <v>1089</v>
      </c>
      <c r="D6551" s="501" t="s">
        <v>3392</v>
      </c>
      <c r="E6551" s="501" t="s">
        <v>3381</v>
      </c>
      <c r="F6551" s="501" t="s">
        <v>822</v>
      </c>
      <c r="G6551" s="501" t="s">
        <v>823</v>
      </c>
      <c r="H6551" s="501" t="s">
        <v>8642</v>
      </c>
      <c r="I6551" s="501">
        <v>46</v>
      </c>
      <c r="J6551" s="501">
        <v>0</v>
      </c>
      <c r="K6551" s="501">
        <v>0</v>
      </c>
      <c r="L6551" s="501">
        <v>46</v>
      </c>
      <c r="M6551" s="501">
        <v>0</v>
      </c>
      <c r="N6551" s="501">
        <v>0</v>
      </c>
      <c r="O6551" s="506">
        <v>0</v>
      </c>
    </row>
    <row r="6552" spans="1:15" x14ac:dyDescent="0.35">
      <c r="A6552" s="503" t="s">
        <v>1739</v>
      </c>
      <c r="B6552" s="504">
        <v>4857</v>
      </c>
      <c r="C6552" s="504" t="s">
        <v>1094</v>
      </c>
      <c r="D6552" s="504" t="s">
        <v>3380</v>
      </c>
      <c r="E6552" s="504" t="s">
        <v>3381</v>
      </c>
      <c r="F6552" s="504" t="s">
        <v>822</v>
      </c>
      <c r="G6552" s="504" t="s">
        <v>823</v>
      </c>
      <c r="H6552" s="504" t="s">
        <v>8643</v>
      </c>
      <c r="I6552" s="504">
        <v>786</v>
      </c>
      <c r="J6552" s="504">
        <v>532</v>
      </c>
      <c r="K6552" s="504">
        <v>0</v>
      </c>
      <c r="L6552" s="504">
        <v>128</v>
      </c>
      <c r="M6552" s="504">
        <v>119</v>
      </c>
      <c r="N6552" s="504">
        <v>0</v>
      </c>
      <c r="O6552" s="505">
        <v>7</v>
      </c>
    </row>
    <row r="6553" spans="1:15" x14ac:dyDescent="0.35">
      <c r="A6553" s="500" t="s">
        <v>1209</v>
      </c>
      <c r="B6553" s="501">
        <v>4779</v>
      </c>
      <c r="C6553" s="501" t="s">
        <v>1094</v>
      </c>
      <c r="D6553" s="501" t="s">
        <v>3380</v>
      </c>
      <c r="E6553" s="501" t="s">
        <v>3381</v>
      </c>
      <c r="F6553" s="501" t="s">
        <v>822</v>
      </c>
      <c r="G6553" s="501" t="s">
        <v>823</v>
      </c>
      <c r="H6553" s="501" t="s">
        <v>8644</v>
      </c>
      <c r="I6553" s="501">
        <v>24</v>
      </c>
      <c r="J6553" s="501">
        <v>0</v>
      </c>
      <c r="K6553" s="501">
        <v>0</v>
      </c>
      <c r="L6553" s="501">
        <v>24</v>
      </c>
      <c r="M6553" s="501">
        <v>0</v>
      </c>
      <c r="N6553" s="501">
        <v>0</v>
      </c>
      <c r="O6553" s="506">
        <v>0</v>
      </c>
    </row>
    <row r="6554" spans="1:15" x14ac:dyDescent="0.35">
      <c r="A6554" s="503" t="s">
        <v>1744</v>
      </c>
      <c r="B6554" s="504" t="s">
        <v>3245</v>
      </c>
      <c r="C6554" s="504" t="s">
        <v>1094</v>
      </c>
      <c r="D6554" s="504" t="s">
        <v>3380</v>
      </c>
      <c r="E6554" s="504" t="s">
        <v>3381</v>
      </c>
      <c r="F6554" s="504" t="s">
        <v>822</v>
      </c>
      <c r="G6554" s="504" t="s">
        <v>823</v>
      </c>
      <c r="H6554" s="504" t="s">
        <v>14995</v>
      </c>
      <c r="I6554" s="504">
        <v>864</v>
      </c>
      <c r="J6554" s="504">
        <v>467</v>
      </c>
      <c r="K6554" s="504">
        <v>0</v>
      </c>
      <c r="L6554" s="504">
        <v>51</v>
      </c>
      <c r="M6554" s="504">
        <v>265</v>
      </c>
      <c r="N6554" s="504">
        <v>6</v>
      </c>
      <c r="O6554" s="505">
        <v>81</v>
      </c>
    </row>
    <row r="6555" spans="1:15" x14ac:dyDescent="0.35">
      <c r="A6555" s="500" t="s">
        <v>1223</v>
      </c>
      <c r="B6555" s="501">
        <v>4768</v>
      </c>
      <c r="C6555" s="501" t="s">
        <v>1089</v>
      </c>
      <c r="D6555" s="501" t="s">
        <v>3392</v>
      </c>
      <c r="E6555" s="501" t="s">
        <v>3381</v>
      </c>
      <c r="F6555" s="501" t="s">
        <v>822</v>
      </c>
      <c r="G6555" s="501" t="s">
        <v>823</v>
      </c>
      <c r="H6555" s="501" t="s">
        <v>8645</v>
      </c>
      <c r="I6555" s="501">
        <v>60</v>
      </c>
      <c r="J6555" s="501">
        <v>1</v>
      </c>
      <c r="K6555" s="501">
        <v>0</v>
      </c>
      <c r="L6555" s="501">
        <v>59</v>
      </c>
      <c r="M6555" s="501">
        <v>0</v>
      </c>
      <c r="N6555" s="501">
        <v>0</v>
      </c>
      <c r="O6555" s="506">
        <v>0</v>
      </c>
    </row>
    <row r="6556" spans="1:15" x14ac:dyDescent="0.35">
      <c r="A6556" s="503" t="s">
        <v>1122</v>
      </c>
      <c r="B6556" s="504" t="s">
        <v>2994</v>
      </c>
      <c r="C6556" s="504" t="s">
        <v>1094</v>
      </c>
      <c r="D6556" s="504" t="s">
        <v>3380</v>
      </c>
      <c r="E6556" s="504" t="s">
        <v>3381</v>
      </c>
      <c r="F6556" s="504" t="s">
        <v>822</v>
      </c>
      <c r="G6556" s="504" t="s">
        <v>823</v>
      </c>
      <c r="H6556" s="504" t="s">
        <v>8646</v>
      </c>
      <c r="I6556" s="504">
        <v>1</v>
      </c>
      <c r="J6556" s="504">
        <v>1</v>
      </c>
      <c r="K6556" s="504">
        <v>0</v>
      </c>
      <c r="L6556" s="504">
        <v>0</v>
      </c>
      <c r="M6556" s="504">
        <v>0</v>
      </c>
      <c r="N6556" s="504">
        <v>0</v>
      </c>
      <c r="O6556" s="505">
        <v>0</v>
      </c>
    </row>
    <row r="6557" spans="1:15" x14ac:dyDescent="0.35">
      <c r="A6557" s="500" t="s">
        <v>1228</v>
      </c>
      <c r="B6557" s="501" t="s">
        <v>3321</v>
      </c>
      <c r="C6557" s="501" t="s">
        <v>1094</v>
      </c>
      <c r="D6557" s="501" t="s">
        <v>3380</v>
      </c>
      <c r="E6557" s="501" t="s">
        <v>3381</v>
      </c>
      <c r="F6557" s="501" t="s">
        <v>822</v>
      </c>
      <c r="G6557" s="501" t="s">
        <v>823</v>
      </c>
      <c r="H6557" s="501" t="s">
        <v>8647</v>
      </c>
      <c r="I6557" s="501">
        <v>46</v>
      </c>
      <c r="J6557" s="501">
        <v>0</v>
      </c>
      <c r="K6557" s="501">
        <v>0</v>
      </c>
      <c r="L6557" s="501">
        <v>45</v>
      </c>
      <c r="M6557" s="501">
        <v>0</v>
      </c>
      <c r="N6557" s="501">
        <v>0</v>
      </c>
      <c r="O6557" s="506">
        <v>1</v>
      </c>
    </row>
    <row r="6558" spans="1:15" x14ac:dyDescent="0.35">
      <c r="A6558" s="503" t="s">
        <v>1751</v>
      </c>
      <c r="B6558" s="504" t="s">
        <v>3012</v>
      </c>
      <c r="C6558" s="504" t="s">
        <v>1094</v>
      </c>
      <c r="D6558" s="504" t="s">
        <v>3392</v>
      </c>
      <c r="E6558" s="504" t="s">
        <v>3381</v>
      </c>
      <c r="F6558" s="504" t="s">
        <v>822</v>
      </c>
      <c r="G6558" s="504" t="s">
        <v>823</v>
      </c>
      <c r="H6558" s="504" t="s">
        <v>11997</v>
      </c>
      <c r="I6558" s="504">
        <v>1</v>
      </c>
      <c r="J6558" s="504">
        <v>1</v>
      </c>
      <c r="K6558" s="504">
        <v>0</v>
      </c>
      <c r="L6558" s="504">
        <v>0</v>
      </c>
      <c r="M6558" s="504">
        <v>0</v>
      </c>
      <c r="N6558" s="504">
        <v>0</v>
      </c>
      <c r="O6558" s="505">
        <v>0</v>
      </c>
    </row>
    <row r="6559" spans="1:15" x14ac:dyDescent="0.35">
      <c r="A6559" s="500" t="s">
        <v>1752</v>
      </c>
      <c r="B6559" s="501">
        <v>4653</v>
      </c>
      <c r="C6559" s="501" t="s">
        <v>1094</v>
      </c>
      <c r="D6559" s="501" t="s">
        <v>3380</v>
      </c>
      <c r="E6559" s="501" t="s">
        <v>3381</v>
      </c>
      <c r="F6559" s="501" t="s">
        <v>822</v>
      </c>
      <c r="G6559" s="501" t="s">
        <v>823</v>
      </c>
      <c r="H6559" s="501" t="s">
        <v>8648</v>
      </c>
      <c r="I6559" s="501">
        <v>634</v>
      </c>
      <c r="J6559" s="501">
        <v>505</v>
      </c>
      <c r="K6559" s="501">
        <v>0</v>
      </c>
      <c r="L6559" s="501">
        <v>103</v>
      </c>
      <c r="M6559" s="501">
        <v>26</v>
      </c>
      <c r="N6559" s="501">
        <v>0</v>
      </c>
      <c r="O6559" s="506">
        <v>0</v>
      </c>
    </row>
    <row r="6560" spans="1:15" x14ac:dyDescent="0.35">
      <c r="A6560" s="503" t="s">
        <v>1124</v>
      </c>
      <c r="B6560" s="504">
        <v>4745</v>
      </c>
      <c r="C6560" s="504" t="s">
        <v>1094</v>
      </c>
      <c r="D6560" s="504" t="s">
        <v>3380</v>
      </c>
      <c r="E6560" s="504" t="s">
        <v>3381</v>
      </c>
      <c r="F6560" s="504" t="s">
        <v>822</v>
      </c>
      <c r="G6560" s="504" t="s">
        <v>823</v>
      </c>
      <c r="H6560" s="504" t="s">
        <v>8649</v>
      </c>
      <c r="I6560" s="504">
        <v>12</v>
      </c>
      <c r="J6560" s="504">
        <v>0</v>
      </c>
      <c r="K6560" s="504">
        <v>0</v>
      </c>
      <c r="L6560" s="504">
        <v>12</v>
      </c>
      <c r="M6560" s="504">
        <v>0</v>
      </c>
      <c r="N6560" s="504">
        <v>0</v>
      </c>
      <c r="O6560" s="505">
        <v>0</v>
      </c>
    </row>
    <row r="6561" spans="1:15" x14ac:dyDescent="0.35">
      <c r="A6561" s="500" t="s">
        <v>1753</v>
      </c>
      <c r="B6561" s="501">
        <v>4607</v>
      </c>
      <c r="C6561" s="501" t="s">
        <v>1094</v>
      </c>
      <c r="D6561" s="501" t="s">
        <v>3380</v>
      </c>
      <c r="E6561" s="501" t="s">
        <v>3381</v>
      </c>
      <c r="F6561" s="501" t="s">
        <v>822</v>
      </c>
      <c r="G6561" s="501" t="s">
        <v>823</v>
      </c>
      <c r="H6561" s="501" t="s">
        <v>8650</v>
      </c>
      <c r="I6561" s="501">
        <v>12521</v>
      </c>
      <c r="J6561" s="501">
        <v>11506</v>
      </c>
      <c r="K6561" s="501">
        <v>0</v>
      </c>
      <c r="L6561" s="501">
        <v>0</v>
      </c>
      <c r="M6561" s="501">
        <v>967</v>
      </c>
      <c r="N6561" s="501">
        <v>6</v>
      </c>
      <c r="O6561" s="506">
        <v>48</v>
      </c>
    </row>
    <row r="6562" spans="1:15" x14ac:dyDescent="0.35">
      <c r="A6562" s="503" t="s">
        <v>1765</v>
      </c>
      <c r="B6562" s="504" t="s">
        <v>3363</v>
      </c>
      <c r="C6562" s="504" t="s">
        <v>1089</v>
      </c>
      <c r="D6562" s="504" t="s">
        <v>3392</v>
      </c>
      <c r="E6562" s="504" t="s">
        <v>3381</v>
      </c>
      <c r="F6562" s="504" t="s">
        <v>822</v>
      </c>
      <c r="G6562" s="504" t="s">
        <v>823</v>
      </c>
      <c r="H6562" s="504" t="s">
        <v>8651</v>
      </c>
      <c r="I6562" s="504">
        <v>30</v>
      </c>
      <c r="J6562" s="504">
        <v>30</v>
      </c>
      <c r="K6562" s="504">
        <v>0</v>
      </c>
      <c r="L6562" s="504">
        <v>0</v>
      </c>
      <c r="M6562" s="504">
        <v>0</v>
      </c>
      <c r="N6562" s="504">
        <v>0</v>
      </c>
      <c r="O6562" s="505">
        <v>0</v>
      </c>
    </row>
    <row r="6563" spans="1:15" x14ac:dyDescent="0.35">
      <c r="A6563" s="500" t="s">
        <v>1249</v>
      </c>
      <c r="B6563" s="501">
        <v>4729</v>
      </c>
      <c r="C6563" s="501" t="s">
        <v>1094</v>
      </c>
      <c r="D6563" s="501" t="s">
        <v>3380</v>
      </c>
      <c r="E6563" s="501" t="s">
        <v>3381</v>
      </c>
      <c r="F6563" s="501" t="s">
        <v>822</v>
      </c>
      <c r="G6563" s="501" t="s">
        <v>823</v>
      </c>
      <c r="H6563" s="501" t="s">
        <v>8652</v>
      </c>
      <c r="I6563" s="501">
        <v>2124</v>
      </c>
      <c r="J6563" s="501">
        <v>1760</v>
      </c>
      <c r="K6563" s="501">
        <v>0</v>
      </c>
      <c r="L6563" s="501">
        <v>32</v>
      </c>
      <c r="M6563" s="501">
        <v>256</v>
      </c>
      <c r="N6563" s="501">
        <v>0</v>
      </c>
      <c r="O6563" s="506">
        <v>76</v>
      </c>
    </row>
    <row r="6564" spans="1:15" x14ac:dyDescent="0.35">
      <c r="A6564" s="503" t="s">
        <v>1253</v>
      </c>
      <c r="B6564" s="504" t="s">
        <v>3232</v>
      </c>
      <c r="C6564" s="504" t="s">
        <v>1094</v>
      </c>
      <c r="D6564" s="504" t="s">
        <v>3380</v>
      </c>
      <c r="E6564" s="504" t="s">
        <v>3381</v>
      </c>
      <c r="F6564" s="504" t="s">
        <v>822</v>
      </c>
      <c r="G6564" s="504" t="s">
        <v>823</v>
      </c>
      <c r="H6564" s="504" t="s">
        <v>8653</v>
      </c>
      <c r="I6564" s="504">
        <v>2116</v>
      </c>
      <c r="J6564" s="504">
        <v>2054</v>
      </c>
      <c r="K6564" s="504">
        <v>0</v>
      </c>
      <c r="L6564" s="504">
        <v>22</v>
      </c>
      <c r="M6564" s="504">
        <v>19</v>
      </c>
      <c r="N6564" s="504">
        <v>0</v>
      </c>
      <c r="O6564" s="505">
        <v>21</v>
      </c>
    </row>
    <row r="6565" spans="1:15" x14ac:dyDescent="0.35">
      <c r="A6565" s="500" t="s">
        <v>1260</v>
      </c>
      <c r="B6565" s="501">
        <v>4645</v>
      </c>
      <c r="C6565" s="501" t="s">
        <v>1089</v>
      </c>
      <c r="D6565" s="501" t="s">
        <v>3392</v>
      </c>
      <c r="E6565" s="501" t="s">
        <v>3381</v>
      </c>
      <c r="F6565" s="501" t="s">
        <v>822</v>
      </c>
      <c r="G6565" s="501" t="s">
        <v>823</v>
      </c>
      <c r="H6565" s="501" t="s">
        <v>8654</v>
      </c>
      <c r="I6565" s="501">
        <v>6</v>
      </c>
      <c r="J6565" s="501">
        <v>0</v>
      </c>
      <c r="K6565" s="501">
        <v>0</v>
      </c>
      <c r="L6565" s="501">
        <v>6</v>
      </c>
      <c r="M6565" s="501">
        <v>0</v>
      </c>
      <c r="N6565" s="501">
        <v>0</v>
      </c>
      <c r="O6565" s="506">
        <v>0</v>
      </c>
    </row>
    <row r="6566" spans="1:15" x14ac:dyDescent="0.35">
      <c r="A6566" s="503" t="s">
        <v>1266</v>
      </c>
      <c r="B6566" s="504" t="s">
        <v>3071</v>
      </c>
      <c r="C6566" s="504" t="s">
        <v>1094</v>
      </c>
      <c r="D6566" s="504" t="s">
        <v>3380</v>
      </c>
      <c r="E6566" s="504" t="s">
        <v>3381</v>
      </c>
      <c r="F6566" s="504" t="s">
        <v>822</v>
      </c>
      <c r="G6566" s="504" t="s">
        <v>823</v>
      </c>
      <c r="H6566" s="504" t="s">
        <v>8655</v>
      </c>
      <c r="I6566" s="504">
        <v>65</v>
      </c>
      <c r="J6566" s="504">
        <v>65</v>
      </c>
      <c r="K6566" s="504">
        <v>0</v>
      </c>
      <c r="L6566" s="504">
        <v>0</v>
      </c>
      <c r="M6566" s="504">
        <v>0</v>
      </c>
      <c r="N6566" s="504">
        <v>0</v>
      </c>
      <c r="O6566" s="505">
        <v>0</v>
      </c>
    </row>
    <row r="6567" spans="1:15" x14ac:dyDescent="0.35">
      <c r="A6567" s="500" t="s">
        <v>1093</v>
      </c>
      <c r="B6567" s="501" t="s">
        <v>3248</v>
      </c>
      <c r="C6567" s="501" t="s">
        <v>1094</v>
      </c>
      <c r="D6567" s="501" t="s">
        <v>3380</v>
      </c>
      <c r="E6567" s="501" t="s">
        <v>3381</v>
      </c>
      <c r="F6567" s="501" t="s">
        <v>824</v>
      </c>
      <c r="G6567" s="501" t="s">
        <v>825</v>
      </c>
      <c r="H6567" s="501" t="s">
        <v>8656</v>
      </c>
      <c r="I6567" s="501">
        <v>2</v>
      </c>
      <c r="J6567" s="501">
        <v>0</v>
      </c>
      <c r="K6567" s="501">
        <v>0</v>
      </c>
      <c r="L6567" s="501">
        <v>2</v>
      </c>
      <c r="M6567" s="501">
        <v>0</v>
      </c>
      <c r="N6567" s="501">
        <v>0</v>
      </c>
      <c r="O6567" s="506">
        <v>0</v>
      </c>
    </row>
    <row r="6568" spans="1:15" x14ac:dyDescent="0.35">
      <c r="A6568" s="503" t="s">
        <v>1096</v>
      </c>
      <c r="B6568" s="504" t="s">
        <v>3326</v>
      </c>
      <c r="C6568" s="504" t="s">
        <v>1094</v>
      </c>
      <c r="D6568" s="504" t="s">
        <v>3380</v>
      </c>
      <c r="E6568" s="504" t="s">
        <v>3381</v>
      </c>
      <c r="F6568" s="504" t="s">
        <v>824</v>
      </c>
      <c r="G6568" s="504" t="s">
        <v>825</v>
      </c>
      <c r="H6568" s="504" t="s">
        <v>8657</v>
      </c>
      <c r="I6568" s="504">
        <v>20</v>
      </c>
      <c r="J6568" s="504">
        <v>0</v>
      </c>
      <c r="K6568" s="504">
        <v>0</v>
      </c>
      <c r="L6568" s="504">
        <v>0</v>
      </c>
      <c r="M6568" s="504">
        <v>20</v>
      </c>
      <c r="N6568" s="504">
        <v>0</v>
      </c>
      <c r="O6568" s="505">
        <v>0</v>
      </c>
    </row>
    <row r="6569" spans="1:15" x14ac:dyDescent="0.35">
      <c r="A6569" s="500" t="s">
        <v>1283</v>
      </c>
      <c r="B6569" s="501" t="s">
        <v>3177</v>
      </c>
      <c r="C6569" s="501" t="s">
        <v>1094</v>
      </c>
      <c r="D6569" s="501" t="s">
        <v>3380</v>
      </c>
      <c r="E6569" s="501" t="s">
        <v>3381</v>
      </c>
      <c r="F6569" s="501" t="s">
        <v>824</v>
      </c>
      <c r="G6569" s="501" t="s">
        <v>825</v>
      </c>
      <c r="H6569" s="501" t="s">
        <v>8658</v>
      </c>
      <c r="I6569" s="501">
        <v>294</v>
      </c>
      <c r="J6569" s="501">
        <v>257</v>
      </c>
      <c r="K6569" s="501">
        <v>0</v>
      </c>
      <c r="L6569" s="501">
        <v>0</v>
      </c>
      <c r="M6569" s="501">
        <v>0</v>
      </c>
      <c r="N6569" s="501">
        <v>0</v>
      </c>
      <c r="O6569" s="506">
        <v>37</v>
      </c>
    </row>
    <row r="6570" spans="1:15" x14ac:dyDescent="0.35">
      <c r="A6570" s="503" t="s">
        <v>1100</v>
      </c>
      <c r="B6570" s="504">
        <v>4865</v>
      </c>
      <c r="C6570" s="504" t="s">
        <v>1094</v>
      </c>
      <c r="D6570" s="504" t="s">
        <v>3380</v>
      </c>
      <c r="E6570" s="504" t="s">
        <v>3381</v>
      </c>
      <c r="F6570" s="504" t="s">
        <v>824</v>
      </c>
      <c r="G6570" s="504" t="s">
        <v>825</v>
      </c>
      <c r="H6570" s="504" t="s">
        <v>8659</v>
      </c>
      <c r="I6570" s="504">
        <v>27</v>
      </c>
      <c r="J6570" s="504">
        <v>0</v>
      </c>
      <c r="K6570" s="504">
        <v>0</v>
      </c>
      <c r="L6570" s="504">
        <v>0</v>
      </c>
      <c r="M6570" s="504">
        <v>0</v>
      </c>
      <c r="N6570" s="504">
        <v>0</v>
      </c>
      <c r="O6570" s="505">
        <v>27</v>
      </c>
    </row>
    <row r="6571" spans="1:15" x14ac:dyDescent="0.35">
      <c r="A6571" s="500" t="s">
        <v>1102</v>
      </c>
      <c r="B6571" s="501">
        <v>4663</v>
      </c>
      <c r="C6571" s="501" t="s">
        <v>1089</v>
      </c>
      <c r="D6571" s="501" t="s">
        <v>3392</v>
      </c>
      <c r="E6571" s="501" t="s">
        <v>3381</v>
      </c>
      <c r="F6571" s="501" t="s">
        <v>824</v>
      </c>
      <c r="G6571" s="501" t="s">
        <v>825</v>
      </c>
      <c r="H6571" s="501" t="s">
        <v>8660</v>
      </c>
      <c r="I6571" s="501">
        <v>2</v>
      </c>
      <c r="J6571" s="501">
        <v>0</v>
      </c>
      <c r="K6571" s="501">
        <v>0</v>
      </c>
      <c r="L6571" s="501">
        <v>2</v>
      </c>
      <c r="M6571" s="501">
        <v>0</v>
      </c>
      <c r="N6571" s="501">
        <v>0</v>
      </c>
      <c r="O6571" s="506">
        <v>0</v>
      </c>
    </row>
    <row r="6572" spans="1:15" x14ac:dyDescent="0.35">
      <c r="A6572" s="503" t="s">
        <v>1294</v>
      </c>
      <c r="B6572" s="504" t="s">
        <v>3114</v>
      </c>
      <c r="C6572" s="504" t="s">
        <v>1094</v>
      </c>
      <c r="D6572" s="504" t="s">
        <v>3380</v>
      </c>
      <c r="E6572" s="504" t="s">
        <v>3381</v>
      </c>
      <c r="F6572" s="504" t="s">
        <v>824</v>
      </c>
      <c r="G6572" s="504" t="s">
        <v>825</v>
      </c>
      <c r="H6572" s="504" t="s">
        <v>8661</v>
      </c>
      <c r="I6572" s="504">
        <v>56</v>
      </c>
      <c r="J6572" s="504">
        <v>18</v>
      </c>
      <c r="K6572" s="504">
        <v>0</v>
      </c>
      <c r="L6572" s="504">
        <v>3</v>
      </c>
      <c r="M6572" s="504">
        <v>20</v>
      </c>
      <c r="N6572" s="504">
        <v>0</v>
      </c>
      <c r="O6572" s="505">
        <v>15</v>
      </c>
    </row>
    <row r="6573" spans="1:15" x14ac:dyDescent="0.35">
      <c r="A6573" s="500" t="s">
        <v>1185</v>
      </c>
      <c r="B6573" s="501" t="s">
        <v>3253</v>
      </c>
      <c r="C6573" s="501" t="s">
        <v>1094</v>
      </c>
      <c r="D6573" s="501" t="s">
        <v>3380</v>
      </c>
      <c r="E6573" s="501" t="s">
        <v>3381</v>
      </c>
      <c r="F6573" s="501" t="s">
        <v>824</v>
      </c>
      <c r="G6573" s="501" t="s">
        <v>825</v>
      </c>
      <c r="H6573" s="501" t="s">
        <v>8662</v>
      </c>
      <c r="I6573" s="501">
        <v>19</v>
      </c>
      <c r="J6573" s="501">
        <v>11</v>
      </c>
      <c r="K6573" s="501">
        <v>0</v>
      </c>
      <c r="L6573" s="501">
        <v>8</v>
      </c>
      <c r="M6573" s="501">
        <v>0</v>
      </c>
      <c r="N6573" s="501">
        <v>0</v>
      </c>
      <c r="O6573" s="506">
        <v>0</v>
      </c>
    </row>
    <row r="6574" spans="1:15" x14ac:dyDescent="0.35">
      <c r="A6574" s="503" t="s">
        <v>1109</v>
      </c>
      <c r="B6574" s="504" t="s">
        <v>2959</v>
      </c>
      <c r="C6574" s="504" t="s">
        <v>1094</v>
      </c>
      <c r="D6574" s="504" t="s">
        <v>3380</v>
      </c>
      <c r="E6574" s="504" t="s">
        <v>3381</v>
      </c>
      <c r="F6574" s="504" t="s">
        <v>824</v>
      </c>
      <c r="G6574" s="504" t="s">
        <v>825</v>
      </c>
      <c r="H6574" s="504" t="s">
        <v>8663</v>
      </c>
      <c r="I6574" s="504">
        <v>34</v>
      </c>
      <c r="J6574" s="504">
        <v>0</v>
      </c>
      <c r="K6574" s="504">
        <v>0</v>
      </c>
      <c r="L6574" s="504">
        <v>0</v>
      </c>
      <c r="M6574" s="504">
        <v>34</v>
      </c>
      <c r="N6574" s="504">
        <v>0</v>
      </c>
      <c r="O6574" s="505">
        <v>0</v>
      </c>
    </row>
    <row r="6575" spans="1:15" x14ac:dyDescent="0.35">
      <c r="A6575" s="500" t="s">
        <v>1310</v>
      </c>
      <c r="B6575" s="501">
        <v>5062</v>
      </c>
      <c r="C6575" s="501" t="s">
        <v>1089</v>
      </c>
      <c r="D6575" s="501" t="s">
        <v>3380</v>
      </c>
      <c r="E6575" s="501" t="s">
        <v>3381</v>
      </c>
      <c r="F6575" s="501" t="s">
        <v>824</v>
      </c>
      <c r="G6575" s="501" t="s">
        <v>825</v>
      </c>
      <c r="H6575" s="501" t="s">
        <v>14996</v>
      </c>
      <c r="I6575" s="501">
        <v>34</v>
      </c>
      <c r="J6575" s="501">
        <v>0</v>
      </c>
      <c r="K6575" s="501">
        <v>0</v>
      </c>
      <c r="L6575" s="501">
        <v>0</v>
      </c>
      <c r="M6575" s="501">
        <v>0</v>
      </c>
      <c r="N6575" s="501">
        <v>0</v>
      </c>
      <c r="O6575" s="506">
        <v>34</v>
      </c>
    </row>
    <row r="6576" spans="1:15" x14ac:dyDescent="0.35">
      <c r="A6576" s="503" t="s">
        <v>1202</v>
      </c>
      <c r="B6576" s="504" t="s">
        <v>3217</v>
      </c>
      <c r="C6576" s="504" t="s">
        <v>1094</v>
      </c>
      <c r="D6576" s="504" t="s">
        <v>3380</v>
      </c>
      <c r="E6576" s="504" t="s">
        <v>3381</v>
      </c>
      <c r="F6576" s="504" t="s">
        <v>824</v>
      </c>
      <c r="G6576" s="504" t="s">
        <v>825</v>
      </c>
      <c r="H6576" s="504" t="s">
        <v>8664</v>
      </c>
      <c r="I6576" s="504">
        <v>83</v>
      </c>
      <c r="J6576" s="504">
        <v>81</v>
      </c>
      <c r="K6576" s="504">
        <v>0</v>
      </c>
      <c r="L6576" s="504">
        <v>0</v>
      </c>
      <c r="M6576" s="504">
        <v>0</v>
      </c>
      <c r="N6576" s="504">
        <v>0</v>
      </c>
      <c r="O6576" s="505">
        <v>2</v>
      </c>
    </row>
    <row r="6577" spans="1:15" x14ac:dyDescent="0.35">
      <c r="A6577" s="500" t="s">
        <v>1114</v>
      </c>
      <c r="B6577" s="501" t="s">
        <v>2982</v>
      </c>
      <c r="C6577" s="501" t="s">
        <v>1094</v>
      </c>
      <c r="D6577" s="501" t="s">
        <v>3380</v>
      </c>
      <c r="E6577" s="501" t="s">
        <v>3381</v>
      </c>
      <c r="F6577" s="501" t="s">
        <v>824</v>
      </c>
      <c r="G6577" s="501" t="s">
        <v>825</v>
      </c>
      <c r="H6577" s="501" t="s">
        <v>8665</v>
      </c>
      <c r="I6577" s="501">
        <v>114</v>
      </c>
      <c r="J6577" s="501">
        <v>92</v>
      </c>
      <c r="K6577" s="501">
        <v>0</v>
      </c>
      <c r="L6577" s="501">
        <v>0</v>
      </c>
      <c r="M6577" s="501">
        <v>0</v>
      </c>
      <c r="N6577" s="501">
        <v>0</v>
      </c>
      <c r="O6577" s="506">
        <v>22</v>
      </c>
    </row>
    <row r="6578" spans="1:15" x14ac:dyDescent="0.35">
      <c r="A6578" s="503" t="s">
        <v>1210</v>
      </c>
      <c r="B6578" s="504">
        <v>4781</v>
      </c>
      <c r="C6578" s="504" t="s">
        <v>1089</v>
      </c>
      <c r="D6578" s="504" t="s">
        <v>3392</v>
      </c>
      <c r="E6578" s="504" t="s">
        <v>3381</v>
      </c>
      <c r="F6578" s="504" t="s">
        <v>824</v>
      </c>
      <c r="G6578" s="504" t="s">
        <v>825</v>
      </c>
      <c r="H6578" s="504" t="s">
        <v>8666</v>
      </c>
      <c r="I6578" s="504">
        <v>4</v>
      </c>
      <c r="J6578" s="504">
        <v>0</v>
      </c>
      <c r="K6578" s="504">
        <v>0</v>
      </c>
      <c r="L6578" s="504">
        <v>4</v>
      </c>
      <c r="M6578" s="504">
        <v>0</v>
      </c>
      <c r="N6578" s="504">
        <v>0</v>
      </c>
      <c r="O6578" s="505">
        <v>0</v>
      </c>
    </row>
    <row r="6579" spans="1:15" x14ac:dyDescent="0.35">
      <c r="A6579" s="500" t="s">
        <v>1319</v>
      </c>
      <c r="B6579" s="501">
        <v>4880</v>
      </c>
      <c r="C6579" s="501" t="s">
        <v>1094</v>
      </c>
      <c r="D6579" s="501" t="s">
        <v>3380</v>
      </c>
      <c r="E6579" s="501" t="s">
        <v>3381</v>
      </c>
      <c r="F6579" s="501" t="s">
        <v>824</v>
      </c>
      <c r="G6579" s="501" t="s">
        <v>825</v>
      </c>
      <c r="H6579" s="501" t="s">
        <v>8667</v>
      </c>
      <c r="I6579" s="501">
        <v>653</v>
      </c>
      <c r="J6579" s="501">
        <v>372</v>
      </c>
      <c r="K6579" s="501">
        <v>0</v>
      </c>
      <c r="L6579" s="501">
        <v>17</v>
      </c>
      <c r="M6579" s="501">
        <v>146</v>
      </c>
      <c r="N6579" s="501">
        <v>3</v>
      </c>
      <c r="O6579" s="506">
        <v>118</v>
      </c>
    </row>
    <row r="6580" spans="1:15" x14ac:dyDescent="0.35">
      <c r="A6580" s="503" t="s">
        <v>1122</v>
      </c>
      <c r="B6580" s="504" t="s">
        <v>2994</v>
      </c>
      <c r="C6580" s="504" t="s">
        <v>1094</v>
      </c>
      <c r="D6580" s="504" t="s">
        <v>3380</v>
      </c>
      <c r="E6580" s="504" t="s">
        <v>3381</v>
      </c>
      <c r="F6580" s="504" t="s">
        <v>824</v>
      </c>
      <c r="G6580" s="504" t="s">
        <v>825</v>
      </c>
      <c r="H6580" s="504" t="s">
        <v>8668</v>
      </c>
      <c r="I6580" s="504">
        <v>2</v>
      </c>
      <c r="J6580" s="504">
        <v>2</v>
      </c>
      <c r="K6580" s="504">
        <v>0</v>
      </c>
      <c r="L6580" s="504">
        <v>0</v>
      </c>
      <c r="M6580" s="504">
        <v>0</v>
      </c>
      <c r="N6580" s="504">
        <v>0</v>
      </c>
      <c r="O6580" s="505">
        <v>0</v>
      </c>
    </row>
    <row r="6581" spans="1:15" x14ac:dyDescent="0.35">
      <c r="A6581" s="500" t="s">
        <v>1235</v>
      </c>
      <c r="B6581" s="501">
        <v>4684</v>
      </c>
      <c r="C6581" s="501" t="s">
        <v>1094</v>
      </c>
      <c r="D6581" s="501" t="s">
        <v>3380</v>
      </c>
      <c r="E6581" s="501" t="s">
        <v>3381</v>
      </c>
      <c r="F6581" s="501" t="s">
        <v>824</v>
      </c>
      <c r="G6581" s="501" t="s">
        <v>825</v>
      </c>
      <c r="H6581" s="501" t="s">
        <v>8669</v>
      </c>
      <c r="I6581" s="501">
        <v>237</v>
      </c>
      <c r="J6581" s="501">
        <v>170</v>
      </c>
      <c r="K6581" s="501">
        <v>0</v>
      </c>
      <c r="L6581" s="501">
        <v>0</v>
      </c>
      <c r="M6581" s="501">
        <v>0</v>
      </c>
      <c r="N6581" s="501">
        <v>0</v>
      </c>
      <c r="O6581" s="506">
        <v>67</v>
      </c>
    </row>
    <row r="6582" spans="1:15" x14ac:dyDescent="0.35">
      <c r="A6582" s="503" t="s">
        <v>1126</v>
      </c>
      <c r="B6582" s="504" t="s">
        <v>2974</v>
      </c>
      <c r="C6582" s="504" t="s">
        <v>1094</v>
      </c>
      <c r="D6582" s="504" t="s">
        <v>3380</v>
      </c>
      <c r="E6582" s="504" t="s">
        <v>3381</v>
      </c>
      <c r="F6582" s="504" t="s">
        <v>824</v>
      </c>
      <c r="G6582" s="504" t="s">
        <v>825</v>
      </c>
      <c r="H6582" s="504" t="s">
        <v>8670</v>
      </c>
      <c r="I6582" s="504">
        <v>1800</v>
      </c>
      <c r="J6582" s="504">
        <v>1351</v>
      </c>
      <c r="K6582" s="504">
        <v>0</v>
      </c>
      <c r="L6582" s="504">
        <v>0</v>
      </c>
      <c r="M6582" s="504">
        <v>445</v>
      </c>
      <c r="N6582" s="504">
        <v>1</v>
      </c>
      <c r="O6582" s="505">
        <v>4</v>
      </c>
    </row>
    <row r="6583" spans="1:15" x14ac:dyDescent="0.35">
      <c r="A6583" s="500" t="s">
        <v>1130</v>
      </c>
      <c r="B6583" s="501" t="s">
        <v>3234</v>
      </c>
      <c r="C6583" s="501" t="s">
        <v>1094</v>
      </c>
      <c r="D6583" s="501" t="s">
        <v>3380</v>
      </c>
      <c r="E6583" s="501" t="s">
        <v>3381</v>
      </c>
      <c r="F6583" s="501" t="s">
        <v>824</v>
      </c>
      <c r="G6583" s="501" t="s">
        <v>825</v>
      </c>
      <c r="H6583" s="501" t="s">
        <v>8671</v>
      </c>
      <c r="I6583" s="501">
        <v>1</v>
      </c>
      <c r="J6583" s="501">
        <v>0</v>
      </c>
      <c r="K6583" s="501">
        <v>0</v>
      </c>
      <c r="L6583" s="501">
        <v>0</v>
      </c>
      <c r="M6583" s="501">
        <v>0</v>
      </c>
      <c r="N6583" s="501">
        <v>0</v>
      </c>
      <c r="O6583" s="506">
        <v>1</v>
      </c>
    </row>
    <row r="6584" spans="1:15" x14ac:dyDescent="0.35">
      <c r="A6584" s="503" t="s">
        <v>1346</v>
      </c>
      <c r="B6584" s="504" t="s">
        <v>3150</v>
      </c>
      <c r="C6584" s="504" t="s">
        <v>1094</v>
      </c>
      <c r="D6584" s="504" t="s">
        <v>3380</v>
      </c>
      <c r="E6584" s="504" t="s">
        <v>3381</v>
      </c>
      <c r="F6584" s="504" t="s">
        <v>824</v>
      </c>
      <c r="G6584" s="504" t="s">
        <v>825</v>
      </c>
      <c r="H6584" s="504" t="s">
        <v>8672</v>
      </c>
      <c r="I6584" s="504">
        <v>136</v>
      </c>
      <c r="J6584" s="504">
        <v>79</v>
      </c>
      <c r="K6584" s="504">
        <v>0</v>
      </c>
      <c r="L6584" s="504">
        <v>27</v>
      </c>
      <c r="M6584" s="504">
        <v>30</v>
      </c>
      <c r="N6584" s="504">
        <v>0</v>
      </c>
      <c r="O6584" s="505">
        <v>0</v>
      </c>
    </row>
    <row r="6585" spans="1:15" x14ac:dyDescent="0.35">
      <c r="A6585" s="500" t="s">
        <v>1096</v>
      </c>
      <c r="B6585" s="501" t="s">
        <v>3326</v>
      </c>
      <c r="C6585" s="501" t="s">
        <v>1094</v>
      </c>
      <c r="D6585" s="501" t="s">
        <v>3380</v>
      </c>
      <c r="E6585" s="501" t="s">
        <v>3381</v>
      </c>
      <c r="F6585" s="501" t="s">
        <v>826</v>
      </c>
      <c r="G6585" s="501" t="s">
        <v>827</v>
      </c>
      <c r="H6585" s="501" t="s">
        <v>8673</v>
      </c>
      <c r="I6585" s="501">
        <v>71</v>
      </c>
      <c r="J6585" s="501">
        <v>0</v>
      </c>
      <c r="K6585" s="501">
        <v>0</v>
      </c>
      <c r="L6585" s="501">
        <v>0</v>
      </c>
      <c r="M6585" s="501">
        <v>71</v>
      </c>
      <c r="N6585" s="501">
        <v>0</v>
      </c>
      <c r="O6585" s="506">
        <v>0</v>
      </c>
    </row>
    <row r="6586" spans="1:15" x14ac:dyDescent="0.35">
      <c r="A6586" s="503" t="s">
        <v>1680</v>
      </c>
      <c r="B6586" s="504" t="s">
        <v>3168</v>
      </c>
      <c r="C6586" s="504" t="s">
        <v>1094</v>
      </c>
      <c r="D6586" s="504" t="s">
        <v>3380</v>
      </c>
      <c r="E6586" s="504" t="s">
        <v>3381</v>
      </c>
      <c r="F6586" s="504" t="s">
        <v>826</v>
      </c>
      <c r="G6586" s="504" t="s">
        <v>827</v>
      </c>
      <c r="H6586" s="504" t="s">
        <v>8674</v>
      </c>
      <c r="I6586" s="504">
        <v>122</v>
      </c>
      <c r="J6586" s="504">
        <v>120</v>
      </c>
      <c r="K6586" s="504">
        <v>0</v>
      </c>
      <c r="L6586" s="504">
        <v>2</v>
      </c>
      <c r="M6586" s="504">
        <v>0</v>
      </c>
      <c r="N6586" s="504">
        <v>0</v>
      </c>
      <c r="O6586" s="505">
        <v>0</v>
      </c>
    </row>
    <row r="6587" spans="1:15" x14ac:dyDescent="0.35">
      <c r="A6587" s="500" t="s">
        <v>1160</v>
      </c>
      <c r="B6587" s="501">
        <v>4672</v>
      </c>
      <c r="C6587" s="501" t="s">
        <v>1089</v>
      </c>
      <c r="D6587" s="501" t="s">
        <v>3392</v>
      </c>
      <c r="E6587" s="501" t="s">
        <v>3381</v>
      </c>
      <c r="F6587" s="501" t="s">
        <v>826</v>
      </c>
      <c r="G6587" s="501" t="s">
        <v>827</v>
      </c>
      <c r="H6587" s="501" t="s">
        <v>8675</v>
      </c>
      <c r="I6587" s="501">
        <v>14</v>
      </c>
      <c r="J6587" s="501">
        <v>0</v>
      </c>
      <c r="K6587" s="501">
        <v>0</v>
      </c>
      <c r="L6587" s="501">
        <v>14</v>
      </c>
      <c r="M6587" s="501">
        <v>0</v>
      </c>
      <c r="N6587" s="501">
        <v>0</v>
      </c>
      <c r="O6587" s="506">
        <v>0</v>
      </c>
    </row>
    <row r="6588" spans="1:15" x14ac:dyDescent="0.35">
      <c r="A6588" s="503" t="s">
        <v>1692</v>
      </c>
      <c r="B6588" s="504">
        <v>4780</v>
      </c>
      <c r="C6588" s="504" t="s">
        <v>1089</v>
      </c>
      <c r="D6588" s="504" t="s">
        <v>3392</v>
      </c>
      <c r="E6588" s="504" t="s">
        <v>3381</v>
      </c>
      <c r="F6588" s="504" t="s">
        <v>826</v>
      </c>
      <c r="G6588" s="504" t="s">
        <v>827</v>
      </c>
      <c r="H6588" s="504" t="s">
        <v>8676</v>
      </c>
      <c r="I6588" s="504">
        <v>4</v>
      </c>
      <c r="J6588" s="504">
        <v>4</v>
      </c>
      <c r="K6588" s="504">
        <v>0</v>
      </c>
      <c r="L6588" s="504">
        <v>0</v>
      </c>
      <c r="M6588" s="504">
        <v>0</v>
      </c>
      <c r="N6588" s="504">
        <v>4</v>
      </c>
      <c r="O6588" s="505">
        <v>0</v>
      </c>
    </row>
    <row r="6589" spans="1:15" x14ac:dyDescent="0.35">
      <c r="A6589" s="500" t="s">
        <v>1102</v>
      </c>
      <c r="B6589" s="501">
        <v>4663</v>
      </c>
      <c r="C6589" s="501" t="s">
        <v>1089</v>
      </c>
      <c r="D6589" s="501" t="s">
        <v>3392</v>
      </c>
      <c r="E6589" s="501" t="s">
        <v>3381</v>
      </c>
      <c r="F6589" s="501" t="s">
        <v>826</v>
      </c>
      <c r="G6589" s="501" t="s">
        <v>827</v>
      </c>
      <c r="H6589" s="501" t="s">
        <v>8677</v>
      </c>
      <c r="I6589" s="501">
        <v>8</v>
      </c>
      <c r="J6589" s="501">
        <v>0</v>
      </c>
      <c r="K6589" s="501">
        <v>0</v>
      </c>
      <c r="L6589" s="501">
        <v>8</v>
      </c>
      <c r="M6589" s="501">
        <v>0</v>
      </c>
      <c r="N6589" s="501">
        <v>0</v>
      </c>
      <c r="O6589" s="506">
        <v>0</v>
      </c>
    </row>
    <row r="6590" spans="1:15" x14ac:dyDescent="0.35">
      <c r="A6590" s="503" t="s">
        <v>1183</v>
      </c>
      <c r="B6590" s="504" t="s">
        <v>3038</v>
      </c>
      <c r="C6590" s="504" t="s">
        <v>1094</v>
      </c>
      <c r="D6590" s="504" t="s">
        <v>3380</v>
      </c>
      <c r="E6590" s="504" t="s">
        <v>3381</v>
      </c>
      <c r="F6590" s="504" t="s">
        <v>826</v>
      </c>
      <c r="G6590" s="504" t="s">
        <v>827</v>
      </c>
      <c r="H6590" s="504" t="s">
        <v>8678</v>
      </c>
      <c r="I6590" s="504">
        <v>59</v>
      </c>
      <c r="J6590" s="504">
        <v>45</v>
      </c>
      <c r="K6590" s="504">
        <v>0</v>
      </c>
      <c r="L6590" s="504">
        <v>0</v>
      </c>
      <c r="M6590" s="504">
        <v>0</v>
      </c>
      <c r="N6590" s="504">
        <v>0</v>
      </c>
      <c r="O6590" s="505">
        <v>14</v>
      </c>
    </row>
    <row r="6591" spans="1:15" x14ac:dyDescent="0.35">
      <c r="A6591" s="500" t="s">
        <v>1186</v>
      </c>
      <c r="B6591" s="501">
        <v>4661</v>
      </c>
      <c r="C6591" s="501" t="s">
        <v>1089</v>
      </c>
      <c r="D6591" s="501" t="s">
        <v>3392</v>
      </c>
      <c r="E6591" s="501" t="s">
        <v>3381</v>
      </c>
      <c r="F6591" s="501" t="s">
        <v>826</v>
      </c>
      <c r="G6591" s="501" t="s">
        <v>827</v>
      </c>
      <c r="H6591" s="501" t="s">
        <v>8679</v>
      </c>
      <c r="I6591" s="501">
        <v>7</v>
      </c>
      <c r="J6591" s="501">
        <v>0</v>
      </c>
      <c r="K6591" s="501">
        <v>0</v>
      </c>
      <c r="L6591" s="501">
        <v>7</v>
      </c>
      <c r="M6591" s="501">
        <v>0</v>
      </c>
      <c r="N6591" s="501">
        <v>0</v>
      </c>
      <c r="O6591" s="506">
        <v>0</v>
      </c>
    </row>
    <row r="6592" spans="1:15" x14ac:dyDescent="0.35">
      <c r="A6592" s="503" t="s">
        <v>1109</v>
      </c>
      <c r="B6592" s="504" t="s">
        <v>2959</v>
      </c>
      <c r="C6592" s="504" t="s">
        <v>1094</v>
      </c>
      <c r="D6592" s="504" t="s">
        <v>3380</v>
      </c>
      <c r="E6592" s="504" t="s">
        <v>3381</v>
      </c>
      <c r="F6592" s="504" t="s">
        <v>826</v>
      </c>
      <c r="G6592" s="504" t="s">
        <v>827</v>
      </c>
      <c r="H6592" s="504" t="s">
        <v>8680</v>
      </c>
      <c r="I6592" s="504">
        <v>99</v>
      </c>
      <c r="J6592" s="504">
        <v>0</v>
      </c>
      <c r="K6592" s="504">
        <v>0</v>
      </c>
      <c r="L6592" s="504">
        <v>0</v>
      </c>
      <c r="M6592" s="504">
        <v>99</v>
      </c>
      <c r="N6592" s="504">
        <v>0</v>
      </c>
      <c r="O6592" s="505">
        <v>0</v>
      </c>
    </row>
    <row r="6593" spans="1:15" x14ac:dyDescent="0.35">
      <c r="A6593" s="500" t="s">
        <v>1716</v>
      </c>
      <c r="B6593" s="501" t="s">
        <v>2960</v>
      </c>
      <c r="C6593" s="501" t="s">
        <v>1094</v>
      </c>
      <c r="D6593" s="501" t="s">
        <v>3380</v>
      </c>
      <c r="E6593" s="501" t="s">
        <v>3381</v>
      </c>
      <c r="F6593" s="501" t="s">
        <v>826</v>
      </c>
      <c r="G6593" s="501" t="s">
        <v>827</v>
      </c>
      <c r="H6593" s="501" t="s">
        <v>8681</v>
      </c>
      <c r="I6593" s="501">
        <v>5</v>
      </c>
      <c r="J6593" s="501">
        <v>5</v>
      </c>
      <c r="K6593" s="501">
        <v>0</v>
      </c>
      <c r="L6593" s="501">
        <v>0</v>
      </c>
      <c r="M6593" s="501">
        <v>0</v>
      </c>
      <c r="N6593" s="501">
        <v>0</v>
      </c>
      <c r="O6593" s="506">
        <v>0</v>
      </c>
    </row>
    <row r="6594" spans="1:15" x14ac:dyDescent="0.35">
      <c r="A6594" s="503" t="s">
        <v>1195</v>
      </c>
      <c r="B6594" s="504">
        <v>4693</v>
      </c>
      <c r="C6594" s="504" t="s">
        <v>1089</v>
      </c>
      <c r="D6594" s="504" t="s">
        <v>3392</v>
      </c>
      <c r="E6594" s="504" t="s">
        <v>3381</v>
      </c>
      <c r="F6594" s="504" t="s">
        <v>826</v>
      </c>
      <c r="G6594" s="504" t="s">
        <v>827</v>
      </c>
      <c r="H6594" s="504" t="s">
        <v>8682</v>
      </c>
      <c r="I6594" s="504">
        <v>3</v>
      </c>
      <c r="J6594" s="504">
        <v>0</v>
      </c>
      <c r="K6594" s="504">
        <v>0</v>
      </c>
      <c r="L6594" s="504">
        <v>3</v>
      </c>
      <c r="M6594" s="504">
        <v>0</v>
      </c>
      <c r="N6594" s="504">
        <v>0</v>
      </c>
      <c r="O6594" s="505">
        <v>0</v>
      </c>
    </row>
    <row r="6595" spans="1:15" x14ac:dyDescent="0.35">
      <c r="A6595" s="500" t="s">
        <v>1739</v>
      </c>
      <c r="B6595" s="501">
        <v>4857</v>
      </c>
      <c r="C6595" s="501" t="s">
        <v>1094</v>
      </c>
      <c r="D6595" s="501" t="s">
        <v>3380</v>
      </c>
      <c r="E6595" s="501" t="s">
        <v>3381</v>
      </c>
      <c r="F6595" s="501" t="s">
        <v>826</v>
      </c>
      <c r="G6595" s="501" t="s">
        <v>827</v>
      </c>
      <c r="H6595" s="501" t="s">
        <v>8683</v>
      </c>
      <c r="I6595" s="501">
        <v>28</v>
      </c>
      <c r="J6595" s="501">
        <v>28</v>
      </c>
      <c r="K6595" s="501">
        <v>0</v>
      </c>
      <c r="L6595" s="501">
        <v>0</v>
      </c>
      <c r="M6595" s="501">
        <v>0</v>
      </c>
      <c r="N6595" s="501">
        <v>0</v>
      </c>
      <c r="O6595" s="506">
        <v>0</v>
      </c>
    </row>
    <row r="6596" spans="1:15" x14ac:dyDescent="0.35">
      <c r="A6596" s="503" t="s">
        <v>1209</v>
      </c>
      <c r="B6596" s="504">
        <v>4779</v>
      </c>
      <c r="C6596" s="504" t="s">
        <v>1094</v>
      </c>
      <c r="D6596" s="504" t="s">
        <v>3380</v>
      </c>
      <c r="E6596" s="504" t="s">
        <v>3381</v>
      </c>
      <c r="F6596" s="504" t="s">
        <v>826</v>
      </c>
      <c r="G6596" s="504" t="s">
        <v>827</v>
      </c>
      <c r="H6596" s="504" t="s">
        <v>8684</v>
      </c>
      <c r="I6596" s="504">
        <v>14</v>
      </c>
      <c r="J6596" s="504">
        <v>0</v>
      </c>
      <c r="K6596" s="504">
        <v>0</v>
      </c>
      <c r="L6596" s="504">
        <v>14</v>
      </c>
      <c r="M6596" s="504">
        <v>0</v>
      </c>
      <c r="N6596" s="504">
        <v>0</v>
      </c>
      <c r="O6596" s="505">
        <v>0</v>
      </c>
    </row>
    <row r="6597" spans="1:15" x14ac:dyDescent="0.35">
      <c r="A6597" s="500" t="s">
        <v>1503</v>
      </c>
      <c r="B6597" s="501">
        <v>4666</v>
      </c>
      <c r="C6597" s="501" t="s">
        <v>1089</v>
      </c>
      <c r="D6597" s="501" t="s">
        <v>3392</v>
      </c>
      <c r="E6597" s="501" t="s">
        <v>3381</v>
      </c>
      <c r="F6597" s="501" t="s">
        <v>826</v>
      </c>
      <c r="G6597" s="501" t="s">
        <v>827</v>
      </c>
      <c r="H6597" s="501" t="s">
        <v>8685</v>
      </c>
      <c r="I6597" s="501">
        <v>3</v>
      </c>
      <c r="J6597" s="501">
        <v>0</v>
      </c>
      <c r="K6597" s="501">
        <v>0</v>
      </c>
      <c r="L6597" s="501">
        <v>3</v>
      </c>
      <c r="M6597" s="501">
        <v>0</v>
      </c>
      <c r="N6597" s="501">
        <v>0</v>
      </c>
      <c r="O6597" s="506">
        <v>0</v>
      </c>
    </row>
    <row r="6598" spans="1:15" x14ac:dyDescent="0.35">
      <c r="A6598" s="503" t="s">
        <v>1744</v>
      </c>
      <c r="B6598" s="504" t="s">
        <v>3245</v>
      </c>
      <c r="C6598" s="504" t="s">
        <v>1094</v>
      </c>
      <c r="D6598" s="504" t="s">
        <v>3380</v>
      </c>
      <c r="E6598" s="504" t="s">
        <v>3381</v>
      </c>
      <c r="F6598" s="504" t="s">
        <v>826</v>
      </c>
      <c r="G6598" s="504" t="s">
        <v>827</v>
      </c>
      <c r="H6598" s="504" t="s">
        <v>8686</v>
      </c>
      <c r="I6598" s="504">
        <v>2</v>
      </c>
      <c r="J6598" s="504">
        <v>0</v>
      </c>
      <c r="K6598" s="504">
        <v>0</v>
      </c>
      <c r="L6598" s="504">
        <v>2</v>
      </c>
      <c r="M6598" s="504">
        <v>0</v>
      </c>
      <c r="N6598" s="504">
        <v>0</v>
      </c>
      <c r="O6598" s="505">
        <v>0</v>
      </c>
    </row>
    <row r="6599" spans="1:15" x14ac:dyDescent="0.35">
      <c r="A6599" s="500" t="s">
        <v>1223</v>
      </c>
      <c r="B6599" s="501">
        <v>4768</v>
      </c>
      <c r="C6599" s="501" t="s">
        <v>1089</v>
      </c>
      <c r="D6599" s="501" t="s">
        <v>3392</v>
      </c>
      <c r="E6599" s="501" t="s">
        <v>3381</v>
      </c>
      <c r="F6599" s="501" t="s">
        <v>826</v>
      </c>
      <c r="G6599" s="501" t="s">
        <v>827</v>
      </c>
      <c r="H6599" s="501" t="s">
        <v>8687</v>
      </c>
      <c r="I6599" s="501">
        <v>7</v>
      </c>
      <c r="J6599" s="501">
        <v>1</v>
      </c>
      <c r="K6599" s="501">
        <v>0</v>
      </c>
      <c r="L6599" s="501">
        <v>6</v>
      </c>
      <c r="M6599" s="501">
        <v>0</v>
      </c>
      <c r="N6599" s="501">
        <v>0</v>
      </c>
      <c r="O6599" s="506">
        <v>0</v>
      </c>
    </row>
    <row r="6600" spans="1:15" x14ac:dyDescent="0.35">
      <c r="A6600" s="503" t="s">
        <v>1122</v>
      </c>
      <c r="B6600" s="504" t="s">
        <v>2994</v>
      </c>
      <c r="C6600" s="504" t="s">
        <v>1094</v>
      </c>
      <c r="D6600" s="504" t="s">
        <v>3380</v>
      </c>
      <c r="E6600" s="504" t="s">
        <v>3381</v>
      </c>
      <c r="F6600" s="504" t="s">
        <v>826</v>
      </c>
      <c r="G6600" s="504" t="s">
        <v>827</v>
      </c>
      <c r="H6600" s="504" t="s">
        <v>8688</v>
      </c>
      <c r="I6600" s="504">
        <v>191</v>
      </c>
      <c r="J6600" s="504">
        <v>66</v>
      </c>
      <c r="K6600" s="504">
        <v>0</v>
      </c>
      <c r="L6600" s="504">
        <v>3</v>
      </c>
      <c r="M6600" s="504">
        <v>103</v>
      </c>
      <c r="N6600" s="504">
        <v>0</v>
      </c>
      <c r="O6600" s="505">
        <v>19</v>
      </c>
    </row>
    <row r="6601" spans="1:15" x14ac:dyDescent="0.35">
      <c r="A6601" s="500" t="s">
        <v>1225</v>
      </c>
      <c r="B6601" s="501" t="s">
        <v>3315</v>
      </c>
      <c r="C6601" s="501" t="s">
        <v>1094</v>
      </c>
      <c r="D6601" s="501" t="s">
        <v>3380</v>
      </c>
      <c r="E6601" s="501" t="s">
        <v>3381</v>
      </c>
      <c r="F6601" s="501" t="s">
        <v>826</v>
      </c>
      <c r="G6601" s="501" t="s">
        <v>827</v>
      </c>
      <c r="H6601" s="501" t="s">
        <v>8689</v>
      </c>
      <c r="I6601" s="501">
        <v>11</v>
      </c>
      <c r="J6601" s="501">
        <v>0</v>
      </c>
      <c r="K6601" s="501">
        <v>0</v>
      </c>
      <c r="L6601" s="501">
        <v>11</v>
      </c>
      <c r="M6601" s="501">
        <v>0</v>
      </c>
      <c r="N6601" s="501">
        <v>0</v>
      </c>
      <c r="O6601" s="506">
        <v>0</v>
      </c>
    </row>
    <row r="6602" spans="1:15" x14ac:dyDescent="0.35">
      <c r="A6602" s="503" t="s">
        <v>1228</v>
      </c>
      <c r="B6602" s="504" t="s">
        <v>3321</v>
      </c>
      <c r="C6602" s="504" t="s">
        <v>1094</v>
      </c>
      <c r="D6602" s="504" t="s">
        <v>3380</v>
      </c>
      <c r="E6602" s="504" t="s">
        <v>3381</v>
      </c>
      <c r="F6602" s="504" t="s">
        <v>826</v>
      </c>
      <c r="G6602" s="504" t="s">
        <v>827</v>
      </c>
      <c r="H6602" s="504" t="s">
        <v>8690</v>
      </c>
      <c r="I6602" s="504">
        <v>2</v>
      </c>
      <c r="J6602" s="504">
        <v>0</v>
      </c>
      <c r="K6602" s="504">
        <v>0</v>
      </c>
      <c r="L6602" s="504">
        <v>2</v>
      </c>
      <c r="M6602" s="504">
        <v>0</v>
      </c>
      <c r="N6602" s="504">
        <v>0</v>
      </c>
      <c r="O6602" s="505">
        <v>0</v>
      </c>
    </row>
    <row r="6603" spans="1:15" x14ac:dyDescent="0.35">
      <c r="A6603" s="500" t="s">
        <v>1752</v>
      </c>
      <c r="B6603" s="501">
        <v>4653</v>
      </c>
      <c r="C6603" s="501" t="s">
        <v>1094</v>
      </c>
      <c r="D6603" s="501" t="s">
        <v>3380</v>
      </c>
      <c r="E6603" s="501" t="s">
        <v>3381</v>
      </c>
      <c r="F6603" s="501" t="s">
        <v>826</v>
      </c>
      <c r="G6603" s="501" t="s">
        <v>827</v>
      </c>
      <c r="H6603" s="501" t="s">
        <v>8691</v>
      </c>
      <c r="I6603" s="501">
        <v>183</v>
      </c>
      <c r="J6603" s="501">
        <v>128</v>
      </c>
      <c r="K6603" s="501">
        <v>0</v>
      </c>
      <c r="L6603" s="501">
        <v>16</v>
      </c>
      <c r="M6603" s="501">
        <v>39</v>
      </c>
      <c r="N6603" s="501">
        <v>0</v>
      </c>
      <c r="O6603" s="506">
        <v>0</v>
      </c>
    </row>
    <row r="6604" spans="1:15" x14ac:dyDescent="0.35">
      <c r="A6604" s="503" t="s">
        <v>1249</v>
      </c>
      <c r="B6604" s="504">
        <v>4729</v>
      </c>
      <c r="C6604" s="504" t="s">
        <v>1094</v>
      </c>
      <c r="D6604" s="504" t="s">
        <v>3380</v>
      </c>
      <c r="E6604" s="504" t="s">
        <v>3381</v>
      </c>
      <c r="F6604" s="504" t="s">
        <v>826</v>
      </c>
      <c r="G6604" s="504" t="s">
        <v>827</v>
      </c>
      <c r="H6604" s="504" t="s">
        <v>8692</v>
      </c>
      <c r="I6604" s="504">
        <v>69</v>
      </c>
      <c r="J6604" s="504">
        <v>45</v>
      </c>
      <c r="K6604" s="504">
        <v>0</v>
      </c>
      <c r="L6604" s="504">
        <v>0</v>
      </c>
      <c r="M6604" s="504">
        <v>24</v>
      </c>
      <c r="N6604" s="504">
        <v>0</v>
      </c>
      <c r="O6604" s="505">
        <v>0</v>
      </c>
    </row>
    <row r="6605" spans="1:15" x14ac:dyDescent="0.35">
      <c r="A6605" s="500" t="s">
        <v>1257</v>
      </c>
      <c r="B6605" s="501" t="s">
        <v>3151</v>
      </c>
      <c r="C6605" s="501" t="s">
        <v>1094</v>
      </c>
      <c r="D6605" s="501" t="s">
        <v>3380</v>
      </c>
      <c r="E6605" s="501" t="s">
        <v>3381</v>
      </c>
      <c r="F6605" s="501" t="s">
        <v>826</v>
      </c>
      <c r="G6605" s="501" t="s">
        <v>827</v>
      </c>
      <c r="H6605" s="501" t="s">
        <v>8693</v>
      </c>
      <c r="I6605" s="501">
        <v>3593</v>
      </c>
      <c r="J6605" s="501">
        <v>3551</v>
      </c>
      <c r="K6605" s="501">
        <v>0</v>
      </c>
      <c r="L6605" s="501">
        <v>0</v>
      </c>
      <c r="M6605" s="501">
        <v>42</v>
      </c>
      <c r="N6605" s="501">
        <v>0</v>
      </c>
      <c r="O6605" s="506">
        <v>0</v>
      </c>
    </row>
    <row r="6606" spans="1:15" x14ac:dyDescent="0.35">
      <c r="A6606" s="503" t="s">
        <v>1266</v>
      </c>
      <c r="B6606" s="504" t="s">
        <v>3071</v>
      </c>
      <c r="C6606" s="504" t="s">
        <v>1094</v>
      </c>
      <c r="D6606" s="504" t="s">
        <v>3380</v>
      </c>
      <c r="E6606" s="504" t="s">
        <v>3381</v>
      </c>
      <c r="F6606" s="504" t="s">
        <v>826</v>
      </c>
      <c r="G6606" s="504" t="s">
        <v>827</v>
      </c>
      <c r="H6606" s="504" t="s">
        <v>8694</v>
      </c>
      <c r="I6606" s="504">
        <v>175</v>
      </c>
      <c r="J6606" s="504">
        <v>173</v>
      </c>
      <c r="K6606" s="504">
        <v>0</v>
      </c>
      <c r="L6606" s="504">
        <v>2</v>
      </c>
      <c r="M6606" s="504">
        <v>0</v>
      </c>
      <c r="N6606" s="504">
        <v>0</v>
      </c>
      <c r="O6606" s="505">
        <v>0</v>
      </c>
    </row>
    <row r="6607" spans="1:15" x14ac:dyDescent="0.35">
      <c r="A6607" s="500" t="s">
        <v>1091</v>
      </c>
      <c r="B6607" s="501" t="s">
        <v>3288</v>
      </c>
      <c r="C6607" s="501" t="s">
        <v>1089</v>
      </c>
      <c r="D6607" s="501" t="s">
        <v>3392</v>
      </c>
      <c r="E6607" s="501" t="s">
        <v>3381</v>
      </c>
      <c r="F6607" s="501" t="s">
        <v>828</v>
      </c>
      <c r="G6607" s="501" t="s">
        <v>829</v>
      </c>
      <c r="H6607" s="501" t="s">
        <v>8695</v>
      </c>
      <c r="I6607" s="501">
        <v>13</v>
      </c>
      <c r="J6607" s="501">
        <v>0</v>
      </c>
      <c r="K6607" s="501">
        <v>0</v>
      </c>
      <c r="L6607" s="501">
        <v>13</v>
      </c>
      <c r="M6607" s="501">
        <v>0</v>
      </c>
      <c r="N6607" s="501">
        <v>0</v>
      </c>
      <c r="O6607" s="506">
        <v>0</v>
      </c>
    </row>
    <row r="6608" spans="1:15" x14ac:dyDescent="0.35">
      <c r="A6608" s="503" t="s">
        <v>11363</v>
      </c>
      <c r="B6608" s="504">
        <v>4718</v>
      </c>
      <c r="C6608" s="504" t="s">
        <v>1094</v>
      </c>
      <c r="D6608" s="504" t="s">
        <v>3380</v>
      </c>
      <c r="E6608" s="504" t="s">
        <v>3381</v>
      </c>
      <c r="F6608" s="504" t="s">
        <v>828</v>
      </c>
      <c r="G6608" s="504" t="s">
        <v>829</v>
      </c>
      <c r="H6608" s="504" t="s">
        <v>11580</v>
      </c>
      <c r="I6608" s="504">
        <v>12</v>
      </c>
      <c r="J6608" s="504">
        <v>0</v>
      </c>
      <c r="K6608" s="504">
        <v>0</v>
      </c>
      <c r="L6608" s="504">
        <v>12</v>
      </c>
      <c r="M6608" s="504">
        <v>0</v>
      </c>
      <c r="N6608" s="504">
        <v>0</v>
      </c>
      <c r="O6608" s="505">
        <v>0</v>
      </c>
    </row>
    <row r="6609" spans="1:15" x14ac:dyDescent="0.35">
      <c r="A6609" s="500" t="s">
        <v>1100</v>
      </c>
      <c r="B6609" s="501">
        <v>4865</v>
      </c>
      <c r="C6609" s="501" t="s">
        <v>1094</v>
      </c>
      <c r="D6609" s="501" t="s">
        <v>3380</v>
      </c>
      <c r="E6609" s="501" t="s">
        <v>3381</v>
      </c>
      <c r="F6609" s="501" t="s">
        <v>828</v>
      </c>
      <c r="G6609" s="501" t="s">
        <v>829</v>
      </c>
      <c r="H6609" s="501" t="s">
        <v>8696</v>
      </c>
      <c r="I6609" s="501">
        <v>359</v>
      </c>
      <c r="J6609" s="501">
        <v>348</v>
      </c>
      <c r="K6609" s="501">
        <v>0</v>
      </c>
      <c r="L6609" s="501">
        <v>0</v>
      </c>
      <c r="M6609" s="501">
        <v>0</v>
      </c>
      <c r="N6609" s="501">
        <v>0</v>
      </c>
      <c r="O6609" s="506">
        <v>11</v>
      </c>
    </row>
    <row r="6610" spans="1:15" x14ac:dyDescent="0.35">
      <c r="A6610" s="503" t="s">
        <v>1175</v>
      </c>
      <c r="B6610" s="504" t="s">
        <v>3141</v>
      </c>
      <c r="C6610" s="504" t="s">
        <v>1094</v>
      </c>
      <c r="D6610" s="504" t="s">
        <v>3380</v>
      </c>
      <c r="E6610" s="504" t="s">
        <v>3381</v>
      </c>
      <c r="F6610" s="504" t="s">
        <v>828</v>
      </c>
      <c r="G6610" s="504" t="s">
        <v>829</v>
      </c>
      <c r="H6610" s="504" t="s">
        <v>8697</v>
      </c>
      <c r="I6610" s="504">
        <v>7</v>
      </c>
      <c r="J6610" s="504">
        <v>7</v>
      </c>
      <c r="K6610" s="504">
        <v>0</v>
      </c>
      <c r="L6610" s="504">
        <v>0</v>
      </c>
      <c r="M6610" s="504">
        <v>0</v>
      </c>
      <c r="N6610" s="504">
        <v>0</v>
      </c>
      <c r="O6610" s="505">
        <v>0</v>
      </c>
    </row>
    <row r="6611" spans="1:15" x14ac:dyDescent="0.35">
      <c r="A6611" s="500" t="s">
        <v>1834</v>
      </c>
      <c r="B6611" s="501" t="s">
        <v>3097</v>
      </c>
      <c r="C6611" s="501" t="s">
        <v>1089</v>
      </c>
      <c r="D6611" s="501" t="s">
        <v>3392</v>
      </c>
      <c r="E6611" s="501" t="s">
        <v>3381</v>
      </c>
      <c r="F6611" s="501" t="s">
        <v>828</v>
      </c>
      <c r="G6611" s="501" t="s">
        <v>829</v>
      </c>
      <c r="H6611" s="501" t="s">
        <v>8698</v>
      </c>
      <c r="I6611" s="501">
        <v>52</v>
      </c>
      <c r="J6611" s="501">
        <v>0</v>
      </c>
      <c r="K6611" s="501">
        <v>0</v>
      </c>
      <c r="L6611" s="501">
        <v>0</v>
      </c>
      <c r="M6611" s="501">
        <v>52</v>
      </c>
      <c r="N6611" s="501">
        <v>0</v>
      </c>
      <c r="O6611" s="506">
        <v>0</v>
      </c>
    </row>
    <row r="6612" spans="1:15" x14ac:dyDescent="0.35">
      <c r="A6612" s="503" t="s">
        <v>1187</v>
      </c>
      <c r="B6612" s="504" t="s">
        <v>2951</v>
      </c>
      <c r="C6612" s="504" t="s">
        <v>1094</v>
      </c>
      <c r="D6612" s="504" t="s">
        <v>3380</v>
      </c>
      <c r="E6612" s="504" t="s">
        <v>3381</v>
      </c>
      <c r="F6612" s="504" t="s">
        <v>828</v>
      </c>
      <c r="G6612" s="504" t="s">
        <v>829</v>
      </c>
      <c r="H6612" s="504" t="s">
        <v>8699</v>
      </c>
      <c r="I6612" s="504">
        <v>76</v>
      </c>
      <c r="J6612" s="504">
        <v>54</v>
      </c>
      <c r="K6612" s="504">
        <v>0</v>
      </c>
      <c r="L6612" s="504">
        <v>0</v>
      </c>
      <c r="M6612" s="504">
        <v>0</v>
      </c>
      <c r="N6612" s="504">
        <v>0</v>
      </c>
      <c r="O6612" s="505">
        <v>22</v>
      </c>
    </row>
    <row r="6613" spans="1:15" x14ac:dyDescent="0.35">
      <c r="A6613" s="500" t="s">
        <v>1105</v>
      </c>
      <c r="B6613" s="501">
        <v>4668</v>
      </c>
      <c r="C6613" s="501" t="s">
        <v>1094</v>
      </c>
      <c r="D6613" s="501" t="s">
        <v>3380</v>
      </c>
      <c r="E6613" s="501" t="s">
        <v>3381</v>
      </c>
      <c r="F6613" s="501" t="s">
        <v>828</v>
      </c>
      <c r="G6613" s="501" t="s">
        <v>829</v>
      </c>
      <c r="H6613" s="501" t="s">
        <v>8700</v>
      </c>
      <c r="I6613" s="501">
        <v>24</v>
      </c>
      <c r="J6613" s="501">
        <v>0</v>
      </c>
      <c r="K6613" s="501">
        <v>0</v>
      </c>
      <c r="L6613" s="501">
        <v>0</v>
      </c>
      <c r="M6613" s="501">
        <v>0</v>
      </c>
      <c r="N6613" s="501">
        <v>0</v>
      </c>
      <c r="O6613" s="506">
        <v>24</v>
      </c>
    </row>
    <row r="6614" spans="1:15" x14ac:dyDescent="0.35">
      <c r="A6614" s="503" t="s">
        <v>1107</v>
      </c>
      <c r="B6614" s="504" t="s">
        <v>3109</v>
      </c>
      <c r="C6614" s="504" t="s">
        <v>1094</v>
      </c>
      <c r="D6614" s="504" t="s">
        <v>3380</v>
      </c>
      <c r="E6614" s="504" t="s">
        <v>3381</v>
      </c>
      <c r="F6614" s="504" t="s">
        <v>828</v>
      </c>
      <c r="G6614" s="504" t="s">
        <v>829</v>
      </c>
      <c r="H6614" s="504" t="s">
        <v>8701</v>
      </c>
      <c r="I6614" s="504">
        <v>2</v>
      </c>
      <c r="J6614" s="504">
        <v>2</v>
      </c>
      <c r="K6614" s="504">
        <v>0</v>
      </c>
      <c r="L6614" s="504">
        <v>0</v>
      </c>
      <c r="M6614" s="504">
        <v>0</v>
      </c>
      <c r="N6614" s="504">
        <v>0</v>
      </c>
      <c r="O6614" s="505">
        <v>0</v>
      </c>
    </row>
    <row r="6615" spans="1:15" x14ac:dyDescent="0.35">
      <c r="A6615" s="500" t="s">
        <v>1109</v>
      </c>
      <c r="B6615" s="501" t="s">
        <v>2959</v>
      </c>
      <c r="C6615" s="501" t="s">
        <v>1094</v>
      </c>
      <c r="D6615" s="501" t="s">
        <v>3380</v>
      </c>
      <c r="E6615" s="501" t="s">
        <v>3381</v>
      </c>
      <c r="F6615" s="501" t="s">
        <v>828</v>
      </c>
      <c r="G6615" s="501" t="s">
        <v>829</v>
      </c>
      <c r="H6615" s="501" t="s">
        <v>8702</v>
      </c>
      <c r="I6615" s="501">
        <v>41</v>
      </c>
      <c r="J6615" s="501">
        <v>0</v>
      </c>
      <c r="K6615" s="501">
        <v>0</v>
      </c>
      <c r="L6615" s="501">
        <v>0</v>
      </c>
      <c r="M6615" s="501">
        <v>41</v>
      </c>
      <c r="N6615" s="501">
        <v>0</v>
      </c>
      <c r="O6615" s="506">
        <v>0</v>
      </c>
    </row>
    <row r="6616" spans="1:15" x14ac:dyDescent="0.35">
      <c r="A6616" s="503" t="s">
        <v>1310</v>
      </c>
      <c r="B6616" s="504">
        <v>5062</v>
      </c>
      <c r="C6616" s="504" t="s">
        <v>1089</v>
      </c>
      <c r="D6616" s="504" t="s">
        <v>3380</v>
      </c>
      <c r="E6616" s="504" t="s">
        <v>3381</v>
      </c>
      <c r="F6616" s="504" t="s">
        <v>828</v>
      </c>
      <c r="G6616" s="504" t="s">
        <v>829</v>
      </c>
      <c r="H6616" s="504" t="s">
        <v>14997</v>
      </c>
      <c r="I6616" s="504">
        <v>5</v>
      </c>
      <c r="J6616" s="504">
        <v>3</v>
      </c>
      <c r="K6616" s="504">
        <v>0</v>
      </c>
      <c r="L6616" s="504">
        <v>0</v>
      </c>
      <c r="M6616" s="504">
        <v>0</v>
      </c>
      <c r="N6616" s="504">
        <v>0</v>
      </c>
      <c r="O6616" s="505">
        <v>2</v>
      </c>
    </row>
    <row r="6617" spans="1:15" x14ac:dyDescent="0.35">
      <c r="A6617" s="500" t="s">
        <v>1202</v>
      </c>
      <c r="B6617" s="501" t="s">
        <v>3217</v>
      </c>
      <c r="C6617" s="501" t="s">
        <v>1094</v>
      </c>
      <c r="D6617" s="501" t="s">
        <v>3380</v>
      </c>
      <c r="E6617" s="501" t="s">
        <v>3381</v>
      </c>
      <c r="F6617" s="501" t="s">
        <v>828</v>
      </c>
      <c r="G6617" s="501" t="s">
        <v>829</v>
      </c>
      <c r="H6617" s="501" t="s">
        <v>11843</v>
      </c>
      <c r="I6617" s="501">
        <v>1</v>
      </c>
      <c r="J6617" s="501">
        <v>0</v>
      </c>
      <c r="K6617" s="501">
        <v>0</v>
      </c>
      <c r="L6617" s="501">
        <v>0</v>
      </c>
      <c r="M6617" s="501">
        <v>0</v>
      </c>
      <c r="N6617" s="501">
        <v>0</v>
      </c>
      <c r="O6617" s="506">
        <v>1</v>
      </c>
    </row>
    <row r="6618" spans="1:15" x14ac:dyDescent="0.35">
      <c r="A6618" s="503" t="s">
        <v>1114</v>
      </c>
      <c r="B6618" s="504" t="s">
        <v>2982</v>
      </c>
      <c r="C6618" s="504" t="s">
        <v>1094</v>
      </c>
      <c r="D6618" s="504" t="s">
        <v>3380</v>
      </c>
      <c r="E6618" s="504" t="s">
        <v>3381</v>
      </c>
      <c r="F6618" s="504" t="s">
        <v>828</v>
      </c>
      <c r="G6618" s="504" t="s">
        <v>829</v>
      </c>
      <c r="H6618" s="504" t="s">
        <v>8703</v>
      </c>
      <c r="I6618" s="504">
        <v>1</v>
      </c>
      <c r="J6618" s="504">
        <v>0</v>
      </c>
      <c r="K6618" s="504">
        <v>0</v>
      </c>
      <c r="L6618" s="504">
        <v>0</v>
      </c>
      <c r="M6618" s="504">
        <v>0</v>
      </c>
      <c r="N6618" s="504">
        <v>0</v>
      </c>
      <c r="O6618" s="505">
        <v>1</v>
      </c>
    </row>
    <row r="6619" spans="1:15" x14ac:dyDescent="0.35">
      <c r="A6619" s="500" t="s">
        <v>1217</v>
      </c>
      <c r="B6619" s="501">
        <v>4851</v>
      </c>
      <c r="C6619" s="501" t="s">
        <v>1094</v>
      </c>
      <c r="D6619" s="501" t="s">
        <v>3380</v>
      </c>
      <c r="E6619" s="501" t="s">
        <v>3381</v>
      </c>
      <c r="F6619" s="501" t="s">
        <v>828</v>
      </c>
      <c r="G6619" s="501" t="s">
        <v>829</v>
      </c>
      <c r="H6619" s="501" t="s">
        <v>8704</v>
      </c>
      <c r="I6619" s="501">
        <v>3476</v>
      </c>
      <c r="J6619" s="501">
        <v>2813</v>
      </c>
      <c r="K6619" s="501">
        <v>0</v>
      </c>
      <c r="L6619" s="501">
        <v>0</v>
      </c>
      <c r="M6619" s="501">
        <v>440</v>
      </c>
      <c r="N6619" s="501">
        <v>5</v>
      </c>
      <c r="O6619" s="506">
        <v>223</v>
      </c>
    </row>
    <row r="6620" spans="1:15" x14ac:dyDescent="0.35">
      <c r="A6620" s="503" t="s">
        <v>1218</v>
      </c>
      <c r="B6620" s="504" t="s">
        <v>3147</v>
      </c>
      <c r="C6620" s="504" t="s">
        <v>1094</v>
      </c>
      <c r="D6620" s="504" t="s">
        <v>3380</v>
      </c>
      <c r="E6620" s="504" t="s">
        <v>3381</v>
      </c>
      <c r="F6620" s="504" t="s">
        <v>828</v>
      </c>
      <c r="G6620" s="504" t="s">
        <v>829</v>
      </c>
      <c r="H6620" s="504" t="s">
        <v>8705</v>
      </c>
      <c r="I6620" s="504">
        <v>100</v>
      </c>
      <c r="J6620" s="504">
        <v>0</v>
      </c>
      <c r="K6620" s="504">
        <v>0</v>
      </c>
      <c r="L6620" s="504">
        <v>0</v>
      </c>
      <c r="M6620" s="504">
        <v>0</v>
      </c>
      <c r="N6620" s="504">
        <v>0</v>
      </c>
      <c r="O6620" s="505">
        <v>100</v>
      </c>
    </row>
    <row r="6621" spans="1:15" x14ac:dyDescent="0.35">
      <c r="A6621" s="500" t="s">
        <v>11367</v>
      </c>
      <c r="B6621" s="501" t="s">
        <v>3143</v>
      </c>
      <c r="C6621" s="501" t="s">
        <v>1094</v>
      </c>
      <c r="D6621" s="501" t="s">
        <v>3380</v>
      </c>
      <c r="E6621" s="501" t="s">
        <v>3381</v>
      </c>
      <c r="F6621" s="501" t="s">
        <v>828</v>
      </c>
      <c r="G6621" s="501" t="s">
        <v>829</v>
      </c>
      <c r="H6621" s="501" t="s">
        <v>11947</v>
      </c>
      <c r="I6621" s="501">
        <v>508</v>
      </c>
      <c r="J6621" s="501">
        <v>501</v>
      </c>
      <c r="K6621" s="501">
        <v>0</v>
      </c>
      <c r="L6621" s="501">
        <v>7</v>
      </c>
      <c r="M6621" s="501">
        <v>0</v>
      </c>
      <c r="N6621" s="501">
        <v>1</v>
      </c>
      <c r="O6621" s="506">
        <v>0</v>
      </c>
    </row>
    <row r="6622" spans="1:15" x14ac:dyDescent="0.35">
      <c r="A6622" s="503" t="s">
        <v>1332</v>
      </c>
      <c r="B6622" s="504">
        <v>4878</v>
      </c>
      <c r="C6622" s="504" t="s">
        <v>1094</v>
      </c>
      <c r="D6622" s="504" t="s">
        <v>3380</v>
      </c>
      <c r="E6622" s="504" t="s">
        <v>3381</v>
      </c>
      <c r="F6622" s="504" t="s">
        <v>828</v>
      </c>
      <c r="G6622" s="504" t="s">
        <v>829</v>
      </c>
      <c r="H6622" s="504" t="s">
        <v>14998</v>
      </c>
      <c r="I6622" s="504">
        <v>14</v>
      </c>
      <c r="J6622" s="504">
        <v>0</v>
      </c>
      <c r="K6622" s="504">
        <v>0</v>
      </c>
      <c r="L6622" s="504">
        <v>14</v>
      </c>
      <c r="M6622" s="504">
        <v>0</v>
      </c>
      <c r="N6622" s="504">
        <v>0</v>
      </c>
      <c r="O6622" s="505">
        <v>0</v>
      </c>
    </row>
    <row r="6623" spans="1:15" x14ac:dyDescent="0.35">
      <c r="A6623" s="500" t="s">
        <v>1122</v>
      </c>
      <c r="B6623" s="501" t="s">
        <v>2994</v>
      </c>
      <c r="C6623" s="501" t="s">
        <v>1094</v>
      </c>
      <c r="D6623" s="501" t="s">
        <v>3380</v>
      </c>
      <c r="E6623" s="501" t="s">
        <v>3381</v>
      </c>
      <c r="F6623" s="501" t="s">
        <v>828</v>
      </c>
      <c r="G6623" s="501" t="s">
        <v>829</v>
      </c>
      <c r="H6623" s="501" t="s">
        <v>14999</v>
      </c>
      <c r="I6623" s="501">
        <v>5</v>
      </c>
      <c r="J6623" s="501">
        <v>5</v>
      </c>
      <c r="K6623" s="501">
        <v>0</v>
      </c>
      <c r="L6623" s="501">
        <v>0</v>
      </c>
      <c r="M6623" s="501">
        <v>0</v>
      </c>
      <c r="N6623" s="501">
        <v>0</v>
      </c>
      <c r="O6623" s="506">
        <v>0</v>
      </c>
    </row>
    <row r="6624" spans="1:15" x14ac:dyDescent="0.35">
      <c r="A6624" s="503" t="s">
        <v>1233</v>
      </c>
      <c r="B6624" s="504">
        <v>4636</v>
      </c>
      <c r="C6624" s="504" t="s">
        <v>1094</v>
      </c>
      <c r="D6624" s="504" t="s">
        <v>3380</v>
      </c>
      <c r="E6624" s="504" t="s">
        <v>3381</v>
      </c>
      <c r="F6624" s="504" t="s">
        <v>828</v>
      </c>
      <c r="G6624" s="504" t="s">
        <v>829</v>
      </c>
      <c r="H6624" s="504" t="s">
        <v>15000</v>
      </c>
      <c r="I6624" s="504">
        <v>12</v>
      </c>
      <c r="J6624" s="504">
        <v>0</v>
      </c>
      <c r="K6624" s="504">
        <v>0</v>
      </c>
      <c r="L6624" s="504">
        <v>0</v>
      </c>
      <c r="M6624" s="504">
        <v>0</v>
      </c>
      <c r="N6624" s="504">
        <v>0</v>
      </c>
      <c r="O6624" s="505">
        <v>12</v>
      </c>
    </row>
    <row r="6625" spans="1:15" x14ac:dyDescent="0.35">
      <c r="A6625" s="500" t="s">
        <v>1126</v>
      </c>
      <c r="B6625" s="501" t="s">
        <v>2974</v>
      </c>
      <c r="C6625" s="501" t="s">
        <v>1094</v>
      </c>
      <c r="D6625" s="501" t="s">
        <v>3380</v>
      </c>
      <c r="E6625" s="501" t="s">
        <v>3381</v>
      </c>
      <c r="F6625" s="501" t="s">
        <v>828</v>
      </c>
      <c r="G6625" s="501" t="s">
        <v>829</v>
      </c>
      <c r="H6625" s="501" t="s">
        <v>8706</v>
      </c>
      <c r="I6625" s="501">
        <v>110</v>
      </c>
      <c r="J6625" s="501">
        <v>37</v>
      </c>
      <c r="K6625" s="501">
        <v>0</v>
      </c>
      <c r="L6625" s="501">
        <v>14</v>
      </c>
      <c r="M6625" s="501">
        <v>40</v>
      </c>
      <c r="N6625" s="501">
        <v>0</v>
      </c>
      <c r="O6625" s="506">
        <v>19</v>
      </c>
    </row>
    <row r="6626" spans="1:15" x14ac:dyDescent="0.35">
      <c r="A6626" s="503" t="s">
        <v>1892</v>
      </c>
      <c r="B6626" s="504" t="s">
        <v>3172</v>
      </c>
      <c r="C6626" s="504" t="s">
        <v>1094</v>
      </c>
      <c r="D6626" s="504" t="s">
        <v>3380</v>
      </c>
      <c r="E6626" s="504" t="s">
        <v>3381</v>
      </c>
      <c r="F6626" s="504" t="s">
        <v>828</v>
      </c>
      <c r="G6626" s="504" t="s">
        <v>829</v>
      </c>
      <c r="H6626" s="504" t="s">
        <v>8707</v>
      </c>
      <c r="I6626" s="504">
        <v>1</v>
      </c>
      <c r="J6626" s="504">
        <v>1</v>
      </c>
      <c r="K6626" s="504">
        <v>0</v>
      </c>
      <c r="L6626" s="504">
        <v>0</v>
      </c>
      <c r="M6626" s="504">
        <v>0</v>
      </c>
      <c r="N6626" s="504">
        <v>0</v>
      </c>
      <c r="O6626" s="505">
        <v>0</v>
      </c>
    </row>
    <row r="6627" spans="1:15" x14ac:dyDescent="0.35">
      <c r="A6627" s="500" t="s">
        <v>1130</v>
      </c>
      <c r="B6627" s="501" t="s">
        <v>3234</v>
      </c>
      <c r="C6627" s="501" t="s">
        <v>1094</v>
      </c>
      <c r="D6627" s="501" t="s">
        <v>3380</v>
      </c>
      <c r="E6627" s="501" t="s">
        <v>3381</v>
      </c>
      <c r="F6627" s="501" t="s">
        <v>828</v>
      </c>
      <c r="G6627" s="501" t="s">
        <v>829</v>
      </c>
      <c r="H6627" s="501" t="s">
        <v>8708</v>
      </c>
      <c r="I6627" s="501">
        <v>60</v>
      </c>
      <c r="J6627" s="501">
        <v>1</v>
      </c>
      <c r="K6627" s="501">
        <v>0</v>
      </c>
      <c r="L6627" s="501">
        <v>12</v>
      </c>
      <c r="M6627" s="501">
        <v>47</v>
      </c>
      <c r="N6627" s="501">
        <v>0</v>
      </c>
      <c r="O6627" s="506">
        <v>0</v>
      </c>
    </row>
    <row r="6628" spans="1:15" x14ac:dyDescent="0.35">
      <c r="A6628" s="503" t="s">
        <v>1134</v>
      </c>
      <c r="B6628" s="504" t="s">
        <v>3066</v>
      </c>
      <c r="C6628" s="504" t="s">
        <v>1094</v>
      </c>
      <c r="D6628" s="504" t="s">
        <v>3380</v>
      </c>
      <c r="E6628" s="504" t="s">
        <v>3381</v>
      </c>
      <c r="F6628" s="504" t="s">
        <v>828</v>
      </c>
      <c r="G6628" s="504" t="s">
        <v>829</v>
      </c>
      <c r="H6628" s="504" t="s">
        <v>8709</v>
      </c>
      <c r="I6628" s="504">
        <v>2</v>
      </c>
      <c r="J6628" s="504">
        <v>1</v>
      </c>
      <c r="K6628" s="504">
        <v>0</v>
      </c>
      <c r="L6628" s="504">
        <v>0</v>
      </c>
      <c r="M6628" s="504">
        <v>0</v>
      </c>
      <c r="N6628" s="504">
        <v>0</v>
      </c>
      <c r="O6628" s="505">
        <v>1</v>
      </c>
    </row>
    <row r="6629" spans="1:15" x14ac:dyDescent="0.35">
      <c r="A6629" s="500" t="s">
        <v>1904</v>
      </c>
      <c r="B6629" s="501" t="s">
        <v>3238</v>
      </c>
      <c r="C6629" s="501" t="s">
        <v>1089</v>
      </c>
      <c r="D6629" s="501" t="s">
        <v>3392</v>
      </c>
      <c r="E6629" s="501" t="s">
        <v>3381</v>
      </c>
      <c r="F6629" s="501" t="s">
        <v>828</v>
      </c>
      <c r="G6629" s="501" t="s">
        <v>829</v>
      </c>
      <c r="H6629" s="501" t="s">
        <v>8710</v>
      </c>
      <c r="I6629" s="501">
        <v>65</v>
      </c>
      <c r="J6629" s="501">
        <v>0</v>
      </c>
      <c r="K6629" s="501">
        <v>0</v>
      </c>
      <c r="L6629" s="501">
        <v>0</v>
      </c>
      <c r="M6629" s="501">
        <v>65</v>
      </c>
      <c r="N6629" s="501">
        <v>0</v>
      </c>
      <c r="O6629" s="506">
        <v>0</v>
      </c>
    </row>
    <row r="6630" spans="1:15" x14ac:dyDescent="0.35">
      <c r="A6630" s="503" t="s">
        <v>1193</v>
      </c>
      <c r="B6630" s="504" t="s">
        <v>3039</v>
      </c>
      <c r="C6630" s="504" t="s">
        <v>1094</v>
      </c>
      <c r="D6630" s="504" t="s">
        <v>3380</v>
      </c>
      <c r="E6630" s="504" t="s">
        <v>3381</v>
      </c>
      <c r="F6630" s="504" t="s">
        <v>830</v>
      </c>
      <c r="G6630" s="504" t="s">
        <v>831</v>
      </c>
      <c r="H6630" s="504" t="s">
        <v>8719</v>
      </c>
      <c r="I6630" s="504">
        <v>380</v>
      </c>
      <c r="J6630" s="504">
        <v>106</v>
      </c>
      <c r="K6630" s="504">
        <v>0</v>
      </c>
      <c r="L6630" s="504">
        <v>3</v>
      </c>
      <c r="M6630" s="504">
        <v>208</v>
      </c>
      <c r="N6630" s="504">
        <v>0</v>
      </c>
      <c r="O6630" s="505">
        <v>63</v>
      </c>
    </row>
    <row r="6631" spans="1:15" x14ac:dyDescent="0.35">
      <c r="A6631" s="500" t="s">
        <v>1145</v>
      </c>
      <c r="B6631" s="501" t="s">
        <v>3164</v>
      </c>
      <c r="C6631" s="501" t="s">
        <v>1094</v>
      </c>
      <c r="D6631" s="501" t="s">
        <v>3380</v>
      </c>
      <c r="E6631" s="501" t="s">
        <v>3381</v>
      </c>
      <c r="F6631" s="501" t="s">
        <v>830</v>
      </c>
      <c r="G6631" s="501" t="s">
        <v>831</v>
      </c>
      <c r="H6631" s="501" t="s">
        <v>8711</v>
      </c>
      <c r="I6631" s="501">
        <v>158</v>
      </c>
      <c r="J6631" s="501">
        <v>129</v>
      </c>
      <c r="K6631" s="501">
        <v>0</v>
      </c>
      <c r="L6631" s="501">
        <v>0</v>
      </c>
      <c r="M6631" s="501">
        <v>0</v>
      </c>
      <c r="N6631" s="501">
        <v>0</v>
      </c>
      <c r="O6631" s="506">
        <v>29</v>
      </c>
    </row>
    <row r="6632" spans="1:15" x14ac:dyDescent="0.35">
      <c r="A6632" s="503" t="s">
        <v>1146</v>
      </c>
      <c r="B6632" s="504">
        <v>4660</v>
      </c>
      <c r="C6632" s="504" t="s">
        <v>1089</v>
      </c>
      <c r="D6632" s="504" t="s">
        <v>3392</v>
      </c>
      <c r="E6632" s="504" t="s">
        <v>3381</v>
      </c>
      <c r="F6632" s="504" t="s">
        <v>830</v>
      </c>
      <c r="G6632" s="504" t="s">
        <v>831</v>
      </c>
      <c r="H6632" s="504" t="s">
        <v>8712</v>
      </c>
      <c r="I6632" s="504">
        <v>57</v>
      </c>
      <c r="J6632" s="504">
        <v>30</v>
      </c>
      <c r="K6632" s="504">
        <v>0</v>
      </c>
      <c r="L6632" s="504">
        <v>27</v>
      </c>
      <c r="M6632" s="504">
        <v>0</v>
      </c>
      <c r="N6632" s="504">
        <v>0</v>
      </c>
      <c r="O6632" s="505">
        <v>0</v>
      </c>
    </row>
    <row r="6633" spans="1:15" x14ac:dyDescent="0.35">
      <c r="A6633" s="500" t="s">
        <v>1148</v>
      </c>
      <c r="B6633" s="501">
        <v>4741</v>
      </c>
      <c r="C6633" s="501" t="s">
        <v>1089</v>
      </c>
      <c r="D6633" s="501" t="s">
        <v>3392</v>
      </c>
      <c r="E6633" s="501" t="s">
        <v>3381</v>
      </c>
      <c r="F6633" s="501" t="s">
        <v>830</v>
      </c>
      <c r="G6633" s="501" t="s">
        <v>831</v>
      </c>
      <c r="H6633" s="501" t="s">
        <v>8713</v>
      </c>
      <c r="I6633" s="501">
        <v>26</v>
      </c>
      <c r="J6633" s="501">
        <v>26</v>
      </c>
      <c r="K6633" s="501">
        <v>0</v>
      </c>
      <c r="L6633" s="501">
        <v>0</v>
      </c>
      <c r="M6633" s="501">
        <v>0</v>
      </c>
      <c r="N6633" s="501">
        <v>0</v>
      </c>
      <c r="O6633" s="506">
        <v>0</v>
      </c>
    </row>
    <row r="6634" spans="1:15" x14ac:dyDescent="0.35">
      <c r="A6634" s="503" t="s">
        <v>1096</v>
      </c>
      <c r="B6634" s="504" t="s">
        <v>3326</v>
      </c>
      <c r="C6634" s="504" t="s">
        <v>1094</v>
      </c>
      <c r="D6634" s="504" t="s">
        <v>3380</v>
      </c>
      <c r="E6634" s="504" t="s">
        <v>3381</v>
      </c>
      <c r="F6634" s="504" t="s">
        <v>830</v>
      </c>
      <c r="G6634" s="504" t="s">
        <v>831</v>
      </c>
      <c r="H6634" s="504" t="s">
        <v>8714</v>
      </c>
      <c r="I6634" s="504">
        <v>149</v>
      </c>
      <c r="J6634" s="504">
        <v>8</v>
      </c>
      <c r="K6634" s="504">
        <v>0</v>
      </c>
      <c r="L6634" s="504">
        <v>0</v>
      </c>
      <c r="M6634" s="504">
        <v>141</v>
      </c>
      <c r="N6634" s="504">
        <v>0</v>
      </c>
      <c r="O6634" s="505">
        <v>0</v>
      </c>
    </row>
    <row r="6635" spans="1:15" x14ac:dyDescent="0.35">
      <c r="A6635" s="500" t="s">
        <v>1149</v>
      </c>
      <c r="B6635" s="501" t="s">
        <v>3261</v>
      </c>
      <c r="C6635" s="501" t="s">
        <v>1094</v>
      </c>
      <c r="D6635" s="501" t="s">
        <v>3380</v>
      </c>
      <c r="E6635" s="501" t="s">
        <v>3381</v>
      </c>
      <c r="F6635" s="501" t="s">
        <v>830</v>
      </c>
      <c r="G6635" s="501" t="s">
        <v>831</v>
      </c>
      <c r="H6635" s="501" t="s">
        <v>8715</v>
      </c>
      <c r="I6635" s="501">
        <v>333</v>
      </c>
      <c r="J6635" s="501">
        <v>257</v>
      </c>
      <c r="K6635" s="501">
        <v>0</v>
      </c>
      <c r="L6635" s="501">
        <v>0</v>
      </c>
      <c r="M6635" s="501">
        <v>0</v>
      </c>
      <c r="N6635" s="501">
        <v>0</v>
      </c>
      <c r="O6635" s="506">
        <v>76</v>
      </c>
    </row>
    <row r="6636" spans="1:15" x14ac:dyDescent="0.35">
      <c r="A6636" s="503" t="s">
        <v>11363</v>
      </c>
      <c r="B6636" s="504">
        <v>4718</v>
      </c>
      <c r="C6636" s="504" t="s">
        <v>1094</v>
      </c>
      <c r="D6636" s="504" t="s">
        <v>3380</v>
      </c>
      <c r="E6636" s="504" t="s">
        <v>3381</v>
      </c>
      <c r="F6636" s="504" t="s">
        <v>830</v>
      </c>
      <c r="G6636" s="504" t="s">
        <v>831</v>
      </c>
      <c r="H6636" s="504" t="s">
        <v>11581</v>
      </c>
      <c r="I6636" s="504">
        <v>17</v>
      </c>
      <c r="J6636" s="504">
        <v>0</v>
      </c>
      <c r="K6636" s="504">
        <v>0</v>
      </c>
      <c r="L6636" s="504">
        <v>17</v>
      </c>
      <c r="M6636" s="504">
        <v>0</v>
      </c>
      <c r="N6636" s="504">
        <v>0</v>
      </c>
      <c r="O6636" s="505">
        <v>0</v>
      </c>
    </row>
    <row r="6637" spans="1:15" x14ac:dyDescent="0.35">
      <c r="A6637" s="500" t="s">
        <v>14208</v>
      </c>
      <c r="B6637" s="501">
        <v>4803</v>
      </c>
      <c r="C6637" s="501" t="s">
        <v>1094</v>
      </c>
      <c r="D6637" s="501" t="s">
        <v>3380</v>
      </c>
      <c r="E6637" s="501" t="s">
        <v>3381</v>
      </c>
      <c r="F6637" s="501" t="s">
        <v>830</v>
      </c>
      <c r="G6637" s="501" t="s">
        <v>831</v>
      </c>
      <c r="H6637" s="501" t="s">
        <v>15001</v>
      </c>
      <c r="I6637" s="501">
        <v>91</v>
      </c>
      <c r="J6637" s="501">
        <v>0</v>
      </c>
      <c r="K6637" s="501">
        <v>0</v>
      </c>
      <c r="L6637" s="501">
        <v>91</v>
      </c>
      <c r="M6637" s="501">
        <v>0</v>
      </c>
      <c r="N6637" s="501">
        <v>0</v>
      </c>
      <c r="O6637" s="506">
        <v>0</v>
      </c>
    </row>
    <row r="6638" spans="1:15" x14ac:dyDescent="0.35">
      <c r="A6638" s="503" t="s">
        <v>1183</v>
      </c>
      <c r="B6638" s="504" t="s">
        <v>3038</v>
      </c>
      <c r="C6638" s="504" t="s">
        <v>1094</v>
      </c>
      <c r="D6638" s="504" t="s">
        <v>3380</v>
      </c>
      <c r="E6638" s="504" t="s">
        <v>3381</v>
      </c>
      <c r="F6638" s="504" t="s">
        <v>830</v>
      </c>
      <c r="G6638" s="504" t="s">
        <v>831</v>
      </c>
      <c r="H6638" s="504" t="s">
        <v>8716</v>
      </c>
      <c r="I6638" s="504">
        <v>310</v>
      </c>
      <c r="J6638" s="504">
        <v>273</v>
      </c>
      <c r="K6638" s="504">
        <v>0</v>
      </c>
      <c r="L6638" s="504">
        <v>10</v>
      </c>
      <c r="M6638" s="504">
        <v>0</v>
      </c>
      <c r="N6638" s="504">
        <v>0</v>
      </c>
      <c r="O6638" s="505">
        <v>27</v>
      </c>
    </row>
    <row r="6639" spans="1:15" x14ac:dyDescent="0.35">
      <c r="A6639" s="500" t="s">
        <v>1185</v>
      </c>
      <c r="B6639" s="501" t="s">
        <v>3253</v>
      </c>
      <c r="C6639" s="501" t="s">
        <v>1094</v>
      </c>
      <c r="D6639" s="501" t="s">
        <v>3380</v>
      </c>
      <c r="E6639" s="501" t="s">
        <v>3381</v>
      </c>
      <c r="F6639" s="501" t="s">
        <v>830</v>
      </c>
      <c r="G6639" s="501" t="s">
        <v>831</v>
      </c>
      <c r="H6639" s="501" t="s">
        <v>8717</v>
      </c>
      <c r="I6639" s="501">
        <v>46</v>
      </c>
      <c r="J6639" s="501">
        <v>23</v>
      </c>
      <c r="K6639" s="501">
        <v>0</v>
      </c>
      <c r="L6639" s="501">
        <v>15</v>
      </c>
      <c r="M6639" s="501">
        <v>8</v>
      </c>
      <c r="N6639" s="501">
        <v>0</v>
      </c>
      <c r="O6639" s="506">
        <v>0</v>
      </c>
    </row>
    <row r="6640" spans="1:15" x14ac:dyDescent="0.35">
      <c r="A6640" s="503" t="s">
        <v>1105</v>
      </c>
      <c r="B6640" s="504">
        <v>4668</v>
      </c>
      <c r="C6640" s="504" t="s">
        <v>1094</v>
      </c>
      <c r="D6640" s="504" t="s">
        <v>3380</v>
      </c>
      <c r="E6640" s="504" t="s">
        <v>3381</v>
      </c>
      <c r="F6640" s="504" t="s">
        <v>830</v>
      </c>
      <c r="G6640" s="504" t="s">
        <v>831</v>
      </c>
      <c r="H6640" s="504" t="s">
        <v>11738</v>
      </c>
      <c r="I6640" s="504">
        <v>6</v>
      </c>
      <c r="J6640" s="504">
        <v>0</v>
      </c>
      <c r="K6640" s="504">
        <v>0</v>
      </c>
      <c r="L6640" s="504">
        <v>0</v>
      </c>
      <c r="M6640" s="504">
        <v>0</v>
      </c>
      <c r="N6640" s="504">
        <v>0</v>
      </c>
      <c r="O6640" s="505">
        <v>6</v>
      </c>
    </row>
    <row r="6641" spans="1:15" x14ac:dyDescent="0.35">
      <c r="A6641" s="500" t="s">
        <v>1188</v>
      </c>
      <c r="B6641" s="501">
        <v>4760</v>
      </c>
      <c r="C6641" s="501" t="s">
        <v>1089</v>
      </c>
      <c r="D6641" s="501" t="s">
        <v>3392</v>
      </c>
      <c r="E6641" s="501" t="s">
        <v>3381</v>
      </c>
      <c r="F6641" s="501" t="s">
        <v>830</v>
      </c>
      <c r="G6641" s="501" t="s">
        <v>831</v>
      </c>
      <c r="H6641" s="501" t="s">
        <v>15002</v>
      </c>
      <c r="I6641" s="501">
        <v>14</v>
      </c>
      <c r="J6641" s="501">
        <v>0</v>
      </c>
      <c r="K6641" s="501">
        <v>0</v>
      </c>
      <c r="L6641" s="501">
        <v>14</v>
      </c>
      <c r="M6641" s="501">
        <v>0</v>
      </c>
      <c r="N6641" s="501">
        <v>0</v>
      </c>
      <c r="O6641" s="506">
        <v>0</v>
      </c>
    </row>
    <row r="6642" spans="1:15" x14ac:dyDescent="0.35">
      <c r="A6642" s="503" t="s">
        <v>1109</v>
      </c>
      <c r="B6642" s="504" t="s">
        <v>2959</v>
      </c>
      <c r="C6642" s="504" t="s">
        <v>1094</v>
      </c>
      <c r="D6642" s="504" t="s">
        <v>3380</v>
      </c>
      <c r="E6642" s="504" t="s">
        <v>3381</v>
      </c>
      <c r="F6642" s="504" t="s">
        <v>830</v>
      </c>
      <c r="G6642" s="504" t="s">
        <v>831</v>
      </c>
      <c r="H6642" s="504" t="s">
        <v>8718</v>
      </c>
      <c r="I6642" s="504">
        <v>121</v>
      </c>
      <c r="J6642" s="504">
        <v>0</v>
      </c>
      <c r="K6642" s="504">
        <v>0</v>
      </c>
      <c r="L6642" s="504">
        <v>0</v>
      </c>
      <c r="M6642" s="504">
        <v>121</v>
      </c>
      <c r="N6642" s="504">
        <v>0</v>
      </c>
      <c r="O6642" s="505">
        <v>0</v>
      </c>
    </row>
    <row r="6643" spans="1:15" x14ac:dyDescent="0.35">
      <c r="A6643" s="500" t="s">
        <v>2161</v>
      </c>
      <c r="B6643" s="501" t="s">
        <v>3205</v>
      </c>
      <c r="C6643" s="501" t="s">
        <v>1094</v>
      </c>
      <c r="D6643" s="501" t="s">
        <v>3380</v>
      </c>
      <c r="E6643" s="501" t="s">
        <v>3381</v>
      </c>
      <c r="F6643" s="501" t="s">
        <v>830</v>
      </c>
      <c r="G6643" s="501" t="s">
        <v>831</v>
      </c>
      <c r="H6643" s="501" t="s">
        <v>15003</v>
      </c>
      <c r="I6643" s="501">
        <v>20</v>
      </c>
      <c r="J6643" s="501">
        <v>20</v>
      </c>
      <c r="K6643" s="501">
        <v>0</v>
      </c>
      <c r="L6643" s="501">
        <v>0</v>
      </c>
      <c r="M6643" s="501">
        <v>0</v>
      </c>
      <c r="N6643" s="501">
        <v>0</v>
      </c>
      <c r="O6643" s="506">
        <v>0</v>
      </c>
    </row>
    <row r="6644" spans="1:15" x14ac:dyDescent="0.35">
      <c r="A6644" s="503" t="s">
        <v>1209</v>
      </c>
      <c r="B6644" s="504">
        <v>4779</v>
      </c>
      <c r="C6644" s="504" t="s">
        <v>1094</v>
      </c>
      <c r="D6644" s="504" t="s">
        <v>3380</v>
      </c>
      <c r="E6644" s="504" t="s">
        <v>3381</v>
      </c>
      <c r="F6644" s="504" t="s">
        <v>830</v>
      </c>
      <c r="G6644" s="504" t="s">
        <v>831</v>
      </c>
      <c r="H6644" s="504" t="s">
        <v>8720</v>
      </c>
      <c r="I6644" s="504">
        <v>11</v>
      </c>
      <c r="J6644" s="504">
        <v>0</v>
      </c>
      <c r="K6644" s="504">
        <v>0</v>
      </c>
      <c r="L6644" s="504">
        <v>11</v>
      </c>
      <c r="M6644" s="504">
        <v>0</v>
      </c>
      <c r="N6644" s="504">
        <v>0</v>
      </c>
      <c r="O6644" s="505">
        <v>0</v>
      </c>
    </row>
    <row r="6645" spans="1:15" x14ac:dyDescent="0.35">
      <c r="A6645" s="500" t="s">
        <v>1223</v>
      </c>
      <c r="B6645" s="501">
        <v>4768</v>
      </c>
      <c r="C6645" s="501" t="s">
        <v>1089</v>
      </c>
      <c r="D6645" s="501" t="s">
        <v>3392</v>
      </c>
      <c r="E6645" s="501" t="s">
        <v>3381</v>
      </c>
      <c r="F6645" s="501" t="s">
        <v>830</v>
      </c>
      <c r="G6645" s="501" t="s">
        <v>831</v>
      </c>
      <c r="H6645" s="501" t="s">
        <v>8721</v>
      </c>
      <c r="I6645" s="501">
        <v>4</v>
      </c>
      <c r="J6645" s="501">
        <v>0</v>
      </c>
      <c r="K6645" s="501">
        <v>0</v>
      </c>
      <c r="L6645" s="501">
        <v>4</v>
      </c>
      <c r="M6645" s="501">
        <v>0</v>
      </c>
      <c r="N6645" s="501">
        <v>0</v>
      </c>
      <c r="O6645" s="506">
        <v>0</v>
      </c>
    </row>
    <row r="6646" spans="1:15" x14ac:dyDescent="0.35">
      <c r="A6646" s="503" t="s">
        <v>1122</v>
      </c>
      <c r="B6646" s="504" t="s">
        <v>2994</v>
      </c>
      <c r="C6646" s="504" t="s">
        <v>1094</v>
      </c>
      <c r="D6646" s="504" t="s">
        <v>3380</v>
      </c>
      <c r="E6646" s="504" t="s">
        <v>3381</v>
      </c>
      <c r="F6646" s="504" t="s">
        <v>830</v>
      </c>
      <c r="G6646" s="504" t="s">
        <v>831</v>
      </c>
      <c r="H6646" s="504" t="s">
        <v>8722</v>
      </c>
      <c r="I6646" s="504">
        <v>207</v>
      </c>
      <c r="J6646" s="504">
        <v>167</v>
      </c>
      <c r="K6646" s="504">
        <v>0</v>
      </c>
      <c r="L6646" s="504">
        <v>0</v>
      </c>
      <c r="M6646" s="504">
        <v>40</v>
      </c>
      <c r="N6646" s="504">
        <v>0</v>
      </c>
      <c r="O6646" s="505">
        <v>0</v>
      </c>
    </row>
    <row r="6647" spans="1:15" x14ac:dyDescent="0.35">
      <c r="A6647" s="500" t="s">
        <v>1225</v>
      </c>
      <c r="B6647" s="501" t="s">
        <v>3315</v>
      </c>
      <c r="C6647" s="501" t="s">
        <v>1094</v>
      </c>
      <c r="D6647" s="501" t="s">
        <v>3380</v>
      </c>
      <c r="E6647" s="501" t="s">
        <v>3381</v>
      </c>
      <c r="F6647" s="501" t="s">
        <v>830</v>
      </c>
      <c r="G6647" s="501" t="s">
        <v>831</v>
      </c>
      <c r="H6647" s="501" t="s">
        <v>8723</v>
      </c>
      <c r="I6647" s="501">
        <v>48</v>
      </c>
      <c r="J6647" s="501">
        <v>0</v>
      </c>
      <c r="K6647" s="501">
        <v>0</v>
      </c>
      <c r="L6647" s="501">
        <v>1</v>
      </c>
      <c r="M6647" s="501">
        <v>47</v>
      </c>
      <c r="N6647" s="501">
        <v>0</v>
      </c>
      <c r="O6647" s="506">
        <v>0</v>
      </c>
    </row>
    <row r="6648" spans="1:15" x14ac:dyDescent="0.35">
      <c r="A6648" s="503" t="s">
        <v>1228</v>
      </c>
      <c r="B6648" s="504" t="s">
        <v>3321</v>
      </c>
      <c r="C6648" s="504" t="s">
        <v>1094</v>
      </c>
      <c r="D6648" s="504" t="s">
        <v>3380</v>
      </c>
      <c r="E6648" s="504" t="s">
        <v>3381</v>
      </c>
      <c r="F6648" s="504" t="s">
        <v>830</v>
      </c>
      <c r="G6648" s="504" t="s">
        <v>831</v>
      </c>
      <c r="H6648" s="504" t="s">
        <v>8724</v>
      </c>
      <c r="I6648" s="504">
        <v>18</v>
      </c>
      <c r="J6648" s="504">
        <v>0</v>
      </c>
      <c r="K6648" s="504">
        <v>0</v>
      </c>
      <c r="L6648" s="504">
        <v>18</v>
      </c>
      <c r="M6648" s="504">
        <v>0</v>
      </c>
      <c r="N6648" s="504">
        <v>0</v>
      </c>
      <c r="O6648" s="505">
        <v>0</v>
      </c>
    </row>
    <row r="6649" spans="1:15" x14ac:dyDescent="0.35">
      <c r="A6649" s="500" t="s">
        <v>1234</v>
      </c>
      <c r="B6649" s="501" t="s">
        <v>3291</v>
      </c>
      <c r="C6649" s="501" t="s">
        <v>1094</v>
      </c>
      <c r="D6649" s="501" t="s">
        <v>3380</v>
      </c>
      <c r="E6649" s="501" t="s">
        <v>3381</v>
      </c>
      <c r="F6649" s="501" t="s">
        <v>830</v>
      </c>
      <c r="G6649" s="501" t="s">
        <v>831</v>
      </c>
      <c r="H6649" s="501" t="s">
        <v>8725</v>
      </c>
      <c r="I6649" s="501">
        <v>8</v>
      </c>
      <c r="J6649" s="501">
        <v>0</v>
      </c>
      <c r="K6649" s="501">
        <v>0</v>
      </c>
      <c r="L6649" s="501">
        <v>0</v>
      </c>
      <c r="M6649" s="501">
        <v>8</v>
      </c>
      <c r="N6649" s="501">
        <v>0</v>
      </c>
      <c r="O6649" s="506">
        <v>0</v>
      </c>
    </row>
    <row r="6650" spans="1:15" x14ac:dyDescent="0.35">
      <c r="A6650" s="503" t="s">
        <v>1126</v>
      </c>
      <c r="B6650" s="504" t="s">
        <v>2974</v>
      </c>
      <c r="C6650" s="504" t="s">
        <v>1094</v>
      </c>
      <c r="D6650" s="504" t="s">
        <v>3380</v>
      </c>
      <c r="E6650" s="504" t="s">
        <v>3381</v>
      </c>
      <c r="F6650" s="504" t="s">
        <v>830</v>
      </c>
      <c r="G6650" s="504" t="s">
        <v>831</v>
      </c>
      <c r="H6650" s="504" t="s">
        <v>8726</v>
      </c>
      <c r="I6650" s="504">
        <v>352</v>
      </c>
      <c r="J6650" s="504">
        <v>301</v>
      </c>
      <c r="K6650" s="504">
        <v>0</v>
      </c>
      <c r="L6650" s="504">
        <v>0</v>
      </c>
      <c r="M6650" s="504">
        <v>51</v>
      </c>
      <c r="N6650" s="504">
        <v>1</v>
      </c>
      <c r="O6650" s="505">
        <v>0</v>
      </c>
    </row>
    <row r="6651" spans="1:15" x14ac:dyDescent="0.35">
      <c r="A6651" s="500" t="s">
        <v>1238</v>
      </c>
      <c r="B6651" s="501" t="s">
        <v>2963</v>
      </c>
      <c r="C6651" s="501" t="s">
        <v>1094</v>
      </c>
      <c r="D6651" s="501" t="s">
        <v>3380</v>
      </c>
      <c r="E6651" s="501" t="s">
        <v>3381</v>
      </c>
      <c r="F6651" s="501" t="s">
        <v>830</v>
      </c>
      <c r="G6651" s="501" t="s">
        <v>831</v>
      </c>
      <c r="H6651" s="501" t="s">
        <v>8727</v>
      </c>
      <c r="I6651" s="501">
        <v>1224</v>
      </c>
      <c r="J6651" s="501">
        <v>964</v>
      </c>
      <c r="K6651" s="501">
        <v>0</v>
      </c>
      <c r="L6651" s="501">
        <v>213</v>
      </c>
      <c r="M6651" s="501">
        <v>0</v>
      </c>
      <c r="N6651" s="501">
        <v>0</v>
      </c>
      <c r="O6651" s="506">
        <v>47</v>
      </c>
    </row>
    <row r="6652" spans="1:15" x14ac:dyDescent="0.35">
      <c r="A6652" s="503" t="s">
        <v>1240</v>
      </c>
      <c r="B6652" s="504" t="s">
        <v>2972</v>
      </c>
      <c r="C6652" s="504" t="s">
        <v>1094</v>
      </c>
      <c r="D6652" s="504" t="s">
        <v>3380</v>
      </c>
      <c r="E6652" s="504" t="s">
        <v>3381</v>
      </c>
      <c r="F6652" s="504" t="s">
        <v>830</v>
      </c>
      <c r="G6652" s="504" t="s">
        <v>831</v>
      </c>
      <c r="H6652" s="504" t="s">
        <v>8728</v>
      </c>
      <c r="I6652" s="504">
        <v>3</v>
      </c>
      <c r="J6652" s="504">
        <v>2</v>
      </c>
      <c r="K6652" s="504">
        <v>0</v>
      </c>
      <c r="L6652" s="504">
        <v>0</v>
      </c>
      <c r="M6652" s="504">
        <v>0</v>
      </c>
      <c r="N6652" s="504">
        <v>0</v>
      </c>
      <c r="O6652" s="505">
        <v>1</v>
      </c>
    </row>
    <row r="6653" spans="1:15" x14ac:dyDescent="0.35">
      <c r="A6653" s="500" t="s">
        <v>1134</v>
      </c>
      <c r="B6653" s="501" t="s">
        <v>3066</v>
      </c>
      <c r="C6653" s="501" t="s">
        <v>1094</v>
      </c>
      <c r="D6653" s="501" t="s">
        <v>3380</v>
      </c>
      <c r="E6653" s="501" t="s">
        <v>3381</v>
      </c>
      <c r="F6653" s="501" t="s">
        <v>830</v>
      </c>
      <c r="G6653" s="501" t="s">
        <v>831</v>
      </c>
      <c r="H6653" s="501" t="s">
        <v>12168</v>
      </c>
      <c r="I6653" s="501">
        <v>35</v>
      </c>
      <c r="J6653" s="501">
        <v>28</v>
      </c>
      <c r="K6653" s="501">
        <v>0</v>
      </c>
      <c r="L6653" s="501">
        <v>0</v>
      </c>
      <c r="M6653" s="501">
        <v>0</v>
      </c>
      <c r="N6653" s="501">
        <v>0</v>
      </c>
      <c r="O6653" s="506">
        <v>7</v>
      </c>
    </row>
    <row r="6654" spans="1:15" x14ac:dyDescent="0.35">
      <c r="A6654" s="503" t="s">
        <v>2176</v>
      </c>
      <c r="B6654" s="504">
        <v>4679</v>
      </c>
      <c r="C6654" s="504" t="s">
        <v>1089</v>
      </c>
      <c r="D6654" s="504" t="s">
        <v>3392</v>
      </c>
      <c r="E6654" s="504" t="s">
        <v>3381</v>
      </c>
      <c r="F6654" s="504" t="s">
        <v>830</v>
      </c>
      <c r="G6654" s="504" t="s">
        <v>831</v>
      </c>
      <c r="H6654" s="504" t="s">
        <v>8729</v>
      </c>
      <c r="I6654" s="504">
        <v>10</v>
      </c>
      <c r="J6654" s="504">
        <v>0</v>
      </c>
      <c r="K6654" s="504">
        <v>0</v>
      </c>
      <c r="L6654" s="504">
        <v>10</v>
      </c>
      <c r="M6654" s="504">
        <v>0</v>
      </c>
      <c r="N6654" s="504">
        <v>0</v>
      </c>
      <c r="O6654" s="505">
        <v>0</v>
      </c>
    </row>
    <row r="6655" spans="1:15" x14ac:dyDescent="0.35">
      <c r="A6655" s="500" t="s">
        <v>1249</v>
      </c>
      <c r="B6655" s="501">
        <v>4729</v>
      </c>
      <c r="C6655" s="501" t="s">
        <v>1094</v>
      </c>
      <c r="D6655" s="501" t="s">
        <v>3380</v>
      </c>
      <c r="E6655" s="501" t="s">
        <v>3381</v>
      </c>
      <c r="F6655" s="501" t="s">
        <v>830</v>
      </c>
      <c r="G6655" s="501" t="s">
        <v>831</v>
      </c>
      <c r="H6655" s="501" t="s">
        <v>8730</v>
      </c>
      <c r="I6655" s="501">
        <v>753</v>
      </c>
      <c r="J6655" s="501">
        <v>587</v>
      </c>
      <c r="K6655" s="501">
        <v>0</v>
      </c>
      <c r="L6655" s="501">
        <v>0</v>
      </c>
      <c r="M6655" s="501">
        <v>125</v>
      </c>
      <c r="N6655" s="501">
        <v>0</v>
      </c>
      <c r="O6655" s="506">
        <v>41</v>
      </c>
    </row>
    <row r="6656" spans="1:15" x14ac:dyDescent="0.35">
      <c r="A6656" s="503" t="s">
        <v>1257</v>
      </c>
      <c r="B6656" s="504" t="s">
        <v>3151</v>
      </c>
      <c r="C6656" s="504" t="s">
        <v>1094</v>
      </c>
      <c r="D6656" s="504" t="s">
        <v>3380</v>
      </c>
      <c r="E6656" s="504" t="s">
        <v>3381</v>
      </c>
      <c r="F6656" s="504" t="s">
        <v>830</v>
      </c>
      <c r="G6656" s="504" t="s">
        <v>831</v>
      </c>
      <c r="H6656" s="504" t="s">
        <v>8731</v>
      </c>
      <c r="I6656" s="504">
        <v>569</v>
      </c>
      <c r="J6656" s="504">
        <v>376</v>
      </c>
      <c r="K6656" s="504">
        <v>0</v>
      </c>
      <c r="L6656" s="504">
        <v>58</v>
      </c>
      <c r="M6656" s="504">
        <v>109</v>
      </c>
      <c r="N6656" s="504">
        <v>0</v>
      </c>
      <c r="O6656" s="505">
        <v>26</v>
      </c>
    </row>
    <row r="6657" spans="1:15" x14ac:dyDescent="0.35">
      <c r="A6657" s="500" t="s">
        <v>2187</v>
      </c>
      <c r="B6657" s="501" t="s">
        <v>3193</v>
      </c>
      <c r="C6657" s="501" t="s">
        <v>1094</v>
      </c>
      <c r="D6657" s="501" t="s">
        <v>3380</v>
      </c>
      <c r="E6657" s="501" t="s">
        <v>3381</v>
      </c>
      <c r="F6657" s="501" t="s">
        <v>830</v>
      </c>
      <c r="G6657" s="501" t="s">
        <v>831</v>
      </c>
      <c r="H6657" s="501" t="s">
        <v>8732</v>
      </c>
      <c r="I6657" s="501">
        <v>19</v>
      </c>
      <c r="J6657" s="501">
        <v>14</v>
      </c>
      <c r="K6657" s="501">
        <v>0</v>
      </c>
      <c r="L6657" s="501">
        <v>0</v>
      </c>
      <c r="M6657" s="501">
        <v>0</v>
      </c>
      <c r="N6657" s="501">
        <v>0</v>
      </c>
      <c r="O6657" s="506">
        <v>5</v>
      </c>
    </row>
    <row r="6658" spans="1:15" x14ac:dyDescent="0.35">
      <c r="A6658" s="503" t="s">
        <v>1789</v>
      </c>
      <c r="B6658" s="504" t="s">
        <v>3219</v>
      </c>
      <c r="C6658" s="504" t="s">
        <v>1094</v>
      </c>
      <c r="D6658" s="504" t="s">
        <v>3380</v>
      </c>
      <c r="E6658" s="504" t="s">
        <v>3381</v>
      </c>
      <c r="F6658" s="504" t="s">
        <v>830</v>
      </c>
      <c r="G6658" s="504" t="s">
        <v>831</v>
      </c>
      <c r="H6658" s="504" t="s">
        <v>8733</v>
      </c>
      <c r="I6658" s="504">
        <v>192</v>
      </c>
      <c r="J6658" s="504">
        <v>176</v>
      </c>
      <c r="K6658" s="504">
        <v>0</v>
      </c>
      <c r="L6658" s="504">
        <v>0</v>
      </c>
      <c r="M6658" s="504">
        <v>0</v>
      </c>
      <c r="N6658" s="504">
        <v>0</v>
      </c>
      <c r="O6658" s="505">
        <v>16</v>
      </c>
    </row>
    <row r="6659" spans="1:15" x14ac:dyDescent="0.35">
      <c r="A6659" s="500" t="s">
        <v>1093</v>
      </c>
      <c r="B6659" s="501" t="s">
        <v>3248</v>
      </c>
      <c r="C6659" s="501" t="s">
        <v>1094</v>
      </c>
      <c r="D6659" s="501" t="s">
        <v>3380</v>
      </c>
      <c r="E6659" s="501" t="s">
        <v>3381</v>
      </c>
      <c r="F6659" s="501" t="s">
        <v>832</v>
      </c>
      <c r="G6659" s="501" t="s">
        <v>833</v>
      </c>
      <c r="H6659" s="501" t="s">
        <v>8734</v>
      </c>
      <c r="I6659" s="501">
        <v>8</v>
      </c>
      <c r="J6659" s="501">
        <v>0</v>
      </c>
      <c r="K6659" s="501">
        <v>0</v>
      </c>
      <c r="L6659" s="501">
        <v>1</v>
      </c>
      <c r="M6659" s="501">
        <v>0</v>
      </c>
      <c r="N6659" s="501">
        <v>0</v>
      </c>
      <c r="O6659" s="506">
        <v>7</v>
      </c>
    </row>
    <row r="6660" spans="1:15" x14ac:dyDescent="0.35">
      <c r="A6660" s="503" t="s">
        <v>1096</v>
      </c>
      <c r="B6660" s="504" t="s">
        <v>3326</v>
      </c>
      <c r="C6660" s="504" t="s">
        <v>1094</v>
      </c>
      <c r="D6660" s="504" t="s">
        <v>3380</v>
      </c>
      <c r="E6660" s="504" t="s">
        <v>3381</v>
      </c>
      <c r="F6660" s="504" t="s">
        <v>832</v>
      </c>
      <c r="G6660" s="504" t="s">
        <v>833</v>
      </c>
      <c r="H6660" s="504" t="s">
        <v>8735</v>
      </c>
      <c r="I6660" s="504">
        <v>20</v>
      </c>
      <c r="J6660" s="504">
        <v>0</v>
      </c>
      <c r="K6660" s="504">
        <v>0</v>
      </c>
      <c r="L6660" s="504">
        <v>0</v>
      </c>
      <c r="M6660" s="504">
        <v>20</v>
      </c>
      <c r="N6660" s="504">
        <v>0</v>
      </c>
      <c r="O6660" s="505">
        <v>0</v>
      </c>
    </row>
    <row r="6661" spans="1:15" x14ac:dyDescent="0.35">
      <c r="A6661" s="500" t="s">
        <v>1616</v>
      </c>
      <c r="B6661" s="501" t="s">
        <v>3302</v>
      </c>
      <c r="C6661" s="501" t="s">
        <v>1089</v>
      </c>
      <c r="D6661" s="501" t="s">
        <v>3392</v>
      </c>
      <c r="E6661" s="501" t="s">
        <v>3381</v>
      </c>
      <c r="F6661" s="501" t="s">
        <v>832</v>
      </c>
      <c r="G6661" s="501" t="s">
        <v>833</v>
      </c>
      <c r="H6661" s="501" t="s">
        <v>8736</v>
      </c>
      <c r="I6661" s="501">
        <v>26</v>
      </c>
      <c r="J6661" s="501">
        <v>0</v>
      </c>
      <c r="K6661" s="501">
        <v>0</v>
      </c>
      <c r="L6661" s="501">
        <v>0</v>
      </c>
      <c r="M6661" s="501">
        <v>26</v>
      </c>
      <c r="N6661" s="501">
        <v>0</v>
      </c>
      <c r="O6661" s="506">
        <v>0</v>
      </c>
    </row>
    <row r="6662" spans="1:15" x14ac:dyDescent="0.35">
      <c r="A6662" s="503" t="s">
        <v>1158</v>
      </c>
      <c r="B6662" s="504">
        <v>4819</v>
      </c>
      <c r="C6662" s="504" t="s">
        <v>1094</v>
      </c>
      <c r="D6662" s="504" t="s">
        <v>3380</v>
      </c>
      <c r="E6662" s="504" t="s">
        <v>3381</v>
      </c>
      <c r="F6662" s="504" t="s">
        <v>832</v>
      </c>
      <c r="G6662" s="504" t="s">
        <v>833</v>
      </c>
      <c r="H6662" s="504" t="s">
        <v>8737</v>
      </c>
      <c r="I6662" s="504">
        <v>95</v>
      </c>
      <c r="J6662" s="504">
        <v>45</v>
      </c>
      <c r="K6662" s="504">
        <v>0</v>
      </c>
      <c r="L6662" s="504">
        <v>0</v>
      </c>
      <c r="M6662" s="504">
        <v>0</v>
      </c>
      <c r="N6662" s="504">
        <v>0</v>
      </c>
      <c r="O6662" s="505">
        <v>50</v>
      </c>
    </row>
    <row r="6663" spans="1:15" x14ac:dyDescent="0.35">
      <c r="A6663" s="500" t="s">
        <v>2068</v>
      </c>
      <c r="B6663" s="501">
        <v>4881</v>
      </c>
      <c r="C6663" s="501" t="s">
        <v>1089</v>
      </c>
      <c r="D6663" s="501" t="s">
        <v>3392</v>
      </c>
      <c r="E6663" s="501" t="s">
        <v>3381</v>
      </c>
      <c r="F6663" s="501" t="s">
        <v>832</v>
      </c>
      <c r="G6663" s="501" t="s">
        <v>833</v>
      </c>
      <c r="H6663" s="501" t="s">
        <v>8738</v>
      </c>
      <c r="I6663" s="501">
        <v>12</v>
      </c>
      <c r="J6663" s="501">
        <v>12</v>
      </c>
      <c r="K6663" s="501">
        <v>0</v>
      </c>
      <c r="L6663" s="501">
        <v>0</v>
      </c>
      <c r="M6663" s="501">
        <v>0</v>
      </c>
      <c r="N6663" s="501">
        <v>0</v>
      </c>
      <c r="O6663" s="506">
        <v>0</v>
      </c>
    </row>
    <row r="6664" spans="1:15" x14ac:dyDescent="0.35">
      <c r="A6664" s="503" t="s">
        <v>1961</v>
      </c>
      <c r="B6664" s="504">
        <v>5075</v>
      </c>
      <c r="C6664" s="504" t="s">
        <v>1094</v>
      </c>
      <c r="D6664" s="504" t="s">
        <v>3380</v>
      </c>
      <c r="E6664" s="504" t="s">
        <v>3381</v>
      </c>
      <c r="F6664" s="504" t="s">
        <v>832</v>
      </c>
      <c r="G6664" s="504" t="s">
        <v>833</v>
      </c>
      <c r="H6664" s="504" t="s">
        <v>8739</v>
      </c>
      <c r="I6664" s="504">
        <v>158</v>
      </c>
      <c r="J6664" s="504">
        <v>115</v>
      </c>
      <c r="K6664" s="504">
        <v>0</v>
      </c>
      <c r="L6664" s="504">
        <v>0</v>
      </c>
      <c r="M6664" s="504">
        <v>0</v>
      </c>
      <c r="N6664" s="504">
        <v>0</v>
      </c>
      <c r="O6664" s="505">
        <v>43</v>
      </c>
    </row>
    <row r="6665" spans="1:15" x14ac:dyDescent="0.35">
      <c r="A6665" s="500" t="s">
        <v>1100</v>
      </c>
      <c r="B6665" s="501">
        <v>4865</v>
      </c>
      <c r="C6665" s="501" t="s">
        <v>1094</v>
      </c>
      <c r="D6665" s="501" t="s">
        <v>3380</v>
      </c>
      <c r="E6665" s="501" t="s">
        <v>3381</v>
      </c>
      <c r="F6665" s="501" t="s">
        <v>832</v>
      </c>
      <c r="G6665" s="501" t="s">
        <v>833</v>
      </c>
      <c r="H6665" s="501" t="s">
        <v>8740</v>
      </c>
      <c r="I6665" s="501">
        <v>680</v>
      </c>
      <c r="J6665" s="501">
        <v>582</v>
      </c>
      <c r="K6665" s="501">
        <v>0</v>
      </c>
      <c r="L6665" s="501">
        <v>0</v>
      </c>
      <c r="M6665" s="501">
        <v>0</v>
      </c>
      <c r="N6665" s="501">
        <v>0</v>
      </c>
      <c r="O6665" s="506">
        <v>98</v>
      </c>
    </row>
    <row r="6666" spans="1:15" x14ac:dyDescent="0.35">
      <c r="A6666" s="503" t="s">
        <v>2072</v>
      </c>
      <c r="B6666" s="504" t="s">
        <v>2470</v>
      </c>
      <c r="C6666" s="504" t="s">
        <v>1089</v>
      </c>
      <c r="D6666" s="504" t="s">
        <v>3392</v>
      </c>
      <c r="E6666" s="504" t="s">
        <v>3381</v>
      </c>
      <c r="F6666" s="504" t="s">
        <v>832</v>
      </c>
      <c r="G6666" s="504" t="s">
        <v>833</v>
      </c>
      <c r="H6666" s="504" t="s">
        <v>8741</v>
      </c>
      <c r="I6666" s="504">
        <v>16</v>
      </c>
      <c r="J6666" s="504">
        <v>16</v>
      </c>
      <c r="K6666" s="504">
        <v>0</v>
      </c>
      <c r="L6666" s="504">
        <v>0</v>
      </c>
      <c r="M6666" s="504">
        <v>0</v>
      </c>
      <c r="N6666" s="504">
        <v>0</v>
      </c>
      <c r="O6666" s="505">
        <v>0</v>
      </c>
    </row>
    <row r="6667" spans="1:15" x14ac:dyDescent="0.35">
      <c r="A6667" s="500" t="s">
        <v>1167</v>
      </c>
      <c r="B6667" s="501">
        <v>4689</v>
      </c>
      <c r="C6667" s="501" t="s">
        <v>1089</v>
      </c>
      <c r="D6667" s="501" t="s">
        <v>3392</v>
      </c>
      <c r="E6667" s="501" t="s">
        <v>3381</v>
      </c>
      <c r="F6667" s="501" t="s">
        <v>832</v>
      </c>
      <c r="G6667" s="501" t="s">
        <v>833</v>
      </c>
      <c r="H6667" s="501" t="s">
        <v>8742</v>
      </c>
      <c r="I6667" s="501">
        <v>17</v>
      </c>
      <c r="J6667" s="501">
        <v>0</v>
      </c>
      <c r="K6667" s="501">
        <v>0</v>
      </c>
      <c r="L6667" s="501">
        <v>17</v>
      </c>
      <c r="M6667" s="501">
        <v>0</v>
      </c>
      <c r="N6667" s="501">
        <v>0</v>
      </c>
      <c r="O6667" s="506">
        <v>0</v>
      </c>
    </row>
    <row r="6668" spans="1:15" x14ac:dyDescent="0.35">
      <c r="A6668" s="503" t="s">
        <v>1171</v>
      </c>
      <c r="B6668" s="504" t="s">
        <v>3003</v>
      </c>
      <c r="C6668" s="504" t="s">
        <v>1094</v>
      </c>
      <c r="D6668" s="504" t="s">
        <v>3380</v>
      </c>
      <c r="E6668" s="504" t="s">
        <v>3381</v>
      </c>
      <c r="F6668" s="504" t="s">
        <v>832</v>
      </c>
      <c r="G6668" s="504" t="s">
        <v>833</v>
      </c>
      <c r="H6668" s="504" t="s">
        <v>8743</v>
      </c>
      <c r="I6668" s="504">
        <v>24</v>
      </c>
      <c r="J6668" s="504">
        <v>12</v>
      </c>
      <c r="K6668" s="504">
        <v>0</v>
      </c>
      <c r="L6668" s="504">
        <v>0</v>
      </c>
      <c r="M6668" s="504">
        <v>0</v>
      </c>
      <c r="N6668" s="504">
        <v>0</v>
      </c>
      <c r="O6668" s="505">
        <v>12</v>
      </c>
    </row>
    <row r="6669" spans="1:15" x14ac:dyDescent="0.35">
      <c r="A6669" s="500" t="s">
        <v>14208</v>
      </c>
      <c r="B6669" s="501">
        <v>4803</v>
      </c>
      <c r="C6669" s="501" t="s">
        <v>1094</v>
      </c>
      <c r="D6669" s="501" t="s">
        <v>3380</v>
      </c>
      <c r="E6669" s="501" t="s">
        <v>3381</v>
      </c>
      <c r="F6669" s="501" t="s">
        <v>832</v>
      </c>
      <c r="G6669" s="501" t="s">
        <v>833</v>
      </c>
      <c r="H6669" s="501" t="s">
        <v>15004</v>
      </c>
      <c r="I6669" s="501">
        <v>6</v>
      </c>
      <c r="J6669" s="501">
        <v>0</v>
      </c>
      <c r="K6669" s="501">
        <v>0</v>
      </c>
      <c r="L6669" s="501">
        <v>6</v>
      </c>
      <c r="M6669" s="501">
        <v>0</v>
      </c>
      <c r="N6669" s="501">
        <v>0</v>
      </c>
      <c r="O6669" s="506">
        <v>0</v>
      </c>
    </row>
    <row r="6670" spans="1:15" x14ac:dyDescent="0.35">
      <c r="A6670" s="503" t="s">
        <v>1105</v>
      </c>
      <c r="B6670" s="504">
        <v>4668</v>
      </c>
      <c r="C6670" s="504" t="s">
        <v>1094</v>
      </c>
      <c r="D6670" s="504" t="s">
        <v>3380</v>
      </c>
      <c r="E6670" s="504" t="s">
        <v>3381</v>
      </c>
      <c r="F6670" s="504" t="s">
        <v>832</v>
      </c>
      <c r="G6670" s="504" t="s">
        <v>833</v>
      </c>
      <c r="H6670" s="504" t="s">
        <v>8744</v>
      </c>
      <c r="I6670" s="504">
        <v>16</v>
      </c>
      <c r="J6670" s="504">
        <v>0</v>
      </c>
      <c r="K6670" s="504">
        <v>0</v>
      </c>
      <c r="L6670" s="504">
        <v>0</v>
      </c>
      <c r="M6670" s="504">
        <v>0</v>
      </c>
      <c r="N6670" s="504">
        <v>0</v>
      </c>
      <c r="O6670" s="505">
        <v>16</v>
      </c>
    </row>
    <row r="6671" spans="1:15" x14ac:dyDescent="0.35">
      <c r="A6671" s="500" t="s">
        <v>1109</v>
      </c>
      <c r="B6671" s="501" t="s">
        <v>2959</v>
      </c>
      <c r="C6671" s="501" t="s">
        <v>1094</v>
      </c>
      <c r="D6671" s="501" t="s">
        <v>3380</v>
      </c>
      <c r="E6671" s="501" t="s">
        <v>3381</v>
      </c>
      <c r="F6671" s="501" t="s">
        <v>832</v>
      </c>
      <c r="G6671" s="501" t="s">
        <v>833</v>
      </c>
      <c r="H6671" s="501" t="s">
        <v>8745</v>
      </c>
      <c r="I6671" s="501">
        <v>107</v>
      </c>
      <c r="J6671" s="501">
        <v>0</v>
      </c>
      <c r="K6671" s="501">
        <v>0</v>
      </c>
      <c r="L6671" s="501">
        <v>1</v>
      </c>
      <c r="M6671" s="501">
        <v>86</v>
      </c>
      <c r="N6671" s="501">
        <v>0</v>
      </c>
      <c r="O6671" s="506">
        <v>20</v>
      </c>
    </row>
    <row r="6672" spans="1:15" x14ac:dyDescent="0.35">
      <c r="A6672" s="503" t="s">
        <v>1202</v>
      </c>
      <c r="B6672" s="504" t="s">
        <v>3217</v>
      </c>
      <c r="C6672" s="504" t="s">
        <v>1094</v>
      </c>
      <c r="D6672" s="504" t="s">
        <v>3380</v>
      </c>
      <c r="E6672" s="504" t="s">
        <v>3381</v>
      </c>
      <c r="F6672" s="504" t="s">
        <v>832</v>
      </c>
      <c r="G6672" s="504" t="s">
        <v>833</v>
      </c>
      <c r="H6672" s="504" t="s">
        <v>15005</v>
      </c>
      <c r="I6672" s="504">
        <v>27</v>
      </c>
      <c r="J6672" s="504">
        <v>23</v>
      </c>
      <c r="K6672" s="504">
        <v>0</v>
      </c>
      <c r="L6672" s="504">
        <v>0</v>
      </c>
      <c r="M6672" s="504">
        <v>0</v>
      </c>
      <c r="N6672" s="504">
        <v>0</v>
      </c>
      <c r="O6672" s="505">
        <v>4</v>
      </c>
    </row>
    <row r="6673" spans="1:15" x14ac:dyDescent="0.35">
      <c r="A6673" s="500" t="s">
        <v>1203</v>
      </c>
      <c r="B6673" s="501" t="s">
        <v>3170</v>
      </c>
      <c r="C6673" s="501" t="s">
        <v>1094</v>
      </c>
      <c r="D6673" s="501" t="s">
        <v>3380</v>
      </c>
      <c r="E6673" s="501" t="s">
        <v>3381</v>
      </c>
      <c r="F6673" s="501" t="s">
        <v>832</v>
      </c>
      <c r="G6673" s="501" t="s">
        <v>833</v>
      </c>
      <c r="H6673" s="501" t="s">
        <v>8746</v>
      </c>
      <c r="I6673" s="501">
        <v>6</v>
      </c>
      <c r="J6673" s="501">
        <v>0</v>
      </c>
      <c r="K6673" s="501">
        <v>0</v>
      </c>
      <c r="L6673" s="501">
        <v>6</v>
      </c>
      <c r="M6673" s="501">
        <v>0</v>
      </c>
      <c r="N6673" s="501">
        <v>0</v>
      </c>
      <c r="O6673" s="506">
        <v>0</v>
      </c>
    </row>
    <row r="6674" spans="1:15" x14ac:dyDescent="0.35">
      <c r="A6674" s="503" t="s">
        <v>1207</v>
      </c>
      <c r="B6674" s="504" t="s">
        <v>3202</v>
      </c>
      <c r="C6674" s="504" t="s">
        <v>1094</v>
      </c>
      <c r="D6674" s="504" t="s">
        <v>3380</v>
      </c>
      <c r="E6674" s="504" t="s">
        <v>3381</v>
      </c>
      <c r="F6674" s="504" t="s">
        <v>832</v>
      </c>
      <c r="G6674" s="504" t="s">
        <v>833</v>
      </c>
      <c r="H6674" s="504" t="s">
        <v>8747</v>
      </c>
      <c r="I6674" s="504">
        <v>599</v>
      </c>
      <c r="J6674" s="504">
        <v>463</v>
      </c>
      <c r="K6674" s="504">
        <v>0</v>
      </c>
      <c r="L6674" s="504">
        <v>0</v>
      </c>
      <c r="M6674" s="504">
        <v>16</v>
      </c>
      <c r="N6674" s="504">
        <v>1</v>
      </c>
      <c r="O6674" s="505">
        <v>120</v>
      </c>
    </row>
    <row r="6675" spans="1:15" x14ac:dyDescent="0.35">
      <c r="A6675" s="500" t="s">
        <v>1218</v>
      </c>
      <c r="B6675" s="501" t="s">
        <v>3147</v>
      </c>
      <c r="C6675" s="501" t="s">
        <v>1094</v>
      </c>
      <c r="D6675" s="501" t="s">
        <v>3380</v>
      </c>
      <c r="E6675" s="501" t="s">
        <v>3381</v>
      </c>
      <c r="F6675" s="501" t="s">
        <v>832</v>
      </c>
      <c r="G6675" s="501" t="s">
        <v>833</v>
      </c>
      <c r="H6675" s="501" t="s">
        <v>8748</v>
      </c>
      <c r="I6675" s="501">
        <v>233</v>
      </c>
      <c r="J6675" s="501">
        <v>0</v>
      </c>
      <c r="K6675" s="501">
        <v>0</v>
      </c>
      <c r="L6675" s="501">
        <v>0</v>
      </c>
      <c r="M6675" s="501">
        <v>0</v>
      </c>
      <c r="N6675" s="501">
        <v>0</v>
      </c>
      <c r="O6675" s="506">
        <v>233</v>
      </c>
    </row>
    <row r="6676" spans="1:15" x14ac:dyDescent="0.35">
      <c r="A6676" s="503" t="s">
        <v>11367</v>
      </c>
      <c r="B6676" s="504" t="s">
        <v>3143</v>
      </c>
      <c r="C6676" s="504" t="s">
        <v>1094</v>
      </c>
      <c r="D6676" s="504" t="s">
        <v>3380</v>
      </c>
      <c r="E6676" s="504" t="s">
        <v>3381</v>
      </c>
      <c r="F6676" s="504" t="s">
        <v>832</v>
      </c>
      <c r="G6676" s="504" t="s">
        <v>833</v>
      </c>
      <c r="H6676" s="504" t="s">
        <v>11948</v>
      </c>
      <c r="I6676" s="504">
        <v>1192</v>
      </c>
      <c r="J6676" s="504">
        <v>1068</v>
      </c>
      <c r="K6676" s="504">
        <v>0</v>
      </c>
      <c r="L6676" s="504">
        <v>0</v>
      </c>
      <c r="M6676" s="504">
        <v>85</v>
      </c>
      <c r="N6676" s="504">
        <v>0</v>
      </c>
      <c r="O6676" s="505">
        <v>39</v>
      </c>
    </row>
    <row r="6677" spans="1:15" x14ac:dyDescent="0.35">
      <c r="A6677" s="500" t="s">
        <v>1220</v>
      </c>
      <c r="B6677" s="501">
        <v>4849</v>
      </c>
      <c r="C6677" s="501" t="s">
        <v>1094</v>
      </c>
      <c r="D6677" s="501" t="s">
        <v>3380</v>
      </c>
      <c r="E6677" s="501" t="s">
        <v>3381</v>
      </c>
      <c r="F6677" s="501" t="s">
        <v>832</v>
      </c>
      <c r="G6677" s="501" t="s">
        <v>833</v>
      </c>
      <c r="H6677" s="501" t="s">
        <v>8749</v>
      </c>
      <c r="I6677" s="501">
        <v>56</v>
      </c>
      <c r="J6677" s="501">
        <v>52</v>
      </c>
      <c r="K6677" s="501">
        <v>0</v>
      </c>
      <c r="L6677" s="501">
        <v>4</v>
      </c>
      <c r="M6677" s="501">
        <v>0</v>
      </c>
      <c r="N6677" s="501">
        <v>0</v>
      </c>
      <c r="O6677" s="506">
        <v>0</v>
      </c>
    </row>
    <row r="6678" spans="1:15" x14ac:dyDescent="0.35">
      <c r="A6678" s="503" t="s">
        <v>1226</v>
      </c>
      <c r="B6678" s="504">
        <v>5084</v>
      </c>
      <c r="C6678" s="504" t="s">
        <v>1094</v>
      </c>
      <c r="D6678" s="504" t="s">
        <v>3380</v>
      </c>
      <c r="E6678" s="504" t="s">
        <v>3381</v>
      </c>
      <c r="F6678" s="504" t="s">
        <v>832</v>
      </c>
      <c r="G6678" s="504" t="s">
        <v>833</v>
      </c>
      <c r="H6678" s="504" t="s">
        <v>8750</v>
      </c>
      <c r="I6678" s="504">
        <v>182</v>
      </c>
      <c r="J6678" s="504">
        <v>118</v>
      </c>
      <c r="K6678" s="504">
        <v>0</v>
      </c>
      <c r="L6678" s="504">
        <v>0</v>
      </c>
      <c r="M6678" s="504">
        <v>0</v>
      </c>
      <c r="N6678" s="504">
        <v>0</v>
      </c>
      <c r="O6678" s="505">
        <v>64</v>
      </c>
    </row>
    <row r="6679" spans="1:15" x14ac:dyDescent="0.35">
      <c r="A6679" s="500" t="s">
        <v>1233</v>
      </c>
      <c r="B6679" s="501">
        <v>4636</v>
      </c>
      <c r="C6679" s="501" t="s">
        <v>1094</v>
      </c>
      <c r="D6679" s="501" t="s">
        <v>3380</v>
      </c>
      <c r="E6679" s="501" t="s">
        <v>3381</v>
      </c>
      <c r="F6679" s="501" t="s">
        <v>832</v>
      </c>
      <c r="G6679" s="501" t="s">
        <v>833</v>
      </c>
      <c r="H6679" s="501" t="s">
        <v>8751</v>
      </c>
      <c r="I6679" s="501">
        <v>14</v>
      </c>
      <c r="J6679" s="501">
        <v>0</v>
      </c>
      <c r="K6679" s="501">
        <v>0</v>
      </c>
      <c r="L6679" s="501">
        <v>0</v>
      </c>
      <c r="M6679" s="501">
        <v>0</v>
      </c>
      <c r="N6679" s="501">
        <v>0</v>
      </c>
      <c r="O6679" s="506">
        <v>14</v>
      </c>
    </row>
    <row r="6680" spans="1:15" x14ac:dyDescent="0.35">
      <c r="A6680" s="503" t="s">
        <v>11368</v>
      </c>
      <c r="B6680" s="504">
        <v>5083</v>
      </c>
      <c r="C6680" s="504" t="s">
        <v>1094</v>
      </c>
      <c r="D6680" s="504" t="s">
        <v>3380</v>
      </c>
      <c r="E6680" s="504" t="s">
        <v>3381</v>
      </c>
      <c r="F6680" s="504" t="s">
        <v>832</v>
      </c>
      <c r="G6680" s="504" t="s">
        <v>833</v>
      </c>
      <c r="H6680" s="504" t="s">
        <v>12071</v>
      </c>
      <c r="I6680" s="504">
        <v>15</v>
      </c>
      <c r="J6680" s="504">
        <v>15</v>
      </c>
      <c r="K6680" s="504">
        <v>0</v>
      </c>
      <c r="L6680" s="504">
        <v>0</v>
      </c>
      <c r="M6680" s="504">
        <v>0</v>
      </c>
      <c r="N6680" s="504">
        <v>0</v>
      </c>
      <c r="O6680" s="505">
        <v>0</v>
      </c>
    </row>
    <row r="6681" spans="1:15" x14ac:dyDescent="0.35">
      <c r="A6681" s="500" t="s">
        <v>1235</v>
      </c>
      <c r="B6681" s="501">
        <v>4684</v>
      </c>
      <c r="C6681" s="501" t="s">
        <v>1094</v>
      </c>
      <c r="D6681" s="501" t="s">
        <v>3380</v>
      </c>
      <c r="E6681" s="501" t="s">
        <v>3381</v>
      </c>
      <c r="F6681" s="501" t="s">
        <v>832</v>
      </c>
      <c r="G6681" s="501" t="s">
        <v>833</v>
      </c>
      <c r="H6681" s="501" t="s">
        <v>8752</v>
      </c>
      <c r="I6681" s="501">
        <v>10</v>
      </c>
      <c r="J6681" s="501">
        <v>10</v>
      </c>
      <c r="K6681" s="501">
        <v>0</v>
      </c>
      <c r="L6681" s="501">
        <v>0</v>
      </c>
      <c r="M6681" s="501">
        <v>0</v>
      </c>
      <c r="N6681" s="501">
        <v>0</v>
      </c>
      <c r="O6681" s="506">
        <v>0</v>
      </c>
    </row>
    <row r="6682" spans="1:15" x14ac:dyDescent="0.35">
      <c r="A6682" s="503" t="s">
        <v>1126</v>
      </c>
      <c r="B6682" s="504" t="s">
        <v>2974</v>
      </c>
      <c r="C6682" s="504" t="s">
        <v>1094</v>
      </c>
      <c r="D6682" s="504" t="s">
        <v>3380</v>
      </c>
      <c r="E6682" s="504" t="s">
        <v>3381</v>
      </c>
      <c r="F6682" s="504" t="s">
        <v>832</v>
      </c>
      <c r="G6682" s="504" t="s">
        <v>833</v>
      </c>
      <c r="H6682" s="504" t="s">
        <v>8753</v>
      </c>
      <c r="I6682" s="504">
        <v>123</v>
      </c>
      <c r="J6682" s="504">
        <v>123</v>
      </c>
      <c r="K6682" s="504">
        <v>0</v>
      </c>
      <c r="L6682" s="504">
        <v>0</v>
      </c>
      <c r="M6682" s="504">
        <v>0</v>
      </c>
      <c r="N6682" s="504">
        <v>0</v>
      </c>
      <c r="O6682" s="505">
        <v>0</v>
      </c>
    </row>
    <row r="6683" spans="1:15" x14ac:dyDescent="0.35">
      <c r="A6683" s="500" t="s">
        <v>1240</v>
      </c>
      <c r="B6683" s="501" t="s">
        <v>2972</v>
      </c>
      <c r="C6683" s="501" t="s">
        <v>1094</v>
      </c>
      <c r="D6683" s="501" t="s">
        <v>3380</v>
      </c>
      <c r="E6683" s="501" t="s">
        <v>3381</v>
      </c>
      <c r="F6683" s="501" t="s">
        <v>832</v>
      </c>
      <c r="G6683" s="501" t="s">
        <v>833</v>
      </c>
      <c r="H6683" s="501" t="s">
        <v>8754</v>
      </c>
      <c r="I6683" s="501">
        <v>12</v>
      </c>
      <c r="J6683" s="501">
        <v>0</v>
      </c>
      <c r="K6683" s="501">
        <v>0</v>
      </c>
      <c r="L6683" s="501">
        <v>0</v>
      </c>
      <c r="M6683" s="501">
        <v>0</v>
      </c>
      <c r="N6683" s="501">
        <v>0</v>
      </c>
      <c r="O6683" s="506">
        <v>12</v>
      </c>
    </row>
    <row r="6684" spans="1:15" x14ac:dyDescent="0.35">
      <c r="A6684" s="503" t="s">
        <v>1249</v>
      </c>
      <c r="B6684" s="504">
        <v>4729</v>
      </c>
      <c r="C6684" s="504" t="s">
        <v>1094</v>
      </c>
      <c r="D6684" s="504" t="s">
        <v>3380</v>
      </c>
      <c r="E6684" s="504" t="s">
        <v>3381</v>
      </c>
      <c r="F6684" s="504" t="s">
        <v>832</v>
      </c>
      <c r="G6684" s="504" t="s">
        <v>833</v>
      </c>
      <c r="H6684" s="504" t="s">
        <v>8755</v>
      </c>
      <c r="I6684" s="504">
        <v>13</v>
      </c>
      <c r="J6684" s="504">
        <v>0</v>
      </c>
      <c r="K6684" s="504">
        <v>0</v>
      </c>
      <c r="L6684" s="504">
        <v>0</v>
      </c>
      <c r="M6684" s="504">
        <v>0</v>
      </c>
      <c r="N6684" s="504">
        <v>0</v>
      </c>
      <c r="O6684" s="505">
        <v>13</v>
      </c>
    </row>
    <row r="6685" spans="1:15" x14ac:dyDescent="0.35">
      <c r="A6685" s="500" t="s">
        <v>1253</v>
      </c>
      <c r="B6685" s="501" t="s">
        <v>3232</v>
      </c>
      <c r="C6685" s="501" t="s">
        <v>1094</v>
      </c>
      <c r="D6685" s="501" t="s">
        <v>3380</v>
      </c>
      <c r="E6685" s="501" t="s">
        <v>3381</v>
      </c>
      <c r="F6685" s="501" t="s">
        <v>832</v>
      </c>
      <c r="G6685" s="501" t="s">
        <v>833</v>
      </c>
      <c r="H6685" s="501" t="s">
        <v>8756</v>
      </c>
      <c r="I6685" s="501">
        <v>6</v>
      </c>
      <c r="J6685" s="501">
        <v>0</v>
      </c>
      <c r="K6685" s="501">
        <v>0</v>
      </c>
      <c r="L6685" s="501">
        <v>0</v>
      </c>
      <c r="M6685" s="501">
        <v>6</v>
      </c>
      <c r="N6685" s="501">
        <v>0</v>
      </c>
      <c r="O6685" s="506">
        <v>0</v>
      </c>
    </row>
    <row r="6686" spans="1:15" x14ac:dyDescent="0.35">
      <c r="A6686" s="503" t="s">
        <v>2128</v>
      </c>
      <c r="B6686" s="504" t="s">
        <v>3133</v>
      </c>
      <c r="C6686" s="504" t="s">
        <v>1089</v>
      </c>
      <c r="D6686" s="504" t="s">
        <v>3392</v>
      </c>
      <c r="E6686" s="504" t="s">
        <v>3381</v>
      </c>
      <c r="F6686" s="504" t="s">
        <v>832</v>
      </c>
      <c r="G6686" s="504" t="s">
        <v>833</v>
      </c>
      <c r="H6686" s="504" t="s">
        <v>8757</v>
      </c>
      <c r="I6686" s="504">
        <v>21</v>
      </c>
      <c r="J6686" s="504">
        <v>21</v>
      </c>
      <c r="K6686" s="504">
        <v>0</v>
      </c>
      <c r="L6686" s="504">
        <v>0</v>
      </c>
      <c r="M6686" s="504">
        <v>0</v>
      </c>
      <c r="N6686" s="504">
        <v>0</v>
      </c>
      <c r="O6686" s="505">
        <v>0</v>
      </c>
    </row>
    <row r="6687" spans="1:15" x14ac:dyDescent="0.35">
      <c r="A6687" s="500" t="s">
        <v>1385</v>
      </c>
      <c r="B6687" s="501" t="s">
        <v>3249</v>
      </c>
      <c r="C6687" s="501" t="s">
        <v>1094</v>
      </c>
      <c r="D6687" s="501" t="s">
        <v>3380</v>
      </c>
      <c r="E6687" s="501" t="s">
        <v>3381</v>
      </c>
      <c r="F6687" s="501" t="s">
        <v>834</v>
      </c>
      <c r="G6687" s="501" t="s">
        <v>835</v>
      </c>
      <c r="H6687" s="501" t="s">
        <v>8758</v>
      </c>
      <c r="I6687" s="501">
        <v>1</v>
      </c>
      <c r="J6687" s="501">
        <v>0</v>
      </c>
      <c r="K6687" s="501">
        <v>0</v>
      </c>
      <c r="L6687" s="501">
        <v>0</v>
      </c>
      <c r="M6687" s="501">
        <v>0</v>
      </c>
      <c r="N6687" s="501">
        <v>0</v>
      </c>
      <c r="O6687" s="506">
        <v>1</v>
      </c>
    </row>
    <row r="6688" spans="1:15" x14ac:dyDescent="0.35">
      <c r="A6688" s="503" t="s">
        <v>1386</v>
      </c>
      <c r="B6688" s="504" t="s">
        <v>3331</v>
      </c>
      <c r="C6688" s="504" t="s">
        <v>1094</v>
      </c>
      <c r="D6688" s="504" t="s">
        <v>3380</v>
      </c>
      <c r="E6688" s="504" t="s">
        <v>3381</v>
      </c>
      <c r="F6688" s="504" t="s">
        <v>834</v>
      </c>
      <c r="G6688" s="504" t="s">
        <v>835</v>
      </c>
      <c r="H6688" s="504" t="s">
        <v>8759</v>
      </c>
      <c r="I6688" s="504">
        <v>462</v>
      </c>
      <c r="J6688" s="504">
        <v>418</v>
      </c>
      <c r="K6688" s="504">
        <v>0</v>
      </c>
      <c r="L6688" s="504">
        <v>10</v>
      </c>
      <c r="M6688" s="504">
        <v>28</v>
      </c>
      <c r="N6688" s="504">
        <v>0</v>
      </c>
      <c r="O6688" s="505">
        <v>6</v>
      </c>
    </row>
    <row r="6689" spans="1:15" x14ac:dyDescent="0.35">
      <c r="A6689" s="500" t="s">
        <v>1143</v>
      </c>
      <c r="B6689" s="501" t="s">
        <v>3281</v>
      </c>
      <c r="C6689" s="501" t="s">
        <v>1094</v>
      </c>
      <c r="D6689" s="501" t="s">
        <v>3380</v>
      </c>
      <c r="E6689" s="501" t="s">
        <v>3381</v>
      </c>
      <c r="F6689" s="501" t="s">
        <v>834</v>
      </c>
      <c r="G6689" s="501" t="s">
        <v>835</v>
      </c>
      <c r="H6689" s="501" t="s">
        <v>8760</v>
      </c>
      <c r="I6689" s="501">
        <v>223</v>
      </c>
      <c r="J6689" s="501">
        <v>132</v>
      </c>
      <c r="K6689" s="501">
        <v>0</v>
      </c>
      <c r="L6689" s="501">
        <v>0</v>
      </c>
      <c r="M6689" s="501">
        <v>0</v>
      </c>
      <c r="N6689" s="501">
        <v>0</v>
      </c>
      <c r="O6689" s="506">
        <v>91</v>
      </c>
    </row>
    <row r="6690" spans="1:15" x14ac:dyDescent="0.35">
      <c r="A6690" s="503" t="s">
        <v>1093</v>
      </c>
      <c r="B6690" s="504" t="s">
        <v>3248</v>
      </c>
      <c r="C6690" s="504" t="s">
        <v>1094</v>
      </c>
      <c r="D6690" s="504" t="s">
        <v>3380</v>
      </c>
      <c r="E6690" s="504" t="s">
        <v>3381</v>
      </c>
      <c r="F6690" s="504" t="s">
        <v>834</v>
      </c>
      <c r="G6690" s="504" t="s">
        <v>835</v>
      </c>
      <c r="H6690" s="504" t="s">
        <v>8761</v>
      </c>
      <c r="I6690" s="504">
        <v>1</v>
      </c>
      <c r="J6690" s="504">
        <v>0</v>
      </c>
      <c r="K6690" s="504">
        <v>0</v>
      </c>
      <c r="L6690" s="504">
        <v>0</v>
      </c>
      <c r="M6690" s="504">
        <v>0</v>
      </c>
      <c r="N6690" s="504">
        <v>0</v>
      </c>
      <c r="O6690" s="505">
        <v>1</v>
      </c>
    </row>
    <row r="6691" spans="1:15" x14ac:dyDescent="0.35">
      <c r="A6691" s="500" t="s">
        <v>1096</v>
      </c>
      <c r="B6691" s="501" t="s">
        <v>3326</v>
      </c>
      <c r="C6691" s="501" t="s">
        <v>1094</v>
      </c>
      <c r="D6691" s="501" t="s">
        <v>3380</v>
      </c>
      <c r="E6691" s="501" t="s">
        <v>3381</v>
      </c>
      <c r="F6691" s="501" t="s">
        <v>834</v>
      </c>
      <c r="G6691" s="501" t="s">
        <v>835</v>
      </c>
      <c r="H6691" s="501" t="s">
        <v>8762</v>
      </c>
      <c r="I6691" s="501">
        <v>169</v>
      </c>
      <c r="J6691" s="501">
        <v>1</v>
      </c>
      <c r="K6691" s="501">
        <v>0</v>
      </c>
      <c r="L6691" s="501">
        <v>0</v>
      </c>
      <c r="M6691" s="501">
        <v>165</v>
      </c>
      <c r="N6691" s="501">
        <v>0</v>
      </c>
      <c r="O6691" s="506">
        <v>3</v>
      </c>
    </row>
    <row r="6692" spans="1:15" x14ac:dyDescent="0.35">
      <c r="A6692" s="503" t="s">
        <v>1161</v>
      </c>
      <c r="B6692" s="504" t="s">
        <v>3001</v>
      </c>
      <c r="C6692" s="504" t="s">
        <v>1094</v>
      </c>
      <c r="D6692" s="504" t="s">
        <v>3380</v>
      </c>
      <c r="E6692" s="504" t="s">
        <v>3381</v>
      </c>
      <c r="F6692" s="504" t="s">
        <v>834</v>
      </c>
      <c r="G6692" s="504" t="s">
        <v>835</v>
      </c>
      <c r="H6692" s="504" t="s">
        <v>8763</v>
      </c>
      <c r="I6692" s="504">
        <v>1</v>
      </c>
      <c r="J6692" s="504">
        <v>0</v>
      </c>
      <c r="K6692" s="504">
        <v>0</v>
      </c>
      <c r="L6692" s="504">
        <v>0</v>
      </c>
      <c r="M6692" s="504">
        <v>0</v>
      </c>
      <c r="N6692" s="504">
        <v>0</v>
      </c>
      <c r="O6692" s="505">
        <v>1</v>
      </c>
    </row>
    <row r="6693" spans="1:15" x14ac:dyDescent="0.35">
      <c r="A6693" s="500" t="s">
        <v>14208</v>
      </c>
      <c r="B6693" s="501">
        <v>4803</v>
      </c>
      <c r="C6693" s="501" t="s">
        <v>1094</v>
      </c>
      <c r="D6693" s="501" t="s">
        <v>3380</v>
      </c>
      <c r="E6693" s="501" t="s">
        <v>3381</v>
      </c>
      <c r="F6693" s="501" t="s">
        <v>834</v>
      </c>
      <c r="G6693" s="501" t="s">
        <v>835</v>
      </c>
      <c r="H6693" s="501" t="s">
        <v>15006</v>
      </c>
      <c r="I6693" s="501">
        <v>3</v>
      </c>
      <c r="J6693" s="501">
        <v>0</v>
      </c>
      <c r="K6693" s="501">
        <v>0</v>
      </c>
      <c r="L6693" s="501">
        <v>3</v>
      </c>
      <c r="M6693" s="501">
        <v>0</v>
      </c>
      <c r="N6693" s="501">
        <v>0</v>
      </c>
      <c r="O6693" s="506">
        <v>0</v>
      </c>
    </row>
    <row r="6694" spans="1:15" x14ac:dyDescent="0.35">
      <c r="A6694" s="503" t="s">
        <v>1109</v>
      </c>
      <c r="B6694" s="504" t="s">
        <v>2959</v>
      </c>
      <c r="C6694" s="504" t="s">
        <v>1094</v>
      </c>
      <c r="D6694" s="504" t="s">
        <v>3380</v>
      </c>
      <c r="E6694" s="504" t="s">
        <v>3381</v>
      </c>
      <c r="F6694" s="504" t="s">
        <v>834</v>
      </c>
      <c r="G6694" s="504" t="s">
        <v>835</v>
      </c>
      <c r="H6694" s="504" t="s">
        <v>8764</v>
      </c>
      <c r="I6694" s="504">
        <v>40</v>
      </c>
      <c r="J6694" s="504">
        <v>0</v>
      </c>
      <c r="K6694" s="504">
        <v>0</v>
      </c>
      <c r="L6694" s="504">
        <v>0</v>
      </c>
      <c r="M6694" s="504">
        <v>40</v>
      </c>
      <c r="N6694" s="504">
        <v>0</v>
      </c>
      <c r="O6694" s="505">
        <v>0</v>
      </c>
    </row>
    <row r="6695" spans="1:15" x14ac:dyDescent="0.35">
      <c r="A6695" s="500" t="s">
        <v>1202</v>
      </c>
      <c r="B6695" s="501" t="s">
        <v>3217</v>
      </c>
      <c r="C6695" s="501" t="s">
        <v>1094</v>
      </c>
      <c r="D6695" s="501" t="s">
        <v>3380</v>
      </c>
      <c r="E6695" s="501" t="s">
        <v>3381</v>
      </c>
      <c r="F6695" s="501" t="s">
        <v>834</v>
      </c>
      <c r="G6695" s="501" t="s">
        <v>835</v>
      </c>
      <c r="H6695" s="501" t="s">
        <v>8765</v>
      </c>
      <c r="I6695" s="501">
        <v>50</v>
      </c>
      <c r="J6695" s="501">
        <v>48</v>
      </c>
      <c r="K6695" s="501">
        <v>0</v>
      </c>
      <c r="L6695" s="501">
        <v>0</v>
      </c>
      <c r="M6695" s="501">
        <v>0</v>
      </c>
      <c r="N6695" s="501">
        <v>0</v>
      </c>
      <c r="O6695" s="506">
        <v>2</v>
      </c>
    </row>
    <row r="6696" spans="1:15" x14ac:dyDescent="0.35">
      <c r="A6696" s="503" t="s">
        <v>1112</v>
      </c>
      <c r="B6696" s="504" t="s">
        <v>3008</v>
      </c>
      <c r="C6696" s="504" t="s">
        <v>1094</v>
      </c>
      <c r="D6696" s="504" t="s">
        <v>3380</v>
      </c>
      <c r="E6696" s="504" t="s">
        <v>3381</v>
      </c>
      <c r="F6696" s="504" t="s">
        <v>834</v>
      </c>
      <c r="G6696" s="504" t="s">
        <v>835</v>
      </c>
      <c r="H6696" s="504" t="s">
        <v>8766</v>
      </c>
      <c r="I6696" s="504">
        <v>481</v>
      </c>
      <c r="J6696" s="504">
        <v>321</v>
      </c>
      <c r="K6696" s="504">
        <v>0</v>
      </c>
      <c r="L6696" s="504">
        <v>0</v>
      </c>
      <c r="M6696" s="504">
        <v>0</v>
      </c>
      <c r="N6696" s="504">
        <v>2</v>
      </c>
      <c r="O6696" s="505">
        <v>160</v>
      </c>
    </row>
    <row r="6697" spans="1:15" x14ac:dyDescent="0.35">
      <c r="A6697" s="500" t="s">
        <v>1501</v>
      </c>
      <c r="B6697" s="501" t="s">
        <v>2956</v>
      </c>
      <c r="C6697" s="501" t="s">
        <v>1094</v>
      </c>
      <c r="D6697" s="501" t="s">
        <v>3380</v>
      </c>
      <c r="E6697" s="501" t="s">
        <v>3381</v>
      </c>
      <c r="F6697" s="501" t="s">
        <v>834</v>
      </c>
      <c r="G6697" s="501" t="s">
        <v>835</v>
      </c>
      <c r="H6697" s="501" t="s">
        <v>8767</v>
      </c>
      <c r="I6697" s="501">
        <v>79</v>
      </c>
      <c r="J6697" s="501">
        <v>61</v>
      </c>
      <c r="K6697" s="501">
        <v>0</v>
      </c>
      <c r="L6697" s="501">
        <v>16</v>
      </c>
      <c r="M6697" s="501">
        <v>0</v>
      </c>
      <c r="N6697" s="501">
        <v>0</v>
      </c>
      <c r="O6697" s="506">
        <v>2</v>
      </c>
    </row>
    <row r="6698" spans="1:15" x14ac:dyDescent="0.35">
      <c r="A6698" s="503" t="s">
        <v>1120</v>
      </c>
      <c r="B6698" s="504" t="s">
        <v>3362</v>
      </c>
      <c r="C6698" s="504" t="s">
        <v>1094</v>
      </c>
      <c r="D6698" s="504" t="s">
        <v>3380</v>
      </c>
      <c r="E6698" s="504" t="s">
        <v>3381</v>
      </c>
      <c r="F6698" s="504" t="s">
        <v>834</v>
      </c>
      <c r="G6698" s="504" t="s">
        <v>835</v>
      </c>
      <c r="H6698" s="504" t="s">
        <v>8768</v>
      </c>
      <c r="I6698" s="504">
        <v>1</v>
      </c>
      <c r="J6698" s="504">
        <v>0</v>
      </c>
      <c r="K6698" s="504">
        <v>0</v>
      </c>
      <c r="L6698" s="504">
        <v>0</v>
      </c>
      <c r="M6698" s="504">
        <v>0</v>
      </c>
      <c r="N6698" s="504">
        <v>0</v>
      </c>
      <c r="O6698" s="505">
        <v>1</v>
      </c>
    </row>
    <row r="6699" spans="1:15" x14ac:dyDescent="0.35">
      <c r="A6699" s="500" t="s">
        <v>1321</v>
      </c>
      <c r="B6699" s="501">
        <v>4635</v>
      </c>
      <c r="C6699" s="501" t="s">
        <v>1089</v>
      </c>
      <c r="D6699" s="501" t="s">
        <v>3392</v>
      </c>
      <c r="E6699" s="501" t="s">
        <v>3381</v>
      </c>
      <c r="F6699" s="501" t="s">
        <v>834</v>
      </c>
      <c r="G6699" s="501" t="s">
        <v>835</v>
      </c>
      <c r="H6699" s="501" t="s">
        <v>15007</v>
      </c>
      <c r="I6699" s="501">
        <v>3</v>
      </c>
      <c r="J6699" s="501">
        <v>3</v>
      </c>
      <c r="K6699" s="501">
        <v>0</v>
      </c>
      <c r="L6699" s="501">
        <v>0</v>
      </c>
      <c r="M6699" s="501">
        <v>0</v>
      </c>
      <c r="N6699" s="501">
        <v>0</v>
      </c>
      <c r="O6699" s="506">
        <v>0</v>
      </c>
    </row>
    <row r="6700" spans="1:15" x14ac:dyDescent="0.35">
      <c r="A6700" s="503" t="s">
        <v>1217</v>
      </c>
      <c r="B6700" s="504">
        <v>4851</v>
      </c>
      <c r="C6700" s="504" t="s">
        <v>1094</v>
      </c>
      <c r="D6700" s="504" t="s">
        <v>3380</v>
      </c>
      <c r="E6700" s="504" t="s">
        <v>3381</v>
      </c>
      <c r="F6700" s="504" t="s">
        <v>834</v>
      </c>
      <c r="G6700" s="504" t="s">
        <v>835</v>
      </c>
      <c r="H6700" s="504" t="s">
        <v>8769</v>
      </c>
      <c r="I6700" s="504">
        <v>303</v>
      </c>
      <c r="J6700" s="504">
        <v>21</v>
      </c>
      <c r="K6700" s="504">
        <v>282</v>
      </c>
      <c r="L6700" s="504">
        <v>0</v>
      </c>
      <c r="M6700" s="504">
        <v>0</v>
      </c>
      <c r="N6700" s="504">
        <v>0</v>
      </c>
      <c r="O6700" s="505">
        <v>0</v>
      </c>
    </row>
    <row r="6701" spans="1:15" x14ac:dyDescent="0.35">
      <c r="A6701" s="500" t="s">
        <v>1220</v>
      </c>
      <c r="B6701" s="501">
        <v>4849</v>
      </c>
      <c r="C6701" s="501" t="s">
        <v>1094</v>
      </c>
      <c r="D6701" s="501" t="s">
        <v>3380</v>
      </c>
      <c r="E6701" s="501" t="s">
        <v>3381</v>
      </c>
      <c r="F6701" s="501" t="s">
        <v>834</v>
      </c>
      <c r="G6701" s="501" t="s">
        <v>835</v>
      </c>
      <c r="H6701" s="501" t="s">
        <v>8770</v>
      </c>
      <c r="I6701" s="501">
        <v>214</v>
      </c>
      <c r="J6701" s="501">
        <v>129</v>
      </c>
      <c r="K6701" s="501">
        <v>0</v>
      </c>
      <c r="L6701" s="501">
        <v>0</v>
      </c>
      <c r="M6701" s="501">
        <v>0</v>
      </c>
      <c r="N6701" s="501">
        <v>0</v>
      </c>
      <c r="O6701" s="506">
        <v>85</v>
      </c>
    </row>
    <row r="6702" spans="1:15" x14ac:dyDescent="0.35">
      <c r="A6702" s="503" t="s">
        <v>1887</v>
      </c>
      <c r="B6702" s="504" t="s">
        <v>3320</v>
      </c>
      <c r="C6702" s="504" t="s">
        <v>1094</v>
      </c>
      <c r="D6702" s="504" t="s">
        <v>3380</v>
      </c>
      <c r="E6702" s="504" t="s">
        <v>3381</v>
      </c>
      <c r="F6702" s="504" t="s">
        <v>834</v>
      </c>
      <c r="G6702" s="504" t="s">
        <v>835</v>
      </c>
      <c r="H6702" s="504" t="s">
        <v>8771</v>
      </c>
      <c r="I6702" s="504">
        <v>17</v>
      </c>
      <c r="J6702" s="504">
        <v>17</v>
      </c>
      <c r="K6702" s="504">
        <v>0</v>
      </c>
      <c r="L6702" s="504">
        <v>0</v>
      </c>
      <c r="M6702" s="504">
        <v>0</v>
      </c>
      <c r="N6702" s="504">
        <v>0</v>
      </c>
      <c r="O6702" s="505">
        <v>0</v>
      </c>
    </row>
    <row r="6703" spans="1:15" x14ac:dyDescent="0.35">
      <c r="A6703" s="500" t="s">
        <v>1540</v>
      </c>
      <c r="B6703" s="501" t="s">
        <v>3271</v>
      </c>
      <c r="C6703" s="501" t="s">
        <v>1089</v>
      </c>
      <c r="D6703" s="501" t="s">
        <v>3392</v>
      </c>
      <c r="E6703" s="501" t="s">
        <v>3381</v>
      </c>
      <c r="F6703" s="501" t="s">
        <v>834</v>
      </c>
      <c r="G6703" s="501" t="s">
        <v>835</v>
      </c>
      <c r="H6703" s="501" t="s">
        <v>8772</v>
      </c>
      <c r="I6703" s="501">
        <v>39</v>
      </c>
      <c r="J6703" s="501">
        <v>39</v>
      </c>
      <c r="K6703" s="501">
        <v>0</v>
      </c>
      <c r="L6703" s="501">
        <v>0</v>
      </c>
      <c r="M6703" s="501">
        <v>0</v>
      </c>
      <c r="N6703" s="501">
        <v>1</v>
      </c>
      <c r="O6703" s="506">
        <v>0</v>
      </c>
    </row>
    <row r="6704" spans="1:15" x14ac:dyDescent="0.35">
      <c r="A6704" s="503" t="s">
        <v>1547</v>
      </c>
      <c r="B6704" s="504" t="s">
        <v>3279</v>
      </c>
      <c r="C6704" s="504" t="s">
        <v>1089</v>
      </c>
      <c r="D6704" s="504" t="s">
        <v>3392</v>
      </c>
      <c r="E6704" s="504" t="s">
        <v>3381</v>
      </c>
      <c r="F6704" s="504" t="s">
        <v>834</v>
      </c>
      <c r="G6704" s="504" t="s">
        <v>835</v>
      </c>
      <c r="H6704" s="504" t="s">
        <v>15008</v>
      </c>
      <c r="I6704" s="504">
        <v>6</v>
      </c>
      <c r="J6704" s="504">
        <v>6</v>
      </c>
      <c r="K6704" s="504">
        <v>0</v>
      </c>
      <c r="L6704" s="504">
        <v>0</v>
      </c>
      <c r="M6704" s="504">
        <v>0</v>
      </c>
      <c r="N6704" s="504">
        <v>0</v>
      </c>
      <c r="O6704" s="505">
        <v>0</v>
      </c>
    </row>
    <row r="6705" spans="1:15" x14ac:dyDescent="0.35">
      <c r="A6705" s="500" t="s">
        <v>1130</v>
      </c>
      <c r="B6705" s="501" t="s">
        <v>3234</v>
      </c>
      <c r="C6705" s="501" t="s">
        <v>1094</v>
      </c>
      <c r="D6705" s="501" t="s">
        <v>3380</v>
      </c>
      <c r="E6705" s="501" t="s">
        <v>3381</v>
      </c>
      <c r="F6705" s="501" t="s">
        <v>834</v>
      </c>
      <c r="G6705" s="501" t="s">
        <v>835</v>
      </c>
      <c r="H6705" s="501" t="s">
        <v>8773</v>
      </c>
      <c r="I6705" s="501">
        <v>171</v>
      </c>
      <c r="J6705" s="501">
        <v>83</v>
      </c>
      <c r="K6705" s="501">
        <v>0</v>
      </c>
      <c r="L6705" s="501">
        <v>0</v>
      </c>
      <c r="M6705" s="501">
        <v>46</v>
      </c>
      <c r="N6705" s="501">
        <v>5</v>
      </c>
      <c r="O6705" s="506">
        <v>42</v>
      </c>
    </row>
    <row r="6706" spans="1:15" x14ac:dyDescent="0.35">
      <c r="A6706" s="503" t="s">
        <v>1903</v>
      </c>
      <c r="B6706" s="504" t="s">
        <v>2601</v>
      </c>
      <c r="C6706" s="504" t="s">
        <v>1089</v>
      </c>
      <c r="D6706" s="504" t="s">
        <v>3392</v>
      </c>
      <c r="E6706" s="504" t="s">
        <v>3381</v>
      </c>
      <c r="F6706" s="504" t="s">
        <v>834</v>
      </c>
      <c r="G6706" s="504" t="s">
        <v>835</v>
      </c>
      <c r="H6706" s="504" t="s">
        <v>8774</v>
      </c>
      <c r="I6706" s="504">
        <v>11</v>
      </c>
      <c r="J6706" s="504">
        <v>11</v>
      </c>
      <c r="K6706" s="504">
        <v>0</v>
      </c>
      <c r="L6706" s="504">
        <v>0</v>
      </c>
      <c r="M6706" s="504">
        <v>0</v>
      </c>
      <c r="N6706" s="504">
        <v>0</v>
      </c>
      <c r="O6706" s="505">
        <v>0</v>
      </c>
    </row>
    <row r="6707" spans="1:15" x14ac:dyDescent="0.35">
      <c r="A6707" s="500" t="s">
        <v>1240</v>
      </c>
      <c r="B6707" s="501" t="s">
        <v>2972</v>
      </c>
      <c r="C6707" s="501" t="s">
        <v>1094</v>
      </c>
      <c r="D6707" s="501" t="s">
        <v>3380</v>
      </c>
      <c r="E6707" s="501" t="s">
        <v>3381</v>
      </c>
      <c r="F6707" s="501" t="s">
        <v>834</v>
      </c>
      <c r="G6707" s="501" t="s">
        <v>835</v>
      </c>
      <c r="H6707" s="501" t="s">
        <v>15009</v>
      </c>
      <c r="I6707" s="501">
        <v>4</v>
      </c>
      <c r="J6707" s="501">
        <v>0</v>
      </c>
      <c r="K6707" s="501">
        <v>0</v>
      </c>
      <c r="L6707" s="501">
        <v>0</v>
      </c>
      <c r="M6707" s="501">
        <v>0</v>
      </c>
      <c r="N6707" s="501">
        <v>0</v>
      </c>
      <c r="O6707" s="506">
        <v>4</v>
      </c>
    </row>
    <row r="6708" spans="1:15" x14ac:dyDescent="0.35">
      <c r="A6708" s="503" t="s">
        <v>1253</v>
      </c>
      <c r="B6708" s="504" t="s">
        <v>3232</v>
      </c>
      <c r="C6708" s="504" t="s">
        <v>1094</v>
      </c>
      <c r="D6708" s="504" t="s">
        <v>3380</v>
      </c>
      <c r="E6708" s="504" t="s">
        <v>3381</v>
      </c>
      <c r="F6708" s="504" t="s">
        <v>834</v>
      </c>
      <c r="G6708" s="504" t="s">
        <v>835</v>
      </c>
      <c r="H6708" s="504" t="s">
        <v>8775</v>
      </c>
      <c r="I6708" s="504">
        <v>13</v>
      </c>
      <c r="J6708" s="504">
        <v>0</v>
      </c>
      <c r="K6708" s="504">
        <v>0</v>
      </c>
      <c r="L6708" s="504">
        <v>6</v>
      </c>
      <c r="M6708" s="504">
        <v>7</v>
      </c>
      <c r="N6708" s="504">
        <v>0</v>
      </c>
      <c r="O6708" s="505">
        <v>0</v>
      </c>
    </row>
    <row r="6709" spans="1:15" x14ac:dyDescent="0.35">
      <c r="A6709" s="500" t="s">
        <v>1581</v>
      </c>
      <c r="B6709" s="501" t="s">
        <v>2888</v>
      </c>
      <c r="C6709" s="501" t="s">
        <v>1089</v>
      </c>
      <c r="D6709" s="501" t="s">
        <v>3392</v>
      </c>
      <c r="E6709" s="501" t="s">
        <v>3381</v>
      </c>
      <c r="F6709" s="501" t="s">
        <v>834</v>
      </c>
      <c r="G6709" s="501" t="s">
        <v>835</v>
      </c>
      <c r="H6709" s="501" t="s">
        <v>8776</v>
      </c>
      <c r="I6709" s="501">
        <v>57</v>
      </c>
      <c r="J6709" s="501">
        <v>1</v>
      </c>
      <c r="K6709" s="501">
        <v>0</v>
      </c>
      <c r="L6709" s="501">
        <v>56</v>
      </c>
      <c r="M6709" s="501">
        <v>0</v>
      </c>
      <c r="N6709" s="501">
        <v>0</v>
      </c>
      <c r="O6709" s="506">
        <v>0</v>
      </c>
    </row>
    <row r="6710" spans="1:15" x14ac:dyDescent="0.35">
      <c r="A6710" s="503" t="s">
        <v>1140</v>
      </c>
      <c r="B6710" s="504">
        <v>4850</v>
      </c>
      <c r="C6710" s="504" t="s">
        <v>1094</v>
      </c>
      <c r="D6710" s="504" t="s">
        <v>3380</v>
      </c>
      <c r="E6710" s="504" t="s">
        <v>3381</v>
      </c>
      <c r="F6710" s="504" t="s">
        <v>834</v>
      </c>
      <c r="G6710" s="504" t="s">
        <v>835</v>
      </c>
      <c r="H6710" s="504" t="s">
        <v>8777</v>
      </c>
      <c r="I6710" s="504">
        <v>83</v>
      </c>
      <c r="J6710" s="504">
        <v>83</v>
      </c>
      <c r="K6710" s="504">
        <v>0</v>
      </c>
      <c r="L6710" s="504">
        <v>0</v>
      </c>
      <c r="M6710" s="504">
        <v>0</v>
      </c>
      <c r="N6710" s="504">
        <v>0</v>
      </c>
      <c r="O6710" s="505">
        <v>0</v>
      </c>
    </row>
    <row r="6711" spans="1:15" x14ac:dyDescent="0.35">
      <c r="A6711" s="500" t="s">
        <v>1143</v>
      </c>
      <c r="B6711" s="501" t="s">
        <v>3281</v>
      </c>
      <c r="C6711" s="501" t="s">
        <v>1094</v>
      </c>
      <c r="D6711" s="501" t="s">
        <v>3380</v>
      </c>
      <c r="E6711" s="501" t="s">
        <v>3381</v>
      </c>
      <c r="F6711" s="501" t="s">
        <v>836</v>
      </c>
      <c r="G6711" s="501" t="s">
        <v>837</v>
      </c>
      <c r="H6711" s="501" t="s">
        <v>8778</v>
      </c>
      <c r="I6711" s="501">
        <v>40</v>
      </c>
      <c r="J6711" s="501">
        <v>40</v>
      </c>
      <c r="K6711" s="501">
        <v>0</v>
      </c>
      <c r="L6711" s="501">
        <v>0</v>
      </c>
      <c r="M6711" s="501">
        <v>0</v>
      </c>
      <c r="N6711" s="501">
        <v>0</v>
      </c>
      <c r="O6711" s="506">
        <v>0</v>
      </c>
    </row>
    <row r="6712" spans="1:15" x14ac:dyDescent="0.35">
      <c r="A6712" s="503" t="s">
        <v>1145</v>
      </c>
      <c r="B6712" s="504" t="s">
        <v>3164</v>
      </c>
      <c r="C6712" s="504" t="s">
        <v>1094</v>
      </c>
      <c r="D6712" s="504" t="s">
        <v>3380</v>
      </c>
      <c r="E6712" s="504" t="s">
        <v>3381</v>
      </c>
      <c r="F6712" s="504" t="s">
        <v>836</v>
      </c>
      <c r="G6712" s="504" t="s">
        <v>837</v>
      </c>
      <c r="H6712" s="504" t="s">
        <v>8779</v>
      </c>
      <c r="I6712" s="504">
        <v>55</v>
      </c>
      <c r="J6712" s="504">
        <v>28</v>
      </c>
      <c r="K6712" s="504">
        <v>0</v>
      </c>
      <c r="L6712" s="504">
        <v>0</v>
      </c>
      <c r="M6712" s="504">
        <v>0</v>
      </c>
      <c r="N6712" s="504">
        <v>0</v>
      </c>
      <c r="O6712" s="505">
        <v>27</v>
      </c>
    </row>
    <row r="6713" spans="1:15" x14ac:dyDescent="0.35">
      <c r="A6713" s="500" t="s">
        <v>1093</v>
      </c>
      <c r="B6713" s="501" t="s">
        <v>3248</v>
      </c>
      <c r="C6713" s="501" t="s">
        <v>1094</v>
      </c>
      <c r="D6713" s="501" t="s">
        <v>3380</v>
      </c>
      <c r="E6713" s="501" t="s">
        <v>3381</v>
      </c>
      <c r="F6713" s="501" t="s">
        <v>836</v>
      </c>
      <c r="G6713" s="501" t="s">
        <v>837</v>
      </c>
      <c r="H6713" s="501" t="s">
        <v>8780</v>
      </c>
      <c r="I6713" s="501">
        <v>1</v>
      </c>
      <c r="J6713" s="501">
        <v>0</v>
      </c>
      <c r="K6713" s="501">
        <v>0</v>
      </c>
      <c r="L6713" s="501">
        <v>0</v>
      </c>
      <c r="M6713" s="501">
        <v>0</v>
      </c>
      <c r="N6713" s="501">
        <v>0</v>
      </c>
      <c r="O6713" s="506">
        <v>1</v>
      </c>
    </row>
    <row r="6714" spans="1:15" x14ac:dyDescent="0.35">
      <c r="A6714" s="503" t="s">
        <v>1096</v>
      </c>
      <c r="B6714" s="504" t="s">
        <v>3326</v>
      </c>
      <c r="C6714" s="504" t="s">
        <v>1094</v>
      </c>
      <c r="D6714" s="504" t="s">
        <v>3380</v>
      </c>
      <c r="E6714" s="504" t="s">
        <v>3381</v>
      </c>
      <c r="F6714" s="504" t="s">
        <v>836</v>
      </c>
      <c r="G6714" s="504" t="s">
        <v>837</v>
      </c>
      <c r="H6714" s="504" t="s">
        <v>8781</v>
      </c>
      <c r="I6714" s="504">
        <v>52</v>
      </c>
      <c r="J6714" s="504">
        <v>0</v>
      </c>
      <c r="K6714" s="504">
        <v>0</v>
      </c>
      <c r="L6714" s="504">
        <v>0</v>
      </c>
      <c r="M6714" s="504">
        <v>52</v>
      </c>
      <c r="N6714" s="504">
        <v>0</v>
      </c>
      <c r="O6714" s="505">
        <v>0</v>
      </c>
    </row>
    <row r="6715" spans="1:15" x14ac:dyDescent="0.35">
      <c r="A6715" s="500" t="s">
        <v>1171</v>
      </c>
      <c r="B6715" s="501" t="s">
        <v>3003</v>
      </c>
      <c r="C6715" s="501" t="s">
        <v>1094</v>
      </c>
      <c r="D6715" s="501" t="s">
        <v>3380</v>
      </c>
      <c r="E6715" s="501" t="s">
        <v>3381</v>
      </c>
      <c r="F6715" s="501" t="s">
        <v>836</v>
      </c>
      <c r="G6715" s="501" t="s">
        <v>837</v>
      </c>
      <c r="H6715" s="501" t="s">
        <v>8782</v>
      </c>
      <c r="I6715" s="501">
        <v>23</v>
      </c>
      <c r="J6715" s="501">
        <v>20</v>
      </c>
      <c r="K6715" s="501">
        <v>0</v>
      </c>
      <c r="L6715" s="501">
        <v>0</v>
      </c>
      <c r="M6715" s="501">
        <v>0</v>
      </c>
      <c r="N6715" s="501">
        <v>0</v>
      </c>
      <c r="O6715" s="506">
        <v>3</v>
      </c>
    </row>
    <row r="6716" spans="1:15" x14ac:dyDescent="0.35">
      <c r="A6716" s="503" t="s">
        <v>1173</v>
      </c>
      <c r="B6716" s="504">
        <v>4775</v>
      </c>
      <c r="C6716" s="504" t="s">
        <v>1094</v>
      </c>
      <c r="D6716" s="504" t="s">
        <v>3380</v>
      </c>
      <c r="E6716" s="504" t="s">
        <v>3381</v>
      </c>
      <c r="F6716" s="504" t="s">
        <v>836</v>
      </c>
      <c r="G6716" s="504" t="s">
        <v>837</v>
      </c>
      <c r="H6716" s="504" t="s">
        <v>8783</v>
      </c>
      <c r="I6716" s="504">
        <v>40</v>
      </c>
      <c r="J6716" s="504">
        <v>17</v>
      </c>
      <c r="K6716" s="504">
        <v>0</v>
      </c>
      <c r="L6716" s="504">
        <v>0</v>
      </c>
      <c r="M6716" s="504">
        <v>0</v>
      </c>
      <c r="N6716" s="504">
        <v>0</v>
      </c>
      <c r="O6716" s="505">
        <v>23</v>
      </c>
    </row>
    <row r="6717" spans="1:15" x14ac:dyDescent="0.35">
      <c r="A6717" s="500" t="s">
        <v>1102</v>
      </c>
      <c r="B6717" s="501">
        <v>4663</v>
      </c>
      <c r="C6717" s="501" t="s">
        <v>1089</v>
      </c>
      <c r="D6717" s="501" t="s">
        <v>3392</v>
      </c>
      <c r="E6717" s="501" t="s">
        <v>3381</v>
      </c>
      <c r="F6717" s="501" t="s">
        <v>836</v>
      </c>
      <c r="G6717" s="501" t="s">
        <v>837</v>
      </c>
      <c r="H6717" s="501" t="s">
        <v>15010</v>
      </c>
      <c r="I6717" s="501">
        <v>2</v>
      </c>
      <c r="J6717" s="501">
        <v>0</v>
      </c>
      <c r="K6717" s="501">
        <v>0</v>
      </c>
      <c r="L6717" s="501">
        <v>2</v>
      </c>
      <c r="M6717" s="501">
        <v>0</v>
      </c>
      <c r="N6717" s="501">
        <v>0</v>
      </c>
      <c r="O6717" s="506">
        <v>0</v>
      </c>
    </row>
    <row r="6718" spans="1:15" x14ac:dyDescent="0.35">
      <c r="A6718" s="503" t="s">
        <v>1175</v>
      </c>
      <c r="B6718" s="504" t="s">
        <v>3141</v>
      </c>
      <c r="C6718" s="504" t="s">
        <v>1094</v>
      </c>
      <c r="D6718" s="504" t="s">
        <v>3380</v>
      </c>
      <c r="E6718" s="504" t="s">
        <v>3381</v>
      </c>
      <c r="F6718" s="504" t="s">
        <v>836</v>
      </c>
      <c r="G6718" s="504" t="s">
        <v>837</v>
      </c>
      <c r="H6718" s="504" t="s">
        <v>8784</v>
      </c>
      <c r="I6718" s="504">
        <v>5</v>
      </c>
      <c r="J6718" s="504">
        <v>4</v>
      </c>
      <c r="K6718" s="504">
        <v>0</v>
      </c>
      <c r="L6718" s="504">
        <v>0</v>
      </c>
      <c r="M6718" s="504">
        <v>0</v>
      </c>
      <c r="N6718" s="504">
        <v>0</v>
      </c>
      <c r="O6718" s="505">
        <v>1</v>
      </c>
    </row>
    <row r="6719" spans="1:15" x14ac:dyDescent="0.35">
      <c r="A6719" s="500" t="s">
        <v>1178</v>
      </c>
      <c r="B6719" s="501" t="s">
        <v>3334</v>
      </c>
      <c r="C6719" s="501" t="s">
        <v>1094</v>
      </c>
      <c r="D6719" s="501" t="s">
        <v>3380</v>
      </c>
      <c r="E6719" s="501" t="s">
        <v>3381</v>
      </c>
      <c r="F6719" s="501" t="s">
        <v>836</v>
      </c>
      <c r="G6719" s="501" t="s">
        <v>837</v>
      </c>
      <c r="H6719" s="501" t="s">
        <v>8785</v>
      </c>
      <c r="I6719" s="501">
        <v>30</v>
      </c>
      <c r="J6719" s="501">
        <v>0</v>
      </c>
      <c r="K6719" s="501">
        <v>0</v>
      </c>
      <c r="L6719" s="501">
        <v>30</v>
      </c>
      <c r="M6719" s="501">
        <v>0</v>
      </c>
      <c r="N6719" s="501">
        <v>0</v>
      </c>
      <c r="O6719" s="506">
        <v>0</v>
      </c>
    </row>
    <row r="6720" spans="1:15" x14ac:dyDescent="0.35">
      <c r="A6720" s="503" t="s">
        <v>1180</v>
      </c>
      <c r="B6720" s="504" t="s">
        <v>3184</v>
      </c>
      <c r="C6720" s="504" t="s">
        <v>1094</v>
      </c>
      <c r="D6720" s="504" t="s">
        <v>3380</v>
      </c>
      <c r="E6720" s="504" t="s">
        <v>3381</v>
      </c>
      <c r="F6720" s="504" t="s">
        <v>836</v>
      </c>
      <c r="G6720" s="504" t="s">
        <v>837</v>
      </c>
      <c r="H6720" s="504" t="s">
        <v>11702</v>
      </c>
      <c r="I6720" s="504">
        <v>2</v>
      </c>
      <c r="J6720" s="504">
        <v>2</v>
      </c>
      <c r="K6720" s="504">
        <v>0</v>
      </c>
      <c r="L6720" s="504">
        <v>0</v>
      </c>
      <c r="M6720" s="504">
        <v>0</v>
      </c>
      <c r="N6720" s="504">
        <v>0</v>
      </c>
      <c r="O6720" s="505">
        <v>0</v>
      </c>
    </row>
    <row r="6721" spans="1:15" x14ac:dyDescent="0.35">
      <c r="A6721" s="500" t="s">
        <v>14208</v>
      </c>
      <c r="B6721" s="501">
        <v>4803</v>
      </c>
      <c r="C6721" s="501" t="s">
        <v>1094</v>
      </c>
      <c r="D6721" s="501" t="s">
        <v>3380</v>
      </c>
      <c r="E6721" s="501" t="s">
        <v>3381</v>
      </c>
      <c r="F6721" s="501" t="s">
        <v>836</v>
      </c>
      <c r="G6721" s="501" t="s">
        <v>837</v>
      </c>
      <c r="H6721" s="501" t="s">
        <v>15011</v>
      </c>
      <c r="I6721" s="501">
        <v>16</v>
      </c>
      <c r="J6721" s="501">
        <v>0</v>
      </c>
      <c r="K6721" s="501">
        <v>0</v>
      </c>
      <c r="L6721" s="501">
        <v>16</v>
      </c>
      <c r="M6721" s="501">
        <v>0</v>
      </c>
      <c r="N6721" s="501">
        <v>0</v>
      </c>
      <c r="O6721" s="506">
        <v>0</v>
      </c>
    </row>
    <row r="6722" spans="1:15" x14ac:dyDescent="0.35">
      <c r="A6722" s="503" t="s">
        <v>1105</v>
      </c>
      <c r="B6722" s="504">
        <v>4668</v>
      </c>
      <c r="C6722" s="504" t="s">
        <v>1094</v>
      </c>
      <c r="D6722" s="504" t="s">
        <v>3380</v>
      </c>
      <c r="E6722" s="504" t="s">
        <v>3381</v>
      </c>
      <c r="F6722" s="504" t="s">
        <v>836</v>
      </c>
      <c r="G6722" s="504" t="s">
        <v>837</v>
      </c>
      <c r="H6722" s="504" t="s">
        <v>8786</v>
      </c>
      <c r="I6722" s="504">
        <v>36</v>
      </c>
      <c r="J6722" s="504">
        <v>0</v>
      </c>
      <c r="K6722" s="504">
        <v>0</v>
      </c>
      <c r="L6722" s="504">
        <v>0</v>
      </c>
      <c r="M6722" s="504">
        <v>0</v>
      </c>
      <c r="N6722" s="504">
        <v>0</v>
      </c>
      <c r="O6722" s="505">
        <v>36</v>
      </c>
    </row>
    <row r="6723" spans="1:15" x14ac:dyDescent="0.35">
      <c r="A6723" s="500" t="s">
        <v>1190</v>
      </c>
      <c r="B6723" s="501">
        <v>4662</v>
      </c>
      <c r="C6723" s="501" t="s">
        <v>1094</v>
      </c>
      <c r="D6723" s="501" t="s">
        <v>3380</v>
      </c>
      <c r="E6723" s="501" t="s">
        <v>3381</v>
      </c>
      <c r="F6723" s="501" t="s">
        <v>836</v>
      </c>
      <c r="G6723" s="501" t="s">
        <v>837</v>
      </c>
      <c r="H6723" s="501" t="s">
        <v>8787</v>
      </c>
      <c r="I6723" s="501">
        <v>13</v>
      </c>
      <c r="J6723" s="501">
        <v>0</v>
      </c>
      <c r="K6723" s="501">
        <v>0</v>
      </c>
      <c r="L6723" s="501">
        <v>13</v>
      </c>
      <c r="M6723" s="501">
        <v>0</v>
      </c>
      <c r="N6723" s="501">
        <v>0</v>
      </c>
      <c r="O6723" s="506">
        <v>0</v>
      </c>
    </row>
    <row r="6724" spans="1:15" x14ac:dyDescent="0.35">
      <c r="A6724" s="503" t="s">
        <v>1191</v>
      </c>
      <c r="B6724" s="504" t="s">
        <v>3222</v>
      </c>
      <c r="C6724" s="504" t="s">
        <v>1094</v>
      </c>
      <c r="D6724" s="504" t="s">
        <v>3380</v>
      </c>
      <c r="E6724" s="504" t="s">
        <v>3381</v>
      </c>
      <c r="F6724" s="504" t="s">
        <v>836</v>
      </c>
      <c r="G6724" s="504" t="s">
        <v>837</v>
      </c>
      <c r="H6724" s="504" t="s">
        <v>8788</v>
      </c>
      <c r="I6724" s="504">
        <v>21</v>
      </c>
      <c r="J6724" s="504">
        <v>9</v>
      </c>
      <c r="K6724" s="504">
        <v>0</v>
      </c>
      <c r="L6724" s="504">
        <v>0</v>
      </c>
      <c r="M6724" s="504">
        <v>0</v>
      </c>
      <c r="N6724" s="504">
        <v>0</v>
      </c>
      <c r="O6724" s="505">
        <v>12</v>
      </c>
    </row>
    <row r="6725" spans="1:15" x14ac:dyDescent="0.35">
      <c r="A6725" s="500" t="s">
        <v>1310</v>
      </c>
      <c r="B6725" s="501">
        <v>5062</v>
      </c>
      <c r="C6725" s="501" t="s">
        <v>1089</v>
      </c>
      <c r="D6725" s="501" t="s">
        <v>3380</v>
      </c>
      <c r="E6725" s="501" t="s">
        <v>3381</v>
      </c>
      <c r="F6725" s="501" t="s">
        <v>836</v>
      </c>
      <c r="G6725" s="501" t="s">
        <v>837</v>
      </c>
      <c r="H6725" s="501" t="s">
        <v>15012</v>
      </c>
      <c r="I6725" s="501">
        <v>22</v>
      </c>
      <c r="J6725" s="501">
        <v>16</v>
      </c>
      <c r="K6725" s="501">
        <v>0</v>
      </c>
      <c r="L6725" s="501">
        <v>0</v>
      </c>
      <c r="M6725" s="501">
        <v>0</v>
      </c>
      <c r="N6725" s="501">
        <v>0</v>
      </c>
      <c r="O6725" s="506">
        <v>6</v>
      </c>
    </row>
    <row r="6726" spans="1:15" x14ac:dyDescent="0.35">
      <c r="A6726" s="503" t="s">
        <v>1203</v>
      </c>
      <c r="B6726" s="504" t="s">
        <v>3170</v>
      </c>
      <c r="C6726" s="504" t="s">
        <v>1094</v>
      </c>
      <c r="D6726" s="504" t="s">
        <v>3380</v>
      </c>
      <c r="E6726" s="504" t="s">
        <v>3381</v>
      </c>
      <c r="F6726" s="504" t="s">
        <v>836</v>
      </c>
      <c r="G6726" s="504" t="s">
        <v>837</v>
      </c>
      <c r="H6726" s="504" t="s">
        <v>8789</v>
      </c>
      <c r="I6726" s="504">
        <v>93</v>
      </c>
      <c r="J6726" s="504">
        <v>76</v>
      </c>
      <c r="K6726" s="504">
        <v>0</v>
      </c>
      <c r="L6726" s="504">
        <v>0</v>
      </c>
      <c r="M6726" s="504">
        <v>0</v>
      </c>
      <c r="N6726" s="504">
        <v>1</v>
      </c>
      <c r="O6726" s="505">
        <v>17</v>
      </c>
    </row>
    <row r="6727" spans="1:15" x14ac:dyDescent="0.35">
      <c r="A6727" s="500" t="s">
        <v>1112</v>
      </c>
      <c r="B6727" s="501" t="s">
        <v>3008</v>
      </c>
      <c r="C6727" s="501" t="s">
        <v>1094</v>
      </c>
      <c r="D6727" s="501" t="s">
        <v>3380</v>
      </c>
      <c r="E6727" s="501" t="s">
        <v>3381</v>
      </c>
      <c r="F6727" s="501" t="s">
        <v>836</v>
      </c>
      <c r="G6727" s="501" t="s">
        <v>837</v>
      </c>
      <c r="H6727" s="501" t="s">
        <v>8790</v>
      </c>
      <c r="I6727" s="501">
        <v>3841</v>
      </c>
      <c r="J6727" s="501">
        <v>2333</v>
      </c>
      <c r="K6727" s="501">
        <v>0</v>
      </c>
      <c r="L6727" s="501">
        <v>16</v>
      </c>
      <c r="M6727" s="501">
        <v>1248</v>
      </c>
      <c r="N6727" s="501">
        <v>3</v>
      </c>
      <c r="O6727" s="506">
        <v>244</v>
      </c>
    </row>
    <row r="6728" spans="1:15" x14ac:dyDescent="0.35">
      <c r="A6728" s="503" t="s">
        <v>1215</v>
      </c>
      <c r="B6728" s="504">
        <v>4817</v>
      </c>
      <c r="C6728" s="504" t="s">
        <v>1094</v>
      </c>
      <c r="D6728" s="504" t="s">
        <v>3380</v>
      </c>
      <c r="E6728" s="504" t="s">
        <v>3381</v>
      </c>
      <c r="F6728" s="504" t="s">
        <v>836</v>
      </c>
      <c r="G6728" s="504" t="s">
        <v>837</v>
      </c>
      <c r="H6728" s="504" t="s">
        <v>8791</v>
      </c>
      <c r="I6728" s="504">
        <v>43</v>
      </c>
      <c r="J6728" s="504">
        <v>40</v>
      </c>
      <c r="K6728" s="504">
        <v>0</v>
      </c>
      <c r="L6728" s="504">
        <v>3</v>
      </c>
      <c r="M6728" s="504">
        <v>0</v>
      </c>
      <c r="N6728" s="504">
        <v>0</v>
      </c>
      <c r="O6728" s="505">
        <v>0</v>
      </c>
    </row>
    <row r="6729" spans="1:15" x14ac:dyDescent="0.35">
      <c r="A6729" s="500" t="s">
        <v>1220</v>
      </c>
      <c r="B6729" s="501">
        <v>4849</v>
      </c>
      <c r="C6729" s="501" t="s">
        <v>1094</v>
      </c>
      <c r="D6729" s="501" t="s">
        <v>3380</v>
      </c>
      <c r="E6729" s="501" t="s">
        <v>3381</v>
      </c>
      <c r="F6729" s="501" t="s">
        <v>836</v>
      </c>
      <c r="G6729" s="501" t="s">
        <v>837</v>
      </c>
      <c r="H6729" s="501" t="s">
        <v>8792</v>
      </c>
      <c r="I6729" s="501">
        <v>16</v>
      </c>
      <c r="J6729" s="501">
        <v>16</v>
      </c>
      <c r="K6729" s="501">
        <v>0</v>
      </c>
      <c r="L6729" s="501">
        <v>0</v>
      </c>
      <c r="M6729" s="501">
        <v>0</v>
      </c>
      <c r="N6729" s="501">
        <v>0</v>
      </c>
      <c r="O6729" s="506">
        <v>0</v>
      </c>
    </row>
    <row r="6730" spans="1:15" x14ac:dyDescent="0.35">
      <c r="A6730" s="503" t="s">
        <v>1122</v>
      </c>
      <c r="B6730" s="504" t="s">
        <v>2994</v>
      </c>
      <c r="C6730" s="504" t="s">
        <v>1094</v>
      </c>
      <c r="D6730" s="504" t="s">
        <v>3380</v>
      </c>
      <c r="E6730" s="504" t="s">
        <v>3381</v>
      </c>
      <c r="F6730" s="504" t="s">
        <v>836</v>
      </c>
      <c r="G6730" s="504" t="s">
        <v>837</v>
      </c>
      <c r="H6730" s="504" t="s">
        <v>8793</v>
      </c>
      <c r="I6730" s="504">
        <v>7</v>
      </c>
      <c r="J6730" s="504">
        <v>7</v>
      </c>
      <c r="K6730" s="504">
        <v>0</v>
      </c>
      <c r="L6730" s="504">
        <v>0</v>
      </c>
      <c r="M6730" s="504">
        <v>0</v>
      </c>
      <c r="N6730" s="504">
        <v>0</v>
      </c>
      <c r="O6730" s="505">
        <v>0</v>
      </c>
    </row>
    <row r="6731" spans="1:15" x14ac:dyDescent="0.35">
      <c r="A6731" s="500" t="s">
        <v>1226</v>
      </c>
      <c r="B6731" s="501">
        <v>5084</v>
      </c>
      <c r="C6731" s="501" t="s">
        <v>1094</v>
      </c>
      <c r="D6731" s="501" t="s">
        <v>3380</v>
      </c>
      <c r="E6731" s="501" t="s">
        <v>3381</v>
      </c>
      <c r="F6731" s="501" t="s">
        <v>836</v>
      </c>
      <c r="G6731" s="501" t="s">
        <v>837</v>
      </c>
      <c r="H6731" s="501" t="s">
        <v>8794</v>
      </c>
      <c r="I6731" s="501">
        <v>475</v>
      </c>
      <c r="J6731" s="501">
        <v>301</v>
      </c>
      <c r="K6731" s="501">
        <v>0</v>
      </c>
      <c r="L6731" s="501">
        <v>2</v>
      </c>
      <c r="M6731" s="501">
        <v>86</v>
      </c>
      <c r="N6731" s="501">
        <v>0</v>
      </c>
      <c r="O6731" s="506">
        <v>86</v>
      </c>
    </row>
    <row r="6732" spans="1:15" x14ac:dyDescent="0.35">
      <c r="A6732" s="503" t="s">
        <v>1228</v>
      </c>
      <c r="B6732" s="504" t="s">
        <v>3321</v>
      </c>
      <c r="C6732" s="504" t="s">
        <v>1094</v>
      </c>
      <c r="D6732" s="504" t="s">
        <v>3380</v>
      </c>
      <c r="E6732" s="504" t="s">
        <v>3381</v>
      </c>
      <c r="F6732" s="504" t="s">
        <v>836</v>
      </c>
      <c r="G6732" s="504" t="s">
        <v>837</v>
      </c>
      <c r="H6732" s="504" t="s">
        <v>8795</v>
      </c>
      <c r="I6732" s="504">
        <v>17</v>
      </c>
      <c r="J6732" s="504">
        <v>0</v>
      </c>
      <c r="K6732" s="504">
        <v>0</v>
      </c>
      <c r="L6732" s="504">
        <v>17</v>
      </c>
      <c r="M6732" s="504">
        <v>0</v>
      </c>
      <c r="N6732" s="504">
        <v>0</v>
      </c>
      <c r="O6732" s="505">
        <v>0</v>
      </c>
    </row>
    <row r="6733" spans="1:15" x14ac:dyDescent="0.35">
      <c r="A6733" s="500" t="s">
        <v>1233</v>
      </c>
      <c r="B6733" s="501">
        <v>4636</v>
      </c>
      <c r="C6733" s="501" t="s">
        <v>1094</v>
      </c>
      <c r="D6733" s="501" t="s">
        <v>3380</v>
      </c>
      <c r="E6733" s="501" t="s">
        <v>3381</v>
      </c>
      <c r="F6733" s="501" t="s">
        <v>836</v>
      </c>
      <c r="G6733" s="501" t="s">
        <v>837</v>
      </c>
      <c r="H6733" s="501" t="s">
        <v>8796</v>
      </c>
      <c r="I6733" s="501">
        <v>87</v>
      </c>
      <c r="J6733" s="501">
        <v>13</v>
      </c>
      <c r="K6733" s="501">
        <v>0</v>
      </c>
      <c r="L6733" s="501">
        <v>0</v>
      </c>
      <c r="M6733" s="501">
        <v>0</v>
      </c>
      <c r="N6733" s="501">
        <v>0</v>
      </c>
      <c r="O6733" s="506">
        <v>74</v>
      </c>
    </row>
    <row r="6734" spans="1:15" x14ac:dyDescent="0.35">
      <c r="A6734" s="503" t="s">
        <v>11368</v>
      </c>
      <c r="B6734" s="504">
        <v>5083</v>
      </c>
      <c r="C6734" s="504" t="s">
        <v>1094</v>
      </c>
      <c r="D6734" s="504" t="s">
        <v>3380</v>
      </c>
      <c r="E6734" s="504" t="s">
        <v>3381</v>
      </c>
      <c r="F6734" s="504" t="s">
        <v>836</v>
      </c>
      <c r="G6734" s="504" t="s">
        <v>837</v>
      </c>
      <c r="H6734" s="504" t="s">
        <v>12072</v>
      </c>
      <c r="I6734" s="504">
        <v>120</v>
      </c>
      <c r="J6734" s="504">
        <v>120</v>
      </c>
      <c r="K6734" s="504">
        <v>0</v>
      </c>
      <c r="L6734" s="504">
        <v>0</v>
      </c>
      <c r="M6734" s="504">
        <v>0</v>
      </c>
      <c r="N6734" s="504">
        <v>0</v>
      </c>
      <c r="O6734" s="505">
        <v>0</v>
      </c>
    </row>
    <row r="6735" spans="1:15" x14ac:dyDescent="0.35">
      <c r="A6735" s="500" t="s">
        <v>1134</v>
      </c>
      <c r="B6735" s="501" t="s">
        <v>3066</v>
      </c>
      <c r="C6735" s="501" t="s">
        <v>1094</v>
      </c>
      <c r="D6735" s="501" t="s">
        <v>3380</v>
      </c>
      <c r="E6735" s="501" t="s">
        <v>3381</v>
      </c>
      <c r="F6735" s="501" t="s">
        <v>836</v>
      </c>
      <c r="G6735" s="501" t="s">
        <v>837</v>
      </c>
      <c r="H6735" s="501" t="s">
        <v>8797</v>
      </c>
      <c r="I6735" s="501">
        <v>28</v>
      </c>
      <c r="J6735" s="501">
        <v>18</v>
      </c>
      <c r="K6735" s="501">
        <v>0</v>
      </c>
      <c r="L6735" s="501">
        <v>0</v>
      </c>
      <c r="M6735" s="501">
        <v>0</v>
      </c>
      <c r="N6735" s="501">
        <v>0</v>
      </c>
      <c r="O6735" s="506">
        <v>10</v>
      </c>
    </row>
    <row r="6736" spans="1:15" x14ac:dyDescent="0.35">
      <c r="A6736" s="503" t="s">
        <v>14420</v>
      </c>
      <c r="B6736" s="504" t="s">
        <v>14419</v>
      </c>
      <c r="C6736" s="504" t="s">
        <v>1089</v>
      </c>
      <c r="D6736" s="504" t="s">
        <v>3392</v>
      </c>
      <c r="E6736" s="504" t="s">
        <v>3381</v>
      </c>
      <c r="F6736" s="504" t="s">
        <v>836</v>
      </c>
      <c r="G6736" s="504" t="s">
        <v>837</v>
      </c>
      <c r="H6736" s="504" t="s">
        <v>15013</v>
      </c>
      <c r="I6736" s="504">
        <v>12</v>
      </c>
      <c r="J6736" s="504">
        <v>0</v>
      </c>
      <c r="K6736" s="504">
        <v>0</v>
      </c>
      <c r="L6736" s="504">
        <v>0</v>
      </c>
      <c r="M6736" s="504">
        <v>12</v>
      </c>
      <c r="N6736" s="504">
        <v>0</v>
      </c>
      <c r="O6736" s="505">
        <v>0</v>
      </c>
    </row>
    <row r="6737" spans="1:15" x14ac:dyDescent="0.35">
      <c r="A6737" s="500" t="s">
        <v>1253</v>
      </c>
      <c r="B6737" s="501" t="s">
        <v>3232</v>
      </c>
      <c r="C6737" s="501" t="s">
        <v>1094</v>
      </c>
      <c r="D6737" s="501" t="s">
        <v>3380</v>
      </c>
      <c r="E6737" s="501" t="s">
        <v>3381</v>
      </c>
      <c r="F6737" s="501" t="s">
        <v>836</v>
      </c>
      <c r="G6737" s="501" t="s">
        <v>837</v>
      </c>
      <c r="H6737" s="501" t="s">
        <v>8798</v>
      </c>
      <c r="I6737" s="501">
        <v>50</v>
      </c>
      <c r="J6737" s="501">
        <v>27</v>
      </c>
      <c r="K6737" s="501">
        <v>0</v>
      </c>
      <c r="L6737" s="501">
        <v>0</v>
      </c>
      <c r="M6737" s="501">
        <v>0</v>
      </c>
      <c r="N6737" s="501">
        <v>0</v>
      </c>
      <c r="O6737" s="506">
        <v>23</v>
      </c>
    </row>
    <row r="6738" spans="1:15" x14ac:dyDescent="0.35">
      <c r="A6738" s="503" t="s">
        <v>1261</v>
      </c>
      <c r="B6738" s="504" t="s">
        <v>3130</v>
      </c>
      <c r="C6738" s="504" t="s">
        <v>1094</v>
      </c>
      <c r="D6738" s="504" t="s">
        <v>3380</v>
      </c>
      <c r="E6738" s="504" t="s">
        <v>3381</v>
      </c>
      <c r="F6738" s="504" t="s">
        <v>836</v>
      </c>
      <c r="G6738" s="504" t="s">
        <v>837</v>
      </c>
      <c r="H6738" s="504" t="s">
        <v>8799</v>
      </c>
      <c r="I6738" s="504">
        <v>19</v>
      </c>
      <c r="J6738" s="504">
        <v>15</v>
      </c>
      <c r="K6738" s="504">
        <v>0</v>
      </c>
      <c r="L6738" s="504">
        <v>0</v>
      </c>
      <c r="M6738" s="504">
        <v>0</v>
      </c>
      <c r="N6738" s="504">
        <v>0</v>
      </c>
      <c r="O6738" s="505">
        <v>4</v>
      </c>
    </row>
    <row r="6739" spans="1:15" x14ac:dyDescent="0.35">
      <c r="A6739" s="500" t="s">
        <v>1262</v>
      </c>
      <c r="B6739" s="501">
        <v>4772</v>
      </c>
      <c r="C6739" s="501" t="s">
        <v>1089</v>
      </c>
      <c r="D6739" s="501" t="s">
        <v>3392</v>
      </c>
      <c r="E6739" s="501" t="s">
        <v>3381</v>
      </c>
      <c r="F6739" s="501" t="s">
        <v>836</v>
      </c>
      <c r="G6739" s="501" t="s">
        <v>837</v>
      </c>
      <c r="H6739" s="501" t="s">
        <v>8800</v>
      </c>
      <c r="I6739" s="501">
        <v>1</v>
      </c>
      <c r="J6739" s="501">
        <v>0</v>
      </c>
      <c r="K6739" s="501">
        <v>0</v>
      </c>
      <c r="L6739" s="501">
        <v>1</v>
      </c>
      <c r="M6739" s="501">
        <v>0</v>
      </c>
      <c r="N6739" s="501">
        <v>0</v>
      </c>
      <c r="O6739" s="506">
        <v>0</v>
      </c>
    </row>
    <row r="6740" spans="1:15" x14ac:dyDescent="0.35">
      <c r="A6740" s="503" t="s">
        <v>1386</v>
      </c>
      <c r="B6740" s="504" t="s">
        <v>3331</v>
      </c>
      <c r="C6740" s="504" t="s">
        <v>1094</v>
      </c>
      <c r="D6740" s="504" t="s">
        <v>3380</v>
      </c>
      <c r="E6740" s="504" t="s">
        <v>3381</v>
      </c>
      <c r="F6740" s="504" t="s">
        <v>838</v>
      </c>
      <c r="G6740" s="504" t="s">
        <v>839</v>
      </c>
      <c r="H6740" s="504" t="s">
        <v>8801</v>
      </c>
      <c r="I6740" s="504">
        <v>260</v>
      </c>
      <c r="J6740" s="504">
        <v>183</v>
      </c>
      <c r="K6740" s="504">
        <v>0</v>
      </c>
      <c r="L6740" s="504">
        <v>0</v>
      </c>
      <c r="M6740" s="504">
        <v>0</v>
      </c>
      <c r="N6740" s="504">
        <v>0</v>
      </c>
      <c r="O6740" s="505">
        <v>77</v>
      </c>
    </row>
    <row r="6741" spans="1:15" x14ac:dyDescent="0.35">
      <c r="A6741" s="500" t="s">
        <v>14127</v>
      </c>
      <c r="B6741" s="501" t="s">
        <v>14126</v>
      </c>
      <c r="C6741" s="501" t="s">
        <v>1094</v>
      </c>
      <c r="D6741" s="501" t="s">
        <v>3380</v>
      </c>
      <c r="E6741" s="501" t="s">
        <v>3381</v>
      </c>
      <c r="F6741" s="501" t="s">
        <v>838</v>
      </c>
      <c r="G6741" s="501" t="s">
        <v>839</v>
      </c>
      <c r="H6741" s="501" t="s">
        <v>15014</v>
      </c>
      <c r="I6741" s="501">
        <v>105</v>
      </c>
      <c r="J6741" s="501">
        <v>96</v>
      </c>
      <c r="K6741" s="501">
        <v>0</v>
      </c>
      <c r="L6741" s="501">
        <v>0</v>
      </c>
      <c r="M6741" s="501">
        <v>0</v>
      </c>
      <c r="N6741" s="501">
        <v>0</v>
      </c>
      <c r="O6741" s="506">
        <v>9</v>
      </c>
    </row>
    <row r="6742" spans="1:15" x14ac:dyDescent="0.35">
      <c r="A6742" s="503" t="s">
        <v>1143</v>
      </c>
      <c r="B6742" s="504" t="s">
        <v>3281</v>
      </c>
      <c r="C6742" s="504" t="s">
        <v>1094</v>
      </c>
      <c r="D6742" s="504" t="s">
        <v>3380</v>
      </c>
      <c r="E6742" s="504" t="s">
        <v>3381</v>
      </c>
      <c r="F6742" s="504" t="s">
        <v>838</v>
      </c>
      <c r="G6742" s="504" t="s">
        <v>839</v>
      </c>
      <c r="H6742" s="504" t="s">
        <v>8802</v>
      </c>
      <c r="I6742" s="504">
        <v>133</v>
      </c>
      <c r="J6742" s="504">
        <v>96</v>
      </c>
      <c r="K6742" s="504">
        <v>0</v>
      </c>
      <c r="L6742" s="504">
        <v>0</v>
      </c>
      <c r="M6742" s="504">
        <v>0</v>
      </c>
      <c r="N6742" s="504">
        <v>0</v>
      </c>
      <c r="O6742" s="505">
        <v>37</v>
      </c>
    </row>
    <row r="6743" spans="1:15" x14ac:dyDescent="0.35">
      <c r="A6743" s="500" t="s">
        <v>1093</v>
      </c>
      <c r="B6743" s="501" t="s">
        <v>3248</v>
      </c>
      <c r="C6743" s="501" t="s">
        <v>1094</v>
      </c>
      <c r="D6743" s="501" t="s">
        <v>3380</v>
      </c>
      <c r="E6743" s="501" t="s">
        <v>3381</v>
      </c>
      <c r="F6743" s="501" t="s">
        <v>838</v>
      </c>
      <c r="G6743" s="501" t="s">
        <v>839</v>
      </c>
      <c r="H6743" s="501" t="s">
        <v>8803</v>
      </c>
      <c r="I6743" s="501">
        <v>15</v>
      </c>
      <c r="J6743" s="501">
        <v>0</v>
      </c>
      <c r="K6743" s="501">
        <v>0</v>
      </c>
      <c r="L6743" s="501">
        <v>11</v>
      </c>
      <c r="M6743" s="501">
        <v>0</v>
      </c>
      <c r="N6743" s="501">
        <v>0</v>
      </c>
      <c r="O6743" s="506">
        <v>4</v>
      </c>
    </row>
    <row r="6744" spans="1:15" x14ac:dyDescent="0.35">
      <c r="A6744" s="503" t="s">
        <v>1096</v>
      </c>
      <c r="B6744" s="504" t="s">
        <v>3326</v>
      </c>
      <c r="C6744" s="504" t="s">
        <v>1094</v>
      </c>
      <c r="D6744" s="504" t="s">
        <v>3380</v>
      </c>
      <c r="E6744" s="504" t="s">
        <v>3381</v>
      </c>
      <c r="F6744" s="504" t="s">
        <v>838</v>
      </c>
      <c r="G6744" s="504" t="s">
        <v>839</v>
      </c>
      <c r="H6744" s="504" t="s">
        <v>8804</v>
      </c>
      <c r="I6744" s="504">
        <v>111</v>
      </c>
      <c r="J6744" s="504">
        <v>0</v>
      </c>
      <c r="K6744" s="504">
        <v>0</v>
      </c>
      <c r="L6744" s="504">
        <v>0</v>
      </c>
      <c r="M6744" s="504">
        <v>111</v>
      </c>
      <c r="N6744" s="504">
        <v>0</v>
      </c>
      <c r="O6744" s="505">
        <v>0</v>
      </c>
    </row>
    <row r="6745" spans="1:15" x14ac:dyDescent="0.35">
      <c r="A6745" s="500" t="s">
        <v>1161</v>
      </c>
      <c r="B6745" s="501" t="s">
        <v>3001</v>
      </c>
      <c r="C6745" s="501" t="s">
        <v>1094</v>
      </c>
      <c r="D6745" s="501" t="s">
        <v>3380</v>
      </c>
      <c r="E6745" s="501" t="s">
        <v>3381</v>
      </c>
      <c r="F6745" s="501" t="s">
        <v>838</v>
      </c>
      <c r="G6745" s="501" t="s">
        <v>839</v>
      </c>
      <c r="H6745" s="501" t="s">
        <v>8805</v>
      </c>
      <c r="I6745" s="501">
        <v>1</v>
      </c>
      <c r="J6745" s="501">
        <v>0</v>
      </c>
      <c r="K6745" s="501">
        <v>0</v>
      </c>
      <c r="L6745" s="501">
        <v>0</v>
      </c>
      <c r="M6745" s="501">
        <v>0</v>
      </c>
      <c r="N6745" s="501">
        <v>0</v>
      </c>
      <c r="O6745" s="506">
        <v>1</v>
      </c>
    </row>
    <row r="6746" spans="1:15" x14ac:dyDescent="0.35">
      <c r="A6746" s="503" t="s">
        <v>1828</v>
      </c>
      <c r="B6746" s="504" t="s">
        <v>2723</v>
      </c>
      <c r="C6746" s="504" t="s">
        <v>1089</v>
      </c>
      <c r="D6746" s="504" t="s">
        <v>3392</v>
      </c>
      <c r="E6746" s="504" t="s">
        <v>3381</v>
      </c>
      <c r="F6746" s="504" t="s">
        <v>838</v>
      </c>
      <c r="G6746" s="504" t="s">
        <v>839</v>
      </c>
      <c r="H6746" s="504" t="s">
        <v>8806</v>
      </c>
      <c r="I6746" s="504">
        <v>21</v>
      </c>
      <c r="J6746" s="504">
        <v>21</v>
      </c>
      <c r="K6746" s="504">
        <v>0</v>
      </c>
      <c r="L6746" s="504">
        <v>0</v>
      </c>
      <c r="M6746" s="504">
        <v>0</v>
      </c>
      <c r="N6746" s="504">
        <v>0</v>
      </c>
      <c r="O6746" s="505">
        <v>0</v>
      </c>
    </row>
    <row r="6747" spans="1:15" x14ac:dyDescent="0.35">
      <c r="A6747" s="500" t="s">
        <v>14208</v>
      </c>
      <c r="B6747" s="501">
        <v>4803</v>
      </c>
      <c r="C6747" s="501" t="s">
        <v>1094</v>
      </c>
      <c r="D6747" s="501" t="s">
        <v>3380</v>
      </c>
      <c r="E6747" s="501" t="s">
        <v>3381</v>
      </c>
      <c r="F6747" s="501" t="s">
        <v>838</v>
      </c>
      <c r="G6747" s="501" t="s">
        <v>839</v>
      </c>
      <c r="H6747" s="501" t="s">
        <v>15015</v>
      </c>
      <c r="I6747" s="501">
        <v>14</v>
      </c>
      <c r="J6747" s="501">
        <v>0</v>
      </c>
      <c r="K6747" s="501">
        <v>0</v>
      </c>
      <c r="L6747" s="501">
        <v>14</v>
      </c>
      <c r="M6747" s="501">
        <v>0</v>
      </c>
      <c r="N6747" s="501">
        <v>0</v>
      </c>
      <c r="O6747" s="506">
        <v>0</v>
      </c>
    </row>
    <row r="6748" spans="1:15" x14ac:dyDescent="0.35">
      <c r="A6748" s="503" t="s">
        <v>1444</v>
      </c>
      <c r="B6748" s="504">
        <v>4743</v>
      </c>
      <c r="C6748" s="504" t="s">
        <v>1089</v>
      </c>
      <c r="D6748" s="504" t="s">
        <v>3392</v>
      </c>
      <c r="E6748" s="504" t="s">
        <v>3381</v>
      </c>
      <c r="F6748" s="504" t="s">
        <v>838</v>
      </c>
      <c r="G6748" s="504" t="s">
        <v>839</v>
      </c>
      <c r="H6748" s="504" t="s">
        <v>8807</v>
      </c>
      <c r="I6748" s="504">
        <v>221</v>
      </c>
      <c r="J6748" s="504">
        <v>221</v>
      </c>
      <c r="K6748" s="504">
        <v>0</v>
      </c>
      <c r="L6748" s="504">
        <v>0</v>
      </c>
      <c r="M6748" s="504">
        <v>0</v>
      </c>
      <c r="N6748" s="504">
        <v>0</v>
      </c>
      <c r="O6748" s="505">
        <v>0</v>
      </c>
    </row>
    <row r="6749" spans="1:15" x14ac:dyDescent="0.35">
      <c r="A6749" s="500" t="s">
        <v>1105</v>
      </c>
      <c r="B6749" s="501">
        <v>4668</v>
      </c>
      <c r="C6749" s="501" t="s">
        <v>1094</v>
      </c>
      <c r="D6749" s="501" t="s">
        <v>3380</v>
      </c>
      <c r="E6749" s="501" t="s">
        <v>3381</v>
      </c>
      <c r="F6749" s="501" t="s">
        <v>838</v>
      </c>
      <c r="G6749" s="501" t="s">
        <v>839</v>
      </c>
      <c r="H6749" s="501" t="s">
        <v>11739</v>
      </c>
      <c r="I6749" s="501">
        <v>13</v>
      </c>
      <c r="J6749" s="501">
        <v>0</v>
      </c>
      <c r="K6749" s="501">
        <v>0</v>
      </c>
      <c r="L6749" s="501">
        <v>0</v>
      </c>
      <c r="M6749" s="501">
        <v>0</v>
      </c>
      <c r="N6749" s="501">
        <v>0</v>
      </c>
      <c r="O6749" s="506">
        <v>13</v>
      </c>
    </row>
    <row r="6750" spans="1:15" x14ac:dyDescent="0.35">
      <c r="A6750" s="503" t="s">
        <v>1107</v>
      </c>
      <c r="B6750" s="504" t="s">
        <v>3109</v>
      </c>
      <c r="C6750" s="504" t="s">
        <v>1094</v>
      </c>
      <c r="D6750" s="504" t="s">
        <v>3380</v>
      </c>
      <c r="E6750" s="504" t="s">
        <v>3381</v>
      </c>
      <c r="F6750" s="504" t="s">
        <v>838</v>
      </c>
      <c r="G6750" s="504" t="s">
        <v>839</v>
      </c>
      <c r="H6750" s="504" t="s">
        <v>8808</v>
      </c>
      <c r="I6750" s="504">
        <v>71</v>
      </c>
      <c r="J6750" s="504">
        <v>0</v>
      </c>
      <c r="K6750" s="504">
        <v>0</v>
      </c>
      <c r="L6750" s="504">
        <v>71</v>
      </c>
      <c r="M6750" s="504">
        <v>0</v>
      </c>
      <c r="N6750" s="504">
        <v>0</v>
      </c>
      <c r="O6750" s="505">
        <v>0</v>
      </c>
    </row>
    <row r="6751" spans="1:15" x14ac:dyDescent="0.35">
      <c r="A6751" s="500" t="s">
        <v>1109</v>
      </c>
      <c r="B6751" s="501" t="s">
        <v>2959</v>
      </c>
      <c r="C6751" s="501" t="s">
        <v>1094</v>
      </c>
      <c r="D6751" s="501" t="s">
        <v>3380</v>
      </c>
      <c r="E6751" s="501" t="s">
        <v>3381</v>
      </c>
      <c r="F6751" s="501" t="s">
        <v>838</v>
      </c>
      <c r="G6751" s="501" t="s">
        <v>839</v>
      </c>
      <c r="H6751" s="501" t="s">
        <v>8809</v>
      </c>
      <c r="I6751" s="501">
        <v>38</v>
      </c>
      <c r="J6751" s="501">
        <v>0</v>
      </c>
      <c r="K6751" s="501">
        <v>0</v>
      </c>
      <c r="L6751" s="501">
        <v>0</v>
      </c>
      <c r="M6751" s="501">
        <v>38</v>
      </c>
      <c r="N6751" s="501">
        <v>0</v>
      </c>
      <c r="O6751" s="506">
        <v>0</v>
      </c>
    </row>
    <row r="6752" spans="1:15" x14ac:dyDescent="0.35">
      <c r="A6752" s="503" t="s">
        <v>1202</v>
      </c>
      <c r="B6752" s="504" t="s">
        <v>3217</v>
      </c>
      <c r="C6752" s="504" t="s">
        <v>1094</v>
      </c>
      <c r="D6752" s="504" t="s">
        <v>3380</v>
      </c>
      <c r="E6752" s="504" t="s">
        <v>3381</v>
      </c>
      <c r="F6752" s="504" t="s">
        <v>838</v>
      </c>
      <c r="G6752" s="504" t="s">
        <v>839</v>
      </c>
      <c r="H6752" s="504" t="s">
        <v>8810</v>
      </c>
      <c r="I6752" s="504">
        <v>179</v>
      </c>
      <c r="J6752" s="504">
        <v>163</v>
      </c>
      <c r="K6752" s="504">
        <v>0</v>
      </c>
      <c r="L6752" s="504">
        <v>0</v>
      </c>
      <c r="M6752" s="504">
        <v>0</v>
      </c>
      <c r="N6752" s="504">
        <v>1</v>
      </c>
      <c r="O6752" s="505">
        <v>16</v>
      </c>
    </row>
    <row r="6753" spans="1:15" x14ac:dyDescent="0.35">
      <c r="A6753" s="500" t="s">
        <v>1112</v>
      </c>
      <c r="B6753" s="501" t="s">
        <v>3008</v>
      </c>
      <c r="C6753" s="501" t="s">
        <v>1094</v>
      </c>
      <c r="D6753" s="501" t="s">
        <v>3380</v>
      </c>
      <c r="E6753" s="501" t="s">
        <v>3381</v>
      </c>
      <c r="F6753" s="501" t="s">
        <v>838</v>
      </c>
      <c r="G6753" s="501" t="s">
        <v>839</v>
      </c>
      <c r="H6753" s="501" t="s">
        <v>8811</v>
      </c>
      <c r="I6753" s="501">
        <v>586</v>
      </c>
      <c r="J6753" s="501">
        <v>450</v>
      </c>
      <c r="K6753" s="501">
        <v>0</v>
      </c>
      <c r="L6753" s="501">
        <v>0</v>
      </c>
      <c r="M6753" s="501">
        <v>18</v>
      </c>
      <c r="N6753" s="501">
        <v>0</v>
      </c>
      <c r="O6753" s="506">
        <v>118</v>
      </c>
    </row>
    <row r="6754" spans="1:15" x14ac:dyDescent="0.35">
      <c r="A6754" s="503" t="s">
        <v>1114</v>
      </c>
      <c r="B6754" s="504" t="s">
        <v>2982</v>
      </c>
      <c r="C6754" s="504" t="s">
        <v>1094</v>
      </c>
      <c r="D6754" s="504" t="s">
        <v>3380</v>
      </c>
      <c r="E6754" s="504" t="s">
        <v>3381</v>
      </c>
      <c r="F6754" s="504" t="s">
        <v>838</v>
      </c>
      <c r="G6754" s="504" t="s">
        <v>839</v>
      </c>
      <c r="H6754" s="504" t="s">
        <v>8812</v>
      </c>
      <c r="I6754" s="504">
        <v>4</v>
      </c>
      <c r="J6754" s="504">
        <v>0</v>
      </c>
      <c r="K6754" s="504">
        <v>0</v>
      </c>
      <c r="L6754" s="504">
        <v>0</v>
      </c>
      <c r="M6754" s="504">
        <v>0</v>
      </c>
      <c r="N6754" s="504">
        <v>0</v>
      </c>
      <c r="O6754" s="505">
        <v>4</v>
      </c>
    </row>
    <row r="6755" spans="1:15" x14ac:dyDescent="0.35">
      <c r="A6755" s="500" t="s">
        <v>1120</v>
      </c>
      <c r="B6755" s="501" t="s">
        <v>3362</v>
      </c>
      <c r="C6755" s="501" t="s">
        <v>1094</v>
      </c>
      <c r="D6755" s="501" t="s">
        <v>3380</v>
      </c>
      <c r="E6755" s="501" t="s">
        <v>3381</v>
      </c>
      <c r="F6755" s="501" t="s">
        <v>838</v>
      </c>
      <c r="G6755" s="501" t="s">
        <v>839</v>
      </c>
      <c r="H6755" s="501" t="s">
        <v>8813</v>
      </c>
      <c r="I6755" s="501">
        <v>1</v>
      </c>
      <c r="J6755" s="501">
        <v>0</v>
      </c>
      <c r="K6755" s="501">
        <v>0</v>
      </c>
      <c r="L6755" s="501">
        <v>0</v>
      </c>
      <c r="M6755" s="501">
        <v>0</v>
      </c>
      <c r="N6755" s="501">
        <v>0</v>
      </c>
      <c r="O6755" s="506">
        <v>1</v>
      </c>
    </row>
    <row r="6756" spans="1:15" x14ac:dyDescent="0.35">
      <c r="A6756" s="503" t="s">
        <v>1321</v>
      </c>
      <c r="B6756" s="504">
        <v>4635</v>
      </c>
      <c r="C6756" s="504" t="s">
        <v>1089</v>
      </c>
      <c r="D6756" s="504" t="s">
        <v>3392</v>
      </c>
      <c r="E6756" s="504" t="s">
        <v>3381</v>
      </c>
      <c r="F6756" s="504" t="s">
        <v>838</v>
      </c>
      <c r="G6756" s="504" t="s">
        <v>839</v>
      </c>
      <c r="H6756" s="504" t="s">
        <v>8814</v>
      </c>
      <c r="I6756" s="504">
        <v>45</v>
      </c>
      <c r="J6756" s="504">
        <v>45</v>
      </c>
      <c r="K6756" s="504">
        <v>0</v>
      </c>
      <c r="L6756" s="504">
        <v>0</v>
      </c>
      <c r="M6756" s="504">
        <v>0</v>
      </c>
      <c r="N6756" s="504">
        <v>0</v>
      </c>
      <c r="O6756" s="505">
        <v>0</v>
      </c>
    </row>
    <row r="6757" spans="1:15" x14ac:dyDescent="0.35">
      <c r="A6757" s="500" t="s">
        <v>1227</v>
      </c>
      <c r="B6757" s="501">
        <v>4757</v>
      </c>
      <c r="C6757" s="501" t="s">
        <v>1094</v>
      </c>
      <c r="D6757" s="501" t="s">
        <v>3392</v>
      </c>
      <c r="E6757" s="501" t="s">
        <v>3381</v>
      </c>
      <c r="F6757" s="501" t="s">
        <v>838</v>
      </c>
      <c r="G6757" s="501" t="s">
        <v>839</v>
      </c>
      <c r="H6757" s="501" t="s">
        <v>8815</v>
      </c>
      <c r="I6757" s="501">
        <v>50</v>
      </c>
      <c r="J6757" s="501">
        <v>50</v>
      </c>
      <c r="K6757" s="501">
        <v>0</v>
      </c>
      <c r="L6757" s="501">
        <v>0</v>
      </c>
      <c r="M6757" s="501">
        <v>0</v>
      </c>
      <c r="N6757" s="501">
        <v>0</v>
      </c>
      <c r="O6757" s="506">
        <v>0</v>
      </c>
    </row>
    <row r="6758" spans="1:15" x14ac:dyDescent="0.35">
      <c r="A6758" s="503" t="s">
        <v>1124</v>
      </c>
      <c r="B6758" s="504">
        <v>4745</v>
      </c>
      <c r="C6758" s="504" t="s">
        <v>1094</v>
      </c>
      <c r="D6758" s="504" t="s">
        <v>3380</v>
      </c>
      <c r="E6758" s="504" t="s">
        <v>3381</v>
      </c>
      <c r="F6758" s="504" t="s">
        <v>838</v>
      </c>
      <c r="G6758" s="504" t="s">
        <v>839</v>
      </c>
      <c r="H6758" s="504" t="s">
        <v>8816</v>
      </c>
      <c r="I6758" s="504">
        <v>6</v>
      </c>
      <c r="J6758" s="504">
        <v>0</v>
      </c>
      <c r="K6758" s="504">
        <v>0</v>
      </c>
      <c r="L6758" s="504">
        <v>6</v>
      </c>
      <c r="M6758" s="504">
        <v>0</v>
      </c>
      <c r="N6758" s="504">
        <v>0</v>
      </c>
      <c r="O6758" s="505">
        <v>0</v>
      </c>
    </row>
    <row r="6759" spans="1:15" x14ac:dyDescent="0.35">
      <c r="A6759" s="500" t="s">
        <v>1126</v>
      </c>
      <c r="B6759" s="501" t="s">
        <v>2974</v>
      </c>
      <c r="C6759" s="501" t="s">
        <v>1094</v>
      </c>
      <c r="D6759" s="501" t="s">
        <v>3380</v>
      </c>
      <c r="E6759" s="501" t="s">
        <v>3381</v>
      </c>
      <c r="F6759" s="501" t="s">
        <v>838</v>
      </c>
      <c r="G6759" s="501" t="s">
        <v>839</v>
      </c>
      <c r="H6759" s="501" t="s">
        <v>8817</v>
      </c>
      <c r="I6759" s="501">
        <v>158</v>
      </c>
      <c r="J6759" s="501">
        <v>0</v>
      </c>
      <c r="K6759" s="501">
        <v>0</v>
      </c>
      <c r="L6759" s="501">
        <v>0</v>
      </c>
      <c r="M6759" s="501">
        <v>133</v>
      </c>
      <c r="N6759" s="501">
        <v>0</v>
      </c>
      <c r="O6759" s="506">
        <v>25</v>
      </c>
    </row>
    <row r="6760" spans="1:15" x14ac:dyDescent="0.35">
      <c r="A6760" s="503" t="s">
        <v>1130</v>
      </c>
      <c r="B6760" s="504" t="s">
        <v>3234</v>
      </c>
      <c r="C6760" s="504" t="s">
        <v>1094</v>
      </c>
      <c r="D6760" s="504" t="s">
        <v>3380</v>
      </c>
      <c r="E6760" s="504" t="s">
        <v>3381</v>
      </c>
      <c r="F6760" s="504" t="s">
        <v>838</v>
      </c>
      <c r="G6760" s="504" t="s">
        <v>839</v>
      </c>
      <c r="H6760" s="504" t="s">
        <v>8818</v>
      </c>
      <c r="I6760" s="504">
        <v>81</v>
      </c>
      <c r="J6760" s="504">
        <v>49</v>
      </c>
      <c r="K6760" s="504">
        <v>0</v>
      </c>
      <c r="L6760" s="504">
        <v>24</v>
      </c>
      <c r="M6760" s="504">
        <v>0</v>
      </c>
      <c r="N6760" s="504">
        <v>7</v>
      </c>
      <c r="O6760" s="505">
        <v>8</v>
      </c>
    </row>
    <row r="6761" spans="1:15" x14ac:dyDescent="0.35">
      <c r="A6761" s="500" t="s">
        <v>1132</v>
      </c>
      <c r="B6761" s="501">
        <v>4837</v>
      </c>
      <c r="C6761" s="501" t="s">
        <v>1094</v>
      </c>
      <c r="D6761" s="501" t="s">
        <v>3380</v>
      </c>
      <c r="E6761" s="501" t="s">
        <v>3381</v>
      </c>
      <c r="F6761" s="501" t="s">
        <v>838</v>
      </c>
      <c r="G6761" s="501" t="s">
        <v>839</v>
      </c>
      <c r="H6761" s="501" t="s">
        <v>8819</v>
      </c>
      <c r="I6761" s="501">
        <v>7</v>
      </c>
      <c r="J6761" s="501">
        <v>2</v>
      </c>
      <c r="K6761" s="501">
        <v>0</v>
      </c>
      <c r="L6761" s="501">
        <v>5</v>
      </c>
      <c r="M6761" s="501">
        <v>0</v>
      </c>
      <c r="N6761" s="501">
        <v>0</v>
      </c>
      <c r="O6761" s="506">
        <v>0</v>
      </c>
    </row>
    <row r="6762" spans="1:15" x14ac:dyDescent="0.35">
      <c r="A6762" s="503" t="s">
        <v>1134</v>
      </c>
      <c r="B6762" s="504" t="s">
        <v>3066</v>
      </c>
      <c r="C6762" s="504" t="s">
        <v>1094</v>
      </c>
      <c r="D6762" s="504" t="s">
        <v>3380</v>
      </c>
      <c r="E6762" s="504" t="s">
        <v>3381</v>
      </c>
      <c r="F6762" s="504" t="s">
        <v>838</v>
      </c>
      <c r="G6762" s="504" t="s">
        <v>839</v>
      </c>
      <c r="H6762" s="504" t="s">
        <v>8820</v>
      </c>
      <c r="I6762" s="504">
        <v>101</v>
      </c>
      <c r="J6762" s="504">
        <v>77</v>
      </c>
      <c r="K6762" s="504">
        <v>0</v>
      </c>
      <c r="L6762" s="504">
        <v>0</v>
      </c>
      <c r="M6762" s="504">
        <v>23</v>
      </c>
      <c r="N6762" s="504">
        <v>0</v>
      </c>
      <c r="O6762" s="505">
        <v>1</v>
      </c>
    </row>
    <row r="6763" spans="1:15" x14ac:dyDescent="0.35">
      <c r="A6763" s="500" t="s">
        <v>1136</v>
      </c>
      <c r="B6763" s="501">
        <v>4680</v>
      </c>
      <c r="C6763" s="501" t="s">
        <v>1094</v>
      </c>
      <c r="D6763" s="501" t="s">
        <v>3380</v>
      </c>
      <c r="E6763" s="501" t="s">
        <v>3381</v>
      </c>
      <c r="F6763" s="501" t="s">
        <v>838</v>
      </c>
      <c r="G6763" s="501" t="s">
        <v>839</v>
      </c>
      <c r="H6763" s="501" t="s">
        <v>8821</v>
      </c>
      <c r="I6763" s="501">
        <v>23</v>
      </c>
      <c r="J6763" s="501">
        <v>18</v>
      </c>
      <c r="K6763" s="501">
        <v>0</v>
      </c>
      <c r="L6763" s="501">
        <v>0</v>
      </c>
      <c r="M6763" s="501">
        <v>0</v>
      </c>
      <c r="N6763" s="501">
        <v>0</v>
      </c>
      <c r="O6763" s="506">
        <v>5</v>
      </c>
    </row>
    <row r="6764" spans="1:15" x14ac:dyDescent="0.35">
      <c r="A6764" s="503" t="s">
        <v>1253</v>
      </c>
      <c r="B6764" s="504" t="s">
        <v>3232</v>
      </c>
      <c r="C6764" s="504" t="s">
        <v>1094</v>
      </c>
      <c r="D6764" s="504" t="s">
        <v>3380</v>
      </c>
      <c r="E6764" s="504" t="s">
        <v>3381</v>
      </c>
      <c r="F6764" s="504" t="s">
        <v>838</v>
      </c>
      <c r="G6764" s="504" t="s">
        <v>839</v>
      </c>
      <c r="H6764" s="504" t="s">
        <v>8822</v>
      </c>
      <c r="I6764" s="504">
        <v>25</v>
      </c>
      <c r="J6764" s="504">
        <v>0</v>
      </c>
      <c r="K6764" s="504">
        <v>0</v>
      </c>
      <c r="L6764" s="504">
        <v>25</v>
      </c>
      <c r="M6764" s="504">
        <v>0</v>
      </c>
      <c r="N6764" s="504">
        <v>0</v>
      </c>
      <c r="O6764" s="505">
        <v>0</v>
      </c>
    </row>
    <row r="6765" spans="1:15" x14ac:dyDescent="0.35">
      <c r="A6765" s="500" t="s">
        <v>14365</v>
      </c>
      <c r="B6765" s="501" t="s">
        <v>2574</v>
      </c>
      <c r="C6765" s="501" t="s">
        <v>1089</v>
      </c>
      <c r="D6765" s="501" t="s">
        <v>3392</v>
      </c>
      <c r="E6765" s="501" t="s">
        <v>3381</v>
      </c>
      <c r="F6765" s="501" t="s">
        <v>838</v>
      </c>
      <c r="G6765" s="501" t="s">
        <v>839</v>
      </c>
      <c r="H6765" s="501" t="s">
        <v>15016</v>
      </c>
      <c r="I6765" s="501">
        <v>34</v>
      </c>
      <c r="J6765" s="501">
        <v>0</v>
      </c>
      <c r="K6765" s="501">
        <v>0</v>
      </c>
      <c r="L6765" s="501">
        <v>34</v>
      </c>
      <c r="M6765" s="501">
        <v>0</v>
      </c>
      <c r="N6765" s="501">
        <v>0</v>
      </c>
      <c r="O6765" s="506">
        <v>0</v>
      </c>
    </row>
    <row r="6766" spans="1:15" x14ac:dyDescent="0.35">
      <c r="A6766" s="503" t="s">
        <v>1924</v>
      </c>
      <c r="B6766" s="504" t="s">
        <v>3348</v>
      </c>
      <c r="C6766" s="504" t="s">
        <v>1089</v>
      </c>
      <c r="D6766" s="504" t="s">
        <v>3392</v>
      </c>
      <c r="E6766" s="504" t="s">
        <v>3381</v>
      </c>
      <c r="F6766" s="504" t="s">
        <v>838</v>
      </c>
      <c r="G6766" s="504" t="s">
        <v>839</v>
      </c>
      <c r="H6766" s="504" t="s">
        <v>8823</v>
      </c>
      <c r="I6766" s="504">
        <v>20</v>
      </c>
      <c r="J6766" s="504">
        <v>0</v>
      </c>
      <c r="K6766" s="504">
        <v>11</v>
      </c>
      <c r="L6766" s="504">
        <v>9</v>
      </c>
      <c r="M6766" s="504">
        <v>0</v>
      </c>
      <c r="N6766" s="504">
        <v>0</v>
      </c>
      <c r="O6766" s="505">
        <v>0</v>
      </c>
    </row>
    <row r="6767" spans="1:15" x14ac:dyDescent="0.35">
      <c r="A6767" s="500" t="s">
        <v>1138</v>
      </c>
      <c r="B6767" s="501" t="s">
        <v>2998</v>
      </c>
      <c r="C6767" s="501" t="s">
        <v>1094</v>
      </c>
      <c r="D6767" s="501" t="s">
        <v>3380</v>
      </c>
      <c r="E6767" s="501" t="s">
        <v>3381</v>
      </c>
      <c r="F6767" s="501" t="s">
        <v>838</v>
      </c>
      <c r="G6767" s="501" t="s">
        <v>839</v>
      </c>
      <c r="H6767" s="501" t="s">
        <v>8824</v>
      </c>
      <c r="I6767" s="501">
        <v>47</v>
      </c>
      <c r="J6767" s="501">
        <v>11</v>
      </c>
      <c r="K6767" s="501">
        <v>0</v>
      </c>
      <c r="L6767" s="501">
        <v>0</v>
      </c>
      <c r="M6767" s="501">
        <v>0</v>
      </c>
      <c r="N6767" s="501">
        <v>0</v>
      </c>
      <c r="O6767" s="506">
        <v>36</v>
      </c>
    </row>
    <row r="6768" spans="1:15" x14ac:dyDescent="0.35">
      <c r="A6768" s="503" t="s">
        <v>1140</v>
      </c>
      <c r="B6768" s="504">
        <v>4850</v>
      </c>
      <c r="C6768" s="504" t="s">
        <v>1094</v>
      </c>
      <c r="D6768" s="504" t="s">
        <v>3380</v>
      </c>
      <c r="E6768" s="504" t="s">
        <v>3381</v>
      </c>
      <c r="F6768" s="504" t="s">
        <v>838</v>
      </c>
      <c r="G6768" s="504" t="s">
        <v>839</v>
      </c>
      <c r="H6768" s="504" t="s">
        <v>8825</v>
      </c>
      <c r="I6768" s="504">
        <v>4936</v>
      </c>
      <c r="J6768" s="504">
        <v>4328</v>
      </c>
      <c r="K6768" s="504">
        <v>0</v>
      </c>
      <c r="L6768" s="504">
        <v>32</v>
      </c>
      <c r="M6768" s="504">
        <v>325</v>
      </c>
      <c r="N6768" s="504">
        <v>0</v>
      </c>
      <c r="O6768" s="505">
        <v>251</v>
      </c>
    </row>
    <row r="6769" spans="1:15" x14ac:dyDescent="0.35">
      <c r="A6769" s="500" t="s">
        <v>1143</v>
      </c>
      <c r="B6769" s="501" t="s">
        <v>3281</v>
      </c>
      <c r="C6769" s="501" t="s">
        <v>1094</v>
      </c>
      <c r="D6769" s="501" t="s">
        <v>3380</v>
      </c>
      <c r="E6769" s="501" t="s">
        <v>3381</v>
      </c>
      <c r="F6769" s="501" t="s">
        <v>840</v>
      </c>
      <c r="G6769" s="501" t="s">
        <v>841</v>
      </c>
      <c r="H6769" s="501" t="s">
        <v>8826</v>
      </c>
      <c r="I6769" s="501">
        <v>103</v>
      </c>
      <c r="J6769" s="501">
        <v>91</v>
      </c>
      <c r="K6769" s="501">
        <v>0</v>
      </c>
      <c r="L6769" s="501">
        <v>0</v>
      </c>
      <c r="M6769" s="501">
        <v>0</v>
      </c>
      <c r="N6769" s="501">
        <v>0</v>
      </c>
      <c r="O6769" s="506">
        <v>12</v>
      </c>
    </row>
    <row r="6770" spans="1:15" x14ac:dyDescent="0.35">
      <c r="A6770" s="503" t="s">
        <v>1093</v>
      </c>
      <c r="B6770" s="504" t="s">
        <v>3248</v>
      </c>
      <c r="C6770" s="504" t="s">
        <v>1094</v>
      </c>
      <c r="D6770" s="504" t="s">
        <v>3380</v>
      </c>
      <c r="E6770" s="504" t="s">
        <v>3381</v>
      </c>
      <c r="F6770" s="504" t="s">
        <v>840</v>
      </c>
      <c r="G6770" s="504" t="s">
        <v>841</v>
      </c>
      <c r="H6770" s="504" t="s">
        <v>8827</v>
      </c>
      <c r="I6770" s="504">
        <v>9</v>
      </c>
      <c r="J6770" s="504">
        <v>0</v>
      </c>
      <c r="K6770" s="504">
        <v>0</v>
      </c>
      <c r="L6770" s="504">
        <v>7</v>
      </c>
      <c r="M6770" s="504">
        <v>0</v>
      </c>
      <c r="N6770" s="504">
        <v>0</v>
      </c>
      <c r="O6770" s="505">
        <v>2</v>
      </c>
    </row>
    <row r="6771" spans="1:15" x14ac:dyDescent="0.35">
      <c r="A6771" s="500" t="s">
        <v>1168</v>
      </c>
      <c r="B6771" s="501" t="s">
        <v>3360</v>
      </c>
      <c r="C6771" s="501" t="s">
        <v>1094</v>
      </c>
      <c r="D6771" s="501" t="s">
        <v>3380</v>
      </c>
      <c r="E6771" s="501" t="s">
        <v>3381</v>
      </c>
      <c r="F6771" s="501" t="s">
        <v>840</v>
      </c>
      <c r="G6771" s="501" t="s">
        <v>841</v>
      </c>
      <c r="H6771" s="501" t="s">
        <v>8828</v>
      </c>
      <c r="I6771" s="501">
        <v>15</v>
      </c>
      <c r="J6771" s="501">
        <v>9</v>
      </c>
      <c r="K6771" s="501">
        <v>0</v>
      </c>
      <c r="L6771" s="501">
        <v>0</v>
      </c>
      <c r="M6771" s="501">
        <v>0</v>
      </c>
      <c r="N6771" s="501">
        <v>0</v>
      </c>
      <c r="O6771" s="506">
        <v>6</v>
      </c>
    </row>
    <row r="6772" spans="1:15" x14ac:dyDescent="0.35">
      <c r="A6772" s="503" t="s">
        <v>1173</v>
      </c>
      <c r="B6772" s="504">
        <v>4775</v>
      </c>
      <c r="C6772" s="504" t="s">
        <v>1094</v>
      </c>
      <c r="D6772" s="504" t="s">
        <v>3380</v>
      </c>
      <c r="E6772" s="504" t="s">
        <v>3381</v>
      </c>
      <c r="F6772" s="504" t="s">
        <v>840</v>
      </c>
      <c r="G6772" s="504" t="s">
        <v>841</v>
      </c>
      <c r="H6772" s="504" t="s">
        <v>8829</v>
      </c>
      <c r="I6772" s="504">
        <v>9</v>
      </c>
      <c r="J6772" s="504">
        <v>3</v>
      </c>
      <c r="K6772" s="504">
        <v>0</v>
      </c>
      <c r="L6772" s="504">
        <v>0</v>
      </c>
      <c r="M6772" s="504">
        <v>0</v>
      </c>
      <c r="N6772" s="504">
        <v>0</v>
      </c>
      <c r="O6772" s="505">
        <v>6</v>
      </c>
    </row>
    <row r="6773" spans="1:15" x14ac:dyDescent="0.35">
      <c r="A6773" s="500" t="s">
        <v>14208</v>
      </c>
      <c r="B6773" s="501">
        <v>4803</v>
      </c>
      <c r="C6773" s="501" t="s">
        <v>1094</v>
      </c>
      <c r="D6773" s="501" t="s">
        <v>3380</v>
      </c>
      <c r="E6773" s="501" t="s">
        <v>3381</v>
      </c>
      <c r="F6773" s="501" t="s">
        <v>840</v>
      </c>
      <c r="G6773" s="501" t="s">
        <v>841</v>
      </c>
      <c r="H6773" s="501" t="s">
        <v>15017</v>
      </c>
      <c r="I6773" s="501">
        <v>2</v>
      </c>
      <c r="J6773" s="501">
        <v>0</v>
      </c>
      <c r="K6773" s="501">
        <v>0</v>
      </c>
      <c r="L6773" s="501">
        <v>2</v>
      </c>
      <c r="M6773" s="501">
        <v>0</v>
      </c>
      <c r="N6773" s="501">
        <v>0</v>
      </c>
      <c r="O6773" s="506">
        <v>0</v>
      </c>
    </row>
    <row r="6774" spans="1:15" x14ac:dyDescent="0.35">
      <c r="A6774" s="503" t="s">
        <v>1105</v>
      </c>
      <c r="B6774" s="504">
        <v>4668</v>
      </c>
      <c r="C6774" s="504" t="s">
        <v>1094</v>
      </c>
      <c r="D6774" s="504" t="s">
        <v>3380</v>
      </c>
      <c r="E6774" s="504" t="s">
        <v>3381</v>
      </c>
      <c r="F6774" s="504" t="s">
        <v>840</v>
      </c>
      <c r="G6774" s="504" t="s">
        <v>841</v>
      </c>
      <c r="H6774" s="504" t="s">
        <v>11740</v>
      </c>
      <c r="I6774" s="504">
        <v>11</v>
      </c>
      <c r="J6774" s="504">
        <v>0</v>
      </c>
      <c r="K6774" s="504">
        <v>0</v>
      </c>
      <c r="L6774" s="504">
        <v>0</v>
      </c>
      <c r="M6774" s="504">
        <v>0</v>
      </c>
      <c r="N6774" s="504">
        <v>0</v>
      </c>
      <c r="O6774" s="505">
        <v>11</v>
      </c>
    </row>
    <row r="6775" spans="1:15" x14ac:dyDescent="0.35">
      <c r="A6775" s="500" t="s">
        <v>1200</v>
      </c>
      <c r="B6775" s="501" t="s">
        <v>3122</v>
      </c>
      <c r="C6775" s="501" t="s">
        <v>1089</v>
      </c>
      <c r="D6775" s="501" t="s">
        <v>3392</v>
      </c>
      <c r="E6775" s="501" t="s">
        <v>3381</v>
      </c>
      <c r="F6775" s="501" t="s">
        <v>840</v>
      </c>
      <c r="G6775" s="501" t="s">
        <v>841</v>
      </c>
      <c r="H6775" s="501" t="s">
        <v>8830</v>
      </c>
      <c r="I6775" s="501">
        <v>13</v>
      </c>
      <c r="J6775" s="501">
        <v>13</v>
      </c>
      <c r="K6775" s="501">
        <v>0</v>
      </c>
      <c r="L6775" s="501">
        <v>0</v>
      </c>
      <c r="M6775" s="501">
        <v>0</v>
      </c>
      <c r="N6775" s="501">
        <v>0</v>
      </c>
      <c r="O6775" s="506">
        <v>0</v>
      </c>
    </row>
    <row r="6776" spans="1:15" x14ac:dyDescent="0.35">
      <c r="A6776" s="503" t="s">
        <v>1203</v>
      </c>
      <c r="B6776" s="504" t="s">
        <v>3170</v>
      </c>
      <c r="C6776" s="504" t="s">
        <v>1094</v>
      </c>
      <c r="D6776" s="504" t="s">
        <v>3380</v>
      </c>
      <c r="E6776" s="504" t="s">
        <v>3381</v>
      </c>
      <c r="F6776" s="504" t="s">
        <v>840</v>
      </c>
      <c r="G6776" s="504" t="s">
        <v>841</v>
      </c>
      <c r="H6776" s="504" t="s">
        <v>8831</v>
      </c>
      <c r="I6776" s="504">
        <v>1406</v>
      </c>
      <c r="J6776" s="504">
        <v>1123</v>
      </c>
      <c r="K6776" s="504">
        <v>0</v>
      </c>
      <c r="L6776" s="504">
        <v>10</v>
      </c>
      <c r="M6776" s="504">
        <v>185</v>
      </c>
      <c r="N6776" s="504">
        <v>6</v>
      </c>
      <c r="O6776" s="505">
        <v>88</v>
      </c>
    </row>
    <row r="6777" spans="1:15" x14ac:dyDescent="0.35">
      <c r="A6777" s="500" t="s">
        <v>1215</v>
      </c>
      <c r="B6777" s="501">
        <v>4817</v>
      </c>
      <c r="C6777" s="501" t="s">
        <v>1094</v>
      </c>
      <c r="D6777" s="501" t="s">
        <v>3380</v>
      </c>
      <c r="E6777" s="501" t="s">
        <v>3381</v>
      </c>
      <c r="F6777" s="501" t="s">
        <v>840</v>
      </c>
      <c r="G6777" s="501" t="s">
        <v>841</v>
      </c>
      <c r="H6777" s="501" t="s">
        <v>8832</v>
      </c>
      <c r="I6777" s="501">
        <v>150</v>
      </c>
      <c r="J6777" s="501">
        <v>112</v>
      </c>
      <c r="K6777" s="501">
        <v>0</v>
      </c>
      <c r="L6777" s="501">
        <v>14</v>
      </c>
      <c r="M6777" s="501">
        <v>0</v>
      </c>
      <c r="N6777" s="501">
        <v>0</v>
      </c>
      <c r="O6777" s="506">
        <v>24</v>
      </c>
    </row>
    <row r="6778" spans="1:15" x14ac:dyDescent="0.35">
      <c r="A6778" s="503" t="s">
        <v>1220</v>
      </c>
      <c r="B6778" s="504">
        <v>4849</v>
      </c>
      <c r="C6778" s="504" t="s">
        <v>1094</v>
      </c>
      <c r="D6778" s="504" t="s">
        <v>3380</v>
      </c>
      <c r="E6778" s="504" t="s">
        <v>3381</v>
      </c>
      <c r="F6778" s="504" t="s">
        <v>840</v>
      </c>
      <c r="G6778" s="504" t="s">
        <v>841</v>
      </c>
      <c r="H6778" s="504" t="s">
        <v>8833</v>
      </c>
      <c r="I6778" s="504">
        <v>13</v>
      </c>
      <c r="J6778" s="504">
        <v>6</v>
      </c>
      <c r="K6778" s="504">
        <v>0</v>
      </c>
      <c r="L6778" s="504">
        <v>0</v>
      </c>
      <c r="M6778" s="504">
        <v>0</v>
      </c>
      <c r="N6778" s="504">
        <v>0</v>
      </c>
      <c r="O6778" s="505">
        <v>7</v>
      </c>
    </row>
    <row r="6779" spans="1:15" x14ac:dyDescent="0.35">
      <c r="A6779" s="500" t="s">
        <v>1226</v>
      </c>
      <c r="B6779" s="501">
        <v>5084</v>
      </c>
      <c r="C6779" s="501" t="s">
        <v>1094</v>
      </c>
      <c r="D6779" s="501" t="s">
        <v>3380</v>
      </c>
      <c r="E6779" s="501" t="s">
        <v>3381</v>
      </c>
      <c r="F6779" s="501" t="s">
        <v>840</v>
      </c>
      <c r="G6779" s="501" t="s">
        <v>841</v>
      </c>
      <c r="H6779" s="501" t="s">
        <v>8834</v>
      </c>
      <c r="I6779" s="501">
        <v>185</v>
      </c>
      <c r="J6779" s="501">
        <v>131</v>
      </c>
      <c r="K6779" s="501">
        <v>0</v>
      </c>
      <c r="L6779" s="501">
        <v>0</v>
      </c>
      <c r="M6779" s="501">
        <v>0</v>
      </c>
      <c r="N6779" s="501">
        <v>0</v>
      </c>
      <c r="O6779" s="506">
        <v>54</v>
      </c>
    </row>
    <row r="6780" spans="1:15" x14ac:dyDescent="0.35">
      <c r="A6780" s="503" t="s">
        <v>1228</v>
      </c>
      <c r="B6780" s="504" t="s">
        <v>3321</v>
      </c>
      <c r="C6780" s="504" t="s">
        <v>1094</v>
      </c>
      <c r="D6780" s="504" t="s">
        <v>3380</v>
      </c>
      <c r="E6780" s="504" t="s">
        <v>3381</v>
      </c>
      <c r="F6780" s="504" t="s">
        <v>840</v>
      </c>
      <c r="G6780" s="504" t="s">
        <v>841</v>
      </c>
      <c r="H6780" s="504" t="s">
        <v>8835</v>
      </c>
      <c r="I6780" s="504">
        <v>7</v>
      </c>
      <c r="J6780" s="504">
        <v>0</v>
      </c>
      <c r="K6780" s="504">
        <v>0</v>
      </c>
      <c r="L6780" s="504">
        <v>7</v>
      </c>
      <c r="M6780" s="504">
        <v>0</v>
      </c>
      <c r="N6780" s="504">
        <v>0</v>
      </c>
      <c r="O6780" s="505">
        <v>0</v>
      </c>
    </row>
    <row r="6781" spans="1:15" x14ac:dyDescent="0.35">
      <c r="A6781" s="500" t="s">
        <v>1134</v>
      </c>
      <c r="B6781" s="501" t="s">
        <v>3066</v>
      </c>
      <c r="C6781" s="501" t="s">
        <v>1094</v>
      </c>
      <c r="D6781" s="501" t="s">
        <v>3380</v>
      </c>
      <c r="E6781" s="501" t="s">
        <v>3381</v>
      </c>
      <c r="F6781" s="501" t="s">
        <v>840</v>
      </c>
      <c r="G6781" s="501" t="s">
        <v>841</v>
      </c>
      <c r="H6781" s="501" t="s">
        <v>8836</v>
      </c>
      <c r="I6781" s="501">
        <v>20</v>
      </c>
      <c r="J6781" s="501">
        <v>20</v>
      </c>
      <c r="K6781" s="501">
        <v>0</v>
      </c>
      <c r="L6781" s="501">
        <v>0</v>
      </c>
      <c r="M6781" s="501">
        <v>0</v>
      </c>
      <c r="N6781" s="501">
        <v>0</v>
      </c>
      <c r="O6781" s="506">
        <v>0</v>
      </c>
    </row>
    <row r="6782" spans="1:15" x14ac:dyDescent="0.35">
      <c r="A6782" s="503" t="s">
        <v>1250</v>
      </c>
      <c r="B6782" s="504" t="s">
        <v>2456</v>
      </c>
      <c r="C6782" s="504" t="s">
        <v>1089</v>
      </c>
      <c r="D6782" s="504" t="s">
        <v>3392</v>
      </c>
      <c r="E6782" s="504" t="s">
        <v>3381</v>
      </c>
      <c r="F6782" s="504" t="s">
        <v>840</v>
      </c>
      <c r="G6782" s="504" t="s">
        <v>841</v>
      </c>
      <c r="H6782" s="504" t="s">
        <v>8837</v>
      </c>
      <c r="I6782" s="504">
        <v>103</v>
      </c>
      <c r="J6782" s="504">
        <v>0</v>
      </c>
      <c r="K6782" s="504">
        <v>0</v>
      </c>
      <c r="L6782" s="504">
        <v>0</v>
      </c>
      <c r="M6782" s="504">
        <v>103</v>
      </c>
      <c r="N6782" s="504">
        <v>1</v>
      </c>
      <c r="O6782" s="505">
        <v>0</v>
      </c>
    </row>
    <row r="6783" spans="1:15" x14ac:dyDescent="0.35">
      <c r="A6783" s="500" t="s">
        <v>1278</v>
      </c>
      <c r="B6783" s="501">
        <v>4639</v>
      </c>
      <c r="C6783" s="501" t="s">
        <v>1089</v>
      </c>
      <c r="D6783" s="501" t="s">
        <v>3392</v>
      </c>
      <c r="E6783" s="501" t="s">
        <v>3381</v>
      </c>
      <c r="F6783" s="501" t="s">
        <v>842</v>
      </c>
      <c r="G6783" s="501" t="s">
        <v>843</v>
      </c>
      <c r="H6783" s="501" t="s">
        <v>8838</v>
      </c>
      <c r="I6783" s="501">
        <v>14</v>
      </c>
      <c r="J6783" s="501">
        <v>0</v>
      </c>
      <c r="K6783" s="501">
        <v>0</v>
      </c>
      <c r="L6783" s="501">
        <v>14</v>
      </c>
      <c r="M6783" s="501">
        <v>0</v>
      </c>
      <c r="N6783" s="501">
        <v>0</v>
      </c>
      <c r="O6783" s="506">
        <v>0</v>
      </c>
    </row>
    <row r="6784" spans="1:15" x14ac:dyDescent="0.35">
      <c r="A6784" s="503" t="s">
        <v>1621</v>
      </c>
      <c r="B6784" s="504" t="s">
        <v>3319</v>
      </c>
      <c r="C6784" s="504" t="s">
        <v>1094</v>
      </c>
      <c r="D6784" s="504" t="s">
        <v>3380</v>
      </c>
      <c r="E6784" s="504" t="s">
        <v>3381</v>
      </c>
      <c r="F6784" s="504" t="s">
        <v>842</v>
      </c>
      <c r="G6784" s="504" t="s">
        <v>843</v>
      </c>
      <c r="H6784" s="504" t="s">
        <v>8839</v>
      </c>
      <c r="I6784" s="504">
        <v>227</v>
      </c>
      <c r="J6784" s="504">
        <v>194</v>
      </c>
      <c r="K6784" s="504">
        <v>1</v>
      </c>
      <c r="L6784" s="504">
        <v>0</v>
      </c>
      <c r="M6784" s="504">
        <v>0</v>
      </c>
      <c r="N6784" s="504">
        <v>0</v>
      </c>
      <c r="O6784" s="505">
        <v>32</v>
      </c>
    </row>
    <row r="6785" spans="1:15" x14ac:dyDescent="0.35">
      <c r="A6785" s="500" t="s">
        <v>1105</v>
      </c>
      <c r="B6785" s="501">
        <v>4668</v>
      </c>
      <c r="C6785" s="501" t="s">
        <v>1094</v>
      </c>
      <c r="D6785" s="501" t="s">
        <v>3380</v>
      </c>
      <c r="E6785" s="501" t="s">
        <v>3381</v>
      </c>
      <c r="F6785" s="501" t="s">
        <v>842</v>
      </c>
      <c r="G6785" s="501" t="s">
        <v>843</v>
      </c>
      <c r="H6785" s="501" t="s">
        <v>8840</v>
      </c>
      <c r="I6785" s="501">
        <v>10</v>
      </c>
      <c r="J6785" s="501">
        <v>0</v>
      </c>
      <c r="K6785" s="501">
        <v>0</v>
      </c>
      <c r="L6785" s="501">
        <v>0</v>
      </c>
      <c r="M6785" s="501">
        <v>0</v>
      </c>
      <c r="N6785" s="501">
        <v>0</v>
      </c>
      <c r="O6785" s="506">
        <v>10</v>
      </c>
    </row>
    <row r="6786" spans="1:15" x14ac:dyDescent="0.35">
      <c r="A6786" s="503" t="s">
        <v>1107</v>
      </c>
      <c r="B6786" s="504" t="s">
        <v>3109</v>
      </c>
      <c r="C6786" s="504" t="s">
        <v>1094</v>
      </c>
      <c r="D6786" s="504" t="s">
        <v>3380</v>
      </c>
      <c r="E6786" s="504" t="s">
        <v>3381</v>
      </c>
      <c r="F6786" s="504" t="s">
        <v>842</v>
      </c>
      <c r="G6786" s="504" t="s">
        <v>843</v>
      </c>
      <c r="H6786" s="504" t="s">
        <v>8841</v>
      </c>
      <c r="I6786" s="504">
        <v>99</v>
      </c>
      <c r="J6786" s="504">
        <v>99</v>
      </c>
      <c r="K6786" s="504">
        <v>0</v>
      </c>
      <c r="L6786" s="504">
        <v>0</v>
      </c>
      <c r="M6786" s="504">
        <v>0</v>
      </c>
      <c r="N6786" s="504">
        <v>0</v>
      </c>
      <c r="O6786" s="505">
        <v>0</v>
      </c>
    </row>
    <row r="6787" spans="1:15" x14ac:dyDescent="0.35">
      <c r="A6787" s="500" t="s">
        <v>1109</v>
      </c>
      <c r="B6787" s="501" t="s">
        <v>2959</v>
      </c>
      <c r="C6787" s="501" t="s">
        <v>1094</v>
      </c>
      <c r="D6787" s="501" t="s">
        <v>3380</v>
      </c>
      <c r="E6787" s="501" t="s">
        <v>3381</v>
      </c>
      <c r="F6787" s="501" t="s">
        <v>842</v>
      </c>
      <c r="G6787" s="501" t="s">
        <v>843</v>
      </c>
      <c r="H6787" s="501" t="s">
        <v>8842</v>
      </c>
      <c r="I6787" s="501">
        <v>63</v>
      </c>
      <c r="J6787" s="501">
        <v>0</v>
      </c>
      <c r="K6787" s="501">
        <v>0</v>
      </c>
      <c r="L6787" s="501">
        <v>0</v>
      </c>
      <c r="M6787" s="501">
        <v>31</v>
      </c>
      <c r="N6787" s="501">
        <v>0</v>
      </c>
      <c r="O6787" s="506">
        <v>32</v>
      </c>
    </row>
    <row r="6788" spans="1:15" x14ac:dyDescent="0.35">
      <c r="A6788" s="503" t="s">
        <v>1190</v>
      </c>
      <c r="B6788" s="504">
        <v>4662</v>
      </c>
      <c r="C6788" s="504" t="s">
        <v>1094</v>
      </c>
      <c r="D6788" s="504" t="s">
        <v>3380</v>
      </c>
      <c r="E6788" s="504" t="s">
        <v>3381</v>
      </c>
      <c r="F6788" s="504" t="s">
        <v>842</v>
      </c>
      <c r="G6788" s="504" t="s">
        <v>843</v>
      </c>
      <c r="H6788" s="504" t="s">
        <v>8843</v>
      </c>
      <c r="I6788" s="504">
        <v>3</v>
      </c>
      <c r="J6788" s="504">
        <v>3</v>
      </c>
      <c r="K6788" s="504">
        <v>0</v>
      </c>
      <c r="L6788" s="504">
        <v>0</v>
      </c>
      <c r="M6788" s="504">
        <v>0</v>
      </c>
      <c r="N6788" s="504">
        <v>0</v>
      </c>
      <c r="O6788" s="505">
        <v>0</v>
      </c>
    </row>
    <row r="6789" spans="1:15" x14ac:dyDescent="0.35">
      <c r="A6789" s="500" t="s">
        <v>1638</v>
      </c>
      <c r="B6789" s="501">
        <v>5079</v>
      </c>
      <c r="C6789" s="501" t="s">
        <v>1094</v>
      </c>
      <c r="D6789" s="501" t="s">
        <v>3380</v>
      </c>
      <c r="E6789" s="501" t="s">
        <v>3381</v>
      </c>
      <c r="F6789" s="501" t="s">
        <v>842</v>
      </c>
      <c r="G6789" s="501" t="s">
        <v>843</v>
      </c>
      <c r="H6789" s="501" t="s">
        <v>8844</v>
      </c>
      <c r="I6789" s="501">
        <v>23</v>
      </c>
      <c r="J6789" s="501">
        <v>1</v>
      </c>
      <c r="K6789" s="501">
        <v>0</v>
      </c>
      <c r="L6789" s="501">
        <v>0</v>
      </c>
      <c r="M6789" s="501">
        <v>0</v>
      </c>
      <c r="N6789" s="501">
        <v>0</v>
      </c>
      <c r="O6789" s="506">
        <v>22</v>
      </c>
    </row>
    <row r="6790" spans="1:15" x14ac:dyDescent="0.35">
      <c r="A6790" s="503" t="s">
        <v>1639</v>
      </c>
      <c r="B6790" s="504">
        <v>4846</v>
      </c>
      <c r="C6790" s="504" t="s">
        <v>1094</v>
      </c>
      <c r="D6790" s="504" t="s">
        <v>3380</v>
      </c>
      <c r="E6790" s="504" t="s">
        <v>3381</v>
      </c>
      <c r="F6790" s="504" t="s">
        <v>842</v>
      </c>
      <c r="G6790" s="504" t="s">
        <v>843</v>
      </c>
      <c r="H6790" s="504" t="s">
        <v>8845</v>
      </c>
      <c r="I6790" s="504">
        <v>46</v>
      </c>
      <c r="J6790" s="504">
        <v>39</v>
      </c>
      <c r="K6790" s="504">
        <v>0</v>
      </c>
      <c r="L6790" s="504">
        <v>0</v>
      </c>
      <c r="M6790" s="504">
        <v>0</v>
      </c>
      <c r="N6790" s="504">
        <v>0</v>
      </c>
      <c r="O6790" s="505">
        <v>7</v>
      </c>
    </row>
    <row r="6791" spans="1:15" x14ac:dyDescent="0.35">
      <c r="A6791" s="500" t="s">
        <v>2165</v>
      </c>
      <c r="B6791" s="501" t="s">
        <v>2586</v>
      </c>
      <c r="C6791" s="501" t="s">
        <v>1089</v>
      </c>
      <c r="D6791" s="501" t="s">
        <v>3392</v>
      </c>
      <c r="E6791" s="501" t="s">
        <v>3381</v>
      </c>
      <c r="F6791" s="501" t="s">
        <v>842</v>
      </c>
      <c r="G6791" s="501" t="s">
        <v>843</v>
      </c>
      <c r="H6791" s="501" t="s">
        <v>8846</v>
      </c>
      <c r="I6791" s="501">
        <v>12</v>
      </c>
      <c r="J6791" s="501">
        <v>12</v>
      </c>
      <c r="K6791" s="501">
        <v>0</v>
      </c>
      <c r="L6791" s="501">
        <v>0</v>
      </c>
      <c r="M6791" s="501">
        <v>0</v>
      </c>
      <c r="N6791" s="501">
        <v>0</v>
      </c>
      <c r="O6791" s="506">
        <v>0</v>
      </c>
    </row>
    <row r="6792" spans="1:15" x14ac:dyDescent="0.35">
      <c r="A6792" s="503" t="s">
        <v>1645</v>
      </c>
      <c r="B6792" s="504" t="s">
        <v>3239</v>
      </c>
      <c r="C6792" s="504" t="s">
        <v>1094</v>
      </c>
      <c r="D6792" s="504" t="s">
        <v>3380</v>
      </c>
      <c r="E6792" s="504" t="s">
        <v>3381</v>
      </c>
      <c r="F6792" s="504" t="s">
        <v>842</v>
      </c>
      <c r="G6792" s="504" t="s">
        <v>843</v>
      </c>
      <c r="H6792" s="504" t="s">
        <v>8847</v>
      </c>
      <c r="I6792" s="504">
        <v>10</v>
      </c>
      <c r="J6792" s="504">
        <v>10</v>
      </c>
      <c r="K6792" s="504">
        <v>0</v>
      </c>
      <c r="L6792" s="504">
        <v>0</v>
      </c>
      <c r="M6792" s="504">
        <v>0</v>
      </c>
      <c r="N6792" s="504">
        <v>0</v>
      </c>
      <c r="O6792" s="505">
        <v>0</v>
      </c>
    </row>
    <row r="6793" spans="1:15" x14ac:dyDescent="0.35">
      <c r="A6793" s="500" t="s">
        <v>1648</v>
      </c>
      <c r="B6793" s="501" t="s">
        <v>2496</v>
      </c>
      <c r="C6793" s="501" t="s">
        <v>1094</v>
      </c>
      <c r="D6793" s="501" t="s">
        <v>3380</v>
      </c>
      <c r="E6793" s="501" t="s">
        <v>3381</v>
      </c>
      <c r="F6793" s="501" t="s">
        <v>842</v>
      </c>
      <c r="G6793" s="501" t="s">
        <v>843</v>
      </c>
      <c r="H6793" s="501" t="s">
        <v>8848</v>
      </c>
      <c r="I6793" s="501">
        <v>2</v>
      </c>
      <c r="J6793" s="501">
        <v>0</v>
      </c>
      <c r="K6793" s="501">
        <v>0</v>
      </c>
      <c r="L6793" s="501">
        <v>0</v>
      </c>
      <c r="M6793" s="501">
        <v>2</v>
      </c>
      <c r="N6793" s="501">
        <v>0</v>
      </c>
      <c r="O6793" s="506">
        <v>0</v>
      </c>
    </row>
    <row r="6794" spans="1:15" x14ac:dyDescent="0.35">
      <c r="A6794" s="503" t="s">
        <v>1126</v>
      </c>
      <c r="B6794" s="504" t="s">
        <v>2974</v>
      </c>
      <c r="C6794" s="504" t="s">
        <v>1094</v>
      </c>
      <c r="D6794" s="504" t="s">
        <v>3380</v>
      </c>
      <c r="E6794" s="504" t="s">
        <v>3381</v>
      </c>
      <c r="F6794" s="504" t="s">
        <v>842</v>
      </c>
      <c r="G6794" s="504" t="s">
        <v>843</v>
      </c>
      <c r="H6794" s="504" t="s">
        <v>8849</v>
      </c>
      <c r="I6794" s="504">
        <v>41</v>
      </c>
      <c r="J6794" s="504">
        <v>37</v>
      </c>
      <c r="K6794" s="504">
        <v>0</v>
      </c>
      <c r="L6794" s="504">
        <v>0</v>
      </c>
      <c r="M6794" s="504">
        <v>0</v>
      </c>
      <c r="N6794" s="504">
        <v>0</v>
      </c>
      <c r="O6794" s="505">
        <v>4</v>
      </c>
    </row>
    <row r="6795" spans="1:15" x14ac:dyDescent="0.35">
      <c r="A6795" s="500" t="s">
        <v>1134</v>
      </c>
      <c r="B6795" s="501" t="s">
        <v>3066</v>
      </c>
      <c r="C6795" s="501" t="s">
        <v>1094</v>
      </c>
      <c r="D6795" s="501" t="s">
        <v>3380</v>
      </c>
      <c r="E6795" s="501" t="s">
        <v>3381</v>
      </c>
      <c r="F6795" s="501" t="s">
        <v>842</v>
      </c>
      <c r="G6795" s="501" t="s">
        <v>843</v>
      </c>
      <c r="H6795" s="501" t="s">
        <v>12169</v>
      </c>
      <c r="I6795" s="501">
        <v>36</v>
      </c>
      <c r="J6795" s="501">
        <v>28</v>
      </c>
      <c r="K6795" s="501">
        <v>0</v>
      </c>
      <c r="L6795" s="501">
        <v>0</v>
      </c>
      <c r="M6795" s="501">
        <v>0</v>
      </c>
      <c r="N6795" s="501">
        <v>0</v>
      </c>
      <c r="O6795" s="506">
        <v>8</v>
      </c>
    </row>
    <row r="6796" spans="1:15" x14ac:dyDescent="0.35">
      <c r="A6796" s="503" t="s">
        <v>1368</v>
      </c>
      <c r="B6796" s="504" t="s">
        <v>3220</v>
      </c>
      <c r="C6796" s="504" t="s">
        <v>1094</v>
      </c>
      <c r="D6796" s="504" t="s">
        <v>3380</v>
      </c>
      <c r="E6796" s="504" t="s">
        <v>3381</v>
      </c>
      <c r="F6796" s="504" t="s">
        <v>842</v>
      </c>
      <c r="G6796" s="504" t="s">
        <v>843</v>
      </c>
      <c r="H6796" s="504" t="s">
        <v>8850</v>
      </c>
      <c r="I6796" s="504">
        <v>73</v>
      </c>
      <c r="J6796" s="504">
        <v>64</v>
      </c>
      <c r="K6796" s="504">
        <v>0</v>
      </c>
      <c r="L6796" s="504">
        <v>0</v>
      </c>
      <c r="M6796" s="504">
        <v>0</v>
      </c>
      <c r="N6796" s="504">
        <v>0</v>
      </c>
      <c r="O6796" s="505">
        <v>9</v>
      </c>
    </row>
    <row r="6797" spans="1:15" x14ac:dyDescent="0.35">
      <c r="A6797" s="500" t="s">
        <v>1257</v>
      </c>
      <c r="B6797" s="501" t="s">
        <v>3151</v>
      </c>
      <c r="C6797" s="501" t="s">
        <v>1094</v>
      </c>
      <c r="D6797" s="501" t="s">
        <v>3380</v>
      </c>
      <c r="E6797" s="501" t="s">
        <v>3381</v>
      </c>
      <c r="F6797" s="501" t="s">
        <v>842</v>
      </c>
      <c r="G6797" s="501" t="s">
        <v>843</v>
      </c>
      <c r="H6797" s="501" t="s">
        <v>8851</v>
      </c>
      <c r="I6797" s="501">
        <v>63</v>
      </c>
      <c r="J6797" s="501">
        <v>63</v>
      </c>
      <c r="K6797" s="501">
        <v>0</v>
      </c>
      <c r="L6797" s="501">
        <v>0</v>
      </c>
      <c r="M6797" s="501">
        <v>0</v>
      </c>
      <c r="N6797" s="501">
        <v>0</v>
      </c>
      <c r="O6797" s="506">
        <v>0</v>
      </c>
    </row>
    <row r="6798" spans="1:15" x14ac:dyDescent="0.35">
      <c r="A6798" s="503" t="s">
        <v>2191</v>
      </c>
      <c r="B6798" s="504" t="s">
        <v>3033</v>
      </c>
      <c r="C6798" s="504" t="s">
        <v>1089</v>
      </c>
      <c r="D6798" s="504" t="s">
        <v>3392</v>
      </c>
      <c r="E6798" s="504" t="s">
        <v>3381</v>
      </c>
      <c r="F6798" s="504" t="s">
        <v>842</v>
      </c>
      <c r="G6798" s="504" t="s">
        <v>843</v>
      </c>
      <c r="H6798" s="504" t="s">
        <v>8852</v>
      </c>
      <c r="I6798" s="504">
        <v>15</v>
      </c>
      <c r="J6798" s="504">
        <v>13</v>
      </c>
      <c r="K6798" s="504">
        <v>0</v>
      </c>
      <c r="L6798" s="504">
        <v>2</v>
      </c>
      <c r="M6798" s="504">
        <v>0</v>
      </c>
      <c r="N6798" s="504">
        <v>0</v>
      </c>
      <c r="O6798" s="505">
        <v>0</v>
      </c>
    </row>
    <row r="6799" spans="1:15" x14ac:dyDescent="0.35">
      <c r="A6799" s="500" t="s">
        <v>1789</v>
      </c>
      <c r="B6799" s="501" t="s">
        <v>3219</v>
      </c>
      <c r="C6799" s="501" t="s">
        <v>1094</v>
      </c>
      <c r="D6799" s="501" t="s">
        <v>3380</v>
      </c>
      <c r="E6799" s="501" t="s">
        <v>3381</v>
      </c>
      <c r="F6799" s="501" t="s">
        <v>842</v>
      </c>
      <c r="G6799" s="501" t="s">
        <v>843</v>
      </c>
      <c r="H6799" s="501" t="s">
        <v>8853</v>
      </c>
      <c r="I6799" s="501">
        <v>2804</v>
      </c>
      <c r="J6799" s="501">
        <v>2653</v>
      </c>
      <c r="K6799" s="501">
        <v>7</v>
      </c>
      <c r="L6799" s="501">
        <v>14</v>
      </c>
      <c r="M6799" s="501">
        <v>112</v>
      </c>
      <c r="N6799" s="501">
        <v>2</v>
      </c>
      <c r="O6799" s="506">
        <v>18</v>
      </c>
    </row>
    <row r="6800" spans="1:15" x14ac:dyDescent="0.35">
      <c r="A6800" s="503" t="s">
        <v>1147</v>
      </c>
      <c r="B6800" s="504" t="s">
        <v>3274</v>
      </c>
      <c r="C6800" s="504" t="s">
        <v>1089</v>
      </c>
      <c r="D6800" s="504" t="s">
        <v>3392</v>
      </c>
      <c r="E6800" s="504" t="s">
        <v>3381</v>
      </c>
      <c r="F6800" s="504" t="s">
        <v>844</v>
      </c>
      <c r="G6800" s="504" t="s">
        <v>845</v>
      </c>
      <c r="H6800" s="504" t="s">
        <v>8854</v>
      </c>
      <c r="I6800" s="504">
        <v>16</v>
      </c>
      <c r="J6800" s="504">
        <v>0</v>
      </c>
      <c r="K6800" s="504">
        <v>0</v>
      </c>
      <c r="L6800" s="504">
        <v>16</v>
      </c>
      <c r="M6800" s="504">
        <v>0</v>
      </c>
      <c r="N6800" s="504">
        <v>0</v>
      </c>
      <c r="O6800" s="505">
        <v>0</v>
      </c>
    </row>
    <row r="6801" spans="1:15" x14ac:dyDescent="0.35">
      <c r="A6801" s="500" t="s">
        <v>1391</v>
      </c>
      <c r="B6801" s="501" t="s">
        <v>3297</v>
      </c>
      <c r="C6801" s="501" t="s">
        <v>1089</v>
      </c>
      <c r="D6801" s="501" t="s">
        <v>3392</v>
      </c>
      <c r="E6801" s="501" t="s">
        <v>3381</v>
      </c>
      <c r="F6801" s="501" t="s">
        <v>844</v>
      </c>
      <c r="G6801" s="501" t="s">
        <v>845</v>
      </c>
      <c r="H6801" s="501" t="s">
        <v>8855</v>
      </c>
      <c r="I6801" s="501">
        <v>64</v>
      </c>
      <c r="J6801" s="501">
        <v>57</v>
      </c>
      <c r="K6801" s="501">
        <v>0</v>
      </c>
      <c r="L6801" s="501">
        <v>0</v>
      </c>
      <c r="M6801" s="501">
        <v>7</v>
      </c>
      <c r="N6801" s="501">
        <v>0</v>
      </c>
      <c r="O6801" s="506">
        <v>0</v>
      </c>
    </row>
    <row r="6802" spans="1:15" x14ac:dyDescent="0.35">
      <c r="A6802" s="503" t="s">
        <v>1096</v>
      </c>
      <c r="B6802" s="504" t="s">
        <v>3326</v>
      </c>
      <c r="C6802" s="504" t="s">
        <v>1094</v>
      </c>
      <c r="D6802" s="504" t="s">
        <v>3380</v>
      </c>
      <c r="E6802" s="504" t="s">
        <v>3381</v>
      </c>
      <c r="F6802" s="504" t="s">
        <v>844</v>
      </c>
      <c r="G6802" s="504" t="s">
        <v>845</v>
      </c>
      <c r="H6802" s="504" t="s">
        <v>8856</v>
      </c>
      <c r="I6802" s="504">
        <v>248</v>
      </c>
      <c r="J6802" s="504">
        <v>0</v>
      </c>
      <c r="K6802" s="504">
        <v>0</v>
      </c>
      <c r="L6802" s="504">
        <v>0</v>
      </c>
      <c r="M6802" s="504">
        <v>248</v>
      </c>
      <c r="N6802" s="504">
        <v>0</v>
      </c>
      <c r="O6802" s="505">
        <v>0</v>
      </c>
    </row>
    <row r="6803" spans="1:15" x14ac:dyDescent="0.35">
      <c r="A6803" s="500" t="s">
        <v>1150</v>
      </c>
      <c r="B6803" s="501" t="s">
        <v>2975</v>
      </c>
      <c r="C6803" s="501" t="s">
        <v>1094</v>
      </c>
      <c r="D6803" s="501" t="s">
        <v>3380</v>
      </c>
      <c r="E6803" s="501" t="s">
        <v>3381</v>
      </c>
      <c r="F6803" s="501" t="s">
        <v>844</v>
      </c>
      <c r="G6803" s="501" t="s">
        <v>845</v>
      </c>
      <c r="H6803" s="501" t="s">
        <v>8857</v>
      </c>
      <c r="I6803" s="501">
        <v>116</v>
      </c>
      <c r="J6803" s="501">
        <v>104</v>
      </c>
      <c r="K6803" s="501">
        <v>0</v>
      </c>
      <c r="L6803" s="501">
        <v>0</v>
      </c>
      <c r="M6803" s="501">
        <v>0</v>
      </c>
      <c r="N6803" s="501">
        <v>0</v>
      </c>
      <c r="O6803" s="506">
        <v>12</v>
      </c>
    </row>
    <row r="6804" spans="1:15" x14ac:dyDescent="0.35">
      <c r="A6804" s="503" t="s">
        <v>1100</v>
      </c>
      <c r="B6804" s="504">
        <v>4865</v>
      </c>
      <c r="C6804" s="504" t="s">
        <v>1094</v>
      </c>
      <c r="D6804" s="504" t="s">
        <v>3380</v>
      </c>
      <c r="E6804" s="504" t="s">
        <v>3381</v>
      </c>
      <c r="F6804" s="504" t="s">
        <v>844</v>
      </c>
      <c r="G6804" s="504" t="s">
        <v>845</v>
      </c>
      <c r="H6804" s="504" t="s">
        <v>8858</v>
      </c>
      <c r="I6804" s="504">
        <v>285</v>
      </c>
      <c r="J6804" s="504">
        <v>285</v>
      </c>
      <c r="K6804" s="504">
        <v>0</v>
      </c>
      <c r="L6804" s="504">
        <v>0</v>
      </c>
      <c r="M6804" s="504">
        <v>0</v>
      </c>
      <c r="N6804" s="504">
        <v>0</v>
      </c>
      <c r="O6804" s="505">
        <v>0</v>
      </c>
    </row>
    <row r="6805" spans="1:15" x14ac:dyDescent="0.35">
      <c r="A6805" s="500" t="s">
        <v>1167</v>
      </c>
      <c r="B6805" s="501">
        <v>4689</v>
      </c>
      <c r="C6805" s="501" t="s">
        <v>1089</v>
      </c>
      <c r="D6805" s="501" t="s">
        <v>3392</v>
      </c>
      <c r="E6805" s="501" t="s">
        <v>3381</v>
      </c>
      <c r="F6805" s="501" t="s">
        <v>844</v>
      </c>
      <c r="G6805" s="501" t="s">
        <v>845</v>
      </c>
      <c r="H6805" s="501" t="s">
        <v>8859</v>
      </c>
      <c r="I6805" s="501">
        <v>36</v>
      </c>
      <c r="J6805" s="501">
        <v>0</v>
      </c>
      <c r="K6805" s="501">
        <v>0</v>
      </c>
      <c r="L6805" s="501">
        <v>36</v>
      </c>
      <c r="M6805" s="501">
        <v>0</v>
      </c>
      <c r="N6805" s="501">
        <v>0</v>
      </c>
      <c r="O6805" s="506">
        <v>0</v>
      </c>
    </row>
    <row r="6806" spans="1:15" x14ac:dyDescent="0.35">
      <c r="A6806" s="503" t="s">
        <v>1102</v>
      </c>
      <c r="B6806" s="504">
        <v>4663</v>
      </c>
      <c r="C6806" s="504" t="s">
        <v>1089</v>
      </c>
      <c r="D6806" s="504" t="s">
        <v>3392</v>
      </c>
      <c r="E6806" s="504" t="s">
        <v>3381</v>
      </c>
      <c r="F6806" s="504" t="s">
        <v>844</v>
      </c>
      <c r="G6806" s="504" t="s">
        <v>845</v>
      </c>
      <c r="H6806" s="504" t="s">
        <v>8860</v>
      </c>
      <c r="I6806" s="504">
        <v>12</v>
      </c>
      <c r="J6806" s="504">
        <v>0</v>
      </c>
      <c r="K6806" s="504">
        <v>0</v>
      </c>
      <c r="L6806" s="504">
        <v>12</v>
      </c>
      <c r="M6806" s="504">
        <v>0</v>
      </c>
      <c r="N6806" s="504">
        <v>0</v>
      </c>
      <c r="O6806" s="505">
        <v>0</v>
      </c>
    </row>
    <row r="6807" spans="1:15" x14ac:dyDescent="0.35">
      <c r="A6807" s="500" t="s">
        <v>1704</v>
      </c>
      <c r="B6807" s="501" t="s">
        <v>3221</v>
      </c>
      <c r="C6807" s="501" t="s">
        <v>1094</v>
      </c>
      <c r="D6807" s="501" t="s">
        <v>3380</v>
      </c>
      <c r="E6807" s="501" t="s">
        <v>3381</v>
      </c>
      <c r="F6807" s="501" t="s">
        <v>844</v>
      </c>
      <c r="G6807" s="501" t="s">
        <v>845</v>
      </c>
      <c r="H6807" s="501" t="s">
        <v>8861</v>
      </c>
      <c r="I6807" s="501">
        <v>14691</v>
      </c>
      <c r="J6807" s="501">
        <v>13578</v>
      </c>
      <c r="K6807" s="501">
        <v>0</v>
      </c>
      <c r="L6807" s="501">
        <v>1064</v>
      </c>
      <c r="M6807" s="501">
        <v>0</v>
      </c>
      <c r="N6807" s="501">
        <v>0</v>
      </c>
      <c r="O6807" s="506">
        <v>49</v>
      </c>
    </row>
    <row r="6808" spans="1:15" x14ac:dyDescent="0.35">
      <c r="A6808" s="503" t="s">
        <v>14208</v>
      </c>
      <c r="B6808" s="504">
        <v>4803</v>
      </c>
      <c r="C6808" s="504" t="s">
        <v>1094</v>
      </c>
      <c r="D6808" s="504" t="s">
        <v>3380</v>
      </c>
      <c r="E6808" s="504" t="s">
        <v>3381</v>
      </c>
      <c r="F6808" s="504" t="s">
        <v>844</v>
      </c>
      <c r="G6808" s="504" t="s">
        <v>845</v>
      </c>
      <c r="H6808" s="504" t="s">
        <v>15018</v>
      </c>
      <c r="I6808" s="504">
        <v>1</v>
      </c>
      <c r="J6808" s="504">
        <v>0</v>
      </c>
      <c r="K6808" s="504">
        <v>0</v>
      </c>
      <c r="L6808" s="504">
        <v>1</v>
      </c>
      <c r="M6808" s="504">
        <v>0</v>
      </c>
      <c r="N6808" s="504">
        <v>0</v>
      </c>
      <c r="O6808" s="505">
        <v>0</v>
      </c>
    </row>
    <row r="6809" spans="1:15" x14ac:dyDescent="0.35">
      <c r="A6809" s="500" t="s">
        <v>1183</v>
      </c>
      <c r="B6809" s="501" t="s">
        <v>3038</v>
      </c>
      <c r="C6809" s="501" t="s">
        <v>1094</v>
      </c>
      <c r="D6809" s="501" t="s">
        <v>3380</v>
      </c>
      <c r="E6809" s="501" t="s">
        <v>3381</v>
      </c>
      <c r="F6809" s="501" t="s">
        <v>844</v>
      </c>
      <c r="G6809" s="501" t="s">
        <v>845</v>
      </c>
      <c r="H6809" s="501" t="s">
        <v>8862</v>
      </c>
      <c r="I6809" s="501">
        <v>2579</v>
      </c>
      <c r="J6809" s="501">
        <v>2066</v>
      </c>
      <c r="K6809" s="501">
        <v>0</v>
      </c>
      <c r="L6809" s="501">
        <v>64</v>
      </c>
      <c r="M6809" s="501">
        <v>155</v>
      </c>
      <c r="N6809" s="501">
        <v>0</v>
      </c>
      <c r="O6809" s="506">
        <v>294</v>
      </c>
    </row>
    <row r="6810" spans="1:15" x14ac:dyDescent="0.35">
      <c r="A6810" s="503" t="s">
        <v>1188</v>
      </c>
      <c r="B6810" s="504">
        <v>4760</v>
      </c>
      <c r="C6810" s="504" t="s">
        <v>1089</v>
      </c>
      <c r="D6810" s="504" t="s">
        <v>3392</v>
      </c>
      <c r="E6810" s="504" t="s">
        <v>3381</v>
      </c>
      <c r="F6810" s="504" t="s">
        <v>844</v>
      </c>
      <c r="G6810" s="504" t="s">
        <v>845</v>
      </c>
      <c r="H6810" s="504" t="s">
        <v>11749</v>
      </c>
      <c r="I6810" s="504">
        <v>13</v>
      </c>
      <c r="J6810" s="504">
        <v>0</v>
      </c>
      <c r="K6810" s="504">
        <v>0</v>
      </c>
      <c r="L6810" s="504">
        <v>13</v>
      </c>
      <c r="M6810" s="504">
        <v>0</v>
      </c>
      <c r="N6810" s="504">
        <v>0</v>
      </c>
      <c r="O6810" s="505">
        <v>0</v>
      </c>
    </row>
    <row r="6811" spans="1:15" x14ac:dyDescent="0.35">
      <c r="A6811" s="500" t="s">
        <v>1109</v>
      </c>
      <c r="B6811" s="501" t="s">
        <v>2959</v>
      </c>
      <c r="C6811" s="501" t="s">
        <v>1094</v>
      </c>
      <c r="D6811" s="501" t="s">
        <v>3380</v>
      </c>
      <c r="E6811" s="501" t="s">
        <v>3381</v>
      </c>
      <c r="F6811" s="501" t="s">
        <v>844</v>
      </c>
      <c r="G6811" s="501" t="s">
        <v>845</v>
      </c>
      <c r="H6811" s="501" t="s">
        <v>8863</v>
      </c>
      <c r="I6811" s="501">
        <v>115</v>
      </c>
      <c r="J6811" s="501">
        <v>0</v>
      </c>
      <c r="K6811" s="501">
        <v>0</v>
      </c>
      <c r="L6811" s="501">
        <v>0</v>
      </c>
      <c r="M6811" s="501">
        <v>115</v>
      </c>
      <c r="N6811" s="501">
        <v>0</v>
      </c>
      <c r="O6811" s="506">
        <v>0</v>
      </c>
    </row>
    <row r="6812" spans="1:15" x14ac:dyDescent="0.35">
      <c r="A6812" s="503" t="s">
        <v>1715</v>
      </c>
      <c r="B6812" s="504" t="s">
        <v>2464</v>
      </c>
      <c r="C6812" s="504" t="s">
        <v>1089</v>
      </c>
      <c r="D6812" s="504" t="s">
        <v>3392</v>
      </c>
      <c r="E6812" s="504" t="s">
        <v>3381</v>
      </c>
      <c r="F6812" s="504" t="s">
        <v>844</v>
      </c>
      <c r="G6812" s="504" t="s">
        <v>845</v>
      </c>
      <c r="H6812" s="504" t="s">
        <v>8864</v>
      </c>
      <c r="I6812" s="504">
        <v>44</v>
      </c>
      <c r="J6812" s="504">
        <v>44</v>
      </c>
      <c r="K6812" s="504">
        <v>0</v>
      </c>
      <c r="L6812" s="504">
        <v>0</v>
      </c>
      <c r="M6812" s="504">
        <v>0</v>
      </c>
      <c r="N6812" s="504">
        <v>0</v>
      </c>
      <c r="O6812" s="505">
        <v>0</v>
      </c>
    </row>
    <row r="6813" spans="1:15" x14ac:dyDescent="0.35">
      <c r="A6813" s="500" t="s">
        <v>1716</v>
      </c>
      <c r="B6813" s="501" t="s">
        <v>2960</v>
      </c>
      <c r="C6813" s="501" t="s">
        <v>1094</v>
      </c>
      <c r="D6813" s="501" t="s">
        <v>3380</v>
      </c>
      <c r="E6813" s="501" t="s">
        <v>3381</v>
      </c>
      <c r="F6813" s="501" t="s">
        <v>844</v>
      </c>
      <c r="G6813" s="501" t="s">
        <v>845</v>
      </c>
      <c r="H6813" s="501" t="s">
        <v>8865</v>
      </c>
      <c r="I6813" s="501">
        <v>1263</v>
      </c>
      <c r="J6813" s="501">
        <v>1078</v>
      </c>
      <c r="K6813" s="501">
        <v>0</v>
      </c>
      <c r="L6813" s="501">
        <v>67</v>
      </c>
      <c r="M6813" s="501">
        <v>95</v>
      </c>
      <c r="N6813" s="501">
        <v>0</v>
      </c>
      <c r="O6813" s="506">
        <v>23</v>
      </c>
    </row>
    <row r="6814" spans="1:15" x14ac:dyDescent="0.35">
      <c r="A6814" s="503" t="s">
        <v>11401</v>
      </c>
      <c r="B6814" s="504" t="s">
        <v>3241</v>
      </c>
      <c r="C6814" s="504" t="s">
        <v>1094</v>
      </c>
      <c r="D6814" s="504" t="s">
        <v>3380</v>
      </c>
      <c r="E6814" s="504" t="s">
        <v>3381</v>
      </c>
      <c r="F6814" s="504" t="s">
        <v>844</v>
      </c>
      <c r="G6814" s="504" t="s">
        <v>845</v>
      </c>
      <c r="H6814" s="504" t="s">
        <v>11786</v>
      </c>
      <c r="I6814" s="504">
        <v>27</v>
      </c>
      <c r="J6814" s="504">
        <v>17</v>
      </c>
      <c r="K6814" s="504">
        <v>0</v>
      </c>
      <c r="L6814" s="504">
        <v>6</v>
      </c>
      <c r="M6814" s="504">
        <v>0</v>
      </c>
      <c r="N6814" s="504">
        <v>0</v>
      </c>
      <c r="O6814" s="505">
        <v>4</v>
      </c>
    </row>
    <row r="6815" spans="1:15" x14ac:dyDescent="0.35">
      <c r="A6815" s="500" t="s">
        <v>1735</v>
      </c>
      <c r="B6815" s="501" t="s">
        <v>3072</v>
      </c>
      <c r="C6815" s="501" t="s">
        <v>1089</v>
      </c>
      <c r="D6815" s="501" t="s">
        <v>3392</v>
      </c>
      <c r="E6815" s="501" t="s">
        <v>3381</v>
      </c>
      <c r="F6815" s="501" t="s">
        <v>844</v>
      </c>
      <c r="G6815" s="501" t="s">
        <v>845</v>
      </c>
      <c r="H6815" s="501" t="s">
        <v>8866</v>
      </c>
      <c r="I6815" s="501">
        <v>56</v>
      </c>
      <c r="J6815" s="501">
        <v>0</v>
      </c>
      <c r="K6815" s="501">
        <v>0</v>
      </c>
      <c r="L6815" s="501">
        <v>0</v>
      </c>
      <c r="M6815" s="501">
        <v>56</v>
      </c>
      <c r="N6815" s="501">
        <v>0</v>
      </c>
      <c r="O6815" s="506">
        <v>0</v>
      </c>
    </row>
    <row r="6816" spans="1:15" x14ac:dyDescent="0.35">
      <c r="A6816" s="503" t="s">
        <v>1739</v>
      </c>
      <c r="B6816" s="504">
        <v>4857</v>
      </c>
      <c r="C6816" s="504" t="s">
        <v>1094</v>
      </c>
      <c r="D6816" s="504" t="s">
        <v>3380</v>
      </c>
      <c r="E6816" s="504" t="s">
        <v>3381</v>
      </c>
      <c r="F6816" s="504" t="s">
        <v>844</v>
      </c>
      <c r="G6816" s="504" t="s">
        <v>845</v>
      </c>
      <c r="H6816" s="504" t="s">
        <v>8867</v>
      </c>
      <c r="I6816" s="504">
        <v>299</v>
      </c>
      <c r="J6816" s="504">
        <v>224</v>
      </c>
      <c r="K6816" s="504">
        <v>0</v>
      </c>
      <c r="L6816" s="504">
        <v>4</v>
      </c>
      <c r="M6816" s="504">
        <v>71</v>
      </c>
      <c r="N6816" s="504">
        <v>0</v>
      </c>
      <c r="O6816" s="505">
        <v>0</v>
      </c>
    </row>
    <row r="6817" spans="1:15" x14ac:dyDescent="0.35">
      <c r="A6817" s="500" t="s">
        <v>1209</v>
      </c>
      <c r="B6817" s="501">
        <v>4779</v>
      </c>
      <c r="C6817" s="501" t="s">
        <v>1094</v>
      </c>
      <c r="D6817" s="501" t="s">
        <v>3380</v>
      </c>
      <c r="E6817" s="501" t="s">
        <v>3381</v>
      </c>
      <c r="F6817" s="501" t="s">
        <v>844</v>
      </c>
      <c r="G6817" s="501" t="s">
        <v>845</v>
      </c>
      <c r="H6817" s="501" t="s">
        <v>8868</v>
      </c>
      <c r="I6817" s="501">
        <v>15</v>
      </c>
      <c r="J6817" s="501">
        <v>0</v>
      </c>
      <c r="K6817" s="501">
        <v>0</v>
      </c>
      <c r="L6817" s="501">
        <v>15</v>
      </c>
      <c r="M6817" s="501">
        <v>0</v>
      </c>
      <c r="N6817" s="501">
        <v>0</v>
      </c>
      <c r="O6817" s="506">
        <v>0</v>
      </c>
    </row>
    <row r="6818" spans="1:15" x14ac:dyDescent="0.35">
      <c r="A6818" s="503" t="s">
        <v>1744</v>
      </c>
      <c r="B6818" s="504" t="s">
        <v>3245</v>
      </c>
      <c r="C6818" s="504" t="s">
        <v>1094</v>
      </c>
      <c r="D6818" s="504" t="s">
        <v>3380</v>
      </c>
      <c r="E6818" s="504" t="s">
        <v>3381</v>
      </c>
      <c r="F6818" s="504" t="s">
        <v>844</v>
      </c>
      <c r="G6818" s="504" t="s">
        <v>845</v>
      </c>
      <c r="H6818" s="504" t="s">
        <v>15019</v>
      </c>
      <c r="I6818" s="504">
        <v>964</v>
      </c>
      <c r="J6818" s="504">
        <v>747</v>
      </c>
      <c r="K6818" s="504">
        <v>0</v>
      </c>
      <c r="L6818" s="504">
        <v>54</v>
      </c>
      <c r="M6818" s="504">
        <v>157</v>
      </c>
      <c r="N6818" s="504">
        <v>3</v>
      </c>
      <c r="O6818" s="505">
        <v>6</v>
      </c>
    </row>
    <row r="6819" spans="1:15" x14ac:dyDescent="0.35">
      <c r="A6819" s="500" t="s">
        <v>1122</v>
      </c>
      <c r="B6819" s="501" t="s">
        <v>2994</v>
      </c>
      <c r="C6819" s="501" t="s">
        <v>1094</v>
      </c>
      <c r="D6819" s="501" t="s">
        <v>3380</v>
      </c>
      <c r="E6819" s="501" t="s">
        <v>3381</v>
      </c>
      <c r="F6819" s="501" t="s">
        <v>844</v>
      </c>
      <c r="G6819" s="501" t="s">
        <v>845</v>
      </c>
      <c r="H6819" s="501" t="s">
        <v>8869</v>
      </c>
      <c r="I6819" s="501">
        <v>103</v>
      </c>
      <c r="J6819" s="501">
        <v>96</v>
      </c>
      <c r="K6819" s="501">
        <v>0</v>
      </c>
      <c r="L6819" s="501">
        <v>4</v>
      </c>
      <c r="M6819" s="501">
        <v>0</v>
      </c>
      <c r="N6819" s="501">
        <v>0</v>
      </c>
      <c r="O6819" s="506">
        <v>3</v>
      </c>
    </row>
    <row r="6820" spans="1:15" x14ac:dyDescent="0.35">
      <c r="A6820" s="503" t="s">
        <v>1225</v>
      </c>
      <c r="B6820" s="504" t="s">
        <v>3315</v>
      </c>
      <c r="C6820" s="504" t="s">
        <v>1094</v>
      </c>
      <c r="D6820" s="504" t="s">
        <v>3380</v>
      </c>
      <c r="E6820" s="504" t="s">
        <v>3381</v>
      </c>
      <c r="F6820" s="504" t="s">
        <v>844</v>
      </c>
      <c r="G6820" s="504" t="s">
        <v>845</v>
      </c>
      <c r="H6820" s="504" t="s">
        <v>8870</v>
      </c>
      <c r="I6820" s="504">
        <v>51</v>
      </c>
      <c r="J6820" s="504">
        <v>0</v>
      </c>
      <c r="K6820" s="504">
        <v>0</v>
      </c>
      <c r="L6820" s="504">
        <v>51</v>
      </c>
      <c r="M6820" s="504">
        <v>0</v>
      </c>
      <c r="N6820" s="504">
        <v>0</v>
      </c>
      <c r="O6820" s="505">
        <v>0</v>
      </c>
    </row>
    <row r="6821" spans="1:15" x14ac:dyDescent="0.35">
      <c r="A6821" s="500" t="s">
        <v>1228</v>
      </c>
      <c r="B6821" s="501" t="s">
        <v>3321</v>
      </c>
      <c r="C6821" s="501" t="s">
        <v>1094</v>
      </c>
      <c r="D6821" s="501" t="s">
        <v>3380</v>
      </c>
      <c r="E6821" s="501" t="s">
        <v>3381</v>
      </c>
      <c r="F6821" s="501" t="s">
        <v>844</v>
      </c>
      <c r="G6821" s="501" t="s">
        <v>845</v>
      </c>
      <c r="H6821" s="501" t="s">
        <v>8871</v>
      </c>
      <c r="I6821" s="501">
        <v>88</v>
      </c>
      <c r="J6821" s="501">
        <v>0</v>
      </c>
      <c r="K6821" s="501">
        <v>0</v>
      </c>
      <c r="L6821" s="501">
        <v>88</v>
      </c>
      <c r="M6821" s="501">
        <v>0</v>
      </c>
      <c r="N6821" s="501">
        <v>0</v>
      </c>
      <c r="O6821" s="506">
        <v>0</v>
      </c>
    </row>
    <row r="6822" spans="1:15" x14ac:dyDescent="0.35">
      <c r="A6822" s="503" t="s">
        <v>1750</v>
      </c>
      <c r="B6822" s="504">
        <v>4800</v>
      </c>
      <c r="C6822" s="504" t="s">
        <v>1089</v>
      </c>
      <c r="D6822" s="504" t="s">
        <v>3392</v>
      </c>
      <c r="E6822" s="504" t="s">
        <v>3381</v>
      </c>
      <c r="F6822" s="504" t="s">
        <v>844</v>
      </c>
      <c r="G6822" s="504" t="s">
        <v>845</v>
      </c>
      <c r="H6822" s="504" t="s">
        <v>8872</v>
      </c>
      <c r="I6822" s="504">
        <v>35</v>
      </c>
      <c r="J6822" s="504">
        <v>0</v>
      </c>
      <c r="K6822" s="504">
        <v>0</v>
      </c>
      <c r="L6822" s="504">
        <v>35</v>
      </c>
      <c r="M6822" s="504">
        <v>0</v>
      </c>
      <c r="N6822" s="504">
        <v>0</v>
      </c>
      <c r="O6822" s="505">
        <v>0</v>
      </c>
    </row>
    <row r="6823" spans="1:15" x14ac:dyDescent="0.35">
      <c r="A6823" s="500" t="s">
        <v>1752</v>
      </c>
      <c r="B6823" s="501">
        <v>4653</v>
      </c>
      <c r="C6823" s="501" t="s">
        <v>1094</v>
      </c>
      <c r="D6823" s="501" t="s">
        <v>3380</v>
      </c>
      <c r="E6823" s="501" t="s">
        <v>3381</v>
      </c>
      <c r="F6823" s="501" t="s">
        <v>844</v>
      </c>
      <c r="G6823" s="501" t="s">
        <v>845</v>
      </c>
      <c r="H6823" s="501" t="s">
        <v>8873</v>
      </c>
      <c r="I6823" s="501">
        <v>2</v>
      </c>
      <c r="J6823" s="501">
        <v>0</v>
      </c>
      <c r="K6823" s="501">
        <v>0</v>
      </c>
      <c r="L6823" s="501">
        <v>2</v>
      </c>
      <c r="M6823" s="501">
        <v>0</v>
      </c>
      <c r="N6823" s="501">
        <v>0</v>
      </c>
      <c r="O6823" s="506">
        <v>0</v>
      </c>
    </row>
    <row r="6824" spans="1:15" x14ac:dyDescent="0.35">
      <c r="A6824" s="503" t="s">
        <v>1124</v>
      </c>
      <c r="B6824" s="504">
        <v>4745</v>
      </c>
      <c r="C6824" s="504" t="s">
        <v>1094</v>
      </c>
      <c r="D6824" s="504" t="s">
        <v>3380</v>
      </c>
      <c r="E6824" s="504" t="s">
        <v>3381</v>
      </c>
      <c r="F6824" s="504" t="s">
        <v>844</v>
      </c>
      <c r="G6824" s="504" t="s">
        <v>845</v>
      </c>
      <c r="H6824" s="504" t="s">
        <v>12000</v>
      </c>
      <c r="I6824" s="504">
        <v>1</v>
      </c>
      <c r="J6824" s="504">
        <v>0</v>
      </c>
      <c r="K6824" s="504">
        <v>0</v>
      </c>
      <c r="L6824" s="504">
        <v>1</v>
      </c>
      <c r="M6824" s="504">
        <v>0</v>
      </c>
      <c r="N6824" s="504">
        <v>0</v>
      </c>
      <c r="O6824" s="505">
        <v>0</v>
      </c>
    </row>
    <row r="6825" spans="1:15" x14ac:dyDescent="0.35">
      <c r="A6825" s="500" t="s">
        <v>1230</v>
      </c>
      <c r="B6825" s="501" t="s">
        <v>3182</v>
      </c>
      <c r="C6825" s="501" t="s">
        <v>1089</v>
      </c>
      <c r="D6825" s="501" t="s">
        <v>3392</v>
      </c>
      <c r="E6825" s="501" t="s">
        <v>3381</v>
      </c>
      <c r="F6825" s="501" t="s">
        <v>844</v>
      </c>
      <c r="G6825" s="501" t="s">
        <v>845</v>
      </c>
      <c r="H6825" s="501" t="s">
        <v>8874</v>
      </c>
      <c r="I6825" s="501">
        <v>51</v>
      </c>
      <c r="J6825" s="501">
        <v>0</v>
      </c>
      <c r="K6825" s="501">
        <v>0</v>
      </c>
      <c r="L6825" s="501">
        <v>0</v>
      </c>
      <c r="M6825" s="501">
        <v>51</v>
      </c>
      <c r="N6825" s="501">
        <v>0</v>
      </c>
      <c r="O6825" s="506">
        <v>0</v>
      </c>
    </row>
    <row r="6826" spans="1:15" x14ac:dyDescent="0.35">
      <c r="A6826" s="503" t="s">
        <v>1755</v>
      </c>
      <c r="B6826" s="504">
        <v>4609</v>
      </c>
      <c r="C6826" s="504" t="s">
        <v>1094</v>
      </c>
      <c r="D6826" s="504" t="s">
        <v>3380</v>
      </c>
      <c r="E6826" s="504" t="s">
        <v>3381</v>
      </c>
      <c r="F6826" s="504" t="s">
        <v>844</v>
      </c>
      <c r="G6826" s="504" t="s">
        <v>845</v>
      </c>
      <c r="H6826" s="504" t="s">
        <v>8875</v>
      </c>
      <c r="I6826" s="504">
        <v>7935</v>
      </c>
      <c r="J6826" s="504">
        <v>7624</v>
      </c>
      <c r="K6826" s="504">
        <v>14</v>
      </c>
      <c r="L6826" s="504">
        <v>0</v>
      </c>
      <c r="M6826" s="504">
        <v>297</v>
      </c>
      <c r="N6826" s="504">
        <v>0</v>
      </c>
      <c r="O6826" s="505">
        <v>0</v>
      </c>
    </row>
    <row r="6827" spans="1:15" x14ac:dyDescent="0.35">
      <c r="A6827" s="500" t="s">
        <v>1234</v>
      </c>
      <c r="B6827" s="501" t="s">
        <v>3291</v>
      </c>
      <c r="C6827" s="501" t="s">
        <v>1094</v>
      </c>
      <c r="D6827" s="501" t="s">
        <v>3380</v>
      </c>
      <c r="E6827" s="501" t="s">
        <v>3381</v>
      </c>
      <c r="F6827" s="501" t="s">
        <v>844</v>
      </c>
      <c r="G6827" s="501" t="s">
        <v>845</v>
      </c>
      <c r="H6827" s="501" t="s">
        <v>8876</v>
      </c>
      <c r="I6827" s="501">
        <v>36</v>
      </c>
      <c r="J6827" s="501">
        <v>16</v>
      </c>
      <c r="K6827" s="501">
        <v>0</v>
      </c>
      <c r="L6827" s="501">
        <v>20</v>
      </c>
      <c r="M6827" s="501">
        <v>0</v>
      </c>
      <c r="N6827" s="501">
        <v>0</v>
      </c>
      <c r="O6827" s="506">
        <v>0</v>
      </c>
    </row>
    <row r="6828" spans="1:15" x14ac:dyDescent="0.35">
      <c r="A6828" s="503" t="s">
        <v>1126</v>
      </c>
      <c r="B6828" s="504" t="s">
        <v>2974</v>
      </c>
      <c r="C6828" s="504" t="s">
        <v>1094</v>
      </c>
      <c r="D6828" s="504" t="s">
        <v>3380</v>
      </c>
      <c r="E6828" s="504" t="s">
        <v>3381</v>
      </c>
      <c r="F6828" s="504" t="s">
        <v>844</v>
      </c>
      <c r="G6828" s="504" t="s">
        <v>845</v>
      </c>
      <c r="H6828" s="504" t="s">
        <v>8877</v>
      </c>
      <c r="I6828" s="504">
        <v>21</v>
      </c>
      <c r="J6828" s="504">
        <v>0</v>
      </c>
      <c r="K6828" s="504">
        <v>0</v>
      </c>
      <c r="L6828" s="504">
        <v>21</v>
      </c>
      <c r="M6828" s="504">
        <v>0</v>
      </c>
      <c r="N6828" s="504">
        <v>0</v>
      </c>
      <c r="O6828" s="505">
        <v>0</v>
      </c>
    </row>
    <row r="6829" spans="1:15" x14ac:dyDescent="0.35">
      <c r="A6829" s="500" t="s">
        <v>1778</v>
      </c>
      <c r="B6829" s="501">
        <v>5052</v>
      </c>
      <c r="C6829" s="501" t="s">
        <v>1089</v>
      </c>
      <c r="D6829" s="501" t="s">
        <v>3392</v>
      </c>
      <c r="E6829" s="501" t="s">
        <v>3381</v>
      </c>
      <c r="F6829" s="501" t="s">
        <v>844</v>
      </c>
      <c r="G6829" s="501" t="s">
        <v>845</v>
      </c>
      <c r="H6829" s="501" t="s">
        <v>8881</v>
      </c>
      <c r="I6829" s="501">
        <v>3</v>
      </c>
      <c r="J6829" s="501">
        <v>3</v>
      </c>
      <c r="K6829" s="501">
        <v>0</v>
      </c>
      <c r="L6829" s="501">
        <v>0</v>
      </c>
      <c r="M6829" s="501">
        <v>0</v>
      </c>
      <c r="N6829" s="501">
        <v>0</v>
      </c>
      <c r="O6829" s="506">
        <v>0</v>
      </c>
    </row>
    <row r="6830" spans="1:15" x14ac:dyDescent="0.35">
      <c r="A6830" s="503" t="s">
        <v>1245</v>
      </c>
      <c r="B6830" s="504" t="s">
        <v>2859</v>
      </c>
      <c r="C6830" s="504" t="s">
        <v>1094</v>
      </c>
      <c r="D6830" s="504" t="s">
        <v>3380</v>
      </c>
      <c r="E6830" s="504" t="s">
        <v>3381</v>
      </c>
      <c r="F6830" s="504" t="s">
        <v>844</v>
      </c>
      <c r="G6830" s="504" t="s">
        <v>845</v>
      </c>
      <c r="H6830" s="504" t="s">
        <v>8878</v>
      </c>
      <c r="I6830" s="504">
        <v>13</v>
      </c>
      <c r="J6830" s="504">
        <v>0</v>
      </c>
      <c r="K6830" s="504">
        <v>0</v>
      </c>
      <c r="L6830" s="504">
        <v>0</v>
      </c>
      <c r="M6830" s="504">
        <v>13</v>
      </c>
      <c r="N6830" s="504">
        <v>0</v>
      </c>
      <c r="O6830" s="505">
        <v>0</v>
      </c>
    </row>
    <row r="6831" spans="1:15" x14ac:dyDescent="0.35">
      <c r="A6831" s="500" t="s">
        <v>1249</v>
      </c>
      <c r="B6831" s="501">
        <v>4729</v>
      </c>
      <c r="C6831" s="501" t="s">
        <v>1094</v>
      </c>
      <c r="D6831" s="501" t="s">
        <v>3380</v>
      </c>
      <c r="E6831" s="501" t="s">
        <v>3381</v>
      </c>
      <c r="F6831" s="501" t="s">
        <v>844</v>
      </c>
      <c r="G6831" s="501" t="s">
        <v>845</v>
      </c>
      <c r="H6831" s="501" t="s">
        <v>8879</v>
      </c>
      <c r="I6831" s="501">
        <v>601</v>
      </c>
      <c r="J6831" s="501">
        <v>580</v>
      </c>
      <c r="K6831" s="501">
        <v>0</v>
      </c>
      <c r="L6831" s="501">
        <v>0</v>
      </c>
      <c r="M6831" s="501">
        <v>16</v>
      </c>
      <c r="N6831" s="501">
        <v>0</v>
      </c>
      <c r="O6831" s="506">
        <v>5</v>
      </c>
    </row>
    <row r="6832" spans="1:15" x14ac:dyDescent="0.35">
      <c r="A6832" s="503" t="s">
        <v>1253</v>
      </c>
      <c r="B6832" s="504" t="s">
        <v>3232</v>
      </c>
      <c r="C6832" s="504" t="s">
        <v>1094</v>
      </c>
      <c r="D6832" s="504" t="s">
        <v>3380</v>
      </c>
      <c r="E6832" s="504" t="s">
        <v>3381</v>
      </c>
      <c r="F6832" s="504" t="s">
        <v>844</v>
      </c>
      <c r="G6832" s="504" t="s">
        <v>845</v>
      </c>
      <c r="H6832" s="504" t="s">
        <v>8880</v>
      </c>
      <c r="I6832" s="504">
        <v>41</v>
      </c>
      <c r="J6832" s="504">
        <v>0</v>
      </c>
      <c r="K6832" s="504">
        <v>0</v>
      </c>
      <c r="L6832" s="504">
        <v>21</v>
      </c>
      <c r="M6832" s="504">
        <v>20</v>
      </c>
      <c r="N6832" s="504">
        <v>0</v>
      </c>
      <c r="O6832" s="505">
        <v>0</v>
      </c>
    </row>
    <row r="6833" spans="1:15" x14ac:dyDescent="0.35">
      <c r="A6833" s="500" t="s">
        <v>1257</v>
      </c>
      <c r="B6833" s="501" t="s">
        <v>3151</v>
      </c>
      <c r="C6833" s="501" t="s">
        <v>1094</v>
      </c>
      <c r="D6833" s="501" t="s">
        <v>3380</v>
      </c>
      <c r="E6833" s="501" t="s">
        <v>3381</v>
      </c>
      <c r="F6833" s="501" t="s">
        <v>844</v>
      </c>
      <c r="G6833" s="501" t="s">
        <v>845</v>
      </c>
      <c r="H6833" s="501" t="s">
        <v>8882</v>
      </c>
      <c r="I6833" s="501">
        <v>164</v>
      </c>
      <c r="J6833" s="501">
        <v>164</v>
      </c>
      <c r="K6833" s="501">
        <v>0</v>
      </c>
      <c r="L6833" s="501">
        <v>0</v>
      </c>
      <c r="M6833" s="501">
        <v>0</v>
      </c>
      <c r="N6833" s="501">
        <v>0</v>
      </c>
      <c r="O6833" s="506">
        <v>0</v>
      </c>
    </row>
    <row r="6834" spans="1:15" x14ac:dyDescent="0.35">
      <c r="A6834" s="503" t="s">
        <v>1260</v>
      </c>
      <c r="B6834" s="504">
        <v>4645</v>
      </c>
      <c r="C6834" s="504" t="s">
        <v>1089</v>
      </c>
      <c r="D6834" s="504" t="s">
        <v>3392</v>
      </c>
      <c r="E6834" s="504" t="s">
        <v>3381</v>
      </c>
      <c r="F6834" s="504" t="s">
        <v>844</v>
      </c>
      <c r="G6834" s="504" t="s">
        <v>845</v>
      </c>
      <c r="H6834" s="504" t="s">
        <v>8883</v>
      </c>
      <c r="I6834" s="504">
        <v>3</v>
      </c>
      <c r="J6834" s="504">
        <v>0</v>
      </c>
      <c r="K6834" s="504">
        <v>0</v>
      </c>
      <c r="L6834" s="504">
        <v>3</v>
      </c>
      <c r="M6834" s="504">
        <v>0</v>
      </c>
      <c r="N6834" s="504">
        <v>0</v>
      </c>
      <c r="O6834" s="505">
        <v>0</v>
      </c>
    </row>
    <row r="6835" spans="1:15" x14ac:dyDescent="0.35">
      <c r="A6835" s="500" t="s">
        <v>1266</v>
      </c>
      <c r="B6835" s="501" t="s">
        <v>3071</v>
      </c>
      <c r="C6835" s="501" t="s">
        <v>1094</v>
      </c>
      <c r="D6835" s="501" t="s">
        <v>3380</v>
      </c>
      <c r="E6835" s="501" t="s">
        <v>3381</v>
      </c>
      <c r="F6835" s="501" t="s">
        <v>844</v>
      </c>
      <c r="G6835" s="501" t="s">
        <v>845</v>
      </c>
      <c r="H6835" s="501" t="s">
        <v>8884</v>
      </c>
      <c r="I6835" s="501">
        <v>277</v>
      </c>
      <c r="J6835" s="501">
        <v>220</v>
      </c>
      <c r="K6835" s="501">
        <v>0</v>
      </c>
      <c r="L6835" s="501">
        <v>0</v>
      </c>
      <c r="M6835" s="501">
        <v>56</v>
      </c>
      <c r="N6835" s="501">
        <v>0</v>
      </c>
      <c r="O6835" s="506">
        <v>1</v>
      </c>
    </row>
    <row r="6836" spans="1:15" x14ac:dyDescent="0.35">
      <c r="A6836" s="503" t="s">
        <v>1147</v>
      </c>
      <c r="B6836" s="504" t="s">
        <v>3274</v>
      </c>
      <c r="C6836" s="504" t="s">
        <v>1089</v>
      </c>
      <c r="D6836" s="504" t="s">
        <v>3392</v>
      </c>
      <c r="E6836" s="504" t="s">
        <v>3381</v>
      </c>
      <c r="F6836" s="504" t="s">
        <v>846</v>
      </c>
      <c r="G6836" s="504" t="s">
        <v>847</v>
      </c>
      <c r="H6836" s="504" t="s">
        <v>8885</v>
      </c>
      <c r="I6836" s="504">
        <v>16</v>
      </c>
      <c r="J6836" s="504">
        <v>0</v>
      </c>
      <c r="K6836" s="504">
        <v>4</v>
      </c>
      <c r="L6836" s="504">
        <v>12</v>
      </c>
      <c r="M6836" s="504">
        <v>0</v>
      </c>
      <c r="N6836" s="504">
        <v>0</v>
      </c>
      <c r="O6836" s="505">
        <v>0</v>
      </c>
    </row>
    <row r="6837" spans="1:15" x14ac:dyDescent="0.35">
      <c r="A6837" s="500" t="s">
        <v>1093</v>
      </c>
      <c r="B6837" s="501" t="s">
        <v>3248</v>
      </c>
      <c r="C6837" s="501" t="s">
        <v>1094</v>
      </c>
      <c r="D6837" s="501" t="s">
        <v>3380</v>
      </c>
      <c r="E6837" s="501" t="s">
        <v>3381</v>
      </c>
      <c r="F6837" s="501" t="s">
        <v>846</v>
      </c>
      <c r="G6837" s="501" t="s">
        <v>847</v>
      </c>
      <c r="H6837" s="501" t="s">
        <v>8886</v>
      </c>
      <c r="I6837" s="501">
        <v>1</v>
      </c>
      <c r="J6837" s="501">
        <v>0</v>
      </c>
      <c r="K6837" s="501">
        <v>0</v>
      </c>
      <c r="L6837" s="501">
        <v>0</v>
      </c>
      <c r="M6837" s="501">
        <v>0</v>
      </c>
      <c r="N6837" s="501">
        <v>0</v>
      </c>
      <c r="O6837" s="506">
        <v>1</v>
      </c>
    </row>
    <row r="6838" spans="1:15" x14ac:dyDescent="0.35">
      <c r="A6838" s="503" t="s">
        <v>1096</v>
      </c>
      <c r="B6838" s="504" t="s">
        <v>3326</v>
      </c>
      <c r="C6838" s="504" t="s">
        <v>1094</v>
      </c>
      <c r="D6838" s="504" t="s">
        <v>3380</v>
      </c>
      <c r="E6838" s="504" t="s">
        <v>3381</v>
      </c>
      <c r="F6838" s="504" t="s">
        <v>846</v>
      </c>
      <c r="G6838" s="504" t="s">
        <v>847</v>
      </c>
      <c r="H6838" s="504" t="s">
        <v>8887</v>
      </c>
      <c r="I6838" s="504">
        <v>98</v>
      </c>
      <c r="J6838" s="504">
        <v>0</v>
      </c>
      <c r="K6838" s="504">
        <v>0</v>
      </c>
      <c r="L6838" s="504">
        <v>0</v>
      </c>
      <c r="M6838" s="504">
        <v>63</v>
      </c>
      <c r="N6838" s="504">
        <v>0</v>
      </c>
      <c r="O6838" s="505">
        <v>35</v>
      </c>
    </row>
    <row r="6839" spans="1:15" x14ac:dyDescent="0.35">
      <c r="A6839" s="500" t="s">
        <v>11363</v>
      </c>
      <c r="B6839" s="501">
        <v>4718</v>
      </c>
      <c r="C6839" s="501" t="s">
        <v>1094</v>
      </c>
      <c r="D6839" s="501" t="s">
        <v>3380</v>
      </c>
      <c r="E6839" s="501" t="s">
        <v>3381</v>
      </c>
      <c r="F6839" s="501" t="s">
        <v>846</v>
      </c>
      <c r="G6839" s="501" t="s">
        <v>847</v>
      </c>
      <c r="H6839" s="501" t="s">
        <v>11582</v>
      </c>
      <c r="I6839" s="501">
        <v>8</v>
      </c>
      <c r="J6839" s="501">
        <v>0</v>
      </c>
      <c r="K6839" s="501">
        <v>0</v>
      </c>
      <c r="L6839" s="501">
        <v>8</v>
      </c>
      <c r="M6839" s="501">
        <v>0</v>
      </c>
      <c r="N6839" s="501">
        <v>0</v>
      </c>
      <c r="O6839" s="506">
        <v>0</v>
      </c>
    </row>
    <row r="6840" spans="1:15" x14ac:dyDescent="0.35">
      <c r="A6840" s="503" t="s">
        <v>2060</v>
      </c>
      <c r="B6840" s="504" t="s">
        <v>3068</v>
      </c>
      <c r="C6840" s="504" t="s">
        <v>1094</v>
      </c>
      <c r="D6840" s="504" t="s">
        <v>3380</v>
      </c>
      <c r="E6840" s="504" t="s">
        <v>3381</v>
      </c>
      <c r="F6840" s="504" t="s">
        <v>846</v>
      </c>
      <c r="G6840" s="504" t="s">
        <v>847</v>
      </c>
      <c r="H6840" s="504" t="s">
        <v>8888</v>
      </c>
      <c r="I6840" s="504">
        <v>1179</v>
      </c>
      <c r="J6840" s="504">
        <v>969</v>
      </c>
      <c r="K6840" s="504">
        <v>0</v>
      </c>
      <c r="L6840" s="504">
        <v>37</v>
      </c>
      <c r="M6840" s="504">
        <v>113</v>
      </c>
      <c r="N6840" s="504">
        <v>0</v>
      </c>
      <c r="O6840" s="505">
        <v>60</v>
      </c>
    </row>
    <row r="6841" spans="1:15" x14ac:dyDescent="0.35">
      <c r="A6841" s="500" t="s">
        <v>1158</v>
      </c>
      <c r="B6841" s="501">
        <v>4819</v>
      </c>
      <c r="C6841" s="501" t="s">
        <v>1094</v>
      </c>
      <c r="D6841" s="501" t="s">
        <v>3380</v>
      </c>
      <c r="E6841" s="501" t="s">
        <v>3381</v>
      </c>
      <c r="F6841" s="501" t="s">
        <v>846</v>
      </c>
      <c r="G6841" s="501" t="s">
        <v>847</v>
      </c>
      <c r="H6841" s="501" t="s">
        <v>8889</v>
      </c>
      <c r="I6841" s="501">
        <v>396</v>
      </c>
      <c r="J6841" s="501">
        <v>327</v>
      </c>
      <c r="K6841" s="501">
        <v>0</v>
      </c>
      <c r="L6841" s="501">
        <v>20</v>
      </c>
      <c r="M6841" s="501">
        <v>0</v>
      </c>
      <c r="N6841" s="501">
        <v>0</v>
      </c>
      <c r="O6841" s="506">
        <v>49</v>
      </c>
    </row>
    <row r="6842" spans="1:15" x14ac:dyDescent="0.35">
      <c r="A6842" s="503" t="s">
        <v>1961</v>
      </c>
      <c r="B6842" s="504">
        <v>5075</v>
      </c>
      <c r="C6842" s="504" t="s">
        <v>1094</v>
      </c>
      <c r="D6842" s="504" t="s">
        <v>3380</v>
      </c>
      <c r="E6842" s="504" t="s">
        <v>3381</v>
      </c>
      <c r="F6842" s="504" t="s">
        <v>846</v>
      </c>
      <c r="G6842" s="504" t="s">
        <v>847</v>
      </c>
      <c r="H6842" s="504" t="s">
        <v>8890</v>
      </c>
      <c r="I6842" s="504">
        <v>192</v>
      </c>
      <c r="J6842" s="504">
        <v>166</v>
      </c>
      <c r="K6842" s="504">
        <v>0</v>
      </c>
      <c r="L6842" s="504">
        <v>3</v>
      </c>
      <c r="M6842" s="504">
        <v>0</v>
      </c>
      <c r="N6842" s="504">
        <v>0</v>
      </c>
      <c r="O6842" s="505">
        <v>23</v>
      </c>
    </row>
    <row r="6843" spans="1:15" x14ac:dyDescent="0.35">
      <c r="A6843" s="500" t="s">
        <v>1100</v>
      </c>
      <c r="B6843" s="501">
        <v>4865</v>
      </c>
      <c r="C6843" s="501" t="s">
        <v>1094</v>
      </c>
      <c r="D6843" s="501" t="s">
        <v>3380</v>
      </c>
      <c r="E6843" s="501" t="s">
        <v>3381</v>
      </c>
      <c r="F6843" s="501" t="s">
        <v>846</v>
      </c>
      <c r="G6843" s="501" t="s">
        <v>847</v>
      </c>
      <c r="H6843" s="501" t="s">
        <v>8891</v>
      </c>
      <c r="I6843" s="501">
        <v>44</v>
      </c>
      <c r="J6843" s="501">
        <v>41</v>
      </c>
      <c r="K6843" s="501">
        <v>0</v>
      </c>
      <c r="L6843" s="501">
        <v>0</v>
      </c>
      <c r="M6843" s="501">
        <v>0</v>
      </c>
      <c r="N6843" s="501">
        <v>0</v>
      </c>
      <c r="O6843" s="506">
        <v>3</v>
      </c>
    </row>
    <row r="6844" spans="1:15" x14ac:dyDescent="0.35">
      <c r="A6844" s="503" t="s">
        <v>1174</v>
      </c>
      <c r="B6844" s="504">
        <v>4784</v>
      </c>
      <c r="C6844" s="504" t="s">
        <v>1089</v>
      </c>
      <c r="D6844" s="504" t="s">
        <v>3392</v>
      </c>
      <c r="E6844" s="504" t="s">
        <v>3381</v>
      </c>
      <c r="F6844" s="504" t="s">
        <v>846</v>
      </c>
      <c r="G6844" s="504" t="s">
        <v>847</v>
      </c>
      <c r="H6844" s="504" t="s">
        <v>8892</v>
      </c>
      <c r="I6844" s="504">
        <v>17</v>
      </c>
      <c r="J6844" s="504">
        <v>0</v>
      </c>
      <c r="K6844" s="504">
        <v>0</v>
      </c>
      <c r="L6844" s="504">
        <v>17</v>
      </c>
      <c r="M6844" s="504">
        <v>0</v>
      </c>
      <c r="N6844" s="504">
        <v>0</v>
      </c>
      <c r="O6844" s="505">
        <v>0</v>
      </c>
    </row>
    <row r="6845" spans="1:15" x14ac:dyDescent="0.35">
      <c r="A6845" s="500" t="s">
        <v>14208</v>
      </c>
      <c r="B6845" s="501">
        <v>4803</v>
      </c>
      <c r="C6845" s="501" t="s">
        <v>1094</v>
      </c>
      <c r="D6845" s="501" t="s">
        <v>3380</v>
      </c>
      <c r="E6845" s="501" t="s">
        <v>3381</v>
      </c>
      <c r="F6845" s="501" t="s">
        <v>846</v>
      </c>
      <c r="G6845" s="501" t="s">
        <v>847</v>
      </c>
      <c r="H6845" s="501" t="s">
        <v>15020</v>
      </c>
      <c r="I6845" s="501">
        <v>1</v>
      </c>
      <c r="J6845" s="501">
        <v>0</v>
      </c>
      <c r="K6845" s="501">
        <v>0</v>
      </c>
      <c r="L6845" s="501">
        <v>1</v>
      </c>
      <c r="M6845" s="501">
        <v>0</v>
      </c>
      <c r="N6845" s="501">
        <v>0</v>
      </c>
      <c r="O6845" s="506">
        <v>0</v>
      </c>
    </row>
    <row r="6846" spans="1:15" x14ac:dyDescent="0.35">
      <c r="A6846" s="503" t="s">
        <v>14213</v>
      </c>
      <c r="B6846" s="504" t="s">
        <v>3312</v>
      </c>
      <c r="C6846" s="504" t="s">
        <v>1094</v>
      </c>
      <c r="D6846" s="504" t="s">
        <v>3380</v>
      </c>
      <c r="E6846" s="504" t="s">
        <v>3381</v>
      </c>
      <c r="F6846" s="504" t="s">
        <v>846</v>
      </c>
      <c r="G6846" s="504" t="s">
        <v>847</v>
      </c>
      <c r="H6846" s="504" t="s">
        <v>15021</v>
      </c>
      <c r="I6846" s="504">
        <v>1274</v>
      </c>
      <c r="J6846" s="504">
        <v>969</v>
      </c>
      <c r="K6846" s="504">
        <v>0</v>
      </c>
      <c r="L6846" s="504">
        <v>20</v>
      </c>
      <c r="M6846" s="504">
        <v>169</v>
      </c>
      <c r="N6846" s="504">
        <v>0</v>
      </c>
      <c r="O6846" s="505">
        <v>116</v>
      </c>
    </row>
    <row r="6847" spans="1:15" x14ac:dyDescent="0.35">
      <c r="A6847" s="500" t="s">
        <v>1185</v>
      </c>
      <c r="B6847" s="501" t="s">
        <v>3253</v>
      </c>
      <c r="C6847" s="501" t="s">
        <v>1094</v>
      </c>
      <c r="D6847" s="501" t="s">
        <v>3380</v>
      </c>
      <c r="E6847" s="501" t="s">
        <v>3381</v>
      </c>
      <c r="F6847" s="501" t="s">
        <v>846</v>
      </c>
      <c r="G6847" s="501" t="s">
        <v>847</v>
      </c>
      <c r="H6847" s="501" t="s">
        <v>8893</v>
      </c>
      <c r="I6847" s="501">
        <v>2</v>
      </c>
      <c r="J6847" s="501">
        <v>0</v>
      </c>
      <c r="K6847" s="501">
        <v>0</v>
      </c>
      <c r="L6847" s="501">
        <v>2</v>
      </c>
      <c r="M6847" s="501">
        <v>0</v>
      </c>
      <c r="N6847" s="501">
        <v>0</v>
      </c>
      <c r="O6847" s="506">
        <v>0</v>
      </c>
    </row>
    <row r="6848" spans="1:15" x14ac:dyDescent="0.35">
      <c r="A6848" s="503" t="s">
        <v>1105</v>
      </c>
      <c r="B6848" s="504">
        <v>4668</v>
      </c>
      <c r="C6848" s="504" t="s">
        <v>1094</v>
      </c>
      <c r="D6848" s="504" t="s">
        <v>3380</v>
      </c>
      <c r="E6848" s="504" t="s">
        <v>3381</v>
      </c>
      <c r="F6848" s="504" t="s">
        <v>846</v>
      </c>
      <c r="G6848" s="504" t="s">
        <v>847</v>
      </c>
      <c r="H6848" s="504" t="s">
        <v>8894</v>
      </c>
      <c r="I6848" s="504">
        <v>1</v>
      </c>
      <c r="J6848" s="504">
        <v>0</v>
      </c>
      <c r="K6848" s="504">
        <v>0</v>
      </c>
      <c r="L6848" s="504">
        <v>0</v>
      </c>
      <c r="M6848" s="504">
        <v>0</v>
      </c>
      <c r="N6848" s="504">
        <v>0</v>
      </c>
      <c r="O6848" s="505">
        <v>1</v>
      </c>
    </row>
    <row r="6849" spans="1:15" x14ac:dyDescent="0.35">
      <c r="A6849" s="500" t="s">
        <v>1109</v>
      </c>
      <c r="B6849" s="501" t="s">
        <v>2959</v>
      </c>
      <c r="C6849" s="501" t="s">
        <v>1094</v>
      </c>
      <c r="D6849" s="501" t="s">
        <v>3380</v>
      </c>
      <c r="E6849" s="501" t="s">
        <v>3381</v>
      </c>
      <c r="F6849" s="501" t="s">
        <v>846</v>
      </c>
      <c r="G6849" s="501" t="s">
        <v>847</v>
      </c>
      <c r="H6849" s="501" t="s">
        <v>8895</v>
      </c>
      <c r="I6849" s="501">
        <v>289</v>
      </c>
      <c r="J6849" s="501">
        <v>0</v>
      </c>
      <c r="K6849" s="501">
        <v>0</v>
      </c>
      <c r="L6849" s="501">
        <v>29</v>
      </c>
      <c r="M6849" s="501">
        <v>203</v>
      </c>
      <c r="N6849" s="501">
        <v>0</v>
      </c>
      <c r="O6849" s="506">
        <v>57</v>
      </c>
    </row>
    <row r="6850" spans="1:15" x14ac:dyDescent="0.35">
      <c r="A6850" s="503" t="s">
        <v>1190</v>
      </c>
      <c r="B6850" s="504">
        <v>4662</v>
      </c>
      <c r="C6850" s="504" t="s">
        <v>1094</v>
      </c>
      <c r="D6850" s="504" t="s">
        <v>3380</v>
      </c>
      <c r="E6850" s="504" t="s">
        <v>3381</v>
      </c>
      <c r="F6850" s="504" t="s">
        <v>846</v>
      </c>
      <c r="G6850" s="504" t="s">
        <v>847</v>
      </c>
      <c r="H6850" s="504" t="s">
        <v>8896</v>
      </c>
      <c r="I6850" s="504">
        <v>26</v>
      </c>
      <c r="J6850" s="504">
        <v>0</v>
      </c>
      <c r="K6850" s="504">
        <v>0</v>
      </c>
      <c r="L6850" s="504">
        <v>26</v>
      </c>
      <c r="M6850" s="504">
        <v>0</v>
      </c>
      <c r="N6850" s="504">
        <v>0</v>
      </c>
      <c r="O6850" s="505">
        <v>0</v>
      </c>
    </row>
    <row r="6851" spans="1:15" x14ac:dyDescent="0.35">
      <c r="A6851" s="500" t="s">
        <v>2088</v>
      </c>
      <c r="B6851" s="501" t="s">
        <v>3189</v>
      </c>
      <c r="C6851" s="501" t="s">
        <v>1089</v>
      </c>
      <c r="D6851" s="501" t="s">
        <v>3392</v>
      </c>
      <c r="E6851" s="501" t="s">
        <v>3381</v>
      </c>
      <c r="F6851" s="501" t="s">
        <v>846</v>
      </c>
      <c r="G6851" s="501" t="s">
        <v>847</v>
      </c>
      <c r="H6851" s="501" t="s">
        <v>8897</v>
      </c>
      <c r="I6851" s="501">
        <v>200</v>
      </c>
      <c r="J6851" s="501">
        <v>200</v>
      </c>
      <c r="K6851" s="501">
        <v>0</v>
      </c>
      <c r="L6851" s="501">
        <v>0</v>
      </c>
      <c r="M6851" s="501">
        <v>0</v>
      </c>
      <c r="N6851" s="501">
        <v>0</v>
      </c>
      <c r="O6851" s="506">
        <v>0</v>
      </c>
    </row>
    <row r="6852" spans="1:15" x14ac:dyDescent="0.35">
      <c r="A6852" s="503" t="s">
        <v>1207</v>
      </c>
      <c r="B6852" s="504" t="s">
        <v>3202</v>
      </c>
      <c r="C6852" s="504" t="s">
        <v>1094</v>
      </c>
      <c r="D6852" s="504" t="s">
        <v>3380</v>
      </c>
      <c r="E6852" s="504" t="s">
        <v>3381</v>
      </c>
      <c r="F6852" s="504" t="s">
        <v>846</v>
      </c>
      <c r="G6852" s="504" t="s">
        <v>847</v>
      </c>
      <c r="H6852" s="504" t="s">
        <v>8898</v>
      </c>
      <c r="I6852" s="504">
        <v>1553</v>
      </c>
      <c r="J6852" s="504">
        <v>1297</v>
      </c>
      <c r="K6852" s="504">
        <v>0</v>
      </c>
      <c r="L6852" s="504">
        <v>73</v>
      </c>
      <c r="M6852" s="504">
        <v>95</v>
      </c>
      <c r="N6852" s="504">
        <v>1</v>
      </c>
      <c r="O6852" s="505">
        <v>88</v>
      </c>
    </row>
    <row r="6853" spans="1:15" x14ac:dyDescent="0.35">
      <c r="A6853" s="500" t="s">
        <v>2090</v>
      </c>
      <c r="B6853" s="501" t="s">
        <v>3131</v>
      </c>
      <c r="C6853" s="501" t="s">
        <v>1094</v>
      </c>
      <c r="D6853" s="501" t="s">
        <v>3380</v>
      </c>
      <c r="E6853" s="501" t="s">
        <v>3381</v>
      </c>
      <c r="F6853" s="501" t="s">
        <v>846</v>
      </c>
      <c r="G6853" s="501" t="s">
        <v>847</v>
      </c>
      <c r="H6853" s="501" t="s">
        <v>8899</v>
      </c>
      <c r="I6853" s="501">
        <v>128</v>
      </c>
      <c r="J6853" s="501">
        <v>83</v>
      </c>
      <c r="K6853" s="501">
        <v>0</v>
      </c>
      <c r="L6853" s="501">
        <v>0</v>
      </c>
      <c r="M6853" s="501">
        <v>45</v>
      </c>
      <c r="N6853" s="501">
        <v>0</v>
      </c>
      <c r="O6853" s="506">
        <v>0</v>
      </c>
    </row>
    <row r="6854" spans="1:15" x14ac:dyDescent="0.35">
      <c r="A6854" s="503" t="s">
        <v>1217</v>
      </c>
      <c r="B6854" s="504">
        <v>4851</v>
      </c>
      <c r="C6854" s="504" t="s">
        <v>1094</v>
      </c>
      <c r="D6854" s="504" t="s">
        <v>3380</v>
      </c>
      <c r="E6854" s="504" t="s">
        <v>3381</v>
      </c>
      <c r="F6854" s="504" t="s">
        <v>846</v>
      </c>
      <c r="G6854" s="504" t="s">
        <v>847</v>
      </c>
      <c r="H6854" s="504" t="s">
        <v>8900</v>
      </c>
      <c r="I6854" s="504">
        <v>148</v>
      </c>
      <c r="J6854" s="504">
        <v>36</v>
      </c>
      <c r="K6854" s="504">
        <v>0</v>
      </c>
      <c r="L6854" s="504">
        <v>0</v>
      </c>
      <c r="M6854" s="504">
        <v>112</v>
      </c>
      <c r="N6854" s="504">
        <v>0</v>
      </c>
      <c r="O6854" s="505">
        <v>0</v>
      </c>
    </row>
    <row r="6855" spans="1:15" x14ac:dyDescent="0.35">
      <c r="A6855" s="500" t="s">
        <v>1122</v>
      </c>
      <c r="B6855" s="501" t="s">
        <v>2994</v>
      </c>
      <c r="C6855" s="501" t="s">
        <v>1094</v>
      </c>
      <c r="D6855" s="501" t="s">
        <v>3380</v>
      </c>
      <c r="E6855" s="501" t="s">
        <v>3381</v>
      </c>
      <c r="F6855" s="501" t="s">
        <v>846</v>
      </c>
      <c r="G6855" s="501" t="s">
        <v>847</v>
      </c>
      <c r="H6855" s="501" t="s">
        <v>8901</v>
      </c>
      <c r="I6855" s="501">
        <v>1</v>
      </c>
      <c r="J6855" s="501">
        <v>1</v>
      </c>
      <c r="K6855" s="501">
        <v>0</v>
      </c>
      <c r="L6855" s="501">
        <v>0</v>
      </c>
      <c r="M6855" s="501">
        <v>0</v>
      </c>
      <c r="N6855" s="501">
        <v>0</v>
      </c>
      <c r="O6855" s="506">
        <v>0</v>
      </c>
    </row>
    <row r="6856" spans="1:15" x14ac:dyDescent="0.35">
      <c r="A6856" s="503" t="s">
        <v>1226</v>
      </c>
      <c r="B6856" s="504">
        <v>5084</v>
      </c>
      <c r="C6856" s="504" t="s">
        <v>1094</v>
      </c>
      <c r="D6856" s="504" t="s">
        <v>3380</v>
      </c>
      <c r="E6856" s="504" t="s">
        <v>3381</v>
      </c>
      <c r="F6856" s="504" t="s">
        <v>846</v>
      </c>
      <c r="G6856" s="504" t="s">
        <v>847</v>
      </c>
      <c r="H6856" s="504" t="s">
        <v>8902</v>
      </c>
      <c r="I6856" s="504">
        <v>128</v>
      </c>
      <c r="J6856" s="504">
        <v>97</v>
      </c>
      <c r="K6856" s="504">
        <v>0</v>
      </c>
      <c r="L6856" s="504">
        <v>0</v>
      </c>
      <c r="M6856" s="504">
        <v>0</v>
      </c>
      <c r="N6856" s="504">
        <v>0</v>
      </c>
      <c r="O6856" s="505">
        <v>31</v>
      </c>
    </row>
    <row r="6857" spans="1:15" x14ac:dyDescent="0.35">
      <c r="A6857" s="500" t="s">
        <v>1235</v>
      </c>
      <c r="B6857" s="501">
        <v>4684</v>
      </c>
      <c r="C6857" s="501" t="s">
        <v>1094</v>
      </c>
      <c r="D6857" s="501" t="s">
        <v>3380</v>
      </c>
      <c r="E6857" s="501" t="s">
        <v>3381</v>
      </c>
      <c r="F6857" s="501" t="s">
        <v>846</v>
      </c>
      <c r="G6857" s="501" t="s">
        <v>847</v>
      </c>
      <c r="H6857" s="501" t="s">
        <v>12108</v>
      </c>
      <c r="I6857" s="501">
        <v>63</v>
      </c>
      <c r="J6857" s="501">
        <v>63</v>
      </c>
      <c r="K6857" s="501">
        <v>0</v>
      </c>
      <c r="L6857" s="501">
        <v>0</v>
      </c>
      <c r="M6857" s="501">
        <v>0</v>
      </c>
      <c r="N6857" s="501">
        <v>0</v>
      </c>
      <c r="O6857" s="506">
        <v>0</v>
      </c>
    </row>
    <row r="6858" spans="1:15" x14ac:dyDescent="0.35">
      <c r="A6858" s="503" t="s">
        <v>1126</v>
      </c>
      <c r="B6858" s="504" t="s">
        <v>2974</v>
      </c>
      <c r="C6858" s="504" t="s">
        <v>1094</v>
      </c>
      <c r="D6858" s="504" t="s">
        <v>3380</v>
      </c>
      <c r="E6858" s="504" t="s">
        <v>3381</v>
      </c>
      <c r="F6858" s="504" t="s">
        <v>846</v>
      </c>
      <c r="G6858" s="504" t="s">
        <v>847</v>
      </c>
      <c r="H6858" s="504" t="s">
        <v>8903</v>
      </c>
      <c r="I6858" s="504">
        <v>546</v>
      </c>
      <c r="J6858" s="504">
        <v>383</v>
      </c>
      <c r="K6858" s="504">
        <v>0</v>
      </c>
      <c r="L6858" s="504">
        <v>7</v>
      </c>
      <c r="M6858" s="504">
        <v>148</v>
      </c>
      <c r="N6858" s="504">
        <v>0</v>
      </c>
      <c r="O6858" s="505">
        <v>8</v>
      </c>
    </row>
    <row r="6859" spans="1:15" x14ac:dyDescent="0.35">
      <c r="A6859" s="500" t="s">
        <v>2097</v>
      </c>
      <c r="B6859" s="501">
        <v>5054</v>
      </c>
      <c r="C6859" s="501" t="s">
        <v>1089</v>
      </c>
      <c r="D6859" s="501" t="s">
        <v>3392</v>
      </c>
      <c r="E6859" s="501" t="s">
        <v>3381</v>
      </c>
      <c r="F6859" s="501" t="s">
        <v>846</v>
      </c>
      <c r="G6859" s="501" t="s">
        <v>847</v>
      </c>
      <c r="H6859" s="501" t="s">
        <v>8904</v>
      </c>
      <c r="I6859" s="501">
        <v>20</v>
      </c>
      <c r="J6859" s="501">
        <v>2</v>
      </c>
      <c r="K6859" s="501">
        <v>0</v>
      </c>
      <c r="L6859" s="501">
        <v>18</v>
      </c>
      <c r="M6859" s="501">
        <v>0</v>
      </c>
      <c r="N6859" s="501">
        <v>0</v>
      </c>
      <c r="O6859" s="506">
        <v>0</v>
      </c>
    </row>
    <row r="6860" spans="1:15" x14ac:dyDescent="0.35">
      <c r="A6860" s="503" t="s">
        <v>2109</v>
      </c>
      <c r="B6860" s="504" t="s">
        <v>2931</v>
      </c>
      <c r="C6860" s="504" t="s">
        <v>1089</v>
      </c>
      <c r="D6860" s="504" t="s">
        <v>3392</v>
      </c>
      <c r="E6860" s="504" t="s">
        <v>3381</v>
      </c>
      <c r="F6860" s="504" t="s">
        <v>846</v>
      </c>
      <c r="G6860" s="504" t="s">
        <v>847</v>
      </c>
      <c r="H6860" s="504" t="s">
        <v>12134</v>
      </c>
      <c r="I6860" s="504">
        <v>32</v>
      </c>
      <c r="J6860" s="504">
        <v>0</v>
      </c>
      <c r="K6860" s="504">
        <v>0</v>
      </c>
      <c r="L6860" s="504">
        <v>32</v>
      </c>
      <c r="M6860" s="504">
        <v>0</v>
      </c>
      <c r="N6860" s="504">
        <v>0</v>
      </c>
      <c r="O6860" s="505">
        <v>0</v>
      </c>
    </row>
    <row r="6861" spans="1:15" x14ac:dyDescent="0.35">
      <c r="A6861" s="500" t="s">
        <v>1240</v>
      </c>
      <c r="B6861" s="501" t="s">
        <v>2972</v>
      </c>
      <c r="C6861" s="501" t="s">
        <v>1094</v>
      </c>
      <c r="D6861" s="501" t="s">
        <v>3380</v>
      </c>
      <c r="E6861" s="501" t="s">
        <v>3381</v>
      </c>
      <c r="F6861" s="501" t="s">
        <v>846</v>
      </c>
      <c r="G6861" s="501" t="s">
        <v>847</v>
      </c>
      <c r="H6861" s="501" t="s">
        <v>8905</v>
      </c>
      <c r="I6861" s="501">
        <v>870</v>
      </c>
      <c r="J6861" s="501">
        <v>755</v>
      </c>
      <c r="K6861" s="501">
        <v>0</v>
      </c>
      <c r="L6861" s="501">
        <v>10</v>
      </c>
      <c r="M6861" s="501">
        <v>0</v>
      </c>
      <c r="N6861" s="501">
        <v>0</v>
      </c>
      <c r="O6861" s="506">
        <v>105</v>
      </c>
    </row>
    <row r="6862" spans="1:15" x14ac:dyDescent="0.35">
      <c r="A6862" s="503" t="s">
        <v>1134</v>
      </c>
      <c r="B6862" s="504" t="s">
        <v>3066</v>
      </c>
      <c r="C6862" s="504" t="s">
        <v>1094</v>
      </c>
      <c r="D6862" s="504" t="s">
        <v>3380</v>
      </c>
      <c r="E6862" s="504" t="s">
        <v>3381</v>
      </c>
      <c r="F6862" s="504" t="s">
        <v>846</v>
      </c>
      <c r="G6862" s="504" t="s">
        <v>847</v>
      </c>
      <c r="H6862" s="504" t="s">
        <v>12170</v>
      </c>
      <c r="I6862" s="504">
        <v>167</v>
      </c>
      <c r="J6862" s="504">
        <v>137</v>
      </c>
      <c r="K6862" s="504">
        <v>0</v>
      </c>
      <c r="L6862" s="504">
        <v>0</v>
      </c>
      <c r="M6862" s="504">
        <v>30</v>
      </c>
      <c r="N6862" s="504">
        <v>0</v>
      </c>
      <c r="O6862" s="505">
        <v>0</v>
      </c>
    </row>
    <row r="6863" spans="1:15" x14ac:dyDescent="0.35">
      <c r="A6863" s="500" t="s">
        <v>2119</v>
      </c>
      <c r="B6863" s="501" t="s">
        <v>2558</v>
      </c>
      <c r="C6863" s="501" t="s">
        <v>1089</v>
      </c>
      <c r="D6863" s="501" t="s">
        <v>3392</v>
      </c>
      <c r="E6863" s="501" t="s">
        <v>3381</v>
      </c>
      <c r="F6863" s="501" t="s">
        <v>846</v>
      </c>
      <c r="G6863" s="501" t="s">
        <v>847</v>
      </c>
      <c r="H6863" s="501" t="s">
        <v>8906</v>
      </c>
      <c r="I6863" s="501">
        <v>61</v>
      </c>
      <c r="J6863" s="501">
        <v>0</v>
      </c>
      <c r="K6863" s="501">
        <v>0</v>
      </c>
      <c r="L6863" s="501">
        <v>0</v>
      </c>
      <c r="M6863" s="501">
        <v>61</v>
      </c>
      <c r="N6863" s="501">
        <v>0</v>
      </c>
      <c r="O6863" s="506">
        <v>0</v>
      </c>
    </row>
    <row r="6864" spans="1:15" x14ac:dyDescent="0.35">
      <c r="A6864" s="503" t="s">
        <v>1253</v>
      </c>
      <c r="B6864" s="504" t="s">
        <v>3232</v>
      </c>
      <c r="C6864" s="504" t="s">
        <v>1094</v>
      </c>
      <c r="D6864" s="504" t="s">
        <v>3380</v>
      </c>
      <c r="E6864" s="504" t="s">
        <v>3381</v>
      </c>
      <c r="F6864" s="504" t="s">
        <v>846</v>
      </c>
      <c r="G6864" s="504" t="s">
        <v>847</v>
      </c>
      <c r="H6864" s="504" t="s">
        <v>8907</v>
      </c>
      <c r="I6864" s="504">
        <v>29</v>
      </c>
      <c r="J6864" s="504">
        <v>29</v>
      </c>
      <c r="K6864" s="504">
        <v>0</v>
      </c>
      <c r="L6864" s="504">
        <v>0</v>
      </c>
      <c r="M6864" s="504">
        <v>0</v>
      </c>
      <c r="N6864" s="504">
        <v>0</v>
      </c>
      <c r="O6864" s="505">
        <v>0</v>
      </c>
    </row>
    <row r="6865" spans="1:15" x14ac:dyDescent="0.35">
      <c r="A6865" s="500" t="s">
        <v>1259</v>
      </c>
      <c r="B6865" s="501" t="s">
        <v>3025</v>
      </c>
      <c r="C6865" s="501" t="s">
        <v>1094</v>
      </c>
      <c r="D6865" s="501" t="s">
        <v>3380</v>
      </c>
      <c r="E6865" s="501" t="s">
        <v>3381</v>
      </c>
      <c r="F6865" s="501" t="s">
        <v>846</v>
      </c>
      <c r="G6865" s="501" t="s">
        <v>847</v>
      </c>
      <c r="H6865" s="501" t="s">
        <v>8908</v>
      </c>
      <c r="I6865" s="501">
        <v>442</v>
      </c>
      <c r="J6865" s="501">
        <v>390</v>
      </c>
      <c r="K6865" s="501">
        <v>0</v>
      </c>
      <c r="L6865" s="501">
        <v>47</v>
      </c>
      <c r="M6865" s="501">
        <v>0</v>
      </c>
      <c r="N6865" s="501">
        <v>0</v>
      </c>
      <c r="O6865" s="506">
        <v>5</v>
      </c>
    </row>
    <row r="6866" spans="1:15" x14ac:dyDescent="0.35">
      <c r="A6866" s="503" t="s">
        <v>1260</v>
      </c>
      <c r="B6866" s="504">
        <v>4645</v>
      </c>
      <c r="C6866" s="504" t="s">
        <v>1089</v>
      </c>
      <c r="D6866" s="504" t="s">
        <v>3392</v>
      </c>
      <c r="E6866" s="504" t="s">
        <v>3381</v>
      </c>
      <c r="F6866" s="504" t="s">
        <v>846</v>
      </c>
      <c r="G6866" s="504" t="s">
        <v>847</v>
      </c>
      <c r="H6866" s="504" t="s">
        <v>8909</v>
      </c>
      <c r="I6866" s="504">
        <v>9</v>
      </c>
      <c r="J6866" s="504">
        <v>0</v>
      </c>
      <c r="K6866" s="504">
        <v>0</v>
      </c>
      <c r="L6866" s="504">
        <v>9</v>
      </c>
      <c r="M6866" s="504">
        <v>0</v>
      </c>
      <c r="N6866" s="504">
        <v>0</v>
      </c>
      <c r="O6866" s="505">
        <v>0</v>
      </c>
    </row>
    <row r="6867" spans="1:15" x14ac:dyDescent="0.35">
      <c r="A6867" s="500" t="s">
        <v>2127</v>
      </c>
      <c r="B6867" s="501" t="s">
        <v>3188</v>
      </c>
      <c r="C6867" s="501" t="s">
        <v>1094</v>
      </c>
      <c r="D6867" s="501" t="s">
        <v>3380</v>
      </c>
      <c r="E6867" s="501" t="s">
        <v>3381</v>
      </c>
      <c r="F6867" s="501" t="s">
        <v>846</v>
      </c>
      <c r="G6867" s="501" t="s">
        <v>847</v>
      </c>
      <c r="H6867" s="501" t="s">
        <v>8910</v>
      </c>
      <c r="I6867" s="501">
        <v>11</v>
      </c>
      <c r="J6867" s="501">
        <v>11</v>
      </c>
      <c r="K6867" s="501">
        <v>0</v>
      </c>
      <c r="L6867" s="501">
        <v>0</v>
      </c>
      <c r="M6867" s="501">
        <v>0</v>
      </c>
      <c r="N6867" s="501">
        <v>0</v>
      </c>
      <c r="O6867" s="506">
        <v>0</v>
      </c>
    </row>
    <row r="6868" spans="1:15" x14ac:dyDescent="0.35">
      <c r="A6868" s="503" t="s">
        <v>2133</v>
      </c>
      <c r="B6868" s="504" t="s">
        <v>3230</v>
      </c>
      <c r="C6868" s="504" t="s">
        <v>1089</v>
      </c>
      <c r="D6868" s="504" t="s">
        <v>3392</v>
      </c>
      <c r="E6868" s="504" t="s">
        <v>3381</v>
      </c>
      <c r="F6868" s="504" t="s">
        <v>846</v>
      </c>
      <c r="G6868" s="504" t="s">
        <v>847</v>
      </c>
      <c r="H6868" s="504" t="s">
        <v>8911</v>
      </c>
      <c r="I6868" s="504">
        <v>144</v>
      </c>
      <c r="J6868" s="504">
        <v>27</v>
      </c>
      <c r="K6868" s="504">
        <v>7</v>
      </c>
      <c r="L6868" s="504">
        <v>110</v>
      </c>
      <c r="M6868" s="504">
        <v>0</v>
      </c>
      <c r="N6868" s="504">
        <v>0</v>
      </c>
      <c r="O6868" s="505">
        <v>0</v>
      </c>
    </row>
    <row r="6869" spans="1:15" x14ac:dyDescent="0.35">
      <c r="A6869" s="500" t="s">
        <v>1143</v>
      </c>
      <c r="B6869" s="501" t="s">
        <v>3281</v>
      </c>
      <c r="C6869" s="501" t="s">
        <v>1094</v>
      </c>
      <c r="D6869" s="501" t="s">
        <v>3380</v>
      </c>
      <c r="E6869" s="501" t="s">
        <v>3381</v>
      </c>
      <c r="F6869" s="501" t="s">
        <v>848</v>
      </c>
      <c r="G6869" s="501" t="s">
        <v>849</v>
      </c>
      <c r="H6869" s="501" t="s">
        <v>8912</v>
      </c>
      <c r="I6869" s="501">
        <v>240</v>
      </c>
      <c r="J6869" s="501">
        <v>179</v>
      </c>
      <c r="K6869" s="501">
        <v>0</v>
      </c>
      <c r="L6869" s="501">
        <v>0</v>
      </c>
      <c r="M6869" s="501">
        <v>27</v>
      </c>
      <c r="N6869" s="501">
        <v>0</v>
      </c>
      <c r="O6869" s="506">
        <v>34</v>
      </c>
    </row>
    <row r="6870" spans="1:15" x14ac:dyDescent="0.35">
      <c r="A6870" s="503" t="s">
        <v>1096</v>
      </c>
      <c r="B6870" s="504" t="s">
        <v>3326</v>
      </c>
      <c r="C6870" s="504" t="s">
        <v>1094</v>
      </c>
      <c r="D6870" s="504" t="s">
        <v>3380</v>
      </c>
      <c r="E6870" s="504" t="s">
        <v>3381</v>
      </c>
      <c r="F6870" s="504" t="s">
        <v>848</v>
      </c>
      <c r="G6870" s="504" t="s">
        <v>849</v>
      </c>
      <c r="H6870" s="504" t="s">
        <v>8913</v>
      </c>
      <c r="I6870" s="504">
        <v>184</v>
      </c>
      <c r="J6870" s="504">
        <v>0</v>
      </c>
      <c r="K6870" s="504">
        <v>0</v>
      </c>
      <c r="L6870" s="504">
        <v>0</v>
      </c>
      <c r="M6870" s="504">
        <v>184</v>
      </c>
      <c r="N6870" s="504">
        <v>0</v>
      </c>
      <c r="O6870" s="505">
        <v>0</v>
      </c>
    </row>
    <row r="6871" spans="1:15" x14ac:dyDescent="0.35">
      <c r="A6871" s="500" t="s">
        <v>1618</v>
      </c>
      <c r="B6871" s="501" t="s">
        <v>3355</v>
      </c>
      <c r="C6871" s="501" t="s">
        <v>1094</v>
      </c>
      <c r="D6871" s="501" t="s">
        <v>3380</v>
      </c>
      <c r="E6871" s="501" t="s">
        <v>3381</v>
      </c>
      <c r="F6871" s="501" t="s">
        <v>848</v>
      </c>
      <c r="G6871" s="501" t="s">
        <v>849</v>
      </c>
      <c r="H6871" s="501" t="s">
        <v>8914</v>
      </c>
      <c r="I6871" s="501">
        <v>4613</v>
      </c>
      <c r="J6871" s="501">
        <v>4304</v>
      </c>
      <c r="K6871" s="501">
        <v>0</v>
      </c>
      <c r="L6871" s="501">
        <v>8</v>
      </c>
      <c r="M6871" s="501">
        <v>208</v>
      </c>
      <c r="N6871" s="501">
        <v>0</v>
      </c>
      <c r="O6871" s="506">
        <v>93</v>
      </c>
    </row>
    <row r="6872" spans="1:15" x14ac:dyDescent="0.35">
      <c r="A6872" s="503" t="s">
        <v>1621</v>
      </c>
      <c r="B6872" s="504" t="s">
        <v>3319</v>
      </c>
      <c r="C6872" s="504" t="s">
        <v>1094</v>
      </c>
      <c r="D6872" s="504" t="s">
        <v>3380</v>
      </c>
      <c r="E6872" s="504" t="s">
        <v>3381</v>
      </c>
      <c r="F6872" s="504" t="s">
        <v>848</v>
      </c>
      <c r="G6872" s="504" t="s">
        <v>849</v>
      </c>
      <c r="H6872" s="504" t="s">
        <v>8915</v>
      </c>
      <c r="I6872" s="504">
        <v>169</v>
      </c>
      <c r="J6872" s="504">
        <v>147</v>
      </c>
      <c r="K6872" s="504">
        <v>0</v>
      </c>
      <c r="L6872" s="504">
        <v>6</v>
      </c>
      <c r="M6872" s="504">
        <v>0</v>
      </c>
      <c r="N6872" s="504">
        <v>1</v>
      </c>
      <c r="O6872" s="505">
        <v>16</v>
      </c>
    </row>
    <row r="6873" spans="1:15" x14ac:dyDescent="0.35">
      <c r="A6873" s="500" t="s">
        <v>1164</v>
      </c>
      <c r="B6873" s="501">
        <v>4751</v>
      </c>
      <c r="C6873" s="501" t="s">
        <v>1089</v>
      </c>
      <c r="D6873" s="501" t="s">
        <v>3392</v>
      </c>
      <c r="E6873" s="501" t="s">
        <v>3381</v>
      </c>
      <c r="F6873" s="501" t="s">
        <v>848</v>
      </c>
      <c r="G6873" s="501" t="s">
        <v>849</v>
      </c>
      <c r="H6873" s="501" t="s">
        <v>8916</v>
      </c>
      <c r="I6873" s="501">
        <v>4</v>
      </c>
      <c r="J6873" s="501">
        <v>0</v>
      </c>
      <c r="K6873" s="501">
        <v>0</v>
      </c>
      <c r="L6873" s="501">
        <v>4</v>
      </c>
      <c r="M6873" s="501">
        <v>0</v>
      </c>
      <c r="N6873" s="501">
        <v>0</v>
      </c>
      <c r="O6873" s="506">
        <v>0</v>
      </c>
    </row>
    <row r="6874" spans="1:15" x14ac:dyDescent="0.35">
      <c r="A6874" s="503" t="s">
        <v>1172</v>
      </c>
      <c r="B6874" s="504">
        <v>4648</v>
      </c>
      <c r="C6874" s="504" t="s">
        <v>1089</v>
      </c>
      <c r="D6874" s="504" t="s">
        <v>3392</v>
      </c>
      <c r="E6874" s="504" t="s">
        <v>3381</v>
      </c>
      <c r="F6874" s="504" t="s">
        <v>848</v>
      </c>
      <c r="G6874" s="504" t="s">
        <v>849</v>
      </c>
      <c r="H6874" s="504" t="s">
        <v>8917</v>
      </c>
      <c r="I6874" s="504">
        <v>7</v>
      </c>
      <c r="J6874" s="504">
        <v>0</v>
      </c>
      <c r="K6874" s="504">
        <v>0</v>
      </c>
      <c r="L6874" s="504">
        <v>7</v>
      </c>
      <c r="M6874" s="504">
        <v>0</v>
      </c>
      <c r="N6874" s="504">
        <v>0</v>
      </c>
      <c r="O6874" s="505">
        <v>0</v>
      </c>
    </row>
    <row r="6875" spans="1:15" x14ac:dyDescent="0.35">
      <c r="A6875" s="500" t="s">
        <v>1173</v>
      </c>
      <c r="B6875" s="501">
        <v>4775</v>
      </c>
      <c r="C6875" s="501" t="s">
        <v>1094</v>
      </c>
      <c r="D6875" s="501" t="s">
        <v>3380</v>
      </c>
      <c r="E6875" s="501" t="s">
        <v>3381</v>
      </c>
      <c r="F6875" s="501" t="s">
        <v>848</v>
      </c>
      <c r="G6875" s="501" t="s">
        <v>849</v>
      </c>
      <c r="H6875" s="501" t="s">
        <v>8918</v>
      </c>
      <c r="I6875" s="501">
        <v>1</v>
      </c>
      <c r="J6875" s="501">
        <v>0</v>
      </c>
      <c r="K6875" s="501">
        <v>0</v>
      </c>
      <c r="L6875" s="501">
        <v>0</v>
      </c>
      <c r="M6875" s="501">
        <v>0</v>
      </c>
      <c r="N6875" s="501">
        <v>0</v>
      </c>
      <c r="O6875" s="506">
        <v>1</v>
      </c>
    </row>
    <row r="6876" spans="1:15" x14ac:dyDescent="0.35">
      <c r="A6876" s="503" t="s">
        <v>2146</v>
      </c>
      <c r="B6876" s="504">
        <v>4688</v>
      </c>
      <c r="C6876" s="504" t="s">
        <v>1089</v>
      </c>
      <c r="D6876" s="504" t="s">
        <v>3392</v>
      </c>
      <c r="E6876" s="504" t="s">
        <v>3381</v>
      </c>
      <c r="F6876" s="504" t="s">
        <v>848</v>
      </c>
      <c r="G6876" s="504" t="s">
        <v>849</v>
      </c>
      <c r="H6876" s="504" t="s">
        <v>8919</v>
      </c>
      <c r="I6876" s="504">
        <v>9</v>
      </c>
      <c r="J6876" s="504">
        <v>0</v>
      </c>
      <c r="K6876" s="504">
        <v>0</v>
      </c>
      <c r="L6876" s="504">
        <v>9</v>
      </c>
      <c r="M6876" s="504">
        <v>0</v>
      </c>
      <c r="N6876" s="504">
        <v>0</v>
      </c>
      <c r="O6876" s="505">
        <v>0</v>
      </c>
    </row>
    <row r="6877" spans="1:15" x14ac:dyDescent="0.35">
      <c r="A6877" s="500" t="s">
        <v>1705</v>
      </c>
      <c r="B6877" s="501" t="s">
        <v>3158</v>
      </c>
      <c r="C6877" s="501" t="s">
        <v>1094</v>
      </c>
      <c r="D6877" s="501" t="s">
        <v>3380</v>
      </c>
      <c r="E6877" s="501" t="s">
        <v>3381</v>
      </c>
      <c r="F6877" s="501" t="s">
        <v>848</v>
      </c>
      <c r="G6877" s="501" t="s">
        <v>849</v>
      </c>
      <c r="H6877" s="501" t="s">
        <v>8920</v>
      </c>
      <c r="I6877" s="501">
        <v>1</v>
      </c>
      <c r="J6877" s="501">
        <v>0</v>
      </c>
      <c r="K6877" s="501">
        <v>0</v>
      </c>
      <c r="L6877" s="501">
        <v>0</v>
      </c>
      <c r="M6877" s="501">
        <v>0</v>
      </c>
      <c r="N6877" s="501">
        <v>0</v>
      </c>
      <c r="O6877" s="506">
        <v>1</v>
      </c>
    </row>
    <row r="6878" spans="1:15" x14ac:dyDescent="0.35">
      <c r="A6878" s="503" t="s">
        <v>14208</v>
      </c>
      <c r="B6878" s="504">
        <v>4803</v>
      </c>
      <c r="C6878" s="504" t="s">
        <v>1094</v>
      </c>
      <c r="D6878" s="504" t="s">
        <v>3380</v>
      </c>
      <c r="E6878" s="504" t="s">
        <v>3381</v>
      </c>
      <c r="F6878" s="504" t="s">
        <v>848</v>
      </c>
      <c r="G6878" s="504" t="s">
        <v>849</v>
      </c>
      <c r="H6878" s="504" t="s">
        <v>15022</v>
      </c>
      <c r="I6878" s="504">
        <v>2</v>
      </c>
      <c r="J6878" s="504">
        <v>0</v>
      </c>
      <c r="K6878" s="504">
        <v>0</v>
      </c>
      <c r="L6878" s="504">
        <v>2</v>
      </c>
      <c r="M6878" s="504">
        <v>0</v>
      </c>
      <c r="N6878" s="504">
        <v>0</v>
      </c>
      <c r="O6878" s="505">
        <v>0</v>
      </c>
    </row>
    <row r="6879" spans="1:15" x14ac:dyDescent="0.35">
      <c r="A6879" s="500" t="s">
        <v>1105</v>
      </c>
      <c r="B6879" s="501">
        <v>4668</v>
      </c>
      <c r="C6879" s="501" t="s">
        <v>1094</v>
      </c>
      <c r="D6879" s="501" t="s">
        <v>3380</v>
      </c>
      <c r="E6879" s="501" t="s">
        <v>3381</v>
      </c>
      <c r="F6879" s="501" t="s">
        <v>848</v>
      </c>
      <c r="G6879" s="501" t="s">
        <v>849</v>
      </c>
      <c r="H6879" s="501" t="s">
        <v>8921</v>
      </c>
      <c r="I6879" s="501">
        <v>93</v>
      </c>
      <c r="J6879" s="501">
        <v>0</v>
      </c>
      <c r="K6879" s="501">
        <v>0</v>
      </c>
      <c r="L6879" s="501">
        <v>0</v>
      </c>
      <c r="M6879" s="501">
        <v>0</v>
      </c>
      <c r="N6879" s="501">
        <v>0</v>
      </c>
      <c r="O6879" s="506">
        <v>93</v>
      </c>
    </row>
    <row r="6880" spans="1:15" x14ac:dyDescent="0.35">
      <c r="A6880" s="503" t="s">
        <v>1188</v>
      </c>
      <c r="B6880" s="504">
        <v>4760</v>
      </c>
      <c r="C6880" s="504" t="s">
        <v>1089</v>
      </c>
      <c r="D6880" s="504" t="s">
        <v>3392</v>
      </c>
      <c r="E6880" s="504" t="s">
        <v>3381</v>
      </c>
      <c r="F6880" s="504" t="s">
        <v>848</v>
      </c>
      <c r="G6880" s="504" t="s">
        <v>849</v>
      </c>
      <c r="H6880" s="504" t="s">
        <v>8922</v>
      </c>
      <c r="I6880" s="504">
        <v>7</v>
      </c>
      <c r="J6880" s="504">
        <v>0</v>
      </c>
      <c r="K6880" s="504">
        <v>0</v>
      </c>
      <c r="L6880" s="504">
        <v>7</v>
      </c>
      <c r="M6880" s="504">
        <v>0</v>
      </c>
      <c r="N6880" s="504">
        <v>0</v>
      </c>
      <c r="O6880" s="505">
        <v>0</v>
      </c>
    </row>
    <row r="6881" spans="1:15" x14ac:dyDescent="0.35">
      <c r="A6881" s="500" t="s">
        <v>1107</v>
      </c>
      <c r="B6881" s="501" t="s">
        <v>3109</v>
      </c>
      <c r="C6881" s="501" t="s">
        <v>1094</v>
      </c>
      <c r="D6881" s="501" t="s">
        <v>3380</v>
      </c>
      <c r="E6881" s="501" t="s">
        <v>3381</v>
      </c>
      <c r="F6881" s="501" t="s">
        <v>848</v>
      </c>
      <c r="G6881" s="501" t="s">
        <v>849</v>
      </c>
      <c r="H6881" s="501" t="s">
        <v>8923</v>
      </c>
      <c r="I6881" s="501">
        <v>581</v>
      </c>
      <c r="J6881" s="501">
        <v>450</v>
      </c>
      <c r="K6881" s="501">
        <v>0</v>
      </c>
      <c r="L6881" s="501">
        <v>97</v>
      </c>
      <c r="M6881" s="501">
        <v>0</v>
      </c>
      <c r="N6881" s="501">
        <v>0</v>
      </c>
      <c r="O6881" s="506">
        <v>34</v>
      </c>
    </row>
    <row r="6882" spans="1:15" x14ac:dyDescent="0.35">
      <c r="A6882" s="503" t="s">
        <v>1109</v>
      </c>
      <c r="B6882" s="504" t="s">
        <v>2959</v>
      </c>
      <c r="C6882" s="504" t="s">
        <v>1094</v>
      </c>
      <c r="D6882" s="504" t="s">
        <v>3380</v>
      </c>
      <c r="E6882" s="504" t="s">
        <v>3381</v>
      </c>
      <c r="F6882" s="504" t="s">
        <v>848</v>
      </c>
      <c r="G6882" s="504" t="s">
        <v>849</v>
      </c>
      <c r="H6882" s="504" t="s">
        <v>15023</v>
      </c>
      <c r="I6882" s="504">
        <v>70</v>
      </c>
      <c r="J6882" s="504">
        <v>0</v>
      </c>
      <c r="K6882" s="504">
        <v>0</v>
      </c>
      <c r="L6882" s="504">
        <v>0</v>
      </c>
      <c r="M6882" s="504">
        <v>35</v>
      </c>
      <c r="N6882" s="504">
        <v>0</v>
      </c>
      <c r="O6882" s="505">
        <v>35</v>
      </c>
    </row>
    <row r="6883" spans="1:15" x14ac:dyDescent="0.35">
      <c r="A6883" s="500" t="s">
        <v>1633</v>
      </c>
      <c r="B6883" s="501">
        <v>4713</v>
      </c>
      <c r="C6883" s="501" t="s">
        <v>1089</v>
      </c>
      <c r="D6883" s="501" t="s">
        <v>3392</v>
      </c>
      <c r="E6883" s="501" t="s">
        <v>3381</v>
      </c>
      <c r="F6883" s="501" t="s">
        <v>848</v>
      </c>
      <c r="G6883" s="501" t="s">
        <v>849</v>
      </c>
      <c r="H6883" s="501" t="s">
        <v>8924</v>
      </c>
      <c r="I6883" s="501">
        <v>9</v>
      </c>
      <c r="J6883" s="501">
        <v>0</v>
      </c>
      <c r="K6883" s="501">
        <v>0</v>
      </c>
      <c r="L6883" s="501">
        <v>9</v>
      </c>
      <c r="M6883" s="501">
        <v>0</v>
      </c>
      <c r="N6883" s="501">
        <v>0</v>
      </c>
      <c r="O6883" s="506">
        <v>0</v>
      </c>
    </row>
    <row r="6884" spans="1:15" x14ac:dyDescent="0.35">
      <c r="A6884" s="503" t="s">
        <v>1638</v>
      </c>
      <c r="B6884" s="504">
        <v>5079</v>
      </c>
      <c r="C6884" s="504" t="s">
        <v>1094</v>
      </c>
      <c r="D6884" s="504" t="s">
        <v>3380</v>
      </c>
      <c r="E6884" s="504" t="s">
        <v>3381</v>
      </c>
      <c r="F6884" s="504" t="s">
        <v>848</v>
      </c>
      <c r="G6884" s="504" t="s">
        <v>849</v>
      </c>
      <c r="H6884" s="504" t="s">
        <v>8925</v>
      </c>
      <c r="I6884" s="504">
        <v>154</v>
      </c>
      <c r="J6884" s="504">
        <v>14</v>
      </c>
      <c r="K6884" s="504">
        <v>0</v>
      </c>
      <c r="L6884" s="504">
        <v>6</v>
      </c>
      <c r="M6884" s="504">
        <v>27</v>
      </c>
      <c r="N6884" s="504">
        <v>0</v>
      </c>
      <c r="O6884" s="505">
        <v>107</v>
      </c>
    </row>
    <row r="6885" spans="1:15" x14ac:dyDescent="0.35">
      <c r="A6885" s="500" t="s">
        <v>1726</v>
      </c>
      <c r="B6885" s="501" t="s">
        <v>3258</v>
      </c>
      <c r="C6885" s="501" t="s">
        <v>1094</v>
      </c>
      <c r="D6885" s="501" t="s">
        <v>3380</v>
      </c>
      <c r="E6885" s="501" t="s">
        <v>3381</v>
      </c>
      <c r="F6885" s="501" t="s">
        <v>848</v>
      </c>
      <c r="G6885" s="501" t="s">
        <v>849</v>
      </c>
      <c r="H6885" s="501" t="s">
        <v>8926</v>
      </c>
      <c r="I6885" s="501">
        <v>111</v>
      </c>
      <c r="J6885" s="501">
        <v>69</v>
      </c>
      <c r="K6885" s="501">
        <v>0</v>
      </c>
      <c r="L6885" s="501">
        <v>0</v>
      </c>
      <c r="M6885" s="501">
        <v>42</v>
      </c>
      <c r="N6885" s="501">
        <v>0</v>
      </c>
      <c r="O6885" s="506">
        <v>0</v>
      </c>
    </row>
    <row r="6886" spans="1:15" x14ac:dyDescent="0.35">
      <c r="A6886" s="503" t="s">
        <v>1209</v>
      </c>
      <c r="B6886" s="504">
        <v>4779</v>
      </c>
      <c r="C6886" s="504" t="s">
        <v>1094</v>
      </c>
      <c r="D6886" s="504" t="s">
        <v>3380</v>
      </c>
      <c r="E6886" s="504" t="s">
        <v>3381</v>
      </c>
      <c r="F6886" s="504" t="s">
        <v>848</v>
      </c>
      <c r="G6886" s="504" t="s">
        <v>849</v>
      </c>
      <c r="H6886" s="504" t="s">
        <v>8927</v>
      </c>
      <c r="I6886" s="504">
        <v>8</v>
      </c>
      <c r="J6886" s="504">
        <v>0</v>
      </c>
      <c r="K6886" s="504">
        <v>0</v>
      </c>
      <c r="L6886" s="504">
        <v>8</v>
      </c>
      <c r="M6886" s="504">
        <v>0</v>
      </c>
      <c r="N6886" s="504">
        <v>0</v>
      </c>
      <c r="O6886" s="505">
        <v>0</v>
      </c>
    </row>
    <row r="6887" spans="1:15" x14ac:dyDescent="0.35">
      <c r="A6887" s="500" t="s">
        <v>1122</v>
      </c>
      <c r="B6887" s="501" t="s">
        <v>2994</v>
      </c>
      <c r="C6887" s="501" t="s">
        <v>1094</v>
      </c>
      <c r="D6887" s="501" t="s">
        <v>3380</v>
      </c>
      <c r="E6887" s="501" t="s">
        <v>3381</v>
      </c>
      <c r="F6887" s="501" t="s">
        <v>848</v>
      </c>
      <c r="G6887" s="501" t="s">
        <v>849</v>
      </c>
      <c r="H6887" s="501" t="s">
        <v>8928</v>
      </c>
      <c r="I6887" s="501">
        <v>15</v>
      </c>
      <c r="J6887" s="501">
        <v>14</v>
      </c>
      <c r="K6887" s="501">
        <v>0</v>
      </c>
      <c r="L6887" s="501">
        <v>0</v>
      </c>
      <c r="M6887" s="501">
        <v>0</v>
      </c>
      <c r="N6887" s="501">
        <v>0</v>
      </c>
      <c r="O6887" s="506">
        <v>1</v>
      </c>
    </row>
    <row r="6888" spans="1:15" x14ac:dyDescent="0.35">
      <c r="A6888" s="503" t="s">
        <v>1648</v>
      </c>
      <c r="B6888" s="504" t="s">
        <v>2496</v>
      </c>
      <c r="C6888" s="504" t="s">
        <v>1094</v>
      </c>
      <c r="D6888" s="504" t="s">
        <v>3380</v>
      </c>
      <c r="E6888" s="504" t="s">
        <v>3381</v>
      </c>
      <c r="F6888" s="504" t="s">
        <v>848</v>
      </c>
      <c r="G6888" s="504" t="s">
        <v>849</v>
      </c>
      <c r="H6888" s="504" t="s">
        <v>8929</v>
      </c>
      <c r="I6888" s="504">
        <v>4</v>
      </c>
      <c r="J6888" s="504">
        <v>4</v>
      </c>
      <c r="K6888" s="504">
        <v>0</v>
      </c>
      <c r="L6888" s="504">
        <v>0</v>
      </c>
      <c r="M6888" s="504">
        <v>0</v>
      </c>
      <c r="N6888" s="504">
        <v>0</v>
      </c>
      <c r="O6888" s="505">
        <v>0</v>
      </c>
    </row>
    <row r="6889" spans="1:15" x14ac:dyDescent="0.35">
      <c r="A6889" s="500" t="s">
        <v>1235</v>
      </c>
      <c r="B6889" s="501">
        <v>4684</v>
      </c>
      <c r="C6889" s="501" t="s">
        <v>1094</v>
      </c>
      <c r="D6889" s="501" t="s">
        <v>3380</v>
      </c>
      <c r="E6889" s="501" t="s">
        <v>3381</v>
      </c>
      <c r="F6889" s="501" t="s">
        <v>848</v>
      </c>
      <c r="G6889" s="501" t="s">
        <v>849</v>
      </c>
      <c r="H6889" s="501" t="s">
        <v>8930</v>
      </c>
      <c r="I6889" s="501">
        <v>130</v>
      </c>
      <c r="J6889" s="501">
        <v>54</v>
      </c>
      <c r="K6889" s="501">
        <v>0</v>
      </c>
      <c r="L6889" s="501">
        <v>2</v>
      </c>
      <c r="M6889" s="501">
        <v>71</v>
      </c>
      <c r="N6889" s="501">
        <v>0</v>
      </c>
      <c r="O6889" s="506">
        <v>3</v>
      </c>
    </row>
    <row r="6890" spans="1:15" x14ac:dyDescent="0.35">
      <c r="A6890" s="503" t="s">
        <v>1126</v>
      </c>
      <c r="B6890" s="504" t="s">
        <v>2974</v>
      </c>
      <c r="C6890" s="504" t="s">
        <v>1094</v>
      </c>
      <c r="D6890" s="504" t="s">
        <v>3380</v>
      </c>
      <c r="E6890" s="504" t="s">
        <v>3381</v>
      </c>
      <c r="F6890" s="504" t="s">
        <v>848</v>
      </c>
      <c r="G6890" s="504" t="s">
        <v>849</v>
      </c>
      <c r="H6890" s="504" t="s">
        <v>8931</v>
      </c>
      <c r="I6890" s="504">
        <v>577</v>
      </c>
      <c r="J6890" s="504">
        <v>540</v>
      </c>
      <c r="K6890" s="504">
        <v>0</v>
      </c>
      <c r="L6890" s="504">
        <v>0</v>
      </c>
      <c r="M6890" s="504">
        <v>31</v>
      </c>
      <c r="N6890" s="504">
        <v>0</v>
      </c>
      <c r="O6890" s="505">
        <v>6</v>
      </c>
    </row>
    <row r="6891" spans="1:15" x14ac:dyDescent="0.35">
      <c r="A6891" s="500" t="s">
        <v>1245</v>
      </c>
      <c r="B6891" s="501" t="s">
        <v>2859</v>
      </c>
      <c r="C6891" s="501" t="s">
        <v>1094</v>
      </c>
      <c r="D6891" s="501" t="s">
        <v>3380</v>
      </c>
      <c r="E6891" s="501" t="s">
        <v>3381</v>
      </c>
      <c r="F6891" s="501" t="s">
        <v>848</v>
      </c>
      <c r="G6891" s="501" t="s">
        <v>849</v>
      </c>
      <c r="H6891" s="501" t="s">
        <v>8932</v>
      </c>
      <c r="I6891" s="501">
        <v>25</v>
      </c>
      <c r="J6891" s="501">
        <v>0</v>
      </c>
      <c r="K6891" s="501">
        <v>0</v>
      </c>
      <c r="L6891" s="501">
        <v>0</v>
      </c>
      <c r="M6891" s="501">
        <v>25</v>
      </c>
      <c r="N6891" s="501">
        <v>0</v>
      </c>
      <c r="O6891" s="506">
        <v>0</v>
      </c>
    </row>
    <row r="6892" spans="1:15" x14ac:dyDescent="0.35">
      <c r="A6892" s="503" t="s">
        <v>1249</v>
      </c>
      <c r="B6892" s="504">
        <v>4729</v>
      </c>
      <c r="C6892" s="504" t="s">
        <v>1094</v>
      </c>
      <c r="D6892" s="504" t="s">
        <v>3380</v>
      </c>
      <c r="E6892" s="504" t="s">
        <v>3381</v>
      </c>
      <c r="F6892" s="504" t="s">
        <v>848</v>
      </c>
      <c r="G6892" s="504" t="s">
        <v>849</v>
      </c>
      <c r="H6892" s="504" t="s">
        <v>15024</v>
      </c>
      <c r="I6892" s="504">
        <v>1</v>
      </c>
      <c r="J6892" s="504">
        <v>0</v>
      </c>
      <c r="K6892" s="504">
        <v>0</v>
      </c>
      <c r="L6892" s="504">
        <v>0</v>
      </c>
      <c r="M6892" s="504">
        <v>0</v>
      </c>
      <c r="N6892" s="504">
        <v>0</v>
      </c>
      <c r="O6892" s="505">
        <v>1</v>
      </c>
    </row>
    <row r="6893" spans="1:15" x14ac:dyDescent="0.35">
      <c r="A6893" s="500" t="s">
        <v>1253</v>
      </c>
      <c r="B6893" s="501" t="s">
        <v>3232</v>
      </c>
      <c r="C6893" s="501" t="s">
        <v>1094</v>
      </c>
      <c r="D6893" s="501" t="s">
        <v>3380</v>
      </c>
      <c r="E6893" s="501" t="s">
        <v>3381</v>
      </c>
      <c r="F6893" s="501" t="s">
        <v>848</v>
      </c>
      <c r="G6893" s="501" t="s">
        <v>849</v>
      </c>
      <c r="H6893" s="501" t="s">
        <v>8933</v>
      </c>
      <c r="I6893" s="501">
        <v>15</v>
      </c>
      <c r="J6893" s="501">
        <v>15</v>
      </c>
      <c r="K6893" s="501">
        <v>0</v>
      </c>
      <c r="L6893" s="501">
        <v>0</v>
      </c>
      <c r="M6893" s="501">
        <v>0</v>
      </c>
      <c r="N6893" s="501">
        <v>0</v>
      </c>
      <c r="O6893" s="506">
        <v>0</v>
      </c>
    </row>
    <row r="6894" spans="1:15" x14ac:dyDescent="0.35">
      <c r="A6894" s="503" t="s">
        <v>1368</v>
      </c>
      <c r="B6894" s="504" t="s">
        <v>3220</v>
      </c>
      <c r="C6894" s="504" t="s">
        <v>1094</v>
      </c>
      <c r="D6894" s="504" t="s">
        <v>3380</v>
      </c>
      <c r="E6894" s="504" t="s">
        <v>3381</v>
      </c>
      <c r="F6894" s="504" t="s">
        <v>848</v>
      </c>
      <c r="G6894" s="504" t="s">
        <v>849</v>
      </c>
      <c r="H6894" s="504" t="s">
        <v>8934</v>
      </c>
      <c r="I6894" s="504">
        <v>157</v>
      </c>
      <c r="J6894" s="504">
        <v>110</v>
      </c>
      <c r="K6894" s="504">
        <v>0</v>
      </c>
      <c r="L6894" s="504">
        <v>0</v>
      </c>
      <c r="M6894" s="504">
        <v>0</v>
      </c>
      <c r="N6894" s="504">
        <v>0</v>
      </c>
      <c r="O6894" s="505">
        <v>47</v>
      </c>
    </row>
    <row r="6895" spans="1:15" x14ac:dyDescent="0.35">
      <c r="A6895" s="500" t="s">
        <v>1257</v>
      </c>
      <c r="B6895" s="501" t="s">
        <v>3151</v>
      </c>
      <c r="C6895" s="501" t="s">
        <v>1094</v>
      </c>
      <c r="D6895" s="501" t="s">
        <v>3380</v>
      </c>
      <c r="E6895" s="501" t="s">
        <v>3381</v>
      </c>
      <c r="F6895" s="501" t="s">
        <v>848</v>
      </c>
      <c r="G6895" s="501" t="s">
        <v>849</v>
      </c>
      <c r="H6895" s="501" t="s">
        <v>8935</v>
      </c>
      <c r="I6895" s="501">
        <v>241</v>
      </c>
      <c r="J6895" s="501">
        <v>229</v>
      </c>
      <c r="K6895" s="501">
        <v>0</v>
      </c>
      <c r="L6895" s="501">
        <v>6</v>
      </c>
      <c r="M6895" s="501">
        <v>0</v>
      </c>
      <c r="N6895" s="501">
        <v>0</v>
      </c>
      <c r="O6895" s="506">
        <v>6</v>
      </c>
    </row>
    <row r="6896" spans="1:15" x14ac:dyDescent="0.35">
      <c r="A6896" s="503" t="s">
        <v>2189</v>
      </c>
      <c r="B6896" s="504" t="s">
        <v>2625</v>
      </c>
      <c r="C6896" s="504" t="s">
        <v>1089</v>
      </c>
      <c r="D6896" s="504" t="s">
        <v>3392</v>
      </c>
      <c r="E6896" s="504" t="s">
        <v>3381</v>
      </c>
      <c r="F6896" s="504" t="s">
        <v>848</v>
      </c>
      <c r="G6896" s="504" t="s">
        <v>849</v>
      </c>
      <c r="H6896" s="504" t="s">
        <v>8936</v>
      </c>
      <c r="I6896" s="504">
        <v>20</v>
      </c>
      <c r="J6896" s="504">
        <v>0</v>
      </c>
      <c r="K6896" s="504">
        <v>0</v>
      </c>
      <c r="L6896" s="504">
        <v>0</v>
      </c>
      <c r="M6896" s="504">
        <v>20</v>
      </c>
      <c r="N6896" s="504">
        <v>0</v>
      </c>
      <c r="O6896" s="505">
        <v>0</v>
      </c>
    </row>
    <row r="6897" spans="1:15" x14ac:dyDescent="0.35">
      <c r="A6897" s="500" t="s">
        <v>2191</v>
      </c>
      <c r="B6897" s="501" t="s">
        <v>3033</v>
      </c>
      <c r="C6897" s="501" t="s">
        <v>1089</v>
      </c>
      <c r="D6897" s="501" t="s">
        <v>3392</v>
      </c>
      <c r="E6897" s="501" t="s">
        <v>3381</v>
      </c>
      <c r="F6897" s="501" t="s">
        <v>848</v>
      </c>
      <c r="G6897" s="501" t="s">
        <v>849</v>
      </c>
      <c r="H6897" s="501" t="s">
        <v>8937</v>
      </c>
      <c r="I6897" s="501">
        <v>98</v>
      </c>
      <c r="J6897" s="501">
        <v>55</v>
      </c>
      <c r="K6897" s="501">
        <v>0</v>
      </c>
      <c r="L6897" s="501">
        <v>43</v>
      </c>
      <c r="M6897" s="501">
        <v>0</v>
      </c>
      <c r="N6897" s="501">
        <v>0</v>
      </c>
      <c r="O6897" s="506">
        <v>0</v>
      </c>
    </row>
    <row r="6898" spans="1:15" x14ac:dyDescent="0.35">
      <c r="A6898" s="503" t="s">
        <v>1789</v>
      </c>
      <c r="B6898" s="504" t="s">
        <v>3219</v>
      </c>
      <c r="C6898" s="504" t="s">
        <v>1094</v>
      </c>
      <c r="D6898" s="504" t="s">
        <v>3380</v>
      </c>
      <c r="E6898" s="504" t="s">
        <v>3381</v>
      </c>
      <c r="F6898" s="504" t="s">
        <v>848</v>
      </c>
      <c r="G6898" s="504" t="s">
        <v>849</v>
      </c>
      <c r="H6898" s="504" t="s">
        <v>8938</v>
      </c>
      <c r="I6898" s="504">
        <v>108</v>
      </c>
      <c r="J6898" s="504">
        <v>61</v>
      </c>
      <c r="K6898" s="504">
        <v>0</v>
      </c>
      <c r="L6898" s="504">
        <v>0</v>
      </c>
      <c r="M6898" s="504">
        <v>0</v>
      </c>
      <c r="N6898" s="504">
        <v>0</v>
      </c>
      <c r="O6898" s="505">
        <v>47</v>
      </c>
    </row>
    <row r="6899" spans="1:15" x14ac:dyDescent="0.35">
      <c r="A6899" s="500" t="s">
        <v>14127</v>
      </c>
      <c r="B6899" s="501" t="s">
        <v>14126</v>
      </c>
      <c r="C6899" s="501" t="s">
        <v>1094</v>
      </c>
      <c r="D6899" s="501" t="s">
        <v>3380</v>
      </c>
      <c r="E6899" s="501" t="s">
        <v>3381</v>
      </c>
      <c r="F6899" s="501" t="s">
        <v>850</v>
      </c>
      <c r="G6899" s="501" t="s">
        <v>851</v>
      </c>
      <c r="H6899" s="501" t="s">
        <v>15025</v>
      </c>
      <c r="I6899" s="501">
        <v>434</v>
      </c>
      <c r="J6899" s="501">
        <v>334</v>
      </c>
      <c r="K6899" s="501">
        <v>0</v>
      </c>
      <c r="L6899" s="501">
        <v>0</v>
      </c>
      <c r="M6899" s="501">
        <v>0</v>
      </c>
      <c r="N6899" s="501">
        <v>0</v>
      </c>
      <c r="O6899" s="506">
        <v>100</v>
      </c>
    </row>
    <row r="6900" spans="1:15" x14ac:dyDescent="0.35">
      <c r="A6900" s="503" t="s">
        <v>1093</v>
      </c>
      <c r="B6900" s="504" t="s">
        <v>3248</v>
      </c>
      <c r="C6900" s="504" t="s">
        <v>1094</v>
      </c>
      <c r="D6900" s="504" t="s">
        <v>3380</v>
      </c>
      <c r="E6900" s="504" t="s">
        <v>3381</v>
      </c>
      <c r="F6900" s="504" t="s">
        <v>850</v>
      </c>
      <c r="G6900" s="504" t="s">
        <v>851</v>
      </c>
      <c r="H6900" s="504" t="s">
        <v>8939</v>
      </c>
      <c r="I6900" s="504">
        <v>3</v>
      </c>
      <c r="J6900" s="504">
        <v>0</v>
      </c>
      <c r="K6900" s="504">
        <v>0</v>
      </c>
      <c r="L6900" s="504">
        <v>0</v>
      </c>
      <c r="M6900" s="504">
        <v>0</v>
      </c>
      <c r="N6900" s="504">
        <v>0</v>
      </c>
      <c r="O6900" s="505">
        <v>3</v>
      </c>
    </row>
    <row r="6901" spans="1:15" x14ac:dyDescent="0.35">
      <c r="A6901" s="500" t="s">
        <v>1096</v>
      </c>
      <c r="B6901" s="501" t="s">
        <v>3326</v>
      </c>
      <c r="C6901" s="501" t="s">
        <v>1094</v>
      </c>
      <c r="D6901" s="501" t="s">
        <v>3380</v>
      </c>
      <c r="E6901" s="501" t="s">
        <v>3381</v>
      </c>
      <c r="F6901" s="501" t="s">
        <v>850</v>
      </c>
      <c r="G6901" s="501" t="s">
        <v>851</v>
      </c>
      <c r="H6901" s="501" t="s">
        <v>8940</v>
      </c>
      <c r="I6901" s="501">
        <v>30</v>
      </c>
      <c r="J6901" s="501">
        <v>0</v>
      </c>
      <c r="K6901" s="501">
        <v>0</v>
      </c>
      <c r="L6901" s="501">
        <v>0</v>
      </c>
      <c r="M6901" s="501">
        <v>30</v>
      </c>
      <c r="N6901" s="501">
        <v>0</v>
      </c>
      <c r="O6901" s="506">
        <v>0</v>
      </c>
    </row>
    <row r="6902" spans="1:15" x14ac:dyDescent="0.35">
      <c r="A6902" s="503" t="s">
        <v>1098</v>
      </c>
      <c r="B6902" s="504">
        <v>4691</v>
      </c>
      <c r="C6902" s="504" t="s">
        <v>1094</v>
      </c>
      <c r="D6902" s="504" t="s">
        <v>3380</v>
      </c>
      <c r="E6902" s="504" t="s">
        <v>3381</v>
      </c>
      <c r="F6902" s="504" t="s">
        <v>850</v>
      </c>
      <c r="G6902" s="504" t="s">
        <v>851</v>
      </c>
      <c r="H6902" s="504" t="s">
        <v>8941</v>
      </c>
      <c r="I6902" s="504">
        <v>43</v>
      </c>
      <c r="J6902" s="504">
        <v>19</v>
      </c>
      <c r="K6902" s="504">
        <v>0</v>
      </c>
      <c r="L6902" s="504">
        <v>0</v>
      </c>
      <c r="M6902" s="504">
        <v>0</v>
      </c>
      <c r="N6902" s="504">
        <v>0</v>
      </c>
      <c r="O6902" s="505">
        <v>24</v>
      </c>
    </row>
    <row r="6903" spans="1:15" x14ac:dyDescent="0.35">
      <c r="A6903" s="500" t="s">
        <v>11422</v>
      </c>
      <c r="B6903" s="501" t="s">
        <v>2939</v>
      </c>
      <c r="C6903" s="501" t="s">
        <v>1089</v>
      </c>
      <c r="D6903" s="501" t="s">
        <v>3392</v>
      </c>
      <c r="E6903" s="501" t="s">
        <v>3381</v>
      </c>
      <c r="F6903" s="501" t="s">
        <v>850</v>
      </c>
      <c r="G6903" s="501" t="s">
        <v>851</v>
      </c>
      <c r="H6903" s="501" t="s">
        <v>11626</v>
      </c>
      <c r="I6903" s="501">
        <v>125</v>
      </c>
      <c r="J6903" s="501">
        <v>0</v>
      </c>
      <c r="K6903" s="501">
        <v>0</v>
      </c>
      <c r="L6903" s="501">
        <v>125</v>
      </c>
      <c r="M6903" s="501">
        <v>0</v>
      </c>
      <c r="N6903" s="501">
        <v>0</v>
      </c>
      <c r="O6903" s="506">
        <v>0</v>
      </c>
    </row>
    <row r="6904" spans="1:15" x14ac:dyDescent="0.35">
      <c r="A6904" s="503" t="s">
        <v>1965</v>
      </c>
      <c r="B6904" s="504" t="s">
        <v>2592</v>
      </c>
      <c r="C6904" s="504" t="s">
        <v>1089</v>
      </c>
      <c r="D6904" s="504" t="s">
        <v>3392</v>
      </c>
      <c r="E6904" s="504" t="s">
        <v>3381</v>
      </c>
      <c r="F6904" s="504" t="s">
        <v>850</v>
      </c>
      <c r="G6904" s="504" t="s">
        <v>851</v>
      </c>
      <c r="H6904" s="504" t="s">
        <v>8942</v>
      </c>
      <c r="I6904" s="504">
        <v>4</v>
      </c>
      <c r="J6904" s="504">
        <v>4</v>
      </c>
      <c r="K6904" s="504">
        <v>0</v>
      </c>
      <c r="L6904" s="504">
        <v>0</v>
      </c>
      <c r="M6904" s="504">
        <v>0</v>
      </c>
      <c r="N6904" s="504">
        <v>0</v>
      </c>
      <c r="O6904" s="505">
        <v>0</v>
      </c>
    </row>
    <row r="6905" spans="1:15" x14ac:dyDescent="0.35">
      <c r="A6905" s="500" t="s">
        <v>1102</v>
      </c>
      <c r="B6905" s="501">
        <v>4663</v>
      </c>
      <c r="C6905" s="501" t="s">
        <v>1089</v>
      </c>
      <c r="D6905" s="501" t="s">
        <v>3392</v>
      </c>
      <c r="E6905" s="501" t="s">
        <v>3381</v>
      </c>
      <c r="F6905" s="501" t="s">
        <v>850</v>
      </c>
      <c r="G6905" s="501" t="s">
        <v>851</v>
      </c>
      <c r="H6905" s="501" t="s">
        <v>15026</v>
      </c>
      <c r="I6905" s="501">
        <v>3</v>
      </c>
      <c r="J6905" s="501">
        <v>0</v>
      </c>
      <c r="K6905" s="501">
        <v>0</v>
      </c>
      <c r="L6905" s="501">
        <v>3</v>
      </c>
      <c r="M6905" s="501">
        <v>0</v>
      </c>
      <c r="N6905" s="501">
        <v>0</v>
      </c>
      <c r="O6905" s="506">
        <v>0</v>
      </c>
    </row>
    <row r="6906" spans="1:15" x14ac:dyDescent="0.35">
      <c r="A6906" s="503" t="s">
        <v>1978</v>
      </c>
      <c r="B6906" s="504" t="s">
        <v>3119</v>
      </c>
      <c r="C6906" s="504" t="s">
        <v>1089</v>
      </c>
      <c r="D6906" s="504" t="s">
        <v>3392</v>
      </c>
      <c r="E6906" s="504" t="s">
        <v>3381</v>
      </c>
      <c r="F6906" s="504" t="s">
        <v>850</v>
      </c>
      <c r="G6906" s="504" t="s">
        <v>851</v>
      </c>
      <c r="H6906" s="504" t="s">
        <v>8943</v>
      </c>
      <c r="I6906" s="504">
        <v>20</v>
      </c>
      <c r="J6906" s="504">
        <v>20</v>
      </c>
      <c r="K6906" s="504">
        <v>0</v>
      </c>
      <c r="L6906" s="504">
        <v>0</v>
      </c>
      <c r="M6906" s="504">
        <v>0</v>
      </c>
      <c r="N6906" s="504">
        <v>0</v>
      </c>
      <c r="O6906" s="505">
        <v>0</v>
      </c>
    </row>
    <row r="6907" spans="1:15" x14ac:dyDescent="0.35">
      <c r="A6907" s="500" t="s">
        <v>14208</v>
      </c>
      <c r="B6907" s="501">
        <v>4803</v>
      </c>
      <c r="C6907" s="501" t="s">
        <v>1094</v>
      </c>
      <c r="D6907" s="501" t="s">
        <v>3380</v>
      </c>
      <c r="E6907" s="501" t="s">
        <v>3381</v>
      </c>
      <c r="F6907" s="501" t="s">
        <v>850</v>
      </c>
      <c r="G6907" s="501" t="s">
        <v>851</v>
      </c>
      <c r="H6907" s="501" t="s">
        <v>15027</v>
      </c>
      <c r="I6907" s="501">
        <v>8</v>
      </c>
      <c r="J6907" s="501">
        <v>0</v>
      </c>
      <c r="K6907" s="501">
        <v>0</v>
      </c>
      <c r="L6907" s="501">
        <v>8</v>
      </c>
      <c r="M6907" s="501">
        <v>0</v>
      </c>
      <c r="N6907" s="501">
        <v>0</v>
      </c>
      <c r="O6907" s="506">
        <v>0</v>
      </c>
    </row>
    <row r="6908" spans="1:15" x14ac:dyDescent="0.35">
      <c r="A6908" s="503" t="s">
        <v>1185</v>
      </c>
      <c r="B6908" s="504" t="s">
        <v>3253</v>
      </c>
      <c r="C6908" s="504" t="s">
        <v>1094</v>
      </c>
      <c r="D6908" s="504" t="s">
        <v>3380</v>
      </c>
      <c r="E6908" s="504" t="s">
        <v>3381</v>
      </c>
      <c r="F6908" s="504" t="s">
        <v>850</v>
      </c>
      <c r="G6908" s="504" t="s">
        <v>851</v>
      </c>
      <c r="H6908" s="504" t="s">
        <v>8944</v>
      </c>
      <c r="I6908" s="504">
        <v>4</v>
      </c>
      <c r="J6908" s="504">
        <v>0</v>
      </c>
      <c r="K6908" s="504">
        <v>0</v>
      </c>
      <c r="L6908" s="504">
        <v>4</v>
      </c>
      <c r="M6908" s="504">
        <v>0</v>
      </c>
      <c r="N6908" s="504">
        <v>0</v>
      </c>
      <c r="O6908" s="505">
        <v>0</v>
      </c>
    </row>
    <row r="6909" spans="1:15" x14ac:dyDescent="0.35">
      <c r="A6909" s="500" t="s">
        <v>1187</v>
      </c>
      <c r="B6909" s="501" t="s">
        <v>2951</v>
      </c>
      <c r="C6909" s="501" t="s">
        <v>1094</v>
      </c>
      <c r="D6909" s="501" t="s">
        <v>3380</v>
      </c>
      <c r="E6909" s="501" t="s">
        <v>3381</v>
      </c>
      <c r="F6909" s="501" t="s">
        <v>850</v>
      </c>
      <c r="G6909" s="501" t="s">
        <v>851</v>
      </c>
      <c r="H6909" s="501" t="s">
        <v>8945</v>
      </c>
      <c r="I6909" s="501">
        <v>5</v>
      </c>
      <c r="J6909" s="501">
        <v>5</v>
      </c>
      <c r="K6909" s="501">
        <v>0</v>
      </c>
      <c r="L6909" s="501">
        <v>0</v>
      </c>
      <c r="M6909" s="501">
        <v>0</v>
      </c>
      <c r="N6909" s="501">
        <v>0</v>
      </c>
      <c r="O6909" s="506">
        <v>0</v>
      </c>
    </row>
    <row r="6910" spans="1:15" x14ac:dyDescent="0.35">
      <c r="A6910" s="503" t="s">
        <v>1109</v>
      </c>
      <c r="B6910" s="504" t="s">
        <v>2959</v>
      </c>
      <c r="C6910" s="504" t="s">
        <v>1094</v>
      </c>
      <c r="D6910" s="504" t="s">
        <v>3380</v>
      </c>
      <c r="E6910" s="504" t="s">
        <v>3381</v>
      </c>
      <c r="F6910" s="504" t="s">
        <v>850</v>
      </c>
      <c r="G6910" s="504" t="s">
        <v>851</v>
      </c>
      <c r="H6910" s="504" t="s">
        <v>8946</v>
      </c>
      <c r="I6910" s="504">
        <v>20</v>
      </c>
      <c r="J6910" s="504">
        <v>0</v>
      </c>
      <c r="K6910" s="504">
        <v>0</v>
      </c>
      <c r="L6910" s="504">
        <v>0</v>
      </c>
      <c r="M6910" s="504">
        <v>20</v>
      </c>
      <c r="N6910" s="504">
        <v>0</v>
      </c>
      <c r="O6910" s="505">
        <v>0</v>
      </c>
    </row>
    <row r="6911" spans="1:15" x14ac:dyDescent="0.35">
      <c r="A6911" s="500" t="s">
        <v>1111</v>
      </c>
      <c r="B6911" s="501">
        <v>4873</v>
      </c>
      <c r="C6911" s="501" t="s">
        <v>1094</v>
      </c>
      <c r="D6911" s="501" t="s">
        <v>3380</v>
      </c>
      <c r="E6911" s="501" t="s">
        <v>3381</v>
      </c>
      <c r="F6911" s="501" t="s">
        <v>850</v>
      </c>
      <c r="G6911" s="501" t="s">
        <v>851</v>
      </c>
      <c r="H6911" s="501" t="s">
        <v>8947</v>
      </c>
      <c r="I6911" s="501">
        <v>1097</v>
      </c>
      <c r="J6911" s="501">
        <v>911</v>
      </c>
      <c r="K6911" s="501">
        <v>0</v>
      </c>
      <c r="L6911" s="501">
        <v>79</v>
      </c>
      <c r="M6911" s="501">
        <v>0</v>
      </c>
      <c r="N6911" s="501">
        <v>0</v>
      </c>
      <c r="O6911" s="506">
        <v>107</v>
      </c>
    </row>
    <row r="6912" spans="1:15" x14ac:dyDescent="0.35">
      <c r="A6912" s="503" t="s">
        <v>1991</v>
      </c>
      <c r="B6912" s="504">
        <v>4844</v>
      </c>
      <c r="C6912" s="504" t="s">
        <v>1094</v>
      </c>
      <c r="D6912" s="504" t="s">
        <v>3380</v>
      </c>
      <c r="E6912" s="504" t="s">
        <v>3381</v>
      </c>
      <c r="F6912" s="504" t="s">
        <v>850</v>
      </c>
      <c r="G6912" s="504" t="s">
        <v>851</v>
      </c>
      <c r="H6912" s="504" t="s">
        <v>8948</v>
      </c>
      <c r="I6912" s="504">
        <v>100</v>
      </c>
      <c r="J6912" s="504">
        <v>93</v>
      </c>
      <c r="K6912" s="504">
        <v>0</v>
      </c>
      <c r="L6912" s="504">
        <v>5</v>
      </c>
      <c r="M6912" s="504">
        <v>0</v>
      </c>
      <c r="N6912" s="504">
        <v>0</v>
      </c>
      <c r="O6912" s="505">
        <v>2</v>
      </c>
    </row>
    <row r="6913" spans="1:15" x14ac:dyDescent="0.35">
      <c r="A6913" s="500" t="s">
        <v>1114</v>
      </c>
      <c r="B6913" s="501" t="s">
        <v>2982</v>
      </c>
      <c r="C6913" s="501" t="s">
        <v>1094</v>
      </c>
      <c r="D6913" s="501" t="s">
        <v>3380</v>
      </c>
      <c r="E6913" s="501" t="s">
        <v>3381</v>
      </c>
      <c r="F6913" s="501" t="s">
        <v>850</v>
      </c>
      <c r="G6913" s="501" t="s">
        <v>851</v>
      </c>
      <c r="H6913" s="501" t="s">
        <v>8949</v>
      </c>
      <c r="I6913" s="501">
        <v>1</v>
      </c>
      <c r="J6913" s="501">
        <v>0</v>
      </c>
      <c r="K6913" s="501">
        <v>0</v>
      </c>
      <c r="L6913" s="501">
        <v>0</v>
      </c>
      <c r="M6913" s="501">
        <v>0</v>
      </c>
      <c r="N6913" s="501">
        <v>0</v>
      </c>
      <c r="O6913" s="506">
        <v>1</v>
      </c>
    </row>
    <row r="6914" spans="1:15" x14ac:dyDescent="0.35">
      <c r="A6914" s="503" t="s">
        <v>1221</v>
      </c>
      <c r="B6914" s="504">
        <v>4728</v>
      </c>
      <c r="C6914" s="504" t="s">
        <v>1089</v>
      </c>
      <c r="D6914" s="504" t="s">
        <v>3392</v>
      </c>
      <c r="E6914" s="504" t="s">
        <v>3381</v>
      </c>
      <c r="F6914" s="504" t="s">
        <v>850</v>
      </c>
      <c r="G6914" s="504" t="s">
        <v>851</v>
      </c>
      <c r="H6914" s="504" t="s">
        <v>8950</v>
      </c>
      <c r="I6914" s="504">
        <v>14</v>
      </c>
      <c r="J6914" s="504">
        <v>0</v>
      </c>
      <c r="K6914" s="504">
        <v>0</v>
      </c>
      <c r="L6914" s="504">
        <v>14</v>
      </c>
      <c r="M6914" s="504">
        <v>0</v>
      </c>
      <c r="N6914" s="504">
        <v>0</v>
      </c>
      <c r="O6914" s="505">
        <v>0</v>
      </c>
    </row>
    <row r="6915" spans="1:15" x14ac:dyDescent="0.35">
      <c r="A6915" s="500" t="s">
        <v>1225</v>
      </c>
      <c r="B6915" s="501" t="s">
        <v>3315</v>
      </c>
      <c r="C6915" s="501" t="s">
        <v>1094</v>
      </c>
      <c r="D6915" s="501" t="s">
        <v>3380</v>
      </c>
      <c r="E6915" s="501" t="s">
        <v>3381</v>
      </c>
      <c r="F6915" s="501" t="s">
        <v>850</v>
      </c>
      <c r="G6915" s="501" t="s">
        <v>851</v>
      </c>
      <c r="H6915" s="501" t="s">
        <v>15028</v>
      </c>
      <c r="I6915" s="501">
        <v>5</v>
      </c>
      <c r="J6915" s="501">
        <v>0</v>
      </c>
      <c r="K6915" s="501">
        <v>0</v>
      </c>
      <c r="L6915" s="501">
        <v>5</v>
      </c>
      <c r="M6915" s="501">
        <v>0</v>
      </c>
      <c r="N6915" s="501">
        <v>0</v>
      </c>
      <c r="O6915" s="506">
        <v>0</v>
      </c>
    </row>
    <row r="6916" spans="1:15" x14ac:dyDescent="0.35">
      <c r="A6916" s="503" t="s">
        <v>1124</v>
      </c>
      <c r="B6916" s="504">
        <v>4745</v>
      </c>
      <c r="C6916" s="504" t="s">
        <v>1094</v>
      </c>
      <c r="D6916" s="504" t="s">
        <v>3380</v>
      </c>
      <c r="E6916" s="504" t="s">
        <v>3381</v>
      </c>
      <c r="F6916" s="504" t="s">
        <v>850</v>
      </c>
      <c r="G6916" s="504" t="s">
        <v>851</v>
      </c>
      <c r="H6916" s="504" t="s">
        <v>8951</v>
      </c>
      <c r="I6916" s="504">
        <v>6</v>
      </c>
      <c r="J6916" s="504">
        <v>0</v>
      </c>
      <c r="K6916" s="504">
        <v>0</v>
      </c>
      <c r="L6916" s="504">
        <v>6</v>
      </c>
      <c r="M6916" s="504">
        <v>0</v>
      </c>
      <c r="N6916" s="504">
        <v>0</v>
      </c>
      <c r="O6916" s="505">
        <v>0</v>
      </c>
    </row>
    <row r="6917" spans="1:15" x14ac:dyDescent="0.35">
      <c r="A6917" s="500" t="s">
        <v>2011</v>
      </c>
      <c r="B6917" s="501" t="s">
        <v>3322</v>
      </c>
      <c r="C6917" s="501" t="s">
        <v>1089</v>
      </c>
      <c r="D6917" s="501" t="s">
        <v>3392</v>
      </c>
      <c r="E6917" s="501" t="s">
        <v>3381</v>
      </c>
      <c r="F6917" s="501" t="s">
        <v>850</v>
      </c>
      <c r="G6917" s="501" t="s">
        <v>851</v>
      </c>
      <c r="H6917" s="501" t="s">
        <v>8953</v>
      </c>
      <c r="I6917" s="501">
        <v>648</v>
      </c>
      <c r="J6917" s="501">
        <v>648</v>
      </c>
      <c r="K6917" s="501">
        <v>0</v>
      </c>
      <c r="L6917" s="501">
        <v>0</v>
      </c>
      <c r="M6917" s="501">
        <v>0</v>
      </c>
      <c r="N6917" s="501">
        <v>0</v>
      </c>
      <c r="O6917" s="506">
        <v>0</v>
      </c>
    </row>
    <row r="6918" spans="1:15" x14ac:dyDescent="0.35">
      <c r="A6918" s="503" t="s">
        <v>1233</v>
      </c>
      <c r="B6918" s="504">
        <v>4636</v>
      </c>
      <c r="C6918" s="504" t="s">
        <v>1094</v>
      </c>
      <c r="D6918" s="504" t="s">
        <v>3380</v>
      </c>
      <c r="E6918" s="504" t="s">
        <v>3381</v>
      </c>
      <c r="F6918" s="504" t="s">
        <v>850</v>
      </c>
      <c r="G6918" s="504" t="s">
        <v>851</v>
      </c>
      <c r="H6918" s="504" t="s">
        <v>12024</v>
      </c>
      <c r="I6918" s="504">
        <v>9</v>
      </c>
      <c r="J6918" s="504">
        <v>0</v>
      </c>
      <c r="K6918" s="504">
        <v>0</v>
      </c>
      <c r="L6918" s="504">
        <v>0</v>
      </c>
      <c r="M6918" s="504">
        <v>0</v>
      </c>
      <c r="N6918" s="504">
        <v>0</v>
      </c>
      <c r="O6918" s="505">
        <v>9</v>
      </c>
    </row>
    <row r="6919" spans="1:15" x14ac:dyDescent="0.35">
      <c r="A6919" s="500" t="s">
        <v>11368</v>
      </c>
      <c r="B6919" s="501">
        <v>5083</v>
      </c>
      <c r="C6919" s="501" t="s">
        <v>1094</v>
      </c>
      <c r="D6919" s="501" t="s">
        <v>3380</v>
      </c>
      <c r="E6919" s="501" t="s">
        <v>3381</v>
      </c>
      <c r="F6919" s="501" t="s">
        <v>850</v>
      </c>
      <c r="G6919" s="501" t="s">
        <v>851</v>
      </c>
      <c r="H6919" s="501" t="s">
        <v>15029</v>
      </c>
      <c r="I6919" s="501">
        <v>7</v>
      </c>
      <c r="J6919" s="501">
        <v>7</v>
      </c>
      <c r="K6919" s="501">
        <v>0</v>
      </c>
      <c r="L6919" s="501">
        <v>0</v>
      </c>
      <c r="M6919" s="501">
        <v>0</v>
      </c>
      <c r="N6919" s="501">
        <v>0</v>
      </c>
      <c r="O6919" s="506">
        <v>0</v>
      </c>
    </row>
    <row r="6920" spans="1:15" x14ac:dyDescent="0.35">
      <c r="A6920" s="503" t="s">
        <v>1126</v>
      </c>
      <c r="B6920" s="504" t="s">
        <v>2974</v>
      </c>
      <c r="C6920" s="504" t="s">
        <v>1094</v>
      </c>
      <c r="D6920" s="504" t="s">
        <v>3380</v>
      </c>
      <c r="E6920" s="504" t="s">
        <v>3381</v>
      </c>
      <c r="F6920" s="504" t="s">
        <v>850</v>
      </c>
      <c r="G6920" s="504" t="s">
        <v>851</v>
      </c>
      <c r="H6920" s="504" t="s">
        <v>8952</v>
      </c>
      <c r="I6920" s="504">
        <v>326</v>
      </c>
      <c r="J6920" s="504">
        <v>264</v>
      </c>
      <c r="K6920" s="504">
        <v>0</v>
      </c>
      <c r="L6920" s="504">
        <v>26</v>
      </c>
      <c r="M6920" s="504">
        <v>27</v>
      </c>
      <c r="N6920" s="504">
        <v>0</v>
      </c>
      <c r="O6920" s="505">
        <v>9</v>
      </c>
    </row>
    <row r="6921" spans="1:15" x14ac:dyDescent="0.35">
      <c r="A6921" s="500" t="s">
        <v>2017</v>
      </c>
      <c r="B6921" s="501" t="s">
        <v>3101</v>
      </c>
      <c r="C6921" s="501" t="s">
        <v>1089</v>
      </c>
      <c r="D6921" s="501" t="s">
        <v>3392</v>
      </c>
      <c r="E6921" s="501" t="s">
        <v>3381</v>
      </c>
      <c r="F6921" s="501" t="s">
        <v>850</v>
      </c>
      <c r="G6921" s="501" t="s">
        <v>851</v>
      </c>
      <c r="H6921" s="501" t="s">
        <v>8954</v>
      </c>
      <c r="I6921" s="501">
        <v>204</v>
      </c>
      <c r="J6921" s="501">
        <v>192</v>
      </c>
      <c r="K6921" s="501">
        <v>0</v>
      </c>
      <c r="L6921" s="501">
        <v>0</v>
      </c>
      <c r="M6921" s="501">
        <v>12</v>
      </c>
      <c r="N6921" s="501">
        <v>0</v>
      </c>
      <c r="O6921" s="506">
        <v>0</v>
      </c>
    </row>
    <row r="6922" spans="1:15" x14ac:dyDescent="0.35">
      <c r="A6922" s="503" t="s">
        <v>1132</v>
      </c>
      <c r="B6922" s="504">
        <v>4837</v>
      </c>
      <c r="C6922" s="504" t="s">
        <v>1094</v>
      </c>
      <c r="D6922" s="504" t="s">
        <v>3380</v>
      </c>
      <c r="E6922" s="504" t="s">
        <v>3381</v>
      </c>
      <c r="F6922" s="504" t="s">
        <v>850</v>
      </c>
      <c r="G6922" s="504" t="s">
        <v>851</v>
      </c>
      <c r="H6922" s="504" t="s">
        <v>8955</v>
      </c>
      <c r="I6922" s="504">
        <v>56</v>
      </c>
      <c r="J6922" s="504">
        <v>10</v>
      </c>
      <c r="K6922" s="504">
        <v>0</v>
      </c>
      <c r="L6922" s="504">
        <v>0</v>
      </c>
      <c r="M6922" s="504">
        <v>0</v>
      </c>
      <c r="N6922" s="504">
        <v>0</v>
      </c>
      <c r="O6922" s="505">
        <v>46</v>
      </c>
    </row>
    <row r="6923" spans="1:15" x14ac:dyDescent="0.35">
      <c r="A6923" s="500" t="s">
        <v>1240</v>
      </c>
      <c r="B6923" s="501" t="s">
        <v>2972</v>
      </c>
      <c r="C6923" s="501" t="s">
        <v>1094</v>
      </c>
      <c r="D6923" s="501" t="s">
        <v>3380</v>
      </c>
      <c r="E6923" s="501" t="s">
        <v>3381</v>
      </c>
      <c r="F6923" s="501" t="s">
        <v>850</v>
      </c>
      <c r="G6923" s="501" t="s">
        <v>851</v>
      </c>
      <c r="H6923" s="501" t="s">
        <v>8956</v>
      </c>
      <c r="I6923" s="501">
        <v>52</v>
      </c>
      <c r="J6923" s="501">
        <v>33</v>
      </c>
      <c r="K6923" s="501">
        <v>0</v>
      </c>
      <c r="L6923" s="501">
        <v>0</v>
      </c>
      <c r="M6923" s="501">
        <v>0</v>
      </c>
      <c r="N6923" s="501">
        <v>0</v>
      </c>
      <c r="O6923" s="506">
        <v>19</v>
      </c>
    </row>
    <row r="6924" spans="1:15" x14ac:dyDescent="0.35">
      <c r="A6924" s="503" t="s">
        <v>1134</v>
      </c>
      <c r="B6924" s="504" t="s">
        <v>3066</v>
      </c>
      <c r="C6924" s="504" t="s">
        <v>1094</v>
      </c>
      <c r="D6924" s="504" t="s">
        <v>3380</v>
      </c>
      <c r="E6924" s="504" t="s">
        <v>3381</v>
      </c>
      <c r="F6924" s="504" t="s">
        <v>850</v>
      </c>
      <c r="G6924" s="504" t="s">
        <v>851</v>
      </c>
      <c r="H6924" s="504" t="s">
        <v>8957</v>
      </c>
      <c r="I6924" s="504">
        <v>427</v>
      </c>
      <c r="J6924" s="504">
        <v>407</v>
      </c>
      <c r="K6924" s="504">
        <v>0</v>
      </c>
      <c r="L6924" s="504">
        <v>0</v>
      </c>
      <c r="M6924" s="504">
        <v>0</v>
      </c>
      <c r="N6924" s="504">
        <v>0</v>
      </c>
      <c r="O6924" s="505">
        <v>20</v>
      </c>
    </row>
    <row r="6925" spans="1:15" x14ac:dyDescent="0.35">
      <c r="A6925" s="500" t="s">
        <v>1136</v>
      </c>
      <c r="B6925" s="501">
        <v>4680</v>
      </c>
      <c r="C6925" s="501" t="s">
        <v>1094</v>
      </c>
      <c r="D6925" s="501" t="s">
        <v>3380</v>
      </c>
      <c r="E6925" s="501" t="s">
        <v>3381</v>
      </c>
      <c r="F6925" s="501" t="s">
        <v>850</v>
      </c>
      <c r="G6925" s="501" t="s">
        <v>851</v>
      </c>
      <c r="H6925" s="501" t="s">
        <v>8958</v>
      </c>
      <c r="I6925" s="501">
        <v>16</v>
      </c>
      <c r="J6925" s="501">
        <v>9</v>
      </c>
      <c r="K6925" s="501">
        <v>0</v>
      </c>
      <c r="L6925" s="501">
        <v>0</v>
      </c>
      <c r="M6925" s="501">
        <v>0</v>
      </c>
      <c r="N6925" s="501">
        <v>0</v>
      </c>
      <c r="O6925" s="506">
        <v>7</v>
      </c>
    </row>
    <row r="6926" spans="1:15" x14ac:dyDescent="0.35">
      <c r="A6926" s="503" t="s">
        <v>2021</v>
      </c>
      <c r="B6926" s="504" t="s">
        <v>3099</v>
      </c>
      <c r="C6926" s="504" t="s">
        <v>1089</v>
      </c>
      <c r="D6926" s="504" t="s">
        <v>3392</v>
      </c>
      <c r="E6926" s="504" t="s">
        <v>3381</v>
      </c>
      <c r="F6926" s="504" t="s">
        <v>850</v>
      </c>
      <c r="G6926" s="504" t="s">
        <v>851</v>
      </c>
      <c r="H6926" s="504" t="s">
        <v>8959</v>
      </c>
      <c r="I6926" s="504">
        <v>24</v>
      </c>
      <c r="J6926" s="504">
        <v>24</v>
      </c>
      <c r="K6926" s="504">
        <v>0</v>
      </c>
      <c r="L6926" s="504">
        <v>0</v>
      </c>
      <c r="M6926" s="504">
        <v>0</v>
      </c>
      <c r="N6926" s="504">
        <v>0</v>
      </c>
      <c r="O6926" s="505">
        <v>0</v>
      </c>
    </row>
    <row r="6927" spans="1:15" x14ac:dyDescent="0.35">
      <c r="A6927" s="500" t="s">
        <v>14331</v>
      </c>
      <c r="B6927" s="501" t="s">
        <v>14330</v>
      </c>
      <c r="C6927" s="501" t="s">
        <v>1089</v>
      </c>
      <c r="D6927" s="501" t="s">
        <v>3392</v>
      </c>
      <c r="E6927" s="501" t="s">
        <v>3381</v>
      </c>
      <c r="F6927" s="501" t="s">
        <v>850</v>
      </c>
      <c r="G6927" s="501" t="s">
        <v>851</v>
      </c>
      <c r="H6927" s="501" t="s">
        <v>15030</v>
      </c>
      <c r="I6927" s="501">
        <v>8</v>
      </c>
      <c r="J6927" s="501">
        <v>0</v>
      </c>
      <c r="K6927" s="501">
        <v>0</v>
      </c>
      <c r="L6927" s="501">
        <v>0</v>
      </c>
      <c r="M6927" s="501">
        <v>8</v>
      </c>
      <c r="N6927" s="501">
        <v>0</v>
      </c>
      <c r="O6927" s="506">
        <v>0</v>
      </c>
    </row>
    <row r="6928" spans="1:15" x14ac:dyDescent="0.35">
      <c r="A6928" s="503" t="s">
        <v>1249</v>
      </c>
      <c r="B6928" s="504">
        <v>4729</v>
      </c>
      <c r="C6928" s="504" t="s">
        <v>1094</v>
      </c>
      <c r="D6928" s="504" t="s">
        <v>3380</v>
      </c>
      <c r="E6928" s="504" t="s">
        <v>3381</v>
      </c>
      <c r="F6928" s="504" t="s">
        <v>850</v>
      </c>
      <c r="G6928" s="504" t="s">
        <v>851</v>
      </c>
      <c r="H6928" s="504" t="s">
        <v>8960</v>
      </c>
      <c r="I6928" s="504">
        <v>56</v>
      </c>
      <c r="J6928" s="504">
        <v>34</v>
      </c>
      <c r="K6928" s="504">
        <v>0</v>
      </c>
      <c r="L6928" s="504">
        <v>0</v>
      </c>
      <c r="M6928" s="504">
        <v>0</v>
      </c>
      <c r="N6928" s="504">
        <v>0</v>
      </c>
      <c r="O6928" s="505">
        <v>22</v>
      </c>
    </row>
    <row r="6929" spans="1:15" x14ac:dyDescent="0.35">
      <c r="A6929" s="500" t="s">
        <v>1262</v>
      </c>
      <c r="B6929" s="501">
        <v>4772</v>
      </c>
      <c r="C6929" s="501" t="s">
        <v>1089</v>
      </c>
      <c r="D6929" s="501" t="s">
        <v>3392</v>
      </c>
      <c r="E6929" s="501" t="s">
        <v>3381</v>
      </c>
      <c r="F6929" s="501" t="s">
        <v>850</v>
      </c>
      <c r="G6929" s="501" t="s">
        <v>851</v>
      </c>
      <c r="H6929" s="501" t="s">
        <v>8961</v>
      </c>
      <c r="I6929" s="501">
        <v>4</v>
      </c>
      <c r="J6929" s="501">
        <v>0</v>
      </c>
      <c r="K6929" s="501">
        <v>0</v>
      </c>
      <c r="L6929" s="501">
        <v>4</v>
      </c>
      <c r="M6929" s="501">
        <v>0</v>
      </c>
      <c r="N6929" s="501">
        <v>0</v>
      </c>
      <c r="O6929" s="506">
        <v>0</v>
      </c>
    </row>
    <row r="6930" spans="1:15" x14ac:dyDescent="0.35">
      <c r="A6930" s="503" t="s">
        <v>1096</v>
      </c>
      <c r="B6930" s="504" t="s">
        <v>3326</v>
      </c>
      <c r="C6930" s="504" t="s">
        <v>1094</v>
      </c>
      <c r="D6930" s="504" t="s">
        <v>3380</v>
      </c>
      <c r="E6930" s="504" t="s">
        <v>3381</v>
      </c>
      <c r="F6930" s="504" t="s">
        <v>852</v>
      </c>
      <c r="G6930" s="504" t="s">
        <v>853</v>
      </c>
      <c r="H6930" s="504" t="s">
        <v>8962</v>
      </c>
      <c r="I6930" s="504">
        <v>477</v>
      </c>
      <c r="J6930" s="504">
        <v>4</v>
      </c>
      <c r="K6930" s="504">
        <v>0</v>
      </c>
      <c r="L6930" s="504">
        <v>0</v>
      </c>
      <c r="M6930" s="504">
        <v>441</v>
      </c>
      <c r="N6930" s="504">
        <v>0</v>
      </c>
      <c r="O6930" s="505">
        <v>32</v>
      </c>
    </row>
    <row r="6931" spans="1:15" x14ac:dyDescent="0.35">
      <c r="A6931" s="500" t="s">
        <v>1676</v>
      </c>
      <c r="B6931" s="501" t="s">
        <v>3046</v>
      </c>
      <c r="C6931" s="501" t="s">
        <v>1089</v>
      </c>
      <c r="D6931" s="501" t="s">
        <v>3392</v>
      </c>
      <c r="E6931" s="501" t="s">
        <v>3381</v>
      </c>
      <c r="F6931" s="501" t="s">
        <v>852</v>
      </c>
      <c r="G6931" s="501" t="s">
        <v>853</v>
      </c>
      <c r="H6931" s="501" t="s">
        <v>8963</v>
      </c>
      <c r="I6931" s="501">
        <v>3</v>
      </c>
      <c r="J6931" s="501">
        <v>0</v>
      </c>
      <c r="K6931" s="501">
        <v>0</v>
      </c>
      <c r="L6931" s="501">
        <v>3</v>
      </c>
      <c r="M6931" s="501">
        <v>0</v>
      </c>
      <c r="N6931" s="501">
        <v>0</v>
      </c>
      <c r="O6931" s="506">
        <v>0</v>
      </c>
    </row>
    <row r="6932" spans="1:15" x14ac:dyDescent="0.35">
      <c r="A6932" s="503" t="s">
        <v>1403</v>
      </c>
      <c r="B6932" s="504">
        <v>4733</v>
      </c>
      <c r="C6932" s="504" t="s">
        <v>1089</v>
      </c>
      <c r="D6932" s="504" t="s">
        <v>3392</v>
      </c>
      <c r="E6932" s="504" t="s">
        <v>3381</v>
      </c>
      <c r="F6932" s="504" t="s">
        <v>852</v>
      </c>
      <c r="G6932" s="504" t="s">
        <v>853</v>
      </c>
      <c r="H6932" s="504" t="s">
        <v>8964</v>
      </c>
      <c r="I6932" s="504">
        <v>5</v>
      </c>
      <c r="J6932" s="504">
        <v>0</v>
      </c>
      <c r="K6932" s="504">
        <v>0</v>
      </c>
      <c r="L6932" s="504">
        <v>5</v>
      </c>
      <c r="M6932" s="504">
        <v>0</v>
      </c>
      <c r="N6932" s="504">
        <v>0</v>
      </c>
      <c r="O6932" s="505">
        <v>0</v>
      </c>
    </row>
    <row r="6933" spans="1:15" x14ac:dyDescent="0.35">
      <c r="A6933" s="500" t="s">
        <v>1696</v>
      </c>
      <c r="B6933" s="501" t="s">
        <v>3074</v>
      </c>
      <c r="C6933" s="501" t="s">
        <v>1089</v>
      </c>
      <c r="D6933" s="501" t="s">
        <v>3392</v>
      </c>
      <c r="E6933" s="501" t="s">
        <v>3381</v>
      </c>
      <c r="F6933" s="501" t="s">
        <v>852</v>
      </c>
      <c r="G6933" s="501" t="s">
        <v>853</v>
      </c>
      <c r="H6933" s="501" t="s">
        <v>8965</v>
      </c>
      <c r="I6933" s="501">
        <v>420</v>
      </c>
      <c r="J6933" s="501">
        <v>357</v>
      </c>
      <c r="K6933" s="501">
        <v>0</v>
      </c>
      <c r="L6933" s="501">
        <v>63</v>
      </c>
      <c r="M6933" s="501">
        <v>0</v>
      </c>
      <c r="N6933" s="501">
        <v>0</v>
      </c>
      <c r="O6933" s="506">
        <v>0</v>
      </c>
    </row>
    <row r="6934" spans="1:15" x14ac:dyDescent="0.35">
      <c r="A6934" s="503" t="s">
        <v>1699</v>
      </c>
      <c r="B6934" s="504">
        <v>4794</v>
      </c>
      <c r="C6934" s="504" t="s">
        <v>1089</v>
      </c>
      <c r="D6934" s="504" t="s">
        <v>3392</v>
      </c>
      <c r="E6934" s="504" t="s">
        <v>3381</v>
      </c>
      <c r="F6934" s="504" t="s">
        <v>852</v>
      </c>
      <c r="G6934" s="504" t="s">
        <v>853</v>
      </c>
      <c r="H6934" s="504" t="s">
        <v>8966</v>
      </c>
      <c r="I6934" s="504">
        <v>88</v>
      </c>
      <c r="J6934" s="504">
        <v>0</v>
      </c>
      <c r="K6934" s="504">
        <v>0</v>
      </c>
      <c r="L6934" s="504">
        <v>88</v>
      </c>
      <c r="M6934" s="504">
        <v>0</v>
      </c>
      <c r="N6934" s="504">
        <v>0</v>
      </c>
      <c r="O6934" s="505">
        <v>0</v>
      </c>
    </row>
    <row r="6935" spans="1:15" x14ac:dyDescent="0.35">
      <c r="A6935" s="500" t="s">
        <v>1177</v>
      </c>
      <c r="B6935" s="501">
        <v>4702</v>
      </c>
      <c r="C6935" s="501" t="s">
        <v>1089</v>
      </c>
      <c r="D6935" s="501" t="s">
        <v>3392</v>
      </c>
      <c r="E6935" s="501" t="s">
        <v>3381</v>
      </c>
      <c r="F6935" s="501" t="s">
        <v>852</v>
      </c>
      <c r="G6935" s="501" t="s">
        <v>853</v>
      </c>
      <c r="H6935" s="501" t="s">
        <v>8967</v>
      </c>
      <c r="I6935" s="501">
        <v>10</v>
      </c>
      <c r="J6935" s="501">
        <v>0</v>
      </c>
      <c r="K6935" s="501">
        <v>0</v>
      </c>
      <c r="L6935" s="501">
        <v>10</v>
      </c>
      <c r="M6935" s="501">
        <v>0</v>
      </c>
      <c r="N6935" s="501">
        <v>0</v>
      </c>
      <c r="O6935" s="506">
        <v>0</v>
      </c>
    </row>
    <row r="6936" spans="1:15" x14ac:dyDescent="0.35">
      <c r="A6936" s="503" t="s">
        <v>14208</v>
      </c>
      <c r="B6936" s="504">
        <v>4803</v>
      </c>
      <c r="C6936" s="504" t="s">
        <v>1094</v>
      </c>
      <c r="D6936" s="504" t="s">
        <v>3380</v>
      </c>
      <c r="E6936" s="504" t="s">
        <v>3381</v>
      </c>
      <c r="F6936" s="504" t="s">
        <v>852</v>
      </c>
      <c r="G6936" s="504" t="s">
        <v>853</v>
      </c>
      <c r="H6936" s="504" t="s">
        <v>15031</v>
      </c>
      <c r="I6936" s="504">
        <v>3</v>
      </c>
      <c r="J6936" s="504">
        <v>0</v>
      </c>
      <c r="K6936" s="504">
        <v>0</v>
      </c>
      <c r="L6936" s="504">
        <v>3</v>
      </c>
      <c r="M6936" s="504">
        <v>0</v>
      </c>
      <c r="N6936" s="504">
        <v>0</v>
      </c>
      <c r="O6936" s="505">
        <v>0</v>
      </c>
    </row>
    <row r="6937" spans="1:15" x14ac:dyDescent="0.35">
      <c r="A6937" s="500" t="s">
        <v>1183</v>
      </c>
      <c r="B6937" s="501" t="s">
        <v>3038</v>
      </c>
      <c r="C6937" s="501" t="s">
        <v>1094</v>
      </c>
      <c r="D6937" s="501" t="s">
        <v>3380</v>
      </c>
      <c r="E6937" s="501" t="s">
        <v>3381</v>
      </c>
      <c r="F6937" s="501" t="s">
        <v>852</v>
      </c>
      <c r="G6937" s="501" t="s">
        <v>853</v>
      </c>
      <c r="H6937" s="501" t="s">
        <v>11714</v>
      </c>
      <c r="I6937" s="501">
        <v>128</v>
      </c>
      <c r="J6937" s="501">
        <v>91</v>
      </c>
      <c r="K6937" s="501">
        <v>0</v>
      </c>
      <c r="L6937" s="501">
        <v>0</v>
      </c>
      <c r="M6937" s="501">
        <v>0</v>
      </c>
      <c r="N6937" s="501">
        <v>0</v>
      </c>
      <c r="O6937" s="506">
        <v>37</v>
      </c>
    </row>
    <row r="6938" spans="1:15" x14ac:dyDescent="0.35">
      <c r="A6938" s="503" t="s">
        <v>1185</v>
      </c>
      <c r="B6938" s="504" t="s">
        <v>3253</v>
      </c>
      <c r="C6938" s="504" t="s">
        <v>1094</v>
      </c>
      <c r="D6938" s="504" t="s">
        <v>3380</v>
      </c>
      <c r="E6938" s="504" t="s">
        <v>3381</v>
      </c>
      <c r="F6938" s="504" t="s">
        <v>852</v>
      </c>
      <c r="G6938" s="504" t="s">
        <v>853</v>
      </c>
      <c r="H6938" s="504" t="s">
        <v>8968</v>
      </c>
      <c r="I6938" s="504">
        <v>41</v>
      </c>
      <c r="J6938" s="504">
        <v>22</v>
      </c>
      <c r="K6938" s="504">
        <v>0</v>
      </c>
      <c r="L6938" s="504">
        <v>18</v>
      </c>
      <c r="M6938" s="504">
        <v>1</v>
      </c>
      <c r="N6938" s="504">
        <v>0</v>
      </c>
      <c r="O6938" s="505">
        <v>0</v>
      </c>
    </row>
    <row r="6939" spans="1:15" x14ac:dyDescent="0.35">
      <c r="A6939" s="500" t="s">
        <v>1186</v>
      </c>
      <c r="B6939" s="501">
        <v>4661</v>
      </c>
      <c r="C6939" s="501" t="s">
        <v>1089</v>
      </c>
      <c r="D6939" s="501" t="s">
        <v>3392</v>
      </c>
      <c r="E6939" s="501" t="s">
        <v>3381</v>
      </c>
      <c r="F6939" s="501" t="s">
        <v>852</v>
      </c>
      <c r="G6939" s="501" t="s">
        <v>853</v>
      </c>
      <c r="H6939" s="501" t="s">
        <v>8969</v>
      </c>
      <c r="I6939" s="501">
        <v>51</v>
      </c>
      <c r="J6939" s="501">
        <v>0</v>
      </c>
      <c r="K6939" s="501">
        <v>0</v>
      </c>
      <c r="L6939" s="501">
        <v>51</v>
      </c>
      <c r="M6939" s="501">
        <v>0</v>
      </c>
      <c r="N6939" s="501">
        <v>0</v>
      </c>
      <c r="O6939" s="506">
        <v>0</v>
      </c>
    </row>
    <row r="6940" spans="1:15" x14ac:dyDescent="0.35">
      <c r="A6940" s="503" t="s">
        <v>1709</v>
      </c>
      <c r="B6940" s="504">
        <v>4791</v>
      </c>
      <c r="C6940" s="504" t="s">
        <v>1089</v>
      </c>
      <c r="D6940" s="504" t="s">
        <v>3392</v>
      </c>
      <c r="E6940" s="504" t="s">
        <v>3381</v>
      </c>
      <c r="F6940" s="504" t="s">
        <v>852</v>
      </c>
      <c r="G6940" s="504" t="s">
        <v>853</v>
      </c>
      <c r="H6940" s="504" t="s">
        <v>8970</v>
      </c>
      <c r="I6940" s="504">
        <v>89</v>
      </c>
      <c r="J6940" s="504">
        <v>0</v>
      </c>
      <c r="K6940" s="504">
        <v>0</v>
      </c>
      <c r="L6940" s="504">
        <v>89</v>
      </c>
      <c r="M6940" s="504">
        <v>0</v>
      </c>
      <c r="N6940" s="504">
        <v>0</v>
      </c>
      <c r="O6940" s="505">
        <v>0</v>
      </c>
    </row>
    <row r="6941" spans="1:15" x14ac:dyDescent="0.35">
      <c r="A6941" s="500" t="s">
        <v>1188</v>
      </c>
      <c r="B6941" s="501">
        <v>4760</v>
      </c>
      <c r="C6941" s="501" t="s">
        <v>1089</v>
      </c>
      <c r="D6941" s="501" t="s">
        <v>3392</v>
      </c>
      <c r="E6941" s="501" t="s">
        <v>3381</v>
      </c>
      <c r="F6941" s="501" t="s">
        <v>852</v>
      </c>
      <c r="G6941" s="501" t="s">
        <v>853</v>
      </c>
      <c r="H6941" s="501" t="s">
        <v>8971</v>
      </c>
      <c r="I6941" s="501">
        <v>11</v>
      </c>
      <c r="J6941" s="501">
        <v>0</v>
      </c>
      <c r="K6941" s="501">
        <v>0</v>
      </c>
      <c r="L6941" s="501">
        <v>11</v>
      </c>
      <c r="M6941" s="501">
        <v>0</v>
      </c>
      <c r="N6941" s="501">
        <v>0</v>
      </c>
      <c r="O6941" s="506">
        <v>0</v>
      </c>
    </row>
    <row r="6942" spans="1:15" x14ac:dyDescent="0.35">
      <c r="A6942" s="503" t="s">
        <v>1109</v>
      </c>
      <c r="B6942" s="504" t="s">
        <v>2959</v>
      </c>
      <c r="C6942" s="504" t="s">
        <v>1094</v>
      </c>
      <c r="D6942" s="504" t="s">
        <v>3380</v>
      </c>
      <c r="E6942" s="504" t="s">
        <v>3381</v>
      </c>
      <c r="F6942" s="504" t="s">
        <v>852</v>
      </c>
      <c r="G6942" s="504" t="s">
        <v>853</v>
      </c>
      <c r="H6942" s="504" t="s">
        <v>8972</v>
      </c>
      <c r="I6942" s="504">
        <v>195</v>
      </c>
      <c r="J6942" s="504">
        <v>0</v>
      </c>
      <c r="K6942" s="504">
        <v>0</v>
      </c>
      <c r="L6942" s="504">
        <v>0</v>
      </c>
      <c r="M6942" s="504">
        <v>195</v>
      </c>
      <c r="N6942" s="504">
        <v>0</v>
      </c>
      <c r="O6942" s="505">
        <v>0</v>
      </c>
    </row>
    <row r="6943" spans="1:15" x14ac:dyDescent="0.35">
      <c r="A6943" s="500" t="s">
        <v>1633</v>
      </c>
      <c r="B6943" s="501">
        <v>4713</v>
      </c>
      <c r="C6943" s="501" t="s">
        <v>1089</v>
      </c>
      <c r="D6943" s="501" t="s">
        <v>3392</v>
      </c>
      <c r="E6943" s="501" t="s">
        <v>3381</v>
      </c>
      <c r="F6943" s="501" t="s">
        <v>852</v>
      </c>
      <c r="G6943" s="501" t="s">
        <v>853</v>
      </c>
      <c r="H6943" s="501" t="s">
        <v>8973</v>
      </c>
      <c r="I6943" s="501">
        <v>5</v>
      </c>
      <c r="J6943" s="501">
        <v>0</v>
      </c>
      <c r="K6943" s="501">
        <v>0</v>
      </c>
      <c r="L6943" s="501">
        <v>5</v>
      </c>
      <c r="M6943" s="501">
        <v>0</v>
      </c>
      <c r="N6943" s="501">
        <v>0</v>
      </c>
      <c r="O6943" s="506">
        <v>0</v>
      </c>
    </row>
    <row r="6944" spans="1:15" x14ac:dyDescent="0.35">
      <c r="A6944" s="503" t="s">
        <v>11401</v>
      </c>
      <c r="B6944" s="504" t="s">
        <v>3241</v>
      </c>
      <c r="C6944" s="504" t="s">
        <v>1094</v>
      </c>
      <c r="D6944" s="504" t="s">
        <v>3380</v>
      </c>
      <c r="E6944" s="504" t="s">
        <v>3381</v>
      </c>
      <c r="F6944" s="504" t="s">
        <v>852</v>
      </c>
      <c r="G6944" s="504" t="s">
        <v>853</v>
      </c>
      <c r="H6944" s="504" t="s">
        <v>11787</v>
      </c>
      <c r="I6944" s="504">
        <v>1444</v>
      </c>
      <c r="J6944" s="504">
        <v>994</v>
      </c>
      <c r="K6944" s="504">
        <v>0</v>
      </c>
      <c r="L6944" s="504">
        <v>50</v>
      </c>
      <c r="M6944" s="504">
        <v>283</v>
      </c>
      <c r="N6944" s="504">
        <v>1</v>
      </c>
      <c r="O6944" s="505">
        <v>117</v>
      </c>
    </row>
    <row r="6945" spans="1:15" x14ac:dyDescent="0.35">
      <c r="A6945" s="500" t="s">
        <v>1728</v>
      </c>
      <c r="B6945" s="501" t="s">
        <v>2702</v>
      </c>
      <c r="C6945" s="501" t="s">
        <v>1089</v>
      </c>
      <c r="D6945" s="501" t="s">
        <v>3392</v>
      </c>
      <c r="E6945" s="501" t="s">
        <v>3381</v>
      </c>
      <c r="F6945" s="501" t="s">
        <v>852</v>
      </c>
      <c r="G6945" s="501" t="s">
        <v>853</v>
      </c>
      <c r="H6945" s="501" t="s">
        <v>8974</v>
      </c>
      <c r="I6945" s="501">
        <v>13</v>
      </c>
      <c r="J6945" s="501">
        <v>13</v>
      </c>
      <c r="K6945" s="501">
        <v>0</v>
      </c>
      <c r="L6945" s="501">
        <v>0</v>
      </c>
      <c r="M6945" s="501">
        <v>0</v>
      </c>
      <c r="N6945" s="501">
        <v>0</v>
      </c>
      <c r="O6945" s="506">
        <v>0</v>
      </c>
    </row>
    <row r="6946" spans="1:15" x14ac:dyDescent="0.35">
      <c r="A6946" s="503" t="s">
        <v>1209</v>
      </c>
      <c r="B6946" s="504">
        <v>4779</v>
      </c>
      <c r="C6946" s="504" t="s">
        <v>1094</v>
      </c>
      <c r="D6946" s="504" t="s">
        <v>3380</v>
      </c>
      <c r="E6946" s="504" t="s">
        <v>3381</v>
      </c>
      <c r="F6946" s="504" t="s">
        <v>852</v>
      </c>
      <c r="G6946" s="504" t="s">
        <v>853</v>
      </c>
      <c r="H6946" s="504" t="s">
        <v>8975</v>
      </c>
      <c r="I6946" s="504">
        <v>19</v>
      </c>
      <c r="J6946" s="504">
        <v>0</v>
      </c>
      <c r="K6946" s="504">
        <v>0</v>
      </c>
      <c r="L6946" s="504">
        <v>19</v>
      </c>
      <c r="M6946" s="504">
        <v>0</v>
      </c>
      <c r="N6946" s="504">
        <v>0</v>
      </c>
      <c r="O6946" s="505">
        <v>0</v>
      </c>
    </row>
    <row r="6947" spans="1:15" x14ac:dyDescent="0.35">
      <c r="A6947" s="500" t="s">
        <v>1743</v>
      </c>
      <c r="B6947" s="501">
        <v>4804</v>
      </c>
      <c r="C6947" s="501" t="s">
        <v>1094</v>
      </c>
      <c r="D6947" s="501" t="s">
        <v>3380</v>
      </c>
      <c r="E6947" s="501" t="s">
        <v>3381</v>
      </c>
      <c r="F6947" s="501" t="s">
        <v>852</v>
      </c>
      <c r="G6947" s="501" t="s">
        <v>853</v>
      </c>
      <c r="H6947" s="501" t="s">
        <v>8976</v>
      </c>
      <c r="I6947" s="501">
        <v>10608</v>
      </c>
      <c r="J6947" s="501">
        <v>9669</v>
      </c>
      <c r="K6947" s="501">
        <v>0</v>
      </c>
      <c r="L6947" s="501">
        <v>893</v>
      </c>
      <c r="M6947" s="501">
        <v>0</v>
      </c>
      <c r="N6947" s="501">
        <v>0</v>
      </c>
      <c r="O6947" s="506">
        <v>46</v>
      </c>
    </row>
    <row r="6948" spans="1:15" x14ac:dyDescent="0.35">
      <c r="A6948" s="503" t="s">
        <v>1744</v>
      </c>
      <c r="B6948" s="504" t="s">
        <v>3245</v>
      </c>
      <c r="C6948" s="504" t="s">
        <v>1094</v>
      </c>
      <c r="D6948" s="504" t="s">
        <v>3380</v>
      </c>
      <c r="E6948" s="504" t="s">
        <v>3381</v>
      </c>
      <c r="F6948" s="504" t="s">
        <v>852</v>
      </c>
      <c r="G6948" s="504" t="s">
        <v>853</v>
      </c>
      <c r="H6948" s="504" t="s">
        <v>8977</v>
      </c>
      <c r="I6948" s="504">
        <v>421</v>
      </c>
      <c r="J6948" s="504">
        <v>278</v>
      </c>
      <c r="K6948" s="504">
        <v>0</v>
      </c>
      <c r="L6948" s="504">
        <v>93</v>
      </c>
      <c r="M6948" s="504">
        <v>0</v>
      </c>
      <c r="N6948" s="504">
        <v>18</v>
      </c>
      <c r="O6948" s="505">
        <v>50</v>
      </c>
    </row>
    <row r="6949" spans="1:15" x14ac:dyDescent="0.35">
      <c r="A6949" s="500" t="s">
        <v>1122</v>
      </c>
      <c r="B6949" s="501" t="s">
        <v>2994</v>
      </c>
      <c r="C6949" s="501" t="s">
        <v>1094</v>
      </c>
      <c r="D6949" s="501" t="s">
        <v>3380</v>
      </c>
      <c r="E6949" s="501" t="s">
        <v>3381</v>
      </c>
      <c r="F6949" s="501" t="s">
        <v>852</v>
      </c>
      <c r="G6949" s="501" t="s">
        <v>853</v>
      </c>
      <c r="H6949" s="501" t="s">
        <v>8978</v>
      </c>
      <c r="I6949" s="501">
        <v>145</v>
      </c>
      <c r="J6949" s="501">
        <v>145</v>
      </c>
      <c r="K6949" s="501">
        <v>0</v>
      </c>
      <c r="L6949" s="501">
        <v>0</v>
      </c>
      <c r="M6949" s="501">
        <v>0</v>
      </c>
      <c r="N6949" s="501">
        <v>0</v>
      </c>
      <c r="O6949" s="506">
        <v>0</v>
      </c>
    </row>
    <row r="6950" spans="1:15" x14ac:dyDescent="0.35">
      <c r="A6950" s="503" t="s">
        <v>1748</v>
      </c>
      <c r="B6950" s="504" t="s">
        <v>3233</v>
      </c>
      <c r="C6950" s="504" t="s">
        <v>1094</v>
      </c>
      <c r="D6950" s="504" t="s">
        <v>3380</v>
      </c>
      <c r="E6950" s="504" t="s">
        <v>3381</v>
      </c>
      <c r="F6950" s="504" t="s">
        <v>852</v>
      </c>
      <c r="G6950" s="504" t="s">
        <v>853</v>
      </c>
      <c r="H6950" s="504" t="s">
        <v>8979</v>
      </c>
      <c r="I6950" s="504">
        <v>861</v>
      </c>
      <c r="J6950" s="504">
        <v>775</v>
      </c>
      <c r="K6950" s="504">
        <v>0</v>
      </c>
      <c r="L6950" s="504">
        <v>26</v>
      </c>
      <c r="M6950" s="504">
        <v>45</v>
      </c>
      <c r="N6950" s="504">
        <v>0</v>
      </c>
      <c r="O6950" s="505">
        <v>15</v>
      </c>
    </row>
    <row r="6951" spans="1:15" x14ac:dyDescent="0.35">
      <c r="A6951" s="500" t="s">
        <v>14287</v>
      </c>
      <c r="B6951" s="501" t="s">
        <v>3028</v>
      </c>
      <c r="C6951" s="501" t="s">
        <v>1094</v>
      </c>
      <c r="D6951" s="501" t="s">
        <v>3380</v>
      </c>
      <c r="E6951" s="501" t="s">
        <v>3381</v>
      </c>
      <c r="F6951" s="501" t="s">
        <v>852</v>
      </c>
      <c r="G6951" s="501" t="s">
        <v>853</v>
      </c>
      <c r="H6951" s="501" t="s">
        <v>15032</v>
      </c>
      <c r="I6951" s="501">
        <v>575</v>
      </c>
      <c r="J6951" s="501">
        <v>408</v>
      </c>
      <c r="K6951" s="501">
        <v>0</v>
      </c>
      <c r="L6951" s="501">
        <v>16</v>
      </c>
      <c r="M6951" s="501">
        <v>144</v>
      </c>
      <c r="N6951" s="501">
        <v>0</v>
      </c>
      <c r="O6951" s="506">
        <v>7</v>
      </c>
    </row>
    <row r="6952" spans="1:15" x14ac:dyDescent="0.35">
      <c r="A6952" s="503" t="s">
        <v>1228</v>
      </c>
      <c r="B6952" s="504" t="s">
        <v>3321</v>
      </c>
      <c r="C6952" s="504" t="s">
        <v>1094</v>
      </c>
      <c r="D6952" s="504" t="s">
        <v>3380</v>
      </c>
      <c r="E6952" s="504" t="s">
        <v>3381</v>
      </c>
      <c r="F6952" s="504" t="s">
        <v>852</v>
      </c>
      <c r="G6952" s="504" t="s">
        <v>853</v>
      </c>
      <c r="H6952" s="504" t="s">
        <v>8980</v>
      </c>
      <c r="I6952" s="504">
        <v>26</v>
      </c>
      <c r="J6952" s="504">
        <v>0</v>
      </c>
      <c r="K6952" s="504">
        <v>0</v>
      </c>
      <c r="L6952" s="504">
        <v>26</v>
      </c>
      <c r="M6952" s="504">
        <v>0</v>
      </c>
      <c r="N6952" s="504">
        <v>0</v>
      </c>
      <c r="O6952" s="505">
        <v>0</v>
      </c>
    </row>
    <row r="6953" spans="1:15" x14ac:dyDescent="0.35">
      <c r="A6953" s="500" t="s">
        <v>1751</v>
      </c>
      <c r="B6953" s="501" t="s">
        <v>3012</v>
      </c>
      <c r="C6953" s="501" t="s">
        <v>1094</v>
      </c>
      <c r="D6953" s="501" t="s">
        <v>3392</v>
      </c>
      <c r="E6953" s="501" t="s">
        <v>3381</v>
      </c>
      <c r="F6953" s="501" t="s">
        <v>852</v>
      </c>
      <c r="G6953" s="501" t="s">
        <v>853</v>
      </c>
      <c r="H6953" s="501" t="s">
        <v>8981</v>
      </c>
      <c r="I6953" s="501">
        <v>38</v>
      </c>
      <c r="J6953" s="501">
        <v>38</v>
      </c>
      <c r="K6953" s="501">
        <v>0</v>
      </c>
      <c r="L6953" s="501">
        <v>0</v>
      </c>
      <c r="M6953" s="501">
        <v>0</v>
      </c>
      <c r="N6953" s="501">
        <v>0</v>
      </c>
      <c r="O6953" s="506">
        <v>0</v>
      </c>
    </row>
    <row r="6954" spans="1:15" x14ac:dyDescent="0.35">
      <c r="A6954" s="503" t="s">
        <v>1752</v>
      </c>
      <c r="B6954" s="504">
        <v>4653</v>
      </c>
      <c r="C6954" s="504" t="s">
        <v>1094</v>
      </c>
      <c r="D6954" s="504" t="s">
        <v>3380</v>
      </c>
      <c r="E6954" s="504" t="s">
        <v>3381</v>
      </c>
      <c r="F6954" s="504" t="s">
        <v>852</v>
      </c>
      <c r="G6954" s="504" t="s">
        <v>853</v>
      </c>
      <c r="H6954" s="504" t="s">
        <v>8982</v>
      </c>
      <c r="I6954" s="504">
        <v>394</v>
      </c>
      <c r="J6954" s="504">
        <v>230</v>
      </c>
      <c r="K6954" s="504">
        <v>0</v>
      </c>
      <c r="L6954" s="504">
        <v>6</v>
      </c>
      <c r="M6954" s="504">
        <v>0</v>
      </c>
      <c r="N6954" s="504">
        <v>0</v>
      </c>
      <c r="O6954" s="505">
        <v>158</v>
      </c>
    </row>
    <row r="6955" spans="1:15" x14ac:dyDescent="0.35">
      <c r="A6955" s="500" t="s">
        <v>1126</v>
      </c>
      <c r="B6955" s="501" t="s">
        <v>2974</v>
      </c>
      <c r="C6955" s="501" t="s">
        <v>1094</v>
      </c>
      <c r="D6955" s="501" t="s">
        <v>3380</v>
      </c>
      <c r="E6955" s="501" t="s">
        <v>3381</v>
      </c>
      <c r="F6955" s="501" t="s">
        <v>852</v>
      </c>
      <c r="G6955" s="501" t="s">
        <v>853</v>
      </c>
      <c r="H6955" s="501" t="s">
        <v>8983</v>
      </c>
      <c r="I6955" s="501">
        <v>374</v>
      </c>
      <c r="J6955" s="501">
        <v>274</v>
      </c>
      <c r="K6955" s="501">
        <v>0</v>
      </c>
      <c r="L6955" s="501">
        <v>89</v>
      </c>
      <c r="M6955" s="501">
        <v>0</v>
      </c>
      <c r="N6955" s="501">
        <v>0</v>
      </c>
      <c r="O6955" s="506">
        <v>11</v>
      </c>
    </row>
    <row r="6956" spans="1:15" x14ac:dyDescent="0.35">
      <c r="A6956" s="503" t="s">
        <v>1245</v>
      </c>
      <c r="B6956" s="504" t="s">
        <v>2859</v>
      </c>
      <c r="C6956" s="504" t="s">
        <v>1094</v>
      </c>
      <c r="D6956" s="504" t="s">
        <v>3380</v>
      </c>
      <c r="E6956" s="504" t="s">
        <v>3381</v>
      </c>
      <c r="F6956" s="504" t="s">
        <v>852</v>
      </c>
      <c r="G6956" s="504" t="s">
        <v>853</v>
      </c>
      <c r="H6956" s="504" t="s">
        <v>8984</v>
      </c>
      <c r="I6956" s="504">
        <v>52</v>
      </c>
      <c r="J6956" s="504">
        <v>0</v>
      </c>
      <c r="K6956" s="504">
        <v>0</v>
      </c>
      <c r="L6956" s="504">
        <v>0</v>
      </c>
      <c r="M6956" s="504">
        <v>52</v>
      </c>
      <c r="N6956" s="504">
        <v>0</v>
      </c>
      <c r="O6956" s="505">
        <v>0</v>
      </c>
    </row>
    <row r="6957" spans="1:15" x14ac:dyDescent="0.35">
      <c r="A6957" s="500" t="s">
        <v>1253</v>
      </c>
      <c r="B6957" s="501" t="s">
        <v>3232</v>
      </c>
      <c r="C6957" s="501" t="s">
        <v>1094</v>
      </c>
      <c r="D6957" s="501" t="s">
        <v>3380</v>
      </c>
      <c r="E6957" s="501" t="s">
        <v>3381</v>
      </c>
      <c r="F6957" s="501" t="s">
        <v>852</v>
      </c>
      <c r="G6957" s="501" t="s">
        <v>853</v>
      </c>
      <c r="H6957" s="501" t="s">
        <v>8985</v>
      </c>
      <c r="I6957" s="501">
        <v>2436</v>
      </c>
      <c r="J6957" s="501">
        <v>1668</v>
      </c>
      <c r="K6957" s="501">
        <v>0</v>
      </c>
      <c r="L6957" s="501">
        <v>115</v>
      </c>
      <c r="M6957" s="501">
        <v>458</v>
      </c>
      <c r="N6957" s="501">
        <v>0</v>
      </c>
      <c r="O6957" s="506">
        <v>195</v>
      </c>
    </row>
    <row r="6958" spans="1:15" x14ac:dyDescent="0.35">
      <c r="A6958" s="503" t="s">
        <v>1779</v>
      </c>
      <c r="B6958" s="504">
        <v>5065</v>
      </c>
      <c r="C6958" s="504" t="s">
        <v>1094</v>
      </c>
      <c r="D6958" s="504" t="s">
        <v>3380</v>
      </c>
      <c r="E6958" s="504" t="s">
        <v>3381</v>
      </c>
      <c r="F6958" s="504" t="s">
        <v>852</v>
      </c>
      <c r="G6958" s="504" t="s">
        <v>853</v>
      </c>
      <c r="H6958" s="504" t="s">
        <v>8986</v>
      </c>
      <c r="I6958" s="504">
        <v>230</v>
      </c>
      <c r="J6958" s="504">
        <v>146</v>
      </c>
      <c r="K6958" s="504">
        <v>0</v>
      </c>
      <c r="L6958" s="504">
        <v>0</v>
      </c>
      <c r="M6958" s="504">
        <v>0</v>
      </c>
      <c r="N6958" s="504">
        <v>0</v>
      </c>
      <c r="O6958" s="505">
        <v>84</v>
      </c>
    </row>
    <row r="6959" spans="1:15" x14ac:dyDescent="0.35">
      <c r="A6959" s="500" t="s">
        <v>1260</v>
      </c>
      <c r="B6959" s="501">
        <v>4645</v>
      </c>
      <c r="C6959" s="501" t="s">
        <v>1089</v>
      </c>
      <c r="D6959" s="501" t="s">
        <v>3392</v>
      </c>
      <c r="E6959" s="501" t="s">
        <v>3381</v>
      </c>
      <c r="F6959" s="501" t="s">
        <v>852</v>
      </c>
      <c r="G6959" s="501" t="s">
        <v>853</v>
      </c>
      <c r="H6959" s="501" t="s">
        <v>8987</v>
      </c>
      <c r="I6959" s="501">
        <v>3</v>
      </c>
      <c r="J6959" s="501">
        <v>0</v>
      </c>
      <c r="K6959" s="501">
        <v>0</v>
      </c>
      <c r="L6959" s="501">
        <v>3</v>
      </c>
      <c r="M6959" s="501">
        <v>0</v>
      </c>
      <c r="N6959" s="501">
        <v>0</v>
      </c>
      <c r="O6959" s="506">
        <v>0</v>
      </c>
    </row>
    <row r="6960" spans="1:15" x14ac:dyDescent="0.35">
      <c r="A6960" s="503" t="s">
        <v>1266</v>
      </c>
      <c r="B6960" s="504" t="s">
        <v>3071</v>
      </c>
      <c r="C6960" s="504" t="s">
        <v>1094</v>
      </c>
      <c r="D6960" s="504" t="s">
        <v>3380</v>
      </c>
      <c r="E6960" s="504" t="s">
        <v>3381</v>
      </c>
      <c r="F6960" s="504" t="s">
        <v>852</v>
      </c>
      <c r="G6960" s="504" t="s">
        <v>853</v>
      </c>
      <c r="H6960" s="504" t="s">
        <v>8988</v>
      </c>
      <c r="I6960" s="504">
        <v>425</v>
      </c>
      <c r="J6960" s="504">
        <v>362</v>
      </c>
      <c r="K6960" s="504">
        <v>0</v>
      </c>
      <c r="L6960" s="504">
        <v>24</v>
      </c>
      <c r="M6960" s="504">
        <v>0</v>
      </c>
      <c r="N6960" s="504">
        <v>0</v>
      </c>
      <c r="O6960" s="505">
        <v>39</v>
      </c>
    </row>
    <row r="6961" spans="1:15" x14ac:dyDescent="0.35">
      <c r="A6961" s="500" t="s">
        <v>1143</v>
      </c>
      <c r="B6961" s="501" t="s">
        <v>3281</v>
      </c>
      <c r="C6961" s="501" t="s">
        <v>1094</v>
      </c>
      <c r="D6961" s="501" t="s">
        <v>3380</v>
      </c>
      <c r="E6961" s="501" t="s">
        <v>3381</v>
      </c>
      <c r="F6961" s="501" t="s">
        <v>854</v>
      </c>
      <c r="G6961" s="501" t="s">
        <v>855</v>
      </c>
      <c r="H6961" s="501" t="s">
        <v>8989</v>
      </c>
      <c r="I6961" s="501">
        <v>2</v>
      </c>
      <c r="J6961" s="501">
        <v>0</v>
      </c>
      <c r="K6961" s="501">
        <v>0</v>
      </c>
      <c r="L6961" s="501">
        <v>0</v>
      </c>
      <c r="M6961" s="501">
        <v>0</v>
      </c>
      <c r="N6961" s="501">
        <v>0</v>
      </c>
      <c r="O6961" s="506">
        <v>2</v>
      </c>
    </row>
    <row r="6962" spans="1:15" x14ac:dyDescent="0.35">
      <c r="A6962" s="503" t="s">
        <v>1096</v>
      </c>
      <c r="B6962" s="504" t="s">
        <v>3326</v>
      </c>
      <c r="C6962" s="504" t="s">
        <v>1094</v>
      </c>
      <c r="D6962" s="504" t="s">
        <v>3380</v>
      </c>
      <c r="E6962" s="504" t="s">
        <v>3381</v>
      </c>
      <c r="F6962" s="504" t="s">
        <v>854</v>
      </c>
      <c r="G6962" s="504" t="s">
        <v>855</v>
      </c>
      <c r="H6962" s="504" t="s">
        <v>8990</v>
      </c>
      <c r="I6962" s="504">
        <v>193</v>
      </c>
      <c r="J6962" s="504">
        <v>0</v>
      </c>
      <c r="K6962" s="504">
        <v>0</v>
      </c>
      <c r="L6962" s="504">
        <v>0</v>
      </c>
      <c r="M6962" s="504">
        <v>186</v>
      </c>
      <c r="N6962" s="504">
        <v>0</v>
      </c>
      <c r="O6962" s="505">
        <v>7</v>
      </c>
    </row>
    <row r="6963" spans="1:15" x14ac:dyDescent="0.35">
      <c r="A6963" s="500" t="s">
        <v>1621</v>
      </c>
      <c r="B6963" s="501" t="s">
        <v>3319</v>
      </c>
      <c r="C6963" s="501" t="s">
        <v>1094</v>
      </c>
      <c r="D6963" s="501" t="s">
        <v>3380</v>
      </c>
      <c r="E6963" s="501" t="s">
        <v>3381</v>
      </c>
      <c r="F6963" s="501" t="s">
        <v>854</v>
      </c>
      <c r="G6963" s="501" t="s">
        <v>855</v>
      </c>
      <c r="H6963" s="501" t="s">
        <v>8991</v>
      </c>
      <c r="I6963" s="501">
        <v>274</v>
      </c>
      <c r="J6963" s="501">
        <v>261</v>
      </c>
      <c r="K6963" s="501">
        <v>0</v>
      </c>
      <c r="L6963" s="501">
        <v>0</v>
      </c>
      <c r="M6963" s="501">
        <v>0</v>
      </c>
      <c r="N6963" s="501">
        <v>0</v>
      </c>
      <c r="O6963" s="506">
        <v>13</v>
      </c>
    </row>
    <row r="6964" spans="1:15" x14ac:dyDescent="0.35">
      <c r="A6964" s="503" t="s">
        <v>14208</v>
      </c>
      <c r="B6964" s="504">
        <v>4803</v>
      </c>
      <c r="C6964" s="504" t="s">
        <v>1094</v>
      </c>
      <c r="D6964" s="504" t="s">
        <v>3380</v>
      </c>
      <c r="E6964" s="504" t="s">
        <v>3381</v>
      </c>
      <c r="F6964" s="504" t="s">
        <v>854</v>
      </c>
      <c r="G6964" s="504" t="s">
        <v>855</v>
      </c>
      <c r="H6964" s="504" t="s">
        <v>15033</v>
      </c>
      <c r="I6964" s="504">
        <v>10</v>
      </c>
      <c r="J6964" s="504">
        <v>0</v>
      </c>
      <c r="K6964" s="504">
        <v>0</v>
      </c>
      <c r="L6964" s="504">
        <v>10</v>
      </c>
      <c r="M6964" s="504">
        <v>0</v>
      </c>
      <c r="N6964" s="504">
        <v>0</v>
      </c>
      <c r="O6964" s="505">
        <v>0</v>
      </c>
    </row>
    <row r="6965" spans="1:15" x14ac:dyDescent="0.35">
      <c r="A6965" s="500" t="s">
        <v>1105</v>
      </c>
      <c r="B6965" s="501">
        <v>4668</v>
      </c>
      <c r="C6965" s="501" t="s">
        <v>1094</v>
      </c>
      <c r="D6965" s="501" t="s">
        <v>3380</v>
      </c>
      <c r="E6965" s="501" t="s">
        <v>3381</v>
      </c>
      <c r="F6965" s="501" t="s">
        <v>854</v>
      </c>
      <c r="G6965" s="501" t="s">
        <v>855</v>
      </c>
      <c r="H6965" s="501" t="s">
        <v>8992</v>
      </c>
      <c r="I6965" s="501">
        <v>40</v>
      </c>
      <c r="J6965" s="501">
        <v>0</v>
      </c>
      <c r="K6965" s="501">
        <v>0</v>
      </c>
      <c r="L6965" s="501">
        <v>0</v>
      </c>
      <c r="M6965" s="501">
        <v>0</v>
      </c>
      <c r="N6965" s="501">
        <v>0</v>
      </c>
      <c r="O6965" s="506">
        <v>40</v>
      </c>
    </row>
    <row r="6966" spans="1:15" x14ac:dyDescent="0.35">
      <c r="A6966" s="503" t="s">
        <v>1107</v>
      </c>
      <c r="B6966" s="504" t="s">
        <v>3109</v>
      </c>
      <c r="C6966" s="504" t="s">
        <v>1094</v>
      </c>
      <c r="D6966" s="504" t="s">
        <v>3380</v>
      </c>
      <c r="E6966" s="504" t="s">
        <v>3381</v>
      </c>
      <c r="F6966" s="504" t="s">
        <v>854</v>
      </c>
      <c r="G6966" s="504" t="s">
        <v>855</v>
      </c>
      <c r="H6966" s="504" t="s">
        <v>8993</v>
      </c>
      <c r="I6966" s="504">
        <v>152</v>
      </c>
      <c r="J6966" s="504">
        <v>119</v>
      </c>
      <c r="K6966" s="504">
        <v>0</v>
      </c>
      <c r="L6966" s="504">
        <v>0</v>
      </c>
      <c r="M6966" s="504">
        <v>0</v>
      </c>
      <c r="N6966" s="504">
        <v>0</v>
      </c>
      <c r="O6966" s="505">
        <v>33</v>
      </c>
    </row>
    <row r="6967" spans="1:15" x14ac:dyDescent="0.35">
      <c r="A6967" s="500" t="s">
        <v>1638</v>
      </c>
      <c r="B6967" s="501">
        <v>5079</v>
      </c>
      <c r="C6967" s="501" t="s">
        <v>1094</v>
      </c>
      <c r="D6967" s="501" t="s">
        <v>3380</v>
      </c>
      <c r="E6967" s="501" t="s">
        <v>3381</v>
      </c>
      <c r="F6967" s="501" t="s">
        <v>854</v>
      </c>
      <c r="G6967" s="501" t="s">
        <v>855</v>
      </c>
      <c r="H6967" s="501" t="s">
        <v>8994</v>
      </c>
      <c r="I6967" s="501">
        <v>18</v>
      </c>
      <c r="J6967" s="501">
        <v>1</v>
      </c>
      <c r="K6967" s="501">
        <v>0</v>
      </c>
      <c r="L6967" s="501">
        <v>0</v>
      </c>
      <c r="M6967" s="501">
        <v>7</v>
      </c>
      <c r="N6967" s="501">
        <v>0</v>
      </c>
      <c r="O6967" s="506">
        <v>10</v>
      </c>
    </row>
    <row r="6968" spans="1:15" x14ac:dyDescent="0.35">
      <c r="A6968" s="503" t="s">
        <v>1639</v>
      </c>
      <c r="B6968" s="504">
        <v>4846</v>
      </c>
      <c r="C6968" s="504" t="s">
        <v>1094</v>
      </c>
      <c r="D6968" s="504" t="s">
        <v>3380</v>
      </c>
      <c r="E6968" s="504" t="s">
        <v>3381</v>
      </c>
      <c r="F6968" s="504" t="s">
        <v>854</v>
      </c>
      <c r="G6968" s="504" t="s">
        <v>855</v>
      </c>
      <c r="H6968" s="504" t="s">
        <v>8995</v>
      </c>
      <c r="I6968" s="504">
        <v>25</v>
      </c>
      <c r="J6968" s="504">
        <v>25</v>
      </c>
      <c r="K6968" s="504">
        <v>0</v>
      </c>
      <c r="L6968" s="504">
        <v>0</v>
      </c>
      <c r="M6968" s="504">
        <v>0</v>
      </c>
      <c r="N6968" s="504">
        <v>0</v>
      </c>
      <c r="O6968" s="505">
        <v>0</v>
      </c>
    </row>
    <row r="6969" spans="1:15" x14ac:dyDescent="0.35">
      <c r="A6969" s="500" t="s">
        <v>1196</v>
      </c>
      <c r="B6969" s="501" t="s">
        <v>3269</v>
      </c>
      <c r="C6969" s="501" t="s">
        <v>1094</v>
      </c>
      <c r="D6969" s="501" t="s">
        <v>3380</v>
      </c>
      <c r="E6969" s="501" t="s">
        <v>3381</v>
      </c>
      <c r="F6969" s="501" t="s">
        <v>854</v>
      </c>
      <c r="G6969" s="501" t="s">
        <v>855</v>
      </c>
      <c r="H6969" s="501" t="s">
        <v>8996</v>
      </c>
      <c r="I6969" s="501">
        <v>54</v>
      </c>
      <c r="J6969" s="501">
        <v>30</v>
      </c>
      <c r="K6969" s="501">
        <v>0</v>
      </c>
      <c r="L6969" s="501">
        <v>0</v>
      </c>
      <c r="M6969" s="501">
        <v>0</v>
      </c>
      <c r="N6969" s="501">
        <v>0</v>
      </c>
      <c r="O6969" s="506">
        <v>24</v>
      </c>
    </row>
    <row r="6970" spans="1:15" x14ac:dyDescent="0.35">
      <c r="A6970" s="503" t="s">
        <v>1122</v>
      </c>
      <c r="B6970" s="504" t="s">
        <v>2994</v>
      </c>
      <c r="C6970" s="504" t="s">
        <v>1094</v>
      </c>
      <c r="D6970" s="504" t="s">
        <v>3380</v>
      </c>
      <c r="E6970" s="504" t="s">
        <v>3381</v>
      </c>
      <c r="F6970" s="504" t="s">
        <v>854</v>
      </c>
      <c r="G6970" s="504" t="s">
        <v>855</v>
      </c>
      <c r="H6970" s="504" t="s">
        <v>8997</v>
      </c>
      <c r="I6970" s="504">
        <v>150</v>
      </c>
      <c r="J6970" s="504">
        <v>147</v>
      </c>
      <c r="K6970" s="504">
        <v>0</v>
      </c>
      <c r="L6970" s="504">
        <v>0</v>
      </c>
      <c r="M6970" s="504">
        <v>0</v>
      </c>
      <c r="N6970" s="504">
        <v>0</v>
      </c>
      <c r="O6970" s="505">
        <v>3</v>
      </c>
    </row>
    <row r="6971" spans="1:15" x14ac:dyDescent="0.35">
      <c r="A6971" s="500" t="s">
        <v>1228</v>
      </c>
      <c r="B6971" s="501" t="s">
        <v>3321</v>
      </c>
      <c r="C6971" s="501" t="s">
        <v>1094</v>
      </c>
      <c r="D6971" s="501" t="s">
        <v>3380</v>
      </c>
      <c r="E6971" s="501" t="s">
        <v>3381</v>
      </c>
      <c r="F6971" s="501" t="s">
        <v>854</v>
      </c>
      <c r="G6971" s="501" t="s">
        <v>855</v>
      </c>
      <c r="H6971" s="501" t="s">
        <v>8998</v>
      </c>
      <c r="I6971" s="501">
        <v>4</v>
      </c>
      <c r="J6971" s="501">
        <v>0</v>
      </c>
      <c r="K6971" s="501">
        <v>0</v>
      </c>
      <c r="L6971" s="501">
        <v>4</v>
      </c>
      <c r="M6971" s="501">
        <v>0</v>
      </c>
      <c r="N6971" s="501">
        <v>0</v>
      </c>
      <c r="O6971" s="506">
        <v>0</v>
      </c>
    </row>
    <row r="6972" spans="1:15" x14ac:dyDescent="0.35">
      <c r="A6972" s="503" t="s">
        <v>1648</v>
      </c>
      <c r="B6972" s="504" t="s">
        <v>2496</v>
      </c>
      <c r="C6972" s="504" t="s">
        <v>1094</v>
      </c>
      <c r="D6972" s="504" t="s">
        <v>3380</v>
      </c>
      <c r="E6972" s="504" t="s">
        <v>3381</v>
      </c>
      <c r="F6972" s="504" t="s">
        <v>854</v>
      </c>
      <c r="G6972" s="504" t="s">
        <v>855</v>
      </c>
      <c r="H6972" s="504" t="s">
        <v>8999</v>
      </c>
      <c r="I6972" s="504">
        <v>8</v>
      </c>
      <c r="J6972" s="504">
        <v>6</v>
      </c>
      <c r="K6972" s="504">
        <v>0</v>
      </c>
      <c r="L6972" s="504">
        <v>0</v>
      </c>
      <c r="M6972" s="504">
        <v>2</v>
      </c>
      <c r="N6972" s="504">
        <v>0</v>
      </c>
      <c r="O6972" s="505">
        <v>0</v>
      </c>
    </row>
    <row r="6973" spans="1:15" x14ac:dyDescent="0.35">
      <c r="A6973" s="500" t="s">
        <v>1233</v>
      </c>
      <c r="B6973" s="501">
        <v>4636</v>
      </c>
      <c r="C6973" s="501" t="s">
        <v>1094</v>
      </c>
      <c r="D6973" s="501" t="s">
        <v>3380</v>
      </c>
      <c r="E6973" s="501" t="s">
        <v>3381</v>
      </c>
      <c r="F6973" s="501" t="s">
        <v>854</v>
      </c>
      <c r="G6973" s="501" t="s">
        <v>855</v>
      </c>
      <c r="H6973" s="501" t="s">
        <v>9000</v>
      </c>
      <c r="I6973" s="501">
        <v>18</v>
      </c>
      <c r="J6973" s="501">
        <v>0</v>
      </c>
      <c r="K6973" s="501">
        <v>0</v>
      </c>
      <c r="L6973" s="501">
        <v>0</v>
      </c>
      <c r="M6973" s="501">
        <v>0</v>
      </c>
      <c r="N6973" s="501">
        <v>0</v>
      </c>
      <c r="O6973" s="506">
        <v>18</v>
      </c>
    </row>
    <row r="6974" spans="1:15" x14ac:dyDescent="0.35">
      <c r="A6974" s="503" t="s">
        <v>11368</v>
      </c>
      <c r="B6974" s="504">
        <v>5083</v>
      </c>
      <c r="C6974" s="504" t="s">
        <v>1094</v>
      </c>
      <c r="D6974" s="504" t="s">
        <v>3380</v>
      </c>
      <c r="E6974" s="504" t="s">
        <v>3381</v>
      </c>
      <c r="F6974" s="504" t="s">
        <v>854</v>
      </c>
      <c r="G6974" s="504" t="s">
        <v>855</v>
      </c>
      <c r="H6974" s="504" t="s">
        <v>12073</v>
      </c>
      <c r="I6974" s="504">
        <v>10</v>
      </c>
      <c r="J6974" s="504">
        <v>10</v>
      </c>
      <c r="K6974" s="504">
        <v>0</v>
      </c>
      <c r="L6974" s="504">
        <v>0</v>
      </c>
      <c r="M6974" s="504">
        <v>0</v>
      </c>
      <c r="N6974" s="504">
        <v>0</v>
      </c>
      <c r="O6974" s="505">
        <v>0</v>
      </c>
    </row>
    <row r="6975" spans="1:15" x14ac:dyDescent="0.35">
      <c r="A6975" s="500" t="s">
        <v>1238</v>
      </c>
      <c r="B6975" s="501" t="s">
        <v>2963</v>
      </c>
      <c r="C6975" s="501" t="s">
        <v>1094</v>
      </c>
      <c r="D6975" s="501" t="s">
        <v>3380</v>
      </c>
      <c r="E6975" s="501" t="s">
        <v>3381</v>
      </c>
      <c r="F6975" s="501" t="s">
        <v>854</v>
      </c>
      <c r="G6975" s="501" t="s">
        <v>855</v>
      </c>
      <c r="H6975" s="501" t="s">
        <v>9001</v>
      </c>
      <c r="I6975" s="501">
        <v>222</v>
      </c>
      <c r="J6975" s="501">
        <v>206</v>
      </c>
      <c r="K6975" s="501">
        <v>0</v>
      </c>
      <c r="L6975" s="501">
        <v>0</v>
      </c>
      <c r="M6975" s="501">
        <v>0</v>
      </c>
      <c r="N6975" s="501">
        <v>0</v>
      </c>
      <c r="O6975" s="506">
        <v>16</v>
      </c>
    </row>
    <row r="6976" spans="1:15" x14ac:dyDescent="0.35">
      <c r="A6976" s="503" t="s">
        <v>1240</v>
      </c>
      <c r="B6976" s="504" t="s">
        <v>2972</v>
      </c>
      <c r="C6976" s="504" t="s">
        <v>1094</v>
      </c>
      <c r="D6976" s="504" t="s">
        <v>3380</v>
      </c>
      <c r="E6976" s="504" t="s">
        <v>3381</v>
      </c>
      <c r="F6976" s="504" t="s">
        <v>854</v>
      </c>
      <c r="G6976" s="504" t="s">
        <v>855</v>
      </c>
      <c r="H6976" s="504" t="s">
        <v>9002</v>
      </c>
      <c r="I6976" s="504">
        <v>35</v>
      </c>
      <c r="J6976" s="504">
        <v>23</v>
      </c>
      <c r="K6976" s="504">
        <v>0</v>
      </c>
      <c r="L6976" s="504">
        <v>0</v>
      </c>
      <c r="M6976" s="504">
        <v>0</v>
      </c>
      <c r="N6976" s="504">
        <v>0</v>
      </c>
      <c r="O6976" s="505">
        <v>12</v>
      </c>
    </row>
    <row r="6977" spans="1:15" x14ac:dyDescent="0.35">
      <c r="A6977" s="500" t="s">
        <v>1134</v>
      </c>
      <c r="B6977" s="501" t="s">
        <v>3066</v>
      </c>
      <c r="C6977" s="501" t="s">
        <v>1094</v>
      </c>
      <c r="D6977" s="501" t="s">
        <v>3380</v>
      </c>
      <c r="E6977" s="501" t="s">
        <v>3381</v>
      </c>
      <c r="F6977" s="501" t="s">
        <v>854</v>
      </c>
      <c r="G6977" s="501" t="s">
        <v>855</v>
      </c>
      <c r="H6977" s="501" t="s">
        <v>12171</v>
      </c>
      <c r="I6977" s="501">
        <v>112</v>
      </c>
      <c r="J6977" s="501">
        <v>74</v>
      </c>
      <c r="K6977" s="501">
        <v>0</v>
      </c>
      <c r="L6977" s="501">
        <v>0</v>
      </c>
      <c r="M6977" s="501">
        <v>0</v>
      </c>
      <c r="N6977" s="501">
        <v>0</v>
      </c>
      <c r="O6977" s="506">
        <v>38</v>
      </c>
    </row>
    <row r="6978" spans="1:15" x14ac:dyDescent="0.35">
      <c r="A6978" s="503" t="s">
        <v>1249</v>
      </c>
      <c r="B6978" s="504">
        <v>4729</v>
      </c>
      <c r="C6978" s="504" t="s">
        <v>1094</v>
      </c>
      <c r="D6978" s="504" t="s">
        <v>3380</v>
      </c>
      <c r="E6978" s="504" t="s">
        <v>3381</v>
      </c>
      <c r="F6978" s="504" t="s">
        <v>854</v>
      </c>
      <c r="G6978" s="504" t="s">
        <v>855</v>
      </c>
      <c r="H6978" s="504" t="s">
        <v>9003</v>
      </c>
      <c r="I6978" s="504">
        <v>36</v>
      </c>
      <c r="J6978" s="504">
        <v>8</v>
      </c>
      <c r="K6978" s="504">
        <v>0</v>
      </c>
      <c r="L6978" s="504">
        <v>0</v>
      </c>
      <c r="M6978" s="504">
        <v>0</v>
      </c>
      <c r="N6978" s="504">
        <v>0</v>
      </c>
      <c r="O6978" s="505">
        <v>28</v>
      </c>
    </row>
    <row r="6979" spans="1:15" x14ac:dyDescent="0.35">
      <c r="A6979" s="500" t="s">
        <v>2182</v>
      </c>
      <c r="B6979" s="501" t="s">
        <v>2545</v>
      </c>
      <c r="C6979" s="501" t="s">
        <v>1089</v>
      </c>
      <c r="D6979" s="501" t="s">
        <v>3392</v>
      </c>
      <c r="E6979" s="501" t="s">
        <v>3381</v>
      </c>
      <c r="F6979" s="501" t="s">
        <v>854</v>
      </c>
      <c r="G6979" s="501" t="s">
        <v>855</v>
      </c>
      <c r="H6979" s="501" t="s">
        <v>9004</v>
      </c>
      <c r="I6979" s="501">
        <v>20</v>
      </c>
      <c r="J6979" s="501">
        <v>20</v>
      </c>
      <c r="K6979" s="501">
        <v>0</v>
      </c>
      <c r="L6979" s="501">
        <v>0</v>
      </c>
      <c r="M6979" s="501">
        <v>0</v>
      </c>
      <c r="N6979" s="501">
        <v>0</v>
      </c>
      <c r="O6979" s="506">
        <v>0</v>
      </c>
    </row>
    <row r="6980" spans="1:15" x14ac:dyDescent="0.35">
      <c r="A6980" s="503" t="s">
        <v>1368</v>
      </c>
      <c r="B6980" s="504" t="s">
        <v>3220</v>
      </c>
      <c r="C6980" s="504" t="s">
        <v>1094</v>
      </c>
      <c r="D6980" s="504" t="s">
        <v>3380</v>
      </c>
      <c r="E6980" s="504" t="s">
        <v>3381</v>
      </c>
      <c r="F6980" s="504" t="s">
        <v>854</v>
      </c>
      <c r="G6980" s="504" t="s">
        <v>855</v>
      </c>
      <c r="H6980" s="504" t="s">
        <v>15034</v>
      </c>
      <c r="I6980" s="504">
        <v>20</v>
      </c>
      <c r="J6980" s="504">
        <v>12</v>
      </c>
      <c r="K6980" s="504">
        <v>0</v>
      </c>
      <c r="L6980" s="504">
        <v>0</v>
      </c>
      <c r="M6980" s="504">
        <v>0</v>
      </c>
      <c r="N6980" s="504">
        <v>0</v>
      </c>
      <c r="O6980" s="505">
        <v>8</v>
      </c>
    </row>
    <row r="6981" spans="1:15" x14ac:dyDescent="0.35">
      <c r="A6981" s="500" t="s">
        <v>1257</v>
      </c>
      <c r="B6981" s="501" t="s">
        <v>3151</v>
      </c>
      <c r="C6981" s="501" t="s">
        <v>1094</v>
      </c>
      <c r="D6981" s="501" t="s">
        <v>3380</v>
      </c>
      <c r="E6981" s="501" t="s">
        <v>3381</v>
      </c>
      <c r="F6981" s="501" t="s">
        <v>854</v>
      </c>
      <c r="G6981" s="501" t="s">
        <v>855</v>
      </c>
      <c r="H6981" s="501" t="s">
        <v>9005</v>
      </c>
      <c r="I6981" s="501">
        <v>491</v>
      </c>
      <c r="J6981" s="501">
        <v>418</v>
      </c>
      <c r="K6981" s="501">
        <v>0</v>
      </c>
      <c r="L6981" s="501">
        <v>24</v>
      </c>
      <c r="M6981" s="501">
        <v>0</v>
      </c>
      <c r="N6981" s="501">
        <v>0</v>
      </c>
      <c r="O6981" s="506">
        <v>49</v>
      </c>
    </row>
    <row r="6982" spans="1:15" x14ac:dyDescent="0.35">
      <c r="A6982" s="503" t="s">
        <v>2187</v>
      </c>
      <c r="B6982" s="504" t="s">
        <v>3193</v>
      </c>
      <c r="C6982" s="504" t="s">
        <v>1094</v>
      </c>
      <c r="D6982" s="504" t="s">
        <v>3380</v>
      </c>
      <c r="E6982" s="504" t="s">
        <v>3381</v>
      </c>
      <c r="F6982" s="504" t="s">
        <v>854</v>
      </c>
      <c r="G6982" s="504" t="s">
        <v>855</v>
      </c>
      <c r="H6982" s="504" t="s">
        <v>9006</v>
      </c>
      <c r="I6982" s="504">
        <v>145</v>
      </c>
      <c r="J6982" s="504">
        <v>84</v>
      </c>
      <c r="K6982" s="504">
        <v>0</v>
      </c>
      <c r="L6982" s="504">
        <v>0</v>
      </c>
      <c r="M6982" s="504">
        <v>0</v>
      </c>
      <c r="N6982" s="504">
        <v>0</v>
      </c>
      <c r="O6982" s="505">
        <v>61</v>
      </c>
    </row>
    <row r="6983" spans="1:15" x14ac:dyDescent="0.35">
      <c r="A6983" s="500" t="s">
        <v>2191</v>
      </c>
      <c r="B6983" s="501" t="s">
        <v>3033</v>
      </c>
      <c r="C6983" s="501" t="s">
        <v>1089</v>
      </c>
      <c r="D6983" s="501" t="s">
        <v>3392</v>
      </c>
      <c r="E6983" s="501" t="s">
        <v>3381</v>
      </c>
      <c r="F6983" s="501" t="s">
        <v>854</v>
      </c>
      <c r="G6983" s="501" t="s">
        <v>855</v>
      </c>
      <c r="H6983" s="501" t="s">
        <v>9007</v>
      </c>
      <c r="I6983" s="501">
        <v>20</v>
      </c>
      <c r="J6983" s="501">
        <v>20</v>
      </c>
      <c r="K6983" s="501">
        <v>0</v>
      </c>
      <c r="L6983" s="501">
        <v>0</v>
      </c>
      <c r="M6983" s="501">
        <v>0</v>
      </c>
      <c r="N6983" s="501">
        <v>0</v>
      </c>
      <c r="O6983" s="506">
        <v>0</v>
      </c>
    </row>
    <row r="6984" spans="1:15" x14ac:dyDescent="0.35">
      <c r="A6984" s="503" t="s">
        <v>1789</v>
      </c>
      <c r="B6984" s="504" t="s">
        <v>3219</v>
      </c>
      <c r="C6984" s="504" t="s">
        <v>1094</v>
      </c>
      <c r="D6984" s="504" t="s">
        <v>3380</v>
      </c>
      <c r="E6984" s="504" t="s">
        <v>3381</v>
      </c>
      <c r="F6984" s="504" t="s">
        <v>854</v>
      </c>
      <c r="G6984" s="504" t="s">
        <v>855</v>
      </c>
      <c r="H6984" s="504" t="s">
        <v>9008</v>
      </c>
      <c r="I6984" s="504">
        <v>540</v>
      </c>
      <c r="J6984" s="504">
        <v>428</v>
      </c>
      <c r="K6984" s="504">
        <v>0</v>
      </c>
      <c r="L6984" s="504">
        <v>0</v>
      </c>
      <c r="M6984" s="504">
        <v>0</v>
      </c>
      <c r="N6984" s="504">
        <v>0</v>
      </c>
      <c r="O6984" s="505">
        <v>112</v>
      </c>
    </row>
    <row r="6985" spans="1:15" x14ac:dyDescent="0.35">
      <c r="A6985" s="500" t="s">
        <v>1266</v>
      </c>
      <c r="B6985" s="501" t="s">
        <v>3071</v>
      </c>
      <c r="C6985" s="501" t="s">
        <v>1094</v>
      </c>
      <c r="D6985" s="501" t="s">
        <v>3380</v>
      </c>
      <c r="E6985" s="501" t="s">
        <v>3381</v>
      </c>
      <c r="F6985" s="501" t="s">
        <v>854</v>
      </c>
      <c r="G6985" s="501" t="s">
        <v>855</v>
      </c>
      <c r="H6985" s="501" t="s">
        <v>9009</v>
      </c>
      <c r="I6985" s="501">
        <v>3</v>
      </c>
      <c r="J6985" s="501">
        <v>0</v>
      </c>
      <c r="K6985" s="501">
        <v>0</v>
      </c>
      <c r="L6985" s="501">
        <v>0</v>
      </c>
      <c r="M6985" s="501">
        <v>0</v>
      </c>
      <c r="N6985" s="501">
        <v>0</v>
      </c>
      <c r="O6985" s="506">
        <v>3</v>
      </c>
    </row>
    <row r="6986" spans="1:15" x14ac:dyDescent="0.35">
      <c r="A6986" s="503" t="s">
        <v>1093</v>
      </c>
      <c r="B6986" s="504" t="s">
        <v>3248</v>
      </c>
      <c r="C6986" s="504" t="s">
        <v>1094</v>
      </c>
      <c r="D6986" s="504" t="s">
        <v>3380</v>
      </c>
      <c r="E6986" s="504" t="s">
        <v>3381</v>
      </c>
      <c r="F6986" s="504" t="s">
        <v>856</v>
      </c>
      <c r="G6986" s="504" t="s">
        <v>857</v>
      </c>
      <c r="H6986" s="504" t="s">
        <v>9010</v>
      </c>
      <c r="I6986" s="504">
        <v>1</v>
      </c>
      <c r="J6986" s="504">
        <v>0</v>
      </c>
      <c r="K6986" s="504">
        <v>0</v>
      </c>
      <c r="L6986" s="504">
        <v>0</v>
      </c>
      <c r="M6986" s="504">
        <v>0</v>
      </c>
      <c r="N6986" s="504">
        <v>0</v>
      </c>
      <c r="O6986" s="505">
        <v>1</v>
      </c>
    </row>
    <row r="6987" spans="1:15" x14ac:dyDescent="0.35">
      <c r="A6987" s="500" t="s">
        <v>1096</v>
      </c>
      <c r="B6987" s="501" t="s">
        <v>3326</v>
      </c>
      <c r="C6987" s="501" t="s">
        <v>1094</v>
      </c>
      <c r="D6987" s="501" t="s">
        <v>3380</v>
      </c>
      <c r="E6987" s="501" t="s">
        <v>3381</v>
      </c>
      <c r="F6987" s="501" t="s">
        <v>856</v>
      </c>
      <c r="G6987" s="501" t="s">
        <v>857</v>
      </c>
      <c r="H6987" s="501" t="s">
        <v>9011</v>
      </c>
      <c r="I6987" s="501">
        <v>83</v>
      </c>
      <c r="J6987" s="501">
        <v>0</v>
      </c>
      <c r="K6987" s="501">
        <v>0</v>
      </c>
      <c r="L6987" s="501">
        <v>0</v>
      </c>
      <c r="M6987" s="501">
        <v>83</v>
      </c>
      <c r="N6987" s="501">
        <v>0</v>
      </c>
      <c r="O6987" s="506">
        <v>0</v>
      </c>
    </row>
    <row r="6988" spans="1:15" x14ac:dyDescent="0.35">
      <c r="A6988" s="503" t="s">
        <v>1804</v>
      </c>
      <c r="B6988" s="504" t="s">
        <v>3017</v>
      </c>
      <c r="C6988" s="504" t="s">
        <v>1089</v>
      </c>
      <c r="D6988" s="504" t="s">
        <v>3392</v>
      </c>
      <c r="E6988" s="504" t="s">
        <v>3381</v>
      </c>
      <c r="F6988" s="504" t="s">
        <v>856</v>
      </c>
      <c r="G6988" s="504" t="s">
        <v>857</v>
      </c>
      <c r="H6988" s="504" t="s">
        <v>9012</v>
      </c>
      <c r="I6988" s="504">
        <v>8</v>
      </c>
      <c r="J6988" s="504">
        <v>8</v>
      </c>
      <c r="K6988" s="504">
        <v>0</v>
      </c>
      <c r="L6988" s="504">
        <v>0</v>
      </c>
      <c r="M6988" s="504">
        <v>0</v>
      </c>
      <c r="N6988" s="504">
        <v>0</v>
      </c>
      <c r="O6988" s="505">
        <v>0</v>
      </c>
    </row>
    <row r="6989" spans="1:15" x14ac:dyDescent="0.35">
      <c r="A6989" s="500" t="s">
        <v>1172</v>
      </c>
      <c r="B6989" s="501">
        <v>4648</v>
      </c>
      <c r="C6989" s="501" t="s">
        <v>1089</v>
      </c>
      <c r="D6989" s="501" t="s">
        <v>3392</v>
      </c>
      <c r="E6989" s="501" t="s">
        <v>3381</v>
      </c>
      <c r="F6989" s="501" t="s">
        <v>856</v>
      </c>
      <c r="G6989" s="501" t="s">
        <v>857</v>
      </c>
      <c r="H6989" s="501" t="s">
        <v>9013</v>
      </c>
      <c r="I6989" s="501">
        <v>8</v>
      </c>
      <c r="J6989" s="501">
        <v>0</v>
      </c>
      <c r="K6989" s="501">
        <v>0</v>
      </c>
      <c r="L6989" s="501">
        <v>8</v>
      </c>
      <c r="M6989" s="501">
        <v>0</v>
      </c>
      <c r="N6989" s="501">
        <v>0</v>
      </c>
      <c r="O6989" s="506">
        <v>0</v>
      </c>
    </row>
    <row r="6990" spans="1:15" x14ac:dyDescent="0.35">
      <c r="A6990" s="503" t="s">
        <v>1175</v>
      </c>
      <c r="B6990" s="504" t="s">
        <v>3141</v>
      </c>
      <c r="C6990" s="504" t="s">
        <v>1094</v>
      </c>
      <c r="D6990" s="504" t="s">
        <v>3380</v>
      </c>
      <c r="E6990" s="504" t="s">
        <v>3381</v>
      </c>
      <c r="F6990" s="504" t="s">
        <v>856</v>
      </c>
      <c r="G6990" s="504" t="s">
        <v>857</v>
      </c>
      <c r="H6990" s="504" t="s">
        <v>9014</v>
      </c>
      <c r="I6990" s="504">
        <v>12</v>
      </c>
      <c r="J6990" s="504">
        <v>5</v>
      </c>
      <c r="K6990" s="504">
        <v>0</v>
      </c>
      <c r="L6990" s="504">
        <v>0</v>
      </c>
      <c r="M6990" s="504">
        <v>0</v>
      </c>
      <c r="N6990" s="504">
        <v>0</v>
      </c>
      <c r="O6990" s="505">
        <v>7</v>
      </c>
    </row>
    <row r="6991" spans="1:15" x14ac:dyDescent="0.35">
      <c r="A6991" s="500" t="s">
        <v>14208</v>
      </c>
      <c r="B6991" s="501">
        <v>4803</v>
      </c>
      <c r="C6991" s="501" t="s">
        <v>1094</v>
      </c>
      <c r="D6991" s="501" t="s">
        <v>3380</v>
      </c>
      <c r="E6991" s="501" t="s">
        <v>3381</v>
      </c>
      <c r="F6991" s="501" t="s">
        <v>856</v>
      </c>
      <c r="G6991" s="501" t="s">
        <v>857</v>
      </c>
      <c r="H6991" s="501" t="s">
        <v>15035</v>
      </c>
      <c r="I6991" s="501">
        <v>2</v>
      </c>
      <c r="J6991" s="501">
        <v>0</v>
      </c>
      <c r="K6991" s="501">
        <v>0</v>
      </c>
      <c r="L6991" s="501">
        <v>2</v>
      </c>
      <c r="M6991" s="501">
        <v>0</v>
      </c>
      <c r="N6991" s="501">
        <v>0</v>
      </c>
      <c r="O6991" s="506">
        <v>0</v>
      </c>
    </row>
    <row r="6992" spans="1:15" x14ac:dyDescent="0.35">
      <c r="A6992" s="503" t="s">
        <v>1443</v>
      </c>
      <c r="B6992" s="504" t="s">
        <v>3356</v>
      </c>
      <c r="C6992" s="504" t="s">
        <v>1094</v>
      </c>
      <c r="D6992" s="504" t="s">
        <v>3380</v>
      </c>
      <c r="E6992" s="504" t="s">
        <v>3381</v>
      </c>
      <c r="F6992" s="504" t="s">
        <v>856</v>
      </c>
      <c r="G6992" s="504" t="s">
        <v>857</v>
      </c>
      <c r="H6992" s="504" t="s">
        <v>9015</v>
      </c>
      <c r="I6992" s="504">
        <v>27</v>
      </c>
      <c r="J6992" s="504">
        <v>16</v>
      </c>
      <c r="K6992" s="504">
        <v>0</v>
      </c>
      <c r="L6992" s="504">
        <v>0</v>
      </c>
      <c r="M6992" s="504">
        <v>0</v>
      </c>
      <c r="N6992" s="504">
        <v>0</v>
      </c>
      <c r="O6992" s="505">
        <v>11</v>
      </c>
    </row>
    <row r="6993" spans="1:15" x14ac:dyDescent="0.35">
      <c r="A6993" s="500" t="s">
        <v>1182</v>
      </c>
      <c r="B6993" s="501">
        <v>5060</v>
      </c>
      <c r="C6993" s="501" t="s">
        <v>1094</v>
      </c>
      <c r="D6993" s="501" t="s">
        <v>3380</v>
      </c>
      <c r="E6993" s="501" t="s">
        <v>3381</v>
      </c>
      <c r="F6993" s="501" t="s">
        <v>856</v>
      </c>
      <c r="G6993" s="501" t="s">
        <v>857</v>
      </c>
      <c r="H6993" s="501" t="s">
        <v>9016</v>
      </c>
      <c r="I6993" s="501">
        <v>8</v>
      </c>
      <c r="J6993" s="501">
        <v>0</v>
      </c>
      <c r="K6993" s="501">
        <v>0</v>
      </c>
      <c r="L6993" s="501">
        <v>8</v>
      </c>
      <c r="M6993" s="501">
        <v>0</v>
      </c>
      <c r="N6993" s="501">
        <v>0</v>
      </c>
      <c r="O6993" s="506">
        <v>0</v>
      </c>
    </row>
    <row r="6994" spans="1:15" x14ac:dyDescent="0.35">
      <c r="A6994" s="503" t="s">
        <v>1105</v>
      </c>
      <c r="B6994" s="504">
        <v>4668</v>
      </c>
      <c r="C6994" s="504" t="s">
        <v>1094</v>
      </c>
      <c r="D6994" s="504" t="s">
        <v>3380</v>
      </c>
      <c r="E6994" s="504" t="s">
        <v>3381</v>
      </c>
      <c r="F6994" s="504" t="s">
        <v>856</v>
      </c>
      <c r="G6994" s="504" t="s">
        <v>857</v>
      </c>
      <c r="H6994" s="504" t="s">
        <v>9017</v>
      </c>
      <c r="I6994" s="504">
        <v>1</v>
      </c>
      <c r="J6994" s="504">
        <v>0</v>
      </c>
      <c r="K6994" s="504">
        <v>0</v>
      </c>
      <c r="L6994" s="504">
        <v>0</v>
      </c>
      <c r="M6994" s="504">
        <v>0</v>
      </c>
      <c r="N6994" s="504">
        <v>0</v>
      </c>
      <c r="O6994" s="505">
        <v>1</v>
      </c>
    </row>
    <row r="6995" spans="1:15" x14ac:dyDescent="0.35">
      <c r="A6995" s="500" t="s">
        <v>1189</v>
      </c>
      <c r="B6995" s="501" t="s">
        <v>3236</v>
      </c>
      <c r="C6995" s="501" t="s">
        <v>1094</v>
      </c>
      <c r="D6995" s="501" t="s">
        <v>3380</v>
      </c>
      <c r="E6995" s="501" t="s">
        <v>3381</v>
      </c>
      <c r="F6995" s="501" t="s">
        <v>856</v>
      </c>
      <c r="G6995" s="501" t="s">
        <v>857</v>
      </c>
      <c r="H6995" s="501" t="s">
        <v>9018</v>
      </c>
      <c r="I6995" s="501">
        <v>15</v>
      </c>
      <c r="J6995" s="501">
        <v>6</v>
      </c>
      <c r="K6995" s="501">
        <v>0</v>
      </c>
      <c r="L6995" s="501">
        <v>0</v>
      </c>
      <c r="M6995" s="501">
        <v>0</v>
      </c>
      <c r="N6995" s="501">
        <v>0</v>
      </c>
      <c r="O6995" s="506">
        <v>9</v>
      </c>
    </row>
    <row r="6996" spans="1:15" x14ac:dyDescent="0.35">
      <c r="A6996" s="503" t="s">
        <v>1202</v>
      </c>
      <c r="B6996" s="504" t="s">
        <v>3217</v>
      </c>
      <c r="C6996" s="504" t="s">
        <v>1094</v>
      </c>
      <c r="D6996" s="504" t="s">
        <v>3380</v>
      </c>
      <c r="E6996" s="504" t="s">
        <v>3381</v>
      </c>
      <c r="F6996" s="504" t="s">
        <v>856</v>
      </c>
      <c r="G6996" s="504" t="s">
        <v>857</v>
      </c>
      <c r="H6996" s="504" t="s">
        <v>9019</v>
      </c>
      <c r="I6996" s="504">
        <v>25</v>
      </c>
      <c r="J6996" s="504">
        <v>0</v>
      </c>
      <c r="K6996" s="504">
        <v>0</v>
      </c>
      <c r="L6996" s="504">
        <v>0</v>
      </c>
      <c r="M6996" s="504">
        <v>0</v>
      </c>
      <c r="N6996" s="504">
        <v>0</v>
      </c>
      <c r="O6996" s="505">
        <v>25</v>
      </c>
    </row>
    <row r="6997" spans="1:15" x14ac:dyDescent="0.35">
      <c r="A6997" s="500" t="s">
        <v>11413</v>
      </c>
      <c r="B6997" s="501" t="s">
        <v>2572</v>
      </c>
      <c r="C6997" s="501" t="s">
        <v>1089</v>
      </c>
      <c r="D6997" s="501" t="s">
        <v>3392</v>
      </c>
      <c r="E6997" s="501" t="s">
        <v>3381</v>
      </c>
      <c r="F6997" s="501" t="s">
        <v>856</v>
      </c>
      <c r="G6997" s="501" t="s">
        <v>857</v>
      </c>
      <c r="H6997" s="501" t="s">
        <v>11855</v>
      </c>
      <c r="I6997" s="501">
        <v>4</v>
      </c>
      <c r="J6997" s="501">
        <v>0</v>
      </c>
      <c r="K6997" s="501">
        <v>0</v>
      </c>
      <c r="L6997" s="501">
        <v>0</v>
      </c>
      <c r="M6997" s="501">
        <v>4</v>
      </c>
      <c r="N6997" s="501">
        <v>0</v>
      </c>
      <c r="O6997" s="506">
        <v>0</v>
      </c>
    </row>
    <row r="6998" spans="1:15" x14ac:dyDescent="0.35">
      <c r="A6998" s="503" t="s">
        <v>1112</v>
      </c>
      <c r="B6998" s="504" t="s">
        <v>3008</v>
      </c>
      <c r="C6998" s="504" t="s">
        <v>1094</v>
      </c>
      <c r="D6998" s="504" t="s">
        <v>3380</v>
      </c>
      <c r="E6998" s="504" t="s">
        <v>3381</v>
      </c>
      <c r="F6998" s="504" t="s">
        <v>856</v>
      </c>
      <c r="G6998" s="504" t="s">
        <v>857</v>
      </c>
      <c r="H6998" s="504" t="s">
        <v>9020</v>
      </c>
      <c r="I6998" s="504">
        <v>1</v>
      </c>
      <c r="J6998" s="504">
        <v>0</v>
      </c>
      <c r="K6998" s="504">
        <v>0</v>
      </c>
      <c r="L6998" s="504">
        <v>0</v>
      </c>
      <c r="M6998" s="504">
        <v>0</v>
      </c>
      <c r="N6998" s="504">
        <v>0</v>
      </c>
      <c r="O6998" s="505">
        <v>1</v>
      </c>
    </row>
    <row r="6999" spans="1:15" x14ac:dyDescent="0.35">
      <c r="A6999" s="500" t="s">
        <v>1114</v>
      </c>
      <c r="B6999" s="501" t="s">
        <v>2982</v>
      </c>
      <c r="C6999" s="501" t="s">
        <v>1094</v>
      </c>
      <c r="D6999" s="501" t="s">
        <v>3380</v>
      </c>
      <c r="E6999" s="501" t="s">
        <v>3381</v>
      </c>
      <c r="F6999" s="501" t="s">
        <v>856</v>
      </c>
      <c r="G6999" s="501" t="s">
        <v>857</v>
      </c>
      <c r="H6999" s="501" t="s">
        <v>9021</v>
      </c>
      <c r="I6999" s="501">
        <v>998</v>
      </c>
      <c r="J6999" s="501">
        <v>421</v>
      </c>
      <c r="K6999" s="501">
        <v>0</v>
      </c>
      <c r="L6999" s="501">
        <v>11</v>
      </c>
      <c r="M6999" s="501">
        <v>99</v>
      </c>
      <c r="N6999" s="501">
        <v>0</v>
      </c>
      <c r="O6999" s="506">
        <v>467</v>
      </c>
    </row>
    <row r="7000" spans="1:15" x14ac:dyDescent="0.35">
      <c r="A7000" s="503" t="s">
        <v>1322</v>
      </c>
      <c r="B7000" s="504" t="s">
        <v>3244</v>
      </c>
      <c r="C7000" s="504" t="s">
        <v>1094</v>
      </c>
      <c r="D7000" s="504" t="s">
        <v>3380</v>
      </c>
      <c r="E7000" s="504" t="s">
        <v>3381</v>
      </c>
      <c r="F7000" s="504" t="s">
        <v>856</v>
      </c>
      <c r="G7000" s="504" t="s">
        <v>857</v>
      </c>
      <c r="H7000" s="504" t="s">
        <v>9022</v>
      </c>
      <c r="I7000" s="504">
        <v>37</v>
      </c>
      <c r="J7000" s="504">
        <v>0</v>
      </c>
      <c r="K7000" s="504">
        <v>0</v>
      </c>
      <c r="L7000" s="504">
        <v>0</v>
      </c>
      <c r="M7000" s="504">
        <v>0</v>
      </c>
      <c r="N7000" s="504">
        <v>0</v>
      </c>
      <c r="O7000" s="505">
        <v>37</v>
      </c>
    </row>
    <row r="7001" spans="1:15" x14ac:dyDescent="0.35">
      <c r="A7001" s="500" t="s">
        <v>1217</v>
      </c>
      <c r="B7001" s="501">
        <v>4851</v>
      </c>
      <c r="C7001" s="501" t="s">
        <v>1094</v>
      </c>
      <c r="D7001" s="501" t="s">
        <v>3380</v>
      </c>
      <c r="E7001" s="501" t="s">
        <v>3381</v>
      </c>
      <c r="F7001" s="501" t="s">
        <v>856</v>
      </c>
      <c r="G7001" s="501" t="s">
        <v>857</v>
      </c>
      <c r="H7001" s="501" t="s">
        <v>9023</v>
      </c>
      <c r="I7001" s="501">
        <v>24</v>
      </c>
      <c r="J7001" s="501">
        <v>8</v>
      </c>
      <c r="K7001" s="501">
        <v>0</v>
      </c>
      <c r="L7001" s="501">
        <v>0</v>
      </c>
      <c r="M7001" s="501">
        <v>0</v>
      </c>
      <c r="N7001" s="501">
        <v>0</v>
      </c>
      <c r="O7001" s="506">
        <v>16</v>
      </c>
    </row>
    <row r="7002" spans="1:15" x14ac:dyDescent="0.35">
      <c r="A7002" s="503" t="s">
        <v>1218</v>
      </c>
      <c r="B7002" s="504" t="s">
        <v>3147</v>
      </c>
      <c r="C7002" s="504" t="s">
        <v>1094</v>
      </c>
      <c r="D7002" s="504" t="s">
        <v>3380</v>
      </c>
      <c r="E7002" s="504" t="s">
        <v>3381</v>
      </c>
      <c r="F7002" s="504" t="s">
        <v>856</v>
      </c>
      <c r="G7002" s="504" t="s">
        <v>857</v>
      </c>
      <c r="H7002" s="504" t="s">
        <v>9024</v>
      </c>
      <c r="I7002" s="504">
        <v>111</v>
      </c>
      <c r="J7002" s="504">
        <v>0</v>
      </c>
      <c r="K7002" s="504">
        <v>0</v>
      </c>
      <c r="L7002" s="504">
        <v>0</v>
      </c>
      <c r="M7002" s="504">
        <v>0</v>
      </c>
      <c r="N7002" s="504">
        <v>0</v>
      </c>
      <c r="O7002" s="505">
        <v>111</v>
      </c>
    </row>
    <row r="7003" spans="1:15" x14ac:dyDescent="0.35">
      <c r="A7003" s="500" t="s">
        <v>11367</v>
      </c>
      <c r="B7003" s="501" t="s">
        <v>3143</v>
      </c>
      <c r="C7003" s="501" t="s">
        <v>1094</v>
      </c>
      <c r="D7003" s="501" t="s">
        <v>3380</v>
      </c>
      <c r="E7003" s="501" t="s">
        <v>3381</v>
      </c>
      <c r="F7003" s="501" t="s">
        <v>856</v>
      </c>
      <c r="G7003" s="501" t="s">
        <v>857</v>
      </c>
      <c r="H7003" s="501" t="s">
        <v>11949</v>
      </c>
      <c r="I7003" s="501">
        <v>96</v>
      </c>
      <c r="J7003" s="501">
        <v>96</v>
      </c>
      <c r="K7003" s="501">
        <v>0</v>
      </c>
      <c r="L7003" s="501">
        <v>0</v>
      </c>
      <c r="M7003" s="501">
        <v>0</v>
      </c>
      <c r="N7003" s="501">
        <v>0</v>
      </c>
      <c r="O7003" s="506">
        <v>0</v>
      </c>
    </row>
    <row r="7004" spans="1:15" x14ac:dyDescent="0.35">
      <c r="A7004" s="503" t="s">
        <v>1122</v>
      </c>
      <c r="B7004" s="504" t="s">
        <v>2994</v>
      </c>
      <c r="C7004" s="504" t="s">
        <v>1094</v>
      </c>
      <c r="D7004" s="504" t="s">
        <v>3380</v>
      </c>
      <c r="E7004" s="504" t="s">
        <v>3381</v>
      </c>
      <c r="F7004" s="504" t="s">
        <v>856</v>
      </c>
      <c r="G7004" s="504" t="s">
        <v>857</v>
      </c>
      <c r="H7004" s="504" t="s">
        <v>9025</v>
      </c>
      <c r="I7004" s="504">
        <v>164</v>
      </c>
      <c r="J7004" s="504">
        <v>164</v>
      </c>
      <c r="K7004" s="504">
        <v>0</v>
      </c>
      <c r="L7004" s="504">
        <v>0</v>
      </c>
      <c r="M7004" s="504">
        <v>0</v>
      </c>
      <c r="N7004" s="504">
        <v>0</v>
      </c>
      <c r="O7004" s="505">
        <v>0</v>
      </c>
    </row>
    <row r="7005" spans="1:15" x14ac:dyDescent="0.35">
      <c r="A7005" s="500" t="s">
        <v>1534</v>
      </c>
      <c r="B7005" s="501" t="s">
        <v>3092</v>
      </c>
      <c r="C7005" s="501" t="s">
        <v>1089</v>
      </c>
      <c r="D7005" s="501" t="s">
        <v>3392</v>
      </c>
      <c r="E7005" s="501" t="s">
        <v>3381</v>
      </c>
      <c r="F7005" s="501" t="s">
        <v>856</v>
      </c>
      <c r="G7005" s="501" t="s">
        <v>857</v>
      </c>
      <c r="H7005" s="501" t="s">
        <v>9026</v>
      </c>
      <c r="I7005" s="501">
        <v>4</v>
      </c>
      <c r="J7005" s="501">
        <v>4</v>
      </c>
      <c r="K7005" s="501">
        <v>0</v>
      </c>
      <c r="L7005" s="501">
        <v>0</v>
      </c>
      <c r="M7005" s="501">
        <v>0</v>
      </c>
      <c r="N7005" s="501">
        <v>0</v>
      </c>
      <c r="O7005" s="506">
        <v>0</v>
      </c>
    </row>
    <row r="7006" spans="1:15" x14ac:dyDescent="0.35">
      <c r="A7006" s="503" t="s">
        <v>1885</v>
      </c>
      <c r="B7006" s="504" t="s">
        <v>3259</v>
      </c>
      <c r="C7006" s="504" t="s">
        <v>1089</v>
      </c>
      <c r="D7006" s="504" t="s">
        <v>3392</v>
      </c>
      <c r="E7006" s="504" t="s">
        <v>3381</v>
      </c>
      <c r="F7006" s="504" t="s">
        <v>856</v>
      </c>
      <c r="G7006" s="504" t="s">
        <v>857</v>
      </c>
      <c r="H7006" s="504" t="s">
        <v>9027</v>
      </c>
      <c r="I7006" s="504">
        <v>124</v>
      </c>
      <c r="J7006" s="504">
        <v>0</v>
      </c>
      <c r="K7006" s="504">
        <v>0</v>
      </c>
      <c r="L7006" s="504">
        <v>0</v>
      </c>
      <c r="M7006" s="504">
        <v>124</v>
      </c>
      <c r="N7006" s="504">
        <v>0</v>
      </c>
      <c r="O7006" s="505">
        <v>0</v>
      </c>
    </row>
    <row r="7007" spans="1:15" x14ac:dyDescent="0.35">
      <c r="A7007" s="500" t="s">
        <v>1130</v>
      </c>
      <c r="B7007" s="501" t="s">
        <v>3234</v>
      </c>
      <c r="C7007" s="501" t="s">
        <v>1094</v>
      </c>
      <c r="D7007" s="501" t="s">
        <v>3380</v>
      </c>
      <c r="E7007" s="501" t="s">
        <v>3381</v>
      </c>
      <c r="F7007" s="501" t="s">
        <v>856</v>
      </c>
      <c r="G7007" s="501" t="s">
        <v>857</v>
      </c>
      <c r="H7007" s="501" t="s">
        <v>9028</v>
      </c>
      <c r="I7007" s="501">
        <v>28</v>
      </c>
      <c r="J7007" s="501">
        <v>0</v>
      </c>
      <c r="K7007" s="501">
        <v>0</v>
      </c>
      <c r="L7007" s="501">
        <v>21</v>
      </c>
      <c r="M7007" s="501">
        <v>0</v>
      </c>
      <c r="N7007" s="501">
        <v>0</v>
      </c>
      <c r="O7007" s="506">
        <v>7</v>
      </c>
    </row>
    <row r="7008" spans="1:15" x14ac:dyDescent="0.35">
      <c r="A7008" s="503" t="s">
        <v>1252</v>
      </c>
      <c r="B7008" s="504" t="s">
        <v>2875</v>
      </c>
      <c r="C7008" s="504" t="s">
        <v>1089</v>
      </c>
      <c r="D7008" s="504" t="s">
        <v>3392</v>
      </c>
      <c r="E7008" s="504" t="s">
        <v>3381</v>
      </c>
      <c r="F7008" s="504" t="s">
        <v>856</v>
      </c>
      <c r="G7008" s="504" t="s">
        <v>857</v>
      </c>
      <c r="H7008" s="504" t="s">
        <v>9029</v>
      </c>
      <c r="I7008" s="504">
        <v>15</v>
      </c>
      <c r="J7008" s="504">
        <v>0</v>
      </c>
      <c r="K7008" s="504">
        <v>0</v>
      </c>
      <c r="L7008" s="504">
        <v>15</v>
      </c>
      <c r="M7008" s="504">
        <v>0</v>
      </c>
      <c r="N7008" s="504">
        <v>0</v>
      </c>
      <c r="O7008" s="505">
        <v>0</v>
      </c>
    </row>
    <row r="7009" spans="1:15" x14ac:dyDescent="0.35">
      <c r="A7009" s="500" t="s">
        <v>1928</v>
      </c>
      <c r="B7009" s="501" t="s">
        <v>3167</v>
      </c>
      <c r="C7009" s="501" t="s">
        <v>1094</v>
      </c>
      <c r="D7009" s="501" t="s">
        <v>3380</v>
      </c>
      <c r="E7009" s="501" t="s">
        <v>3381</v>
      </c>
      <c r="F7009" s="501" t="s">
        <v>856</v>
      </c>
      <c r="G7009" s="501" t="s">
        <v>857</v>
      </c>
      <c r="H7009" s="501" t="s">
        <v>9030</v>
      </c>
      <c r="I7009" s="501">
        <v>13</v>
      </c>
      <c r="J7009" s="501">
        <v>10</v>
      </c>
      <c r="K7009" s="501">
        <v>0</v>
      </c>
      <c r="L7009" s="501">
        <v>0</v>
      </c>
      <c r="M7009" s="501">
        <v>0</v>
      </c>
      <c r="N7009" s="501">
        <v>0</v>
      </c>
      <c r="O7009" s="506">
        <v>3</v>
      </c>
    </row>
    <row r="7010" spans="1:15" x14ac:dyDescent="0.35">
      <c r="A7010" s="503" t="s">
        <v>1935</v>
      </c>
      <c r="B7010" s="504" t="s">
        <v>3305</v>
      </c>
      <c r="C7010" s="504" t="s">
        <v>1094</v>
      </c>
      <c r="D7010" s="504" t="s">
        <v>3380</v>
      </c>
      <c r="E7010" s="504" t="s">
        <v>3381</v>
      </c>
      <c r="F7010" s="504" t="s">
        <v>856</v>
      </c>
      <c r="G7010" s="504" t="s">
        <v>857</v>
      </c>
      <c r="H7010" s="504" t="s">
        <v>9031</v>
      </c>
      <c r="I7010" s="504">
        <v>5772</v>
      </c>
      <c r="J7010" s="504">
        <v>4794</v>
      </c>
      <c r="K7010" s="504">
        <v>0</v>
      </c>
      <c r="L7010" s="504">
        <v>19</v>
      </c>
      <c r="M7010" s="504">
        <v>762</v>
      </c>
      <c r="N7010" s="504">
        <v>207</v>
      </c>
      <c r="O7010" s="505">
        <v>197</v>
      </c>
    </row>
    <row r="7011" spans="1:15" x14ac:dyDescent="0.35">
      <c r="A7011" s="500" t="s">
        <v>1193</v>
      </c>
      <c r="B7011" s="501" t="s">
        <v>3039</v>
      </c>
      <c r="C7011" s="501" t="s">
        <v>1094</v>
      </c>
      <c r="D7011" s="501" t="s">
        <v>3380</v>
      </c>
      <c r="E7011" s="501" t="s">
        <v>3381</v>
      </c>
      <c r="F7011" s="501" t="s">
        <v>858</v>
      </c>
      <c r="G7011" s="501" t="s">
        <v>859</v>
      </c>
      <c r="H7011" s="501" t="s">
        <v>9052</v>
      </c>
      <c r="I7011" s="501">
        <v>162</v>
      </c>
      <c r="J7011" s="501">
        <v>64</v>
      </c>
      <c r="K7011" s="501">
        <v>0</v>
      </c>
      <c r="L7011" s="501">
        <v>1</v>
      </c>
      <c r="M7011" s="501">
        <v>97</v>
      </c>
      <c r="N7011" s="501">
        <v>0</v>
      </c>
      <c r="O7011" s="506">
        <v>0</v>
      </c>
    </row>
    <row r="7012" spans="1:15" x14ac:dyDescent="0.35">
      <c r="A7012" s="503" t="s">
        <v>1145</v>
      </c>
      <c r="B7012" s="504" t="s">
        <v>3164</v>
      </c>
      <c r="C7012" s="504" t="s">
        <v>1094</v>
      </c>
      <c r="D7012" s="504" t="s">
        <v>3380</v>
      </c>
      <c r="E7012" s="504" t="s">
        <v>3381</v>
      </c>
      <c r="F7012" s="504" t="s">
        <v>858</v>
      </c>
      <c r="G7012" s="504" t="s">
        <v>859</v>
      </c>
      <c r="H7012" s="504" t="s">
        <v>9032</v>
      </c>
      <c r="I7012" s="504">
        <v>1123</v>
      </c>
      <c r="J7012" s="504">
        <v>1123</v>
      </c>
      <c r="K7012" s="504">
        <v>0</v>
      </c>
      <c r="L7012" s="504">
        <v>0</v>
      </c>
      <c r="M7012" s="504">
        <v>0</v>
      </c>
      <c r="N7012" s="504">
        <v>0</v>
      </c>
      <c r="O7012" s="505">
        <v>0</v>
      </c>
    </row>
    <row r="7013" spans="1:15" x14ac:dyDescent="0.35">
      <c r="A7013" s="500" t="s">
        <v>1146</v>
      </c>
      <c r="B7013" s="501">
        <v>4660</v>
      </c>
      <c r="C7013" s="501" t="s">
        <v>1089</v>
      </c>
      <c r="D7013" s="501" t="s">
        <v>3392</v>
      </c>
      <c r="E7013" s="501" t="s">
        <v>3381</v>
      </c>
      <c r="F7013" s="501" t="s">
        <v>858</v>
      </c>
      <c r="G7013" s="501" t="s">
        <v>859</v>
      </c>
      <c r="H7013" s="501" t="s">
        <v>9033</v>
      </c>
      <c r="I7013" s="501">
        <v>2</v>
      </c>
      <c r="J7013" s="501">
        <v>2</v>
      </c>
      <c r="K7013" s="501">
        <v>0</v>
      </c>
      <c r="L7013" s="501">
        <v>0</v>
      </c>
      <c r="M7013" s="501">
        <v>0</v>
      </c>
      <c r="N7013" s="501">
        <v>0</v>
      </c>
      <c r="O7013" s="506">
        <v>0</v>
      </c>
    </row>
    <row r="7014" spans="1:15" x14ac:dyDescent="0.35">
      <c r="A7014" s="503" t="s">
        <v>1093</v>
      </c>
      <c r="B7014" s="504" t="s">
        <v>3248</v>
      </c>
      <c r="C7014" s="504" t="s">
        <v>1094</v>
      </c>
      <c r="D7014" s="504" t="s">
        <v>3380</v>
      </c>
      <c r="E7014" s="504" t="s">
        <v>3381</v>
      </c>
      <c r="F7014" s="504" t="s">
        <v>858</v>
      </c>
      <c r="G7014" s="504" t="s">
        <v>859</v>
      </c>
      <c r="H7014" s="504" t="s">
        <v>9034</v>
      </c>
      <c r="I7014" s="504">
        <v>1</v>
      </c>
      <c r="J7014" s="504">
        <v>0</v>
      </c>
      <c r="K7014" s="504">
        <v>0</v>
      </c>
      <c r="L7014" s="504">
        <v>0</v>
      </c>
      <c r="M7014" s="504">
        <v>0</v>
      </c>
      <c r="N7014" s="504">
        <v>0</v>
      </c>
      <c r="O7014" s="505">
        <v>1</v>
      </c>
    </row>
    <row r="7015" spans="1:15" x14ac:dyDescent="0.35">
      <c r="A7015" s="500" t="s">
        <v>1148</v>
      </c>
      <c r="B7015" s="501">
        <v>4741</v>
      </c>
      <c r="C7015" s="501" t="s">
        <v>1089</v>
      </c>
      <c r="D7015" s="501" t="s">
        <v>3392</v>
      </c>
      <c r="E7015" s="501" t="s">
        <v>3381</v>
      </c>
      <c r="F7015" s="501" t="s">
        <v>858</v>
      </c>
      <c r="G7015" s="501" t="s">
        <v>859</v>
      </c>
      <c r="H7015" s="501" t="s">
        <v>9035</v>
      </c>
      <c r="I7015" s="501">
        <v>61</v>
      </c>
      <c r="J7015" s="501">
        <v>61</v>
      </c>
      <c r="K7015" s="501">
        <v>0</v>
      </c>
      <c r="L7015" s="501">
        <v>0</v>
      </c>
      <c r="M7015" s="501">
        <v>0</v>
      </c>
      <c r="N7015" s="501">
        <v>0</v>
      </c>
      <c r="O7015" s="506">
        <v>0</v>
      </c>
    </row>
    <row r="7016" spans="1:15" x14ac:dyDescent="0.35">
      <c r="A7016" s="503" t="s">
        <v>2135</v>
      </c>
      <c r="B7016" s="504" t="s">
        <v>2563</v>
      </c>
      <c r="C7016" s="504" t="s">
        <v>1089</v>
      </c>
      <c r="D7016" s="504" t="s">
        <v>3392</v>
      </c>
      <c r="E7016" s="504" t="s">
        <v>3381</v>
      </c>
      <c r="F7016" s="504" t="s">
        <v>858</v>
      </c>
      <c r="G7016" s="504" t="s">
        <v>859</v>
      </c>
      <c r="H7016" s="504" t="s">
        <v>9036</v>
      </c>
      <c r="I7016" s="504">
        <v>6</v>
      </c>
      <c r="J7016" s="504">
        <v>6</v>
      </c>
      <c r="K7016" s="504">
        <v>0</v>
      </c>
      <c r="L7016" s="504">
        <v>0</v>
      </c>
      <c r="M7016" s="504">
        <v>0</v>
      </c>
      <c r="N7016" s="504">
        <v>0</v>
      </c>
      <c r="O7016" s="505">
        <v>0</v>
      </c>
    </row>
    <row r="7017" spans="1:15" x14ac:dyDescent="0.35">
      <c r="A7017" s="500" t="s">
        <v>1668</v>
      </c>
      <c r="B7017" s="501" t="s">
        <v>3035</v>
      </c>
      <c r="C7017" s="501" t="s">
        <v>1089</v>
      </c>
      <c r="D7017" s="501" t="s">
        <v>3392</v>
      </c>
      <c r="E7017" s="501" t="s">
        <v>3381</v>
      </c>
      <c r="F7017" s="501" t="s">
        <v>858</v>
      </c>
      <c r="G7017" s="501" t="s">
        <v>859</v>
      </c>
      <c r="H7017" s="501" t="s">
        <v>9037</v>
      </c>
      <c r="I7017" s="501">
        <v>46</v>
      </c>
      <c r="J7017" s="501">
        <v>0</v>
      </c>
      <c r="K7017" s="501">
        <v>0</v>
      </c>
      <c r="L7017" s="501">
        <v>0</v>
      </c>
      <c r="M7017" s="501">
        <v>46</v>
      </c>
      <c r="N7017" s="501">
        <v>0</v>
      </c>
      <c r="O7017" s="506">
        <v>0</v>
      </c>
    </row>
    <row r="7018" spans="1:15" x14ac:dyDescent="0.35">
      <c r="A7018" s="503" t="s">
        <v>1096</v>
      </c>
      <c r="B7018" s="504" t="s">
        <v>3326</v>
      </c>
      <c r="C7018" s="504" t="s">
        <v>1094</v>
      </c>
      <c r="D7018" s="504" t="s">
        <v>3380</v>
      </c>
      <c r="E7018" s="504" t="s">
        <v>3381</v>
      </c>
      <c r="F7018" s="504" t="s">
        <v>858</v>
      </c>
      <c r="G7018" s="504" t="s">
        <v>859</v>
      </c>
      <c r="H7018" s="504" t="s">
        <v>9038</v>
      </c>
      <c r="I7018" s="504">
        <v>63</v>
      </c>
      <c r="J7018" s="504">
        <v>0</v>
      </c>
      <c r="K7018" s="504">
        <v>0</v>
      </c>
      <c r="L7018" s="504">
        <v>0</v>
      </c>
      <c r="M7018" s="504">
        <v>63</v>
      </c>
      <c r="N7018" s="504">
        <v>0</v>
      </c>
      <c r="O7018" s="505">
        <v>0</v>
      </c>
    </row>
    <row r="7019" spans="1:15" x14ac:dyDescent="0.35">
      <c r="A7019" s="500" t="s">
        <v>1149</v>
      </c>
      <c r="B7019" s="501" t="s">
        <v>3261</v>
      </c>
      <c r="C7019" s="501" t="s">
        <v>1094</v>
      </c>
      <c r="D7019" s="501" t="s">
        <v>3380</v>
      </c>
      <c r="E7019" s="501" t="s">
        <v>3381</v>
      </c>
      <c r="F7019" s="501" t="s">
        <v>858</v>
      </c>
      <c r="G7019" s="501" t="s">
        <v>859</v>
      </c>
      <c r="H7019" s="501" t="s">
        <v>9039</v>
      </c>
      <c r="I7019" s="501">
        <v>958</v>
      </c>
      <c r="J7019" s="501">
        <v>885</v>
      </c>
      <c r="K7019" s="501">
        <v>0</v>
      </c>
      <c r="L7019" s="501">
        <v>48</v>
      </c>
      <c r="M7019" s="501">
        <v>0</v>
      </c>
      <c r="N7019" s="501">
        <v>0</v>
      </c>
      <c r="O7019" s="506">
        <v>25</v>
      </c>
    </row>
    <row r="7020" spans="1:15" x14ac:dyDescent="0.35">
      <c r="A7020" s="503" t="s">
        <v>11363</v>
      </c>
      <c r="B7020" s="504">
        <v>4718</v>
      </c>
      <c r="C7020" s="504" t="s">
        <v>1094</v>
      </c>
      <c r="D7020" s="504" t="s">
        <v>3380</v>
      </c>
      <c r="E7020" s="504" t="s">
        <v>3381</v>
      </c>
      <c r="F7020" s="504" t="s">
        <v>858</v>
      </c>
      <c r="G7020" s="504" t="s">
        <v>859</v>
      </c>
      <c r="H7020" s="504" t="s">
        <v>11583</v>
      </c>
      <c r="I7020" s="504">
        <v>14</v>
      </c>
      <c r="J7020" s="504">
        <v>0</v>
      </c>
      <c r="K7020" s="504">
        <v>0</v>
      </c>
      <c r="L7020" s="504">
        <v>14</v>
      </c>
      <c r="M7020" s="504">
        <v>0</v>
      </c>
      <c r="N7020" s="504">
        <v>0</v>
      </c>
      <c r="O7020" s="505">
        <v>0</v>
      </c>
    </row>
    <row r="7021" spans="1:15" x14ac:dyDescent="0.35">
      <c r="A7021" s="500" t="s">
        <v>1100</v>
      </c>
      <c r="B7021" s="501">
        <v>4865</v>
      </c>
      <c r="C7021" s="501" t="s">
        <v>1094</v>
      </c>
      <c r="D7021" s="501" t="s">
        <v>3380</v>
      </c>
      <c r="E7021" s="501" t="s">
        <v>3381</v>
      </c>
      <c r="F7021" s="501" t="s">
        <v>858</v>
      </c>
      <c r="G7021" s="501" t="s">
        <v>859</v>
      </c>
      <c r="H7021" s="501" t="s">
        <v>9041</v>
      </c>
      <c r="I7021" s="501">
        <v>333</v>
      </c>
      <c r="J7021" s="501">
        <v>313</v>
      </c>
      <c r="K7021" s="501">
        <v>0</v>
      </c>
      <c r="L7021" s="501">
        <v>0</v>
      </c>
      <c r="M7021" s="501">
        <v>20</v>
      </c>
      <c r="N7021" s="501">
        <v>0</v>
      </c>
      <c r="O7021" s="506">
        <v>0</v>
      </c>
    </row>
    <row r="7022" spans="1:15" x14ac:dyDescent="0.35">
      <c r="A7022" s="503" t="s">
        <v>1171</v>
      </c>
      <c r="B7022" s="504" t="s">
        <v>3003</v>
      </c>
      <c r="C7022" s="504" t="s">
        <v>1094</v>
      </c>
      <c r="D7022" s="504" t="s">
        <v>3380</v>
      </c>
      <c r="E7022" s="504" t="s">
        <v>3381</v>
      </c>
      <c r="F7022" s="504" t="s">
        <v>858</v>
      </c>
      <c r="G7022" s="504" t="s">
        <v>859</v>
      </c>
      <c r="H7022" s="504" t="s">
        <v>9042</v>
      </c>
      <c r="I7022" s="504">
        <v>41</v>
      </c>
      <c r="J7022" s="504">
        <v>3</v>
      </c>
      <c r="K7022" s="504">
        <v>0</v>
      </c>
      <c r="L7022" s="504">
        <v>0</v>
      </c>
      <c r="M7022" s="504">
        <v>0</v>
      </c>
      <c r="N7022" s="504">
        <v>0</v>
      </c>
      <c r="O7022" s="505">
        <v>38</v>
      </c>
    </row>
    <row r="7023" spans="1:15" x14ac:dyDescent="0.35">
      <c r="A7023" s="500" t="s">
        <v>1172</v>
      </c>
      <c r="B7023" s="501">
        <v>4648</v>
      </c>
      <c r="C7023" s="501" t="s">
        <v>1089</v>
      </c>
      <c r="D7023" s="501" t="s">
        <v>3392</v>
      </c>
      <c r="E7023" s="501" t="s">
        <v>3381</v>
      </c>
      <c r="F7023" s="501" t="s">
        <v>858</v>
      </c>
      <c r="G7023" s="501" t="s">
        <v>859</v>
      </c>
      <c r="H7023" s="501" t="s">
        <v>9043</v>
      </c>
      <c r="I7023" s="501">
        <v>66</v>
      </c>
      <c r="J7023" s="501">
        <v>0</v>
      </c>
      <c r="K7023" s="501">
        <v>0</v>
      </c>
      <c r="L7023" s="501">
        <v>66</v>
      </c>
      <c r="M7023" s="501">
        <v>0</v>
      </c>
      <c r="N7023" s="501">
        <v>0</v>
      </c>
      <c r="O7023" s="506">
        <v>0</v>
      </c>
    </row>
    <row r="7024" spans="1:15" x14ac:dyDescent="0.35">
      <c r="A7024" s="503" t="s">
        <v>1173</v>
      </c>
      <c r="B7024" s="504">
        <v>4775</v>
      </c>
      <c r="C7024" s="504" t="s">
        <v>1094</v>
      </c>
      <c r="D7024" s="504" t="s">
        <v>3380</v>
      </c>
      <c r="E7024" s="504" t="s">
        <v>3381</v>
      </c>
      <c r="F7024" s="504" t="s">
        <v>858</v>
      </c>
      <c r="G7024" s="504" t="s">
        <v>859</v>
      </c>
      <c r="H7024" s="504" t="s">
        <v>9044</v>
      </c>
      <c r="I7024" s="504">
        <v>1</v>
      </c>
      <c r="J7024" s="504">
        <v>0</v>
      </c>
      <c r="K7024" s="504">
        <v>0</v>
      </c>
      <c r="L7024" s="504">
        <v>0</v>
      </c>
      <c r="M7024" s="504">
        <v>0</v>
      </c>
      <c r="N7024" s="504">
        <v>0</v>
      </c>
      <c r="O7024" s="505">
        <v>1</v>
      </c>
    </row>
    <row r="7025" spans="1:15" x14ac:dyDescent="0.35">
      <c r="A7025" s="500" t="s">
        <v>14208</v>
      </c>
      <c r="B7025" s="501">
        <v>4803</v>
      </c>
      <c r="C7025" s="501" t="s">
        <v>1094</v>
      </c>
      <c r="D7025" s="501" t="s">
        <v>3380</v>
      </c>
      <c r="E7025" s="501" t="s">
        <v>3381</v>
      </c>
      <c r="F7025" s="501" t="s">
        <v>858</v>
      </c>
      <c r="G7025" s="501" t="s">
        <v>859</v>
      </c>
      <c r="H7025" s="501" t="s">
        <v>15036</v>
      </c>
      <c r="I7025" s="501">
        <v>26</v>
      </c>
      <c r="J7025" s="501">
        <v>0</v>
      </c>
      <c r="K7025" s="501">
        <v>0</v>
      </c>
      <c r="L7025" s="501">
        <v>26</v>
      </c>
      <c r="M7025" s="501">
        <v>0</v>
      </c>
      <c r="N7025" s="501">
        <v>0</v>
      </c>
      <c r="O7025" s="506">
        <v>0</v>
      </c>
    </row>
    <row r="7026" spans="1:15" x14ac:dyDescent="0.35">
      <c r="A7026" s="503" t="s">
        <v>1183</v>
      </c>
      <c r="B7026" s="504" t="s">
        <v>3038</v>
      </c>
      <c r="C7026" s="504" t="s">
        <v>1094</v>
      </c>
      <c r="D7026" s="504" t="s">
        <v>3380</v>
      </c>
      <c r="E7026" s="504" t="s">
        <v>3381</v>
      </c>
      <c r="F7026" s="504" t="s">
        <v>858</v>
      </c>
      <c r="G7026" s="504" t="s">
        <v>859</v>
      </c>
      <c r="H7026" s="504" t="s">
        <v>9045</v>
      </c>
      <c r="I7026" s="504">
        <v>2125</v>
      </c>
      <c r="J7026" s="504">
        <v>2035</v>
      </c>
      <c r="K7026" s="504">
        <v>0</v>
      </c>
      <c r="L7026" s="504">
        <v>8</v>
      </c>
      <c r="M7026" s="504">
        <v>0</v>
      </c>
      <c r="N7026" s="504">
        <v>0</v>
      </c>
      <c r="O7026" s="505">
        <v>82</v>
      </c>
    </row>
    <row r="7027" spans="1:15" x14ac:dyDescent="0.35">
      <c r="A7027" s="500" t="s">
        <v>1186</v>
      </c>
      <c r="B7027" s="501">
        <v>4661</v>
      </c>
      <c r="C7027" s="501" t="s">
        <v>1089</v>
      </c>
      <c r="D7027" s="501" t="s">
        <v>3392</v>
      </c>
      <c r="E7027" s="501" t="s">
        <v>3381</v>
      </c>
      <c r="F7027" s="501" t="s">
        <v>858</v>
      </c>
      <c r="G7027" s="501" t="s">
        <v>859</v>
      </c>
      <c r="H7027" s="501" t="s">
        <v>9046</v>
      </c>
      <c r="I7027" s="501">
        <v>6</v>
      </c>
      <c r="J7027" s="501">
        <v>0</v>
      </c>
      <c r="K7027" s="501">
        <v>0</v>
      </c>
      <c r="L7027" s="501">
        <v>6</v>
      </c>
      <c r="M7027" s="501">
        <v>0</v>
      </c>
      <c r="N7027" s="501">
        <v>0</v>
      </c>
      <c r="O7027" s="506">
        <v>0</v>
      </c>
    </row>
    <row r="7028" spans="1:15" x14ac:dyDescent="0.35">
      <c r="A7028" s="503" t="s">
        <v>1107</v>
      </c>
      <c r="B7028" s="504" t="s">
        <v>3109</v>
      </c>
      <c r="C7028" s="504" t="s">
        <v>1094</v>
      </c>
      <c r="D7028" s="504" t="s">
        <v>3380</v>
      </c>
      <c r="E7028" s="504" t="s">
        <v>3381</v>
      </c>
      <c r="F7028" s="504" t="s">
        <v>858</v>
      </c>
      <c r="G7028" s="504" t="s">
        <v>859</v>
      </c>
      <c r="H7028" s="504" t="s">
        <v>9047</v>
      </c>
      <c r="I7028" s="504">
        <v>325</v>
      </c>
      <c r="J7028" s="504">
        <v>246</v>
      </c>
      <c r="K7028" s="504">
        <v>0</v>
      </c>
      <c r="L7028" s="504">
        <v>6</v>
      </c>
      <c r="M7028" s="504">
        <v>0</v>
      </c>
      <c r="N7028" s="504">
        <v>0</v>
      </c>
      <c r="O7028" s="505">
        <v>73</v>
      </c>
    </row>
    <row r="7029" spans="1:15" x14ac:dyDescent="0.35">
      <c r="A7029" s="500" t="s">
        <v>1109</v>
      </c>
      <c r="B7029" s="501" t="s">
        <v>2959</v>
      </c>
      <c r="C7029" s="501" t="s">
        <v>1094</v>
      </c>
      <c r="D7029" s="501" t="s">
        <v>3380</v>
      </c>
      <c r="E7029" s="501" t="s">
        <v>3381</v>
      </c>
      <c r="F7029" s="501" t="s">
        <v>858</v>
      </c>
      <c r="G7029" s="501" t="s">
        <v>859</v>
      </c>
      <c r="H7029" s="501" t="s">
        <v>9048</v>
      </c>
      <c r="I7029" s="501">
        <v>40</v>
      </c>
      <c r="J7029" s="501">
        <v>0</v>
      </c>
      <c r="K7029" s="501">
        <v>0</v>
      </c>
      <c r="L7029" s="501">
        <v>0</v>
      </c>
      <c r="M7029" s="501">
        <v>40</v>
      </c>
      <c r="N7029" s="501">
        <v>0</v>
      </c>
      <c r="O7029" s="506">
        <v>0</v>
      </c>
    </row>
    <row r="7030" spans="1:15" x14ac:dyDescent="0.35">
      <c r="A7030" s="503" t="s">
        <v>1634</v>
      </c>
      <c r="B7030" s="504">
        <v>4822</v>
      </c>
      <c r="C7030" s="504" t="s">
        <v>1089</v>
      </c>
      <c r="D7030" s="504" t="s">
        <v>3392</v>
      </c>
      <c r="E7030" s="504" t="s">
        <v>3381</v>
      </c>
      <c r="F7030" s="504" t="s">
        <v>858</v>
      </c>
      <c r="G7030" s="504" t="s">
        <v>859</v>
      </c>
      <c r="H7030" s="504" t="s">
        <v>9049</v>
      </c>
      <c r="I7030" s="504">
        <v>3</v>
      </c>
      <c r="J7030" s="504">
        <v>0</v>
      </c>
      <c r="K7030" s="504">
        <v>0</v>
      </c>
      <c r="L7030" s="504">
        <v>3</v>
      </c>
      <c r="M7030" s="504">
        <v>0</v>
      </c>
      <c r="N7030" s="504">
        <v>0</v>
      </c>
      <c r="O7030" s="505">
        <v>0</v>
      </c>
    </row>
    <row r="7031" spans="1:15" x14ac:dyDescent="0.35">
      <c r="A7031" s="500" t="s">
        <v>1190</v>
      </c>
      <c r="B7031" s="501">
        <v>4662</v>
      </c>
      <c r="C7031" s="501" t="s">
        <v>1094</v>
      </c>
      <c r="D7031" s="501" t="s">
        <v>3380</v>
      </c>
      <c r="E7031" s="501" t="s">
        <v>3381</v>
      </c>
      <c r="F7031" s="501" t="s">
        <v>858</v>
      </c>
      <c r="G7031" s="501" t="s">
        <v>859</v>
      </c>
      <c r="H7031" s="501" t="s">
        <v>9050</v>
      </c>
      <c r="I7031" s="501">
        <v>3</v>
      </c>
      <c r="J7031" s="501">
        <v>0</v>
      </c>
      <c r="K7031" s="501">
        <v>0</v>
      </c>
      <c r="L7031" s="501">
        <v>3</v>
      </c>
      <c r="M7031" s="501">
        <v>0</v>
      </c>
      <c r="N7031" s="501">
        <v>0</v>
      </c>
      <c r="O7031" s="506">
        <v>0</v>
      </c>
    </row>
    <row r="7032" spans="1:15" x14ac:dyDescent="0.35">
      <c r="A7032" s="503" t="s">
        <v>2161</v>
      </c>
      <c r="B7032" s="504" t="s">
        <v>3205</v>
      </c>
      <c r="C7032" s="504" t="s">
        <v>1094</v>
      </c>
      <c r="D7032" s="504" t="s">
        <v>3380</v>
      </c>
      <c r="E7032" s="504" t="s">
        <v>3381</v>
      </c>
      <c r="F7032" s="504" t="s">
        <v>858</v>
      </c>
      <c r="G7032" s="504" t="s">
        <v>859</v>
      </c>
      <c r="H7032" s="504" t="s">
        <v>9051</v>
      </c>
      <c r="I7032" s="504">
        <v>62</v>
      </c>
      <c r="J7032" s="504">
        <v>62</v>
      </c>
      <c r="K7032" s="504">
        <v>0</v>
      </c>
      <c r="L7032" s="504">
        <v>0</v>
      </c>
      <c r="M7032" s="504">
        <v>0</v>
      </c>
      <c r="N7032" s="504">
        <v>0</v>
      </c>
      <c r="O7032" s="505">
        <v>0</v>
      </c>
    </row>
    <row r="7033" spans="1:15" x14ac:dyDescent="0.35">
      <c r="A7033" s="500" t="s">
        <v>1197</v>
      </c>
      <c r="B7033" s="501">
        <v>4863</v>
      </c>
      <c r="C7033" s="501" t="s">
        <v>1089</v>
      </c>
      <c r="D7033" s="501" t="s">
        <v>3392</v>
      </c>
      <c r="E7033" s="501" t="s">
        <v>3381</v>
      </c>
      <c r="F7033" s="501" t="s">
        <v>858</v>
      </c>
      <c r="G7033" s="501" t="s">
        <v>859</v>
      </c>
      <c r="H7033" s="501" t="s">
        <v>9053</v>
      </c>
      <c r="I7033" s="501">
        <v>11</v>
      </c>
      <c r="J7033" s="501">
        <v>0</v>
      </c>
      <c r="K7033" s="501">
        <v>0</v>
      </c>
      <c r="L7033" s="501">
        <v>11</v>
      </c>
      <c r="M7033" s="501">
        <v>0</v>
      </c>
      <c r="N7033" s="501">
        <v>0</v>
      </c>
      <c r="O7033" s="506">
        <v>0</v>
      </c>
    </row>
    <row r="7034" spans="1:15" x14ac:dyDescent="0.35">
      <c r="A7034" s="503" t="s">
        <v>1112</v>
      </c>
      <c r="B7034" s="504" t="s">
        <v>3008</v>
      </c>
      <c r="C7034" s="504" t="s">
        <v>1094</v>
      </c>
      <c r="D7034" s="504" t="s">
        <v>3380</v>
      </c>
      <c r="E7034" s="504" t="s">
        <v>3381</v>
      </c>
      <c r="F7034" s="504" t="s">
        <v>858</v>
      </c>
      <c r="G7034" s="504" t="s">
        <v>859</v>
      </c>
      <c r="H7034" s="504" t="s">
        <v>9054</v>
      </c>
      <c r="I7034" s="504">
        <v>11</v>
      </c>
      <c r="J7034" s="504">
        <v>0</v>
      </c>
      <c r="K7034" s="504">
        <v>0</v>
      </c>
      <c r="L7034" s="504">
        <v>11</v>
      </c>
      <c r="M7034" s="504">
        <v>0</v>
      </c>
      <c r="N7034" s="504">
        <v>0</v>
      </c>
      <c r="O7034" s="505">
        <v>0</v>
      </c>
    </row>
    <row r="7035" spans="1:15" x14ac:dyDescent="0.35">
      <c r="A7035" s="500" t="s">
        <v>2169</v>
      </c>
      <c r="B7035" s="501" t="s">
        <v>3104</v>
      </c>
      <c r="C7035" s="501" t="s">
        <v>1089</v>
      </c>
      <c r="D7035" s="501" t="s">
        <v>3392</v>
      </c>
      <c r="E7035" s="501" t="s">
        <v>3381</v>
      </c>
      <c r="F7035" s="501" t="s">
        <v>858</v>
      </c>
      <c r="G7035" s="501" t="s">
        <v>859</v>
      </c>
      <c r="H7035" s="501" t="s">
        <v>9055</v>
      </c>
      <c r="I7035" s="501">
        <v>61</v>
      </c>
      <c r="J7035" s="501">
        <v>29</v>
      </c>
      <c r="K7035" s="501">
        <v>0</v>
      </c>
      <c r="L7035" s="501">
        <v>0</v>
      </c>
      <c r="M7035" s="501">
        <v>32</v>
      </c>
      <c r="N7035" s="501">
        <v>0</v>
      </c>
      <c r="O7035" s="506">
        <v>0</v>
      </c>
    </row>
    <row r="7036" spans="1:15" x14ac:dyDescent="0.35">
      <c r="A7036" s="503" t="s">
        <v>1223</v>
      </c>
      <c r="B7036" s="504">
        <v>4768</v>
      </c>
      <c r="C7036" s="504" t="s">
        <v>1089</v>
      </c>
      <c r="D7036" s="504" t="s">
        <v>3392</v>
      </c>
      <c r="E7036" s="504" t="s">
        <v>3381</v>
      </c>
      <c r="F7036" s="504" t="s">
        <v>858</v>
      </c>
      <c r="G7036" s="504" t="s">
        <v>859</v>
      </c>
      <c r="H7036" s="504" t="s">
        <v>9056</v>
      </c>
      <c r="I7036" s="504">
        <v>6</v>
      </c>
      <c r="J7036" s="504">
        <v>0</v>
      </c>
      <c r="K7036" s="504">
        <v>0</v>
      </c>
      <c r="L7036" s="504">
        <v>6</v>
      </c>
      <c r="M7036" s="504">
        <v>0</v>
      </c>
      <c r="N7036" s="504">
        <v>0</v>
      </c>
      <c r="O7036" s="505">
        <v>0</v>
      </c>
    </row>
    <row r="7037" spans="1:15" x14ac:dyDescent="0.35">
      <c r="A7037" s="500" t="s">
        <v>1224</v>
      </c>
      <c r="B7037" s="501" t="s">
        <v>3135</v>
      </c>
      <c r="C7037" s="501" t="s">
        <v>1089</v>
      </c>
      <c r="D7037" s="501" t="s">
        <v>3392</v>
      </c>
      <c r="E7037" s="501" t="s">
        <v>3381</v>
      </c>
      <c r="F7037" s="501" t="s">
        <v>858</v>
      </c>
      <c r="G7037" s="501" t="s">
        <v>859</v>
      </c>
      <c r="H7037" s="501" t="s">
        <v>9057</v>
      </c>
      <c r="I7037" s="501">
        <v>8</v>
      </c>
      <c r="J7037" s="501">
        <v>8</v>
      </c>
      <c r="K7037" s="501">
        <v>0</v>
      </c>
      <c r="L7037" s="501">
        <v>0</v>
      </c>
      <c r="M7037" s="501">
        <v>0</v>
      </c>
      <c r="N7037" s="501">
        <v>0</v>
      </c>
      <c r="O7037" s="506">
        <v>0</v>
      </c>
    </row>
    <row r="7038" spans="1:15" x14ac:dyDescent="0.35">
      <c r="A7038" s="503" t="s">
        <v>1122</v>
      </c>
      <c r="B7038" s="504" t="s">
        <v>2994</v>
      </c>
      <c r="C7038" s="504" t="s">
        <v>1094</v>
      </c>
      <c r="D7038" s="504" t="s">
        <v>3380</v>
      </c>
      <c r="E7038" s="504" t="s">
        <v>3381</v>
      </c>
      <c r="F7038" s="504" t="s">
        <v>858</v>
      </c>
      <c r="G7038" s="504" t="s">
        <v>859</v>
      </c>
      <c r="H7038" s="504" t="s">
        <v>9058</v>
      </c>
      <c r="I7038" s="504">
        <v>2573</v>
      </c>
      <c r="J7038" s="504">
        <v>2322</v>
      </c>
      <c r="K7038" s="504">
        <v>0</v>
      </c>
      <c r="L7038" s="504">
        <v>25</v>
      </c>
      <c r="M7038" s="504">
        <v>164</v>
      </c>
      <c r="N7038" s="504">
        <v>0</v>
      </c>
      <c r="O7038" s="505">
        <v>62</v>
      </c>
    </row>
    <row r="7039" spans="1:15" x14ac:dyDescent="0.35">
      <c r="A7039" s="500" t="s">
        <v>1225</v>
      </c>
      <c r="B7039" s="501" t="s">
        <v>3315</v>
      </c>
      <c r="C7039" s="501" t="s">
        <v>1094</v>
      </c>
      <c r="D7039" s="501" t="s">
        <v>3380</v>
      </c>
      <c r="E7039" s="501" t="s">
        <v>3381</v>
      </c>
      <c r="F7039" s="501" t="s">
        <v>858</v>
      </c>
      <c r="G7039" s="501" t="s">
        <v>859</v>
      </c>
      <c r="H7039" s="501" t="s">
        <v>9059</v>
      </c>
      <c r="I7039" s="501">
        <v>85</v>
      </c>
      <c r="J7039" s="501">
        <v>7</v>
      </c>
      <c r="K7039" s="501">
        <v>1</v>
      </c>
      <c r="L7039" s="501">
        <v>77</v>
      </c>
      <c r="M7039" s="501">
        <v>0</v>
      </c>
      <c r="N7039" s="501">
        <v>0</v>
      </c>
      <c r="O7039" s="506">
        <v>0</v>
      </c>
    </row>
    <row r="7040" spans="1:15" x14ac:dyDescent="0.35">
      <c r="A7040" s="503" t="s">
        <v>1228</v>
      </c>
      <c r="B7040" s="504" t="s">
        <v>3321</v>
      </c>
      <c r="C7040" s="504" t="s">
        <v>1094</v>
      </c>
      <c r="D7040" s="504" t="s">
        <v>3380</v>
      </c>
      <c r="E7040" s="504" t="s">
        <v>3381</v>
      </c>
      <c r="F7040" s="504" t="s">
        <v>858</v>
      </c>
      <c r="G7040" s="504" t="s">
        <v>859</v>
      </c>
      <c r="H7040" s="504" t="s">
        <v>9060</v>
      </c>
      <c r="I7040" s="504">
        <v>37</v>
      </c>
      <c r="J7040" s="504">
        <v>0</v>
      </c>
      <c r="K7040" s="504">
        <v>0</v>
      </c>
      <c r="L7040" s="504">
        <v>34</v>
      </c>
      <c r="M7040" s="504">
        <v>0</v>
      </c>
      <c r="N7040" s="504">
        <v>0</v>
      </c>
      <c r="O7040" s="505">
        <v>3</v>
      </c>
    </row>
    <row r="7041" spans="1:15" x14ac:dyDescent="0.35">
      <c r="A7041" s="500" t="s">
        <v>1234</v>
      </c>
      <c r="B7041" s="501" t="s">
        <v>3291</v>
      </c>
      <c r="C7041" s="501" t="s">
        <v>1094</v>
      </c>
      <c r="D7041" s="501" t="s">
        <v>3380</v>
      </c>
      <c r="E7041" s="501" t="s">
        <v>3381</v>
      </c>
      <c r="F7041" s="501" t="s">
        <v>858</v>
      </c>
      <c r="G7041" s="501" t="s">
        <v>859</v>
      </c>
      <c r="H7041" s="501" t="s">
        <v>9061</v>
      </c>
      <c r="I7041" s="501">
        <v>57</v>
      </c>
      <c r="J7041" s="501">
        <v>0</v>
      </c>
      <c r="K7041" s="501">
        <v>0</v>
      </c>
      <c r="L7041" s="501">
        <v>57</v>
      </c>
      <c r="M7041" s="501">
        <v>0</v>
      </c>
      <c r="N7041" s="501">
        <v>0</v>
      </c>
      <c r="O7041" s="506">
        <v>0</v>
      </c>
    </row>
    <row r="7042" spans="1:15" x14ac:dyDescent="0.35">
      <c r="A7042" s="503" t="s">
        <v>1235</v>
      </c>
      <c r="B7042" s="504">
        <v>4684</v>
      </c>
      <c r="C7042" s="504" t="s">
        <v>1094</v>
      </c>
      <c r="D7042" s="504" t="s">
        <v>3380</v>
      </c>
      <c r="E7042" s="504" t="s">
        <v>3381</v>
      </c>
      <c r="F7042" s="504" t="s">
        <v>858</v>
      </c>
      <c r="G7042" s="504" t="s">
        <v>859</v>
      </c>
      <c r="H7042" s="504" t="s">
        <v>9062</v>
      </c>
      <c r="I7042" s="504">
        <v>300</v>
      </c>
      <c r="J7042" s="504">
        <v>280</v>
      </c>
      <c r="K7042" s="504">
        <v>0</v>
      </c>
      <c r="L7042" s="504">
        <v>20</v>
      </c>
      <c r="M7042" s="504">
        <v>0</v>
      </c>
      <c r="N7042" s="504">
        <v>0</v>
      </c>
      <c r="O7042" s="505">
        <v>0</v>
      </c>
    </row>
    <row r="7043" spans="1:15" x14ac:dyDescent="0.35">
      <c r="A7043" s="500" t="s">
        <v>1126</v>
      </c>
      <c r="B7043" s="501" t="s">
        <v>2974</v>
      </c>
      <c r="C7043" s="501" t="s">
        <v>1094</v>
      </c>
      <c r="D7043" s="501" t="s">
        <v>3380</v>
      </c>
      <c r="E7043" s="501" t="s">
        <v>3381</v>
      </c>
      <c r="F7043" s="501" t="s">
        <v>858</v>
      </c>
      <c r="G7043" s="501" t="s">
        <v>859</v>
      </c>
      <c r="H7043" s="501" t="s">
        <v>9063</v>
      </c>
      <c r="I7043" s="501">
        <v>2567</v>
      </c>
      <c r="J7043" s="501">
        <v>2468</v>
      </c>
      <c r="K7043" s="501">
        <v>0</v>
      </c>
      <c r="L7043" s="501">
        <v>17</v>
      </c>
      <c r="M7043" s="501">
        <v>70</v>
      </c>
      <c r="N7043" s="501">
        <v>2</v>
      </c>
      <c r="O7043" s="506">
        <v>12</v>
      </c>
    </row>
    <row r="7044" spans="1:15" x14ac:dyDescent="0.35">
      <c r="A7044" s="503" t="s">
        <v>1238</v>
      </c>
      <c r="B7044" s="504" t="s">
        <v>2963</v>
      </c>
      <c r="C7044" s="504" t="s">
        <v>1094</v>
      </c>
      <c r="D7044" s="504" t="s">
        <v>3380</v>
      </c>
      <c r="E7044" s="504" t="s">
        <v>3381</v>
      </c>
      <c r="F7044" s="504" t="s">
        <v>858</v>
      </c>
      <c r="G7044" s="504" t="s">
        <v>859</v>
      </c>
      <c r="H7044" s="504" t="s">
        <v>9064</v>
      </c>
      <c r="I7044" s="504">
        <v>2126</v>
      </c>
      <c r="J7044" s="504">
        <v>1336</v>
      </c>
      <c r="K7044" s="504">
        <v>0</v>
      </c>
      <c r="L7044" s="504">
        <v>633</v>
      </c>
      <c r="M7044" s="504">
        <v>89</v>
      </c>
      <c r="N7044" s="504">
        <v>0</v>
      </c>
      <c r="O7044" s="505">
        <v>68</v>
      </c>
    </row>
    <row r="7045" spans="1:15" x14ac:dyDescent="0.35">
      <c r="A7045" s="500" t="s">
        <v>1130</v>
      </c>
      <c r="B7045" s="501" t="s">
        <v>3234</v>
      </c>
      <c r="C7045" s="501" t="s">
        <v>1094</v>
      </c>
      <c r="D7045" s="501" t="s">
        <v>3380</v>
      </c>
      <c r="E7045" s="501" t="s">
        <v>3381</v>
      </c>
      <c r="F7045" s="501" t="s">
        <v>858</v>
      </c>
      <c r="G7045" s="501" t="s">
        <v>859</v>
      </c>
      <c r="H7045" s="501" t="s">
        <v>9065</v>
      </c>
      <c r="I7045" s="501">
        <v>1</v>
      </c>
      <c r="J7045" s="501">
        <v>0</v>
      </c>
      <c r="K7045" s="501">
        <v>0</v>
      </c>
      <c r="L7045" s="501">
        <v>0</v>
      </c>
      <c r="M7045" s="501">
        <v>0</v>
      </c>
      <c r="N7045" s="501">
        <v>0</v>
      </c>
      <c r="O7045" s="506">
        <v>1</v>
      </c>
    </row>
    <row r="7046" spans="1:15" x14ac:dyDescent="0.35">
      <c r="A7046" s="503" t="s">
        <v>11439</v>
      </c>
      <c r="B7046" s="504" t="s">
        <v>2905</v>
      </c>
      <c r="C7046" s="504" t="s">
        <v>1089</v>
      </c>
      <c r="D7046" s="504" t="s">
        <v>3392</v>
      </c>
      <c r="E7046" s="504" t="s">
        <v>3381</v>
      </c>
      <c r="F7046" s="504" t="s">
        <v>858</v>
      </c>
      <c r="G7046" s="504" t="s">
        <v>859</v>
      </c>
      <c r="H7046" s="504" t="s">
        <v>12132</v>
      </c>
      <c r="I7046" s="504">
        <v>66</v>
      </c>
      <c r="J7046" s="504">
        <v>0</v>
      </c>
      <c r="K7046" s="504">
        <v>0</v>
      </c>
      <c r="L7046" s="504">
        <v>66</v>
      </c>
      <c r="M7046" s="504">
        <v>0</v>
      </c>
      <c r="N7046" s="504">
        <v>0</v>
      </c>
      <c r="O7046" s="505">
        <v>0</v>
      </c>
    </row>
    <row r="7047" spans="1:15" x14ac:dyDescent="0.35">
      <c r="A7047" s="500" t="s">
        <v>2176</v>
      </c>
      <c r="B7047" s="501">
        <v>4679</v>
      </c>
      <c r="C7047" s="501" t="s">
        <v>1089</v>
      </c>
      <c r="D7047" s="501" t="s">
        <v>3392</v>
      </c>
      <c r="E7047" s="501" t="s">
        <v>3381</v>
      </c>
      <c r="F7047" s="501" t="s">
        <v>858</v>
      </c>
      <c r="G7047" s="501" t="s">
        <v>859</v>
      </c>
      <c r="H7047" s="501" t="s">
        <v>9066</v>
      </c>
      <c r="I7047" s="501">
        <v>39</v>
      </c>
      <c r="J7047" s="501">
        <v>0</v>
      </c>
      <c r="K7047" s="501">
        <v>0</v>
      </c>
      <c r="L7047" s="501">
        <v>39</v>
      </c>
      <c r="M7047" s="501">
        <v>0</v>
      </c>
      <c r="N7047" s="501">
        <v>0</v>
      </c>
      <c r="O7047" s="506">
        <v>0</v>
      </c>
    </row>
    <row r="7048" spans="1:15" x14ac:dyDescent="0.35">
      <c r="A7048" s="503" t="s">
        <v>1249</v>
      </c>
      <c r="B7048" s="504">
        <v>4729</v>
      </c>
      <c r="C7048" s="504" t="s">
        <v>1094</v>
      </c>
      <c r="D7048" s="504" t="s">
        <v>3380</v>
      </c>
      <c r="E7048" s="504" t="s">
        <v>3381</v>
      </c>
      <c r="F7048" s="504" t="s">
        <v>858</v>
      </c>
      <c r="G7048" s="504" t="s">
        <v>859</v>
      </c>
      <c r="H7048" s="504" t="s">
        <v>9067</v>
      </c>
      <c r="I7048" s="504">
        <v>2239</v>
      </c>
      <c r="J7048" s="504">
        <v>1738</v>
      </c>
      <c r="K7048" s="504">
        <v>1</v>
      </c>
      <c r="L7048" s="504">
        <v>137</v>
      </c>
      <c r="M7048" s="504">
        <v>297</v>
      </c>
      <c r="N7048" s="504">
        <v>0</v>
      </c>
      <c r="O7048" s="505">
        <v>66</v>
      </c>
    </row>
    <row r="7049" spans="1:15" x14ac:dyDescent="0.35">
      <c r="A7049" s="500" t="s">
        <v>1257</v>
      </c>
      <c r="B7049" s="501" t="s">
        <v>3151</v>
      </c>
      <c r="C7049" s="501" t="s">
        <v>1094</v>
      </c>
      <c r="D7049" s="501" t="s">
        <v>3380</v>
      </c>
      <c r="E7049" s="501" t="s">
        <v>3381</v>
      </c>
      <c r="F7049" s="501" t="s">
        <v>858</v>
      </c>
      <c r="G7049" s="501" t="s">
        <v>859</v>
      </c>
      <c r="H7049" s="501" t="s">
        <v>9068</v>
      </c>
      <c r="I7049" s="501">
        <v>1871</v>
      </c>
      <c r="J7049" s="501">
        <v>1854</v>
      </c>
      <c r="K7049" s="501">
        <v>0</v>
      </c>
      <c r="L7049" s="501">
        <v>9</v>
      </c>
      <c r="M7049" s="501">
        <v>0</v>
      </c>
      <c r="N7049" s="501">
        <v>0</v>
      </c>
      <c r="O7049" s="506">
        <v>8</v>
      </c>
    </row>
    <row r="7050" spans="1:15" x14ac:dyDescent="0.35">
      <c r="A7050" s="503" t="s">
        <v>1260</v>
      </c>
      <c r="B7050" s="504">
        <v>4645</v>
      </c>
      <c r="C7050" s="504" t="s">
        <v>1089</v>
      </c>
      <c r="D7050" s="504" t="s">
        <v>3392</v>
      </c>
      <c r="E7050" s="504" t="s">
        <v>3381</v>
      </c>
      <c r="F7050" s="504" t="s">
        <v>858</v>
      </c>
      <c r="G7050" s="504" t="s">
        <v>859</v>
      </c>
      <c r="H7050" s="504" t="s">
        <v>9069</v>
      </c>
      <c r="I7050" s="504">
        <v>22</v>
      </c>
      <c r="J7050" s="504">
        <v>0</v>
      </c>
      <c r="K7050" s="504">
        <v>0</v>
      </c>
      <c r="L7050" s="504">
        <v>22</v>
      </c>
      <c r="M7050" s="504">
        <v>0</v>
      </c>
      <c r="N7050" s="504">
        <v>0</v>
      </c>
      <c r="O7050" s="505">
        <v>0</v>
      </c>
    </row>
    <row r="7051" spans="1:15" x14ac:dyDescent="0.35">
      <c r="A7051" s="500" t="s">
        <v>1789</v>
      </c>
      <c r="B7051" s="501" t="s">
        <v>3219</v>
      </c>
      <c r="C7051" s="501" t="s">
        <v>1094</v>
      </c>
      <c r="D7051" s="501" t="s">
        <v>3380</v>
      </c>
      <c r="E7051" s="501" t="s">
        <v>3381</v>
      </c>
      <c r="F7051" s="501" t="s">
        <v>858</v>
      </c>
      <c r="G7051" s="501" t="s">
        <v>859</v>
      </c>
      <c r="H7051" s="501" t="s">
        <v>9070</v>
      </c>
      <c r="I7051" s="501">
        <v>643</v>
      </c>
      <c r="J7051" s="501">
        <v>578</v>
      </c>
      <c r="K7051" s="501">
        <v>0</v>
      </c>
      <c r="L7051" s="501">
        <v>30</v>
      </c>
      <c r="M7051" s="501">
        <v>28</v>
      </c>
      <c r="N7051" s="501">
        <v>0</v>
      </c>
      <c r="O7051" s="506">
        <v>7</v>
      </c>
    </row>
    <row r="7052" spans="1:15" x14ac:dyDescent="0.35">
      <c r="A7052" s="503" t="s">
        <v>1266</v>
      </c>
      <c r="B7052" s="504" t="s">
        <v>3071</v>
      </c>
      <c r="C7052" s="504" t="s">
        <v>1094</v>
      </c>
      <c r="D7052" s="504" t="s">
        <v>3380</v>
      </c>
      <c r="E7052" s="504" t="s">
        <v>3381</v>
      </c>
      <c r="F7052" s="504" t="s">
        <v>858</v>
      </c>
      <c r="G7052" s="504" t="s">
        <v>859</v>
      </c>
      <c r="H7052" s="504" t="s">
        <v>9071</v>
      </c>
      <c r="I7052" s="504">
        <v>206</v>
      </c>
      <c r="J7052" s="504">
        <v>0</v>
      </c>
      <c r="K7052" s="504">
        <v>0</v>
      </c>
      <c r="L7052" s="504">
        <v>0</v>
      </c>
      <c r="M7052" s="504">
        <v>177</v>
      </c>
      <c r="N7052" s="504">
        <v>0</v>
      </c>
      <c r="O7052" s="505">
        <v>29</v>
      </c>
    </row>
    <row r="7053" spans="1:15" x14ac:dyDescent="0.35">
      <c r="A7053" s="500" t="s">
        <v>1156</v>
      </c>
      <c r="B7053" s="501" t="s">
        <v>3310</v>
      </c>
      <c r="C7053" s="501" t="s">
        <v>1094</v>
      </c>
      <c r="D7053" s="501" t="s">
        <v>3380</v>
      </c>
      <c r="E7053" s="501" t="s">
        <v>3381</v>
      </c>
      <c r="F7053" s="501" t="s">
        <v>858</v>
      </c>
      <c r="G7053" s="501" t="s">
        <v>859</v>
      </c>
      <c r="H7053" s="501" t="s">
        <v>9040</v>
      </c>
      <c r="I7053" s="501">
        <v>1</v>
      </c>
      <c r="J7053" s="501">
        <v>0</v>
      </c>
      <c r="K7053" s="501">
        <v>0</v>
      </c>
      <c r="L7053" s="501">
        <v>0</v>
      </c>
      <c r="M7053" s="501">
        <v>0</v>
      </c>
      <c r="N7053" s="501">
        <v>0</v>
      </c>
      <c r="O7053" s="506">
        <v>1</v>
      </c>
    </row>
    <row r="7054" spans="1:15" x14ac:dyDescent="0.35">
      <c r="A7054" s="503" t="s">
        <v>1668</v>
      </c>
      <c r="B7054" s="504" t="s">
        <v>3035</v>
      </c>
      <c r="C7054" s="504" t="s">
        <v>1089</v>
      </c>
      <c r="D7054" s="504" t="s">
        <v>3392</v>
      </c>
      <c r="E7054" s="504" t="s">
        <v>3381</v>
      </c>
      <c r="F7054" s="504" t="s">
        <v>860</v>
      </c>
      <c r="G7054" s="504" t="s">
        <v>861</v>
      </c>
      <c r="H7054" s="504" t="s">
        <v>9072</v>
      </c>
      <c r="I7054" s="504">
        <v>11</v>
      </c>
      <c r="J7054" s="504">
        <v>0</v>
      </c>
      <c r="K7054" s="504">
        <v>0</v>
      </c>
      <c r="L7054" s="504">
        <v>0</v>
      </c>
      <c r="M7054" s="504">
        <v>11</v>
      </c>
      <c r="N7054" s="504">
        <v>0</v>
      </c>
      <c r="O7054" s="505">
        <v>0</v>
      </c>
    </row>
    <row r="7055" spans="1:15" x14ac:dyDescent="0.35">
      <c r="A7055" s="500" t="s">
        <v>1096</v>
      </c>
      <c r="B7055" s="501" t="s">
        <v>3326</v>
      </c>
      <c r="C7055" s="501" t="s">
        <v>1094</v>
      </c>
      <c r="D7055" s="501" t="s">
        <v>3380</v>
      </c>
      <c r="E7055" s="501" t="s">
        <v>3381</v>
      </c>
      <c r="F7055" s="501" t="s">
        <v>860</v>
      </c>
      <c r="G7055" s="501" t="s">
        <v>861</v>
      </c>
      <c r="H7055" s="501" t="s">
        <v>9073</v>
      </c>
      <c r="I7055" s="501">
        <v>155</v>
      </c>
      <c r="J7055" s="501">
        <v>0</v>
      </c>
      <c r="K7055" s="501">
        <v>0</v>
      </c>
      <c r="L7055" s="501">
        <v>0</v>
      </c>
      <c r="M7055" s="501">
        <v>155</v>
      </c>
      <c r="N7055" s="501">
        <v>0</v>
      </c>
      <c r="O7055" s="506">
        <v>0</v>
      </c>
    </row>
    <row r="7056" spans="1:15" x14ac:dyDescent="0.35">
      <c r="A7056" s="503" t="s">
        <v>1277</v>
      </c>
      <c r="B7056" s="504" t="s">
        <v>3056</v>
      </c>
      <c r="C7056" s="504" t="s">
        <v>1089</v>
      </c>
      <c r="D7056" s="504" t="s">
        <v>3392</v>
      </c>
      <c r="E7056" s="504" t="s">
        <v>3381</v>
      </c>
      <c r="F7056" s="504" t="s">
        <v>860</v>
      </c>
      <c r="G7056" s="504" t="s">
        <v>861</v>
      </c>
      <c r="H7056" s="504" t="s">
        <v>9074</v>
      </c>
      <c r="I7056" s="504">
        <v>15</v>
      </c>
      <c r="J7056" s="504">
        <v>15</v>
      </c>
      <c r="K7056" s="504">
        <v>0</v>
      </c>
      <c r="L7056" s="504">
        <v>0</v>
      </c>
      <c r="M7056" s="504">
        <v>0</v>
      </c>
      <c r="N7056" s="504">
        <v>0</v>
      </c>
      <c r="O7056" s="505">
        <v>0</v>
      </c>
    </row>
    <row r="7057" spans="1:15" x14ac:dyDescent="0.35">
      <c r="A7057" s="500" t="s">
        <v>1158</v>
      </c>
      <c r="B7057" s="501">
        <v>4819</v>
      </c>
      <c r="C7057" s="501" t="s">
        <v>1094</v>
      </c>
      <c r="D7057" s="501" t="s">
        <v>3380</v>
      </c>
      <c r="E7057" s="501" t="s">
        <v>3381</v>
      </c>
      <c r="F7057" s="501" t="s">
        <v>860</v>
      </c>
      <c r="G7057" s="501" t="s">
        <v>861</v>
      </c>
      <c r="H7057" s="501" t="s">
        <v>9075</v>
      </c>
      <c r="I7057" s="501">
        <v>1264</v>
      </c>
      <c r="J7057" s="501">
        <v>1081</v>
      </c>
      <c r="K7057" s="501">
        <v>0</v>
      </c>
      <c r="L7057" s="501">
        <v>30</v>
      </c>
      <c r="M7057" s="501">
        <v>33</v>
      </c>
      <c r="N7057" s="501">
        <v>0</v>
      </c>
      <c r="O7057" s="506">
        <v>120</v>
      </c>
    </row>
    <row r="7058" spans="1:15" x14ac:dyDescent="0.35">
      <c r="A7058" s="503" t="s">
        <v>1961</v>
      </c>
      <c r="B7058" s="504">
        <v>5075</v>
      </c>
      <c r="C7058" s="504" t="s">
        <v>1094</v>
      </c>
      <c r="D7058" s="504" t="s">
        <v>3380</v>
      </c>
      <c r="E7058" s="504" t="s">
        <v>3381</v>
      </c>
      <c r="F7058" s="504" t="s">
        <v>860</v>
      </c>
      <c r="G7058" s="504" t="s">
        <v>861</v>
      </c>
      <c r="H7058" s="504" t="s">
        <v>9076</v>
      </c>
      <c r="I7058" s="504">
        <v>87</v>
      </c>
      <c r="J7058" s="504">
        <v>12</v>
      </c>
      <c r="K7058" s="504">
        <v>0</v>
      </c>
      <c r="L7058" s="504">
        <v>0</v>
      </c>
      <c r="M7058" s="504">
        <v>0</v>
      </c>
      <c r="N7058" s="504">
        <v>0</v>
      </c>
      <c r="O7058" s="505">
        <v>75</v>
      </c>
    </row>
    <row r="7059" spans="1:15" x14ac:dyDescent="0.35">
      <c r="A7059" s="500" t="s">
        <v>1100</v>
      </c>
      <c r="B7059" s="501">
        <v>4865</v>
      </c>
      <c r="C7059" s="501" t="s">
        <v>1094</v>
      </c>
      <c r="D7059" s="501" t="s">
        <v>3380</v>
      </c>
      <c r="E7059" s="501" t="s">
        <v>3381</v>
      </c>
      <c r="F7059" s="501" t="s">
        <v>860</v>
      </c>
      <c r="G7059" s="501" t="s">
        <v>861</v>
      </c>
      <c r="H7059" s="501" t="s">
        <v>9077</v>
      </c>
      <c r="I7059" s="501">
        <v>48</v>
      </c>
      <c r="J7059" s="501">
        <v>36</v>
      </c>
      <c r="K7059" s="501">
        <v>0</v>
      </c>
      <c r="L7059" s="501">
        <v>12</v>
      </c>
      <c r="M7059" s="501">
        <v>0</v>
      </c>
      <c r="N7059" s="501">
        <v>0</v>
      </c>
      <c r="O7059" s="506">
        <v>0</v>
      </c>
    </row>
    <row r="7060" spans="1:15" x14ac:dyDescent="0.35">
      <c r="A7060" s="503" t="s">
        <v>11430</v>
      </c>
      <c r="B7060" s="504" t="s">
        <v>3353</v>
      </c>
      <c r="C7060" s="504" t="s">
        <v>1094</v>
      </c>
      <c r="D7060" s="504" t="s">
        <v>3380</v>
      </c>
      <c r="E7060" s="504" t="s">
        <v>3381</v>
      </c>
      <c r="F7060" s="504" t="s">
        <v>860</v>
      </c>
      <c r="G7060" s="504" t="s">
        <v>861</v>
      </c>
      <c r="H7060" s="504" t="s">
        <v>15037</v>
      </c>
      <c r="I7060" s="504">
        <v>4849</v>
      </c>
      <c r="J7060" s="504">
        <v>3904</v>
      </c>
      <c r="K7060" s="504">
        <v>0</v>
      </c>
      <c r="L7060" s="504">
        <v>57</v>
      </c>
      <c r="M7060" s="504">
        <v>609</v>
      </c>
      <c r="N7060" s="504">
        <v>0</v>
      </c>
      <c r="O7060" s="505">
        <v>279</v>
      </c>
    </row>
    <row r="7061" spans="1:15" x14ac:dyDescent="0.35">
      <c r="A7061" s="500" t="s">
        <v>14208</v>
      </c>
      <c r="B7061" s="501">
        <v>4803</v>
      </c>
      <c r="C7061" s="501" t="s">
        <v>1094</v>
      </c>
      <c r="D7061" s="501" t="s">
        <v>3380</v>
      </c>
      <c r="E7061" s="501" t="s">
        <v>3381</v>
      </c>
      <c r="F7061" s="501" t="s">
        <v>860</v>
      </c>
      <c r="G7061" s="501" t="s">
        <v>861</v>
      </c>
      <c r="H7061" s="501" t="s">
        <v>15038</v>
      </c>
      <c r="I7061" s="501">
        <v>18</v>
      </c>
      <c r="J7061" s="501">
        <v>0</v>
      </c>
      <c r="K7061" s="501">
        <v>0</v>
      </c>
      <c r="L7061" s="501">
        <v>18</v>
      </c>
      <c r="M7061" s="501">
        <v>0</v>
      </c>
      <c r="N7061" s="501">
        <v>0</v>
      </c>
      <c r="O7061" s="506">
        <v>0</v>
      </c>
    </row>
    <row r="7062" spans="1:15" x14ac:dyDescent="0.35">
      <c r="A7062" s="503" t="s">
        <v>1183</v>
      </c>
      <c r="B7062" s="504" t="s">
        <v>3038</v>
      </c>
      <c r="C7062" s="504" t="s">
        <v>1094</v>
      </c>
      <c r="D7062" s="504" t="s">
        <v>3380</v>
      </c>
      <c r="E7062" s="504" t="s">
        <v>3381</v>
      </c>
      <c r="F7062" s="504" t="s">
        <v>860</v>
      </c>
      <c r="G7062" s="504" t="s">
        <v>861</v>
      </c>
      <c r="H7062" s="504" t="s">
        <v>11715</v>
      </c>
      <c r="I7062" s="504">
        <v>89</v>
      </c>
      <c r="J7062" s="504">
        <v>4</v>
      </c>
      <c r="K7062" s="504">
        <v>0</v>
      </c>
      <c r="L7062" s="504">
        <v>0</v>
      </c>
      <c r="M7062" s="504">
        <v>0</v>
      </c>
      <c r="N7062" s="504">
        <v>0</v>
      </c>
      <c r="O7062" s="505">
        <v>85</v>
      </c>
    </row>
    <row r="7063" spans="1:15" x14ac:dyDescent="0.35">
      <c r="A7063" s="500" t="s">
        <v>14213</v>
      </c>
      <c r="B7063" s="501" t="s">
        <v>3312</v>
      </c>
      <c r="C7063" s="501" t="s">
        <v>1094</v>
      </c>
      <c r="D7063" s="501" t="s">
        <v>3380</v>
      </c>
      <c r="E7063" s="501" t="s">
        <v>3381</v>
      </c>
      <c r="F7063" s="501" t="s">
        <v>860</v>
      </c>
      <c r="G7063" s="501" t="s">
        <v>861</v>
      </c>
      <c r="H7063" s="501" t="s">
        <v>15039</v>
      </c>
      <c r="I7063" s="501">
        <v>50</v>
      </c>
      <c r="J7063" s="501">
        <v>28</v>
      </c>
      <c r="K7063" s="501">
        <v>0</v>
      </c>
      <c r="L7063" s="501">
        <v>0</v>
      </c>
      <c r="M7063" s="501">
        <v>0</v>
      </c>
      <c r="N7063" s="501">
        <v>0</v>
      </c>
      <c r="O7063" s="506">
        <v>22</v>
      </c>
    </row>
    <row r="7064" spans="1:15" x14ac:dyDescent="0.35">
      <c r="A7064" s="503" t="s">
        <v>1185</v>
      </c>
      <c r="B7064" s="504" t="s">
        <v>3253</v>
      </c>
      <c r="C7064" s="504" t="s">
        <v>1094</v>
      </c>
      <c r="D7064" s="504" t="s">
        <v>3380</v>
      </c>
      <c r="E7064" s="504" t="s">
        <v>3381</v>
      </c>
      <c r="F7064" s="504" t="s">
        <v>860</v>
      </c>
      <c r="G7064" s="504" t="s">
        <v>861</v>
      </c>
      <c r="H7064" s="504" t="s">
        <v>9078</v>
      </c>
      <c r="I7064" s="504">
        <v>30</v>
      </c>
      <c r="J7064" s="504">
        <v>21</v>
      </c>
      <c r="K7064" s="504">
        <v>0</v>
      </c>
      <c r="L7064" s="504">
        <v>9</v>
      </c>
      <c r="M7064" s="504">
        <v>0</v>
      </c>
      <c r="N7064" s="504">
        <v>0</v>
      </c>
      <c r="O7064" s="505">
        <v>0</v>
      </c>
    </row>
    <row r="7065" spans="1:15" x14ac:dyDescent="0.35">
      <c r="A7065" s="500" t="s">
        <v>1105</v>
      </c>
      <c r="B7065" s="501">
        <v>4668</v>
      </c>
      <c r="C7065" s="501" t="s">
        <v>1094</v>
      </c>
      <c r="D7065" s="501" t="s">
        <v>3380</v>
      </c>
      <c r="E7065" s="501" t="s">
        <v>3381</v>
      </c>
      <c r="F7065" s="501" t="s">
        <v>860</v>
      </c>
      <c r="G7065" s="501" t="s">
        <v>861</v>
      </c>
      <c r="H7065" s="501" t="s">
        <v>9079</v>
      </c>
      <c r="I7065" s="501">
        <v>49</v>
      </c>
      <c r="J7065" s="501">
        <v>0</v>
      </c>
      <c r="K7065" s="501">
        <v>0</v>
      </c>
      <c r="L7065" s="501">
        <v>0</v>
      </c>
      <c r="M7065" s="501">
        <v>0</v>
      </c>
      <c r="N7065" s="501">
        <v>0</v>
      </c>
      <c r="O7065" s="506">
        <v>49</v>
      </c>
    </row>
    <row r="7066" spans="1:15" x14ac:dyDescent="0.35">
      <c r="A7066" s="503" t="s">
        <v>1107</v>
      </c>
      <c r="B7066" s="504" t="s">
        <v>3109</v>
      </c>
      <c r="C7066" s="504" t="s">
        <v>1094</v>
      </c>
      <c r="D7066" s="504" t="s">
        <v>3380</v>
      </c>
      <c r="E7066" s="504" t="s">
        <v>3381</v>
      </c>
      <c r="F7066" s="504" t="s">
        <v>860</v>
      </c>
      <c r="G7066" s="504" t="s">
        <v>861</v>
      </c>
      <c r="H7066" s="504" t="s">
        <v>9080</v>
      </c>
      <c r="I7066" s="504">
        <v>2</v>
      </c>
      <c r="J7066" s="504">
        <v>0</v>
      </c>
      <c r="K7066" s="504">
        <v>0</v>
      </c>
      <c r="L7066" s="504">
        <v>2</v>
      </c>
      <c r="M7066" s="504">
        <v>0</v>
      </c>
      <c r="N7066" s="504">
        <v>0</v>
      </c>
      <c r="O7066" s="505">
        <v>0</v>
      </c>
    </row>
    <row r="7067" spans="1:15" x14ac:dyDescent="0.35">
      <c r="A7067" s="500" t="s">
        <v>14226</v>
      </c>
      <c r="B7067" s="501" t="s">
        <v>3329</v>
      </c>
      <c r="C7067" s="501" t="s">
        <v>1094</v>
      </c>
      <c r="D7067" s="501" t="s">
        <v>3380</v>
      </c>
      <c r="E7067" s="501" t="s">
        <v>3381</v>
      </c>
      <c r="F7067" s="501" t="s">
        <v>860</v>
      </c>
      <c r="G7067" s="501" t="s">
        <v>861</v>
      </c>
      <c r="H7067" s="501" t="s">
        <v>15040</v>
      </c>
      <c r="I7067" s="501">
        <v>5831</v>
      </c>
      <c r="J7067" s="501">
        <v>5013</v>
      </c>
      <c r="K7067" s="501">
        <v>0</v>
      </c>
      <c r="L7067" s="501">
        <v>0</v>
      </c>
      <c r="M7067" s="501">
        <v>597</v>
      </c>
      <c r="N7067" s="501">
        <v>0</v>
      </c>
      <c r="O7067" s="506">
        <v>221</v>
      </c>
    </row>
    <row r="7068" spans="1:15" x14ac:dyDescent="0.35">
      <c r="A7068" s="503" t="s">
        <v>1109</v>
      </c>
      <c r="B7068" s="504" t="s">
        <v>2959</v>
      </c>
      <c r="C7068" s="504" t="s">
        <v>1094</v>
      </c>
      <c r="D7068" s="504" t="s">
        <v>3380</v>
      </c>
      <c r="E7068" s="504" t="s">
        <v>3381</v>
      </c>
      <c r="F7068" s="504" t="s">
        <v>860</v>
      </c>
      <c r="G7068" s="504" t="s">
        <v>861</v>
      </c>
      <c r="H7068" s="504" t="s">
        <v>9081</v>
      </c>
      <c r="I7068" s="504">
        <v>114</v>
      </c>
      <c r="J7068" s="504">
        <v>0</v>
      </c>
      <c r="K7068" s="504">
        <v>0</v>
      </c>
      <c r="L7068" s="504">
        <v>0</v>
      </c>
      <c r="M7068" s="504">
        <v>114</v>
      </c>
      <c r="N7068" s="504">
        <v>0</v>
      </c>
      <c r="O7068" s="505">
        <v>0</v>
      </c>
    </row>
    <row r="7069" spans="1:15" x14ac:dyDescent="0.35">
      <c r="A7069" s="500" t="s">
        <v>1112</v>
      </c>
      <c r="B7069" s="501" t="s">
        <v>3008</v>
      </c>
      <c r="C7069" s="501" t="s">
        <v>1094</v>
      </c>
      <c r="D7069" s="501" t="s">
        <v>3380</v>
      </c>
      <c r="E7069" s="501" t="s">
        <v>3381</v>
      </c>
      <c r="F7069" s="501" t="s">
        <v>860</v>
      </c>
      <c r="G7069" s="501" t="s">
        <v>861</v>
      </c>
      <c r="H7069" s="501" t="s">
        <v>9082</v>
      </c>
      <c r="I7069" s="501">
        <v>1</v>
      </c>
      <c r="J7069" s="501">
        <v>0</v>
      </c>
      <c r="K7069" s="501">
        <v>0</v>
      </c>
      <c r="L7069" s="501">
        <v>0</v>
      </c>
      <c r="M7069" s="501">
        <v>0</v>
      </c>
      <c r="N7069" s="501">
        <v>0</v>
      </c>
      <c r="O7069" s="506">
        <v>1</v>
      </c>
    </row>
    <row r="7070" spans="1:15" x14ac:dyDescent="0.35">
      <c r="A7070" s="503" t="s">
        <v>1207</v>
      </c>
      <c r="B7070" s="504" t="s">
        <v>3202</v>
      </c>
      <c r="C7070" s="504" t="s">
        <v>1094</v>
      </c>
      <c r="D7070" s="504" t="s">
        <v>3380</v>
      </c>
      <c r="E7070" s="504" t="s">
        <v>3381</v>
      </c>
      <c r="F7070" s="504" t="s">
        <v>860</v>
      </c>
      <c r="G7070" s="504" t="s">
        <v>861</v>
      </c>
      <c r="H7070" s="504" t="s">
        <v>9083</v>
      </c>
      <c r="I7070" s="504">
        <v>10</v>
      </c>
      <c r="J7070" s="504">
        <v>0</v>
      </c>
      <c r="K7070" s="504">
        <v>0</v>
      </c>
      <c r="L7070" s="504">
        <v>0</v>
      </c>
      <c r="M7070" s="504">
        <v>0</v>
      </c>
      <c r="N7070" s="504">
        <v>0</v>
      </c>
      <c r="O7070" s="505">
        <v>10</v>
      </c>
    </row>
    <row r="7071" spans="1:15" x14ac:dyDescent="0.35">
      <c r="A7071" s="500" t="s">
        <v>1124</v>
      </c>
      <c r="B7071" s="501">
        <v>4745</v>
      </c>
      <c r="C7071" s="501" t="s">
        <v>1094</v>
      </c>
      <c r="D7071" s="501" t="s">
        <v>3380</v>
      </c>
      <c r="E7071" s="501" t="s">
        <v>3381</v>
      </c>
      <c r="F7071" s="501" t="s">
        <v>860</v>
      </c>
      <c r="G7071" s="501" t="s">
        <v>861</v>
      </c>
      <c r="H7071" s="501" t="s">
        <v>9084</v>
      </c>
      <c r="I7071" s="501">
        <v>22</v>
      </c>
      <c r="J7071" s="501">
        <v>0</v>
      </c>
      <c r="K7071" s="501">
        <v>0</v>
      </c>
      <c r="L7071" s="501">
        <v>22</v>
      </c>
      <c r="M7071" s="501">
        <v>0</v>
      </c>
      <c r="N7071" s="501">
        <v>0</v>
      </c>
      <c r="O7071" s="506">
        <v>0</v>
      </c>
    </row>
    <row r="7072" spans="1:15" x14ac:dyDescent="0.35">
      <c r="A7072" s="503" t="s">
        <v>2008</v>
      </c>
      <c r="B7072" s="504" t="s">
        <v>3323</v>
      </c>
      <c r="C7072" s="504" t="s">
        <v>1094</v>
      </c>
      <c r="D7072" s="504" t="s">
        <v>3380</v>
      </c>
      <c r="E7072" s="504" t="s">
        <v>3381</v>
      </c>
      <c r="F7072" s="504" t="s">
        <v>860</v>
      </c>
      <c r="G7072" s="504" t="s">
        <v>861</v>
      </c>
      <c r="H7072" s="504" t="s">
        <v>9085</v>
      </c>
      <c r="I7072" s="504">
        <v>161</v>
      </c>
      <c r="J7072" s="504">
        <v>137</v>
      </c>
      <c r="K7072" s="504">
        <v>24</v>
      </c>
      <c r="L7072" s="504">
        <v>0</v>
      </c>
      <c r="M7072" s="504">
        <v>0</v>
      </c>
      <c r="N7072" s="504">
        <v>0</v>
      </c>
      <c r="O7072" s="505">
        <v>0</v>
      </c>
    </row>
    <row r="7073" spans="1:15" x14ac:dyDescent="0.35">
      <c r="A7073" s="500" t="s">
        <v>1235</v>
      </c>
      <c r="B7073" s="501">
        <v>4684</v>
      </c>
      <c r="C7073" s="501" t="s">
        <v>1094</v>
      </c>
      <c r="D7073" s="501" t="s">
        <v>3380</v>
      </c>
      <c r="E7073" s="501" t="s">
        <v>3381</v>
      </c>
      <c r="F7073" s="501" t="s">
        <v>860</v>
      </c>
      <c r="G7073" s="501" t="s">
        <v>861</v>
      </c>
      <c r="H7073" s="501" t="s">
        <v>9086</v>
      </c>
      <c r="I7073" s="501">
        <v>75</v>
      </c>
      <c r="J7073" s="501">
        <v>64</v>
      </c>
      <c r="K7073" s="501">
        <v>0</v>
      </c>
      <c r="L7073" s="501">
        <v>0</v>
      </c>
      <c r="M7073" s="501">
        <v>0</v>
      </c>
      <c r="N7073" s="501">
        <v>0</v>
      </c>
      <c r="O7073" s="506">
        <v>11</v>
      </c>
    </row>
    <row r="7074" spans="1:15" x14ac:dyDescent="0.35">
      <c r="A7074" s="503" t="s">
        <v>1126</v>
      </c>
      <c r="B7074" s="504" t="s">
        <v>2974</v>
      </c>
      <c r="C7074" s="504" t="s">
        <v>1094</v>
      </c>
      <c r="D7074" s="504" t="s">
        <v>3380</v>
      </c>
      <c r="E7074" s="504" t="s">
        <v>3381</v>
      </c>
      <c r="F7074" s="504" t="s">
        <v>860</v>
      </c>
      <c r="G7074" s="504" t="s">
        <v>861</v>
      </c>
      <c r="H7074" s="504" t="s">
        <v>9087</v>
      </c>
      <c r="I7074" s="504">
        <v>533</v>
      </c>
      <c r="J7074" s="504">
        <v>448</v>
      </c>
      <c r="K7074" s="504">
        <v>0</v>
      </c>
      <c r="L7074" s="504">
        <v>0</v>
      </c>
      <c r="M7074" s="504">
        <v>52</v>
      </c>
      <c r="N7074" s="504">
        <v>0</v>
      </c>
      <c r="O7074" s="505">
        <v>33</v>
      </c>
    </row>
    <row r="7075" spans="1:15" x14ac:dyDescent="0.35">
      <c r="A7075" s="500" t="s">
        <v>2100</v>
      </c>
      <c r="B7075" s="501">
        <v>4809</v>
      </c>
      <c r="C7075" s="501" t="s">
        <v>1089</v>
      </c>
      <c r="D7075" s="501" t="s">
        <v>3392</v>
      </c>
      <c r="E7075" s="501" t="s">
        <v>3381</v>
      </c>
      <c r="F7075" s="501" t="s">
        <v>860</v>
      </c>
      <c r="G7075" s="501" t="s">
        <v>861</v>
      </c>
      <c r="H7075" s="501" t="s">
        <v>9088</v>
      </c>
      <c r="I7075" s="501">
        <v>51</v>
      </c>
      <c r="J7075" s="501">
        <v>0</v>
      </c>
      <c r="K7075" s="501">
        <v>0</v>
      </c>
      <c r="L7075" s="501">
        <v>0</v>
      </c>
      <c r="M7075" s="501">
        <v>51</v>
      </c>
      <c r="N7075" s="501">
        <v>0</v>
      </c>
      <c r="O7075" s="506">
        <v>0</v>
      </c>
    </row>
    <row r="7076" spans="1:15" x14ac:dyDescent="0.35">
      <c r="A7076" s="503" t="s">
        <v>2101</v>
      </c>
      <c r="B7076" s="504" t="s">
        <v>2834</v>
      </c>
      <c r="C7076" s="504" t="s">
        <v>1089</v>
      </c>
      <c r="D7076" s="504" t="s">
        <v>3392</v>
      </c>
      <c r="E7076" s="504" t="s">
        <v>3381</v>
      </c>
      <c r="F7076" s="504" t="s">
        <v>860</v>
      </c>
      <c r="G7076" s="504" t="s">
        <v>861</v>
      </c>
      <c r="H7076" s="504" t="s">
        <v>9089</v>
      </c>
      <c r="I7076" s="504">
        <v>21</v>
      </c>
      <c r="J7076" s="504">
        <v>0</v>
      </c>
      <c r="K7076" s="504">
        <v>0</v>
      </c>
      <c r="L7076" s="504">
        <v>21</v>
      </c>
      <c r="M7076" s="504">
        <v>0</v>
      </c>
      <c r="N7076" s="504">
        <v>0</v>
      </c>
      <c r="O7076" s="505">
        <v>0</v>
      </c>
    </row>
    <row r="7077" spans="1:15" x14ac:dyDescent="0.35">
      <c r="A7077" s="500" t="s">
        <v>2102</v>
      </c>
      <c r="B7077" s="501" t="s">
        <v>3054</v>
      </c>
      <c r="C7077" s="501" t="s">
        <v>1089</v>
      </c>
      <c r="D7077" s="501" t="s">
        <v>3392</v>
      </c>
      <c r="E7077" s="501" t="s">
        <v>3381</v>
      </c>
      <c r="F7077" s="501" t="s">
        <v>860</v>
      </c>
      <c r="G7077" s="501" t="s">
        <v>861</v>
      </c>
      <c r="H7077" s="501" t="s">
        <v>9090</v>
      </c>
      <c r="I7077" s="501">
        <v>297</v>
      </c>
      <c r="J7077" s="501">
        <v>277</v>
      </c>
      <c r="K7077" s="501">
        <v>0</v>
      </c>
      <c r="L7077" s="501">
        <v>0</v>
      </c>
      <c r="M7077" s="501">
        <v>20</v>
      </c>
      <c r="N7077" s="501">
        <v>0</v>
      </c>
      <c r="O7077" s="506">
        <v>0</v>
      </c>
    </row>
    <row r="7078" spans="1:15" x14ac:dyDescent="0.35">
      <c r="A7078" s="503" t="s">
        <v>11432</v>
      </c>
      <c r="B7078" s="504" t="s">
        <v>11463</v>
      </c>
      <c r="C7078" s="504" t="s">
        <v>1089</v>
      </c>
      <c r="D7078" s="504" t="s">
        <v>3392</v>
      </c>
      <c r="E7078" s="504" t="s">
        <v>3381</v>
      </c>
      <c r="F7078" s="504" t="s">
        <v>860</v>
      </c>
      <c r="G7078" s="504" t="s">
        <v>861</v>
      </c>
      <c r="H7078" s="504" t="s">
        <v>12116</v>
      </c>
      <c r="I7078" s="504">
        <v>6</v>
      </c>
      <c r="J7078" s="504">
        <v>0</v>
      </c>
      <c r="K7078" s="504">
        <v>0</v>
      </c>
      <c r="L7078" s="504">
        <v>0</v>
      </c>
      <c r="M7078" s="504">
        <v>6</v>
      </c>
      <c r="N7078" s="504">
        <v>0</v>
      </c>
      <c r="O7078" s="505">
        <v>0</v>
      </c>
    </row>
    <row r="7079" spans="1:15" x14ac:dyDescent="0.35">
      <c r="A7079" s="500" t="s">
        <v>1240</v>
      </c>
      <c r="B7079" s="501" t="s">
        <v>2972</v>
      </c>
      <c r="C7079" s="501" t="s">
        <v>1094</v>
      </c>
      <c r="D7079" s="501" t="s">
        <v>3380</v>
      </c>
      <c r="E7079" s="501" t="s">
        <v>3381</v>
      </c>
      <c r="F7079" s="501" t="s">
        <v>860</v>
      </c>
      <c r="G7079" s="501" t="s">
        <v>861</v>
      </c>
      <c r="H7079" s="501" t="s">
        <v>9091</v>
      </c>
      <c r="I7079" s="501">
        <v>162</v>
      </c>
      <c r="J7079" s="501">
        <v>153</v>
      </c>
      <c r="K7079" s="501">
        <v>0</v>
      </c>
      <c r="L7079" s="501">
        <v>0</v>
      </c>
      <c r="M7079" s="501">
        <v>0</v>
      </c>
      <c r="N7079" s="501">
        <v>0</v>
      </c>
      <c r="O7079" s="506">
        <v>9</v>
      </c>
    </row>
    <row r="7080" spans="1:15" x14ac:dyDescent="0.35">
      <c r="A7080" s="503" t="s">
        <v>1134</v>
      </c>
      <c r="B7080" s="504" t="s">
        <v>3066</v>
      </c>
      <c r="C7080" s="504" t="s">
        <v>1094</v>
      </c>
      <c r="D7080" s="504" t="s">
        <v>3380</v>
      </c>
      <c r="E7080" s="504" t="s">
        <v>3381</v>
      </c>
      <c r="F7080" s="504" t="s">
        <v>860</v>
      </c>
      <c r="G7080" s="504" t="s">
        <v>861</v>
      </c>
      <c r="H7080" s="504" t="s">
        <v>12172</v>
      </c>
      <c r="I7080" s="504">
        <v>162</v>
      </c>
      <c r="J7080" s="504">
        <v>113</v>
      </c>
      <c r="K7080" s="504">
        <v>0</v>
      </c>
      <c r="L7080" s="504">
        <v>0</v>
      </c>
      <c r="M7080" s="504">
        <v>0</v>
      </c>
      <c r="N7080" s="504">
        <v>0</v>
      </c>
      <c r="O7080" s="505">
        <v>49</v>
      </c>
    </row>
    <row r="7081" spans="1:15" x14ac:dyDescent="0.35">
      <c r="A7081" s="500" t="s">
        <v>11464</v>
      </c>
      <c r="B7081" s="501" t="s">
        <v>2937</v>
      </c>
      <c r="C7081" s="501" t="s">
        <v>1089</v>
      </c>
      <c r="D7081" s="501" t="s">
        <v>3392</v>
      </c>
      <c r="E7081" s="501" t="s">
        <v>3381</v>
      </c>
      <c r="F7081" s="501" t="s">
        <v>860</v>
      </c>
      <c r="G7081" s="501" t="s">
        <v>861</v>
      </c>
      <c r="H7081" s="501" t="s">
        <v>12189</v>
      </c>
      <c r="I7081" s="501">
        <v>11</v>
      </c>
      <c r="J7081" s="501">
        <v>0</v>
      </c>
      <c r="K7081" s="501">
        <v>0</v>
      </c>
      <c r="L7081" s="501">
        <v>0</v>
      </c>
      <c r="M7081" s="501">
        <v>11</v>
      </c>
      <c r="N7081" s="501">
        <v>0</v>
      </c>
      <c r="O7081" s="506">
        <v>0</v>
      </c>
    </row>
    <row r="7082" spans="1:15" x14ac:dyDescent="0.35">
      <c r="A7082" s="503" t="s">
        <v>2118</v>
      </c>
      <c r="B7082" s="504" t="s">
        <v>3343</v>
      </c>
      <c r="C7082" s="504" t="s">
        <v>1094</v>
      </c>
      <c r="D7082" s="504" t="s">
        <v>3380</v>
      </c>
      <c r="E7082" s="504" t="s">
        <v>3381</v>
      </c>
      <c r="F7082" s="504" t="s">
        <v>860</v>
      </c>
      <c r="G7082" s="504" t="s">
        <v>861</v>
      </c>
      <c r="H7082" s="504" t="s">
        <v>9092</v>
      </c>
      <c r="I7082" s="504">
        <v>8</v>
      </c>
      <c r="J7082" s="504">
        <v>8</v>
      </c>
      <c r="K7082" s="504">
        <v>0</v>
      </c>
      <c r="L7082" s="504">
        <v>0</v>
      </c>
      <c r="M7082" s="504">
        <v>0</v>
      </c>
      <c r="N7082" s="504">
        <v>0</v>
      </c>
      <c r="O7082" s="505">
        <v>0</v>
      </c>
    </row>
    <row r="7083" spans="1:15" x14ac:dyDescent="0.35">
      <c r="A7083" s="500" t="s">
        <v>11435</v>
      </c>
      <c r="B7083" s="501" t="s">
        <v>11469</v>
      </c>
      <c r="C7083" s="501" t="s">
        <v>1089</v>
      </c>
      <c r="D7083" s="501" t="s">
        <v>3392</v>
      </c>
      <c r="E7083" s="501" t="s">
        <v>3381</v>
      </c>
      <c r="F7083" s="501" t="s">
        <v>860</v>
      </c>
      <c r="G7083" s="501" t="s">
        <v>861</v>
      </c>
      <c r="H7083" s="501" t="s">
        <v>12214</v>
      </c>
      <c r="I7083" s="501">
        <v>22</v>
      </c>
      <c r="J7083" s="501">
        <v>0</v>
      </c>
      <c r="K7083" s="501">
        <v>0</v>
      </c>
      <c r="L7083" s="501">
        <v>0</v>
      </c>
      <c r="M7083" s="501">
        <v>22</v>
      </c>
      <c r="N7083" s="501">
        <v>0</v>
      </c>
      <c r="O7083" s="506">
        <v>0</v>
      </c>
    </row>
    <row r="7084" spans="1:15" x14ac:dyDescent="0.35">
      <c r="A7084" s="503" t="s">
        <v>2123</v>
      </c>
      <c r="B7084" s="504" t="s">
        <v>3338</v>
      </c>
      <c r="C7084" s="504" t="s">
        <v>1094</v>
      </c>
      <c r="D7084" s="504" t="s">
        <v>3380</v>
      </c>
      <c r="E7084" s="504" t="s">
        <v>3381</v>
      </c>
      <c r="F7084" s="504" t="s">
        <v>860</v>
      </c>
      <c r="G7084" s="504" t="s">
        <v>861</v>
      </c>
      <c r="H7084" s="504" t="s">
        <v>9093</v>
      </c>
      <c r="I7084" s="504">
        <v>1794</v>
      </c>
      <c r="J7084" s="504">
        <v>1419</v>
      </c>
      <c r="K7084" s="504">
        <v>0</v>
      </c>
      <c r="L7084" s="504">
        <v>218</v>
      </c>
      <c r="M7084" s="504">
        <v>40</v>
      </c>
      <c r="N7084" s="504">
        <v>0</v>
      </c>
      <c r="O7084" s="505">
        <v>117</v>
      </c>
    </row>
    <row r="7085" spans="1:15" x14ac:dyDescent="0.35">
      <c r="A7085" s="500" t="s">
        <v>1259</v>
      </c>
      <c r="B7085" s="501" t="s">
        <v>3025</v>
      </c>
      <c r="C7085" s="501" t="s">
        <v>1094</v>
      </c>
      <c r="D7085" s="501" t="s">
        <v>3380</v>
      </c>
      <c r="E7085" s="501" t="s">
        <v>3381</v>
      </c>
      <c r="F7085" s="501" t="s">
        <v>860</v>
      </c>
      <c r="G7085" s="501" t="s">
        <v>861</v>
      </c>
      <c r="H7085" s="501" t="s">
        <v>9094</v>
      </c>
      <c r="I7085" s="501">
        <v>47</v>
      </c>
      <c r="J7085" s="501">
        <v>22</v>
      </c>
      <c r="K7085" s="501">
        <v>0</v>
      </c>
      <c r="L7085" s="501">
        <v>12</v>
      </c>
      <c r="M7085" s="501">
        <v>8</v>
      </c>
      <c r="N7085" s="501">
        <v>0</v>
      </c>
      <c r="O7085" s="506">
        <v>5</v>
      </c>
    </row>
    <row r="7086" spans="1:15" x14ac:dyDescent="0.35">
      <c r="A7086" s="503" t="s">
        <v>2125</v>
      </c>
      <c r="B7086" s="504" t="s">
        <v>2622</v>
      </c>
      <c r="C7086" s="504" t="s">
        <v>1089</v>
      </c>
      <c r="D7086" s="504" t="s">
        <v>3392</v>
      </c>
      <c r="E7086" s="504" t="s">
        <v>3381</v>
      </c>
      <c r="F7086" s="504" t="s">
        <v>860</v>
      </c>
      <c r="G7086" s="504" t="s">
        <v>861</v>
      </c>
      <c r="H7086" s="504" t="s">
        <v>9095</v>
      </c>
      <c r="I7086" s="504">
        <v>13</v>
      </c>
      <c r="J7086" s="504">
        <v>0</v>
      </c>
      <c r="K7086" s="504">
        <v>0</v>
      </c>
      <c r="L7086" s="504">
        <v>0</v>
      </c>
      <c r="M7086" s="504">
        <v>13</v>
      </c>
      <c r="N7086" s="504">
        <v>0</v>
      </c>
      <c r="O7086" s="505">
        <v>0</v>
      </c>
    </row>
    <row r="7087" spans="1:15" x14ac:dyDescent="0.35">
      <c r="A7087" s="500" t="s">
        <v>2127</v>
      </c>
      <c r="B7087" s="501" t="s">
        <v>3188</v>
      </c>
      <c r="C7087" s="501" t="s">
        <v>1094</v>
      </c>
      <c r="D7087" s="501" t="s">
        <v>3380</v>
      </c>
      <c r="E7087" s="501" t="s">
        <v>3381</v>
      </c>
      <c r="F7087" s="501" t="s">
        <v>860</v>
      </c>
      <c r="G7087" s="501" t="s">
        <v>861</v>
      </c>
      <c r="H7087" s="501" t="s">
        <v>9096</v>
      </c>
      <c r="I7087" s="501">
        <v>17</v>
      </c>
      <c r="J7087" s="501">
        <v>0</v>
      </c>
      <c r="K7087" s="501">
        <v>0</v>
      </c>
      <c r="L7087" s="501">
        <v>0</v>
      </c>
      <c r="M7087" s="501">
        <v>0</v>
      </c>
      <c r="N7087" s="501">
        <v>0</v>
      </c>
      <c r="O7087" s="506">
        <v>17</v>
      </c>
    </row>
    <row r="7088" spans="1:15" x14ac:dyDescent="0.35">
      <c r="A7088" s="503" t="s">
        <v>1386</v>
      </c>
      <c r="B7088" s="504" t="s">
        <v>3331</v>
      </c>
      <c r="C7088" s="504" t="s">
        <v>1094</v>
      </c>
      <c r="D7088" s="504" t="s">
        <v>3380</v>
      </c>
      <c r="E7088" s="504" t="s">
        <v>3381</v>
      </c>
      <c r="F7088" s="504" t="s">
        <v>862</v>
      </c>
      <c r="G7088" s="504" t="s">
        <v>863</v>
      </c>
      <c r="H7088" s="504" t="s">
        <v>9097</v>
      </c>
      <c r="I7088" s="504">
        <v>710</v>
      </c>
      <c r="J7088" s="504">
        <v>651</v>
      </c>
      <c r="K7088" s="504">
        <v>0</v>
      </c>
      <c r="L7088" s="504">
        <v>20</v>
      </c>
      <c r="M7088" s="504">
        <v>0</v>
      </c>
      <c r="N7088" s="504">
        <v>0</v>
      </c>
      <c r="O7088" s="505">
        <v>39</v>
      </c>
    </row>
    <row r="7089" spans="1:15" x14ac:dyDescent="0.35">
      <c r="A7089" s="500" t="s">
        <v>1091</v>
      </c>
      <c r="B7089" s="501" t="s">
        <v>3288</v>
      </c>
      <c r="C7089" s="501" t="s">
        <v>1089</v>
      </c>
      <c r="D7089" s="501" t="s">
        <v>3392</v>
      </c>
      <c r="E7089" s="501" t="s">
        <v>3381</v>
      </c>
      <c r="F7089" s="501" t="s">
        <v>862</v>
      </c>
      <c r="G7089" s="501" t="s">
        <v>863</v>
      </c>
      <c r="H7089" s="501" t="s">
        <v>9098</v>
      </c>
      <c r="I7089" s="501">
        <v>37</v>
      </c>
      <c r="J7089" s="501">
        <v>0</v>
      </c>
      <c r="K7089" s="501">
        <v>0</v>
      </c>
      <c r="L7089" s="501">
        <v>37</v>
      </c>
      <c r="M7089" s="501">
        <v>0</v>
      </c>
      <c r="N7089" s="501">
        <v>0</v>
      </c>
      <c r="O7089" s="506">
        <v>0</v>
      </c>
    </row>
    <row r="7090" spans="1:15" x14ac:dyDescent="0.35">
      <c r="A7090" s="503" t="s">
        <v>14127</v>
      </c>
      <c r="B7090" s="504" t="s">
        <v>14126</v>
      </c>
      <c r="C7090" s="504" t="s">
        <v>1094</v>
      </c>
      <c r="D7090" s="504" t="s">
        <v>3380</v>
      </c>
      <c r="E7090" s="504" t="s">
        <v>3381</v>
      </c>
      <c r="F7090" s="504" t="s">
        <v>862</v>
      </c>
      <c r="G7090" s="504" t="s">
        <v>863</v>
      </c>
      <c r="H7090" s="504" t="s">
        <v>15041</v>
      </c>
      <c r="I7090" s="504">
        <v>388</v>
      </c>
      <c r="J7090" s="504">
        <v>385</v>
      </c>
      <c r="K7090" s="504">
        <v>0</v>
      </c>
      <c r="L7090" s="504">
        <v>3</v>
      </c>
      <c r="M7090" s="504">
        <v>0</v>
      </c>
      <c r="N7090" s="504">
        <v>0</v>
      </c>
      <c r="O7090" s="505">
        <v>0</v>
      </c>
    </row>
    <row r="7091" spans="1:15" x14ac:dyDescent="0.35">
      <c r="A7091" s="500" t="s">
        <v>1093</v>
      </c>
      <c r="B7091" s="501" t="s">
        <v>3248</v>
      </c>
      <c r="C7091" s="501" t="s">
        <v>1094</v>
      </c>
      <c r="D7091" s="501" t="s">
        <v>3380</v>
      </c>
      <c r="E7091" s="501" t="s">
        <v>3381</v>
      </c>
      <c r="F7091" s="501" t="s">
        <v>862</v>
      </c>
      <c r="G7091" s="501" t="s">
        <v>863</v>
      </c>
      <c r="H7091" s="501" t="s">
        <v>9099</v>
      </c>
      <c r="I7091" s="501">
        <v>12</v>
      </c>
      <c r="J7091" s="501">
        <v>0</v>
      </c>
      <c r="K7091" s="501">
        <v>0</v>
      </c>
      <c r="L7091" s="501">
        <v>12</v>
      </c>
      <c r="M7091" s="501">
        <v>0</v>
      </c>
      <c r="N7091" s="501">
        <v>0</v>
      </c>
      <c r="O7091" s="506">
        <v>0</v>
      </c>
    </row>
    <row r="7092" spans="1:15" x14ac:dyDescent="0.35">
      <c r="A7092" s="503" t="s">
        <v>1096</v>
      </c>
      <c r="B7092" s="504" t="s">
        <v>3326</v>
      </c>
      <c r="C7092" s="504" t="s">
        <v>1094</v>
      </c>
      <c r="D7092" s="504" t="s">
        <v>3380</v>
      </c>
      <c r="E7092" s="504" t="s">
        <v>3381</v>
      </c>
      <c r="F7092" s="504" t="s">
        <v>862</v>
      </c>
      <c r="G7092" s="504" t="s">
        <v>863</v>
      </c>
      <c r="H7092" s="504" t="s">
        <v>9100</v>
      </c>
      <c r="I7092" s="504">
        <v>279</v>
      </c>
      <c r="J7092" s="504">
        <v>0</v>
      </c>
      <c r="K7092" s="504">
        <v>0</v>
      </c>
      <c r="L7092" s="504">
        <v>0</v>
      </c>
      <c r="M7092" s="504">
        <v>230</v>
      </c>
      <c r="N7092" s="504">
        <v>0</v>
      </c>
      <c r="O7092" s="505">
        <v>49</v>
      </c>
    </row>
    <row r="7093" spans="1:15" x14ac:dyDescent="0.35">
      <c r="A7093" s="500" t="s">
        <v>11363</v>
      </c>
      <c r="B7093" s="501">
        <v>4718</v>
      </c>
      <c r="C7093" s="501" t="s">
        <v>1094</v>
      </c>
      <c r="D7093" s="501" t="s">
        <v>3380</v>
      </c>
      <c r="E7093" s="501" t="s">
        <v>3381</v>
      </c>
      <c r="F7093" s="501" t="s">
        <v>862</v>
      </c>
      <c r="G7093" s="501" t="s">
        <v>863</v>
      </c>
      <c r="H7093" s="501" t="s">
        <v>11584</v>
      </c>
      <c r="I7093" s="501">
        <v>17</v>
      </c>
      <c r="J7093" s="501">
        <v>0</v>
      </c>
      <c r="K7093" s="501">
        <v>0</v>
      </c>
      <c r="L7093" s="501">
        <v>17</v>
      </c>
      <c r="M7093" s="501">
        <v>0</v>
      </c>
      <c r="N7093" s="501">
        <v>0</v>
      </c>
      <c r="O7093" s="506">
        <v>0</v>
      </c>
    </row>
    <row r="7094" spans="1:15" x14ac:dyDescent="0.35">
      <c r="A7094" s="503" t="s">
        <v>1813</v>
      </c>
      <c r="B7094" s="504" t="s">
        <v>3088</v>
      </c>
      <c r="C7094" s="504" t="s">
        <v>1089</v>
      </c>
      <c r="D7094" s="504" t="s">
        <v>3392</v>
      </c>
      <c r="E7094" s="504" t="s">
        <v>3381</v>
      </c>
      <c r="F7094" s="504" t="s">
        <v>862</v>
      </c>
      <c r="G7094" s="504" t="s">
        <v>863</v>
      </c>
      <c r="H7094" s="504" t="s">
        <v>9101</v>
      </c>
      <c r="I7094" s="504">
        <v>108</v>
      </c>
      <c r="J7094" s="504">
        <v>108</v>
      </c>
      <c r="K7094" s="504">
        <v>0</v>
      </c>
      <c r="L7094" s="504">
        <v>0</v>
      </c>
      <c r="M7094" s="504">
        <v>0</v>
      </c>
      <c r="N7094" s="504">
        <v>3</v>
      </c>
      <c r="O7094" s="505">
        <v>0</v>
      </c>
    </row>
    <row r="7095" spans="1:15" x14ac:dyDescent="0.35">
      <c r="A7095" s="500" t="s">
        <v>1161</v>
      </c>
      <c r="B7095" s="501" t="s">
        <v>3001</v>
      </c>
      <c r="C7095" s="501" t="s">
        <v>1094</v>
      </c>
      <c r="D7095" s="501" t="s">
        <v>3380</v>
      </c>
      <c r="E7095" s="501" t="s">
        <v>3381</v>
      </c>
      <c r="F7095" s="501" t="s">
        <v>862</v>
      </c>
      <c r="G7095" s="501" t="s">
        <v>863</v>
      </c>
      <c r="H7095" s="501" t="s">
        <v>9102</v>
      </c>
      <c r="I7095" s="501">
        <v>409</v>
      </c>
      <c r="J7095" s="501">
        <v>318</v>
      </c>
      <c r="K7095" s="501">
        <v>0</v>
      </c>
      <c r="L7095" s="501">
        <v>0</v>
      </c>
      <c r="M7095" s="501">
        <v>0</v>
      </c>
      <c r="N7095" s="501">
        <v>0</v>
      </c>
      <c r="O7095" s="506">
        <v>91</v>
      </c>
    </row>
    <row r="7096" spans="1:15" x14ac:dyDescent="0.35">
      <c r="A7096" s="503" t="s">
        <v>1287</v>
      </c>
      <c r="B7096" s="504" t="s">
        <v>2784</v>
      </c>
      <c r="C7096" s="504" t="s">
        <v>1089</v>
      </c>
      <c r="D7096" s="504" t="s">
        <v>3392</v>
      </c>
      <c r="E7096" s="504" t="s">
        <v>3381</v>
      </c>
      <c r="F7096" s="504" t="s">
        <v>862</v>
      </c>
      <c r="G7096" s="504" t="s">
        <v>863</v>
      </c>
      <c r="H7096" s="504" t="s">
        <v>9103</v>
      </c>
      <c r="I7096" s="504">
        <v>40</v>
      </c>
      <c r="J7096" s="504">
        <v>40</v>
      </c>
      <c r="K7096" s="504">
        <v>0</v>
      </c>
      <c r="L7096" s="504">
        <v>0</v>
      </c>
      <c r="M7096" s="504">
        <v>0</v>
      </c>
      <c r="N7096" s="504">
        <v>0</v>
      </c>
      <c r="O7096" s="505">
        <v>0</v>
      </c>
    </row>
    <row r="7097" spans="1:15" x14ac:dyDescent="0.35">
      <c r="A7097" s="500" t="s">
        <v>14208</v>
      </c>
      <c r="B7097" s="501">
        <v>4803</v>
      </c>
      <c r="C7097" s="501" t="s">
        <v>1094</v>
      </c>
      <c r="D7097" s="501" t="s">
        <v>3380</v>
      </c>
      <c r="E7097" s="501" t="s">
        <v>3381</v>
      </c>
      <c r="F7097" s="501" t="s">
        <v>862</v>
      </c>
      <c r="G7097" s="501" t="s">
        <v>863</v>
      </c>
      <c r="H7097" s="501" t="s">
        <v>15042</v>
      </c>
      <c r="I7097" s="501">
        <v>4</v>
      </c>
      <c r="J7097" s="501">
        <v>0</v>
      </c>
      <c r="K7097" s="501">
        <v>0</v>
      </c>
      <c r="L7097" s="501">
        <v>4</v>
      </c>
      <c r="M7097" s="501">
        <v>0</v>
      </c>
      <c r="N7097" s="501">
        <v>0</v>
      </c>
      <c r="O7097" s="506">
        <v>0</v>
      </c>
    </row>
    <row r="7098" spans="1:15" x14ac:dyDescent="0.35">
      <c r="A7098" s="503" t="s">
        <v>1185</v>
      </c>
      <c r="B7098" s="504" t="s">
        <v>3253</v>
      </c>
      <c r="C7098" s="504" t="s">
        <v>1094</v>
      </c>
      <c r="D7098" s="504" t="s">
        <v>3380</v>
      </c>
      <c r="E7098" s="504" t="s">
        <v>3381</v>
      </c>
      <c r="F7098" s="504" t="s">
        <v>862</v>
      </c>
      <c r="G7098" s="504" t="s">
        <v>863</v>
      </c>
      <c r="H7098" s="504" t="s">
        <v>9104</v>
      </c>
      <c r="I7098" s="504">
        <v>2</v>
      </c>
      <c r="J7098" s="504">
        <v>0</v>
      </c>
      <c r="K7098" s="504">
        <v>0</v>
      </c>
      <c r="L7098" s="504">
        <v>2</v>
      </c>
      <c r="M7098" s="504">
        <v>0</v>
      </c>
      <c r="N7098" s="504">
        <v>0</v>
      </c>
      <c r="O7098" s="505">
        <v>0</v>
      </c>
    </row>
    <row r="7099" spans="1:15" x14ac:dyDescent="0.35">
      <c r="A7099" s="500" t="s">
        <v>1187</v>
      </c>
      <c r="B7099" s="501" t="s">
        <v>2951</v>
      </c>
      <c r="C7099" s="501" t="s">
        <v>1094</v>
      </c>
      <c r="D7099" s="501" t="s">
        <v>3380</v>
      </c>
      <c r="E7099" s="501" t="s">
        <v>3381</v>
      </c>
      <c r="F7099" s="501" t="s">
        <v>862</v>
      </c>
      <c r="G7099" s="501" t="s">
        <v>863</v>
      </c>
      <c r="H7099" s="501" t="s">
        <v>9105</v>
      </c>
      <c r="I7099" s="501">
        <v>1</v>
      </c>
      <c r="J7099" s="501">
        <v>1</v>
      </c>
      <c r="K7099" s="501">
        <v>0</v>
      </c>
      <c r="L7099" s="501">
        <v>0</v>
      </c>
      <c r="M7099" s="501">
        <v>0</v>
      </c>
      <c r="N7099" s="501">
        <v>0</v>
      </c>
      <c r="O7099" s="506">
        <v>0</v>
      </c>
    </row>
    <row r="7100" spans="1:15" x14ac:dyDescent="0.35">
      <c r="A7100" s="503" t="s">
        <v>1107</v>
      </c>
      <c r="B7100" s="504" t="s">
        <v>3109</v>
      </c>
      <c r="C7100" s="504" t="s">
        <v>1094</v>
      </c>
      <c r="D7100" s="504" t="s">
        <v>3380</v>
      </c>
      <c r="E7100" s="504" t="s">
        <v>3381</v>
      </c>
      <c r="F7100" s="504" t="s">
        <v>862</v>
      </c>
      <c r="G7100" s="504" t="s">
        <v>863</v>
      </c>
      <c r="H7100" s="504" t="s">
        <v>9106</v>
      </c>
      <c r="I7100" s="504">
        <v>321</v>
      </c>
      <c r="J7100" s="504">
        <v>238</v>
      </c>
      <c r="K7100" s="504">
        <v>0</v>
      </c>
      <c r="L7100" s="504">
        <v>29</v>
      </c>
      <c r="M7100" s="504">
        <v>0</v>
      </c>
      <c r="N7100" s="504">
        <v>0</v>
      </c>
      <c r="O7100" s="505">
        <v>54</v>
      </c>
    </row>
    <row r="7101" spans="1:15" x14ac:dyDescent="0.35">
      <c r="A7101" s="500" t="s">
        <v>1305</v>
      </c>
      <c r="B7101" s="501" t="s">
        <v>3144</v>
      </c>
      <c r="C7101" s="501" t="s">
        <v>1094</v>
      </c>
      <c r="D7101" s="501" t="s">
        <v>3380</v>
      </c>
      <c r="E7101" s="501" t="s">
        <v>3381</v>
      </c>
      <c r="F7101" s="501" t="s">
        <v>862</v>
      </c>
      <c r="G7101" s="501" t="s">
        <v>863</v>
      </c>
      <c r="H7101" s="501" t="s">
        <v>9107</v>
      </c>
      <c r="I7101" s="501">
        <v>313</v>
      </c>
      <c r="J7101" s="501">
        <v>246</v>
      </c>
      <c r="K7101" s="501">
        <v>24</v>
      </c>
      <c r="L7101" s="501">
        <v>11</v>
      </c>
      <c r="M7101" s="501">
        <v>0</v>
      </c>
      <c r="N7101" s="501">
        <v>0</v>
      </c>
      <c r="O7101" s="506">
        <v>32</v>
      </c>
    </row>
    <row r="7102" spans="1:15" x14ac:dyDescent="0.35">
      <c r="A7102" s="503" t="s">
        <v>1306</v>
      </c>
      <c r="B7102" s="504" t="s">
        <v>3005</v>
      </c>
      <c r="C7102" s="504" t="s">
        <v>1094</v>
      </c>
      <c r="D7102" s="504" t="s">
        <v>3380</v>
      </c>
      <c r="E7102" s="504" t="s">
        <v>3381</v>
      </c>
      <c r="F7102" s="504" t="s">
        <v>862</v>
      </c>
      <c r="G7102" s="504" t="s">
        <v>863</v>
      </c>
      <c r="H7102" s="504" t="s">
        <v>11760</v>
      </c>
      <c r="I7102" s="504">
        <v>13</v>
      </c>
      <c r="J7102" s="504">
        <v>13</v>
      </c>
      <c r="K7102" s="504">
        <v>0</v>
      </c>
      <c r="L7102" s="504">
        <v>0</v>
      </c>
      <c r="M7102" s="504">
        <v>0</v>
      </c>
      <c r="N7102" s="504">
        <v>0</v>
      </c>
      <c r="O7102" s="505">
        <v>0</v>
      </c>
    </row>
    <row r="7103" spans="1:15" x14ac:dyDescent="0.35">
      <c r="A7103" s="500" t="s">
        <v>1474</v>
      </c>
      <c r="B7103" s="501" t="s">
        <v>3300</v>
      </c>
      <c r="C7103" s="501" t="s">
        <v>1094</v>
      </c>
      <c r="D7103" s="501" t="s">
        <v>3380</v>
      </c>
      <c r="E7103" s="501" t="s">
        <v>3381</v>
      </c>
      <c r="F7103" s="501" t="s">
        <v>862</v>
      </c>
      <c r="G7103" s="501" t="s">
        <v>863</v>
      </c>
      <c r="H7103" s="501" t="s">
        <v>9108</v>
      </c>
      <c r="I7103" s="501">
        <v>85</v>
      </c>
      <c r="J7103" s="501">
        <v>73</v>
      </c>
      <c r="K7103" s="501">
        <v>0</v>
      </c>
      <c r="L7103" s="501">
        <v>0</v>
      </c>
      <c r="M7103" s="501">
        <v>0</v>
      </c>
      <c r="N7103" s="501">
        <v>0</v>
      </c>
      <c r="O7103" s="506">
        <v>12</v>
      </c>
    </row>
    <row r="7104" spans="1:15" x14ac:dyDescent="0.35">
      <c r="A7104" s="503" t="s">
        <v>1202</v>
      </c>
      <c r="B7104" s="504" t="s">
        <v>3217</v>
      </c>
      <c r="C7104" s="504" t="s">
        <v>1094</v>
      </c>
      <c r="D7104" s="504" t="s">
        <v>3380</v>
      </c>
      <c r="E7104" s="504" t="s">
        <v>3381</v>
      </c>
      <c r="F7104" s="504" t="s">
        <v>862</v>
      </c>
      <c r="G7104" s="504" t="s">
        <v>863</v>
      </c>
      <c r="H7104" s="504" t="s">
        <v>9109</v>
      </c>
      <c r="I7104" s="504">
        <v>644</v>
      </c>
      <c r="J7104" s="504">
        <v>532</v>
      </c>
      <c r="K7104" s="504">
        <v>0</v>
      </c>
      <c r="L7104" s="504">
        <v>98</v>
      </c>
      <c r="M7104" s="504">
        <v>0</v>
      </c>
      <c r="N7104" s="504">
        <v>5</v>
      </c>
      <c r="O7104" s="505">
        <v>14</v>
      </c>
    </row>
    <row r="7105" spans="1:15" x14ac:dyDescent="0.35">
      <c r="A7105" s="500" t="s">
        <v>1494</v>
      </c>
      <c r="B7105" s="501" t="s">
        <v>3235</v>
      </c>
      <c r="C7105" s="501" t="s">
        <v>1094</v>
      </c>
      <c r="D7105" s="501" t="s">
        <v>3380</v>
      </c>
      <c r="E7105" s="501" t="s">
        <v>3381</v>
      </c>
      <c r="F7105" s="501" t="s">
        <v>862</v>
      </c>
      <c r="G7105" s="501" t="s">
        <v>863</v>
      </c>
      <c r="H7105" s="501" t="s">
        <v>9110</v>
      </c>
      <c r="I7105" s="501">
        <v>50</v>
      </c>
      <c r="J7105" s="501">
        <v>0</v>
      </c>
      <c r="K7105" s="501">
        <v>0</v>
      </c>
      <c r="L7105" s="501">
        <v>50</v>
      </c>
      <c r="M7105" s="501">
        <v>0</v>
      </c>
      <c r="N7105" s="501">
        <v>1</v>
      </c>
      <c r="O7105" s="506">
        <v>0</v>
      </c>
    </row>
    <row r="7106" spans="1:15" x14ac:dyDescent="0.35">
      <c r="A7106" s="503" t="s">
        <v>1112</v>
      </c>
      <c r="B7106" s="504" t="s">
        <v>3008</v>
      </c>
      <c r="C7106" s="504" t="s">
        <v>1094</v>
      </c>
      <c r="D7106" s="504" t="s">
        <v>3380</v>
      </c>
      <c r="E7106" s="504" t="s">
        <v>3381</v>
      </c>
      <c r="F7106" s="504" t="s">
        <v>862</v>
      </c>
      <c r="G7106" s="504" t="s">
        <v>863</v>
      </c>
      <c r="H7106" s="504" t="s">
        <v>9111</v>
      </c>
      <c r="I7106" s="504">
        <v>435</v>
      </c>
      <c r="J7106" s="504">
        <v>373</v>
      </c>
      <c r="K7106" s="504">
        <v>0</v>
      </c>
      <c r="L7106" s="504">
        <v>0</v>
      </c>
      <c r="M7106" s="504">
        <v>0</v>
      </c>
      <c r="N7106" s="504">
        <v>0</v>
      </c>
      <c r="O7106" s="505">
        <v>62</v>
      </c>
    </row>
    <row r="7107" spans="1:15" x14ac:dyDescent="0.35">
      <c r="A7107" s="500" t="s">
        <v>1315</v>
      </c>
      <c r="B7107" s="501">
        <v>4825</v>
      </c>
      <c r="C7107" s="501" t="s">
        <v>1094</v>
      </c>
      <c r="D7107" s="501" t="s">
        <v>3380</v>
      </c>
      <c r="E7107" s="501" t="s">
        <v>3381</v>
      </c>
      <c r="F7107" s="501" t="s">
        <v>862</v>
      </c>
      <c r="G7107" s="501" t="s">
        <v>863</v>
      </c>
      <c r="H7107" s="501" t="s">
        <v>9112</v>
      </c>
      <c r="I7107" s="501">
        <v>33</v>
      </c>
      <c r="J7107" s="501">
        <v>0</v>
      </c>
      <c r="K7107" s="501">
        <v>0</v>
      </c>
      <c r="L7107" s="501">
        <v>0</v>
      </c>
      <c r="M7107" s="501">
        <v>0</v>
      </c>
      <c r="N7107" s="501">
        <v>0</v>
      </c>
      <c r="O7107" s="506">
        <v>33</v>
      </c>
    </row>
    <row r="7108" spans="1:15" x14ac:dyDescent="0.35">
      <c r="A7108" s="503" t="s">
        <v>1120</v>
      </c>
      <c r="B7108" s="504" t="s">
        <v>3362</v>
      </c>
      <c r="C7108" s="504" t="s">
        <v>1094</v>
      </c>
      <c r="D7108" s="504" t="s">
        <v>3380</v>
      </c>
      <c r="E7108" s="504" t="s">
        <v>3381</v>
      </c>
      <c r="F7108" s="504" t="s">
        <v>862</v>
      </c>
      <c r="G7108" s="504" t="s">
        <v>863</v>
      </c>
      <c r="H7108" s="504" t="s">
        <v>9113</v>
      </c>
      <c r="I7108" s="504">
        <v>12</v>
      </c>
      <c r="J7108" s="504">
        <v>0</v>
      </c>
      <c r="K7108" s="504">
        <v>0</v>
      </c>
      <c r="L7108" s="504">
        <v>0</v>
      </c>
      <c r="M7108" s="504">
        <v>0</v>
      </c>
      <c r="N7108" s="504">
        <v>0</v>
      </c>
      <c r="O7108" s="505">
        <v>12</v>
      </c>
    </row>
    <row r="7109" spans="1:15" x14ac:dyDescent="0.35">
      <c r="A7109" s="500" t="s">
        <v>1327</v>
      </c>
      <c r="B7109" s="501" t="s">
        <v>3330</v>
      </c>
      <c r="C7109" s="501" t="s">
        <v>1094</v>
      </c>
      <c r="D7109" s="501" t="s">
        <v>3380</v>
      </c>
      <c r="E7109" s="501" t="s">
        <v>3381</v>
      </c>
      <c r="F7109" s="501" t="s">
        <v>862</v>
      </c>
      <c r="G7109" s="501" t="s">
        <v>863</v>
      </c>
      <c r="H7109" s="501" t="s">
        <v>9114</v>
      </c>
      <c r="I7109" s="501">
        <v>493</v>
      </c>
      <c r="J7109" s="501">
        <v>468</v>
      </c>
      <c r="K7109" s="501">
        <v>0</v>
      </c>
      <c r="L7109" s="501">
        <v>0</v>
      </c>
      <c r="M7109" s="501">
        <v>0</v>
      </c>
      <c r="N7109" s="501">
        <v>0</v>
      </c>
      <c r="O7109" s="506">
        <v>25</v>
      </c>
    </row>
    <row r="7110" spans="1:15" x14ac:dyDescent="0.35">
      <c r="A7110" s="503" t="s">
        <v>1220</v>
      </c>
      <c r="B7110" s="504">
        <v>4849</v>
      </c>
      <c r="C7110" s="504" t="s">
        <v>1094</v>
      </c>
      <c r="D7110" s="504" t="s">
        <v>3380</v>
      </c>
      <c r="E7110" s="504" t="s">
        <v>3381</v>
      </c>
      <c r="F7110" s="504" t="s">
        <v>862</v>
      </c>
      <c r="G7110" s="504" t="s">
        <v>863</v>
      </c>
      <c r="H7110" s="504" t="s">
        <v>9115</v>
      </c>
      <c r="I7110" s="504">
        <v>102</v>
      </c>
      <c r="J7110" s="504">
        <v>102</v>
      </c>
      <c r="K7110" s="504">
        <v>0</v>
      </c>
      <c r="L7110" s="504">
        <v>0</v>
      </c>
      <c r="M7110" s="504">
        <v>0</v>
      </c>
      <c r="N7110" s="504">
        <v>0</v>
      </c>
      <c r="O7110" s="505">
        <v>0</v>
      </c>
    </row>
    <row r="7111" spans="1:15" x14ac:dyDescent="0.35">
      <c r="A7111" s="500" t="s">
        <v>1122</v>
      </c>
      <c r="B7111" s="501" t="s">
        <v>2994</v>
      </c>
      <c r="C7111" s="501" t="s">
        <v>1094</v>
      </c>
      <c r="D7111" s="501" t="s">
        <v>3380</v>
      </c>
      <c r="E7111" s="501" t="s">
        <v>3381</v>
      </c>
      <c r="F7111" s="501" t="s">
        <v>862</v>
      </c>
      <c r="G7111" s="501" t="s">
        <v>863</v>
      </c>
      <c r="H7111" s="501" t="s">
        <v>9116</v>
      </c>
      <c r="I7111" s="501">
        <v>15</v>
      </c>
      <c r="J7111" s="501">
        <v>1</v>
      </c>
      <c r="K7111" s="501">
        <v>0</v>
      </c>
      <c r="L7111" s="501">
        <v>0</v>
      </c>
      <c r="M7111" s="501">
        <v>0</v>
      </c>
      <c r="N7111" s="501">
        <v>0</v>
      </c>
      <c r="O7111" s="506">
        <v>14</v>
      </c>
    </row>
    <row r="7112" spans="1:15" x14ac:dyDescent="0.35">
      <c r="A7112" s="503" t="s">
        <v>1124</v>
      </c>
      <c r="B7112" s="504">
        <v>4745</v>
      </c>
      <c r="C7112" s="504" t="s">
        <v>1094</v>
      </c>
      <c r="D7112" s="504" t="s">
        <v>3380</v>
      </c>
      <c r="E7112" s="504" t="s">
        <v>3381</v>
      </c>
      <c r="F7112" s="504" t="s">
        <v>862</v>
      </c>
      <c r="G7112" s="504" t="s">
        <v>863</v>
      </c>
      <c r="H7112" s="504" t="s">
        <v>9117</v>
      </c>
      <c r="I7112" s="504">
        <v>6</v>
      </c>
      <c r="J7112" s="504">
        <v>0</v>
      </c>
      <c r="K7112" s="504">
        <v>0</v>
      </c>
      <c r="L7112" s="504">
        <v>6</v>
      </c>
      <c r="M7112" s="504">
        <v>0</v>
      </c>
      <c r="N7112" s="504">
        <v>0</v>
      </c>
      <c r="O7112" s="505">
        <v>0</v>
      </c>
    </row>
    <row r="7113" spans="1:15" x14ac:dyDescent="0.35">
      <c r="A7113" s="500" t="s">
        <v>1126</v>
      </c>
      <c r="B7113" s="501" t="s">
        <v>2974</v>
      </c>
      <c r="C7113" s="501" t="s">
        <v>1094</v>
      </c>
      <c r="D7113" s="501" t="s">
        <v>3380</v>
      </c>
      <c r="E7113" s="501" t="s">
        <v>3381</v>
      </c>
      <c r="F7113" s="501" t="s">
        <v>862</v>
      </c>
      <c r="G7113" s="501" t="s">
        <v>863</v>
      </c>
      <c r="H7113" s="501" t="s">
        <v>9118</v>
      </c>
      <c r="I7113" s="501">
        <v>12</v>
      </c>
      <c r="J7113" s="501">
        <v>12</v>
      </c>
      <c r="K7113" s="501">
        <v>0</v>
      </c>
      <c r="L7113" s="501">
        <v>0</v>
      </c>
      <c r="M7113" s="501">
        <v>0</v>
      </c>
      <c r="N7113" s="501">
        <v>0</v>
      </c>
      <c r="O7113" s="506">
        <v>0</v>
      </c>
    </row>
    <row r="7114" spans="1:15" x14ac:dyDescent="0.35">
      <c r="A7114" s="503" t="s">
        <v>1132</v>
      </c>
      <c r="B7114" s="504">
        <v>4837</v>
      </c>
      <c r="C7114" s="504" t="s">
        <v>1094</v>
      </c>
      <c r="D7114" s="504" t="s">
        <v>3380</v>
      </c>
      <c r="E7114" s="504" t="s">
        <v>3381</v>
      </c>
      <c r="F7114" s="504" t="s">
        <v>862</v>
      </c>
      <c r="G7114" s="504" t="s">
        <v>863</v>
      </c>
      <c r="H7114" s="504" t="s">
        <v>9119</v>
      </c>
      <c r="I7114" s="504">
        <v>5</v>
      </c>
      <c r="J7114" s="504">
        <v>0</v>
      </c>
      <c r="K7114" s="504">
        <v>0</v>
      </c>
      <c r="L7114" s="504">
        <v>0</v>
      </c>
      <c r="M7114" s="504">
        <v>0</v>
      </c>
      <c r="N7114" s="504">
        <v>0</v>
      </c>
      <c r="O7114" s="505">
        <v>5</v>
      </c>
    </row>
    <row r="7115" spans="1:15" x14ac:dyDescent="0.35">
      <c r="A7115" s="500" t="s">
        <v>1138</v>
      </c>
      <c r="B7115" s="501" t="s">
        <v>2998</v>
      </c>
      <c r="C7115" s="501" t="s">
        <v>1094</v>
      </c>
      <c r="D7115" s="501" t="s">
        <v>3380</v>
      </c>
      <c r="E7115" s="501" t="s">
        <v>3381</v>
      </c>
      <c r="F7115" s="501" t="s">
        <v>862</v>
      </c>
      <c r="G7115" s="501" t="s">
        <v>863</v>
      </c>
      <c r="H7115" s="501" t="s">
        <v>9120</v>
      </c>
      <c r="I7115" s="501">
        <v>1</v>
      </c>
      <c r="J7115" s="501">
        <v>1</v>
      </c>
      <c r="K7115" s="501">
        <v>0</v>
      </c>
      <c r="L7115" s="501">
        <v>0</v>
      </c>
      <c r="M7115" s="501">
        <v>0</v>
      </c>
      <c r="N7115" s="501">
        <v>0</v>
      </c>
      <c r="O7115" s="506">
        <v>0</v>
      </c>
    </row>
    <row r="7116" spans="1:15" x14ac:dyDescent="0.35">
      <c r="A7116" s="503" t="s">
        <v>1262</v>
      </c>
      <c r="B7116" s="504">
        <v>4772</v>
      </c>
      <c r="C7116" s="504" t="s">
        <v>1089</v>
      </c>
      <c r="D7116" s="504" t="s">
        <v>3392</v>
      </c>
      <c r="E7116" s="504" t="s">
        <v>3381</v>
      </c>
      <c r="F7116" s="504" t="s">
        <v>862</v>
      </c>
      <c r="G7116" s="504" t="s">
        <v>863</v>
      </c>
      <c r="H7116" s="504" t="s">
        <v>9121</v>
      </c>
      <c r="I7116" s="504">
        <v>14</v>
      </c>
      <c r="J7116" s="504">
        <v>0</v>
      </c>
      <c r="K7116" s="504">
        <v>0</v>
      </c>
      <c r="L7116" s="504">
        <v>14</v>
      </c>
      <c r="M7116" s="504">
        <v>0</v>
      </c>
      <c r="N7116" s="504">
        <v>0</v>
      </c>
      <c r="O7116" s="505">
        <v>0</v>
      </c>
    </row>
    <row r="7117" spans="1:15" x14ac:dyDescent="0.35">
      <c r="A7117" s="500" t="s">
        <v>1264</v>
      </c>
      <c r="B7117" s="501">
        <v>4671</v>
      </c>
      <c r="C7117" s="501" t="s">
        <v>1089</v>
      </c>
      <c r="D7117" s="501" t="s">
        <v>3392</v>
      </c>
      <c r="E7117" s="501" t="s">
        <v>3381</v>
      </c>
      <c r="F7117" s="501" t="s">
        <v>862</v>
      </c>
      <c r="G7117" s="501" t="s">
        <v>863</v>
      </c>
      <c r="H7117" s="501" t="s">
        <v>15043</v>
      </c>
      <c r="I7117" s="501">
        <v>5</v>
      </c>
      <c r="J7117" s="501">
        <v>0</v>
      </c>
      <c r="K7117" s="501">
        <v>0</v>
      </c>
      <c r="L7117" s="501">
        <v>5</v>
      </c>
      <c r="M7117" s="501">
        <v>0</v>
      </c>
      <c r="N7117" s="501">
        <v>0</v>
      </c>
      <c r="O7117" s="506">
        <v>0</v>
      </c>
    </row>
    <row r="7118" spans="1:15" x14ac:dyDescent="0.35">
      <c r="A7118" s="503" t="s">
        <v>1607</v>
      </c>
      <c r="B7118" s="504" t="s">
        <v>3324</v>
      </c>
      <c r="C7118" s="504" t="s">
        <v>1094</v>
      </c>
      <c r="D7118" s="504" t="s">
        <v>3392</v>
      </c>
      <c r="E7118" s="504" t="s">
        <v>3381</v>
      </c>
      <c r="F7118" s="504" t="s">
        <v>862</v>
      </c>
      <c r="G7118" s="504" t="s">
        <v>863</v>
      </c>
      <c r="H7118" s="504" t="s">
        <v>9122</v>
      </c>
      <c r="I7118" s="504">
        <v>55</v>
      </c>
      <c r="J7118" s="504">
        <v>0</v>
      </c>
      <c r="K7118" s="504">
        <v>0</v>
      </c>
      <c r="L7118" s="504">
        <v>55</v>
      </c>
      <c r="M7118" s="504">
        <v>0</v>
      </c>
      <c r="N7118" s="504">
        <v>0</v>
      </c>
      <c r="O7118" s="505">
        <v>0</v>
      </c>
    </row>
    <row r="7119" spans="1:15" x14ac:dyDescent="0.35">
      <c r="A7119" s="500" t="s">
        <v>1093</v>
      </c>
      <c r="B7119" s="501" t="s">
        <v>3248</v>
      </c>
      <c r="C7119" s="501" t="s">
        <v>1094</v>
      </c>
      <c r="D7119" s="501" t="s">
        <v>3380</v>
      </c>
      <c r="E7119" s="501" t="s">
        <v>3381</v>
      </c>
      <c r="F7119" s="501" t="s">
        <v>864</v>
      </c>
      <c r="G7119" s="501" t="s">
        <v>865</v>
      </c>
      <c r="H7119" s="501" t="s">
        <v>9123</v>
      </c>
      <c r="I7119" s="501">
        <v>3</v>
      </c>
      <c r="J7119" s="501">
        <v>0</v>
      </c>
      <c r="K7119" s="501">
        <v>0</v>
      </c>
      <c r="L7119" s="501">
        <v>0</v>
      </c>
      <c r="M7119" s="501">
        <v>0</v>
      </c>
      <c r="N7119" s="501">
        <v>0</v>
      </c>
      <c r="O7119" s="506">
        <v>3</v>
      </c>
    </row>
    <row r="7120" spans="1:15" x14ac:dyDescent="0.35">
      <c r="A7120" s="503" t="s">
        <v>1096</v>
      </c>
      <c r="B7120" s="504" t="s">
        <v>3326</v>
      </c>
      <c r="C7120" s="504" t="s">
        <v>1094</v>
      </c>
      <c r="D7120" s="504" t="s">
        <v>3380</v>
      </c>
      <c r="E7120" s="504" t="s">
        <v>3381</v>
      </c>
      <c r="F7120" s="504" t="s">
        <v>864</v>
      </c>
      <c r="G7120" s="504" t="s">
        <v>865</v>
      </c>
      <c r="H7120" s="504" t="s">
        <v>9124</v>
      </c>
      <c r="I7120" s="504">
        <v>52</v>
      </c>
      <c r="J7120" s="504">
        <v>3</v>
      </c>
      <c r="K7120" s="504">
        <v>0</v>
      </c>
      <c r="L7120" s="504">
        <v>0</v>
      </c>
      <c r="M7120" s="504">
        <v>20</v>
      </c>
      <c r="N7120" s="504">
        <v>0</v>
      </c>
      <c r="O7120" s="505">
        <v>29</v>
      </c>
    </row>
    <row r="7121" spans="1:15" x14ac:dyDescent="0.35">
      <c r="A7121" s="500" t="s">
        <v>1158</v>
      </c>
      <c r="B7121" s="501">
        <v>4819</v>
      </c>
      <c r="C7121" s="501" t="s">
        <v>1094</v>
      </c>
      <c r="D7121" s="501" t="s">
        <v>3380</v>
      </c>
      <c r="E7121" s="501" t="s">
        <v>3381</v>
      </c>
      <c r="F7121" s="501" t="s">
        <v>864</v>
      </c>
      <c r="G7121" s="501" t="s">
        <v>865</v>
      </c>
      <c r="H7121" s="501" t="s">
        <v>9125</v>
      </c>
      <c r="I7121" s="501">
        <v>1172</v>
      </c>
      <c r="J7121" s="501">
        <v>747</v>
      </c>
      <c r="K7121" s="501">
        <v>0</v>
      </c>
      <c r="L7121" s="501">
        <v>65</v>
      </c>
      <c r="M7121" s="501">
        <v>38</v>
      </c>
      <c r="N7121" s="501">
        <v>0</v>
      </c>
      <c r="O7121" s="506">
        <v>322</v>
      </c>
    </row>
    <row r="7122" spans="1:15" x14ac:dyDescent="0.35">
      <c r="A7122" s="503" t="s">
        <v>1961</v>
      </c>
      <c r="B7122" s="504">
        <v>5075</v>
      </c>
      <c r="C7122" s="504" t="s">
        <v>1094</v>
      </c>
      <c r="D7122" s="504" t="s">
        <v>3380</v>
      </c>
      <c r="E7122" s="504" t="s">
        <v>3381</v>
      </c>
      <c r="F7122" s="504" t="s">
        <v>864</v>
      </c>
      <c r="G7122" s="504" t="s">
        <v>865</v>
      </c>
      <c r="H7122" s="504" t="s">
        <v>9126</v>
      </c>
      <c r="I7122" s="504">
        <v>943</v>
      </c>
      <c r="J7122" s="504">
        <v>899</v>
      </c>
      <c r="K7122" s="504">
        <v>0</v>
      </c>
      <c r="L7122" s="504">
        <v>11</v>
      </c>
      <c r="M7122" s="504">
        <v>0</v>
      </c>
      <c r="N7122" s="504">
        <v>0</v>
      </c>
      <c r="O7122" s="505">
        <v>33</v>
      </c>
    </row>
    <row r="7123" spans="1:15" x14ac:dyDescent="0.35">
      <c r="A7123" s="500" t="s">
        <v>1100</v>
      </c>
      <c r="B7123" s="501">
        <v>4865</v>
      </c>
      <c r="C7123" s="501" t="s">
        <v>1094</v>
      </c>
      <c r="D7123" s="501" t="s">
        <v>3380</v>
      </c>
      <c r="E7123" s="501" t="s">
        <v>3381</v>
      </c>
      <c r="F7123" s="501" t="s">
        <v>864</v>
      </c>
      <c r="G7123" s="501" t="s">
        <v>865</v>
      </c>
      <c r="H7123" s="501" t="s">
        <v>9127</v>
      </c>
      <c r="I7123" s="501">
        <v>28</v>
      </c>
      <c r="J7123" s="501">
        <v>24</v>
      </c>
      <c r="K7123" s="501">
        <v>0</v>
      </c>
      <c r="L7123" s="501">
        <v>0</v>
      </c>
      <c r="M7123" s="501">
        <v>0</v>
      </c>
      <c r="N7123" s="501">
        <v>0</v>
      </c>
      <c r="O7123" s="506">
        <v>4</v>
      </c>
    </row>
    <row r="7124" spans="1:15" x14ac:dyDescent="0.35">
      <c r="A7124" s="503" t="s">
        <v>14208</v>
      </c>
      <c r="B7124" s="504">
        <v>4803</v>
      </c>
      <c r="C7124" s="504" t="s">
        <v>1094</v>
      </c>
      <c r="D7124" s="504" t="s">
        <v>3380</v>
      </c>
      <c r="E7124" s="504" t="s">
        <v>3381</v>
      </c>
      <c r="F7124" s="504" t="s">
        <v>864</v>
      </c>
      <c r="G7124" s="504" t="s">
        <v>865</v>
      </c>
      <c r="H7124" s="504" t="s">
        <v>15044</v>
      </c>
      <c r="I7124" s="504">
        <v>1</v>
      </c>
      <c r="J7124" s="504">
        <v>0</v>
      </c>
      <c r="K7124" s="504">
        <v>0</v>
      </c>
      <c r="L7124" s="504">
        <v>1</v>
      </c>
      <c r="M7124" s="504">
        <v>0</v>
      </c>
      <c r="N7124" s="504">
        <v>0</v>
      </c>
      <c r="O7124" s="505">
        <v>0</v>
      </c>
    </row>
    <row r="7125" spans="1:15" x14ac:dyDescent="0.35">
      <c r="A7125" s="500" t="s">
        <v>14213</v>
      </c>
      <c r="B7125" s="501" t="s">
        <v>3312</v>
      </c>
      <c r="C7125" s="501" t="s">
        <v>1094</v>
      </c>
      <c r="D7125" s="501" t="s">
        <v>3380</v>
      </c>
      <c r="E7125" s="501" t="s">
        <v>3381</v>
      </c>
      <c r="F7125" s="501" t="s">
        <v>864</v>
      </c>
      <c r="G7125" s="501" t="s">
        <v>865</v>
      </c>
      <c r="H7125" s="501" t="s">
        <v>15045</v>
      </c>
      <c r="I7125" s="501">
        <v>72</v>
      </c>
      <c r="J7125" s="501">
        <v>42</v>
      </c>
      <c r="K7125" s="501">
        <v>0</v>
      </c>
      <c r="L7125" s="501">
        <v>29</v>
      </c>
      <c r="M7125" s="501">
        <v>0</v>
      </c>
      <c r="N7125" s="501">
        <v>0</v>
      </c>
      <c r="O7125" s="506">
        <v>1</v>
      </c>
    </row>
    <row r="7126" spans="1:15" x14ac:dyDescent="0.35">
      <c r="A7126" s="503" t="s">
        <v>2084</v>
      </c>
      <c r="B7126" s="504">
        <v>4658</v>
      </c>
      <c r="C7126" s="504" t="s">
        <v>1089</v>
      </c>
      <c r="D7126" s="504" t="s">
        <v>3392</v>
      </c>
      <c r="E7126" s="504" t="s">
        <v>3381</v>
      </c>
      <c r="F7126" s="504" t="s">
        <v>864</v>
      </c>
      <c r="G7126" s="504" t="s">
        <v>865</v>
      </c>
      <c r="H7126" s="504" t="s">
        <v>15046</v>
      </c>
      <c r="I7126" s="504">
        <v>13</v>
      </c>
      <c r="J7126" s="504">
        <v>0</v>
      </c>
      <c r="K7126" s="504">
        <v>0</v>
      </c>
      <c r="L7126" s="504">
        <v>13</v>
      </c>
      <c r="M7126" s="504">
        <v>0</v>
      </c>
      <c r="N7126" s="504">
        <v>0</v>
      </c>
      <c r="O7126" s="505">
        <v>0</v>
      </c>
    </row>
    <row r="7127" spans="1:15" x14ac:dyDescent="0.35">
      <c r="A7127" s="500" t="s">
        <v>1105</v>
      </c>
      <c r="B7127" s="501">
        <v>4668</v>
      </c>
      <c r="C7127" s="501" t="s">
        <v>1094</v>
      </c>
      <c r="D7127" s="501" t="s">
        <v>3380</v>
      </c>
      <c r="E7127" s="501" t="s">
        <v>3381</v>
      </c>
      <c r="F7127" s="501" t="s">
        <v>864</v>
      </c>
      <c r="G7127" s="501" t="s">
        <v>865</v>
      </c>
      <c r="H7127" s="501" t="s">
        <v>15047</v>
      </c>
      <c r="I7127" s="501">
        <v>14</v>
      </c>
      <c r="J7127" s="501">
        <v>0</v>
      </c>
      <c r="K7127" s="501">
        <v>0</v>
      </c>
      <c r="L7127" s="501">
        <v>0</v>
      </c>
      <c r="M7127" s="501">
        <v>0</v>
      </c>
      <c r="N7127" s="501">
        <v>0</v>
      </c>
      <c r="O7127" s="506">
        <v>14</v>
      </c>
    </row>
    <row r="7128" spans="1:15" x14ac:dyDescent="0.35">
      <c r="A7128" s="503" t="s">
        <v>1188</v>
      </c>
      <c r="B7128" s="504">
        <v>4760</v>
      </c>
      <c r="C7128" s="504" t="s">
        <v>1089</v>
      </c>
      <c r="D7128" s="504" t="s">
        <v>3392</v>
      </c>
      <c r="E7128" s="504" t="s">
        <v>3381</v>
      </c>
      <c r="F7128" s="504" t="s">
        <v>864</v>
      </c>
      <c r="G7128" s="504" t="s">
        <v>865</v>
      </c>
      <c r="H7128" s="504" t="s">
        <v>15048</v>
      </c>
      <c r="I7128" s="504">
        <v>11</v>
      </c>
      <c r="J7128" s="504">
        <v>0</v>
      </c>
      <c r="K7128" s="504">
        <v>0</v>
      </c>
      <c r="L7128" s="504">
        <v>11</v>
      </c>
      <c r="M7128" s="504">
        <v>0</v>
      </c>
      <c r="N7128" s="504">
        <v>0</v>
      </c>
      <c r="O7128" s="505">
        <v>0</v>
      </c>
    </row>
    <row r="7129" spans="1:15" x14ac:dyDescent="0.35">
      <c r="A7129" s="500" t="s">
        <v>1107</v>
      </c>
      <c r="B7129" s="501" t="s">
        <v>3109</v>
      </c>
      <c r="C7129" s="501" t="s">
        <v>1094</v>
      </c>
      <c r="D7129" s="501" t="s">
        <v>3380</v>
      </c>
      <c r="E7129" s="501" t="s">
        <v>3381</v>
      </c>
      <c r="F7129" s="501" t="s">
        <v>864</v>
      </c>
      <c r="G7129" s="501" t="s">
        <v>865</v>
      </c>
      <c r="H7129" s="501" t="s">
        <v>9128</v>
      </c>
      <c r="I7129" s="501">
        <v>33</v>
      </c>
      <c r="J7129" s="501">
        <v>0</v>
      </c>
      <c r="K7129" s="501">
        <v>0</v>
      </c>
      <c r="L7129" s="501">
        <v>33</v>
      </c>
      <c r="M7129" s="501">
        <v>0</v>
      </c>
      <c r="N7129" s="501">
        <v>0</v>
      </c>
      <c r="O7129" s="506">
        <v>0</v>
      </c>
    </row>
    <row r="7130" spans="1:15" x14ac:dyDescent="0.35">
      <c r="A7130" s="503" t="s">
        <v>1109</v>
      </c>
      <c r="B7130" s="504" t="s">
        <v>2959</v>
      </c>
      <c r="C7130" s="504" t="s">
        <v>1094</v>
      </c>
      <c r="D7130" s="504" t="s">
        <v>3380</v>
      </c>
      <c r="E7130" s="504" t="s">
        <v>3381</v>
      </c>
      <c r="F7130" s="504" t="s">
        <v>864</v>
      </c>
      <c r="G7130" s="504" t="s">
        <v>865</v>
      </c>
      <c r="H7130" s="504" t="s">
        <v>9129</v>
      </c>
      <c r="I7130" s="504">
        <v>67</v>
      </c>
      <c r="J7130" s="504">
        <v>0</v>
      </c>
      <c r="K7130" s="504">
        <v>0</v>
      </c>
      <c r="L7130" s="504">
        <v>0</v>
      </c>
      <c r="M7130" s="504">
        <v>67</v>
      </c>
      <c r="N7130" s="504">
        <v>0</v>
      </c>
      <c r="O7130" s="505">
        <v>0</v>
      </c>
    </row>
    <row r="7131" spans="1:15" x14ac:dyDescent="0.35">
      <c r="A7131" s="500" t="s">
        <v>1190</v>
      </c>
      <c r="B7131" s="501">
        <v>4662</v>
      </c>
      <c r="C7131" s="501" t="s">
        <v>1094</v>
      </c>
      <c r="D7131" s="501" t="s">
        <v>3380</v>
      </c>
      <c r="E7131" s="501" t="s">
        <v>3381</v>
      </c>
      <c r="F7131" s="501" t="s">
        <v>864</v>
      </c>
      <c r="G7131" s="501" t="s">
        <v>865</v>
      </c>
      <c r="H7131" s="501" t="s">
        <v>15049</v>
      </c>
      <c r="I7131" s="501">
        <v>3</v>
      </c>
      <c r="J7131" s="501">
        <v>0</v>
      </c>
      <c r="K7131" s="501">
        <v>0</v>
      </c>
      <c r="L7131" s="501">
        <v>3</v>
      </c>
      <c r="M7131" s="501">
        <v>0</v>
      </c>
      <c r="N7131" s="501">
        <v>0</v>
      </c>
      <c r="O7131" s="506">
        <v>0</v>
      </c>
    </row>
    <row r="7132" spans="1:15" x14ac:dyDescent="0.35">
      <c r="A7132" s="503" t="s">
        <v>1207</v>
      </c>
      <c r="B7132" s="504" t="s">
        <v>3202</v>
      </c>
      <c r="C7132" s="504" t="s">
        <v>1094</v>
      </c>
      <c r="D7132" s="504" t="s">
        <v>3380</v>
      </c>
      <c r="E7132" s="504" t="s">
        <v>3381</v>
      </c>
      <c r="F7132" s="504" t="s">
        <v>864</v>
      </c>
      <c r="G7132" s="504" t="s">
        <v>865</v>
      </c>
      <c r="H7132" s="504" t="s">
        <v>9130</v>
      </c>
      <c r="I7132" s="504">
        <v>104</v>
      </c>
      <c r="J7132" s="504">
        <v>62</v>
      </c>
      <c r="K7132" s="504">
        <v>0</v>
      </c>
      <c r="L7132" s="504">
        <v>8</v>
      </c>
      <c r="M7132" s="504">
        <v>0</v>
      </c>
      <c r="N7132" s="504">
        <v>1</v>
      </c>
      <c r="O7132" s="505">
        <v>34</v>
      </c>
    </row>
    <row r="7133" spans="1:15" x14ac:dyDescent="0.35">
      <c r="A7133" s="500" t="s">
        <v>1217</v>
      </c>
      <c r="B7133" s="501">
        <v>4851</v>
      </c>
      <c r="C7133" s="501" t="s">
        <v>1094</v>
      </c>
      <c r="D7133" s="501" t="s">
        <v>3380</v>
      </c>
      <c r="E7133" s="501" t="s">
        <v>3381</v>
      </c>
      <c r="F7133" s="501" t="s">
        <v>864</v>
      </c>
      <c r="G7133" s="501" t="s">
        <v>865</v>
      </c>
      <c r="H7133" s="501" t="s">
        <v>9131</v>
      </c>
      <c r="I7133" s="501">
        <v>77</v>
      </c>
      <c r="J7133" s="501">
        <v>34</v>
      </c>
      <c r="K7133" s="501">
        <v>0</v>
      </c>
      <c r="L7133" s="501">
        <v>0</v>
      </c>
      <c r="M7133" s="501">
        <v>28</v>
      </c>
      <c r="N7133" s="501">
        <v>0</v>
      </c>
      <c r="O7133" s="506">
        <v>15</v>
      </c>
    </row>
    <row r="7134" spans="1:15" x14ac:dyDescent="0.35">
      <c r="A7134" s="503" t="s">
        <v>1218</v>
      </c>
      <c r="B7134" s="504" t="s">
        <v>3147</v>
      </c>
      <c r="C7134" s="504" t="s">
        <v>1094</v>
      </c>
      <c r="D7134" s="504" t="s">
        <v>3380</v>
      </c>
      <c r="E7134" s="504" t="s">
        <v>3381</v>
      </c>
      <c r="F7134" s="504" t="s">
        <v>864</v>
      </c>
      <c r="G7134" s="504" t="s">
        <v>865</v>
      </c>
      <c r="H7134" s="504" t="s">
        <v>9132</v>
      </c>
      <c r="I7134" s="504">
        <v>6</v>
      </c>
      <c r="J7134" s="504">
        <v>0</v>
      </c>
      <c r="K7134" s="504">
        <v>0</v>
      </c>
      <c r="L7134" s="504">
        <v>0</v>
      </c>
      <c r="M7134" s="504">
        <v>0</v>
      </c>
      <c r="N7134" s="504">
        <v>0</v>
      </c>
      <c r="O7134" s="505">
        <v>6</v>
      </c>
    </row>
    <row r="7135" spans="1:15" x14ac:dyDescent="0.35">
      <c r="A7135" s="500" t="s">
        <v>11367</v>
      </c>
      <c r="B7135" s="501" t="s">
        <v>3143</v>
      </c>
      <c r="C7135" s="501" t="s">
        <v>1094</v>
      </c>
      <c r="D7135" s="501" t="s">
        <v>3380</v>
      </c>
      <c r="E7135" s="501" t="s">
        <v>3381</v>
      </c>
      <c r="F7135" s="501" t="s">
        <v>864</v>
      </c>
      <c r="G7135" s="501" t="s">
        <v>865</v>
      </c>
      <c r="H7135" s="501" t="s">
        <v>11950</v>
      </c>
      <c r="I7135" s="501">
        <v>8</v>
      </c>
      <c r="J7135" s="501">
        <v>8</v>
      </c>
      <c r="K7135" s="501">
        <v>0</v>
      </c>
      <c r="L7135" s="501">
        <v>0</v>
      </c>
      <c r="M7135" s="501">
        <v>0</v>
      </c>
      <c r="N7135" s="501">
        <v>0</v>
      </c>
      <c r="O7135" s="506">
        <v>0</v>
      </c>
    </row>
    <row r="7136" spans="1:15" x14ac:dyDescent="0.35">
      <c r="A7136" s="503" t="s">
        <v>1226</v>
      </c>
      <c r="B7136" s="504">
        <v>5084</v>
      </c>
      <c r="C7136" s="504" t="s">
        <v>1094</v>
      </c>
      <c r="D7136" s="504" t="s">
        <v>3380</v>
      </c>
      <c r="E7136" s="504" t="s">
        <v>3381</v>
      </c>
      <c r="F7136" s="504" t="s">
        <v>864</v>
      </c>
      <c r="G7136" s="504" t="s">
        <v>865</v>
      </c>
      <c r="H7136" s="504" t="s">
        <v>9133</v>
      </c>
      <c r="I7136" s="504">
        <v>822</v>
      </c>
      <c r="J7136" s="504">
        <v>623</v>
      </c>
      <c r="K7136" s="504">
        <v>0</v>
      </c>
      <c r="L7136" s="504">
        <v>0</v>
      </c>
      <c r="M7136" s="504">
        <v>57</v>
      </c>
      <c r="N7136" s="504">
        <v>0</v>
      </c>
      <c r="O7136" s="505">
        <v>142</v>
      </c>
    </row>
    <row r="7137" spans="1:15" x14ac:dyDescent="0.35">
      <c r="A7137" s="500" t="s">
        <v>2094</v>
      </c>
      <c r="B7137" s="501" t="s">
        <v>2907</v>
      </c>
      <c r="C7137" s="501" t="s">
        <v>1089</v>
      </c>
      <c r="D7137" s="501" t="s">
        <v>3392</v>
      </c>
      <c r="E7137" s="501" t="s">
        <v>3381</v>
      </c>
      <c r="F7137" s="501" t="s">
        <v>864</v>
      </c>
      <c r="G7137" s="501" t="s">
        <v>865</v>
      </c>
      <c r="H7137" s="501" t="s">
        <v>9134</v>
      </c>
      <c r="I7137" s="501">
        <v>21</v>
      </c>
      <c r="J7137" s="501">
        <v>0</v>
      </c>
      <c r="K7137" s="501">
        <v>0</v>
      </c>
      <c r="L7137" s="501">
        <v>0</v>
      </c>
      <c r="M7137" s="501">
        <v>21</v>
      </c>
      <c r="N7137" s="501">
        <v>0</v>
      </c>
      <c r="O7137" s="506">
        <v>0</v>
      </c>
    </row>
    <row r="7138" spans="1:15" x14ac:dyDescent="0.35">
      <c r="A7138" s="503" t="s">
        <v>1126</v>
      </c>
      <c r="B7138" s="504" t="s">
        <v>2974</v>
      </c>
      <c r="C7138" s="504" t="s">
        <v>1094</v>
      </c>
      <c r="D7138" s="504" t="s">
        <v>3380</v>
      </c>
      <c r="E7138" s="504" t="s">
        <v>3381</v>
      </c>
      <c r="F7138" s="504" t="s">
        <v>864</v>
      </c>
      <c r="G7138" s="504" t="s">
        <v>865</v>
      </c>
      <c r="H7138" s="504" t="s">
        <v>9135</v>
      </c>
      <c r="I7138" s="504">
        <v>194</v>
      </c>
      <c r="J7138" s="504">
        <v>167</v>
      </c>
      <c r="K7138" s="504">
        <v>0</v>
      </c>
      <c r="L7138" s="504">
        <v>10</v>
      </c>
      <c r="M7138" s="504">
        <v>17</v>
      </c>
      <c r="N7138" s="504">
        <v>0</v>
      </c>
      <c r="O7138" s="505">
        <v>0</v>
      </c>
    </row>
    <row r="7139" spans="1:15" x14ac:dyDescent="0.35">
      <c r="A7139" s="500" t="s">
        <v>2103</v>
      </c>
      <c r="B7139" s="501" t="s">
        <v>2458</v>
      </c>
      <c r="C7139" s="501" t="s">
        <v>1089</v>
      </c>
      <c r="D7139" s="501" t="s">
        <v>3392</v>
      </c>
      <c r="E7139" s="501" t="s">
        <v>3381</v>
      </c>
      <c r="F7139" s="501" t="s">
        <v>864</v>
      </c>
      <c r="G7139" s="501" t="s">
        <v>865</v>
      </c>
      <c r="H7139" s="501" t="s">
        <v>9136</v>
      </c>
      <c r="I7139" s="501">
        <v>146</v>
      </c>
      <c r="J7139" s="501">
        <v>0</v>
      </c>
      <c r="K7139" s="501">
        <v>0</v>
      </c>
      <c r="L7139" s="501">
        <v>0</v>
      </c>
      <c r="M7139" s="501">
        <v>146</v>
      </c>
      <c r="N7139" s="501">
        <v>0</v>
      </c>
      <c r="O7139" s="506">
        <v>0</v>
      </c>
    </row>
    <row r="7140" spans="1:15" x14ac:dyDescent="0.35">
      <c r="A7140" s="503" t="s">
        <v>2106</v>
      </c>
      <c r="B7140" s="504" t="s">
        <v>3155</v>
      </c>
      <c r="C7140" s="504" t="s">
        <v>1089</v>
      </c>
      <c r="D7140" s="504" t="s">
        <v>3392</v>
      </c>
      <c r="E7140" s="504" t="s">
        <v>3381</v>
      </c>
      <c r="F7140" s="504" t="s">
        <v>864</v>
      </c>
      <c r="G7140" s="504" t="s">
        <v>865</v>
      </c>
      <c r="H7140" s="504" t="s">
        <v>9137</v>
      </c>
      <c r="I7140" s="504">
        <v>113</v>
      </c>
      <c r="J7140" s="504">
        <v>0</v>
      </c>
      <c r="K7140" s="504">
        <v>0</v>
      </c>
      <c r="L7140" s="504">
        <v>32</v>
      </c>
      <c r="M7140" s="504">
        <v>81</v>
      </c>
      <c r="N7140" s="504">
        <v>0</v>
      </c>
      <c r="O7140" s="505">
        <v>0</v>
      </c>
    </row>
    <row r="7141" spans="1:15" x14ac:dyDescent="0.35">
      <c r="A7141" s="500" t="s">
        <v>2109</v>
      </c>
      <c r="B7141" s="501" t="s">
        <v>2931</v>
      </c>
      <c r="C7141" s="501" t="s">
        <v>1089</v>
      </c>
      <c r="D7141" s="501" t="s">
        <v>3392</v>
      </c>
      <c r="E7141" s="501" t="s">
        <v>3381</v>
      </c>
      <c r="F7141" s="501" t="s">
        <v>864</v>
      </c>
      <c r="G7141" s="501" t="s">
        <v>865</v>
      </c>
      <c r="H7141" s="501" t="s">
        <v>12135</v>
      </c>
      <c r="I7141" s="501">
        <v>12</v>
      </c>
      <c r="J7141" s="501">
        <v>0</v>
      </c>
      <c r="K7141" s="501">
        <v>0</v>
      </c>
      <c r="L7141" s="501">
        <v>12</v>
      </c>
      <c r="M7141" s="501">
        <v>0</v>
      </c>
      <c r="N7141" s="501">
        <v>0</v>
      </c>
      <c r="O7141" s="506">
        <v>0</v>
      </c>
    </row>
    <row r="7142" spans="1:15" x14ac:dyDescent="0.35">
      <c r="A7142" s="503" t="s">
        <v>2110</v>
      </c>
      <c r="B7142" s="504" t="s">
        <v>3113</v>
      </c>
      <c r="C7142" s="504" t="s">
        <v>1089</v>
      </c>
      <c r="D7142" s="504" t="s">
        <v>3392</v>
      </c>
      <c r="E7142" s="504" t="s">
        <v>3381</v>
      </c>
      <c r="F7142" s="504" t="s">
        <v>864</v>
      </c>
      <c r="G7142" s="504" t="s">
        <v>865</v>
      </c>
      <c r="H7142" s="504" t="s">
        <v>12141</v>
      </c>
      <c r="I7142" s="504">
        <v>2</v>
      </c>
      <c r="J7142" s="504">
        <v>0</v>
      </c>
      <c r="K7142" s="504">
        <v>0</v>
      </c>
      <c r="L7142" s="504">
        <v>2</v>
      </c>
      <c r="M7142" s="504">
        <v>0</v>
      </c>
      <c r="N7142" s="504">
        <v>0</v>
      </c>
      <c r="O7142" s="505">
        <v>0</v>
      </c>
    </row>
    <row r="7143" spans="1:15" x14ac:dyDescent="0.35">
      <c r="A7143" s="500" t="s">
        <v>1134</v>
      </c>
      <c r="B7143" s="501" t="s">
        <v>3066</v>
      </c>
      <c r="C7143" s="501" t="s">
        <v>1094</v>
      </c>
      <c r="D7143" s="501" t="s">
        <v>3380</v>
      </c>
      <c r="E7143" s="501" t="s">
        <v>3381</v>
      </c>
      <c r="F7143" s="501" t="s">
        <v>864</v>
      </c>
      <c r="G7143" s="501" t="s">
        <v>865</v>
      </c>
      <c r="H7143" s="501" t="s">
        <v>12173</v>
      </c>
      <c r="I7143" s="501">
        <v>42</v>
      </c>
      <c r="J7143" s="501">
        <v>8</v>
      </c>
      <c r="K7143" s="501">
        <v>0</v>
      </c>
      <c r="L7143" s="501">
        <v>0</v>
      </c>
      <c r="M7143" s="501">
        <v>34</v>
      </c>
      <c r="N7143" s="501">
        <v>0</v>
      </c>
      <c r="O7143" s="506">
        <v>0</v>
      </c>
    </row>
    <row r="7144" spans="1:15" x14ac:dyDescent="0.35">
      <c r="A7144" s="503" t="s">
        <v>1245</v>
      </c>
      <c r="B7144" s="504" t="s">
        <v>2859</v>
      </c>
      <c r="C7144" s="504" t="s">
        <v>1094</v>
      </c>
      <c r="D7144" s="504" t="s">
        <v>3380</v>
      </c>
      <c r="E7144" s="504" t="s">
        <v>3381</v>
      </c>
      <c r="F7144" s="504" t="s">
        <v>864</v>
      </c>
      <c r="G7144" s="504" t="s">
        <v>865</v>
      </c>
      <c r="H7144" s="504" t="s">
        <v>9138</v>
      </c>
      <c r="I7144" s="504">
        <v>49</v>
      </c>
      <c r="J7144" s="504">
        <v>0</v>
      </c>
      <c r="K7144" s="504">
        <v>0</v>
      </c>
      <c r="L7144" s="504">
        <v>0</v>
      </c>
      <c r="M7144" s="504">
        <v>46</v>
      </c>
      <c r="N7144" s="504">
        <v>0</v>
      </c>
      <c r="O7144" s="505">
        <v>3</v>
      </c>
    </row>
    <row r="7145" spans="1:15" x14ac:dyDescent="0.35">
      <c r="A7145" s="500" t="s">
        <v>2116</v>
      </c>
      <c r="B7145" s="501">
        <v>5051</v>
      </c>
      <c r="C7145" s="501" t="s">
        <v>1089</v>
      </c>
      <c r="D7145" s="501" t="s">
        <v>3392</v>
      </c>
      <c r="E7145" s="501" t="s">
        <v>3381</v>
      </c>
      <c r="F7145" s="501" t="s">
        <v>864</v>
      </c>
      <c r="G7145" s="501" t="s">
        <v>865</v>
      </c>
      <c r="H7145" s="501" t="s">
        <v>9139</v>
      </c>
      <c r="I7145" s="501">
        <v>29</v>
      </c>
      <c r="J7145" s="501">
        <v>29</v>
      </c>
      <c r="K7145" s="501">
        <v>0</v>
      </c>
      <c r="L7145" s="501">
        <v>0</v>
      </c>
      <c r="M7145" s="501">
        <v>0</v>
      </c>
      <c r="N7145" s="501">
        <v>0</v>
      </c>
      <c r="O7145" s="506">
        <v>0</v>
      </c>
    </row>
    <row r="7146" spans="1:15" x14ac:dyDescent="0.35">
      <c r="A7146" s="503" t="s">
        <v>1248</v>
      </c>
      <c r="B7146" s="504">
        <v>4706</v>
      </c>
      <c r="C7146" s="504" t="s">
        <v>1089</v>
      </c>
      <c r="D7146" s="504" t="s">
        <v>3392</v>
      </c>
      <c r="E7146" s="504" t="s">
        <v>3381</v>
      </c>
      <c r="F7146" s="504" t="s">
        <v>864</v>
      </c>
      <c r="G7146" s="504" t="s">
        <v>865</v>
      </c>
      <c r="H7146" s="504" t="s">
        <v>12201</v>
      </c>
      <c r="I7146" s="504">
        <v>52</v>
      </c>
      <c r="J7146" s="504">
        <v>0</v>
      </c>
      <c r="K7146" s="504">
        <v>0</v>
      </c>
      <c r="L7146" s="504">
        <v>0</v>
      </c>
      <c r="M7146" s="504">
        <v>52</v>
      </c>
      <c r="N7146" s="504">
        <v>0</v>
      </c>
      <c r="O7146" s="505">
        <v>0</v>
      </c>
    </row>
    <row r="7147" spans="1:15" x14ac:dyDescent="0.35">
      <c r="A7147" s="500" t="s">
        <v>1259</v>
      </c>
      <c r="B7147" s="501" t="s">
        <v>3025</v>
      </c>
      <c r="C7147" s="501" t="s">
        <v>1094</v>
      </c>
      <c r="D7147" s="501" t="s">
        <v>3380</v>
      </c>
      <c r="E7147" s="501" t="s">
        <v>3381</v>
      </c>
      <c r="F7147" s="501" t="s">
        <v>864</v>
      </c>
      <c r="G7147" s="501" t="s">
        <v>865</v>
      </c>
      <c r="H7147" s="501" t="s">
        <v>9140</v>
      </c>
      <c r="I7147" s="501">
        <v>33</v>
      </c>
      <c r="J7147" s="501">
        <v>28</v>
      </c>
      <c r="K7147" s="501">
        <v>0</v>
      </c>
      <c r="L7147" s="501">
        <v>4</v>
      </c>
      <c r="M7147" s="501">
        <v>0</v>
      </c>
      <c r="N7147" s="501">
        <v>0</v>
      </c>
      <c r="O7147" s="506">
        <v>1</v>
      </c>
    </row>
    <row r="7148" spans="1:15" x14ac:dyDescent="0.35">
      <c r="A7148" s="503" t="s">
        <v>2127</v>
      </c>
      <c r="B7148" s="504" t="s">
        <v>3188</v>
      </c>
      <c r="C7148" s="504" t="s">
        <v>1094</v>
      </c>
      <c r="D7148" s="504" t="s">
        <v>3380</v>
      </c>
      <c r="E7148" s="504" t="s">
        <v>3381</v>
      </c>
      <c r="F7148" s="504" t="s">
        <v>864</v>
      </c>
      <c r="G7148" s="504" t="s">
        <v>865</v>
      </c>
      <c r="H7148" s="504" t="s">
        <v>9141</v>
      </c>
      <c r="I7148" s="504">
        <v>45</v>
      </c>
      <c r="J7148" s="504">
        <v>37</v>
      </c>
      <c r="K7148" s="504">
        <v>0</v>
      </c>
      <c r="L7148" s="504">
        <v>0</v>
      </c>
      <c r="M7148" s="504">
        <v>0</v>
      </c>
      <c r="N7148" s="504">
        <v>0</v>
      </c>
      <c r="O7148" s="505">
        <v>8</v>
      </c>
    </row>
    <row r="7149" spans="1:15" x14ac:dyDescent="0.35">
      <c r="A7149" s="500" t="s">
        <v>2128</v>
      </c>
      <c r="B7149" s="501" t="s">
        <v>3133</v>
      </c>
      <c r="C7149" s="501" t="s">
        <v>1089</v>
      </c>
      <c r="D7149" s="501" t="s">
        <v>3392</v>
      </c>
      <c r="E7149" s="501" t="s">
        <v>3381</v>
      </c>
      <c r="F7149" s="501" t="s">
        <v>864</v>
      </c>
      <c r="G7149" s="501" t="s">
        <v>865</v>
      </c>
      <c r="H7149" s="501" t="s">
        <v>9142</v>
      </c>
      <c r="I7149" s="501">
        <v>8</v>
      </c>
      <c r="J7149" s="501">
        <v>8</v>
      </c>
      <c r="K7149" s="501">
        <v>0</v>
      </c>
      <c r="L7149" s="501">
        <v>0</v>
      </c>
      <c r="M7149" s="501">
        <v>0</v>
      </c>
      <c r="N7149" s="501">
        <v>0</v>
      </c>
      <c r="O7149" s="506">
        <v>0</v>
      </c>
    </row>
    <row r="7150" spans="1:15" x14ac:dyDescent="0.35">
      <c r="A7150" s="503" t="s">
        <v>1262</v>
      </c>
      <c r="B7150" s="504">
        <v>4772</v>
      </c>
      <c r="C7150" s="504" t="s">
        <v>1089</v>
      </c>
      <c r="D7150" s="504" t="s">
        <v>3392</v>
      </c>
      <c r="E7150" s="504" t="s">
        <v>3381</v>
      </c>
      <c r="F7150" s="504" t="s">
        <v>864</v>
      </c>
      <c r="G7150" s="504" t="s">
        <v>865</v>
      </c>
      <c r="H7150" s="504" t="s">
        <v>9143</v>
      </c>
      <c r="I7150" s="504">
        <v>2</v>
      </c>
      <c r="J7150" s="504">
        <v>0</v>
      </c>
      <c r="K7150" s="504">
        <v>0</v>
      </c>
      <c r="L7150" s="504">
        <v>2</v>
      </c>
      <c r="M7150" s="504">
        <v>0</v>
      </c>
      <c r="N7150" s="504">
        <v>0</v>
      </c>
      <c r="O7150" s="505">
        <v>0</v>
      </c>
    </row>
    <row r="7151" spans="1:15" x14ac:dyDescent="0.35">
      <c r="A7151" s="500" t="s">
        <v>1264</v>
      </c>
      <c r="B7151" s="501">
        <v>4671</v>
      </c>
      <c r="C7151" s="501" t="s">
        <v>1089</v>
      </c>
      <c r="D7151" s="501" t="s">
        <v>3392</v>
      </c>
      <c r="E7151" s="501" t="s">
        <v>3381</v>
      </c>
      <c r="F7151" s="501" t="s">
        <v>864</v>
      </c>
      <c r="G7151" s="501" t="s">
        <v>865</v>
      </c>
      <c r="H7151" s="501" t="s">
        <v>15050</v>
      </c>
      <c r="I7151" s="501">
        <v>2</v>
      </c>
      <c r="J7151" s="501">
        <v>0</v>
      </c>
      <c r="K7151" s="501">
        <v>0</v>
      </c>
      <c r="L7151" s="501">
        <v>2</v>
      </c>
      <c r="M7151" s="501">
        <v>0</v>
      </c>
      <c r="N7151" s="501">
        <v>0</v>
      </c>
      <c r="O7151" s="506">
        <v>0</v>
      </c>
    </row>
    <row r="7152" spans="1:15" x14ac:dyDescent="0.35">
      <c r="A7152" s="503" t="s">
        <v>11421</v>
      </c>
      <c r="B7152" s="504" t="s">
        <v>2908</v>
      </c>
      <c r="C7152" s="504" t="s">
        <v>1089</v>
      </c>
      <c r="D7152" s="504" t="s">
        <v>3392</v>
      </c>
      <c r="E7152" s="504" t="s">
        <v>3381</v>
      </c>
      <c r="F7152" s="504" t="s">
        <v>866</v>
      </c>
      <c r="G7152" s="504" t="s">
        <v>867</v>
      </c>
      <c r="H7152" s="504" t="s">
        <v>11483</v>
      </c>
      <c r="I7152" s="504">
        <v>8</v>
      </c>
      <c r="J7152" s="504">
        <v>0</v>
      </c>
      <c r="K7152" s="504">
        <v>0</v>
      </c>
      <c r="L7152" s="504">
        <v>0</v>
      </c>
      <c r="M7152" s="504">
        <v>8</v>
      </c>
      <c r="N7152" s="504">
        <v>0</v>
      </c>
      <c r="O7152" s="505">
        <v>0</v>
      </c>
    </row>
    <row r="7153" spans="1:15" x14ac:dyDescent="0.35">
      <c r="A7153" s="500" t="s">
        <v>14127</v>
      </c>
      <c r="B7153" s="501" t="s">
        <v>14126</v>
      </c>
      <c r="C7153" s="501" t="s">
        <v>1094</v>
      </c>
      <c r="D7153" s="501" t="s">
        <v>3380</v>
      </c>
      <c r="E7153" s="501" t="s">
        <v>3381</v>
      </c>
      <c r="F7153" s="501" t="s">
        <v>866</v>
      </c>
      <c r="G7153" s="501" t="s">
        <v>867</v>
      </c>
      <c r="H7153" s="501" t="s">
        <v>15051</v>
      </c>
      <c r="I7153" s="501">
        <v>310</v>
      </c>
      <c r="J7153" s="501">
        <v>181</v>
      </c>
      <c r="K7153" s="501">
        <v>0</v>
      </c>
      <c r="L7153" s="501">
        <v>0</v>
      </c>
      <c r="M7153" s="501">
        <v>0</v>
      </c>
      <c r="N7153" s="501">
        <v>0</v>
      </c>
      <c r="O7153" s="506">
        <v>129</v>
      </c>
    </row>
    <row r="7154" spans="1:15" x14ac:dyDescent="0.35">
      <c r="A7154" s="503" t="s">
        <v>1093</v>
      </c>
      <c r="B7154" s="504" t="s">
        <v>3248</v>
      </c>
      <c r="C7154" s="504" t="s">
        <v>1094</v>
      </c>
      <c r="D7154" s="504" t="s">
        <v>3380</v>
      </c>
      <c r="E7154" s="504" t="s">
        <v>3381</v>
      </c>
      <c r="F7154" s="504" t="s">
        <v>866</v>
      </c>
      <c r="G7154" s="504" t="s">
        <v>867</v>
      </c>
      <c r="H7154" s="504" t="s">
        <v>9144</v>
      </c>
      <c r="I7154" s="504">
        <v>5</v>
      </c>
      <c r="J7154" s="504">
        <v>0</v>
      </c>
      <c r="K7154" s="504">
        <v>0</v>
      </c>
      <c r="L7154" s="504">
        <v>0</v>
      </c>
      <c r="M7154" s="504">
        <v>0</v>
      </c>
      <c r="N7154" s="504">
        <v>0</v>
      </c>
      <c r="O7154" s="505">
        <v>5</v>
      </c>
    </row>
    <row r="7155" spans="1:15" x14ac:dyDescent="0.35">
      <c r="A7155" s="500" t="s">
        <v>1096</v>
      </c>
      <c r="B7155" s="501" t="s">
        <v>3326</v>
      </c>
      <c r="C7155" s="501" t="s">
        <v>1094</v>
      </c>
      <c r="D7155" s="501" t="s">
        <v>3380</v>
      </c>
      <c r="E7155" s="501" t="s">
        <v>3381</v>
      </c>
      <c r="F7155" s="501" t="s">
        <v>866</v>
      </c>
      <c r="G7155" s="501" t="s">
        <v>867</v>
      </c>
      <c r="H7155" s="501" t="s">
        <v>9145</v>
      </c>
      <c r="I7155" s="501">
        <v>106</v>
      </c>
      <c r="J7155" s="501">
        <v>0</v>
      </c>
      <c r="K7155" s="501">
        <v>0</v>
      </c>
      <c r="L7155" s="501">
        <v>0</v>
      </c>
      <c r="M7155" s="501">
        <v>67</v>
      </c>
      <c r="N7155" s="501">
        <v>0</v>
      </c>
      <c r="O7155" s="506">
        <v>39</v>
      </c>
    </row>
    <row r="7156" spans="1:15" x14ac:dyDescent="0.35">
      <c r="A7156" s="503" t="s">
        <v>1802</v>
      </c>
      <c r="B7156" s="504">
        <v>4872</v>
      </c>
      <c r="C7156" s="504" t="s">
        <v>1089</v>
      </c>
      <c r="D7156" s="504" t="s">
        <v>3380</v>
      </c>
      <c r="E7156" s="504" t="s">
        <v>3381</v>
      </c>
      <c r="F7156" s="504" t="s">
        <v>866</v>
      </c>
      <c r="G7156" s="504" t="s">
        <v>867</v>
      </c>
      <c r="H7156" s="504" t="s">
        <v>15052</v>
      </c>
      <c r="I7156" s="504">
        <v>21</v>
      </c>
      <c r="J7156" s="504">
        <v>8</v>
      </c>
      <c r="K7156" s="504">
        <v>0</v>
      </c>
      <c r="L7156" s="504">
        <v>0</v>
      </c>
      <c r="M7156" s="504">
        <v>0</v>
      </c>
      <c r="N7156" s="504">
        <v>0</v>
      </c>
      <c r="O7156" s="505">
        <v>13</v>
      </c>
    </row>
    <row r="7157" spans="1:15" x14ac:dyDescent="0.35">
      <c r="A7157" s="500" t="s">
        <v>1098</v>
      </c>
      <c r="B7157" s="501">
        <v>4691</v>
      </c>
      <c r="C7157" s="501" t="s">
        <v>1094</v>
      </c>
      <c r="D7157" s="501" t="s">
        <v>3380</v>
      </c>
      <c r="E7157" s="501" t="s">
        <v>3381</v>
      </c>
      <c r="F7157" s="501" t="s">
        <v>866</v>
      </c>
      <c r="G7157" s="501" t="s">
        <v>867</v>
      </c>
      <c r="H7157" s="501" t="s">
        <v>9146</v>
      </c>
      <c r="I7157" s="501">
        <v>149</v>
      </c>
      <c r="J7157" s="501">
        <v>80</v>
      </c>
      <c r="K7157" s="501">
        <v>0</v>
      </c>
      <c r="L7157" s="501">
        <v>20</v>
      </c>
      <c r="M7157" s="501">
        <v>0</v>
      </c>
      <c r="N7157" s="501">
        <v>0</v>
      </c>
      <c r="O7157" s="506">
        <v>49</v>
      </c>
    </row>
    <row r="7158" spans="1:15" x14ac:dyDescent="0.35">
      <c r="A7158" s="503" t="s">
        <v>11363</v>
      </c>
      <c r="B7158" s="504">
        <v>4718</v>
      </c>
      <c r="C7158" s="504" t="s">
        <v>1094</v>
      </c>
      <c r="D7158" s="504" t="s">
        <v>3380</v>
      </c>
      <c r="E7158" s="504" t="s">
        <v>3381</v>
      </c>
      <c r="F7158" s="504" t="s">
        <v>866</v>
      </c>
      <c r="G7158" s="504" t="s">
        <v>867</v>
      </c>
      <c r="H7158" s="504" t="s">
        <v>11585</v>
      </c>
      <c r="I7158" s="504">
        <v>3</v>
      </c>
      <c r="J7158" s="504">
        <v>0</v>
      </c>
      <c r="K7158" s="504">
        <v>0</v>
      </c>
      <c r="L7158" s="504">
        <v>3</v>
      </c>
      <c r="M7158" s="504">
        <v>0</v>
      </c>
      <c r="N7158" s="504">
        <v>0</v>
      </c>
      <c r="O7158" s="505">
        <v>0</v>
      </c>
    </row>
    <row r="7159" spans="1:15" x14ac:dyDescent="0.35">
      <c r="A7159" s="500" t="s">
        <v>11422</v>
      </c>
      <c r="B7159" s="501" t="s">
        <v>2939</v>
      </c>
      <c r="C7159" s="501" t="s">
        <v>1089</v>
      </c>
      <c r="D7159" s="501" t="s">
        <v>3392</v>
      </c>
      <c r="E7159" s="501" t="s">
        <v>3381</v>
      </c>
      <c r="F7159" s="501" t="s">
        <v>866</v>
      </c>
      <c r="G7159" s="501" t="s">
        <v>867</v>
      </c>
      <c r="H7159" s="501" t="s">
        <v>11627</v>
      </c>
      <c r="I7159" s="501">
        <v>112</v>
      </c>
      <c r="J7159" s="501">
        <v>0</v>
      </c>
      <c r="K7159" s="501">
        <v>0</v>
      </c>
      <c r="L7159" s="501">
        <v>112</v>
      </c>
      <c r="M7159" s="501">
        <v>0</v>
      </c>
      <c r="N7159" s="501">
        <v>0</v>
      </c>
      <c r="O7159" s="506">
        <v>0</v>
      </c>
    </row>
    <row r="7160" spans="1:15" x14ac:dyDescent="0.35">
      <c r="A7160" s="503" t="s">
        <v>1978</v>
      </c>
      <c r="B7160" s="504" t="s">
        <v>3119</v>
      </c>
      <c r="C7160" s="504" t="s">
        <v>1089</v>
      </c>
      <c r="D7160" s="504" t="s">
        <v>3392</v>
      </c>
      <c r="E7160" s="504" t="s">
        <v>3381</v>
      </c>
      <c r="F7160" s="504" t="s">
        <v>866</v>
      </c>
      <c r="G7160" s="504" t="s">
        <v>867</v>
      </c>
      <c r="H7160" s="504" t="s">
        <v>9148</v>
      </c>
      <c r="I7160" s="504">
        <v>235</v>
      </c>
      <c r="J7160" s="504">
        <v>235</v>
      </c>
      <c r="K7160" s="504">
        <v>0</v>
      </c>
      <c r="L7160" s="504">
        <v>0</v>
      </c>
      <c r="M7160" s="504">
        <v>0</v>
      </c>
      <c r="N7160" s="504">
        <v>0</v>
      </c>
      <c r="O7160" s="505">
        <v>0</v>
      </c>
    </row>
    <row r="7161" spans="1:15" x14ac:dyDescent="0.35">
      <c r="A7161" s="500" t="s">
        <v>1177</v>
      </c>
      <c r="B7161" s="501">
        <v>4702</v>
      </c>
      <c r="C7161" s="501" t="s">
        <v>1089</v>
      </c>
      <c r="D7161" s="501" t="s">
        <v>3392</v>
      </c>
      <c r="E7161" s="501" t="s">
        <v>3381</v>
      </c>
      <c r="F7161" s="501" t="s">
        <v>866</v>
      </c>
      <c r="G7161" s="501" t="s">
        <v>867</v>
      </c>
      <c r="H7161" s="501" t="s">
        <v>9149</v>
      </c>
      <c r="I7161" s="501">
        <v>1</v>
      </c>
      <c r="J7161" s="501">
        <v>0</v>
      </c>
      <c r="K7161" s="501">
        <v>0</v>
      </c>
      <c r="L7161" s="501">
        <v>1</v>
      </c>
      <c r="M7161" s="501">
        <v>0</v>
      </c>
      <c r="N7161" s="501">
        <v>0</v>
      </c>
      <c r="O7161" s="506">
        <v>0</v>
      </c>
    </row>
    <row r="7162" spans="1:15" x14ac:dyDescent="0.35">
      <c r="A7162" s="503" t="s">
        <v>1981</v>
      </c>
      <c r="B7162" s="504">
        <v>4739</v>
      </c>
      <c r="C7162" s="504" t="s">
        <v>1089</v>
      </c>
      <c r="D7162" s="504" t="s">
        <v>3392</v>
      </c>
      <c r="E7162" s="504" t="s">
        <v>3381</v>
      </c>
      <c r="F7162" s="504" t="s">
        <v>866</v>
      </c>
      <c r="G7162" s="504" t="s">
        <v>867</v>
      </c>
      <c r="H7162" s="504" t="s">
        <v>9150</v>
      </c>
      <c r="I7162" s="504">
        <v>3</v>
      </c>
      <c r="J7162" s="504">
        <v>3</v>
      </c>
      <c r="K7162" s="504">
        <v>0</v>
      </c>
      <c r="L7162" s="504">
        <v>0</v>
      </c>
      <c r="M7162" s="504">
        <v>0</v>
      </c>
      <c r="N7162" s="504">
        <v>0</v>
      </c>
      <c r="O7162" s="505">
        <v>0</v>
      </c>
    </row>
    <row r="7163" spans="1:15" x14ac:dyDescent="0.35">
      <c r="A7163" s="500" t="s">
        <v>14208</v>
      </c>
      <c r="B7163" s="501">
        <v>4803</v>
      </c>
      <c r="C7163" s="501" t="s">
        <v>1094</v>
      </c>
      <c r="D7163" s="501" t="s">
        <v>3380</v>
      </c>
      <c r="E7163" s="501" t="s">
        <v>3381</v>
      </c>
      <c r="F7163" s="501" t="s">
        <v>866</v>
      </c>
      <c r="G7163" s="501" t="s">
        <v>867</v>
      </c>
      <c r="H7163" s="501" t="s">
        <v>15053</v>
      </c>
      <c r="I7163" s="501">
        <v>7</v>
      </c>
      <c r="J7163" s="501">
        <v>0</v>
      </c>
      <c r="K7163" s="501">
        <v>0</v>
      </c>
      <c r="L7163" s="501">
        <v>7</v>
      </c>
      <c r="M7163" s="501">
        <v>0</v>
      </c>
      <c r="N7163" s="501">
        <v>0</v>
      </c>
      <c r="O7163" s="506">
        <v>0</v>
      </c>
    </row>
    <row r="7164" spans="1:15" x14ac:dyDescent="0.35">
      <c r="A7164" s="503" t="s">
        <v>1185</v>
      </c>
      <c r="B7164" s="504" t="s">
        <v>3253</v>
      </c>
      <c r="C7164" s="504" t="s">
        <v>1094</v>
      </c>
      <c r="D7164" s="504" t="s">
        <v>3380</v>
      </c>
      <c r="E7164" s="504" t="s">
        <v>3381</v>
      </c>
      <c r="F7164" s="504" t="s">
        <v>866</v>
      </c>
      <c r="G7164" s="504" t="s">
        <v>867</v>
      </c>
      <c r="H7164" s="504" t="s">
        <v>9151</v>
      </c>
      <c r="I7164" s="504">
        <v>22</v>
      </c>
      <c r="J7164" s="504">
        <v>0</v>
      </c>
      <c r="K7164" s="504">
        <v>0</v>
      </c>
      <c r="L7164" s="504">
        <v>22</v>
      </c>
      <c r="M7164" s="504">
        <v>0</v>
      </c>
      <c r="N7164" s="504">
        <v>0</v>
      </c>
      <c r="O7164" s="505">
        <v>0</v>
      </c>
    </row>
    <row r="7165" spans="1:15" x14ac:dyDescent="0.35">
      <c r="A7165" s="500" t="s">
        <v>1187</v>
      </c>
      <c r="B7165" s="501" t="s">
        <v>2951</v>
      </c>
      <c r="C7165" s="501" t="s">
        <v>1094</v>
      </c>
      <c r="D7165" s="501" t="s">
        <v>3380</v>
      </c>
      <c r="E7165" s="501" t="s">
        <v>3381</v>
      </c>
      <c r="F7165" s="501" t="s">
        <v>866</v>
      </c>
      <c r="G7165" s="501" t="s">
        <v>867</v>
      </c>
      <c r="H7165" s="501" t="s">
        <v>9152</v>
      </c>
      <c r="I7165" s="501">
        <v>45</v>
      </c>
      <c r="J7165" s="501">
        <v>39</v>
      </c>
      <c r="K7165" s="501">
        <v>0</v>
      </c>
      <c r="L7165" s="501">
        <v>0</v>
      </c>
      <c r="M7165" s="501">
        <v>0</v>
      </c>
      <c r="N7165" s="501">
        <v>0</v>
      </c>
      <c r="O7165" s="506">
        <v>6</v>
      </c>
    </row>
    <row r="7166" spans="1:15" x14ac:dyDescent="0.35">
      <c r="A7166" s="503" t="s">
        <v>1105</v>
      </c>
      <c r="B7166" s="504">
        <v>4668</v>
      </c>
      <c r="C7166" s="504" t="s">
        <v>1094</v>
      </c>
      <c r="D7166" s="504" t="s">
        <v>3380</v>
      </c>
      <c r="E7166" s="504" t="s">
        <v>3381</v>
      </c>
      <c r="F7166" s="504" t="s">
        <v>866</v>
      </c>
      <c r="G7166" s="504" t="s">
        <v>867</v>
      </c>
      <c r="H7166" s="504" t="s">
        <v>9153</v>
      </c>
      <c r="I7166" s="504">
        <v>16</v>
      </c>
      <c r="J7166" s="504">
        <v>0</v>
      </c>
      <c r="K7166" s="504">
        <v>0</v>
      </c>
      <c r="L7166" s="504">
        <v>0</v>
      </c>
      <c r="M7166" s="504">
        <v>0</v>
      </c>
      <c r="N7166" s="504">
        <v>0</v>
      </c>
      <c r="O7166" s="505">
        <v>16</v>
      </c>
    </row>
    <row r="7167" spans="1:15" x14ac:dyDescent="0.35">
      <c r="A7167" s="500" t="s">
        <v>1107</v>
      </c>
      <c r="B7167" s="501" t="s">
        <v>3109</v>
      </c>
      <c r="C7167" s="501" t="s">
        <v>1094</v>
      </c>
      <c r="D7167" s="501" t="s">
        <v>3380</v>
      </c>
      <c r="E7167" s="501" t="s">
        <v>3381</v>
      </c>
      <c r="F7167" s="501" t="s">
        <v>866</v>
      </c>
      <c r="G7167" s="501" t="s">
        <v>867</v>
      </c>
      <c r="H7167" s="501" t="s">
        <v>9154</v>
      </c>
      <c r="I7167" s="501">
        <v>10</v>
      </c>
      <c r="J7167" s="501">
        <v>0</v>
      </c>
      <c r="K7167" s="501">
        <v>0</v>
      </c>
      <c r="L7167" s="501">
        <v>10</v>
      </c>
      <c r="M7167" s="501">
        <v>0</v>
      </c>
      <c r="N7167" s="501">
        <v>0</v>
      </c>
      <c r="O7167" s="506">
        <v>0</v>
      </c>
    </row>
    <row r="7168" spans="1:15" x14ac:dyDescent="0.35">
      <c r="A7168" s="503" t="s">
        <v>1109</v>
      </c>
      <c r="B7168" s="504" t="s">
        <v>2959</v>
      </c>
      <c r="C7168" s="504" t="s">
        <v>1094</v>
      </c>
      <c r="D7168" s="504" t="s">
        <v>3380</v>
      </c>
      <c r="E7168" s="504" t="s">
        <v>3381</v>
      </c>
      <c r="F7168" s="504" t="s">
        <v>866</v>
      </c>
      <c r="G7168" s="504" t="s">
        <v>867</v>
      </c>
      <c r="H7168" s="504" t="s">
        <v>9155</v>
      </c>
      <c r="I7168" s="504">
        <v>118</v>
      </c>
      <c r="J7168" s="504">
        <v>0</v>
      </c>
      <c r="K7168" s="504">
        <v>0</v>
      </c>
      <c r="L7168" s="504">
        <v>0</v>
      </c>
      <c r="M7168" s="504">
        <v>118</v>
      </c>
      <c r="N7168" s="504">
        <v>0</v>
      </c>
      <c r="O7168" s="505">
        <v>0</v>
      </c>
    </row>
    <row r="7169" spans="1:15" x14ac:dyDescent="0.35">
      <c r="A7169" s="500" t="s">
        <v>1190</v>
      </c>
      <c r="B7169" s="501">
        <v>4662</v>
      </c>
      <c r="C7169" s="501" t="s">
        <v>1094</v>
      </c>
      <c r="D7169" s="501" t="s">
        <v>3380</v>
      </c>
      <c r="E7169" s="501" t="s">
        <v>3381</v>
      </c>
      <c r="F7169" s="501" t="s">
        <v>866</v>
      </c>
      <c r="G7169" s="501" t="s">
        <v>867</v>
      </c>
      <c r="H7169" s="501" t="s">
        <v>15054</v>
      </c>
      <c r="I7169" s="501">
        <v>12</v>
      </c>
      <c r="J7169" s="501">
        <v>0</v>
      </c>
      <c r="K7169" s="501">
        <v>0</v>
      </c>
      <c r="L7169" s="501">
        <v>12</v>
      </c>
      <c r="M7169" s="501">
        <v>0</v>
      </c>
      <c r="N7169" s="501">
        <v>0</v>
      </c>
      <c r="O7169" s="506">
        <v>0</v>
      </c>
    </row>
    <row r="7170" spans="1:15" x14ac:dyDescent="0.35">
      <c r="A7170" s="503" t="s">
        <v>1111</v>
      </c>
      <c r="B7170" s="504">
        <v>4873</v>
      </c>
      <c r="C7170" s="504" t="s">
        <v>1094</v>
      </c>
      <c r="D7170" s="504" t="s">
        <v>3380</v>
      </c>
      <c r="E7170" s="504" t="s">
        <v>3381</v>
      </c>
      <c r="F7170" s="504" t="s">
        <v>866</v>
      </c>
      <c r="G7170" s="504" t="s">
        <v>867</v>
      </c>
      <c r="H7170" s="504" t="s">
        <v>9156</v>
      </c>
      <c r="I7170" s="504">
        <v>1764</v>
      </c>
      <c r="J7170" s="504">
        <v>1341</v>
      </c>
      <c r="K7170" s="504">
        <v>0</v>
      </c>
      <c r="L7170" s="504">
        <v>106</v>
      </c>
      <c r="M7170" s="504">
        <v>93</v>
      </c>
      <c r="N7170" s="504">
        <v>0</v>
      </c>
      <c r="O7170" s="505">
        <v>224</v>
      </c>
    </row>
    <row r="7171" spans="1:15" x14ac:dyDescent="0.35">
      <c r="A7171" s="500" t="s">
        <v>1991</v>
      </c>
      <c r="B7171" s="501">
        <v>4844</v>
      </c>
      <c r="C7171" s="501" t="s">
        <v>1094</v>
      </c>
      <c r="D7171" s="501" t="s">
        <v>3380</v>
      </c>
      <c r="E7171" s="501" t="s">
        <v>3381</v>
      </c>
      <c r="F7171" s="501" t="s">
        <v>866</v>
      </c>
      <c r="G7171" s="501" t="s">
        <v>867</v>
      </c>
      <c r="H7171" s="501" t="s">
        <v>9157</v>
      </c>
      <c r="I7171" s="501">
        <v>2083</v>
      </c>
      <c r="J7171" s="501">
        <v>1546</v>
      </c>
      <c r="K7171" s="501">
        <v>0</v>
      </c>
      <c r="L7171" s="501">
        <v>92</v>
      </c>
      <c r="M7171" s="501">
        <v>424</v>
      </c>
      <c r="N7171" s="501">
        <v>0</v>
      </c>
      <c r="O7171" s="506">
        <v>21</v>
      </c>
    </row>
    <row r="7172" spans="1:15" x14ac:dyDescent="0.35">
      <c r="A7172" s="503" t="s">
        <v>1114</v>
      </c>
      <c r="B7172" s="504" t="s">
        <v>2982</v>
      </c>
      <c r="C7172" s="504" t="s">
        <v>1094</v>
      </c>
      <c r="D7172" s="504" t="s">
        <v>3380</v>
      </c>
      <c r="E7172" s="504" t="s">
        <v>3381</v>
      </c>
      <c r="F7172" s="504" t="s">
        <v>866</v>
      </c>
      <c r="G7172" s="504" t="s">
        <v>867</v>
      </c>
      <c r="H7172" s="504" t="s">
        <v>11861</v>
      </c>
      <c r="I7172" s="504">
        <v>1</v>
      </c>
      <c r="J7172" s="504">
        <v>0</v>
      </c>
      <c r="K7172" s="504">
        <v>0</v>
      </c>
      <c r="L7172" s="504">
        <v>0</v>
      </c>
      <c r="M7172" s="504">
        <v>0</v>
      </c>
      <c r="N7172" s="504">
        <v>0</v>
      </c>
      <c r="O7172" s="505">
        <v>1</v>
      </c>
    </row>
    <row r="7173" spans="1:15" x14ac:dyDescent="0.35">
      <c r="A7173" s="500" t="s">
        <v>2000</v>
      </c>
      <c r="B7173" s="501" t="s">
        <v>2449</v>
      </c>
      <c r="C7173" s="501" t="s">
        <v>1089</v>
      </c>
      <c r="D7173" s="501" t="s">
        <v>3392</v>
      </c>
      <c r="E7173" s="501" t="s">
        <v>3381</v>
      </c>
      <c r="F7173" s="501" t="s">
        <v>866</v>
      </c>
      <c r="G7173" s="501" t="s">
        <v>867</v>
      </c>
      <c r="H7173" s="501" t="s">
        <v>9158</v>
      </c>
      <c r="I7173" s="501">
        <v>4</v>
      </c>
      <c r="J7173" s="501">
        <v>4</v>
      </c>
      <c r="K7173" s="501">
        <v>0</v>
      </c>
      <c r="L7173" s="501">
        <v>0</v>
      </c>
      <c r="M7173" s="501">
        <v>0</v>
      </c>
      <c r="N7173" s="501">
        <v>0</v>
      </c>
      <c r="O7173" s="506">
        <v>0</v>
      </c>
    </row>
    <row r="7174" spans="1:15" x14ac:dyDescent="0.35">
      <c r="A7174" s="503" t="s">
        <v>1218</v>
      </c>
      <c r="B7174" s="504" t="s">
        <v>3147</v>
      </c>
      <c r="C7174" s="504" t="s">
        <v>1094</v>
      </c>
      <c r="D7174" s="504" t="s">
        <v>3380</v>
      </c>
      <c r="E7174" s="504" t="s">
        <v>3381</v>
      </c>
      <c r="F7174" s="504" t="s">
        <v>866</v>
      </c>
      <c r="G7174" s="504" t="s">
        <v>867</v>
      </c>
      <c r="H7174" s="504" t="s">
        <v>15055</v>
      </c>
      <c r="I7174" s="504">
        <v>6</v>
      </c>
      <c r="J7174" s="504">
        <v>0</v>
      </c>
      <c r="K7174" s="504">
        <v>0</v>
      </c>
      <c r="L7174" s="504">
        <v>0</v>
      </c>
      <c r="M7174" s="504">
        <v>0</v>
      </c>
      <c r="N7174" s="504">
        <v>0</v>
      </c>
      <c r="O7174" s="505">
        <v>6</v>
      </c>
    </row>
    <row r="7175" spans="1:15" x14ac:dyDescent="0.35">
      <c r="A7175" s="500" t="s">
        <v>1221</v>
      </c>
      <c r="B7175" s="501">
        <v>4728</v>
      </c>
      <c r="C7175" s="501" t="s">
        <v>1089</v>
      </c>
      <c r="D7175" s="501" t="s">
        <v>3392</v>
      </c>
      <c r="E7175" s="501" t="s">
        <v>3381</v>
      </c>
      <c r="F7175" s="501" t="s">
        <v>866</v>
      </c>
      <c r="G7175" s="501" t="s">
        <v>867</v>
      </c>
      <c r="H7175" s="501" t="s">
        <v>9159</v>
      </c>
      <c r="I7175" s="501">
        <v>9</v>
      </c>
      <c r="J7175" s="501">
        <v>0</v>
      </c>
      <c r="K7175" s="501">
        <v>0</v>
      </c>
      <c r="L7175" s="501">
        <v>9</v>
      </c>
      <c r="M7175" s="501">
        <v>0</v>
      </c>
      <c r="N7175" s="501">
        <v>0</v>
      </c>
      <c r="O7175" s="506">
        <v>0</v>
      </c>
    </row>
    <row r="7176" spans="1:15" x14ac:dyDescent="0.35">
      <c r="A7176" s="503" t="s">
        <v>1122</v>
      </c>
      <c r="B7176" s="504" t="s">
        <v>2994</v>
      </c>
      <c r="C7176" s="504" t="s">
        <v>1094</v>
      </c>
      <c r="D7176" s="504" t="s">
        <v>3380</v>
      </c>
      <c r="E7176" s="504" t="s">
        <v>3381</v>
      </c>
      <c r="F7176" s="504" t="s">
        <v>866</v>
      </c>
      <c r="G7176" s="504" t="s">
        <v>867</v>
      </c>
      <c r="H7176" s="504" t="s">
        <v>9160</v>
      </c>
      <c r="I7176" s="504">
        <v>9</v>
      </c>
      <c r="J7176" s="504">
        <v>9</v>
      </c>
      <c r="K7176" s="504">
        <v>0</v>
      </c>
      <c r="L7176" s="504">
        <v>0</v>
      </c>
      <c r="M7176" s="504">
        <v>0</v>
      </c>
      <c r="N7176" s="504">
        <v>0</v>
      </c>
      <c r="O7176" s="505">
        <v>0</v>
      </c>
    </row>
    <row r="7177" spans="1:15" x14ac:dyDescent="0.35">
      <c r="A7177" s="500" t="s">
        <v>1225</v>
      </c>
      <c r="B7177" s="501" t="s">
        <v>3315</v>
      </c>
      <c r="C7177" s="501" t="s">
        <v>1094</v>
      </c>
      <c r="D7177" s="501" t="s">
        <v>3380</v>
      </c>
      <c r="E7177" s="501" t="s">
        <v>3381</v>
      </c>
      <c r="F7177" s="501" t="s">
        <v>866</v>
      </c>
      <c r="G7177" s="501" t="s">
        <v>867</v>
      </c>
      <c r="H7177" s="501" t="s">
        <v>9161</v>
      </c>
      <c r="I7177" s="501">
        <v>91</v>
      </c>
      <c r="J7177" s="501">
        <v>63</v>
      </c>
      <c r="K7177" s="501">
        <v>0</v>
      </c>
      <c r="L7177" s="501">
        <v>0</v>
      </c>
      <c r="M7177" s="501">
        <v>28</v>
      </c>
      <c r="N7177" s="501">
        <v>0</v>
      </c>
      <c r="O7177" s="506">
        <v>0</v>
      </c>
    </row>
    <row r="7178" spans="1:15" x14ac:dyDescent="0.35">
      <c r="A7178" s="503" t="s">
        <v>1226</v>
      </c>
      <c r="B7178" s="504">
        <v>5084</v>
      </c>
      <c r="C7178" s="504" t="s">
        <v>1094</v>
      </c>
      <c r="D7178" s="504" t="s">
        <v>3380</v>
      </c>
      <c r="E7178" s="504" t="s">
        <v>3381</v>
      </c>
      <c r="F7178" s="504" t="s">
        <v>866</v>
      </c>
      <c r="G7178" s="504" t="s">
        <v>867</v>
      </c>
      <c r="H7178" s="504" t="s">
        <v>9162</v>
      </c>
      <c r="I7178" s="504">
        <v>1</v>
      </c>
      <c r="J7178" s="504">
        <v>0</v>
      </c>
      <c r="K7178" s="504">
        <v>0</v>
      </c>
      <c r="L7178" s="504">
        <v>0</v>
      </c>
      <c r="M7178" s="504">
        <v>0</v>
      </c>
      <c r="N7178" s="504">
        <v>0</v>
      </c>
      <c r="O7178" s="505">
        <v>1</v>
      </c>
    </row>
    <row r="7179" spans="1:15" x14ac:dyDescent="0.35">
      <c r="A7179" s="500" t="s">
        <v>1124</v>
      </c>
      <c r="B7179" s="501">
        <v>4745</v>
      </c>
      <c r="C7179" s="501" t="s">
        <v>1094</v>
      </c>
      <c r="D7179" s="501" t="s">
        <v>3380</v>
      </c>
      <c r="E7179" s="501" t="s">
        <v>3381</v>
      </c>
      <c r="F7179" s="501" t="s">
        <v>866</v>
      </c>
      <c r="G7179" s="501" t="s">
        <v>867</v>
      </c>
      <c r="H7179" s="501" t="s">
        <v>9163</v>
      </c>
      <c r="I7179" s="501">
        <v>2</v>
      </c>
      <c r="J7179" s="501">
        <v>0</v>
      </c>
      <c r="K7179" s="501">
        <v>0</v>
      </c>
      <c r="L7179" s="501">
        <v>2</v>
      </c>
      <c r="M7179" s="501">
        <v>0</v>
      </c>
      <c r="N7179" s="501">
        <v>0</v>
      </c>
      <c r="O7179" s="506">
        <v>0</v>
      </c>
    </row>
    <row r="7180" spans="1:15" x14ac:dyDescent="0.35">
      <c r="A7180" s="503" t="s">
        <v>2011</v>
      </c>
      <c r="B7180" s="504" t="s">
        <v>3322</v>
      </c>
      <c r="C7180" s="504" t="s">
        <v>1089</v>
      </c>
      <c r="D7180" s="504" t="s">
        <v>3392</v>
      </c>
      <c r="E7180" s="504" t="s">
        <v>3381</v>
      </c>
      <c r="F7180" s="504" t="s">
        <v>866</v>
      </c>
      <c r="G7180" s="504" t="s">
        <v>867</v>
      </c>
      <c r="H7180" s="504" t="s">
        <v>9165</v>
      </c>
      <c r="I7180" s="504">
        <v>98</v>
      </c>
      <c r="J7180" s="504">
        <v>98</v>
      </c>
      <c r="K7180" s="504">
        <v>0</v>
      </c>
      <c r="L7180" s="504">
        <v>0</v>
      </c>
      <c r="M7180" s="504">
        <v>0</v>
      </c>
      <c r="N7180" s="504">
        <v>0</v>
      </c>
      <c r="O7180" s="505">
        <v>0</v>
      </c>
    </row>
    <row r="7181" spans="1:15" x14ac:dyDescent="0.35">
      <c r="A7181" s="500" t="s">
        <v>1126</v>
      </c>
      <c r="B7181" s="501" t="s">
        <v>2974</v>
      </c>
      <c r="C7181" s="501" t="s">
        <v>1094</v>
      </c>
      <c r="D7181" s="501" t="s">
        <v>3380</v>
      </c>
      <c r="E7181" s="501" t="s">
        <v>3381</v>
      </c>
      <c r="F7181" s="501" t="s">
        <v>866</v>
      </c>
      <c r="G7181" s="501" t="s">
        <v>867</v>
      </c>
      <c r="H7181" s="501" t="s">
        <v>9164</v>
      </c>
      <c r="I7181" s="501">
        <v>347</v>
      </c>
      <c r="J7181" s="501">
        <v>293</v>
      </c>
      <c r="K7181" s="501">
        <v>0</v>
      </c>
      <c r="L7181" s="501">
        <v>10</v>
      </c>
      <c r="M7181" s="501">
        <v>26</v>
      </c>
      <c r="N7181" s="501">
        <v>1</v>
      </c>
      <c r="O7181" s="506">
        <v>18</v>
      </c>
    </row>
    <row r="7182" spans="1:15" x14ac:dyDescent="0.35">
      <c r="A7182" s="503" t="s">
        <v>2017</v>
      </c>
      <c r="B7182" s="504" t="s">
        <v>3101</v>
      </c>
      <c r="C7182" s="504" t="s">
        <v>1089</v>
      </c>
      <c r="D7182" s="504" t="s">
        <v>3392</v>
      </c>
      <c r="E7182" s="504" t="s">
        <v>3381</v>
      </c>
      <c r="F7182" s="504" t="s">
        <v>866</v>
      </c>
      <c r="G7182" s="504" t="s">
        <v>867</v>
      </c>
      <c r="H7182" s="504" t="s">
        <v>9166</v>
      </c>
      <c r="I7182" s="504">
        <v>60</v>
      </c>
      <c r="J7182" s="504">
        <v>60</v>
      </c>
      <c r="K7182" s="504">
        <v>0</v>
      </c>
      <c r="L7182" s="504">
        <v>0</v>
      </c>
      <c r="M7182" s="504">
        <v>0</v>
      </c>
      <c r="N7182" s="504">
        <v>0</v>
      </c>
      <c r="O7182" s="505">
        <v>0</v>
      </c>
    </row>
    <row r="7183" spans="1:15" x14ac:dyDescent="0.35">
      <c r="A7183" s="500" t="s">
        <v>1132</v>
      </c>
      <c r="B7183" s="501">
        <v>4837</v>
      </c>
      <c r="C7183" s="501" t="s">
        <v>1094</v>
      </c>
      <c r="D7183" s="501" t="s">
        <v>3380</v>
      </c>
      <c r="E7183" s="501" t="s">
        <v>3381</v>
      </c>
      <c r="F7183" s="501" t="s">
        <v>866</v>
      </c>
      <c r="G7183" s="501" t="s">
        <v>867</v>
      </c>
      <c r="H7183" s="501" t="s">
        <v>9167</v>
      </c>
      <c r="I7183" s="501">
        <v>71</v>
      </c>
      <c r="J7183" s="501">
        <v>10</v>
      </c>
      <c r="K7183" s="501">
        <v>0</v>
      </c>
      <c r="L7183" s="501">
        <v>0</v>
      </c>
      <c r="M7183" s="501">
        <v>0</v>
      </c>
      <c r="N7183" s="501">
        <v>0</v>
      </c>
      <c r="O7183" s="506">
        <v>61</v>
      </c>
    </row>
    <row r="7184" spans="1:15" x14ac:dyDescent="0.35">
      <c r="A7184" s="503" t="s">
        <v>1240</v>
      </c>
      <c r="B7184" s="504" t="s">
        <v>2972</v>
      </c>
      <c r="C7184" s="504" t="s">
        <v>1094</v>
      </c>
      <c r="D7184" s="504" t="s">
        <v>3380</v>
      </c>
      <c r="E7184" s="504" t="s">
        <v>3381</v>
      </c>
      <c r="F7184" s="504" t="s">
        <v>866</v>
      </c>
      <c r="G7184" s="504" t="s">
        <v>867</v>
      </c>
      <c r="H7184" s="504" t="s">
        <v>9168</v>
      </c>
      <c r="I7184" s="504">
        <v>8</v>
      </c>
      <c r="J7184" s="504">
        <v>8</v>
      </c>
      <c r="K7184" s="504">
        <v>0</v>
      </c>
      <c r="L7184" s="504">
        <v>0</v>
      </c>
      <c r="M7184" s="504">
        <v>0</v>
      </c>
      <c r="N7184" s="504">
        <v>0</v>
      </c>
      <c r="O7184" s="505">
        <v>0</v>
      </c>
    </row>
    <row r="7185" spans="1:15" x14ac:dyDescent="0.35">
      <c r="A7185" s="500" t="s">
        <v>1241</v>
      </c>
      <c r="B7185" s="501">
        <v>4717</v>
      </c>
      <c r="C7185" s="501" t="s">
        <v>1094</v>
      </c>
      <c r="D7185" s="501" t="s">
        <v>3380</v>
      </c>
      <c r="E7185" s="501" t="s">
        <v>3381</v>
      </c>
      <c r="F7185" s="501" t="s">
        <v>866</v>
      </c>
      <c r="G7185" s="501" t="s">
        <v>867</v>
      </c>
      <c r="H7185" s="501" t="s">
        <v>9169</v>
      </c>
      <c r="I7185" s="501">
        <v>2</v>
      </c>
      <c r="J7185" s="501">
        <v>2</v>
      </c>
      <c r="K7185" s="501">
        <v>0</v>
      </c>
      <c r="L7185" s="501">
        <v>0</v>
      </c>
      <c r="M7185" s="501">
        <v>0</v>
      </c>
      <c r="N7185" s="501">
        <v>0</v>
      </c>
      <c r="O7185" s="506">
        <v>0</v>
      </c>
    </row>
    <row r="7186" spans="1:15" x14ac:dyDescent="0.35">
      <c r="A7186" s="503" t="s">
        <v>1134</v>
      </c>
      <c r="B7186" s="504" t="s">
        <v>3066</v>
      </c>
      <c r="C7186" s="504" t="s">
        <v>1094</v>
      </c>
      <c r="D7186" s="504" t="s">
        <v>3380</v>
      </c>
      <c r="E7186" s="504" t="s">
        <v>3381</v>
      </c>
      <c r="F7186" s="504" t="s">
        <v>866</v>
      </c>
      <c r="G7186" s="504" t="s">
        <v>867</v>
      </c>
      <c r="H7186" s="504" t="s">
        <v>9170</v>
      </c>
      <c r="I7186" s="504">
        <v>206</v>
      </c>
      <c r="J7186" s="504">
        <v>163</v>
      </c>
      <c r="K7186" s="504">
        <v>0</v>
      </c>
      <c r="L7186" s="504">
        <v>0</v>
      </c>
      <c r="M7186" s="504">
        <v>0</v>
      </c>
      <c r="N7186" s="504">
        <v>0</v>
      </c>
      <c r="O7186" s="505">
        <v>43</v>
      </c>
    </row>
    <row r="7187" spans="1:15" x14ac:dyDescent="0.35">
      <c r="A7187" s="500" t="s">
        <v>1136</v>
      </c>
      <c r="B7187" s="501">
        <v>4680</v>
      </c>
      <c r="C7187" s="501" t="s">
        <v>1094</v>
      </c>
      <c r="D7187" s="501" t="s">
        <v>3380</v>
      </c>
      <c r="E7187" s="501" t="s">
        <v>3381</v>
      </c>
      <c r="F7187" s="501" t="s">
        <v>866</v>
      </c>
      <c r="G7187" s="501" t="s">
        <v>867</v>
      </c>
      <c r="H7187" s="501" t="s">
        <v>9171</v>
      </c>
      <c r="I7187" s="501">
        <v>65</v>
      </c>
      <c r="J7187" s="501">
        <v>32</v>
      </c>
      <c r="K7187" s="501">
        <v>0</v>
      </c>
      <c r="L7187" s="501">
        <v>0</v>
      </c>
      <c r="M7187" s="501">
        <v>0</v>
      </c>
      <c r="N7187" s="501">
        <v>0</v>
      </c>
      <c r="O7187" s="506">
        <v>33</v>
      </c>
    </row>
    <row r="7188" spans="1:15" x14ac:dyDescent="0.35">
      <c r="A7188" s="503" t="s">
        <v>2022</v>
      </c>
      <c r="B7188" s="504">
        <v>5059</v>
      </c>
      <c r="C7188" s="504" t="s">
        <v>1089</v>
      </c>
      <c r="D7188" s="504" t="s">
        <v>3392</v>
      </c>
      <c r="E7188" s="504" t="s">
        <v>3381</v>
      </c>
      <c r="F7188" s="504" t="s">
        <v>866</v>
      </c>
      <c r="G7188" s="504" t="s">
        <v>867</v>
      </c>
      <c r="H7188" s="504" t="s">
        <v>9172</v>
      </c>
      <c r="I7188" s="504">
        <v>66</v>
      </c>
      <c r="J7188" s="504">
        <v>0</v>
      </c>
      <c r="K7188" s="504">
        <v>0</v>
      </c>
      <c r="L7188" s="504">
        <v>0</v>
      </c>
      <c r="M7188" s="504">
        <v>66</v>
      </c>
      <c r="N7188" s="504">
        <v>0</v>
      </c>
      <c r="O7188" s="505">
        <v>0</v>
      </c>
    </row>
    <row r="7189" spans="1:15" x14ac:dyDescent="0.35">
      <c r="A7189" s="500" t="s">
        <v>1245</v>
      </c>
      <c r="B7189" s="501" t="s">
        <v>2859</v>
      </c>
      <c r="C7189" s="501" t="s">
        <v>1094</v>
      </c>
      <c r="D7189" s="501" t="s">
        <v>3380</v>
      </c>
      <c r="E7189" s="501" t="s">
        <v>3381</v>
      </c>
      <c r="F7189" s="501" t="s">
        <v>866</v>
      </c>
      <c r="G7189" s="501" t="s">
        <v>867</v>
      </c>
      <c r="H7189" s="501" t="s">
        <v>9173</v>
      </c>
      <c r="I7189" s="501">
        <v>53</v>
      </c>
      <c r="J7189" s="501">
        <v>0</v>
      </c>
      <c r="K7189" s="501">
        <v>0</v>
      </c>
      <c r="L7189" s="501">
        <v>0</v>
      </c>
      <c r="M7189" s="501">
        <v>53</v>
      </c>
      <c r="N7189" s="501">
        <v>0</v>
      </c>
      <c r="O7189" s="506">
        <v>0</v>
      </c>
    </row>
    <row r="7190" spans="1:15" x14ac:dyDescent="0.35">
      <c r="A7190" s="503" t="s">
        <v>1262</v>
      </c>
      <c r="B7190" s="504">
        <v>4772</v>
      </c>
      <c r="C7190" s="504" t="s">
        <v>1089</v>
      </c>
      <c r="D7190" s="504" t="s">
        <v>3392</v>
      </c>
      <c r="E7190" s="504" t="s">
        <v>3381</v>
      </c>
      <c r="F7190" s="504" t="s">
        <v>866</v>
      </c>
      <c r="G7190" s="504" t="s">
        <v>867</v>
      </c>
      <c r="H7190" s="504" t="s">
        <v>15056</v>
      </c>
      <c r="I7190" s="504">
        <v>4</v>
      </c>
      <c r="J7190" s="504">
        <v>0</v>
      </c>
      <c r="K7190" s="504">
        <v>0</v>
      </c>
      <c r="L7190" s="504">
        <v>4</v>
      </c>
      <c r="M7190" s="504">
        <v>0</v>
      </c>
      <c r="N7190" s="504">
        <v>0</v>
      </c>
      <c r="O7190" s="505">
        <v>0</v>
      </c>
    </row>
    <row r="7191" spans="1:15" x14ac:dyDescent="0.35">
      <c r="A7191" s="500" t="s">
        <v>1156</v>
      </c>
      <c r="B7191" s="501" t="s">
        <v>3310</v>
      </c>
      <c r="C7191" s="501" t="s">
        <v>1094</v>
      </c>
      <c r="D7191" s="501" t="s">
        <v>3380</v>
      </c>
      <c r="E7191" s="501" t="s">
        <v>3381</v>
      </c>
      <c r="F7191" s="501" t="s">
        <v>866</v>
      </c>
      <c r="G7191" s="501" t="s">
        <v>867</v>
      </c>
      <c r="H7191" s="501" t="s">
        <v>9147</v>
      </c>
      <c r="I7191" s="501">
        <v>1</v>
      </c>
      <c r="J7191" s="501">
        <v>0</v>
      </c>
      <c r="K7191" s="501">
        <v>0</v>
      </c>
      <c r="L7191" s="501">
        <v>0</v>
      </c>
      <c r="M7191" s="501">
        <v>0</v>
      </c>
      <c r="N7191" s="501">
        <v>0</v>
      </c>
      <c r="O7191" s="506">
        <v>1</v>
      </c>
    </row>
    <row r="7192" spans="1:15" x14ac:dyDescent="0.35">
      <c r="A7192" s="503" t="s">
        <v>1143</v>
      </c>
      <c r="B7192" s="504" t="s">
        <v>3281</v>
      </c>
      <c r="C7192" s="504" t="s">
        <v>1094</v>
      </c>
      <c r="D7192" s="504" t="s">
        <v>3380</v>
      </c>
      <c r="E7192" s="504" t="s">
        <v>3381</v>
      </c>
      <c r="F7192" s="504" t="s">
        <v>868</v>
      </c>
      <c r="G7192" s="504" t="s">
        <v>869</v>
      </c>
      <c r="H7192" s="504" t="s">
        <v>9174</v>
      </c>
      <c r="I7192" s="504">
        <v>336</v>
      </c>
      <c r="J7192" s="504">
        <v>238</v>
      </c>
      <c r="K7192" s="504">
        <v>0</v>
      </c>
      <c r="L7192" s="504">
        <v>0</v>
      </c>
      <c r="M7192" s="504">
        <v>0</v>
      </c>
      <c r="N7192" s="504">
        <v>0</v>
      </c>
      <c r="O7192" s="505">
        <v>98</v>
      </c>
    </row>
    <row r="7193" spans="1:15" x14ac:dyDescent="0.35">
      <c r="A7193" s="500" t="s">
        <v>1096</v>
      </c>
      <c r="B7193" s="501" t="s">
        <v>3326</v>
      </c>
      <c r="C7193" s="501" t="s">
        <v>1094</v>
      </c>
      <c r="D7193" s="501" t="s">
        <v>3380</v>
      </c>
      <c r="E7193" s="501" t="s">
        <v>3381</v>
      </c>
      <c r="F7193" s="501" t="s">
        <v>868</v>
      </c>
      <c r="G7193" s="501" t="s">
        <v>869</v>
      </c>
      <c r="H7193" s="501" t="s">
        <v>9175</v>
      </c>
      <c r="I7193" s="501">
        <v>32</v>
      </c>
      <c r="J7193" s="501">
        <v>0</v>
      </c>
      <c r="K7193" s="501">
        <v>0</v>
      </c>
      <c r="L7193" s="501">
        <v>0</v>
      </c>
      <c r="M7193" s="501">
        <v>32</v>
      </c>
      <c r="N7193" s="501">
        <v>0</v>
      </c>
      <c r="O7193" s="506">
        <v>0</v>
      </c>
    </row>
    <row r="7194" spans="1:15" x14ac:dyDescent="0.35">
      <c r="A7194" s="503" t="s">
        <v>1161</v>
      </c>
      <c r="B7194" s="504" t="s">
        <v>3001</v>
      </c>
      <c r="C7194" s="504" t="s">
        <v>1094</v>
      </c>
      <c r="D7194" s="504" t="s">
        <v>3380</v>
      </c>
      <c r="E7194" s="504" t="s">
        <v>3381</v>
      </c>
      <c r="F7194" s="504" t="s">
        <v>868</v>
      </c>
      <c r="G7194" s="504" t="s">
        <v>869</v>
      </c>
      <c r="H7194" s="504" t="s">
        <v>9177</v>
      </c>
      <c r="I7194" s="504">
        <v>56</v>
      </c>
      <c r="J7194" s="504">
        <v>48</v>
      </c>
      <c r="K7194" s="504">
        <v>0</v>
      </c>
      <c r="L7194" s="504">
        <v>0</v>
      </c>
      <c r="M7194" s="504">
        <v>0</v>
      </c>
      <c r="N7194" s="504">
        <v>0</v>
      </c>
      <c r="O7194" s="505">
        <v>8</v>
      </c>
    </row>
    <row r="7195" spans="1:15" x14ac:dyDescent="0.35">
      <c r="A7195" s="500" t="s">
        <v>1286</v>
      </c>
      <c r="B7195" s="501" t="s">
        <v>3341</v>
      </c>
      <c r="C7195" s="501" t="s">
        <v>1094</v>
      </c>
      <c r="D7195" s="501" t="s">
        <v>3380</v>
      </c>
      <c r="E7195" s="501" t="s">
        <v>3381</v>
      </c>
      <c r="F7195" s="501" t="s">
        <v>868</v>
      </c>
      <c r="G7195" s="501" t="s">
        <v>869</v>
      </c>
      <c r="H7195" s="501" t="s">
        <v>9178</v>
      </c>
      <c r="I7195" s="501">
        <v>70</v>
      </c>
      <c r="J7195" s="501">
        <v>44</v>
      </c>
      <c r="K7195" s="501">
        <v>0</v>
      </c>
      <c r="L7195" s="501">
        <v>0</v>
      </c>
      <c r="M7195" s="501">
        <v>0</v>
      </c>
      <c r="N7195" s="501">
        <v>0</v>
      </c>
      <c r="O7195" s="506">
        <v>26</v>
      </c>
    </row>
    <row r="7196" spans="1:15" x14ac:dyDescent="0.35">
      <c r="A7196" s="503" t="s">
        <v>1100</v>
      </c>
      <c r="B7196" s="504">
        <v>4865</v>
      </c>
      <c r="C7196" s="504" t="s">
        <v>1094</v>
      </c>
      <c r="D7196" s="504" t="s">
        <v>3380</v>
      </c>
      <c r="E7196" s="504" t="s">
        <v>3381</v>
      </c>
      <c r="F7196" s="504" t="s">
        <v>868</v>
      </c>
      <c r="G7196" s="504" t="s">
        <v>869</v>
      </c>
      <c r="H7196" s="504" t="s">
        <v>9179</v>
      </c>
      <c r="I7196" s="504">
        <v>659</v>
      </c>
      <c r="J7196" s="504">
        <v>527</v>
      </c>
      <c r="K7196" s="504">
        <v>0</v>
      </c>
      <c r="L7196" s="504">
        <v>9</v>
      </c>
      <c r="M7196" s="504">
        <v>0</v>
      </c>
      <c r="N7196" s="504">
        <v>0</v>
      </c>
      <c r="O7196" s="505">
        <v>123</v>
      </c>
    </row>
    <row r="7197" spans="1:15" x14ac:dyDescent="0.35">
      <c r="A7197" s="500" t="s">
        <v>1168</v>
      </c>
      <c r="B7197" s="501" t="s">
        <v>3360</v>
      </c>
      <c r="C7197" s="501" t="s">
        <v>1094</v>
      </c>
      <c r="D7197" s="501" t="s">
        <v>3380</v>
      </c>
      <c r="E7197" s="501" t="s">
        <v>3381</v>
      </c>
      <c r="F7197" s="501" t="s">
        <v>868</v>
      </c>
      <c r="G7197" s="501" t="s">
        <v>869</v>
      </c>
      <c r="H7197" s="501" t="s">
        <v>9180</v>
      </c>
      <c r="I7197" s="501">
        <v>89</v>
      </c>
      <c r="J7197" s="501">
        <v>64</v>
      </c>
      <c r="K7197" s="501">
        <v>0</v>
      </c>
      <c r="L7197" s="501">
        <v>0</v>
      </c>
      <c r="M7197" s="501">
        <v>0</v>
      </c>
      <c r="N7197" s="501">
        <v>0</v>
      </c>
      <c r="O7197" s="506">
        <v>25</v>
      </c>
    </row>
    <row r="7198" spans="1:15" x14ac:dyDescent="0.35">
      <c r="A7198" s="503" t="s">
        <v>1296</v>
      </c>
      <c r="B7198" s="504">
        <v>4651</v>
      </c>
      <c r="C7198" s="504" t="s">
        <v>1094</v>
      </c>
      <c r="D7198" s="504" t="s">
        <v>3380</v>
      </c>
      <c r="E7198" s="504" t="s">
        <v>3381</v>
      </c>
      <c r="F7198" s="504" t="s">
        <v>868</v>
      </c>
      <c r="G7198" s="504" t="s">
        <v>869</v>
      </c>
      <c r="H7198" s="504" t="s">
        <v>9181</v>
      </c>
      <c r="I7198" s="504">
        <v>409</v>
      </c>
      <c r="J7198" s="504">
        <v>269</v>
      </c>
      <c r="K7198" s="504">
        <v>0</v>
      </c>
      <c r="L7198" s="504">
        <v>0</v>
      </c>
      <c r="M7198" s="504">
        <v>15</v>
      </c>
      <c r="N7198" s="504">
        <v>0</v>
      </c>
      <c r="O7198" s="505">
        <v>125</v>
      </c>
    </row>
    <row r="7199" spans="1:15" x14ac:dyDescent="0.35">
      <c r="A7199" s="500" t="s">
        <v>1180</v>
      </c>
      <c r="B7199" s="501" t="s">
        <v>3184</v>
      </c>
      <c r="C7199" s="501" t="s">
        <v>1094</v>
      </c>
      <c r="D7199" s="501" t="s">
        <v>3380</v>
      </c>
      <c r="E7199" s="501" t="s">
        <v>3381</v>
      </c>
      <c r="F7199" s="501" t="s">
        <v>868</v>
      </c>
      <c r="G7199" s="501" t="s">
        <v>869</v>
      </c>
      <c r="H7199" s="501" t="s">
        <v>9182</v>
      </c>
      <c r="I7199" s="501">
        <v>9</v>
      </c>
      <c r="J7199" s="501">
        <v>0</v>
      </c>
      <c r="K7199" s="501">
        <v>0</v>
      </c>
      <c r="L7199" s="501">
        <v>0</v>
      </c>
      <c r="M7199" s="501">
        <v>0</v>
      </c>
      <c r="N7199" s="501">
        <v>0</v>
      </c>
      <c r="O7199" s="506">
        <v>9</v>
      </c>
    </row>
    <row r="7200" spans="1:15" x14ac:dyDescent="0.35">
      <c r="A7200" s="503" t="s">
        <v>1182</v>
      </c>
      <c r="B7200" s="504">
        <v>5060</v>
      </c>
      <c r="C7200" s="504" t="s">
        <v>1094</v>
      </c>
      <c r="D7200" s="504" t="s">
        <v>3380</v>
      </c>
      <c r="E7200" s="504" t="s">
        <v>3381</v>
      </c>
      <c r="F7200" s="504" t="s">
        <v>868</v>
      </c>
      <c r="G7200" s="504" t="s">
        <v>869</v>
      </c>
      <c r="H7200" s="504" t="s">
        <v>9183</v>
      </c>
      <c r="I7200" s="504">
        <v>3</v>
      </c>
      <c r="J7200" s="504">
        <v>3</v>
      </c>
      <c r="K7200" s="504">
        <v>0</v>
      </c>
      <c r="L7200" s="504">
        <v>0</v>
      </c>
      <c r="M7200" s="504">
        <v>0</v>
      </c>
      <c r="N7200" s="504">
        <v>0</v>
      </c>
      <c r="O7200" s="505">
        <v>0</v>
      </c>
    </row>
    <row r="7201" spans="1:15" x14ac:dyDescent="0.35">
      <c r="A7201" s="500" t="s">
        <v>1187</v>
      </c>
      <c r="B7201" s="501" t="s">
        <v>2951</v>
      </c>
      <c r="C7201" s="501" t="s">
        <v>1094</v>
      </c>
      <c r="D7201" s="501" t="s">
        <v>3380</v>
      </c>
      <c r="E7201" s="501" t="s">
        <v>3381</v>
      </c>
      <c r="F7201" s="501" t="s">
        <v>868</v>
      </c>
      <c r="G7201" s="501" t="s">
        <v>869</v>
      </c>
      <c r="H7201" s="501" t="s">
        <v>9184</v>
      </c>
      <c r="I7201" s="501">
        <v>9</v>
      </c>
      <c r="J7201" s="501">
        <v>8</v>
      </c>
      <c r="K7201" s="501">
        <v>0</v>
      </c>
      <c r="L7201" s="501">
        <v>0</v>
      </c>
      <c r="M7201" s="501">
        <v>0</v>
      </c>
      <c r="N7201" s="501">
        <v>0</v>
      </c>
      <c r="O7201" s="506">
        <v>1</v>
      </c>
    </row>
    <row r="7202" spans="1:15" x14ac:dyDescent="0.35">
      <c r="A7202" s="503" t="s">
        <v>1105</v>
      </c>
      <c r="B7202" s="504">
        <v>4668</v>
      </c>
      <c r="C7202" s="504" t="s">
        <v>1094</v>
      </c>
      <c r="D7202" s="504" t="s">
        <v>3380</v>
      </c>
      <c r="E7202" s="504" t="s">
        <v>3381</v>
      </c>
      <c r="F7202" s="504" t="s">
        <v>868</v>
      </c>
      <c r="G7202" s="504" t="s">
        <v>869</v>
      </c>
      <c r="H7202" s="504" t="s">
        <v>9185</v>
      </c>
      <c r="I7202" s="504">
        <v>30</v>
      </c>
      <c r="J7202" s="504">
        <v>0</v>
      </c>
      <c r="K7202" s="504">
        <v>0</v>
      </c>
      <c r="L7202" s="504">
        <v>0</v>
      </c>
      <c r="M7202" s="504">
        <v>0</v>
      </c>
      <c r="N7202" s="504">
        <v>0</v>
      </c>
      <c r="O7202" s="505">
        <v>30</v>
      </c>
    </row>
    <row r="7203" spans="1:15" x14ac:dyDescent="0.35">
      <c r="A7203" s="500" t="s">
        <v>1306</v>
      </c>
      <c r="B7203" s="501" t="s">
        <v>3005</v>
      </c>
      <c r="C7203" s="501" t="s">
        <v>1094</v>
      </c>
      <c r="D7203" s="501" t="s">
        <v>3380</v>
      </c>
      <c r="E7203" s="501" t="s">
        <v>3381</v>
      </c>
      <c r="F7203" s="501" t="s">
        <v>868</v>
      </c>
      <c r="G7203" s="501" t="s">
        <v>869</v>
      </c>
      <c r="H7203" s="501" t="s">
        <v>9186</v>
      </c>
      <c r="I7203" s="501">
        <v>248</v>
      </c>
      <c r="J7203" s="501">
        <v>191</v>
      </c>
      <c r="K7203" s="501">
        <v>0</v>
      </c>
      <c r="L7203" s="501">
        <v>0</v>
      </c>
      <c r="M7203" s="501">
        <v>0</v>
      </c>
      <c r="N7203" s="501">
        <v>0</v>
      </c>
      <c r="O7203" s="506">
        <v>57</v>
      </c>
    </row>
    <row r="7204" spans="1:15" x14ac:dyDescent="0.35">
      <c r="A7204" s="503" t="s">
        <v>1202</v>
      </c>
      <c r="B7204" s="504" t="s">
        <v>3217</v>
      </c>
      <c r="C7204" s="504" t="s">
        <v>1094</v>
      </c>
      <c r="D7204" s="504" t="s">
        <v>3380</v>
      </c>
      <c r="E7204" s="504" t="s">
        <v>3381</v>
      </c>
      <c r="F7204" s="504" t="s">
        <v>868</v>
      </c>
      <c r="G7204" s="504" t="s">
        <v>869</v>
      </c>
      <c r="H7204" s="504" t="s">
        <v>11844</v>
      </c>
      <c r="I7204" s="504">
        <v>55</v>
      </c>
      <c r="J7204" s="504">
        <v>17</v>
      </c>
      <c r="K7204" s="504">
        <v>0</v>
      </c>
      <c r="L7204" s="504">
        <v>0</v>
      </c>
      <c r="M7204" s="504">
        <v>0</v>
      </c>
      <c r="N7204" s="504">
        <v>0</v>
      </c>
      <c r="O7204" s="505">
        <v>38</v>
      </c>
    </row>
    <row r="7205" spans="1:15" x14ac:dyDescent="0.35">
      <c r="A7205" s="500" t="s">
        <v>1203</v>
      </c>
      <c r="B7205" s="501" t="s">
        <v>3170</v>
      </c>
      <c r="C7205" s="501" t="s">
        <v>1094</v>
      </c>
      <c r="D7205" s="501" t="s">
        <v>3380</v>
      </c>
      <c r="E7205" s="501" t="s">
        <v>3381</v>
      </c>
      <c r="F7205" s="501" t="s">
        <v>868</v>
      </c>
      <c r="G7205" s="501" t="s">
        <v>869</v>
      </c>
      <c r="H7205" s="501" t="s">
        <v>9187</v>
      </c>
      <c r="I7205" s="501">
        <v>51</v>
      </c>
      <c r="J7205" s="501">
        <v>38</v>
      </c>
      <c r="K7205" s="501">
        <v>0</v>
      </c>
      <c r="L7205" s="501">
        <v>0</v>
      </c>
      <c r="M7205" s="501">
        <v>0</v>
      </c>
      <c r="N7205" s="501">
        <v>0</v>
      </c>
      <c r="O7205" s="506">
        <v>13</v>
      </c>
    </row>
    <row r="7206" spans="1:15" x14ac:dyDescent="0.35">
      <c r="A7206" s="503" t="s">
        <v>1112</v>
      </c>
      <c r="B7206" s="504" t="s">
        <v>3008</v>
      </c>
      <c r="C7206" s="504" t="s">
        <v>1094</v>
      </c>
      <c r="D7206" s="504" t="s">
        <v>3380</v>
      </c>
      <c r="E7206" s="504" t="s">
        <v>3381</v>
      </c>
      <c r="F7206" s="504" t="s">
        <v>868</v>
      </c>
      <c r="G7206" s="504" t="s">
        <v>869</v>
      </c>
      <c r="H7206" s="504" t="s">
        <v>9188</v>
      </c>
      <c r="I7206" s="504">
        <v>831</v>
      </c>
      <c r="J7206" s="504">
        <v>674</v>
      </c>
      <c r="K7206" s="504">
        <v>0</v>
      </c>
      <c r="L7206" s="504">
        <v>43</v>
      </c>
      <c r="M7206" s="504">
        <v>0</v>
      </c>
      <c r="N7206" s="504">
        <v>4</v>
      </c>
      <c r="O7206" s="505">
        <v>114</v>
      </c>
    </row>
    <row r="7207" spans="1:15" x14ac:dyDescent="0.35">
      <c r="A7207" s="500" t="s">
        <v>1218</v>
      </c>
      <c r="B7207" s="501" t="s">
        <v>3147</v>
      </c>
      <c r="C7207" s="501" t="s">
        <v>1094</v>
      </c>
      <c r="D7207" s="501" t="s">
        <v>3380</v>
      </c>
      <c r="E7207" s="501" t="s">
        <v>3381</v>
      </c>
      <c r="F7207" s="501" t="s">
        <v>868</v>
      </c>
      <c r="G7207" s="501" t="s">
        <v>869</v>
      </c>
      <c r="H7207" s="501" t="s">
        <v>9189</v>
      </c>
      <c r="I7207" s="501">
        <v>11</v>
      </c>
      <c r="J7207" s="501">
        <v>0</v>
      </c>
      <c r="K7207" s="501">
        <v>0</v>
      </c>
      <c r="L7207" s="501">
        <v>0</v>
      </c>
      <c r="M7207" s="501">
        <v>0</v>
      </c>
      <c r="N7207" s="501">
        <v>0</v>
      </c>
      <c r="O7207" s="506">
        <v>11</v>
      </c>
    </row>
    <row r="7208" spans="1:15" x14ac:dyDescent="0.35">
      <c r="A7208" s="503" t="s">
        <v>11367</v>
      </c>
      <c r="B7208" s="504" t="s">
        <v>3143</v>
      </c>
      <c r="C7208" s="504" t="s">
        <v>1094</v>
      </c>
      <c r="D7208" s="504" t="s">
        <v>3380</v>
      </c>
      <c r="E7208" s="504" t="s">
        <v>3381</v>
      </c>
      <c r="F7208" s="504" t="s">
        <v>868</v>
      </c>
      <c r="G7208" s="504" t="s">
        <v>869</v>
      </c>
      <c r="H7208" s="504" t="s">
        <v>11951</v>
      </c>
      <c r="I7208" s="504">
        <v>8</v>
      </c>
      <c r="J7208" s="504">
        <v>8</v>
      </c>
      <c r="K7208" s="504">
        <v>0</v>
      </c>
      <c r="L7208" s="504">
        <v>0</v>
      </c>
      <c r="M7208" s="504">
        <v>0</v>
      </c>
      <c r="N7208" s="504">
        <v>0</v>
      </c>
      <c r="O7208" s="505">
        <v>0</v>
      </c>
    </row>
    <row r="7209" spans="1:15" x14ac:dyDescent="0.35">
      <c r="A7209" s="500" t="s">
        <v>1327</v>
      </c>
      <c r="B7209" s="501" t="s">
        <v>3330</v>
      </c>
      <c r="C7209" s="501" t="s">
        <v>1094</v>
      </c>
      <c r="D7209" s="501" t="s">
        <v>3380</v>
      </c>
      <c r="E7209" s="501" t="s">
        <v>3381</v>
      </c>
      <c r="F7209" s="501" t="s">
        <v>868</v>
      </c>
      <c r="G7209" s="501" t="s">
        <v>869</v>
      </c>
      <c r="H7209" s="501" t="s">
        <v>9190</v>
      </c>
      <c r="I7209" s="501">
        <v>20</v>
      </c>
      <c r="J7209" s="501">
        <v>10</v>
      </c>
      <c r="K7209" s="501">
        <v>0</v>
      </c>
      <c r="L7209" s="501">
        <v>0</v>
      </c>
      <c r="M7209" s="501">
        <v>0</v>
      </c>
      <c r="N7209" s="501">
        <v>0</v>
      </c>
      <c r="O7209" s="506">
        <v>10</v>
      </c>
    </row>
    <row r="7210" spans="1:15" x14ac:dyDescent="0.35">
      <c r="A7210" s="503" t="s">
        <v>1122</v>
      </c>
      <c r="B7210" s="504" t="s">
        <v>2994</v>
      </c>
      <c r="C7210" s="504" t="s">
        <v>1094</v>
      </c>
      <c r="D7210" s="504" t="s">
        <v>3380</v>
      </c>
      <c r="E7210" s="504" t="s">
        <v>3381</v>
      </c>
      <c r="F7210" s="504" t="s">
        <v>868</v>
      </c>
      <c r="G7210" s="504" t="s">
        <v>869</v>
      </c>
      <c r="H7210" s="504" t="s">
        <v>9191</v>
      </c>
      <c r="I7210" s="504">
        <v>127</v>
      </c>
      <c r="J7210" s="504">
        <v>78</v>
      </c>
      <c r="K7210" s="504">
        <v>0</v>
      </c>
      <c r="L7210" s="504">
        <v>0</v>
      </c>
      <c r="M7210" s="504">
        <v>0</v>
      </c>
      <c r="N7210" s="504">
        <v>0</v>
      </c>
      <c r="O7210" s="505">
        <v>49</v>
      </c>
    </row>
    <row r="7211" spans="1:15" x14ac:dyDescent="0.35">
      <c r="A7211" s="500" t="s">
        <v>1339</v>
      </c>
      <c r="B7211" s="501" t="s">
        <v>3358</v>
      </c>
      <c r="C7211" s="501" t="s">
        <v>1094</v>
      </c>
      <c r="D7211" s="501" t="s">
        <v>3380</v>
      </c>
      <c r="E7211" s="501" t="s">
        <v>3381</v>
      </c>
      <c r="F7211" s="501" t="s">
        <v>868</v>
      </c>
      <c r="G7211" s="501" t="s">
        <v>869</v>
      </c>
      <c r="H7211" s="501" t="s">
        <v>12006</v>
      </c>
      <c r="I7211" s="501">
        <v>1</v>
      </c>
      <c r="J7211" s="501">
        <v>0</v>
      </c>
      <c r="K7211" s="501">
        <v>0</v>
      </c>
      <c r="L7211" s="501">
        <v>0</v>
      </c>
      <c r="M7211" s="501">
        <v>0</v>
      </c>
      <c r="N7211" s="501">
        <v>0</v>
      </c>
      <c r="O7211" s="506">
        <v>1</v>
      </c>
    </row>
    <row r="7212" spans="1:15" x14ac:dyDescent="0.35">
      <c r="A7212" s="503" t="s">
        <v>1233</v>
      </c>
      <c r="B7212" s="504">
        <v>4636</v>
      </c>
      <c r="C7212" s="504" t="s">
        <v>1094</v>
      </c>
      <c r="D7212" s="504" t="s">
        <v>3380</v>
      </c>
      <c r="E7212" s="504" t="s">
        <v>3381</v>
      </c>
      <c r="F7212" s="504" t="s">
        <v>868</v>
      </c>
      <c r="G7212" s="504" t="s">
        <v>869</v>
      </c>
      <c r="H7212" s="504" t="s">
        <v>9192</v>
      </c>
      <c r="I7212" s="504">
        <v>12</v>
      </c>
      <c r="J7212" s="504">
        <v>0</v>
      </c>
      <c r="K7212" s="504">
        <v>0</v>
      </c>
      <c r="L7212" s="504">
        <v>0</v>
      </c>
      <c r="M7212" s="504">
        <v>0</v>
      </c>
      <c r="N7212" s="504">
        <v>0</v>
      </c>
      <c r="O7212" s="505">
        <v>12</v>
      </c>
    </row>
    <row r="7213" spans="1:15" x14ac:dyDescent="0.35">
      <c r="A7213" s="500" t="s">
        <v>11368</v>
      </c>
      <c r="B7213" s="501">
        <v>5083</v>
      </c>
      <c r="C7213" s="501" t="s">
        <v>1094</v>
      </c>
      <c r="D7213" s="501" t="s">
        <v>3380</v>
      </c>
      <c r="E7213" s="501" t="s">
        <v>3381</v>
      </c>
      <c r="F7213" s="501" t="s">
        <v>868</v>
      </c>
      <c r="G7213" s="501" t="s">
        <v>869</v>
      </c>
      <c r="H7213" s="501" t="s">
        <v>12074</v>
      </c>
      <c r="I7213" s="501">
        <v>24</v>
      </c>
      <c r="J7213" s="501">
        <v>24</v>
      </c>
      <c r="K7213" s="501">
        <v>0</v>
      </c>
      <c r="L7213" s="501">
        <v>0</v>
      </c>
      <c r="M7213" s="501">
        <v>0</v>
      </c>
      <c r="N7213" s="501">
        <v>0</v>
      </c>
      <c r="O7213" s="506">
        <v>0</v>
      </c>
    </row>
    <row r="7214" spans="1:15" x14ac:dyDescent="0.35">
      <c r="A7214" s="503" t="s">
        <v>1235</v>
      </c>
      <c r="B7214" s="504">
        <v>4684</v>
      </c>
      <c r="C7214" s="504" t="s">
        <v>1094</v>
      </c>
      <c r="D7214" s="504" t="s">
        <v>3380</v>
      </c>
      <c r="E7214" s="504" t="s">
        <v>3381</v>
      </c>
      <c r="F7214" s="504" t="s">
        <v>868</v>
      </c>
      <c r="G7214" s="504" t="s">
        <v>869</v>
      </c>
      <c r="H7214" s="504" t="s">
        <v>9193</v>
      </c>
      <c r="I7214" s="504">
        <v>57</v>
      </c>
      <c r="J7214" s="504">
        <v>17</v>
      </c>
      <c r="K7214" s="504">
        <v>0</v>
      </c>
      <c r="L7214" s="504">
        <v>30</v>
      </c>
      <c r="M7214" s="504">
        <v>0</v>
      </c>
      <c r="N7214" s="504">
        <v>0</v>
      </c>
      <c r="O7214" s="505">
        <v>10</v>
      </c>
    </row>
    <row r="7215" spans="1:15" x14ac:dyDescent="0.35">
      <c r="A7215" s="500" t="s">
        <v>1126</v>
      </c>
      <c r="B7215" s="501" t="s">
        <v>2974</v>
      </c>
      <c r="C7215" s="501" t="s">
        <v>1094</v>
      </c>
      <c r="D7215" s="501" t="s">
        <v>3380</v>
      </c>
      <c r="E7215" s="501" t="s">
        <v>3381</v>
      </c>
      <c r="F7215" s="501" t="s">
        <v>868</v>
      </c>
      <c r="G7215" s="501" t="s">
        <v>869</v>
      </c>
      <c r="H7215" s="501" t="s">
        <v>9194</v>
      </c>
      <c r="I7215" s="501">
        <v>90</v>
      </c>
      <c r="J7215" s="501">
        <v>12</v>
      </c>
      <c r="K7215" s="501">
        <v>0</v>
      </c>
      <c r="L7215" s="501">
        <v>4</v>
      </c>
      <c r="M7215" s="501">
        <v>74</v>
      </c>
      <c r="N7215" s="501">
        <v>0</v>
      </c>
      <c r="O7215" s="506">
        <v>0</v>
      </c>
    </row>
    <row r="7216" spans="1:15" x14ac:dyDescent="0.35">
      <c r="A7216" s="503" t="s">
        <v>1341</v>
      </c>
      <c r="B7216" s="504" t="s">
        <v>3183</v>
      </c>
      <c r="C7216" s="504" t="s">
        <v>1094</v>
      </c>
      <c r="D7216" s="504" t="s">
        <v>3380</v>
      </c>
      <c r="E7216" s="504" t="s">
        <v>3381</v>
      </c>
      <c r="F7216" s="504" t="s">
        <v>868</v>
      </c>
      <c r="G7216" s="504" t="s">
        <v>869</v>
      </c>
      <c r="H7216" s="504" t="s">
        <v>15057</v>
      </c>
      <c r="I7216" s="504">
        <v>5</v>
      </c>
      <c r="J7216" s="504">
        <v>4</v>
      </c>
      <c r="K7216" s="504">
        <v>0</v>
      </c>
      <c r="L7216" s="504">
        <v>0</v>
      </c>
      <c r="M7216" s="504">
        <v>0</v>
      </c>
      <c r="N7216" s="504">
        <v>0</v>
      </c>
      <c r="O7216" s="505">
        <v>1</v>
      </c>
    </row>
    <row r="7217" spans="1:15" x14ac:dyDescent="0.35">
      <c r="A7217" s="500" t="s">
        <v>1240</v>
      </c>
      <c r="B7217" s="501" t="s">
        <v>2972</v>
      </c>
      <c r="C7217" s="501" t="s">
        <v>1094</v>
      </c>
      <c r="D7217" s="501" t="s">
        <v>3380</v>
      </c>
      <c r="E7217" s="501" t="s">
        <v>3381</v>
      </c>
      <c r="F7217" s="501" t="s">
        <v>868</v>
      </c>
      <c r="G7217" s="501" t="s">
        <v>869</v>
      </c>
      <c r="H7217" s="501" t="s">
        <v>9195</v>
      </c>
      <c r="I7217" s="501">
        <v>45</v>
      </c>
      <c r="J7217" s="501">
        <v>37</v>
      </c>
      <c r="K7217" s="501">
        <v>0</v>
      </c>
      <c r="L7217" s="501">
        <v>0</v>
      </c>
      <c r="M7217" s="501">
        <v>0</v>
      </c>
      <c r="N7217" s="501">
        <v>0</v>
      </c>
      <c r="O7217" s="506">
        <v>8</v>
      </c>
    </row>
    <row r="7218" spans="1:15" x14ac:dyDescent="0.35">
      <c r="A7218" s="503" t="s">
        <v>1134</v>
      </c>
      <c r="B7218" s="504" t="s">
        <v>3066</v>
      </c>
      <c r="C7218" s="504" t="s">
        <v>1094</v>
      </c>
      <c r="D7218" s="504" t="s">
        <v>3380</v>
      </c>
      <c r="E7218" s="504" t="s">
        <v>3381</v>
      </c>
      <c r="F7218" s="504" t="s">
        <v>868</v>
      </c>
      <c r="G7218" s="504" t="s">
        <v>869</v>
      </c>
      <c r="H7218" s="504" t="s">
        <v>9196</v>
      </c>
      <c r="I7218" s="504">
        <v>31</v>
      </c>
      <c r="J7218" s="504">
        <v>17</v>
      </c>
      <c r="K7218" s="504">
        <v>0</v>
      </c>
      <c r="L7218" s="504">
        <v>0</v>
      </c>
      <c r="M7218" s="504">
        <v>0</v>
      </c>
      <c r="N7218" s="504">
        <v>0</v>
      </c>
      <c r="O7218" s="505">
        <v>14</v>
      </c>
    </row>
    <row r="7219" spans="1:15" x14ac:dyDescent="0.35">
      <c r="A7219" s="500" t="s">
        <v>1356</v>
      </c>
      <c r="B7219" s="501" t="s">
        <v>3026</v>
      </c>
      <c r="C7219" s="501" t="s">
        <v>1094</v>
      </c>
      <c r="D7219" s="501" t="s">
        <v>3380</v>
      </c>
      <c r="E7219" s="501" t="s">
        <v>3381</v>
      </c>
      <c r="F7219" s="501" t="s">
        <v>868</v>
      </c>
      <c r="G7219" s="501" t="s">
        <v>869</v>
      </c>
      <c r="H7219" s="501" t="s">
        <v>9197</v>
      </c>
      <c r="I7219" s="501">
        <v>852</v>
      </c>
      <c r="J7219" s="501">
        <v>591</v>
      </c>
      <c r="K7219" s="501">
        <v>0</v>
      </c>
      <c r="L7219" s="501">
        <v>0</v>
      </c>
      <c r="M7219" s="501">
        <v>60</v>
      </c>
      <c r="N7219" s="501">
        <v>0</v>
      </c>
      <c r="O7219" s="506">
        <v>201</v>
      </c>
    </row>
    <row r="7220" spans="1:15" x14ac:dyDescent="0.35">
      <c r="A7220" s="503" t="s">
        <v>1357</v>
      </c>
      <c r="B7220" s="504" t="s">
        <v>3013</v>
      </c>
      <c r="C7220" s="504" t="s">
        <v>1089</v>
      </c>
      <c r="D7220" s="504" t="s">
        <v>3392</v>
      </c>
      <c r="E7220" s="504" t="s">
        <v>3381</v>
      </c>
      <c r="F7220" s="504" t="s">
        <v>868</v>
      </c>
      <c r="G7220" s="504" t="s">
        <v>869</v>
      </c>
      <c r="H7220" s="504" t="s">
        <v>9198</v>
      </c>
      <c r="I7220" s="504">
        <v>55</v>
      </c>
      <c r="J7220" s="504">
        <v>55</v>
      </c>
      <c r="K7220" s="504">
        <v>0</v>
      </c>
      <c r="L7220" s="504">
        <v>0</v>
      </c>
      <c r="M7220" s="504">
        <v>0</v>
      </c>
      <c r="N7220" s="504">
        <v>0</v>
      </c>
      <c r="O7220" s="505">
        <v>0</v>
      </c>
    </row>
    <row r="7221" spans="1:15" x14ac:dyDescent="0.35">
      <c r="A7221" s="500" t="s">
        <v>1249</v>
      </c>
      <c r="B7221" s="501">
        <v>4729</v>
      </c>
      <c r="C7221" s="501" t="s">
        <v>1094</v>
      </c>
      <c r="D7221" s="501" t="s">
        <v>3380</v>
      </c>
      <c r="E7221" s="501" t="s">
        <v>3381</v>
      </c>
      <c r="F7221" s="501" t="s">
        <v>868</v>
      </c>
      <c r="G7221" s="501" t="s">
        <v>869</v>
      </c>
      <c r="H7221" s="501" t="s">
        <v>9199</v>
      </c>
      <c r="I7221" s="501">
        <v>34</v>
      </c>
      <c r="J7221" s="501">
        <v>32</v>
      </c>
      <c r="K7221" s="501">
        <v>0</v>
      </c>
      <c r="L7221" s="501">
        <v>0</v>
      </c>
      <c r="M7221" s="501">
        <v>0</v>
      </c>
      <c r="N7221" s="501">
        <v>0</v>
      </c>
      <c r="O7221" s="506">
        <v>2</v>
      </c>
    </row>
    <row r="7222" spans="1:15" x14ac:dyDescent="0.35">
      <c r="A7222" s="503" t="s">
        <v>1360</v>
      </c>
      <c r="B7222" s="504" t="s">
        <v>3350</v>
      </c>
      <c r="C7222" s="504" t="s">
        <v>1094</v>
      </c>
      <c r="D7222" s="504" t="s">
        <v>3380</v>
      </c>
      <c r="E7222" s="504" t="s">
        <v>3381</v>
      </c>
      <c r="F7222" s="504" t="s">
        <v>868</v>
      </c>
      <c r="G7222" s="504" t="s">
        <v>869</v>
      </c>
      <c r="H7222" s="504" t="s">
        <v>9200</v>
      </c>
      <c r="I7222" s="504">
        <v>6</v>
      </c>
      <c r="J7222" s="504">
        <v>4</v>
      </c>
      <c r="K7222" s="504">
        <v>0</v>
      </c>
      <c r="L7222" s="504">
        <v>0</v>
      </c>
      <c r="M7222" s="504">
        <v>0</v>
      </c>
      <c r="N7222" s="504">
        <v>0</v>
      </c>
      <c r="O7222" s="505">
        <v>2</v>
      </c>
    </row>
    <row r="7223" spans="1:15" x14ac:dyDescent="0.35">
      <c r="A7223" s="500" t="s">
        <v>1364</v>
      </c>
      <c r="B7223" s="501" t="s">
        <v>3277</v>
      </c>
      <c r="C7223" s="501" t="s">
        <v>1089</v>
      </c>
      <c r="D7223" s="501" t="s">
        <v>3392</v>
      </c>
      <c r="E7223" s="501" t="s">
        <v>3381</v>
      </c>
      <c r="F7223" s="501" t="s">
        <v>868</v>
      </c>
      <c r="G7223" s="501" t="s">
        <v>869</v>
      </c>
      <c r="H7223" s="501" t="s">
        <v>9201</v>
      </c>
      <c r="I7223" s="501">
        <v>427</v>
      </c>
      <c r="J7223" s="501">
        <v>172</v>
      </c>
      <c r="K7223" s="501">
        <v>0</v>
      </c>
      <c r="L7223" s="501">
        <v>255</v>
      </c>
      <c r="M7223" s="501">
        <v>0</v>
      </c>
      <c r="N7223" s="501">
        <v>9</v>
      </c>
      <c r="O7223" s="506">
        <v>0</v>
      </c>
    </row>
    <row r="7224" spans="1:15" x14ac:dyDescent="0.35">
      <c r="A7224" s="503" t="s">
        <v>1253</v>
      </c>
      <c r="B7224" s="504" t="s">
        <v>3232</v>
      </c>
      <c r="C7224" s="504" t="s">
        <v>1094</v>
      </c>
      <c r="D7224" s="504" t="s">
        <v>3380</v>
      </c>
      <c r="E7224" s="504" t="s">
        <v>3381</v>
      </c>
      <c r="F7224" s="504" t="s">
        <v>868</v>
      </c>
      <c r="G7224" s="504" t="s">
        <v>869</v>
      </c>
      <c r="H7224" s="504" t="s">
        <v>9202</v>
      </c>
      <c r="I7224" s="504">
        <v>12</v>
      </c>
      <c r="J7224" s="504">
        <v>12</v>
      </c>
      <c r="K7224" s="504">
        <v>0</v>
      </c>
      <c r="L7224" s="504">
        <v>0</v>
      </c>
      <c r="M7224" s="504">
        <v>0</v>
      </c>
      <c r="N7224" s="504">
        <v>0</v>
      </c>
      <c r="O7224" s="505">
        <v>0</v>
      </c>
    </row>
    <row r="7225" spans="1:15" x14ac:dyDescent="0.35">
      <c r="A7225" s="500" t="s">
        <v>1156</v>
      </c>
      <c r="B7225" s="501" t="s">
        <v>3310</v>
      </c>
      <c r="C7225" s="501" t="s">
        <v>1094</v>
      </c>
      <c r="D7225" s="501" t="s">
        <v>3380</v>
      </c>
      <c r="E7225" s="501" t="s">
        <v>3381</v>
      </c>
      <c r="F7225" s="501" t="s">
        <v>868</v>
      </c>
      <c r="G7225" s="501" t="s">
        <v>869</v>
      </c>
      <c r="H7225" s="501" t="s">
        <v>9176</v>
      </c>
      <c r="I7225" s="501">
        <v>1053</v>
      </c>
      <c r="J7225" s="501">
        <v>611</v>
      </c>
      <c r="K7225" s="501">
        <v>0</v>
      </c>
      <c r="L7225" s="501">
        <v>16</v>
      </c>
      <c r="M7225" s="501">
        <v>25</v>
      </c>
      <c r="N7225" s="501">
        <v>0</v>
      </c>
      <c r="O7225" s="506">
        <v>401</v>
      </c>
    </row>
    <row r="7226" spans="1:15" x14ac:dyDescent="0.35">
      <c r="A7226" s="503" t="s">
        <v>1153</v>
      </c>
      <c r="B7226" s="504" t="s">
        <v>2610</v>
      </c>
      <c r="C7226" s="504" t="s">
        <v>1089</v>
      </c>
      <c r="D7226" s="504" t="s">
        <v>3392</v>
      </c>
      <c r="E7226" s="504" t="s">
        <v>3381</v>
      </c>
      <c r="F7226" s="504" t="s">
        <v>870</v>
      </c>
      <c r="G7226" s="504" t="s">
        <v>871</v>
      </c>
      <c r="H7226" s="504" t="s">
        <v>9203</v>
      </c>
      <c r="I7226" s="504">
        <v>3</v>
      </c>
      <c r="J7226" s="504">
        <v>3</v>
      </c>
      <c r="K7226" s="504">
        <v>0</v>
      </c>
      <c r="L7226" s="504">
        <v>0</v>
      </c>
      <c r="M7226" s="504">
        <v>0</v>
      </c>
      <c r="N7226" s="504">
        <v>0</v>
      </c>
      <c r="O7226" s="505">
        <v>0</v>
      </c>
    </row>
    <row r="7227" spans="1:15" x14ac:dyDescent="0.35">
      <c r="A7227" s="500" t="s">
        <v>11363</v>
      </c>
      <c r="B7227" s="501">
        <v>4718</v>
      </c>
      <c r="C7227" s="501" t="s">
        <v>1094</v>
      </c>
      <c r="D7227" s="501" t="s">
        <v>3380</v>
      </c>
      <c r="E7227" s="501" t="s">
        <v>3381</v>
      </c>
      <c r="F7227" s="501" t="s">
        <v>870</v>
      </c>
      <c r="G7227" s="501" t="s">
        <v>871</v>
      </c>
      <c r="H7227" s="501" t="s">
        <v>11586</v>
      </c>
      <c r="I7227" s="501">
        <v>3</v>
      </c>
      <c r="J7227" s="501">
        <v>0</v>
      </c>
      <c r="K7227" s="501">
        <v>0</v>
      </c>
      <c r="L7227" s="501">
        <v>3</v>
      </c>
      <c r="M7227" s="501">
        <v>0</v>
      </c>
      <c r="N7227" s="501">
        <v>0</v>
      </c>
      <c r="O7227" s="506">
        <v>0</v>
      </c>
    </row>
    <row r="7228" spans="1:15" x14ac:dyDescent="0.35">
      <c r="A7228" s="503" t="s">
        <v>1171</v>
      </c>
      <c r="B7228" s="504" t="s">
        <v>3003</v>
      </c>
      <c r="C7228" s="504" t="s">
        <v>1094</v>
      </c>
      <c r="D7228" s="504" t="s">
        <v>3380</v>
      </c>
      <c r="E7228" s="504" t="s">
        <v>3381</v>
      </c>
      <c r="F7228" s="504" t="s">
        <v>870</v>
      </c>
      <c r="G7228" s="504" t="s">
        <v>871</v>
      </c>
      <c r="H7228" s="504" t="s">
        <v>9204</v>
      </c>
      <c r="I7228" s="504">
        <v>497</v>
      </c>
      <c r="J7228" s="504">
        <v>403</v>
      </c>
      <c r="K7228" s="504">
        <v>0</v>
      </c>
      <c r="L7228" s="504">
        <v>0</v>
      </c>
      <c r="M7228" s="504">
        <v>0</v>
      </c>
      <c r="N7228" s="504">
        <v>0</v>
      </c>
      <c r="O7228" s="505">
        <v>94</v>
      </c>
    </row>
    <row r="7229" spans="1:15" x14ac:dyDescent="0.35">
      <c r="A7229" s="500" t="s">
        <v>1173</v>
      </c>
      <c r="B7229" s="501">
        <v>4775</v>
      </c>
      <c r="C7229" s="501" t="s">
        <v>1094</v>
      </c>
      <c r="D7229" s="501" t="s">
        <v>3380</v>
      </c>
      <c r="E7229" s="501" t="s">
        <v>3381</v>
      </c>
      <c r="F7229" s="501" t="s">
        <v>870</v>
      </c>
      <c r="G7229" s="501" t="s">
        <v>871</v>
      </c>
      <c r="H7229" s="501" t="s">
        <v>9205</v>
      </c>
      <c r="I7229" s="501">
        <v>323</v>
      </c>
      <c r="J7229" s="501">
        <v>260</v>
      </c>
      <c r="K7229" s="501">
        <v>0</v>
      </c>
      <c r="L7229" s="501">
        <v>0</v>
      </c>
      <c r="M7229" s="501">
        <v>5</v>
      </c>
      <c r="N7229" s="501">
        <v>0</v>
      </c>
      <c r="O7229" s="506">
        <v>58</v>
      </c>
    </row>
    <row r="7230" spans="1:15" x14ac:dyDescent="0.35">
      <c r="A7230" s="503" t="s">
        <v>1102</v>
      </c>
      <c r="B7230" s="504">
        <v>4663</v>
      </c>
      <c r="C7230" s="504" t="s">
        <v>1089</v>
      </c>
      <c r="D7230" s="504" t="s">
        <v>3392</v>
      </c>
      <c r="E7230" s="504" t="s">
        <v>3381</v>
      </c>
      <c r="F7230" s="504" t="s">
        <v>870</v>
      </c>
      <c r="G7230" s="504" t="s">
        <v>871</v>
      </c>
      <c r="H7230" s="504" t="s">
        <v>9206</v>
      </c>
      <c r="I7230" s="504">
        <v>6</v>
      </c>
      <c r="J7230" s="504">
        <v>0</v>
      </c>
      <c r="K7230" s="504">
        <v>0</v>
      </c>
      <c r="L7230" s="504">
        <v>6</v>
      </c>
      <c r="M7230" s="504">
        <v>0</v>
      </c>
      <c r="N7230" s="504">
        <v>0</v>
      </c>
      <c r="O7230" s="505">
        <v>0</v>
      </c>
    </row>
    <row r="7231" spans="1:15" x14ac:dyDescent="0.35">
      <c r="A7231" s="500" t="s">
        <v>1178</v>
      </c>
      <c r="B7231" s="501" t="s">
        <v>3334</v>
      </c>
      <c r="C7231" s="501" t="s">
        <v>1094</v>
      </c>
      <c r="D7231" s="501" t="s">
        <v>3380</v>
      </c>
      <c r="E7231" s="501" t="s">
        <v>3381</v>
      </c>
      <c r="F7231" s="501" t="s">
        <v>870</v>
      </c>
      <c r="G7231" s="501" t="s">
        <v>871</v>
      </c>
      <c r="H7231" s="501" t="s">
        <v>9207</v>
      </c>
      <c r="I7231" s="501">
        <v>14</v>
      </c>
      <c r="J7231" s="501">
        <v>0</v>
      </c>
      <c r="K7231" s="501">
        <v>0</v>
      </c>
      <c r="L7231" s="501">
        <v>14</v>
      </c>
      <c r="M7231" s="501">
        <v>0</v>
      </c>
      <c r="N7231" s="501">
        <v>0</v>
      </c>
      <c r="O7231" s="506">
        <v>0</v>
      </c>
    </row>
    <row r="7232" spans="1:15" x14ac:dyDescent="0.35">
      <c r="A7232" s="503" t="s">
        <v>1181</v>
      </c>
      <c r="B7232" s="504" t="s">
        <v>3211</v>
      </c>
      <c r="C7232" s="504" t="s">
        <v>1094</v>
      </c>
      <c r="D7232" s="504" t="s">
        <v>3380</v>
      </c>
      <c r="E7232" s="504" t="s">
        <v>3381</v>
      </c>
      <c r="F7232" s="504" t="s">
        <v>870</v>
      </c>
      <c r="G7232" s="504" t="s">
        <v>871</v>
      </c>
      <c r="H7232" s="504" t="s">
        <v>9208</v>
      </c>
      <c r="I7232" s="504">
        <v>10</v>
      </c>
      <c r="J7232" s="504">
        <v>7</v>
      </c>
      <c r="K7232" s="504">
        <v>0</v>
      </c>
      <c r="L7232" s="504">
        <v>0</v>
      </c>
      <c r="M7232" s="504">
        <v>0</v>
      </c>
      <c r="N7232" s="504">
        <v>0</v>
      </c>
      <c r="O7232" s="505">
        <v>3</v>
      </c>
    </row>
    <row r="7233" spans="1:15" x14ac:dyDescent="0.35">
      <c r="A7233" s="500" t="s">
        <v>1105</v>
      </c>
      <c r="B7233" s="501">
        <v>4668</v>
      </c>
      <c r="C7233" s="501" t="s">
        <v>1094</v>
      </c>
      <c r="D7233" s="501" t="s">
        <v>3380</v>
      </c>
      <c r="E7233" s="501" t="s">
        <v>3381</v>
      </c>
      <c r="F7233" s="501" t="s">
        <v>870</v>
      </c>
      <c r="G7233" s="501" t="s">
        <v>871</v>
      </c>
      <c r="H7233" s="501" t="s">
        <v>9209</v>
      </c>
      <c r="I7233" s="501">
        <v>18</v>
      </c>
      <c r="J7233" s="501">
        <v>0</v>
      </c>
      <c r="K7233" s="501">
        <v>0</v>
      </c>
      <c r="L7233" s="501">
        <v>0</v>
      </c>
      <c r="M7233" s="501">
        <v>0</v>
      </c>
      <c r="N7233" s="501">
        <v>0</v>
      </c>
      <c r="O7233" s="506">
        <v>18</v>
      </c>
    </row>
    <row r="7234" spans="1:15" x14ac:dyDescent="0.35">
      <c r="A7234" s="503" t="s">
        <v>1107</v>
      </c>
      <c r="B7234" s="504" t="s">
        <v>3109</v>
      </c>
      <c r="C7234" s="504" t="s">
        <v>1094</v>
      </c>
      <c r="D7234" s="504" t="s">
        <v>3380</v>
      </c>
      <c r="E7234" s="504" t="s">
        <v>3381</v>
      </c>
      <c r="F7234" s="504" t="s">
        <v>870</v>
      </c>
      <c r="G7234" s="504" t="s">
        <v>871</v>
      </c>
      <c r="H7234" s="504" t="s">
        <v>9210</v>
      </c>
      <c r="I7234" s="504">
        <v>27</v>
      </c>
      <c r="J7234" s="504">
        <v>0</v>
      </c>
      <c r="K7234" s="504">
        <v>0</v>
      </c>
      <c r="L7234" s="504">
        <v>27</v>
      </c>
      <c r="M7234" s="504">
        <v>0</v>
      </c>
      <c r="N7234" s="504">
        <v>0</v>
      </c>
      <c r="O7234" s="505">
        <v>0</v>
      </c>
    </row>
    <row r="7235" spans="1:15" x14ac:dyDescent="0.35">
      <c r="A7235" s="500" t="s">
        <v>1109</v>
      </c>
      <c r="B7235" s="501" t="s">
        <v>2959</v>
      </c>
      <c r="C7235" s="501" t="s">
        <v>1094</v>
      </c>
      <c r="D7235" s="501" t="s">
        <v>3380</v>
      </c>
      <c r="E7235" s="501" t="s">
        <v>3381</v>
      </c>
      <c r="F7235" s="501" t="s">
        <v>870</v>
      </c>
      <c r="G7235" s="501" t="s">
        <v>871</v>
      </c>
      <c r="H7235" s="501" t="s">
        <v>9211</v>
      </c>
      <c r="I7235" s="501">
        <v>66</v>
      </c>
      <c r="J7235" s="501">
        <v>0</v>
      </c>
      <c r="K7235" s="501">
        <v>0</v>
      </c>
      <c r="L7235" s="501">
        <v>0</v>
      </c>
      <c r="M7235" s="501">
        <v>42</v>
      </c>
      <c r="N7235" s="501">
        <v>0</v>
      </c>
      <c r="O7235" s="506">
        <v>24</v>
      </c>
    </row>
    <row r="7236" spans="1:15" x14ac:dyDescent="0.35">
      <c r="A7236" s="503" t="s">
        <v>1203</v>
      </c>
      <c r="B7236" s="504" t="s">
        <v>3170</v>
      </c>
      <c r="C7236" s="504" t="s">
        <v>1094</v>
      </c>
      <c r="D7236" s="504" t="s">
        <v>3380</v>
      </c>
      <c r="E7236" s="504" t="s">
        <v>3381</v>
      </c>
      <c r="F7236" s="504" t="s">
        <v>870</v>
      </c>
      <c r="G7236" s="504" t="s">
        <v>871</v>
      </c>
      <c r="H7236" s="504" t="s">
        <v>9212</v>
      </c>
      <c r="I7236" s="504">
        <v>37</v>
      </c>
      <c r="J7236" s="504">
        <v>20</v>
      </c>
      <c r="K7236" s="504">
        <v>0</v>
      </c>
      <c r="L7236" s="504">
        <v>0</v>
      </c>
      <c r="M7236" s="504">
        <v>0</v>
      </c>
      <c r="N7236" s="504">
        <v>0</v>
      </c>
      <c r="O7236" s="505">
        <v>17</v>
      </c>
    </row>
    <row r="7237" spans="1:15" x14ac:dyDescent="0.35">
      <c r="A7237" s="500" t="s">
        <v>1112</v>
      </c>
      <c r="B7237" s="501" t="s">
        <v>3008</v>
      </c>
      <c r="C7237" s="501" t="s">
        <v>1094</v>
      </c>
      <c r="D7237" s="501" t="s">
        <v>3380</v>
      </c>
      <c r="E7237" s="501" t="s">
        <v>3381</v>
      </c>
      <c r="F7237" s="501" t="s">
        <v>870</v>
      </c>
      <c r="G7237" s="501" t="s">
        <v>871</v>
      </c>
      <c r="H7237" s="501" t="s">
        <v>9213</v>
      </c>
      <c r="I7237" s="501">
        <v>102</v>
      </c>
      <c r="J7237" s="501">
        <v>102</v>
      </c>
      <c r="K7237" s="501">
        <v>0</v>
      </c>
      <c r="L7237" s="501">
        <v>0</v>
      </c>
      <c r="M7237" s="501">
        <v>0</v>
      </c>
      <c r="N7237" s="501">
        <v>0</v>
      </c>
      <c r="O7237" s="506">
        <v>0</v>
      </c>
    </row>
    <row r="7238" spans="1:15" x14ac:dyDescent="0.35">
      <c r="A7238" s="503" t="s">
        <v>1207</v>
      </c>
      <c r="B7238" s="504" t="s">
        <v>3202</v>
      </c>
      <c r="C7238" s="504" t="s">
        <v>1094</v>
      </c>
      <c r="D7238" s="504" t="s">
        <v>3380</v>
      </c>
      <c r="E7238" s="504" t="s">
        <v>3381</v>
      </c>
      <c r="F7238" s="504" t="s">
        <v>870</v>
      </c>
      <c r="G7238" s="504" t="s">
        <v>871</v>
      </c>
      <c r="H7238" s="504" t="s">
        <v>9214</v>
      </c>
      <c r="I7238" s="504">
        <v>21</v>
      </c>
      <c r="J7238" s="504">
        <v>14</v>
      </c>
      <c r="K7238" s="504">
        <v>0</v>
      </c>
      <c r="L7238" s="504">
        <v>0</v>
      </c>
      <c r="M7238" s="504">
        <v>0</v>
      </c>
      <c r="N7238" s="504">
        <v>0</v>
      </c>
      <c r="O7238" s="505">
        <v>7</v>
      </c>
    </row>
    <row r="7239" spans="1:15" x14ac:dyDescent="0.35">
      <c r="A7239" s="500" t="s">
        <v>1209</v>
      </c>
      <c r="B7239" s="501">
        <v>4779</v>
      </c>
      <c r="C7239" s="501" t="s">
        <v>1094</v>
      </c>
      <c r="D7239" s="501" t="s">
        <v>3380</v>
      </c>
      <c r="E7239" s="501" t="s">
        <v>3381</v>
      </c>
      <c r="F7239" s="501" t="s">
        <v>870</v>
      </c>
      <c r="G7239" s="501" t="s">
        <v>871</v>
      </c>
      <c r="H7239" s="501" t="s">
        <v>9215</v>
      </c>
      <c r="I7239" s="501">
        <v>5</v>
      </c>
      <c r="J7239" s="501">
        <v>0</v>
      </c>
      <c r="K7239" s="501">
        <v>0</v>
      </c>
      <c r="L7239" s="501">
        <v>5</v>
      </c>
      <c r="M7239" s="501">
        <v>0</v>
      </c>
      <c r="N7239" s="501">
        <v>0</v>
      </c>
      <c r="O7239" s="506">
        <v>0</v>
      </c>
    </row>
    <row r="7240" spans="1:15" x14ac:dyDescent="0.35">
      <c r="A7240" s="503" t="s">
        <v>1215</v>
      </c>
      <c r="B7240" s="504">
        <v>4817</v>
      </c>
      <c r="C7240" s="504" t="s">
        <v>1094</v>
      </c>
      <c r="D7240" s="504" t="s">
        <v>3380</v>
      </c>
      <c r="E7240" s="504" t="s">
        <v>3381</v>
      </c>
      <c r="F7240" s="504" t="s">
        <v>870</v>
      </c>
      <c r="G7240" s="504" t="s">
        <v>871</v>
      </c>
      <c r="H7240" s="504" t="s">
        <v>9216</v>
      </c>
      <c r="I7240" s="504">
        <v>199</v>
      </c>
      <c r="J7240" s="504">
        <v>156</v>
      </c>
      <c r="K7240" s="504">
        <v>0</v>
      </c>
      <c r="L7240" s="504">
        <v>0</v>
      </c>
      <c r="M7240" s="504">
        <v>0</v>
      </c>
      <c r="N7240" s="504">
        <v>0</v>
      </c>
      <c r="O7240" s="505">
        <v>43</v>
      </c>
    </row>
    <row r="7241" spans="1:15" x14ac:dyDescent="0.35">
      <c r="A7241" s="500" t="s">
        <v>1219</v>
      </c>
      <c r="B7241" s="501">
        <v>4876</v>
      </c>
      <c r="C7241" s="501" t="s">
        <v>1089</v>
      </c>
      <c r="D7241" s="501" t="s">
        <v>3392</v>
      </c>
      <c r="E7241" s="501" t="s">
        <v>3381</v>
      </c>
      <c r="F7241" s="501" t="s">
        <v>870</v>
      </c>
      <c r="G7241" s="501" t="s">
        <v>871</v>
      </c>
      <c r="H7241" s="501" t="s">
        <v>9217</v>
      </c>
      <c r="I7241" s="501">
        <v>19</v>
      </c>
      <c r="J7241" s="501">
        <v>0</v>
      </c>
      <c r="K7241" s="501">
        <v>0</v>
      </c>
      <c r="L7241" s="501">
        <v>19</v>
      </c>
      <c r="M7241" s="501">
        <v>0</v>
      </c>
      <c r="N7241" s="501">
        <v>0</v>
      </c>
      <c r="O7241" s="506">
        <v>0</v>
      </c>
    </row>
    <row r="7242" spans="1:15" x14ac:dyDescent="0.35">
      <c r="A7242" s="503" t="s">
        <v>1224</v>
      </c>
      <c r="B7242" s="504" t="s">
        <v>3135</v>
      </c>
      <c r="C7242" s="504" t="s">
        <v>1089</v>
      </c>
      <c r="D7242" s="504" t="s">
        <v>3392</v>
      </c>
      <c r="E7242" s="504" t="s">
        <v>3381</v>
      </c>
      <c r="F7242" s="504" t="s">
        <v>870</v>
      </c>
      <c r="G7242" s="504" t="s">
        <v>871</v>
      </c>
      <c r="H7242" s="504" t="s">
        <v>9218</v>
      </c>
      <c r="I7242" s="504">
        <v>6</v>
      </c>
      <c r="J7242" s="504">
        <v>6</v>
      </c>
      <c r="K7242" s="504">
        <v>0</v>
      </c>
      <c r="L7242" s="504">
        <v>0</v>
      </c>
      <c r="M7242" s="504">
        <v>0</v>
      </c>
      <c r="N7242" s="504">
        <v>0</v>
      </c>
      <c r="O7242" s="505">
        <v>0</v>
      </c>
    </row>
    <row r="7243" spans="1:15" x14ac:dyDescent="0.35">
      <c r="A7243" s="500" t="s">
        <v>1226</v>
      </c>
      <c r="B7243" s="501">
        <v>5084</v>
      </c>
      <c r="C7243" s="501" t="s">
        <v>1094</v>
      </c>
      <c r="D7243" s="501" t="s">
        <v>3380</v>
      </c>
      <c r="E7243" s="501" t="s">
        <v>3381</v>
      </c>
      <c r="F7243" s="501" t="s">
        <v>870</v>
      </c>
      <c r="G7243" s="501" t="s">
        <v>871</v>
      </c>
      <c r="H7243" s="501" t="s">
        <v>9219</v>
      </c>
      <c r="I7243" s="501">
        <v>31</v>
      </c>
      <c r="J7243" s="501">
        <v>31</v>
      </c>
      <c r="K7243" s="501">
        <v>0</v>
      </c>
      <c r="L7243" s="501">
        <v>0</v>
      </c>
      <c r="M7243" s="501">
        <v>0</v>
      </c>
      <c r="N7243" s="501">
        <v>0</v>
      </c>
      <c r="O7243" s="506">
        <v>0</v>
      </c>
    </row>
    <row r="7244" spans="1:15" x14ac:dyDescent="0.35">
      <c r="A7244" s="503" t="s">
        <v>1227</v>
      </c>
      <c r="B7244" s="504">
        <v>4757</v>
      </c>
      <c r="C7244" s="504" t="s">
        <v>1094</v>
      </c>
      <c r="D7244" s="504" t="s">
        <v>3392</v>
      </c>
      <c r="E7244" s="504" t="s">
        <v>3381</v>
      </c>
      <c r="F7244" s="504" t="s">
        <v>870</v>
      </c>
      <c r="G7244" s="504" t="s">
        <v>871</v>
      </c>
      <c r="H7244" s="504" t="s">
        <v>9220</v>
      </c>
      <c r="I7244" s="504">
        <v>7</v>
      </c>
      <c r="J7244" s="504">
        <v>7</v>
      </c>
      <c r="K7244" s="504">
        <v>0</v>
      </c>
      <c r="L7244" s="504">
        <v>0</v>
      </c>
      <c r="M7244" s="504">
        <v>0</v>
      </c>
      <c r="N7244" s="504">
        <v>0</v>
      </c>
      <c r="O7244" s="505">
        <v>0</v>
      </c>
    </row>
    <row r="7245" spans="1:15" x14ac:dyDescent="0.35">
      <c r="A7245" s="500" t="s">
        <v>1233</v>
      </c>
      <c r="B7245" s="501">
        <v>4636</v>
      </c>
      <c r="C7245" s="501" t="s">
        <v>1094</v>
      </c>
      <c r="D7245" s="501" t="s">
        <v>3380</v>
      </c>
      <c r="E7245" s="501" t="s">
        <v>3381</v>
      </c>
      <c r="F7245" s="501" t="s">
        <v>870</v>
      </c>
      <c r="G7245" s="501" t="s">
        <v>871</v>
      </c>
      <c r="H7245" s="501" t="s">
        <v>9221</v>
      </c>
      <c r="I7245" s="501">
        <v>14</v>
      </c>
      <c r="J7245" s="501">
        <v>0</v>
      </c>
      <c r="K7245" s="501">
        <v>0</v>
      </c>
      <c r="L7245" s="501">
        <v>0</v>
      </c>
      <c r="M7245" s="501">
        <v>0</v>
      </c>
      <c r="N7245" s="501">
        <v>0</v>
      </c>
      <c r="O7245" s="506">
        <v>14</v>
      </c>
    </row>
    <row r="7246" spans="1:15" x14ac:dyDescent="0.35">
      <c r="A7246" s="503" t="s">
        <v>11368</v>
      </c>
      <c r="B7246" s="504">
        <v>5083</v>
      </c>
      <c r="C7246" s="504" t="s">
        <v>1094</v>
      </c>
      <c r="D7246" s="504" t="s">
        <v>3380</v>
      </c>
      <c r="E7246" s="504" t="s">
        <v>3381</v>
      </c>
      <c r="F7246" s="504" t="s">
        <v>870</v>
      </c>
      <c r="G7246" s="504" t="s">
        <v>871</v>
      </c>
      <c r="H7246" s="504" t="s">
        <v>12075</v>
      </c>
      <c r="I7246" s="504">
        <v>54</v>
      </c>
      <c r="J7246" s="504">
        <v>54</v>
      </c>
      <c r="K7246" s="504">
        <v>0</v>
      </c>
      <c r="L7246" s="504">
        <v>0</v>
      </c>
      <c r="M7246" s="504">
        <v>0</v>
      </c>
      <c r="N7246" s="504">
        <v>0</v>
      </c>
      <c r="O7246" s="505">
        <v>0</v>
      </c>
    </row>
    <row r="7247" spans="1:15" x14ac:dyDescent="0.35">
      <c r="A7247" s="500" t="s">
        <v>1126</v>
      </c>
      <c r="B7247" s="501" t="s">
        <v>2974</v>
      </c>
      <c r="C7247" s="501" t="s">
        <v>1094</v>
      </c>
      <c r="D7247" s="501" t="s">
        <v>3380</v>
      </c>
      <c r="E7247" s="501" t="s">
        <v>3381</v>
      </c>
      <c r="F7247" s="501" t="s">
        <v>870</v>
      </c>
      <c r="G7247" s="501" t="s">
        <v>871</v>
      </c>
      <c r="H7247" s="501" t="s">
        <v>9222</v>
      </c>
      <c r="I7247" s="501">
        <v>8</v>
      </c>
      <c r="J7247" s="501">
        <v>8</v>
      </c>
      <c r="K7247" s="501">
        <v>0</v>
      </c>
      <c r="L7247" s="501">
        <v>0</v>
      </c>
      <c r="M7247" s="501">
        <v>0</v>
      </c>
      <c r="N7247" s="501">
        <v>0</v>
      </c>
      <c r="O7247" s="506">
        <v>0</v>
      </c>
    </row>
    <row r="7248" spans="1:15" x14ac:dyDescent="0.35">
      <c r="A7248" s="503" t="s">
        <v>1249</v>
      </c>
      <c r="B7248" s="504">
        <v>4729</v>
      </c>
      <c r="C7248" s="504" t="s">
        <v>1094</v>
      </c>
      <c r="D7248" s="504" t="s">
        <v>3380</v>
      </c>
      <c r="E7248" s="504" t="s">
        <v>3381</v>
      </c>
      <c r="F7248" s="504" t="s">
        <v>870</v>
      </c>
      <c r="G7248" s="504" t="s">
        <v>871</v>
      </c>
      <c r="H7248" s="504" t="s">
        <v>9223</v>
      </c>
      <c r="I7248" s="504">
        <v>19</v>
      </c>
      <c r="J7248" s="504">
        <v>19</v>
      </c>
      <c r="K7248" s="504">
        <v>0</v>
      </c>
      <c r="L7248" s="504">
        <v>0</v>
      </c>
      <c r="M7248" s="504">
        <v>0</v>
      </c>
      <c r="N7248" s="504">
        <v>0</v>
      </c>
      <c r="O7248" s="505">
        <v>0</v>
      </c>
    </row>
    <row r="7249" spans="1:15" x14ac:dyDescent="0.35">
      <c r="A7249" s="500" t="s">
        <v>1253</v>
      </c>
      <c r="B7249" s="501" t="s">
        <v>3232</v>
      </c>
      <c r="C7249" s="501" t="s">
        <v>1094</v>
      </c>
      <c r="D7249" s="501" t="s">
        <v>3380</v>
      </c>
      <c r="E7249" s="501" t="s">
        <v>3381</v>
      </c>
      <c r="F7249" s="501" t="s">
        <v>870</v>
      </c>
      <c r="G7249" s="501" t="s">
        <v>871</v>
      </c>
      <c r="H7249" s="501" t="s">
        <v>9224</v>
      </c>
      <c r="I7249" s="501">
        <v>183</v>
      </c>
      <c r="J7249" s="501">
        <v>148</v>
      </c>
      <c r="K7249" s="501">
        <v>0</v>
      </c>
      <c r="L7249" s="501">
        <v>0</v>
      </c>
      <c r="M7249" s="501">
        <v>0</v>
      </c>
      <c r="N7249" s="501">
        <v>0</v>
      </c>
      <c r="O7249" s="506">
        <v>35</v>
      </c>
    </row>
    <row r="7250" spans="1:15" x14ac:dyDescent="0.35">
      <c r="A7250" s="503" t="s">
        <v>1258</v>
      </c>
      <c r="B7250" s="504" t="s">
        <v>3174</v>
      </c>
      <c r="C7250" s="504" t="s">
        <v>1094</v>
      </c>
      <c r="D7250" s="504" t="s">
        <v>3380</v>
      </c>
      <c r="E7250" s="504" t="s">
        <v>3381</v>
      </c>
      <c r="F7250" s="504" t="s">
        <v>870</v>
      </c>
      <c r="G7250" s="504" t="s">
        <v>871</v>
      </c>
      <c r="H7250" s="504" t="s">
        <v>9225</v>
      </c>
      <c r="I7250" s="504">
        <v>511</v>
      </c>
      <c r="J7250" s="504">
        <v>417</v>
      </c>
      <c r="K7250" s="504">
        <v>0</v>
      </c>
      <c r="L7250" s="504">
        <v>0</v>
      </c>
      <c r="M7250" s="504">
        <v>0</v>
      </c>
      <c r="N7250" s="504">
        <v>0</v>
      </c>
      <c r="O7250" s="505">
        <v>94</v>
      </c>
    </row>
    <row r="7251" spans="1:15" x14ac:dyDescent="0.35">
      <c r="A7251" s="500" t="s">
        <v>1259</v>
      </c>
      <c r="B7251" s="501" t="s">
        <v>3025</v>
      </c>
      <c r="C7251" s="501" t="s">
        <v>1094</v>
      </c>
      <c r="D7251" s="501" t="s">
        <v>3380</v>
      </c>
      <c r="E7251" s="501" t="s">
        <v>3381</v>
      </c>
      <c r="F7251" s="501" t="s">
        <v>870</v>
      </c>
      <c r="G7251" s="501" t="s">
        <v>871</v>
      </c>
      <c r="H7251" s="501" t="s">
        <v>9226</v>
      </c>
      <c r="I7251" s="501">
        <v>312</v>
      </c>
      <c r="J7251" s="501">
        <v>204</v>
      </c>
      <c r="K7251" s="501">
        <v>0</v>
      </c>
      <c r="L7251" s="501">
        <v>19</v>
      </c>
      <c r="M7251" s="501">
        <v>69</v>
      </c>
      <c r="N7251" s="501">
        <v>0</v>
      </c>
      <c r="O7251" s="506">
        <v>20</v>
      </c>
    </row>
    <row r="7252" spans="1:15" x14ac:dyDescent="0.35">
      <c r="A7252" s="503" t="s">
        <v>1947</v>
      </c>
      <c r="B7252" s="504" t="s">
        <v>2840</v>
      </c>
      <c r="C7252" s="504" t="s">
        <v>1089</v>
      </c>
      <c r="D7252" s="504" t="s">
        <v>3392</v>
      </c>
      <c r="E7252" s="504" t="s">
        <v>3381</v>
      </c>
      <c r="F7252" s="504" t="s">
        <v>872</v>
      </c>
      <c r="G7252" s="504" t="s">
        <v>873</v>
      </c>
      <c r="H7252" s="504" t="s">
        <v>9227</v>
      </c>
      <c r="I7252" s="504">
        <v>33</v>
      </c>
      <c r="J7252" s="504">
        <v>0</v>
      </c>
      <c r="K7252" s="504">
        <v>0</v>
      </c>
      <c r="L7252" s="504">
        <v>0</v>
      </c>
      <c r="M7252" s="504">
        <v>33</v>
      </c>
      <c r="N7252" s="504">
        <v>0</v>
      </c>
      <c r="O7252" s="505">
        <v>0</v>
      </c>
    </row>
    <row r="7253" spans="1:15" x14ac:dyDescent="0.35">
      <c r="A7253" s="500" t="s">
        <v>1093</v>
      </c>
      <c r="B7253" s="501" t="s">
        <v>3248</v>
      </c>
      <c r="C7253" s="501" t="s">
        <v>1094</v>
      </c>
      <c r="D7253" s="501" t="s">
        <v>3380</v>
      </c>
      <c r="E7253" s="501" t="s">
        <v>3381</v>
      </c>
      <c r="F7253" s="501" t="s">
        <v>872</v>
      </c>
      <c r="G7253" s="501" t="s">
        <v>873</v>
      </c>
      <c r="H7253" s="501" t="s">
        <v>9228</v>
      </c>
      <c r="I7253" s="501">
        <v>14</v>
      </c>
      <c r="J7253" s="501">
        <v>0</v>
      </c>
      <c r="K7253" s="501">
        <v>0</v>
      </c>
      <c r="L7253" s="501">
        <v>0</v>
      </c>
      <c r="M7253" s="501">
        <v>0</v>
      </c>
      <c r="N7253" s="501">
        <v>0</v>
      </c>
      <c r="O7253" s="506">
        <v>14</v>
      </c>
    </row>
    <row r="7254" spans="1:15" x14ac:dyDescent="0.35">
      <c r="A7254" s="503" t="s">
        <v>1096</v>
      </c>
      <c r="B7254" s="504" t="s">
        <v>3326</v>
      </c>
      <c r="C7254" s="504" t="s">
        <v>1094</v>
      </c>
      <c r="D7254" s="504" t="s">
        <v>3380</v>
      </c>
      <c r="E7254" s="504" t="s">
        <v>3381</v>
      </c>
      <c r="F7254" s="504" t="s">
        <v>872</v>
      </c>
      <c r="G7254" s="504" t="s">
        <v>873</v>
      </c>
      <c r="H7254" s="504" t="s">
        <v>9229</v>
      </c>
      <c r="I7254" s="504">
        <v>156</v>
      </c>
      <c r="J7254" s="504">
        <v>0</v>
      </c>
      <c r="K7254" s="504">
        <v>0</v>
      </c>
      <c r="L7254" s="504">
        <v>0</v>
      </c>
      <c r="M7254" s="504">
        <v>156</v>
      </c>
      <c r="N7254" s="504">
        <v>0</v>
      </c>
      <c r="O7254" s="505">
        <v>0</v>
      </c>
    </row>
    <row r="7255" spans="1:15" x14ac:dyDescent="0.35">
      <c r="A7255" s="500" t="s">
        <v>11423</v>
      </c>
      <c r="B7255" s="501" t="s">
        <v>3128</v>
      </c>
      <c r="C7255" s="501" t="s">
        <v>1094</v>
      </c>
      <c r="D7255" s="501" t="s">
        <v>3380</v>
      </c>
      <c r="E7255" s="501" t="s">
        <v>3381</v>
      </c>
      <c r="F7255" s="501" t="s">
        <v>872</v>
      </c>
      <c r="G7255" s="501" t="s">
        <v>873</v>
      </c>
      <c r="H7255" s="501" t="s">
        <v>11630</v>
      </c>
      <c r="I7255" s="501">
        <v>465</v>
      </c>
      <c r="J7255" s="501">
        <v>369</v>
      </c>
      <c r="K7255" s="501">
        <v>0</v>
      </c>
      <c r="L7255" s="501">
        <v>28</v>
      </c>
      <c r="M7255" s="501">
        <v>0</v>
      </c>
      <c r="N7255" s="501">
        <v>2</v>
      </c>
      <c r="O7255" s="506">
        <v>68</v>
      </c>
    </row>
    <row r="7256" spans="1:15" x14ac:dyDescent="0.35">
      <c r="A7256" s="503" t="s">
        <v>1954</v>
      </c>
      <c r="B7256" s="504" t="s">
        <v>3084</v>
      </c>
      <c r="C7256" s="504" t="s">
        <v>1089</v>
      </c>
      <c r="D7256" s="504" t="s">
        <v>3392</v>
      </c>
      <c r="E7256" s="504" t="s">
        <v>3381</v>
      </c>
      <c r="F7256" s="504" t="s">
        <v>872</v>
      </c>
      <c r="G7256" s="504" t="s">
        <v>873</v>
      </c>
      <c r="H7256" s="504" t="s">
        <v>9230</v>
      </c>
      <c r="I7256" s="504">
        <v>9</v>
      </c>
      <c r="J7256" s="504">
        <v>9</v>
      </c>
      <c r="K7256" s="504">
        <v>0</v>
      </c>
      <c r="L7256" s="504">
        <v>0</v>
      </c>
      <c r="M7256" s="504">
        <v>0</v>
      </c>
      <c r="N7256" s="504">
        <v>0</v>
      </c>
      <c r="O7256" s="505">
        <v>0</v>
      </c>
    </row>
    <row r="7257" spans="1:15" x14ac:dyDescent="0.35">
      <c r="A7257" s="500" t="s">
        <v>1158</v>
      </c>
      <c r="B7257" s="501">
        <v>4819</v>
      </c>
      <c r="C7257" s="501" t="s">
        <v>1094</v>
      </c>
      <c r="D7257" s="501" t="s">
        <v>3380</v>
      </c>
      <c r="E7257" s="501" t="s">
        <v>3381</v>
      </c>
      <c r="F7257" s="501" t="s">
        <v>872</v>
      </c>
      <c r="G7257" s="501" t="s">
        <v>873</v>
      </c>
      <c r="H7257" s="501" t="s">
        <v>9231</v>
      </c>
      <c r="I7257" s="501">
        <v>174</v>
      </c>
      <c r="J7257" s="501">
        <v>158</v>
      </c>
      <c r="K7257" s="501">
        <v>0</v>
      </c>
      <c r="L7257" s="501">
        <v>0</v>
      </c>
      <c r="M7257" s="501">
        <v>0</v>
      </c>
      <c r="N7257" s="501">
        <v>0</v>
      </c>
      <c r="O7257" s="506">
        <v>16</v>
      </c>
    </row>
    <row r="7258" spans="1:15" x14ac:dyDescent="0.35">
      <c r="A7258" s="503" t="s">
        <v>1164</v>
      </c>
      <c r="B7258" s="504">
        <v>4751</v>
      </c>
      <c r="C7258" s="504" t="s">
        <v>1089</v>
      </c>
      <c r="D7258" s="504" t="s">
        <v>3392</v>
      </c>
      <c r="E7258" s="504" t="s">
        <v>3381</v>
      </c>
      <c r="F7258" s="504" t="s">
        <v>872</v>
      </c>
      <c r="G7258" s="504" t="s">
        <v>873</v>
      </c>
      <c r="H7258" s="504" t="s">
        <v>9232</v>
      </c>
      <c r="I7258" s="504">
        <v>17</v>
      </c>
      <c r="J7258" s="504">
        <v>0</v>
      </c>
      <c r="K7258" s="504">
        <v>0</v>
      </c>
      <c r="L7258" s="504">
        <v>17</v>
      </c>
      <c r="M7258" s="504">
        <v>0</v>
      </c>
      <c r="N7258" s="504">
        <v>0</v>
      </c>
      <c r="O7258" s="505">
        <v>0</v>
      </c>
    </row>
    <row r="7259" spans="1:15" x14ac:dyDescent="0.35">
      <c r="A7259" s="500" t="s">
        <v>1100</v>
      </c>
      <c r="B7259" s="501">
        <v>4865</v>
      </c>
      <c r="C7259" s="501" t="s">
        <v>1094</v>
      </c>
      <c r="D7259" s="501" t="s">
        <v>3380</v>
      </c>
      <c r="E7259" s="501" t="s">
        <v>3381</v>
      </c>
      <c r="F7259" s="501" t="s">
        <v>872</v>
      </c>
      <c r="G7259" s="501" t="s">
        <v>873</v>
      </c>
      <c r="H7259" s="501" t="s">
        <v>9233</v>
      </c>
      <c r="I7259" s="501">
        <v>130</v>
      </c>
      <c r="J7259" s="501">
        <v>85</v>
      </c>
      <c r="K7259" s="501">
        <v>0</v>
      </c>
      <c r="L7259" s="501">
        <v>0</v>
      </c>
      <c r="M7259" s="501">
        <v>0</v>
      </c>
      <c r="N7259" s="501">
        <v>0</v>
      </c>
      <c r="O7259" s="506">
        <v>45</v>
      </c>
    </row>
    <row r="7260" spans="1:15" x14ac:dyDescent="0.35">
      <c r="A7260" s="503" t="s">
        <v>1971</v>
      </c>
      <c r="B7260" s="504" t="s">
        <v>3337</v>
      </c>
      <c r="C7260" s="504" t="s">
        <v>1094</v>
      </c>
      <c r="D7260" s="504" t="s">
        <v>3380</v>
      </c>
      <c r="E7260" s="504" t="s">
        <v>3381</v>
      </c>
      <c r="F7260" s="504" t="s">
        <v>872</v>
      </c>
      <c r="G7260" s="504" t="s">
        <v>873</v>
      </c>
      <c r="H7260" s="504" t="s">
        <v>9234</v>
      </c>
      <c r="I7260" s="504">
        <v>714</v>
      </c>
      <c r="J7260" s="504">
        <v>559</v>
      </c>
      <c r="K7260" s="504">
        <v>0</v>
      </c>
      <c r="L7260" s="504">
        <v>7</v>
      </c>
      <c r="M7260" s="504">
        <v>28</v>
      </c>
      <c r="N7260" s="504">
        <v>0</v>
      </c>
      <c r="O7260" s="505">
        <v>120</v>
      </c>
    </row>
    <row r="7261" spans="1:15" x14ac:dyDescent="0.35">
      <c r="A7261" s="500" t="s">
        <v>1975</v>
      </c>
      <c r="B7261" s="501" t="s">
        <v>3268</v>
      </c>
      <c r="C7261" s="501" t="s">
        <v>1089</v>
      </c>
      <c r="D7261" s="501" t="s">
        <v>3392</v>
      </c>
      <c r="E7261" s="501" t="s">
        <v>3381</v>
      </c>
      <c r="F7261" s="501" t="s">
        <v>872</v>
      </c>
      <c r="G7261" s="501" t="s">
        <v>873</v>
      </c>
      <c r="H7261" s="501" t="s">
        <v>9235</v>
      </c>
      <c r="I7261" s="501">
        <v>48</v>
      </c>
      <c r="J7261" s="501">
        <v>10</v>
      </c>
      <c r="K7261" s="501">
        <v>0</v>
      </c>
      <c r="L7261" s="501">
        <v>38</v>
      </c>
      <c r="M7261" s="501">
        <v>0</v>
      </c>
      <c r="N7261" s="501">
        <v>0</v>
      </c>
      <c r="O7261" s="506">
        <v>0</v>
      </c>
    </row>
    <row r="7262" spans="1:15" x14ac:dyDescent="0.35">
      <c r="A7262" s="503" t="s">
        <v>1175</v>
      </c>
      <c r="B7262" s="504" t="s">
        <v>3141</v>
      </c>
      <c r="C7262" s="504" t="s">
        <v>1094</v>
      </c>
      <c r="D7262" s="504" t="s">
        <v>3380</v>
      </c>
      <c r="E7262" s="504" t="s">
        <v>3381</v>
      </c>
      <c r="F7262" s="504" t="s">
        <v>872</v>
      </c>
      <c r="G7262" s="504" t="s">
        <v>873</v>
      </c>
      <c r="H7262" s="504" t="s">
        <v>9236</v>
      </c>
      <c r="I7262" s="504">
        <v>7</v>
      </c>
      <c r="J7262" s="504">
        <v>7</v>
      </c>
      <c r="K7262" s="504">
        <v>0</v>
      </c>
      <c r="L7262" s="504">
        <v>0</v>
      </c>
      <c r="M7262" s="504">
        <v>0</v>
      </c>
      <c r="N7262" s="504">
        <v>0</v>
      </c>
      <c r="O7262" s="505">
        <v>0</v>
      </c>
    </row>
    <row r="7263" spans="1:15" x14ac:dyDescent="0.35">
      <c r="A7263" s="500" t="s">
        <v>14208</v>
      </c>
      <c r="B7263" s="501">
        <v>4803</v>
      </c>
      <c r="C7263" s="501" t="s">
        <v>1094</v>
      </c>
      <c r="D7263" s="501" t="s">
        <v>3380</v>
      </c>
      <c r="E7263" s="501" t="s">
        <v>3381</v>
      </c>
      <c r="F7263" s="501" t="s">
        <v>872</v>
      </c>
      <c r="G7263" s="501" t="s">
        <v>873</v>
      </c>
      <c r="H7263" s="501" t="s">
        <v>15058</v>
      </c>
      <c r="I7263" s="501">
        <v>1</v>
      </c>
      <c r="J7263" s="501">
        <v>0</v>
      </c>
      <c r="K7263" s="501">
        <v>0</v>
      </c>
      <c r="L7263" s="501">
        <v>1</v>
      </c>
      <c r="M7263" s="501">
        <v>0</v>
      </c>
      <c r="N7263" s="501">
        <v>0</v>
      </c>
      <c r="O7263" s="506">
        <v>0</v>
      </c>
    </row>
    <row r="7264" spans="1:15" x14ac:dyDescent="0.35">
      <c r="A7264" s="503" t="s">
        <v>1986</v>
      </c>
      <c r="B7264" s="504" t="s">
        <v>3103</v>
      </c>
      <c r="C7264" s="504" t="s">
        <v>1089</v>
      </c>
      <c r="D7264" s="504" t="s">
        <v>3392</v>
      </c>
      <c r="E7264" s="504" t="s">
        <v>3381</v>
      </c>
      <c r="F7264" s="504" t="s">
        <v>872</v>
      </c>
      <c r="G7264" s="504" t="s">
        <v>873</v>
      </c>
      <c r="H7264" s="504" t="s">
        <v>9237</v>
      </c>
      <c r="I7264" s="504">
        <v>84</v>
      </c>
      <c r="J7264" s="504">
        <v>84</v>
      </c>
      <c r="K7264" s="504">
        <v>0</v>
      </c>
      <c r="L7264" s="504">
        <v>0</v>
      </c>
      <c r="M7264" s="504">
        <v>0</v>
      </c>
      <c r="N7264" s="504">
        <v>0</v>
      </c>
      <c r="O7264" s="505">
        <v>0</v>
      </c>
    </row>
    <row r="7265" spans="1:15" x14ac:dyDescent="0.35">
      <c r="A7265" s="500" t="s">
        <v>1987</v>
      </c>
      <c r="B7265" s="501" t="s">
        <v>3295</v>
      </c>
      <c r="C7265" s="501" t="s">
        <v>1089</v>
      </c>
      <c r="D7265" s="501" t="s">
        <v>3392</v>
      </c>
      <c r="E7265" s="501" t="s">
        <v>3381</v>
      </c>
      <c r="F7265" s="501" t="s">
        <v>872</v>
      </c>
      <c r="G7265" s="501" t="s">
        <v>873</v>
      </c>
      <c r="H7265" s="501" t="s">
        <v>9239</v>
      </c>
      <c r="I7265" s="501">
        <v>11</v>
      </c>
      <c r="J7265" s="501">
        <v>0</v>
      </c>
      <c r="K7265" s="501">
        <v>0</v>
      </c>
      <c r="L7265" s="501">
        <v>11</v>
      </c>
      <c r="M7265" s="501">
        <v>0</v>
      </c>
      <c r="N7265" s="501">
        <v>0</v>
      </c>
      <c r="O7265" s="506">
        <v>0</v>
      </c>
    </row>
    <row r="7266" spans="1:15" x14ac:dyDescent="0.35">
      <c r="A7266" s="503" t="s">
        <v>1185</v>
      </c>
      <c r="B7266" s="504" t="s">
        <v>3253</v>
      </c>
      <c r="C7266" s="504" t="s">
        <v>1094</v>
      </c>
      <c r="D7266" s="504" t="s">
        <v>3380</v>
      </c>
      <c r="E7266" s="504" t="s">
        <v>3381</v>
      </c>
      <c r="F7266" s="504" t="s">
        <v>872</v>
      </c>
      <c r="G7266" s="504" t="s">
        <v>873</v>
      </c>
      <c r="H7266" s="504" t="s">
        <v>9238</v>
      </c>
      <c r="I7266" s="504">
        <v>14</v>
      </c>
      <c r="J7266" s="504">
        <v>14</v>
      </c>
      <c r="K7266" s="504">
        <v>0</v>
      </c>
      <c r="L7266" s="504">
        <v>0</v>
      </c>
      <c r="M7266" s="504">
        <v>0</v>
      </c>
      <c r="N7266" s="504">
        <v>0</v>
      </c>
      <c r="O7266" s="505">
        <v>0</v>
      </c>
    </row>
    <row r="7267" spans="1:15" x14ac:dyDescent="0.35">
      <c r="A7267" s="500" t="s">
        <v>1105</v>
      </c>
      <c r="B7267" s="501">
        <v>4668</v>
      </c>
      <c r="C7267" s="501" t="s">
        <v>1094</v>
      </c>
      <c r="D7267" s="501" t="s">
        <v>3380</v>
      </c>
      <c r="E7267" s="501" t="s">
        <v>3381</v>
      </c>
      <c r="F7267" s="501" t="s">
        <v>872</v>
      </c>
      <c r="G7267" s="501" t="s">
        <v>873</v>
      </c>
      <c r="H7267" s="501" t="s">
        <v>9240</v>
      </c>
      <c r="I7267" s="501">
        <v>122</v>
      </c>
      <c r="J7267" s="501">
        <v>0</v>
      </c>
      <c r="K7267" s="501">
        <v>0</v>
      </c>
      <c r="L7267" s="501">
        <v>0</v>
      </c>
      <c r="M7267" s="501">
        <v>0</v>
      </c>
      <c r="N7267" s="501">
        <v>0</v>
      </c>
      <c r="O7267" s="506">
        <v>122</v>
      </c>
    </row>
    <row r="7268" spans="1:15" x14ac:dyDescent="0.35">
      <c r="A7268" s="503" t="s">
        <v>1109</v>
      </c>
      <c r="B7268" s="504" t="s">
        <v>2959</v>
      </c>
      <c r="C7268" s="504" t="s">
        <v>1094</v>
      </c>
      <c r="D7268" s="504" t="s">
        <v>3380</v>
      </c>
      <c r="E7268" s="504" t="s">
        <v>3381</v>
      </c>
      <c r="F7268" s="504" t="s">
        <v>872</v>
      </c>
      <c r="G7268" s="504" t="s">
        <v>873</v>
      </c>
      <c r="H7268" s="504" t="s">
        <v>9241</v>
      </c>
      <c r="I7268" s="504">
        <v>150</v>
      </c>
      <c r="J7268" s="504">
        <v>0</v>
      </c>
      <c r="K7268" s="504">
        <v>0</v>
      </c>
      <c r="L7268" s="504">
        <v>0</v>
      </c>
      <c r="M7268" s="504">
        <v>130</v>
      </c>
      <c r="N7268" s="504">
        <v>0</v>
      </c>
      <c r="O7268" s="505">
        <v>20</v>
      </c>
    </row>
    <row r="7269" spans="1:15" x14ac:dyDescent="0.35">
      <c r="A7269" s="500" t="s">
        <v>1190</v>
      </c>
      <c r="B7269" s="501">
        <v>4662</v>
      </c>
      <c r="C7269" s="501" t="s">
        <v>1094</v>
      </c>
      <c r="D7269" s="501" t="s">
        <v>3380</v>
      </c>
      <c r="E7269" s="501" t="s">
        <v>3381</v>
      </c>
      <c r="F7269" s="501" t="s">
        <v>872</v>
      </c>
      <c r="G7269" s="501" t="s">
        <v>873</v>
      </c>
      <c r="H7269" s="501" t="s">
        <v>9242</v>
      </c>
      <c r="I7269" s="501">
        <v>1</v>
      </c>
      <c r="J7269" s="501">
        <v>0</v>
      </c>
      <c r="K7269" s="501">
        <v>0</v>
      </c>
      <c r="L7269" s="501">
        <v>1</v>
      </c>
      <c r="M7269" s="501">
        <v>0</v>
      </c>
      <c r="N7269" s="501">
        <v>0</v>
      </c>
      <c r="O7269" s="506">
        <v>0</v>
      </c>
    </row>
    <row r="7270" spans="1:15" x14ac:dyDescent="0.35">
      <c r="A7270" s="503" t="s">
        <v>1989</v>
      </c>
      <c r="B7270" s="504" t="s">
        <v>3073</v>
      </c>
      <c r="C7270" s="504" t="s">
        <v>1089</v>
      </c>
      <c r="D7270" s="504" t="s">
        <v>3392</v>
      </c>
      <c r="E7270" s="504" t="s">
        <v>3381</v>
      </c>
      <c r="F7270" s="504" t="s">
        <v>872</v>
      </c>
      <c r="G7270" s="504" t="s">
        <v>873</v>
      </c>
      <c r="H7270" s="504" t="s">
        <v>9243</v>
      </c>
      <c r="I7270" s="504">
        <v>119</v>
      </c>
      <c r="J7270" s="504">
        <v>119</v>
      </c>
      <c r="K7270" s="504">
        <v>0</v>
      </c>
      <c r="L7270" s="504">
        <v>0</v>
      </c>
      <c r="M7270" s="504">
        <v>0</v>
      </c>
      <c r="N7270" s="504">
        <v>0</v>
      </c>
      <c r="O7270" s="505">
        <v>0</v>
      </c>
    </row>
    <row r="7271" spans="1:15" x14ac:dyDescent="0.35">
      <c r="A7271" s="500" t="s">
        <v>1111</v>
      </c>
      <c r="B7271" s="501">
        <v>4873</v>
      </c>
      <c r="C7271" s="501" t="s">
        <v>1094</v>
      </c>
      <c r="D7271" s="501" t="s">
        <v>3380</v>
      </c>
      <c r="E7271" s="501" t="s">
        <v>3381</v>
      </c>
      <c r="F7271" s="501" t="s">
        <v>872</v>
      </c>
      <c r="G7271" s="501" t="s">
        <v>873</v>
      </c>
      <c r="H7271" s="501" t="s">
        <v>9244</v>
      </c>
      <c r="I7271" s="501">
        <v>1736</v>
      </c>
      <c r="J7271" s="501">
        <v>1383</v>
      </c>
      <c r="K7271" s="501">
        <v>0</v>
      </c>
      <c r="L7271" s="501">
        <v>111</v>
      </c>
      <c r="M7271" s="501">
        <v>58</v>
      </c>
      <c r="N7271" s="501">
        <v>0</v>
      </c>
      <c r="O7271" s="506">
        <v>184</v>
      </c>
    </row>
    <row r="7272" spans="1:15" x14ac:dyDescent="0.35">
      <c r="A7272" s="503" t="s">
        <v>1993</v>
      </c>
      <c r="B7272" s="504" t="s">
        <v>2437</v>
      </c>
      <c r="C7272" s="504" t="s">
        <v>1089</v>
      </c>
      <c r="D7272" s="504" t="s">
        <v>3392</v>
      </c>
      <c r="E7272" s="504" t="s">
        <v>3381</v>
      </c>
      <c r="F7272" s="504" t="s">
        <v>872</v>
      </c>
      <c r="G7272" s="504" t="s">
        <v>873</v>
      </c>
      <c r="H7272" s="504" t="s">
        <v>9245</v>
      </c>
      <c r="I7272" s="504">
        <v>8</v>
      </c>
      <c r="J7272" s="504">
        <v>8</v>
      </c>
      <c r="K7272" s="504">
        <v>0</v>
      </c>
      <c r="L7272" s="504">
        <v>0</v>
      </c>
      <c r="M7272" s="504">
        <v>0</v>
      </c>
      <c r="N7272" s="504">
        <v>0</v>
      </c>
      <c r="O7272" s="505">
        <v>0</v>
      </c>
    </row>
    <row r="7273" spans="1:15" x14ac:dyDescent="0.35">
      <c r="A7273" s="500" t="s">
        <v>1994</v>
      </c>
      <c r="B7273" s="501" t="s">
        <v>3206</v>
      </c>
      <c r="C7273" s="501" t="s">
        <v>1094</v>
      </c>
      <c r="D7273" s="501" t="s">
        <v>3380</v>
      </c>
      <c r="E7273" s="501" t="s">
        <v>3381</v>
      </c>
      <c r="F7273" s="501" t="s">
        <v>872</v>
      </c>
      <c r="G7273" s="501" t="s">
        <v>873</v>
      </c>
      <c r="H7273" s="501" t="s">
        <v>9246</v>
      </c>
      <c r="I7273" s="501">
        <v>8263</v>
      </c>
      <c r="J7273" s="501">
        <v>6719</v>
      </c>
      <c r="K7273" s="501">
        <v>0</v>
      </c>
      <c r="L7273" s="501">
        <v>74</v>
      </c>
      <c r="M7273" s="501">
        <v>1315</v>
      </c>
      <c r="N7273" s="501">
        <v>0</v>
      </c>
      <c r="O7273" s="506">
        <v>155</v>
      </c>
    </row>
    <row r="7274" spans="1:15" x14ac:dyDescent="0.35">
      <c r="A7274" s="503" t="s">
        <v>1998</v>
      </c>
      <c r="B7274" s="504" t="s">
        <v>3200</v>
      </c>
      <c r="C7274" s="504" t="s">
        <v>1094</v>
      </c>
      <c r="D7274" s="504" t="s">
        <v>3380</v>
      </c>
      <c r="E7274" s="504" t="s">
        <v>3381</v>
      </c>
      <c r="F7274" s="504" t="s">
        <v>872</v>
      </c>
      <c r="G7274" s="504" t="s">
        <v>873</v>
      </c>
      <c r="H7274" s="504" t="s">
        <v>9247</v>
      </c>
      <c r="I7274" s="504">
        <v>108</v>
      </c>
      <c r="J7274" s="504">
        <v>87</v>
      </c>
      <c r="K7274" s="504">
        <v>0</v>
      </c>
      <c r="L7274" s="504">
        <v>0</v>
      </c>
      <c r="M7274" s="504">
        <v>0</v>
      </c>
      <c r="N7274" s="504">
        <v>0</v>
      </c>
      <c r="O7274" s="505">
        <v>21</v>
      </c>
    </row>
    <row r="7275" spans="1:15" x14ac:dyDescent="0.35">
      <c r="A7275" s="500" t="s">
        <v>1122</v>
      </c>
      <c r="B7275" s="501" t="s">
        <v>2994</v>
      </c>
      <c r="C7275" s="501" t="s">
        <v>1094</v>
      </c>
      <c r="D7275" s="501" t="s">
        <v>3380</v>
      </c>
      <c r="E7275" s="501" t="s">
        <v>3381</v>
      </c>
      <c r="F7275" s="501" t="s">
        <v>872</v>
      </c>
      <c r="G7275" s="501" t="s">
        <v>873</v>
      </c>
      <c r="H7275" s="501" t="s">
        <v>9248</v>
      </c>
      <c r="I7275" s="501">
        <v>21</v>
      </c>
      <c r="J7275" s="501">
        <v>3</v>
      </c>
      <c r="K7275" s="501">
        <v>0</v>
      </c>
      <c r="L7275" s="501">
        <v>0</v>
      </c>
      <c r="M7275" s="501">
        <v>0</v>
      </c>
      <c r="N7275" s="501">
        <v>0</v>
      </c>
      <c r="O7275" s="506">
        <v>18</v>
      </c>
    </row>
    <row r="7276" spans="1:15" x14ac:dyDescent="0.35">
      <c r="A7276" s="503" t="s">
        <v>1225</v>
      </c>
      <c r="B7276" s="504" t="s">
        <v>3315</v>
      </c>
      <c r="C7276" s="504" t="s">
        <v>1094</v>
      </c>
      <c r="D7276" s="504" t="s">
        <v>3380</v>
      </c>
      <c r="E7276" s="504" t="s">
        <v>3381</v>
      </c>
      <c r="F7276" s="504" t="s">
        <v>872</v>
      </c>
      <c r="G7276" s="504" t="s">
        <v>873</v>
      </c>
      <c r="H7276" s="504" t="s">
        <v>9249</v>
      </c>
      <c r="I7276" s="504">
        <v>132</v>
      </c>
      <c r="J7276" s="504">
        <v>98</v>
      </c>
      <c r="K7276" s="504">
        <v>0</v>
      </c>
      <c r="L7276" s="504">
        <v>32</v>
      </c>
      <c r="M7276" s="504">
        <v>2</v>
      </c>
      <c r="N7276" s="504">
        <v>0</v>
      </c>
      <c r="O7276" s="505">
        <v>0</v>
      </c>
    </row>
    <row r="7277" spans="1:15" x14ac:dyDescent="0.35">
      <c r="A7277" s="500" t="s">
        <v>1126</v>
      </c>
      <c r="B7277" s="501" t="s">
        <v>2974</v>
      </c>
      <c r="C7277" s="501" t="s">
        <v>1094</v>
      </c>
      <c r="D7277" s="501" t="s">
        <v>3380</v>
      </c>
      <c r="E7277" s="501" t="s">
        <v>3381</v>
      </c>
      <c r="F7277" s="501" t="s">
        <v>872</v>
      </c>
      <c r="G7277" s="501" t="s">
        <v>873</v>
      </c>
      <c r="H7277" s="501" t="s">
        <v>9250</v>
      </c>
      <c r="I7277" s="501">
        <v>46</v>
      </c>
      <c r="J7277" s="501">
        <v>45</v>
      </c>
      <c r="K7277" s="501">
        <v>0</v>
      </c>
      <c r="L7277" s="501">
        <v>0</v>
      </c>
      <c r="M7277" s="501">
        <v>0</v>
      </c>
      <c r="N7277" s="501">
        <v>0</v>
      </c>
      <c r="O7277" s="506">
        <v>1</v>
      </c>
    </row>
    <row r="7278" spans="1:15" x14ac:dyDescent="0.35">
      <c r="A7278" s="503" t="s">
        <v>2017</v>
      </c>
      <c r="B7278" s="504" t="s">
        <v>3101</v>
      </c>
      <c r="C7278" s="504" t="s">
        <v>1089</v>
      </c>
      <c r="D7278" s="504" t="s">
        <v>3392</v>
      </c>
      <c r="E7278" s="504" t="s">
        <v>3381</v>
      </c>
      <c r="F7278" s="504" t="s">
        <v>872</v>
      </c>
      <c r="G7278" s="504" t="s">
        <v>873</v>
      </c>
      <c r="H7278" s="504" t="s">
        <v>9251</v>
      </c>
      <c r="I7278" s="504">
        <v>87</v>
      </c>
      <c r="J7278" s="504">
        <v>78</v>
      </c>
      <c r="K7278" s="504">
        <v>0</v>
      </c>
      <c r="L7278" s="504">
        <v>0</v>
      </c>
      <c r="M7278" s="504">
        <v>9</v>
      </c>
      <c r="N7278" s="504">
        <v>0</v>
      </c>
      <c r="O7278" s="505">
        <v>0</v>
      </c>
    </row>
    <row r="7279" spans="1:15" x14ac:dyDescent="0.35">
      <c r="A7279" s="500" t="s">
        <v>1132</v>
      </c>
      <c r="B7279" s="501">
        <v>4837</v>
      </c>
      <c r="C7279" s="501" t="s">
        <v>1094</v>
      </c>
      <c r="D7279" s="501" t="s">
        <v>3380</v>
      </c>
      <c r="E7279" s="501" t="s">
        <v>3381</v>
      </c>
      <c r="F7279" s="501" t="s">
        <v>872</v>
      </c>
      <c r="G7279" s="501" t="s">
        <v>873</v>
      </c>
      <c r="H7279" s="501" t="s">
        <v>9252</v>
      </c>
      <c r="I7279" s="501">
        <v>1820</v>
      </c>
      <c r="J7279" s="501">
        <v>1378</v>
      </c>
      <c r="K7279" s="501">
        <v>0</v>
      </c>
      <c r="L7279" s="501">
        <v>0</v>
      </c>
      <c r="M7279" s="501">
        <v>0</v>
      </c>
      <c r="N7279" s="501">
        <v>0</v>
      </c>
      <c r="O7279" s="506">
        <v>442</v>
      </c>
    </row>
    <row r="7280" spans="1:15" x14ac:dyDescent="0.35">
      <c r="A7280" s="503" t="s">
        <v>2018</v>
      </c>
      <c r="B7280" s="504" t="s">
        <v>3136</v>
      </c>
      <c r="C7280" s="504" t="s">
        <v>1089</v>
      </c>
      <c r="D7280" s="504" t="s">
        <v>3392</v>
      </c>
      <c r="E7280" s="504" t="s">
        <v>3381</v>
      </c>
      <c r="F7280" s="504" t="s">
        <v>872</v>
      </c>
      <c r="G7280" s="504" t="s">
        <v>873</v>
      </c>
      <c r="H7280" s="504" t="s">
        <v>9253</v>
      </c>
      <c r="I7280" s="504">
        <v>1</v>
      </c>
      <c r="J7280" s="504">
        <v>1</v>
      </c>
      <c r="K7280" s="504">
        <v>0</v>
      </c>
      <c r="L7280" s="504">
        <v>0</v>
      </c>
      <c r="M7280" s="504">
        <v>0</v>
      </c>
      <c r="N7280" s="504">
        <v>0</v>
      </c>
      <c r="O7280" s="505">
        <v>0</v>
      </c>
    </row>
    <row r="7281" spans="1:15" x14ac:dyDescent="0.35">
      <c r="A7281" s="500" t="s">
        <v>1240</v>
      </c>
      <c r="B7281" s="501" t="s">
        <v>2972</v>
      </c>
      <c r="C7281" s="501" t="s">
        <v>1094</v>
      </c>
      <c r="D7281" s="501" t="s">
        <v>3380</v>
      </c>
      <c r="E7281" s="501" t="s">
        <v>3381</v>
      </c>
      <c r="F7281" s="501" t="s">
        <v>872</v>
      </c>
      <c r="G7281" s="501" t="s">
        <v>873</v>
      </c>
      <c r="H7281" s="501" t="s">
        <v>9254</v>
      </c>
      <c r="I7281" s="501">
        <v>145</v>
      </c>
      <c r="J7281" s="501">
        <v>136</v>
      </c>
      <c r="K7281" s="501">
        <v>0</v>
      </c>
      <c r="L7281" s="501">
        <v>0</v>
      </c>
      <c r="M7281" s="501">
        <v>0</v>
      </c>
      <c r="N7281" s="501">
        <v>0</v>
      </c>
      <c r="O7281" s="506">
        <v>9</v>
      </c>
    </row>
    <row r="7282" spans="1:15" x14ac:dyDescent="0.35">
      <c r="A7282" s="503" t="s">
        <v>1241</v>
      </c>
      <c r="B7282" s="504">
        <v>4717</v>
      </c>
      <c r="C7282" s="504" t="s">
        <v>1094</v>
      </c>
      <c r="D7282" s="504" t="s">
        <v>3380</v>
      </c>
      <c r="E7282" s="504" t="s">
        <v>3381</v>
      </c>
      <c r="F7282" s="504" t="s">
        <v>872</v>
      </c>
      <c r="G7282" s="504" t="s">
        <v>873</v>
      </c>
      <c r="H7282" s="504" t="s">
        <v>9255</v>
      </c>
      <c r="I7282" s="504">
        <v>11</v>
      </c>
      <c r="J7282" s="504">
        <v>11</v>
      </c>
      <c r="K7282" s="504">
        <v>0</v>
      </c>
      <c r="L7282" s="504">
        <v>0</v>
      </c>
      <c r="M7282" s="504">
        <v>0</v>
      </c>
      <c r="N7282" s="504">
        <v>0</v>
      </c>
      <c r="O7282" s="505">
        <v>0</v>
      </c>
    </row>
    <row r="7283" spans="1:15" x14ac:dyDescent="0.35">
      <c r="A7283" s="500" t="s">
        <v>1134</v>
      </c>
      <c r="B7283" s="501" t="s">
        <v>3066</v>
      </c>
      <c r="C7283" s="501" t="s">
        <v>1094</v>
      </c>
      <c r="D7283" s="501" t="s">
        <v>3380</v>
      </c>
      <c r="E7283" s="501" t="s">
        <v>3381</v>
      </c>
      <c r="F7283" s="501" t="s">
        <v>872</v>
      </c>
      <c r="G7283" s="501" t="s">
        <v>873</v>
      </c>
      <c r="H7283" s="501" t="s">
        <v>12174</v>
      </c>
      <c r="I7283" s="501">
        <v>4</v>
      </c>
      <c r="J7283" s="501">
        <v>0</v>
      </c>
      <c r="K7283" s="501">
        <v>0</v>
      </c>
      <c r="L7283" s="501">
        <v>0</v>
      </c>
      <c r="M7283" s="501">
        <v>0</v>
      </c>
      <c r="N7283" s="501">
        <v>0</v>
      </c>
      <c r="O7283" s="506">
        <v>4</v>
      </c>
    </row>
    <row r="7284" spans="1:15" x14ac:dyDescent="0.35">
      <c r="A7284" s="503" t="s">
        <v>2029</v>
      </c>
      <c r="B7284" s="504" t="s">
        <v>2878</v>
      </c>
      <c r="C7284" s="504" t="s">
        <v>1089</v>
      </c>
      <c r="D7284" s="504" t="s">
        <v>3392</v>
      </c>
      <c r="E7284" s="504" t="s">
        <v>3381</v>
      </c>
      <c r="F7284" s="504" t="s">
        <v>872</v>
      </c>
      <c r="G7284" s="504" t="s">
        <v>873</v>
      </c>
      <c r="H7284" s="504" t="s">
        <v>15059</v>
      </c>
      <c r="I7284" s="504">
        <v>7</v>
      </c>
      <c r="J7284" s="504">
        <v>0</v>
      </c>
      <c r="K7284" s="504">
        <v>0</v>
      </c>
      <c r="L7284" s="504">
        <v>0</v>
      </c>
      <c r="M7284" s="504">
        <v>7</v>
      </c>
      <c r="N7284" s="504">
        <v>0</v>
      </c>
      <c r="O7284" s="505">
        <v>0</v>
      </c>
    </row>
    <row r="7285" spans="1:15" x14ac:dyDescent="0.35">
      <c r="A7285" s="500" t="s">
        <v>1248</v>
      </c>
      <c r="B7285" s="501">
        <v>4706</v>
      </c>
      <c r="C7285" s="501" t="s">
        <v>1089</v>
      </c>
      <c r="D7285" s="501" t="s">
        <v>3392</v>
      </c>
      <c r="E7285" s="501" t="s">
        <v>3381</v>
      </c>
      <c r="F7285" s="501" t="s">
        <v>872</v>
      </c>
      <c r="G7285" s="501" t="s">
        <v>873</v>
      </c>
      <c r="H7285" s="501" t="s">
        <v>9256</v>
      </c>
      <c r="I7285" s="501">
        <v>41</v>
      </c>
      <c r="J7285" s="501">
        <v>0</v>
      </c>
      <c r="K7285" s="501">
        <v>0</v>
      </c>
      <c r="L7285" s="501">
        <v>0</v>
      </c>
      <c r="M7285" s="501">
        <v>41</v>
      </c>
      <c r="N7285" s="501">
        <v>0</v>
      </c>
      <c r="O7285" s="506">
        <v>0</v>
      </c>
    </row>
    <row r="7286" spans="1:15" x14ac:dyDescent="0.35">
      <c r="A7286" s="503" t="s">
        <v>1249</v>
      </c>
      <c r="B7286" s="504">
        <v>4729</v>
      </c>
      <c r="C7286" s="504" t="s">
        <v>1094</v>
      </c>
      <c r="D7286" s="504" t="s">
        <v>3380</v>
      </c>
      <c r="E7286" s="504" t="s">
        <v>3381</v>
      </c>
      <c r="F7286" s="504" t="s">
        <v>872</v>
      </c>
      <c r="G7286" s="504" t="s">
        <v>873</v>
      </c>
      <c r="H7286" s="504" t="s">
        <v>9257</v>
      </c>
      <c r="I7286" s="504">
        <v>155</v>
      </c>
      <c r="J7286" s="504">
        <v>146</v>
      </c>
      <c r="K7286" s="504">
        <v>0</v>
      </c>
      <c r="L7286" s="504">
        <v>0</v>
      </c>
      <c r="M7286" s="504">
        <v>0</v>
      </c>
      <c r="N7286" s="504">
        <v>0</v>
      </c>
      <c r="O7286" s="505">
        <v>9</v>
      </c>
    </row>
    <row r="7287" spans="1:15" x14ac:dyDescent="0.35">
      <c r="A7287" s="500" t="s">
        <v>14421</v>
      </c>
      <c r="B7287" s="501" t="s">
        <v>2454</v>
      </c>
      <c r="C7287" s="501" t="s">
        <v>1089</v>
      </c>
      <c r="D7287" s="501" t="s">
        <v>3392</v>
      </c>
      <c r="E7287" s="501" t="s">
        <v>3381</v>
      </c>
      <c r="F7287" s="501" t="s">
        <v>872</v>
      </c>
      <c r="G7287" s="501" t="s">
        <v>873</v>
      </c>
      <c r="H7287" s="501" t="s">
        <v>15060</v>
      </c>
      <c r="I7287" s="501">
        <v>10</v>
      </c>
      <c r="J7287" s="501">
        <v>10</v>
      </c>
      <c r="K7287" s="501">
        <v>0</v>
      </c>
      <c r="L7287" s="501">
        <v>0</v>
      </c>
      <c r="M7287" s="501">
        <v>0</v>
      </c>
      <c r="N7287" s="501">
        <v>0</v>
      </c>
      <c r="O7287" s="506">
        <v>0</v>
      </c>
    </row>
    <row r="7288" spans="1:15" x14ac:dyDescent="0.35">
      <c r="A7288" s="503" t="s">
        <v>1253</v>
      </c>
      <c r="B7288" s="504" t="s">
        <v>3232</v>
      </c>
      <c r="C7288" s="504" t="s">
        <v>1094</v>
      </c>
      <c r="D7288" s="504" t="s">
        <v>3380</v>
      </c>
      <c r="E7288" s="504" t="s">
        <v>3381</v>
      </c>
      <c r="F7288" s="504" t="s">
        <v>872</v>
      </c>
      <c r="G7288" s="504" t="s">
        <v>873</v>
      </c>
      <c r="H7288" s="504" t="s">
        <v>9258</v>
      </c>
      <c r="I7288" s="504">
        <v>65</v>
      </c>
      <c r="J7288" s="504">
        <v>0</v>
      </c>
      <c r="K7288" s="504">
        <v>0</v>
      </c>
      <c r="L7288" s="504">
        <v>19</v>
      </c>
      <c r="M7288" s="504">
        <v>46</v>
      </c>
      <c r="N7288" s="504">
        <v>0</v>
      </c>
      <c r="O7288" s="505">
        <v>0</v>
      </c>
    </row>
    <row r="7289" spans="1:15" x14ac:dyDescent="0.35">
      <c r="A7289" s="500" t="s">
        <v>1093</v>
      </c>
      <c r="B7289" s="501" t="s">
        <v>3248</v>
      </c>
      <c r="C7289" s="501" t="s">
        <v>1094</v>
      </c>
      <c r="D7289" s="501" t="s">
        <v>3380</v>
      </c>
      <c r="E7289" s="501" t="s">
        <v>3381</v>
      </c>
      <c r="F7289" s="501" t="s">
        <v>874</v>
      </c>
      <c r="G7289" s="501" t="s">
        <v>875</v>
      </c>
      <c r="H7289" s="501" t="s">
        <v>9259</v>
      </c>
      <c r="I7289" s="501">
        <v>10</v>
      </c>
      <c r="J7289" s="501">
        <v>0</v>
      </c>
      <c r="K7289" s="501">
        <v>0</v>
      </c>
      <c r="L7289" s="501">
        <v>0</v>
      </c>
      <c r="M7289" s="501">
        <v>0</v>
      </c>
      <c r="N7289" s="501">
        <v>0</v>
      </c>
      <c r="O7289" s="506">
        <v>10</v>
      </c>
    </row>
    <row r="7290" spans="1:15" x14ac:dyDescent="0.35">
      <c r="A7290" s="503" t="s">
        <v>1096</v>
      </c>
      <c r="B7290" s="504" t="s">
        <v>3326</v>
      </c>
      <c r="C7290" s="504" t="s">
        <v>1094</v>
      </c>
      <c r="D7290" s="504" t="s">
        <v>3380</v>
      </c>
      <c r="E7290" s="504" t="s">
        <v>3381</v>
      </c>
      <c r="F7290" s="504" t="s">
        <v>874</v>
      </c>
      <c r="G7290" s="504" t="s">
        <v>875</v>
      </c>
      <c r="H7290" s="504" t="s">
        <v>9260</v>
      </c>
      <c r="I7290" s="504">
        <v>28</v>
      </c>
      <c r="J7290" s="504">
        <v>0</v>
      </c>
      <c r="K7290" s="504">
        <v>0</v>
      </c>
      <c r="L7290" s="504">
        <v>0</v>
      </c>
      <c r="M7290" s="504">
        <v>28</v>
      </c>
      <c r="N7290" s="504">
        <v>0</v>
      </c>
      <c r="O7290" s="505">
        <v>0</v>
      </c>
    </row>
    <row r="7291" spans="1:15" x14ac:dyDescent="0.35">
      <c r="A7291" s="500" t="s">
        <v>1098</v>
      </c>
      <c r="B7291" s="501">
        <v>4691</v>
      </c>
      <c r="C7291" s="501" t="s">
        <v>1094</v>
      </c>
      <c r="D7291" s="501" t="s">
        <v>3380</v>
      </c>
      <c r="E7291" s="501" t="s">
        <v>3381</v>
      </c>
      <c r="F7291" s="501" t="s">
        <v>874</v>
      </c>
      <c r="G7291" s="501" t="s">
        <v>875</v>
      </c>
      <c r="H7291" s="501" t="s">
        <v>9261</v>
      </c>
      <c r="I7291" s="501">
        <v>58</v>
      </c>
      <c r="J7291" s="501">
        <v>32</v>
      </c>
      <c r="K7291" s="501">
        <v>0</v>
      </c>
      <c r="L7291" s="501">
        <v>0</v>
      </c>
      <c r="M7291" s="501">
        <v>0</v>
      </c>
      <c r="N7291" s="501">
        <v>0</v>
      </c>
      <c r="O7291" s="506">
        <v>26</v>
      </c>
    </row>
    <row r="7292" spans="1:15" x14ac:dyDescent="0.35">
      <c r="A7292" s="503" t="s">
        <v>1808</v>
      </c>
      <c r="B7292" s="504" t="s">
        <v>3242</v>
      </c>
      <c r="C7292" s="504" t="s">
        <v>1094</v>
      </c>
      <c r="D7292" s="504" t="s">
        <v>3380</v>
      </c>
      <c r="E7292" s="504" t="s">
        <v>3381</v>
      </c>
      <c r="F7292" s="504" t="s">
        <v>874</v>
      </c>
      <c r="G7292" s="504" t="s">
        <v>875</v>
      </c>
      <c r="H7292" s="504" t="s">
        <v>9262</v>
      </c>
      <c r="I7292" s="504">
        <v>19</v>
      </c>
      <c r="J7292" s="504">
        <v>0</v>
      </c>
      <c r="K7292" s="504">
        <v>0</v>
      </c>
      <c r="L7292" s="504">
        <v>19</v>
      </c>
      <c r="M7292" s="504">
        <v>0</v>
      </c>
      <c r="N7292" s="504">
        <v>0</v>
      </c>
      <c r="O7292" s="505">
        <v>0</v>
      </c>
    </row>
    <row r="7293" spans="1:15" x14ac:dyDescent="0.35">
      <c r="A7293" s="500" t="s">
        <v>1161</v>
      </c>
      <c r="B7293" s="501" t="s">
        <v>3001</v>
      </c>
      <c r="C7293" s="501" t="s">
        <v>1094</v>
      </c>
      <c r="D7293" s="501" t="s">
        <v>3380</v>
      </c>
      <c r="E7293" s="501" t="s">
        <v>3381</v>
      </c>
      <c r="F7293" s="501" t="s">
        <v>874</v>
      </c>
      <c r="G7293" s="501" t="s">
        <v>875</v>
      </c>
      <c r="H7293" s="501" t="s">
        <v>9263</v>
      </c>
      <c r="I7293" s="501">
        <v>1</v>
      </c>
      <c r="J7293" s="501">
        <v>0</v>
      </c>
      <c r="K7293" s="501">
        <v>0</v>
      </c>
      <c r="L7293" s="501">
        <v>0</v>
      </c>
      <c r="M7293" s="501">
        <v>0</v>
      </c>
      <c r="N7293" s="501">
        <v>0</v>
      </c>
      <c r="O7293" s="506">
        <v>1</v>
      </c>
    </row>
    <row r="7294" spans="1:15" x14ac:dyDescent="0.35">
      <c r="A7294" s="503" t="s">
        <v>1100</v>
      </c>
      <c r="B7294" s="504">
        <v>4865</v>
      </c>
      <c r="C7294" s="504" t="s">
        <v>1094</v>
      </c>
      <c r="D7294" s="504" t="s">
        <v>3380</v>
      </c>
      <c r="E7294" s="504" t="s">
        <v>3381</v>
      </c>
      <c r="F7294" s="504" t="s">
        <v>874</v>
      </c>
      <c r="G7294" s="504" t="s">
        <v>875</v>
      </c>
      <c r="H7294" s="504" t="s">
        <v>15061</v>
      </c>
      <c r="I7294" s="504">
        <v>30</v>
      </c>
      <c r="J7294" s="504">
        <v>8</v>
      </c>
      <c r="K7294" s="504">
        <v>0</v>
      </c>
      <c r="L7294" s="504">
        <v>0</v>
      </c>
      <c r="M7294" s="504">
        <v>0</v>
      </c>
      <c r="N7294" s="504">
        <v>0</v>
      </c>
      <c r="O7294" s="505">
        <v>22</v>
      </c>
    </row>
    <row r="7295" spans="1:15" x14ac:dyDescent="0.35">
      <c r="A7295" s="500" t="s">
        <v>1102</v>
      </c>
      <c r="B7295" s="501">
        <v>4663</v>
      </c>
      <c r="C7295" s="501" t="s">
        <v>1089</v>
      </c>
      <c r="D7295" s="501" t="s">
        <v>3392</v>
      </c>
      <c r="E7295" s="501" t="s">
        <v>3381</v>
      </c>
      <c r="F7295" s="501" t="s">
        <v>874</v>
      </c>
      <c r="G7295" s="501" t="s">
        <v>875</v>
      </c>
      <c r="H7295" s="501" t="s">
        <v>9264</v>
      </c>
      <c r="I7295" s="501">
        <v>4</v>
      </c>
      <c r="J7295" s="501">
        <v>0</v>
      </c>
      <c r="K7295" s="501">
        <v>0</v>
      </c>
      <c r="L7295" s="501">
        <v>4</v>
      </c>
      <c r="M7295" s="501">
        <v>0</v>
      </c>
      <c r="N7295" s="501">
        <v>0</v>
      </c>
      <c r="O7295" s="506">
        <v>0</v>
      </c>
    </row>
    <row r="7296" spans="1:15" x14ac:dyDescent="0.35">
      <c r="A7296" s="503" t="s">
        <v>14208</v>
      </c>
      <c r="B7296" s="504">
        <v>4803</v>
      </c>
      <c r="C7296" s="504" t="s">
        <v>1094</v>
      </c>
      <c r="D7296" s="504" t="s">
        <v>3380</v>
      </c>
      <c r="E7296" s="504" t="s">
        <v>3381</v>
      </c>
      <c r="F7296" s="504" t="s">
        <v>874</v>
      </c>
      <c r="G7296" s="504" t="s">
        <v>875</v>
      </c>
      <c r="H7296" s="504" t="s">
        <v>15062</v>
      </c>
      <c r="I7296" s="504">
        <v>9</v>
      </c>
      <c r="J7296" s="504">
        <v>0</v>
      </c>
      <c r="K7296" s="504">
        <v>0</v>
      </c>
      <c r="L7296" s="504">
        <v>9</v>
      </c>
      <c r="M7296" s="504">
        <v>0</v>
      </c>
      <c r="N7296" s="504">
        <v>0</v>
      </c>
      <c r="O7296" s="505">
        <v>0</v>
      </c>
    </row>
    <row r="7297" spans="1:15" x14ac:dyDescent="0.35">
      <c r="A7297" s="500" t="s">
        <v>1985</v>
      </c>
      <c r="B7297" s="501" t="s">
        <v>3210</v>
      </c>
      <c r="C7297" s="501" t="s">
        <v>1089</v>
      </c>
      <c r="D7297" s="501" t="s">
        <v>3392</v>
      </c>
      <c r="E7297" s="501" t="s">
        <v>3381</v>
      </c>
      <c r="F7297" s="501" t="s">
        <v>874</v>
      </c>
      <c r="G7297" s="501" t="s">
        <v>875</v>
      </c>
      <c r="H7297" s="501" t="s">
        <v>9265</v>
      </c>
      <c r="I7297" s="501">
        <v>1</v>
      </c>
      <c r="J7297" s="501">
        <v>1</v>
      </c>
      <c r="K7297" s="501">
        <v>0</v>
      </c>
      <c r="L7297" s="501">
        <v>0</v>
      </c>
      <c r="M7297" s="501">
        <v>0</v>
      </c>
      <c r="N7297" s="501">
        <v>0</v>
      </c>
      <c r="O7297" s="506">
        <v>0</v>
      </c>
    </row>
    <row r="7298" spans="1:15" x14ac:dyDescent="0.35">
      <c r="A7298" s="503" t="s">
        <v>1187</v>
      </c>
      <c r="B7298" s="504" t="s">
        <v>2951</v>
      </c>
      <c r="C7298" s="504" t="s">
        <v>1094</v>
      </c>
      <c r="D7298" s="504" t="s">
        <v>3380</v>
      </c>
      <c r="E7298" s="504" t="s">
        <v>3381</v>
      </c>
      <c r="F7298" s="504" t="s">
        <v>874</v>
      </c>
      <c r="G7298" s="504" t="s">
        <v>875</v>
      </c>
      <c r="H7298" s="504" t="s">
        <v>9266</v>
      </c>
      <c r="I7298" s="504">
        <v>44</v>
      </c>
      <c r="J7298" s="504">
        <v>44</v>
      </c>
      <c r="K7298" s="504">
        <v>0</v>
      </c>
      <c r="L7298" s="504">
        <v>0</v>
      </c>
      <c r="M7298" s="504">
        <v>0</v>
      </c>
      <c r="N7298" s="504">
        <v>0</v>
      </c>
      <c r="O7298" s="505">
        <v>0</v>
      </c>
    </row>
    <row r="7299" spans="1:15" x14ac:dyDescent="0.35">
      <c r="A7299" s="500" t="s">
        <v>1105</v>
      </c>
      <c r="B7299" s="501">
        <v>4668</v>
      </c>
      <c r="C7299" s="501" t="s">
        <v>1094</v>
      </c>
      <c r="D7299" s="501" t="s">
        <v>3380</v>
      </c>
      <c r="E7299" s="501" t="s">
        <v>3381</v>
      </c>
      <c r="F7299" s="501" t="s">
        <v>874</v>
      </c>
      <c r="G7299" s="501" t="s">
        <v>875</v>
      </c>
      <c r="H7299" s="501" t="s">
        <v>9267</v>
      </c>
      <c r="I7299" s="501">
        <v>15</v>
      </c>
      <c r="J7299" s="501">
        <v>0</v>
      </c>
      <c r="K7299" s="501">
        <v>0</v>
      </c>
      <c r="L7299" s="501">
        <v>0</v>
      </c>
      <c r="M7299" s="501">
        <v>0</v>
      </c>
      <c r="N7299" s="501">
        <v>0</v>
      </c>
      <c r="O7299" s="506">
        <v>15</v>
      </c>
    </row>
    <row r="7300" spans="1:15" x14ac:dyDescent="0.35">
      <c r="A7300" s="503" t="s">
        <v>1190</v>
      </c>
      <c r="B7300" s="504">
        <v>4662</v>
      </c>
      <c r="C7300" s="504" t="s">
        <v>1094</v>
      </c>
      <c r="D7300" s="504" t="s">
        <v>3380</v>
      </c>
      <c r="E7300" s="504" t="s">
        <v>3381</v>
      </c>
      <c r="F7300" s="504" t="s">
        <v>874</v>
      </c>
      <c r="G7300" s="504" t="s">
        <v>875</v>
      </c>
      <c r="H7300" s="504" t="s">
        <v>9268</v>
      </c>
      <c r="I7300" s="504">
        <v>5</v>
      </c>
      <c r="J7300" s="504">
        <v>0</v>
      </c>
      <c r="K7300" s="504">
        <v>0</v>
      </c>
      <c r="L7300" s="504">
        <v>5</v>
      </c>
      <c r="M7300" s="504">
        <v>0</v>
      </c>
      <c r="N7300" s="504">
        <v>0</v>
      </c>
      <c r="O7300" s="505">
        <v>0</v>
      </c>
    </row>
    <row r="7301" spans="1:15" x14ac:dyDescent="0.35">
      <c r="A7301" s="500" t="s">
        <v>1310</v>
      </c>
      <c r="B7301" s="501">
        <v>5062</v>
      </c>
      <c r="C7301" s="501" t="s">
        <v>1089</v>
      </c>
      <c r="D7301" s="501" t="s">
        <v>3380</v>
      </c>
      <c r="E7301" s="501" t="s">
        <v>3381</v>
      </c>
      <c r="F7301" s="501" t="s">
        <v>874</v>
      </c>
      <c r="G7301" s="501" t="s">
        <v>875</v>
      </c>
      <c r="H7301" s="501" t="s">
        <v>15063</v>
      </c>
      <c r="I7301" s="501">
        <v>25</v>
      </c>
      <c r="J7301" s="501">
        <v>0</v>
      </c>
      <c r="K7301" s="501">
        <v>0</v>
      </c>
      <c r="L7301" s="501">
        <v>0</v>
      </c>
      <c r="M7301" s="501">
        <v>0</v>
      </c>
      <c r="N7301" s="501">
        <v>0</v>
      </c>
      <c r="O7301" s="506">
        <v>25</v>
      </c>
    </row>
    <row r="7302" spans="1:15" x14ac:dyDescent="0.35">
      <c r="A7302" s="503" t="s">
        <v>1111</v>
      </c>
      <c r="B7302" s="504">
        <v>4873</v>
      </c>
      <c r="C7302" s="504" t="s">
        <v>1094</v>
      </c>
      <c r="D7302" s="504" t="s">
        <v>3380</v>
      </c>
      <c r="E7302" s="504" t="s">
        <v>3381</v>
      </c>
      <c r="F7302" s="504" t="s">
        <v>874</v>
      </c>
      <c r="G7302" s="504" t="s">
        <v>875</v>
      </c>
      <c r="H7302" s="504" t="s">
        <v>9269</v>
      </c>
      <c r="I7302" s="504">
        <v>3670</v>
      </c>
      <c r="J7302" s="504">
        <v>2927</v>
      </c>
      <c r="K7302" s="504">
        <v>0</v>
      </c>
      <c r="L7302" s="504">
        <v>9</v>
      </c>
      <c r="M7302" s="504">
        <v>382</v>
      </c>
      <c r="N7302" s="504">
        <v>0</v>
      </c>
      <c r="O7302" s="505">
        <v>352</v>
      </c>
    </row>
    <row r="7303" spans="1:15" x14ac:dyDescent="0.35">
      <c r="A7303" s="500" t="s">
        <v>2004</v>
      </c>
      <c r="B7303" s="501" t="s">
        <v>3226</v>
      </c>
      <c r="C7303" s="501" t="s">
        <v>1094</v>
      </c>
      <c r="D7303" s="501" t="s">
        <v>3380</v>
      </c>
      <c r="E7303" s="501" t="s">
        <v>3381</v>
      </c>
      <c r="F7303" s="501" t="s">
        <v>874</v>
      </c>
      <c r="G7303" s="501" t="s">
        <v>875</v>
      </c>
      <c r="H7303" s="501" t="s">
        <v>15064</v>
      </c>
      <c r="I7303" s="501">
        <v>25</v>
      </c>
      <c r="J7303" s="501">
        <v>13</v>
      </c>
      <c r="K7303" s="501">
        <v>0</v>
      </c>
      <c r="L7303" s="501">
        <v>0</v>
      </c>
      <c r="M7303" s="501">
        <v>0</v>
      </c>
      <c r="N7303" s="501">
        <v>0</v>
      </c>
      <c r="O7303" s="506">
        <v>12</v>
      </c>
    </row>
    <row r="7304" spans="1:15" x14ac:dyDescent="0.35">
      <c r="A7304" s="503" t="s">
        <v>1228</v>
      </c>
      <c r="B7304" s="504" t="s">
        <v>3321</v>
      </c>
      <c r="C7304" s="504" t="s">
        <v>1094</v>
      </c>
      <c r="D7304" s="504" t="s">
        <v>3380</v>
      </c>
      <c r="E7304" s="504" t="s">
        <v>3381</v>
      </c>
      <c r="F7304" s="504" t="s">
        <v>874</v>
      </c>
      <c r="G7304" s="504" t="s">
        <v>875</v>
      </c>
      <c r="H7304" s="504" t="s">
        <v>9270</v>
      </c>
      <c r="I7304" s="504">
        <v>4</v>
      </c>
      <c r="J7304" s="504">
        <v>0</v>
      </c>
      <c r="K7304" s="504">
        <v>0</v>
      </c>
      <c r="L7304" s="504">
        <v>4</v>
      </c>
      <c r="M7304" s="504">
        <v>0</v>
      </c>
      <c r="N7304" s="504">
        <v>0</v>
      </c>
      <c r="O7304" s="505">
        <v>0</v>
      </c>
    </row>
    <row r="7305" spans="1:15" x14ac:dyDescent="0.35">
      <c r="A7305" s="500" t="s">
        <v>1126</v>
      </c>
      <c r="B7305" s="501" t="s">
        <v>2974</v>
      </c>
      <c r="C7305" s="501" t="s">
        <v>1094</v>
      </c>
      <c r="D7305" s="501" t="s">
        <v>3380</v>
      </c>
      <c r="E7305" s="501" t="s">
        <v>3381</v>
      </c>
      <c r="F7305" s="501" t="s">
        <v>874</v>
      </c>
      <c r="G7305" s="501" t="s">
        <v>875</v>
      </c>
      <c r="H7305" s="501" t="s">
        <v>9271</v>
      </c>
      <c r="I7305" s="501">
        <v>60</v>
      </c>
      <c r="J7305" s="501">
        <v>46</v>
      </c>
      <c r="K7305" s="501">
        <v>0</v>
      </c>
      <c r="L7305" s="501">
        <v>0</v>
      </c>
      <c r="M7305" s="501">
        <v>14</v>
      </c>
      <c r="N7305" s="501">
        <v>0</v>
      </c>
      <c r="O7305" s="506">
        <v>0</v>
      </c>
    </row>
    <row r="7306" spans="1:15" x14ac:dyDescent="0.35">
      <c r="A7306" s="503" t="s">
        <v>2016</v>
      </c>
      <c r="B7306" s="504" t="s">
        <v>3265</v>
      </c>
      <c r="C7306" s="504" t="s">
        <v>1089</v>
      </c>
      <c r="D7306" s="504" t="s">
        <v>3392</v>
      </c>
      <c r="E7306" s="504" t="s">
        <v>3381</v>
      </c>
      <c r="F7306" s="504" t="s">
        <v>874</v>
      </c>
      <c r="G7306" s="504" t="s">
        <v>875</v>
      </c>
      <c r="H7306" s="504" t="s">
        <v>9272</v>
      </c>
      <c r="I7306" s="504">
        <v>246</v>
      </c>
      <c r="J7306" s="504">
        <v>196</v>
      </c>
      <c r="K7306" s="504">
        <v>0</v>
      </c>
      <c r="L7306" s="504">
        <v>11</v>
      </c>
      <c r="M7306" s="504">
        <v>39</v>
      </c>
      <c r="N7306" s="504">
        <v>0</v>
      </c>
      <c r="O7306" s="505">
        <v>0</v>
      </c>
    </row>
    <row r="7307" spans="1:15" x14ac:dyDescent="0.35">
      <c r="A7307" s="500" t="s">
        <v>2017</v>
      </c>
      <c r="B7307" s="501" t="s">
        <v>3101</v>
      </c>
      <c r="C7307" s="501" t="s">
        <v>1089</v>
      </c>
      <c r="D7307" s="501" t="s">
        <v>3392</v>
      </c>
      <c r="E7307" s="501" t="s">
        <v>3381</v>
      </c>
      <c r="F7307" s="501" t="s">
        <v>874</v>
      </c>
      <c r="G7307" s="501" t="s">
        <v>875</v>
      </c>
      <c r="H7307" s="501" t="s">
        <v>9273</v>
      </c>
      <c r="I7307" s="501">
        <v>91</v>
      </c>
      <c r="J7307" s="501">
        <v>51</v>
      </c>
      <c r="K7307" s="501">
        <v>0</v>
      </c>
      <c r="L7307" s="501">
        <v>0</v>
      </c>
      <c r="M7307" s="501">
        <v>40</v>
      </c>
      <c r="N7307" s="501">
        <v>0</v>
      </c>
      <c r="O7307" s="506">
        <v>0</v>
      </c>
    </row>
    <row r="7308" spans="1:15" x14ac:dyDescent="0.35">
      <c r="A7308" s="503" t="s">
        <v>1132</v>
      </c>
      <c r="B7308" s="504">
        <v>4837</v>
      </c>
      <c r="C7308" s="504" t="s">
        <v>1094</v>
      </c>
      <c r="D7308" s="504" t="s">
        <v>3380</v>
      </c>
      <c r="E7308" s="504" t="s">
        <v>3381</v>
      </c>
      <c r="F7308" s="504" t="s">
        <v>874</v>
      </c>
      <c r="G7308" s="504" t="s">
        <v>875</v>
      </c>
      <c r="H7308" s="504" t="s">
        <v>9274</v>
      </c>
      <c r="I7308" s="504">
        <v>242</v>
      </c>
      <c r="J7308" s="504">
        <v>177</v>
      </c>
      <c r="K7308" s="504">
        <v>0</v>
      </c>
      <c r="L7308" s="504">
        <v>20</v>
      </c>
      <c r="M7308" s="504">
        <v>0</v>
      </c>
      <c r="N7308" s="504">
        <v>0</v>
      </c>
      <c r="O7308" s="505">
        <v>45</v>
      </c>
    </row>
    <row r="7309" spans="1:15" x14ac:dyDescent="0.35">
      <c r="A7309" s="500" t="s">
        <v>2021</v>
      </c>
      <c r="B7309" s="501" t="s">
        <v>3099</v>
      </c>
      <c r="C7309" s="501" t="s">
        <v>1089</v>
      </c>
      <c r="D7309" s="501" t="s">
        <v>3392</v>
      </c>
      <c r="E7309" s="501" t="s">
        <v>3381</v>
      </c>
      <c r="F7309" s="501" t="s">
        <v>874</v>
      </c>
      <c r="G7309" s="501" t="s">
        <v>875</v>
      </c>
      <c r="H7309" s="501" t="s">
        <v>9275</v>
      </c>
      <c r="I7309" s="501">
        <v>23</v>
      </c>
      <c r="J7309" s="501">
        <v>23</v>
      </c>
      <c r="K7309" s="501">
        <v>0</v>
      </c>
      <c r="L7309" s="501">
        <v>0</v>
      </c>
      <c r="M7309" s="501">
        <v>0</v>
      </c>
      <c r="N7309" s="501">
        <v>0</v>
      </c>
      <c r="O7309" s="506">
        <v>0</v>
      </c>
    </row>
    <row r="7310" spans="1:15" x14ac:dyDescent="0.35">
      <c r="A7310" s="503" t="s">
        <v>2023</v>
      </c>
      <c r="B7310" s="504" t="s">
        <v>3357</v>
      </c>
      <c r="C7310" s="504" t="s">
        <v>1094</v>
      </c>
      <c r="D7310" s="504" t="s">
        <v>3380</v>
      </c>
      <c r="E7310" s="504" t="s">
        <v>3381</v>
      </c>
      <c r="F7310" s="504" t="s">
        <v>874</v>
      </c>
      <c r="G7310" s="504" t="s">
        <v>875</v>
      </c>
      <c r="H7310" s="504" t="s">
        <v>9276</v>
      </c>
      <c r="I7310" s="504">
        <v>37</v>
      </c>
      <c r="J7310" s="504">
        <v>29</v>
      </c>
      <c r="K7310" s="504">
        <v>0</v>
      </c>
      <c r="L7310" s="504">
        <v>0</v>
      </c>
      <c r="M7310" s="504">
        <v>0</v>
      </c>
      <c r="N7310" s="504">
        <v>0</v>
      </c>
      <c r="O7310" s="505">
        <v>8</v>
      </c>
    </row>
    <row r="7311" spans="1:15" x14ac:dyDescent="0.35">
      <c r="A7311" s="500" t="s">
        <v>1245</v>
      </c>
      <c r="B7311" s="501" t="s">
        <v>2859</v>
      </c>
      <c r="C7311" s="501" t="s">
        <v>1094</v>
      </c>
      <c r="D7311" s="501" t="s">
        <v>3380</v>
      </c>
      <c r="E7311" s="501" t="s">
        <v>3381</v>
      </c>
      <c r="F7311" s="501" t="s">
        <v>874</v>
      </c>
      <c r="G7311" s="501" t="s">
        <v>875</v>
      </c>
      <c r="H7311" s="501" t="s">
        <v>9277</v>
      </c>
      <c r="I7311" s="501">
        <v>16</v>
      </c>
      <c r="J7311" s="501">
        <v>0</v>
      </c>
      <c r="K7311" s="501">
        <v>0</v>
      </c>
      <c r="L7311" s="501">
        <v>0</v>
      </c>
      <c r="M7311" s="501">
        <v>16</v>
      </c>
      <c r="N7311" s="501">
        <v>0</v>
      </c>
      <c r="O7311" s="506">
        <v>0</v>
      </c>
    </row>
    <row r="7312" spans="1:15" x14ac:dyDescent="0.35">
      <c r="A7312" s="503" t="s">
        <v>2034</v>
      </c>
      <c r="B7312" s="504" t="s">
        <v>2913</v>
      </c>
      <c r="C7312" s="504" t="s">
        <v>1089</v>
      </c>
      <c r="D7312" s="504" t="s">
        <v>3392</v>
      </c>
      <c r="E7312" s="504" t="s">
        <v>3381</v>
      </c>
      <c r="F7312" s="504" t="s">
        <v>874</v>
      </c>
      <c r="G7312" s="504" t="s">
        <v>875</v>
      </c>
      <c r="H7312" s="504" t="s">
        <v>9278</v>
      </c>
      <c r="I7312" s="504">
        <v>11</v>
      </c>
      <c r="J7312" s="504">
        <v>0</v>
      </c>
      <c r="K7312" s="504">
        <v>0</v>
      </c>
      <c r="L7312" s="504">
        <v>0</v>
      </c>
      <c r="M7312" s="504">
        <v>11</v>
      </c>
      <c r="N7312" s="504">
        <v>0</v>
      </c>
      <c r="O7312" s="505">
        <v>0</v>
      </c>
    </row>
    <row r="7313" spans="1:15" x14ac:dyDescent="0.35">
      <c r="A7313" s="500" t="s">
        <v>1249</v>
      </c>
      <c r="B7313" s="501">
        <v>4729</v>
      </c>
      <c r="C7313" s="501" t="s">
        <v>1094</v>
      </c>
      <c r="D7313" s="501" t="s">
        <v>3380</v>
      </c>
      <c r="E7313" s="501" t="s">
        <v>3381</v>
      </c>
      <c r="F7313" s="501" t="s">
        <v>874</v>
      </c>
      <c r="G7313" s="501" t="s">
        <v>875</v>
      </c>
      <c r="H7313" s="501" t="s">
        <v>9279</v>
      </c>
      <c r="I7313" s="501">
        <v>372</v>
      </c>
      <c r="J7313" s="501">
        <v>282</v>
      </c>
      <c r="K7313" s="501">
        <v>0</v>
      </c>
      <c r="L7313" s="501">
        <v>0</v>
      </c>
      <c r="M7313" s="501">
        <v>66</v>
      </c>
      <c r="N7313" s="501">
        <v>0</v>
      </c>
      <c r="O7313" s="506">
        <v>24</v>
      </c>
    </row>
    <row r="7314" spans="1:15" x14ac:dyDescent="0.35">
      <c r="A7314" s="503" t="s">
        <v>2050</v>
      </c>
      <c r="B7314" s="504">
        <v>4826</v>
      </c>
      <c r="C7314" s="504" t="s">
        <v>1094</v>
      </c>
      <c r="D7314" s="504" t="s">
        <v>3380</v>
      </c>
      <c r="E7314" s="504" t="s">
        <v>3381</v>
      </c>
      <c r="F7314" s="504" t="s">
        <v>874</v>
      </c>
      <c r="G7314" s="504" t="s">
        <v>875</v>
      </c>
      <c r="H7314" s="504" t="s">
        <v>9280</v>
      </c>
      <c r="I7314" s="504">
        <v>302</v>
      </c>
      <c r="J7314" s="504">
        <v>204</v>
      </c>
      <c r="K7314" s="504">
        <v>0</v>
      </c>
      <c r="L7314" s="504">
        <v>17</v>
      </c>
      <c r="M7314" s="504">
        <v>0</v>
      </c>
      <c r="N7314" s="504">
        <v>0</v>
      </c>
      <c r="O7314" s="505">
        <v>81</v>
      </c>
    </row>
    <row r="7315" spans="1:15" x14ac:dyDescent="0.35">
      <c r="A7315" s="500" t="s">
        <v>1143</v>
      </c>
      <c r="B7315" s="501" t="s">
        <v>3281</v>
      </c>
      <c r="C7315" s="501" t="s">
        <v>1094</v>
      </c>
      <c r="D7315" s="501" t="s">
        <v>3380</v>
      </c>
      <c r="E7315" s="501" t="s">
        <v>3381</v>
      </c>
      <c r="F7315" s="501" t="s">
        <v>876</v>
      </c>
      <c r="G7315" s="501" t="s">
        <v>877</v>
      </c>
      <c r="H7315" s="501" t="s">
        <v>9281</v>
      </c>
      <c r="I7315" s="501">
        <v>124</v>
      </c>
      <c r="J7315" s="501">
        <v>90</v>
      </c>
      <c r="K7315" s="501">
        <v>0</v>
      </c>
      <c r="L7315" s="501">
        <v>0</v>
      </c>
      <c r="M7315" s="501">
        <v>0</v>
      </c>
      <c r="N7315" s="501">
        <v>0</v>
      </c>
      <c r="O7315" s="506">
        <v>34</v>
      </c>
    </row>
    <row r="7316" spans="1:15" x14ac:dyDescent="0.35">
      <c r="A7316" s="503" t="s">
        <v>1093</v>
      </c>
      <c r="B7316" s="504" t="s">
        <v>3248</v>
      </c>
      <c r="C7316" s="504" t="s">
        <v>1094</v>
      </c>
      <c r="D7316" s="504" t="s">
        <v>3380</v>
      </c>
      <c r="E7316" s="504" t="s">
        <v>3381</v>
      </c>
      <c r="F7316" s="504" t="s">
        <v>876</v>
      </c>
      <c r="G7316" s="504" t="s">
        <v>877</v>
      </c>
      <c r="H7316" s="504" t="s">
        <v>9282</v>
      </c>
      <c r="I7316" s="504">
        <v>9</v>
      </c>
      <c r="J7316" s="504">
        <v>0</v>
      </c>
      <c r="K7316" s="504">
        <v>0</v>
      </c>
      <c r="L7316" s="504">
        <v>8</v>
      </c>
      <c r="M7316" s="504">
        <v>0</v>
      </c>
      <c r="N7316" s="504">
        <v>0</v>
      </c>
      <c r="O7316" s="505">
        <v>1</v>
      </c>
    </row>
    <row r="7317" spans="1:15" x14ac:dyDescent="0.35">
      <c r="A7317" s="500" t="s">
        <v>1161</v>
      </c>
      <c r="B7317" s="501" t="s">
        <v>3001</v>
      </c>
      <c r="C7317" s="501" t="s">
        <v>1094</v>
      </c>
      <c r="D7317" s="501" t="s">
        <v>3380</v>
      </c>
      <c r="E7317" s="501" t="s">
        <v>3381</v>
      </c>
      <c r="F7317" s="501" t="s">
        <v>876</v>
      </c>
      <c r="G7317" s="501" t="s">
        <v>877</v>
      </c>
      <c r="H7317" s="501" t="s">
        <v>9283</v>
      </c>
      <c r="I7317" s="501">
        <v>1</v>
      </c>
      <c r="J7317" s="501">
        <v>0</v>
      </c>
      <c r="K7317" s="501">
        <v>0</v>
      </c>
      <c r="L7317" s="501">
        <v>0</v>
      </c>
      <c r="M7317" s="501">
        <v>0</v>
      </c>
      <c r="N7317" s="501">
        <v>0</v>
      </c>
      <c r="O7317" s="506">
        <v>1</v>
      </c>
    </row>
    <row r="7318" spans="1:15" x14ac:dyDescent="0.35">
      <c r="A7318" s="503" t="s">
        <v>1100</v>
      </c>
      <c r="B7318" s="504">
        <v>4865</v>
      </c>
      <c r="C7318" s="504" t="s">
        <v>1094</v>
      </c>
      <c r="D7318" s="504" t="s">
        <v>3380</v>
      </c>
      <c r="E7318" s="504" t="s">
        <v>3381</v>
      </c>
      <c r="F7318" s="504" t="s">
        <v>876</v>
      </c>
      <c r="G7318" s="504" t="s">
        <v>877</v>
      </c>
      <c r="H7318" s="504" t="s">
        <v>9284</v>
      </c>
      <c r="I7318" s="504">
        <v>7</v>
      </c>
      <c r="J7318" s="504">
        <v>1</v>
      </c>
      <c r="K7318" s="504">
        <v>0</v>
      </c>
      <c r="L7318" s="504">
        <v>0</v>
      </c>
      <c r="M7318" s="504">
        <v>0</v>
      </c>
      <c r="N7318" s="504">
        <v>0</v>
      </c>
      <c r="O7318" s="505">
        <v>6</v>
      </c>
    </row>
    <row r="7319" spans="1:15" x14ac:dyDescent="0.35">
      <c r="A7319" s="500" t="s">
        <v>1168</v>
      </c>
      <c r="B7319" s="501" t="s">
        <v>3360</v>
      </c>
      <c r="C7319" s="501" t="s">
        <v>1094</v>
      </c>
      <c r="D7319" s="501" t="s">
        <v>3380</v>
      </c>
      <c r="E7319" s="501" t="s">
        <v>3381</v>
      </c>
      <c r="F7319" s="501" t="s">
        <v>876</v>
      </c>
      <c r="G7319" s="501" t="s">
        <v>877</v>
      </c>
      <c r="H7319" s="501" t="s">
        <v>9285</v>
      </c>
      <c r="I7319" s="501">
        <v>49</v>
      </c>
      <c r="J7319" s="501">
        <v>33</v>
      </c>
      <c r="K7319" s="501">
        <v>0</v>
      </c>
      <c r="L7319" s="501">
        <v>0</v>
      </c>
      <c r="M7319" s="501">
        <v>0</v>
      </c>
      <c r="N7319" s="501">
        <v>0</v>
      </c>
      <c r="O7319" s="506">
        <v>16</v>
      </c>
    </row>
    <row r="7320" spans="1:15" x14ac:dyDescent="0.35">
      <c r="A7320" s="503" t="s">
        <v>1174</v>
      </c>
      <c r="B7320" s="504">
        <v>4784</v>
      </c>
      <c r="C7320" s="504" t="s">
        <v>1089</v>
      </c>
      <c r="D7320" s="504" t="s">
        <v>3392</v>
      </c>
      <c r="E7320" s="504" t="s">
        <v>3381</v>
      </c>
      <c r="F7320" s="504" t="s">
        <v>876</v>
      </c>
      <c r="G7320" s="504" t="s">
        <v>877</v>
      </c>
      <c r="H7320" s="504" t="s">
        <v>9286</v>
      </c>
      <c r="I7320" s="504">
        <v>8</v>
      </c>
      <c r="J7320" s="504">
        <v>0</v>
      </c>
      <c r="K7320" s="504">
        <v>0</v>
      </c>
      <c r="L7320" s="504">
        <v>8</v>
      </c>
      <c r="M7320" s="504">
        <v>0</v>
      </c>
      <c r="N7320" s="504">
        <v>0</v>
      </c>
      <c r="O7320" s="505">
        <v>0</v>
      </c>
    </row>
    <row r="7321" spans="1:15" x14ac:dyDescent="0.35">
      <c r="A7321" s="500" t="s">
        <v>1178</v>
      </c>
      <c r="B7321" s="501" t="s">
        <v>3334</v>
      </c>
      <c r="C7321" s="501" t="s">
        <v>1094</v>
      </c>
      <c r="D7321" s="501" t="s">
        <v>3380</v>
      </c>
      <c r="E7321" s="501" t="s">
        <v>3381</v>
      </c>
      <c r="F7321" s="501" t="s">
        <v>876</v>
      </c>
      <c r="G7321" s="501" t="s">
        <v>877</v>
      </c>
      <c r="H7321" s="501" t="s">
        <v>9287</v>
      </c>
      <c r="I7321" s="501">
        <v>27</v>
      </c>
      <c r="J7321" s="501">
        <v>0</v>
      </c>
      <c r="K7321" s="501">
        <v>0</v>
      </c>
      <c r="L7321" s="501">
        <v>27</v>
      </c>
      <c r="M7321" s="501">
        <v>0</v>
      </c>
      <c r="N7321" s="501">
        <v>0</v>
      </c>
      <c r="O7321" s="506">
        <v>0</v>
      </c>
    </row>
    <row r="7322" spans="1:15" x14ac:dyDescent="0.35">
      <c r="A7322" s="503" t="s">
        <v>14208</v>
      </c>
      <c r="B7322" s="504">
        <v>4803</v>
      </c>
      <c r="C7322" s="504" t="s">
        <v>1094</v>
      </c>
      <c r="D7322" s="504" t="s">
        <v>3380</v>
      </c>
      <c r="E7322" s="504" t="s">
        <v>3381</v>
      </c>
      <c r="F7322" s="504" t="s">
        <v>876</v>
      </c>
      <c r="G7322" s="504" t="s">
        <v>877</v>
      </c>
      <c r="H7322" s="504" t="s">
        <v>15065</v>
      </c>
      <c r="I7322" s="504">
        <v>8</v>
      </c>
      <c r="J7322" s="504">
        <v>0</v>
      </c>
      <c r="K7322" s="504">
        <v>0</v>
      </c>
      <c r="L7322" s="504">
        <v>8</v>
      </c>
      <c r="M7322" s="504">
        <v>0</v>
      </c>
      <c r="N7322" s="504">
        <v>0</v>
      </c>
      <c r="O7322" s="505">
        <v>0</v>
      </c>
    </row>
    <row r="7323" spans="1:15" x14ac:dyDescent="0.35">
      <c r="A7323" s="500" t="s">
        <v>1182</v>
      </c>
      <c r="B7323" s="501">
        <v>5060</v>
      </c>
      <c r="C7323" s="501" t="s">
        <v>1094</v>
      </c>
      <c r="D7323" s="501" t="s">
        <v>3380</v>
      </c>
      <c r="E7323" s="501" t="s">
        <v>3381</v>
      </c>
      <c r="F7323" s="501" t="s">
        <v>876</v>
      </c>
      <c r="G7323" s="501" t="s">
        <v>877</v>
      </c>
      <c r="H7323" s="501" t="s">
        <v>9288</v>
      </c>
      <c r="I7323" s="501">
        <v>1</v>
      </c>
      <c r="J7323" s="501">
        <v>0</v>
      </c>
      <c r="K7323" s="501">
        <v>0</v>
      </c>
      <c r="L7323" s="501">
        <v>1</v>
      </c>
      <c r="M7323" s="501">
        <v>0</v>
      </c>
      <c r="N7323" s="501">
        <v>0</v>
      </c>
      <c r="O7323" s="506">
        <v>0</v>
      </c>
    </row>
    <row r="7324" spans="1:15" x14ac:dyDescent="0.35">
      <c r="A7324" s="503" t="s">
        <v>1187</v>
      </c>
      <c r="B7324" s="504" t="s">
        <v>2951</v>
      </c>
      <c r="C7324" s="504" t="s">
        <v>1094</v>
      </c>
      <c r="D7324" s="504" t="s">
        <v>3380</v>
      </c>
      <c r="E7324" s="504" t="s">
        <v>3381</v>
      </c>
      <c r="F7324" s="504" t="s">
        <v>876</v>
      </c>
      <c r="G7324" s="504" t="s">
        <v>877</v>
      </c>
      <c r="H7324" s="504" t="s">
        <v>9289</v>
      </c>
      <c r="I7324" s="504">
        <v>41</v>
      </c>
      <c r="J7324" s="504">
        <v>28</v>
      </c>
      <c r="K7324" s="504">
        <v>0</v>
      </c>
      <c r="L7324" s="504">
        <v>0</v>
      </c>
      <c r="M7324" s="504">
        <v>0</v>
      </c>
      <c r="N7324" s="504">
        <v>0</v>
      </c>
      <c r="O7324" s="505">
        <v>13</v>
      </c>
    </row>
    <row r="7325" spans="1:15" x14ac:dyDescent="0.35">
      <c r="A7325" s="500" t="s">
        <v>1105</v>
      </c>
      <c r="B7325" s="501">
        <v>4668</v>
      </c>
      <c r="C7325" s="501" t="s">
        <v>1094</v>
      </c>
      <c r="D7325" s="501" t="s">
        <v>3380</v>
      </c>
      <c r="E7325" s="501" t="s">
        <v>3381</v>
      </c>
      <c r="F7325" s="501" t="s">
        <v>876</v>
      </c>
      <c r="G7325" s="501" t="s">
        <v>877</v>
      </c>
      <c r="H7325" s="501" t="s">
        <v>9290</v>
      </c>
      <c r="I7325" s="501">
        <v>79</v>
      </c>
      <c r="J7325" s="501">
        <v>0</v>
      </c>
      <c r="K7325" s="501">
        <v>0</v>
      </c>
      <c r="L7325" s="501">
        <v>0</v>
      </c>
      <c r="M7325" s="501">
        <v>0</v>
      </c>
      <c r="N7325" s="501">
        <v>0</v>
      </c>
      <c r="O7325" s="506">
        <v>79</v>
      </c>
    </row>
    <row r="7326" spans="1:15" x14ac:dyDescent="0.35">
      <c r="A7326" s="503" t="s">
        <v>1199</v>
      </c>
      <c r="B7326" s="504">
        <v>4877</v>
      </c>
      <c r="C7326" s="504" t="s">
        <v>1094</v>
      </c>
      <c r="D7326" s="504" t="s">
        <v>3380</v>
      </c>
      <c r="E7326" s="504" t="s">
        <v>3381</v>
      </c>
      <c r="F7326" s="504" t="s">
        <v>876</v>
      </c>
      <c r="G7326" s="504" t="s">
        <v>877</v>
      </c>
      <c r="H7326" s="504" t="s">
        <v>9291</v>
      </c>
      <c r="I7326" s="504">
        <v>74</v>
      </c>
      <c r="J7326" s="504">
        <v>58</v>
      </c>
      <c r="K7326" s="504">
        <v>0</v>
      </c>
      <c r="L7326" s="504">
        <v>0</v>
      </c>
      <c r="M7326" s="504">
        <v>0</v>
      </c>
      <c r="N7326" s="504">
        <v>0</v>
      </c>
      <c r="O7326" s="505">
        <v>16</v>
      </c>
    </row>
    <row r="7327" spans="1:15" x14ac:dyDescent="0.35">
      <c r="A7327" s="500" t="s">
        <v>1200</v>
      </c>
      <c r="B7327" s="501" t="s">
        <v>3122</v>
      </c>
      <c r="C7327" s="501" t="s">
        <v>1089</v>
      </c>
      <c r="D7327" s="501" t="s">
        <v>3392</v>
      </c>
      <c r="E7327" s="501" t="s">
        <v>3381</v>
      </c>
      <c r="F7327" s="501" t="s">
        <v>876</v>
      </c>
      <c r="G7327" s="501" t="s">
        <v>877</v>
      </c>
      <c r="H7327" s="501" t="s">
        <v>9292</v>
      </c>
      <c r="I7327" s="501">
        <v>65</v>
      </c>
      <c r="J7327" s="501">
        <v>65</v>
      </c>
      <c r="K7327" s="501">
        <v>0</v>
      </c>
      <c r="L7327" s="501">
        <v>0</v>
      </c>
      <c r="M7327" s="501">
        <v>0</v>
      </c>
      <c r="N7327" s="501">
        <v>0</v>
      </c>
      <c r="O7327" s="506">
        <v>0</v>
      </c>
    </row>
    <row r="7328" spans="1:15" x14ac:dyDescent="0.35">
      <c r="A7328" s="503" t="s">
        <v>1111</v>
      </c>
      <c r="B7328" s="504">
        <v>4873</v>
      </c>
      <c r="C7328" s="504" t="s">
        <v>1094</v>
      </c>
      <c r="D7328" s="504" t="s">
        <v>3380</v>
      </c>
      <c r="E7328" s="504" t="s">
        <v>3381</v>
      </c>
      <c r="F7328" s="504" t="s">
        <v>876</v>
      </c>
      <c r="G7328" s="504" t="s">
        <v>877</v>
      </c>
      <c r="H7328" s="504" t="s">
        <v>9293</v>
      </c>
      <c r="I7328" s="504">
        <v>1</v>
      </c>
      <c r="J7328" s="504">
        <v>0</v>
      </c>
      <c r="K7328" s="504">
        <v>0</v>
      </c>
      <c r="L7328" s="504">
        <v>0</v>
      </c>
      <c r="M7328" s="504">
        <v>0</v>
      </c>
      <c r="N7328" s="504">
        <v>0</v>
      </c>
      <c r="O7328" s="505">
        <v>1</v>
      </c>
    </row>
    <row r="7329" spans="1:15" x14ac:dyDescent="0.35">
      <c r="A7329" s="500" t="s">
        <v>1203</v>
      </c>
      <c r="B7329" s="501" t="s">
        <v>3170</v>
      </c>
      <c r="C7329" s="501" t="s">
        <v>1094</v>
      </c>
      <c r="D7329" s="501" t="s">
        <v>3380</v>
      </c>
      <c r="E7329" s="501" t="s">
        <v>3381</v>
      </c>
      <c r="F7329" s="501" t="s">
        <v>876</v>
      </c>
      <c r="G7329" s="501" t="s">
        <v>877</v>
      </c>
      <c r="H7329" s="501" t="s">
        <v>9294</v>
      </c>
      <c r="I7329" s="501">
        <v>830</v>
      </c>
      <c r="J7329" s="501">
        <v>668</v>
      </c>
      <c r="K7329" s="501">
        <v>0</v>
      </c>
      <c r="L7329" s="501">
        <v>11</v>
      </c>
      <c r="M7329" s="501">
        <v>0</v>
      </c>
      <c r="N7329" s="501">
        <v>6</v>
      </c>
      <c r="O7329" s="506">
        <v>151</v>
      </c>
    </row>
    <row r="7330" spans="1:15" x14ac:dyDescent="0.35">
      <c r="A7330" s="503" t="s">
        <v>1208</v>
      </c>
      <c r="B7330" s="504" t="s">
        <v>3096</v>
      </c>
      <c r="C7330" s="504" t="s">
        <v>1094</v>
      </c>
      <c r="D7330" s="504" t="s">
        <v>3380</v>
      </c>
      <c r="E7330" s="504" t="s">
        <v>3381</v>
      </c>
      <c r="F7330" s="504" t="s">
        <v>876</v>
      </c>
      <c r="G7330" s="504" t="s">
        <v>877</v>
      </c>
      <c r="H7330" s="504" t="s">
        <v>9295</v>
      </c>
      <c r="I7330" s="504">
        <v>17</v>
      </c>
      <c r="J7330" s="504">
        <v>15</v>
      </c>
      <c r="K7330" s="504">
        <v>0</v>
      </c>
      <c r="L7330" s="504">
        <v>0</v>
      </c>
      <c r="M7330" s="504">
        <v>0</v>
      </c>
      <c r="N7330" s="504">
        <v>0</v>
      </c>
      <c r="O7330" s="505">
        <v>2</v>
      </c>
    </row>
    <row r="7331" spans="1:15" x14ac:dyDescent="0.35">
      <c r="A7331" s="500" t="s">
        <v>1215</v>
      </c>
      <c r="B7331" s="501">
        <v>4817</v>
      </c>
      <c r="C7331" s="501" t="s">
        <v>1094</v>
      </c>
      <c r="D7331" s="501" t="s">
        <v>3380</v>
      </c>
      <c r="E7331" s="501" t="s">
        <v>3381</v>
      </c>
      <c r="F7331" s="501" t="s">
        <v>876</v>
      </c>
      <c r="G7331" s="501" t="s">
        <v>877</v>
      </c>
      <c r="H7331" s="501" t="s">
        <v>9296</v>
      </c>
      <c r="I7331" s="501">
        <v>2</v>
      </c>
      <c r="J7331" s="501">
        <v>0</v>
      </c>
      <c r="K7331" s="501">
        <v>0</v>
      </c>
      <c r="L7331" s="501">
        <v>0</v>
      </c>
      <c r="M7331" s="501">
        <v>0</v>
      </c>
      <c r="N7331" s="501">
        <v>0</v>
      </c>
      <c r="O7331" s="506">
        <v>2</v>
      </c>
    </row>
    <row r="7332" spans="1:15" x14ac:dyDescent="0.35">
      <c r="A7332" s="503" t="s">
        <v>1223</v>
      </c>
      <c r="B7332" s="504">
        <v>4768</v>
      </c>
      <c r="C7332" s="504" t="s">
        <v>1089</v>
      </c>
      <c r="D7332" s="504" t="s">
        <v>3392</v>
      </c>
      <c r="E7332" s="504" t="s">
        <v>3381</v>
      </c>
      <c r="F7332" s="504" t="s">
        <v>876</v>
      </c>
      <c r="G7332" s="504" t="s">
        <v>877</v>
      </c>
      <c r="H7332" s="504" t="s">
        <v>9297</v>
      </c>
      <c r="I7332" s="504">
        <v>1</v>
      </c>
      <c r="J7332" s="504">
        <v>0</v>
      </c>
      <c r="K7332" s="504">
        <v>0</v>
      </c>
      <c r="L7332" s="504">
        <v>1</v>
      </c>
      <c r="M7332" s="504">
        <v>0</v>
      </c>
      <c r="N7332" s="504">
        <v>0</v>
      </c>
      <c r="O7332" s="505">
        <v>0</v>
      </c>
    </row>
    <row r="7333" spans="1:15" x14ac:dyDescent="0.35">
      <c r="A7333" s="500" t="s">
        <v>1226</v>
      </c>
      <c r="B7333" s="501">
        <v>5084</v>
      </c>
      <c r="C7333" s="501" t="s">
        <v>1094</v>
      </c>
      <c r="D7333" s="501" t="s">
        <v>3380</v>
      </c>
      <c r="E7333" s="501" t="s">
        <v>3381</v>
      </c>
      <c r="F7333" s="501" t="s">
        <v>876</v>
      </c>
      <c r="G7333" s="501" t="s">
        <v>877</v>
      </c>
      <c r="H7333" s="501" t="s">
        <v>9298</v>
      </c>
      <c r="I7333" s="501">
        <v>416</v>
      </c>
      <c r="J7333" s="501">
        <v>255</v>
      </c>
      <c r="K7333" s="501">
        <v>0</v>
      </c>
      <c r="L7333" s="501">
        <v>0</v>
      </c>
      <c r="M7333" s="501">
        <v>0</v>
      </c>
      <c r="N7333" s="501">
        <v>0</v>
      </c>
      <c r="O7333" s="506">
        <v>161</v>
      </c>
    </row>
    <row r="7334" spans="1:15" x14ac:dyDescent="0.35">
      <c r="A7334" s="503" t="s">
        <v>1228</v>
      </c>
      <c r="B7334" s="504" t="s">
        <v>3321</v>
      </c>
      <c r="C7334" s="504" t="s">
        <v>1094</v>
      </c>
      <c r="D7334" s="504" t="s">
        <v>3380</v>
      </c>
      <c r="E7334" s="504" t="s">
        <v>3381</v>
      </c>
      <c r="F7334" s="504" t="s">
        <v>876</v>
      </c>
      <c r="G7334" s="504" t="s">
        <v>877</v>
      </c>
      <c r="H7334" s="504" t="s">
        <v>9299</v>
      </c>
      <c r="I7334" s="504">
        <v>17</v>
      </c>
      <c r="J7334" s="504">
        <v>0</v>
      </c>
      <c r="K7334" s="504">
        <v>0</v>
      </c>
      <c r="L7334" s="504">
        <v>17</v>
      </c>
      <c r="M7334" s="504">
        <v>0</v>
      </c>
      <c r="N7334" s="504">
        <v>0</v>
      </c>
      <c r="O7334" s="505">
        <v>0</v>
      </c>
    </row>
    <row r="7335" spans="1:15" x14ac:dyDescent="0.35">
      <c r="A7335" s="500" t="s">
        <v>1124</v>
      </c>
      <c r="B7335" s="501">
        <v>4745</v>
      </c>
      <c r="C7335" s="501" t="s">
        <v>1094</v>
      </c>
      <c r="D7335" s="501" t="s">
        <v>3380</v>
      </c>
      <c r="E7335" s="501" t="s">
        <v>3381</v>
      </c>
      <c r="F7335" s="501" t="s">
        <v>876</v>
      </c>
      <c r="G7335" s="501" t="s">
        <v>877</v>
      </c>
      <c r="H7335" s="501" t="s">
        <v>9300</v>
      </c>
      <c r="I7335" s="501">
        <v>26</v>
      </c>
      <c r="J7335" s="501">
        <v>0</v>
      </c>
      <c r="K7335" s="501">
        <v>0</v>
      </c>
      <c r="L7335" s="501">
        <v>26</v>
      </c>
      <c r="M7335" s="501">
        <v>0</v>
      </c>
      <c r="N7335" s="501">
        <v>0</v>
      </c>
      <c r="O7335" s="506">
        <v>0</v>
      </c>
    </row>
    <row r="7336" spans="1:15" x14ac:dyDescent="0.35">
      <c r="A7336" s="503" t="s">
        <v>1143</v>
      </c>
      <c r="B7336" s="504" t="s">
        <v>3281</v>
      </c>
      <c r="C7336" s="504" t="s">
        <v>1094</v>
      </c>
      <c r="D7336" s="504" t="s">
        <v>3380</v>
      </c>
      <c r="E7336" s="504" t="s">
        <v>3381</v>
      </c>
      <c r="F7336" s="504" t="s">
        <v>878</v>
      </c>
      <c r="G7336" s="504" t="s">
        <v>879</v>
      </c>
      <c r="H7336" s="504" t="s">
        <v>9301</v>
      </c>
      <c r="I7336" s="504">
        <v>245</v>
      </c>
      <c r="J7336" s="504">
        <v>158</v>
      </c>
      <c r="K7336" s="504">
        <v>0</v>
      </c>
      <c r="L7336" s="504">
        <v>0</v>
      </c>
      <c r="M7336" s="504">
        <v>54</v>
      </c>
      <c r="N7336" s="504">
        <v>0</v>
      </c>
      <c r="O7336" s="505">
        <v>33</v>
      </c>
    </row>
    <row r="7337" spans="1:15" x14ac:dyDescent="0.35">
      <c r="A7337" s="500" t="s">
        <v>1093</v>
      </c>
      <c r="B7337" s="501" t="s">
        <v>3248</v>
      </c>
      <c r="C7337" s="501" t="s">
        <v>1094</v>
      </c>
      <c r="D7337" s="501" t="s">
        <v>3380</v>
      </c>
      <c r="E7337" s="501" t="s">
        <v>3381</v>
      </c>
      <c r="F7337" s="501" t="s">
        <v>878</v>
      </c>
      <c r="G7337" s="501" t="s">
        <v>879</v>
      </c>
      <c r="H7337" s="501" t="s">
        <v>9302</v>
      </c>
      <c r="I7337" s="501">
        <v>11</v>
      </c>
      <c r="J7337" s="501">
        <v>0</v>
      </c>
      <c r="K7337" s="501">
        <v>0</v>
      </c>
      <c r="L7337" s="501">
        <v>10</v>
      </c>
      <c r="M7337" s="501">
        <v>0</v>
      </c>
      <c r="N7337" s="501">
        <v>0</v>
      </c>
      <c r="O7337" s="506">
        <v>1</v>
      </c>
    </row>
    <row r="7338" spans="1:15" x14ac:dyDescent="0.35">
      <c r="A7338" s="503" t="s">
        <v>1096</v>
      </c>
      <c r="B7338" s="504" t="s">
        <v>3326</v>
      </c>
      <c r="C7338" s="504" t="s">
        <v>1094</v>
      </c>
      <c r="D7338" s="504" t="s">
        <v>3380</v>
      </c>
      <c r="E7338" s="504" t="s">
        <v>3381</v>
      </c>
      <c r="F7338" s="504" t="s">
        <v>878</v>
      </c>
      <c r="G7338" s="504" t="s">
        <v>879</v>
      </c>
      <c r="H7338" s="504" t="s">
        <v>9303</v>
      </c>
      <c r="I7338" s="504">
        <v>42</v>
      </c>
      <c r="J7338" s="504">
        <v>0</v>
      </c>
      <c r="K7338" s="504">
        <v>0</v>
      </c>
      <c r="L7338" s="504">
        <v>0</v>
      </c>
      <c r="M7338" s="504">
        <v>42</v>
      </c>
      <c r="N7338" s="504">
        <v>0</v>
      </c>
      <c r="O7338" s="505">
        <v>0</v>
      </c>
    </row>
    <row r="7339" spans="1:15" x14ac:dyDescent="0.35">
      <c r="A7339" s="500" t="s">
        <v>1155</v>
      </c>
      <c r="B7339" s="501" t="s">
        <v>2639</v>
      </c>
      <c r="C7339" s="501" t="s">
        <v>1089</v>
      </c>
      <c r="D7339" s="501" t="s">
        <v>3392</v>
      </c>
      <c r="E7339" s="501" t="s">
        <v>3381</v>
      </c>
      <c r="F7339" s="501" t="s">
        <v>878</v>
      </c>
      <c r="G7339" s="501" t="s">
        <v>879</v>
      </c>
      <c r="H7339" s="501" t="s">
        <v>9304</v>
      </c>
      <c r="I7339" s="501">
        <v>11</v>
      </c>
      <c r="J7339" s="501">
        <v>11</v>
      </c>
      <c r="K7339" s="501">
        <v>0</v>
      </c>
      <c r="L7339" s="501">
        <v>0</v>
      </c>
      <c r="M7339" s="501">
        <v>0</v>
      </c>
      <c r="N7339" s="501">
        <v>0</v>
      </c>
      <c r="O7339" s="506">
        <v>0</v>
      </c>
    </row>
    <row r="7340" spans="1:15" x14ac:dyDescent="0.35">
      <c r="A7340" s="503" t="s">
        <v>1100</v>
      </c>
      <c r="B7340" s="504">
        <v>4865</v>
      </c>
      <c r="C7340" s="504" t="s">
        <v>1094</v>
      </c>
      <c r="D7340" s="504" t="s">
        <v>3380</v>
      </c>
      <c r="E7340" s="504" t="s">
        <v>3381</v>
      </c>
      <c r="F7340" s="504" t="s">
        <v>878</v>
      </c>
      <c r="G7340" s="504" t="s">
        <v>879</v>
      </c>
      <c r="H7340" s="504" t="s">
        <v>9306</v>
      </c>
      <c r="I7340" s="504">
        <v>44</v>
      </c>
      <c r="J7340" s="504">
        <v>9</v>
      </c>
      <c r="K7340" s="504">
        <v>0</v>
      </c>
      <c r="L7340" s="504">
        <v>0</v>
      </c>
      <c r="M7340" s="504">
        <v>0</v>
      </c>
      <c r="N7340" s="504">
        <v>0</v>
      </c>
      <c r="O7340" s="505">
        <v>35</v>
      </c>
    </row>
    <row r="7341" spans="1:15" x14ac:dyDescent="0.35">
      <c r="A7341" s="500" t="s">
        <v>1168</v>
      </c>
      <c r="B7341" s="501" t="s">
        <v>3360</v>
      </c>
      <c r="C7341" s="501" t="s">
        <v>1094</v>
      </c>
      <c r="D7341" s="501" t="s">
        <v>3380</v>
      </c>
      <c r="E7341" s="501" t="s">
        <v>3381</v>
      </c>
      <c r="F7341" s="501" t="s">
        <v>878</v>
      </c>
      <c r="G7341" s="501" t="s">
        <v>879</v>
      </c>
      <c r="H7341" s="501" t="s">
        <v>9307</v>
      </c>
      <c r="I7341" s="501">
        <v>63</v>
      </c>
      <c r="J7341" s="501">
        <v>52</v>
      </c>
      <c r="K7341" s="501">
        <v>0</v>
      </c>
      <c r="L7341" s="501">
        <v>0</v>
      </c>
      <c r="M7341" s="501">
        <v>0</v>
      </c>
      <c r="N7341" s="501">
        <v>0</v>
      </c>
      <c r="O7341" s="506">
        <v>11</v>
      </c>
    </row>
    <row r="7342" spans="1:15" x14ac:dyDescent="0.35">
      <c r="A7342" s="503" t="s">
        <v>1171</v>
      </c>
      <c r="B7342" s="504" t="s">
        <v>3003</v>
      </c>
      <c r="C7342" s="504" t="s">
        <v>1094</v>
      </c>
      <c r="D7342" s="504" t="s">
        <v>3380</v>
      </c>
      <c r="E7342" s="504" t="s">
        <v>3381</v>
      </c>
      <c r="F7342" s="504" t="s">
        <v>878</v>
      </c>
      <c r="G7342" s="504" t="s">
        <v>879</v>
      </c>
      <c r="H7342" s="504" t="s">
        <v>9308</v>
      </c>
      <c r="I7342" s="504">
        <v>91</v>
      </c>
      <c r="J7342" s="504">
        <v>82</v>
      </c>
      <c r="K7342" s="504">
        <v>0</v>
      </c>
      <c r="L7342" s="504">
        <v>0</v>
      </c>
      <c r="M7342" s="504">
        <v>0</v>
      </c>
      <c r="N7342" s="504">
        <v>0</v>
      </c>
      <c r="O7342" s="505">
        <v>9</v>
      </c>
    </row>
    <row r="7343" spans="1:15" x14ac:dyDescent="0.35">
      <c r="A7343" s="500" t="s">
        <v>1173</v>
      </c>
      <c r="B7343" s="501">
        <v>4775</v>
      </c>
      <c r="C7343" s="501" t="s">
        <v>1094</v>
      </c>
      <c r="D7343" s="501" t="s">
        <v>3380</v>
      </c>
      <c r="E7343" s="501" t="s">
        <v>3381</v>
      </c>
      <c r="F7343" s="501" t="s">
        <v>878</v>
      </c>
      <c r="G7343" s="501" t="s">
        <v>879</v>
      </c>
      <c r="H7343" s="501" t="s">
        <v>9309</v>
      </c>
      <c r="I7343" s="501">
        <v>79</v>
      </c>
      <c r="J7343" s="501">
        <v>70</v>
      </c>
      <c r="K7343" s="501">
        <v>0</v>
      </c>
      <c r="L7343" s="501">
        <v>0</v>
      </c>
      <c r="M7343" s="501">
        <v>0</v>
      </c>
      <c r="N7343" s="501">
        <v>0</v>
      </c>
      <c r="O7343" s="506">
        <v>9</v>
      </c>
    </row>
    <row r="7344" spans="1:15" x14ac:dyDescent="0.35">
      <c r="A7344" s="503" t="s">
        <v>14208</v>
      </c>
      <c r="B7344" s="504">
        <v>4803</v>
      </c>
      <c r="C7344" s="504" t="s">
        <v>1094</v>
      </c>
      <c r="D7344" s="504" t="s">
        <v>3380</v>
      </c>
      <c r="E7344" s="504" t="s">
        <v>3381</v>
      </c>
      <c r="F7344" s="504" t="s">
        <v>878</v>
      </c>
      <c r="G7344" s="504" t="s">
        <v>879</v>
      </c>
      <c r="H7344" s="504" t="s">
        <v>15066</v>
      </c>
      <c r="I7344" s="504">
        <v>8</v>
      </c>
      <c r="J7344" s="504">
        <v>0</v>
      </c>
      <c r="K7344" s="504">
        <v>0</v>
      </c>
      <c r="L7344" s="504">
        <v>8</v>
      </c>
      <c r="M7344" s="504">
        <v>0</v>
      </c>
      <c r="N7344" s="504">
        <v>0</v>
      </c>
      <c r="O7344" s="505">
        <v>0</v>
      </c>
    </row>
    <row r="7345" spans="1:15" x14ac:dyDescent="0.35">
      <c r="A7345" s="500" t="s">
        <v>1105</v>
      </c>
      <c r="B7345" s="501">
        <v>4668</v>
      </c>
      <c r="C7345" s="501" t="s">
        <v>1094</v>
      </c>
      <c r="D7345" s="501" t="s">
        <v>3380</v>
      </c>
      <c r="E7345" s="501" t="s">
        <v>3381</v>
      </c>
      <c r="F7345" s="501" t="s">
        <v>878</v>
      </c>
      <c r="G7345" s="501" t="s">
        <v>879</v>
      </c>
      <c r="H7345" s="501" t="s">
        <v>9310</v>
      </c>
      <c r="I7345" s="501">
        <v>9</v>
      </c>
      <c r="J7345" s="501">
        <v>0</v>
      </c>
      <c r="K7345" s="501">
        <v>0</v>
      </c>
      <c r="L7345" s="501">
        <v>0</v>
      </c>
      <c r="M7345" s="501">
        <v>0</v>
      </c>
      <c r="N7345" s="501">
        <v>0</v>
      </c>
      <c r="O7345" s="506">
        <v>9</v>
      </c>
    </row>
    <row r="7346" spans="1:15" x14ac:dyDescent="0.35">
      <c r="A7346" s="503" t="s">
        <v>1109</v>
      </c>
      <c r="B7346" s="504" t="s">
        <v>2959</v>
      </c>
      <c r="C7346" s="504" t="s">
        <v>1094</v>
      </c>
      <c r="D7346" s="504" t="s">
        <v>3380</v>
      </c>
      <c r="E7346" s="504" t="s">
        <v>3381</v>
      </c>
      <c r="F7346" s="504" t="s">
        <v>878</v>
      </c>
      <c r="G7346" s="504" t="s">
        <v>879</v>
      </c>
      <c r="H7346" s="504" t="s">
        <v>9311</v>
      </c>
      <c r="I7346" s="504">
        <v>24</v>
      </c>
      <c r="J7346" s="504">
        <v>0</v>
      </c>
      <c r="K7346" s="504">
        <v>0</v>
      </c>
      <c r="L7346" s="504">
        <v>0</v>
      </c>
      <c r="M7346" s="504">
        <v>24</v>
      </c>
      <c r="N7346" s="504">
        <v>0</v>
      </c>
      <c r="O7346" s="505">
        <v>0</v>
      </c>
    </row>
    <row r="7347" spans="1:15" x14ac:dyDescent="0.35">
      <c r="A7347" s="500" t="s">
        <v>1194</v>
      </c>
      <c r="B7347" s="501" t="s">
        <v>2985</v>
      </c>
      <c r="C7347" s="501" t="s">
        <v>1089</v>
      </c>
      <c r="D7347" s="501" t="s">
        <v>3392</v>
      </c>
      <c r="E7347" s="501" t="s">
        <v>3381</v>
      </c>
      <c r="F7347" s="501" t="s">
        <v>878</v>
      </c>
      <c r="G7347" s="501" t="s">
        <v>879</v>
      </c>
      <c r="H7347" s="501" t="s">
        <v>9312</v>
      </c>
      <c r="I7347" s="501">
        <v>95</v>
      </c>
      <c r="J7347" s="501">
        <v>21</v>
      </c>
      <c r="K7347" s="501">
        <v>0</v>
      </c>
      <c r="L7347" s="501">
        <v>0</v>
      </c>
      <c r="M7347" s="501">
        <v>74</v>
      </c>
      <c r="N7347" s="501">
        <v>0</v>
      </c>
      <c r="O7347" s="506">
        <v>0</v>
      </c>
    </row>
    <row r="7348" spans="1:15" x14ac:dyDescent="0.35">
      <c r="A7348" s="503" t="s">
        <v>14243</v>
      </c>
      <c r="B7348" s="504">
        <v>5149</v>
      </c>
      <c r="C7348" s="504" t="s">
        <v>1089</v>
      </c>
      <c r="D7348" s="504" t="s">
        <v>3392</v>
      </c>
      <c r="E7348" s="504" t="s">
        <v>3381</v>
      </c>
      <c r="F7348" s="504" t="s">
        <v>878</v>
      </c>
      <c r="G7348" s="504" t="s">
        <v>879</v>
      </c>
      <c r="H7348" s="504" t="s">
        <v>15067</v>
      </c>
      <c r="I7348" s="504">
        <v>14</v>
      </c>
      <c r="J7348" s="504">
        <v>14</v>
      </c>
      <c r="K7348" s="504">
        <v>0</v>
      </c>
      <c r="L7348" s="504">
        <v>0</v>
      </c>
      <c r="M7348" s="504">
        <v>0</v>
      </c>
      <c r="N7348" s="504">
        <v>0</v>
      </c>
      <c r="O7348" s="505">
        <v>0</v>
      </c>
    </row>
    <row r="7349" spans="1:15" x14ac:dyDescent="0.35">
      <c r="A7349" s="500" t="s">
        <v>1310</v>
      </c>
      <c r="B7349" s="501">
        <v>5062</v>
      </c>
      <c r="C7349" s="501" t="s">
        <v>1089</v>
      </c>
      <c r="D7349" s="501" t="s">
        <v>3380</v>
      </c>
      <c r="E7349" s="501" t="s">
        <v>3381</v>
      </c>
      <c r="F7349" s="501" t="s">
        <v>878</v>
      </c>
      <c r="G7349" s="501" t="s">
        <v>879</v>
      </c>
      <c r="H7349" s="501" t="s">
        <v>11815</v>
      </c>
      <c r="I7349" s="501">
        <v>9</v>
      </c>
      <c r="J7349" s="501">
        <v>0</v>
      </c>
      <c r="K7349" s="501">
        <v>0</v>
      </c>
      <c r="L7349" s="501">
        <v>0</v>
      </c>
      <c r="M7349" s="501">
        <v>0</v>
      </c>
      <c r="N7349" s="501">
        <v>0</v>
      </c>
      <c r="O7349" s="506">
        <v>9</v>
      </c>
    </row>
    <row r="7350" spans="1:15" x14ac:dyDescent="0.35">
      <c r="A7350" s="503" t="s">
        <v>1199</v>
      </c>
      <c r="B7350" s="504">
        <v>4877</v>
      </c>
      <c r="C7350" s="504" t="s">
        <v>1094</v>
      </c>
      <c r="D7350" s="504" t="s">
        <v>3380</v>
      </c>
      <c r="E7350" s="504" t="s">
        <v>3381</v>
      </c>
      <c r="F7350" s="504" t="s">
        <v>878</v>
      </c>
      <c r="G7350" s="504" t="s">
        <v>879</v>
      </c>
      <c r="H7350" s="504" t="s">
        <v>9313</v>
      </c>
      <c r="I7350" s="504">
        <v>9</v>
      </c>
      <c r="J7350" s="504">
        <v>5</v>
      </c>
      <c r="K7350" s="504">
        <v>0</v>
      </c>
      <c r="L7350" s="504">
        <v>0</v>
      </c>
      <c r="M7350" s="504">
        <v>0</v>
      </c>
      <c r="N7350" s="504">
        <v>0</v>
      </c>
      <c r="O7350" s="505">
        <v>4</v>
      </c>
    </row>
    <row r="7351" spans="1:15" x14ac:dyDescent="0.35">
      <c r="A7351" s="500" t="s">
        <v>1200</v>
      </c>
      <c r="B7351" s="501" t="s">
        <v>3122</v>
      </c>
      <c r="C7351" s="501" t="s">
        <v>1089</v>
      </c>
      <c r="D7351" s="501" t="s">
        <v>3392</v>
      </c>
      <c r="E7351" s="501" t="s">
        <v>3381</v>
      </c>
      <c r="F7351" s="501" t="s">
        <v>878</v>
      </c>
      <c r="G7351" s="501" t="s">
        <v>879</v>
      </c>
      <c r="H7351" s="501" t="s">
        <v>9314</v>
      </c>
      <c r="I7351" s="501">
        <v>44</v>
      </c>
      <c r="J7351" s="501">
        <v>44</v>
      </c>
      <c r="K7351" s="501">
        <v>0</v>
      </c>
      <c r="L7351" s="501">
        <v>0</v>
      </c>
      <c r="M7351" s="501">
        <v>0</v>
      </c>
      <c r="N7351" s="501">
        <v>0</v>
      </c>
      <c r="O7351" s="506">
        <v>0</v>
      </c>
    </row>
    <row r="7352" spans="1:15" x14ac:dyDescent="0.35">
      <c r="A7352" s="503" t="s">
        <v>1111</v>
      </c>
      <c r="B7352" s="504">
        <v>4873</v>
      </c>
      <c r="C7352" s="504" t="s">
        <v>1094</v>
      </c>
      <c r="D7352" s="504" t="s">
        <v>3380</v>
      </c>
      <c r="E7352" s="504" t="s">
        <v>3381</v>
      </c>
      <c r="F7352" s="504" t="s">
        <v>878</v>
      </c>
      <c r="G7352" s="504" t="s">
        <v>879</v>
      </c>
      <c r="H7352" s="504" t="s">
        <v>9315</v>
      </c>
      <c r="I7352" s="504">
        <v>1</v>
      </c>
      <c r="J7352" s="504">
        <v>0</v>
      </c>
      <c r="K7352" s="504">
        <v>0</v>
      </c>
      <c r="L7352" s="504">
        <v>0</v>
      </c>
      <c r="M7352" s="504">
        <v>0</v>
      </c>
      <c r="N7352" s="504">
        <v>0</v>
      </c>
      <c r="O7352" s="505">
        <v>1</v>
      </c>
    </row>
    <row r="7353" spans="1:15" x14ac:dyDescent="0.35">
      <c r="A7353" s="500" t="s">
        <v>1202</v>
      </c>
      <c r="B7353" s="501" t="s">
        <v>3217</v>
      </c>
      <c r="C7353" s="501" t="s">
        <v>1094</v>
      </c>
      <c r="D7353" s="501" t="s">
        <v>3380</v>
      </c>
      <c r="E7353" s="501" t="s">
        <v>3381</v>
      </c>
      <c r="F7353" s="501" t="s">
        <v>878</v>
      </c>
      <c r="G7353" s="501" t="s">
        <v>879</v>
      </c>
      <c r="H7353" s="501" t="s">
        <v>11845</v>
      </c>
      <c r="I7353" s="501">
        <v>1</v>
      </c>
      <c r="J7353" s="501">
        <v>0</v>
      </c>
      <c r="K7353" s="501">
        <v>0</v>
      </c>
      <c r="L7353" s="501">
        <v>0</v>
      </c>
      <c r="M7353" s="501">
        <v>0</v>
      </c>
      <c r="N7353" s="501">
        <v>0</v>
      </c>
      <c r="O7353" s="506">
        <v>1</v>
      </c>
    </row>
    <row r="7354" spans="1:15" x14ac:dyDescent="0.35">
      <c r="A7354" s="503" t="s">
        <v>1203</v>
      </c>
      <c r="B7354" s="504" t="s">
        <v>3170</v>
      </c>
      <c r="C7354" s="504" t="s">
        <v>1094</v>
      </c>
      <c r="D7354" s="504" t="s">
        <v>3380</v>
      </c>
      <c r="E7354" s="504" t="s">
        <v>3381</v>
      </c>
      <c r="F7354" s="504" t="s">
        <v>878</v>
      </c>
      <c r="G7354" s="504" t="s">
        <v>879</v>
      </c>
      <c r="H7354" s="504" t="s">
        <v>9316</v>
      </c>
      <c r="I7354" s="504">
        <v>1085</v>
      </c>
      <c r="J7354" s="504">
        <v>835</v>
      </c>
      <c r="K7354" s="504">
        <v>0</v>
      </c>
      <c r="L7354" s="504">
        <v>4</v>
      </c>
      <c r="M7354" s="504">
        <v>0</v>
      </c>
      <c r="N7354" s="504">
        <v>1</v>
      </c>
      <c r="O7354" s="505">
        <v>246</v>
      </c>
    </row>
    <row r="7355" spans="1:15" x14ac:dyDescent="0.35">
      <c r="A7355" s="500" t="s">
        <v>1112</v>
      </c>
      <c r="B7355" s="501" t="s">
        <v>3008</v>
      </c>
      <c r="C7355" s="501" t="s">
        <v>1094</v>
      </c>
      <c r="D7355" s="501" t="s">
        <v>3380</v>
      </c>
      <c r="E7355" s="501" t="s">
        <v>3381</v>
      </c>
      <c r="F7355" s="501" t="s">
        <v>878</v>
      </c>
      <c r="G7355" s="501" t="s">
        <v>879</v>
      </c>
      <c r="H7355" s="501" t="s">
        <v>9317</v>
      </c>
      <c r="I7355" s="501">
        <v>6</v>
      </c>
      <c r="J7355" s="501">
        <v>3</v>
      </c>
      <c r="K7355" s="501">
        <v>0</v>
      </c>
      <c r="L7355" s="501">
        <v>0</v>
      </c>
      <c r="M7355" s="501">
        <v>0</v>
      </c>
      <c r="N7355" s="501">
        <v>0</v>
      </c>
      <c r="O7355" s="506">
        <v>3</v>
      </c>
    </row>
    <row r="7356" spans="1:15" x14ac:dyDescent="0.35">
      <c r="A7356" s="503" t="s">
        <v>1208</v>
      </c>
      <c r="B7356" s="504" t="s">
        <v>3096</v>
      </c>
      <c r="C7356" s="504" t="s">
        <v>1094</v>
      </c>
      <c r="D7356" s="504" t="s">
        <v>3380</v>
      </c>
      <c r="E7356" s="504" t="s">
        <v>3381</v>
      </c>
      <c r="F7356" s="504" t="s">
        <v>878</v>
      </c>
      <c r="G7356" s="504" t="s">
        <v>879</v>
      </c>
      <c r="H7356" s="504" t="s">
        <v>9318</v>
      </c>
      <c r="I7356" s="504">
        <v>241</v>
      </c>
      <c r="J7356" s="504">
        <v>215</v>
      </c>
      <c r="K7356" s="504">
        <v>0</v>
      </c>
      <c r="L7356" s="504">
        <v>6</v>
      </c>
      <c r="M7356" s="504">
        <v>0</v>
      </c>
      <c r="N7356" s="504">
        <v>0</v>
      </c>
      <c r="O7356" s="505">
        <v>20</v>
      </c>
    </row>
    <row r="7357" spans="1:15" x14ac:dyDescent="0.35">
      <c r="A7357" s="500" t="s">
        <v>1209</v>
      </c>
      <c r="B7357" s="501">
        <v>4779</v>
      </c>
      <c r="C7357" s="501" t="s">
        <v>1094</v>
      </c>
      <c r="D7357" s="501" t="s">
        <v>3380</v>
      </c>
      <c r="E7357" s="501" t="s">
        <v>3381</v>
      </c>
      <c r="F7357" s="501" t="s">
        <v>878</v>
      </c>
      <c r="G7357" s="501" t="s">
        <v>879</v>
      </c>
      <c r="H7357" s="501" t="s">
        <v>9319</v>
      </c>
      <c r="I7357" s="501">
        <v>9</v>
      </c>
      <c r="J7357" s="501">
        <v>0</v>
      </c>
      <c r="K7357" s="501">
        <v>0</v>
      </c>
      <c r="L7357" s="501">
        <v>9</v>
      </c>
      <c r="M7357" s="501">
        <v>0</v>
      </c>
      <c r="N7357" s="501">
        <v>0</v>
      </c>
      <c r="O7357" s="506">
        <v>0</v>
      </c>
    </row>
    <row r="7358" spans="1:15" x14ac:dyDescent="0.35">
      <c r="A7358" s="503" t="s">
        <v>1210</v>
      </c>
      <c r="B7358" s="504">
        <v>4781</v>
      </c>
      <c r="C7358" s="504" t="s">
        <v>1089</v>
      </c>
      <c r="D7358" s="504" t="s">
        <v>3392</v>
      </c>
      <c r="E7358" s="504" t="s">
        <v>3381</v>
      </c>
      <c r="F7358" s="504" t="s">
        <v>878</v>
      </c>
      <c r="G7358" s="504" t="s">
        <v>879</v>
      </c>
      <c r="H7358" s="504" t="s">
        <v>9320</v>
      </c>
      <c r="I7358" s="504">
        <v>14</v>
      </c>
      <c r="J7358" s="504">
        <v>0</v>
      </c>
      <c r="K7358" s="504">
        <v>0</v>
      </c>
      <c r="L7358" s="504">
        <v>14</v>
      </c>
      <c r="M7358" s="504">
        <v>0</v>
      </c>
      <c r="N7358" s="504">
        <v>0</v>
      </c>
      <c r="O7358" s="505">
        <v>0</v>
      </c>
    </row>
    <row r="7359" spans="1:15" x14ac:dyDescent="0.35">
      <c r="A7359" s="500" t="s">
        <v>1215</v>
      </c>
      <c r="B7359" s="501">
        <v>4817</v>
      </c>
      <c r="C7359" s="501" t="s">
        <v>1094</v>
      </c>
      <c r="D7359" s="501" t="s">
        <v>3380</v>
      </c>
      <c r="E7359" s="501" t="s">
        <v>3381</v>
      </c>
      <c r="F7359" s="501" t="s">
        <v>878</v>
      </c>
      <c r="G7359" s="501" t="s">
        <v>879</v>
      </c>
      <c r="H7359" s="501" t="s">
        <v>9321</v>
      </c>
      <c r="I7359" s="501">
        <v>342</v>
      </c>
      <c r="J7359" s="501">
        <v>184</v>
      </c>
      <c r="K7359" s="501">
        <v>0</v>
      </c>
      <c r="L7359" s="501">
        <v>11</v>
      </c>
      <c r="M7359" s="501">
        <v>68</v>
      </c>
      <c r="N7359" s="501">
        <v>0</v>
      </c>
      <c r="O7359" s="506">
        <v>79</v>
      </c>
    </row>
    <row r="7360" spans="1:15" x14ac:dyDescent="0.35">
      <c r="A7360" s="503" t="s">
        <v>11367</v>
      </c>
      <c r="B7360" s="504" t="s">
        <v>3143</v>
      </c>
      <c r="C7360" s="504" t="s">
        <v>1094</v>
      </c>
      <c r="D7360" s="504" t="s">
        <v>3380</v>
      </c>
      <c r="E7360" s="504" t="s">
        <v>3381</v>
      </c>
      <c r="F7360" s="504" t="s">
        <v>878</v>
      </c>
      <c r="G7360" s="504" t="s">
        <v>879</v>
      </c>
      <c r="H7360" s="504" t="s">
        <v>11952</v>
      </c>
      <c r="I7360" s="504">
        <v>6</v>
      </c>
      <c r="J7360" s="504">
        <v>0</v>
      </c>
      <c r="K7360" s="504">
        <v>0</v>
      </c>
      <c r="L7360" s="504">
        <v>0</v>
      </c>
      <c r="M7360" s="504">
        <v>6</v>
      </c>
      <c r="N7360" s="504">
        <v>0</v>
      </c>
      <c r="O7360" s="505">
        <v>0</v>
      </c>
    </row>
    <row r="7361" spans="1:15" x14ac:dyDescent="0.35">
      <c r="A7361" s="500" t="s">
        <v>1223</v>
      </c>
      <c r="B7361" s="501">
        <v>4768</v>
      </c>
      <c r="C7361" s="501" t="s">
        <v>1089</v>
      </c>
      <c r="D7361" s="501" t="s">
        <v>3392</v>
      </c>
      <c r="E7361" s="501" t="s">
        <v>3381</v>
      </c>
      <c r="F7361" s="501" t="s">
        <v>878</v>
      </c>
      <c r="G7361" s="501" t="s">
        <v>879</v>
      </c>
      <c r="H7361" s="501" t="s">
        <v>9322</v>
      </c>
      <c r="I7361" s="501">
        <v>45</v>
      </c>
      <c r="J7361" s="501">
        <v>0</v>
      </c>
      <c r="K7361" s="501">
        <v>0</v>
      </c>
      <c r="L7361" s="501">
        <v>45</v>
      </c>
      <c r="M7361" s="501">
        <v>0</v>
      </c>
      <c r="N7361" s="501">
        <v>0</v>
      </c>
      <c r="O7361" s="506">
        <v>0</v>
      </c>
    </row>
    <row r="7362" spans="1:15" x14ac:dyDescent="0.35">
      <c r="A7362" s="503" t="s">
        <v>1122</v>
      </c>
      <c r="B7362" s="504" t="s">
        <v>2994</v>
      </c>
      <c r="C7362" s="504" t="s">
        <v>1094</v>
      </c>
      <c r="D7362" s="504" t="s">
        <v>3380</v>
      </c>
      <c r="E7362" s="504" t="s">
        <v>3381</v>
      </c>
      <c r="F7362" s="504" t="s">
        <v>878</v>
      </c>
      <c r="G7362" s="504" t="s">
        <v>879</v>
      </c>
      <c r="H7362" s="504" t="s">
        <v>9323</v>
      </c>
      <c r="I7362" s="504">
        <v>11</v>
      </c>
      <c r="J7362" s="504">
        <v>11</v>
      </c>
      <c r="K7362" s="504">
        <v>0</v>
      </c>
      <c r="L7362" s="504">
        <v>0</v>
      </c>
      <c r="M7362" s="504">
        <v>0</v>
      </c>
      <c r="N7362" s="504">
        <v>0</v>
      </c>
      <c r="O7362" s="505">
        <v>0</v>
      </c>
    </row>
    <row r="7363" spans="1:15" x14ac:dyDescent="0.35">
      <c r="A7363" s="500" t="s">
        <v>1226</v>
      </c>
      <c r="B7363" s="501">
        <v>5084</v>
      </c>
      <c r="C7363" s="501" t="s">
        <v>1094</v>
      </c>
      <c r="D7363" s="501" t="s">
        <v>3380</v>
      </c>
      <c r="E7363" s="501" t="s">
        <v>3381</v>
      </c>
      <c r="F7363" s="501" t="s">
        <v>878</v>
      </c>
      <c r="G7363" s="501" t="s">
        <v>879</v>
      </c>
      <c r="H7363" s="501" t="s">
        <v>9324</v>
      </c>
      <c r="I7363" s="501">
        <v>152</v>
      </c>
      <c r="J7363" s="501">
        <v>94</v>
      </c>
      <c r="K7363" s="501">
        <v>0</v>
      </c>
      <c r="L7363" s="501">
        <v>0</v>
      </c>
      <c r="M7363" s="501">
        <v>0</v>
      </c>
      <c r="N7363" s="501">
        <v>0</v>
      </c>
      <c r="O7363" s="506">
        <v>58</v>
      </c>
    </row>
    <row r="7364" spans="1:15" x14ac:dyDescent="0.35">
      <c r="A7364" s="503" t="s">
        <v>1228</v>
      </c>
      <c r="B7364" s="504" t="s">
        <v>3321</v>
      </c>
      <c r="C7364" s="504" t="s">
        <v>1094</v>
      </c>
      <c r="D7364" s="504" t="s">
        <v>3380</v>
      </c>
      <c r="E7364" s="504" t="s">
        <v>3381</v>
      </c>
      <c r="F7364" s="504" t="s">
        <v>878</v>
      </c>
      <c r="G7364" s="504" t="s">
        <v>879</v>
      </c>
      <c r="H7364" s="504" t="s">
        <v>9325</v>
      </c>
      <c r="I7364" s="504">
        <v>34</v>
      </c>
      <c r="J7364" s="504">
        <v>0</v>
      </c>
      <c r="K7364" s="504">
        <v>0</v>
      </c>
      <c r="L7364" s="504">
        <v>34</v>
      </c>
      <c r="M7364" s="504">
        <v>0</v>
      </c>
      <c r="N7364" s="504">
        <v>0</v>
      </c>
      <c r="O7364" s="505">
        <v>0</v>
      </c>
    </row>
    <row r="7365" spans="1:15" x14ac:dyDescent="0.35">
      <c r="A7365" s="500" t="s">
        <v>1233</v>
      </c>
      <c r="B7365" s="501">
        <v>4636</v>
      </c>
      <c r="C7365" s="501" t="s">
        <v>1094</v>
      </c>
      <c r="D7365" s="501" t="s">
        <v>3380</v>
      </c>
      <c r="E7365" s="501" t="s">
        <v>3381</v>
      </c>
      <c r="F7365" s="501" t="s">
        <v>878</v>
      </c>
      <c r="G7365" s="501" t="s">
        <v>879</v>
      </c>
      <c r="H7365" s="501" t="s">
        <v>9326</v>
      </c>
      <c r="I7365" s="501">
        <v>32</v>
      </c>
      <c r="J7365" s="501">
        <v>0</v>
      </c>
      <c r="K7365" s="501">
        <v>0</v>
      </c>
      <c r="L7365" s="501">
        <v>0</v>
      </c>
      <c r="M7365" s="501">
        <v>0</v>
      </c>
      <c r="N7365" s="501">
        <v>0</v>
      </c>
      <c r="O7365" s="506">
        <v>32</v>
      </c>
    </row>
    <row r="7366" spans="1:15" x14ac:dyDescent="0.35">
      <c r="A7366" s="503" t="s">
        <v>11368</v>
      </c>
      <c r="B7366" s="504">
        <v>5083</v>
      </c>
      <c r="C7366" s="504" t="s">
        <v>1094</v>
      </c>
      <c r="D7366" s="504" t="s">
        <v>3380</v>
      </c>
      <c r="E7366" s="504" t="s">
        <v>3381</v>
      </c>
      <c r="F7366" s="504" t="s">
        <v>878</v>
      </c>
      <c r="G7366" s="504" t="s">
        <v>879</v>
      </c>
      <c r="H7366" s="504" t="s">
        <v>12076</v>
      </c>
      <c r="I7366" s="504">
        <v>40</v>
      </c>
      <c r="J7366" s="504">
        <v>40</v>
      </c>
      <c r="K7366" s="504">
        <v>0</v>
      </c>
      <c r="L7366" s="504">
        <v>0</v>
      </c>
      <c r="M7366" s="504">
        <v>0</v>
      </c>
      <c r="N7366" s="504">
        <v>0</v>
      </c>
      <c r="O7366" s="505">
        <v>0</v>
      </c>
    </row>
    <row r="7367" spans="1:15" x14ac:dyDescent="0.35">
      <c r="A7367" s="500" t="s">
        <v>1126</v>
      </c>
      <c r="B7367" s="501" t="s">
        <v>2974</v>
      </c>
      <c r="C7367" s="501" t="s">
        <v>1094</v>
      </c>
      <c r="D7367" s="501" t="s">
        <v>3380</v>
      </c>
      <c r="E7367" s="501" t="s">
        <v>3381</v>
      </c>
      <c r="F7367" s="501" t="s">
        <v>878</v>
      </c>
      <c r="G7367" s="501" t="s">
        <v>879</v>
      </c>
      <c r="H7367" s="501" t="s">
        <v>9327</v>
      </c>
      <c r="I7367" s="501">
        <v>17</v>
      </c>
      <c r="J7367" s="501">
        <v>10</v>
      </c>
      <c r="K7367" s="501">
        <v>0</v>
      </c>
      <c r="L7367" s="501">
        <v>0</v>
      </c>
      <c r="M7367" s="501">
        <v>0</v>
      </c>
      <c r="N7367" s="501">
        <v>0</v>
      </c>
      <c r="O7367" s="506">
        <v>7</v>
      </c>
    </row>
    <row r="7368" spans="1:15" x14ac:dyDescent="0.35">
      <c r="A7368" s="503" t="s">
        <v>1156</v>
      </c>
      <c r="B7368" s="504" t="s">
        <v>3310</v>
      </c>
      <c r="C7368" s="504" t="s">
        <v>1094</v>
      </c>
      <c r="D7368" s="504" t="s">
        <v>3380</v>
      </c>
      <c r="E7368" s="504" t="s">
        <v>3381</v>
      </c>
      <c r="F7368" s="504" t="s">
        <v>878</v>
      </c>
      <c r="G7368" s="504" t="s">
        <v>879</v>
      </c>
      <c r="H7368" s="504" t="s">
        <v>9305</v>
      </c>
      <c r="I7368" s="504">
        <v>1</v>
      </c>
      <c r="J7368" s="504">
        <v>0</v>
      </c>
      <c r="K7368" s="504">
        <v>0</v>
      </c>
      <c r="L7368" s="504">
        <v>0</v>
      </c>
      <c r="M7368" s="504">
        <v>0</v>
      </c>
      <c r="N7368" s="504">
        <v>0</v>
      </c>
      <c r="O7368" s="505">
        <v>1</v>
      </c>
    </row>
    <row r="7369" spans="1:15" x14ac:dyDescent="0.35">
      <c r="A7369" s="500" t="s">
        <v>1193</v>
      </c>
      <c r="B7369" s="501" t="s">
        <v>3039</v>
      </c>
      <c r="C7369" s="501" t="s">
        <v>1094</v>
      </c>
      <c r="D7369" s="501" t="s">
        <v>3380</v>
      </c>
      <c r="E7369" s="501" t="s">
        <v>3381</v>
      </c>
      <c r="F7369" s="501" t="s">
        <v>880</v>
      </c>
      <c r="G7369" s="501" t="s">
        <v>881</v>
      </c>
      <c r="H7369" s="501" t="s">
        <v>9334</v>
      </c>
      <c r="I7369" s="501">
        <v>45</v>
      </c>
      <c r="J7369" s="501">
        <v>0</v>
      </c>
      <c r="K7369" s="501">
        <v>0</v>
      </c>
      <c r="L7369" s="501">
        <v>0</v>
      </c>
      <c r="M7369" s="501">
        <v>45</v>
      </c>
      <c r="N7369" s="501">
        <v>0</v>
      </c>
      <c r="O7369" s="506">
        <v>0</v>
      </c>
    </row>
    <row r="7370" spans="1:15" x14ac:dyDescent="0.35">
      <c r="A7370" s="503" t="s">
        <v>1623</v>
      </c>
      <c r="B7370" s="504">
        <v>4858</v>
      </c>
      <c r="C7370" s="504" t="s">
        <v>1094</v>
      </c>
      <c r="D7370" s="504" t="s">
        <v>3380</v>
      </c>
      <c r="E7370" s="504" t="s">
        <v>3381</v>
      </c>
      <c r="F7370" s="504" t="s">
        <v>880</v>
      </c>
      <c r="G7370" s="504" t="s">
        <v>881</v>
      </c>
      <c r="H7370" s="504" t="s">
        <v>9328</v>
      </c>
      <c r="I7370" s="504">
        <v>486</v>
      </c>
      <c r="J7370" s="504">
        <v>444</v>
      </c>
      <c r="K7370" s="504">
        <v>0</v>
      </c>
      <c r="L7370" s="504">
        <v>0</v>
      </c>
      <c r="M7370" s="504">
        <v>0</v>
      </c>
      <c r="N7370" s="504">
        <v>7</v>
      </c>
      <c r="O7370" s="505">
        <v>42</v>
      </c>
    </row>
    <row r="7371" spans="1:15" x14ac:dyDescent="0.35">
      <c r="A7371" s="500" t="s">
        <v>1172</v>
      </c>
      <c r="B7371" s="501">
        <v>4648</v>
      </c>
      <c r="C7371" s="501" t="s">
        <v>1089</v>
      </c>
      <c r="D7371" s="501" t="s">
        <v>3392</v>
      </c>
      <c r="E7371" s="501" t="s">
        <v>3381</v>
      </c>
      <c r="F7371" s="501" t="s">
        <v>880</v>
      </c>
      <c r="G7371" s="501" t="s">
        <v>881</v>
      </c>
      <c r="H7371" s="501" t="s">
        <v>9329</v>
      </c>
      <c r="I7371" s="501">
        <v>13</v>
      </c>
      <c r="J7371" s="501">
        <v>0</v>
      </c>
      <c r="K7371" s="501">
        <v>0</v>
      </c>
      <c r="L7371" s="501">
        <v>13</v>
      </c>
      <c r="M7371" s="501">
        <v>0</v>
      </c>
      <c r="N7371" s="501">
        <v>0</v>
      </c>
      <c r="O7371" s="506">
        <v>0</v>
      </c>
    </row>
    <row r="7372" spans="1:15" x14ac:dyDescent="0.35">
      <c r="A7372" s="503" t="s">
        <v>1698</v>
      </c>
      <c r="B7372" s="504" t="s">
        <v>3149</v>
      </c>
      <c r="C7372" s="504" t="s">
        <v>1094</v>
      </c>
      <c r="D7372" s="504" t="s">
        <v>3380</v>
      </c>
      <c r="E7372" s="504" t="s">
        <v>3381</v>
      </c>
      <c r="F7372" s="504" t="s">
        <v>880</v>
      </c>
      <c r="G7372" s="504" t="s">
        <v>881</v>
      </c>
      <c r="H7372" s="504" t="s">
        <v>9330</v>
      </c>
      <c r="I7372" s="504">
        <v>18</v>
      </c>
      <c r="J7372" s="504">
        <v>18</v>
      </c>
      <c r="K7372" s="504">
        <v>0</v>
      </c>
      <c r="L7372" s="504">
        <v>0</v>
      </c>
      <c r="M7372" s="504">
        <v>0</v>
      </c>
      <c r="N7372" s="504">
        <v>0</v>
      </c>
      <c r="O7372" s="505">
        <v>0</v>
      </c>
    </row>
    <row r="7373" spans="1:15" x14ac:dyDescent="0.35">
      <c r="A7373" s="500" t="s">
        <v>1102</v>
      </c>
      <c r="B7373" s="501">
        <v>4663</v>
      </c>
      <c r="C7373" s="501" t="s">
        <v>1089</v>
      </c>
      <c r="D7373" s="501" t="s">
        <v>3392</v>
      </c>
      <c r="E7373" s="501" t="s">
        <v>3381</v>
      </c>
      <c r="F7373" s="501" t="s">
        <v>880</v>
      </c>
      <c r="G7373" s="501" t="s">
        <v>881</v>
      </c>
      <c r="H7373" s="501" t="s">
        <v>9331</v>
      </c>
      <c r="I7373" s="501">
        <v>3</v>
      </c>
      <c r="J7373" s="501">
        <v>0</v>
      </c>
      <c r="K7373" s="501">
        <v>0</v>
      </c>
      <c r="L7373" s="501">
        <v>3</v>
      </c>
      <c r="M7373" s="501">
        <v>0</v>
      </c>
      <c r="N7373" s="501">
        <v>0</v>
      </c>
      <c r="O7373" s="506">
        <v>0</v>
      </c>
    </row>
    <row r="7374" spans="1:15" x14ac:dyDescent="0.35">
      <c r="A7374" s="503" t="s">
        <v>1105</v>
      </c>
      <c r="B7374" s="504">
        <v>4668</v>
      </c>
      <c r="C7374" s="504" t="s">
        <v>1094</v>
      </c>
      <c r="D7374" s="504" t="s">
        <v>3380</v>
      </c>
      <c r="E7374" s="504" t="s">
        <v>3381</v>
      </c>
      <c r="F7374" s="504" t="s">
        <v>880</v>
      </c>
      <c r="G7374" s="504" t="s">
        <v>881</v>
      </c>
      <c r="H7374" s="504" t="s">
        <v>9332</v>
      </c>
      <c r="I7374" s="504">
        <v>20</v>
      </c>
      <c r="J7374" s="504">
        <v>0</v>
      </c>
      <c r="K7374" s="504">
        <v>0</v>
      </c>
      <c r="L7374" s="504">
        <v>0</v>
      </c>
      <c r="M7374" s="504">
        <v>0</v>
      </c>
      <c r="N7374" s="504">
        <v>0</v>
      </c>
      <c r="O7374" s="505">
        <v>20</v>
      </c>
    </row>
    <row r="7375" spans="1:15" x14ac:dyDescent="0.35">
      <c r="A7375" s="500" t="s">
        <v>1188</v>
      </c>
      <c r="B7375" s="501">
        <v>4760</v>
      </c>
      <c r="C7375" s="501" t="s">
        <v>1089</v>
      </c>
      <c r="D7375" s="501" t="s">
        <v>3392</v>
      </c>
      <c r="E7375" s="501" t="s">
        <v>3381</v>
      </c>
      <c r="F7375" s="501" t="s">
        <v>880</v>
      </c>
      <c r="G7375" s="501" t="s">
        <v>881</v>
      </c>
      <c r="H7375" s="501" t="s">
        <v>15068</v>
      </c>
      <c r="I7375" s="501">
        <v>9</v>
      </c>
      <c r="J7375" s="501">
        <v>0</v>
      </c>
      <c r="K7375" s="501">
        <v>0</v>
      </c>
      <c r="L7375" s="501">
        <v>9</v>
      </c>
      <c r="M7375" s="501">
        <v>0</v>
      </c>
      <c r="N7375" s="501">
        <v>0</v>
      </c>
      <c r="O7375" s="506">
        <v>0</v>
      </c>
    </row>
    <row r="7376" spans="1:15" x14ac:dyDescent="0.35">
      <c r="A7376" s="503" t="s">
        <v>1107</v>
      </c>
      <c r="B7376" s="504" t="s">
        <v>3109</v>
      </c>
      <c r="C7376" s="504" t="s">
        <v>1094</v>
      </c>
      <c r="D7376" s="504" t="s">
        <v>3380</v>
      </c>
      <c r="E7376" s="504" t="s">
        <v>3381</v>
      </c>
      <c r="F7376" s="504" t="s">
        <v>880</v>
      </c>
      <c r="G7376" s="504" t="s">
        <v>881</v>
      </c>
      <c r="H7376" s="504" t="s">
        <v>9333</v>
      </c>
      <c r="I7376" s="504">
        <v>574</v>
      </c>
      <c r="J7376" s="504">
        <v>526</v>
      </c>
      <c r="K7376" s="504">
        <v>0</v>
      </c>
      <c r="L7376" s="504">
        <v>24</v>
      </c>
      <c r="M7376" s="504">
        <v>0</v>
      </c>
      <c r="N7376" s="504">
        <v>0</v>
      </c>
      <c r="O7376" s="505">
        <v>24</v>
      </c>
    </row>
    <row r="7377" spans="1:15" x14ac:dyDescent="0.35">
      <c r="A7377" s="500" t="s">
        <v>1720</v>
      </c>
      <c r="B7377" s="501">
        <v>5097</v>
      </c>
      <c r="C7377" s="501" t="s">
        <v>1089</v>
      </c>
      <c r="D7377" s="501" t="s">
        <v>3392</v>
      </c>
      <c r="E7377" s="501" t="s">
        <v>3381</v>
      </c>
      <c r="F7377" s="501" t="s">
        <v>880</v>
      </c>
      <c r="G7377" s="501" t="s">
        <v>881</v>
      </c>
      <c r="H7377" s="501" t="s">
        <v>9335</v>
      </c>
      <c r="I7377" s="501">
        <v>41</v>
      </c>
      <c r="J7377" s="501">
        <v>41</v>
      </c>
      <c r="K7377" s="501">
        <v>0</v>
      </c>
      <c r="L7377" s="501">
        <v>0</v>
      </c>
      <c r="M7377" s="501">
        <v>0</v>
      </c>
      <c r="N7377" s="501">
        <v>0</v>
      </c>
      <c r="O7377" s="506">
        <v>0</v>
      </c>
    </row>
    <row r="7378" spans="1:15" x14ac:dyDescent="0.35">
      <c r="A7378" s="503" t="s">
        <v>1738</v>
      </c>
      <c r="B7378" s="504" t="s">
        <v>3280</v>
      </c>
      <c r="C7378" s="504" t="s">
        <v>1089</v>
      </c>
      <c r="D7378" s="504" t="s">
        <v>3392</v>
      </c>
      <c r="E7378" s="504" t="s">
        <v>3381</v>
      </c>
      <c r="F7378" s="504" t="s">
        <v>880</v>
      </c>
      <c r="G7378" s="504" t="s">
        <v>881</v>
      </c>
      <c r="H7378" s="504" t="s">
        <v>9336</v>
      </c>
      <c r="I7378" s="504">
        <v>45</v>
      </c>
      <c r="J7378" s="504">
        <v>45</v>
      </c>
      <c r="K7378" s="504">
        <v>0</v>
      </c>
      <c r="L7378" s="504">
        <v>0</v>
      </c>
      <c r="M7378" s="504">
        <v>0</v>
      </c>
      <c r="N7378" s="504">
        <v>0</v>
      </c>
      <c r="O7378" s="505">
        <v>0</v>
      </c>
    </row>
    <row r="7379" spans="1:15" x14ac:dyDescent="0.35">
      <c r="A7379" s="500" t="s">
        <v>1209</v>
      </c>
      <c r="B7379" s="501">
        <v>4779</v>
      </c>
      <c r="C7379" s="501" t="s">
        <v>1094</v>
      </c>
      <c r="D7379" s="501" t="s">
        <v>3380</v>
      </c>
      <c r="E7379" s="501" t="s">
        <v>3381</v>
      </c>
      <c r="F7379" s="501" t="s">
        <v>880</v>
      </c>
      <c r="G7379" s="501" t="s">
        <v>881</v>
      </c>
      <c r="H7379" s="501" t="s">
        <v>9337</v>
      </c>
      <c r="I7379" s="501">
        <v>14</v>
      </c>
      <c r="J7379" s="501">
        <v>0</v>
      </c>
      <c r="K7379" s="501">
        <v>0</v>
      </c>
      <c r="L7379" s="501">
        <v>14</v>
      </c>
      <c r="M7379" s="501">
        <v>0</v>
      </c>
      <c r="N7379" s="501">
        <v>0</v>
      </c>
      <c r="O7379" s="506">
        <v>0</v>
      </c>
    </row>
    <row r="7380" spans="1:15" x14ac:dyDescent="0.35">
      <c r="A7380" s="503" t="s">
        <v>1503</v>
      </c>
      <c r="B7380" s="504">
        <v>4666</v>
      </c>
      <c r="C7380" s="504" t="s">
        <v>1089</v>
      </c>
      <c r="D7380" s="504" t="s">
        <v>3392</v>
      </c>
      <c r="E7380" s="504" t="s">
        <v>3381</v>
      </c>
      <c r="F7380" s="504" t="s">
        <v>880</v>
      </c>
      <c r="G7380" s="504" t="s">
        <v>881</v>
      </c>
      <c r="H7380" s="504" t="s">
        <v>9338</v>
      </c>
      <c r="I7380" s="504">
        <v>26</v>
      </c>
      <c r="J7380" s="504">
        <v>0</v>
      </c>
      <c r="K7380" s="504">
        <v>0</v>
      </c>
      <c r="L7380" s="504">
        <v>26</v>
      </c>
      <c r="M7380" s="504">
        <v>0</v>
      </c>
      <c r="N7380" s="504">
        <v>0</v>
      </c>
      <c r="O7380" s="505">
        <v>0</v>
      </c>
    </row>
    <row r="7381" spans="1:15" x14ac:dyDescent="0.35">
      <c r="A7381" s="500" t="s">
        <v>1228</v>
      </c>
      <c r="B7381" s="501" t="s">
        <v>3321</v>
      </c>
      <c r="C7381" s="501" t="s">
        <v>1094</v>
      </c>
      <c r="D7381" s="501" t="s">
        <v>3380</v>
      </c>
      <c r="E7381" s="501" t="s">
        <v>3381</v>
      </c>
      <c r="F7381" s="501" t="s">
        <v>880</v>
      </c>
      <c r="G7381" s="501" t="s">
        <v>881</v>
      </c>
      <c r="H7381" s="501" t="s">
        <v>9339</v>
      </c>
      <c r="I7381" s="501">
        <v>48</v>
      </c>
      <c r="J7381" s="501">
        <v>25</v>
      </c>
      <c r="K7381" s="501">
        <v>0</v>
      </c>
      <c r="L7381" s="501">
        <v>0</v>
      </c>
      <c r="M7381" s="501">
        <v>0</v>
      </c>
      <c r="N7381" s="501">
        <v>0</v>
      </c>
      <c r="O7381" s="506">
        <v>23</v>
      </c>
    </row>
    <row r="7382" spans="1:15" x14ac:dyDescent="0.35">
      <c r="A7382" s="503" t="s">
        <v>1126</v>
      </c>
      <c r="B7382" s="504" t="s">
        <v>2974</v>
      </c>
      <c r="C7382" s="504" t="s">
        <v>1094</v>
      </c>
      <c r="D7382" s="504" t="s">
        <v>3380</v>
      </c>
      <c r="E7382" s="504" t="s">
        <v>3381</v>
      </c>
      <c r="F7382" s="504" t="s">
        <v>880</v>
      </c>
      <c r="G7382" s="504" t="s">
        <v>881</v>
      </c>
      <c r="H7382" s="504" t="s">
        <v>9340</v>
      </c>
      <c r="I7382" s="504">
        <v>8</v>
      </c>
      <c r="J7382" s="504">
        <v>0</v>
      </c>
      <c r="K7382" s="504">
        <v>0</v>
      </c>
      <c r="L7382" s="504">
        <v>8</v>
      </c>
      <c r="M7382" s="504">
        <v>0</v>
      </c>
      <c r="N7382" s="504">
        <v>0</v>
      </c>
      <c r="O7382" s="505">
        <v>0</v>
      </c>
    </row>
    <row r="7383" spans="1:15" x14ac:dyDescent="0.35">
      <c r="A7383" s="500" t="s">
        <v>1760</v>
      </c>
      <c r="B7383" s="501">
        <v>4686</v>
      </c>
      <c r="C7383" s="501" t="s">
        <v>1094</v>
      </c>
      <c r="D7383" s="501" t="s">
        <v>3380</v>
      </c>
      <c r="E7383" s="501" t="s">
        <v>3381</v>
      </c>
      <c r="F7383" s="501" t="s">
        <v>880</v>
      </c>
      <c r="G7383" s="501" t="s">
        <v>881</v>
      </c>
      <c r="H7383" s="501" t="s">
        <v>9341</v>
      </c>
      <c r="I7383" s="501">
        <v>3193</v>
      </c>
      <c r="J7383" s="501">
        <v>2747</v>
      </c>
      <c r="K7383" s="501">
        <v>0</v>
      </c>
      <c r="L7383" s="501">
        <v>0</v>
      </c>
      <c r="M7383" s="501">
        <v>420</v>
      </c>
      <c r="N7383" s="501">
        <v>0</v>
      </c>
      <c r="O7383" s="506">
        <v>26</v>
      </c>
    </row>
    <row r="7384" spans="1:15" x14ac:dyDescent="0.35">
      <c r="A7384" s="503" t="s">
        <v>1245</v>
      </c>
      <c r="B7384" s="504" t="s">
        <v>2859</v>
      </c>
      <c r="C7384" s="504" t="s">
        <v>1094</v>
      </c>
      <c r="D7384" s="504" t="s">
        <v>3380</v>
      </c>
      <c r="E7384" s="504" t="s">
        <v>3381</v>
      </c>
      <c r="F7384" s="504" t="s">
        <v>880</v>
      </c>
      <c r="G7384" s="504" t="s">
        <v>881</v>
      </c>
      <c r="H7384" s="504" t="s">
        <v>9342</v>
      </c>
      <c r="I7384" s="504">
        <v>16</v>
      </c>
      <c r="J7384" s="504">
        <v>0</v>
      </c>
      <c r="K7384" s="504">
        <v>0</v>
      </c>
      <c r="L7384" s="504">
        <v>0</v>
      </c>
      <c r="M7384" s="504">
        <v>16</v>
      </c>
      <c r="N7384" s="504">
        <v>0</v>
      </c>
      <c r="O7384" s="505">
        <v>0</v>
      </c>
    </row>
    <row r="7385" spans="1:15" x14ac:dyDescent="0.35">
      <c r="A7385" s="500" t="s">
        <v>11398</v>
      </c>
      <c r="B7385" s="501" t="s">
        <v>3224</v>
      </c>
      <c r="C7385" s="501" t="s">
        <v>1089</v>
      </c>
      <c r="D7385" s="501" t="s">
        <v>3392</v>
      </c>
      <c r="E7385" s="501" t="s">
        <v>3381</v>
      </c>
      <c r="F7385" s="501" t="s">
        <v>880</v>
      </c>
      <c r="G7385" s="501" t="s">
        <v>881</v>
      </c>
      <c r="H7385" s="501" t="s">
        <v>12206</v>
      </c>
      <c r="I7385" s="501">
        <v>39</v>
      </c>
      <c r="J7385" s="501">
        <v>0</v>
      </c>
      <c r="K7385" s="501">
        <v>0</v>
      </c>
      <c r="L7385" s="501">
        <v>39</v>
      </c>
      <c r="M7385" s="501">
        <v>0</v>
      </c>
      <c r="N7385" s="501">
        <v>0</v>
      </c>
      <c r="O7385" s="506">
        <v>0</v>
      </c>
    </row>
    <row r="7386" spans="1:15" x14ac:dyDescent="0.35">
      <c r="A7386" s="503" t="s">
        <v>1253</v>
      </c>
      <c r="B7386" s="504" t="s">
        <v>3232</v>
      </c>
      <c r="C7386" s="504" t="s">
        <v>1094</v>
      </c>
      <c r="D7386" s="504" t="s">
        <v>3380</v>
      </c>
      <c r="E7386" s="504" t="s">
        <v>3381</v>
      </c>
      <c r="F7386" s="504" t="s">
        <v>880</v>
      </c>
      <c r="G7386" s="504" t="s">
        <v>881</v>
      </c>
      <c r="H7386" s="504" t="s">
        <v>9343</v>
      </c>
      <c r="I7386" s="504">
        <v>498</v>
      </c>
      <c r="J7386" s="504">
        <v>263</v>
      </c>
      <c r="K7386" s="504">
        <v>0</v>
      </c>
      <c r="L7386" s="504">
        <v>76</v>
      </c>
      <c r="M7386" s="504">
        <v>55</v>
      </c>
      <c r="N7386" s="504">
        <v>0</v>
      </c>
      <c r="O7386" s="505">
        <v>104</v>
      </c>
    </row>
    <row r="7387" spans="1:15" x14ac:dyDescent="0.35">
      <c r="A7387" s="500" t="s">
        <v>1096</v>
      </c>
      <c r="B7387" s="501" t="s">
        <v>3326</v>
      </c>
      <c r="C7387" s="501" t="s">
        <v>1094</v>
      </c>
      <c r="D7387" s="501" t="s">
        <v>3380</v>
      </c>
      <c r="E7387" s="501" t="s">
        <v>3381</v>
      </c>
      <c r="F7387" s="501" t="s">
        <v>882</v>
      </c>
      <c r="G7387" s="501" t="s">
        <v>883</v>
      </c>
      <c r="H7387" s="501" t="s">
        <v>9344</v>
      </c>
      <c r="I7387" s="501">
        <v>96</v>
      </c>
      <c r="J7387" s="501">
        <v>0</v>
      </c>
      <c r="K7387" s="501">
        <v>0</v>
      </c>
      <c r="L7387" s="501">
        <v>0</v>
      </c>
      <c r="M7387" s="501">
        <v>96</v>
      </c>
      <c r="N7387" s="501">
        <v>0</v>
      </c>
      <c r="O7387" s="506">
        <v>0</v>
      </c>
    </row>
    <row r="7388" spans="1:15" x14ac:dyDescent="0.35">
      <c r="A7388" s="503" t="s">
        <v>1282</v>
      </c>
      <c r="B7388" s="504" t="s">
        <v>2953</v>
      </c>
      <c r="C7388" s="504" t="s">
        <v>1094</v>
      </c>
      <c r="D7388" s="504" t="s">
        <v>3380</v>
      </c>
      <c r="E7388" s="504" t="s">
        <v>3381</v>
      </c>
      <c r="F7388" s="504" t="s">
        <v>882</v>
      </c>
      <c r="G7388" s="504" t="s">
        <v>883</v>
      </c>
      <c r="H7388" s="504" t="s">
        <v>9345</v>
      </c>
      <c r="I7388" s="504">
        <v>288</v>
      </c>
      <c r="J7388" s="504">
        <v>171</v>
      </c>
      <c r="K7388" s="504">
        <v>0</v>
      </c>
      <c r="L7388" s="504">
        <v>0</v>
      </c>
      <c r="M7388" s="504">
        <v>97</v>
      </c>
      <c r="N7388" s="504">
        <v>0</v>
      </c>
      <c r="O7388" s="505">
        <v>20</v>
      </c>
    </row>
    <row r="7389" spans="1:15" x14ac:dyDescent="0.35">
      <c r="A7389" s="500" t="s">
        <v>1100</v>
      </c>
      <c r="B7389" s="501">
        <v>4865</v>
      </c>
      <c r="C7389" s="501" t="s">
        <v>1094</v>
      </c>
      <c r="D7389" s="501" t="s">
        <v>3380</v>
      </c>
      <c r="E7389" s="501" t="s">
        <v>3381</v>
      </c>
      <c r="F7389" s="501" t="s">
        <v>882</v>
      </c>
      <c r="G7389" s="501" t="s">
        <v>883</v>
      </c>
      <c r="H7389" s="501" t="s">
        <v>9346</v>
      </c>
      <c r="I7389" s="501">
        <v>376</v>
      </c>
      <c r="J7389" s="501">
        <v>249</v>
      </c>
      <c r="K7389" s="501">
        <v>0</v>
      </c>
      <c r="L7389" s="501">
        <v>8</v>
      </c>
      <c r="M7389" s="501">
        <v>37</v>
      </c>
      <c r="N7389" s="501">
        <v>0</v>
      </c>
      <c r="O7389" s="506">
        <v>82</v>
      </c>
    </row>
    <row r="7390" spans="1:15" x14ac:dyDescent="0.35">
      <c r="A7390" s="503" t="s">
        <v>1290</v>
      </c>
      <c r="B7390" s="504" t="s">
        <v>2979</v>
      </c>
      <c r="C7390" s="504" t="s">
        <v>1094</v>
      </c>
      <c r="D7390" s="504" t="s">
        <v>3380</v>
      </c>
      <c r="E7390" s="504" t="s">
        <v>3381</v>
      </c>
      <c r="F7390" s="504" t="s">
        <v>882</v>
      </c>
      <c r="G7390" s="504" t="s">
        <v>883</v>
      </c>
      <c r="H7390" s="504" t="s">
        <v>9347</v>
      </c>
      <c r="I7390" s="504">
        <v>383</v>
      </c>
      <c r="J7390" s="504">
        <v>303</v>
      </c>
      <c r="K7390" s="504">
        <v>0</v>
      </c>
      <c r="L7390" s="504">
        <v>0</v>
      </c>
      <c r="M7390" s="504">
        <v>35</v>
      </c>
      <c r="N7390" s="504">
        <v>0</v>
      </c>
      <c r="O7390" s="505">
        <v>45</v>
      </c>
    </row>
    <row r="7391" spans="1:15" x14ac:dyDescent="0.35">
      <c r="A7391" s="500" t="s">
        <v>1296</v>
      </c>
      <c r="B7391" s="501">
        <v>4651</v>
      </c>
      <c r="C7391" s="501" t="s">
        <v>1094</v>
      </c>
      <c r="D7391" s="501" t="s">
        <v>3380</v>
      </c>
      <c r="E7391" s="501" t="s">
        <v>3381</v>
      </c>
      <c r="F7391" s="501" t="s">
        <v>882</v>
      </c>
      <c r="G7391" s="501" t="s">
        <v>883</v>
      </c>
      <c r="H7391" s="501" t="s">
        <v>9348</v>
      </c>
      <c r="I7391" s="501">
        <v>911</v>
      </c>
      <c r="J7391" s="501">
        <v>759</v>
      </c>
      <c r="K7391" s="501">
        <v>0</v>
      </c>
      <c r="L7391" s="501">
        <v>0</v>
      </c>
      <c r="M7391" s="501">
        <v>0</v>
      </c>
      <c r="N7391" s="501">
        <v>0</v>
      </c>
      <c r="O7391" s="506">
        <v>152</v>
      </c>
    </row>
    <row r="7392" spans="1:15" x14ac:dyDescent="0.35">
      <c r="A7392" s="503" t="s">
        <v>1187</v>
      </c>
      <c r="B7392" s="504" t="s">
        <v>2951</v>
      </c>
      <c r="C7392" s="504" t="s">
        <v>1094</v>
      </c>
      <c r="D7392" s="504" t="s">
        <v>3380</v>
      </c>
      <c r="E7392" s="504" t="s">
        <v>3381</v>
      </c>
      <c r="F7392" s="504" t="s">
        <v>882</v>
      </c>
      <c r="G7392" s="504" t="s">
        <v>883</v>
      </c>
      <c r="H7392" s="504" t="s">
        <v>9349</v>
      </c>
      <c r="I7392" s="504">
        <v>124</v>
      </c>
      <c r="J7392" s="504">
        <v>105</v>
      </c>
      <c r="K7392" s="504">
        <v>0</v>
      </c>
      <c r="L7392" s="504">
        <v>0</v>
      </c>
      <c r="M7392" s="504">
        <v>0</v>
      </c>
      <c r="N7392" s="504">
        <v>0</v>
      </c>
      <c r="O7392" s="505">
        <v>19</v>
      </c>
    </row>
    <row r="7393" spans="1:15" x14ac:dyDescent="0.35">
      <c r="A7393" s="500" t="s">
        <v>1105</v>
      </c>
      <c r="B7393" s="501">
        <v>4668</v>
      </c>
      <c r="C7393" s="501" t="s">
        <v>1094</v>
      </c>
      <c r="D7393" s="501" t="s">
        <v>3380</v>
      </c>
      <c r="E7393" s="501" t="s">
        <v>3381</v>
      </c>
      <c r="F7393" s="501" t="s">
        <v>882</v>
      </c>
      <c r="G7393" s="501" t="s">
        <v>883</v>
      </c>
      <c r="H7393" s="501" t="s">
        <v>9350</v>
      </c>
      <c r="I7393" s="501">
        <v>28</v>
      </c>
      <c r="J7393" s="501">
        <v>0</v>
      </c>
      <c r="K7393" s="501">
        <v>0</v>
      </c>
      <c r="L7393" s="501">
        <v>0</v>
      </c>
      <c r="M7393" s="501">
        <v>0</v>
      </c>
      <c r="N7393" s="501">
        <v>0</v>
      </c>
      <c r="O7393" s="506">
        <v>28</v>
      </c>
    </row>
    <row r="7394" spans="1:15" x14ac:dyDescent="0.35">
      <c r="A7394" s="503" t="s">
        <v>1107</v>
      </c>
      <c r="B7394" s="504" t="s">
        <v>3109</v>
      </c>
      <c r="C7394" s="504" t="s">
        <v>1094</v>
      </c>
      <c r="D7394" s="504" t="s">
        <v>3380</v>
      </c>
      <c r="E7394" s="504" t="s">
        <v>3381</v>
      </c>
      <c r="F7394" s="504" t="s">
        <v>882</v>
      </c>
      <c r="G7394" s="504" t="s">
        <v>883</v>
      </c>
      <c r="H7394" s="504" t="s">
        <v>9351</v>
      </c>
      <c r="I7394" s="504">
        <v>18</v>
      </c>
      <c r="J7394" s="504">
        <v>0</v>
      </c>
      <c r="K7394" s="504">
        <v>0</v>
      </c>
      <c r="L7394" s="504">
        <v>18</v>
      </c>
      <c r="M7394" s="504">
        <v>0</v>
      </c>
      <c r="N7394" s="504">
        <v>0</v>
      </c>
      <c r="O7394" s="505">
        <v>0</v>
      </c>
    </row>
    <row r="7395" spans="1:15" x14ac:dyDescent="0.35">
      <c r="A7395" s="500" t="s">
        <v>1109</v>
      </c>
      <c r="B7395" s="501" t="s">
        <v>2959</v>
      </c>
      <c r="C7395" s="501" t="s">
        <v>1094</v>
      </c>
      <c r="D7395" s="501" t="s">
        <v>3380</v>
      </c>
      <c r="E7395" s="501" t="s">
        <v>3381</v>
      </c>
      <c r="F7395" s="501" t="s">
        <v>882</v>
      </c>
      <c r="G7395" s="501" t="s">
        <v>883</v>
      </c>
      <c r="H7395" s="501" t="s">
        <v>9352</v>
      </c>
      <c r="I7395" s="501">
        <v>34</v>
      </c>
      <c r="J7395" s="501">
        <v>0</v>
      </c>
      <c r="K7395" s="501">
        <v>0</v>
      </c>
      <c r="L7395" s="501">
        <v>0</v>
      </c>
      <c r="M7395" s="501">
        <v>34</v>
      </c>
      <c r="N7395" s="501">
        <v>0</v>
      </c>
      <c r="O7395" s="506">
        <v>0</v>
      </c>
    </row>
    <row r="7396" spans="1:15" x14ac:dyDescent="0.35">
      <c r="A7396" s="503" t="s">
        <v>1190</v>
      </c>
      <c r="B7396" s="504">
        <v>4662</v>
      </c>
      <c r="C7396" s="504" t="s">
        <v>1094</v>
      </c>
      <c r="D7396" s="504" t="s">
        <v>3380</v>
      </c>
      <c r="E7396" s="504" t="s">
        <v>3381</v>
      </c>
      <c r="F7396" s="504" t="s">
        <v>882</v>
      </c>
      <c r="G7396" s="504" t="s">
        <v>883</v>
      </c>
      <c r="H7396" s="504" t="s">
        <v>9353</v>
      </c>
      <c r="I7396" s="504">
        <v>17</v>
      </c>
      <c r="J7396" s="504">
        <v>0</v>
      </c>
      <c r="K7396" s="504">
        <v>0</v>
      </c>
      <c r="L7396" s="504">
        <v>17</v>
      </c>
      <c r="M7396" s="504">
        <v>0</v>
      </c>
      <c r="N7396" s="504">
        <v>0</v>
      </c>
      <c r="O7396" s="505">
        <v>0</v>
      </c>
    </row>
    <row r="7397" spans="1:15" x14ac:dyDescent="0.35">
      <c r="A7397" s="500" t="s">
        <v>1112</v>
      </c>
      <c r="B7397" s="501" t="s">
        <v>3008</v>
      </c>
      <c r="C7397" s="501" t="s">
        <v>1094</v>
      </c>
      <c r="D7397" s="501" t="s">
        <v>3380</v>
      </c>
      <c r="E7397" s="501" t="s">
        <v>3381</v>
      </c>
      <c r="F7397" s="501" t="s">
        <v>882</v>
      </c>
      <c r="G7397" s="501" t="s">
        <v>883</v>
      </c>
      <c r="H7397" s="501" t="s">
        <v>9354</v>
      </c>
      <c r="I7397" s="501">
        <v>85</v>
      </c>
      <c r="J7397" s="501">
        <v>78</v>
      </c>
      <c r="K7397" s="501">
        <v>0</v>
      </c>
      <c r="L7397" s="501">
        <v>0</v>
      </c>
      <c r="M7397" s="501">
        <v>0</v>
      </c>
      <c r="N7397" s="501">
        <v>0</v>
      </c>
      <c r="O7397" s="506">
        <v>7</v>
      </c>
    </row>
    <row r="7398" spans="1:15" x14ac:dyDescent="0.35">
      <c r="A7398" s="503" t="s">
        <v>1218</v>
      </c>
      <c r="B7398" s="504" t="s">
        <v>3147</v>
      </c>
      <c r="C7398" s="504" t="s">
        <v>1094</v>
      </c>
      <c r="D7398" s="504" t="s">
        <v>3380</v>
      </c>
      <c r="E7398" s="504" t="s">
        <v>3381</v>
      </c>
      <c r="F7398" s="504" t="s">
        <v>882</v>
      </c>
      <c r="G7398" s="504" t="s">
        <v>883</v>
      </c>
      <c r="H7398" s="504" t="s">
        <v>9355</v>
      </c>
      <c r="I7398" s="504">
        <v>165</v>
      </c>
      <c r="J7398" s="504">
        <v>2</v>
      </c>
      <c r="K7398" s="504">
        <v>0</v>
      </c>
      <c r="L7398" s="504">
        <v>0</v>
      </c>
      <c r="M7398" s="504">
        <v>0</v>
      </c>
      <c r="N7398" s="504">
        <v>0</v>
      </c>
      <c r="O7398" s="505">
        <v>163</v>
      </c>
    </row>
    <row r="7399" spans="1:15" x14ac:dyDescent="0.35">
      <c r="A7399" s="500" t="s">
        <v>11367</v>
      </c>
      <c r="B7399" s="501" t="s">
        <v>3143</v>
      </c>
      <c r="C7399" s="501" t="s">
        <v>1094</v>
      </c>
      <c r="D7399" s="501" t="s">
        <v>3380</v>
      </c>
      <c r="E7399" s="501" t="s">
        <v>3381</v>
      </c>
      <c r="F7399" s="501" t="s">
        <v>882</v>
      </c>
      <c r="G7399" s="501" t="s">
        <v>883</v>
      </c>
      <c r="H7399" s="501" t="s">
        <v>11953</v>
      </c>
      <c r="I7399" s="501">
        <v>539</v>
      </c>
      <c r="J7399" s="501">
        <v>488</v>
      </c>
      <c r="K7399" s="501">
        <v>0</v>
      </c>
      <c r="L7399" s="501">
        <v>14</v>
      </c>
      <c r="M7399" s="501">
        <v>37</v>
      </c>
      <c r="N7399" s="501">
        <v>0</v>
      </c>
      <c r="O7399" s="506">
        <v>0</v>
      </c>
    </row>
    <row r="7400" spans="1:15" x14ac:dyDescent="0.35">
      <c r="A7400" s="503" t="s">
        <v>1326</v>
      </c>
      <c r="B7400" s="504" t="s">
        <v>2954</v>
      </c>
      <c r="C7400" s="504" t="s">
        <v>1094</v>
      </c>
      <c r="D7400" s="504" t="s">
        <v>3380</v>
      </c>
      <c r="E7400" s="504" t="s">
        <v>3381</v>
      </c>
      <c r="F7400" s="504" t="s">
        <v>882</v>
      </c>
      <c r="G7400" s="504" t="s">
        <v>883</v>
      </c>
      <c r="H7400" s="504" t="s">
        <v>9356</v>
      </c>
      <c r="I7400" s="504">
        <v>53</v>
      </c>
      <c r="J7400" s="504">
        <v>43</v>
      </c>
      <c r="K7400" s="504">
        <v>0</v>
      </c>
      <c r="L7400" s="504">
        <v>6</v>
      </c>
      <c r="M7400" s="504">
        <v>0</v>
      </c>
      <c r="N7400" s="504">
        <v>0</v>
      </c>
      <c r="O7400" s="505">
        <v>4</v>
      </c>
    </row>
    <row r="7401" spans="1:15" x14ac:dyDescent="0.35">
      <c r="A7401" s="500" t="s">
        <v>1122</v>
      </c>
      <c r="B7401" s="501" t="s">
        <v>2994</v>
      </c>
      <c r="C7401" s="501" t="s">
        <v>1094</v>
      </c>
      <c r="D7401" s="501" t="s">
        <v>3380</v>
      </c>
      <c r="E7401" s="501" t="s">
        <v>3381</v>
      </c>
      <c r="F7401" s="501" t="s">
        <v>882</v>
      </c>
      <c r="G7401" s="501" t="s">
        <v>883</v>
      </c>
      <c r="H7401" s="501" t="s">
        <v>9357</v>
      </c>
      <c r="I7401" s="501">
        <v>71</v>
      </c>
      <c r="J7401" s="501">
        <v>57</v>
      </c>
      <c r="K7401" s="501">
        <v>0</v>
      </c>
      <c r="L7401" s="501">
        <v>5</v>
      </c>
      <c r="M7401" s="501">
        <v>0</v>
      </c>
      <c r="N7401" s="501">
        <v>0</v>
      </c>
      <c r="O7401" s="506">
        <v>9</v>
      </c>
    </row>
    <row r="7402" spans="1:15" x14ac:dyDescent="0.35">
      <c r="A7402" s="503" t="s">
        <v>1228</v>
      </c>
      <c r="B7402" s="504" t="s">
        <v>3321</v>
      </c>
      <c r="C7402" s="504" t="s">
        <v>1094</v>
      </c>
      <c r="D7402" s="504" t="s">
        <v>3380</v>
      </c>
      <c r="E7402" s="504" t="s">
        <v>3381</v>
      </c>
      <c r="F7402" s="504" t="s">
        <v>882</v>
      </c>
      <c r="G7402" s="504" t="s">
        <v>883</v>
      </c>
      <c r="H7402" s="504" t="s">
        <v>9358</v>
      </c>
      <c r="I7402" s="504">
        <v>24</v>
      </c>
      <c r="J7402" s="504">
        <v>0</v>
      </c>
      <c r="K7402" s="504">
        <v>0</v>
      </c>
      <c r="L7402" s="504">
        <v>24</v>
      </c>
      <c r="M7402" s="504">
        <v>0</v>
      </c>
      <c r="N7402" s="504">
        <v>0</v>
      </c>
      <c r="O7402" s="505">
        <v>0</v>
      </c>
    </row>
    <row r="7403" spans="1:15" x14ac:dyDescent="0.35">
      <c r="A7403" s="500" t="s">
        <v>1339</v>
      </c>
      <c r="B7403" s="501" t="s">
        <v>3358</v>
      </c>
      <c r="C7403" s="501" t="s">
        <v>1094</v>
      </c>
      <c r="D7403" s="501" t="s">
        <v>3380</v>
      </c>
      <c r="E7403" s="501" t="s">
        <v>3381</v>
      </c>
      <c r="F7403" s="501" t="s">
        <v>882</v>
      </c>
      <c r="G7403" s="501" t="s">
        <v>883</v>
      </c>
      <c r="H7403" s="501" t="s">
        <v>9359</v>
      </c>
      <c r="I7403" s="501">
        <v>4916</v>
      </c>
      <c r="J7403" s="501">
        <v>4274</v>
      </c>
      <c r="K7403" s="501">
        <v>0</v>
      </c>
      <c r="L7403" s="501">
        <v>15</v>
      </c>
      <c r="M7403" s="501">
        <v>483</v>
      </c>
      <c r="N7403" s="501">
        <v>0</v>
      </c>
      <c r="O7403" s="506">
        <v>144</v>
      </c>
    </row>
    <row r="7404" spans="1:15" x14ac:dyDescent="0.35">
      <c r="A7404" s="503" t="s">
        <v>1233</v>
      </c>
      <c r="B7404" s="504">
        <v>4636</v>
      </c>
      <c r="C7404" s="504" t="s">
        <v>1094</v>
      </c>
      <c r="D7404" s="504" t="s">
        <v>3380</v>
      </c>
      <c r="E7404" s="504" t="s">
        <v>3381</v>
      </c>
      <c r="F7404" s="504" t="s">
        <v>882</v>
      </c>
      <c r="G7404" s="504" t="s">
        <v>883</v>
      </c>
      <c r="H7404" s="504" t="s">
        <v>9360</v>
      </c>
      <c r="I7404" s="504">
        <v>27</v>
      </c>
      <c r="J7404" s="504">
        <v>0</v>
      </c>
      <c r="K7404" s="504">
        <v>0</v>
      </c>
      <c r="L7404" s="504">
        <v>0</v>
      </c>
      <c r="M7404" s="504">
        <v>0</v>
      </c>
      <c r="N7404" s="504">
        <v>0</v>
      </c>
      <c r="O7404" s="505">
        <v>27</v>
      </c>
    </row>
    <row r="7405" spans="1:15" x14ac:dyDescent="0.35">
      <c r="A7405" s="500" t="s">
        <v>11368</v>
      </c>
      <c r="B7405" s="501">
        <v>5083</v>
      </c>
      <c r="C7405" s="501" t="s">
        <v>1094</v>
      </c>
      <c r="D7405" s="501" t="s">
        <v>3380</v>
      </c>
      <c r="E7405" s="501" t="s">
        <v>3381</v>
      </c>
      <c r="F7405" s="501" t="s">
        <v>882</v>
      </c>
      <c r="G7405" s="501" t="s">
        <v>883</v>
      </c>
      <c r="H7405" s="501" t="s">
        <v>12077</v>
      </c>
      <c r="I7405" s="501">
        <v>79</v>
      </c>
      <c r="J7405" s="501">
        <v>79</v>
      </c>
      <c r="K7405" s="501">
        <v>0</v>
      </c>
      <c r="L7405" s="501">
        <v>0</v>
      </c>
      <c r="M7405" s="501">
        <v>0</v>
      </c>
      <c r="N7405" s="501">
        <v>0</v>
      </c>
      <c r="O7405" s="506">
        <v>0</v>
      </c>
    </row>
    <row r="7406" spans="1:15" x14ac:dyDescent="0.35">
      <c r="A7406" s="503" t="s">
        <v>1235</v>
      </c>
      <c r="B7406" s="504">
        <v>4684</v>
      </c>
      <c r="C7406" s="504" t="s">
        <v>1094</v>
      </c>
      <c r="D7406" s="504" t="s">
        <v>3380</v>
      </c>
      <c r="E7406" s="504" t="s">
        <v>3381</v>
      </c>
      <c r="F7406" s="504" t="s">
        <v>882</v>
      </c>
      <c r="G7406" s="504" t="s">
        <v>883</v>
      </c>
      <c r="H7406" s="504" t="s">
        <v>9361</v>
      </c>
      <c r="I7406" s="504">
        <v>61</v>
      </c>
      <c r="J7406" s="504">
        <v>0</v>
      </c>
      <c r="K7406" s="504">
        <v>0</v>
      </c>
      <c r="L7406" s="504">
        <v>61</v>
      </c>
      <c r="M7406" s="504">
        <v>0</v>
      </c>
      <c r="N7406" s="504">
        <v>0</v>
      </c>
      <c r="O7406" s="505">
        <v>0</v>
      </c>
    </row>
    <row r="7407" spans="1:15" x14ac:dyDescent="0.35">
      <c r="A7407" s="500" t="s">
        <v>1126</v>
      </c>
      <c r="B7407" s="501" t="s">
        <v>2974</v>
      </c>
      <c r="C7407" s="501" t="s">
        <v>1094</v>
      </c>
      <c r="D7407" s="501" t="s">
        <v>3380</v>
      </c>
      <c r="E7407" s="501" t="s">
        <v>3381</v>
      </c>
      <c r="F7407" s="501" t="s">
        <v>882</v>
      </c>
      <c r="G7407" s="501" t="s">
        <v>883</v>
      </c>
      <c r="H7407" s="501" t="s">
        <v>9362</v>
      </c>
      <c r="I7407" s="501">
        <v>21</v>
      </c>
      <c r="J7407" s="501">
        <v>21</v>
      </c>
      <c r="K7407" s="501">
        <v>0</v>
      </c>
      <c r="L7407" s="501">
        <v>0</v>
      </c>
      <c r="M7407" s="501">
        <v>0</v>
      </c>
      <c r="N7407" s="501">
        <v>0</v>
      </c>
      <c r="O7407" s="506">
        <v>0</v>
      </c>
    </row>
    <row r="7408" spans="1:15" x14ac:dyDescent="0.35">
      <c r="A7408" s="503" t="s">
        <v>11375</v>
      </c>
      <c r="B7408" s="504">
        <v>4696</v>
      </c>
      <c r="C7408" s="504" t="s">
        <v>1089</v>
      </c>
      <c r="D7408" s="504" t="s">
        <v>3392</v>
      </c>
      <c r="E7408" s="504" t="s">
        <v>3381</v>
      </c>
      <c r="F7408" s="504" t="s">
        <v>882</v>
      </c>
      <c r="G7408" s="504" t="s">
        <v>883</v>
      </c>
      <c r="H7408" s="504" t="s">
        <v>12122</v>
      </c>
      <c r="I7408" s="504">
        <v>51</v>
      </c>
      <c r="J7408" s="504">
        <v>4</v>
      </c>
      <c r="K7408" s="504">
        <v>0</v>
      </c>
      <c r="L7408" s="504">
        <v>47</v>
      </c>
      <c r="M7408" s="504">
        <v>0</v>
      </c>
      <c r="N7408" s="504">
        <v>3</v>
      </c>
      <c r="O7408" s="505">
        <v>0</v>
      </c>
    </row>
    <row r="7409" spans="1:15" x14ac:dyDescent="0.35">
      <c r="A7409" s="500" t="s">
        <v>1360</v>
      </c>
      <c r="B7409" s="501" t="s">
        <v>3350</v>
      </c>
      <c r="C7409" s="501" t="s">
        <v>1094</v>
      </c>
      <c r="D7409" s="501" t="s">
        <v>3380</v>
      </c>
      <c r="E7409" s="501" t="s">
        <v>3381</v>
      </c>
      <c r="F7409" s="501" t="s">
        <v>882</v>
      </c>
      <c r="G7409" s="501" t="s">
        <v>883</v>
      </c>
      <c r="H7409" s="501" t="s">
        <v>9363</v>
      </c>
      <c r="I7409" s="501">
        <v>102</v>
      </c>
      <c r="J7409" s="501">
        <v>81</v>
      </c>
      <c r="K7409" s="501">
        <v>0</v>
      </c>
      <c r="L7409" s="501">
        <v>0</v>
      </c>
      <c r="M7409" s="501">
        <v>0</v>
      </c>
      <c r="N7409" s="501">
        <v>0</v>
      </c>
      <c r="O7409" s="506">
        <v>21</v>
      </c>
    </row>
    <row r="7410" spans="1:15" x14ac:dyDescent="0.35">
      <c r="A7410" s="503" t="s">
        <v>1372</v>
      </c>
      <c r="B7410" s="504">
        <v>4867</v>
      </c>
      <c r="C7410" s="504" t="s">
        <v>1089</v>
      </c>
      <c r="D7410" s="504" t="s">
        <v>3392</v>
      </c>
      <c r="E7410" s="504" t="s">
        <v>3381</v>
      </c>
      <c r="F7410" s="504" t="s">
        <v>882</v>
      </c>
      <c r="G7410" s="504" t="s">
        <v>883</v>
      </c>
      <c r="H7410" s="504" t="s">
        <v>9364</v>
      </c>
      <c r="I7410" s="504">
        <v>2</v>
      </c>
      <c r="J7410" s="504">
        <v>2</v>
      </c>
      <c r="K7410" s="504">
        <v>0</v>
      </c>
      <c r="L7410" s="504">
        <v>0</v>
      </c>
      <c r="M7410" s="504">
        <v>0</v>
      </c>
      <c r="N7410" s="504">
        <v>0</v>
      </c>
      <c r="O7410" s="505">
        <v>0</v>
      </c>
    </row>
    <row r="7411" spans="1:15" x14ac:dyDescent="0.35">
      <c r="A7411" s="500" t="s">
        <v>1385</v>
      </c>
      <c r="B7411" s="501" t="s">
        <v>3249</v>
      </c>
      <c r="C7411" s="501" t="s">
        <v>1094</v>
      </c>
      <c r="D7411" s="501" t="s">
        <v>3380</v>
      </c>
      <c r="E7411" s="501" t="s">
        <v>3381</v>
      </c>
      <c r="F7411" s="501" t="s">
        <v>884</v>
      </c>
      <c r="G7411" s="501" t="s">
        <v>885</v>
      </c>
      <c r="H7411" s="501" t="s">
        <v>9365</v>
      </c>
      <c r="I7411" s="501">
        <v>115</v>
      </c>
      <c r="J7411" s="501">
        <v>111</v>
      </c>
      <c r="K7411" s="501">
        <v>0</v>
      </c>
      <c r="L7411" s="501">
        <v>4</v>
      </c>
      <c r="M7411" s="501">
        <v>0</v>
      </c>
      <c r="N7411" s="501">
        <v>0</v>
      </c>
      <c r="O7411" s="506">
        <v>0</v>
      </c>
    </row>
    <row r="7412" spans="1:15" x14ac:dyDescent="0.35">
      <c r="A7412" s="503" t="s">
        <v>1791</v>
      </c>
      <c r="B7412" s="504" t="s">
        <v>3367</v>
      </c>
      <c r="C7412" s="504" t="s">
        <v>1089</v>
      </c>
      <c r="D7412" s="504" t="s">
        <v>3392</v>
      </c>
      <c r="E7412" s="504" t="s">
        <v>3381</v>
      </c>
      <c r="F7412" s="504" t="s">
        <v>884</v>
      </c>
      <c r="G7412" s="504" t="s">
        <v>885</v>
      </c>
      <c r="H7412" s="504" t="s">
        <v>9366</v>
      </c>
      <c r="I7412" s="504">
        <v>2</v>
      </c>
      <c r="J7412" s="504">
        <v>0</v>
      </c>
      <c r="K7412" s="504">
        <v>2</v>
      </c>
      <c r="L7412" s="504">
        <v>0</v>
      </c>
      <c r="M7412" s="504">
        <v>0</v>
      </c>
      <c r="N7412" s="504">
        <v>0</v>
      </c>
      <c r="O7412" s="505">
        <v>0</v>
      </c>
    </row>
    <row r="7413" spans="1:15" x14ac:dyDescent="0.35">
      <c r="A7413" s="500" t="s">
        <v>1386</v>
      </c>
      <c r="B7413" s="501" t="s">
        <v>3331</v>
      </c>
      <c r="C7413" s="501" t="s">
        <v>1094</v>
      </c>
      <c r="D7413" s="501" t="s">
        <v>3380</v>
      </c>
      <c r="E7413" s="501" t="s">
        <v>3381</v>
      </c>
      <c r="F7413" s="501" t="s">
        <v>884</v>
      </c>
      <c r="G7413" s="501" t="s">
        <v>885</v>
      </c>
      <c r="H7413" s="501" t="s">
        <v>9367</v>
      </c>
      <c r="I7413" s="501">
        <v>93</v>
      </c>
      <c r="J7413" s="501">
        <v>80</v>
      </c>
      <c r="K7413" s="501">
        <v>0</v>
      </c>
      <c r="L7413" s="501">
        <v>7</v>
      </c>
      <c r="M7413" s="501">
        <v>0</v>
      </c>
      <c r="N7413" s="501">
        <v>0</v>
      </c>
      <c r="O7413" s="506">
        <v>6</v>
      </c>
    </row>
    <row r="7414" spans="1:15" x14ac:dyDescent="0.35">
      <c r="A7414" s="503" t="s">
        <v>1091</v>
      </c>
      <c r="B7414" s="504" t="s">
        <v>3288</v>
      </c>
      <c r="C7414" s="504" t="s">
        <v>1089</v>
      </c>
      <c r="D7414" s="504" t="s">
        <v>3392</v>
      </c>
      <c r="E7414" s="504" t="s">
        <v>3381</v>
      </c>
      <c r="F7414" s="504" t="s">
        <v>884</v>
      </c>
      <c r="G7414" s="504" t="s">
        <v>885</v>
      </c>
      <c r="H7414" s="504" t="s">
        <v>9368</v>
      </c>
      <c r="I7414" s="504">
        <v>6</v>
      </c>
      <c r="J7414" s="504">
        <v>0</v>
      </c>
      <c r="K7414" s="504">
        <v>0</v>
      </c>
      <c r="L7414" s="504">
        <v>6</v>
      </c>
      <c r="M7414" s="504">
        <v>0</v>
      </c>
      <c r="N7414" s="504">
        <v>0</v>
      </c>
      <c r="O7414" s="505">
        <v>0</v>
      </c>
    </row>
    <row r="7415" spans="1:15" x14ac:dyDescent="0.35">
      <c r="A7415" s="500" t="s">
        <v>1093</v>
      </c>
      <c r="B7415" s="501" t="s">
        <v>3248</v>
      </c>
      <c r="C7415" s="501" t="s">
        <v>1094</v>
      </c>
      <c r="D7415" s="501" t="s">
        <v>3380</v>
      </c>
      <c r="E7415" s="501" t="s">
        <v>3381</v>
      </c>
      <c r="F7415" s="501" t="s">
        <v>884</v>
      </c>
      <c r="G7415" s="501" t="s">
        <v>885</v>
      </c>
      <c r="H7415" s="501" t="s">
        <v>9369</v>
      </c>
      <c r="I7415" s="501">
        <v>57</v>
      </c>
      <c r="J7415" s="501">
        <v>0</v>
      </c>
      <c r="K7415" s="501">
        <v>0</v>
      </c>
      <c r="L7415" s="501">
        <v>43</v>
      </c>
      <c r="M7415" s="501">
        <v>0</v>
      </c>
      <c r="N7415" s="501">
        <v>0</v>
      </c>
      <c r="O7415" s="506">
        <v>14</v>
      </c>
    </row>
    <row r="7416" spans="1:15" x14ac:dyDescent="0.35">
      <c r="A7416" s="503" t="s">
        <v>1096</v>
      </c>
      <c r="B7416" s="504" t="s">
        <v>3326</v>
      </c>
      <c r="C7416" s="504" t="s">
        <v>1094</v>
      </c>
      <c r="D7416" s="504" t="s">
        <v>3380</v>
      </c>
      <c r="E7416" s="504" t="s">
        <v>3381</v>
      </c>
      <c r="F7416" s="504" t="s">
        <v>884</v>
      </c>
      <c r="G7416" s="504" t="s">
        <v>885</v>
      </c>
      <c r="H7416" s="504" t="s">
        <v>9370</v>
      </c>
      <c r="I7416" s="504">
        <v>68</v>
      </c>
      <c r="J7416" s="504">
        <v>1</v>
      </c>
      <c r="K7416" s="504">
        <v>0</v>
      </c>
      <c r="L7416" s="504">
        <v>0</v>
      </c>
      <c r="M7416" s="504">
        <v>67</v>
      </c>
      <c r="N7416" s="504">
        <v>0</v>
      </c>
      <c r="O7416" s="505">
        <v>0</v>
      </c>
    </row>
    <row r="7417" spans="1:15" x14ac:dyDescent="0.35">
      <c r="A7417" s="500" t="s">
        <v>1800</v>
      </c>
      <c r="B7417" s="501" t="s">
        <v>2524</v>
      </c>
      <c r="C7417" s="501" t="s">
        <v>1089</v>
      </c>
      <c r="D7417" s="501" t="s">
        <v>3392</v>
      </c>
      <c r="E7417" s="501" t="s">
        <v>3381</v>
      </c>
      <c r="F7417" s="501" t="s">
        <v>884</v>
      </c>
      <c r="G7417" s="501" t="s">
        <v>885</v>
      </c>
      <c r="H7417" s="501" t="s">
        <v>9371</v>
      </c>
      <c r="I7417" s="501">
        <v>6</v>
      </c>
      <c r="J7417" s="501">
        <v>0</v>
      </c>
      <c r="K7417" s="501">
        <v>0</v>
      </c>
      <c r="L7417" s="501">
        <v>0</v>
      </c>
      <c r="M7417" s="501">
        <v>6</v>
      </c>
      <c r="N7417" s="501">
        <v>0</v>
      </c>
      <c r="O7417" s="506">
        <v>0</v>
      </c>
    </row>
    <row r="7418" spans="1:15" x14ac:dyDescent="0.35">
      <c r="A7418" s="503" t="s">
        <v>1802</v>
      </c>
      <c r="B7418" s="504">
        <v>4872</v>
      </c>
      <c r="C7418" s="504" t="s">
        <v>1089</v>
      </c>
      <c r="D7418" s="504" t="s">
        <v>3380</v>
      </c>
      <c r="E7418" s="504" t="s">
        <v>3381</v>
      </c>
      <c r="F7418" s="504" t="s">
        <v>884</v>
      </c>
      <c r="G7418" s="504" t="s">
        <v>885</v>
      </c>
      <c r="H7418" s="504" t="s">
        <v>9372</v>
      </c>
      <c r="I7418" s="504">
        <v>26</v>
      </c>
      <c r="J7418" s="504">
        <v>19</v>
      </c>
      <c r="K7418" s="504">
        <v>0</v>
      </c>
      <c r="L7418" s="504">
        <v>0</v>
      </c>
      <c r="M7418" s="504">
        <v>0</v>
      </c>
      <c r="N7418" s="504">
        <v>0</v>
      </c>
      <c r="O7418" s="505">
        <v>7</v>
      </c>
    </row>
    <row r="7419" spans="1:15" x14ac:dyDescent="0.35">
      <c r="A7419" s="500" t="s">
        <v>1098</v>
      </c>
      <c r="B7419" s="501">
        <v>4691</v>
      </c>
      <c r="C7419" s="501" t="s">
        <v>1094</v>
      </c>
      <c r="D7419" s="501" t="s">
        <v>3380</v>
      </c>
      <c r="E7419" s="501" t="s">
        <v>3381</v>
      </c>
      <c r="F7419" s="501" t="s">
        <v>884</v>
      </c>
      <c r="G7419" s="501" t="s">
        <v>885</v>
      </c>
      <c r="H7419" s="501" t="s">
        <v>9373</v>
      </c>
      <c r="I7419" s="501">
        <v>232</v>
      </c>
      <c r="J7419" s="501">
        <v>78</v>
      </c>
      <c r="K7419" s="501">
        <v>0</v>
      </c>
      <c r="L7419" s="501">
        <v>0</v>
      </c>
      <c r="M7419" s="501">
        <v>0</v>
      </c>
      <c r="N7419" s="501">
        <v>0</v>
      </c>
      <c r="O7419" s="506">
        <v>154</v>
      </c>
    </row>
    <row r="7420" spans="1:15" x14ac:dyDescent="0.35">
      <c r="A7420" s="503" t="s">
        <v>1813</v>
      </c>
      <c r="B7420" s="504" t="s">
        <v>3088</v>
      </c>
      <c r="C7420" s="504" t="s">
        <v>1089</v>
      </c>
      <c r="D7420" s="504" t="s">
        <v>3392</v>
      </c>
      <c r="E7420" s="504" t="s">
        <v>3381</v>
      </c>
      <c r="F7420" s="504" t="s">
        <v>884</v>
      </c>
      <c r="G7420" s="504" t="s">
        <v>885</v>
      </c>
      <c r="H7420" s="504" t="s">
        <v>9375</v>
      </c>
      <c r="I7420" s="504">
        <v>4</v>
      </c>
      <c r="J7420" s="504">
        <v>4</v>
      </c>
      <c r="K7420" s="504">
        <v>0</v>
      </c>
      <c r="L7420" s="504">
        <v>0</v>
      </c>
      <c r="M7420" s="504">
        <v>0</v>
      </c>
      <c r="N7420" s="504">
        <v>0</v>
      </c>
      <c r="O7420" s="505">
        <v>0</v>
      </c>
    </row>
    <row r="7421" spans="1:15" x14ac:dyDescent="0.35">
      <c r="A7421" s="500" t="s">
        <v>1161</v>
      </c>
      <c r="B7421" s="501" t="s">
        <v>3001</v>
      </c>
      <c r="C7421" s="501" t="s">
        <v>1094</v>
      </c>
      <c r="D7421" s="501" t="s">
        <v>3380</v>
      </c>
      <c r="E7421" s="501" t="s">
        <v>3381</v>
      </c>
      <c r="F7421" s="501" t="s">
        <v>884</v>
      </c>
      <c r="G7421" s="501" t="s">
        <v>885</v>
      </c>
      <c r="H7421" s="501" t="s">
        <v>9376</v>
      </c>
      <c r="I7421" s="501">
        <v>295</v>
      </c>
      <c r="J7421" s="501">
        <v>223</v>
      </c>
      <c r="K7421" s="501">
        <v>0</v>
      </c>
      <c r="L7421" s="501">
        <v>6</v>
      </c>
      <c r="M7421" s="501">
        <v>0</v>
      </c>
      <c r="N7421" s="501">
        <v>0</v>
      </c>
      <c r="O7421" s="506">
        <v>66</v>
      </c>
    </row>
    <row r="7422" spans="1:15" x14ac:dyDescent="0.35">
      <c r="A7422" s="503" t="s">
        <v>1100</v>
      </c>
      <c r="B7422" s="504">
        <v>4865</v>
      </c>
      <c r="C7422" s="504" t="s">
        <v>1094</v>
      </c>
      <c r="D7422" s="504" t="s">
        <v>3380</v>
      </c>
      <c r="E7422" s="504" t="s">
        <v>3381</v>
      </c>
      <c r="F7422" s="504" t="s">
        <v>884</v>
      </c>
      <c r="G7422" s="504" t="s">
        <v>885</v>
      </c>
      <c r="H7422" s="504" t="s">
        <v>9377</v>
      </c>
      <c r="I7422" s="504">
        <v>104</v>
      </c>
      <c r="J7422" s="504">
        <v>73</v>
      </c>
      <c r="K7422" s="504">
        <v>0</v>
      </c>
      <c r="L7422" s="504">
        <v>0</v>
      </c>
      <c r="M7422" s="504">
        <v>0</v>
      </c>
      <c r="N7422" s="504">
        <v>0</v>
      </c>
      <c r="O7422" s="505">
        <v>31</v>
      </c>
    </row>
    <row r="7423" spans="1:15" x14ac:dyDescent="0.35">
      <c r="A7423" s="500" t="s">
        <v>1172</v>
      </c>
      <c r="B7423" s="501">
        <v>4648</v>
      </c>
      <c r="C7423" s="501" t="s">
        <v>1089</v>
      </c>
      <c r="D7423" s="501" t="s">
        <v>3392</v>
      </c>
      <c r="E7423" s="501" t="s">
        <v>3381</v>
      </c>
      <c r="F7423" s="501" t="s">
        <v>884</v>
      </c>
      <c r="G7423" s="501" t="s">
        <v>885</v>
      </c>
      <c r="H7423" s="501" t="s">
        <v>9378</v>
      </c>
      <c r="I7423" s="501">
        <v>12</v>
      </c>
      <c r="J7423" s="501">
        <v>0</v>
      </c>
      <c r="K7423" s="501">
        <v>0</v>
      </c>
      <c r="L7423" s="501">
        <v>12</v>
      </c>
      <c r="M7423" s="501">
        <v>0</v>
      </c>
      <c r="N7423" s="501">
        <v>0</v>
      </c>
      <c r="O7423" s="506">
        <v>0</v>
      </c>
    </row>
    <row r="7424" spans="1:15" x14ac:dyDescent="0.35">
      <c r="A7424" s="503" t="s">
        <v>1102</v>
      </c>
      <c r="B7424" s="504">
        <v>4663</v>
      </c>
      <c r="C7424" s="504" t="s">
        <v>1089</v>
      </c>
      <c r="D7424" s="504" t="s">
        <v>3392</v>
      </c>
      <c r="E7424" s="504" t="s">
        <v>3381</v>
      </c>
      <c r="F7424" s="504" t="s">
        <v>884</v>
      </c>
      <c r="G7424" s="504" t="s">
        <v>885</v>
      </c>
      <c r="H7424" s="504" t="s">
        <v>9379</v>
      </c>
      <c r="I7424" s="504">
        <v>4</v>
      </c>
      <c r="J7424" s="504">
        <v>0</v>
      </c>
      <c r="K7424" s="504">
        <v>0</v>
      </c>
      <c r="L7424" s="504">
        <v>4</v>
      </c>
      <c r="M7424" s="504">
        <v>0</v>
      </c>
      <c r="N7424" s="504">
        <v>0</v>
      </c>
      <c r="O7424" s="505">
        <v>0</v>
      </c>
    </row>
    <row r="7425" spans="1:15" x14ac:dyDescent="0.35">
      <c r="A7425" s="500" t="s">
        <v>1175</v>
      </c>
      <c r="B7425" s="501" t="s">
        <v>3141</v>
      </c>
      <c r="C7425" s="501" t="s">
        <v>1094</v>
      </c>
      <c r="D7425" s="501" t="s">
        <v>3380</v>
      </c>
      <c r="E7425" s="501" t="s">
        <v>3381</v>
      </c>
      <c r="F7425" s="501" t="s">
        <v>884</v>
      </c>
      <c r="G7425" s="501" t="s">
        <v>885</v>
      </c>
      <c r="H7425" s="501" t="s">
        <v>9380</v>
      </c>
      <c r="I7425" s="501">
        <v>14</v>
      </c>
      <c r="J7425" s="501">
        <v>6</v>
      </c>
      <c r="K7425" s="501">
        <v>0</v>
      </c>
      <c r="L7425" s="501">
        <v>0</v>
      </c>
      <c r="M7425" s="501">
        <v>0</v>
      </c>
      <c r="N7425" s="501">
        <v>0</v>
      </c>
      <c r="O7425" s="506">
        <v>8</v>
      </c>
    </row>
    <row r="7426" spans="1:15" x14ac:dyDescent="0.35">
      <c r="A7426" s="503" t="s">
        <v>14190</v>
      </c>
      <c r="B7426" s="504" t="s">
        <v>3204</v>
      </c>
      <c r="C7426" s="504" t="s">
        <v>1094</v>
      </c>
      <c r="D7426" s="504" t="s">
        <v>3380</v>
      </c>
      <c r="E7426" s="504" t="s">
        <v>3381</v>
      </c>
      <c r="F7426" s="504" t="s">
        <v>884</v>
      </c>
      <c r="G7426" s="504" t="s">
        <v>885</v>
      </c>
      <c r="H7426" s="504" t="s">
        <v>15069</v>
      </c>
      <c r="I7426" s="504">
        <v>18</v>
      </c>
      <c r="J7426" s="504">
        <v>18</v>
      </c>
      <c r="K7426" s="504">
        <v>0</v>
      </c>
      <c r="L7426" s="504">
        <v>0</v>
      </c>
      <c r="M7426" s="504">
        <v>0</v>
      </c>
      <c r="N7426" s="504">
        <v>0</v>
      </c>
      <c r="O7426" s="505">
        <v>0</v>
      </c>
    </row>
    <row r="7427" spans="1:15" x14ac:dyDescent="0.35">
      <c r="A7427" s="500" t="s">
        <v>14208</v>
      </c>
      <c r="B7427" s="501">
        <v>4803</v>
      </c>
      <c r="C7427" s="501" t="s">
        <v>1094</v>
      </c>
      <c r="D7427" s="501" t="s">
        <v>3380</v>
      </c>
      <c r="E7427" s="501" t="s">
        <v>3381</v>
      </c>
      <c r="F7427" s="501" t="s">
        <v>884</v>
      </c>
      <c r="G7427" s="501" t="s">
        <v>885</v>
      </c>
      <c r="H7427" s="501" t="s">
        <v>15070</v>
      </c>
      <c r="I7427" s="501">
        <v>10</v>
      </c>
      <c r="J7427" s="501">
        <v>0</v>
      </c>
      <c r="K7427" s="501">
        <v>0</v>
      </c>
      <c r="L7427" s="501">
        <v>10</v>
      </c>
      <c r="M7427" s="501">
        <v>0</v>
      </c>
      <c r="N7427" s="501">
        <v>0</v>
      </c>
      <c r="O7427" s="506">
        <v>0</v>
      </c>
    </row>
    <row r="7428" spans="1:15" x14ac:dyDescent="0.35">
      <c r="A7428" s="503" t="s">
        <v>14213</v>
      </c>
      <c r="B7428" s="504" t="s">
        <v>3312</v>
      </c>
      <c r="C7428" s="504" t="s">
        <v>1094</v>
      </c>
      <c r="D7428" s="504" t="s">
        <v>3380</v>
      </c>
      <c r="E7428" s="504" t="s">
        <v>3381</v>
      </c>
      <c r="F7428" s="504" t="s">
        <v>884</v>
      </c>
      <c r="G7428" s="504" t="s">
        <v>885</v>
      </c>
      <c r="H7428" s="504" t="s">
        <v>15071</v>
      </c>
      <c r="I7428" s="504">
        <v>353</v>
      </c>
      <c r="J7428" s="504">
        <v>320</v>
      </c>
      <c r="K7428" s="504">
        <v>0</v>
      </c>
      <c r="L7428" s="504">
        <v>0</v>
      </c>
      <c r="M7428" s="504">
        <v>0</v>
      </c>
      <c r="N7428" s="504">
        <v>0</v>
      </c>
      <c r="O7428" s="505">
        <v>33</v>
      </c>
    </row>
    <row r="7429" spans="1:15" x14ac:dyDescent="0.35">
      <c r="A7429" s="500" t="s">
        <v>1187</v>
      </c>
      <c r="B7429" s="501" t="s">
        <v>2951</v>
      </c>
      <c r="C7429" s="501" t="s">
        <v>1094</v>
      </c>
      <c r="D7429" s="501" t="s">
        <v>3380</v>
      </c>
      <c r="E7429" s="501" t="s">
        <v>3381</v>
      </c>
      <c r="F7429" s="501" t="s">
        <v>884</v>
      </c>
      <c r="G7429" s="501" t="s">
        <v>885</v>
      </c>
      <c r="H7429" s="501" t="s">
        <v>9381</v>
      </c>
      <c r="I7429" s="501">
        <v>1</v>
      </c>
      <c r="J7429" s="501">
        <v>1</v>
      </c>
      <c r="K7429" s="501">
        <v>0</v>
      </c>
      <c r="L7429" s="501">
        <v>0</v>
      </c>
      <c r="M7429" s="501">
        <v>0</v>
      </c>
      <c r="N7429" s="501">
        <v>0</v>
      </c>
      <c r="O7429" s="506">
        <v>0</v>
      </c>
    </row>
    <row r="7430" spans="1:15" x14ac:dyDescent="0.35">
      <c r="A7430" s="503" t="s">
        <v>1848</v>
      </c>
      <c r="B7430" s="504">
        <v>4847</v>
      </c>
      <c r="C7430" s="504" t="s">
        <v>1089</v>
      </c>
      <c r="D7430" s="504" t="s">
        <v>3392</v>
      </c>
      <c r="E7430" s="504" t="s">
        <v>3381</v>
      </c>
      <c r="F7430" s="504" t="s">
        <v>884</v>
      </c>
      <c r="G7430" s="504" t="s">
        <v>885</v>
      </c>
      <c r="H7430" s="504" t="s">
        <v>9382</v>
      </c>
      <c r="I7430" s="504">
        <v>31</v>
      </c>
      <c r="J7430" s="504">
        <v>0</v>
      </c>
      <c r="K7430" s="504">
        <v>0</v>
      </c>
      <c r="L7430" s="504">
        <v>31</v>
      </c>
      <c r="M7430" s="504">
        <v>0</v>
      </c>
      <c r="N7430" s="504">
        <v>0</v>
      </c>
      <c r="O7430" s="505">
        <v>0</v>
      </c>
    </row>
    <row r="7431" spans="1:15" x14ac:dyDescent="0.35">
      <c r="A7431" s="500" t="s">
        <v>1847</v>
      </c>
      <c r="B7431" s="501" t="s">
        <v>3086</v>
      </c>
      <c r="C7431" s="501" t="s">
        <v>1089</v>
      </c>
      <c r="D7431" s="501" t="s">
        <v>3392</v>
      </c>
      <c r="E7431" s="501" t="s">
        <v>3381</v>
      </c>
      <c r="F7431" s="501" t="s">
        <v>884</v>
      </c>
      <c r="G7431" s="501" t="s">
        <v>885</v>
      </c>
      <c r="H7431" s="501" t="s">
        <v>11730</v>
      </c>
      <c r="I7431" s="501">
        <v>75</v>
      </c>
      <c r="J7431" s="501">
        <v>75</v>
      </c>
      <c r="K7431" s="501">
        <v>0</v>
      </c>
      <c r="L7431" s="501">
        <v>0</v>
      </c>
      <c r="M7431" s="501">
        <v>0</v>
      </c>
      <c r="N7431" s="501">
        <v>0</v>
      </c>
      <c r="O7431" s="506">
        <v>0</v>
      </c>
    </row>
    <row r="7432" spans="1:15" x14ac:dyDescent="0.35">
      <c r="A7432" s="503" t="s">
        <v>1105</v>
      </c>
      <c r="B7432" s="504">
        <v>4668</v>
      </c>
      <c r="C7432" s="504" t="s">
        <v>1094</v>
      </c>
      <c r="D7432" s="504" t="s">
        <v>3380</v>
      </c>
      <c r="E7432" s="504" t="s">
        <v>3381</v>
      </c>
      <c r="F7432" s="504" t="s">
        <v>884</v>
      </c>
      <c r="G7432" s="504" t="s">
        <v>885</v>
      </c>
      <c r="H7432" s="504" t="s">
        <v>9383</v>
      </c>
      <c r="I7432" s="504">
        <v>20</v>
      </c>
      <c r="J7432" s="504">
        <v>0</v>
      </c>
      <c r="K7432" s="504">
        <v>0</v>
      </c>
      <c r="L7432" s="504">
        <v>0</v>
      </c>
      <c r="M7432" s="504">
        <v>0</v>
      </c>
      <c r="N7432" s="504">
        <v>0</v>
      </c>
      <c r="O7432" s="505">
        <v>20</v>
      </c>
    </row>
    <row r="7433" spans="1:15" x14ac:dyDescent="0.35">
      <c r="A7433" s="500" t="s">
        <v>1107</v>
      </c>
      <c r="B7433" s="501" t="s">
        <v>3109</v>
      </c>
      <c r="C7433" s="501" t="s">
        <v>1094</v>
      </c>
      <c r="D7433" s="501" t="s">
        <v>3380</v>
      </c>
      <c r="E7433" s="501" t="s">
        <v>3381</v>
      </c>
      <c r="F7433" s="501" t="s">
        <v>884</v>
      </c>
      <c r="G7433" s="501" t="s">
        <v>885</v>
      </c>
      <c r="H7433" s="501" t="s">
        <v>9384</v>
      </c>
      <c r="I7433" s="501">
        <v>184</v>
      </c>
      <c r="J7433" s="501">
        <v>148</v>
      </c>
      <c r="K7433" s="501">
        <v>0</v>
      </c>
      <c r="L7433" s="501">
        <v>12</v>
      </c>
      <c r="M7433" s="501">
        <v>0</v>
      </c>
      <c r="N7433" s="501">
        <v>0</v>
      </c>
      <c r="O7433" s="506">
        <v>24</v>
      </c>
    </row>
    <row r="7434" spans="1:15" x14ac:dyDescent="0.35">
      <c r="A7434" s="503" t="s">
        <v>1190</v>
      </c>
      <c r="B7434" s="504">
        <v>4662</v>
      </c>
      <c r="C7434" s="504" t="s">
        <v>1094</v>
      </c>
      <c r="D7434" s="504" t="s">
        <v>3380</v>
      </c>
      <c r="E7434" s="504" t="s">
        <v>3381</v>
      </c>
      <c r="F7434" s="504" t="s">
        <v>884</v>
      </c>
      <c r="G7434" s="504" t="s">
        <v>885</v>
      </c>
      <c r="H7434" s="504" t="s">
        <v>15072</v>
      </c>
      <c r="I7434" s="504">
        <v>4</v>
      </c>
      <c r="J7434" s="504">
        <v>0</v>
      </c>
      <c r="K7434" s="504">
        <v>0</v>
      </c>
      <c r="L7434" s="504">
        <v>4</v>
      </c>
      <c r="M7434" s="504">
        <v>0</v>
      </c>
      <c r="N7434" s="504">
        <v>0</v>
      </c>
      <c r="O7434" s="505">
        <v>0</v>
      </c>
    </row>
    <row r="7435" spans="1:15" x14ac:dyDescent="0.35">
      <c r="A7435" s="500" t="s">
        <v>1202</v>
      </c>
      <c r="B7435" s="501" t="s">
        <v>3217</v>
      </c>
      <c r="C7435" s="501" t="s">
        <v>1094</v>
      </c>
      <c r="D7435" s="501" t="s">
        <v>3380</v>
      </c>
      <c r="E7435" s="501" t="s">
        <v>3381</v>
      </c>
      <c r="F7435" s="501" t="s">
        <v>884</v>
      </c>
      <c r="G7435" s="501" t="s">
        <v>885</v>
      </c>
      <c r="H7435" s="501" t="s">
        <v>9385</v>
      </c>
      <c r="I7435" s="501">
        <v>150</v>
      </c>
      <c r="J7435" s="501">
        <v>144</v>
      </c>
      <c r="K7435" s="501">
        <v>0</v>
      </c>
      <c r="L7435" s="501">
        <v>0</v>
      </c>
      <c r="M7435" s="501">
        <v>0</v>
      </c>
      <c r="N7435" s="501">
        <v>0</v>
      </c>
      <c r="O7435" s="506">
        <v>6</v>
      </c>
    </row>
    <row r="7436" spans="1:15" x14ac:dyDescent="0.35">
      <c r="A7436" s="503" t="s">
        <v>1112</v>
      </c>
      <c r="B7436" s="504" t="s">
        <v>3008</v>
      </c>
      <c r="C7436" s="504" t="s">
        <v>1094</v>
      </c>
      <c r="D7436" s="504" t="s">
        <v>3380</v>
      </c>
      <c r="E7436" s="504" t="s">
        <v>3381</v>
      </c>
      <c r="F7436" s="504" t="s">
        <v>884</v>
      </c>
      <c r="G7436" s="504" t="s">
        <v>885</v>
      </c>
      <c r="H7436" s="504" t="s">
        <v>9386</v>
      </c>
      <c r="I7436" s="504">
        <v>18</v>
      </c>
      <c r="J7436" s="504">
        <v>10</v>
      </c>
      <c r="K7436" s="504">
        <v>0</v>
      </c>
      <c r="L7436" s="504">
        <v>0</v>
      </c>
      <c r="M7436" s="504">
        <v>0</v>
      </c>
      <c r="N7436" s="504">
        <v>0</v>
      </c>
      <c r="O7436" s="505">
        <v>8</v>
      </c>
    </row>
    <row r="7437" spans="1:15" x14ac:dyDescent="0.35">
      <c r="A7437" s="500" t="s">
        <v>1114</v>
      </c>
      <c r="B7437" s="501" t="s">
        <v>2982</v>
      </c>
      <c r="C7437" s="501" t="s">
        <v>1094</v>
      </c>
      <c r="D7437" s="501" t="s">
        <v>3380</v>
      </c>
      <c r="E7437" s="501" t="s">
        <v>3381</v>
      </c>
      <c r="F7437" s="501" t="s">
        <v>884</v>
      </c>
      <c r="G7437" s="501" t="s">
        <v>885</v>
      </c>
      <c r="H7437" s="501" t="s">
        <v>9387</v>
      </c>
      <c r="I7437" s="501">
        <v>3</v>
      </c>
      <c r="J7437" s="501">
        <v>0</v>
      </c>
      <c r="K7437" s="501">
        <v>0</v>
      </c>
      <c r="L7437" s="501">
        <v>0</v>
      </c>
      <c r="M7437" s="501">
        <v>0</v>
      </c>
      <c r="N7437" s="501">
        <v>0</v>
      </c>
      <c r="O7437" s="506">
        <v>3</v>
      </c>
    </row>
    <row r="7438" spans="1:15" x14ac:dyDescent="0.35">
      <c r="A7438" s="503" t="s">
        <v>1120</v>
      </c>
      <c r="B7438" s="504" t="s">
        <v>3362</v>
      </c>
      <c r="C7438" s="504" t="s">
        <v>1094</v>
      </c>
      <c r="D7438" s="504" t="s">
        <v>3380</v>
      </c>
      <c r="E7438" s="504" t="s">
        <v>3381</v>
      </c>
      <c r="F7438" s="504" t="s">
        <v>884</v>
      </c>
      <c r="G7438" s="504" t="s">
        <v>885</v>
      </c>
      <c r="H7438" s="504" t="s">
        <v>9388</v>
      </c>
      <c r="I7438" s="504">
        <v>1</v>
      </c>
      <c r="J7438" s="504">
        <v>0</v>
      </c>
      <c r="K7438" s="504">
        <v>0</v>
      </c>
      <c r="L7438" s="504">
        <v>0</v>
      </c>
      <c r="M7438" s="504">
        <v>0</v>
      </c>
      <c r="N7438" s="504">
        <v>0</v>
      </c>
      <c r="O7438" s="505">
        <v>1</v>
      </c>
    </row>
    <row r="7439" spans="1:15" x14ac:dyDescent="0.35">
      <c r="A7439" s="500" t="s">
        <v>1322</v>
      </c>
      <c r="B7439" s="501" t="s">
        <v>3244</v>
      </c>
      <c r="C7439" s="501" t="s">
        <v>1094</v>
      </c>
      <c r="D7439" s="501" t="s">
        <v>3380</v>
      </c>
      <c r="E7439" s="501" t="s">
        <v>3381</v>
      </c>
      <c r="F7439" s="501" t="s">
        <v>884</v>
      </c>
      <c r="G7439" s="501" t="s">
        <v>885</v>
      </c>
      <c r="H7439" s="501" t="s">
        <v>9389</v>
      </c>
      <c r="I7439" s="501">
        <v>79</v>
      </c>
      <c r="J7439" s="501">
        <v>29</v>
      </c>
      <c r="K7439" s="501">
        <v>0</v>
      </c>
      <c r="L7439" s="501">
        <v>0</v>
      </c>
      <c r="M7439" s="501">
        <v>30</v>
      </c>
      <c r="N7439" s="501">
        <v>0</v>
      </c>
      <c r="O7439" s="506">
        <v>20</v>
      </c>
    </row>
    <row r="7440" spans="1:15" x14ac:dyDescent="0.35">
      <c r="A7440" s="503" t="s">
        <v>1883</v>
      </c>
      <c r="B7440" s="504">
        <v>4682</v>
      </c>
      <c r="C7440" s="504" t="s">
        <v>1094</v>
      </c>
      <c r="D7440" s="504" t="s">
        <v>3380</v>
      </c>
      <c r="E7440" s="504" t="s">
        <v>3381</v>
      </c>
      <c r="F7440" s="504" t="s">
        <v>884</v>
      </c>
      <c r="G7440" s="504" t="s">
        <v>885</v>
      </c>
      <c r="H7440" s="504" t="s">
        <v>9390</v>
      </c>
      <c r="I7440" s="504">
        <v>34</v>
      </c>
      <c r="J7440" s="504">
        <v>25</v>
      </c>
      <c r="K7440" s="504">
        <v>0</v>
      </c>
      <c r="L7440" s="504">
        <v>0</v>
      </c>
      <c r="M7440" s="504">
        <v>0</v>
      </c>
      <c r="N7440" s="504">
        <v>0</v>
      </c>
      <c r="O7440" s="505">
        <v>9</v>
      </c>
    </row>
    <row r="7441" spans="1:15" x14ac:dyDescent="0.35">
      <c r="A7441" s="500" t="s">
        <v>1233</v>
      </c>
      <c r="B7441" s="501">
        <v>4636</v>
      </c>
      <c r="C7441" s="501" t="s">
        <v>1094</v>
      </c>
      <c r="D7441" s="501" t="s">
        <v>3380</v>
      </c>
      <c r="E7441" s="501" t="s">
        <v>3381</v>
      </c>
      <c r="F7441" s="501" t="s">
        <v>884</v>
      </c>
      <c r="G7441" s="501" t="s">
        <v>885</v>
      </c>
      <c r="H7441" s="501" t="s">
        <v>9391</v>
      </c>
      <c r="I7441" s="501">
        <v>8</v>
      </c>
      <c r="J7441" s="501">
        <v>0</v>
      </c>
      <c r="K7441" s="501">
        <v>0</v>
      </c>
      <c r="L7441" s="501">
        <v>0</v>
      </c>
      <c r="M7441" s="501">
        <v>0</v>
      </c>
      <c r="N7441" s="501">
        <v>0</v>
      </c>
      <c r="O7441" s="506">
        <v>8</v>
      </c>
    </row>
    <row r="7442" spans="1:15" x14ac:dyDescent="0.35">
      <c r="A7442" s="503" t="s">
        <v>11368</v>
      </c>
      <c r="B7442" s="504">
        <v>5083</v>
      </c>
      <c r="C7442" s="504" t="s">
        <v>1094</v>
      </c>
      <c r="D7442" s="504" t="s">
        <v>3380</v>
      </c>
      <c r="E7442" s="504" t="s">
        <v>3381</v>
      </c>
      <c r="F7442" s="504" t="s">
        <v>884</v>
      </c>
      <c r="G7442" s="504" t="s">
        <v>885</v>
      </c>
      <c r="H7442" s="504" t="s">
        <v>12078</v>
      </c>
      <c r="I7442" s="504">
        <v>22</v>
      </c>
      <c r="J7442" s="504">
        <v>22</v>
      </c>
      <c r="K7442" s="504">
        <v>0</v>
      </c>
      <c r="L7442" s="504">
        <v>0</v>
      </c>
      <c r="M7442" s="504">
        <v>0</v>
      </c>
      <c r="N7442" s="504">
        <v>0</v>
      </c>
      <c r="O7442" s="505">
        <v>0</v>
      </c>
    </row>
    <row r="7443" spans="1:15" x14ac:dyDescent="0.35">
      <c r="A7443" s="500" t="s">
        <v>1896</v>
      </c>
      <c r="B7443" s="501" t="s">
        <v>3216</v>
      </c>
      <c r="C7443" s="501" t="s">
        <v>1094</v>
      </c>
      <c r="D7443" s="501" t="s">
        <v>3380</v>
      </c>
      <c r="E7443" s="501" t="s">
        <v>3381</v>
      </c>
      <c r="F7443" s="501" t="s">
        <v>884</v>
      </c>
      <c r="G7443" s="501" t="s">
        <v>885</v>
      </c>
      <c r="H7443" s="501" t="s">
        <v>9392</v>
      </c>
      <c r="I7443" s="501">
        <v>15</v>
      </c>
      <c r="J7443" s="501">
        <v>11</v>
      </c>
      <c r="K7443" s="501">
        <v>0</v>
      </c>
      <c r="L7443" s="501">
        <v>0</v>
      </c>
      <c r="M7443" s="501">
        <v>0</v>
      </c>
      <c r="N7443" s="501">
        <v>0</v>
      </c>
      <c r="O7443" s="506">
        <v>4</v>
      </c>
    </row>
    <row r="7444" spans="1:15" x14ac:dyDescent="0.35">
      <c r="A7444" s="503" t="s">
        <v>1898</v>
      </c>
      <c r="B7444" s="504" t="s">
        <v>3148</v>
      </c>
      <c r="C7444" s="504" t="s">
        <v>1094</v>
      </c>
      <c r="D7444" s="504" t="s">
        <v>3380</v>
      </c>
      <c r="E7444" s="504" t="s">
        <v>3381</v>
      </c>
      <c r="F7444" s="504" t="s">
        <v>884</v>
      </c>
      <c r="G7444" s="504" t="s">
        <v>885</v>
      </c>
      <c r="H7444" s="504" t="s">
        <v>9393</v>
      </c>
      <c r="I7444" s="504">
        <v>5762</v>
      </c>
      <c r="J7444" s="504">
        <v>4628</v>
      </c>
      <c r="K7444" s="504">
        <v>0</v>
      </c>
      <c r="L7444" s="504">
        <v>90</v>
      </c>
      <c r="M7444" s="504">
        <v>567</v>
      </c>
      <c r="N7444" s="504">
        <v>0</v>
      </c>
      <c r="O7444" s="505">
        <v>477</v>
      </c>
    </row>
    <row r="7445" spans="1:15" x14ac:dyDescent="0.35">
      <c r="A7445" s="500" t="s">
        <v>1132</v>
      </c>
      <c r="B7445" s="501">
        <v>4837</v>
      </c>
      <c r="C7445" s="501" t="s">
        <v>1094</v>
      </c>
      <c r="D7445" s="501" t="s">
        <v>3380</v>
      </c>
      <c r="E7445" s="501" t="s">
        <v>3381</v>
      </c>
      <c r="F7445" s="501" t="s">
        <v>884</v>
      </c>
      <c r="G7445" s="501" t="s">
        <v>885</v>
      </c>
      <c r="H7445" s="501" t="s">
        <v>9394</v>
      </c>
      <c r="I7445" s="501">
        <v>849</v>
      </c>
      <c r="J7445" s="501">
        <v>654</v>
      </c>
      <c r="K7445" s="501">
        <v>0</v>
      </c>
      <c r="L7445" s="501">
        <v>15</v>
      </c>
      <c r="M7445" s="501">
        <v>0</v>
      </c>
      <c r="N7445" s="501">
        <v>0</v>
      </c>
      <c r="O7445" s="506">
        <v>180</v>
      </c>
    </row>
    <row r="7446" spans="1:15" x14ac:dyDescent="0.35">
      <c r="A7446" s="503" t="s">
        <v>1240</v>
      </c>
      <c r="B7446" s="504" t="s">
        <v>2972</v>
      </c>
      <c r="C7446" s="504" t="s">
        <v>1094</v>
      </c>
      <c r="D7446" s="504" t="s">
        <v>3380</v>
      </c>
      <c r="E7446" s="504" t="s">
        <v>3381</v>
      </c>
      <c r="F7446" s="504" t="s">
        <v>884</v>
      </c>
      <c r="G7446" s="504" t="s">
        <v>885</v>
      </c>
      <c r="H7446" s="504" t="s">
        <v>12149</v>
      </c>
      <c r="I7446" s="504">
        <v>26</v>
      </c>
      <c r="J7446" s="504">
        <v>6</v>
      </c>
      <c r="K7446" s="504">
        <v>0</v>
      </c>
      <c r="L7446" s="504">
        <v>0</v>
      </c>
      <c r="M7446" s="504">
        <v>20</v>
      </c>
      <c r="N7446" s="504">
        <v>0</v>
      </c>
      <c r="O7446" s="505">
        <v>0</v>
      </c>
    </row>
    <row r="7447" spans="1:15" x14ac:dyDescent="0.35">
      <c r="A7447" s="500" t="s">
        <v>1134</v>
      </c>
      <c r="B7447" s="501" t="s">
        <v>3066</v>
      </c>
      <c r="C7447" s="501" t="s">
        <v>1094</v>
      </c>
      <c r="D7447" s="501" t="s">
        <v>3380</v>
      </c>
      <c r="E7447" s="501" t="s">
        <v>3381</v>
      </c>
      <c r="F7447" s="501" t="s">
        <v>884</v>
      </c>
      <c r="G7447" s="501" t="s">
        <v>885</v>
      </c>
      <c r="H7447" s="501" t="s">
        <v>9395</v>
      </c>
      <c r="I7447" s="501">
        <v>74</v>
      </c>
      <c r="J7447" s="501">
        <v>35</v>
      </c>
      <c r="K7447" s="501">
        <v>0</v>
      </c>
      <c r="L7447" s="501">
        <v>0</v>
      </c>
      <c r="M7447" s="501">
        <v>25</v>
      </c>
      <c r="N7447" s="501">
        <v>0</v>
      </c>
      <c r="O7447" s="506">
        <v>14</v>
      </c>
    </row>
    <row r="7448" spans="1:15" x14ac:dyDescent="0.35">
      <c r="A7448" s="503" t="s">
        <v>1906</v>
      </c>
      <c r="B7448" s="504" t="s">
        <v>3062</v>
      </c>
      <c r="C7448" s="504" t="s">
        <v>1089</v>
      </c>
      <c r="D7448" s="504" t="s">
        <v>3392</v>
      </c>
      <c r="E7448" s="504" t="s">
        <v>3381</v>
      </c>
      <c r="F7448" s="504" t="s">
        <v>884</v>
      </c>
      <c r="G7448" s="504" t="s">
        <v>885</v>
      </c>
      <c r="H7448" s="504" t="s">
        <v>9396</v>
      </c>
      <c r="I7448" s="504">
        <v>72</v>
      </c>
      <c r="J7448" s="504">
        <v>0</v>
      </c>
      <c r="K7448" s="504">
        <v>0</v>
      </c>
      <c r="L7448" s="504">
        <v>0</v>
      </c>
      <c r="M7448" s="504">
        <v>72</v>
      </c>
      <c r="N7448" s="504">
        <v>0</v>
      </c>
      <c r="O7448" s="505">
        <v>0</v>
      </c>
    </row>
    <row r="7449" spans="1:15" x14ac:dyDescent="0.35">
      <c r="A7449" s="500" t="s">
        <v>1156</v>
      </c>
      <c r="B7449" s="501" t="s">
        <v>3310</v>
      </c>
      <c r="C7449" s="501" t="s">
        <v>1094</v>
      </c>
      <c r="D7449" s="501" t="s">
        <v>3380</v>
      </c>
      <c r="E7449" s="501" t="s">
        <v>3381</v>
      </c>
      <c r="F7449" s="501" t="s">
        <v>884</v>
      </c>
      <c r="G7449" s="501" t="s">
        <v>885</v>
      </c>
      <c r="H7449" s="501" t="s">
        <v>9374</v>
      </c>
      <c r="I7449" s="501">
        <v>18</v>
      </c>
      <c r="J7449" s="501">
        <v>12</v>
      </c>
      <c r="K7449" s="501">
        <v>0</v>
      </c>
      <c r="L7449" s="501">
        <v>0</v>
      </c>
      <c r="M7449" s="501">
        <v>0</v>
      </c>
      <c r="N7449" s="501">
        <v>0</v>
      </c>
      <c r="O7449" s="506">
        <v>6</v>
      </c>
    </row>
    <row r="7450" spans="1:15" x14ac:dyDescent="0.35">
      <c r="A7450" s="503" t="s">
        <v>1143</v>
      </c>
      <c r="B7450" s="504" t="s">
        <v>3281</v>
      </c>
      <c r="C7450" s="504" t="s">
        <v>1094</v>
      </c>
      <c r="D7450" s="504" t="s">
        <v>3380</v>
      </c>
      <c r="E7450" s="504" t="s">
        <v>3381</v>
      </c>
      <c r="F7450" s="504" t="s">
        <v>886</v>
      </c>
      <c r="G7450" s="504" t="s">
        <v>887</v>
      </c>
      <c r="H7450" s="504" t="s">
        <v>9397</v>
      </c>
      <c r="I7450" s="504">
        <v>660</v>
      </c>
      <c r="J7450" s="504">
        <v>653</v>
      </c>
      <c r="K7450" s="504">
        <v>0</v>
      </c>
      <c r="L7450" s="504">
        <v>3</v>
      </c>
      <c r="M7450" s="504">
        <v>0</v>
      </c>
      <c r="N7450" s="504">
        <v>4</v>
      </c>
      <c r="O7450" s="505">
        <v>4</v>
      </c>
    </row>
    <row r="7451" spans="1:15" x14ac:dyDescent="0.35">
      <c r="A7451" s="500" t="s">
        <v>1673</v>
      </c>
      <c r="B7451" s="501">
        <v>4731</v>
      </c>
      <c r="C7451" s="501" t="s">
        <v>1089</v>
      </c>
      <c r="D7451" s="501" t="s">
        <v>3392</v>
      </c>
      <c r="E7451" s="501" t="s">
        <v>3381</v>
      </c>
      <c r="F7451" s="501" t="s">
        <v>886</v>
      </c>
      <c r="G7451" s="501" t="s">
        <v>887</v>
      </c>
      <c r="H7451" s="501" t="s">
        <v>9398</v>
      </c>
      <c r="I7451" s="501">
        <v>32</v>
      </c>
      <c r="J7451" s="501">
        <v>0</v>
      </c>
      <c r="K7451" s="501">
        <v>0</v>
      </c>
      <c r="L7451" s="501">
        <v>32</v>
      </c>
      <c r="M7451" s="501">
        <v>0</v>
      </c>
      <c r="N7451" s="501">
        <v>0</v>
      </c>
      <c r="O7451" s="506">
        <v>0</v>
      </c>
    </row>
    <row r="7452" spans="1:15" x14ac:dyDescent="0.35">
      <c r="A7452" s="503" t="s">
        <v>11363</v>
      </c>
      <c r="B7452" s="504">
        <v>4718</v>
      </c>
      <c r="C7452" s="504" t="s">
        <v>1094</v>
      </c>
      <c r="D7452" s="504" t="s">
        <v>3380</v>
      </c>
      <c r="E7452" s="504" t="s">
        <v>3381</v>
      </c>
      <c r="F7452" s="504" t="s">
        <v>886</v>
      </c>
      <c r="G7452" s="504" t="s">
        <v>887</v>
      </c>
      <c r="H7452" s="504" t="s">
        <v>11587</v>
      </c>
      <c r="I7452" s="504">
        <v>6</v>
      </c>
      <c r="J7452" s="504">
        <v>0</v>
      </c>
      <c r="K7452" s="504">
        <v>0</v>
      </c>
      <c r="L7452" s="504">
        <v>6</v>
      </c>
      <c r="M7452" s="504">
        <v>0</v>
      </c>
      <c r="N7452" s="504">
        <v>0</v>
      </c>
      <c r="O7452" s="505">
        <v>0</v>
      </c>
    </row>
    <row r="7453" spans="1:15" x14ac:dyDescent="0.35">
      <c r="A7453" s="500" t="s">
        <v>1678</v>
      </c>
      <c r="B7453" s="501">
        <v>4568</v>
      </c>
      <c r="C7453" s="501" t="s">
        <v>1094</v>
      </c>
      <c r="D7453" s="501" t="s">
        <v>3380</v>
      </c>
      <c r="E7453" s="501" t="s">
        <v>3381</v>
      </c>
      <c r="F7453" s="501" t="s">
        <v>886</v>
      </c>
      <c r="G7453" s="501" t="s">
        <v>887</v>
      </c>
      <c r="H7453" s="501" t="s">
        <v>11621</v>
      </c>
      <c r="I7453" s="501">
        <v>5</v>
      </c>
      <c r="J7453" s="501">
        <v>5</v>
      </c>
      <c r="K7453" s="501">
        <v>0</v>
      </c>
      <c r="L7453" s="501">
        <v>0</v>
      </c>
      <c r="M7453" s="501">
        <v>0</v>
      </c>
      <c r="N7453" s="501">
        <v>0</v>
      </c>
      <c r="O7453" s="506">
        <v>0</v>
      </c>
    </row>
    <row r="7454" spans="1:15" x14ac:dyDescent="0.35">
      <c r="A7454" s="503" t="s">
        <v>1160</v>
      </c>
      <c r="B7454" s="504">
        <v>4672</v>
      </c>
      <c r="C7454" s="504" t="s">
        <v>1089</v>
      </c>
      <c r="D7454" s="504" t="s">
        <v>3392</v>
      </c>
      <c r="E7454" s="504" t="s">
        <v>3381</v>
      </c>
      <c r="F7454" s="504" t="s">
        <v>886</v>
      </c>
      <c r="G7454" s="504" t="s">
        <v>887</v>
      </c>
      <c r="H7454" s="504" t="s">
        <v>9399</v>
      </c>
      <c r="I7454" s="504">
        <v>25</v>
      </c>
      <c r="J7454" s="504">
        <v>0</v>
      </c>
      <c r="K7454" s="504">
        <v>0</v>
      </c>
      <c r="L7454" s="504">
        <v>25</v>
      </c>
      <c r="M7454" s="504">
        <v>0</v>
      </c>
      <c r="N7454" s="504">
        <v>0</v>
      </c>
      <c r="O7454" s="505">
        <v>0</v>
      </c>
    </row>
    <row r="7455" spans="1:15" x14ac:dyDescent="0.35">
      <c r="A7455" s="500" t="s">
        <v>1691</v>
      </c>
      <c r="B7455" s="501" t="s">
        <v>3199</v>
      </c>
      <c r="C7455" s="501" t="s">
        <v>1094</v>
      </c>
      <c r="D7455" s="501" t="s">
        <v>3380</v>
      </c>
      <c r="E7455" s="501" t="s">
        <v>3381</v>
      </c>
      <c r="F7455" s="501" t="s">
        <v>886</v>
      </c>
      <c r="G7455" s="501" t="s">
        <v>887</v>
      </c>
      <c r="H7455" s="501" t="s">
        <v>9400</v>
      </c>
      <c r="I7455" s="501">
        <v>18</v>
      </c>
      <c r="J7455" s="501">
        <v>18</v>
      </c>
      <c r="K7455" s="501">
        <v>0</v>
      </c>
      <c r="L7455" s="501">
        <v>0</v>
      </c>
      <c r="M7455" s="501">
        <v>0</v>
      </c>
      <c r="N7455" s="501">
        <v>0</v>
      </c>
      <c r="O7455" s="506">
        <v>0</v>
      </c>
    </row>
    <row r="7456" spans="1:15" x14ac:dyDescent="0.35">
      <c r="A7456" s="503" t="s">
        <v>1102</v>
      </c>
      <c r="B7456" s="504">
        <v>4663</v>
      </c>
      <c r="C7456" s="504" t="s">
        <v>1089</v>
      </c>
      <c r="D7456" s="504" t="s">
        <v>3392</v>
      </c>
      <c r="E7456" s="504" t="s">
        <v>3381</v>
      </c>
      <c r="F7456" s="504" t="s">
        <v>886</v>
      </c>
      <c r="G7456" s="504" t="s">
        <v>887</v>
      </c>
      <c r="H7456" s="504" t="s">
        <v>9401</v>
      </c>
      <c r="I7456" s="504">
        <v>7</v>
      </c>
      <c r="J7456" s="504">
        <v>0</v>
      </c>
      <c r="K7456" s="504">
        <v>0</v>
      </c>
      <c r="L7456" s="504">
        <v>7</v>
      </c>
      <c r="M7456" s="504">
        <v>0</v>
      </c>
      <c r="N7456" s="504">
        <v>0</v>
      </c>
      <c r="O7456" s="505">
        <v>0</v>
      </c>
    </row>
    <row r="7457" spans="1:15" x14ac:dyDescent="0.35">
      <c r="A7457" s="500" t="s">
        <v>1179</v>
      </c>
      <c r="B7457" s="501">
        <v>4829</v>
      </c>
      <c r="C7457" s="501" t="s">
        <v>1089</v>
      </c>
      <c r="D7457" s="501" t="s">
        <v>3392</v>
      </c>
      <c r="E7457" s="501" t="s">
        <v>3381</v>
      </c>
      <c r="F7457" s="501" t="s">
        <v>886</v>
      </c>
      <c r="G7457" s="501" t="s">
        <v>887</v>
      </c>
      <c r="H7457" s="501" t="s">
        <v>9402</v>
      </c>
      <c r="I7457" s="501">
        <v>2</v>
      </c>
      <c r="J7457" s="501">
        <v>0</v>
      </c>
      <c r="K7457" s="501">
        <v>0</v>
      </c>
      <c r="L7457" s="501">
        <v>2</v>
      </c>
      <c r="M7457" s="501">
        <v>0</v>
      </c>
      <c r="N7457" s="501">
        <v>0</v>
      </c>
      <c r="O7457" s="506">
        <v>0</v>
      </c>
    </row>
    <row r="7458" spans="1:15" x14ac:dyDescent="0.35">
      <c r="A7458" s="503" t="s">
        <v>1183</v>
      </c>
      <c r="B7458" s="504" t="s">
        <v>3038</v>
      </c>
      <c r="C7458" s="504" t="s">
        <v>1094</v>
      </c>
      <c r="D7458" s="504" t="s">
        <v>3380</v>
      </c>
      <c r="E7458" s="504" t="s">
        <v>3381</v>
      </c>
      <c r="F7458" s="504" t="s">
        <v>886</v>
      </c>
      <c r="G7458" s="504" t="s">
        <v>887</v>
      </c>
      <c r="H7458" s="504" t="s">
        <v>9403</v>
      </c>
      <c r="I7458" s="504">
        <v>150</v>
      </c>
      <c r="J7458" s="504">
        <v>78</v>
      </c>
      <c r="K7458" s="504">
        <v>0</v>
      </c>
      <c r="L7458" s="504">
        <v>11</v>
      </c>
      <c r="M7458" s="504">
        <v>0</v>
      </c>
      <c r="N7458" s="504">
        <v>0</v>
      </c>
      <c r="O7458" s="505">
        <v>61</v>
      </c>
    </row>
    <row r="7459" spans="1:15" x14ac:dyDescent="0.35">
      <c r="A7459" s="500" t="s">
        <v>1185</v>
      </c>
      <c r="B7459" s="501" t="s">
        <v>3253</v>
      </c>
      <c r="C7459" s="501" t="s">
        <v>1094</v>
      </c>
      <c r="D7459" s="501" t="s">
        <v>3380</v>
      </c>
      <c r="E7459" s="501" t="s">
        <v>3381</v>
      </c>
      <c r="F7459" s="501" t="s">
        <v>886</v>
      </c>
      <c r="G7459" s="501" t="s">
        <v>887</v>
      </c>
      <c r="H7459" s="501" t="s">
        <v>9404</v>
      </c>
      <c r="I7459" s="501">
        <v>2</v>
      </c>
      <c r="J7459" s="501">
        <v>0</v>
      </c>
      <c r="K7459" s="501">
        <v>0</v>
      </c>
      <c r="L7459" s="501">
        <v>2</v>
      </c>
      <c r="M7459" s="501">
        <v>0</v>
      </c>
      <c r="N7459" s="501">
        <v>0</v>
      </c>
      <c r="O7459" s="506">
        <v>0</v>
      </c>
    </row>
    <row r="7460" spans="1:15" x14ac:dyDescent="0.35">
      <c r="A7460" s="503" t="s">
        <v>1186</v>
      </c>
      <c r="B7460" s="504">
        <v>4661</v>
      </c>
      <c r="C7460" s="504" t="s">
        <v>1089</v>
      </c>
      <c r="D7460" s="504" t="s">
        <v>3392</v>
      </c>
      <c r="E7460" s="504" t="s">
        <v>3381</v>
      </c>
      <c r="F7460" s="504" t="s">
        <v>886</v>
      </c>
      <c r="G7460" s="504" t="s">
        <v>887</v>
      </c>
      <c r="H7460" s="504" t="s">
        <v>9405</v>
      </c>
      <c r="I7460" s="504">
        <v>3</v>
      </c>
      <c r="J7460" s="504">
        <v>0</v>
      </c>
      <c r="K7460" s="504">
        <v>0</v>
      </c>
      <c r="L7460" s="504">
        <v>3</v>
      </c>
      <c r="M7460" s="504">
        <v>0</v>
      </c>
      <c r="N7460" s="504">
        <v>0</v>
      </c>
      <c r="O7460" s="505">
        <v>0</v>
      </c>
    </row>
    <row r="7461" spans="1:15" x14ac:dyDescent="0.35">
      <c r="A7461" s="500" t="s">
        <v>1105</v>
      </c>
      <c r="B7461" s="501">
        <v>4668</v>
      </c>
      <c r="C7461" s="501" t="s">
        <v>1094</v>
      </c>
      <c r="D7461" s="501" t="s">
        <v>3380</v>
      </c>
      <c r="E7461" s="501" t="s">
        <v>3381</v>
      </c>
      <c r="F7461" s="501" t="s">
        <v>886</v>
      </c>
      <c r="G7461" s="501" t="s">
        <v>887</v>
      </c>
      <c r="H7461" s="501" t="s">
        <v>9406</v>
      </c>
      <c r="I7461" s="501">
        <v>46</v>
      </c>
      <c r="J7461" s="501">
        <v>0</v>
      </c>
      <c r="K7461" s="501">
        <v>0</v>
      </c>
      <c r="L7461" s="501">
        <v>0</v>
      </c>
      <c r="M7461" s="501">
        <v>0</v>
      </c>
      <c r="N7461" s="501">
        <v>0</v>
      </c>
      <c r="O7461" s="506">
        <v>46</v>
      </c>
    </row>
    <row r="7462" spans="1:15" x14ac:dyDescent="0.35">
      <c r="A7462" s="503" t="s">
        <v>1188</v>
      </c>
      <c r="B7462" s="504">
        <v>4760</v>
      </c>
      <c r="C7462" s="504" t="s">
        <v>1089</v>
      </c>
      <c r="D7462" s="504" t="s">
        <v>3392</v>
      </c>
      <c r="E7462" s="504" t="s">
        <v>3381</v>
      </c>
      <c r="F7462" s="504" t="s">
        <v>886</v>
      </c>
      <c r="G7462" s="504" t="s">
        <v>887</v>
      </c>
      <c r="H7462" s="504" t="s">
        <v>11750</v>
      </c>
      <c r="I7462" s="504">
        <v>1</v>
      </c>
      <c r="J7462" s="504">
        <v>0</v>
      </c>
      <c r="K7462" s="504">
        <v>0</v>
      </c>
      <c r="L7462" s="504">
        <v>1</v>
      </c>
      <c r="M7462" s="504">
        <v>0</v>
      </c>
      <c r="N7462" s="504">
        <v>0</v>
      </c>
      <c r="O7462" s="505">
        <v>0</v>
      </c>
    </row>
    <row r="7463" spans="1:15" x14ac:dyDescent="0.35">
      <c r="A7463" s="500" t="s">
        <v>1107</v>
      </c>
      <c r="B7463" s="501" t="s">
        <v>3109</v>
      </c>
      <c r="C7463" s="501" t="s">
        <v>1094</v>
      </c>
      <c r="D7463" s="501" t="s">
        <v>3380</v>
      </c>
      <c r="E7463" s="501" t="s">
        <v>3381</v>
      </c>
      <c r="F7463" s="501" t="s">
        <v>886</v>
      </c>
      <c r="G7463" s="501" t="s">
        <v>887</v>
      </c>
      <c r="H7463" s="501" t="s">
        <v>9407</v>
      </c>
      <c r="I7463" s="501">
        <v>9</v>
      </c>
      <c r="J7463" s="501">
        <v>0</v>
      </c>
      <c r="K7463" s="501">
        <v>0</v>
      </c>
      <c r="L7463" s="501">
        <v>9</v>
      </c>
      <c r="M7463" s="501">
        <v>0</v>
      </c>
      <c r="N7463" s="501">
        <v>0</v>
      </c>
      <c r="O7463" s="506">
        <v>0</v>
      </c>
    </row>
    <row r="7464" spans="1:15" x14ac:dyDescent="0.35">
      <c r="A7464" s="503" t="s">
        <v>11401</v>
      </c>
      <c r="B7464" s="504" t="s">
        <v>3241</v>
      </c>
      <c r="C7464" s="504" t="s">
        <v>1094</v>
      </c>
      <c r="D7464" s="504" t="s">
        <v>3380</v>
      </c>
      <c r="E7464" s="504" t="s">
        <v>3381</v>
      </c>
      <c r="F7464" s="504" t="s">
        <v>886</v>
      </c>
      <c r="G7464" s="504" t="s">
        <v>887</v>
      </c>
      <c r="H7464" s="504" t="s">
        <v>11788</v>
      </c>
      <c r="I7464" s="504">
        <v>64</v>
      </c>
      <c r="J7464" s="504">
        <v>36</v>
      </c>
      <c r="K7464" s="504">
        <v>0</v>
      </c>
      <c r="L7464" s="504">
        <v>0</v>
      </c>
      <c r="M7464" s="504">
        <v>0</v>
      </c>
      <c r="N7464" s="504">
        <v>0</v>
      </c>
      <c r="O7464" s="505">
        <v>28</v>
      </c>
    </row>
    <row r="7465" spans="1:15" x14ac:dyDescent="0.35">
      <c r="A7465" s="500" t="s">
        <v>1209</v>
      </c>
      <c r="B7465" s="501">
        <v>4779</v>
      </c>
      <c r="C7465" s="501" t="s">
        <v>1094</v>
      </c>
      <c r="D7465" s="501" t="s">
        <v>3380</v>
      </c>
      <c r="E7465" s="501" t="s">
        <v>3381</v>
      </c>
      <c r="F7465" s="501" t="s">
        <v>886</v>
      </c>
      <c r="G7465" s="501" t="s">
        <v>887</v>
      </c>
      <c r="H7465" s="501" t="s">
        <v>9408</v>
      </c>
      <c r="I7465" s="501">
        <v>23</v>
      </c>
      <c r="J7465" s="501">
        <v>0</v>
      </c>
      <c r="K7465" s="501">
        <v>0</v>
      </c>
      <c r="L7465" s="501">
        <v>23</v>
      </c>
      <c r="M7465" s="501">
        <v>0</v>
      </c>
      <c r="N7465" s="501">
        <v>0</v>
      </c>
      <c r="O7465" s="506">
        <v>0</v>
      </c>
    </row>
    <row r="7466" spans="1:15" x14ac:dyDescent="0.35">
      <c r="A7466" s="503" t="s">
        <v>1503</v>
      </c>
      <c r="B7466" s="504">
        <v>4666</v>
      </c>
      <c r="C7466" s="504" t="s">
        <v>1089</v>
      </c>
      <c r="D7466" s="504" t="s">
        <v>3392</v>
      </c>
      <c r="E7466" s="504" t="s">
        <v>3381</v>
      </c>
      <c r="F7466" s="504" t="s">
        <v>886</v>
      </c>
      <c r="G7466" s="504" t="s">
        <v>887</v>
      </c>
      <c r="H7466" s="504" t="s">
        <v>9409</v>
      </c>
      <c r="I7466" s="504">
        <v>14</v>
      </c>
      <c r="J7466" s="504">
        <v>0</v>
      </c>
      <c r="K7466" s="504">
        <v>0</v>
      </c>
      <c r="L7466" s="504">
        <v>14</v>
      </c>
      <c r="M7466" s="504">
        <v>0</v>
      </c>
      <c r="N7466" s="504">
        <v>0</v>
      </c>
      <c r="O7466" s="505">
        <v>0</v>
      </c>
    </row>
    <row r="7467" spans="1:15" x14ac:dyDescent="0.35">
      <c r="A7467" s="500" t="s">
        <v>1744</v>
      </c>
      <c r="B7467" s="501" t="s">
        <v>3245</v>
      </c>
      <c r="C7467" s="501" t="s">
        <v>1094</v>
      </c>
      <c r="D7467" s="501" t="s">
        <v>3380</v>
      </c>
      <c r="E7467" s="501" t="s">
        <v>3381</v>
      </c>
      <c r="F7467" s="501" t="s">
        <v>886</v>
      </c>
      <c r="G7467" s="501" t="s">
        <v>887</v>
      </c>
      <c r="H7467" s="501" t="s">
        <v>15073</v>
      </c>
      <c r="I7467" s="501">
        <v>256</v>
      </c>
      <c r="J7467" s="501">
        <v>162</v>
      </c>
      <c r="K7467" s="501">
        <v>0</v>
      </c>
      <c r="L7467" s="501">
        <v>0</v>
      </c>
      <c r="M7467" s="501">
        <v>83</v>
      </c>
      <c r="N7467" s="501">
        <v>0</v>
      </c>
      <c r="O7467" s="506">
        <v>11</v>
      </c>
    </row>
    <row r="7468" spans="1:15" x14ac:dyDescent="0.35">
      <c r="A7468" s="503" t="s">
        <v>1223</v>
      </c>
      <c r="B7468" s="504">
        <v>4768</v>
      </c>
      <c r="C7468" s="504" t="s">
        <v>1089</v>
      </c>
      <c r="D7468" s="504" t="s">
        <v>3392</v>
      </c>
      <c r="E7468" s="504" t="s">
        <v>3381</v>
      </c>
      <c r="F7468" s="504" t="s">
        <v>886</v>
      </c>
      <c r="G7468" s="504" t="s">
        <v>887</v>
      </c>
      <c r="H7468" s="504" t="s">
        <v>9410</v>
      </c>
      <c r="I7468" s="504">
        <v>2</v>
      </c>
      <c r="J7468" s="504">
        <v>2</v>
      </c>
      <c r="K7468" s="504">
        <v>0</v>
      </c>
      <c r="L7468" s="504">
        <v>0</v>
      </c>
      <c r="M7468" s="504">
        <v>0</v>
      </c>
      <c r="N7468" s="504">
        <v>0</v>
      </c>
      <c r="O7468" s="505">
        <v>0</v>
      </c>
    </row>
    <row r="7469" spans="1:15" x14ac:dyDescent="0.35">
      <c r="A7469" s="500" t="s">
        <v>1122</v>
      </c>
      <c r="B7469" s="501" t="s">
        <v>2994</v>
      </c>
      <c r="C7469" s="501" t="s">
        <v>1094</v>
      </c>
      <c r="D7469" s="501" t="s">
        <v>3380</v>
      </c>
      <c r="E7469" s="501" t="s">
        <v>3381</v>
      </c>
      <c r="F7469" s="501" t="s">
        <v>886</v>
      </c>
      <c r="G7469" s="501" t="s">
        <v>887</v>
      </c>
      <c r="H7469" s="501" t="s">
        <v>9411</v>
      </c>
      <c r="I7469" s="501">
        <v>92</v>
      </c>
      <c r="J7469" s="501">
        <v>57</v>
      </c>
      <c r="K7469" s="501">
        <v>0</v>
      </c>
      <c r="L7469" s="501">
        <v>0</v>
      </c>
      <c r="M7469" s="501">
        <v>2</v>
      </c>
      <c r="N7469" s="501">
        <v>0</v>
      </c>
      <c r="O7469" s="506">
        <v>33</v>
      </c>
    </row>
    <row r="7470" spans="1:15" x14ac:dyDescent="0.35">
      <c r="A7470" s="503" t="s">
        <v>1225</v>
      </c>
      <c r="B7470" s="504" t="s">
        <v>3315</v>
      </c>
      <c r="C7470" s="504" t="s">
        <v>1094</v>
      </c>
      <c r="D7470" s="504" t="s">
        <v>3380</v>
      </c>
      <c r="E7470" s="504" t="s">
        <v>3381</v>
      </c>
      <c r="F7470" s="504" t="s">
        <v>886</v>
      </c>
      <c r="G7470" s="504" t="s">
        <v>887</v>
      </c>
      <c r="H7470" s="504" t="s">
        <v>9412</v>
      </c>
      <c r="I7470" s="504">
        <v>27</v>
      </c>
      <c r="J7470" s="504">
        <v>0</v>
      </c>
      <c r="K7470" s="504">
        <v>0</v>
      </c>
      <c r="L7470" s="504">
        <v>27</v>
      </c>
      <c r="M7470" s="504">
        <v>0</v>
      </c>
      <c r="N7470" s="504">
        <v>0</v>
      </c>
      <c r="O7470" s="505">
        <v>0</v>
      </c>
    </row>
    <row r="7471" spans="1:15" x14ac:dyDescent="0.35">
      <c r="A7471" s="500" t="s">
        <v>1228</v>
      </c>
      <c r="B7471" s="501" t="s">
        <v>3321</v>
      </c>
      <c r="C7471" s="501" t="s">
        <v>1094</v>
      </c>
      <c r="D7471" s="501" t="s">
        <v>3380</v>
      </c>
      <c r="E7471" s="501" t="s">
        <v>3381</v>
      </c>
      <c r="F7471" s="501" t="s">
        <v>886</v>
      </c>
      <c r="G7471" s="501" t="s">
        <v>887</v>
      </c>
      <c r="H7471" s="501" t="s">
        <v>9413</v>
      </c>
      <c r="I7471" s="501">
        <v>3771</v>
      </c>
      <c r="J7471" s="501">
        <v>2768</v>
      </c>
      <c r="K7471" s="501">
        <v>3</v>
      </c>
      <c r="L7471" s="501">
        <v>77</v>
      </c>
      <c r="M7471" s="501">
        <v>852</v>
      </c>
      <c r="N7471" s="501">
        <v>0</v>
      </c>
      <c r="O7471" s="506">
        <v>71</v>
      </c>
    </row>
    <row r="7472" spans="1:15" x14ac:dyDescent="0.35">
      <c r="A7472" s="503" t="s">
        <v>1752</v>
      </c>
      <c r="B7472" s="504">
        <v>4653</v>
      </c>
      <c r="C7472" s="504" t="s">
        <v>1094</v>
      </c>
      <c r="D7472" s="504" t="s">
        <v>3380</v>
      </c>
      <c r="E7472" s="504" t="s">
        <v>3381</v>
      </c>
      <c r="F7472" s="504" t="s">
        <v>886</v>
      </c>
      <c r="G7472" s="504" t="s">
        <v>887</v>
      </c>
      <c r="H7472" s="504" t="s">
        <v>9414</v>
      </c>
      <c r="I7472" s="504">
        <v>4</v>
      </c>
      <c r="J7472" s="504">
        <v>0</v>
      </c>
      <c r="K7472" s="504">
        <v>0</v>
      </c>
      <c r="L7472" s="504">
        <v>4</v>
      </c>
      <c r="M7472" s="504">
        <v>0</v>
      </c>
      <c r="N7472" s="504">
        <v>0</v>
      </c>
      <c r="O7472" s="505">
        <v>0</v>
      </c>
    </row>
    <row r="7473" spans="1:15" x14ac:dyDescent="0.35">
      <c r="A7473" s="500" t="s">
        <v>1235</v>
      </c>
      <c r="B7473" s="501">
        <v>4684</v>
      </c>
      <c r="C7473" s="501" t="s">
        <v>1094</v>
      </c>
      <c r="D7473" s="501" t="s">
        <v>3380</v>
      </c>
      <c r="E7473" s="501" t="s">
        <v>3381</v>
      </c>
      <c r="F7473" s="501" t="s">
        <v>886</v>
      </c>
      <c r="G7473" s="501" t="s">
        <v>887</v>
      </c>
      <c r="H7473" s="501" t="s">
        <v>12109</v>
      </c>
      <c r="I7473" s="501">
        <v>5</v>
      </c>
      <c r="J7473" s="501">
        <v>0</v>
      </c>
      <c r="K7473" s="501">
        <v>0</v>
      </c>
      <c r="L7473" s="501">
        <v>5</v>
      </c>
      <c r="M7473" s="501">
        <v>0</v>
      </c>
      <c r="N7473" s="501">
        <v>0</v>
      </c>
      <c r="O7473" s="506">
        <v>0</v>
      </c>
    </row>
    <row r="7474" spans="1:15" x14ac:dyDescent="0.35">
      <c r="A7474" s="503" t="s">
        <v>1257</v>
      </c>
      <c r="B7474" s="504" t="s">
        <v>3151</v>
      </c>
      <c r="C7474" s="504" t="s">
        <v>1094</v>
      </c>
      <c r="D7474" s="504" t="s">
        <v>3380</v>
      </c>
      <c r="E7474" s="504" t="s">
        <v>3381</v>
      </c>
      <c r="F7474" s="504" t="s">
        <v>886</v>
      </c>
      <c r="G7474" s="504" t="s">
        <v>887</v>
      </c>
      <c r="H7474" s="504" t="s">
        <v>12236</v>
      </c>
      <c r="I7474" s="504">
        <v>60</v>
      </c>
      <c r="J7474" s="504">
        <v>42</v>
      </c>
      <c r="K7474" s="504">
        <v>0</v>
      </c>
      <c r="L7474" s="504">
        <v>0</v>
      </c>
      <c r="M7474" s="504">
        <v>0</v>
      </c>
      <c r="N7474" s="504">
        <v>0</v>
      </c>
      <c r="O7474" s="505">
        <v>18</v>
      </c>
    </row>
    <row r="7475" spans="1:15" x14ac:dyDescent="0.35">
      <c r="A7475" s="500" t="s">
        <v>1266</v>
      </c>
      <c r="B7475" s="501" t="s">
        <v>3071</v>
      </c>
      <c r="C7475" s="501" t="s">
        <v>1094</v>
      </c>
      <c r="D7475" s="501" t="s">
        <v>3380</v>
      </c>
      <c r="E7475" s="501" t="s">
        <v>3381</v>
      </c>
      <c r="F7475" s="501" t="s">
        <v>886</v>
      </c>
      <c r="G7475" s="501" t="s">
        <v>887</v>
      </c>
      <c r="H7475" s="501" t="s">
        <v>9415</v>
      </c>
      <c r="I7475" s="501">
        <v>345</v>
      </c>
      <c r="J7475" s="501">
        <v>213</v>
      </c>
      <c r="K7475" s="501">
        <v>0</v>
      </c>
      <c r="L7475" s="501">
        <v>16</v>
      </c>
      <c r="M7475" s="501">
        <v>111</v>
      </c>
      <c r="N7475" s="501">
        <v>0</v>
      </c>
      <c r="O7475" s="506">
        <v>5</v>
      </c>
    </row>
    <row r="7476" spans="1:15" x14ac:dyDescent="0.35">
      <c r="A7476" s="503" t="s">
        <v>14127</v>
      </c>
      <c r="B7476" s="504" t="s">
        <v>14126</v>
      </c>
      <c r="C7476" s="504" t="s">
        <v>1094</v>
      </c>
      <c r="D7476" s="504" t="s">
        <v>3380</v>
      </c>
      <c r="E7476" s="504" t="s">
        <v>3381</v>
      </c>
      <c r="F7476" s="504" t="s">
        <v>888</v>
      </c>
      <c r="G7476" s="504" t="s">
        <v>889</v>
      </c>
      <c r="H7476" s="504" t="s">
        <v>15074</v>
      </c>
      <c r="I7476" s="504">
        <v>8855</v>
      </c>
      <c r="J7476" s="504">
        <v>6781</v>
      </c>
      <c r="K7476" s="504">
        <v>63</v>
      </c>
      <c r="L7476" s="504">
        <v>0</v>
      </c>
      <c r="M7476" s="504">
        <v>1620</v>
      </c>
      <c r="N7476" s="504">
        <v>0</v>
      </c>
      <c r="O7476" s="505">
        <v>391</v>
      </c>
    </row>
    <row r="7477" spans="1:15" x14ac:dyDescent="0.35">
      <c r="A7477" s="500" t="s">
        <v>1093</v>
      </c>
      <c r="B7477" s="501" t="s">
        <v>3248</v>
      </c>
      <c r="C7477" s="501" t="s">
        <v>1094</v>
      </c>
      <c r="D7477" s="501" t="s">
        <v>3380</v>
      </c>
      <c r="E7477" s="501" t="s">
        <v>3381</v>
      </c>
      <c r="F7477" s="501" t="s">
        <v>888</v>
      </c>
      <c r="G7477" s="501" t="s">
        <v>889</v>
      </c>
      <c r="H7477" s="501" t="s">
        <v>9416</v>
      </c>
      <c r="I7477" s="501">
        <v>8</v>
      </c>
      <c r="J7477" s="501">
        <v>0</v>
      </c>
      <c r="K7477" s="501">
        <v>0</v>
      </c>
      <c r="L7477" s="501">
        <v>0</v>
      </c>
      <c r="M7477" s="501">
        <v>0</v>
      </c>
      <c r="N7477" s="501">
        <v>0</v>
      </c>
      <c r="O7477" s="506">
        <v>8</v>
      </c>
    </row>
    <row r="7478" spans="1:15" x14ac:dyDescent="0.35">
      <c r="A7478" s="503" t="s">
        <v>1096</v>
      </c>
      <c r="B7478" s="504" t="s">
        <v>3326</v>
      </c>
      <c r="C7478" s="504" t="s">
        <v>1094</v>
      </c>
      <c r="D7478" s="504" t="s">
        <v>3380</v>
      </c>
      <c r="E7478" s="504" t="s">
        <v>3381</v>
      </c>
      <c r="F7478" s="504" t="s">
        <v>888</v>
      </c>
      <c r="G7478" s="504" t="s">
        <v>889</v>
      </c>
      <c r="H7478" s="504" t="s">
        <v>9417</v>
      </c>
      <c r="I7478" s="504">
        <v>33</v>
      </c>
      <c r="J7478" s="504">
        <v>0</v>
      </c>
      <c r="K7478" s="504">
        <v>0</v>
      </c>
      <c r="L7478" s="504">
        <v>0</v>
      </c>
      <c r="M7478" s="504">
        <v>33</v>
      </c>
      <c r="N7478" s="504">
        <v>0</v>
      </c>
      <c r="O7478" s="505">
        <v>0</v>
      </c>
    </row>
    <row r="7479" spans="1:15" x14ac:dyDescent="0.35">
      <c r="A7479" s="500" t="s">
        <v>1098</v>
      </c>
      <c r="B7479" s="501">
        <v>4691</v>
      </c>
      <c r="C7479" s="501" t="s">
        <v>1094</v>
      </c>
      <c r="D7479" s="501" t="s">
        <v>3380</v>
      </c>
      <c r="E7479" s="501" t="s">
        <v>3381</v>
      </c>
      <c r="F7479" s="501" t="s">
        <v>888</v>
      </c>
      <c r="G7479" s="501" t="s">
        <v>889</v>
      </c>
      <c r="H7479" s="501" t="s">
        <v>9418</v>
      </c>
      <c r="I7479" s="501">
        <v>28</v>
      </c>
      <c r="J7479" s="501">
        <v>19</v>
      </c>
      <c r="K7479" s="501">
        <v>0</v>
      </c>
      <c r="L7479" s="501">
        <v>0</v>
      </c>
      <c r="M7479" s="501">
        <v>0</v>
      </c>
      <c r="N7479" s="501">
        <v>0</v>
      </c>
      <c r="O7479" s="506">
        <v>9</v>
      </c>
    </row>
    <row r="7480" spans="1:15" x14ac:dyDescent="0.35">
      <c r="A7480" s="503" t="s">
        <v>1808</v>
      </c>
      <c r="B7480" s="504" t="s">
        <v>3242</v>
      </c>
      <c r="C7480" s="504" t="s">
        <v>1094</v>
      </c>
      <c r="D7480" s="504" t="s">
        <v>3380</v>
      </c>
      <c r="E7480" s="504" t="s">
        <v>3381</v>
      </c>
      <c r="F7480" s="504" t="s">
        <v>888</v>
      </c>
      <c r="G7480" s="504" t="s">
        <v>889</v>
      </c>
      <c r="H7480" s="504" t="s">
        <v>9419</v>
      </c>
      <c r="I7480" s="504">
        <v>81</v>
      </c>
      <c r="J7480" s="504">
        <v>4</v>
      </c>
      <c r="K7480" s="504">
        <v>0</v>
      </c>
      <c r="L7480" s="504">
        <v>77</v>
      </c>
      <c r="M7480" s="504">
        <v>0</v>
      </c>
      <c r="N7480" s="504">
        <v>0</v>
      </c>
      <c r="O7480" s="505">
        <v>0</v>
      </c>
    </row>
    <row r="7481" spans="1:15" x14ac:dyDescent="0.35">
      <c r="A7481" s="500" t="s">
        <v>1164</v>
      </c>
      <c r="B7481" s="501">
        <v>4751</v>
      </c>
      <c r="C7481" s="501" t="s">
        <v>1089</v>
      </c>
      <c r="D7481" s="501" t="s">
        <v>3392</v>
      </c>
      <c r="E7481" s="501" t="s">
        <v>3381</v>
      </c>
      <c r="F7481" s="501" t="s">
        <v>888</v>
      </c>
      <c r="G7481" s="501" t="s">
        <v>889</v>
      </c>
      <c r="H7481" s="501" t="s">
        <v>11641</v>
      </c>
      <c r="I7481" s="501">
        <v>16</v>
      </c>
      <c r="J7481" s="501">
        <v>0</v>
      </c>
      <c r="K7481" s="501">
        <v>0</v>
      </c>
      <c r="L7481" s="501">
        <v>16</v>
      </c>
      <c r="M7481" s="501">
        <v>0</v>
      </c>
      <c r="N7481" s="501">
        <v>0</v>
      </c>
      <c r="O7481" s="506">
        <v>0</v>
      </c>
    </row>
    <row r="7482" spans="1:15" x14ac:dyDescent="0.35">
      <c r="A7482" s="503" t="s">
        <v>1100</v>
      </c>
      <c r="B7482" s="504">
        <v>4865</v>
      </c>
      <c r="C7482" s="504" t="s">
        <v>1094</v>
      </c>
      <c r="D7482" s="504" t="s">
        <v>3380</v>
      </c>
      <c r="E7482" s="504" t="s">
        <v>3381</v>
      </c>
      <c r="F7482" s="504" t="s">
        <v>888</v>
      </c>
      <c r="G7482" s="504" t="s">
        <v>889</v>
      </c>
      <c r="H7482" s="504" t="s">
        <v>9420</v>
      </c>
      <c r="I7482" s="504">
        <v>24</v>
      </c>
      <c r="J7482" s="504">
        <v>24</v>
      </c>
      <c r="K7482" s="504">
        <v>0</v>
      </c>
      <c r="L7482" s="504">
        <v>0</v>
      </c>
      <c r="M7482" s="504">
        <v>0</v>
      </c>
      <c r="N7482" s="504">
        <v>0</v>
      </c>
      <c r="O7482" s="505">
        <v>0</v>
      </c>
    </row>
    <row r="7483" spans="1:15" x14ac:dyDescent="0.35">
      <c r="A7483" s="500" t="s">
        <v>1172</v>
      </c>
      <c r="B7483" s="501">
        <v>4648</v>
      </c>
      <c r="C7483" s="501" t="s">
        <v>1089</v>
      </c>
      <c r="D7483" s="501" t="s">
        <v>3392</v>
      </c>
      <c r="E7483" s="501" t="s">
        <v>3381</v>
      </c>
      <c r="F7483" s="501" t="s">
        <v>888</v>
      </c>
      <c r="G7483" s="501" t="s">
        <v>889</v>
      </c>
      <c r="H7483" s="501" t="s">
        <v>15075</v>
      </c>
      <c r="I7483" s="501">
        <v>6</v>
      </c>
      <c r="J7483" s="501">
        <v>0</v>
      </c>
      <c r="K7483" s="501">
        <v>0</v>
      </c>
      <c r="L7483" s="501">
        <v>6</v>
      </c>
      <c r="M7483" s="501">
        <v>0</v>
      </c>
      <c r="N7483" s="501">
        <v>0</v>
      </c>
      <c r="O7483" s="506">
        <v>0</v>
      </c>
    </row>
    <row r="7484" spans="1:15" x14ac:dyDescent="0.35">
      <c r="A7484" s="503" t="s">
        <v>14208</v>
      </c>
      <c r="B7484" s="504">
        <v>4803</v>
      </c>
      <c r="C7484" s="504" t="s">
        <v>1094</v>
      </c>
      <c r="D7484" s="504" t="s">
        <v>3380</v>
      </c>
      <c r="E7484" s="504" t="s">
        <v>3381</v>
      </c>
      <c r="F7484" s="504" t="s">
        <v>888</v>
      </c>
      <c r="G7484" s="504" t="s">
        <v>889</v>
      </c>
      <c r="H7484" s="504" t="s">
        <v>15076</v>
      </c>
      <c r="I7484" s="504">
        <v>41</v>
      </c>
      <c r="J7484" s="504">
        <v>0</v>
      </c>
      <c r="K7484" s="504">
        <v>0</v>
      </c>
      <c r="L7484" s="504">
        <v>41</v>
      </c>
      <c r="M7484" s="504">
        <v>0</v>
      </c>
      <c r="N7484" s="504">
        <v>0</v>
      </c>
      <c r="O7484" s="505">
        <v>0</v>
      </c>
    </row>
    <row r="7485" spans="1:15" x14ac:dyDescent="0.35">
      <c r="A7485" s="500" t="s">
        <v>1187</v>
      </c>
      <c r="B7485" s="501" t="s">
        <v>2951</v>
      </c>
      <c r="C7485" s="501" t="s">
        <v>1094</v>
      </c>
      <c r="D7485" s="501" t="s">
        <v>3380</v>
      </c>
      <c r="E7485" s="501" t="s">
        <v>3381</v>
      </c>
      <c r="F7485" s="501" t="s">
        <v>888</v>
      </c>
      <c r="G7485" s="501" t="s">
        <v>889</v>
      </c>
      <c r="H7485" s="501" t="s">
        <v>9421</v>
      </c>
      <c r="I7485" s="501">
        <v>287</v>
      </c>
      <c r="J7485" s="501">
        <v>249</v>
      </c>
      <c r="K7485" s="501">
        <v>0</v>
      </c>
      <c r="L7485" s="501">
        <v>0</v>
      </c>
      <c r="M7485" s="501">
        <v>0</v>
      </c>
      <c r="N7485" s="501">
        <v>0</v>
      </c>
      <c r="O7485" s="506">
        <v>38</v>
      </c>
    </row>
    <row r="7486" spans="1:15" x14ac:dyDescent="0.35">
      <c r="A7486" s="503" t="s">
        <v>1105</v>
      </c>
      <c r="B7486" s="504">
        <v>4668</v>
      </c>
      <c r="C7486" s="504" t="s">
        <v>1094</v>
      </c>
      <c r="D7486" s="504" t="s">
        <v>3380</v>
      </c>
      <c r="E7486" s="504" t="s">
        <v>3381</v>
      </c>
      <c r="F7486" s="504" t="s">
        <v>888</v>
      </c>
      <c r="G7486" s="504" t="s">
        <v>889</v>
      </c>
      <c r="H7486" s="504" t="s">
        <v>9422</v>
      </c>
      <c r="I7486" s="504">
        <v>36</v>
      </c>
      <c r="J7486" s="504">
        <v>0</v>
      </c>
      <c r="K7486" s="504">
        <v>0</v>
      </c>
      <c r="L7486" s="504">
        <v>0</v>
      </c>
      <c r="M7486" s="504">
        <v>0</v>
      </c>
      <c r="N7486" s="504">
        <v>0</v>
      </c>
      <c r="O7486" s="505">
        <v>36</v>
      </c>
    </row>
    <row r="7487" spans="1:15" x14ac:dyDescent="0.35">
      <c r="A7487" s="500" t="s">
        <v>1107</v>
      </c>
      <c r="B7487" s="501" t="s">
        <v>3109</v>
      </c>
      <c r="C7487" s="501" t="s">
        <v>1094</v>
      </c>
      <c r="D7487" s="501" t="s">
        <v>3380</v>
      </c>
      <c r="E7487" s="501" t="s">
        <v>3381</v>
      </c>
      <c r="F7487" s="501" t="s">
        <v>888</v>
      </c>
      <c r="G7487" s="501" t="s">
        <v>889</v>
      </c>
      <c r="H7487" s="501" t="s">
        <v>9423</v>
      </c>
      <c r="I7487" s="501">
        <v>52</v>
      </c>
      <c r="J7487" s="501">
        <v>0</v>
      </c>
      <c r="K7487" s="501">
        <v>0</v>
      </c>
      <c r="L7487" s="501">
        <v>52</v>
      </c>
      <c r="M7487" s="501">
        <v>0</v>
      </c>
      <c r="N7487" s="501">
        <v>9</v>
      </c>
      <c r="O7487" s="506">
        <v>0</v>
      </c>
    </row>
    <row r="7488" spans="1:15" x14ac:dyDescent="0.35">
      <c r="A7488" s="503" t="s">
        <v>1109</v>
      </c>
      <c r="B7488" s="504" t="s">
        <v>2959</v>
      </c>
      <c r="C7488" s="504" t="s">
        <v>1094</v>
      </c>
      <c r="D7488" s="504" t="s">
        <v>3380</v>
      </c>
      <c r="E7488" s="504" t="s">
        <v>3381</v>
      </c>
      <c r="F7488" s="504" t="s">
        <v>888</v>
      </c>
      <c r="G7488" s="504" t="s">
        <v>889</v>
      </c>
      <c r="H7488" s="504" t="s">
        <v>9424</v>
      </c>
      <c r="I7488" s="504">
        <v>20</v>
      </c>
      <c r="J7488" s="504">
        <v>0</v>
      </c>
      <c r="K7488" s="504">
        <v>0</v>
      </c>
      <c r="L7488" s="504">
        <v>0</v>
      </c>
      <c r="M7488" s="504">
        <v>20</v>
      </c>
      <c r="N7488" s="504">
        <v>0</v>
      </c>
      <c r="O7488" s="505">
        <v>0</v>
      </c>
    </row>
    <row r="7489" spans="1:15" x14ac:dyDescent="0.35">
      <c r="A7489" s="500" t="s">
        <v>1190</v>
      </c>
      <c r="B7489" s="501">
        <v>4662</v>
      </c>
      <c r="C7489" s="501" t="s">
        <v>1094</v>
      </c>
      <c r="D7489" s="501" t="s">
        <v>3380</v>
      </c>
      <c r="E7489" s="501" t="s">
        <v>3381</v>
      </c>
      <c r="F7489" s="501" t="s">
        <v>888</v>
      </c>
      <c r="G7489" s="501" t="s">
        <v>889</v>
      </c>
      <c r="H7489" s="501" t="s">
        <v>9425</v>
      </c>
      <c r="I7489" s="501">
        <v>10</v>
      </c>
      <c r="J7489" s="501">
        <v>0</v>
      </c>
      <c r="K7489" s="501">
        <v>0</v>
      </c>
      <c r="L7489" s="501">
        <v>10</v>
      </c>
      <c r="M7489" s="501">
        <v>0</v>
      </c>
      <c r="N7489" s="501">
        <v>0</v>
      </c>
      <c r="O7489" s="506">
        <v>0</v>
      </c>
    </row>
    <row r="7490" spans="1:15" x14ac:dyDescent="0.35">
      <c r="A7490" s="503" t="s">
        <v>14243</v>
      </c>
      <c r="B7490" s="504">
        <v>5149</v>
      </c>
      <c r="C7490" s="504" t="s">
        <v>1089</v>
      </c>
      <c r="D7490" s="504" t="s">
        <v>3392</v>
      </c>
      <c r="E7490" s="504" t="s">
        <v>3381</v>
      </c>
      <c r="F7490" s="504" t="s">
        <v>888</v>
      </c>
      <c r="G7490" s="504" t="s">
        <v>889</v>
      </c>
      <c r="H7490" s="504" t="s">
        <v>15077</v>
      </c>
      <c r="I7490" s="504">
        <v>15</v>
      </c>
      <c r="J7490" s="504">
        <v>15</v>
      </c>
      <c r="K7490" s="504">
        <v>0</v>
      </c>
      <c r="L7490" s="504">
        <v>0</v>
      </c>
      <c r="M7490" s="504">
        <v>0</v>
      </c>
      <c r="N7490" s="504">
        <v>0</v>
      </c>
      <c r="O7490" s="505">
        <v>0</v>
      </c>
    </row>
    <row r="7491" spans="1:15" x14ac:dyDescent="0.35">
      <c r="A7491" s="500" t="s">
        <v>1310</v>
      </c>
      <c r="B7491" s="501">
        <v>5062</v>
      </c>
      <c r="C7491" s="501" t="s">
        <v>1089</v>
      </c>
      <c r="D7491" s="501" t="s">
        <v>3380</v>
      </c>
      <c r="E7491" s="501" t="s">
        <v>3381</v>
      </c>
      <c r="F7491" s="501" t="s">
        <v>888</v>
      </c>
      <c r="G7491" s="501" t="s">
        <v>889</v>
      </c>
      <c r="H7491" s="501" t="s">
        <v>15078</v>
      </c>
      <c r="I7491" s="501">
        <v>7</v>
      </c>
      <c r="J7491" s="501">
        <v>7</v>
      </c>
      <c r="K7491" s="501">
        <v>0</v>
      </c>
      <c r="L7491" s="501">
        <v>0</v>
      </c>
      <c r="M7491" s="501">
        <v>0</v>
      </c>
      <c r="N7491" s="501">
        <v>0</v>
      </c>
      <c r="O7491" s="506">
        <v>0</v>
      </c>
    </row>
    <row r="7492" spans="1:15" x14ac:dyDescent="0.35">
      <c r="A7492" s="503" t="s">
        <v>1111</v>
      </c>
      <c r="B7492" s="504">
        <v>4873</v>
      </c>
      <c r="C7492" s="504" t="s">
        <v>1094</v>
      </c>
      <c r="D7492" s="504" t="s">
        <v>3380</v>
      </c>
      <c r="E7492" s="504" t="s">
        <v>3381</v>
      </c>
      <c r="F7492" s="504" t="s">
        <v>888</v>
      </c>
      <c r="G7492" s="504" t="s">
        <v>889</v>
      </c>
      <c r="H7492" s="504" t="s">
        <v>9426</v>
      </c>
      <c r="I7492" s="504">
        <v>925</v>
      </c>
      <c r="J7492" s="504">
        <v>746</v>
      </c>
      <c r="K7492" s="504">
        <v>0</v>
      </c>
      <c r="L7492" s="504">
        <v>64</v>
      </c>
      <c r="M7492" s="504">
        <v>0</v>
      </c>
      <c r="N7492" s="504">
        <v>0</v>
      </c>
      <c r="O7492" s="505">
        <v>115</v>
      </c>
    </row>
    <row r="7493" spans="1:15" x14ac:dyDescent="0.35">
      <c r="A7493" s="500" t="s">
        <v>1991</v>
      </c>
      <c r="B7493" s="501">
        <v>4844</v>
      </c>
      <c r="C7493" s="501" t="s">
        <v>1094</v>
      </c>
      <c r="D7493" s="501" t="s">
        <v>3380</v>
      </c>
      <c r="E7493" s="501" t="s">
        <v>3381</v>
      </c>
      <c r="F7493" s="501" t="s">
        <v>888</v>
      </c>
      <c r="G7493" s="501" t="s">
        <v>889</v>
      </c>
      <c r="H7493" s="501" t="s">
        <v>9427</v>
      </c>
      <c r="I7493" s="501">
        <v>313</v>
      </c>
      <c r="J7493" s="501">
        <v>258</v>
      </c>
      <c r="K7493" s="501">
        <v>0</v>
      </c>
      <c r="L7493" s="501">
        <v>25</v>
      </c>
      <c r="M7493" s="501">
        <v>0</v>
      </c>
      <c r="N7493" s="501">
        <v>0</v>
      </c>
      <c r="O7493" s="506">
        <v>30</v>
      </c>
    </row>
    <row r="7494" spans="1:15" x14ac:dyDescent="0.35">
      <c r="A7494" s="503" t="s">
        <v>1114</v>
      </c>
      <c r="B7494" s="504" t="s">
        <v>2982</v>
      </c>
      <c r="C7494" s="504" t="s">
        <v>1094</v>
      </c>
      <c r="D7494" s="504" t="s">
        <v>3380</v>
      </c>
      <c r="E7494" s="504" t="s">
        <v>3381</v>
      </c>
      <c r="F7494" s="504" t="s">
        <v>888</v>
      </c>
      <c r="G7494" s="504" t="s">
        <v>889</v>
      </c>
      <c r="H7494" s="504" t="s">
        <v>9428</v>
      </c>
      <c r="I7494" s="504">
        <v>2</v>
      </c>
      <c r="J7494" s="504">
        <v>0</v>
      </c>
      <c r="K7494" s="504">
        <v>0</v>
      </c>
      <c r="L7494" s="504">
        <v>0</v>
      </c>
      <c r="M7494" s="504">
        <v>0</v>
      </c>
      <c r="N7494" s="504">
        <v>0</v>
      </c>
      <c r="O7494" s="505">
        <v>2</v>
      </c>
    </row>
    <row r="7495" spans="1:15" x14ac:dyDescent="0.35">
      <c r="A7495" s="500" t="s">
        <v>1221</v>
      </c>
      <c r="B7495" s="501">
        <v>4728</v>
      </c>
      <c r="C7495" s="501" t="s">
        <v>1089</v>
      </c>
      <c r="D7495" s="501" t="s">
        <v>3392</v>
      </c>
      <c r="E7495" s="501" t="s">
        <v>3381</v>
      </c>
      <c r="F7495" s="501" t="s">
        <v>888</v>
      </c>
      <c r="G7495" s="501" t="s">
        <v>889</v>
      </c>
      <c r="H7495" s="501" t="s">
        <v>9429</v>
      </c>
      <c r="I7495" s="501">
        <v>9</v>
      </c>
      <c r="J7495" s="501">
        <v>0</v>
      </c>
      <c r="K7495" s="501">
        <v>0</v>
      </c>
      <c r="L7495" s="501">
        <v>9</v>
      </c>
      <c r="M7495" s="501">
        <v>0</v>
      </c>
      <c r="N7495" s="501">
        <v>0</v>
      </c>
      <c r="O7495" s="506">
        <v>0</v>
      </c>
    </row>
    <row r="7496" spans="1:15" x14ac:dyDescent="0.35">
      <c r="A7496" s="503" t="s">
        <v>1122</v>
      </c>
      <c r="B7496" s="504" t="s">
        <v>2994</v>
      </c>
      <c r="C7496" s="504" t="s">
        <v>1094</v>
      </c>
      <c r="D7496" s="504" t="s">
        <v>3380</v>
      </c>
      <c r="E7496" s="504" t="s">
        <v>3381</v>
      </c>
      <c r="F7496" s="504" t="s">
        <v>888</v>
      </c>
      <c r="G7496" s="504" t="s">
        <v>889</v>
      </c>
      <c r="H7496" s="504" t="s">
        <v>9430</v>
      </c>
      <c r="I7496" s="504">
        <v>3</v>
      </c>
      <c r="J7496" s="504">
        <v>0</v>
      </c>
      <c r="K7496" s="504">
        <v>0</v>
      </c>
      <c r="L7496" s="504">
        <v>0</v>
      </c>
      <c r="M7496" s="504">
        <v>0</v>
      </c>
      <c r="N7496" s="504">
        <v>0</v>
      </c>
      <c r="O7496" s="505">
        <v>3</v>
      </c>
    </row>
    <row r="7497" spans="1:15" x14ac:dyDescent="0.35">
      <c r="A7497" s="500" t="s">
        <v>1124</v>
      </c>
      <c r="B7497" s="501">
        <v>4745</v>
      </c>
      <c r="C7497" s="501" t="s">
        <v>1094</v>
      </c>
      <c r="D7497" s="501" t="s">
        <v>3380</v>
      </c>
      <c r="E7497" s="501" t="s">
        <v>3381</v>
      </c>
      <c r="F7497" s="501" t="s">
        <v>888</v>
      </c>
      <c r="G7497" s="501" t="s">
        <v>889</v>
      </c>
      <c r="H7497" s="501" t="s">
        <v>9431</v>
      </c>
      <c r="I7497" s="501">
        <v>1</v>
      </c>
      <c r="J7497" s="501">
        <v>0</v>
      </c>
      <c r="K7497" s="501">
        <v>0</v>
      </c>
      <c r="L7497" s="501">
        <v>1</v>
      </c>
      <c r="M7497" s="501">
        <v>0</v>
      </c>
      <c r="N7497" s="501">
        <v>0</v>
      </c>
      <c r="O7497" s="506">
        <v>0</v>
      </c>
    </row>
    <row r="7498" spans="1:15" x14ac:dyDescent="0.35">
      <c r="A7498" s="503" t="s">
        <v>1234</v>
      </c>
      <c r="B7498" s="504" t="s">
        <v>3291</v>
      </c>
      <c r="C7498" s="504" t="s">
        <v>1094</v>
      </c>
      <c r="D7498" s="504" t="s">
        <v>3380</v>
      </c>
      <c r="E7498" s="504" t="s">
        <v>3381</v>
      </c>
      <c r="F7498" s="504" t="s">
        <v>888</v>
      </c>
      <c r="G7498" s="504" t="s">
        <v>889</v>
      </c>
      <c r="H7498" s="504" t="s">
        <v>9432</v>
      </c>
      <c r="I7498" s="504">
        <v>23</v>
      </c>
      <c r="J7498" s="504">
        <v>10</v>
      </c>
      <c r="K7498" s="504">
        <v>0</v>
      </c>
      <c r="L7498" s="504">
        <v>13</v>
      </c>
      <c r="M7498" s="504">
        <v>0</v>
      </c>
      <c r="N7498" s="504">
        <v>0</v>
      </c>
      <c r="O7498" s="505">
        <v>0</v>
      </c>
    </row>
    <row r="7499" spans="1:15" x14ac:dyDescent="0.35">
      <c r="A7499" s="500" t="s">
        <v>1126</v>
      </c>
      <c r="B7499" s="501" t="s">
        <v>2974</v>
      </c>
      <c r="C7499" s="501" t="s">
        <v>1094</v>
      </c>
      <c r="D7499" s="501" t="s">
        <v>3380</v>
      </c>
      <c r="E7499" s="501" t="s">
        <v>3381</v>
      </c>
      <c r="F7499" s="501" t="s">
        <v>888</v>
      </c>
      <c r="G7499" s="501" t="s">
        <v>889</v>
      </c>
      <c r="H7499" s="501" t="s">
        <v>9433</v>
      </c>
      <c r="I7499" s="501">
        <v>108</v>
      </c>
      <c r="J7499" s="501">
        <v>90</v>
      </c>
      <c r="K7499" s="501">
        <v>0</v>
      </c>
      <c r="L7499" s="501">
        <v>0</v>
      </c>
      <c r="M7499" s="501">
        <v>17</v>
      </c>
      <c r="N7499" s="501">
        <v>0</v>
      </c>
      <c r="O7499" s="506">
        <v>1</v>
      </c>
    </row>
    <row r="7500" spans="1:15" x14ac:dyDescent="0.35">
      <c r="A7500" s="503" t="s">
        <v>2017</v>
      </c>
      <c r="B7500" s="504" t="s">
        <v>3101</v>
      </c>
      <c r="C7500" s="504" t="s">
        <v>1089</v>
      </c>
      <c r="D7500" s="504" t="s">
        <v>3392</v>
      </c>
      <c r="E7500" s="504" t="s">
        <v>3381</v>
      </c>
      <c r="F7500" s="504" t="s">
        <v>888</v>
      </c>
      <c r="G7500" s="504" t="s">
        <v>889</v>
      </c>
      <c r="H7500" s="504" t="s">
        <v>9434</v>
      </c>
      <c r="I7500" s="504">
        <v>14</v>
      </c>
      <c r="J7500" s="504">
        <v>14</v>
      </c>
      <c r="K7500" s="504">
        <v>0</v>
      </c>
      <c r="L7500" s="504">
        <v>0</v>
      </c>
      <c r="M7500" s="504">
        <v>0</v>
      </c>
      <c r="N7500" s="504">
        <v>0</v>
      </c>
      <c r="O7500" s="505">
        <v>0</v>
      </c>
    </row>
    <row r="7501" spans="1:15" x14ac:dyDescent="0.35">
      <c r="A7501" s="500" t="s">
        <v>1132</v>
      </c>
      <c r="B7501" s="501">
        <v>4837</v>
      </c>
      <c r="C7501" s="501" t="s">
        <v>1094</v>
      </c>
      <c r="D7501" s="501" t="s">
        <v>3380</v>
      </c>
      <c r="E7501" s="501" t="s">
        <v>3381</v>
      </c>
      <c r="F7501" s="501" t="s">
        <v>888</v>
      </c>
      <c r="G7501" s="501" t="s">
        <v>889</v>
      </c>
      <c r="H7501" s="501" t="s">
        <v>9435</v>
      </c>
      <c r="I7501" s="501">
        <v>6</v>
      </c>
      <c r="J7501" s="501">
        <v>0</v>
      </c>
      <c r="K7501" s="501">
        <v>0</v>
      </c>
      <c r="L7501" s="501">
        <v>0</v>
      </c>
      <c r="M7501" s="501">
        <v>0</v>
      </c>
      <c r="N7501" s="501">
        <v>0</v>
      </c>
      <c r="O7501" s="506">
        <v>6</v>
      </c>
    </row>
    <row r="7502" spans="1:15" x14ac:dyDescent="0.35">
      <c r="A7502" s="503" t="s">
        <v>1240</v>
      </c>
      <c r="B7502" s="504" t="s">
        <v>2972</v>
      </c>
      <c r="C7502" s="504" t="s">
        <v>1094</v>
      </c>
      <c r="D7502" s="504" t="s">
        <v>3380</v>
      </c>
      <c r="E7502" s="504" t="s">
        <v>3381</v>
      </c>
      <c r="F7502" s="504" t="s">
        <v>888</v>
      </c>
      <c r="G7502" s="504" t="s">
        <v>889</v>
      </c>
      <c r="H7502" s="504" t="s">
        <v>9436</v>
      </c>
      <c r="I7502" s="504">
        <v>330</v>
      </c>
      <c r="J7502" s="504">
        <v>296</v>
      </c>
      <c r="K7502" s="504">
        <v>0</v>
      </c>
      <c r="L7502" s="504">
        <v>0</v>
      </c>
      <c r="M7502" s="504">
        <v>0</v>
      </c>
      <c r="N7502" s="504">
        <v>0</v>
      </c>
      <c r="O7502" s="505">
        <v>34</v>
      </c>
    </row>
    <row r="7503" spans="1:15" x14ac:dyDescent="0.35">
      <c r="A7503" s="500" t="s">
        <v>1241</v>
      </c>
      <c r="B7503" s="501">
        <v>4717</v>
      </c>
      <c r="C7503" s="501" t="s">
        <v>1094</v>
      </c>
      <c r="D7503" s="501" t="s">
        <v>3380</v>
      </c>
      <c r="E7503" s="501" t="s">
        <v>3381</v>
      </c>
      <c r="F7503" s="501" t="s">
        <v>888</v>
      </c>
      <c r="G7503" s="501" t="s">
        <v>889</v>
      </c>
      <c r="H7503" s="501" t="s">
        <v>9437</v>
      </c>
      <c r="I7503" s="501">
        <v>61</v>
      </c>
      <c r="J7503" s="501">
        <v>39</v>
      </c>
      <c r="K7503" s="501">
        <v>0</v>
      </c>
      <c r="L7503" s="501">
        <v>0</v>
      </c>
      <c r="M7503" s="501">
        <v>0</v>
      </c>
      <c r="N7503" s="501">
        <v>0</v>
      </c>
      <c r="O7503" s="506">
        <v>22</v>
      </c>
    </row>
    <row r="7504" spans="1:15" x14ac:dyDescent="0.35">
      <c r="A7504" s="503" t="s">
        <v>1134</v>
      </c>
      <c r="B7504" s="504" t="s">
        <v>3066</v>
      </c>
      <c r="C7504" s="504" t="s">
        <v>1094</v>
      </c>
      <c r="D7504" s="504" t="s">
        <v>3380</v>
      </c>
      <c r="E7504" s="504" t="s">
        <v>3381</v>
      </c>
      <c r="F7504" s="504" t="s">
        <v>888</v>
      </c>
      <c r="G7504" s="504" t="s">
        <v>889</v>
      </c>
      <c r="H7504" s="504" t="s">
        <v>9438</v>
      </c>
      <c r="I7504" s="504">
        <v>805</v>
      </c>
      <c r="J7504" s="504">
        <v>717</v>
      </c>
      <c r="K7504" s="504">
        <v>0</v>
      </c>
      <c r="L7504" s="504">
        <v>5</v>
      </c>
      <c r="M7504" s="504">
        <v>0</v>
      </c>
      <c r="N7504" s="504">
        <v>0</v>
      </c>
      <c r="O7504" s="505">
        <v>83</v>
      </c>
    </row>
    <row r="7505" spans="1:15" x14ac:dyDescent="0.35">
      <c r="A7505" s="500" t="s">
        <v>1136</v>
      </c>
      <c r="B7505" s="501">
        <v>4680</v>
      </c>
      <c r="C7505" s="501" t="s">
        <v>1094</v>
      </c>
      <c r="D7505" s="501" t="s">
        <v>3380</v>
      </c>
      <c r="E7505" s="501" t="s">
        <v>3381</v>
      </c>
      <c r="F7505" s="501" t="s">
        <v>888</v>
      </c>
      <c r="G7505" s="501" t="s">
        <v>889</v>
      </c>
      <c r="H7505" s="501" t="s">
        <v>9439</v>
      </c>
      <c r="I7505" s="501">
        <v>39</v>
      </c>
      <c r="J7505" s="501">
        <v>26</v>
      </c>
      <c r="K7505" s="501">
        <v>0</v>
      </c>
      <c r="L7505" s="501">
        <v>0</v>
      </c>
      <c r="M7505" s="501">
        <v>0</v>
      </c>
      <c r="N7505" s="501">
        <v>0</v>
      </c>
      <c r="O7505" s="506">
        <v>13</v>
      </c>
    </row>
    <row r="7506" spans="1:15" x14ac:dyDescent="0.35">
      <c r="A7506" s="503" t="s">
        <v>2021</v>
      </c>
      <c r="B7506" s="504" t="s">
        <v>3099</v>
      </c>
      <c r="C7506" s="504" t="s">
        <v>1089</v>
      </c>
      <c r="D7506" s="504" t="s">
        <v>3392</v>
      </c>
      <c r="E7506" s="504" t="s">
        <v>3381</v>
      </c>
      <c r="F7506" s="504" t="s">
        <v>888</v>
      </c>
      <c r="G7506" s="504" t="s">
        <v>889</v>
      </c>
      <c r="H7506" s="504" t="s">
        <v>9440</v>
      </c>
      <c r="I7506" s="504">
        <v>66</v>
      </c>
      <c r="J7506" s="504">
        <v>66</v>
      </c>
      <c r="K7506" s="504">
        <v>0</v>
      </c>
      <c r="L7506" s="504">
        <v>0</v>
      </c>
      <c r="M7506" s="504">
        <v>0</v>
      </c>
      <c r="N7506" s="504">
        <v>0</v>
      </c>
      <c r="O7506" s="505">
        <v>0</v>
      </c>
    </row>
    <row r="7507" spans="1:15" x14ac:dyDescent="0.35">
      <c r="A7507" s="500" t="s">
        <v>1249</v>
      </c>
      <c r="B7507" s="501">
        <v>4729</v>
      </c>
      <c r="C7507" s="501" t="s">
        <v>1094</v>
      </c>
      <c r="D7507" s="501" t="s">
        <v>3380</v>
      </c>
      <c r="E7507" s="501" t="s">
        <v>3381</v>
      </c>
      <c r="F7507" s="501" t="s">
        <v>888</v>
      </c>
      <c r="G7507" s="501" t="s">
        <v>889</v>
      </c>
      <c r="H7507" s="501" t="s">
        <v>9441</v>
      </c>
      <c r="I7507" s="501">
        <v>1</v>
      </c>
      <c r="J7507" s="501">
        <v>0</v>
      </c>
      <c r="K7507" s="501">
        <v>0</v>
      </c>
      <c r="L7507" s="501">
        <v>0</v>
      </c>
      <c r="M7507" s="501">
        <v>0</v>
      </c>
      <c r="N7507" s="501">
        <v>0</v>
      </c>
      <c r="O7507" s="506">
        <v>1</v>
      </c>
    </row>
    <row r="7508" spans="1:15" x14ac:dyDescent="0.35">
      <c r="A7508" s="503" t="s">
        <v>1138</v>
      </c>
      <c r="B7508" s="504" t="s">
        <v>2998</v>
      </c>
      <c r="C7508" s="504" t="s">
        <v>1094</v>
      </c>
      <c r="D7508" s="504" t="s">
        <v>3380</v>
      </c>
      <c r="E7508" s="504" t="s">
        <v>3381</v>
      </c>
      <c r="F7508" s="504" t="s">
        <v>888</v>
      </c>
      <c r="G7508" s="504" t="s">
        <v>889</v>
      </c>
      <c r="H7508" s="504" t="s">
        <v>15079</v>
      </c>
      <c r="I7508" s="504">
        <v>50</v>
      </c>
      <c r="J7508" s="504">
        <v>32</v>
      </c>
      <c r="K7508" s="504">
        <v>0</v>
      </c>
      <c r="L7508" s="504">
        <v>0</v>
      </c>
      <c r="M7508" s="504">
        <v>0</v>
      </c>
      <c r="N7508" s="504">
        <v>0</v>
      </c>
      <c r="O7508" s="505">
        <v>18</v>
      </c>
    </row>
    <row r="7509" spans="1:15" x14ac:dyDescent="0.35">
      <c r="A7509" s="500" t="s">
        <v>2051</v>
      </c>
      <c r="B7509" s="501" t="s">
        <v>3115</v>
      </c>
      <c r="C7509" s="501" t="s">
        <v>1089</v>
      </c>
      <c r="D7509" s="501" t="s">
        <v>3392</v>
      </c>
      <c r="E7509" s="501" t="s">
        <v>3381</v>
      </c>
      <c r="F7509" s="501" t="s">
        <v>888</v>
      </c>
      <c r="G7509" s="501" t="s">
        <v>889</v>
      </c>
      <c r="H7509" s="501" t="s">
        <v>12250</v>
      </c>
      <c r="I7509" s="501">
        <v>6</v>
      </c>
      <c r="J7509" s="501">
        <v>6</v>
      </c>
      <c r="K7509" s="501">
        <v>0</v>
      </c>
      <c r="L7509" s="501">
        <v>0</v>
      </c>
      <c r="M7509" s="501">
        <v>0</v>
      </c>
      <c r="N7509" s="501">
        <v>0</v>
      </c>
      <c r="O7509" s="506">
        <v>0</v>
      </c>
    </row>
    <row r="7510" spans="1:15" x14ac:dyDescent="0.35">
      <c r="A7510" s="503" t="s">
        <v>14386</v>
      </c>
      <c r="B7510" s="504" t="s">
        <v>2645</v>
      </c>
      <c r="C7510" s="504" t="s">
        <v>1089</v>
      </c>
      <c r="D7510" s="504" t="s">
        <v>3392</v>
      </c>
      <c r="E7510" s="504" t="s">
        <v>3381</v>
      </c>
      <c r="F7510" s="504" t="s">
        <v>888</v>
      </c>
      <c r="G7510" s="504" t="s">
        <v>889</v>
      </c>
      <c r="H7510" s="504" t="s">
        <v>15080</v>
      </c>
      <c r="I7510" s="504">
        <v>8</v>
      </c>
      <c r="J7510" s="504">
        <v>0</v>
      </c>
      <c r="K7510" s="504">
        <v>0</v>
      </c>
      <c r="L7510" s="504">
        <v>0</v>
      </c>
      <c r="M7510" s="504">
        <v>8</v>
      </c>
      <c r="N7510" s="504">
        <v>0</v>
      </c>
      <c r="O7510" s="505">
        <v>0</v>
      </c>
    </row>
    <row r="7511" spans="1:15" x14ac:dyDescent="0.35">
      <c r="A7511" s="500" t="s">
        <v>1096</v>
      </c>
      <c r="B7511" s="501" t="s">
        <v>3326</v>
      </c>
      <c r="C7511" s="501" t="s">
        <v>1094</v>
      </c>
      <c r="D7511" s="501" t="s">
        <v>3380</v>
      </c>
      <c r="E7511" s="501" t="s">
        <v>3381</v>
      </c>
      <c r="F7511" s="501" t="s">
        <v>890</v>
      </c>
      <c r="G7511" s="501" t="s">
        <v>891</v>
      </c>
      <c r="H7511" s="501" t="s">
        <v>9442</v>
      </c>
      <c r="I7511" s="501">
        <v>29</v>
      </c>
      <c r="J7511" s="501">
        <v>0</v>
      </c>
      <c r="K7511" s="501">
        <v>0</v>
      </c>
      <c r="L7511" s="501">
        <v>0</v>
      </c>
      <c r="M7511" s="501">
        <v>29</v>
      </c>
      <c r="N7511" s="501">
        <v>0</v>
      </c>
      <c r="O7511" s="506">
        <v>0</v>
      </c>
    </row>
    <row r="7512" spans="1:15" x14ac:dyDescent="0.35">
      <c r="A7512" s="503" t="s">
        <v>11363</v>
      </c>
      <c r="B7512" s="504">
        <v>4718</v>
      </c>
      <c r="C7512" s="504" t="s">
        <v>1094</v>
      </c>
      <c r="D7512" s="504" t="s">
        <v>3380</v>
      </c>
      <c r="E7512" s="504" t="s">
        <v>3381</v>
      </c>
      <c r="F7512" s="504" t="s">
        <v>890</v>
      </c>
      <c r="G7512" s="504" t="s">
        <v>891</v>
      </c>
      <c r="H7512" s="504" t="s">
        <v>11588</v>
      </c>
      <c r="I7512" s="504">
        <v>4</v>
      </c>
      <c r="J7512" s="504">
        <v>0</v>
      </c>
      <c r="K7512" s="504">
        <v>0</v>
      </c>
      <c r="L7512" s="504">
        <v>4</v>
      </c>
      <c r="M7512" s="504">
        <v>0</v>
      </c>
      <c r="N7512" s="504">
        <v>0</v>
      </c>
      <c r="O7512" s="505">
        <v>0</v>
      </c>
    </row>
    <row r="7513" spans="1:15" x14ac:dyDescent="0.35">
      <c r="A7513" s="500" t="s">
        <v>1158</v>
      </c>
      <c r="B7513" s="501">
        <v>4819</v>
      </c>
      <c r="C7513" s="501" t="s">
        <v>1094</v>
      </c>
      <c r="D7513" s="501" t="s">
        <v>3380</v>
      </c>
      <c r="E7513" s="501" t="s">
        <v>3381</v>
      </c>
      <c r="F7513" s="501" t="s">
        <v>890</v>
      </c>
      <c r="G7513" s="501" t="s">
        <v>891</v>
      </c>
      <c r="H7513" s="501" t="s">
        <v>9443</v>
      </c>
      <c r="I7513" s="501">
        <v>763</v>
      </c>
      <c r="J7513" s="501">
        <v>652</v>
      </c>
      <c r="K7513" s="501">
        <v>0</v>
      </c>
      <c r="L7513" s="501">
        <v>0</v>
      </c>
      <c r="M7513" s="501">
        <v>0</v>
      </c>
      <c r="N7513" s="501">
        <v>0</v>
      </c>
      <c r="O7513" s="506">
        <v>111</v>
      </c>
    </row>
    <row r="7514" spans="1:15" x14ac:dyDescent="0.35">
      <c r="A7514" s="503" t="s">
        <v>14213</v>
      </c>
      <c r="B7514" s="504" t="s">
        <v>3312</v>
      </c>
      <c r="C7514" s="504" t="s">
        <v>1094</v>
      </c>
      <c r="D7514" s="504" t="s">
        <v>3380</v>
      </c>
      <c r="E7514" s="504" t="s">
        <v>3381</v>
      </c>
      <c r="F7514" s="504" t="s">
        <v>890</v>
      </c>
      <c r="G7514" s="504" t="s">
        <v>891</v>
      </c>
      <c r="H7514" s="504" t="s">
        <v>15081</v>
      </c>
      <c r="I7514" s="504">
        <v>120</v>
      </c>
      <c r="J7514" s="504">
        <v>85</v>
      </c>
      <c r="K7514" s="504">
        <v>0</v>
      </c>
      <c r="L7514" s="504">
        <v>25</v>
      </c>
      <c r="M7514" s="504">
        <v>0</v>
      </c>
      <c r="N7514" s="504">
        <v>0</v>
      </c>
      <c r="O7514" s="505">
        <v>10</v>
      </c>
    </row>
    <row r="7515" spans="1:15" x14ac:dyDescent="0.35">
      <c r="A7515" s="500" t="s">
        <v>1105</v>
      </c>
      <c r="B7515" s="501">
        <v>4668</v>
      </c>
      <c r="C7515" s="501" t="s">
        <v>1094</v>
      </c>
      <c r="D7515" s="501" t="s">
        <v>3380</v>
      </c>
      <c r="E7515" s="501" t="s">
        <v>3381</v>
      </c>
      <c r="F7515" s="501" t="s">
        <v>890</v>
      </c>
      <c r="G7515" s="501" t="s">
        <v>891</v>
      </c>
      <c r="H7515" s="501" t="s">
        <v>15082</v>
      </c>
      <c r="I7515" s="501">
        <v>13</v>
      </c>
      <c r="J7515" s="501">
        <v>0</v>
      </c>
      <c r="K7515" s="501">
        <v>0</v>
      </c>
      <c r="L7515" s="501">
        <v>0</v>
      </c>
      <c r="M7515" s="501">
        <v>0</v>
      </c>
      <c r="N7515" s="501">
        <v>0</v>
      </c>
      <c r="O7515" s="506">
        <v>13</v>
      </c>
    </row>
    <row r="7516" spans="1:15" x14ac:dyDescent="0.35">
      <c r="A7516" s="503" t="s">
        <v>14226</v>
      </c>
      <c r="B7516" s="504" t="s">
        <v>3329</v>
      </c>
      <c r="C7516" s="504" t="s">
        <v>1094</v>
      </c>
      <c r="D7516" s="504" t="s">
        <v>3380</v>
      </c>
      <c r="E7516" s="504" t="s">
        <v>3381</v>
      </c>
      <c r="F7516" s="504" t="s">
        <v>890</v>
      </c>
      <c r="G7516" s="504" t="s">
        <v>891</v>
      </c>
      <c r="H7516" s="504" t="s">
        <v>15083</v>
      </c>
      <c r="I7516" s="504">
        <v>5589</v>
      </c>
      <c r="J7516" s="504">
        <v>4639</v>
      </c>
      <c r="K7516" s="504">
        <v>0</v>
      </c>
      <c r="L7516" s="504">
        <v>178</v>
      </c>
      <c r="M7516" s="504">
        <v>546</v>
      </c>
      <c r="N7516" s="504">
        <v>0</v>
      </c>
      <c r="O7516" s="505">
        <v>226</v>
      </c>
    </row>
    <row r="7517" spans="1:15" x14ac:dyDescent="0.35">
      <c r="A7517" s="500" t="s">
        <v>1190</v>
      </c>
      <c r="B7517" s="501">
        <v>4662</v>
      </c>
      <c r="C7517" s="501" t="s">
        <v>1094</v>
      </c>
      <c r="D7517" s="501" t="s">
        <v>3380</v>
      </c>
      <c r="E7517" s="501" t="s">
        <v>3381</v>
      </c>
      <c r="F7517" s="501" t="s">
        <v>890</v>
      </c>
      <c r="G7517" s="501" t="s">
        <v>891</v>
      </c>
      <c r="H7517" s="501" t="s">
        <v>9444</v>
      </c>
      <c r="I7517" s="501">
        <v>9</v>
      </c>
      <c r="J7517" s="501">
        <v>0</v>
      </c>
      <c r="K7517" s="501">
        <v>0</v>
      </c>
      <c r="L7517" s="501">
        <v>9</v>
      </c>
      <c r="M7517" s="501">
        <v>0</v>
      </c>
      <c r="N7517" s="501">
        <v>0</v>
      </c>
      <c r="O7517" s="506">
        <v>0</v>
      </c>
    </row>
    <row r="7518" spans="1:15" x14ac:dyDescent="0.35">
      <c r="A7518" s="503" t="s">
        <v>1207</v>
      </c>
      <c r="B7518" s="504" t="s">
        <v>3202</v>
      </c>
      <c r="C7518" s="504" t="s">
        <v>1094</v>
      </c>
      <c r="D7518" s="504" t="s">
        <v>3380</v>
      </c>
      <c r="E7518" s="504" t="s">
        <v>3381</v>
      </c>
      <c r="F7518" s="504" t="s">
        <v>890</v>
      </c>
      <c r="G7518" s="504" t="s">
        <v>891</v>
      </c>
      <c r="H7518" s="504" t="s">
        <v>9445</v>
      </c>
      <c r="I7518" s="504">
        <v>341</v>
      </c>
      <c r="J7518" s="504">
        <v>238</v>
      </c>
      <c r="K7518" s="504">
        <v>0</v>
      </c>
      <c r="L7518" s="504">
        <v>0</v>
      </c>
      <c r="M7518" s="504">
        <v>89</v>
      </c>
      <c r="N7518" s="504">
        <v>0</v>
      </c>
      <c r="O7518" s="505">
        <v>14</v>
      </c>
    </row>
    <row r="7519" spans="1:15" x14ac:dyDescent="0.35">
      <c r="A7519" s="500" t="s">
        <v>1221</v>
      </c>
      <c r="B7519" s="501">
        <v>4728</v>
      </c>
      <c r="C7519" s="501" t="s">
        <v>1089</v>
      </c>
      <c r="D7519" s="501" t="s">
        <v>3392</v>
      </c>
      <c r="E7519" s="501" t="s">
        <v>3381</v>
      </c>
      <c r="F7519" s="501" t="s">
        <v>890</v>
      </c>
      <c r="G7519" s="501" t="s">
        <v>891</v>
      </c>
      <c r="H7519" s="501" t="s">
        <v>9446</v>
      </c>
      <c r="I7519" s="501">
        <v>8</v>
      </c>
      <c r="J7519" s="501">
        <v>0</v>
      </c>
      <c r="K7519" s="501">
        <v>0</v>
      </c>
      <c r="L7519" s="501">
        <v>8</v>
      </c>
      <c r="M7519" s="501">
        <v>0</v>
      </c>
      <c r="N7519" s="501">
        <v>0</v>
      </c>
      <c r="O7519" s="506">
        <v>0</v>
      </c>
    </row>
    <row r="7520" spans="1:15" x14ac:dyDescent="0.35">
      <c r="A7520" s="503" t="s">
        <v>1233</v>
      </c>
      <c r="B7520" s="504">
        <v>4636</v>
      </c>
      <c r="C7520" s="504" t="s">
        <v>1094</v>
      </c>
      <c r="D7520" s="504" t="s">
        <v>3380</v>
      </c>
      <c r="E7520" s="504" t="s">
        <v>3381</v>
      </c>
      <c r="F7520" s="504" t="s">
        <v>890</v>
      </c>
      <c r="G7520" s="504" t="s">
        <v>891</v>
      </c>
      <c r="H7520" s="504" t="s">
        <v>15084</v>
      </c>
      <c r="I7520" s="504">
        <v>43</v>
      </c>
      <c r="J7520" s="504">
        <v>22</v>
      </c>
      <c r="K7520" s="504">
        <v>0</v>
      </c>
      <c r="L7520" s="504">
        <v>0</v>
      </c>
      <c r="M7520" s="504">
        <v>0</v>
      </c>
      <c r="N7520" s="504">
        <v>0</v>
      </c>
      <c r="O7520" s="505">
        <v>21</v>
      </c>
    </row>
    <row r="7521" spans="1:15" x14ac:dyDescent="0.35">
      <c r="A7521" s="500" t="s">
        <v>11368</v>
      </c>
      <c r="B7521" s="501">
        <v>5083</v>
      </c>
      <c r="C7521" s="501" t="s">
        <v>1094</v>
      </c>
      <c r="D7521" s="501" t="s">
        <v>3380</v>
      </c>
      <c r="E7521" s="501" t="s">
        <v>3381</v>
      </c>
      <c r="F7521" s="501" t="s">
        <v>890</v>
      </c>
      <c r="G7521" s="501" t="s">
        <v>891</v>
      </c>
      <c r="H7521" s="501" t="s">
        <v>15085</v>
      </c>
      <c r="I7521" s="501">
        <v>6</v>
      </c>
      <c r="J7521" s="501">
        <v>6</v>
      </c>
      <c r="K7521" s="501">
        <v>0</v>
      </c>
      <c r="L7521" s="501">
        <v>0</v>
      </c>
      <c r="M7521" s="501">
        <v>0</v>
      </c>
      <c r="N7521" s="501">
        <v>0</v>
      </c>
      <c r="O7521" s="506">
        <v>0</v>
      </c>
    </row>
    <row r="7522" spans="1:15" x14ac:dyDescent="0.35">
      <c r="A7522" s="503" t="s">
        <v>1126</v>
      </c>
      <c r="B7522" s="504" t="s">
        <v>2974</v>
      </c>
      <c r="C7522" s="504" t="s">
        <v>1094</v>
      </c>
      <c r="D7522" s="504" t="s">
        <v>3380</v>
      </c>
      <c r="E7522" s="504" t="s">
        <v>3381</v>
      </c>
      <c r="F7522" s="504" t="s">
        <v>890</v>
      </c>
      <c r="G7522" s="504" t="s">
        <v>891</v>
      </c>
      <c r="H7522" s="504" t="s">
        <v>9447</v>
      </c>
      <c r="I7522" s="504">
        <v>53</v>
      </c>
      <c r="J7522" s="504">
        <v>53</v>
      </c>
      <c r="K7522" s="504">
        <v>0</v>
      </c>
      <c r="L7522" s="504">
        <v>0</v>
      </c>
      <c r="M7522" s="504">
        <v>0</v>
      </c>
      <c r="N7522" s="504">
        <v>0</v>
      </c>
      <c r="O7522" s="505">
        <v>0</v>
      </c>
    </row>
    <row r="7523" spans="1:15" x14ac:dyDescent="0.35">
      <c r="A7523" s="500" t="s">
        <v>1240</v>
      </c>
      <c r="B7523" s="501" t="s">
        <v>2972</v>
      </c>
      <c r="C7523" s="501" t="s">
        <v>1094</v>
      </c>
      <c r="D7523" s="501" t="s">
        <v>3380</v>
      </c>
      <c r="E7523" s="501" t="s">
        <v>3381</v>
      </c>
      <c r="F7523" s="501" t="s">
        <v>890</v>
      </c>
      <c r="G7523" s="501" t="s">
        <v>891</v>
      </c>
      <c r="H7523" s="501" t="s">
        <v>9448</v>
      </c>
      <c r="I7523" s="501">
        <v>29</v>
      </c>
      <c r="J7523" s="501">
        <v>14</v>
      </c>
      <c r="K7523" s="501">
        <v>0</v>
      </c>
      <c r="L7523" s="501">
        <v>0</v>
      </c>
      <c r="M7523" s="501">
        <v>0</v>
      </c>
      <c r="N7523" s="501">
        <v>0</v>
      </c>
      <c r="O7523" s="506">
        <v>15</v>
      </c>
    </row>
    <row r="7524" spans="1:15" x14ac:dyDescent="0.35">
      <c r="A7524" s="503" t="s">
        <v>2123</v>
      </c>
      <c r="B7524" s="504" t="s">
        <v>3338</v>
      </c>
      <c r="C7524" s="504" t="s">
        <v>1094</v>
      </c>
      <c r="D7524" s="504" t="s">
        <v>3380</v>
      </c>
      <c r="E7524" s="504" t="s">
        <v>3381</v>
      </c>
      <c r="F7524" s="504" t="s">
        <v>890</v>
      </c>
      <c r="G7524" s="504" t="s">
        <v>891</v>
      </c>
      <c r="H7524" s="504" t="s">
        <v>9449</v>
      </c>
      <c r="I7524" s="504">
        <v>116</v>
      </c>
      <c r="J7524" s="504">
        <v>64</v>
      </c>
      <c r="K7524" s="504">
        <v>0</v>
      </c>
      <c r="L7524" s="504">
        <v>52</v>
      </c>
      <c r="M7524" s="504">
        <v>0</v>
      </c>
      <c r="N7524" s="504">
        <v>0</v>
      </c>
      <c r="O7524" s="505">
        <v>0</v>
      </c>
    </row>
    <row r="7525" spans="1:15" x14ac:dyDescent="0.35">
      <c r="A7525" s="500" t="s">
        <v>2127</v>
      </c>
      <c r="B7525" s="501" t="s">
        <v>3188</v>
      </c>
      <c r="C7525" s="501" t="s">
        <v>1094</v>
      </c>
      <c r="D7525" s="501" t="s">
        <v>3380</v>
      </c>
      <c r="E7525" s="501" t="s">
        <v>3381</v>
      </c>
      <c r="F7525" s="501" t="s">
        <v>890</v>
      </c>
      <c r="G7525" s="501" t="s">
        <v>891</v>
      </c>
      <c r="H7525" s="501" t="s">
        <v>9450</v>
      </c>
      <c r="I7525" s="501">
        <v>162</v>
      </c>
      <c r="J7525" s="501">
        <v>74</v>
      </c>
      <c r="K7525" s="501">
        <v>0</v>
      </c>
      <c r="L7525" s="501">
        <v>0</v>
      </c>
      <c r="M7525" s="501">
        <v>0</v>
      </c>
      <c r="N7525" s="501">
        <v>0</v>
      </c>
      <c r="O7525" s="506">
        <v>88</v>
      </c>
    </row>
    <row r="7526" spans="1:15" x14ac:dyDescent="0.35">
      <c r="A7526" s="503" t="s">
        <v>1262</v>
      </c>
      <c r="B7526" s="504">
        <v>4772</v>
      </c>
      <c r="C7526" s="504" t="s">
        <v>1089</v>
      </c>
      <c r="D7526" s="504" t="s">
        <v>3392</v>
      </c>
      <c r="E7526" s="504" t="s">
        <v>3381</v>
      </c>
      <c r="F7526" s="504" t="s">
        <v>890</v>
      </c>
      <c r="G7526" s="504" t="s">
        <v>891</v>
      </c>
      <c r="H7526" s="504" t="s">
        <v>9451</v>
      </c>
      <c r="I7526" s="504">
        <v>3</v>
      </c>
      <c r="J7526" s="504">
        <v>0</v>
      </c>
      <c r="K7526" s="504">
        <v>0</v>
      </c>
      <c r="L7526" s="504">
        <v>3</v>
      </c>
      <c r="M7526" s="504">
        <v>0</v>
      </c>
      <c r="N7526" s="504">
        <v>0</v>
      </c>
      <c r="O7526" s="505">
        <v>0</v>
      </c>
    </row>
    <row r="7527" spans="1:15" x14ac:dyDescent="0.35">
      <c r="A7527" s="500" t="s">
        <v>1609</v>
      </c>
      <c r="B7527" s="501">
        <v>4758</v>
      </c>
      <c r="C7527" s="501" t="s">
        <v>1089</v>
      </c>
      <c r="D7527" s="501" t="s">
        <v>3392</v>
      </c>
      <c r="E7527" s="501" t="s">
        <v>3381</v>
      </c>
      <c r="F7527" s="501" t="s">
        <v>892</v>
      </c>
      <c r="G7527" s="501" t="s">
        <v>893</v>
      </c>
      <c r="H7527" s="501" t="s">
        <v>9452</v>
      </c>
      <c r="I7527" s="501">
        <v>53</v>
      </c>
      <c r="J7527" s="501">
        <v>0</v>
      </c>
      <c r="K7527" s="501">
        <v>0</v>
      </c>
      <c r="L7527" s="501">
        <v>53</v>
      </c>
      <c r="M7527" s="501">
        <v>0</v>
      </c>
      <c r="N7527" s="501">
        <v>0</v>
      </c>
      <c r="O7527" s="506">
        <v>0</v>
      </c>
    </row>
    <row r="7528" spans="1:15" x14ac:dyDescent="0.35">
      <c r="A7528" s="503" t="s">
        <v>1143</v>
      </c>
      <c r="B7528" s="504" t="s">
        <v>3281</v>
      </c>
      <c r="C7528" s="504" t="s">
        <v>1094</v>
      </c>
      <c r="D7528" s="504" t="s">
        <v>3380</v>
      </c>
      <c r="E7528" s="504" t="s">
        <v>3381</v>
      </c>
      <c r="F7528" s="504" t="s">
        <v>892</v>
      </c>
      <c r="G7528" s="504" t="s">
        <v>893</v>
      </c>
      <c r="H7528" s="504" t="s">
        <v>9453</v>
      </c>
      <c r="I7528" s="504">
        <v>7</v>
      </c>
      <c r="J7528" s="504">
        <v>7</v>
      </c>
      <c r="K7528" s="504">
        <v>0</v>
      </c>
      <c r="L7528" s="504">
        <v>0</v>
      </c>
      <c r="M7528" s="504">
        <v>0</v>
      </c>
      <c r="N7528" s="504">
        <v>0</v>
      </c>
      <c r="O7528" s="505">
        <v>0</v>
      </c>
    </row>
    <row r="7529" spans="1:15" x14ac:dyDescent="0.35">
      <c r="A7529" s="500" t="s">
        <v>1096</v>
      </c>
      <c r="B7529" s="501" t="s">
        <v>3326</v>
      </c>
      <c r="C7529" s="501" t="s">
        <v>1094</v>
      </c>
      <c r="D7529" s="501" t="s">
        <v>3380</v>
      </c>
      <c r="E7529" s="501" t="s">
        <v>3381</v>
      </c>
      <c r="F7529" s="501" t="s">
        <v>892</v>
      </c>
      <c r="G7529" s="501" t="s">
        <v>893</v>
      </c>
      <c r="H7529" s="501" t="s">
        <v>9454</v>
      </c>
      <c r="I7529" s="501">
        <v>294</v>
      </c>
      <c r="J7529" s="501">
        <v>0</v>
      </c>
      <c r="K7529" s="501">
        <v>0</v>
      </c>
      <c r="L7529" s="501">
        <v>0</v>
      </c>
      <c r="M7529" s="501">
        <v>263</v>
      </c>
      <c r="N7529" s="501">
        <v>0</v>
      </c>
      <c r="O7529" s="506">
        <v>31</v>
      </c>
    </row>
    <row r="7530" spans="1:15" x14ac:dyDescent="0.35">
      <c r="A7530" s="503" t="s">
        <v>1617</v>
      </c>
      <c r="B7530" s="504">
        <v>4868</v>
      </c>
      <c r="C7530" s="504" t="s">
        <v>1094</v>
      </c>
      <c r="D7530" s="504" t="s">
        <v>3380</v>
      </c>
      <c r="E7530" s="504" t="s">
        <v>3381</v>
      </c>
      <c r="F7530" s="504" t="s">
        <v>892</v>
      </c>
      <c r="G7530" s="504" t="s">
        <v>893</v>
      </c>
      <c r="H7530" s="504" t="s">
        <v>9455</v>
      </c>
      <c r="I7530" s="504">
        <v>267</v>
      </c>
      <c r="J7530" s="504">
        <v>140</v>
      </c>
      <c r="K7530" s="504">
        <v>0</v>
      </c>
      <c r="L7530" s="504">
        <v>26</v>
      </c>
      <c r="M7530" s="504">
        <v>24</v>
      </c>
      <c r="N7530" s="504">
        <v>0</v>
      </c>
      <c r="O7530" s="505">
        <v>77</v>
      </c>
    </row>
    <row r="7531" spans="1:15" x14ac:dyDescent="0.35">
      <c r="A7531" s="500" t="s">
        <v>1619</v>
      </c>
      <c r="B7531" s="501" t="s">
        <v>2798</v>
      </c>
      <c r="C7531" s="501" t="s">
        <v>1089</v>
      </c>
      <c r="D7531" s="501" t="s">
        <v>3392</v>
      </c>
      <c r="E7531" s="501" t="s">
        <v>3381</v>
      </c>
      <c r="F7531" s="501" t="s">
        <v>892</v>
      </c>
      <c r="G7531" s="501" t="s">
        <v>893</v>
      </c>
      <c r="H7531" s="501" t="s">
        <v>11622</v>
      </c>
      <c r="I7531" s="501">
        <v>27</v>
      </c>
      <c r="J7531" s="501">
        <v>27</v>
      </c>
      <c r="K7531" s="501">
        <v>0</v>
      </c>
      <c r="L7531" s="501">
        <v>0</v>
      </c>
      <c r="M7531" s="501">
        <v>0</v>
      </c>
      <c r="N7531" s="501">
        <v>0</v>
      </c>
      <c r="O7531" s="506">
        <v>0</v>
      </c>
    </row>
    <row r="7532" spans="1:15" x14ac:dyDescent="0.35">
      <c r="A7532" s="503" t="s">
        <v>1172</v>
      </c>
      <c r="B7532" s="504">
        <v>4648</v>
      </c>
      <c r="C7532" s="504" t="s">
        <v>1089</v>
      </c>
      <c r="D7532" s="504" t="s">
        <v>3392</v>
      </c>
      <c r="E7532" s="504" t="s">
        <v>3381</v>
      </c>
      <c r="F7532" s="504" t="s">
        <v>892</v>
      </c>
      <c r="G7532" s="504" t="s">
        <v>893</v>
      </c>
      <c r="H7532" s="504" t="s">
        <v>9456</v>
      </c>
      <c r="I7532" s="504">
        <v>9</v>
      </c>
      <c r="J7532" s="504">
        <v>0</v>
      </c>
      <c r="K7532" s="504">
        <v>0</v>
      </c>
      <c r="L7532" s="504">
        <v>9</v>
      </c>
      <c r="M7532" s="504">
        <v>0</v>
      </c>
      <c r="N7532" s="504">
        <v>0</v>
      </c>
      <c r="O7532" s="505">
        <v>0</v>
      </c>
    </row>
    <row r="7533" spans="1:15" x14ac:dyDescent="0.35">
      <c r="A7533" s="500" t="s">
        <v>1626</v>
      </c>
      <c r="B7533" s="501">
        <v>5125</v>
      </c>
      <c r="C7533" s="501" t="s">
        <v>1094</v>
      </c>
      <c r="D7533" s="501" t="s">
        <v>3380</v>
      </c>
      <c r="E7533" s="501" t="s">
        <v>3381</v>
      </c>
      <c r="F7533" s="501" t="s">
        <v>892</v>
      </c>
      <c r="G7533" s="501" t="s">
        <v>893</v>
      </c>
      <c r="H7533" s="501" t="s">
        <v>9457</v>
      </c>
      <c r="I7533" s="501">
        <v>108</v>
      </c>
      <c r="J7533" s="501">
        <v>81</v>
      </c>
      <c r="K7533" s="501">
        <v>0</v>
      </c>
      <c r="L7533" s="501">
        <v>0</v>
      </c>
      <c r="M7533" s="501">
        <v>27</v>
      </c>
      <c r="N7533" s="501">
        <v>0</v>
      </c>
      <c r="O7533" s="506">
        <v>0</v>
      </c>
    </row>
    <row r="7534" spans="1:15" x14ac:dyDescent="0.35">
      <c r="A7534" s="503" t="s">
        <v>1174</v>
      </c>
      <c r="B7534" s="504">
        <v>4784</v>
      </c>
      <c r="C7534" s="504" t="s">
        <v>1089</v>
      </c>
      <c r="D7534" s="504" t="s">
        <v>3392</v>
      </c>
      <c r="E7534" s="504" t="s">
        <v>3381</v>
      </c>
      <c r="F7534" s="504" t="s">
        <v>892</v>
      </c>
      <c r="G7534" s="504" t="s">
        <v>893</v>
      </c>
      <c r="H7534" s="504" t="s">
        <v>9458</v>
      </c>
      <c r="I7534" s="504">
        <v>28</v>
      </c>
      <c r="J7534" s="504">
        <v>0</v>
      </c>
      <c r="K7534" s="504">
        <v>0</v>
      </c>
      <c r="L7534" s="504">
        <v>28</v>
      </c>
      <c r="M7534" s="504">
        <v>0</v>
      </c>
      <c r="N7534" s="504">
        <v>0</v>
      </c>
      <c r="O7534" s="505">
        <v>0</v>
      </c>
    </row>
    <row r="7535" spans="1:15" x14ac:dyDescent="0.35">
      <c r="A7535" s="500" t="s">
        <v>1629</v>
      </c>
      <c r="B7535" s="501" t="s">
        <v>3176</v>
      </c>
      <c r="C7535" s="501" t="s">
        <v>1094</v>
      </c>
      <c r="D7535" s="501" t="s">
        <v>3380</v>
      </c>
      <c r="E7535" s="501" t="s">
        <v>3381</v>
      </c>
      <c r="F7535" s="501" t="s">
        <v>892</v>
      </c>
      <c r="G7535" s="501" t="s">
        <v>893</v>
      </c>
      <c r="H7535" s="501" t="s">
        <v>9459</v>
      </c>
      <c r="I7535" s="501">
        <v>25</v>
      </c>
      <c r="J7535" s="501">
        <v>25</v>
      </c>
      <c r="K7535" s="501">
        <v>0</v>
      </c>
      <c r="L7535" s="501">
        <v>0</v>
      </c>
      <c r="M7535" s="501">
        <v>0</v>
      </c>
      <c r="N7535" s="501">
        <v>0</v>
      </c>
      <c r="O7535" s="506">
        <v>0</v>
      </c>
    </row>
    <row r="7536" spans="1:15" x14ac:dyDescent="0.35">
      <c r="A7536" s="503" t="s">
        <v>14208</v>
      </c>
      <c r="B7536" s="504">
        <v>4803</v>
      </c>
      <c r="C7536" s="504" t="s">
        <v>1094</v>
      </c>
      <c r="D7536" s="504" t="s">
        <v>3380</v>
      </c>
      <c r="E7536" s="504" t="s">
        <v>3381</v>
      </c>
      <c r="F7536" s="504" t="s">
        <v>892</v>
      </c>
      <c r="G7536" s="504" t="s">
        <v>893</v>
      </c>
      <c r="H7536" s="504" t="s">
        <v>15086</v>
      </c>
      <c r="I7536" s="504">
        <v>8</v>
      </c>
      <c r="J7536" s="504">
        <v>0</v>
      </c>
      <c r="K7536" s="504">
        <v>0</v>
      </c>
      <c r="L7536" s="504">
        <v>8</v>
      </c>
      <c r="M7536" s="504">
        <v>0</v>
      </c>
      <c r="N7536" s="504">
        <v>0</v>
      </c>
      <c r="O7536" s="505">
        <v>0</v>
      </c>
    </row>
    <row r="7537" spans="1:15" x14ac:dyDescent="0.35">
      <c r="A7537" s="500" t="s">
        <v>1186</v>
      </c>
      <c r="B7537" s="501">
        <v>4661</v>
      </c>
      <c r="C7537" s="501" t="s">
        <v>1089</v>
      </c>
      <c r="D7537" s="501" t="s">
        <v>3392</v>
      </c>
      <c r="E7537" s="501" t="s">
        <v>3381</v>
      </c>
      <c r="F7537" s="501" t="s">
        <v>892</v>
      </c>
      <c r="G7537" s="501" t="s">
        <v>893</v>
      </c>
      <c r="H7537" s="501" t="s">
        <v>15087</v>
      </c>
      <c r="I7537" s="501">
        <v>2</v>
      </c>
      <c r="J7537" s="501">
        <v>0</v>
      </c>
      <c r="K7537" s="501">
        <v>0</v>
      </c>
      <c r="L7537" s="501">
        <v>2</v>
      </c>
      <c r="M7537" s="501">
        <v>0</v>
      </c>
      <c r="N7537" s="501">
        <v>0</v>
      </c>
      <c r="O7537" s="506">
        <v>0</v>
      </c>
    </row>
    <row r="7538" spans="1:15" x14ac:dyDescent="0.35">
      <c r="A7538" s="503" t="s">
        <v>1105</v>
      </c>
      <c r="B7538" s="504">
        <v>4668</v>
      </c>
      <c r="C7538" s="504" t="s">
        <v>1094</v>
      </c>
      <c r="D7538" s="504" t="s">
        <v>3380</v>
      </c>
      <c r="E7538" s="504" t="s">
        <v>3381</v>
      </c>
      <c r="F7538" s="504" t="s">
        <v>892</v>
      </c>
      <c r="G7538" s="504" t="s">
        <v>893</v>
      </c>
      <c r="H7538" s="504" t="s">
        <v>9460</v>
      </c>
      <c r="I7538" s="504">
        <v>17</v>
      </c>
      <c r="J7538" s="504">
        <v>0</v>
      </c>
      <c r="K7538" s="504">
        <v>0</v>
      </c>
      <c r="L7538" s="504">
        <v>0</v>
      </c>
      <c r="M7538" s="504">
        <v>0</v>
      </c>
      <c r="N7538" s="504">
        <v>0</v>
      </c>
      <c r="O7538" s="505">
        <v>17</v>
      </c>
    </row>
    <row r="7539" spans="1:15" x14ac:dyDescent="0.35">
      <c r="A7539" s="500" t="s">
        <v>1107</v>
      </c>
      <c r="B7539" s="501" t="s">
        <v>3109</v>
      </c>
      <c r="C7539" s="501" t="s">
        <v>1094</v>
      </c>
      <c r="D7539" s="501" t="s">
        <v>3380</v>
      </c>
      <c r="E7539" s="501" t="s">
        <v>3381</v>
      </c>
      <c r="F7539" s="501" t="s">
        <v>892</v>
      </c>
      <c r="G7539" s="501" t="s">
        <v>893</v>
      </c>
      <c r="H7539" s="501" t="s">
        <v>9461</v>
      </c>
      <c r="I7539" s="501">
        <v>1423</v>
      </c>
      <c r="J7539" s="501">
        <v>1334</v>
      </c>
      <c r="K7539" s="501">
        <v>0</v>
      </c>
      <c r="L7539" s="501">
        <v>18</v>
      </c>
      <c r="M7539" s="501">
        <v>56</v>
      </c>
      <c r="N7539" s="501">
        <v>13</v>
      </c>
      <c r="O7539" s="506">
        <v>15</v>
      </c>
    </row>
    <row r="7540" spans="1:15" x14ac:dyDescent="0.35">
      <c r="A7540" s="503" t="s">
        <v>1109</v>
      </c>
      <c r="B7540" s="504" t="s">
        <v>2959</v>
      </c>
      <c r="C7540" s="504" t="s">
        <v>1094</v>
      </c>
      <c r="D7540" s="504" t="s">
        <v>3380</v>
      </c>
      <c r="E7540" s="504" t="s">
        <v>3381</v>
      </c>
      <c r="F7540" s="504" t="s">
        <v>892</v>
      </c>
      <c r="G7540" s="504" t="s">
        <v>893</v>
      </c>
      <c r="H7540" s="504" t="s">
        <v>9462</v>
      </c>
      <c r="I7540" s="504">
        <v>50</v>
      </c>
      <c r="J7540" s="504">
        <v>0</v>
      </c>
      <c r="K7540" s="504">
        <v>0</v>
      </c>
      <c r="L7540" s="504">
        <v>0</v>
      </c>
      <c r="M7540" s="504">
        <v>50</v>
      </c>
      <c r="N7540" s="504">
        <v>0</v>
      </c>
      <c r="O7540" s="505">
        <v>0</v>
      </c>
    </row>
    <row r="7541" spans="1:15" x14ac:dyDescent="0.35">
      <c r="A7541" s="500" t="s">
        <v>1636</v>
      </c>
      <c r="B7541" s="501" t="s">
        <v>2480</v>
      </c>
      <c r="C7541" s="501" t="s">
        <v>1089</v>
      </c>
      <c r="D7541" s="501" t="s">
        <v>3392</v>
      </c>
      <c r="E7541" s="501" t="s">
        <v>3381</v>
      </c>
      <c r="F7541" s="501" t="s">
        <v>892</v>
      </c>
      <c r="G7541" s="501" t="s">
        <v>893</v>
      </c>
      <c r="H7541" s="501" t="s">
        <v>9463</v>
      </c>
      <c r="I7541" s="501">
        <v>24</v>
      </c>
      <c r="J7541" s="501">
        <v>0</v>
      </c>
      <c r="K7541" s="501">
        <v>0</v>
      </c>
      <c r="L7541" s="501">
        <v>0</v>
      </c>
      <c r="M7541" s="501">
        <v>24</v>
      </c>
      <c r="N7541" s="501">
        <v>0</v>
      </c>
      <c r="O7541" s="506">
        <v>0</v>
      </c>
    </row>
    <row r="7542" spans="1:15" x14ac:dyDescent="0.35">
      <c r="A7542" s="503" t="s">
        <v>1639</v>
      </c>
      <c r="B7542" s="504">
        <v>4846</v>
      </c>
      <c r="C7542" s="504" t="s">
        <v>1094</v>
      </c>
      <c r="D7542" s="504" t="s">
        <v>3380</v>
      </c>
      <c r="E7542" s="504" t="s">
        <v>3381</v>
      </c>
      <c r="F7542" s="504" t="s">
        <v>892</v>
      </c>
      <c r="G7542" s="504" t="s">
        <v>893</v>
      </c>
      <c r="H7542" s="504" t="s">
        <v>9464</v>
      </c>
      <c r="I7542" s="504">
        <v>1200</v>
      </c>
      <c r="J7542" s="504">
        <v>1025</v>
      </c>
      <c r="K7542" s="504">
        <v>0</v>
      </c>
      <c r="L7542" s="504">
        <v>66</v>
      </c>
      <c r="M7542" s="504">
        <v>62</v>
      </c>
      <c r="N7542" s="504">
        <v>0</v>
      </c>
      <c r="O7542" s="505">
        <v>47</v>
      </c>
    </row>
    <row r="7543" spans="1:15" x14ac:dyDescent="0.35">
      <c r="A7543" s="500" t="s">
        <v>1645</v>
      </c>
      <c r="B7543" s="501" t="s">
        <v>3239</v>
      </c>
      <c r="C7543" s="501" t="s">
        <v>1094</v>
      </c>
      <c r="D7543" s="501" t="s">
        <v>3380</v>
      </c>
      <c r="E7543" s="501" t="s">
        <v>3381</v>
      </c>
      <c r="F7543" s="501" t="s">
        <v>892</v>
      </c>
      <c r="G7543" s="501" t="s">
        <v>893</v>
      </c>
      <c r="H7543" s="501" t="s">
        <v>9465</v>
      </c>
      <c r="I7543" s="501">
        <v>38</v>
      </c>
      <c r="J7543" s="501">
        <v>7</v>
      </c>
      <c r="K7543" s="501">
        <v>0</v>
      </c>
      <c r="L7543" s="501">
        <v>31</v>
      </c>
      <c r="M7543" s="501">
        <v>0</v>
      </c>
      <c r="N7543" s="501">
        <v>0</v>
      </c>
      <c r="O7543" s="506">
        <v>0</v>
      </c>
    </row>
    <row r="7544" spans="1:15" x14ac:dyDescent="0.35">
      <c r="A7544" s="503" t="s">
        <v>1122</v>
      </c>
      <c r="B7544" s="504" t="s">
        <v>2994</v>
      </c>
      <c r="C7544" s="504" t="s">
        <v>1094</v>
      </c>
      <c r="D7544" s="504" t="s">
        <v>3380</v>
      </c>
      <c r="E7544" s="504" t="s">
        <v>3381</v>
      </c>
      <c r="F7544" s="504" t="s">
        <v>892</v>
      </c>
      <c r="G7544" s="504" t="s">
        <v>893</v>
      </c>
      <c r="H7544" s="504" t="s">
        <v>9466</v>
      </c>
      <c r="I7544" s="504">
        <v>424</v>
      </c>
      <c r="J7544" s="504">
        <v>284</v>
      </c>
      <c r="K7544" s="504">
        <v>0</v>
      </c>
      <c r="L7544" s="504">
        <v>38</v>
      </c>
      <c r="M7544" s="504">
        <v>78</v>
      </c>
      <c r="N7544" s="504">
        <v>0</v>
      </c>
      <c r="O7544" s="505">
        <v>24</v>
      </c>
    </row>
    <row r="7545" spans="1:15" x14ac:dyDescent="0.35">
      <c r="A7545" s="500" t="s">
        <v>1225</v>
      </c>
      <c r="B7545" s="501" t="s">
        <v>3315</v>
      </c>
      <c r="C7545" s="501" t="s">
        <v>1094</v>
      </c>
      <c r="D7545" s="501" t="s">
        <v>3380</v>
      </c>
      <c r="E7545" s="501" t="s">
        <v>3381</v>
      </c>
      <c r="F7545" s="501" t="s">
        <v>892</v>
      </c>
      <c r="G7545" s="501" t="s">
        <v>893</v>
      </c>
      <c r="H7545" s="501" t="s">
        <v>9467</v>
      </c>
      <c r="I7545" s="501">
        <v>60</v>
      </c>
      <c r="J7545" s="501">
        <v>1</v>
      </c>
      <c r="K7545" s="501">
        <v>0</v>
      </c>
      <c r="L7545" s="501">
        <v>59</v>
      </c>
      <c r="M7545" s="501">
        <v>0</v>
      </c>
      <c r="N7545" s="501">
        <v>0</v>
      </c>
      <c r="O7545" s="506">
        <v>0</v>
      </c>
    </row>
    <row r="7546" spans="1:15" x14ac:dyDescent="0.35">
      <c r="A7546" s="503" t="s">
        <v>1648</v>
      </c>
      <c r="B7546" s="504" t="s">
        <v>2496</v>
      </c>
      <c r="C7546" s="504" t="s">
        <v>1094</v>
      </c>
      <c r="D7546" s="504" t="s">
        <v>3380</v>
      </c>
      <c r="E7546" s="504" t="s">
        <v>3381</v>
      </c>
      <c r="F7546" s="504" t="s">
        <v>892</v>
      </c>
      <c r="G7546" s="504" t="s">
        <v>893</v>
      </c>
      <c r="H7546" s="504" t="s">
        <v>9468</v>
      </c>
      <c r="I7546" s="504">
        <v>32</v>
      </c>
      <c r="J7546" s="504">
        <v>6</v>
      </c>
      <c r="K7546" s="504">
        <v>0</v>
      </c>
      <c r="L7546" s="504">
        <v>0</v>
      </c>
      <c r="M7546" s="504">
        <v>10</v>
      </c>
      <c r="N7546" s="504">
        <v>0</v>
      </c>
      <c r="O7546" s="505">
        <v>16</v>
      </c>
    </row>
    <row r="7547" spans="1:15" x14ac:dyDescent="0.35">
      <c r="A7547" s="500" t="s">
        <v>1126</v>
      </c>
      <c r="B7547" s="501" t="s">
        <v>2974</v>
      </c>
      <c r="C7547" s="501" t="s">
        <v>1094</v>
      </c>
      <c r="D7547" s="501" t="s">
        <v>3380</v>
      </c>
      <c r="E7547" s="501" t="s">
        <v>3381</v>
      </c>
      <c r="F7547" s="501" t="s">
        <v>892</v>
      </c>
      <c r="G7547" s="501" t="s">
        <v>893</v>
      </c>
      <c r="H7547" s="501" t="s">
        <v>9469</v>
      </c>
      <c r="I7547" s="501">
        <v>7</v>
      </c>
      <c r="J7547" s="501">
        <v>0</v>
      </c>
      <c r="K7547" s="501">
        <v>0</v>
      </c>
      <c r="L7547" s="501">
        <v>7</v>
      </c>
      <c r="M7547" s="501">
        <v>0</v>
      </c>
      <c r="N7547" s="501">
        <v>0</v>
      </c>
      <c r="O7547" s="506">
        <v>0</v>
      </c>
    </row>
    <row r="7548" spans="1:15" x14ac:dyDescent="0.35">
      <c r="A7548" s="503" t="s">
        <v>1653</v>
      </c>
      <c r="B7548" s="504">
        <v>4786</v>
      </c>
      <c r="C7548" s="504" t="s">
        <v>1089</v>
      </c>
      <c r="D7548" s="504" t="s">
        <v>3392</v>
      </c>
      <c r="E7548" s="504" t="s">
        <v>3381</v>
      </c>
      <c r="F7548" s="504" t="s">
        <v>892</v>
      </c>
      <c r="G7548" s="504" t="s">
        <v>893</v>
      </c>
      <c r="H7548" s="504" t="s">
        <v>9470</v>
      </c>
      <c r="I7548" s="504">
        <v>441</v>
      </c>
      <c r="J7548" s="504">
        <v>157</v>
      </c>
      <c r="K7548" s="504">
        <v>0</v>
      </c>
      <c r="L7548" s="504">
        <v>11</v>
      </c>
      <c r="M7548" s="504">
        <v>273</v>
      </c>
      <c r="N7548" s="504">
        <v>0</v>
      </c>
      <c r="O7548" s="505">
        <v>0</v>
      </c>
    </row>
    <row r="7549" spans="1:15" x14ac:dyDescent="0.35">
      <c r="A7549" s="500" t="s">
        <v>1656</v>
      </c>
      <c r="B7549" s="501">
        <v>4756</v>
      </c>
      <c r="C7549" s="501" t="s">
        <v>1089</v>
      </c>
      <c r="D7549" s="501" t="s">
        <v>3392</v>
      </c>
      <c r="E7549" s="501" t="s">
        <v>3381</v>
      </c>
      <c r="F7549" s="501" t="s">
        <v>892</v>
      </c>
      <c r="G7549" s="501" t="s">
        <v>893</v>
      </c>
      <c r="H7549" s="501" t="s">
        <v>9471</v>
      </c>
      <c r="I7549" s="501">
        <v>24</v>
      </c>
      <c r="J7549" s="501">
        <v>17</v>
      </c>
      <c r="K7549" s="501">
        <v>0</v>
      </c>
      <c r="L7549" s="501">
        <v>7</v>
      </c>
      <c r="M7549" s="501">
        <v>0</v>
      </c>
      <c r="N7549" s="501">
        <v>0</v>
      </c>
      <c r="O7549" s="506">
        <v>0</v>
      </c>
    </row>
    <row r="7550" spans="1:15" x14ac:dyDescent="0.35">
      <c r="A7550" s="503" t="s">
        <v>1253</v>
      </c>
      <c r="B7550" s="504" t="s">
        <v>3232</v>
      </c>
      <c r="C7550" s="504" t="s">
        <v>1094</v>
      </c>
      <c r="D7550" s="504" t="s">
        <v>3380</v>
      </c>
      <c r="E7550" s="504" t="s">
        <v>3381</v>
      </c>
      <c r="F7550" s="504" t="s">
        <v>892</v>
      </c>
      <c r="G7550" s="504" t="s">
        <v>893</v>
      </c>
      <c r="H7550" s="504" t="s">
        <v>9472</v>
      </c>
      <c r="I7550" s="504">
        <v>919</v>
      </c>
      <c r="J7550" s="504">
        <v>761</v>
      </c>
      <c r="K7550" s="504">
        <v>0</v>
      </c>
      <c r="L7550" s="504">
        <v>23</v>
      </c>
      <c r="M7550" s="504">
        <v>135</v>
      </c>
      <c r="N7550" s="504">
        <v>1</v>
      </c>
      <c r="O7550" s="505">
        <v>0</v>
      </c>
    </row>
    <row r="7551" spans="1:15" x14ac:dyDescent="0.35">
      <c r="A7551" s="500" t="s">
        <v>1368</v>
      </c>
      <c r="B7551" s="501" t="s">
        <v>3220</v>
      </c>
      <c r="C7551" s="501" t="s">
        <v>1094</v>
      </c>
      <c r="D7551" s="501" t="s">
        <v>3380</v>
      </c>
      <c r="E7551" s="501" t="s">
        <v>3381</v>
      </c>
      <c r="F7551" s="501" t="s">
        <v>892</v>
      </c>
      <c r="G7551" s="501" t="s">
        <v>893</v>
      </c>
      <c r="H7551" s="501" t="s">
        <v>9473</v>
      </c>
      <c r="I7551" s="501">
        <v>7</v>
      </c>
      <c r="J7551" s="501">
        <v>7</v>
      </c>
      <c r="K7551" s="501">
        <v>0</v>
      </c>
      <c r="L7551" s="501">
        <v>0</v>
      </c>
      <c r="M7551" s="501">
        <v>0</v>
      </c>
      <c r="N7551" s="501">
        <v>0</v>
      </c>
      <c r="O7551" s="506">
        <v>0</v>
      </c>
    </row>
    <row r="7552" spans="1:15" x14ac:dyDescent="0.35">
      <c r="A7552" s="503" t="s">
        <v>1661</v>
      </c>
      <c r="B7552" s="504" t="s">
        <v>3345</v>
      </c>
      <c r="C7552" s="504" t="s">
        <v>1089</v>
      </c>
      <c r="D7552" s="504" t="s">
        <v>3392</v>
      </c>
      <c r="E7552" s="504" t="s">
        <v>3381</v>
      </c>
      <c r="F7552" s="504" t="s">
        <v>892</v>
      </c>
      <c r="G7552" s="504" t="s">
        <v>893</v>
      </c>
      <c r="H7552" s="504" t="s">
        <v>9474</v>
      </c>
      <c r="I7552" s="504">
        <v>52</v>
      </c>
      <c r="J7552" s="504">
        <v>0</v>
      </c>
      <c r="K7552" s="504">
        <v>0</v>
      </c>
      <c r="L7552" s="504">
        <v>52</v>
      </c>
      <c r="M7552" s="504">
        <v>0</v>
      </c>
      <c r="N7552" s="504">
        <v>0</v>
      </c>
      <c r="O7552" s="505">
        <v>0</v>
      </c>
    </row>
    <row r="7553" spans="1:15" x14ac:dyDescent="0.35">
      <c r="A7553" s="500" t="s">
        <v>1385</v>
      </c>
      <c r="B7553" s="501" t="s">
        <v>3249</v>
      </c>
      <c r="C7553" s="501" t="s">
        <v>1094</v>
      </c>
      <c r="D7553" s="501" t="s">
        <v>3380</v>
      </c>
      <c r="E7553" s="501" t="s">
        <v>3381</v>
      </c>
      <c r="F7553" s="501" t="s">
        <v>894</v>
      </c>
      <c r="G7553" s="501" t="s">
        <v>895</v>
      </c>
      <c r="H7553" s="501" t="s">
        <v>9475</v>
      </c>
      <c r="I7553" s="501">
        <v>34</v>
      </c>
      <c r="J7553" s="501">
        <v>34</v>
      </c>
      <c r="K7553" s="501">
        <v>0</v>
      </c>
      <c r="L7553" s="501">
        <v>0</v>
      </c>
      <c r="M7553" s="501">
        <v>0</v>
      </c>
      <c r="N7553" s="501">
        <v>0</v>
      </c>
      <c r="O7553" s="506">
        <v>0</v>
      </c>
    </row>
    <row r="7554" spans="1:15" x14ac:dyDescent="0.35">
      <c r="A7554" s="503" t="s">
        <v>1091</v>
      </c>
      <c r="B7554" s="504" t="s">
        <v>3288</v>
      </c>
      <c r="C7554" s="504" t="s">
        <v>1089</v>
      </c>
      <c r="D7554" s="504" t="s">
        <v>3392</v>
      </c>
      <c r="E7554" s="504" t="s">
        <v>3381</v>
      </c>
      <c r="F7554" s="504" t="s">
        <v>894</v>
      </c>
      <c r="G7554" s="504" t="s">
        <v>895</v>
      </c>
      <c r="H7554" s="504" t="s">
        <v>9476</v>
      </c>
      <c r="I7554" s="504">
        <v>13</v>
      </c>
      <c r="J7554" s="504">
        <v>0</v>
      </c>
      <c r="K7554" s="504">
        <v>0</v>
      </c>
      <c r="L7554" s="504">
        <v>13</v>
      </c>
      <c r="M7554" s="504">
        <v>0</v>
      </c>
      <c r="N7554" s="504">
        <v>0</v>
      </c>
      <c r="O7554" s="505">
        <v>0</v>
      </c>
    </row>
    <row r="7555" spans="1:15" x14ac:dyDescent="0.35">
      <c r="A7555" s="500" t="s">
        <v>14127</v>
      </c>
      <c r="B7555" s="501" t="s">
        <v>14126</v>
      </c>
      <c r="C7555" s="501" t="s">
        <v>1094</v>
      </c>
      <c r="D7555" s="501" t="s">
        <v>3380</v>
      </c>
      <c r="E7555" s="501" t="s">
        <v>3381</v>
      </c>
      <c r="F7555" s="501" t="s">
        <v>894</v>
      </c>
      <c r="G7555" s="501" t="s">
        <v>895</v>
      </c>
      <c r="H7555" s="501" t="s">
        <v>15088</v>
      </c>
      <c r="I7555" s="501">
        <v>1066</v>
      </c>
      <c r="J7555" s="501">
        <v>985</v>
      </c>
      <c r="K7555" s="501">
        <v>0</v>
      </c>
      <c r="L7555" s="501">
        <v>6</v>
      </c>
      <c r="M7555" s="501">
        <v>51</v>
      </c>
      <c r="N7555" s="501">
        <v>0</v>
      </c>
      <c r="O7555" s="506">
        <v>24</v>
      </c>
    </row>
    <row r="7556" spans="1:15" x14ac:dyDescent="0.35">
      <c r="A7556" s="503" t="s">
        <v>1093</v>
      </c>
      <c r="B7556" s="504" t="s">
        <v>3248</v>
      </c>
      <c r="C7556" s="504" t="s">
        <v>1094</v>
      </c>
      <c r="D7556" s="504" t="s">
        <v>3380</v>
      </c>
      <c r="E7556" s="504" t="s">
        <v>3381</v>
      </c>
      <c r="F7556" s="504" t="s">
        <v>894</v>
      </c>
      <c r="G7556" s="504" t="s">
        <v>895</v>
      </c>
      <c r="H7556" s="504" t="s">
        <v>9477</v>
      </c>
      <c r="I7556" s="504">
        <v>4</v>
      </c>
      <c r="J7556" s="504">
        <v>0</v>
      </c>
      <c r="K7556" s="504">
        <v>0</v>
      </c>
      <c r="L7556" s="504">
        <v>0</v>
      </c>
      <c r="M7556" s="504">
        <v>0</v>
      </c>
      <c r="N7556" s="504">
        <v>0</v>
      </c>
      <c r="O7556" s="505">
        <v>4</v>
      </c>
    </row>
    <row r="7557" spans="1:15" x14ac:dyDescent="0.35">
      <c r="A7557" s="500" t="s">
        <v>1096</v>
      </c>
      <c r="B7557" s="501" t="s">
        <v>3326</v>
      </c>
      <c r="C7557" s="501" t="s">
        <v>1094</v>
      </c>
      <c r="D7557" s="501" t="s">
        <v>3380</v>
      </c>
      <c r="E7557" s="501" t="s">
        <v>3381</v>
      </c>
      <c r="F7557" s="501" t="s">
        <v>894</v>
      </c>
      <c r="G7557" s="501" t="s">
        <v>895</v>
      </c>
      <c r="H7557" s="501" t="s">
        <v>9478</v>
      </c>
      <c r="I7557" s="501">
        <v>136</v>
      </c>
      <c r="J7557" s="501">
        <v>0</v>
      </c>
      <c r="K7557" s="501">
        <v>0</v>
      </c>
      <c r="L7557" s="501">
        <v>0</v>
      </c>
      <c r="M7557" s="501">
        <v>130</v>
      </c>
      <c r="N7557" s="501">
        <v>0</v>
      </c>
      <c r="O7557" s="506">
        <v>6</v>
      </c>
    </row>
    <row r="7558" spans="1:15" x14ac:dyDescent="0.35">
      <c r="A7558" s="503" t="s">
        <v>1098</v>
      </c>
      <c r="B7558" s="504">
        <v>4691</v>
      </c>
      <c r="C7558" s="504" t="s">
        <v>1094</v>
      </c>
      <c r="D7558" s="504" t="s">
        <v>3380</v>
      </c>
      <c r="E7558" s="504" t="s">
        <v>3381</v>
      </c>
      <c r="F7558" s="504" t="s">
        <v>894</v>
      </c>
      <c r="G7558" s="504" t="s">
        <v>895</v>
      </c>
      <c r="H7558" s="504" t="s">
        <v>9479</v>
      </c>
      <c r="I7558" s="504">
        <v>237</v>
      </c>
      <c r="J7558" s="504">
        <v>210</v>
      </c>
      <c r="K7558" s="504">
        <v>0</v>
      </c>
      <c r="L7558" s="504">
        <v>0</v>
      </c>
      <c r="M7558" s="504">
        <v>0</v>
      </c>
      <c r="N7558" s="504">
        <v>0</v>
      </c>
      <c r="O7558" s="505">
        <v>27</v>
      </c>
    </row>
    <row r="7559" spans="1:15" x14ac:dyDescent="0.35">
      <c r="A7559" s="500" t="s">
        <v>11363</v>
      </c>
      <c r="B7559" s="501">
        <v>4718</v>
      </c>
      <c r="C7559" s="501" t="s">
        <v>1094</v>
      </c>
      <c r="D7559" s="501" t="s">
        <v>3380</v>
      </c>
      <c r="E7559" s="501" t="s">
        <v>3381</v>
      </c>
      <c r="F7559" s="501" t="s">
        <v>894</v>
      </c>
      <c r="G7559" s="501" t="s">
        <v>895</v>
      </c>
      <c r="H7559" s="501" t="s">
        <v>11589</v>
      </c>
      <c r="I7559" s="501">
        <v>16</v>
      </c>
      <c r="J7559" s="501">
        <v>0</v>
      </c>
      <c r="K7559" s="501">
        <v>0</v>
      </c>
      <c r="L7559" s="501">
        <v>16</v>
      </c>
      <c r="M7559" s="501">
        <v>0</v>
      </c>
      <c r="N7559" s="501">
        <v>0</v>
      </c>
      <c r="O7559" s="506">
        <v>0</v>
      </c>
    </row>
    <row r="7560" spans="1:15" x14ac:dyDescent="0.35">
      <c r="A7560" s="503" t="s">
        <v>1277</v>
      </c>
      <c r="B7560" s="504" t="s">
        <v>3056</v>
      </c>
      <c r="C7560" s="504" t="s">
        <v>1089</v>
      </c>
      <c r="D7560" s="504" t="s">
        <v>3392</v>
      </c>
      <c r="E7560" s="504" t="s">
        <v>3381</v>
      </c>
      <c r="F7560" s="504" t="s">
        <v>894</v>
      </c>
      <c r="G7560" s="504" t="s">
        <v>895</v>
      </c>
      <c r="H7560" s="504" t="s">
        <v>9480</v>
      </c>
      <c r="I7560" s="504">
        <v>4</v>
      </c>
      <c r="J7560" s="504">
        <v>0</v>
      </c>
      <c r="K7560" s="504">
        <v>0</v>
      </c>
      <c r="L7560" s="504">
        <v>4</v>
      </c>
      <c r="M7560" s="504">
        <v>0</v>
      </c>
      <c r="N7560" s="504">
        <v>0</v>
      </c>
      <c r="O7560" s="505">
        <v>0</v>
      </c>
    </row>
    <row r="7561" spans="1:15" x14ac:dyDescent="0.35">
      <c r="A7561" s="500" t="s">
        <v>1100</v>
      </c>
      <c r="B7561" s="501">
        <v>4865</v>
      </c>
      <c r="C7561" s="501" t="s">
        <v>1094</v>
      </c>
      <c r="D7561" s="501" t="s">
        <v>3380</v>
      </c>
      <c r="E7561" s="501" t="s">
        <v>3381</v>
      </c>
      <c r="F7561" s="501" t="s">
        <v>894</v>
      </c>
      <c r="G7561" s="501" t="s">
        <v>895</v>
      </c>
      <c r="H7561" s="501" t="s">
        <v>9481</v>
      </c>
      <c r="I7561" s="501">
        <v>247</v>
      </c>
      <c r="J7561" s="501">
        <v>116</v>
      </c>
      <c r="K7561" s="501">
        <v>0</v>
      </c>
      <c r="L7561" s="501">
        <v>0</v>
      </c>
      <c r="M7561" s="501">
        <v>79</v>
      </c>
      <c r="N7561" s="501">
        <v>0</v>
      </c>
      <c r="O7561" s="506">
        <v>52</v>
      </c>
    </row>
    <row r="7562" spans="1:15" x14ac:dyDescent="0.35">
      <c r="A7562" s="503" t="s">
        <v>14208</v>
      </c>
      <c r="B7562" s="504">
        <v>4803</v>
      </c>
      <c r="C7562" s="504" t="s">
        <v>1094</v>
      </c>
      <c r="D7562" s="504" t="s">
        <v>3380</v>
      </c>
      <c r="E7562" s="504" t="s">
        <v>3381</v>
      </c>
      <c r="F7562" s="504" t="s">
        <v>894</v>
      </c>
      <c r="G7562" s="504" t="s">
        <v>895</v>
      </c>
      <c r="H7562" s="504" t="s">
        <v>15089</v>
      </c>
      <c r="I7562" s="504">
        <v>5</v>
      </c>
      <c r="J7562" s="504">
        <v>0</v>
      </c>
      <c r="K7562" s="504">
        <v>0</v>
      </c>
      <c r="L7562" s="504">
        <v>5</v>
      </c>
      <c r="M7562" s="504">
        <v>0</v>
      </c>
      <c r="N7562" s="504">
        <v>0</v>
      </c>
      <c r="O7562" s="505">
        <v>0</v>
      </c>
    </row>
    <row r="7563" spans="1:15" x14ac:dyDescent="0.35">
      <c r="A7563" s="500" t="s">
        <v>1185</v>
      </c>
      <c r="B7563" s="501" t="s">
        <v>3253</v>
      </c>
      <c r="C7563" s="501" t="s">
        <v>1094</v>
      </c>
      <c r="D7563" s="501" t="s">
        <v>3380</v>
      </c>
      <c r="E7563" s="501" t="s">
        <v>3381</v>
      </c>
      <c r="F7563" s="501" t="s">
        <v>894</v>
      </c>
      <c r="G7563" s="501" t="s">
        <v>895</v>
      </c>
      <c r="H7563" s="501" t="s">
        <v>9482</v>
      </c>
      <c r="I7563" s="501">
        <v>3</v>
      </c>
      <c r="J7563" s="501">
        <v>0</v>
      </c>
      <c r="K7563" s="501">
        <v>0</v>
      </c>
      <c r="L7563" s="501">
        <v>3</v>
      </c>
      <c r="M7563" s="501">
        <v>0</v>
      </c>
      <c r="N7563" s="501">
        <v>0</v>
      </c>
      <c r="O7563" s="506">
        <v>0</v>
      </c>
    </row>
    <row r="7564" spans="1:15" x14ac:dyDescent="0.35">
      <c r="A7564" s="503" t="s">
        <v>1843</v>
      </c>
      <c r="B7564" s="504" t="s">
        <v>2803</v>
      </c>
      <c r="C7564" s="504" t="s">
        <v>1089</v>
      </c>
      <c r="D7564" s="504" t="s">
        <v>3392</v>
      </c>
      <c r="E7564" s="504" t="s">
        <v>3381</v>
      </c>
      <c r="F7564" s="504" t="s">
        <v>894</v>
      </c>
      <c r="G7564" s="504" t="s">
        <v>895</v>
      </c>
      <c r="H7564" s="504" t="s">
        <v>9483</v>
      </c>
      <c r="I7564" s="504">
        <v>56</v>
      </c>
      <c r="J7564" s="504">
        <v>20</v>
      </c>
      <c r="K7564" s="504">
        <v>36</v>
      </c>
      <c r="L7564" s="504">
        <v>0</v>
      </c>
      <c r="M7564" s="504">
        <v>0</v>
      </c>
      <c r="N7564" s="504">
        <v>0</v>
      </c>
      <c r="O7564" s="505">
        <v>0</v>
      </c>
    </row>
    <row r="7565" spans="1:15" x14ac:dyDescent="0.35">
      <c r="A7565" s="500" t="s">
        <v>1105</v>
      </c>
      <c r="B7565" s="501">
        <v>4668</v>
      </c>
      <c r="C7565" s="501" t="s">
        <v>1094</v>
      </c>
      <c r="D7565" s="501" t="s">
        <v>3380</v>
      </c>
      <c r="E7565" s="501" t="s">
        <v>3381</v>
      </c>
      <c r="F7565" s="501" t="s">
        <v>894</v>
      </c>
      <c r="G7565" s="501" t="s">
        <v>895</v>
      </c>
      <c r="H7565" s="501" t="s">
        <v>9484</v>
      </c>
      <c r="I7565" s="501">
        <v>2</v>
      </c>
      <c r="J7565" s="501">
        <v>0</v>
      </c>
      <c r="K7565" s="501">
        <v>0</v>
      </c>
      <c r="L7565" s="501">
        <v>0</v>
      </c>
      <c r="M7565" s="501">
        <v>0</v>
      </c>
      <c r="N7565" s="501">
        <v>0</v>
      </c>
      <c r="O7565" s="506">
        <v>2</v>
      </c>
    </row>
    <row r="7566" spans="1:15" x14ac:dyDescent="0.35">
      <c r="A7566" s="503" t="s">
        <v>1188</v>
      </c>
      <c r="B7566" s="504">
        <v>4760</v>
      </c>
      <c r="C7566" s="504" t="s">
        <v>1089</v>
      </c>
      <c r="D7566" s="504" t="s">
        <v>3392</v>
      </c>
      <c r="E7566" s="504" t="s">
        <v>3381</v>
      </c>
      <c r="F7566" s="504" t="s">
        <v>894</v>
      </c>
      <c r="G7566" s="504" t="s">
        <v>895</v>
      </c>
      <c r="H7566" s="504" t="s">
        <v>11751</v>
      </c>
      <c r="I7566" s="504">
        <v>19</v>
      </c>
      <c r="J7566" s="504">
        <v>0</v>
      </c>
      <c r="K7566" s="504">
        <v>0</v>
      </c>
      <c r="L7566" s="504">
        <v>19</v>
      </c>
      <c r="M7566" s="504">
        <v>0</v>
      </c>
      <c r="N7566" s="504">
        <v>0</v>
      </c>
      <c r="O7566" s="505">
        <v>0</v>
      </c>
    </row>
    <row r="7567" spans="1:15" x14ac:dyDescent="0.35">
      <c r="A7567" s="500" t="s">
        <v>1107</v>
      </c>
      <c r="B7567" s="501" t="s">
        <v>3109</v>
      </c>
      <c r="C7567" s="501" t="s">
        <v>1094</v>
      </c>
      <c r="D7567" s="501" t="s">
        <v>3380</v>
      </c>
      <c r="E7567" s="501" t="s">
        <v>3381</v>
      </c>
      <c r="F7567" s="501" t="s">
        <v>894</v>
      </c>
      <c r="G7567" s="501" t="s">
        <v>895</v>
      </c>
      <c r="H7567" s="501" t="s">
        <v>9485</v>
      </c>
      <c r="I7567" s="501">
        <v>278</v>
      </c>
      <c r="J7567" s="501">
        <v>0</v>
      </c>
      <c r="K7567" s="501">
        <v>0</v>
      </c>
      <c r="L7567" s="501">
        <v>203</v>
      </c>
      <c r="M7567" s="501">
        <v>0</v>
      </c>
      <c r="N7567" s="501">
        <v>0</v>
      </c>
      <c r="O7567" s="506">
        <v>75</v>
      </c>
    </row>
    <row r="7568" spans="1:15" x14ac:dyDescent="0.35">
      <c r="A7568" s="503" t="s">
        <v>1109</v>
      </c>
      <c r="B7568" s="504" t="s">
        <v>2959</v>
      </c>
      <c r="C7568" s="504" t="s">
        <v>1094</v>
      </c>
      <c r="D7568" s="504" t="s">
        <v>3380</v>
      </c>
      <c r="E7568" s="504" t="s">
        <v>3381</v>
      </c>
      <c r="F7568" s="504" t="s">
        <v>894</v>
      </c>
      <c r="G7568" s="504" t="s">
        <v>895</v>
      </c>
      <c r="H7568" s="504" t="s">
        <v>9486</v>
      </c>
      <c r="I7568" s="504">
        <v>172</v>
      </c>
      <c r="J7568" s="504">
        <v>0</v>
      </c>
      <c r="K7568" s="504">
        <v>0</v>
      </c>
      <c r="L7568" s="504">
        <v>0</v>
      </c>
      <c r="M7568" s="504">
        <v>172</v>
      </c>
      <c r="N7568" s="504">
        <v>0</v>
      </c>
      <c r="O7568" s="505">
        <v>0</v>
      </c>
    </row>
    <row r="7569" spans="1:15" x14ac:dyDescent="0.35">
      <c r="A7569" s="500" t="s">
        <v>1189</v>
      </c>
      <c r="B7569" s="501" t="s">
        <v>3236</v>
      </c>
      <c r="C7569" s="501" t="s">
        <v>1094</v>
      </c>
      <c r="D7569" s="501" t="s">
        <v>3380</v>
      </c>
      <c r="E7569" s="501" t="s">
        <v>3381</v>
      </c>
      <c r="F7569" s="501" t="s">
        <v>894</v>
      </c>
      <c r="G7569" s="501" t="s">
        <v>895</v>
      </c>
      <c r="H7569" s="501" t="s">
        <v>9487</v>
      </c>
      <c r="I7569" s="501">
        <v>1237</v>
      </c>
      <c r="J7569" s="501">
        <v>957</v>
      </c>
      <c r="K7569" s="501">
        <v>0</v>
      </c>
      <c r="L7569" s="501">
        <v>121</v>
      </c>
      <c r="M7569" s="501">
        <v>31</v>
      </c>
      <c r="N7569" s="501">
        <v>3</v>
      </c>
      <c r="O7569" s="506">
        <v>128</v>
      </c>
    </row>
    <row r="7570" spans="1:15" x14ac:dyDescent="0.35">
      <c r="A7570" s="503" t="s">
        <v>1190</v>
      </c>
      <c r="B7570" s="504">
        <v>4662</v>
      </c>
      <c r="C7570" s="504" t="s">
        <v>1094</v>
      </c>
      <c r="D7570" s="504" t="s">
        <v>3380</v>
      </c>
      <c r="E7570" s="504" t="s">
        <v>3381</v>
      </c>
      <c r="F7570" s="504" t="s">
        <v>894</v>
      </c>
      <c r="G7570" s="504" t="s">
        <v>895</v>
      </c>
      <c r="H7570" s="504" t="s">
        <v>11770</v>
      </c>
      <c r="I7570" s="504">
        <v>11</v>
      </c>
      <c r="J7570" s="504">
        <v>0</v>
      </c>
      <c r="K7570" s="504">
        <v>0</v>
      </c>
      <c r="L7570" s="504">
        <v>11</v>
      </c>
      <c r="M7570" s="504">
        <v>0</v>
      </c>
      <c r="N7570" s="504">
        <v>0</v>
      </c>
      <c r="O7570" s="505">
        <v>0</v>
      </c>
    </row>
    <row r="7571" spans="1:15" x14ac:dyDescent="0.35">
      <c r="A7571" s="500" t="s">
        <v>1202</v>
      </c>
      <c r="B7571" s="501" t="s">
        <v>3217</v>
      </c>
      <c r="C7571" s="501" t="s">
        <v>1094</v>
      </c>
      <c r="D7571" s="501" t="s">
        <v>3380</v>
      </c>
      <c r="E7571" s="501" t="s">
        <v>3381</v>
      </c>
      <c r="F7571" s="501" t="s">
        <v>894</v>
      </c>
      <c r="G7571" s="501" t="s">
        <v>895</v>
      </c>
      <c r="H7571" s="501" t="s">
        <v>11846</v>
      </c>
      <c r="I7571" s="501">
        <v>1</v>
      </c>
      <c r="J7571" s="501">
        <v>0</v>
      </c>
      <c r="K7571" s="501">
        <v>0</v>
      </c>
      <c r="L7571" s="501">
        <v>0</v>
      </c>
      <c r="M7571" s="501">
        <v>0</v>
      </c>
      <c r="N7571" s="501">
        <v>0</v>
      </c>
      <c r="O7571" s="506">
        <v>1</v>
      </c>
    </row>
    <row r="7572" spans="1:15" x14ac:dyDescent="0.35">
      <c r="A7572" s="503" t="s">
        <v>1863</v>
      </c>
      <c r="B7572" s="504" t="s">
        <v>3173</v>
      </c>
      <c r="C7572" s="504" t="s">
        <v>1094</v>
      </c>
      <c r="D7572" s="504" t="s">
        <v>3380</v>
      </c>
      <c r="E7572" s="504" t="s">
        <v>3381</v>
      </c>
      <c r="F7572" s="504" t="s">
        <v>894</v>
      </c>
      <c r="G7572" s="504" t="s">
        <v>895</v>
      </c>
      <c r="H7572" s="504" t="s">
        <v>9488</v>
      </c>
      <c r="I7572" s="504">
        <v>56</v>
      </c>
      <c r="J7572" s="504">
        <v>23</v>
      </c>
      <c r="K7572" s="504">
        <v>0</v>
      </c>
      <c r="L7572" s="504">
        <v>0</v>
      </c>
      <c r="M7572" s="504">
        <v>19</v>
      </c>
      <c r="N7572" s="504">
        <v>0</v>
      </c>
      <c r="O7572" s="505">
        <v>14</v>
      </c>
    </row>
    <row r="7573" spans="1:15" x14ac:dyDescent="0.35">
      <c r="A7573" s="500" t="s">
        <v>1114</v>
      </c>
      <c r="B7573" s="501" t="s">
        <v>2982</v>
      </c>
      <c r="C7573" s="501" t="s">
        <v>1094</v>
      </c>
      <c r="D7573" s="501" t="s">
        <v>3380</v>
      </c>
      <c r="E7573" s="501" t="s">
        <v>3381</v>
      </c>
      <c r="F7573" s="501" t="s">
        <v>894</v>
      </c>
      <c r="G7573" s="501" t="s">
        <v>895</v>
      </c>
      <c r="H7573" s="501" t="s">
        <v>9489</v>
      </c>
      <c r="I7573" s="501">
        <v>5</v>
      </c>
      <c r="J7573" s="501">
        <v>0</v>
      </c>
      <c r="K7573" s="501">
        <v>0</v>
      </c>
      <c r="L7573" s="501">
        <v>0</v>
      </c>
      <c r="M7573" s="501">
        <v>0</v>
      </c>
      <c r="N7573" s="501">
        <v>0</v>
      </c>
      <c r="O7573" s="506">
        <v>5</v>
      </c>
    </row>
    <row r="7574" spans="1:15" x14ac:dyDescent="0.35">
      <c r="A7574" s="503" t="s">
        <v>1122</v>
      </c>
      <c r="B7574" s="504" t="s">
        <v>2994</v>
      </c>
      <c r="C7574" s="504" t="s">
        <v>1094</v>
      </c>
      <c r="D7574" s="504" t="s">
        <v>3380</v>
      </c>
      <c r="E7574" s="504" t="s">
        <v>3381</v>
      </c>
      <c r="F7574" s="504" t="s">
        <v>894</v>
      </c>
      <c r="G7574" s="504" t="s">
        <v>895</v>
      </c>
      <c r="H7574" s="504" t="s">
        <v>9490</v>
      </c>
      <c r="I7574" s="504">
        <v>54</v>
      </c>
      <c r="J7574" s="504">
        <v>54</v>
      </c>
      <c r="K7574" s="504">
        <v>0</v>
      </c>
      <c r="L7574" s="504">
        <v>0</v>
      </c>
      <c r="M7574" s="504">
        <v>0</v>
      </c>
      <c r="N7574" s="504">
        <v>0</v>
      </c>
      <c r="O7574" s="505">
        <v>0</v>
      </c>
    </row>
    <row r="7575" spans="1:15" x14ac:dyDescent="0.35">
      <c r="A7575" s="500" t="s">
        <v>1225</v>
      </c>
      <c r="B7575" s="501" t="s">
        <v>3315</v>
      </c>
      <c r="C7575" s="501" t="s">
        <v>1094</v>
      </c>
      <c r="D7575" s="501" t="s">
        <v>3380</v>
      </c>
      <c r="E7575" s="501" t="s">
        <v>3381</v>
      </c>
      <c r="F7575" s="501" t="s">
        <v>894</v>
      </c>
      <c r="G7575" s="501" t="s">
        <v>895</v>
      </c>
      <c r="H7575" s="501" t="s">
        <v>9491</v>
      </c>
      <c r="I7575" s="501">
        <v>52</v>
      </c>
      <c r="J7575" s="501">
        <v>52</v>
      </c>
      <c r="K7575" s="501">
        <v>0</v>
      </c>
      <c r="L7575" s="501">
        <v>0</v>
      </c>
      <c r="M7575" s="501">
        <v>0</v>
      </c>
      <c r="N7575" s="501">
        <v>0</v>
      </c>
      <c r="O7575" s="506">
        <v>0</v>
      </c>
    </row>
    <row r="7576" spans="1:15" x14ac:dyDescent="0.35">
      <c r="A7576" s="503" t="s">
        <v>1124</v>
      </c>
      <c r="B7576" s="504">
        <v>4745</v>
      </c>
      <c r="C7576" s="504" t="s">
        <v>1094</v>
      </c>
      <c r="D7576" s="504" t="s">
        <v>3380</v>
      </c>
      <c r="E7576" s="504" t="s">
        <v>3381</v>
      </c>
      <c r="F7576" s="504" t="s">
        <v>894</v>
      </c>
      <c r="G7576" s="504" t="s">
        <v>895</v>
      </c>
      <c r="H7576" s="504" t="s">
        <v>9492</v>
      </c>
      <c r="I7576" s="504">
        <v>1</v>
      </c>
      <c r="J7576" s="504">
        <v>0</v>
      </c>
      <c r="K7576" s="504">
        <v>0</v>
      </c>
      <c r="L7576" s="504">
        <v>1</v>
      </c>
      <c r="M7576" s="504">
        <v>0</v>
      </c>
      <c r="N7576" s="504">
        <v>0</v>
      </c>
      <c r="O7576" s="505">
        <v>0</v>
      </c>
    </row>
    <row r="7577" spans="1:15" x14ac:dyDescent="0.35">
      <c r="A7577" s="500" t="s">
        <v>1126</v>
      </c>
      <c r="B7577" s="501" t="s">
        <v>2974</v>
      </c>
      <c r="C7577" s="501" t="s">
        <v>1094</v>
      </c>
      <c r="D7577" s="501" t="s">
        <v>3380</v>
      </c>
      <c r="E7577" s="501" t="s">
        <v>3381</v>
      </c>
      <c r="F7577" s="501" t="s">
        <v>894</v>
      </c>
      <c r="G7577" s="501" t="s">
        <v>895</v>
      </c>
      <c r="H7577" s="501" t="s">
        <v>9493</v>
      </c>
      <c r="I7577" s="501">
        <v>26</v>
      </c>
      <c r="J7577" s="501">
        <v>2</v>
      </c>
      <c r="K7577" s="501">
        <v>0</v>
      </c>
      <c r="L7577" s="501">
        <v>0</v>
      </c>
      <c r="M7577" s="501">
        <v>24</v>
      </c>
      <c r="N7577" s="501">
        <v>0</v>
      </c>
      <c r="O7577" s="506">
        <v>0</v>
      </c>
    </row>
    <row r="7578" spans="1:15" x14ac:dyDescent="0.35">
      <c r="A7578" s="503" t="s">
        <v>1892</v>
      </c>
      <c r="B7578" s="504" t="s">
        <v>3172</v>
      </c>
      <c r="C7578" s="504" t="s">
        <v>1094</v>
      </c>
      <c r="D7578" s="504" t="s">
        <v>3380</v>
      </c>
      <c r="E7578" s="504" t="s">
        <v>3381</v>
      </c>
      <c r="F7578" s="504" t="s">
        <v>894</v>
      </c>
      <c r="G7578" s="504" t="s">
        <v>895</v>
      </c>
      <c r="H7578" s="504" t="s">
        <v>9494</v>
      </c>
      <c r="I7578" s="504">
        <v>240</v>
      </c>
      <c r="J7578" s="504">
        <v>20</v>
      </c>
      <c r="K7578" s="504">
        <v>0</v>
      </c>
      <c r="L7578" s="504">
        <v>6</v>
      </c>
      <c r="M7578" s="504">
        <v>204</v>
      </c>
      <c r="N7578" s="504">
        <v>0</v>
      </c>
      <c r="O7578" s="505">
        <v>10</v>
      </c>
    </row>
    <row r="7579" spans="1:15" x14ac:dyDescent="0.35">
      <c r="A7579" s="500" t="s">
        <v>1130</v>
      </c>
      <c r="B7579" s="501" t="s">
        <v>3234</v>
      </c>
      <c r="C7579" s="501" t="s">
        <v>1094</v>
      </c>
      <c r="D7579" s="501" t="s">
        <v>3380</v>
      </c>
      <c r="E7579" s="501" t="s">
        <v>3381</v>
      </c>
      <c r="F7579" s="501" t="s">
        <v>894</v>
      </c>
      <c r="G7579" s="501" t="s">
        <v>895</v>
      </c>
      <c r="H7579" s="501" t="s">
        <v>9495</v>
      </c>
      <c r="I7579" s="501">
        <v>60</v>
      </c>
      <c r="J7579" s="501">
        <v>60</v>
      </c>
      <c r="K7579" s="501">
        <v>0</v>
      </c>
      <c r="L7579" s="501">
        <v>0</v>
      </c>
      <c r="M7579" s="501">
        <v>0</v>
      </c>
      <c r="N7579" s="501">
        <v>0</v>
      </c>
      <c r="O7579" s="506">
        <v>0</v>
      </c>
    </row>
    <row r="7580" spans="1:15" x14ac:dyDescent="0.35">
      <c r="A7580" s="503" t="s">
        <v>1132</v>
      </c>
      <c r="B7580" s="504">
        <v>4837</v>
      </c>
      <c r="C7580" s="504" t="s">
        <v>1094</v>
      </c>
      <c r="D7580" s="504" t="s">
        <v>3380</v>
      </c>
      <c r="E7580" s="504" t="s">
        <v>3381</v>
      </c>
      <c r="F7580" s="504" t="s">
        <v>894</v>
      </c>
      <c r="G7580" s="504" t="s">
        <v>895</v>
      </c>
      <c r="H7580" s="504" t="s">
        <v>9496</v>
      </c>
      <c r="I7580" s="504">
        <v>872</v>
      </c>
      <c r="J7580" s="504">
        <v>668</v>
      </c>
      <c r="K7580" s="504">
        <v>0</v>
      </c>
      <c r="L7580" s="504">
        <v>13</v>
      </c>
      <c r="M7580" s="504">
        <v>84</v>
      </c>
      <c r="N7580" s="504">
        <v>1</v>
      </c>
      <c r="O7580" s="505">
        <v>107</v>
      </c>
    </row>
    <row r="7581" spans="1:15" x14ac:dyDescent="0.35">
      <c r="A7581" s="500" t="s">
        <v>1241</v>
      </c>
      <c r="B7581" s="501">
        <v>4717</v>
      </c>
      <c r="C7581" s="501" t="s">
        <v>1094</v>
      </c>
      <c r="D7581" s="501" t="s">
        <v>3380</v>
      </c>
      <c r="E7581" s="501" t="s">
        <v>3381</v>
      </c>
      <c r="F7581" s="501" t="s">
        <v>894</v>
      </c>
      <c r="G7581" s="501" t="s">
        <v>895</v>
      </c>
      <c r="H7581" s="501" t="s">
        <v>9497</v>
      </c>
      <c r="I7581" s="501">
        <v>18</v>
      </c>
      <c r="J7581" s="501">
        <v>12</v>
      </c>
      <c r="K7581" s="501">
        <v>0</v>
      </c>
      <c r="L7581" s="501">
        <v>0</v>
      </c>
      <c r="M7581" s="501">
        <v>0</v>
      </c>
      <c r="N7581" s="501">
        <v>0</v>
      </c>
      <c r="O7581" s="506">
        <v>6</v>
      </c>
    </row>
    <row r="7582" spans="1:15" x14ac:dyDescent="0.35">
      <c r="A7582" s="503" t="s">
        <v>1134</v>
      </c>
      <c r="B7582" s="504" t="s">
        <v>3066</v>
      </c>
      <c r="C7582" s="504" t="s">
        <v>1094</v>
      </c>
      <c r="D7582" s="504" t="s">
        <v>3380</v>
      </c>
      <c r="E7582" s="504" t="s">
        <v>3381</v>
      </c>
      <c r="F7582" s="504" t="s">
        <v>894</v>
      </c>
      <c r="G7582" s="504" t="s">
        <v>895</v>
      </c>
      <c r="H7582" s="504" t="s">
        <v>9498</v>
      </c>
      <c r="I7582" s="504">
        <v>804</v>
      </c>
      <c r="J7582" s="504">
        <v>596</v>
      </c>
      <c r="K7582" s="504">
        <v>0</v>
      </c>
      <c r="L7582" s="504">
        <v>40</v>
      </c>
      <c r="M7582" s="504">
        <v>121</v>
      </c>
      <c r="N7582" s="504">
        <v>0</v>
      </c>
      <c r="O7582" s="505">
        <v>47</v>
      </c>
    </row>
    <row r="7583" spans="1:15" x14ac:dyDescent="0.35">
      <c r="A7583" s="500" t="s">
        <v>1245</v>
      </c>
      <c r="B7583" s="501" t="s">
        <v>2859</v>
      </c>
      <c r="C7583" s="501" t="s">
        <v>1094</v>
      </c>
      <c r="D7583" s="501" t="s">
        <v>3380</v>
      </c>
      <c r="E7583" s="501" t="s">
        <v>3381</v>
      </c>
      <c r="F7583" s="501" t="s">
        <v>894</v>
      </c>
      <c r="G7583" s="501" t="s">
        <v>895</v>
      </c>
      <c r="H7583" s="501" t="s">
        <v>9499</v>
      </c>
      <c r="I7583" s="501">
        <v>8</v>
      </c>
      <c r="J7583" s="501">
        <v>0</v>
      </c>
      <c r="K7583" s="501">
        <v>0</v>
      </c>
      <c r="L7583" s="501">
        <v>0</v>
      </c>
      <c r="M7583" s="501">
        <v>8</v>
      </c>
      <c r="N7583" s="501">
        <v>0</v>
      </c>
      <c r="O7583" s="506">
        <v>0</v>
      </c>
    </row>
    <row r="7584" spans="1:15" x14ac:dyDescent="0.35">
      <c r="A7584" s="503" t="s">
        <v>1249</v>
      </c>
      <c r="B7584" s="504">
        <v>4729</v>
      </c>
      <c r="C7584" s="504" t="s">
        <v>1094</v>
      </c>
      <c r="D7584" s="504" t="s">
        <v>3380</v>
      </c>
      <c r="E7584" s="504" t="s">
        <v>3381</v>
      </c>
      <c r="F7584" s="504" t="s">
        <v>894</v>
      </c>
      <c r="G7584" s="504" t="s">
        <v>895</v>
      </c>
      <c r="H7584" s="504" t="s">
        <v>9500</v>
      </c>
      <c r="I7584" s="504">
        <v>14</v>
      </c>
      <c r="J7584" s="504">
        <v>14</v>
      </c>
      <c r="K7584" s="504">
        <v>0</v>
      </c>
      <c r="L7584" s="504">
        <v>0</v>
      </c>
      <c r="M7584" s="504">
        <v>0</v>
      </c>
      <c r="N7584" s="504">
        <v>0</v>
      </c>
      <c r="O7584" s="505">
        <v>0</v>
      </c>
    </row>
    <row r="7585" spans="1:15" x14ac:dyDescent="0.35">
      <c r="A7585" s="500" t="s">
        <v>1924</v>
      </c>
      <c r="B7585" s="501" t="s">
        <v>3348</v>
      </c>
      <c r="C7585" s="501" t="s">
        <v>1089</v>
      </c>
      <c r="D7585" s="501" t="s">
        <v>3392</v>
      </c>
      <c r="E7585" s="501" t="s">
        <v>3381</v>
      </c>
      <c r="F7585" s="501" t="s">
        <v>894</v>
      </c>
      <c r="G7585" s="501" t="s">
        <v>895</v>
      </c>
      <c r="H7585" s="501" t="s">
        <v>9501</v>
      </c>
      <c r="I7585" s="501">
        <v>316</v>
      </c>
      <c r="J7585" s="501">
        <v>119</v>
      </c>
      <c r="K7585" s="501">
        <v>66</v>
      </c>
      <c r="L7585" s="501">
        <v>131</v>
      </c>
      <c r="M7585" s="501">
        <v>0</v>
      </c>
      <c r="N7585" s="501">
        <v>0</v>
      </c>
      <c r="O7585" s="506">
        <v>0</v>
      </c>
    </row>
    <row r="7586" spans="1:15" x14ac:dyDescent="0.35">
      <c r="A7586" s="503" t="s">
        <v>1138</v>
      </c>
      <c r="B7586" s="504" t="s">
        <v>2998</v>
      </c>
      <c r="C7586" s="504" t="s">
        <v>1094</v>
      </c>
      <c r="D7586" s="504" t="s">
        <v>3380</v>
      </c>
      <c r="E7586" s="504" t="s">
        <v>3381</v>
      </c>
      <c r="F7586" s="504" t="s">
        <v>894</v>
      </c>
      <c r="G7586" s="504" t="s">
        <v>895</v>
      </c>
      <c r="H7586" s="504" t="s">
        <v>9502</v>
      </c>
      <c r="I7586" s="504">
        <v>1568</v>
      </c>
      <c r="J7586" s="504">
        <v>1187</v>
      </c>
      <c r="K7586" s="504">
        <v>0</v>
      </c>
      <c r="L7586" s="504">
        <v>12</v>
      </c>
      <c r="M7586" s="504">
        <v>66</v>
      </c>
      <c r="N7586" s="504">
        <v>0</v>
      </c>
      <c r="O7586" s="505">
        <v>303</v>
      </c>
    </row>
    <row r="7587" spans="1:15" x14ac:dyDescent="0.35">
      <c r="A7587" s="500" t="s">
        <v>14371</v>
      </c>
      <c r="B7587" s="501">
        <v>5111</v>
      </c>
      <c r="C7587" s="501" t="s">
        <v>1089</v>
      </c>
      <c r="D7587" s="501" t="s">
        <v>3392</v>
      </c>
      <c r="E7587" s="501" t="s">
        <v>3381</v>
      </c>
      <c r="F7587" s="501" t="s">
        <v>894</v>
      </c>
      <c r="G7587" s="501" t="s">
        <v>895</v>
      </c>
      <c r="H7587" s="501" t="s">
        <v>15090</v>
      </c>
      <c r="I7587" s="501">
        <v>98</v>
      </c>
      <c r="J7587" s="501">
        <v>0</v>
      </c>
      <c r="K7587" s="501">
        <v>0</v>
      </c>
      <c r="L7587" s="501">
        <v>0</v>
      </c>
      <c r="M7587" s="501">
        <v>98</v>
      </c>
      <c r="N7587" s="501">
        <v>0</v>
      </c>
      <c r="O7587" s="506">
        <v>0</v>
      </c>
    </row>
    <row r="7588" spans="1:15" x14ac:dyDescent="0.35">
      <c r="A7588" s="503" t="s">
        <v>1930</v>
      </c>
      <c r="B7588" s="504" t="s">
        <v>3313</v>
      </c>
      <c r="C7588" s="504" t="s">
        <v>1089</v>
      </c>
      <c r="D7588" s="504" t="s">
        <v>3392</v>
      </c>
      <c r="E7588" s="504" t="s">
        <v>3381</v>
      </c>
      <c r="F7588" s="504" t="s">
        <v>894</v>
      </c>
      <c r="G7588" s="504" t="s">
        <v>895</v>
      </c>
      <c r="H7588" s="504" t="s">
        <v>9503</v>
      </c>
      <c r="I7588" s="504">
        <v>121</v>
      </c>
      <c r="J7588" s="504">
        <v>0</v>
      </c>
      <c r="K7588" s="504">
        <v>0</v>
      </c>
      <c r="L7588" s="504">
        <v>121</v>
      </c>
      <c r="M7588" s="504">
        <v>0</v>
      </c>
      <c r="N7588" s="504">
        <v>0</v>
      </c>
      <c r="O7588" s="505">
        <v>0</v>
      </c>
    </row>
    <row r="7589" spans="1:15" x14ac:dyDescent="0.35">
      <c r="A7589" s="500" t="s">
        <v>1140</v>
      </c>
      <c r="B7589" s="501">
        <v>4850</v>
      </c>
      <c r="C7589" s="501" t="s">
        <v>1094</v>
      </c>
      <c r="D7589" s="501" t="s">
        <v>3380</v>
      </c>
      <c r="E7589" s="501" t="s">
        <v>3381</v>
      </c>
      <c r="F7589" s="501" t="s">
        <v>894</v>
      </c>
      <c r="G7589" s="501" t="s">
        <v>895</v>
      </c>
      <c r="H7589" s="501" t="s">
        <v>9504</v>
      </c>
      <c r="I7589" s="501">
        <v>985</v>
      </c>
      <c r="J7589" s="501">
        <v>753</v>
      </c>
      <c r="K7589" s="501">
        <v>0</v>
      </c>
      <c r="L7589" s="501">
        <v>53</v>
      </c>
      <c r="M7589" s="501">
        <v>0</v>
      </c>
      <c r="N7589" s="501">
        <v>0</v>
      </c>
      <c r="O7589" s="506">
        <v>179</v>
      </c>
    </row>
    <row r="7590" spans="1:15" x14ac:dyDescent="0.35">
      <c r="A7590" s="503" t="s">
        <v>1946</v>
      </c>
      <c r="B7590" s="504">
        <v>4875</v>
      </c>
      <c r="C7590" s="504" t="s">
        <v>1089</v>
      </c>
      <c r="D7590" s="504" t="s">
        <v>3392</v>
      </c>
      <c r="E7590" s="504" t="s">
        <v>3381</v>
      </c>
      <c r="F7590" s="504" t="s">
        <v>894</v>
      </c>
      <c r="G7590" s="504" t="s">
        <v>895</v>
      </c>
      <c r="H7590" s="504" t="s">
        <v>9505</v>
      </c>
      <c r="I7590" s="504">
        <v>52</v>
      </c>
      <c r="J7590" s="504">
        <v>0</v>
      </c>
      <c r="K7590" s="504">
        <v>0</v>
      </c>
      <c r="L7590" s="504">
        <v>52</v>
      </c>
      <c r="M7590" s="504">
        <v>0</v>
      </c>
      <c r="N7590" s="504">
        <v>0</v>
      </c>
      <c r="O7590" s="505">
        <v>0</v>
      </c>
    </row>
    <row r="7591" spans="1:15" x14ac:dyDescent="0.35">
      <c r="A7591" s="500" t="s">
        <v>1096</v>
      </c>
      <c r="B7591" s="501" t="s">
        <v>3326</v>
      </c>
      <c r="C7591" s="501" t="s">
        <v>1094</v>
      </c>
      <c r="D7591" s="501" t="s">
        <v>3380</v>
      </c>
      <c r="E7591" s="501" t="s">
        <v>3381</v>
      </c>
      <c r="F7591" s="501" t="s">
        <v>896</v>
      </c>
      <c r="G7591" s="501" t="s">
        <v>897</v>
      </c>
      <c r="H7591" s="501" t="s">
        <v>9506</v>
      </c>
      <c r="I7591" s="501">
        <v>64</v>
      </c>
      <c r="J7591" s="501">
        <v>0</v>
      </c>
      <c r="K7591" s="501">
        <v>0</v>
      </c>
      <c r="L7591" s="501">
        <v>0</v>
      </c>
      <c r="M7591" s="501">
        <v>64</v>
      </c>
      <c r="N7591" s="501">
        <v>0</v>
      </c>
      <c r="O7591" s="506">
        <v>0</v>
      </c>
    </row>
    <row r="7592" spans="1:15" x14ac:dyDescent="0.35">
      <c r="A7592" s="503" t="s">
        <v>1291</v>
      </c>
      <c r="B7592" s="504" t="s">
        <v>3060</v>
      </c>
      <c r="C7592" s="504" t="s">
        <v>1089</v>
      </c>
      <c r="D7592" s="504" t="s">
        <v>3392</v>
      </c>
      <c r="E7592" s="504" t="s">
        <v>3381</v>
      </c>
      <c r="F7592" s="504" t="s">
        <v>896</v>
      </c>
      <c r="G7592" s="504" t="s">
        <v>897</v>
      </c>
      <c r="H7592" s="504" t="s">
        <v>9509</v>
      </c>
      <c r="I7592" s="504">
        <v>14</v>
      </c>
      <c r="J7592" s="504">
        <v>0</v>
      </c>
      <c r="K7592" s="504">
        <v>0</v>
      </c>
      <c r="L7592" s="504">
        <v>0</v>
      </c>
      <c r="M7592" s="504">
        <v>14</v>
      </c>
      <c r="N7592" s="504">
        <v>0</v>
      </c>
      <c r="O7592" s="505">
        <v>0</v>
      </c>
    </row>
    <row r="7593" spans="1:15" x14ac:dyDescent="0.35">
      <c r="A7593" s="500" t="s">
        <v>1283</v>
      </c>
      <c r="B7593" s="501" t="s">
        <v>3177</v>
      </c>
      <c r="C7593" s="501" t="s">
        <v>1094</v>
      </c>
      <c r="D7593" s="501" t="s">
        <v>3380</v>
      </c>
      <c r="E7593" s="501" t="s">
        <v>3381</v>
      </c>
      <c r="F7593" s="501" t="s">
        <v>896</v>
      </c>
      <c r="G7593" s="501" t="s">
        <v>897</v>
      </c>
      <c r="H7593" s="501" t="s">
        <v>9507</v>
      </c>
      <c r="I7593" s="501">
        <v>52</v>
      </c>
      <c r="J7593" s="501">
        <v>42</v>
      </c>
      <c r="K7593" s="501">
        <v>0</v>
      </c>
      <c r="L7593" s="501">
        <v>0</v>
      </c>
      <c r="M7593" s="501">
        <v>0</v>
      </c>
      <c r="N7593" s="501">
        <v>0</v>
      </c>
      <c r="O7593" s="506">
        <v>10</v>
      </c>
    </row>
    <row r="7594" spans="1:15" x14ac:dyDescent="0.35">
      <c r="A7594" s="503" t="s">
        <v>1164</v>
      </c>
      <c r="B7594" s="504">
        <v>4751</v>
      </c>
      <c r="C7594" s="504" t="s">
        <v>1089</v>
      </c>
      <c r="D7594" s="504" t="s">
        <v>3392</v>
      </c>
      <c r="E7594" s="504" t="s">
        <v>3381</v>
      </c>
      <c r="F7594" s="504" t="s">
        <v>896</v>
      </c>
      <c r="G7594" s="504" t="s">
        <v>897</v>
      </c>
      <c r="H7594" s="504" t="s">
        <v>9508</v>
      </c>
      <c r="I7594" s="504">
        <v>9</v>
      </c>
      <c r="J7594" s="504">
        <v>0</v>
      </c>
      <c r="K7594" s="504">
        <v>0</v>
      </c>
      <c r="L7594" s="504">
        <v>9</v>
      </c>
      <c r="M7594" s="504">
        <v>0</v>
      </c>
      <c r="N7594" s="504">
        <v>0</v>
      </c>
      <c r="O7594" s="505">
        <v>0</v>
      </c>
    </row>
    <row r="7595" spans="1:15" x14ac:dyDescent="0.35">
      <c r="A7595" s="500" t="s">
        <v>1102</v>
      </c>
      <c r="B7595" s="501">
        <v>4663</v>
      </c>
      <c r="C7595" s="501" t="s">
        <v>1089</v>
      </c>
      <c r="D7595" s="501" t="s">
        <v>3392</v>
      </c>
      <c r="E7595" s="501" t="s">
        <v>3381</v>
      </c>
      <c r="F7595" s="501" t="s">
        <v>896</v>
      </c>
      <c r="G7595" s="501" t="s">
        <v>897</v>
      </c>
      <c r="H7595" s="501" t="s">
        <v>9510</v>
      </c>
      <c r="I7595" s="501">
        <v>2</v>
      </c>
      <c r="J7595" s="501">
        <v>0</v>
      </c>
      <c r="K7595" s="501">
        <v>0</v>
      </c>
      <c r="L7595" s="501">
        <v>2</v>
      </c>
      <c r="M7595" s="501">
        <v>0</v>
      </c>
      <c r="N7595" s="501">
        <v>0</v>
      </c>
      <c r="O7595" s="506">
        <v>0</v>
      </c>
    </row>
    <row r="7596" spans="1:15" x14ac:dyDescent="0.35">
      <c r="A7596" s="503" t="s">
        <v>1174</v>
      </c>
      <c r="B7596" s="504">
        <v>4784</v>
      </c>
      <c r="C7596" s="504" t="s">
        <v>1089</v>
      </c>
      <c r="D7596" s="504" t="s">
        <v>3392</v>
      </c>
      <c r="E7596" s="504" t="s">
        <v>3381</v>
      </c>
      <c r="F7596" s="504" t="s">
        <v>896</v>
      </c>
      <c r="G7596" s="504" t="s">
        <v>897</v>
      </c>
      <c r="H7596" s="504" t="s">
        <v>11694</v>
      </c>
      <c r="I7596" s="504">
        <v>18</v>
      </c>
      <c r="J7596" s="504">
        <v>0</v>
      </c>
      <c r="K7596" s="504">
        <v>0</v>
      </c>
      <c r="L7596" s="504">
        <v>18</v>
      </c>
      <c r="M7596" s="504">
        <v>0</v>
      </c>
      <c r="N7596" s="504">
        <v>0</v>
      </c>
      <c r="O7596" s="505">
        <v>0</v>
      </c>
    </row>
    <row r="7597" spans="1:15" x14ac:dyDescent="0.35">
      <c r="A7597" s="500" t="s">
        <v>1294</v>
      </c>
      <c r="B7597" s="501" t="s">
        <v>3114</v>
      </c>
      <c r="C7597" s="501" t="s">
        <v>1094</v>
      </c>
      <c r="D7597" s="501" t="s">
        <v>3380</v>
      </c>
      <c r="E7597" s="501" t="s">
        <v>3381</v>
      </c>
      <c r="F7597" s="501" t="s">
        <v>896</v>
      </c>
      <c r="G7597" s="501" t="s">
        <v>897</v>
      </c>
      <c r="H7597" s="501" t="s">
        <v>9511</v>
      </c>
      <c r="I7597" s="501">
        <v>1460</v>
      </c>
      <c r="J7597" s="501">
        <v>1237</v>
      </c>
      <c r="K7597" s="501">
        <v>0</v>
      </c>
      <c r="L7597" s="501">
        <v>27</v>
      </c>
      <c r="M7597" s="501">
        <v>58</v>
      </c>
      <c r="N7597" s="501">
        <v>24</v>
      </c>
      <c r="O7597" s="506">
        <v>138</v>
      </c>
    </row>
    <row r="7598" spans="1:15" x14ac:dyDescent="0.35">
      <c r="A7598" s="503" t="s">
        <v>14208</v>
      </c>
      <c r="B7598" s="504">
        <v>4803</v>
      </c>
      <c r="C7598" s="504" t="s">
        <v>1094</v>
      </c>
      <c r="D7598" s="504" t="s">
        <v>3380</v>
      </c>
      <c r="E7598" s="504" t="s">
        <v>3381</v>
      </c>
      <c r="F7598" s="504" t="s">
        <v>896</v>
      </c>
      <c r="G7598" s="504" t="s">
        <v>897</v>
      </c>
      <c r="H7598" s="504" t="s">
        <v>15091</v>
      </c>
      <c r="I7598" s="504">
        <v>4</v>
      </c>
      <c r="J7598" s="504">
        <v>0</v>
      </c>
      <c r="K7598" s="504">
        <v>0</v>
      </c>
      <c r="L7598" s="504">
        <v>4</v>
      </c>
      <c r="M7598" s="504">
        <v>0</v>
      </c>
      <c r="N7598" s="504">
        <v>0</v>
      </c>
      <c r="O7598" s="505">
        <v>0</v>
      </c>
    </row>
    <row r="7599" spans="1:15" x14ac:dyDescent="0.35">
      <c r="A7599" s="500" t="s">
        <v>1185</v>
      </c>
      <c r="B7599" s="501" t="s">
        <v>3253</v>
      </c>
      <c r="C7599" s="501" t="s">
        <v>1094</v>
      </c>
      <c r="D7599" s="501" t="s">
        <v>3380</v>
      </c>
      <c r="E7599" s="501" t="s">
        <v>3381</v>
      </c>
      <c r="F7599" s="501" t="s">
        <v>896</v>
      </c>
      <c r="G7599" s="501" t="s">
        <v>897</v>
      </c>
      <c r="H7599" s="501" t="s">
        <v>9512</v>
      </c>
      <c r="I7599" s="501">
        <v>17</v>
      </c>
      <c r="J7599" s="501">
        <v>4</v>
      </c>
      <c r="K7599" s="501">
        <v>0</v>
      </c>
      <c r="L7599" s="501">
        <v>13</v>
      </c>
      <c r="M7599" s="501">
        <v>0</v>
      </c>
      <c r="N7599" s="501">
        <v>0</v>
      </c>
      <c r="O7599" s="506">
        <v>0</v>
      </c>
    </row>
    <row r="7600" spans="1:15" x14ac:dyDescent="0.35">
      <c r="A7600" s="503" t="s">
        <v>1187</v>
      </c>
      <c r="B7600" s="504" t="s">
        <v>2951</v>
      </c>
      <c r="C7600" s="504" t="s">
        <v>1094</v>
      </c>
      <c r="D7600" s="504" t="s">
        <v>3380</v>
      </c>
      <c r="E7600" s="504" t="s">
        <v>3381</v>
      </c>
      <c r="F7600" s="504" t="s">
        <v>896</v>
      </c>
      <c r="G7600" s="504" t="s">
        <v>897</v>
      </c>
      <c r="H7600" s="504" t="s">
        <v>9513</v>
      </c>
      <c r="I7600" s="504">
        <v>35</v>
      </c>
      <c r="J7600" s="504">
        <v>26</v>
      </c>
      <c r="K7600" s="504">
        <v>0</v>
      </c>
      <c r="L7600" s="504">
        <v>0</v>
      </c>
      <c r="M7600" s="504">
        <v>0</v>
      </c>
      <c r="N7600" s="504">
        <v>0</v>
      </c>
      <c r="O7600" s="505">
        <v>9</v>
      </c>
    </row>
    <row r="7601" spans="1:15" x14ac:dyDescent="0.35">
      <c r="A7601" s="500" t="s">
        <v>1105</v>
      </c>
      <c r="B7601" s="501">
        <v>4668</v>
      </c>
      <c r="C7601" s="501" t="s">
        <v>1094</v>
      </c>
      <c r="D7601" s="501" t="s">
        <v>3380</v>
      </c>
      <c r="E7601" s="501" t="s">
        <v>3381</v>
      </c>
      <c r="F7601" s="501" t="s">
        <v>896</v>
      </c>
      <c r="G7601" s="501" t="s">
        <v>897</v>
      </c>
      <c r="H7601" s="501" t="s">
        <v>9514</v>
      </c>
      <c r="I7601" s="501">
        <v>1</v>
      </c>
      <c r="J7601" s="501">
        <v>0</v>
      </c>
      <c r="K7601" s="501">
        <v>0</v>
      </c>
      <c r="L7601" s="501">
        <v>0</v>
      </c>
      <c r="M7601" s="501">
        <v>0</v>
      </c>
      <c r="N7601" s="501">
        <v>0</v>
      </c>
      <c r="O7601" s="506">
        <v>1</v>
      </c>
    </row>
    <row r="7602" spans="1:15" x14ac:dyDescent="0.35">
      <c r="A7602" s="503" t="s">
        <v>1107</v>
      </c>
      <c r="B7602" s="504" t="s">
        <v>3109</v>
      </c>
      <c r="C7602" s="504" t="s">
        <v>1094</v>
      </c>
      <c r="D7602" s="504" t="s">
        <v>3380</v>
      </c>
      <c r="E7602" s="504" t="s">
        <v>3381</v>
      </c>
      <c r="F7602" s="504" t="s">
        <v>896</v>
      </c>
      <c r="G7602" s="504" t="s">
        <v>897</v>
      </c>
      <c r="H7602" s="504" t="s">
        <v>9515</v>
      </c>
      <c r="I7602" s="504">
        <v>15</v>
      </c>
      <c r="J7602" s="504">
        <v>0</v>
      </c>
      <c r="K7602" s="504">
        <v>0</v>
      </c>
      <c r="L7602" s="504">
        <v>15</v>
      </c>
      <c r="M7602" s="504">
        <v>0</v>
      </c>
      <c r="N7602" s="504">
        <v>0</v>
      </c>
      <c r="O7602" s="505">
        <v>0</v>
      </c>
    </row>
    <row r="7603" spans="1:15" x14ac:dyDescent="0.35">
      <c r="A7603" s="500" t="s">
        <v>1303</v>
      </c>
      <c r="B7603" s="501">
        <v>4742</v>
      </c>
      <c r="C7603" s="501" t="s">
        <v>1089</v>
      </c>
      <c r="D7603" s="501" t="s">
        <v>3392</v>
      </c>
      <c r="E7603" s="501" t="s">
        <v>3381</v>
      </c>
      <c r="F7603" s="501" t="s">
        <v>896</v>
      </c>
      <c r="G7603" s="501" t="s">
        <v>897</v>
      </c>
      <c r="H7603" s="501" t="s">
        <v>9516</v>
      </c>
      <c r="I7603" s="501">
        <v>235</v>
      </c>
      <c r="J7603" s="501">
        <v>0</v>
      </c>
      <c r="K7603" s="501">
        <v>0</v>
      </c>
      <c r="L7603" s="501">
        <v>235</v>
      </c>
      <c r="M7603" s="501">
        <v>0</v>
      </c>
      <c r="N7603" s="501">
        <v>0</v>
      </c>
      <c r="O7603" s="506">
        <v>0</v>
      </c>
    </row>
    <row r="7604" spans="1:15" x14ac:dyDescent="0.35">
      <c r="A7604" s="503" t="s">
        <v>1190</v>
      </c>
      <c r="B7604" s="504">
        <v>4662</v>
      </c>
      <c r="C7604" s="504" t="s">
        <v>1094</v>
      </c>
      <c r="D7604" s="504" t="s">
        <v>3380</v>
      </c>
      <c r="E7604" s="504" t="s">
        <v>3381</v>
      </c>
      <c r="F7604" s="504" t="s">
        <v>896</v>
      </c>
      <c r="G7604" s="504" t="s">
        <v>897</v>
      </c>
      <c r="H7604" s="504" t="s">
        <v>15092</v>
      </c>
      <c r="I7604" s="504">
        <v>2</v>
      </c>
      <c r="J7604" s="504">
        <v>0</v>
      </c>
      <c r="K7604" s="504">
        <v>0</v>
      </c>
      <c r="L7604" s="504">
        <v>2</v>
      </c>
      <c r="M7604" s="504">
        <v>0</v>
      </c>
      <c r="N7604" s="504">
        <v>0</v>
      </c>
      <c r="O7604" s="505">
        <v>0</v>
      </c>
    </row>
    <row r="7605" spans="1:15" x14ac:dyDescent="0.35">
      <c r="A7605" s="500" t="s">
        <v>1310</v>
      </c>
      <c r="B7605" s="501">
        <v>5062</v>
      </c>
      <c r="C7605" s="501" t="s">
        <v>1089</v>
      </c>
      <c r="D7605" s="501" t="s">
        <v>3380</v>
      </c>
      <c r="E7605" s="501" t="s">
        <v>3381</v>
      </c>
      <c r="F7605" s="501" t="s">
        <v>896</v>
      </c>
      <c r="G7605" s="501" t="s">
        <v>897</v>
      </c>
      <c r="H7605" s="501" t="s">
        <v>15093</v>
      </c>
      <c r="I7605" s="501">
        <v>22</v>
      </c>
      <c r="J7605" s="501">
        <v>0</v>
      </c>
      <c r="K7605" s="501">
        <v>0</v>
      </c>
      <c r="L7605" s="501">
        <v>0</v>
      </c>
      <c r="M7605" s="501">
        <v>0</v>
      </c>
      <c r="N7605" s="501">
        <v>0</v>
      </c>
      <c r="O7605" s="506">
        <v>22</v>
      </c>
    </row>
    <row r="7606" spans="1:15" x14ac:dyDescent="0.35">
      <c r="A7606" s="503" t="s">
        <v>1311</v>
      </c>
      <c r="B7606" s="504" t="s">
        <v>3361</v>
      </c>
      <c r="C7606" s="504" t="s">
        <v>1094</v>
      </c>
      <c r="D7606" s="504" t="s">
        <v>3380</v>
      </c>
      <c r="E7606" s="504" t="s">
        <v>3381</v>
      </c>
      <c r="F7606" s="504" t="s">
        <v>896</v>
      </c>
      <c r="G7606" s="504" t="s">
        <v>897</v>
      </c>
      <c r="H7606" s="504" t="s">
        <v>9517</v>
      </c>
      <c r="I7606" s="504">
        <v>28</v>
      </c>
      <c r="J7606" s="504">
        <v>28</v>
      </c>
      <c r="K7606" s="504">
        <v>0</v>
      </c>
      <c r="L7606" s="504">
        <v>0</v>
      </c>
      <c r="M7606" s="504">
        <v>0</v>
      </c>
      <c r="N7606" s="504">
        <v>0</v>
      </c>
      <c r="O7606" s="505">
        <v>0</v>
      </c>
    </row>
    <row r="7607" spans="1:15" x14ac:dyDescent="0.35">
      <c r="A7607" s="500" t="s">
        <v>1202</v>
      </c>
      <c r="B7607" s="501" t="s">
        <v>3217</v>
      </c>
      <c r="C7607" s="501" t="s">
        <v>1094</v>
      </c>
      <c r="D7607" s="501" t="s">
        <v>3380</v>
      </c>
      <c r="E7607" s="501" t="s">
        <v>3381</v>
      </c>
      <c r="F7607" s="501" t="s">
        <v>896</v>
      </c>
      <c r="G7607" s="501" t="s">
        <v>897</v>
      </c>
      <c r="H7607" s="501" t="s">
        <v>9518</v>
      </c>
      <c r="I7607" s="501">
        <v>370</v>
      </c>
      <c r="J7607" s="501">
        <v>358</v>
      </c>
      <c r="K7607" s="501">
        <v>0</v>
      </c>
      <c r="L7607" s="501">
        <v>6</v>
      </c>
      <c r="M7607" s="501">
        <v>0</v>
      </c>
      <c r="N7607" s="501">
        <v>1</v>
      </c>
      <c r="O7607" s="506">
        <v>6</v>
      </c>
    </row>
    <row r="7608" spans="1:15" x14ac:dyDescent="0.35">
      <c r="A7608" s="503" t="s">
        <v>1112</v>
      </c>
      <c r="B7608" s="504" t="s">
        <v>3008</v>
      </c>
      <c r="C7608" s="504" t="s">
        <v>1094</v>
      </c>
      <c r="D7608" s="504" t="s">
        <v>3380</v>
      </c>
      <c r="E7608" s="504" t="s">
        <v>3381</v>
      </c>
      <c r="F7608" s="504" t="s">
        <v>896</v>
      </c>
      <c r="G7608" s="504" t="s">
        <v>897</v>
      </c>
      <c r="H7608" s="504" t="s">
        <v>9519</v>
      </c>
      <c r="I7608" s="504">
        <v>9</v>
      </c>
      <c r="J7608" s="504">
        <v>0</v>
      </c>
      <c r="K7608" s="504">
        <v>0</v>
      </c>
      <c r="L7608" s="504">
        <v>8</v>
      </c>
      <c r="M7608" s="504">
        <v>0</v>
      </c>
      <c r="N7608" s="504">
        <v>0</v>
      </c>
      <c r="O7608" s="505">
        <v>1</v>
      </c>
    </row>
    <row r="7609" spans="1:15" x14ac:dyDescent="0.35">
      <c r="A7609" s="500" t="s">
        <v>1114</v>
      </c>
      <c r="B7609" s="501" t="s">
        <v>2982</v>
      </c>
      <c r="C7609" s="501" t="s">
        <v>1094</v>
      </c>
      <c r="D7609" s="501" t="s">
        <v>3380</v>
      </c>
      <c r="E7609" s="501" t="s">
        <v>3381</v>
      </c>
      <c r="F7609" s="501" t="s">
        <v>896</v>
      </c>
      <c r="G7609" s="501" t="s">
        <v>897</v>
      </c>
      <c r="H7609" s="501" t="s">
        <v>9520</v>
      </c>
      <c r="I7609" s="501">
        <v>145</v>
      </c>
      <c r="J7609" s="501">
        <v>64</v>
      </c>
      <c r="K7609" s="501">
        <v>0</v>
      </c>
      <c r="L7609" s="501">
        <v>12</v>
      </c>
      <c r="M7609" s="501">
        <v>0</v>
      </c>
      <c r="N7609" s="501">
        <v>0</v>
      </c>
      <c r="O7609" s="506">
        <v>69</v>
      </c>
    </row>
    <row r="7610" spans="1:15" x14ac:dyDescent="0.35">
      <c r="A7610" s="503" t="s">
        <v>1319</v>
      </c>
      <c r="B7610" s="504">
        <v>4880</v>
      </c>
      <c r="C7610" s="504" t="s">
        <v>1094</v>
      </c>
      <c r="D7610" s="504" t="s">
        <v>3380</v>
      </c>
      <c r="E7610" s="504" t="s">
        <v>3381</v>
      </c>
      <c r="F7610" s="504" t="s">
        <v>896</v>
      </c>
      <c r="G7610" s="504" t="s">
        <v>897</v>
      </c>
      <c r="H7610" s="504" t="s">
        <v>9521</v>
      </c>
      <c r="I7610" s="504">
        <v>595</v>
      </c>
      <c r="J7610" s="504">
        <v>331</v>
      </c>
      <c r="K7610" s="504">
        <v>0</v>
      </c>
      <c r="L7610" s="504">
        <v>51</v>
      </c>
      <c r="M7610" s="504">
        <v>121</v>
      </c>
      <c r="N7610" s="504">
        <v>0</v>
      </c>
      <c r="O7610" s="505">
        <v>92</v>
      </c>
    </row>
    <row r="7611" spans="1:15" x14ac:dyDescent="0.35">
      <c r="A7611" s="500" t="s">
        <v>1218</v>
      </c>
      <c r="B7611" s="501" t="s">
        <v>3147</v>
      </c>
      <c r="C7611" s="501" t="s">
        <v>1094</v>
      </c>
      <c r="D7611" s="501" t="s">
        <v>3380</v>
      </c>
      <c r="E7611" s="501" t="s">
        <v>3381</v>
      </c>
      <c r="F7611" s="501" t="s">
        <v>896</v>
      </c>
      <c r="G7611" s="501" t="s">
        <v>897</v>
      </c>
      <c r="H7611" s="501" t="s">
        <v>15094</v>
      </c>
      <c r="I7611" s="501">
        <v>19</v>
      </c>
      <c r="J7611" s="501">
        <v>0</v>
      </c>
      <c r="K7611" s="501">
        <v>0</v>
      </c>
      <c r="L7611" s="501">
        <v>0</v>
      </c>
      <c r="M7611" s="501">
        <v>0</v>
      </c>
      <c r="N7611" s="501">
        <v>0</v>
      </c>
      <c r="O7611" s="506">
        <v>19</v>
      </c>
    </row>
    <row r="7612" spans="1:15" x14ac:dyDescent="0.35">
      <c r="A7612" s="503" t="s">
        <v>1332</v>
      </c>
      <c r="B7612" s="504">
        <v>4878</v>
      </c>
      <c r="C7612" s="504" t="s">
        <v>1094</v>
      </c>
      <c r="D7612" s="504" t="s">
        <v>3380</v>
      </c>
      <c r="E7612" s="504" t="s">
        <v>3381</v>
      </c>
      <c r="F7612" s="504" t="s">
        <v>896</v>
      </c>
      <c r="G7612" s="504" t="s">
        <v>897</v>
      </c>
      <c r="H7612" s="504" t="s">
        <v>15095</v>
      </c>
      <c r="I7612" s="504">
        <v>12</v>
      </c>
      <c r="J7612" s="504">
        <v>12</v>
      </c>
      <c r="K7612" s="504">
        <v>0</v>
      </c>
      <c r="L7612" s="504">
        <v>0</v>
      </c>
      <c r="M7612" s="504">
        <v>0</v>
      </c>
      <c r="N7612" s="504">
        <v>0</v>
      </c>
      <c r="O7612" s="505">
        <v>0</v>
      </c>
    </row>
    <row r="7613" spans="1:15" x14ac:dyDescent="0.35">
      <c r="A7613" s="500" t="s">
        <v>1122</v>
      </c>
      <c r="B7613" s="501" t="s">
        <v>2994</v>
      </c>
      <c r="C7613" s="501" t="s">
        <v>1094</v>
      </c>
      <c r="D7613" s="501" t="s">
        <v>3380</v>
      </c>
      <c r="E7613" s="501" t="s">
        <v>3381</v>
      </c>
      <c r="F7613" s="501" t="s">
        <v>896</v>
      </c>
      <c r="G7613" s="501" t="s">
        <v>897</v>
      </c>
      <c r="H7613" s="501" t="s">
        <v>9522</v>
      </c>
      <c r="I7613" s="501">
        <v>8</v>
      </c>
      <c r="J7613" s="501">
        <v>2</v>
      </c>
      <c r="K7613" s="501">
        <v>0</v>
      </c>
      <c r="L7613" s="501">
        <v>0</v>
      </c>
      <c r="M7613" s="501">
        <v>0</v>
      </c>
      <c r="N7613" s="501">
        <v>0</v>
      </c>
      <c r="O7613" s="506">
        <v>6</v>
      </c>
    </row>
    <row r="7614" spans="1:15" x14ac:dyDescent="0.35">
      <c r="A7614" s="503" t="s">
        <v>1233</v>
      </c>
      <c r="B7614" s="504">
        <v>4636</v>
      </c>
      <c r="C7614" s="504" t="s">
        <v>1094</v>
      </c>
      <c r="D7614" s="504" t="s">
        <v>3380</v>
      </c>
      <c r="E7614" s="504" t="s">
        <v>3381</v>
      </c>
      <c r="F7614" s="504" t="s">
        <v>896</v>
      </c>
      <c r="G7614" s="504" t="s">
        <v>897</v>
      </c>
      <c r="H7614" s="504" t="s">
        <v>15096</v>
      </c>
      <c r="I7614" s="504">
        <v>9</v>
      </c>
      <c r="J7614" s="504">
        <v>0</v>
      </c>
      <c r="K7614" s="504">
        <v>0</v>
      </c>
      <c r="L7614" s="504">
        <v>0</v>
      </c>
      <c r="M7614" s="504">
        <v>0</v>
      </c>
      <c r="N7614" s="504">
        <v>0</v>
      </c>
      <c r="O7614" s="505">
        <v>9</v>
      </c>
    </row>
    <row r="7615" spans="1:15" x14ac:dyDescent="0.35">
      <c r="A7615" s="500" t="s">
        <v>1234</v>
      </c>
      <c r="B7615" s="501" t="s">
        <v>3291</v>
      </c>
      <c r="C7615" s="501" t="s">
        <v>1094</v>
      </c>
      <c r="D7615" s="501" t="s">
        <v>3380</v>
      </c>
      <c r="E7615" s="501" t="s">
        <v>3381</v>
      </c>
      <c r="F7615" s="501" t="s">
        <v>896</v>
      </c>
      <c r="G7615" s="501" t="s">
        <v>897</v>
      </c>
      <c r="H7615" s="501" t="s">
        <v>9523</v>
      </c>
      <c r="I7615" s="501">
        <v>2</v>
      </c>
      <c r="J7615" s="501">
        <v>2</v>
      </c>
      <c r="K7615" s="501">
        <v>0</v>
      </c>
      <c r="L7615" s="501">
        <v>0</v>
      </c>
      <c r="M7615" s="501">
        <v>0</v>
      </c>
      <c r="N7615" s="501">
        <v>0</v>
      </c>
      <c r="O7615" s="506">
        <v>0</v>
      </c>
    </row>
    <row r="7616" spans="1:15" x14ac:dyDescent="0.35">
      <c r="A7616" s="503" t="s">
        <v>1235</v>
      </c>
      <c r="B7616" s="504">
        <v>4684</v>
      </c>
      <c r="C7616" s="504" t="s">
        <v>1094</v>
      </c>
      <c r="D7616" s="504" t="s">
        <v>3380</v>
      </c>
      <c r="E7616" s="504" t="s">
        <v>3381</v>
      </c>
      <c r="F7616" s="504" t="s">
        <v>896</v>
      </c>
      <c r="G7616" s="504" t="s">
        <v>897</v>
      </c>
      <c r="H7616" s="504" t="s">
        <v>12110</v>
      </c>
      <c r="I7616" s="504">
        <v>16</v>
      </c>
      <c r="J7616" s="504">
        <v>3</v>
      </c>
      <c r="K7616" s="504">
        <v>0</v>
      </c>
      <c r="L7616" s="504">
        <v>0</v>
      </c>
      <c r="M7616" s="504">
        <v>0</v>
      </c>
      <c r="N7616" s="504">
        <v>0</v>
      </c>
      <c r="O7616" s="505">
        <v>13</v>
      </c>
    </row>
    <row r="7617" spans="1:15" x14ac:dyDescent="0.35">
      <c r="A7617" s="500" t="s">
        <v>1126</v>
      </c>
      <c r="B7617" s="501" t="s">
        <v>2974</v>
      </c>
      <c r="C7617" s="501" t="s">
        <v>1094</v>
      </c>
      <c r="D7617" s="501" t="s">
        <v>3380</v>
      </c>
      <c r="E7617" s="501" t="s">
        <v>3381</v>
      </c>
      <c r="F7617" s="501" t="s">
        <v>896</v>
      </c>
      <c r="G7617" s="501" t="s">
        <v>897</v>
      </c>
      <c r="H7617" s="501" t="s">
        <v>9524</v>
      </c>
      <c r="I7617" s="501">
        <v>266</v>
      </c>
      <c r="J7617" s="501">
        <v>184</v>
      </c>
      <c r="K7617" s="501">
        <v>0</v>
      </c>
      <c r="L7617" s="501">
        <v>77</v>
      </c>
      <c r="M7617" s="501">
        <v>0</v>
      </c>
      <c r="N7617" s="501">
        <v>0</v>
      </c>
      <c r="O7617" s="506">
        <v>5</v>
      </c>
    </row>
    <row r="7618" spans="1:15" x14ac:dyDescent="0.35">
      <c r="A7618" s="503" t="s">
        <v>1342</v>
      </c>
      <c r="B7618" s="504" t="s">
        <v>3237</v>
      </c>
      <c r="C7618" s="504" t="s">
        <v>1094</v>
      </c>
      <c r="D7618" s="504" t="s">
        <v>3380</v>
      </c>
      <c r="E7618" s="504" t="s">
        <v>3381</v>
      </c>
      <c r="F7618" s="504" t="s">
        <v>896</v>
      </c>
      <c r="G7618" s="504" t="s">
        <v>897</v>
      </c>
      <c r="H7618" s="504" t="s">
        <v>9525</v>
      </c>
      <c r="I7618" s="504">
        <v>1</v>
      </c>
      <c r="J7618" s="504">
        <v>0</v>
      </c>
      <c r="K7618" s="504">
        <v>0</v>
      </c>
      <c r="L7618" s="504">
        <v>0</v>
      </c>
      <c r="M7618" s="504">
        <v>0</v>
      </c>
      <c r="N7618" s="504">
        <v>0</v>
      </c>
      <c r="O7618" s="505">
        <v>1</v>
      </c>
    </row>
    <row r="7619" spans="1:15" x14ac:dyDescent="0.35">
      <c r="A7619" s="500" t="s">
        <v>1343</v>
      </c>
      <c r="B7619" s="501">
        <v>4853</v>
      </c>
      <c r="C7619" s="501" t="s">
        <v>1089</v>
      </c>
      <c r="D7619" s="501" t="s">
        <v>3392</v>
      </c>
      <c r="E7619" s="501" t="s">
        <v>3381</v>
      </c>
      <c r="F7619" s="501" t="s">
        <v>896</v>
      </c>
      <c r="G7619" s="501" t="s">
        <v>897</v>
      </c>
      <c r="H7619" s="501" t="s">
        <v>9526</v>
      </c>
      <c r="I7619" s="501">
        <v>36</v>
      </c>
      <c r="J7619" s="501">
        <v>0</v>
      </c>
      <c r="K7619" s="501">
        <v>0</v>
      </c>
      <c r="L7619" s="501">
        <v>36</v>
      </c>
      <c r="M7619" s="501">
        <v>0</v>
      </c>
      <c r="N7619" s="501">
        <v>0</v>
      </c>
      <c r="O7619" s="506">
        <v>0</v>
      </c>
    </row>
    <row r="7620" spans="1:15" x14ac:dyDescent="0.35">
      <c r="A7620" s="503" t="s">
        <v>1130</v>
      </c>
      <c r="B7620" s="504" t="s">
        <v>3234</v>
      </c>
      <c r="C7620" s="504" t="s">
        <v>1094</v>
      </c>
      <c r="D7620" s="504" t="s">
        <v>3380</v>
      </c>
      <c r="E7620" s="504" t="s">
        <v>3381</v>
      </c>
      <c r="F7620" s="504" t="s">
        <v>896</v>
      </c>
      <c r="G7620" s="504" t="s">
        <v>897</v>
      </c>
      <c r="H7620" s="504" t="s">
        <v>9527</v>
      </c>
      <c r="I7620" s="504">
        <v>2</v>
      </c>
      <c r="J7620" s="504">
        <v>0</v>
      </c>
      <c r="K7620" s="504">
        <v>0</v>
      </c>
      <c r="L7620" s="504">
        <v>0</v>
      </c>
      <c r="M7620" s="504">
        <v>0</v>
      </c>
      <c r="N7620" s="504">
        <v>0</v>
      </c>
      <c r="O7620" s="505">
        <v>2</v>
      </c>
    </row>
    <row r="7621" spans="1:15" x14ac:dyDescent="0.35">
      <c r="A7621" s="500" t="s">
        <v>1346</v>
      </c>
      <c r="B7621" s="501" t="s">
        <v>3150</v>
      </c>
      <c r="C7621" s="501" t="s">
        <v>1094</v>
      </c>
      <c r="D7621" s="501" t="s">
        <v>3380</v>
      </c>
      <c r="E7621" s="501" t="s">
        <v>3381</v>
      </c>
      <c r="F7621" s="501" t="s">
        <v>896</v>
      </c>
      <c r="G7621" s="501" t="s">
        <v>897</v>
      </c>
      <c r="H7621" s="501" t="s">
        <v>9528</v>
      </c>
      <c r="I7621" s="501">
        <v>176</v>
      </c>
      <c r="J7621" s="501">
        <v>154</v>
      </c>
      <c r="K7621" s="501">
        <v>0</v>
      </c>
      <c r="L7621" s="501">
        <v>22</v>
      </c>
      <c r="M7621" s="501">
        <v>0</v>
      </c>
      <c r="N7621" s="501">
        <v>7</v>
      </c>
      <c r="O7621" s="506">
        <v>0</v>
      </c>
    </row>
    <row r="7622" spans="1:15" x14ac:dyDescent="0.35">
      <c r="A7622" s="503" t="s">
        <v>1353</v>
      </c>
      <c r="B7622" s="504" t="s">
        <v>2856</v>
      </c>
      <c r="C7622" s="504" t="s">
        <v>1089</v>
      </c>
      <c r="D7622" s="504" t="s">
        <v>3392</v>
      </c>
      <c r="E7622" s="504" t="s">
        <v>3381</v>
      </c>
      <c r="F7622" s="504" t="s">
        <v>896</v>
      </c>
      <c r="G7622" s="504" t="s">
        <v>897</v>
      </c>
      <c r="H7622" s="504" t="s">
        <v>9529</v>
      </c>
      <c r="I7622" s="504">
        <v>33</v>
      </c>
      <c r="J7622" s="504">
        <v>0</v>
      </c>
      <c r="K7622" s="504">
        <v>0</v>
      </c>
      <c r="L7622" s="504">
        <v>0</v>
      </c>
      <c r="M7622" s="504">
        <v>33</v>
      </c>
      <c r="N7622" s="504">
        <v>0</v>
      </c>
      <c r="O7622" s="505">
        <v>0</v>
      </c>
    </row>
    <row r="7623" spans="1:15" x14ac:dyDescent="0.35">
      <c r="A7623" s="500" t="s">
        <v>1358</v>
      </c>
      <c r="B7623" s="501" t="s">
        <v>3293</v>
      </c>
      <c r="C7623" s="501" t="s">
        <v>1089</v>
      </c>
      <c r="D7623" s="501" t="s">
        <v>3392</v>
      </c>
      <c r="E7623" s="501" t="s">
        <v>3381</v>
      </c>
      <c r="F7623" s="501" t="s">
        <v>896</v>
      </c>
      <c r="G7623" s="501" t="s">
        <v>897</v>
      </c>
      <c r="H7623" s="501" t="s">
        <v>9530</v>
      </c>
      <c r="I7623" s="501">
        <v>12</v>
      </c>
      <c r="J7623" s="501">
        <v>0</v>
      </c>
      <c r="K7623" s="501">
        <v>0</v>
      </c>
      <c r="L7623" s="501">
        <v>12</v>
      </c>
      <c r="M7623" s="501">
        <v>0</v>
      </c>
      <c r="N7623" s="501">
        <v>0</v>
      </c>
      <c r="O7623" s="506">
        <v>0</v>
      </c>
    </row>
    <row r="7624" spans="1:15" x14ac:dyDescent="0.35">
      <c r="A7624" s="503" t="s">
        <v>1249</v>
      </c>
      <c r="B7624" s="504">
        <v>4729</v>
      </c>
      <c r="C7624" s="504" t="s">
        <v>1094</v>
      </c>
      <c r="D7624" s="504" t="s">
        <v>3380</v>
      </c>
      <c r="E7624" s="504" t="s">
        <v>3381</v>
      </c>
      <c r="F7624" s="504" t="s">
        <v>896</v>
      </c>
      <c r="G7624" s="504" t="s">
        <v>897</v>
      </c>
      <c r="H7624" s="504" t="s">
        <v>9531</v>
      </c>
      <c r="I7624" s="504">
        <v>451</v>
      </c>
      <c r="J7624" s="504">
        <v>403</v>
      </c>
      <c r="K7624" s="504">
        <v>0</v>
      </c>
      <c r="L7624" s="504">
        <v>0</v>
      </c>
      <c r="M7624" s="504">
        <v>0</v>
      </c>
      <c r="N7624" s="504">
        <v>0</v>
      </c>
      <c r="O7624" s="505">
        <v>48</v>
      </c>
    </row>
    <row r="7625" spans="1:15" x14ac:dyDescent="0.35">
      <c r="A7625" s="500" t="s">
        <v>1252</v>
      </c>
      <c r="B7625" s="501" t="s">
        <v>2875</v>
      </c>
      <c r="C7625" s="501" t="s">
        <v>1089</v>
      </c>
      <c r="D7625" s="501" t="s">
        <v>3392</v>
      </c>
      <c r="E7625" s="501" t="s">
        <v>3381</v>
      </c>
      <c r="F7625" s="501" t="s">
        <v>896</v>
      </c>
      <c r="G7625" s="501" t="s">
        <v>897</v>
      </c>
      <c r="H7625" s="501" t="s">
        <v>9532</v>
      </c>
      <c r="I7625" s="501">
        <v>10</v>
      </c>
      <c r="J7625" s="501">
        <v>0</v>
      </c>
      <c r="K7625" s="501">
        <v>0</v>
      </c>
      <c r="L7625" s="501">
        <v>10</v>
      </c>
      <c r="M7625" s="501">
        <v>0</v>
      </c>
      <c r="N7625" s="501">
        <v>0</v>
      </c>
      <c r="O7625" s="506">
        <v>0</v>
      </c>
    </row>
    <row r="7626" spans="1:15" x14ac:dyDescent="0.35">
      <c r="A7626" s="503" t="s">
        <v>1253</v>
      </c>
      <c r="B7626" s="504" t="s">
        <v>3232</v>
      </c>
      <c r="C7626" s="504" t="s">
        <v>1094</v>
      </c>
      <c r="D7626" s="504" t="s">
        <v>3380</v>
      </c>
      <c r="E7626" s="504" t="s">
        <v>3381</v>
      </c>
      <c r="F7626" s="504" t="s">
        <v>896</v>
      </c>
      <c r="G7626" s="504" t="s">
        <v>897</v>
      </c>
      <c r="H7626" s="504" t="s">
        <v>9533</v>
      </c>
      <c r="I7626" s="504">
        <v>28</v>
      </c>
      <c r="J7626" s="504">
        <v>0</v>
      </c>
      <c r="K7626" s="504">
        <v>0</v>
      </c>
      <c r="L7626" s="504">
        <v>0</v>
      </c>
      <c r="M7626" s="504">
        <v>28</v>
      </c>
      <c r="N7626" s="504">
        <v>0</v>
      </c>
      <c r="O7626" s="505">
        <v>0</v>
      </c>
    </row>
    <row r="7627" spans="1:15" x14ac:dyDescent="0.35">
      <c r="A7627" s="500" t="s">
        <v>1385</v>
      </c>
      <c r="B7627" s="501" t="s">
        <v>3249</v>
      </c>
      <c r="C7627" s="501" t="s">
        <v>1094</v>
      </c>
      <c r="D7627" s="501" t="s">
        <v>3380</v>
      </c>
      <c r="E7627" s="501" t="s">
        <v>3381</v>
      </c>
      <c r="F7627" s="501" t="s">
        <v>898</v>
      </c>
      <c r="G7627" s="501" t="s">
        <v>899</v>
      </c>
      <c r="H7627" s="501" t="s">
        <v>9534</v>
      </c>
      <c r="I7627" s="501">
        <v>33</v>
      </c>
      <c r="J7627" s="501">
        <v>14</v>
      </c>
      <c r="K7627" s="501">
        <v>0</v>
      </c>
      <c r="L7627" s="501">
        <v>0</v>
      </c>
      <c r="M7627" s="501">
        <v>0</v>
      </c>
      <c r="N7627" s="501">
        <v>0</v>
      </c>
      <c r="O7627" s="506">
        <v>19</v>
      </c>
    </row>
    <row r="7628" spans="1:15" x14ac:dyDescent="0.35">
      <c r="A7628" s="503" t="s">
        <v>1096</v>
      </c>
      <c r="B7628" s="504" t="s">
        <v>3326</v>
      </c>
      <c r="C7628" s="504" t="s">
        <v>1094</v>
      </c>
      <c r="D7628" s="504" t="s">
        <v>3380</v>
      </c>
      <c r="E7628" s="504" t="s">
        <v>3381</v>
      </c>
      <c r="F7628" s="504" t="s">
        <v>898</v>
      </c>
      <c r="G7628" s="504" t="s">
        <v>899</v>
      </c>
      <c r="H7628" s="504" t="s">
        <v>9535</v>
      </c>
      <c r="I7628" s="504">
        <v>32</v>
      </c>
      <c r="J7628" s="504">
        <v>0</v>
      </c>
      <c r="K7628" s="504">
        <v>0</v>
      </c>
      <c r="L7628" s="504">
        <v>0</v>
      </c>
      <c r="M7628" s="504">
        <v>32</v>
      </c>
      <c r="N7628" s="504">
        <v>0</v>
      </c>
      <c r="O7628" s="505">
        <v>0</v>
      </c>
    </row>
    <row r="7629" spans="1:15" x14ac:dyDescent="0.35">
      <c r="A7629" s="500" t="s">
        <v>1270</v>
      </c>
      <c r="B7629" s="501" t="s">
        <v>3304</v>
      </c>
      <c r="C7629" s="501" t="s">
        <v>1089</v>
      </c>
      <c r="D7629" s="501" t="s">
        <v>3392</v>
      </c>
      <c r="E7629" s="501" t="s">
        <v>3381</v>
      </c>
      <c r="F7629" s="501" t="s">
        <v>898</v>
      </c>
      <c r="G7629" s="501" t="s">
        <v>899</v>
      </c>
      <c r="H7629" s="501" t="s">
        <v>9536</v>
      </c>
      <c r="I7629" s="501">
        <v>36</v>
      </c>
      <c r="J7629" s="501">
        <v>36</v>
      </c>
      <c r="K7629" s="501">
        <v>0</v>
      </c>
      <c r="L7629" s="501">
        <v>0</v>
      </c>
      <c r="M7629" s="501">
        <v>0</v>
      </c>
      <c r="N7629" s="501">
        <v>0</v>
      </c>
      <c r="O7629" s="506">
        <v>0</v>
      </c>
    </row>
    <row r="7630" spans="1:15" x14ac:dyDescent="0.35">
      <c r="A7630" s="503" t="s">
        <v>1394</v>
      </c>
      <c r="B7630" s="504" t="s">
        <v>2749</v>
      </c>
      <c r="C7630" s="504" t="s">
        <v>1089</v>
      </c>
      <c r="D7630" s="504" t="s">
        <v>3392</v>
      </c>
      <c r="E7630" s="504" t="s">
        <v>3381</v>
      </c>
      <c r="F7630" s="504" t="s">
        <v>898</v>
      </c>
      <c r="G7630" s="504" t="s">
        <v>899</v>
      </c>
      <c r="H7630" s="504" t="s">
        <v>9537</v>
      </c>
      <c r="I7630" s="504">
        <v>23</v>
      </c>
      <c r="J7630" s="504">
        <v>23</v>
      </c>
      <c r="K7630" s="504">
        <v>0</v>
      </c>
      <c r="L7630" s="504">
        <v>0</v>
      </c>
      <c r="M7630" s="504">
        <v>0</v>
      </c>
      <c r="N7630" s="504">
        <v>0</v>
      </c>
      <c r="O7630" s="505">
        <v>0</v>
      </c>
    </row>
    <row r="7631" spans="1:15" x14ac:dyDescent="0.35">
      <c r="A7631" s="500" t="s">
        <v>1395</v>
      </c>
      <c r="B7631" s="501" t="s">
        <v>2806</v>
      </c>
      <c r="C7631" s="501" t="s">
        <v>1089</v>
      </c>
      <c r="D7631" s="501" t="s">
        <v>3392</v>
      </c>
      <c r="E7631" s="501" t="s">
        <v>3381</v>
      </c>
      <c r="F7631" s="501" t="s">
        <v>898</v>
      </c>
      <c r="G7631" s="501" t="s">
        <v>899</v>
      </c>
      <c r="H7631" s="501" t="s">
        <v>9538</v>
      </c>
      <c r="I7631" s="501">
        <v>21</v>
      </c>
      <c r="J7631" s="501">
        <v>21</v>
      </c>
      <c r="K7631" s="501">
        <v>0</v>
      </c>
      <c r="L7631" s="501">
        <v>0</v>
      </c>
      <c r="M7631" s="501">
        <v>0</v>
      </c>
      <c r="N7631" s="501">
        <v>0</v>
      </c>
      <c r="O7631" s="506">
        <v>0</v>
      </c>
    </row>
    <row r="7632" spans="1:15" x14ac:dyDescent="0.35">
      <c r="A7632" s="503" t="s">
        <v>1405</v>
      </c>
      <c r="B7632" s="504" t="s">
        <v>2728</v>
      </c>
      <c r="C7632" s="504" t="s">
        <v>1089</v>
      </c>
      <c r="D7632" s="504" t="s">
        <v>3392</v>
      </c>
      <c r="E7632" s="504" t="s">
        <v>3381</v>
      </c>
      <c r="F7632" s="504" t="s">
        <v>898</v>
      </c>
      <c r="G7632" s="504" t="s">
        <v>899</v>
      </c>
      <c r="H7632" s="504" t="s">
        <v>9539</v>
      </c>
      <c r="I7632" s="504">
        <v>50</v>
      </c>
      <c r="J7632" s="504">
        <v>50</v>
      </c>
      <c r="K7632" s="504">
        <v>0</v>
      </c>
      <c r="L7632" s="504">
        <v>0</v>
      </c>
      <c r="M7632" s="504">
        <v>0</v>
      </c>
      <c r="N7632" s="504">
        <v>0</v>
      </c>
      <c r="O7632" s="505">
        <v>0</v>
      </c>
    </row>
    <row r="7633" spans="1:15" x14ac:dyDescent="0.35">
      <c r="A7633" s="500" t="s">
        <v>1406</v>
      </c>
      <c r="B7633" s="501" t="s">
        <v>2780</v>
      </c>
      <c r="C7633" s="501" t="s">
        <v>1089</v>
      </c>
      <c r="D7633" s="501" t="s">
        <v>3392</v>
      </c>
      <c r="E7633" s="501" t="s">
        <v>3381</v>
      </c>
      <c r="F7633" s="501" t="s">
        <v>898</v>
      </c>
      <c r="G7633" s="501" t="s">
        <v>899</v>
      </c>
      <c r="H7633" s="501" t="s">
        <v>9540</v>
      </c>
      <c r="I7633" s="501">
        <v>39</v>
      </c>
      <c r="J7633" s="501">
        <v>39</v>
      </c>
      <c r="K7633" s="501">
        <v>0</v>
      </c>
      <c r="L7633" s="501">
        <v>0</v>
      </c>
      <c r="M7633" s="501">
        <v>0</v>
      </c>
      <c r="N7633" s="501">
        <v>0</v>
      </c>
      <c r="O7633" s="506">
        <v>0</v>
      </c>
    </row>
    <row r="7634" spans="1:15" x14ac:dyDescent="0.35">
      <c r="A7634" s="503" t="s">
        <v>1410</v>
      </c>
      <c r="B7634" s="504" t="s">
        <v>2868</v>
      </c>
      <c r="C7634" s="504" t="s">
        <v>1094</v>
      </c>
      <c r="D7634" s="504" t="s">
        <v>3380</v>
      </c>
      <c r="E7634" s="504" t="s">
        <v>3381</v>
      </c>
      <c r="F7634" s="504" t="s">
        <v>898</v>
      </c>
      <c r="G7634" s="504" t="s">
        <v>899</v>
      </c>
      <c r="H7634" s="504" t="s">
        <v>9541</v>
      </c>
      <c r="I7634" s="504">
        <v>20</v>
      </c>
      <c r="J7634" s="504">
        <v>14</v>
      </c>
      <c r="K7634" s="504">
        <v>6</v>
      </c>
      <c r="L7634" s="504">
        <v>0</v>
      </c>
      <c r="M7634" s="504">
        <v>0</v>
      </c>
      <c r="N7634" s="504">
        <v>0</v>
      </c>
      <c r="O7634" s="505">
        <v>0</v>
      </c>
    </row>
    <row r="7635" spans="1:15" x14ac:dyDescent="0.35">
      <c r="A7635" s="500" t="s">
        <v>1411</v>
      </c>
      <c r="B7635" s="501" t="s">
        <v>2873</v>
      </c>
      <c r="C7635" s="501" t="s">
        <v>1089</v>
      </c>
      <c r="D7635" s="501" t="s">
        <v>3392</v>
      </c>
      <c r="E7635" s="501" t="s">
        <v>3381</v>
      </c>
      <c r="F7635" s="501" t="s">
        <v>898</v>
      </c>
      <c r="G7635" s="501" t="s">
        <v>899</v>
      </c>
      <c r="H7635" s="501" t="s">
        <v>9542</v>
      </c>
      <c r="I7635" s="501">
        <v>8</v>
      </c>
      <c r="J7635" s="501">
        <v>0</v>
      </c>
      <c r="K7635" s="501">
        <v>0</v>
      </c>
      <c r="L7635" s="501">
        <v>8</v>
      </c>
      <c r="M7635" s="501">
        <v>0</v>
      </c>
      <c r="N7635" s="501">
        <v>0</v>
      </c>
      <c r="O7635" s="506">
        <v>0</v>
      </c>
    </row>
    <row r="7636" spans="1:15" x14ac:dyDescent="0.35">
      <c r="A7636" s="503" t="s">
        <v>1100</v>
      </c>
      <c r="B7636" s="504">
        <v>4865</v>
      </c>
      <c r="C7636" s="504" t="s">
        <v>1094</v>
      </c>
      <c r="D7636" s="504" t="s">
        <v>3380</v>
      </c>
      <c r="E7636" s="504" t="s">
        <v>3381</v>
      </c>
      <c r="F7636" s="504" t="s">
        <v>898</v>
      </c>
      <c r="G7636" s="504" t="s">
        <v>899</v>
      </c>
      <c r="H7636" s="504" t="s">
        <v>9543</v>
      </c>
      <c r="I7636" s="504">
        <v>1174</v>
      </c>
      <c r="J7636" s="504">
        <v>985</v>
      </c>
      <c r="K7636" s="504">
        <v>66</v>
      </c>
      <c r="L7636" s="504">
        <v>2</v>
      </c>
      <c r="M7636" s="504">
        <v>0</v>
      </c>
      <c r="N7636" s="504">
        <v>0</v>
      </c>
      <c r="O7636" s="505">
        <v>121</v>
      </c>
    </row>
    <row r="7637" spans="1:15" x14ac:dyDescent="0.35">
      <c r="A7637" s="500" t="s">
        <v>1692</v>
      </c>
      <c r="B7637" s="501">
        <v>4780</v>
      </c>
      <c r="C7637" s="501" t="s">
        <v>1089</v>
      </c>
      <c r="D7637" s="501" t="s">
        <v>3392</v>
      </c>
      <c r="E7637" s="501" t="s">
        <v>3381</v>
      </c>
      <c r="F7637" s="501" t="s">
        <v>898</v>
      </c>
      <c r="G7637" s="501" t="s">
        <v>899</v>
      </c>
      <c r="H7637" s="501" t="s">
        <v>11655</v>
      </c>
      <c r="I7637" s="501">
        <v>20</v>
      </c>
      <c r="J7637" s="501">
        <v>0</v>
      </c>
      <c r="K7637" s="501">
        <v>20</v>
      </c>
      <c r="L7637" s="501">
        <v>0</v>
      </c>
      <c r="M7637" s="501">
        <v>0</v>
      </c>
      <c r="N7637" s="501">
        <v>20</v>
      </c>
      <c r="O7637" s="506">
        <v>0</v>
      </c>
    </row>
    <row r="7638" spans="1:15" x14ac:dyDescent="0.35">
      <c r="A7638" s="503" t="s">
        <v>1433</v>
      </c>
      <c r="B7638" s="504" t="s">
        <v>3316</v>
      </c>
      <c r="C7638" s="504" t="s">
        <v>1089</v>
      </c>
      <c r="D7638" s="504" t="s">
        <v>3392</v>
      </c>
      <c r="E7638" s="504" t="s">
        <v>3381</v>
      </c>
      <c r="F7638" s="504" t="s">
        <v>898</v>
      </c>
      <c r="G7638" s="504" t="s">
        <v>899</v>
      </c>
      <c r="H7638" s="504" t="s">
        <v>9544</v>
      </c>
      <c r="I7638" s="504">
        <v>41</v>
      </c>
      <c r="J7638" s="504">
        <v>34</v>
      </c>
      <c r="K7638" s="504">
        <v>0</v>
      </c>
      <c r="L7638" s="504">
        <v>7</v>
      </c>
      <c r="M7638" s="504">
        <v>0</v>
      </c>
      <c r="N7638" s="504">
        <v>0</v>
      </c>
      <c r="O7638" s="505">
        <v>0</v>
      </c>
    </row>
    <row r="7639" spans="1:15" x14ac:dyDescent="0.35">
      <c r="A7639" s="500" t="s">
        <v>14208</v>
      </c>
      <c r="B7639" s="501">
        <v>4803</v>
      </c>
      <c r="C7639" s="501" t="s">
        <v>1094</v>
      </c>
      <c r="D7639" s="501" t="s">
        <v>3380</v>
      </c>
      <c r="E7639" s="501" t="s">
        <v>3381</v>
      </c>
      <c r="F7639" s="501" t="s">
        <v>898</v>
      </c>
      <c r="G7639" s="501" t="s">
        <v>899</v>
      </c>
      <c r="H7639" s="501" t="s">
        <v>15097</v>
      </c>
      <c r="I7639" s="501">
        <v>43</v>
      </c>
      <c r="J7639" s="501">
        <v>0</v>
      </c>
      <c r="K7639" s="501">
        <v>0</v>
      </c>
      <c r="L7639" s="501">
        <v>43</v>
      </c>
      <c r="M7639" s="501">
        <v>0</v>
      </c>
      <c r="N7639" s="501">
        <v>0</v>
      </c>
      <c r="O7639" s="506">
        <v>0</v>
      </c>
    </row>
    <row r="7640" spans="1:15" x14ac:dyDescent="0.35">
      <c r="A7640" s="503" t="s">
        <v>1185</v>
      </c>
      <c r="B7640" s="504" t="s">
        <v>3253</v>
      </c>
      <c r="C7640" s="504" t="s">
        <v>1094</v>
      </c>
      <c r="D7640" s="504" t="s">
        <v>3380</v>
      </c>
      <c r="E7640" s="504" t="s">
        <v>3381</v>
      </c>
      <c r="F7640" s="504" t="s">
        <v>898</v>
      </c>
      <c r="G7640" s="504" t="s">
        <v>899</v>
      </c>
      <c r="H7640" s="504" t="s">
        <v>9545</v>
      </c>
      <c r="I7640" s="504">
        <v>184</v>
      </c>
      <c r="J7640" s="504">
        <v>126</v>
      </c>
      <c r="K7640" s="504">
        <v>0</v>
      </c>
      <c r="L7640" s="504">
        <v>50</v>
      </c>
      <c r="M7640" s="504">
        <v>8</v>
      </c>
      <c r="N7640" s="504">
        <v>0</v>
      </c>
      <c r="O7640" s="505">
        <v>0</v>
      </c>
    </row>
    <row r="7641" spans="1:15" x14ac:dyDescent="0.35">
      <c r="A7641" s="500" t="s">
        <v>1457</v>
      </c>
      <c r="B7641" s="501" t="s">
        <v>2440</v>
      </c>
      <c r="C7641" s="501" t="s">
        <v>1089</v>
      </c>
      <c r="D7641" s="501" t="s">
        <v>3392</v>
      </c>
      <c r="E7641" s="501" t="s">
        <v>3381</v>
      </c>
      <c r="F7641" s="501" t="s">
        <v>898</v>
      </c>
      <c r="G7641" s="501" t="s">
        <v>899</v>
      </c>
      <c r="H7641" s="501" t="s">
        <v>9546</v>
      </c>
      <c r="I7641" s="501">
        <v>7</v>
      </c>
      <c r="J7641" s="501">
        <v>0</v>
      </c>
      <c r="K7641" s="501">
        <v>0</v>
      </c>
      <c r="L7641" s="501">
        <v>0</v>
      </c>
      <c r="M7641" s="501">
        <v>7</v>
      </c>
      <c r="N7641" s="501">
        <v>0</v>
      </c>
      <c r="O7641" s="506">
        <v>0</v>
      </c>
    </row>
    <row r="7642" spans="1:15" x14ac:dyDescent="0.35">
      <c r="A7642" s="503" t="s">
        <v>1459</v>
      </c>
      <c r="B7642" s="504" t="s">
        <v>3063</v>
      </c>
      <c r="C7642" s="504" t="s">
        <v>1094</v>
      </c>
      <c r="D7642" s="504" t="s">
        <v>3380</v>
      </c>
      <c r="E7642" s="504" t="s">
        <v>3381</v>
      </c>
      <c r="F7642" s="504" t="s">
        <v>898</v>
      </c>
      <c r="G7642" s="504" t="s">
        <v>899</v>
      </c>
      <c r="H7642" s="504" t="s">
        <v>9547</v>
      </c>
      <c r="I7642" s="504">
        <v>1498</v>
      </c>
      <c r="J7642" s="504">
        <v>1256</v>
      </c>
      <c r="K7642" s="504">
        <v>0</v>
      </c>
      <c r="L7642" s="504">
        <v>156</v>
      </c>
      <c r="M7642" s="504">
        <v>0</v>
      </c>
      <c r="N7642" s="504">
        <v>0</v>
      </c>
      <c r="O7642" s="505">
        <v>86</v>
      </c>
    </row>
    <row r="7643" spans="1:15" x14ac:dyDescent="0.35">
      <c r="A7643" s="500" t="s">
        <v>1105</v>
      </c>
      <c r="B7643" s="501">
        <v>4668</v>
      </c>
      <c r="C7643" s="501" t="s">
        <v>1094</v>
      </c>
      <c r="D7643" s="501" t="s">
        <v>3380</v>
      </c>
      <c r="E7643" s="501" t="s">
        <v>3381</v>
      </c>
      <c r="F7643" s="501" t="s">
        <v>898</v>
      </c>
      <c r="G7643" s="501" t="s">
        <v>899</v>
      </c>
      <c r="H7643" s="501" t="s">
        <v>9548</v>
      </c>
      <c r="I7643" s="501">
        <v>16</v>
      </c>
      <c r="J7643" s="501">
        <v>0</v>
      </c>
      <c r="K7643" s="501">
        <v>0</v>
      </c>
      <c r="L7643" s="501">
        <v>0</v>
      </c>
      <c r="M7643" s="501">
        <v>0</v>
      </c>
      <c r="N7643" s="501">
        <v>0</v>
      </c>
      <c r="O7643" s="506">
        <v>16</v>
      </c>
    </row>
    <row r="7644" spans="1:15" x14ac:dyDescent="0.35">
      <c r="A7644" s="503" t="s">
        <v>1466</v>
      </c>
      <c r="B7644" s="504" t="s">
        <v>2546</v>
      </c>
      <c r="C7644" s="504" t="s">
        <v>1089</v>
      </c>
      <c r="D7644" s="504" t="s">
        <v>3392</v>
      </c>
      <c r="E7644" s="504" t="s">
        <v>3381</v>
      </c>
      <c r="F7644" s="504" t="s">
        <v>898</v>
      </c>
      <c r="G7644" s="504" t="s">
        <v>899</v>
      </c>
      <c r="H7644" s="504" t="s">
        <v>9549</v>
      </c>
      <c r="I7644" s="504">
        <v>20</v>
      </c>
      <c r="J7644" s="504">
        <v>0</v>
      </c>
      <c r="K7644" s="504">
        <v>0</v>
      </c>
      <c r="L7644" s="504">
        <v>0</v>
      </c>
      <c r="M7644" s="504">
        <v>20</v>
      </c>
      <c r="N7644" s="504">
        <v>0</v>
      </c>
      <c r="O7644" s="505">
        <v>0</v>
      </c>
    </row>
    <row r="7645" spans="1:15" x14ac:dyDescent="0.35">
      <c r="A7645" s="500" t="s">
        <v>1109</v>
      </c>
      <c r="B7645" s="501" t="s">
        <v>2959</v>
      </c>
      <c r="C7645" s="501" t="s">
        <v>1094</v>
      </c>
      <c r="D7645" s="501" t="s">
        <v>3380</v>
      </c>
      <c r="E7645" s="501" t="s">
        <v>3381</v>
      </c>
      <c r="F7645" s="501" t="s">
        <v>898</v>
      </c>
      <c r="G7645" s="501" t="s">
        <v>899</v>
      </c>
      <c r="H7645" s="501" t="s">
        <v>9550</v>
      </c>
      <c r="I7645" s="501">
        <v>81</v>
      </c>
      <c r="J7645" s="501">
        <v>0</v>
      </c>
      <c r="K7645" s="501">
        <v>0</v>
      </c>
      <c r="L7645" s="501">
        <v>0</v>
      </c>
      <c r="M7645" s="501">
        <v>81</v>
      </c>
      <c r="N7645" s="501">
        <v>0</v>
      </c>
      <c r="O7645" s="506">
        <v>0</v>
      </c>
    </row>
    <row r="7646" spans="1:15" x14ac:dyDescent="0.35">
      <c r="A7646" s="503" t="s">
        <v>1469</v>
      </c>
      <c r="B7646" s="504" t="s">
        <v>3023</v>
      </c>
      <c r="C7646" s="504" t="s">
        <v>1089</v>
      </c>
      <c r="D7646" s="504" t="s">
        <v>3392</v>
      </c>
      <c r="E7646" s="504" t="s">
        <v>3381</v>
      </c>
      <c r="F7646" s="504" t="s">
        <v>898</v>
      </c>
      <c r="G7646" s="504" t="s">
        <v>899</v>
      </c>
      <c r="H7646" s="504" t="s">
        <v>9551</v>
      </c>
      <c r="I7646" s="504">
        <v>120</v>
      </c>
      <c r="J7646" s="504">
        <v>120</v>
      </c>
      <c r="K7646" s="504">
        <v>0</v>
      </c>
      <c r="L7646" s="504">
        <v>0</v>
      </c>
      <c r="M7646" s="504">
        <v>0</v>
      </c>
      <c r="N7646" s="504">
        <v>13</v>
      </c>
      <c r="O7646" s="505">
        <v>0</v>
      </c>
    </row>
    <row r="7647" spans="1:15" x14ac:dyDescent="0.35">
      <c r="A7647" s="500" t="s">
        <v>1189</v>
      </c>
      <c r="B7647" s="501" t="s">
        <v>3236</v>
      </c>
      <c r="C7647" s="501" t="s">
        <v>1094</v>
      </c>
      <c r="D7647" s="501" t="s">
        <v>3380</v>
      </c>
      <c r="E7647" s="501" t="s">
        <v>3381</v>
      </c>
      <c r="F7647" s="501" t="s">
        <v>898</v>
      </c>
      <c r="G7647" s="501" t="s">
        <v>899</v>
      </c>
      <c r="H7647" s="501" t="s">
        <v>9552</v>
      </c>
      <c r="I7647" s="501">
        <v>1998</v>
      </c>
      <c r="J7647" s="501">
        <v>1414</v>
      </c>
      <c r="K7647" s="501">
        <v>0</v>
      </c>
      <c r="L7647" s="501">
        <v>158</v>
      </c>
      <c r="M7647" s="501">
        <v>49</v>
      </c>
      <c r="N7647" s="501">
        <v>24</v>
      </c>
      <c r="O7647" s="506">
        <v>377</v>
      </c>
    </row>
    <row r="7648" spans="1:15" x14ac:dyDescent="0.35">
      <c r="A7648" s="503" t="s">
        <v>1481</v>
      </c>
      <c r="B7648" s="504" t="s">
        <v>3083</v>
      </c>
      <c r="C7648" s="504" t="s">
        <v>1089</v>
      </c>
      <c r="D7648" s="504" t="s">
        <v>3392</v>
      </c>
      <c r="E7648" s="504" t="s">
        <v>3381</v>
      </c>
      <c r="F7648" s="504" t="s">
        <v>898</v>
      </c>
      <c r="G7648" s="504" t="s">
        <v>899</v>
      </c>
      <c r="H7648" s="504" t="s">
        <v>9553</v>
      </c>
      <c r="I7648" s="504">
        <v>56</v>
      </c>
      <c r="J7648" s="504">
        <v>56</v>
      </c>
      <c r="K7648" s="504">
        <v>0</v>
      </c>
      <c r="L7648" s="504">
        <v>0</v>
      </c>
      <c r="M7648" s="504">
        <v>0</v>
      </c>
      <c r="N7648" s="504">
        <v>0</v>
      </c>
      <c r="O7648" s="505">
        <v>0</v>
      </c>
    </row>
    <row r="7649" spans="1:15" x14ac:dyDescent="0.35">
      <c r="A7649" s="500" t="s">
        <v>1486</v>
      </c>
      <c r="B7649" s="501" t="s">
        <v>3020</v>
      </c>
      <c r="C7649" s="501" t="s">
        <v>1089</v>
      </c>
      <c r="D7649" s="501" t="s">
        <v>3392</v>
      </c>
      <c r="E7649" s="501" t="s">
        <v>3381</v>
      </c>
      <c r="F7649" s="501" t="s">
        <v>898</v>
      </c>
      <c r="G7649" s="501" t="s">
        <v>899</v>
      </c>
      <c r="H7649" s="501" t="s">
        <v>9554</v>
      </c>
      <c r="I7649" s="501">
        <v>158</v>
      </c>
      <c r="J7649" s="501">
        <v>0</v>
      </c>
      <c r="K7649" s="501">
        <v>158</v>
      </c>
      <c r="L7649" s="501">
        <v>0</v>
      </c>
      <c r="M7649" s="501">
        <v>0</v>
      </c>
      <c r="N7649" s="501">
        <v>0</v>
      </c>
      <c r="O7649" s="506">
        <v>0</v>
      </c>
    </row>
    <row r="7650" spans="1:15" x14ac:dyDescent="0.35">
      <c r="A7650" s="503" t="s">
        <v>1311</v>
      </c>
      <c r="B7650" s="504" t="s">
        <v>3361</v>
      </c>
      <c r="C7650" s="504" t="s">
        <v>1094</v>
      </c>
      <c r="D7650" s="504" t="s">
        <v>3380</v>
      </c>
      <c r="E7650" s="504" t="s">
        <v>3381</v>
      </c>
      <c r="F7650" s="504" t="s">
        <v>898</v>
      </c>
      <c r="G7650" s="504" t="s">
        <v>899</v>
      </c>
      <c r="H7650" s="504" t="s">
        <v>9555</v>
      </c>
      <c r="I7650" s="504">
        <v>2</v>
      </c>
      <c r="J7650" s="504">
        <v>2</v>
      </c>
      <c r="K7650" s="504">
        <v>0</v>
      </c>
      <c r="L7650" s="504">
        <v>0</v>
      </c>
      <c r="M7650" s="504">
        <v>0</v>
      </c>
      <c r="N7650" s="504">
        <v>0</v>
      </c>
      <c r="O7650" s="505">
        <v>0</v>
      </c>
    </row>
    <row r="7651" spans="1:15" x14ac:dyDescent="0.35">
      <c r="A7651" s="500" t="s">
        <v>1202</v>
      </c>
      <c r="B7651" s="501" t="s">
        <v>3217</v>
      </c>
      <c r="C7651" s="501" t="s">
        <v>1094</v>
      </c>
      <c r="D7651" s="501" t="s">
        <v>3380</v>
      </c>
      <c r="E7651" s="501" t="s">
        <v>3381</v>
      </c>
      <c r="F7651" s="501" t="s">
        <v>898</v>
      </c>
      <c r="G7651" s="501" t="s">
        <v>899</v>
      </c>
      <c r="H7651" s="501" t="s">
        <v>9556</v>
      </c>
      <c r="I7651" s="501">
        <v>3084</v>
      </c>
      <c r="J7651" s="501">
        <v>2223</v>
      </c>
      <c r="K7651" s="501">
        <v>0</v>
      </c>
      <c r="L7651" s="501">
        <v>175</v>
      </c>
      <c r="M7651" s="501">
        <v>0</v>
      </c>
      <c r="N7651" s="501">
        <v>5</v>
      </c>
      <c r="O7651" s="506">
        <v>686</v>
      </c>
    </row>
    <row r="7652" spans="1:15" x14ac:dyDescent="0.35">
      <c r="A7652" s="503" t="s">
        <v>1492</v>
      </c>
      <c r="B7652" s="504" t="s">
        <v>3354</v>
      </c>
      <c r="C7652" s="504" t="s">
        <v>1089</v>
      </c>
      <c r="D7652" s="504" t="s">
        <v>3392</v>
      </c>
      <c r="E7652" s="504" t="s">
        <v>3381</v>
      </c>
      <c r="F7652" s="504" t="s">
        <v>898</v>
      </c>
      <c r="G7652" s="504" t="s">
        <v>899</v>
      </c>
      <c r="H7652" s="504" t="s">
        <v>9557</v>
      </c>
      <c r="I7652" s="504">
        <v>6</v>
      </c>
      <c r="J7652" s="504">
        <v>0</v>
      </c>
      <c r="K7652" s="504">
        <v>0</v>
      </c>
      <c r="L7652" s="504">
        <v>6</v>
      </c>
      <c r="M7652" s="504">
        <v>0</v>
      </c>
      <c r="N7652" s="504">
        <v>0</v>
      </c>
      <c r="O7652" s="505">
        <v>0</v>
      </c>
    </row>
    <row r="7653" spans="1:15" x14ac:dyDescent="0.35">
      <c r="A7653" s="500" t="s">
        <v>1494</v>
      </c>
      <c r="B7653" s="501" t="s">
        <v>3235</v>
      </c>
      <c r="C7653" s="501" t="s">
        <v>1094</v>
      </c>
      <c r="D7653" s="501" t="s">
        <v>3380</v>
      </c>
      <c r="E7653" s="501" t="s">
        <v>3381</v>
      </c>
      <c r="F7653" s="501" t="s">
        <v>898</v>
      </c>
      <c r="G7653" s="501" t="s">
        <v>899</v>
      </c>
      <c r="H7653" s="501" t="s">
        <v>9558</v>
      </c>
      <c r="I7653" s="501">
        <v>14</v>
      </c>
      <c r="J7653" s="501">
        <v>0</v>
      </c>
      <c r="K7653" s="501">
        <v>0</v>
      </c>
      <c r="L7653" s="501">
        <v>14</v>
      </c>
      <c r="M7653" s="501">
        <v>0</v>
      </c>
      <c r="N7653" s="501">
        <v>0</v>
      </c>
      <c r="O7653" s="506">
        <v>0</v>
      </c>
    </row>
    <row r="7654" spans="1:15" x14ac:dyDescent="0.35">
      <c r="A7654" s="503" t="s">
        <v>1112</v>
      </c>
      <c r="B7654" s="504" t="s">
        <v>3008</v>
      </c>
      <c r="C7654" s="504" t="s">
        <v>1094</v>
      </c>
      <c r="D7654" s="504" t="s">
        <v>3380</v>
      </c>
      <c r="E7654" s="504" t="s">
        <v>3381</v>
      </c>
      <c r="F7654" s="504" t="s">
        <v>898</v>
      </c>
      <c r="G7654" s="504" t="s">
        <v>899</v>
      </c>
      <c r="H7654" s="504" t="s">
        <v>9559</v>
      </c>
      <c r="I7654" s="504">
        <v>634</v>
      </c>
      <c r="J7654" s="504">
        <v>265</v>
      </c>
      <c r="K7654" s="504">
        <v>4</v>
      </c>
      <c r="L7654" s="504">
        <v>261</v>
      </c>
      <c r="M7654" s="504">
        <v>0</v>
      </c>
      <c r="N7654" s="504">
        <v>0</v>
      </c>
      <c r="O7654" s="505">
        <v>104</v>
      </c>
    </row>
    <row r="7655" spans="1:15" x14ac:dyDescent="0.35">
      <c r="A7655" s="500" t="s">
        <v>1114</v>
      </c>
      <c r="B7655" s="501" t="s">
        <v>2982</v>
      </c>
      <c r="C7655" s="501" t="s">
        <v>1094</v>
      </c>
      <c r="D7655" s="501" t="s">
        <v>3380</v>
      </c>
      <c r="E7655" s="501" t="s">
        <v>3381</v>
      </c>
      <c r="F7655" s="501" t="s">
        <v>898</v>
      </c>
      <c r="G7655" s="501" t="s">
        <v>899</v>
      </c>
      <c r="H7655" s="501" t="s">
        <v>9560</v>
      </c>
      <c r="I7655" s="501">
        <v>4</v>
      </c>
      <c r="J7655" s="501">
        <v>0</v>
      </c>
      <c r="K7655" s="501">
        <v>0</v>
      </c>
      <c r="L7655" s="501">
        <v>0</v>
      </c>
      <c r="M7655" s="501">
        <v>0</v>
      </c>
      <c r="N7655" s="501">
        <v>0</v>
      </c>
      <c r="O7655" s="506">
        <v>4</v>
      </c>
    </row>
    <row r="7656" spans="1:15" x14ac:dyDescent="0.35">
      <c r="A7656" s="503" t="s">
        <v>1503</v>
      </c>
      <c r="B7656" s="504">
        <v>4666</v>
      </c>
      <c r="C7656" s="504" t="s">
        <v>1089</v>
      </c>
      <c r="D7656" s="504" t="s">
        <v>3392</v>
      </c>
      <c r="E7656" s="504" t="s">
        <v>3381</v>
      </c>
      <c r="F7656" s="504" t="s">
        <v>898</v>
      </c>
      <c r="G7656" s="504" t="s">
        <v>899</v>
      </c>
      <c r="H7656" s="504" t="s">
        <v>9561</v>
      </c>
      <c r="I7656" s="504">
        <v>4</v>
      </c>
      <c r="J7656" s="504">
        <v>0</v>
      </c>
      <c r="K7656" s="504">
        <v>0</v>
      </c>
      <c r="L7656" s="504">
        <v>4</v>
      </c>
      <c r="M7656" s="504">
        <v>0</v>
      </c>
      <c r="N7656" s="504">
        <v>0</v>
      </c>
      <c r="O7656" s="505">
        <v>0</v>
      </c>
    </row>
    <row r="7657" spans="1:15" x14ac:dyDescent="0.35">
      <c r="A7657" s="500" t="s">
        <v>1506</v>
      </c>
      <c r="B7657" s="501" t="s">
        <v>3318</v>
      </c>
      <c r="C7657" s="501" t="s">
        <v>1089</v>
      </c>
      <c r="D7657" s="501" t="s">
        <v>3392</v>
      </c>
      <c r="E7657" s="501" t="s">
        <v>3381</v>
      </c>
      <c r="F7657" s="501" t="s">
        <v>898</v>
      </c>
      <c r="G7657" s="501" t="s">
        <v>899</v>
      </c>
      <c r="H7657" s="501" t="s">
        <v>9562</v>
      </c>
      <c r="I7657" s="501">
        <v>114</v>
      </c>
      <c r="J7657" s="501">
        <v>114</v>
      </c>
      <c r="K7657" s="501">
        <v>0</v>
      </c>
      <c r="L7657" s="501">
        <v>0</v>
      </c>
      <c r="M7657" s="501">
        <v>0</v>
      </c>
      <c r="N7657" s="501">
        <v>10</v>
      </c>
      <c r="O7657" s="506">
        <v>0</v>
      </c>
    </row>
    <row r="7658" spans="1:15" x14ac:dyDescent="0.35">
      <c r="A7658" s="503" t="s">
        <v>1319</v>
      </c>
      <c r="B7658" s="504">
        <v>4880</v>
      </c>
      <c r="C7658" s="504" t="s">
        <v>1094</v>
      </c>
      <c r="D7658" s="504" t="s">
        <v>3380</v>
      </c>
      <c r="E7658" s="504" t="s">
        <v>3381</v>
      </c>
      <c r="F7658" s="504" t="s">
        <v>898</v>
      </c>
      <c r="G7658" s="504" t="s">
        <v>899</v>
      </c>
      <c r="H7658" s="504" t="s">
        <v>9563</v>
      </c>
      <c r="I7658" s="504">
        <v>1137</v>
      </c>
      <c r="J7658" s="504">
        <v>933</v>
      </c>
      <c r="K7658" s="504">
        <v>159</v>
      </c>
      <c r="L7658" s="504">
        <v>12</v>
      </c>
      <c r="M7658" s="504">
        <v>29</v>
      </c>
      <c r="N7658" s="504">
        <v>0</v>
      </c>
      <c r="O7658" s="505">
        <v>4</v>
      </c>
    </row>
    <row r="7659" spans="1:15" x14ac:dyDescent="0.35">
      <c r="A7659" s="500" t="s">
        <v>1120</v>
      </c>
      <c r="B7659" s="501" t="s">
        <v>3362</v>
      </c>
      <c r="C7659" s="501" t="s">
        <v>1094</v>
      </c>
      <c r="D7659" s="501" t="s">
        <v>3380</v>
      </c>
      <c r="E7659" s="501" t="s">
        <v>3381</v>
      </c>
      <c r="F7659" s="501" t="s">
        <v>898</v>
      </c>
      <c r="G7659" s="501" t="s">
        <v>899</v>
      </c>
      <c r="H7659" s="501" t="s">
        <v>9564</v>
      </c>
      <c r="I7659" s="501">
        <v>424</v>
      </c>
      <c r="J7659" s="501">
        <v>0</v>
      </c>
      <c r="K7659" s="501">
        <v>0</v>
      </c>
      <c r="L7659" s="501">
        <v>0</v>
      </c>
      <c r="M7659" s="501">
        <v>0</v>
      </c>
      <c r="N7659" s="501">
        <v>0</v>
      </c>
      <c r="O7659" s="506">
        <v>424</v>
      </c>
    </row>
    <row r="7660" spans="1:15" x14ac:dyDescent="0.35">
      <c r="A7660" s="503" t="s">
        <v>1320</v>
      </c>
      <c r="B7660" s="504">
        <v>4720</v>
      </c>
      <c r="C7660" s="504" t="s">
        <v>1089</v>
      </c>
      <c r="D7660" s="504" t="s">
        <v>3392</v>
      </c>
      <c r="E7660" s="504" t="s">
        <v>3381</v>
      </c>
      <c r="F7660" s="504" t="s">
        <v>898</v>
      </c>
      <c r="G7660" s="504" t="s">
        <v>899</v>
      </c>
      <c r="H7660" s="504" t="s">
        <v>11882</v>
      </c>
      <c r="I7660" s="504">
        <v>1</v>
      </c>
      <c r="J7660" s="504">
        <v>1</v>
      </c>
      <c r="K7660" s="504">
        <v>0</v>
      </c>
      <c r="L7660" s="504">
        <v>0</v>
      </c>
      <c r="M7660" s="504">
        <v>0</v>
      </c>
      <c r="N7660" s="504">
        <v>0</v>
      </c>
      <c r="O7660" s="505">
        <v>0</v>
      </c>
    </row>
    <row r="7661" spans="1:15" x14ac:dyDescent="0.35">
      <c r="A7661" s="500" t="s">
        <v>1510</v>
      </c>
      <c r="B7661" s="501" t="s">
        <v>3004</v>
      </c>
      <c r="C7661" s="501" t="s">
        <v>1094</v>
      </c>
      <c r="D7661" s="501" t="s">
        <v>3380</v>
      </c>
      <c r="E7661" s="501" t="s">
        <v>3381</v>
      </c>
      <c r="F7661" s="501" t="s">
        <v>898</v>
      </c>
      <c r="G7661" s="501" t="s">
        <v>899</v>
      </c>
      <c r="H7661" s="501" t="s">
        <v>9565</v>
      </c>
      <c r="I7661" s="501">
        <v>63</v>
      </c>
      <c r="J7661" s="501">
        <v>63</v>
      </c>
      <c r="K7661" s="501">
        <v>0</v>
      </c>
      <c r="L7661" s="501">
        <v>0</v>
      </c>
      <c r="M7661" s="501">
        <v>0</v>
      </c>
      <c r="N7661" s="501">
        <v>0</v>
      </c>
      <c r="O7661" s="506">
        <v>0</v>
      </c>
    </row>
    <row r="7662" spans="1:15" x14ac:dyDescent="0.35">
      <c r="A7662" s="503" t="s">
        <v>1321</v>
      </c>
      <c r="B7662" s="504">
        <v>4635</v>
      </c>
      <c r="C7662" s="504" t="s">
        <v>1089</v>
      </c>
      <c r="D7662" s="504" t="s">
        <v>3392</v>
      </c>
      <c r="E7662" s="504" t="s">
        <v>3381</v>
      </c>
      <c r="F7662" s="504" t="s">
        <v>898</v>
      </c>
      <c r="G7662" s="504" t="s">
        <v>899</v>
      </c>
      <c r="H7662" s="504" t="s">
        <v>15098</v>
      </c>
      <c r="I7662" s="504">
        <v>1</v>
      </c>
      <c r="J7662" s="504">
        <v>1</v>
      </c>
      <c r="K7662" s="504">
        <v>0</v>
      </c>
      <c r="L7662" s="504">
        <v>0</v>
      </c>
      <c r="M7662" s="504">
        <v>0</v>
      </c>
      <c r="N7662" s="504">
        <v>0</v>
      </c>
      <c r="O7662" s="505">
        <v>0</v>
      </c>
    </row>
    <row r="7663" spans="1:15" x14ac:dyDescent="0.35">
      <c r="A7663" s="500" t="s">
        <v>1322</v>
      </c>
      <c r="B7663" s="501" t="s">
        <v>3244</v>
      </c>
      <c r="C7663" s="501" t="s">
        <v>1094</v>
      </c>
      <c r="D7663" s="501" t="s">
        <v>3380</v>
      </c>
      <c r="E7663" s="501" t="s">
        <v>3381</v>
      </c>
      <c r="F7663" s="501" t="s">
        <v>898</v>
      </c>
      <c r="G7663" s="501" t="s">
        <v>899</v>
      </c>
      <c r="H7663" s="501" t="s">
        <v>9566</v>
      </c>
      <c r="I7663" s="501">
        <v>26</v>
      </c>
      <c r="J7663" s="501">
        <v>8</v>
      </c>
      <c r="K7663" s="501">
        <v>0</v>
      </c>
      <c r="L7663" s="501">
        <v>0</v>
      </c>
      <c r="M7663" s="501">
        <v>0</v>
      </c>
      <c r="N7663" s="501">
        <v>0</v>
      </c>
      <c r="O7663" s="506">
        <v>18</v>
      </c>
    </row>
    <row r="7664" spans="1:15" x14ac:dyDescent="0.35">
      <c r="A7664" s="503" t="s">
        <v>1217</v>
      </c>
      <c r="B7664" s="504">
        <v>4851</v>
      </c>
      <c r="C7664" s="504" t="s">
        <v>1094</v>
      </c>
      <c r="D7664" s="504" t="s">
        <v>3380</v>
      </c>
      <c r="E7664" s="504" t="s">
        <v>3381</v>
      </c>
      <c r="F7664" s="504" t="s">
        <v>898</v>
      </c>
      <c r="G7664" s="504" t="s">
        <v>899</v>
      </c>
      <c r="H7664" s="504" t="s">
        <v>9567</v>
      </c>
      <c r="I7664" s="504">
        <v>1772</v>
      </c>
      <c r="J7664" s="504">
        <v>1294</v>
      </c>
      <c r="K7664" s="504">
        <v>0</v>
      </c>
      <c r="L7664" s="504">
        <v>53</v>
      </c>
      <c r="M7664" s="504">
        <v>81</v>
      </c>
      <c r="N7664" s="504">
        <v>2</v>
      </c>
      <c r="O7664" s="505">
        <v>344</v>
      </c>
    </row>
    <row r="7665" spans="1:15" x14ac:dyDescent="0.35">
      <c r="A7665" s="500" t="s">
        <v>14267</v>
      </c>
      <c r="B7665" s="501">
        <v>4699</v>
      </c>
      <c r="C7665" s="501" t="s">
        <v>1089</v>
      </c>
      <c r="D7665" s="501" t="s">
        <v>3392</v>
      </c>
      <c r="E7665" s="501" t="s">
        <v>3381</v>
      </c>
      <c r="F7665" s="501" t="s">
        <v>898</v>
      </c>
      <c r="G7665" s="501" t="s">
        <v>899</v>
      </c>
      <c r="H7665" s="501" t="s">
        <v>15099</v>
      </c>
      <c r="I7665" s="501">
        <v>8</v>
      </c>
      <c r="J7665" s="501">
        <v>8</v>
      </c>
      <c r="K7665" s="501">
        <v>0</v>
      </c>
      <c r="L7665" s="501">
        <v>0</v>
      </c>
      <c r="M7665" s="501">
        <v>0</v>
      </c>
      <c r="N7665" s="501">
        <v>0</v>
      </c>
      <c r="O7665" s="506">
        <v>0</v>
      </c>
    </row>
    <row r="7666" spans="1:15" x14ac:dyDescent="0.35">
      <c r="A7666" s="503" t="s">
        <v>1325</v>
      </c>
      <c r="B7666" s="504" t="s">
        <v>3011</v>
      </c>
      <c r="C7666" s="504" t="s">
        <v>1094</v>
      </c>
      <c r="D7666" s="504" t="s">
        <v>3380</v>
      </c>
      <c r="E7666" s="504" t="s">
        <v>3381</v>
      </c>
      <c r="F7666" s="504" t="s">
        <v>898</v>
      </c>
      <c r="G7666" s="504" t="s">
        <v>899</v>
      </c>
      <c r="H7666" s="504" t="s">
        <v>9568</v>
      </c>
      <c r="I7666" s="504">
        <v>1</v>
      </c>
      <c r="J7666" s="504">
        <v>0</v>
      </c>
      <c r="K7666" s="504">
        <v>0</v>
      </c>
      <c r="L7666" s="504">
        <v>0</v>
      </c>
      <c r="M7666" s="504">
        <v>0</v>
      </c>
      <c r="N7666" s="504">
        <v>0</v>
      </c>
      <c r="O7666" s="505">
        <v>1</v>
      </c>
    </row>
    <row r="7667" spans="1:15" x14ac:dyDescent="0.35">
      <c r="A7667" s="500" t="s">
        <v>1220</v>
      </c>
      <c r="B7667" s="501">
        <v>4849</v>
      </c>
      <c r="C7667" s="501" t="s">
        <v>1094</v>
      </c>
      <c r="D7667" s="501" t="s">
        <v>3380</v>
      </c>
      <c r="E7667" s="501" t="s">
        <v>3381</v>
      </c>
      <c r="F7667" s="501" t="s">
        <v>898</v>
      </c>
      <c r="G7667" s="501" t="s">
        <v>899</v>
      </c>
      <c r="H7667" s="501" t="s">
        <v>9569</v>
      </c>
      <c r="I7667" s="501">
        <v>202</v>
      </c>
      <c r="J7667" s="501">
        <v>98</v>
      </c>
      <c r="K7667" s="501">
        <v>0</v>
      </c>
      <c r="L7667" s="501">
        <v>0</v>
      </c>
      <c r="M7667" s="501">
        <v>66</v>
      </c>
      <c r="N7667" s="501">
        <v>0</v>
      </c>
      <c r="O7667" s="506">
        <v>38</v>
      </c>
    </row>
    <row r="7668" spans="1:15" x14ac:dyDescent="0.35">
      <c r="A7668" s="503" t="s">
        <v>1332</v>
      </c>
      <c r="B7668" s="504">
        <v>4878</v>
      </c>
      <c r="C7668" s="504" t="s">
        <v>1094</v>
      </c>
      <c r="D7668" s="504" t="s">
        <v>3380</v>
      </c>
      <c r="E7668" s="504" t="s">
        <v>3381</v>
      </c>
      <c r="F7668" s="504" t="s">
        <v>898</v>
      </c>
      <c r="G7668" s="504" t="s">
        <v>899</v>
      </c>
      <c r="H7668" s="504" t="s">
        <v>9570</v>
      </c>
      <c r="I7668" s="504">
        <v>3625</v>
      </c>
      <c r="J7668" s="504">
        <v>2771</v>
      </c>
      <c r="K7668" s="504">
        <v>2</v>
      </c>
      <c r="L7668" s="504">
        <v>211</v>
      </c>
      <c r="M7668" s="504">
        <v>159</v>
      </c>
      <c r="N7668" s="504">
        <v>0</v>
      </c>
      <c r="O7668" s="505">
        <v>482</v>
      </c>
    </row>
    <row r="7669" spans="1:15" x14ac:dyDescent="0.35">
      <c r="A7669" s="500" t="s">
        <v>1531</v>
      </c>
      <c r="B7669" s="501" t="s">
        <v>3000</v>
      </c>
      <c r="C7669" s="501" t="s">
        <v>1089</v>
      </c>
      <c r="D7669" s="501" t="s">
        <v>3392</v>
      </c>
      <c r="E7669" s="501" t="s">
        <v>3381</v>
      </c>
      <c r="F7669" s="501" t="s">
        <v>898</v>
      </c>
      <c r="G7669" s="501" t="s">
        <v>899</v>
      </c>
      <c r="H7669" s="501" t="s">
        <v>9571</v>
      </c>
      <c r="I7669" s="501">
        <v>21</v>
      </c>
      <c r="J7669" s="501">
        <v>0</v>
      </c>
      <c r="K7669" s="501">
        <v>0</v>
      </c>
      <c r="L7669" s="501">
        <v>21</v>
      </c>
      <c r="M7669" s="501">
        <v>0</v>
      </c>
      <c r="N7669" s="501">
        <v>0</v>
      </c>
      <c r="O7669" s="506">
        <v>0</v>
      </c>
    </row>
    <row r="7670" spans="1:15" x14ac:dyDescent="0.35">
      <c r="A7670" s="503" t="s">
        <v>1534</v>
      </c>
      <c r="B7670" s="504" t="s">
        <v>3092</v>
      </c>
      <c r="C7670" s="504" t="s">
        <v>1089</v>
      </c>
      <c r="D7670" s="504" t="s">
        <v>3392</v>
      </c>
      <c r="E7670" s="504" t="s">
        <v>3381</v>
      </c>
      <c r="F7670" s="504" t="s">
        <v>898</v>
      </c>
      <c r="G7670" s="504" t="s">
        <v>899</v>
      </c>
      <c r="H7670" s="504" t="s">
        <v>9572</v>
      </c>
      <c r="I7670" s="504">
        <v>2</v>
      </c>
      <c r="J7670" s="504">
        <v>2</v>
      </c>
      <c r="K7670" s="504">
        <v>0</v>
      </c>
      <c r="L7670" s="504">
        <v>0</v>
      </c>
      <c r="M7670" s="504">
        <v>0</v>
      </c>
      <c r="N7670" s="504">
        <v>0</v>
      </c>
      <c r="O7670" s="505">
        <v>0</v>
      </c>
    </row>
    <row r="7671" spans="1:15" x14ac:dyDescent="0.35">
      <c r="A7671" s="500" t="s">
        <v>1537</v>
      </c>
      <c r="B7671" s="501" t="s">
        <v>2785</v>
      </c>
      <c r="C7671" s="501" t="s">
        <v>1089</v>
      </c>
      <c r="D7671" s="501" t="s">
        <v>3392</v>
      </c>
      <c r="E7671" s="501" t="s">
        <v>3381</v>
      </c>
      <c r="F7671" s="501" t="s">
        <v>898</v>
      </c>
      <c r="G7671" s="501" t="s">
        <v>899</v>
      </c>
      <c r="H7671" s="501" t="s">
        <v>9573</v>
      </c>
      <c r="I7671" s="501">
        <v>78</v>
      </c>
      <c r="J7671" s="501">
        <v>78</v>
      </c>
      <c r="K7671" s="501">
        <v>0</v>
      </c>
      <c r="L7671" s="501">
        <v>0</v>
      </c>
      <c r="M7671" s="501">
        <v>0</v>
      </c>
      <c r="N7671" s="501">
        <v>0</v>
      </c>
      <c r="O7671" s="506">
        <v>0</v>
      </c>
    </row>
    <row r="7672" spans="1:15" x14ac:dyDescent="0.35">
      <c r="A7672" s="503" t="s">
        <v>1541</v>
      </c>
      <c r="B7672" s="504" t="s">
        <v>2920</v>
      </c>
      <c r="C7672" s="504" t="s">
        <v>1089</v>
      </c>
      <c r="D7672" s="504" t="s">
        <v>3392</v>
      </c>
      <c r="E7672" s="504" t="s">
        <v>3381</v>
      </c>
      <c r="F7672" s="504" t="s">
        <v>898</v>
      </c>
      <c r="G7672" s="504" t="s">
        <v>899</v>
      </c>
      <c r="H7672" s="504" t="s">
        <v>9574</v>
      </c>
      <c r="I7672" s="504">
        <v>16</v>
      </c>
      <c r="J7672" s="504">
        <v>0</v>
      </c>
      <c r="K7672" s="504">
        <v>0</v>
      </c>
      <c r="L7672" s="504">
        <v>16</v>
      </c>
      <c r="M7672" s="504">
        <v>0</v>
      </c>
      <c r="N7672" s="504">
        <v>0</v>
      </c>
      <c r="O7672" s="505">
        <v>0</v>
      </c>
    </row>
    <row r="7673" spans="1:15" x14ac:dyDescent="0.35">
      <c r="A7673" s="500" t="s">
        <v>1234</v>
      </c>
      <c r="B7673" s="501" t="s">
        <v>3291</v>
      </c>
      <c r="C7673" s="501" t="s">
        <v>1094</v>
      </c>
      <c r="D7673" s="501" t="s">
        <v>3380</v>
      </c>
      <c r="E7673" s="501" t="s">
        <v>3381</v>
      </c>
      <c r="F7673" s="501" t="s">
        <v>898</v>
      </c>
      <c r="G7673" s="501" t="s">
        <v>899</v>
      </c>
      <c r="H7673" s="501" t="s">
        <v>9575</v>
      </c>
      <c r="I7673" s="501">
        <v>45</v>
      </c>
      <c r="J7673" s="501">
        <v>0</v>
      </c>
      <c r="K7673" s="501">
        <v>0</v>
      </c>
      <c r="L7673" s="501">
        <v>45</v>
      </c>
      <c r="M7673" s="501">
        <v>0</v>
      </c>
      <c r="N7673" s="501">
        <v>0</v>
      </c>
      <c r="O7673" s="506">
        <v>0</v>
      </c>
    </row>
    <row r="7674" spans="1:15" x14ac:dyDescent="0.35">
      <c r="A7674" s="503" t="s">
        <v>1126</v>
      </c>
      <c r="B7674" s="504" t="s">
        <v>2974</v>
      </c>
      <c r="C7674" s="504" t="s">
        <v>1094</v>
      </c>
      <c r="D7674" s="504" t="s">
        <v>3380</v>
      </c>
      <c r="E7674" s="504" t="s">
        <v>3381</v>
      </c>
      <c r="F7674" s="504" t="s">
        <v>898</v>
      </c>
      <c r="G7674" s="504" t="s">
        <v>899</v>
      </c>
      <c r="H7674" s="504" t="s">
        <v>9576</v>
      </c>
      <c r="I7674" s="504">
        <v>121</v>
      </c>
      <c r="J7674" s="504">
        <v>81</v>
      </c>
      <c r="K7674" s="504">
        <v>0</v>
      </c>
      <c r="L7674" s="504">
        <v>39</v>
      </c>
      <c r="M7674" s="504">
        <v>0</v>
      </c>
      <c r="N7674" s="504">
        <v>0</v>
      </c>
      <c r="O7674" s="505">
        <v>1</v>
      </c>
    </row>
    <row r="7675" spans="1:15" x14ac:dyDescent="0.35">
      <c r="A7675" s="500" t="s">
        <v>1130</v>
      </c>
      <c r="B7675" s="501" t="s">
        <v>3234</v>
      </c>
      <c r="C7675" s="501" t="s">
        <v>1094</v>
      </c>
      <c r="D7675" s="501" t="s">
        <v>3380</v>
      </c>
      <c r="E7675" s="501" t="s">
        <v>3381</v>
      </c>
      <c r="F7675" s="501" t="s">
        <v>898</v>
      </c>
      <c r="G7675" s="501" t="s">
        <v>899</v>
      </c>
      <c r="H7675" s="501" t="s">
        <v>9577</v>
      </c>
      <c r="I7675" s="501">
        <v>793</v>
      </c>
      <c r="J7675" s="501">
        <v>616</v>
      </c>
      <c r="K7675" s="501">
        <v>0</v>
      </c>
      <c r="L7675" s="501">
        <v>0</v>
      </c>
      <c r="M7675" s="501">
        <v>24</v>
      </c>
      <c r="N7675" s="501">
        <v>12</v>
      </c>
      <c r="O7675" s="506">
        <v>153</v>
      </c>
    </row>
    <row r="7676" spans="1:15" x14ac:dyDescent="0.35">
      <c r="A7676" s="503" t="s">
        <v>1551</v>
      </c>
      <c r="B7676" s="504" t="s">
        <v>2819</v>
      </c>
      <c r="C7676" s="504" t="s">
        <v>1089</v>
      </c>
      <c r="D7676" s="504" t="s">
        <v>3392</v>
      </c>
      <c r="E7676" s="504" t="s">
        <v>3381</v>
      </c>
      <c r="F7676" s="504" t="s">
        <v>898</v>
      </c>
      <c r="G7676" s="504" t="s">
        <v>899</v>
      </c>
      <c r="H7676" s="504" t="s">
        <v>9578</v>
      </c>
      <c r="I7676" s="504">
        <v>30</v>
      </c>
      <c r="J7676" s="504">
        <v>30</v>
      </c>
      <c r="K7676" s="504">
        <v>0</v>
      </c>
      <c r="L7676" s="504">
        <v>0</v>
      </c>
      <c r="M7676" s="504">
        <v>0</v>
      </c>
      <c r="N7676" s="504">
        <v>0</v>
      </c>
      <c r="O7676" s="505">
        <v>0</v>
      </c>
    </row>
    <row r="7677" spans="1:15" x14ac:dyDescent="0.35">
      <c r="A7677" s="500" t="s">
        <v>1345</v>
      </c>
      <c r="B7677" s="501" t="s">
        <v>3247</v>
      </c>
      <c r="C7677" s="501" t="s">
        <v>1094</v>
      </c>
      <c r="D7677" s="501" t="s">
        <v>3380</v>
      </c>
      <c r="E7677" s="501" t="s">
        <v>3381</v>
      </c>
      <c r="F7677" s="501" t="s">
        <v>898</v>
      </c>
      <c r="G7677" s="501" t="s">
        <v>899</v>
      </c>
      <c r="H7677" s="501" t="s">
        <v>9579</v>
      </c>
      <c r="I7677" s="501">
        <v>97</v>
      </c>
      <c r="J7677" s="501">
        <v>0</v>
      </c>
      <c r="K7677" s="501">
        <v>32</v>
      </c>
      <c r="L7677" s="501">
        <v>65</v>
      </c>
      <c r="M7677" s="501">
        <v>0</v>
      </c>
      <c r="N7677" s="501">
        <v>0</v>
      </c>
      <c r="O7677" s="506">
        <v>0</v>
      </c>
    </row>
    <row r="7678" spans="1:15" x14ac:dyDescent="0.35">
      <c r="A7678" s="503" t="s">
        <v>1556</v>
      </c>
      <c r="B7678" s="504" t="s">
        <v>2796</v>
      </c>
      <c r="C7678" s="504" t="s">
        <v>1089</v>
      </c>
      <c r="D7678" s="504" t="s">
        <v>3392</v>
      </c>
      <c r="E7678" s="504" t="s">
        <v>3381</v>
      </c>
      <c r="F7678" s="504" t="s">
        <v>898</v>
      </c>
      <c r="G7678" s="504" t="s">
        <v>899</v>
      </c>
      <c r="H7678" s="504" t="s">
        <v>9580</v>
      </c>
      <c r="I7678" s="504">
        <v>44</v>
      </c>
      <c r="J7678" s="504">
        <v>44</v>
      </c>
      <c r="K7678" s="504">
        <v>0</v>
      </c>
      <c r="L7678" s="504">
        <v>0</v>
      </c>
      <c r="M7678" s="504">
        <v>0</v>
      </c>
      <c r="N7678" s="504">
        <v>0</v>
      </c>
      <c r="O7678" s="505">
        <v>0</v>
      </c>
    </row>
    <row r="7679" spans="1:15" x14ac:dyDescent="0.35">
      <c r="A7679" s="500" t="s">
        <v>1562</v>
      </c>
      <c r="B7679" s="501" t="s">
        <v>2833</v>
      </c>
      <c r="C7679" s="501" t="s">
        <v>1089</v>
      </c>
      <c r="D7679" s="501" t="s">
        <v>3392</v>
      </c>
      <c r="E7679" s="501" t="s">
        <v>3381</v>
      </c>
      <c r="F7679" s="501" t="s">
        <v>898</v>
      </c>
      <c r="G7679" s="501" t="s">
        <v>899</v>
      </c>
      <c r="H7679" s="501" t="s">
        <v>9581</v>
      </c>
      <c r="I7679" s="501">
        <v>7</v>
      </c>
      <c r="J7679" s="501">
        <v>0</v>
      </c>
      <c r="K7679" s="501">
        <v>0</v>
      </c>
      <c r="L7679" s="501">
        <v>0</v>
      </c>
      <c r="M7679" s="501">
        <v>7</v>
      </c>
      <c r="N7679" s="501">
        <v>0</v>
      </c>
      <c r="O7679" s="506">
        <v>0</v>
      </c>
    </row>
    <row r="7680" spans="1:15" x14ac:dyDescent="0.35">
      <c r="A7680" s="503" t="s">
        <v>1568</v>
      </c>
      <c r="B7680" s="504" t="s">
        <v>2591</v>
      </c>
      <c r="C7680" s="504" t="s">
        <v>1089</v>
      </c>
      <c r="D7680" s="504" t="s">
        <v>3392</v>
      </c>
      <c r="E7680" s="504" t="s">
        <v>3381</v>
      </c>
      <c r="F7680" s="504" t="s">
        <v>898</v>
      </c>
      <c r="G7680" s="504" t="s">
        <v>899</v>
      </c>
      <c r="H7680" s="504" t="s">
        <v>9582</v>
      </c>
      <c r="I7680" s="504">
        <v>40</v>
      </c>
      <c r="J7680" s="504">
        <v>0</v>
      </c>
      <c r="K7680" s="504">
        <v>0</v>
      </c>
      <c r="L7680" s="504">
        <v>0</v>
      </c>
      <c r="M7680" s="504">
        <v>40</v>
      </c>
      <c r="N7680" s="504">
        <v>0</v>
      </c>
      <c r="O7680" s="505">
        <v>0</v>
      </c>
    </row>
    <row r="7681" spans="1:15" x14ac:dyDescent="0.35">
      <c r="A7681" s="500" t="s">
        <v>1249</v>
      </c>
      <c r="B7681" s="501">
        <v>4729</v>
      </c>
      <c r="C7681" s="501" t="s">
        <v>1094</v>
      </c>
      <c r="D7681" s="501" t="s">
        <v>3380</v>
      </c>
      <c r="E7681" s="501" t="s">
        <v>3381</v>
      </c>
      <c r="F7681" s="501" t="s">
        <v>898</v>
      </c>
      <c r="G7681" s="501" t="s">
        <v>899</v>
      </c>
      <c r="H7681" s="501" t="s">
        <v>9583</v>
      </c>
      <c r="I7681" s="501">
        <v>618</v>
      </c>
      <c r="J7681" s="501">
        <v>618</v>
      </c>
      <c r="K7681" s="501">
        <v>0</v>
      </c>
      <c r="L7681" s="501">
        <v>0</v>
      </c>
      <c r="M7681" s="501">
        <v>0</v>
      </c>
      <c r="N7681" s="501">
        <v>0</v>
      </c>
      <c r="O7681" s="506">
        <v>0</v>
      </c>
    </row>
    <row r="7682" spans="1:15" x14ac:dyDescent="0.35">
      <c r="A7682" s="503" t="s">
        <v>1362</v>
      </c>
      <c r="B7682" s="504" t="s">
        <v>2977</v>
      </c>
      <c r="C7682" s="504" t="s">
        <v>1094</v>
      </c>
      <c r="D7682" s="504" t="s">
        <v>3380</v>
      </c>
      <c r="E7682" s="504" t="s">
        <v>3381</v>
      </c>
      <c r="F7682" s="504" t="s">
        <v>898</v>
      </c>
      <c r="G7682" s="504" t="s">
        <v>899</v>
      </c>
      <c r="H7682" s="504" t="s">
        <v>9584</v>
      </c>
      <c r="I7682" s="504">
        <v>83</v>
      </c>
      <c r="J7682" s="504">
        <v>83</v>
      </c>
      <c r="K7682" s="504">
        <v>0</v>
      </c>
      <c r="L7682" s="504">
        <v>0</v>
      </c>
      <c r="M7682" s="504">
        <v>0</v>
      </c>
      <c r="N7682" s="504">
        <v>72</v>
      </c>
      <c r="O7682" s="505">
        <v>0</v>
      </c>
    </row>
    <row r="7683" spans="1:15" x14ac:dyDescent="0.35">
      <c r="A7683" s="500" t="s">
        <v>1572</v>
      </c>
      <c r="B7683" s="501" t="s">
        <v>2781</v>
      </c>
      <c r="C7683" s="501" t="s">
        <v>1089</v>
      </c>
      <c r="D7683" s="501" t="s">
        <v>3392</v>
      </c>
      <c r="E7683" s="501" t="s">
        <v>3381</v>
      </c>
      <c r="F7683" s="501" t="s">
        <v>898</v>
      </c>
      <c r="G7683" s="501" t="s">
        <v>899</v>
      </c>
      <c r="H7683" s="501" t="s">
        <v>15100</v>
      </c>
      <c r="I7683" s="501">
        <v>41</v>
      </c>
      <c r="J7683" s="501">
        <v>41</v>
      </c>
      <c r="K7683" s="501">
        <v>0</v>
      </c>
      <c r="L7683" s="501">
        <v>0</v>
      </c>
      <c r="M7683" s="501">
        <v>0</v>
      </c>
      <c r="N7683" s="501">
        <v>0</v>
      </c>
      <c r="O7683" s="506">
        <v>0</v>
      </c>
    </row>
    <row r="7684" spans="1:15" x14ac:dyDescent="0.35">
      <c r="A7684" s="503" t="s">
        <v>1253</v>
      </c>
      <c r="B7684" s="504" t="s">
        <v>3232</v>
      </c>
      <c r="C7684" s="504" t="s">
        <v>1094</v>
      </c>
      <c r="D7684" s="504" t="s">
        <v>3380</v>
      </c>
      <c r="E7684" s="504" t="s">
        <v>3381</v>
      </c>
      <c r="F7684" s="504" t="s">
        <v>898</v>
      </c>
      <c r="G7684" s="504" t="s">
        <v>899</v>
      </c>
      <c r="H7684" s="504" t="s">
        <v>9585</v>
      </c>
      <c r="I7684" s="504">
        <v>335</v>
      </c>
      <c r="J7684" s="504">
        <v>181</v>
      </c>
      <c r="K7684" s="504">
        <v>0</v>
      </c>
      <c r="L7684" s="504">
        <v>52</v>
      </c>
      <c r="M7684" s="504">
        <v>102</v>
      </c>
      <c r="N7684" s="504">
        <v>0</v>
      </c>
      <c r="O7684" s="505">
        <v>0</v>
      </c>
    </row>
    <row r="7685" spans="1:15" x14ac:dyDescent="0.35">
      <c r="A7685" s="500" t="s">
        <v>1371</v>
      </c>
      <c r="B7685" s="501" t="s">
        <v>2891</v>
      </c>
      <c r="C7685" s="501" t="s">
        <v>1089</v>
      </c>
      <c r="D7685" s="501" t="s">
        <v>3392</v>
      </c>
      <c r="E7685" s="501" t="s">
        <v>3381</v>
      </c>
      <c r="F7685" s="501" t="s">
        <v>898</v>
      </c>
      <c r="G7685" s="501" t="s">
        <v>899</v>
      </c>
      <c r="H7685" s="501" t="s">
        <v>9586</v>
      </c>
      <c r="I7685" s="501">
        <v>14</v>
      </c>
      <c r="J7685" s="501">
        <v>0</v>
      </c>
      <c r="K7685" s="501">
        <v>0</v>
      </c>
      <c r="L7685" s="501">
        <v>14</v>
      </c>
      <c r="M7685" s="501">
        <v>0</v>
      </c>
      <c r="N7685" s="501">
        <v>0</v>
      </c>
      <c r="O7685" s="506">
        <v>0</v>
      </c>
    </row>
    <row r="7686" spans="1:15" x14ac:dyDescent="0.35">
      <c r="A7686" s="503" t="s">
        <v>1587</v>
      </c>
      <c r="B7686" s="504" t="s">
        <v>2978</v>
      </c>
      <c r="C7686" s="504" t="s">
        <v>1094</v>
      </c>
      <c r="D7686" s="504" t="s">
        <v>3380</v>
      </c>
      <c r="E7686" s="504" t="s">
        <v>3381</v>
      </c>
      <c r="F7686" s="504" t="s">
        <v>898</v>
      </c>
      <c r="G7686" s="504" t="s">
        <v>899</v>
      </c>
      <c r="H7686" s="504" t="s">
        <v>9587</v>
      </c>
      <c r="I7686" s="504">
        <v>1306</v>
      </c>
      <c r="J7686" s="504">
        <v>1089</v>
      </c>
      <c r="K7686" s="504">
        <v>0</v>
      </c>
      <c r="L7686" s="504">
        <v>15</v>
      </c>
      <c r="M7686" s="504">
        <v>10</v>
      </c>
      <c r="N7686" s="504">
        <v>6</v>
      </c>
      <c r="O7686" s="505">
        <v>192</v>
      </c>
    </row>
    <row r="7687" spans="1:15" x14ac:dyDescent="0.35">
      <c r="A7687" s="500" t="s">
        <v>1262</v>
      </c>
      <c r="B7687" s="501">
        <v>4772</v>
      </c>
      <c r="C7687" s="501" t="s">
        <v>1089</v>
      </c>
      <c r="D7687" s="501" t="s">
        <v>3392</v>
      </c>
      <c r="E7687" s="501" t="s">
        <v>3381</v>
      </c>
      <c r="F7687" s="501" t="s">
        <v>898</v>
      </c>
      <c r="G7687" s="501" t="s">
        <v>899</v>
      </c>
      <c r="H7687" s="501" t="s">
        <v>9588</v>
      </c>
      <c r="I7687" s="501">
        <v>12</v>
      </c>
      <c r="J7687" s="501">
        <v>0</v>
      </c>
      <c r="K7687" s="501">
        <v>0</v>
      </c>
      <c r="L7687" s="501">
        <v>12</v>
      </c>
      <c r="M7687" s="501">
        <v>0</v>
      </c>
      <c r="N7687" s="501">
        <v>0</v>
      </c>
      <c r="O7687" s="506">
        <v>0</v>
      </c>
    </row>
    <row r="7688" spans="1:15" x14ac:dyDescent="0.35">
      <c r="A7688" s="503" t="s">
        <v>1602</v>
      </c>
      <c r="B7688" s="504" t="s">
        <v>3067</v>
      </c>
      <c r="C7688" s="504" t="s">
        <v>1089</v>
      </c>
      <c r="D7688" s="504" t="s">
        <v>3392</v>
      </c>
      <c r="E7688" s="504" t="s">
        <v>3381</v>
      </c>
      <c r="F7688" s="504" t="s">
        <v>898</v>
      </c>
      <c r="G7688" s="504" t="s">
        <v>899</v>
      </c>
      <c r="H7688" s="504" t="s">
        <v>9589</v>
      </c>
      <c r="I7688" s="504">
        <v>22</v>
      </c>
      <c r="J7688" s="504">
        <v>0</v>
      </c>
      <c r="K7688" s="504">
        <v>0</v>
      </c>
      <c r="L7688" s="504">
        <v>22</v>
      </c>
      <c r="M7688" s="504">
        <v>0</v>
      </c>
      <c r="N7688" s="504">
        <v>0</v>
      </c>
      <c r="O7688" s="505">
        <v>0</v>
      </c>
    </row>
    <row r="7689" spans="1:15" x14ac:dyDescent="0.35">
      <c r="A7689" s="500" t="s">
        <v>1791</v>
      </c>
      <c r="B7689" s="501" t="s">
        <v>3367</v>
      </c>
      <c r="C7689" s="501" t="s">
        <v>1089</v>
      </c>
      <c r="D7689" s="501" t="s">
        <v>3392</v>
      </c>
      <c r="E7689" s="501" t="s">
        <v>3381</v>
      </c>
      <c r="F7689" s="501" t="s">
        <v>900</v>
      </c>
      <c r="G7689" s="501" t="s">
        <v>901</v>
      </c>
      <c r="H7689" s="501" t="s">
        <v>9590</v>
      </c>
      <c r="I7689" s="501">
        <v>3</v>
      </c>
      <c r="J7689" s="501">
        <v>0</v>
      </c>
      <c r="K7689" s="501">
        <v>3</v>
      </c>
      <c r="L7689" s="501">
        <v>0</v>
      </c>
      <c r="M7689" s="501">
        <v>0</v>
      </c>
      <c r="N7689" s="501">
        <v>0</v>
      </c>
      <c r="O7689" s="506">
        <v>0</v>
      </c>
    </row>
    <row r="7690" spans="1:15" x14ac:dyDescent="0.35">
      <c r="A7690" s="503" t="s">
        <v>1386</v>
      </c>
      <c r="B7690" s="504" t="s">
        <v>3331</v>
      </c>
      <c r="C7690" s="504" t="s">
        <v>1094</v>
      </c>
      <c r="D7690" s="504" t="s">
        <v>3380</v>
      </c>
      <c r="E7690" s="504" t="s">
        <v>3381</v>
      </c>
      <c r="F7690" s="504" t="s">
        <v>900</v>
      </c>
      <c r="G7690" s="504" t="s">
        <v>901</v>
      </c>
      <c r="H7690" s="504" t="s">
        <v>9591</v>
      </c>
      <c r="I7690" s="504">
        <v>5001</v>
      </c>
      <c r="J7690" s="504">
        <v>4454</v>
      </c>
      <c r="K7690" s="504">
        <v>0</v>
      </c>
      <c r="L7690" s="504">
        <v>30</v>
      </c>
      <c r="M7690" s="504">
        <v>278</v>
      </c>
      <c r="N7690" s="504">
        <v>8</v>
      </c>
      <c r="O7690" s="505">
        <v>239</v>
      </c>
    </row>
    <row r="7691" spans="1:15" x14ac:dyDescent="0.35">
      <c r="A7691" s="500" t="s">
        <v>1091</v>
      </c>
      <c r="B7691" s="501" t="s">
        <v>3288</v>
      </c>
      <c r="C7691" s="501" t="s">
        <v>1089</v>
      </c>
      <c r="D7691" s="501" t="s">
        <v>3392</v>
      </c>
      <c r="E7691" s="501" t="s">
        <v>3381</v>
      </c>
      <c r="F7691" s="501" t="s">
        <v>900</v>
      </c>
      <c r="G7691" s="501" t="s">
        <v>901</v>
      </c>
      <c r="H7691" s="501" t="s">
        <v>9592</v>
      </c>
      <c r="I7691" s="501">
        <v>11</v>
      </c>
      <c r="J7691" s="501">
        <v>0</v>
      </c>
      <c r="K7691" s="501">
        <v>0</v>
      </c>
      <c r="L7691" s="501">
        <v>11</v>
      </c>
      <c r="M7691" s="501">
        <v>0</v>
      </c>
      <c r="N7691" s="501">
        <v>0</v>
      </c>
      <c r="O7691" s="506">
        <v>0</v>
      </c>
    </row>
    <row r="7692" spans="1:15" x14ac:dyDescent="0.35">
      <c r="A7692" s="503" t="s">
        <v>1161</v>
      </c>
      <c r="B7692" s="504" t="s">
        <v>3001</v>
      </c>
      <c r="C7692" s="504" t="s">
        <v>1094</v>
      </c>
      <c r="D7692" s="504" t="s">
        <v>3380</v>
      </c>
      <c r="E7692" s="504" t="s">
        <v>3381</v>
      </c>
      <c r="F7692" s="504" t="s">
        <v>900</v>
      </c>
      <c r="G7692" s="504" t="s">
        <v>901</v>
      </c>
      <c r="H7692" s="504" t="s">
        <v>9593</v>
      </c>
      <c r="I7692" s="504">
        <v>60</v>
      </c>
      <c r="J7692" s="504">
        <v>34</v>
      </c>
      <c r="K7692" s="504">
        <v>0</v>
      </c>
      <c r="L7692" s="504">
        <v>0</v>
      </c>
      <c r="M7692" s="504">
        <v>0</v>
      </c>
      <c r="N7692" s="504">
        <v>0</v>
      </c>
      <c r="O7692" s="505">
        <v>26</v>
      </c>
    </row>
    <row r="7693" spans="1:15" x14ac:dyDescent="0.35">
      <c r="A7693" s="500" t="s">
        <v>1100</v>
      </c>
      <c r="B7693" s="501">
        <v>4865</v>
      </c>
      <c r="C7693" s="501" t="s">
        <v>1094</v>
      </c>
      <c r="D7693" s="501" t="s">
        <v>3380</v>
      </c>
      <c r="E7693" s="501" t="s">
        <v>3381</v>
      </c>
      <c r="F7693" s="501" t="s">
        <v>900</v>
      </c>
      <c r="G7693" s="501" t="s">
        <v>901</v>
      </c>
      <c r="H7693" s="501" t="s">
        <v>15101</v>
      </c>
      <c r="I7693" s="501">
        <v>104</v>
      </c>
      <c r="J7693" s="501">
        <v>0</v>
      </c>
      <c r="K7693" s="501">
        <v>0</v>
      </c>
      <c r="L7693" s="501">
        <v>0</v>
      </c>
      <c r="M7693" s="501">
        <v>0</v>
      </c>
      <c r="N7693" s="501">
        <v>0</v>
      </c>
      <c r="O7693" s="506">
        <v>104</v>
      </c>
    </row>
    <row r="7694" spans="1:15" x14ac:dyDescent="0.35">
      <c r="A7694" s="503" t="s">
        <v>14208</v>
      </c>
      <c r="B7694" s="504">
        <v>4803</v>
      </c>
      <c r="C7694" s="504" t="s">
        <v>1094</v>
      </c>
      <c r="D7694" s="504" t="s">
        <v>3380</v>
      </c>
      <c r="E7694" s="504" t="s">
        <v>3381</v>
      </c>
      <c r="F7694" s="504" t="s">
        <v>900</v>
      </c>
      <c r="G7694" s="504" t="s">
        <v>901</v>
      </c>
      <c r="H7694" s="504" t="s">
        <v>15102</v>
      </c>
      <c r="I7694" s="504">
        <v>3</v>
      </c>
      <c r="J7694" s="504">
        <v>0</v>
      </c>
      <c r="K7694" s="504">
        <v>0</v>
      </c>
      <c r="L7694" s="504">
        <v>3</v>
      </c>
      <c r="M7694" s="504">
        <v>0</v>
      </c>
      <c r="N7694" s="504">
        <v>0</v>
      </c>
      <c r="O7694" s="505">
        <v>0</v>
      </c>
    </row>
    <row r="7695" spans="1:15" x14ac:dyDescent="0.35">
      <c r="A7695" s="500" t="s">
        <v>1105</v>
      </c>
      <c r="B7695" s="501">
        <v>4668</v>
      </c>
      <c r="C7695" s="501" t="s">
        <v>1094</v>
      </c>
      <c r="D7695" s="501" t="s">
        <v>3380</v>
      </c>
      <c r="E7695" s="501" t="s">
        <v>3381</v>
      </c>
      <c r="F7695" s="501" t="s">
        <v>900</v>
      </c>
      <c r="G7695" s="501" t="s">
        <v>901</v>
      </c>
      <c r="H7695" s="501" t="s">
        <v>9594</v>
      </c>
      <c r="I7695" s="501">
        <v>1</v>
      </c>
      <c r="J7695" s="501">
        <v>0</v>
      </c>
      <c r="K7695" s="501">
        <v>0</v>
      </c>
      <c r="L7695" s="501">
        <v>0</v>
      </c>
      <c r="M7695" s="501">
        <v>0</v>
      </c>
      <c r="N7695" s="501">
        <v>0</v>
      </c>
      <c r="O7695" s="506">
        <v>1</v>
      </c>
    </row>
    <row r="7696" spans="1:15" x14ac:dyDescent="0.35">
      <c r="A7696" s="503" t="s">
        <v>1202</v>
      </c>
      <c r="B7696" s="504" t="s">
        <v>3217</v>
      </c>
      <c r="C7696" s="504" t="s">
        <v>1094</v>
      </c>
      <c r="D7696" s="504" t="s">
        <v>3380</v>
      </c>
      <c r="E7696" s="504" t="s">
        <v>3381</v>
      </c>
      <c r="F7696" s="504" t="s">
        <v>900</v>
      </c>
      <c r="G7696" s="504" t="s">
        <v>901</v>
      </c>
      <c r="H7696" s="504" t="s">
        <v>9595</v>
      </c>
      <c r="I7696" s="504">
        <v>111</v>
      </c>
      <c r="J7696" s="504">
        <v>94</v>
      </c>
      <c r="K7696" s="504">
        <v>0</v>
      </c>
      <c r="L7696" s="504">
        <v>0</v>
      </c>
      <c r="M7696" s="504">
        <v>0</v>
      </c>
      <c r="N7696" s="504">
        <v>0</v>
      </c>
      <c r="O7696" s="505">
        <v>17</v>
      </c>
    </row>
    <row r="7697" spans="1:15" x14ac:dyDescent="0.35">
      <c r="A7697" s="500" t="s">
        <v>1112</v>
      </c>
      <c r="B7697" s="501" t="s">
        <v>3008</v>
      </c>
      <c r="C7697" s="501" t="s">
        <v>1094</v>
      </c>
      <c r="D7697" s="501" t="s">
        <v>3380</v>
      </c>
      <c r="E7697" s="501" t="s">
        <v>3381</v>
      </c>
      <c r="F7697" s="501" t="s">
        <v>900</v>
      </c>
      <c r="G7697" s="501" t="s">
        <v>901</v>
      </c>
      <c r="H7697" s="501" t="s">
        <v>9596</v>
      </c>
      <c r="I7697" s="501">
        <v>313</v>
      </c>
      <c r="J7697" s="501">
        <v>249</v>
      </c>
      <c r="K7697" s="501">
        <v>0</v>
      </c>
      <c r="L7697" s="501">
        <v>0</v>
      </c>
      <c r="M7697" s="501">
        <v>0</v>
      </c>
      <c r="N7697" s="501">
        <v>1</v>
      </c>
      <c r="O7697" s="506">
        <v>64</v>
      </c>
    </row>
    <row r="7698" spans="1:15" x14ac:dyDescent="0.35">
      <c r="A7698" s="503" t="s">
        <v>1501</v>
      </c>
      <c r="B7698" s="504" t="s">
        <v>2956</v>
      </c>
      <c r="C7698" s="504" t="s">
        <v>1094</v>
      </c>
      <c r="D7698" s="504" t="s">
        <v>3380</v>
      </c>
      <c r="E7698" s="504" t="s">
        <v>3381</v>
      </c>
      <c r="F7698" s="504" t="s">
        <v>900</v>
      </c>
      <c r="G7698" s="504" t="s">
        <v>901</v>
      </c>
      <c r="H7698" s="504" t="s">
        <v>9597</v>
      </c>
      <c r="I7698" s="504">
        <v>1</v>
      </c>
      <c r="J7698" s="504">
        <v>1</v>
      </c>
      <c r="K7698" s="504">
        <v>0</v>
      </c>
      <c r="L7698" s="504">
        <v>0</v>
      </c>
      <c r="M7698" s="504">
        <v>0</v>
      </c>
      <c r="N7698" s="504">
        <v>0</v>
      </c>
      <c r="O7698" s="505">
        <v>0</v>
      </c>
    </row>
    <row r="7699" spans="1:15" x14ac:dyDescent="0.35">
      <c r="A7699" s="500" t="s">
        <v>1319</v>
      </c>
      <c r="B7699" s="501">
        <v>4880</v>
      </c>
      <c r="C7699" s="501" t="s">
        <v>1094</v>
      </c>
      <c r="D7699" s="501" t="s">
        <v>3380</v>
      </c>
      <c r="E7699" s="501" t="s">
        <v>3381</v>
      </c>
      <c r="F7699" s="501" t="s">
        <v>900</v>
      </c>
      <c r="G7699" s="501" t="s">
        <v>901</v>
      </c>
      <c r="H7699" s="501" t="s">
        <v>9598</v>
      </c>
      <c r="I7699" s="501">
        <v>40</v>
      </c>
      <c r="J7699" s="501">
        <v>1</v>
      </c>
      <c r="K7699" s="501">
        <v>0</v>
      </c>
      <c r="L7699" s="501">
        <v>0</v>
      </c>
      <c r="M7699" s="501">
        <v>35</v>
      </c>
      <c r="N7699" s="501">
        <v>0</v>
      </c>
      <c r="O7699" s="506">
        <v>4</v>
      </c>
    </row>
    <row r="7700" spans="1:15" x14ac:dyDescent="0.35">
      <c r="A7700" s="503" t="s">
        <v>1120</v>
      </c>
      <c r="B7700" s="504" t="s">
        <v>3362</v>
      </c>
      <c r="C7700" s="504" t="s">
        <v>1094</v>
      </c>
      <c r="D7700" s="504" t="s">
        <v>3380</v>
      </c>
      <c r="E7700" s="504" t="s">
        <v>3381</v>
      </c>
      <c r="F7700" s="504" t="s">
        <v>900</v>
      </c>
      <c r="G7700" s="504" t="s">
        <v>901</v>
      </c>
      <c r="H7700" s="504" t="s">
        <v>9599</v>
      </c>
      <c r="I7700" s="504">
        <v>1</v>
      </c>
      <c r="J7700" s="504">
        <v>0</v>
      </c>
      <c r="K7700" s="504">
        <v>0</v>
      </c>
      <c r="L7700" s="504">
        <v>0</v>
      </c>
      <c r="M7700" s="504">
        <v>0</v>
      </c>
      <c r="N7700" s="504">
        <v>0</v>
      </c>
      <c r="O7700" s="505">
        <v>1</v>
      </c>
    </row>
    <row r="7701" spans="1:15" x14ac:dyDescent="0.35">
      <c r="A7701" s="500" t="s">
        <v>1220</v>
      </c>
      <c r="B7701" s="501">
        <v>4849</v>
      </c>
      <c r="C7701" s="501" t="s">
        <v>1094</v>
      </c>
      <c r="D7701" s="501" t="s">
        <v>3380</v>
      </c>
      <c r="E7701" s="501" t="s">
        <v>3381</v>
      </c>
      <c r="F7701" s="501" t="s">
        <v>900</v>
      </c>
      <c r="G7701" s="501" t="s">
        <v>901</v>
      </c>
      <c r="H7701" s="501" t="s">
        <v>9600</v>
      </c>
      <c r="I7701" s="501">
        <v>109</v>
      </c>
      <c r="J7701" s="501">
        <v>86</v>
      </c>
      <c r="K7701" s="501">
        <v>0</v>
      </c>
      <c r="L7701" s="501">
        <v>0</v>
      </c>
      <c r="M7701" s="501">
        <v>0</v>
      </c>
      <c r="N7701" s="501">
        <v>0</v>
      </c>
      <c r="O7701" s="506">
        <v>23</v>
      </c>
    </row>
    <row r="7702" spans="1:15" x14ac:dyDescent="0.35">
      <c r="A7702" s="503" t="s">
        <v>1889</v>
      </c>
      <c r="B7702" s="504" t="s">
        <v>2584</v>
      </c>
      <c r="C7702" s="504" t="s">
        <v>1089</v>
      </c>
      <c r="D7702" s="504" t="s">
        <v>3392</v>
      </c>
      <c r="E7702" s="504" t="s">
        <v>3381</v>
      </c>
      <c r="F7702" s="504" t="s">
        <v>900</v>
      </c>
      <c r="G7702" s="504" t="s">
        <v>901</v>
      </c>
      <c r="H7702" s="504" t="s">
        <v>9601</v>
      </c>
      <c r="I7702" s="504">
        <v>25</v>
      </c>
      <c r="J7702" s="504">
        <v>0</v>
      </c>
      <c r="K7702" s="504">
        <v>0</v>
      </c>
      <c r="L7702" s="504">
        <v>0</v>
      </c>
      <c r="M7702" s="504">
        <v>25</v>
      </c>
      <c r="N7702" s="504">
        <v>0</v>
      </c>
      <c r="O7702" s="505">
        <v>0</v>
      </c>
    </row>
    <row r="7703" spans="1:15" x14ac:dyDescent="0.35">
      <c r="A7703" s="500" t="s">
        <v>1342</v>
      </c>
      <c r="B7703" s="501" t="s">
        <v>3237</v>
      </c>
      <c r="C7703" s="501" t="s">
        <v>1094</v>
      </c>
      <c r="D7703" s="501" t="s">
        <v>3380</v>
      </c>
      <c r="E7703" s="501" t="s">
        <v>3381</v>
      </c>
      <c r="F7703" s="501" t="s">
        <v>900</v>
      </c>
      <c r="G7703" s="501" t="s">
        <v>901</v>
      </c>
      <c r="H7703" s="501" t="s">
        <v>9602</v>
      </c>
      <c r="I7703" s="501">
        <v>4</v>
      </c>
      <c r="J7703" s="501">
        <v>0</v>
      </c>
      <c r="K7703" s="501">
        <v>0</v>
      </c>
      <c r="L7703" s="501">
        <v>0</v>
      </c>
      <c r="M7703" s="501">
        <v>0</v>
      </c>
      <c r="N7703" s="501">
        <v>0</v>
      </c>
      <c r="O7703" s="506">
        <v>4</v>
      </c>
    </row>
    <row r="7704" spans="1:15" x14ac:dyDescent="0.35">
      <c r="A7704" s="503" t="s">
        <v>1581</v>
      </c>
      <c r="B7704" s="504" t="s">
        <v>2888</v>
      </c>
      <c r="C7704" s="504" t="s">
        <v>1089</v>
      </c>
      <c r="D7704" s="504" t="s">
        <v>3392</v>
      </c>
      <c r="E7704" s="504" t="s">
        <v>3381</v>
      </c>
      <c r="F7704" s="504" t="s">
        <v>900</v>
      </c>
      <c r="G7704" s="504" t="s">
        <v>901</v>
      </c>
      <c r="H7704" s="504" t="s">
        <v>9603</v>
      </c>
      <c r="I7704" s="504">
        <v>68</v>
      </c>
      <c r="J7704" s="504">
        <v>0</v>
      </c>
      <c r="K7704" s="504">
        <v>0</v>
      </c>
      <c r="L7704" s="504">
        <v>68</v>
      </c>
      <c r="M7704" s="504">
        <v>0</v>
      </c>
      <c r="N7704" s="504">
        <v>0</v>
      </c>
      <c r="O7704" s="505">
        <v>0</v>
      </c>
    </row>
    <row r="7705" spans="1:15" x14ac:dyDescent="0.35">
      <c r="A7705" s="500" t="s">
        <v>1091</v>
      </c>
      <c r="B7705" s="501" t="s">
        <v>3288</v>
      </c>
      <c r="C7705" s="501" t="s">
        <v>1089</v>
      </c>
      <c r="D7705" s="501" t="s">
        <v>3392</v>
      </c>
      <c r="E7705" s="501" t="s">
        <v>3381</v>
      </c>
      <c r="F7705" s="501" t="s">
        <v>902</v>
      </c>
      <c r="G7705" s="501" t="s">
        <v>903</v>
      </c>
      <c r="H7705" s="501" t="s">
        <v>9604</v>
      </c>
      <c r="I7705" s="501">
        <v>14</v>
      </c>
      <c r="J7705" s="501">
        <v>0</v>
      </c>
      <c r="K7705" s="501">
        <v>0</v>
      </c>
      <c r="L7705" s="501">
        <v>14</v>
      </c>
      <c r="M7705" s="501">
        <v>0</v>
      </c>
      <c r="N7705" s="501">
        <v>0</v>
      </c>
      <c r="O7705" s="506">
        <v>0</v>
      </c>
    </row>
    <row r="7706" spans="1:15" x14ac:dyDescent="0.35">
      <c r="A7706" s="503" t="s">
        <v>1096</v>
      </c>
      <c r="B7706" s="504" t="s">
        <v>3326</v>
      </c>
      <c r="C7706" s="504" t="s">
        <v>1094</v>
      </c>
      <c r="D7706" s="504" t="s">
        <v>3380</v>
      </c>
      <c r="E7706" s="504" t="s">
        <v>3381</v>
      </c>
      <c r="F7706" s="504" t="s">
        <v>902</v>
      </c>
      <c r="G7706" s="504" t="s">
        <v>903</v>
      </c>
      <c r="H7706" s="504" t="s">
        <v>9605</v>
      </c>
      <c r="I7706" s="504">
        <v>35</v>
      </c>
      <c r="J7706" s="504">
        <v>0</v>
      </c>
      <c r="K7706" s="504">
        <v>0</v>
      </c>
      <c r="L7706" s="504">
        <v>0</v>
      </c>
      <c r="M7706" s="504">
        <v>35</v>
      </c>
      <c r="N7706" s="504">
        <v>0</v>
      </c>
      <c r="O7706" s="505">
        <v>0</v>
      </c>
    </row>
    <row r="7707" spans="1:15" x14ac:dyDescent="0.35">
      <c r="A7707" s="500" t="s">
        <v>1273</v>
      </c>
      <c r="B7707" s="501" t="s">
        <v>3197</v>
      </c>
      <c r="C7707" s="501" t="s">
        <v>1094</v>
      </c>
      <c r="D7707" s="501" t="s">
        <v>3380</v>
      </c>
      <c r="E7707" s="501" t="s">
        <v>3381</v>
      </c>
      <c r="F7707" s="501" t="s">
        <v>902</v>
      </c>
      <c r="G7707" s="501" t="s">
        <v>903</v>
      </c>
      <c r="H7707" s="501" t="s">
        <v>9606</v>
      </c>
      <c r="I7707" s="501">
        <v>10</v>
      </c>
      <c r="J7707" s="501">
        <v>5</v>
      </c>
      <c r="K7707" s="501">
        <v>0</v>
      </c>
      <c r="L7707" s="501">
        <v>0</v>
      </c>
      <c r="M7707" s="501">
        <v>0</v>
      </c>
      <c r="N7707" s="501">
        <v>0</v>
      </c>
      <c r="O7707" s="506">
        <v>5</v>
      </c>
    </row>
    <row r="7708" spans="1:15" x14ac:dyDescent="0.35">
      <c r="A7708" s="503" t="s">
        <v>1161</v>
      </c>
      <c r="B7708" s="504" t="s">
        <v>3001</v>
      </c>
      <c r="C7708" s="504" t="s">
        <v>1094</v>
      </c>
      <c r="D7708" s="504" t="s">
        <v>3380</v>
      </c>
      <c r="E7708" s="504" t="s">
        <v>3381</v>
      </c>
      <c r="F7708" s="504" t="s">
        <v>902</v>
      </c>
      <c r="G7708" s="504" t="s">
        <v>903</v>
      </c>
      <c r="H7708" s="504" t="s">
        <v>9608</v>
      </c>
      <c r="I7708" s="504">
        <v>614</v>
      </c>
      <c r="J7708" s="504">
        <v>513</v>
      </c>
      <c r="K7708" s="504">
        <v>0</v>
      </c>
      <c r="L7708" s="504">
        <v>71</v>
      </c>
      <c r="M7708" s="504">
        <v>8</v>
      </c>
      <c r="N7708" s="504">
        <v>0</v>
      </c>
      <c r="O7708" s="505">
        <v>22</v>
      </c>
    </row>
    <row r="7709" spans="1:15" x14ac:dyDescent="0.35">
      <c r="A7709" s="500" t="s">
        <v>1100</v>
      </c>
      <c r="B7709" s="501">
        <v>4865</v>
      </c>
      <c r="C7709" s="501" t="s">
        <v>1094</v>
      </c>
      <c r="D7709" s="501" t="s">
        <v>3380</v>
      </c>
      <c r="E7709" s="501" t="s">
        <v>3381</v>
      </c>
      <c r="F7709" s="501" t="s">
        <v>902</v>
      </c>
      <c r="G7709" s="501" t="s">
        <v>903</v>
      </c>
      <c r="H7709" s="501" t="s">
        <v>9609</v>
      </c>
      <c r="I7709" s="501">
        <v>47</v>
      </c>
      <c r="J7709" s="501">
        <v>30</v>
      </c>
      <c r="K7709" s="501">
        <v>0</v>
      </c>
      <c r="L7709" s="501">
        <v>0</v>
      </c>
      <c r="M7709" s="501">
        <v>0</v>
      </c>
      <c r="N7709" s="501">
        <v>0</v>
      </c>
      <c r="O7709" s="506">
        <v>17</v>
      </c>
    </row>
    <row r="7710" spans="1:15" x14ac:dyDescent="0.35">
      <c r="A7710" s="503" t="s">
        <v>1172</v>
      </c>
      <c r="B7710" s="504">
        <v>4648</v>
      </c>
      <c r="C7710" s="504" t="s">
        <v>1089</v>
      </c>
      <c r="D7710" s="504" t="s">
        <v>3392</v>
      </c>
      <c r="E7710" s="504" t="s">
        <v>3381</v>
      </c>
      <c r="F7710" s="504" t="s">
        <v>902</v>
      </c>
      <c r="G7710" s="504" t="s">
        <v>903</v>
      </c>
      <c r="H7710" s="504" t="s">
        <v>9610</v>
      </c>
      <c r="I7710" s="504">
        <v>4</v>
      </c>
      <c r="J7710" s="504">
        <v>0</v>
      </c>
      <c r="K7710" s="504">
        <v>0</v>
      </c>
      <c r="L7710" s="504">
        <v>4</v>
      </c>
      <c r="M7710" s="504">
        <v>0</v>
      </c>
      <c r="N7710" s="504">
        <v>0</v>
      </c>
      <c r="O7710" s="505">
        <v>0</v>
      </c>
    </row>
    <row r="7711" spans="1:15" x14ac:dyDescent="0.35">
      <c r="A7711" s="500" t="s">
        <v>1177</v>
      </c>
      <c r="B7711" s="501">
        <v>4702</v>
      </c>
      <c r="C7711" s="501" t="s">
        <v>1089</v>
      </c>
      <c r="D7711" s="501" t="s">
        <v>3392</v>
      </c>
      <c r="E7711" s="501" t="s">
        <v>3381</v>
      </c>
      <c r="F7711" s="501" t="s">
        <v>902</v>
      </c>
      <c r="G7711" s="501" t="s">
        <v>903</v>
      </c>
      <c r="H7711" s="501" t="s">
        <v>9611</v>
      </c>
      <c r="I7711" s="501">
        <v>5</v>
      </c>
      <c r="J7711" s="501">
        <v>0</v>
      </c>
      <c r="K7711" s="501">
        <v>0</v>
      </c>
      <c r="L7711" s="501">
        <v>5</v>
      </c>
      <c r="M7711" s="501">
        <v>0</v>
      </c>
      <c r="N7711" s="501">
        <v>0</v>
      </c>
      <c r="O7711" s="506">
        <v>0</v>
      </c>
    </row>
    <row r="7712" spans="1:15" x14ac:dyDescent="0.35">
      <c r="A7712" s="503" t="s">
        <v>14208</v>
      </c>
      <c r="B7712" s="504">
        <v>4803</v>
      </c>
      <c r="C7712" s="504" t="s">
        <v>1094</v>
      </c>
      <c r="D7712" s="504" t="s">
        <v>3380</v>
      </c>
      <c r="E7712" s="504" t="s">
        <v>3381</v>
      </c>
      <c r="F7712" s="504" t="s">
        <v>902</v>
      </c>
      <c r="G7712" s="504" t="s">
        <v>903</v>
      </c>
      <c r="H7712" s="504" t="s">
        <v>15103</v>
      </c>
      <c r="I7712" s="504">
        <v>15</v>
      </c>
      <c r="J7712" s="504">
        <v>0</v>
      </c>
      <c r="K7712" s="504">
        <v>0</v>
      </c>
      <c r="L7712" s="504">
        <v>15</v>
      </c>
      <c r="M7712" s="504">
        <v>0</v>
      </c>
      <c r="N7712" s="504">
        <v>0</v>
      </c>
      <c r="O7712" s="505">
        <v>0</v>
      </c>
    </row>
    <row r="7713" spans="1:15" x14ac:dyDescent="0.35">
      <c r="A7713" s="500" t="s">
        <v>1182</v>
      </c>
      <c r="B7713" s="501">
        <v>5060</v>
      </c>
      <c r="C7713" s="501" t="s">
        <v>1094</v>
      </c>
      <c r="D7713" s="501" t="s">
        <v>3380</v>
      </c>
      <c r="E7713" s="501" t="s">
        <v>3381</v>
      </c>
      <c r="F7713" s="501" t="s">
        <v>902</v>
      </c>
      <c r="G7713" s="501" t="s">
        <v>903</v>
      </c>
      <c r="H7713" s="501" t="s">
        <v>9612</v>
      </c>
      <c r="I7713" s="501">
        <v>20</v>
      </c>
      <c r="J7713" s="501">
        <v>0</v>
      </c>
      <c r="K7713" s="501">
        <v>0</v>
      </c>
      <c r="L7713" s="501">
        <v>20</v>
      </c>
      <c r="M7713" s="501">
        <v>0</v>
      </c>
      <c r="N7713" s="501">
        <v>0</v>
      </c>
      <c r="O7713" s="506">
        <v>0</v>
      </c>
    </row>
    <row r="7714" spans="1:15" x14ac:dyDescent="0.35">
      <c r="A7714" s="503" t="s">
        <v>1302</v>
      </c>
      <c r="B7714" s="504" t="s">
        <v>3094</v>
      </c>
      <c r="C7714" s="504" t="s">
        <v>1094</v>
      </c>
      <c r="D7714" s="504" t="s">
        <v>3380</v>
      </c>
      <c r="E7714" s="504" t="s">
        <v>3381</v>
      </c>
      <c r="F7714" s="504" t="s">
        <v>902</v>
      </c>
      <c r="G7714" s="504" t="s">
        <v>903</v>
      </c>
      <c r="H7714" s="504" t="s">
        <v>9613</v>
      </c>
      <c r="I7714" s="504">
        <v>1280</v>
      </c>
      <c r="J7714" s="504">
        <v>1015</v>
      </c>
      <c r="K7714" s="504">
        <v>0</v>
      </c>
      <c r="L7714" s="504">
        <v>85</v>
      </c>
      <c r="M7714" s="504">
        <v>44</v>
      </c>
      <c r="N7714" s="504">
        <v>0</v>
      </c>
      <c r="O7714" s="505">
        <v>136</v>
      </c>
    </row>
    <row r="7715" spans="1:15" x14ac:dyDescent="0.35">
      <c r="A7715" s="500" t="s">
        <v>1107</v>
      </c>
      <c r="B7715" s="501" t="s">
        <v>3109</v>
      </c>
      <c r="C7715" s="501" t="s">
        <v>1094</v>
      </c>
      <c r="D7715" s="501" t="s">
        <v>3380</v>
      </c>
      <c r="E7715" s="501" t="s">
        <v>3381</v>
      </c>
      <c r="F7715" s="501" t="s">
        <v>902</v>
      </c>
      <c r="G7715" s="501" t="s">
        <v>903</v>
      </c>
      <c r="H7715" s="501" t="s">
        <v>9614</v>
      </c>
      <c r="I7715" s="501">
        <v>160</v>
      </c>
      <c r="J7715" s="501">
        <v>152</v>
      </c>
      <c r="K7715" s="501">
        <v>0</v>
      </c>
      <c r="L7715" s="501">
        <v>8</v>
      </c>
      <c r="M7715" s="501">
        <v>0</v>
      </c>
      <c r="N7715" s="501">
        <v>3</v>
      </c>
      <c r="O7715" s="506">
        <v>0</v>
      </c>
    </row>
    <row r="7716" spans="1:15" x14ac:dyDescent="0.35">
      <c r="A7716" s="503" t="s">
        <v>1109</v>
      </c>
      <c r="B7716" s="504" t="s">
        <v>2959</v>
      </c>
      <c r="C7716" s="504" t="s">
        <v>1094</v>
      </c>
      <c r="D7716" s="504" t="s">
        <v>3380</v>
      </c>
      <c r="E7716" s="504" t="s">
        <v>3381</v>
      </c>
      <c r="F7716" s="504" t="s">
        <v>902</v>
      </c>
      <c r="G7716" s="504" t="s">
        <v>903</v>
      </c>
      <c r="H7716" s="504" t="s">
        <v>9615</v>
      </c>
      <c r="I7716" s="504">
        <v>38</v>
      </c>
      <c r="J7716" s="504">
        <v>0</v>
      </c>
      <c r="K7716" s="504">
        <v>0</v>
      </c>
      <c r="L7716" s="504">
        <v>0</v>
      </c>
      <c r="M7716" s="504">
        <v>22</v>
      </c>
      <c r="N7716" s="504">
        <v>0</v>
      </c>
      <c r="O7716" s="505">
        <v>16</v>
      </c>
    </row>
    <row r="7717" spans="1:15" x14ac:dyDescent="0.35">
      <c r="A7717" s="500" t="s">
        <v>1112</v>
      </c>
      <c r="B7717" s="501" t="s">
        <v>3008</v>
      </c>
      <c r="C7717" s="501" t="s">
        <v>1094</v>
      </c>
      <c r="D7717" s="501" t="s">
        <v>3380</v>
      </c>
      <c r="E7717" s="501" t="s">
        <v>3381</v>
      </c>
      <c r="F7717" s="501" t="s">
        <v>902</v>
      </c>
      <c r="G7717" s="501" t="s">
        <v>903</v>
      </c>
      <c r="H7717" s="501" t="s">
        <v>9616</v>
      </c>
      <c r="I7717" s="501">
        <v>1</v>
      </c>
      <c r="J7717" s="501">
        <v>0</v>
      </c>
      <c r="K7717" s="501">
        <v>0</v>
      </c>
      <c r="L7717" s="501">
        <v>0</v>
      </c>
      <c r="M7717" s="501">
        <v>0</v>
      </c>
      <c r="N7717" s="501">
        <v>0</v>
      </c>
      <c r="O7717" s="506">
        <v>1</v>
      </c>
    </row>
    <row r="7718" spans="1:15" x14ac:dyDescent="0.35">
      <c r="A7718" s="503" t="s">
        <v>1315</v>
      </c>
      <c r="B7718" s="504">
        <v>4825</v>
      </c>
      <c r="C7718" s="504" t="s">
        <v>1094</v>
      </c>
      <c r="D7718" s="504" t="s">
        <v>3380</v>
      </c>
      <c r="E7718" s="504" t="s">
        <v>3381</v>
      </c>
      <c r="F7718" s="504" t="s">
        <v>902</v>
      </c>
      <c r="G7718" s="504" t="s">
        <v>903</v>
      </c>
      <c r="H7718" s="504" t="s">
        <v>9617</v>
      </c>
      <c r="I7718" s="504">
        <v>91</v>
      </c>
      <c r="J7718" s="504">
        <v>91</v>
      </c>
      <c r="K7718" s="504">
        <v>0</v>
      </c>
      <c r="L7718" s="504">
        <v>0</v>
      </c>
      <c r="M7718" s="504">
        <v>0</v>
      </c>
      <c r="N7718" s="504">
        <v>0</v>
      </c>
      <c r="O7718" s="505">
        <v>0</v>
      </c>
    </row>
    <row r="7719" spans="1:15" x14ac:dyDescent="0.35">
      <c r="A7719" s="500" t="s">
        <v>1319</v>
      </c>
      <c r="B7719" s="501">
        <v>4880</v>
      </c>
      <c r="C7719" s="501" t="s">
        <v>1094</v>
      </c>
      <c r="D7719" s="501" t="s">
        <v>3380</v>
      </c>
      <c r="E7719" s="501" t="s">
        <v>3381</v>
      </c>
      <c r="F7719" s="501" t="s">
        <v>902</v>
      </c>
      <c r="G7719" s="501" t="s">
        <v>903</v>
      </c>
      <c r="H7719" s="501" t="s">
        <v>9618</v>
      </c>
      <c r="I7719" s="501">
        <v>38</v>
      </c>
      <c r="J7719" s="501">
        <v>35</v>
      </c>
      <c r="K7719" s="501">
        <v>0</v>
      </c>
      <c r="L7719" s="501">
        <v>0</v>
      </c>
      <c r="M7719" s="501">
        <v>0</v>
      </c>
      <c r="N7719" s="501">
        <v>0</v>
      </c>
      <c r="O7719" s="506">
        <v>3</v>
      </c>
    </row>
    <row r="7720" spans="1:15" x14ac:dyDescent="0.35">
      <c r="A7720" s="503" t="s">
        <v>1120</v>
      </c>
      <c r="B7720" s="504" t="s">
        <v>3362</v>
      </c>
      <c r="C7720" s="504" t="s">
        <v>1094</v>
      </c>
      <c r="D7720" s="504" t="s">
        <v>3380</v>
      </c>
      <c r="E7720" s="504" t="s">
        <v>3381</v>
      </c>
      <c r="F7720" s="504" t="s">
        <v>902</v>
      </c>
      <c r="G7720" s="504" t="s">
        <v>903</v>
      </c>
      <c r="H7720" s="504" t="s">
        <v>9619</v>
      </c>
      <c r="I7720" s="504">
        <v>2</v>
      </c>
      <c r="J7720" s="504">
        <v>0</v>
      </c>
      <c r="K7720" s="504">
        <v>0</v>
      </c>
      <c r="L7720" s="504">
        <v>0</v>
      </c>
      <c r="M7720" s="504">
        <v>0</v>
      </c>
      <c r="N7720" s="504">
        <v>0</v>
      </c>
      <c r="O7720" s="505">
        <v>2</v>
      </c>
    </row>
    <row r="7721" spans="1:15" x14ac:dyDescent="0.35">
      <c r="A7721" s="500" t="s">
        <v>1327</v>
      </c>
      <c r="B7721" s="501" t="s">
        <v>3330</v>
      </c>
      <c r="C7721" s="501" t="s">
        <v>1094</v>
      </c>
      <c r="D7721" s="501" t="s">
        <v>3380</v>
      </c>
      <c r="E7721" s="501" t="s">
        <v>3381</v>
      </c>
      <c r="F7721" s="501" t="s">
        <v>902</v>
      </c>
      <c r="G7721" s="501" t="s">
        <v>903</v>
      </c>
      <c r="H7721" s="501" t="s">
        <v>9620</v>
      </c>
      <c r="I7721" s="501">
        <v>147</v>
      </c>
      <c r="J7721" s="501">
        <v>122</v>
      </c>
      <c r="K7721" s="501">
        <v>0</v>
      </c>
      <c r="L7721" s="501">
        <v>0</v>
      </c>
      <c r="M7721" s="501">
        <v>0</v>
      </c>
      <c r="N7721" s="501">
        <v>0</v>
      </c>
      <c r="O7721" s="506">
        <v>25</v>
      </c>
    </row>
    <row r="7722" spans="1:15" x14ac:dyDescent="0.35">
      <c r="A7722" s="503" t="s">
        <v>1220</v>
      </c>
      <c r="B7722" s="504">
        <v>4849</v>
      </c>
      <c r="C7722" s="504" t="s">
        <v>1094</v>
      </c>
      <c r="D7722" s="504" t="s">
        <v>3380</v>
      </c>
      <c r="E7722" s="504" t="s">
        <v>3381</v>
      </c>
      <c r="F7722" s="504" t="s">
        <v>902</v>
      </c>
      <c r="G7722" s="504" t="s">
        <v>903</v>
      </c>
      <c r="H7722" s="504" t="s">
        <v>9621</v>
      </c>
      <c r="I7722" s="504">
        <v>31</v>
      </c>
      <c r="J7722" s="504">
        <v>31</v>
      </c>
      <c r="K7722" s="504">
        <v>0</v>
      </c>
      <c r="L7722" s="504">
        <v>0</v>
      </c>
      <c r="M7722" s="504">
        <v>0</v>
      </c>
      <c r="N7722" s="504">
        <v>0</v>
      </c>
      <c r="O7722" s="505">
        <v>0</v>
      </c>
    </row>
    <row r="7723" spans="1:15" x14ac:dyDescent="0.35">
      <c r="A7723" s="500" t="s">
        <v>1122</v>
      </c>
      <c r="B7723" s="501" t="s">
        <v>2994</v>
      </c>
      <c r="C7723" s="501" t="s">
        <v>1094</v>
      </c>
      <c r="D7723" s="501" t="s">
        <v>3380</v>
      </c>
      <c r="E7723" s="501" t="s">
        <v>3381</v>
      </c>
      <c r="F7723" s="501" t="s">
        <v>902</v>
      </c>
      <c r="G7723" s="501" t="s">
        <v>903</v>
      </c>
      <c r="H7723" s="501" t="s">
        <v>9622</v>
      </c>
      <c r="I7723" s="501">
        <v>148</v>
      </c>
      <c r="J7723" s="501">
        <v>148</v>
      </c>
      <c r="K7723" s="501">
        <v>0</v>
      </c>
      <c r="L7723" s="501">
        <v>0</v>
      </c>
      <c r="M7723" s="501">
        <v>0</v>
      </c>
      <c r="N7723" s="501">
        <v>0</v>
      </c>
      <c r="O7723" s="506">
        <v>0</v>
      </c>
    </row>
    <row r="7724" spans="1:15" x14ac:dyDescent="0.35">
      <c r="A7724" s="503" t="s">
        <v>1124</v>
      </c>
      <c r="B7724" s="504">
        <v>4745</v>
      </c>
      <c r="C7724" s="504" t="s">
        <v>1094</v>
      </c>
      <c r="D7724" s="504" t="s">
        <v>3380</v>
      </c>
      <c r="E7724" s="504" t="s">
        <v>3381</v>
      </c>
      <c r="F7724" s="504" t="s">
        <v>902</v>
      </c>
      <c r="G7724" s="504" t="s">
        <v>903</v>
      </c>
      <c r="H7724" s="504" t="s">
        <v>9623</v>
      </c>
      <c r="I7724" s="504">
        <v>7</v>
      </c>
      <c r="J7724" s="504">
        <v>0</v>
      </c>
      <c r="K7724" s="504">
        <v>0</v>
      </c>
      <c r="L7724" s="504">
        <v>7</v>
      </c>
      <c r="M7724" s="504">
        <v>0</v>
      </c>
      <c r="N7724" s="504">
        <v>0</v>
      </c>
      <c r="O7724" s="505">
        <v>0</v>
      </c>
    </row>
    <row r="7725" spans="1:15" x14ac:dyDescent="0.35">
      <c r="A7725" s="500" t="s">
        <v>1233</v>
      </c>
      <c r="B7725" s="501">
        <v>4636</v>
      </c>
      <c r="C7725" s="501" t="s">
        <v>1094</v>
      </c>
      <c r="D7725" s="501" t="s">
        <v>3380</v>
      </c>
      <c r="E7725" s="501" t="s">
        <v>3381</v>
      </c>
      <c r="F7725" s="501" t="s">
        <v>902</v>
      </c>
      <c r="G7725" s="501" t="s">
        <v>903</v>
      </c>
      <c r="H7725" s="501" t="s">
        <v>9624</v>
      </c>
      <c r="I7725" s="501">
        <v>26</v>
      </c>
      <c r="J7725" s="501">
        <v>0</v>
      </c>
      <c r="K7725" s="501">
        <v>0</v>
      </c>
      <c r="L7725" s="501">
        <v>0</v>
      </c>
      <c r="M7725" s="501">
        <v>0</v>
      </c>
      <c r="N7725" s="501">
        <v>0</v>
      </c>
      <c r="O7725" s="506">
        <v>26</v>
      </c>
    </row>
    <row r="7726" spans="1:15" x14ac:dyDescent="0.35">
      <c r="A7726" s="503" t="s">
        <v>11368</v>
      </c>
      <c r="B7726" s="504">
        <v>5083</v>
      </c>
      <c r="C7726" s="504" t="s">
        <v>1094</v>
      </c>
      <c r="D7726" s="504" t="s">
        <v>3380</v>
      </c>
      <c r="E7726" s="504" t="s">
        <v>3381</v>
      </c>
      <c r="F7726" s="504" t="s">
        <v>902</v>
      </c>
      <c r="G7726" s="504" t="s">
        <v>903</v>
      </c>
      <c r="H7726" s="504" t="s">
        <v>15104</v>
      </c>
      <c r="I7726" s="504">
        <v>22</v>
      </c>
      <c r="J7726" s="504">
        <v>22</v>
      </c>
      <c r="K7726" s="504">
        <v>0</v>
      </c>
      <c r="L7726" s="504">
        <v>0</v>
      </c>
      <c r="M7726" s="504">
        <v>0</v>
      </c>
      <c r="N7726" s="504">
        <v>0</v>
      </c>
      <c r="O7726" s="505">
        <v>0</v>
      </c>
    </row>
    <row r="7727" spans="1:15" x14ac:dyDescent="0.35">
      <c r="A7727" s="500" t="s">
        <v>1341</v>
      </c>
      <c r="B7727" s="501" t="s">
        <v>3183</v>
      </c>
      <c r="C7727" s="501" t="s">
        <v>1094</v>
      </c>
      <c r="D7727" s="501" t="s">
        <v>3380</v>
      </c>
      <c r="E7727" s="501" t="s">
        <v>3381</v>
      </c>
      <c r="F7727" s="501" t="s">
        <v>902</v>
      </c>
      <c r="G7727" s="501" t="s">
        <v>903</v>
      </c>
      <c r="H7727" s="501" t="s">
        <v>9625</v>
      </c>
      <c r="I7727" s="501">
        <v>179</v>
      </c>
      <c r="J7727" s="501">
        <v>68</v>
      </c>
      <c r="K7727" s="501">
        <v>0</v>
      </c>
      <c r="L7727" s="501">
        <v>23</v>
      </c>
      <c r="M7727" s="501">
        <v>69</v>
      </c>
      <c r="N7727" s="501">
        <v>0</v>
      </c>
      <c r="O7727" s="506">
        <v>19</v>
      </c>
    </row>
    <row r="7728" spans="1:15" x14ac:dyDescent="0.35">
      <c r="A7728" s="503" t="s">
        <v>1369</v>
      </c>
      <c r="B7728" s="504" t="s">
        <v>3218</v>
      </c>
      <c r="C7728" s="504" t="s">
        <v>1094</v>
      </c>
      <c r="D7728" s="504" t="s">
        <v>3380</v>
      </c>
      <c r="E7728" s="504" t="s">
        <v>3381</v>
      </c>
      <c r="F7728" s="504" t="s">
        <v>902</v>
      </c>
      <c r="G7728" s="504" t="s">
        <v>903</v>
      </c>
      <c r="H7728" s="504" t="s">
        <v>9626</v>
      </c>
      <c r="I7728" s="504">
        <v>2</v>
      </c>
      <c r="J7728" s="504">
        <v>0</v>
      </c>
      <c r="K7728" s="504">
        <v>0</v>
      </c>
      <c r="L7728" s="504">
        <v>0</v>
      </c>
      <c r="M7728" s="504">
        <v>0</v>
      </c>
      <c r="N7728" s="504">
        <v>0</v>
      </c>
      <c r="O7728" s="505">
        <v>2</v>
      </c>
    </row>
    <row r="7729" spans="1:15" x14ac:dyDescent="0.35">
      <c r="A7729" s="500" t="s">
        <v>1374</v>
      </c>
      <c r="B7729" s="501" t="s">
        <v>3209</v>
      </c>
      <c r="C7729" s="501" t="s">
        <v>1094</v>
      </c>
      <c r="D7729" s="501" t="s">
        <v>3380</v>
      </c>
      <c r="E7729" s="501" t="s">
        <v>3381</v>
      </c>
      <c r="F7729" s="501" t="s">
        <v>902</v>
      </c>
      <c r="G7729" s="501" t="s">
        <v>903</v>
      </c>
      <c r="H7729" s="501" t="s">
        <v>15105</v>
      </c>
      <c r="I7729" s="501">
        <v>3</v>
      </c>
      <c r="J7729" s="501">
        <v>0</v>
      </c>
      <c r="K7729" s="501">
        <v>0</v>
      </c>
      <c r="L7729" s="501">
        <v>0</v>
      </c>
      <c r="M7729" s="501">
        <v>0</v>
      </c>
      <c r="N7729" s="501">
        <v>0</v>
      </c>
      <c r="O7729" s="506">
        <v>3</v>
      </c>
    </row>
    <row r="7730" spans="1:15" x14ac:dyDescent="0.35">
      <c r="A7730" s="503" t="s">
        <v>1376</v>
      </c>
      <c r="B7730" s="504" t="s">
        <v>3081</v>
      </c>
      <c r="C7730" s="504" t="s">
        <v>1089</v>
      </c>
      <c r="D7730" s="504" t="s">
        <v>3392</v>
      </c>
      <c r="E7730" s="504" t="s">
        <v>3381</v>
      </c>
      <c r="F7730" s="504" t="s">
        <v>902</v>
      </c>
      <c r="G7730" s="504" t="s">
        <v>903</v>
      </c>
      <c r="H7730" s="504" t="s">
        <v>9627</v>
      </c>
      <c r="I7730" s="504">
        <v>36</v>
      </c>
      <c r="J7730" s="504">
        <v>12</v>
      </c>
      <c r="K7730" s="504">
        <v>0</v>
      </c>
      <c r="L7730" s="504">
        <v>24</v>
      </c>
      <c r="M7730" s="504">
        <v>0</v>
      </c>
      <c r="N7730" s="504">
        <v>0</v>
      </c>
      <c r="O7730" s="505">
        <v>0</v>
      </c>
    </row>
    <row r="7731" spans="1:15" x14ac:dyDescent="0.35">
      <c r="A7731" s="500" t="s">
        <v>1156</v>
      </c>
      <c r="B7731" s="501" t="s">
        <v>3310</v>
      </c>
      <c r="C7731" s="501" t="s">
        <v>1094</v>
      </c>
      <c r="D7731" s="501" t="s">
        <v>3380</v>
      </c>
      <c r="E7731" s="501" t="s">
        <v>3381</v>
      </c>
      <c r="F7731" s="501" t="s">
        <v>902</v>
      </c>
      <c r="G7731" s="501" t="s">
        <v>903</v>
      </c>
      <c r="H7731" s="501" t="s">
        <v>9607</v>
      </c>
      <c r="I7731" s="501">
        <v>40</v>
      </c>
      <c r="J7731" s="501">
        <v>0</v>
      </c>
      <c r="K7731" s="501">
        <v>0</v>
      </c>
      <c r="L7731" s="501">
        <v>0</v>
      </c>
      <c r="M7731" s="501">
        <v>28</v>
      </c>
      <c r="N7731" s="501">
        <v>0</v>
      </c>
      <c r="O7731" s="506">
        <v>12</v>
      </c>
    </row>
    <row r="7732" spans="1:15" x14ac:dyDescent="0.35">
      <c r="A7732" s="503" t="s">
        <v>1143</v>
      </c>
      <c r="B7732" s="504" t="s">
        <v>3281</v>
      </c>
      <c r="C7732" s="504" t="s">
        <v>1094</v>
      </c>
      <c r="D7732" s="504" t="s">
        <v>3380</v>
      </c>
      <c r="E7732" s="504" t="s">
        <v>3381</v>
      </c>
      <c r="F7732" s="504" t="s">
        <v>904</v>
      </c>
      <c r="G7732" s="504" t="s">
        <v>905</v>
      </c>
      <c r="H7732" s="504" t="s">
        <v>9628</v>
      </c>
      <c r="I7732" s="504">
        <v>8</v>
      </c>
      <c r="J7732" s="504">
        <v>8</v>
      </c>
      <c r="K7732" s="504">
        <v>0</v>
      </c>
      <c r="L7732" s="504">
        <v>0</v>
      </c>
      <c r="M7732" s="504">
        <v>0</v>
      </c>
      <c r="N7732" s="504">
        <v>7</v>
      </c>
      <c r="O7732" s="505">
        <v>0</v>
      </c>
    </row>
    <row r="7733" spans="1:15" x14ac:dyDescent="0.35">
      <c r="A7733" s="500" t="s">
        <v>1668</v>
      </c>
      <c r="B7733" s="501" t="s">
        <v>3035</v>
      </c>
      <c r="C7733" s="501" t="s">
        <v>1089</v>
      </c>
      <c r="D7733" s="501" t="s">
        <v>3392</v>
      </c>
      <c r="E7733" s="501" t="s">
        <v>3381</v>
      </c>
      <c r="F7733" s="501" t="s">
        <v>904</v>
      </c>
      <c r="G7733" s="501" t="s">
        <v>905</v>
      </c>
      <c r="H7733" s="501" t="s">
        <v>9629</v>
      </c>
      <c r="I7733" s="501">
        <v>60</v>
      </c>
      <c r="J7733" s="501">
        <v>0</v>
      </c>
      <c r="K7733" s="501">
        <v>0</v>
      </c>
      <c r="L7733" s="501">
        <v>0</v>
      </c>
      <c r="M7733" s="501">
        <v>60</v>
      </c>
      <c r="N7733" s="501">
        <v>0</v>
      </c>
      <c r="O7733" s="506">
        <v>0</v>
      </c>
    </row>
    <row r="7734" spans="1:15" x14ac:dyDescent="0.35">
      <c r="A7734" s="503" t="s">
        <v>11363</v>
      </c>
      <c r="B7734" s="504">
        <v>4718</v>
      </c>
      <c r="C7734" s="504" t="s">
        <v>1094</v>
      </c>
      <c r="D7734" s="504" t="s">
        <v>3380</v>
      </c>
      <c r="E7734" s="504" t="s">
        <v>3381</v>
      </c>
      <c r="F7734" s="504" t="s">
        <v>904</v>
      </c>
      <c r="G7734" s="504" t="s">
        <v>905</v>
      </c>
      <c r="H7734" s="504" t="s">
        <v>11590</v>
      </c>
      <c r="I7734" s="504">
        <v>1</v>
      </c>
      <c r="J7734" s="504">
        <v>0</v>
      </c>
      <c r="K7734" s="504">
        <v>0</v>
      </c>
      <c r="L7734" s="504">
        <v>1</v>
      </c>
      <c r="M7734" s="504">
        <v>0</v>
      </c>
      <c r="N7734" s="504">
        <v>0</v>
      </c>
      <c r="O7734" s="505">
        <v>0</v>
      </c>
    </row>
    <row r="7735" spans="1:15" x14ac:dyDescent="0.35">
      <c r="A7735" s="500" t="s">
        <v>1100</v>
      </c>
      <c r="B7735" s="501">
        <v>4865</v>
      </c>
      <c r="C7735" s="501" t="s">
        <v>1094</v>
      </c>
      <c r="D7735" s="501" t="s">
        <v>3380</v>
      </c>
      <c r="E7735" s="501" t="s">
        <v>3381</v>
      </c>
      <c r="F7735" s="501" t="s">
        <v>904</v>
      </c>
      <c r="G7735" s="501" t="s">
        <v>905</v>
      </c>
      <c r="H7735" s="501" t="s">
        <v>9630</v>
      </c>
      <c r="I7735" s="501">
        <v>186</v>
      </c>
      <c r="J7735" s="501">
        <v>181</v>
      </c>
      <c r="K7735" s="501">
        <v>0</v>
      </c>
      <c r="L7735" s="501">
        <v>0</v>
      </c>
      <c r="M7735" s="501">
        <v>0</v>
      </c>
      <c r="N7735" s="501">
        <v>0</v>
      </c>
      <c r="O7735" s="506">
        <v>5</v>
      </c>
    </row>
    <row r="7736" spans="1:15" x14ac:dyDescent="0.35">
      <c r="A7736" s="503" t="s">
        <v>1102</v>
      </c>
      <c r="B7736" s="504">
        <v>4663</v>
      </c>
      <c r="C7736" s="504" t="s">
        <v>1089</v>
      </c>
      <c r="D7736" s="504" t="s">
        <v>3392</v>
      </c>
      <c r="E7736" s="504" t="s">
        <v>3381</v>
      </c>
      <c r="F7736" s="504" t="s">
        <v>904</v>
      </c>
      <c r="G7736" s="504" t="s">
        <v>905</v>
      </c>
      <c r="H7736" s="504" t="s">
        <v>9631</v>
      </c>
      <c r="I7736" s="504">
        <v>6</v>
      </c>
      <c r="J7736" s="504">
        <v>0</v>
      </c>
      <c r="K7736" s="504">
        <v>0</v>
      </c>
      <c r="L7736" s="504">
        <v>6</v>
      </c>
      <c r="M7736" s="504">
        <v>0</v>
      </c>
      <c r="N7736" s="504">
        <v>0</v>
      </c>
      <c r="O7736" s="505">
        <v>0</v>
      </c>
    </row>
    <row r="7737" spans="1:15" x14ac:dyDescent="0.35">
      <c r="A7737" s="500" t="s">
        <v>1704</v>
      </c>
      <c r="B7737" s="501" t="s">
        <v>3221</v>
      </c>
      <c r="C7737" s="501" t="s">
        <v>1094</v>
      </c>
      <c r="D7737" s="501" t="s">
        <v>3380</v>
      </c>
      <c r="E7737" s="501" t="s">
        <v>3381</v>
      </c>
      <c r="F7737" s="501" t="s">
        <v>904</v>
      </c>
      <c r="G7737" s="501" t="s">
        <v>905</v>
      </c>
      <c r="H7737" s="501" t="s">
        <v>9632</v>
      </c>
      <c r="I7737" s="501">
        <v>23</v>
      </c>
      <c r="J7737" s="501">
        <v>0</v>
      </c>
      <c r="K7737" s="501">
        <v>0</v>
      </c>
      <c r="L7737" s="501">
        <v>23</v>
      </c>
      <c r="M7737" s="501">
        <v>0</v>
      </c>
      <c r="N7737" s="501">
        <v>0</v>
      </c>
      <c r="O7737" s="506">
        <v>0</v>
      </c>
    </row>
    <row r="7738" spans="1:15" x14ac:dyDescent="0.35">
      <c r="A7738" s="503" t="s">
        <v>14208</v>
      </c>
      <c r="B7738" s="504">
        <v>4803</v>
      </c>
      <c r="C7738" s="504" t="s">
        <v>1094</v>
      </c>
      <c r="D7738" s="504" t="s">
        <v>3380</v>
      </c>
      <c r="E7738" s="504" t="s">
        <v>3381</v>
      </c>
      <c r="F7738" s="504" t="s">
        <v>904</v>
      </c>
      <c r="G7738" s="504" t="s">
        <v>905</v>
      </c>
      <c r="H7738" s="504" t="s">
        <v>15106</v>
      </c>
      <c r="I7738" s="504">
        <v>2</v>
      </c>
      <c r="J7738" s="504">
        <v>0</v>
      </c>
      <c r="K7738" s="504">
        <v>0</v>
      </c>
      <c r="L7738" s="504">
        <v>2</v>
      </c>
      <c r="M7738" s="504">
        <v>0</v>
      </c>
      <c r="N7738" s="504">
        <v>0</v>
      </c>
      <c r="O7738" s="505">
        <v>0</v>
      </c>
    </row>
    <row r="7739" spans="1:15" x14ac:dyDescent="0.35">
      <c r="A7739" s="500" t="s">
        <v>1183</v>
      </c>
      <c r="B7739" s="501" t="s">
        <v>3038</v>
      </c>
      <c r="C7739" s="501" t="s">
        <v>1094</v>
      </c>
      <c r="D7739" s="501" t="s">
        <v>3380</v>
      </c>
      <c r="E7739" s="501" t="s">
        <v>3381</v>
      </c>
      <c r="F7739" s="501" t="s">
        <v>904</v>
      </c>
      <c r="G7739" s="501" t="s">
        <v>905</v>
      </c>
      <c r="H7739" s="501" t="s">
        <v>9633</v>
      </c>
      <c r="I7739" s="501">
        <v>20</v>
      </c>
      <c r="J7739" s="501">
        <v>0</v>
      </c>
      <c r="K7739" s="501">
        <v>0</v>
      </c>
      <c r="L7739" s="501">
        <v>20</v>
      </c>
      <c r="M7739" s="501">
        <v>0</v>
      </c>
      <c r="N7739" s="501">
        <v>0</v>
      </c>
      <c r="O7739" s="506">
        <v>0</v>
      </c>
    </row>
    <row r="7740" spans="1:15" x14ac:dyDescent="0.35">
      <c r="A7740" s="503" t="s">
        <v>1105</v>
      </c>
      <c r="B7740" s="504">
        <v>4668</v>
      </c>
      <c r="C7740" s="504" t="s">
        <v>1094</v>
      </c>
      <c r="D7740" s="504" t="s">
        <v>3380</v>
      </c>
      <c r="E7740" s="504" t="s">
        <v>3381</v>
      </c>
      <c r="F7740" s="504" t="s">
        <v>904</v>
      </c>
      <c r="G7740" s="504" t="s">
        <v>905</v>
      </c>
      <c r="H7740" s="504" t="s">
        <v>9634</v>
      </c>
      <c r="I7740" s="504">
        <v>15</v>
      </c>
      <c r="J7740" s="504">
        <v>0</v>
      </c>
      <c r="K7740" s="504">
        <v>0</v>
      </c>
      <c r="L7740" s="504">
        <v>0</v>
      </c>
      <c r="M7740" s="504">
        <v>0</v>
      </c>
      <c r="N7740" s="504">
        <v>0</v>
      </c>
      <c r="O7740" s="505">
        <v>15</v>
      </c>
    </row>
    <row r="7741" spans="1:15" x14ac:dyDescent="0.35">
      <c r="A7741" s="500" t="s">
        <v>1109</v>
      </c>
      <c r="B7741" s="501" t="s">
        <v>2959</v>
      </c>
      <c r="C7741" s="501" t="s">
        <v>1094</v>
      </c>
      <c r="D7741" s="501" t="s">
        <v>3380</v>
      </c>
      <c r="E7741" s="501" t="s">
        <v>3381</v>
      </c>
      <c r="F7741" s="501" t="s">
        <v>904</v>
      </c>
      <c r="G7741" s="501" t="s">
        <v>905</v>
      </c>
      <c r="H7741" s="501" t="s">
        <v>9635</v>
      </c>
      <c r="I7741" s="501">
        <v>30</v>
      </c>
      <c r="J7741" s="501">
        <v>0</v>
      </c>
      <c r="K7741" s="501">
        <v>0</v>
      </c>
      <c r="L7741" s="501">
        <v>0</v>
      </c>
      <c r="M7741" s="501">
        <v>30</v>
      </c>
      <c r="N7741" s="501">
        <v>0</v>
      </c>
      <c r="O7741" s="506">
        <v>0</v>
      </c>
    </row>
    <row r="7742" spans="1:15" x14ac:dyDescent="0.35">
      <c r="A7742" s="503" t="s">
        <v>1190</v>
      </c>
      <c r="B7742" s="504">
        <v>4662</v>
      </c>
      <c r="C7742" s="504" t="s">
        <v>1094</v>
      </c>
      <c r="D7742" s="504" t="s">
        <v>3380</v>
      </c>
      <c r="E7742" s="504" t="s">
        <v>3381</v>
      </c>
      <c r="F7742" s="504" t="s">
        <v>904</v>
      </c>
      <c r="G7742" s="504" t="s">
        <v>905</v>
      </c>
      <c r="H7742" s="504" t="s">
        <v>9636</v>
      </c>
      <c r="I7742" s="504">
        <v>57</v>
      </c>
      <c r="J7742" s="504">
        <v>0</v>
      </c>
      <c r="K7742" s="504">
        <v>0</v>
      </c>
      <c r="L7742" s="504">
        <v>57</v>
      </c>
      <c r="M7742" s="504">
        <v>0</v>
      </c>
      <c r="N7742" s="504">
        <v>0</v>
      </c>
      <c r="O7742" s="505">
        <v>0</v>
      </c>
    </row>
    <row r="7743" spans="1:15" x14ac:dyDescent="0.35">
      <c r="A7743" s="500" t="s">
        <v>11401</v>
      </c>
      <c r="B7743" s="501" t="s">
        <v>3241</v>
      </c>
      <c r="C7743" s="501" t="s">
        <v>1094</v>
      </c>
      <c r="D7743" s="501" t="s">
        <v>3380</v>
      </c>
      <c r="E7743" s="501" t="s">
        <v>3381</v>
      </c>
      <c r="F7743" s="501" t="s">
        <v>904</v>
      </c>
      <c r="G7743" s="501" t="s">
        <v>905</v>
      </c>
      <c r="H7743" s="501" t="s">
        <v>11789</v>
      </c>
      <c r="I7743" s="501">
        <v>35</v>
      </c>
      <c r="J7743" s="501">
        <v>13</v>
      </c>
      <c r="K7743" s="501">
        <v>0</v>
      </c>
      <c r="L7743" s="501">
        <v>0</v>
      </c>
      <c r="M7743" s="501">
        <v>0</v>
      </c>
      <c r="N7743" s="501">
        <v>1</v>
      </c>
      <c r="O7743" s="506">
        <v>22</v>
      </c>
    </row>
    <row r="7744" spans="1:15" x14ac:dyDescent="0.35">
      <c r="A7744" s="503" t="s">
        <v>1730</v>
      </c>
      <c r="B7744" s="504" t="s">
        <v>3351</v>
      </c>
      <c r="C7744" s="504" t="s">
        <v>1094</v>
      </c>
      <c r="D7744" s="504" t="s">
        <v>3380</v>
      </c>
      <c r="E7744" s="504" t="s">
        <v>3381</v>
      </c>
      <c r="F7744" s="504" t="s">
        <v>904</v>
      </c>
      <c r="G7744" s="504" t="s">
        <v>905</v>
      </c>
      <c r="H7744" s="504" t="s">
        <v>9637</v>
      </c>
      <c r="I7744" s="504">
        <v>40</v>
      </c>
      <c r="J7744" s="504">
        <v>0</v>
      </c>
      <c r="K7744" s="504">
        <v>0</v>
      </c>
      <c r="L7744" s="504">
        <v>0</v>
      </c>
      <c r="M7744" s="504">
        <v>0</v>
      </c>
      <c r="N7744" s="504">
        <v>0</v>
      </c>
      <c r="O7744" s="505">
        <v>40</v>
      </c>
    </row>
    <row r="7745" spans="1:15" x14ac:dyDescent="0.35">
      <c r="A7745" s="500" t="s">
        <v>1739</v>
      </c>
      <c r="B7745" s="501">
        <v>4857</v>
      </c>
      <c r="C7745" s="501" t="s">
        <v>1094</v>
      </c>
      <c r="D7745" s="501" t="s">
        <v>3380</v>
      </c>
      <c r="E7745" s="501" t="s">
        <v>3381</v>
      </c>
      <c r="F7745" s="501" t="s">
        <v>904</v>
      </c>
      <c r="G7745" s="501" t="s">
        <v>905</v>
      </c>
      <c r="H7745" s="501" t="s">
        <v>9638</v>
      </c>
      <c r="I7745" s="501">
        <v>27</v>
      </c>
      <c r="J7745" s="501">
        <v>27</v>
      </c>
      <c r="K7745" s="501">
        <v>0</v>
      </c>
      <c r="L7745" s="501">
        <v>0</v>
      </c>
      <c r="M7745" s="501">
        <v>0</v>
      </c>
      <c r="N7745" s="501">
        <v>0</v>
      </c>
      <c r="O7745" s="506">
        <v>0</v>
      </c>
    </row>
    <row r="7746" spans="1:15" x14ac:dyDescent="0.35">
      <c r="A7746" s="503" t="s">
        <v>1209</v>
      </c>
      <c r="B7746" s="504">
        <v>4779</v>
      </c>
      <c r="C7746" s="504" t="s">
        <v>1094</v>
      </c>
      <c r="D7746" s="504" t="s">
        <v>3380</v>
      </c>
      <c r="E7746" s="504" t="s">
        <v>3381</v>
      </c>
      <c r="F7746" s="504" t="s">
        <v>904</v>
      </c>
      <c r="G7746" s="504" t="s">
        <v>905</v>
      </c>
      <c r="H7746" s="504" t="s">
        <v>9639</v>
      </c>
      <c r="I7746" s="504">
        <v>15</v>
      </c>
      <c r="J7746" s="504">
        <v>0</v>
      </c>
      <c r="K7746" s="504">
        <v>0</v>
      </c>
      <c r="L7746" s="504">
        <v>15</v>
      </c>
      <c r="M7746" s="504">
        <v>0</v>
      </c>
      <c r="N7746" s="504">
        <v>0</v>
      </c>
      <c r="O7746" s="505">
        <v>0</v>
      </c>
    </row>
    <row r="7747" spans="1:15" x14ac:dyDescent="0.35">
      <c r="A7747" s="500" t="s">
        <v>1743</v>
      </c>
      <c r="B7747" s="501">
        <v>4804</v>
      </c>
      <c r="C7747" s="501" t="s">
        <v>1094</v>
      </c>
      <c r="D7747" s="501" t="s">
        <v>3380</v>
      </c>
      <c r="E7747" s="501" t="s">
        <v>3381</v>
      </c>
      <c r="F7747" s="501" t="s">
        <v>904</v>
      </c>
      <c r="G7747" s="501" t="s">
        <v>905</v>
      </c>
      <c r="H7747" s="501" t="s">
        <v>9640</v>
      </c>
      <c r="I7747" s="501">
        <v>102</v>
      </c>
      <c r="J7747" s="501">
        <v>97</v>
      </c>
      <c r="K7747" s="501">
        <v>0</v>
      </c>
      <c r="L7747" s="501">
        <v>0</v>
      </c>
      <c r="M7747" s="501">
        <v>0</v>
      </c>
      <c r="N7747" s="501">
        <v>0</v>
      </c>
      <c r="O7747" s="506">
        <v>5</v>
      </c>
    </row>
    <row r="7748" spans="1:15" x14ac:dyDescent="0.35">
      <c r="A7748" s="503" t="s">
        <v>1744</v>
      </c>
      <c r="B7748" s="504" t="s">
        <v>3245</v>
      </c>
      <c r="C7748" s="504" t="s">
        <v>1094</v>
      </c>
      <c r="D7748" s="504" t="s">
        <v>3380</v>
      </c>
      <c r="E7748" s="504" t="s">
        <v>3381</v>
      </c>
      <c r="F7748" s="504" t="s">
        <v>904</v>
      </c>
      <c r="G7748" s="504" t="s">
        <v>905</v>
      </c>
      <c r="H7748" s="504" t="s">
        <v>9641</v>
      </c>
      <c r="I7748" s="504">
        <v>196</v>
      </c>
      <c r="J7748" s="504">
        <v>123</v>
      </c>
      <c r="K7748" s="504">
        <v>0</v>
      </c>
      <c r="L7748" s="504">
        <v>71</v>
      </c>
      <c r="M7748" s="504">
        <v>0</v>
      </c>
      <c r="N7748" s="504">
        <v>2</v>
      </c>
      <c r="O7748" s="505">
        <v>2</v>
      </c>
    </row>
    <row r="7749" spans="1:15" x14ac:dyDescent="0.35">
      <c r="A7749" s="500" t="s">
        <v>1223</v>
      </c>
      <c r="B7749" s="501">
        <v>4768</v>
      </c>
      <c r="C7749" s="501" t="s">
        <v>1089</v>
      </c>
      <c r="D7749" s="501" t="s">
        <v>3392</v>
      </c>
      <c r="E7749" s="501" t="s">
        <v>3381</v>
      </c>
      <c r="F7749" s="501" t="s">
        <v>904</v>
      </c>
      <c r="G7749" s="501" t="s">
        <v>905</v>
      </c>
      <c r="H7749" s="501" t="s">
        <v>9642</v>
      </c>
      <c r="I7749" s="501">
        <v>3</v>
      </c>
      <c r="J7749" s="501">
        <v>0</v>
      </c>
      <c r="K7749" s="501">
        <v>0</v>
      </c>
      <c r="L7749" s="501">
        <v>3</v>
      </c>
      <c r="M7749" s="501">
        <v>0</v>
      </c>
      <c r="N7749" s="501">
        <v>0</v>
      </c>
      <c r="O7749" s="506">
        <v>0</v>
      </c>
    </row>
    <row r="7750" spans="1:15" x14ac:dyDescent="0.35">
      <c r="A7750" s="503" t="s">
        <v>1122</v>
      </c>
      <c r="B7750" s="504" t="s">
        <v>2994</v>
      </c>
      <c r="C7750" s="504" t="s">
        <v>1094</v>
      </c>
      <c r="D7750" s="504" t="s">
        <v>3380</v>
      </c>
      <c r="E7750" s="504" t="s">
        <v>3381</v>
      </c>
      <c r="F7750" s="504" t="s">
        <v>904</v>
      </c>
      <c r="G7750" s="504" t="s">
        <v>905</v>
      </c>
      <c r="H7750" s="504" t="s">
        <v>9643</v>
      </c>
      <c r="I7750" s="504">
        <v>3</v>
      </c>
      <c r="J7750" s="504">
        <v>0</v>
      </c>
      <c r="K7750" s="504">
        <v>0</v>
      </c>
      <c r="L7750" s="504">
        <v>0</v>
      </c>
      <c r="M7750" s="504">
        <v>0</v>
      </c>
      <c r="N7750" s="504">
        <v>0</v>
      </c>
      <c r="O7750" s="505">
        <v>3</v>
      </c>
    </row>
    <row r="7751" spans="1:15" x14ac:dyDescent="0.35">
      <c r="A7751" s="500" t="s">
        <v>1225</v>
      </c>
      <c r="B7751" s="501" t="s">
        <v>3315</v>
      </c>
      <c r="C7751" s="501" t="s">
        <v>1094</v>
      </c>
      <c r="D7751" s="501" t="s">
        <v>3380</v>
      </c>
      <c r="E7751" s="501" t="s">
        <v>3381</v>
      </c>
      <c r="F7751" s="501" t="s">
        <v>904</v>
      </c>
      <c r="G7751" s="501" t="s">
        <v>905</v>
      </c>
      <c r="H7751" s="501" t="s">
        <v>9644</v>
      </c>
      <c r="I7751" s="501">
        <v>2</v>
      </c>
      <c r="J7751" s="501">
        <v>0</v>
      </c>
      <c r="K7751" s="501">
        <v>0</v>
      </c>
      <c r="L7751" s="501">
        <v>2</v>
      </c>
      <c r="M7751" s="501">
        <v>0</v>
      </c>
      <c r="N7751" s="501">
        <v>0</v>
      </c>
      <c r="O7751" s="506">
        <v>0</v>
      </c>
    </row>
    <row r="7752" spans="1:15" x14ac:dyDescent="0.35">
      <c r="A7752" s="503" t="s">
        <v>1748</v>
      </c>
      <c r="B7752" s="504" t="s">
        <v>3233</v>
      </c>
      <c r="C7752" s="504" t="s">
        <v>1094</v>
      </c>
      <c r="D7752" s="504" t="s">
        <v>3380</v>
      </c>
      <c r="E7752" s="504" t="s">
        <v>3381</v>
      </c>
      <c r="F7752" s="504" t="s">
        <v>904</v>
      </c>
      <c r="G7752" s="504" t="s">
        <v>905</v>
      </c>
      <c r="H7752" s="504" t="s">
        <v>9645</v>
      </c>
      <c r="I7752" s="504">
        <v>30</v>
      </c>
      <c r="J7752" s="504">
        <v>16</v>
      </c>
      <c r="K7752" s="504">
        <v>0</v>
      </c>
      <c r="L7752" s="504">
        <v>0</v>
      </c>
      <c r="M7752" s="504">
        <v>0</v>
      </c>
      <c r="N7752" s="504">
        <v>0</v>
      </c>
      <c r="O7752" s="505">
        <v>14</v>
      </c>
    </row>
    <row r="7753" spans="1:15" x14ac:dyDescent="0.35">
      <c r="A7753" s="500" t="s">
        <v>1228</v>
      </c>
      <c r="B7753" s="501" t="s">
        <v>3321</v>
      </c>
      <c r="C7753" s="501" t="s">
        <v>1094</v>
      </c>
      <c r="D7753" s="501" t="s">
        <v>3380</v>
      </c>
      <c r="E7753" s="501" t="s">
        <v>3381</v>
      </c>
      <c r="F7753" s="501" t="s">
        <v>904</v>
      </c>
      <c r="G7753" s="501" t="s">
        <v>905</v>
      </c>
      <c r="H7753" s="501" t="s">
        <v>9646</v>
      </c>
      <c r="I7753" s="501">
        <v>10</v>
      </c>
      <c r="J7753" s="501">
        <v>0</v>
      </c>
      <c r="K7753" s="501">
        <v>0</v>
      </c>
      <c r="L7753" s="501">
        <v>10</v>
      </c>
      <c r="M7753" s="501">
        <v>0</v>
      </c>
      <c r="N7753" s="501">
        <v>0</v>
      </c>
      <c r="O7753" s="506">
        <v>0</v>
      </c>
    </row>
    <row r="7754" spans="1:15" x14ac:dyDescent="0.35">
      <c r="A7754" s="503" t="s">
        <v>1752</v>
      </c>
      <c r="B7754" s="504">
        <v>4653</v>
      </c>
      <c r="C7754" s="504" t="s">
        <v>1094</v>
      </c>
      <c r="D7754" s="504" t="s">
        <v>3380</v>
      </c>
      <c r="E7754" s="504" t="s">
        <v>3381</v>
      </c>
      <c r="F7754" s="504" t="s">
        <v>904</v>
      </c>
      <c r="G7754" s="504" t="s">
        <v>905</v>
      </c>
      <c r="H7754" s="504" t="s">
        <v>9647</v>
      </c>
      <c r="I7754" s="504">
        <v>844</v>
      </c>
      <c r="J7754" s="504">
        <v>756</v>
      </c>
      <c r="K7754" s="504">
        <v>0</v>
      </c>
      <c r="L7754" s="504">
        <v>18</v>
      </c>
      <c r="M7754" s="504">
        <v>45</v>
      </c>
      <c r="N7754" s="504">
        <v>0</v>
      </c>
      <c r="O7754" s="505">
        <v>25</v>
      </c>
    </row>
    <row r="7755" spans="1:15" x14ac:dyDescent="0.35">
      <c r="A7755" s="500" t="s">
        <v>1124</v>
      </c>
      <c r="B7755" s="501">
        <v>4745</v>
      </c>
      <c r="C7755" s="501" t="s">
        <v>1094</v>
      </c>
      <c r="D7755" s="501" t="s">
        <v>3380</v>
      </c>
      <c r="E7755" s="501" t="s">
        <v>3381</v>
      </c>
      <c r="F7755" s="501" t="s">
        <v>904</v>
      </c>
      <c r="G7755" s="501" t="s">
        <v>905</v>
      </c>
      <c r="H7755" s="501" t="s">
        <v>9648</v>
      </c>
      <c r="I7755" s="501">
        <v>19</v>
      </c>
      <c r="J7755" s="501">
        <v>0</v>
      </c>
      <c r="K7755" s="501">
        <v>0</v>
      </c>
      <c r="L7755" s="501">
        <v>19</v>
      </c>
      <c r="M7755" s="501">
        <v>0</v>
      </c>
      <c r="N7755" s="501">
        <v>0</v>
      </c>
      <c r="O7755" s="506">
        <v>0</v>
      </c>
    </row>
    <row r="7756" spans="1:15" x14ac:dyDescent="0.35">
      <c r="A7756" s="503" t="s">
        <v>1234</v>
      </c>
      <c r="B7756" s="504" t="s">
        <v>3291</v>
      </c>
      <c r="C7756" s="504" t="s">
        <v>1094</v>
      </c>
      <c r="D7756" s="504" t="s">
        <v>3380</v>
      </c>
      <c r="E7756" s="504" t="s">
        <v>3381</v>
      </c>
      <c r="F7756" s="504" t="s">
        <v>904</v>
      </c>
      <c r="G7756" s="504" t="s">
        <v>905</v>
      </c>
      <c r="H7756" s="504" t="s">
        <v>9649</v>
      </c>
      <c r="I7756" s="504">
        <v>179</v>
      </c>
      <c r="J7756" s="504">
        <v>33</v>
      </c>
      <c r="K7756" s="504">
        <v>0</v>
      </c>
      <c r="L7756" s="504">
        <v>64</v>
      </c>
      <c r="M7756" s="504">
        <v>82</v>
      </c>
      <c r="N7756" s="504">
        <v>0</v>
      </c>
      <c r="O7756" s="505">
        <v>0</v>
      </c>
    </row>
    <row r="7757" spans="1:15" x14ac:dyDescent="0.35">
      <c r="A7757" s="500" t="s">
        <v>1235</v>
      </c>
      <c r="B7757" s="501">
        <v>4684</v>
      </c>
      <c r="C7757" s="501" t="s">
        <v>1094</v>
      </c>
      <c r="D7757" s="501" t="s">
        <v>3380</v>
      </c>
      <c r="E7757" s="501" t="s">
        <v>3381</v>
      </c>
      <c r="F7757" s="501" t="s">
        <v>904</v>
      </c>
      <c r="G7757" s="501" t="s">
        <v>905</v>
      </c>
      <c r="H7757" s="501" t="s">
        <v>9650</v>
      </c>
      <c r="I7757" s="501">
        <v>16</v>
      </c>
      <c r="J7757" s="501">
        <v>16</v>
      </c>
      <c r="K7757" s="501">
        <v>0</v>
      </c>
      <c r="L7757" s="501">
        <v>0</v>
      </c>
      <c r="M7757" s="501">
        <v>0</v>
      </c>
      <c r="N7757" s="501">
        <v>0</v>
      </c>
      <c r="O7757" s="506">
        <v>0</v>
      </c>
    </row>
    <row r="7758" spans="1:15" x14ac:dyDescent="0.35">
      <c r="A7758" s="503" t="s">
        <v>1126</v>
      </c>
      <c r="B7758" s="504" t="s">
        <v>2974</v>
      </c>
      <c r="C7758" s="504" t="s">
        <v>1094</v>
      </c>
      <c r="D7758" s="504" t="s">
        <v>3380</v>
      </c>
      <c r="E7758" s="504" t="s">
        <v>3381</v>
      </c>
      <c r="F7758" s="504" t="s">
        <v>904</v>
      </c>
      <c r="G7758" s="504" t="s">
        <v>905</v>
      </c>
      <c r="H7758" s="504" t="s">
        <v>9651</v>
      </c>
      <c r="I7758" s="504">
        <v>77</v>
      </c>
      <c r="J7758" s="504">
        <v>77</v>
      </c>
      <c r="K7758" s="504">
        <v>0</v>
      </c>
      <c r="L7758" s="504">
        <v>0</v>
      </c>
      <c r="M7758" s="504">
        <v>0</v>
      </c>
      <c r="N7758" s="504">
        <v>0</v>
      </c>
      <c r="O7758" s="505">
        <v>0</v>
      </c>
    </row>
    <row r="7759" spans="1:15" x14ac:dyDescent="0.35">
      <c r="A7759" s="500" t="s">
        <v>1245</v>
      </c>
      <c r="B7759" s="501" t="s">
        <v>2859</v>
      </c>
      <c r="C7759" s="501" t="s">
        <v>1094</v>
      </c>
      <c r="D7759" s="501" t="s">
        <v>3380</v>
      </c>
      <c r="E7759" s="501" t="s">
        <v>3381</v>
      </c>
      <c r="F7759" s="501" t="s">
        <v>904</v>
      </c>
      <c r="G7759" s="501" t="s">
        <v>905</v>
      </c>
      <c r="H7759" s="501" t="s">
        <v>9652</v>
      </c>
      <c r="I7759" s="501">
        <v>8</v>
      </c>
      <c r="J7759" s="501">
        <v>0</v>
      </c>
      <c r="K7759" s="501">
        <v>0</v>
      </c>
      <c r="L7759" s="501">
        <v>0</v>
      </c>
      <c r="M7759" s="501">
        <v>8</v>
      </c>
      <c r="N7759" s="501">
        <v>0</v>
      </c>
      <c r="O7759" s="506">
        <v>0</v>
      </c>
    </row>
    <row r="7760" spans="1:15" x14ac:dyDescent="0.35">
      <c r="A7760" s="503" t="s">
        <v>1253</v>
      </c>
      <c r="B7760" s="504" t="s">
        <v>3232</v>
      </c>
      <c r="C7760" s="504" t="s">
        <v>1094</v>
      </c>
      <c r="D7760" s="504" t="s">
        <v>3380</v>
      </c>
      <c r="E7760" s="504" t="s">
        <v>3381</v>
      </c>
      <c r="F7760" s="504" t="s">
        <v>904</v>
      </c>
      <c r="G7760" s="504" t="s">
        <v>905</v>
      </c>
      <c r="H7760" s="504" t="s">
        <v>9653</v>
      </c>
      <c r="I7760" s="504">
        <v>1141</v>
      </c>
      <c r="J7760" s="504">
        <v>916</v>
      </c>
      <c r="K7760" s="504">
        <v>0</v>
      </c>
      <c r="L7760" s="504">
        <v>24</v>
      </c>
      <c r="M7760" s="504">
        <v>141</v>
      </c>
      <c r="N7760" s="504">
        <v>0</v>
      </c>
      <c r="O7760" s="505">
        <v>60</v>
      </c>
    </row>
    <row r="7761" spans="1:15" x14ac:dyDescent="0.35">
      <c r="A7761" s="500" t="s">
        <v>1779</v>
      </c>
      <c r="B7761" s="501">
        <v>5065</v>
      </c>
      <c r="C7761" s="501" t="s">
        <v>1094</v>
      </c>
      <c r="D7761" s="501" t="s">
        <v>3380</v>
      </c>
      <c r="E7761" s="501" t="s">
        <v>3381</v>
      </c>
      <c r="F7761" s="501" t="s">
        <v>904</v>
      </c>
      <c r="G7761" s="501" t="s">
        <v>905</v>
      </c>
      <c r="H7761" s="501" t="s">
        <v>9654</v>
      </c>
      <c r="I7761" s="501">
        <v>13056</v>
      </c>
      <c r="J7761" s="501">
        <v>11313</v>
      </c>
      <c r="K7761" s="501">
        <v>0</v>
      </c>
      <c r="L7761" s="501">
        <v>63</v>
      </c>
      <c r="M7761" s="501">
        <v>1401</v>
      </c>
      <c r="N7761" s="501">
        <v>0</v>
      </c>
      <c r="O7761" s="506">
        <v>279</v>
      </c>
    </row>
    <row r="7762" spans="1:15" x14ac:dyDescent="0.35">
      <c r="A7762" s="503" t="s">
        <v>1788</v>
      </c>
      <c r="B7762" s="504" t="s">
        <v>3298</v>
      </c>
      <c r="C7762" s="504" t="s">
        <v>1089</v>
      </c>
      <c r="D7762" s="504" t="s">
        <v>3392</v>
      </c>
      <c r="E7762" s="504" t="s">
        <v>3381</v>
      </c>
      <c r="F7762" s="504" t="s">
        <v>904</v>
      </c>
      <c r="G7762" s="504" t="s">
        <v>905</v>
      </c>
      <c r="H7762" s="504" t="s">
        <v>9655</v>
      </c>
      <c r="I7762" s="504">
        <v>147</v>
      </c>
      <c r="J7762" s="504">
        <v>44</v>
      </c>
      <c r="K7762" s="504">
        <v>0</v>
      </c>
      <c r="L7762" s="504">
        <v>103</v>
      </c>
      <c r="M7762" s="504">
        <v>0</v>
      </c>
      <c r="N7762" s="504">
        <v>0</v>
      </c>
      <c r="O7762" s="505">
        <v>0</v>
      </c>
    </row>
    <row r="7763" spans="1:15" x14ac:dyDescent="0.35">
      <c r="A7763" s="500" t="s">
        <v>1266</v>
      </c>
      <c r="B7763" s="501" t="s">
        <v>3071</v>
      </c>
      <c r="C7763" s="501" t="s">
        <v>1094</v>
      </c>
      <c r="D7763" s="501" t="s">
        <v>3380</v>
      </c>
      <c r="E7763" s="501" t="s">
        <v>3381</v>
      </c>
      <c r="F7763" s="501" t="s">
        <v>904</v>
      </c>
      <c r="G7763" s="501" t="s">
        <v>905</v>
      </c>
      <c r="H7763" s="501" t="s">
        <v>9656</v>
      </c>
      <c r="I7763" s="501">
        <v>1493</v>
      </c>
      <c r="J7763" s="501">
        <v>923</v>
      </c>
      <c r="K7763" s="501">
        <v>0</v>
      </c>
      <c r="L7763" s="501">
        <v>122</v>
      </c>
      <c r="M7763" s="501">
        <v>327</v>
      </c>
      <c r="N7763" s="501">
        <v>0</v>
      </c>
      <c r="O7763" s="506">
        <v>121</v>
      </c>
    </row>
    <row r="7764" spans="1:15" x14ac:dyDescent="0.35">
      <c r="A7764" s="503" t="s">
        <v>1672</v>
      </c>
      <c r="B7764" s="504" t="s">
        <v>3166</v>
      </c>
      <c r="C7764" s="504" t="s">
        <v>1094</v>
      </c>
      <c r="D7764" s="504" t="s">
        <v>3380</v>
      </c>
      <c r="E7764" s="504" t="s">
        <v>3381</v>
      </c>
      <c r="F7764" s="504" t="s">
        <v>906</v>
      </c>
      <c r="G7764" s="504" t="s">
        <v>907</v>
      </c>
      <c r="H7764" s="504" t="s">
        <v>9657</v>
      </c>
      <c r="I7764" s="504">
        <v>71</v>
      </c>
      <c r="J7764" s="504">
        <v>71</v>
      </c>
      <c r="K7764" s="504">
        <v>0</v>
      </c>
      <c r="L7764" s="504">
        <v>0</v>
      </c>
      <c r="M7764" s="504">
        <v>0</v>
      </c>
      <c r="N7764" s="504">
        <v>0</v>
      </c>
      <c r="O7764" s="505">
        <v>0</v>
      </c>
    </row>
    <row r="7765" spans="1:15" x14ac:dyDescent="0.35">
      <c r="A7765" s="500" t="s">
        <v>11363</v>
      </c>
      <c r="B7765" s="501">
        <v>4718</v>
      </c>
      <c r="C7765" s="501" t="s">
        <v>1094</v>
      </c>
      <c r="D7765" s="501" t="s">
        <v>3380</v>
      </c>
      <c r="E7765" s="501" t="s">
        <v>3381</v>
      </c>
      <c r="F7765" s="501" t="s">
        <v>906</v>
      </c>
      <c r="G7765" s="501" t="s">
        <v>907</v>
      </c>
      <c r="H7765" s="501" t="s">
        <v>11591</v>
      </c>
      <c r="I7765" s="501">
        <v>12</v>
      </c>
      <c r="J7765" s="501">
        <v>0</v>
      </c>
      <c r="K7765" s="501">
        <v>0</v>
      </c>
      <c r="L7765" s="501">
        <v>12</v>
      </c>
      <c r="M7765" s="501">
        <v>0</v>
      </c>
      <c r="N7765" s="501">
        <v>0</v>
      </c>
      <c r="O7765" s="506">
        <v>0</v>
      </c>
    </row>
    <row r="7766" spans="1:15" x14ac:dyDescent="0.35">
      <c r="A7766" s="503" t="s">
        <v>1158</v>
      </c>
      <c r="B7766" s="504">
        <v>4819</v>
      </c>
      <c r="C7766" s="504" t="s">
        <v>1094</v>
      </c>
      <c r="D7766" s="504" t="s">
        <v>3380</v>
      </c>
      <c r="E7766" s="504" t="s">
        <v>3381</v>
      </c>
      <c r="F7766" s="504" t="s">
        <v>906</v>
      </c>
      <c r="G7766" s="504" t="s">
        <v>907</v>
      </c>
      <c r="H7766" s="504" t="s">
        <v>9658</v>
      </c>
      <c r="I7766" s="504">
        <v>333</v>
      </c>
      <c r="J7766" s="504">
        <v>298</v>
      </c>
      <c r="K7766" s="504">
        <v>0</v>
      </c>
      <c r="L7766" s="504">
        <v>0</v>
      </c>
      <c r="M7766" s="504">
        <v>0</v>
      </c>
      <c r="N7766" s="504">
        <v>0</v>
      </c>
      <c r="O7766" s="505">
        <v>35</v>
      </c>
    </row>
    <row r="7767" spans="1:15" x14ac:dyDescent="0.35">
      <c r="A7767" s="500" t="s">
        <v>14213</v>
      </c>
      <c r="B7767" s="501" t="s">
        <v>3312</v>
      </c>
      <c r="C7767" s="501" t="s">
        <v>1094</v>
      </c>
      <c r="D7767" s="501" t="s">
        <v>3380</v>
      </c>
      <c r="E7767" s="501" t="s">
        <v>3381</v>
      </c>
      <c r="F7767" s="501" t="s">
        <v>906</v>
      </c>
      <c r="G7767" s="501" t="s">
        <v>907</v>
      </c>
      <c r="H7767" s="501" t="s">
        <v>15107</v>
      </c>
      <c r="I7767" s="501">
        <v>75</v>
      </c>
      <c r="J7767" s="501">
        <v>55</v>
      </c>
      <c r="K7767" s="501">
        <v>0</v>
      </c>
      <c r="L7767" s="501">
        <v>4</v>
      </c>
      <c r="M7767" s="501">
        <v>0</v>
      </c>
      <c r="N7767" s="501">
        <v>0</v>
      </c>
      <c r="O7767" s="506">
        <v>16</v>
      </c>
    </row>
    <row r="7768" spans="1:15" x14ac:dyDescent="0.35">
      <c r="A7768" s="503" t="s">
        <v>1186</v>
      </c>
      <c r="B7768" s="504">
        <v>4661</v>
      </c>
      <c r="C7768" s="504" t="s">
        <v>1089</v>
      </c>
      <c r="D7768" s="504" t="s">
        <v>3392</v>
      </c>
      <c r="E7768" s="504" t="s">
        <v>3381</v>
      </c>
      <c r="F7768" s="504" t="s">
        <v>906</v>
      </c>
      <c r="G7768" s="504" t="s">
        <v>907</v>
      </c>
      <c r="H7768" s="504" t="s">
        <v>9659</v>
      </c>
      <c r="I7768" s="504">
        <v>3</v>
      </c>
      <c r="J7768" s="504">
        <v>0</v>
      </c>
      <c r="K7768" s="504">
        <v>0</v>
      </c>
      <c r="L7768" s="504">
        <v>3</v>
      </c>
      <c r="M7768" s="504">
        <v>0</v>
      </c>
      <c r="N7768" s="504">
        <v>0</v>
      </c>
      <c r="O7768" s="505">
        <v>0</v>
      </c>
    </row>
    <row r="7769" spans="1:15" x14ac:dyDescent="0.35">
      <c r="A7769" s="500" t="s">
        <v>1105</v>
      </c>
      <c r="B7769" s="501">
        <v>4668</v>
      </c>
      <c r="C7769" s="501" t="s">
        <v>1094</v>
      </c>
      <c r="D7769" s="501" t="s">
        <v>3380</v>
      </c>
      <c r="E7769" s="501" t="s">
        <v>3381</v>
      </c>
      <c r="F7769" s="501" t="s">
        <v>906</v>
      </c>
      <c r="G7769" s="501" t="s">
        <v>907</v>
      </c>
      <c r="H7769" s="501" t="s">
        <v>9660</v>
      </c>
      <c r="I7769" s="501">
        <v>42</v>
      </c>
      <c r="J7769" s="501">
        <v>0</v>
      </c>
      <c r="K7769" s="501">
        <v>0</v>
      </c>
      <c r="L7769" s="501">
        <v>0</v>
      </c>
      <c r="M7769" s="501">
        <v>0</v>
      </c>
      <c r="N7769" s="501">
        <v>0</v>
      </c>
      <c r="O7769" s="506">
        <v>42</v>
      </c>
    </row>
    <row r="7770" spans="1:15" x14ac:dyDescent="0.35">
      <c r="A7770" s="503" t="s">
        <v>14226</v>
      </c>
      <c r="B7770" s="504" t="s">
        <v>3329</v>
      </c>
      <c r="C7770" s="504" t="s">
        <v>1094</v>
      </c>
      <c r="D7770" s="504" t="s">
        <v>3380</v>
      </c>
      <c r="E7770" s="504" t="s">
        <v>3381</v>
      </c>
      <c r="F7770" s="504" t="s">
        <v>906</v>
      </c>
      <c r="G7770" s="504" t="s">
        <v>907</v>
      </c>
      <c r="H7770" s="504" t="s">
        <v>15108</v>
      </c>
      <c r="I7770" s="504">
        <v>6814</v>
      </c>
      <c r="J7770" s="504">
        <v>5711</v>
      </c>
      <c r="K7770" s="504">
        <v>0</v>
      </c>
      <c r="L7770" s="504">
        <v>42</v>
      </c>
      <c r="M7770" s="504">
        <v>807</v>
      </c>
      <c r="N7770" s="504">
        <v>0</v>
      </c>
      <c r="O7770" s="505">
        <v>254</v>
      </c>
    </row>
    <row r="7771" spans="1:15" x14ac:dyDescent="0.35">
      <c r="A7771" s="500" t="s">
        <v>1714</v>
      </c>
      <c r="B7771" s="501" t="s">
        <v>3287</v>
      </c>
      <c r="C7771" s="501" t="s">
        <v>1094</v>
      </c>
      <c r="D7771" s="501" t="s">
        <v>3380</v>
      </c>
      <c r="E7771" s="501" t="s">
        <v>3381</v>
      </c>
      <c r="F7771" s="501" t="s">
        <v>906</v>
      </c>
      <c r="G7771" s="501" t="s">
        <v>907</v>
      </c>
      <c r="H7771" s="501" t="s">
        <v>9661</v>
      </c>
      <c r="I7771" s="501">
        <v>166</v>
      </c>
      <c r="J7771" s="501">
        <v>141</v>
      </c>
      <c r="K7771" s="501">
        <v>0</v>
      </c>
      <c r="L7771" s="501">
        <v>0</v>
      </c>
      <c r="M7771" s="501">
        <v>0</v>
      </c>
      <c r="N7771" s="501">
        <v>0</v>
      </c>
      <c r="O7771" s="506">
        <v>25</v>
      </c>
    </row>
    <row r="7772" spans="1:15" x14ac:dyDescent="0.35">
      <c r="A7772" s="503" t="s">
        <v>1109</v>
      </c>
      <c r="B7772" s="504" t="s">
        <v>2959</v>
      </c>
      <c r="C7772" s="504" t="s">
        <v>1094</v>
      </c>
      <c r="D7772" s="504" t="s">
        <v>3380</v>
      </c>
      <c r="E7772" s="504" t="s">
        <v>3381</v>
      </c>
      <c r="F7772" s="504" t="s">
        <v>906</v>
      </c>
      <c r="G7772" s="504" t="s">
        <v>907</v>
      </c>
      <c r="H7772" s="504" t="s">
        <v>9662</v>
      </c>
      <c r="I7772" s="504">
        <v>218</v>
      </c>
      <c r="J7772" s="504">
        <v>0</v>
      </c>
      <c r="K7772" s="504">
        <v>0</v>
      </c>
      <c r="L7772" s="504">
        <v>18</v>
      </c>
      <c r="M7772" s="504">
        <v>200</v>
      </c>
      <c r="N7772" s="504">
        <v>0</v>
      </c>
      <c r="O7772" s="505">
        <v>0</v>
      </c>
    </row>
    <row r="7773" spans="1:15" x14ac:dyDescent="0.35">
      <c r="A7773" s="500" t="s">
        <v>1633</v>
      </c>
      <c r="B7773" s="501">
        <v>4713</v>
      </c>
      <c r="C7773" s="501" t="s">
        <v>1089</v>
      </c>
      <c r="D7773" s="501" t="s">
        <v>3392</v>
      </c>
      <c r="E7773" s="501" t="s">
        <v>3381</v>
      </c>
      <c r="F7773" s="501" t="s">
        <v>906</v>
      </c>
      <c r="G7773" s="501" t="s">
        <v>907</v>
      </c>
      <c r="H7773" s="501" t="s">
        <v>15109</v>
      </c>
      <c r="I7773" s="501">
        <v>1</v>
      </c>
      <c r="J7773" s="501">
        <v>0</v>
      </c>
      <c r="K7773" s="501">
        <v>0</v>
      </c>
      <c r="L7773" s="501">
        <v>1</v>
      </c>
      <c r="M7773" s="501">
        <v>0</v>
      </c>
      <c r="N7773" s="501">
        <v>0</v>
      </c>
      <c r="O7773" s="506">
        <v>0</v>
      </c>
    </row>
    <row r="7774" spans="1:15" x14ac:dyDescent="0.35">
      <c r="A7774" s="503" t="s">
        <v>1190</v>
      </c>
      <c r="B7774" s="504">
        <v>4662</v>
      </c>
      <c r="C7774" s="504" t="s">
        <v>1094</v>
      </c>
      <c r="D7774" s="504" t="s">
        <v>3380</v>
      </c>
      <c r="E7774" s="504" t="s">
        <v>3381</v>
      </c>
      <c r="F7774" s="504" t="s">
        <v>906</v>
      </c>
      <c r="G7774" s="504" t="s">
        <v>907</v>
      </c>
      <c r="H7774" s="504" t="s">
        <v>9663</v>
      </c>
      <c r="I7774" s="504">
        <v>38</v>
      </c>
      <c r="J7774" s="504">
        <v>0</v>
      </c>
      <c r="K7774" s="504">
        <v>0</v>
      </c>
      <c r="L7774" s="504">
        <v>38</v>
      </c>
      <c r="M7774" s="504">
        <v>0</v>
      </c>
      <c r="N7774" s="504">
        <v>0</v>
      </c>
      <c r="O7774" s="505">
        <v>0</v>
      </c>
    </row>
    <row r="7775" spans="1:15" x14ac:dyDescent="0.35">
      <c r="A7775" s="500" t="s">
        <v>1112</v>
      </c>
      <c r="B7775" s="501" t="s">
        <v>3008</v>
      </c>
      <c r="C7775" s="501" t="s">
        <v>1094</v>
      </c>
      <c r="D7775" s="501" t="s">
        <v>3380</v>
      </c>
      <c r="E7775" s="501" t="s">
        <v>3381</v>
      </c>
      <c r="F7775" s="501" t="s">
        <v>906</v>
      </c>
      <c r="G7775" s="501" t="s">
        <v>907</v>
      </c>
      <c r="H7775" s="501" t="s">
        <v>9664</v>
      </c>
      <c r="I7775" s="501">
        <v>3</v>
      </c>
      <c r="J7775" s="501">
        <v>0</v>
      </c>
      <c r="K7775" s="501">
        <v>0</v>
      </c>
      <c r="L7775" s="501">
        <v>3</v>
      </c>
      <c r="M7775" s="501">
        <v>0</v>
      </c>
      <c r="N7775" s="501">
        <v>0</v>
      </c>
      <c r="O7775" s="506">
        <v>0</v>
      </c>
    </row>
    <row r="7776" spans="1:15" x14ac:dyDescent="0.35">
      <c r="A7776" s="503" t="s">
        <v>1207</v>
      </c>
      <c r="B7776" s="504" t="s">
        <v>3202</v>
      </c>
      <c r="C7776" s="504" t="s">
        <v>1094</v>
      </c>
      <c r="D7776" s="504" t="s">
        <v>3380</v>
      </c>
      <c r="E7776" s="504" t="s">
        <v>3381</v>
      </c>
      <c r="F7776" s="504" t="s">
        <v>906</v>
      </c>
      <c r="G7776" s="504" t="s">
        <v>907</v>
      </c>
      <c r="H7776" s="504" t="s">
        <v>9665</v>
      </c>
      <c r="I7776" s="504">
        <v>278</v>
      </c>
      <c r="J7776" s="504">
        <v>202</v>
      </c>
      <c r="K7776" s="504">
        <v>0</v>
      </c>
      <c r="L7776" s="504">
        <v>43</v>
      </c>
      <c r="M7776" s="504">
        <v>0</v>
      </c>
      <c r="N7776" s="504">
        <v>0</v>
      </c>
      <c r="O7776" s="505">
        <v>33</v>
      </c>
    </row>
    <row r="7777" spans="1:15" x14ac:dyDescent="0.35">
      <c r="A7777" s="500" t="s">
        <v>1226</v>
      </c>
      <c r="B7777" s="501">
        <v>5084</v>
      </c>
      <c r="C7777" s="501" t="s">
        <v>1094</v>
      </c>
      <c r="D7777" s="501" t="s">
        <v>3380</v>
      </c>
      <c r="E7777" s="501" t="s">
        <v>3381</v>
      </c>
      <c r="F7777" s="501" t="s">
        <v>906</v>
      </c>
      <c r="G7777" s="501" t="s">
        <v>907</v>
      </c>
      <c r="H7777" s="501" t="s">
        <v>9666</v>
      </c>
      <c r="I7777" s="501">
        <v>80</v>
      </c>
      <c r="J7777" s="501">
        <v>24</v>
      </c>
      <c r="K7777" s="501">
        <v>0</v>
      </c>
      <c r="L7777" s="501">
        <v>0</v>
      </c>
      <c r="M7777" s="501">
        <v>0</v>
      </c>
      <c r="N7777" s="501">
        <v>0</v>
      </c>
      <c r="O7777" s="506">
        <v>56</v>
      </c>
    </row>
    <row r="7778" spans="1:15" x14ac:dyDescent="0.35">
      <c r="A7778" s="503" t="s">
        <v>1233</v>
      </c>
      <c r="B7778" s="504">
        <v>4636</v>
      </c>
      <c r="C7778" s="504" t="s">
        <v>1094</v>
      </c>
      <c r="D7778" s="504" t="s">
        <v>3380</v>
      </c>
      <c r="E7778" s="504" t="s">
        <v>3381</v>
      </c>
      <c r="F7778" s="504" t="s">
        <v>906</v>
      </c>
      <c r="G7778" s="504" t="s">
        <v>907</v>
      </c>
      <c r="H7778" s="504" t="s">
        <v>9667</v>
      </c>
      <c r="I7778" s="504">
        <v>19</v>
      </c>
      <c r="J7778" s="504">
        <v>0</v>
      </c>
      <c r="K7778" s="504">
        <v>0</v>
      </c>
      <c r="L7778" s="504">
        <v>0</v>
      </c>
      <c r="M7778" s="504">
        <v>0</v>
      </c>
      <c r="N7778" s="504">
        <v>0</v>
      </c>
      <c r="O7778" s="505">
        <v>19</v>
      </c>
    </row>
    <row r="7779" spans="1:15" x14ac:dyDescent="0.35">
      <c r="A7779" s="500" t="s">
        <v>11368</v>
      </c>
      <c r="B7779" s="501">
        <v>5083</v>
      </c>
      <c r="C7779" s="501" t="s">
        <v>1094</v>
      </c>
      <c r="D7779" s="501" t="s">
        <v>3380</v>
      </c>
      <c r="E7779" s="501" t="s">
        <v>3381</v>
      </c>
      <c r="F7779" s="501" t="s">
        <v>906</v>
      </c>
      <c r="G7779" s="501" t="s">
        <v>907</v>
      </c>
      <c r="H7779" s="501" t="s">
        <v>12079</v>
      </c>
      <c r="I7779" s="501">
        <v>64</v>
      </c>
      <c r="J7779" s="501">
        <v>64</v>
      </c>
      <c r="K7779" s="501">
        <v>0</v>
      </c>
      <c r="L7779" s="501">
        <v>0</v>
      </c>
      <c r="M7779" s="501">
        <v>0</v>
      </c>
      <c r="N7779" s="501">
        <v>0</v>
      </c>
      <c r="O7779" s="506">
        <v>0</v>
      </c>
    </row>
    <row r="7780" spans="1:15" x14ac:dyDescent="0.35">
      <c r="A7780" s="503" t="s">
        <v>1235</v>
      </c>
      <c r="B7780" s="504">
        <v>4684</v>
      </c>
      <c r="C7780" s="504" t="s">
        <v>1094</v>
      </c>
      <c r="D7780" s="504" t="s">
        <v>3380</v>
      </c>
      <c r="E7780" s="504" t="s">
        <v>3381</v>
      </c>
      <c r="F7780" s="504" t="s">
        <v>906</v>
      </c>
      <c r="G7780" s="504" t="s">
        <v>907</v>
      </c>
      <c r="H7780" s="504" t="s">
        <v>15110</v>
      </c>
      <c r="I7780" s="504">
        <v>10</v>
      </c>
      <c r="J7780" s="504">
        <v>10</v>
      </c>
      <c r="K7780" s="504">
        <v>0</v>
      </c>
      <c r="L7780" s="504">
        <v>0</v>
      </c>
      <c r="M7780" s="504">
        <v>0</v>
      </c>
      <c r="N7780" s="504">
        <v>0</v>
      </c>
      <c r="O7780" s="505">
        <v>0</v>
      </c>
    </row>
    <row r="7781" spans="1:15" x14ac:dyDescent="0.35">
      <c r="A7781" s="500" t="s">
        <v>1126</v>
      </c>
      <c r="B7781" s="501" t="s">
        <v>2974</v>
      </c>
      <c r="C7781" s="501" t="s">
        <v>1094</v>
      </c>
      <c r="D7781" s="501" t="s">
        <v>3380</v>
      </c>
      <c r="E7781" s="501" t="s">
        <v>3381</v>
      </c>
      <c r="F7781" s="501" t="s">
        <v>906</v>
      </c>
      <c r="G7781" s="501" t="s">
        <v>907</v>
      </c>
      <c r="H7781" s="501" t="s">
        <v>9668</v>
      </c>
      <c r="I7781" s="501">
        <v>326</v>
      </c>
      <c r="J7781" s="501">
        <v>216</v>
      </c>
      <c r="K7781" s="501">
        <v>0</v>
      </c>
      <c r="L7781" s="501">
        <v>8</v>
      </c>
      <c r="M7781" s="501">
        <v>87</v>
      </c>
      <c r="N7781" s="501">
        <v>0</v>
      </c>
      <c r="O7781" s="506">
        <v>15</v>
      </c>
    </row>
    <row r="7782" spans="1:15" x14ac:dyDescent="0.35">
      <c r="A7782" s="503" t="s">
        <v>1253</v>
      </c>
      <c r="B7782" s="504" t="s">
        <v>3232</v>
      </c>
      <c r="C7782" s="504" t="s">
        <v>1094</v>
      </c>
      <c r="D7782" s="504" t="s">
        <v>3380</v>
      </c>
      <c r="E7782" s="504" t="s">
        <v>3381</v>
      </c>
      <c r="F7782" s="504" t="s">
        <v>906</v>
      </c>
      <c r="G7782" s="504" t="s">
        <v>907</v>
      </c>
      <c r="H7782" s="504" t="s">
        <v>9669</v>
      </c>
      <c r="I7782" s="504">
        <v>3</v>
      </c>
      <c r="J7782" s="504">
        <v>0</v>
      </c>
      <c r="K7782" s="504">
        <v>0</v>
      </c>
      <c r="L7782" s="504">
        <v>3</v>
      </c>
      <c r="M7782" s="504">
        <v>0</v>
      </c>
      <c r="N7782" s="504">
        <v>0</v>
      </c>
      <c r="O7782" s="505">
        <v>0</v>
      </c>
    </row>
    <row r="7783" spans="1:15" x14ac:dyDescent="0.35">
      <c r="A7783" s="500" t="s">
        <v>2123</v>
      </c>
      <c r="B7783" s="501" t="s">
        <v>3338</v>
      </c>
      <c r="C7783" s="501" t="s">
        <v>1094</v>
      </c>
      <c r="D7783" s="501" t="s">
        <v>3380</v>
      </c>
      <c r="E7783" s="501" t="s">
        <v>3381</v>
      </c>
      <c r="F7783" s="501" t="s">
        <v>906</v>
      </c>
      <c r="G7783" s="501" t="s">
        <v>907</v>
      </c>
      <c r="H7783" s="501" t="s">
        <v>9670</v>
      </c>
      <c r="I7783" s="501">
        <v>474</v>
      </c>
      <c r="J7783" s="501">
        <v>371</v>
      </c>
      <c r="K7783" s="501">
        <v>0</v>
      </c>
      <c r="L7783" s="501">
        <v>89</v>
      </c>
      <c r="M7783" s="501">
        <v>0</v>
      </c>
      <c r="N7783" s="501">
        <v>0</v>
      </c>
      <c r="O7783" s="506">
        <v>14</v>
      </c>
    </row>
    <row r="7784" spans="1:15" x14ac:dyDescent="0.35">
      <c r="A7784" s="503" t="s">
        <v>2127</v>
      </c>
      <c r="B7784" s="504" t="s">
        <v>3188</v>
      </c>
      <c r="C7784" s="504" t="s">
        <v>1094</v>
      </c>
      <c r="D7784" s="504" t="s">
        <v>3380</v>
      </c>
      <c r="E7784" s="504" t="s">
        <v>3381</v>
      </c>
      <c r="F7784" s="504" t="s">
        <v>906</v>
      </c>
      <c r="G7784" s="504" t="s">
        <v>907</v>
      </c>
      <c r="H7784" s="504" t="s">
        <v>9671</v>
      </c>
      <c r="I7784" s="504">
        <v>67</v>
      </c>
      <c r="J7784" s="504">
        <v>58</v>
      </c>
      <c r="K7784" s="504">
        <v>0</v>
      </c>
      <c r="L7784" s="504">
        <v>0</v>
      </c>
      <c r="M7784" s="504">
        <v>0</v>
      </c>
      <c r="N7784" s="504">
        <v>0</v>
      </c>
      <c r="O7784" s="505">
        <v>9</v>
      </c>
    </row>
    <row r="7785" spans="1:15" x14ac:dyDescent="0.35">
      <c r="A7785" s="500" t="s">
        <v>1096</v>
      </c>
      <c r="B7785" s="501" t="s">
        <v>3326</v>
      </c>
      <c r="C7785" s="501" t="s">
        <v>1094</v>
      </c>
      <c r="D7785" s="501" t="s">
        <v>3380</v>
      </c>
      <c r="E7785" s="501" t="s">
        <v>3381</v>
      </c>
      <c r="F7785" s="501" t="s">
        <v>908</v>
      </c>
      <c r="G7785" s="501" t="s">
        <v>909</v>
      </c>
      <c r="H7785" s="501" t="s">
        <v>9672</v>
      </c>
      <c r="I7785" s="501">
        <v>31</v>
      </c>
      <c r="J7785" s="501">
        <v>0</v>
      </c>
      <c r="K7785" s="501">
        <v>0</v>
      </c>
      <c r="L7785" s="501">
        <v>0</v>
      </c>
      <c r="M7785" s="501">
        <v>31</v>
      </c>
      <c r="N7785" s="501">
        <v>0</v>
      </c>
      <c r="O7785" s="506">
        <v>0</v>
      </c>
    </row>
    <row r="7786" spans="1:15" x14ac:dyDescent="0.35">
      <c r="A7786" s="503" t="s">
        <v>1672</v>
      </c>
      <c r="B7786" s="504" t="s">
        <v>3166</v>
      </c>
      <c r="C7786" s="504" t="s">
        <v>1094</v>
      </c>
      <c r="D7786" s="504" t="s">
        <v>3380</v>
      </c>
      <c r="E7786" s="504" t="s">
        <v>3381</v>
      </c>
      <c r="F7786" s="504" t="s">
        <v>908</v>
      </c>
      <c r="G7786" s="504" t="s">
        <v>909</v>
      </c>
      <c r="H7786" s="504" t="s">
        <v>11498</v>
      </c>
      <c r="I7786" s="504">
        <v>10</v>
      </c>
      <c r="J7786" s="504">
        <v>7</v>
      </c>
      <c r="K7786" s="504">
        <v>0</v>
      </c>
      <c r="L7786" s="504">
        <v>0</v>
      </c>
      <c r="M7786" s="504">
        <v>0</v>
      </c>
      <c r="N7786" s="504">
        <v>0</v>
      </c>
      <c r="O7786" s="505">
        <v>3</v>
      </c>
    </row>
    <row r="7787" spans="1:15" x14ac:dyDescent="0.35">
      <c r="A7787" s="500" t="s">
        <v>11363</v>
      </c>
      <c r="B7787" s="501">
        <v>4718</v>
      </c>
      <c r="C7787" s="501" t="s">
        <v>1094</v>
      </c>
      <c r="D7787" s="501" t="s">
        <v>3380</v>
      </c>
      <c r="E7787" s="501" t="s">
        <v>3381</v>
      </c>
      <c r="F7787" s="501" t="s">
        <v>908</v>
      </c>
      <c r="G7787" s="501" t="s">
        <v>909</v>
      </c>
      <c r="H7787" s="501" t="s">
        <v>11592</v>
      </c>
      <c r="I7787" s="501">
        <v>3</v>
      </c>
      <c r="J7787" s="501">
        <v>0</v>
      </c>
      <c r="K7787" s="501">
        <v>0</v>
      </c>
      <c r="L7787" s="501">
        <v>3</v>
      </c>
      <c r="M7787" s="501">
        <v>0</v>
      </c>
      <c r="N7787" s="501">
        <v>0</v>
      </c>
      <c r="O7787" s="506">
        <v>0</v>
      </c>
    </row>
    <row r="7788" spans="1:15" x14ac:dyDescent="0.35">
      <c r="A7788" s="503" t="s">
        <v>2064</v>
      </c>
      <c r="B7788" s="504" t="s">
        <v>2944</v>
      </c>
      <c r="C7788" s="504" t="s">
        <v>1089</v>
      </c>
      <c r="D7788" s="504" t="s">
        <v>3392</v>
      </c>
      <c r="E7788" s="504" t="s">
        <v>3381</v>
      </c>
      <c r="F7788" s="504" t="s">
        <v>908</v>
      </c>
      <c r="G7788" s="504" t="s">
        <v>909</v>
      </c>
      <c r="H7788" s="504" t="s">
        <v>9673</v>
      </c>
      <c r="I7788" s="504">
        <v>8</v>
      </c>
      <c r="J7788" s="504">
        <v>0</v>
      </c>
      <c r="K7788" s="504">
        <v>0</v>
      </c>
      <c r="L7788" s="504">
        <v>8</v>
      </c>
      <c r="M7788" s="504">
        <v>0</v>
      </c>
      <c r="N7788" s="504">
        <v>0</v>
      </c>
      <c r="O7788" s="505">
        <v>0</v>
      </c>
    </row>
    <row r="7789" spans="1:15" x14ac:dyDescent="0.35">
      <c r="A7789" s="500" t="s">
        <v>2073</v>
      </c>
      <c r="B7789" s="501" t="s">
        <v>2556</v>
      </c>
      <c r="C7789" s="501" t="s">
        <v>1089</v>
      </c>
      <c r="D7789" s="501" t="s">
        <v>3392</v>
      </c>
      <c r="E7789" s="501" t="s">
        <v>3381</v>
      </c>
      <c r="F7789" s="501" t="s">
        <v>908</v>
      </c>
      <c r="G7789" s="501" t="s">
        <v>909</v>
      </c>
      <c r="H7789" s="501" t="s">
        <v>9674</v>
      </c>
      <c r="I7789" s="501">
        <v>8</v>
      </c>
      <c r="J7789" s="501">
        <v>8</v>
      </c>
      <c r="K7789" s="501">
        <v>0</v>
      </c>
      <c r="L7789" s="501">
        <v>0</v>
      </c>
      <c r="M7789" s="501">
        <v>0</v>
      </c>
      <c r="N7789" s="501">
        <v>0</v>
      </c>
      <c r="O7789" s="506">
        <v>0</v>
      </c>
    </row>
    <row r="7790" spans="1:15" x14ac:dyDescent="0.35">
      <c r="A7790" s="503" t="s">
        <v>1173</v>
      </c>
      <c r="B7790" s="504">
        <v>4775</v>
      </c>
      <c r="C7790" s="504" t="s">
        <v>1094</v>
      </c>
      <c r="D7790" s="504" t="s">
        <v>3380</v>
      </c>
      <c r="E7790" s="504" t="s">
        <v>3381</v>
      </c>
      <c r="F7790" s="504" t="s">
        <v>908</v>
      </c>
      <c r="G7790" s="504" t="s">
        <v>909</v>
      </c>
      <c r="H7790" s="504" t="s">
        <v>9675</v>
      </c>
      <c r="I7790" s="504">
        <v>37</v>
      </c>
      <c r="J7790" s="504">
        <v>37</v>
      </c>
      <c r="K7790" s="504">
        <v>0</v>
      </c>
      <c r="L7790" s="504">
        <v>0</v>
      </c>
      <c r="M7790" s="504">
        <v>0</v>
      </c>
      <c r="N7790" s="504">
        <v>0</v>
      </c>
      <c r="O7790" s="505">
        <v>0</v>
      </c>
    </row>
    <row r="7791" spans="1:15" x14ac:dyDescent="0.35">
      <c r="A7791" s="500" t="s">
        <v>2078</v>
      </c>
      <c r="B7791" s="501" t="s">
        <v>3152</v>
      </c>
      <c r="C7791" s="501" t="s">
        <v>1094</v>
      </c>
      <c r="D7791" s="501" t="s">
        <v>3380</v>
      </c>
      <c r="E7791" s="501" t="s">
        <v>3381</v>
      </c>
      <c r="F7791" s="501" t="s">
        <v>908</v>
      </c>
      <c r="G7791" s="501" t="s">
        <v>909</v>
      </c>
      <c r="H7791" s="501" t="s">
        <v>9676</v>
      </c>
      <c r="I7791" s="501">
        <v>13</v>
      </c>
      <c r="J7791" s="501">
        <v>13</v>
      </c>
      <c r="K7791" s="501">
        <v>0</v>
      </c>
      <c r="L7791" s="501">
        <v>0</v>
      </c>
      <c r="M7791" s="501">
        <v>0</v>
      </c>
      <c r="N7791" s="501">
        <v>0</v>
      </c>
      <c r="O7791" s="506">
        <v>0</v>
      </c>
    </row>
    <row r="7792" spans="1:15" x14ac:dyDescent="0.35">
      <c r="A7792" s="503" t="s">
        <v>1183</v>
      </c>
      <c r="B7792" s="504" t="s">
        <v>3038</v>
      </c>
      <c r="C7792" s="504" t="s">
        <v>1094</v>
      </c>
      <c r="D7792" s="504" t="s">
        <v>3380</v>
      </c>
      <c r="E7792" s="504" t="s">
        <v>3381</v>
      </c>
      <c r="F7792" s="504" t="s">
        <v>908</v>
      </c>
      <c r="G7792" s="504" t="s">
        <v>909</v>
      </c>
      <c r="H7792" s="504" t="s">
        <v>11716</v>
      </c>
      <c r="I7792" s="504">
        <v>1</v>
      </c>
      <c r="J7792" s="504">
        <v>0</v>
      </c>
      <c r="K7792" s="504">
        <v>0</v>
      </c>
      <c r="L7792" s="504">
        <v>0</v>
      </c>
      <c r="M7792" s="504">
        <v>0</v>
      </c>
      <c r="N7792" s="504">
        <v>0</v>
      </c>
      <c r="O7792" s="505">
        <v>1</v>
      </c>
    </row>
    <row r="7793" spans="1:15" x14ac:dyDescent="0.35">
      <c r="A7793" s="500" t="s">
        <v>14213</v>
      </c>
      <c r="B7793" s="501" t="s">
        <v>3312</v>
      </c>
      <c r="C7793" s="501" t="s">
        <v>1094</v>
      </c>
      <c r="D7793" s="501" t="s">
        <v>3380</v>
      </c>
      <c r="E7793" s="501" t="s">
        <v>3381</v>
      </c>
      <c r="F7793" s="501" t="s">
        <v>908</v>
      </c>
      <c r="G7793" s="501" t="s">
        <v>909</v>
      </c>
      <c r="H7793" s="501" t="s">
        <v>15111</v>
      </c>
      <c r="I7793" s="501">
        <v>3</v>
      </c>
      <c r="J7793" s="501">
        <v>0</v>
      </c>
      <c r="K7793" s="501">
        <v>0</v>
      </c>
      <c r="L7793" s="501">
        <v>3</v>
      </c>
      <c r="M7793" s="501">
        <v>0</v>
      </c>
      <c r="N7793" s="501">
        <v>0</v>
      </c>
      <c r="O7793" s="506">
        <v>0</v>
      </c>
    </row>
    <row r="7794" spans="1:15" x14ac:dyDescent="0.35">
      <c r="A7794" s="503" t="s">
        <v>1186</v>
      </c>
      <c r="B7794" s="504">
        <v>4661</v>
      </c>
      <c r="C7794" s="504" t="s">
        <v>1089</v>
      </c>
      <c r="D7794" s="504" t="s">
        <v>3392</v>
      </c>
      <c r="E7794" s="504" t="s">
        <v>3381</v>
      </c>
      <c r="F7794" s="504" t="s">
        <v>908</v>
      </c>
      <c r="G7794" s="504" t="s">
        <v>909</v>
      </c>
      <c r="H7794" s="504" t="s">
        <v>9677</v>
      </c>
      <c r="I7794" s="504">
        <v>2</v>
      </c>
      <c r="J7794" s="504">
        <v>0</v>
      </c>
      <c r="K7794" s="504">
        <v>0</v>
      </c>
      <c r="L7794" s="504">
        <v>2</v>
      </c>
      <c r="M7794" s="504">
        <v>0</v>
      </c>
      <c r="N7794" s="504">
        <v>0</v>
      </c>
      <c r="O7794" s="505">
        <v>0</v>
      </c>
    </row>
    <row r="7795" spans="1:15" x14ac:dyDescent="0.35">
      <c r="A7795" s="500" t="s">
        <v>1105</v>
      </c>
      <c r="B7795" s="501">
        <v>4668</v>
      </c>
      <c r="C7795" s="501" t="s">
        <v>1094</v>
      </c>
      <c r="D7795" s="501" t="s">
        <v>3380</v>
      </c>
      <c r="E7795" s="501" t="s">
        <v>3381</v>
      </c>
      <c r="F7795" s="501" t="s">
        <v>908</v>
      </c>
      <c r="G7795" s="501" t="s">
        <v>909</v>
      </c>
      <c r="H7795" s="501" t="s">
        <v>11741</v>
      </c>
      <c r="I7795" s="501">
        <v>14</v>
      </c>
      <c r="J7795" s="501">
        <v>0</v>
      </c>
      <c r="K7795" s="501">
        <v>0</v>
      </c>
      <c r="L7795" s="501">
        <v>0</v>
      </c>
      <c r="M7795" s="501">
        <v>0</v>
      </c>
      <c r="N7795" s="501">
        <v>0</v>
      </c>
      <c r="O7795" s="506">
        <v>14</v>
      </c>
    </row>
    <row r="7796" spans="1:15" x14ac:dyDescent="0.35">
      <c r="A7796" s="503" t="s">
        <v>1714</v>
      </c>
      <c r="B7796" s="504" t="s">
        <v>3287</v>
      </c>
      <c r="C7796" s="504" t="s">
        <v>1094</v>
      </c>
      <c r="D7796" s="504" t="s">
        <v>3380</v>
      </c>
      <c r="E7796" s="504" t="s">
        <v>3381</v>
      </c>
      <c r="F7796" s="504" t="s">
        <v>908</v>
      </c>
      <c r="G7796" s="504" t="s">
        <v>909</v>
      </c>
      <c r="H7796" s="504" t="s">
        <v>9678</v>
      </c>
      <c r="I7796" s="504">
        <v>409</v>
      </c>
      <c r="J7796" s="504">
        <v>330</v>
      </c>
      <c r="K7796" s="504">
        <v>0</v>
      </c>
      <c r="L7796" s="504">
        <v>51</v>
      </c>
      <c r="M7796" s="504">
        <v>0</v>
      </c>
      <c r="N7796" s="504">
        <v>0</v>
      </c>
      <c r="O7796" s="505">
        <v>28</v>
      </c>
    </row>
    <row r="7797" spans="1:15" x14ac:dyDescent="0.35">
      <c r="A7797" s="500" t="s">
        <v>1190</v>
      </c>
      <c r="B7797" s="501">
        <v>4662</v>
      </c>
      <c r="C7797" s="501" t="s">
        <v>1094</v>
      </c>
      <c r="D7797" s="501" t="s">
        <v>3380</v>
      </c>
      <c r="E7797" s="501" t="s">
        <v>3381</v>
      </c>
      <c r="F7797" s="501" t="s">
        <v>908</v>
      </c>
      <c r="G7797" s="501" t="s">
        <v>909</v>
      </c>
      <c r="H7797" s="501" t="s">
        <v>11771</v>
      </c>
      <c r="I7797" s="501">
        <v>11</v>
      </c>
      <c r="J7797" s="501">
        <v>0</v>
      </c>
      <c r="K7797" s="501">
        <v>0</v>
      </c>
      <c r="L7797" s="501">
        <v>11</v>
      </c>
      <c r="M7797" s="501">
        <v>0</v>
      </c>
      <c r="N7797" s="501">
        <v>0</v>
      </c>
      <c r="O7797" s="506">
        <v>0</v>
      </c>
    </row>
    <row r="7798" spans="1:15" x14ac:dyDescent="0.35">
      <c r="A7798" s="503" t="s">
        <v>1207</v>
      </c>
      <c r="B7798" s="504" t="s">
        <v>3202</v>
      </c>
      <c r="C7798" s="504" t="s">
        <v>1094</v>
      </c>
      <c r="D7798" s="504" t="s">
        <v>3380</v>
      </c>
      <c r="E7798" s="504" t="s">
        <v>3381</v>
      </c>
      <c r="F7798" s="504" t="s">
        <v>908</v>
      </c>
      <c r="G7798" s="504" t="s">
        <v>909</v>
      </c>
      <c r="H7798" s="504" t="s">
        <v>9679</v>
      </c>
      <c r="I7798" s="504">
        <v>63</v>
      </c>
      <c r="J7798" s="504">
        <v>0</v>
      </c>
      <c r="K7798" s="504">
        <v>0</v>
      </c>
      <c r="L7798" s="504">
        <v>17</v>
      </c>
      <c r="M7798" s="504">
        <v>41</v>
      </c>
      <c r="N7798" s="504">
        <v>0</v>
      </c>
      <c r="O7798" s="505">
        <v>5</v>
      </c>
    </row>
    <row r="7799" spans="1:15" x14ac:dyDescent="0.35">
      <c r="A7799" s="500" t="s">
        <v>1224</v>
      </c>
      <c r="B7799" s="501" t="s">
        <v>3135</v>
      </c>
      <c r="C7799" s="501" t="s">
        <v>1089</v>
      </c>
      <c r="D7799" s="501" t="s">
        <v>3392</v>
      </c>
      <c r="E7799" s="501" t="s">
        <v>3381</v>
      </c>
      <c r="F7799" s="501" t="s">
        <v>908</v>
      </c>
      <c r="G7799" s="501" t="s">
        <v>909</v>
      </c>
      <c r="H7799" s="501" t="s">
        <v>9680</v>
      </c>
      <c r="I7799" s="501">
        <v>48</v>
      </c>
      <c r="J7799" s="501">
        <v>48</v>
      </c>
      <c r="K7799" s="501">
        <v>0</v>
      </c>
      <c r="L7799" s="501">
        <v>0</v>
      </c>
      <c r="M7799" s="501">
        <v>0</v>
      </c>
      <c r="N7799" s="501">
        <v>0</v>
      </c>
      <c r="O7799" s="506">
        <v>0</v>
      </c>
    </row>
    <row r="7800" spans="1:15" x14ac:dyDescent="0.35">
      <c r="A7800" s="503" t="s">
        <v>1748</v>
      </c>
      <c r="B7800" s="504" t="s">
        <v>3233</v>
      </c>
      <c r="C7800" s="504" t="s">
        <v>1094</v>
      </c>
      <c r="D7800" s="504" t="s">
        <v>3380</v>
      </c>
      <c r="E7800" s="504" t="s">
        <v>3381</v>
      </c>
      <c r="F7800" s="504" t="s">
        <v>908</v>
      </c>
      <c r="G7800" s="504" t="s">
        <v>909</v>
      </c>
      <c r="H7800" s="504" t="s">
        <v>9681</v>
      </c>
      <c r="I7800" s="504">
        <v>15</v>
      </c>
      <c r="J7800" s="504">
        <v>15</v>
      </c>
      <c r="K7800" s="504">
        <v>0</v>
      </c>
      <c r="L7800" s="504">
        <v>0</v>
      </c>
      <c r="M7800" s="504">
        <v>0</v>
      </c>
      <c r="N7800" s="504">
        <v>0</v>
      </c>
      <c r="O7800" s="505">
        <v>0</v>
      </c>
    </row>
    <row r="7801" spans="1:15" x14ac:dyDescent="0.35">
      <c r="A7801" s="500" t="s">
        <v>1233</v>
      </c>
      <c r="B7801" s="501">
        <v>4636</v>
      </c>
      <c r="C7801" s="501" t="s">
        <v>1094</v>
      </c>
      <c r="D7801" s="501" t="s">
        <v>3380</v>
      </c>
      <c r="E7801" s="501" t="s">
        <v>3381</v>
      </c>
      <c r="F7801" s="501" t="s">
        <v>908</v>
      </c>
      <c r="G7801" s="501" t="s">
        <v>909</v>
      </c>
      <c r="H7801" s="501" t="s">
        <v>15112</v>
      </c>
      <c r="I7801" s="501">
        <v>2</v>
      </c>
      <c r="J7801" s="501">
        <v>0</v>
      </c>
      <c r="K7801" s="501">
        <v>0</v>
      </c>
      <c r="L7801" s="501">
        <v>0</v>
      </c>
      <c r="M7801" s="501">
        <v>0</v>
      </c>
      <c r="N7801" s="501">
        <v>0</v>
      </c>
      <c r="O7801" s="506">
        <v>2</v>
      </c>
    </row>
    <row r="7802" spans="1:15" x14ac:dyDescent="0.35">
      <c r="A7802" s="503" t="s">
        <v>11368</v>
      </c>
      <c r="B7802" s="504">
        <v>5083</v>
      </c>
      <c r="C7802" s="504" t="s">
        <v>1094</v>
      </c>
      <c r="D7802" s="504" t="s">
        <v>3380</v>
      </c>
      <c r="E7802" s="504" t="s">
        <v>3381</v>
      </c>
      <c r="F7802" s="504" t="s">
        <v>908</v>
      </c>
      <c r="G7802" s="504" t="s">
        <v>909</v>
      </c>
      <c r="H7802" s="504" t="s">
        <v>15113</v>
      </c>
      <c r="I7802" s="504">
        <v>6</v>
      </c>
      <c r="J7802" s="504">
        <v>6</v>
      </c>
      <c r="K7802" s="504">
        <v>0</v>
      </c>
      <c r="L7802" s="504">
        <v>0</v>
      </c>
      <c r="M7802" s="504">
        <v>0</v>
      </c>
      <c r="N7802" s="504">
        <v>0</v>
      </c>
      <c r="O7802" s="505">
        <v>0</v>
      </c>
    </row>
    <row r="7803" spans="1:15" x14ac:dyDescent="0.35">
      <c r="A7803" s="500" t="s">
        <v>1126</v>
      </c>
      <c r="B7803" s="501" t="s">
        <v>2974</v>
      </c>
      <c r="C7803" s="501" t="s">
        <v>1094</v>
      </c>
      <c r="D7803" s="501" t="s">
        <v>3380</v>
      </c>
      <c r="E7803" s="501" t="s">
        <v>3381</v>
      </c>
      <c r="F7803" s="501" t="s">
        <v>908</v>
      </c>
      <c r="G7803" s="501" t="s">
        <v>909</v>
      </c>
      <c r="H7803" s="501" t="s">
        <v>9682</v>
      </c>
      <c r="I7803" s="501">
        <v>336</v>
      </c>
      <c r="J7803" s="501">
        <v>202</v>
      </c>
      <c r="K7803" s="501">
        <v>0</v>
      </c>
      <c r="L7803" s="501">
        <v>6</v>
      </c>
      <c r="M7803" s="501">
        <v>111</v>
      </c>
      <c r="N7803" s="501">
        <v>1</v>
      </c>
      <c r="O7803" s="506">
        <v>17</v>
      </c>
    </row>
    <row r="7804" spans="1:15" x14ac:dyDescent="0.35">
      <c r="A7804" s="503" t="s">
        <v>2115</v>
      </c>
      <c r="B7804" s="504" t="s">
        <v>2557</v>
      </c>
      <c r="C7804" s="504" t="s">
        <v>1089</v>
      </c>
      <c r="D7804" s="504" t="s">
        <v>3392</v>
      </c>
      <c r="E7804" s="504" t="s">
        <v>3381</v>
      </c>
      <c r="F7804" s="504" t="s">
        <v>908</v>
      </c>
      <c r="G7804" s="504" t="s">
        <v>909</v>
      </c>
      <c r="H7804" s="504" t="s">
        <v>9683</v>
      </c>
      <c r="I7804" s="504">
        <v>14</v>
      </c>
      <c r="J7804" s="504">
        <v>14</v>
      </c>
      <c r="K7804" s="504">
        <v>0</v>
      </c>
      <c r="L7804" s="504">
        <v>0</v>
      </c>
      <c r="M7804" s="504">
        <v>0</v>
      </c>
      <c r="N7804" s="504">
        <v>0</v>
      </c>
      <c r="O7804" s="505">
        <v>0</v>
      </c>
    </row>
    <row r="7805" spans="1:15" x14ac:dyDescent="0.35">
      <c r="A7805" s="500" t="s">
        <v>1253</v>
      </c>
      <c r="B7805" s="501" t="s">
        <v>3232</v>
      </c>
      <c r="C7805" s="501" t="s">
        <v>1094</v>
      </c>
      <c r="D7805" s="501" t="s">
        <v>3380</v>
      </c>
      <c r="E7805" s="501" t="s">
        <v>3381</v>
      </c>
      <c r="F7805" s="501" t="s">
        <v>908</v>
      </c>
      <c r="G7805" s="501" t="s">
        <v>909</v>
      </c>
      <c r="H7805" s="501" t="s">
        <v>9684</v>
      </c>
      <c r="I7805" s="501">
        <v>8</v>
      </c>
      <c r="J7805" s="501">
        <v>0</v>
      </c>
      <c r="K7805" s="501">
        <v>0</v>
      </c>
      <c r="L7805" s="501">
        <v>8</v>
      </c>
      <c r="M7805" s="501">
        <v>0</v>
      </c>
      <c r="N7805" s="501">
        <v>0</v>
      </c>
      <c r="O7805" s="506">
        <v>0</v>
      </c>
    </row>
    <row r="7806" spans="1:15" x14ac:dyDescent="0.35">
      <c r="A7806" s="503" t="s">
        <v>2123</v>
      </c>
      <c r="B7806" s="504" t="s">
        <v>3338</v>
      </c>
      <c r="C7806" s="504" t="s">
        <v>1094</v>
      </c>
      <c r="D7806" s="504" t="s">
        <v>3380</v>
      </c>
      <c r="E7806" s="504" t="s">
        <v>3381</v>
      </c>
      <c r="F7806" s="504" t="s">
        <v>908</v>
      </c>
      <c r="G7806" s="504" t="s">
        <v>909</v>
      </c>
      <c r="H7806" s="504" t="s">
        <v>9685</v>
      </c>
      <c r="I7806" s="504">
        <v>73</v>
      </c>
      <c r="J7806" s="504">
        <v>62</v>
      </c>
      <c r="K7806" s="504">
        <v>0</v>
      </c>
      <c r="L7806" s="504">
        <v>11</v>
      </c>
      <c r="M7806" s="504">
        <v>0</v>
      </c>
      <c r="N7806" s="504">
        <v>0</v>
      </c>
      <c r="O7806" s="505">
        <v>0</v>
      </c>
    </row>
    <row r="7807" spans="1:15" x14ac:dyDescent="0.35">
      <c r="A7807" s="500" t="s">
        <v>1266</v>
      </c>
      <c r="B7807" s="501" t="s">
        <v>3071</v>
      </c>
      <c r="C7807" s="501" t="s">
        <v>1094</v>
      </c>
      <c r="D7807" s="501" t="s">
        <v>3380</v>
      </c>
      <c r="E7807" s="501" t="s">
        <v>3381</v>
      </c>
      <c r="F7807" s="501" t="s">
        <v>908</v>
      </c>
      <c r="G7807" s="501" t="s">
        <v>909</v>
      </c>
      <c r="H7807" s="501" t="s">
        <v>9686</v>
      </c>
      <c r="I7807" s="501">
        <v>2815</v>
      </c>
      <c r="J7807" s="501">
        <v>2667</v>
      </c>
      <c r="K7807" s="501">
        <v>5</v>
      </c>
      <c r="L7807" s="501">
        <v>13</v>
      </c>
      <c r="M7807" s="501">
        <v>96</v>
      </c>
      <c r="N7807" s="501">
        <v>0</v>
      </c>
      <c r="O7807" s="506">
        <v>34</v>
      </c>
    </row>
    <row r="7808" spans="1:15" x14ac:dyDescent="0.35">
      <c r="A7808" s="503" t="s">
        <v>1093</v>
      </c>
      <c r="B7808" s="504" t="s">
        <v>3248</v>
      </c>
      <c r="C7808" s="504" t="s">
        <v>1094</v>
      </c>
      <c r="D7808" s="504" t="s">
        <v>3380</v>
      </c>
      <c r="E7808" s="504" t="s">
        <v>3381</v>
      </c>
      <c r="F7808" s="504" t="s">
        <v>910</v>
      </c>
      <c r="G7808" s="504" t="s">
        <v>911</v>
      </c>
      <c r="H7808" s="504" t="s">
        <v>9687</v>
      </c>
      <c r="I7808" s="504">
        <v>2</v>
      </c>
      <c r="J7808" s="504">
        <v>0</v>
      </c>
      <c r="K7808" s="504">
        <v>0</v>
      </c>
      <c r="L7808" s="504">
        <v>0</v>
      </c>
      <c r="M7808" s="504">
        <v>0</v>
      </c>
      <c r="N7808" s="504">
        <v>0</v>
      </c>
      <c r="O7808" s="505">
        <v>2</v>
      </c>
    </row>
    <row r="7809" spans="1:15" x14ac:dyDescent="0.35">
      <c r="A7809" s="500" t="s">
        <v>1096</v>
      </c>
      <c r="B7809" s="501" t="s">
        <v>3326</v>
      </c>
      <c r="C7809" s="501" t="s">
        <v>1094</v>
      </c>
      <c r="D7809" s="501" t="s">
        <v>3380</v>
      </c>
      <c r="E7809" s="501" t="s">
        <v>3381</v>
      </c>
      <c r="F7809" s="501" t="s">
        <v>910</v>
      </c>
      <c r="G7809" s="501" t="s">
        <v>911</v>
      </c>
      <c r="H7809" s="501" t="s">
        <v>9688</v>
      </c>
      <c r="I7809" s="501">
        <v>112</v>
      </c>
      <c r="J7809" s="501">
        <v>0</v>
      </c>
      <c r="K7809" s="501">
        <v>0</v>
      </c>
      <c r="L7809" s="501">
        <v>0</v>
      </c>
      <c r="M7809" s="501">
        <v>112</v>
      </c>
      <c r="N7809" s="501">
        <v>0</v>
      </c>
      <c r="O7809" s="506">
        <v>0</v>
      </c>
    </row>
    <row r="7810" spans="1:15" x14ac:dyDescent="0.35">
      <c r="A7810" s="503" t="s">
        <v>1273</v>
      </c>
      <c r="B7810" s="504" t="s">
        <v>3197</v>
      </c>
      <c r="C7810" s="504" t="s">
        <v>1094</v>
      </c>
      <c r="D7810" s="504" t="s">
        <v>3380</v>
      </c>
      <c r="E7810" s="504" t="s">
        <v>3381</v>
      </c>
      <c r="F7810" s="504" t="s">
        <v>910</v>
      </c>
      <c r="G7810" s="504" t="s">
        <v>911</v>
      </c>
      <c r="H7810" s="504" t="s">
        <v>9689</v>
      </c>
      <c r="I7810" s="504">
        <v>1</v>
      </c>
      <c r="J7810" s="504">
        <v>0</v>
      </c>
      <c r="K7810" s="504">
        <v>0</v>
      </c>
      <c r="L7810" s="504">
        <v>0</v>
      </c>
      <c r="M7810" s="504">
        <v>0</v>
      </c>
      <c r="N7810" s="504">
        <v>0</v>
      </c>
      <c r="O7810" s="505">
        <v>1</v>
      </c>
    </row>
    <row r="7811" spans="1:15" x14ac:dyDescent="0.35">
      <c r="A7811" s="500" t="s">
        <v>11363</v>
      </c>
      <c r="B7811" s="501">
        <v>4718</v>
      </c>
      <c r="C7811" s="501" t="s">
        <v>1094</v>
      </c>
      <c r="D7811" s="501" t="s">
        <v>3380</v>
      </c>
      <c r="E7811" s="501" t="s">
        <v>3381</v>
      </c>
      <c r="F7811" s="501" t="s">
        <v>910</v>
      </c>
      <c r="G7811" s="501" t="s">
        <v>911</v>
      </c>
      <c r="H7811" s="501" t="s">
        <v>11593</v>
      </c>
      <c r="I7811" s="501">
        <v>4</v>
      </c>
      <c r="J7811" s="501">
        <v>0</v>
      </c>
      <c r="K7811" s="501">
        <v>0</v>
      </c>
      <c r="L7811" s="501">
        <v>4</v>
      </c>
      <c r="M7811" s="501">
        <v>0</v>
      </c>
      <c r="N7811" s="501">
        <v>0</v>
      </c>
      <c r="O7811" s="506">
        <v>0</v>
      </c>
    </row>
    <row r="7812" spans="1:15" x14ac:dyDescent="0.35">
      <c r="A7812" s="503" t="s">
        <v>1161</v>
      </c>
      <c r="B7812" s="504" t="s">
        <v>3001</v>
      </c>
      <c r="C7812" s="504" t="s">
        <v>1094</v>
      </c>
      <c r="D7812" s="504" t="s">
        <v>3380</v>
      </c>
      <c r="E7812" s="504" t="s">
        <v>3381</v>
      </c>
      <c r="F7812" s="504" t="s">
        <v>910</v>
      </c>
      <c r="G7812" s="504" t="s">
        <v>911</v>
      </c>
      <c r="H7812" s="504" t="s">
        <v>9691</v>
      </c>
      <c r="I7812" s="504">
        <v>312</v>
      </c>
      <c r="J7812" s="504">
        <v>218</v>
      </c>
      <c r="K7812" s="504">
        <v>0</v>
      </c>
      <c r="L7812" s="504">
        <v>15</v>
      </c>
      <c r="M7812" s="504">
        <v>58</v>
      </c>
      <c r="N7812" s="504">
        <v>0</v>
      </c>
      <c r="O7812" s="505">
        <v>21</v>
      </c>
    </row>
    <row r="7813" spans="1:15" x14ac:dyDescent="0.35">
      <c r="A7813" s="500" t="s">
        <v>1100</v>
      </c>
      <c r="B7813" s="501">
        <v>4865</v>
      </c>
      <c r="C7813" s="501" t="s">
        <v>1094</v>
      </c>
      <c r="D7813" s="501" t="s">
        <v>3380</v>
      </c>
      <c r="E7813" s="501" t="s">
        <v>3381</v>
      </c>
      <c r="F7813" s="501" t="s">
        <v>910</v>
      </c>
      <c r="G7813" s="501" t="s">
        <v>911</v>
      </c>
      <c r="H7813" s="501" t="s">
        <v>9692</v>
      </c>
      <c r="I7813" s="501">
        <v>569</v>
      </c>
      <c r="J7813" s="501">
        <v>498</v>
      </c>
      <c r="K7813" s="501">
        <v>0</v>
      </c>
      <c r="L7813" s="501">
        <v>0</v>
      </c>
      <c r="M7813" s="501">
        <v>16</v>
      </c>
      <c r="N7813" s="501">
        <v>0</v>
      </c>
      <c r="O7813" s="506">
        <v>55</v>
      </c>
    </row>
    <row r="7814" spans="1:15" x14ac:dyDescent="0.35">
      <c r="A7814" s="503" t="s">
        <v>1295</v>
      </c>
      <c r="B7814" s="504">
        <v>5090</v>
      </c>
      <c r="C7814" s="504" t="s">
        <v>1094</v>
      </c>
      <c r="D7814" s="504" t="s">
        <v>3380</v>
      </c>
      <c r="E7814" s="504" t="s">
        <v>3381</v>
      </c>
      <c r="F7814" s="504" t="s">
        <v>910</v>
      </c>
      <c r="G7814" s="504" t="s">
        <v>911</v>
      </c>
      <c r="H7814" s="504" t="s">
        <v>9693</v>
      </c>
      <c r="I7814" s="504">
        <v>19</v>
      </c>
      <c r="J7814" s="504">
        <v>9</v>
      </c>
      <c r="K7814" s="504">
        <v>0</v>
      </c>
      <c r="L7814" s="504">
        <v>10</v>
      </c>
      <c r="M7814" s="504">
        <v>0</v>
      </c>
      <c r="N7814" s="504">
        <v>0</v>
      </c>
      <c r="O7814" s="505">
        <v>0</v>
      </c>
    </row>
    <row r="7815" spans="1:15" x14ac:dyDescent="0.35">
      <c r="A7815" s="500" t="s">
        <v>1177</v>
      </c>
      <c r="B7815" s="501">
        <v>4702</v>
      </c>
      <c r="C7815" s="501" t="s">
        <v>1089</v>
      </c>
      <c r="D7815" s="501" t="s">
        <v>3392</v>
      </c>
      <c r="E7815" s="501" t="s">
        <v>3381</v>
      </c>
      <c r="F7815" s="501" t="s">
        <v>910</v>
      </c>
      <c r="G7815" s="501" t="s">
        <v>911</v>
      </c>
      <c r="H7815" s="501" t="s">
        <v>9694</v>
      </c>
      <c r="I7815" s="501">
        <v>3</v>
      </c>
      <c r="J7815" s="501">
        <v>0</v>
      </c>
      <c r="K7815" s="501">
        <v>0</v>
      </c>
      <c r="L7815" s="501">
        <v>3</v>
      </c>
      <c r="M7815" s="501">
        <v>0</v>
      </c>
      <c r="N7815" s="501">
        <v>0</v>
      </c>
      <c r="O7815" s="506">
        <v>0</v>
      </c>
    </row>
    <row r="7816" spans="1:15" x14ac:dyDescent="0.35">
      <c r="A7816" s="503" t="s">
        <v>1299</v>
      </c>
      <c r="B7816" s="504" t="s">
        <v>2810</v>
      </c>
      <c r="C7816" s="504" t="s">
        <v>1089</v>
      </c>
      <c r="D7816" s="504" t="s">
        <v>3392</v>
      </c>
      <c r="E7816" s="504" t="s">
        <v>3381</v>
      </c>
      <c r="F7816" s="504" t="s">
        <v>910</v>
      </c>
      <c r="G7816" s="504" t="s">
        <v>911</v>
      </c>
      <c r="H7816" s="504" t="s">
        <v>9695</v>
      </c>
      <c r="I7816" s="504">
        <v>20</v>
      </c>
      <c r="J7816" s="504">
        <v>20</v>
      </c>
      <c r="K7816" s="504">
        <v>0</v>
      </c>
      <c r="L7816" s="504">
        <v>0</v>
      </c>
      <c r="M7816" s="504">
        <v>0</v>
      </c>
      <c r="N7816" s="504">
        <v>0</v>
      </c>
      <c r="O7816" s="505">
        <v>0</v>
      </c>
    </row>
    <row r="7817" spans="1:15" x14ac:dyDescent="0.35">
      <c r="A7817" s="500" t="s">
        <v>14208</v>
      </c>
      <c r="B7817" s="501">
        <v>4803</v>
      </c>
      <c r="C7817" s="501" t="s">
        <v>1094</v>
      </c>
      <c r="D7817" s="501" t="s">
        <v>3380</v>
      </c>
      <c r="E7817" s="501" t="s">
        <v>3381</v>
      </c>
      <c r="F7817" s="501" t="s">
        <v>910</v>
      </c>
      <c r="G7817" s="501" t="s">
        <v>911</v>
      </c>
      <c r="H7817" s="501" t="s">
        <v>15114</v>
      </c>
      <c r="I7817" s="501">
        <v>9</v>
      </c>
      <c r="J7817" s="501">
        <v>0</v>
      </c>
      <c r="K7817" s="501">
        <v>0</v>
      </c>
      <c r="L7817" s="501">
        <v>9</v>
      </c>
      <c r="M7817" s="501">
        <v>0</v>
      </c>
      <c r="N7817" s="501">
        <v>0</v>
      </c>
      <c r="O7817" s="506">
        <v>0</v>
      </c>
    </row>
    <row r="7818" spans="1:15" x14ac:dyDescent="0.35">
      <c r="A7818" s="503" t="s">
        <v>1187</v>
      </c>
      <c r="B7818" s="504" t="s">
        <v>2951</v>
      </c>
      <c r="C7818" s="504" t="s">
        <v>1094</v>
      </c>
      <c r="D7818" s="504" t="s">
        <v>3380</v>
      </c>
      <c r="E7818" s="504" t="s">
        <v>3381</v>
      </c>
      <c r="F7818" s="504" t="s">
        <v>910</v>
      </c>
      <c r="G7818" s="504" t="s">
        <v>911</v>
      </c>
      <c r="H7818" s="504" t="s">
        <v>9696</v>
      </c>
      <c r="I7818" s="504">
        <v>113</v>
      </c>
      <c r="J7818" s="504">
        <v>97</v>
      </c>
      <c r="K7818" s="504">
        <v>0</v>
      </c>
      <c r="L7818" s="504">
        <v>0</v>
      </c>
      <c r="M7818" s="504">
        <v>0</v>
      </c>
      <c r="N7818" s="504">
        <v>0</v>
      </c>
      <c r="O7818" s="505">
        <v>16</v>
      </c>
    </row>
    <row r="7819" spans="1:15" x14ac:dyDescent="0.35">
      <c r="A7819" s="500" t="s">
        <v>11371</v>
      </c>
      <c r="B7819" s="501">
        <v>4815</v>
      </c>
      <c r="C7819" s="501" t="s">
        <v>1089</v>
      </c>
      <c r="D7819" s="501" t="s">
        <v>3392</v>
      </c>
      <c r="E7819" s="501" t="s">
        <v>3381</v>
      </c>
      <c r="F7819" s="501" t="s">
        <v>910</v>
      </c>
      <c r="G7819" s="501" t="s">
        <v>911</v>
      </c>
      <c r="H7819" s="501" t="s">
        <v>11729</v>
      </c>
      <c r="I7819" s="501">
        <v>54</v>
      </c>
      <c r="J7819" s="501">
        <v>0</v>
      </c>
      <c r="K7819" s="501">
        <v>14</v>
      </c>
      <c r="L7819" s="501">
        <v>40</v>
      </c>
      <c r="M7819" s="501">
        <v>0</v>
      </c>
      <c r="N7819" s="501">
        <v>0</v>
      </c>
      <c r="O7819" s="506">
        <v>0</v>
      </c>
    </row>
    <row r="7820" spans="1:15" x14ac:dyDescent="0.35">
      <c r="A7820" s="503" t="s">
        <v>1105</v>
      </c>
      <c r="B7820" s="504">
        <v>4668</v>
      </c>
      <c r="C7820" s="504" t="s">
        <v>1094</v>
      </c>
      <c r="D7820" s="504" t="s">
        <v>3380</v>
      </c>
      <c r="E7820" s="504" t="s">
        <v>3381</v>
      </c>
      <c r="F7820" s="504" t="s">
        <v>910</v>
      </c>
      <c r="G7820" s="504" t="s">
        <v>911</v>
      </c>
      <c r="H7820" s="504" t="s">
        <v>9697</v>
      </c>
      <c r="I7820" s="504">
        <v>1</v>
      </c>
      <c r="J7820" s="504">
        <v>0</v>
      </c>
      <c r="K7820" s="504">
        <v>0</v>
      </c>
      <c r="L7820" s="504">
        <v>0</v>
      </c>
      <c r="M7820" s="504">
        <v>0</v>
      </c>
      <c r="N7820" s="504">
        <v>0</v>
      </c>
      <c r="O7820" s="505">
        <v>1</v>
      </c>
    </row>
    <row r="7821" spans="1:15" x14ac:dyDescent="0.35">
      <c r="A7821" s="500" t="s">
        <v>1302</v>
      </c>
      <c r="B7821" s="501" t="s">
        <v>3094</v>
      </c>
      <c r="C7821" s="501" t="s">
        <v>1094</v>
      </c>
      <c r="D7821" s="501" t="s">
        <v>3380</v>
      </c>
      <c r="E7821" s="501" t="s">
        <v>3381</v>
      </c>
      <c r="F7821" s="501" t="s">
        <v>910</v>
      </c>
      <c r="G7821" s="501" t="s">
        <v>911</v>
      </c>
      <c r="H7821" s="501" t="s">
        <v>9698</v>
      </c>
      <c r="I7821" s="501">
        <v>61</v>
      </c>
      <c r="J7821" s="501">
        <v>24</v>
      </c>
      <c r="K7821" s="501">
        <v>0</v>
      </c>
      <c r="L7821" s="501">
        <v>29</v>
      </c>
      <c r="M7821" s="501">
        <v>0</v>
      </c>
      <c r="N7821" s="501">
        <v>0</v>
      </c>
      <c r="O7821" s="506">
        <v>8</v>
      </c>
    </row>
    <row r="7822" spans="1:15" x14ac:dyDescent="0.35">
      <c r="A7822" s="503" t="s">
        <v>1188</v>
      </c>
      <c r="B7822" s="504">
        <v>4760</v>
      </c>
      <c r="C7822" s="504" t="s">
        <v>1089</v>
      </c>
      <c r="D7822" s="504" t="s">
        <v>3392</v>
      </c>
      <c r="E7822" s="504" t="s">
        <v>3381</v>
      </c>
      <c r="F7822" s="504" t="s">
        <v>910</v>
      </c>
      <c r="G7822" s="504" t="s">
        <v>911</v>
      </c>
      <c r="H7822" s="504" t="s">
        <v>9699</v>
      </c>
      <c r="I7822" s="504">
        <v>6</v>
      </c>
      <c r="J7822" s="504">
        <v>0</v>
      </c>
      <c r="K7822" s="504">
        <v>0</v>
      </c>
      <c r="L7822" s="504">
        <v>6</v>
      </c>
      <c r="M7822" s="504">
        <v>0</v>
      </c>
      <c r="N7822" s="504">
        <v>0</v>
      </c>
      <c r="O7822" s="505">
        <v>0</v>
      </c>
    </row>
    <row r="7823" spans="1:15" x14ac:dyDescent="0.35">
      <c r="A7823" s="500" t="s">
        <v>1107</v>
      </c>
      <c r="B7823" s="501" t="s">
        <v>3109</v>
      </c>
      <c r="C7823" s="501" t="s">
        <v>1094</v>
      </c>
      <c r="D7823" s="501" t="s">
        <v>3380</v>
      </c>
      <c r="E7823" s="501" t="s">
        <v>3381</v>
      </c>
      <c r="F7823" s="501" t="s">
        <v>910</v>
      </c>
      <c r="G7823" s="501" t="s">
        <v>911</v>
      </c>
      <c r="H7823" s="501" t="s">
        <v>9700</v>
      </c>
      <c r="I7823" s="501">
        <v>160</v>
      </c>
      <c r="J7823" s="501">
        <v>159</v>
      </c>
      <c r="K7823" s="501">
        <v>0</v>
      </c>
      <c r="L7823" s="501">
        <v>0</v>
      </c>
      <c r="M7823" s="501">
        <v>0</v>
      </c>
      <c r="N7823" s="501">
        <v>3</v>
      </c>
      <c r="O7823" s="506">
        <v>1</v>
      </c>
    </row>
    <row r="7824" spans="1:15" x14ac:dyDescent="0.35">
      <c r="A7824" s="503" t="s">
        <v>1109</v>
      </c>
      <c r="B7824" s="504" t="s">
        <v>2959</v>
      </c>
      <c r="C7824" s="504" t="s">
        <v>1094</v>
      </c>
      <c r="D7824" s="504" t="s">
        <v>3380</v>
      </c>
      <c r="E7824" s="504" t="s">
        <v>3381</v>
      </c>
      <c r="F7824" s="504" t="s">
        <v>910</v>
      </c>
      <c r="G7824" s="504" t="s">
        <v>911</v>
      </c>
      <c r="H7824" s="504" t="s">
        <v>9701</v>
      </c>
      <c r="I7824" s="504">
        <v>33</v>
      </c>
      <c r="J7824" s="504">
        <v>0</v>
      </c>
      <c r="K7824" s="504">
        <v>0</v>
      </c>
      <c r="L7824" s="504">
        <v>0</v>
      </c>
      <c r="M7824" s="504">
        <v>33</v>
      </c>
      <c r="N7824" s="504">
        <v>0</v>
      </c>
      <c r="O7824" s="505">
        <v>0</v>
      </c>
    </row>
    <row r="7825" spans="1:15" x14ac:dyDescent="0.35">
      <c r="A7825" s="500" t="s">
        <v>1202</v>
      </c>
      <c r="B7825" s="501" t="s">
        <v>3217</v>
      </c>
      <c r="C7825" s="501" t="s">
        <v>1094</v>
      </c>
      <c r="D7825" s="501" t="s">
        <v>3380</v>
      </c>
      <c r="E7825" s="501" t="s">
        <v>3381</v>
      </c>
      <c r="F7825" s="501" t="s">
        <v>910</v>
      </c>
      <c r="G7825" s="501" t="s">
        <v>911</v>
      </c>
      <c r="H7825" s="501" t="s">
        <v>9702</v>
      </c>
      <c r="I7825" s="501">
        <v>4</v>
      </c>
      <c r="J7825" s="501">
        <v>0</v>
      </c>
      <c r="K7825" s="501">
        <v>0</v>
      </c>
      <c r="L7825" s="501">
        <v>0</v>
      </c>
      <c r="M7825" s="501">
        <v>0</v>
      </c>
      <c r="N7825" s="501">
        <v>0</v>
      </c>
      <c r="O7825" s="506">
        <v>4</v>
      </c>
    </row>
    <row r="7826" spans="1:15" x14ac:dyDescent="0.35">
      <c r="A7826" s="503" t="s">
        <v>1112</v>
      </c>
      <c r="B7826" s="504" t="s">
        <v>3008</v>
      </c>
      <c r="C7826" s="504" t="s">
        <v>1094</v>
      </c>
      <c r="D7826" s="504" t="s">
        <v>3380</v>
      </c>
      <c r="E7826" s="504" t="s">
        <v>3381</v>
      </c>
      <c r="F7826" s="504" t="s">
        <v>910</v>
      </c>
      <c r="G7826" s="504" t="s">
        <v>911</v>
      </c>
      <c r="H7826" s="504" t="s">
        <v>9703</v>
      </c>
      <c r="I7826" s="504">
        <v>383</v>
      </c>
      <c r="J7826" s="504">
        <v>40</v>
      </c>
      <c r="K7826" s="504">
        <v>0</v>
      </c>
      <c r="L7826" s="504">
        <v>0</v>
      </c>
      <c r="M7826" s="504">
        <v>0</v>
      </c>
      <c r="N7826" s="504">
        <v>0</v>
      </c>
      <c r="O7826" s="505">
        <v>343</v>
      </c>
    </row>
    <row r="7827" spans="1:15" x14ac:dyDescent="0.35">
      <c r="A7827" s="500" t="s">
        <v>1315</v>
      </c>
      <c r="B7827" s="501">
        <v>4825</v>
      </c>
      <c r="C7827" s="501" t="s">
        <v>1094</v>
      </c>
      <c r="D7827" s="501" t="s">
        <v>3380</v>
      </c>
      <c r="E7827" s="501" t="s">
        <v>3381</v>
      </c>
      <c r="F7827" s="501" t="s">
        <v>910</v>
      </c>
      <c r="G7827" s="501" t="s">
        <v>911</v>
      </c>
      <c r="H7827" s="501" t="s">
        <v>9704</v>
      </c>
      <c r="I7827" s="501">
        <v>43</v>
      </c>
      <c r="J7827" s="501">
        <v>36</v>
      </c>
      <c r="K7827" s="501">
        <v>0</v>
      </c>
      <c r="L7827" s="501">
        <v>0</v>
      </c>
      <c r="M7827" s="501">
        <v>0</v>
      </c>
      <c r="N7827" s="501">
        <v>0</v>
      </c>
      <c r="O7827" s="506">
        <v>7</v>
      </c>
    </row>
    <row r="7828" spans="1:15" x14ac:dyDescent="0.35">
      <c r="A7828" s="503" t="s">
        <v>1319</v>
      </c>
      <c r="B7828" s="504">
        <v>4880</v>
      </c>
      <c r="C7828" s="504" t="s">
        <v>1094</v>
      </c>
      <c r="D7828" s="504" t="s">
        <v>3380</v>
      </c>
      <c r="E7828" s="504" t="s">
        <v>3381</v>
      </c>
      <c r="F7828" s="504" t="s">
        <v>910</v>
      </c>
      <c r="G7828" s="504" t="s">
        <v>911</v>
      </c>
      <c r="H7828" s="504" t="s">
        <v>9705</v>
      </c>
      <c r="I7828" s="504">
        <v>199</v>
      </c>
      <c r="J7828" s="504">
        <v>104</v>
      </c>
      <c r="K7828" s="504">
        <v>0</v>
      </c>
      <c r="L7828" s="504">
        <v>0</v>
      </c>
      <c r="M7828" s="504">
        <v>0</v>
      </c>
      <c r="N7828" s="504">
        <v>0</v>
      </c>
      <c r="O7828" s="505">
        <v>95</v>
      </c>
    </row>
    <row r="7829" spans="1:15" x14ac:dyDescent="0.35">
      <c r="A7829" s="500" t="s">
        <v>1120</v>
      </c>
      <c r="B7829" s="501" t="s">
        <v>3362</v>
      </c>
      <c r="C7829" s="501" t="s">
        <v>1094</v>
      </c>
      <c r="D7829" s="501" t="s">
        <v>3380</v>
      </c>
      <c r="E7829" s="501" t="s">
        <v>3381</v>
      </c>
      <c r="F7829" s="501" t="s">
        <v>910</v>
      </c>
      <c r="G7829" s="501" t="s">
        <v>911</v>
      </c>
      <c r="H7829" s="501" t="s">
        <v>9706</v>
      </c>
      <c r="I7829" s="501">
        <v>2</v>
      </c>
      <c r="J7829" s="501">
        <v>0</v>
      </c>
      <c r="K7829" s="501">
        <v>0</v>
      </c>
      <c r="L7829" s="501">
        <v>0</v>
      </c>
      <c r="M7829" s="501">
        <v>0</v>
      </c>
      <c r="N7829" s="501">
        <v>0</v>
      </c>
      <c r="O7829" s="506">
        <v>2</v>
      </c>
    </row>
    <row r="7830" spans="1:15" x14ac:dyDescent="0.35">
      <c r="A7830" s="503" t="s">
        <v>1323</v>
      </c>
      <c r="B7830" s="504" t="s">
        <v>2946</v>
      </c>
      <c r="C7830" s="504" t="s">
        <v>1089</v>
      </c>
      <c r="D7830" s="504" t="s">
        <v>3392</v>
      </c>
      <c r="E7830" s="504" t="s">
        <v>3381</v>
      </c>
      <c r="F7830" s="504" t="s">
        <v>910</v>
      </c>
      <c r="G7830" s="504" t="s">
        <v>911</v>
      </c>
      <c r="H7830" s="504" t="s">
        <v>15115</v>
      </c>
      <c r="I7830" s="504">
        <v>8</v>
      </c>
      <c r="J7830" s="504">
        <v>0</v>
      </c>
      <c r="K7830" s="504">
        <v>0</v>
      </c>
      <c r="L7830" s="504">
        <v>8</v>
      </c>
      <c r="M7830" s="504">
        <v>0</v>
      </c>
      <c r="N7830" s="504">
        <v>0</v>
      </c>
      <c r="O7830" s="505">
        <v>0</v>
      </c>
    </row>
    <row r="7831" spans="1:15" x14ac:dyDescent="0.35">
      <c r="A7831" s="500" t="s">
        <v>1325</v>
      </c>
      <c r="B7831" s="501" t="s">
        <v>3011</v>
      </c>
      <c r="C7831" s="501" t="s">
        <v>1094</v>
      </c>
      <c r="D7831" s="501" t="s">
        <v>3380</v>
      </c>
      <c r="E7831" s="501" t="s">
        <v>3381</v>
      </c>
      <c r="F7831" s="501" t="s">
        <v>910</v>
      </c>
      <c r="G7831" s="501" t="s">
        <v>911</v>
      </c>
      <c r="H7831" s="501" t="s">
        <v>9707</v>
      </c>
      <c r="I7831" s="501">
        <v>312</v>
      </c>
      <c r="J7831" s="501">
        <v>201</v>
      </c>
      <c r="K7831" s="501">
        <v>0</v>
      </c>
      <c r="L7831" s="501">
        <v>20</v>
      </c>
      <c r="M7831" s="501">
        <v>68</v>
      </c>
      <c r="N7831" s="501">
        <v>0</v>
      </c>
      <c r="O7831" s="506">
        <v>23</v>
      </c>
    </row>
    <row r="7832" spans="1:15" x14ac:dyDescent="0.35">
      <c r="A7832" s="503" t="s">
        <v>1327</v>
      </c>
      <c r="B7832" s="504" t="s">
        <v>3330</v>
      </c>
      <c r="C7832" s="504" t="s">
        <v>1094</v>
      </c>
      <c r="D7832" s="504" t="s">
        <v>3380</v>
      </c>
      <c r="E7832" s="504" t="s">
        <v>3381</v>
      </c>
      <c r="F7832" s="504" t="s">
        <v>910</v>
      </c>
      <c r="G7832" s="504" t="s">
        <v>911</v>
      </c>
      <c r="H7832" s="504" t="s">
        <v>9708</v>
      </c>
      <c r="I7832" s="504">
        <v>12</v>
      </c>
      <c r="J7832" s="504">
        <v>12</v>
      </c>
      <c r="K7832" s="504">
        <v>0</v>
      </c>
      <c r="L7832" s="504">
        <v>0</v>
      </c>
      <c r="M7832" s="504">
        <v>0</v>
      </c>
      <c r="N7832" s="504">
        <v>0</v>
      </c>
      <c r="O7832" s="505">
        <v>0</v>
      </c>
    </row>
    <row r="7833" spans="1:15" x14ac:dyDescent="0.35">
      <c r="A7833" s="500" t="s">
        <v>1124</v>
      </c>
      <c r="B7833" s="501">
        <v>4745</v>
      </c>
      <c r="C7833" s="501" t="s">
        <v>1094</v>
      </c>
      <c r="D7833" s="501" t="s">
        <v>3380</v>
      </c>
      <c r="E7833" s="501" t="s">
        <v>3381</v>
      </c>
      <c r="F7833" s="501" t="s">
        <v>910</v>
      </c>
      <c r="G7833" s="501" t="s">
        <v>911</v>
      </c>
      <c r="H7833" s="501" t="s">
        <v>9709</v>
      </c>
      <c r="I7833" s="501">
        <v>13</v>
      </c>
      <c r="J7833" s="501">
        <v>0</v>
      </c>
      <c r="K7833" s="501">
        <v>0</v>
      </c>
      <c r="L7833" s="501">
        <v>13</v>
      </c>
      <c r="M7833" s="501">
        <v>0</v>
      </c>
      <c r="N7833" s="501">
        <v>0</v>
      </c>
      <c r="O7833" s="506">
        <v>0</v>
      </c>
    </row>
    <row r="7834" spans="1:15" x14ac:dyDescent="0.35">
      <c r="A7834" s="503" t="s">
        <v>1341</v>
      </c>
      <c r="B7834" s="504" t="s">
        <v>3183</v>
      </c>
      <c r="C7834" s="504" t="s">
        <v>1094</v>
      </c>
      <c r="D7834" s="504" t="s">
        <v>3380</v>
      </c>
      <c r="E7834" s="504" t="s">
        <v>3381</v>
      </c>
      <c r="F7834" s="504" t="s">
        <v>910</v>
      </c>
      <c r="G7834" s="504" t="s">
        <v>911</v>
      </c>
      <c r="H7834" s="504" t="s">
        <v>9710</v>
      </c>
      <c r="I7834" s="504">
        <v>26</v>
      </c>
      <c r="J7834" s="504">
        <v>22</v>
      </c>
      <c r="K7834" s="504">
        <v>0</v>
      </c>
      <c r="L7834" s="504">
        <v>0</v>
      </c>
      <c r="M7834" s="504">
        <v>0</v>
      </c>
      <c r="N7834" s="504">
        <v>0</v>
      </c>
      <c r="O7834" s="505">
        <v>4</v>
      </c>
    </row>
    <row r="7835" spans="1:15" x14ac:dyDescent="0.35">
      <c r="A7835" s="500" t="s">
        <v>1342</v>
      </c>
      <c r="B7835" s="501" t="s">
        <v>3237</v>
      </c>
      <c r="C7835" s="501" t="s">
        <v>1094</v>
      </c>
      <c r="D7835" s="501" t="s">
        <v>3380</v>
      </c>
      <c r="E7835" s="501" t="s">
        <v>3381</v>
      </c>
      <c r="F7835" s="501" t="s">
        <v>910</v>
      </c>
      <c r="G7835" s="501" t="s">
        <v>911</v>
      </c>
      <c r="H7835" s="501" t="s">
        <v>9711</v>
      </c>
      <c r="I7835" s="501">
        <v>2</v>
      </c>
      <c r="J7835" s="501">
        <v>0</v>
      </c>
      <c r="K7835" s="501">
        <v>0</v>
      </c>
      <c r="L7835" s="501">
        <v>0</v>
      </c>
      <c r="M7835" s="501">
        <v>0</v>
      </c>
      <c r="N7835" s="501">
        <v>0</v>
      </c>
      <c r="O7835" s="506">
        <v>2</v>
      </c>
    </row>
    <row r="7836" spans="1:15" x14ac:dyDescent="0.35">
      <c r="A7836" s="503" t="s">
        <v>1245</v>
      </c>
      <c r="B7836" s="504" t="s">
        <v>2859</v>
      </c>
      <c r="C7836" s="504" t="s">
        <v>1094</v>
      </c>
      <c r="D7836" s="504" t="s">
        <v>3380</v>
      </c>
      <c r="E7836" s="504" t="s">
        <v>3381</v>
      </c>
      <c r="F7836" s="504" t="s">
        <v>910</v>
      </c>
      <c r="G7836" s="504" t="s">
        <v>911</v>
      </c>
      <c r="H7836" s="504" t="s">
        <v>9712</v>
      </c>
      <c r="I7836" s="504">
        <v>10</v>
      </c>
      <c r="J7836" s="504">
        <v>0</v>
      </c>
      <c r="K7836" s="504">
        <v>0</v>
      </c>
      <c r="L7836" s="504">
        <v>0</v>
      </c>
      <c r="M7836" s="504">
        <v>10</v>
      </c>
      <c r="N7836" s="504">
        <v>0</v>
      </c>
      <c r="O7836" s="505">
        <v>0</v>
      </c>
    </row>
    <row r="7837" spans="1:15" x14ac:dyDescent="0.35">
      <c r="A7837" s="500" t="s">
        <v>1249</v>
      </c>
      <c r="B7837" s="501">
        <v>4729</v>
      </c>
      <c r="C7837" s="501" t="s">
        <v>1094</v>
      </c>
      <c r="D7837" s="501" t="s">
        <v>3380</v>
      </c>
      <c r="E7837" s="501" t="s">
        <v>3381</v>
      </c>
      <c r="F7837" s="501" t="s">
        <v>910</v>
      </c>
      <c r="G7837" s="501" t="s">
        <v>911</v>
      </c>
      <c r="H7837" s="501" t="s">
        <v>9713</v>
      </c>
      <c r="I7837" s="501">
        <v>214</v>
      </c>
      <c r="J7837" s="501">
        <v>187</v>
      </c>
      <c r="K7837" s="501">
        <v>0</v>
      </c>
      <c r="L7837" s="501">
        <v>0</v>
      </c>
      <c r="M7837" s="501">
        <v>14</v>
      </c>
      <c r="N7837" s="501">
        <v>0</v>
      </c>
      <c r="O7837" s="506">
        <v>13</v>
      </c>
    </row>
    <row r="7838" spans="1:15" x14ac:dyDescent="0.35">
      <c r="A7838" s="503" t="s">
        <v>1371</v>
      </c>
      <c r="B7838" s="504" t="s">
        <v>2891</v>
      </c>
      <c r="C7838" s="504" t="s">
        <v>1089</v>
      </c>
      <c r="D7838" s="504" t="s">
        <v>3392</v>
      </c>
      <c r="E7838" s="504" t="s">
        <v>3381</v>
      </c>
      <c r="F7838" s="504" t="s">
        <v>910</v>
      </c>
      <c r="G7838" s="504" t="s">
        <v>911</v>
      </c>
      <c r="H7838" s="504" t="s">
        <v>9714</v>
      </c>
      <c r="I7838" s="504">
        <v>14</v>
      </c>
      <c r="J7838" s="504">
        <v>0</v>
      </c>
      <c r="K7838" s="504">
        <v>0</v>
      </c>
      <c r="L7838" s="504">
        <v>14</v>
      </c>
      <c r="M7838" s="504">
        <v>0</v>
      </c>
      <c r="N7838" s="504">
        <v>0</v>
      </c>
      <c r="O7838" s="505">
        <v>0</v>
      </c>
    </row>
    <row r="7839" spans="1:15" x14ac:dyDescent="0.35">
      <c r="A7839" s="500" t="s">
        <v>1381</v>
      </c>
      <c r="B7839" s="501" t="s">
        <v>2698</v>
      </c>
      <c r="C7839" s="501" t="s">
        <v>1089</v>
      </c>
      <c r="D7839" s="501" t="s">
        <v>3392</v>
      </c>
      <c r="E7839" s="501" t="s">
        <v>3381</v>
      </c>
      <c r="F7839" s="501" t="s">
        <v>910</v>
      </c>
      <c r="G7839" s="501" t="s">
        <v>911</v>
      </c>
      <c r="H7839" s="501" t="s">
        <v>9715</v>
      </c>
      <c r="I7839" s="501">
        <v>94</v>
      </c>
      <c r="J7839" s="501">
        <v>94</v>
      </c>
      <c r="K7839" s="501">
        <v>0</v>
      </c>
      <c r="L7839" s="501">
        <v>0</v>
      </c>
      <c r="M7839" s="501">
        <v>0</v>
      </c>
      <c r="N7839" s="501">
        <v>0</v>
      </c>
      <c r="O7839" s="506">
        <v>0</v>
      </c>
    </row>
    <row r="7840" spans="1:15" x14ac:dyDescent="0.35">
      <c r="A7840" s="503" t="s">
        <v>1156</v>
      </c>
      <c r="B7840" s="504" t="s">
        <v>3310</v>
      </c>
      <c r="C7840" s="504" t="s">
        <v>1094</v>
      </c>
      <c r="D7840" s="504" t="s">
        <v>3380</v>
      </c>
      <c r="E7840" s="504" t="s">
        <v>3381</v>
      </c>
      <c r="F7840" s="504" t="s">
        <v>910</v>
      </c>
      <c r="G7840" s="504" t="s">
        <v>911</v>
      </c>
      <c r="H7840" s="504" t="s">
        <v>9690</v>
      </c>
      <c r="I7840" s="504">
        <v>1</v>
      </c>
      <c r="J7840" s="504">
        <v>1</v>
      </c>
      <c r="K7840" s="504">
        <v>0</v>
      </c>
      <c r="L7840" s="504">
        <v>0</v>
      </c>
      <c r="M7840" s="504">
        <v>0</v>
      </c>
      <c r="N7840" s="504">
        <v>0</v>
      </c>
      <c r="O7840" s="505">
        <v>0</v>
      </c>
    </row>
    <row r="7841" spans="1:15" x14ac:dyDescent="0.35">
      <c r="A7841" s="500" t="s">
        <v>1193</v>
      </c>
      <c r="B7841" s="501" t="s">
        <v>3039</v>
      </c>
      <c r="C7841" s="501" t="s">
        <v>1094</v>
      </c>
      <c r="D7841" s="501" t="s">
        <v>3380</v>
      </c>
      <c r="E7841" s="501" t="s">
        <v>3381</v>
      </c>
      <c r="F7841" s="501" t="s">
        <v>912</v>
      </c>
      <c r="G7841" s="501" t="s">
        <v>913</v>
      </c>
      <c r="H7841" s="501" t="s">
        <v>9726</v>
      </c>
      <c r="I7841" s="501">
        <v>794</v>
      </c>
      <c r="J7841" s="501">
        <v>200</v>
      </c>
      <c r="K7841" s="501">
        <v>0</v>
      </c>
      <c r="L7841" s="501">
        <v>25</v>
      </c>
      <c r="M7841" s="501">
        <v>359</v>
      </c>
      <c r="N7841" s="501">
        <v>0</v>
      </c>
      <c r="O7841" s="506">
        <v>210</v>
      </c>
    </row>
    <row r="7842" spans="1:15" x14ac:dyDescent="0.35">
      <c r="A7842" s="503" t="s">
        <v>1096</v>
      </c>
      <c r="B7842" s="504" t="s">
        <v>3326</v>
      </c>
      <c r="C7842" s="504" t="s">
        <v>1094</v>
      </c>
      <c r="D7842" s="504" t="s">
        <v>3380</v>
      </c>
      <c r="E7842" s="504" t="s">
        <v>3381</v>
      </c>
      <c r="F7842" s="504" t="s">
        <v>912</v>
      </c>
      <c r="G7842" s="504" t="s">
        <v>913</v>
      </c>
      <c r="H7842" s="504" t="s">
        <v>9716</v>
      </c>
      <c r="I7842" s="504">
        <v>177</v>
      </c>
      <c r="J7842" s="504">
        <v>0</v>
      </c>
      <c r="K7842" s="504">
        <v>0</v>
      </c>
      <c r="L7842" s="504">
        <v>0</v>
      </c>
      <c r="M7842" s="504">
        <v>127</v>
      </c>
      <c r="N7842" s="504">
        <v>0</v>
      </c>
      <c r="O7842" s="505">
        <v>50</v>
      </c>
    </row>
    <row r="7843" spans="1:15" x14ac:dyDescent="0.35">
      <c r="A7843" s="500" t="s">
        <v>1670</v>
      </c>
      <c r="B7843" s="501" t="s">
        <v>3125</v>
      </c>
      <c r="C7843" s="501" t="s">
        <v>1094</v>
      </c>
      <c r="D7843" s="501" t="s">
        <v>3380</v>
      </c>
      <c r="E7843" s="501" t="s">
        <v>3381</v>
      </c>
      <c r="F7843" s="501" t="s">
        <v>912</v>
      </c>
      <c r="G7843" s="501" t="s">
        <v>913</v>
      </c>
      <c r="H7843" s="501" t="s">
        <v>9717</v>
      </c>
      <c r="I7843" s="501">
        <v>18</v>
      </c>
      <c r="J7843" s="501">
        <v>18</v>
      </c>
      <c r="K7843" s="501">
        <v>0</v>
      </c>
      <c r="L7843" s="501">
        <v>0</v>
      </c>
      <c r="M7843" s="501">
        <v>0</v>
      </c>
      <c r="N7843" s="501">
        <v>0</v>
      </c>
      <c r="O7843" s="506">
        <v>0</v>
      </c>
    </row>
    <row r="7844" spans="1:15" x14ac:dyDescent="0.35">
      <c r="A7844" s="503" t="s">
        <v>1150</v>
      </c>
      <c r="B7844" s="504" t="s">
        <v>2975</v>
      </c>
      <c r="C7844" s="504" t="s">
        <v>1094</v>
      </c>
      <c r="D7844" s="504" t="s">
        <v>3380</v>
      </c>
      <c r="E7844" s="504" t="s">
        <v>3381</v>
      </c>
      <c r="F7844" s="504" t="s">
        <v>912</v>
      </c>
      <c r="G7844" s="504" t="s">
        <v>913</v>
      </c>
      <c r="H7844" s="504" t="s">
        <v>9718</v>
      </c>
      <c r="I7844" s="504">
        <v>29</v>
      </c>
      <c r="J7844" s="504">
        <v>29</v>
      </c>
      <c r="K7844" s="504">
        <v>0</v>
      </c>
      <c r="L7844" s="504">
        <v>0</v>
      </c>
      <c r="M7844" s="504">
        <v>0</v>
      </c>
      <c r="N7844" s="504">
        <v>0</v>
      </c>
      <c r="O7844" s="505">
        <v>0</v>
      </c>
    </row>
    <row r="7845" spans="1:15" x14ac:dyDescent="0.35">
      <c r="A7845" s="500" t="s">
        <v>1160</v>
      </c>
      <c r="B7845" s="501">
        <v>4672</v>
      </c>
      <c r="C7845" s="501" t="s">
        <v>1089</v>
      </c>
      <c r="D7845" s="501" t="s">
        <v>3392</v>
      </c>
      <c r="E7845" s="501" t="s">
        <v>3381</v>
      </c>
      <c r="F7845" s="501" t="s">
        <v>912</v>
      </c>
      <c r="G7845" s="501" t="s">
        <v>913</v>
      </c>
      <c r="H7845" s="501" t="s">
        <v>9719</v>
      </c>
      <c r="I7845" s="501">
        <v>55</v>
      </c>
      <c r="J7845" s="501">
        <v>0</v>
      </c>
      <c r="K7845" s="501">
        <v>0</v>
      </c>
      <c r="L7845" s="501">
        <v>55</v>
      </c>
      <c r="M7845" s="501">
        <v>0</v>
      </c>
      <c r="N7845" s="501">
        <v>0</v>
      </c>
      <c r="O7845" s="506">
        <v>0</v>
      </c>
    </row>
    <row r="7846" spans="1:15" x14ac:dyDescent="0.35">
      <c r="A7846" s="503" t="s">
        <v>1167</v>
      </c>
      <c r="B7846" s="504">
        <v>4689</v>
      </c>
      <c r="C7846" s="504" t="s">
        <v>1089</v>
      </c>
      <c r="D7846" s="504" t="s">
        <v>3392</v>
      </c>
      <c r="E7846" s="504" t="s">
        <v>3381</v>
      </c>
      <c r="F7846" s="504" t="s">
        <v>912</v>
      </c>
      <c r="G7846" s="504" t="s">
        <v>913</v>
      </c>
      <c r="H7846" s="504" t="s">
        <v>9720</v>
      </c>
      <c r="I7846" s="504">
        <v>20</v>
      </c>
      <c r="J7846" s="504">
        <v>0</v>
      </c>
      <c r="K7846" s="504">
        <v>0</v>
      </c>
      <c r="L7846" s="504">
        <v>20</v>
      </c>
      <c r="M7846" s="504">
        <v>0</v>
      </c>
      <c r="N7846" s="504">
        <v>0</v>
      </c>
      <c r="O7846" s="505">
        <v>0</v>
      </c>
    </row>
    <row r="7847" spans="1:15" x14ac:dyDescent="0.35">
      <c r="A7847" s="500" t="s">
        <v>1102</v>
      </c>
      <c r="B7847" s="501">
        <v>4663</v>
      </c>
      <c r="C7847" s="501" t="s">
        <v>1089</v>
      </c>
      <c r="D7847" s="501" t="s">
        <v>3392</v>
      </c>
      <c r="E7847" s="501" t="s">
        <v>3381</v>
      </c>
      <c r="F7847" s="501" t="s">
        <v>912</v>
      </c>
      <c r="G7847" s="501" t="s">
        <v>913</v>
      </c>
      <c r="H7847" s="501" t="s">
        <v>9721</v>
      </c>
      <c r="I7847" s="501">
        <v>8</v>
      </c>
      <c r="J7847" s="501">
        <v>0</v>
      </c>
      <c r="K7847" s="501">
        <v>0</v>
      </c>
      <c r="L7847" s="501">
        <v>8</v>
      </c>
      <c r="M7847" s="501">
        <v>0</v>
      </c>
      <c r="N7847" s="501">
        <v>0</v>
      </c>
      <c r="O7847" s="506">
        <v>0</v>
      </c>
    </row>
    <row r="7848" spans="1:15" x14ac:dyDescent="0.35">
      <c r="A7848" s="503" t="s">
        <v>1174</v>
      </c>
      <c r="B7848" s="504">
        <v>4784</v>
      </c>
      <c r="C7848" s="504" t="s">
        <v>1089</v>
      </c>
      <c r="D7848" s="504" t="s">
        <v>3392</v>
      </c>
      <c r="E7848" s="504" t="s">
        <v>3381</v>
      </c>
      <c r="F7848" s="504" t="s">
        <v>912</v>
      </c>
      <c r="G7848" s="504" t="s">
        <v>913</v>
      </c>
      <c r="H7848" s="504" t="s">
        <v>9722</v>
      </c>
      <c r="I7848" s="504">
        <v>31</v>
      </c>
      <c r="J7848" s="504">
        <v>0</v>
      </c>
      <c r="K7848" s="504">
        <v>0</v>
      </c>
      <c r="L7848" s="504">
        <v>31</v>
      </c>
      <c r="M7848" s="504">
        <v>0</v>
      </c>
      <c r="N7848" s="504">
        <v>0</v>
      </c>
      <c r="O7848" s="505">
        <v>0</v>
      </c>
    </row>
    <row r="7849" spans="1:15" x14ac:dyDescent="0.35">
      <c r="A7849" s="500" t="s">
        <v>14208</v>
      </c>
      <c r="B7849" s="501">
        <v>4803</v>
      </c>
      <c r="C7849" s="501" t="s">
        <v>1094</v>
      </c>
      <c r="D7849" s="501" t="s">
        <v>3380</v>
      </c>
      <c r="E7849" s="501" t="s">
        <v>3381</v>
      </c>
      <c r="F7849" s="501" t="s">
        <v>912</v>
      </c>
      <c r="G7849" s="501" t="s">
        <v>913</v>
      </c>
      <c r="H7849" s="501" t="s">
        <v>15116</v>
      </c>
      <c r="I7849" s="501">
        <v>9</v>
      </c>
      <c r="J7849" s="501">
        <v>0</v>
      </c>
      <c r="K7849" s="501">
        <v>0</v>
      </c>
      <c r="L7849" s="501">
        <v>9</v>
      </c>
      <c r="M7849" s="501">
        <v>0</v>
      </c>
      <c r="N7849" s="501">
        <v>0</v>
      </c>
      <c r="O7849" s="506">
        <v>0</v>
      </c>
    </row>
    <row r="7850" spans="1:15" x14ac:dyDescent="0.35">
      <c r="A7850" s="503" t="s">
        <v>1183</v>
      </c>
      <c r="B7850" s="504" t="s">
        <v>3038</v>
      </c>
      <c r="C7850" s="504" t="s">
        <v>1094</v>
      </c>
      <c r="D7850" s="504" t="s">
        <v>3380</v>
      </c>
      <c r="E7850" s="504" t="s">
        <v>3381</v>
      </c>
      <c r="F7850" s="504" t="s">
        <v>912</v>
      </c>
      <c r="G7850" s="504" t="s">
        <v>913</v>
      </c>
      <c r="H7850" s="504" t="s">
        <v>11717</v>
      </c>
      <c r="I7850" s="504">
        <v>1574</v>
      </c>
      <c r="J7850" s="504">
        <v>737</v>
      </c>
      <c r="K7850" s="504">
        <v>0</v>
      </c>
      <c r="L7850" s="504">
        <v>166</v>
      </c>
      <c r="M7850" s="504">
        <v>66</v>
      </c>
      <c r="N7850" s="504">
        <v>0</v>
      </c>
      <c r="O7850" s="505">
        <v>605</v>
      </c>
    </row>
    <row r="7851" spans="1:15" x14ac:dyDescent="0.35">
      <c r="A7851" s="500" t="s">
        <v>1186</v>
      </c>
      <c r="B7851" s="501">
        <v>4661</v>
      </c>
      <c r="C7851" s="501" t="s">
        <v>1089</v>
      </c>
      <c r="D7851" s="501" t="s">
        <v>3392</v>
      </c>
      <c r="E7851" s="501" t="s">
        <v>3381</v>
      </c>
      <c r="F7851" s="501" t="s">
        <v>912</v>
      </c>
      <c r="G7851" s="501" t="s">
        <v>913</v>
      </c>
      <c r="H7851" s="501" t="s">
        <v>9723</v>
      </c>
      <c r="I7851" s="501">
        <v>26</v>
      </c>
      <c r="J7851" s="501">
        <v>0</v>
      </c>
      <c r="K7851" s="501">
        <v>0</v>
      </c>
      <c r="L7851" s="501">
        <v>26</v>
      </c>
      <c r="M7851" s="501">
        <v>0</v>
      </c>
      <c r="N7851" s="501">
        <v>0</v>
      </c>
      <c r="O7851" s="506">
        <v>0</v>
      </c>
    </row>
    <row r="7852" spans="1:15" x14ac:dyDescent="0.35">
      <c r="A7852" s="503" t="s">
        <v>1109</v>
      </c>
      <c r="B7852" s="504" t="s">
        <v>2959</v>
      </c>
      <c r="C7852" s="504" t="s">
        <v>1094</v>
      </c>
      <c r="D7852" s="504" t="s">
        <v>3380</v>
      </c>
      <c r="E7852" s="504" t="s">
        <v>3381</v>
      </c>
      <c r="F7852" s="504" t="s">
        <v>912</v>
      </c>
      <c r="G7852" s="504" t="s">
        <v>913</v>
      </c>
      <c r="H7852" s="504" t="s">
        <v>9724</v>
      </c>
      <c r="I7852" s="504">
        <v>80</v>
      </c>
      <c r="J7852" s="504">
        <v>12</v>
      </c>
      <c r="K7852" s="504">
        <v>0</v>
      </c>
      <c r="L7852" s="504">
        <v>0</v>
      </c>
      <c r="M7852" s="504">
        <v>68</v>
      </c>
      <c r="N7852" s="504">
        <v>0</v>
      </c>
      <c r="O7852" s="505">
        <v>0</v>
      </c>
    </row>
    <row r="7853" spans="1:15" x14ac:dyDescent="0.35">
      <c r="A7853" s="500" t="s">
        <v>1190</v>
      </c>
      <c r="B7853" s="501">
        <v>4662</v>
      </c>
      <c r="C7853" s="501" t="s">
        <v>1094</v>
      </c>
      <c r="D7853" s="501" t="s">
        <v>3380</v>
      </c>
      <c r="E7853" s="501" t="s">
        <v>3381</v>
      </c>
      <c r="F7853" s="501" t="s">
        <v>912</v>
      </c>
      <c r="G7853" s="501" t="s">
        <v>913</v>
      </c>
      <c r="H7853" s="501" t="s">
        <v>15117</v>
      </c>
      <c r="I7853" s="501">
        <v>18</v>
      </c>
      <c r="J7853" s="501">
        <v>0</v>
      </c>
      <c r="K7853" s="501">
        <v>0</v>
      </c>
      <c r="L7853" s="501">
        <v>18</v>
      </c>
      <c r="M7853" s="501">
        <v>0</v>
      </c>
      <c r="N7853" s="501">
        <v>0</v>
      </c>
      <c r="O7853" s="506">
        <v>0</v>
      </c>
    </row>
    <row r="7854" spans="1:15" x14ac:dyDescent="0.35">
      <c r="A7854" s="503" t="s">
        <v>1716</v>
      </c>
      <c r="B7854" s="504" t="s">
        <v>2960</v>
      </c>
      <c r="C7854" s="504" t="s">
        <v>1094</v>
      </c>
      <c r="D7854" s="504" t="s">
        <v>3380</v>
      </c>
      <c r="E7854" s="504" t="s">
        <v>3381</v>
      </c>
      <c r="F7854" s="504" t="s">
        <v>912</v>
      </c>
      <c r="G7854" s="504" t="s">
        <v>913</v>
      </c>
      <c r="H7854" s="504" t="s">
        <v>9725</v>
      </c>
      <c r="I7854" s="504">
        <v>59</v>
      </c>
      <c r="J7854" s="504">
        <v>1</v>
      </c>
      <c r="K7854" s="504">
        <v>0</v>
      </c>
      <c r="L7854" s="504">
        <v>0</v>
      </c>
      <c r="M7854" s="504">
        <v>55</v>
      </c>
      <c r="N7854" s="504">
        <v>0</v>
      </c>
      <c r="O7854" s="505">
        <v>3</v>
      </c>
    </row>
    <row r="7855" spans="1:15" x14ac:dyDescent="0.35">
      <c r="A7855" s="500" t="s">
        <v>11401</v>
      </c>
      <c r="B7855" s="501" t="s">
        <v>3241</v>
      </c>
      <c r="C7855" s="501" t="s">
        <v>1094</v>
      </c>
      <c r="D7855" s="501" t="s">
        <v>3380</v>
      </c>
      <c r="E7855" s="501" t="s">
        <v>3381</v>
      </c>
      <c r="F7855" s="501" t="s">
        <v>912</v>
      </c>
      <c r="G7855" s="501" t="s">
        <v>913</v>
      </c>
      <c r="H7855" s="501" t="s">
        <v>11790</v>
      </c>
      <c r="I7855" s="501">
        <v>8</v>
      </c>
      <c r="J7855" s="501">
        <v>8</v>
      </c>
      <c r="K7855" s="501">
        <v>0</v>
      </c>
      <c r="L7855" s="501">
        <v>0</v>
      </c>
      <c r="M7855" s="501">
        <v>0</v>
      </c>
      <c r="N7855" s="501">
        <v>0</v>
      </c>
      <c r="O7855" s="506">
        <v>0</v>
      </c>
    </row>
    <row r="7856" spans="1:15" x14ac:dyDescent="0.35">
      <c r="A7856" s="503" t="s">
        <v>11402</v>
      </c>
      <c r="B7856" s="504" t="s">
        <v>3344</v>
      </c>
      <c r="C7856" s="504" t="s">
        <v>1094</v>
      </c>
      <c r="D7856" s="504" t="s">
        <v>3380</v>
      </c>
      <c r="E7856" s="504" t="s">
        <v>3381</v>
      </c>
      <c r="F7856" s="504" t="s">
        <v>912</v>
      </c>
      <c r="G7856" s="504" t="s">
        <v>913</v>
      </c>
      <c r="H7856" s="504" t="s">
        <v>11798</v>
      </c>
      <c r="I7856" s="504">
        <v>39</v>
      </c>
      <c r="J7856" s="504">
        <v>0</v>
      </c>
      <c r="K7856" s="504">
        <v>0</v>
      </c>
      <c r="L7856" s="504">
        <v>5</v>
      </c>
      <c r="M7856" s="504">
        <v>34</v>
      </c>
      <c r="N7856" s="504">
        <v>0</v>
      </c>
      <c r="O7856" s="505">
        <v>0</v>
      </c>
    </row>
    <row r="7857" spans="1:15" x14ac:dyDescent="0.35">
      <c r="A7857" s="500" t="s">
        <v>1197</v>
      </c>
      <c r="B7857" s="501">
        <v>4863</v>
      </c>
      <c r="C7857" s="501" t="s">
        <v>1089</v>
      </c>
      <c r="D7857" s="501" t="s">
        <v>3392</v>
      </c>
      <c r="E7857" s="501" t="s">
        <v>3381</v>
      </c>
      <c r="F7857" s="501" t="s">
        <v>912</v>
      </c>
      <c r="G7857" s="501" t="s">
        <v>913</v>
      </c>
      <c r="H7857" s="501" t="s">
        <v>9727</v>
      </c>
      <c r="I7857" s="501">
        <v>4</v>
      </c>
      <c r="J7857" s="501">
        <v>0</v>
      </c>
      <c r="K7857" s="501">
        <v>0</v>
      </c>
      <c r="L7857" s="501">
        <v>4</v>
      </c>
      <c r="M7857" s="501">
        <v>0</v>
      </c>
      <c r="N7857" s="501">
        <v>0</v>
      </c>
      <c r="O7857" s="506">
        <v>0</v>
      </c>
    </row>
    <row r="7858" spans="1:15" x14ac:dyDescent="0.35">
      <c r="A7858" s="503" t="s">
        <v>1730</v>
      </c>
      <c r="B7858" s="504" t="s">
        <v>3351</v>
      </c>
      <c r="C7858" s="504" t="s">
        <v>1094</v>
      </c>
      <c r="D7858" s="504" t="s">
        <v>3380</v>
      </c>
      <c r="E7858" s="504" t="s">
        <v>3381</v>
      </c>
      <c r="F7858" s="504" t="s">
        <v>912</v>
      </c>
      <c r="G7858" s="504" t="s">
        <v>913</v>
      </c>
      <c r="H7858" s="504" t="s">
        <v>9728</v>
      </c>
      <c r="I7858" s="504">
        <v>10</v>
      </c>
      <c r="J7858" s="504">
        <v>10</v>
      </c>
      <c r="K7858" s="504">
        <v>0</v>
      </c>
      <c r="L7858" s="504">
        <v>0</v>
      </c>
      <c r="M7858" s="504">
        <v>0</v>
      </c>
      <c r="N7858" s="504">
        <v>0</v>
      </c>
      <c r="O7858" s="505">
        <v>0</v>
      </c>
    </row>
    <row r="7859" spans="1:15" x14ac:dyDescent="0.35">
      <c r="A7859" s="500" t="s">
        <v>1739</v>
      </c>
      <c r="B7859" s="501">
        <v>4857</v>
      </c>
      <c r="C7859" s="501" t="s">
        <v>1094</v>
      </c>
      <c r="D7859" s="501" t="s">
        <v>3380</v>
      </c>
      <c r="E7859" s="501" t="s">
        <v>3381</v>
      </c>
      <c r="F7859" s="501" t="s">
        <v>912</v>
      </c>
      <c r="G7859" s="501" t="s">
        <v>913</v>
      </c>
      <c r="H7859" s="501" t="s">
        <v>9729</v>
      </c>
      <c r="I7859" s="501">
        <v>1124</v>
      </c>
      <c r="J7859" s="501">
        <v>1080</v>
      </c>
      <c r="K7859" s="501">
        <v>0</v>
      </c>
      <c r="L7859" s="501">
        <v>4</v>
      </c>
      <c r="M7859" s="501">
        <v>0</v>
      </c>
      <c r="N7859" s="501">
        <v>0</v>
      </c>
      <c r="O7859" s="506">
        <v>40</v>
      </c>
    </row>
    <row r="7860" spans="1:15" x14ac:dyDescent="0.35">
      <c r="A7860" s="503" t="s">
        <v>1208</v>
      </c>
      <c r="B7860" s="504" t="s">
        <v>3096</v>
      </c>
      <c r="C7860" s="504" t="s">
        <v>1094</v>
      </c>
      <c r="D7860" s="504" t="s">
        <v>3380</v>
      </c>
      <c r="E7860" s="504" t="s">
        <v>3381</v>
      </c>
      <c r="F7860" s="504" t="s">
        <v>912</v>
      </c>
      <c r="G7860" s="504" t="s">
        <v>913</v>
      </c>
      <c r="H7860" s="504" t="s">
        <v>9730</v>
      </c>
      <c r="I7860" s="504">
        <v>19</v>
      </c>
      <c r="J7860" s="504">
        <v>19</v>
      </c>
      <c r="K7860" s="504">
        <v>0</v>
      </c>
      <c r="L7860" s="504">
        <v>0</v>
      </c>
      <c r="M7860" s="504">
        <v>0</v>
      </c>
      <c r="N7860" s="504">
        <v>0</v>
      </c>
      <c r="O7860" s="505">
        <v>0</v>
      </c>
    </row>
    <row r="7861" spans="1:15" x14ac:dyDescent="0.35">
      <c r="A7861" s="500" t="s">
        <v>1744</v>
      </c>
      <c r="B7861" s="501" t="s">
        <v>3245</v>
      </c>
      <c r="C7861" s="501" t="s">
        <v>1094</v>
      </c>
      <c r="D7861" s="501" t="s">
        <v>3380</v>
      </c>
      <c r="E7861" s="501" t="s">
        <v>3381</v>
      </c>
      <c r="F7861" s="501" t="s">
        <v>912</v>
      </c>
      <c r="G7861" s="501" t="s">
        <v>913</v>
      </c>
      <c r="H7861" s="501" t="s">
        <v>15118</v>
      </c>
      <c r="I7861" s="501">
        <v>848</v>
      </c>
      <c r="J7861" s="501">
        <v>459</v>
      </c>
      <c r="K7861" s="501">
        <v>0</v>
      </c>
      <c r="L7861" s="501">
        <v>92</v>
      </c>
      <c r="M7861" s="501">
        <v>168</v>
      </c>
      <c r="N7861" s="501">
        <v>4</v>
      </c>
      <c r="O7861" s="506">
        <v>129</v>
      </c>
    </row>
    <row r="7862" spans="1:15" x14ac:dyDescent="0.35">
      <c r="A7862" s="503" t="s">
        <v>1223</v>
      </c>
      <c r="B7862" s="504">
        <v>4768</v>
      </c>
      <c r="C7862" s="504" t="s">
        <v>1089</v>
      </c>
      <c r="D7862" s="504" t="s">
        <v>3392</v>
      </c>
      <c r="E7862" s="504" t="s">
        <v>3381</v>
      </c>
      <c r="F7862" s="504" t="s">
        <v>912</v>
      </c>
      <c r="G7862" s="504" t="s">
        <v>913</v>
      </c>
      <c r="H7862" s="504" t="s">
        <v>11974</v>
      </c>
      <c r="I7862" s="504">
        <v>17</v>
      </c>
      <c r="J7862" s="504">
        <v>0</v>
      </c>
      <c r="K7862" s="504">
        <v>0</v>
      </c>
      <c r="L7862" s="504">
        <v>17</v>
      </c>
      <c r="M7862" s="504">
        <v>0</v>
      </c>
      <c r="N7862" s="504">
        <v>0</v>
      </c>
      <c r="O7862" s="505">
        <v>0</v>
      </c>
    </row>
    <row r="7863" spans="1:15" x14ac:dyDescent="0.35">
      <c r="A7863" s="500" t="s">
        <v>1122</v>
      </c>
      <c r="B7863" s="501" t="s">
        <v>2994</v>
      </c>
      <c r="C7863" s="501" t="s">
        <v>1094</v>
      </c>
      <c r="D7863" s="501" t="s">
        <v>3380</v>
      </c>
      <c r="E7863" s="501" t="s">
        <v>3381</v>
      </c>
      <c r="F7863" s="501" t="s">
        <v>912</v>
      </c>
      <c r="G7863" s="501" t="s">
        <v>913</v>
      </c>
      <c r="H7863" s="501" t="s">
        <v>9731</v>
      </c>
      <c r="I7863" s="501">
        <v>3</v>
      </c>
      <c r="J7863" s="501">
        <v>0</v>
      </c>
      <c r="K7863" s="501">
        <v>0</v>
      </c>
      <c r="L7863" s="501">
        <v>0</v>
      </c>
      <c r="M7863" s="501">
        <v>0</v>
      </c>
      <c r="N7863" s="501">
        <v>0</v>
      </c>
      <c r="O7863" s="506">
        <v>3</v>
      </c>
    </row>
    <row r="7864" spans="1:15" x14ac:dyDescent="0.35">
      <c r="A7864" s="503" t="s">
        <v>1225</v>
      </c>
      <c r="B7864" s="504" t="s">
        <v>3315</v>
      </c>
      <c r="C7864" s="504" t="s">
        <v>1094</v>
      </c>
      <c r="D7864" s="504" t="s">
        <v>3380</v>
      </c>
      <c r="E7864" s="504" t="s">
        <v>3381</v>
      </c>
      <c r="F7864" s="504" t="s">
        <v>912</v>
      </c>
      <c r="G7864" s="504" t="s">
        <v>913</v>
      </c>
      <c r="H7864" s="504" t="s">
        <v>9732</v>
      </c>
      <c r="I7864" s="504">
        <v>31</v>
      </c>
      <c r="J7864" s="504">
        <v>0</v>
      </c>
      <c r="K7864" s="504">
        <v>0</v>
      </c>
      <c r="L7864" s="504">
        <v>31</v>
      </c>
      <c r="M7864" s="504">
        <v>0</v>
      </c>
      <c r="N7864" s="504">
        <v>0</v>
      </c>
      <c r="O7864" s="505">
        <v>0</v>
      </c>
    </row>
    <row r="7865" spans="1:15" x14ac:dyDescent="0.35">
      <c r="A7865" s="500" t="s">
        <v>1228</v>
      </c>
      <c r="B7865" s="501" t="s">
        <v>3321</v>
      </c>
      <c r="C7865" s="501" t="s">
        <v>1094</v>
      </c>
      <c r="D7865" s="501" t="s">
        <v>3380</v>
      </c>
      <c r="E7865" s="501" t="s">
        <v>3381</v>
      </c>
      <c r="F7865" s="501" t="s">
        <v>912</v>
      </c>
      <c r="G7865" s="501" t="s">
        <v>913</v>
      </c>
      <c r="H7865" s="501" t="s">
        <v>9733</v>
      </c>
      <c r="I7865" s="501">
        <v>20</v>
      </c>
      <c r="J7865" s="501">
        <v>0</v>
      </c>
      <c r="K7865" s="501">
        <v>0</v>
      </c>
      <c r="L7865" s="501">
        <v>20</v>
      </c>
      <c r="M7865" s="501">
        <v>0</v>
      </c>
      <c r="N7865" s="501">
        <v>0</v>
      </c>
      <c r="O7865" s="506">
        <v>0</v>
      </c>
    </row>
    <row r="7866" spans="1:15" x14ac:dyDescent="0.35">
      <c r="A7866" s="503" t="s">
        <v>1233</v>
      </c>
      <c r="B7866" s="504">
        <v>4636</v>
      </c>
      <c r="C7866" s="504" t="s">
        <v>1094</v>
      </c>
      <c r="D7866" s="504" t="s">
        <v>3380</v>
      </c>
      <c r="E7866" s="504" t="s">
        <v>3381</v>
      </c>
      <c r="F7866" s="504" t="s">
        <v>912</v>
      </c>
      <c r="G7866" s="504" t="s">
        <v>913</v>
      </c>
      <c r="H7866" s="504" t="s">
        <v>9734</v>
      </c>
      <c r="I7866" s="504">
        <v>16</v>
      </c>
      <c r="J7866" s="504">
        <v>0</v>
      </c>
      <c r="K7866" s="504">
        <v>0</v>
      </c>
      <c r="L7866" s="504">
        <v>0</v>
      </c>
      <c r="M7866" s="504">
        <v>0</v>
      </c>
      <c r="N7866" s="504">
        <v>0</v>
      </c>
      <c r="O7866" s="505">
        <v>16</v>
      </c>
    </row>
    <row r="7867" spans="1:15" x14ac:dyDescent="0.35">
      <c r="A7867" s="500" t="s">
        <v>11368</v>
      </c>
      <c r="B7867" s="501">
        <v>5083</v>
      </c>
      <c r="C7867" s="501" t="s">
        <v>1094</v>
      </c>
      <c r="D7867" s="501" t="s">
        <v>3380</v>
      </c>
      <c r="E7867" s="501" t="s">
        <v>3381</v>
      </c>
      <c r="F7867" s="501" t="s">
        <v>912</v>
      </c>
      <c r="G7867" s="501" t="s">
        <v>913</v>
      </c>
      <c r="H7867" s="501" t="s">
        <v>12080</v>
      </c>
      <c r="I7867" s="501">
        <v>12</v>
      </c>
      <c r="J7867" s="501">
        <v>12</v>
      </c>
      <c r="K7867" s="501">
        <v>0</v>
      </c>
      <c r="L7867" s="501">
        <v>0</v>
      </c>
      <c r="M7867" s="501">
        <v>0</v>
      </c>
      <c r="N7867" s="501">
        <v>0</v>
      </c>
      <c r="O7867" s="506">
        <v>0</v>
      </c>
    </row>
    <row r="7868" spans="1:15" x14ac:dyDescent="0.35">
      <c r="A7868" s="503" t="s">
        <v>1768</v>
      </c>
      <c r="B7868" s="504">
        <v>4619</v>
      </c>
      <c r="C7868" s="504" t="s">
        <v>1089</v>
      </c>
      <c r="D7868" s="504" t="s">
        <v>3392</v>
      </c>
      <c r="E7868" s="504" t="s">
        <v>3381</v>
      </c>
      <c r="F7868" s="504" t="s">
        <v>912</v>
      </c>
      <c r="G7868" s="504" t="s">
        <v>913</v>
      </c>
      <c r="H7868" s="504" t="s">
        <v>9735</v>
      </c>
      <c r="I7868" s="504">
        <v>487</v>
      </c>
      <c r="J7868" s="504">
        <v>476</v>
      </c>
      <c r="K7868" s="504">
        <v>0</v>
      </c>
      <c r="L7868" s="504">
        <v>11</v>
      </c>
      <c r="M7868" s="504">
        <v>0</v>
      </c>
      <c r="N7868" s="504">
        <v>0</v>
      </c>
      <c r="O7868" s="505">
        <v>0</v>
      </c>
    </row>
    <row r="7869" spans="1:15" x14ac:dyDescent="0.35">
      <c r="A7869" s="500" t="s">
        <v>1245</v>
      </c>
      <c r="B7869" s="501" t="s">
        <v>2859</v>
      </c>
      <c r="C7869" s="501" t="s">
        <v>1094</v>
      </c>
      <c r="D7869" s="501" t="s">
        <v>3380</v>
      </c>
      <c r="E7869" s="501" t="s">
        <v>3381</v>
      </c>
      <c r="F7869" s="501" t="s">
        <v>912</v>
      </c>
      <c r="G7869" s="501" t="s">
        <v>913</v>
      </c>
      <c r="H7869" s="501" t="s">
        <v>9736</v>
      </c>
      <c r="I7869" s="501">
        <v>21</v>
      </c>
      <c r="J7869" s="501">
        <v>0</v>
      </c>
      <c r="K7869" s="501">
        <v>0</v>
      </c>
      <c r="L7869" s="501">
        <v>0</v>
      </c>
      <c r="M7869" s="501">
        <v>21</v>
      </c>
      <c r="N7869" s="501">
        <v>0</v>
      </c>
      <c r="O7869" s="506">
        <v>0</v>
      </c>
    </row>
    <row r="7870" spans="1:15" x14ac:dyDescent="0.35">
      <c r="A7870" s="503" t="s">
        <v>1249</v>
      </c>
      <c r="B7870" s="504">
        <v>4729</v>
      </c>
      <c r="C7870" s="504" t="s">
        <v>1094</v>
      </c>
      <c r="D7870" s="504" t="s">
        <v>3380</v>
      </c>
      <c r="E7870" s="504" t="s">
        <v>3381</v>
      </c>
      <c r="F7870" s="504" t="s">
        <v>912</v>
      </c>
      <c r="G7870" s="504" t="s">
        <v>913</v>
      </c>
      <c r="H7870" s="504" t="s">
        <v>9737</v>
      </c>
      <c r="I7870" s="504">
        <v>1240</v>
      </c>
      <c r="J7870" s="504">
        <v>866</v>
      </c>
      <c r="K7870" s="504">
        <v>0</v>
      </c>
      <c r="L7870" s="504">
        <v>11</v>
      </c>
      <c r="M7870" s="504">
        <v>217</v>
      </c>
      <c r="N7870" s="504">
        <v>0</v>
      </c>
      <c r="O7870" s="505">
        <v>146</v>
      </c>
    </row>
    <row r="7871" spans="1:15" x14ac:dyDescent="0.35">
      <c r="A7871" s="500" t="s">
        <v>1253</v>
      </c>
      <c r="B7871" s="501" t="s">
        <v>3232</v>
      </c>
      <c r="C7871" s="501" t="s">
        <v>1094</v>
      </c>
      <c r="D7871" s="501" t="s">
        <v>3380</v>
      </c>
      <c r="E7871" s="501" t="s">
        <v>3381</v>
      </c>
      <c r="F7871" s="501" t="s">
        <v>912</v>
      </c>
      <c r="G7871" s="501" t="s">
        <v>913</v>
      </c>
      <c r="H7871" s="501" t="s">
        <v>9738</v>
      </c>
      <c r="I7871" s="501">
        <v>38</v>
      </c>
      <c r="J7871" s="501">
        <v>0</v>
      </c>
      <c r="K7871" s="501">
        <v>0</v>
      </c>
      <c r="L7871" s="501">
        <v>0</v>
      </c>
      <c r="M7871" s="501">
        <v>38</v>
      </c>
      <c r="N7871" s="501">
        <v>0</v>
      </c>
      <c r="O7871" s="506">
        <v>0</v>
      </c>
    </row>
    <row r="7872" spans="1:15" x14ac:dyDescent="0.35">
      <c r="A7872" s="503" t="s">
        <v>1780</v>
      </c>
      <c r="B7872" s="504" t="s">
        <v>3192</v>
      </c>
      <c r="C7872" s="504" t="s">
        <v>1094</v>
      </c>
      <c r="D7872" s="504" t="s">
        <v>3380</v>
      </c>
      <c r="E7872" s="504" t="s">
        <v>3381</v>
      </c>
      <c r="F7872" s="504" t="s">
        <v>912</v>
      </c>
      <c r="G7872" s="504" t="s">
        <v>913</v>
      </c>
      <c r="H7872" s="504" t="s">
        <v>9739</v>
      </c>
      <c r="I7872" s="504">
        <v>11</v>
      </c>
      <c r="J7872" s="504">
        <v>11</v>
      </c>
      <c r="K7872" s="504">
        <v>0</v>
      </c>
      <c r="L7872" s="504">
        <v>0</v>
      </c>
      <c r="M7872" s="504">
        <v>0</v>
      </c>
      <c r="N7872" s="504">
        <v>0</v>
      </c>
      <c r="O7872" s="505">
        <v>0</v>
      </c>
    </row>
    <row r="7873" spans="1:15" x14ac:dyDescent="0.35">
      <c r="A7873" s="500" t="s">
        <v>1266</v>
      </c>
      <c r="B7873" s="501" t="s">
        <v>3071</v>
      </c>
      <c r="C7873" s="501" t="s">
        <v>1094</v>
      </c>
      <c r="D7873" s="501" t="s">
        <v>3380</v>
      </c>
      <c r="E7873" s="501" t="s">
        <v>3381</v>
      </c>
      <c r="F7873" s="501" t="s">
        <v>912</v>
      </c>
      <c r="G7873" s="501" t="s">
        <v>913</v>
      </c>
      <c r="H7873" s="501" t="s">
        <v>9740</v>
      </c>
      <c r="I7873" s="501">
        <v>1013</v>
      </c>
      <c r="J7873" s="501">
        <v>813</v>
      </c>
      <c r="K7873" s="501">
        <v>0</v>
      </c>
      <c r="L7873" s="501">
        <v>28</v>
      </c>
      <c r="M7873" s="501">
        <v>88</v>
      </c>
      <c r="N7873" s="501">
        <v>0</v>
      </c>
      <c r="O7873" s="506">
        <v>84</v>
      </c>
    </row>
    <row r="7874" spans="1:15" x14ac:dyDescent="0.35">
      <c r="A7874" s="503" t="s">
        <v>1143</v>
      </c>
      <c r="B7874" s="504" t="s">
        <v>3281</v>
      </c>
      <c r="C7874" s="504" t="s">
        <v>1094</v>
      </c>
      <c r="D7874" s="504" t="s">
        <v>3380</v>
      </c>
      <c r="E7874" s="504" t="s">
        <v>3381</v>
      </c>
      <c r="F7874" s="504" t="s">
        <v>914</v>
      </c>
      <c r="G7874" s="504" t="s">
        <v>915</v>
      </c>
      <c r="H7874" s="504" t="s">
        <v>9741</v>
      </c>
      <c r="I7874" s="504">
        <v>688</v>
      </c>
      <c r="J7874" s="504">
        <v>524</v>
      </c>
      <c r="K7874" s="504">
        <v>0</v>
      </c>
      <c r="L7874" s="504">
        <v>0</v>
      </c>
      <c r="M7874" s="504">
        <v>161</v>
      </c>
      <c r="N7874" s="504">
        <v>2</v>
      </c>
      <c r="O7874" s="505">
        <v>3</v>
      </c>
    </row>
    <row r="7875" spans="1:15" x14ac:dyDescent="0.35">
      <c r="A7875" s="500" t="s">
        <v>1096</v>
      </c>
      <c r="B7875" s="501" t="s">
        <v>3326</v>
      </c>
      <c r="C7875" s="501" t="s">
        <v>1094</v>
      </c>
      <c r="D7875" s="501" t="s">
        <v>3380</v>
      </c>
      <c r="E7875" s="501" t="s">
        <v>3381</v>
      </c>
      <c r="F7875" s="501" t="s">
        <v>914</v>
      </c>
      <c r="G7875" s="501" t="s">
        <v>915</v>
      </c>
      <c r="H7875" s="501" t="s">
        <v>9742</v>
      </c>
      <c r="I7875" s="501">
        <v>227</v>
      </c>
      <c r="J7875" s="501">
        <v>0</v>
      </c>
      <c r="K7875" s="501">
        <v>0</v>
      </c>
      <c r="L7875" s="501">
        <v>0</v>
      </c>
      <c r="M7875" s="501">
        <v>227</v>
      </c>
      <c r="N7875" s="501">
        <v>0</v>
      </c>
      <c r="O7875" s="506">
        <v>0</v>
      </c>
    </row>
    <row r="7876" spans="1:15" x14ac:dyDescent="0.35">
      <c r="A7876" s="503" t="s">
        <v>1151</v>
      </c>
      <c r="B7876" s="504">
        <v>4726</v>
      </c>
      <c r="C7876" s="504" t="s">
        <v>1089</v>
      </c>
      <c r="D7876" s="504" t="s">
        <v>3392</v>
      </c>
      <c r="E7876" s="504" t="s">
        <v>3381</v>
      </c>
      <c r="F7876" s="504" t="s">
        <v>914</v>
      </c>
      <c r="G7876" s="504" t="s">
        <v>915</v>
      </c>
      <c r="H7876" s="504" t="s">
        <v>9743</v>
      </c>
      <c r="I7876" s="504">
        <v>1</v>
      </c>
      <c r="J7876" s="504">
        <v>1</v>
      </c>
      <c r="K7876" s="504">
        <v>0</v>
      </c>
      <c r="L7876" s="504">
        <v>0</v>
      </c>
      <c r="M7876" s="504">
        <v>0</v>
      </c>
      <c r="N7876" s="504">
        <v>0</v>
      </c>
      <c r="O7876" s="505">
        <v>0</v>
      </c>
    </row>
    <row r="7877" spans="1:15" x14ac:dyDescent="0.35">
      <c r="A7877" s="500" t="s">
        <v>1615</v>
      </c>
      <c r="B7877" s="501">
        <v>5071</v>
      </c>
      <c r="C7877" s="501" t="s">
        <v>1094</v>
      </c>
      <c r="D7877" s="501" t="s">
        <v>3380</v>
      </c>
      <c r="E7877" s="501" t="s">
        <v>3381</v>
      </c>
      <c r="F7877" s="501" t="s">
        <v>914</v>
      </c>
      <c r="G7877" s="501" t="s">
        <v>915</v>
      </c>
      <c r="H7877" s="501" t="s">
        <v>9744</v>
      </c>
      <c r="I7877" s="501">
        <v>32</v>
      </c>
      <c r="J7877" s="501">
        <v>32</v>
      </c>
      <c r="K7877" s="501">
        <v>0</v>
      </c>
      <c r="L7877" s="501">
        <v>0</v>
      </c>
      <c r="M7877" s="501">
        <v>0</v>
      </c>
      <c r="N7877" s="501">
        <v>0</v>
      </c>
      <c r="O7877" s="506">
        <v>0</v>
      </c>
    </row>
    <row r="7878" spans="1:15" x14ac:dyDescent="0.35">
      <c r="A7878" s="503" t="s">
        <v>1617</v>
      </c>
      <c r="B7878" s="504">
        <v>4868</v>
      </c>
      <c r="C7878" s="504" t="s">
        <v>1094</v>
      </c>
      <c r="D7878" s="504" t="s">
        <v>3380</v>
      </c>
      <c r="E7878" s="504" t="s">
        <v>3381</v>
      </c>
      <c r="F7878" s="504" t="s">
        <v>914</v>
      </c>
      <c r="G7878" s="504" t="s">
        <v>915</v>
      </c>
      <c r="H7878" s="504" t="s">
        <v>9745</v>
      </c>
      <c r="I7878" s="504">
        <v>8</v>
      </c>
      <c r="J7878" s="504">
        <v>1</v>
      </c>
      <c r="K7878" s="504">
        <v>0</v>
      </c>
      <c r="L7878" s="504">
        <v>7</v>
      </c>
      <c r="M7878" s="504">
        <v>0</v>
      </c>
      <c r="N7878" s="504">
        <v>0</v>
      </c>
      <c r="O7878" s="505">
        <v>0</v>
      </c>
    </row>
    <row r="7879" spans="1:15" x14ac:dyDescent="0.35">
      <c r="A7879" s="500" t="s">
        <v>1618</v>
      </c>
      <c r="B7879" s="501" t="s">
        <v>3355</v>
      </c>
      <c r="C7879" s="501" t="s">
        <v>1094</v>
      </c>
      <c r="D7879" s="501" t="s">
        <v>3380</v>
      </c>
      <c r="E7879" s="501" t="s">
        <v>3381</v>
      </c>
      <c r="F7879" s="501" t="s">
        <v>914</v>
      </c>
      <c r="G7879" s="501" t="s">
        <v>915</v>
      </c>
      <c r="H7879" s="501" t="s">
        <v>9746</v>
      </c>
      <c r="I7879" s="501">
        <v>108</v>
      </c>
      <c r="J7879" s="501">
        <v>93</v>
      </c>
      <c r="K7879" s="501">
        <v>0</v>
      </c>
      <c r="L7879" s="501">
        <v>0</v>
      </c>
      <c r="M7879" s="501">
        <v>0</v>
      </c>
      <c r="N7879" s="501">
        <v>0</v>
      </c>
      <c r="O7879" s="506">
        <v>15</v>
      </c>
    </row>
    <row r="7880" spans="1:15" x14ac:dyDescent="0.35">
      <c r="A7880" s="503" t="s">
        <v>1160</v>
      </c>
      <c r="B7880" s="504">
        <v>4672</v>
      </c>
      <c r="C7880" s="504" t="s">
        <v>1089</v>
      </c>
      <c r="D7880" s="504" t="s">
        <v>3392</v>
      </c>
      <c r="E7880" s="504" t="s">
        <v>3381</v>
      </c>
      <c r="F7880" s="504" t="s">
        <v>914</v>
      </c>
      <c r="G7880" s="504" t="s">
        <v>915</v>
      </c>
      <c r="H7880" s="504" t="s">
        <v>11637</v>
      </c>
      <c r="I7880" s="504">
        <v>23</v>
      </c>
      <c r="J7880" s="504">
        <v>0</v>
      </c>
      <c r="K7880" s="504">
        <v>0</v>
      </c>
      <c r="L7880" s="504">
        <v>23</v>
      </c>
      <c r="M7880" s="504">
        <v>0</v>
      </c>
      <c r="N7880" s="504">
        <v>0</v>
      </c>
      <c r="O7880" s="505">
        <v>0</v>
      </c>
    </row>
    <row r="7881" spans="1:15" x14ac:dyDescent="0.35">
      <c r="A7881" s="500" t="s">
        <v>1167</v>
      </c>
      <c r="B7881" s="501">
        <v>4689</v>
      </c>
      <c r="C7881" s="501" t="s">
        <v>1089</v>
      </c>
      <c r="D7881" s="501" t="s">
        <v>3392</v>
      </c>
      <c r="E7881" s="501" t="s">
        <v>3381</v>
      </c>
      <c r="F7881" s="501" t="s">
        <v>914</v>
      </c>
      <c r="G7881" s="501" t="s">
        <v>915</v>
      </c>
      <c r="H7881" s="501" t="s">
        <v>9747</v>
      </c>
      <c r="I7881" s="501">
        <v>18</v>
      </c>
      <c r="J7881" s="501">
        <v>0</v>
      </c>
      <c r="K7881" s="501">
        <v>0</v>
      </c>
      <c r="L7881" s="501">
        <v>18</v>
      </c>
      <c r="M7881" s="501">
        <v>0</v>
      </c>
      <c r="N7881" s="501">
        <v>0</v>
      </c>
      <c r="O7881" s="506">
        <v>0</v>
      </c>
    </row>
    <row r="7882" spans="1:15" x14ac:dyDescent="0.35">
      <c r="A7882" s="503" t="s">
        <v>1172</v>
      </c>
      <c r="B7882" s="504">
        <v>4648</v>
      </c>
      <c r="C7882" s="504" t="s">
        <v>1089</v>
      </c>
      <c r="D7882" s="504" t="s">
        <v>3392</v>
      </c>
      <c r="E7882" s="504" t="s">
        <v>3381</v>
      </c>
      <c r="F7882" s="504" t="s">
        <v>914</v>
      </c>
      <c r="G7882" s="504" t="s">
        <v>915</v>
      </c>
      <c r="H7882" s="504" t="s">
        <v>9748</v>
      </c>
      <c r="I7882" s="504">
        <v>4</v>
      </c>
      <c r="J7882" s="504">
        <v>0</v>
      </c>
      <c r="K7882" s="504">
        <v>0</v>
      </c>
      <c r="L7882" s="504">
        <v>4</v>
      </c>
      <c r="M7882" s="504">
        <v>0</v>
      </c>
      <c r="N7882" s="504">
        <v>0</v>
      </c>
      <c r="O7882" s="505">
        <v>0</v>
      </c>
    </row>
    <row r="7883" spans="1:15" x14ac:dyDescent="0.35">
      <c r="A7883" s="500" t="s">
        <v>1185</v>
      </c>
      <c r="B7883" s="501" t="s">
        <v>3253</v>
      </c>
      <c r="C7883" s="501" t="s">
        <v>1094</v>
      </c>
      <c r="D7883" s="501" t="s">
        <v>3380</v>
      </c>
      <c r="E7883" s="501" t="s">
        <v>3381</v>
      </c>
      <c r="F7883" s="501" t="s">
        <v>914</v>
      </c>
      <c r="G7883" s="501" t="s">
        <v>915</v>
      </c>
      <c r="H7883" s="501" t="s">
        <v>9749</v>
      </c>
      <c r="I7883" s="501">
        <v>130</v>
      </c>
      <c r="J7883" s="501">
        <v>86</v>
      </c>
      <c r="K7883" s="501">
        <v>0</v>
      </c>
      <c r="L7883" s="501">
        <v>36</v>
      </c>
      <c r="M7883" s="501">
        <v>8</v>
      </c>
      <c r="N7883" s="501">
        <v>0</v>
      </c>
      <c r="O7883" s="506">
        <v>0</v>
      </c>
    </row>
    <row r="7884" spans="1:15" x14ac:dyDescent="0.35">
      <c r="A7884" s="503" t="s">
        <v>1630</v>
      </c>
      <c r="B7884" s="504">
        <v>4744</v>
      </c>
      <c r="C7884" s="504" t="s">
        <v>1089</v>
      </c>
      <c r="D7884" s="504" t="s">
        <v>3392</v>
      </c>
      <c r="E7884" s="504" t="s">
        <v>3381</v>
      </c>
      <c r="F7884" s="504" t="s">
        <v>914</v>
      </c>
      <c r="G7884" s="504" t="s">
        <v>915</v>
      </c>
      <c r="H7884" s="504" t="s">
        <v>9750</v>
      </c>
      <c r="I7884" s="504">
        <v>155</v>
      </c>
      <c r="J7884" s="504">
        <v>155</v>
      </c>
      <c r="K7884" s="504">
        <v>0</v>
      </c>
      <c r="L7884" s="504">
        <v>0</v>
      </c>
      <c r="M7884" s="504">
        <v>0</v>
      </c>
      <c r="N7884" s="504">
        <v>0</v>
      </c>
      <c r="O7884" s="505">
        <v>0</v>
      </c>
    </row>
    <row r="7885" spans="1:15" x14ac:dyDescent="0.35">
      <c r="A7885" s="500" t="s">
        <v>1105</v>
      </c>
      <c r="B7885" s="501">
        <v>4668</v>
      </c>
      <c r="C7885" s="501" t="s">
        <v>1094</v>
      </c>
      <c r="D7885" s="501" t="s">
        <v>3380</v>
      </c>
      <c r="E7885" s="501" t="s">
        <v>3381</v>
      </c>
      <c r="F7885" s="501" t="s">
        <v>914</v>
      </c>
      <c r="G7885" s="501" t="s">
        <v>915</v>
      </c>
      <c r="H7885" s="501" t="s">
        <v>9751</v>
      </c>
      <c r="I7885" s="501">
        <v>37</v>
      </c>
      <c r="J7885" s="501">
        <v>0</v>
      </c>
      <c r="K7885" s="501">
        <v>0</v>
      </c>
      <c r="L7885" s="501">
        <v>0</v>
      </c>
      <c r="M7885" s="501">
        <v>0</v>
      </c>
      <c r="N7885" s="501">
        <v>0</v>
      </c>
      <c r="O7885" s="506">
        <v>37</v>
      </c>
    </row>
    <row r="7886" spans="1:15" x14ac:dyDescent="0.35">
      <c r="A7886" s="503" t="s">
        <v>1107</v>
      </c>
      <c r="B7886" s="504" t="s">
        <v>3109</v>
      </c>
      <c r="C7886" s="504" t="s">
        <v>1094</v>
      </c>
      <c r="D7886" s="504" t="s">
        <v>3380</v>
      </c>
      <c r="E7886" s="504" t="s">
        <v>3381</v>
      </c>
      <c r="F7886" s="504" t="s">
        <v>914</v>
      </c>
      <c r="G7886" s="504" t="s">
        <v>915</v>
      </c>
      <c r="H7886" s="504" t="s">
        <v>9752</v>
      </c>
      <c r="I7886" s="504">
        <v>197</v>
      </c>
      <c r="J7886" s="504">
        <v>128</v>
      </c>
      <c r="K7886" s="504">
        <v>0</v>
      </c>
      <c r="L7886" s="504">
        <v>0</v>
      </c>
      <c r="M7886" s="504">
        <v>42</v>
      </c>
      <c r="N7886" s="504">
        <v>0</v>
      </c>
      <c r="O7886" s="505">
        <v>27</v>
      </c>
    </row>
    <row r="7887" spans="1:15" x14ac:dyDescent="0.35">
      <c r="A7887" s="500" t="s">
        <v>1109</v>
      </c>
      <c r="B7887" s="501" t="s">
        <v>2959</v>
      </c>
      <c r="C7887" s="501" t="s">
        <v>1094</v>
      </c>
      <c r="D7887" s="501" t="s">
        <v>3380</v>
      </c>
      <c r="E7887" s="501" t="s">
        <v>3381</v>
      </c>
      <c r="F7887" s="501" t="s">
        <v>914</v>
      </c>
      <c r="G7887" s="501" t="s">
        <v>915</v>
      </c>
      <c r="H7887" s="501" t="s">
        <v>9753</v>
      </c>
      <c r="I7887" s="501">
        <v>37</v>
      </c>
      <c r="J7887" s="501">
        <v>0</v>
      </c>
      <c r="K7887" s="501">
        <v>0</v>
      </c>
      <c r="L7887" s="501">
        <v>0</v>
      </c>
      <c r="M7887" s="501">
        <v>37</v>
      </c>
      <c r="N7887" s="501">
        <v>0</v>
      </c>
      <c r="O7887" s="506">
        <v>0</v>
      </c>
    </row>
    <row r="7888" spans="1:15" x14ac:dyDescent="0.35">
      <c r="A7888" s="503" t="s">
        <v>1639</v>
      </c>
      <c r="B7888" s="504">
        <v>4846</v>
      </c>
      <c r="C7888" s="504" t="s">
        <v>1094</v>
      </c>
      <c r="D7888" s="504" t="s">
        <v>3380</v>
      </c>
      <c r="E7888" s="504" t="s">
        <v>3381</v>
      </c>
      <c r="F7888" s="504" t="s">
        <v>914</v>
      </c>
      <c r="G7888" s="504" t="s">
        <v>915</v>
      </c>
      <c r="H7888" s="504" t="s">
        <v>9754</v>
      </c>
      <c r="I7888" s="504">
        <v>325</v>
      </c>
      <c r="J7888" s="504">
        <v>291</v>
      </c>
      <c r="K7888" s="504">
        <v>0</v>
      </c>
      <c r="L7888" s="504">
        <v>0</v>
      </c>
      <c r="M7888" s="504">
        <v>0</v>
      </c>
      <c r="N7888" s="504">
        <v>0</v>
      </c>
      <c r="O7888" s="505">
        <v>34</v>
      </c>
    </row>
    <row r="7889" spans="1:15" x14ac:dyDescent="0.35">
      <c r="A7889" s="500" t="s">
        <v>1642</v>
      </c>
      <c r="B7889" s="501" t="s">
        <v>3225</v>
      </c>
      <c r="C7889" s="501" t="s">
        <v>1094</v>
      </c>
      <c r="D7889" s="501" t="s">
        <v>3380</v>
      </c>
      <c r="E7889" s="501" t="s">
        <v>3381</v>
      </c>
      <c r="F7889" s="501" t="s">
        <v>914</v>
      </c>
      <c r="G7889" s="501" t="s">
        <v>915</v>
      </c>
      <c r="H7889" s="501" t="s">
        <v>9755</v>
      </c>
      <c r="I7889" s="501">
        <v>17</v>
      </c>
      <c r="J7889" s="501">
        <v>16</v>
      </c>
      <c r="K7889" s="501">
        <v>0</v>
      </c>
      <c r="L7889" s="501">
        <v>0</v>
      </c>
      <c r="M7889" s="501">
        <v>0</v>
      </c>
      <c r="N7889" s="501">
        <v>0</v>
      </c>
      <c r="O7889" s="506">
        <v>1</v>
      </c>
    </row>
    <row r="7890" spans="1:15" x14ac:dyDescent="0.35">
      <c r="A7890" s="503" t="s">
        <v>1209</v>
      </c>
      <c r="B7890" s="504">
        <v>4779</v>
      </c>
      <c r="C7890" s="504" t="s">
        <v>1094</v>
      </c>
      <c r="D7890" s="504" t="s">
        <v>3380</v>
      </c>
      <c r="E7890" s="504" t="s">
        <v>3381</v>
      </c>
      <c r="F7890" s="504" t="s">
        <v>914</v>
      </c>
      <c r="G7890" s="504" t="s">
        <v>915</v>
      </c>
      <c r="H7890" s="504" t="s">
        <v>9756</v>
      </c>
      <c r="I7890" s="504">
        <v>51</v>
      </c>
      <c r="J7890" s="504">
        <v>0</v>
      </c>
      <c r="K7890" s="504">
        <v>0</v>
      </c>
      <c r="L7890" s="504">
        <v>51</v>
      </c>
      <c r="M7890" s="504">
        <v>0</v>
      </c>
      <c r="N7890" s="504">
        <v>0</v>
      </c>
      <c r="O7890" s="505">
        <v>0</v>
      </c>
    </row>
    <row r="7891" spans="1:15" x14ac:dyDescent="0.35">
      <c r="A7891" s="500" t="s">
        <v>1644</v>
      </c>
      <c r="B7891" s="501">
        <v>4763</v>
      </c>
      <c r="C7891" s="501" t="s">
        <v>1089</v>
      </c>
      <c r="D7891" s="501" t="s">
        <v>3392</v>
      </c>
      <c r="E7891" s="501" t="s">
        <v>3381</v>
      </c>
      <c r="F7891" s="501" t="s">
        <v>914</v>
      </c>
      <c r="G7891" s="501" t="s">
        <v>915</v>
      </c>
      <c r="H7891" s="501" t="s">
        <v>9757</v>
      </c>
      <c r="I7891" s="501">
        <v>40</v>
      </c>
      <c r="J7891" s="501">
        <v>0</v>
      </c>
      <c r="K7891" s="501">
        <v>0</v>
      </c>
      <c r="L7891" s="501">
        <v>20</v>
      </c>
      <c r="M7891" s="501">
        <v>20</v>
      </c>
      <c r="N7891" s="501">
        <v>0</v>
      </c>
      <c r="O7891" s="506">
        <v>0</v>
      </c>
    </row>
    <row r="7892" spans="1:15" x14ac:dyDescent="0.35">
      <c r="A7892" s="503" t="s">
        <v>1645</v>
      </c>
      <c r="B7892" s="504" t="s">
        <v>3239</v>
      </c>
      <c r="C7892" s="504" t="s">
        <v>1094</v>
      </c>
      <c r="D7892" s="504" t="s">
        <v>3380</v>
      </c>
      <c r="E7892" s="504" t="s">
        <v>3381</v>
      </c>
      <c r="F7892" s="504" t="s">
        <v>914</v>
      </c>
      <c r="G7892" s="504" t="s">
        <v>915</v>
      </c>
      <c r="H7892" s="504" t="s">
        <v>9758</v>
      </c>
      <c r="I7892" s="504">
        <v>755</v>
      </c>
      <c r="J7892" s="504">
        <v>559</v>
      </c>
      <c r="K7892" s="504">
        <v>0</v>
      </c>
      <c r="L7892" s="504">
        <v>91</v>
      </c>
      <c r="M7892" s="504">
        <v>102</v>
      </c>
      <c r="N7892" s="504">
        <v>0</v>
      </c>
      <c r="O7892" s="505">
        <v>3</v>
      </c>
    </row>
    <row r="7893" spans="1:15" x14ac:dyDescent="0.35">
      <c r="A7893" s="500" t="s">
        <v>1122</v>
      </c>
      <c r="B7893" s="501" t="s">
        <v>2994</v>
      </c>
      <c r="C7893" s="501" t="s">
        <v>1094</v>
      </c>
      <c r="D7893" s="501" t="s">
        <v>3380</v>
      </c>
      <c r="E7893" s="501" t="s">
        <v>3381</v>
      </c>
      <c r="F7893" s="501" t="s">
        <v>914</v>
      </c>
      <c r="G7893" s="501" t="s">
        <v>915</v>
      </c>
      <c r="H7893" s="501" t="s">
        <v>9759</v>
      </c>
      <c r="I7893" s="501">
        <v>303</v>
      </c>
      <c r="J7893" s="501">
        <v>303</v>
      </c>
      <c r="K7893" s="501">
        <v>0</v>
      </c>
      <c r="L7893" s="501">
        <v>0</v>
      </c>
      <c r="M7893" s="501">
        <v>0</v>
      </c>
      <c r="N7893" s="501">
        <v>0</v>
      </c>
      <c r="O7893" s="506">
        <v>0</v>
      </c>
    </row>
    <row r="7894" spans="1:15" x14ac:dyDescent="0.35">
      <c r="A7894" s="503" t="s">
        <v>1648</v>
      </c>
      <c r="B7894" s="504" t="s">
        <v>2496</v>
      </c>
      <c r="C7894" s="504" t="s">
        <v>1094</v>
      </c>
      <c r="D7894" s="504" t="s">
        <v>3380</v>
      </c>
      <c r="E7894" s="504" t="s">
        <v>3381</v>
      </c>
      <c r="F7894" s="504" t="s">
        <v>914</v>
      </c>
      <c r="G7894" s="504" t="s">
        <v>915</v>
      </c>
      <c r="H7894" s="504" t="s">
        <v>9760</v>
      </c>
      <c r="I7894" s="504">
        <v>53</v>
      </c>
      <c r="J7894" s="504">
        <v>4</v>
      </c>
      <c r="K7894" s="504">
        <v>0</v>
      </c>
      <c r="L7894" s="504">
        <v>41</v>
      </c>
      <c r="M7894" s="504">
        <v>8</v>
      </c>
      <c r="N7894" s="504">
        <v>0</v>
      </c>
      <c r="O7894" s="505">
        <v>0</v>
      </c>
    </row>
    <row r="7895" spans="1:15" x14ac:dyDescent="0.35">
      <c r="A7895" s="500" t="s">
        <v>1249</v>
      </c>
      <c r="B7895" s="501">
        <v>4729</v>
      </c>
      <c r="C7895" s="501" t="s">
        <v>1094</v>
      </c>
      <c r="D7895" s="501" t="s">
        <v>3380</v>
      </c>
      <c r="E7895" s="501" t="s">
        <v>3381</v>
      </c>
      <c r="F7895" s="501" t="s">
        <v>914</v>
      </c>
      <c r="G7895" s="501" t="s">
        <v>915</v>
      </c>
      <c r="H7895" s="501" t="s">
        <v>9761</v>
      </c>
      <c r="I7895" s="501">
        <v>1</v>
      </c>
      <c r="J7895" s="501">
        <v>0</v>
      </c>
      <c r="K7895" s="501">
        <v>0</v>
      </c>
      <c r="L7895" s="501">
        <v>0</v>
      </c>
      <c r="M7895" s="501">
        <v>0</v>
      </c>
      <c r="N7895" s="501">
        <v>0</v>
      </c>
      <c r="O7895" s="506">
        <v>1</v>
      </c>
    </row>
    <row r="7896" spans="1:15" x14ac:dyDescent="0.35">
      <c r="A7896" s="503" t="s">
        <v>1253</v>
      </c>
      <c r="B7896" s="504" t="s">
        <v>3232</v>
      </c>
      <c r="C7896" s="504" t="s">
        <v>1094</v>
      </c>
      <c r="D7896" s="504" t="s">
        <v>3380</v>
      </c>
      <c r="E7896" s="504" t="s">
        <v>3381</v>
      </c>
      <c r="F7896" s="504" t="s">
        <v>914</v>
      </c>
      <c r="G7896" s="504" t="s">
        <v>915</v>
      </c>
      <c r="H7896" s="504" t="s">
        <v>9762</v>
      </c>
      <c r="I7896" s="504">
        <v>7</v>
      </c>
      <c r="J7896" s="504">
        <v>3</v>
      </c>
      <c r="K7896" s="504">
        <v>0</v>
      </c>
      <c r="L7896" s="504">
        <v>4</v>
      </c>
      <c r="M7896" s="504">
        <v>0</v>
      </c>
      <c r="N7896" s="504">
        <v>0</v>
      </c>
      <c r="O7896" s="505">
        <v>0</v>
      </c>
    </row>
    <row r="7897" spans="1:15" x14ac:dyDescent="0.35">
      <c r="A7897" s="500" t="s">
        <v>1368</v>
      </c>
      <c r="B7897" s="501" t="s">
        <v>3220</v>
      </c>
      <c r="C7897" s="501" t="s">
        <v>1094</v>
      </c>
      <c r="D7897" s="501" t="s">
        <v>3380</v>
      </c>
      <c r="E7897" s="501" t="s">
        <v>3381</v>
      </c>
      <c r="F7897" s="501" t="s">
        <v>914</v>
      </c>
      <c r="G7897" s="501" t="s">
        <v>915</v>
      </c>
      <c r="H7897" s="501" t="s">
        <v>9763</v>
      </c>
      <c r="I7897" s="501">
        <v>11167</v>
      </c>
      <c r="J7897" s="501">
        <v>10667</v>
      </c>
      <c r="K7897" s="501">
        <v>0</v>
      </c>
      <c r="L7897" s="501">
        <v>77</v>
      </c>
      <c r="M7897" s="501">
        <v>222</v>
      </c>
      <c r="N7897" s="501">
        <v>0</v>
      </c>
      <c r="O7897" s="506">
        <v>201</v>
      </c>
    </row>
    <row r="7898" spans="1:15" x14ac:dyDescent="0.35">
      <c r="A7898" s="503" t="s">
        <v>1147</v>
      </c>
      <c r="B7898" s="504" t="s">
        <v>3274</v>
      </c>
      <c r="C7898" s="504" t="s">
        <v>1089</v>
      </c>
      <c r="D7898" s="504" t="s">
        <v>3392</v>
      </c>
      <c r="E7898" s="504" t="s">
        <v>3381</v>
      </c>
      <c r="F7898" s="504" t="s">
        <v>916</v>
      </c>
      <c r="G7898" s="504" t="s">
        <v>917</v>
      </c>
      <c r="H7898" s="504" t="s">
        <v>15119</v>
      </c>
      <c r="I7898" s="504">
        <v>7</v>
      </c>
      <c r="J7898" s="504">
        <v>0</v>
      </c>
      <c r="K7898" s="504">
        <v>0</v>
      </c>
      <c r="L7898" s="504">
        <v>7</v>
      </c>
      <c r="M7898" s="504">
        <v>0</v>
      </c>
      <c r="N7898" s="504">
        <v>0</v>
      </c>
      <c r="O7898" s="505">
        <v>0</v>
      </c>
    </row>
    <row r="7899" spans="1:15" x14ac:dyDescent="0.35">
      <c r="A7899" s="500" t="s">
        <v>1096</v>
      </c>
      <c r="B7899" s="501" t="s">
        <v>3326</v>
      </c>
      <c r="C7899" s="501" t="s">
        <v>1094</v>
      </c>
      <c r="D7899" s="501" t="s">
        <v>3380</v>
      </c>
      <c r="E7899" s="501" t="s">
        <v>3381</v>
      </c>
      <c r="F7899" s="501" t="s">
        <v>916</v>
      </c>
      <c r="G7899" s="501" t="s">
        <v>917</v>
      </c>
      <c r="H7899" s="501" t="s">
        <v>9764</v>
      </c>
      <c r="I7899" s="501">
        <v>34</v>
      </c>
      <c r="J7899" s="501">
        <v>0</v>
      </c>
      <c r="K7899" s="501">
        <v>0</v>
      </c>
      <c r="L7899" s="501">
        <v>0</v>
      </c>
      <c r="M7899" s="501">
        <v>34</v>
      </c>
      <c r="N7899" s="501">
        <v>0</v>
      </c>
      <c r="O7899" s="506">
        <v>0</v>
      </c>
    </row>
    <row r="7900" spans="1:15" x14ac:dyDescent="0.35">
      <c r="A7900" s="503" t="s">
        <v>1672</v>
      </c>
      <c r="B7900" s="504" t="s">
        <v>3166</v>
      </c>
      <c r="C7900" s="504" t="s">
        <v>1094</v>
      </c>
      <c r="D7900" s="504" t="s">
        <v>3380</v>
      </c>
      <c r="E7900" s="504" t="s">
        <v>3381</v>
      </c>
      <c r="F7900" s="504" t="s">
        <v>916</v>
      </c>
      <c r="G7900" s="504" t="s">
        <v>917</v>
      </c>
      <c r="H7900" s="504" t="s">
        <v>9765</v>
      </c>
      <c r="I7900" s="504">
        <v>79</v>
      </c>
      <c r="J7900" s="504">
        <v>79</v>
      </c>
      <c r="K7900" s="504">
        <v>0</v>
      </c>
      <c r="L7900" s="504">
        <v>0</v>
      </c>
      <c r="M7900" s="504">
        <v>0</v>
      </c>
      <c r="N7900" s="504">
        <v>0</v>
      </c>
      <c r="O7900" s="505">
        <v>0</v>
      </c>
    </row>
    <row r="7901" spans="1:15" x14ac:dyDescent="0.35">
      <c r="A7901" s="500" t="s">
        <v>1403</v>
      </c>
      <c r="B7901" s="501">
        <v>4733</v>
      </c>
      <c r="C7901" s="501" t="s">
        <v>1089</v>
      </c>
      <c r="D7901" s="501" t="s">
        <v>3392</v>
      </c>
      <c r="E7901" s="501" t="s">
        <v>3381</v>
      </c>
      <c r="F7901" s="501" t="s">
        <v>916</v>
      </c>
      <c r="G7901" s="501" t="s">
        <v>917</v>
      </c>
      <c r="H7901" s="501" t="s">
        <v>11616</v>
      </c>
      <c r="I7901" s="501">
        <v>19</v>
      </c>
      <c r="J7901" s="501">
        <v>0</v>
      </c>
      <c r="K7901" s="501">
        <v>0</v>
      </c>
      <c r="L7901" s="501">
        <v>19</v>
      </c>
      <c r="M7901" s="501">
        <v>0</v>
      </c>
      <c r="N7901" s="501">
        <v>0</v>
      </c>
      <c r="O7901" s="506">
        <v>0</v>
      </c>
    </row>
    <row r="7902" spans="1:15" x14ac:dyDescent="0.35">
      <c r="A7902" s="503" t="s">
        <v>2064</v>
      </c>
      <c r="B7902" s="504" t="s">
        <v>2944</v>
      </c>
      <c r="C7902" s="504" t="s">
        <v>1089</v>
      </c>
      <c r="D7902" s="504" t="s">
        <v>3392</v>
      </c>
      <c r="E7902" s="504" t="s">
        <v>3381</v>
      </c>
      <c r="F7902" s="504" t="s">
        <v>916</v>
      </c>
      <c r="G7902" s="504" t="s">
        <v>917</v>
      </c>
      <c r="H7902" s="504" t="s">
        <v>9766</v>
      </c>
      <c r="I7902" s="504">
        <v>181</v>
      </c>
      <c r="J7902" s="504">
        <v>0</v>
      </c>
      <c r="K7902" s="504">
        <v>0</v>
      </c>
      <c r="L7902" s="504">
        <v>181</v>
      </c>
      <c r="M7902" s="504">
        <v>0</v>
      </c>
      <c r="N7902" s="504">
        <v>0</v>
      </c>
      <c r="O7902" s="505">
        <v>0</v>
      </c>
    </row>
    <row r="7903" spans="1:15" x14ac:dyDescent="0.35">
      <c r="A7903" s="500" t="s">
        <v>2070</v>
      </c>
      <c r="B7903" s="501" t="s">
        <v>3154</v>
      </c>
      <c r="C7903" s="501" t="s">
        <v>1089</v>
      </c>
      <c r="D7903" s="501" t="s">
        <v>3392</v>
      </c>
      <c r="E7903" s="501" t="s">
        <v>3381</v>
      </c>
      <c r="F7903" s="501" t="s">
        <v>916</v>
      </c>
      <c r="G7903" s="501" t="s">
        <v>917</v>
      </c>
      <c r="H7903" s="501" t="s">
        <v>9767</v>
      </c>
      <c r="I7903" s="501">
        <v>11</v>
      </c>
      <c r="J7903" s="501">
        <v>0</v>
      </c>
      <c r="K7903" s="501">
        <v>0</v>
      </c>
      <c r="L7903" s="501">
        <v>11</v>
      </c>
      <c r="M7903" s="501">
        <v>0</v>
      </c>
      <c r="N7903" s="501">
        <v>0</v>
      </c>
      <c r="O7903" s="506">
        <v>0</v>
      </c>
    </row>
    <row r="7904" spans="1:15" x14ac:dyDescent="0.35">
      <c r="A7904" s="503" t="s">
        <v>1100</v>
      </c>
      <c r="B7904" s="504">
        <v>4865</v>
      </c>
      <c r="C7904" s="504" t="s">
        <v>1094</v>
      </c>
      <c r="D7904" s="504" t="s">
        <v>3380</v>
      </c>
      <c r="E7904" s="504" t="s">
        <v>3381</v>
      </c>
      <c r="F7904" s="504" t="s">
        <v>916</v>
      </c>
      <c r="G7904" s="504" t="s">
        <v>917</v>
      </c>
      <c r="H7904" s="504" t="s">
        <v>9768</v>
      </c>
      <c r="I7904" s="504">
        <v>703</v>
      </c>
      <c r="J7904" s="504">
        <v>673</v>
      </c>
      <c r="K7904" s="504">
        <v>0</v>
      </c>
      <c r="L7904" s="504">
        <v>0</v>
      </c>
      <c r="M7904" s="504">
        <v>26</v>
      </c>
      <c r="N7904" s="504">
        <v>0</v>
      </c>
      <c r="O7904" s="505">
        <v>4</v>
      </c>
    </row>
    <row r="7905" spans="1:15" x14ac:dyDescent="0.35">
      <c r="A7905" s="500" t="s">
        <v>1171</v>
      </c>
      <c r="B7905" s="501" t="s">
        <v>3003</v>
      </c>
      <c r="C7905" s="501" t="s">
        <v>1094</v>
      </c>
      <c r="D7905" s="501" t="s">
        <v>3380</v>
      </c>
      <c r="E7905" s="501" t="s">
        <v>3381</v>
      </c>
      <c r="F7905" s="501" t="s">
        <v>916</v>
      </c>
      <c r="G7905" s="501" t="s">
        <v>917</v>
      </c>
      <c r="H7905" s="501" t="s">
        <v>9769</v>
      </c>
      <c r="I7905" s="501">
        <v>61</v>
      </c>
      <c r="J7905" s="501">
        <v>49</v>
      </c>
      <c r="K7905" s="501">
        <v>0</v>
      </c>
      <c r="L7905" s="501">
        <v>0</v>
      </c>
      <c r="M7905" s="501">
        <v>12</v>
      </c>
      <c r="N7905" s="501">
        <v>0</v>
      </c>
      <c r="O7905" s="506">
        <v>0</v>
      </c>
    </row>
    <row r="7906" spans="1:15" x14ac:dyDescent="0.35">
      <c r="A7906" s="503" t="s">
        <v>2078</v>
      </c>
      <c r="B7906" s="504" t="s">
        <v>3152</v>
      </c>
      <c r="C7906" s="504" t="s">
        <v>1094</v>
      </c>
      <c r="D7906" s="504" t="s">
        <v>3380</v>
      </c>
      <c r="E7906" s="504" t="s">
        <v>3381</v>
      </c>
      <c r="F7906" s="504" t="s">
        <v>916</v>
      </c>
      <c r="G7906" s="504" t="s">
        <v>917</v>
      </c>
      <c r="H7906" s="504" t="s">
        <v>9770</v>
      </c>
      <c r="I7906" s="504">
        <v>1341</v>
      </c>
      <c r="J7906" s="504">
        <v>1318</v>
      </c>
      <c r="K7906" s="504">
        <v>0</v>
      </c>
      <c r="L7906" s="504">
        <v>20</v>
      </c>
      <c r="M7906" s="504">
        <v>0</v>
      </c>
      <c r="N7906" s="504">
        <v>60</v>
      </c>
      <c r="O7906" s="505">
        <v>3</v>
      </c>
    </row>
    <row r="7907" spans="1:15" x14ac:dyDescent="0.35">
      <c r="A7907" s="500" t="s">
        <v>14208</v>
      </c>
      <c r="B7907" s="501">
        <v>4803</v>
      </c>
      <c r="C7907" s="501" t="s">
        <v>1094</v>
      </c>
      <c r="D7907" s="501" t="s">
        <v>3380</v>
      </c>
      <c r="E7907" s="501" t="s">
        <v>3381</v>
      </c>
      <c r="F7907" s="501" t="s">
        <v>916</v>
      </c>
      <c r="G7907" s="501" t="s">
        <v>917</v>
      </c>
      <c r="H7907" s="501" t="s">
        <v>15120</v>
      </c>
      <c r="I7907" s="501">
        <v>5</v>
      </c>
      <c r="J7907" s="501">
        <v>0</v>
      </c>
      <c r="K7907" s="501">
        <v>0</v>
      </c>
      <c r="L7907" s="501">
        <v>5</v>
      </c>
      <c r="M7907" s="501">
        <v>0</v>
      </c>
      <c r="N7907" s="501">
        <v>0</v>
      </c>
      <c r="O7907" s="506">
        <v>0</v>
      </c>
    </row>
    <row r="7908" spans="1:15" x14ac:dyDescent="0.35">
      <c r="A7908" s="503" t="s">
        <v>1183</v>
      </c>
      <c r="B7908" s="504" t="s">
        <v>3038</v>
      </c>
      <c r="C7908" s="504" t="s">
        <v>1094</v>
      </c>
      <c r="D7908" s="504" t="s">
        <v>3380</v>
      </c>
      <c r="E7908" s="504" t="s">
        <v>3381</v>
      </c>
      <c r="F7908" s="504" t="s">
        <v>916</v>
      </c>
      <c r="G7908" s="504" t="s">
        <v>917</v>
      </c>
      <c r="H7908" s="504" t="s">
        <v>9771</v>
      </c>
      <c r="I7908" s="504">
        <v>100</v>
      </c>
      <c r="J7908" s="504">
        <v>87</v>
      </c>
      <c r="K7908" s="504">
        <v>0</v>
      </c>
      <c r="L7908" s="504">
        <v>0</v>
      </c>
      <c r="M7908" s="504">
        <v>0</v>
      </c>
      <c r="N7908" s="504">
        <v>0</v>
      </c>
      <c r="O7908" s="505">
        <v>13</v>
      </c>
    </row>
    <row r="7909" spans="1:15" x14ac:dyDescent="0.35">
      <c r="A7909" s="500" t="s">
        <v>2082</v>
      </c>
      <c r="B7909" s="501">
        <v>4707</v>
      </c>
      <c r="C7909" s="501" t="s">
        <v>1089</v>
      </c>
      <c r="D7909" s="501" t="s">
        <v>3392</v>
      </c>
      <c r="E7909" s="501" t="s">
        <v>3381</v>
      </c>
      <c r="F7909" s="501" t="s">
        <v>916</v>
      </c>
      <c r="G7909" s="501" t="s">
        <v>917</v>
      </c>
      <c r="H7909" s="501" t="s">
        <v>9772</v>
      </c>
      <c r="I7909" s="501">
        <v>28</v>
      </c>
      <c r="J7909" s="501">
        <v>28</v>
      </c>
      <c r="K7909" s="501">
        <v>0</v>
      </c>
      <c r="L7909" s="501">
        <v>0</v>
      </c>
      <c r="M7909" s="501">
        <v>0</v>
      </c>
      <c r="N7909" s="501">
        <v>28</v>
      </c>
      <c r="O7909" s="506">
        <v>0</v>
      </c>
    </row>
    <row r="7910" spans="1:15" x14ac:dyDescent="0.35">
      <c r="A7910" s="503" t="s">
        <v>1105</v>
      </c>
      <c r="B7910" s="504">
        <v>4668</v>
      </c>
      <c r="C7910" s="504" t="s">
        <v>1094</v>
      </c>
      <c r="D7910" s="504" t="s">
        <v>3380</v>
      </c>
      <c r="E7910" s="504" t="s">
        <v>3381</v>
      </c>
      <c r="F7910" s="504" t="s">
        <v>916</v>
      </c>
      <c r="G7910" s="504" t="s">
        <v>917</v>
      </c>
      <c r="H7910" s="504" t="s">
        <v>9773</v>
      </c>
      <c r="I7910" s="504">
        <v>24</v>
      </c>
      <c r="J7910" s="504">
        <v>0</v>
      </c>
      <c r="K7910" s="504">
        <v>0</v>
      </c>
      <c r="L7910" s="504">
        <v>0</v>
      </c>
      <c r="M7910" s="504">
        <v>0</v>
      </c>
      <c r="N7910" s="504">
        <v>0</v>
      </c>
      <c r="O7910" s="505">
        <v>24</v>
      </c>
    </row>
    <row r="7911" spans="1:15" x14ac:dyDescent="0.35">
      <c r="A7911" s="500" t="s">
        <v>1188</v>
      </c>
      <c r="B7911" s="501">
        <v>4760</v>
      </c>
      <c r="C7911" s="501" t="s">
        <v>1089</v>
      </c>
      <c r="D7911" s="501" t="s">
        <v>3392</v>
      </c>
      <c r="E7911" s="501" t="s">
        <v>3381</v>
      </c>
      <c r="F7911" s="501" t="s">
        <v>916</v>
      </c>
      <c r="G7911" s="501" t="s">
        <v>917</v>
      </c>
      <c r="H7911" s="501" t="s">
        <v>11752</v>
      </c>
      <c r="I7911" s="501">
        <v>17</v>
      </c>
      <c r="J7911" s="501">
        <v>0</v>
      </c>
      <c r="K7911" s="501">
        <v>0</v>
      </c>
      <c r="L7911" s="501">
        <v>17</v>
      </c>
      <c r="M7911" s="501">
        <v>0</v>
      </c>
      <c r="N7911" s="501">
        <v>0</v>
      </c>
      <c r="O7911" s="506">
        <v>0</v>
      </c>
    </row>
    <row r="7912" spans="1:15" x14ac:dyDescent="0.35">
      <c r="A7912" s="503" t="s">
        <v>1714</v>
      </c>
      <c r="B7912" s="504" t="s">
        <v>3287</v>
      </c>
      <c r="C7912" s="504" t="s">
        <v>1094</v>
      </c>
      <c r="D7912" s="504" t="s">
        <v>3380</v>
      </c>
      <c r="E7912" s="504" t="s">
        <v>3381</v>
      </c>
      <c r="F7912" s="504" t="s">
        <v>916</v>
      </c>
      <c r="G7912" s="504" t="s">
        <v>917</v>
      </c>
      <c r="H7912" s="504" t="s">
        <v>9774</v>
      </c>
      <c r="I7912" s="504">
        <v>1757</v>
      </c>
      <c r="J7912" s="504">
        <v>1125</v>
      </c>
      <c r="K7912" s="504">
        <v>4</v>
      </c>
      <c r="L7912" s="504">
        <v>87</v>
      </c>
      <c r="M7912" s="504">
        <v>456</v>
      </c>
      <c r="N7912" s="504">
        <v>0</v>
      </c>
      <c r="O7912" s="505">
        <v>85</v>
      </c>
    </row>
    <row r="7913" spans="1:15" x14ac:dyDescent="0.35">
      <c r="A7913" s="500" t="s">
        <v>1109</v>
      </c>
      <c r="B7913" s="501" t="s">
        <v>2959</v>
      </c>
      <c r="C7913" s="501" t="s">
        <v>1094</v>
      </c>
      <c r="D7913" s="501" t="s">
        <v>3380</v>
      </c>
      <c r="E7913" s="501" t="s">
        <v>3381</v>
      </c>
      <c r="F7913" s="501" t="s">
        <v>916</v>
      </c>
      <c r="G7913" s="501" t="s">
        <v>917</v>
      </c>
      <c r="H7913" s="501" t="s">
        <v>9775</v>
      </c>
      <c r="I7913" s="501">
        <v>37</v>
      </c>
      <c r="J7913" s="501">
        <v>0</v>
      </c>
      <c r="K7913" s="501">
        <v>0</v>
      </c>
      <c r="L7913" s="501">
        <v>0</v>
      </c>
      <c r="M7913" s="501">
        <v>37</v>
      </c>
      <c r="N7913" s="501">
        <v>0</v>
      </c>
      <c r="O7913" s="506">
        <v>0</v>
      </c>
    </row>
    <row r="7914" spans="1:15" x14ac:dyDescent="0.35">
      <c r="A7914" s="503" t="s">
        <v>1190</v>
      </c>
      <c r="B7914" s="504">
        <v>4662</v>
      </c>
      <c r="C7914" s="504" t="s">
        <v>1094</v>
      </c>
      <c r="D7914" s="504" t="s">
        <v>3380</v>
      </c>
      <c r="E7914" s="504" t="s">
        <v>3381</v>
      </c>
      <c r="F7914" s="504" t="s">
        <v>916</v>
      </c>
      <c r="G7914" s="504" t="s">
        <v>917</v>
      </c>
      <c r="H7914" s="504" t="s">
        <v>9776</v>
      </c>
      <c r="I7914" s="504">
        <v>49</v>
      </c>
      <c r="J7914" s="504">
        <v>0</v>
      </c>
      <c r="K7914" s="504">
        <v>0</v>
      </c>
      <c r="L7914" s="504">
        <v>49</v>
      </c>
      <c r="M7914" s="504">
        <v>0</v>
      </c>
      <c r="N7914" s="504">
        <v>0</v>
      </c>
      <c r="O7914" s="505">
        <v>0</v>
      </c>
    </row>
    <row r="7915" spans="1:15" x14ac:dyDescent="0.35">
      <c r="A7915" s="500" t="s">
        <v>1207</v>
      </c>
      <c r="B7915" s="501" t="s">
        <v>3202</v>
      </c>
      <c r="C7915" s="501" t="s">
        <v>1094</v>
      </c>
      <c r="D7915" s="501" t="s">
        <v>3380</v>
      </c>
      <c r="E7915" s="501" t="s">
        <v>3381</v>
      </c>
      <c r="F7915" s="501" t="s">
        <v>916</v>
      </c>
      <c r="G7915" s="501" t="s">
        <v>917</v>
      </c>
      <c r="H7915" s="501" t="s">
        <v>9777</v>
      </c>
      <c r="I7915" s="501">
        <v>1081</v>
      </c>
      <c r="J7915" s="501">
        <v>678</v>
      </c>
      <c r="K7915" s="501">
        <v>0</v>
      </c>
      <c r="L7915" s="501">
        <v>38</v>
      </c>
      <c r="M7915" s="501">
        <v>345</v>
      </c>
      <c r="N7915" s="501">
        <v>1</v>
      </c>
      <c r="O7915" s="506">
        <v>20</v>
      </c>
    </row>
    <row r="7916" spans="1:15" x14ac:dyDescent="0.35">
      <c r="A7916" s="503" t="s">
        <v>1210</v>
      </c>
      <c r="B7916" s="504">
        <v>4781</v>
      </c>
      <c r="C7916" s="504" t="s">
        <v>1089</v>
      </c>
      <c r="D7916" s="504" t="s">
        <v>3392</v>
      </c>
      <c r="E7916" s="504" t="s">
        <v>3381</v>
      </c>
      <c r="F7916" s="504" t="s">
        <v>916</v>
      </c>
      <c r="G7916" s="504" t="s">
        <v>917</v>
      </c>
      <c r="H7916" s="504" t="s">
        <v>9778</v>
      </c>
      <c r="I7916" s="504">
        <v>4</v>
      </c>
      <c r="J7916" s="504">
        <v>0</v>
      </c>
      <c r="K7916" s="504">
        <v>0</v>
      </c>
      <c r="L7916" s="504">
        <v>4</v>
      </c>
      <c r="M7916" s="504">
        <v>0</v>
      </c>
      <c r="N7916" s="504">
        <v>0</v>
      </c>
      <c r="O7916" s="505">
        <v>0</v>
      </c>
    </row>
    <row r="7917" spans="1:15" x14ac:dyDescent="0.35">
      <c r="A7917" s="500" t="s">
        <v>1234</v>
      </c>
      <c r="B7917" s="501" t="s">
        <v>3291</v>
      </c>
      <c r="C7917" s="501" t="s">
        <v>1094</v>
      </c>
      <c r="D7917" s="501" t="s">
        <v>3380</v>
      </c>
      <c r="E7917" s="501" t="s">
        <v>3381</v>
      </c>
      <c r="F7917" s="501" t="s">
        <v>916</v>
      </c>
      <c r="G7917" s="501" t="s">
        <v>917</v>
      </c>
      <c r="H7917" s="501" t="s">
        <v>9779</v>
      </c>
      <c r="I7917" s="501">
        <v>77</v>
      </c>
      <c r="J7917" s="501">
        <v>13</v>
      </c>
      <c r="K7917" s="501">
        <v>0</v>
      </c>
      <c r="L7917" s="501">
        <v>64</v>
      </c>
      <c r="M7917" s="501">
        <v>0</v>
      </c>
      <c r="N7917" s="501">
        <v>0</v>
      </c>
      <c r="O7917" s="506">
        <v>0</v>
      </c>
    </row>
    <row r="7918" spans="1:15" x14ac:dyDescent="0.35">
      <c r="A7918" s="503" t="s">
        <v>1235</v>
      </c>
      <c r="B7918" s="504">
        <v>4684</v>
      </c>
      <c r="C7918" s="504" t="s">
        <v>1094</v>
      </c>
      <c r="D7918" s="504" t="s">
        <v>3380</v>
      </c>
      <c r="E7918" s="504" t="s">
        <v>3381</v>
      </c>
      <c r="F7918" s="504" t="s">
        <v>916</v>
      </c>
      <c r="G7918" s="504" t="s">
        <v>917</v>
      </c>
      <c r="H7918" s="504" t="s">
        <v>9780</v>
      </c>
      <c r="I7918" s="504">
        <v>186</v>
      </c>
      <c r="J7918" s="504">
        <v>106</v>
      </c>
      <c r="K7918" s="504">
        <v>0</v>
      </c>
      <c r="L7918" s="504">
        <v>0</v>
      </c>
      <c r="M7918" s="504">
        <v>71</v>
      </c>
      <c r="N7918" s="504">
        <v>0</v>
      </c>
      <c r="O7918" s="505">
        <v>9</v>
      </c>
    </row>
    <row r="7919" spans="1:15" x14ac:dyDescent="0.35">
      <c r="A7919" s="500" t="s">
        <v>1126</v>
      </c>
      <c r="B7919" s="501" t="s">
        <v>2974</v>
      </c>
      <c r="C7919" s="501" t="s">
        <v>1094</v>
      </c>
      <c r="D7919" s="501" t="s">
        <v>3380</v>
      </c>
      <c r="E7919" s="501" t="s">
        <v>3381</v>
      </c>
      <c r="F7919" s="501" t="s">
        <v>916</v>
      </c>
      <c r="G7919" s="501" t="s">
        <v>917</v>
      </c>
      <c r="H7919" s="501" t="s">
        <v>9781</v>
      </c>
      <c r="I7919" s="501">
        <v>1058</v>
      </c>
      <c r="J7919" s="501">
        <v>803</v>
      </c>
      <c r="K7919" s="501">
        <v>0</v>
      </c>
      <c r="L7919" s="501">
        <v>64</v>
      </c>
      <c r="M7919" s="501">
        <v>132</v>
      </c>
      <c r="N7919" s="501">
        <v>1</v>
      </c>
      <c r="O7919" s="506">
        <v>59</v>
      </c>
    </row>
    <row r="7920" spans="1:15" x14ac:dyDescent="0.35">
      <c r="A7920" s="503" t="s">
        <v>2112</v>
      </c>
      <c r="B7920" s="504" t="s">
        <v>2952</v>
      </c>
      <c r="C7920" s="504" t="s">
        <v>1089</v>
      </c>
      <c r="D7920" s="504" t="s">
        <v>3392</v>
      </c>
      <c r="E7920" s="504" t="s">
        <v>3381</v>
      </c>
      <c r="F7920" s="504" t="s">
        <v>916</v>
      </c>
      <c r="G7920" s="504" t="s">
        <v>917</v>
      </c>
      <c r="H7920" s="504" t="s">
        <v>9782</v>
      </c>
      <c r="I7920" s="504">
        <v>569</v>
      </c>
      <c r="J7920" s="504">
        <v>569</v>
      </c>
      <c r="K7920" s="504">
        <v>0</v>
      </c>
      <c r="L7920" s="504">
        <v>0</v>
      </c>
      <c r="M7920" s="504">
        <v>0</v>
      </c>
      <c r="N7920" s="504">
        <v>0</v>
      </c>
      <c r="O7920" s="505">
        <v>0</v>
      </c>
    </row>
    <row r="7921" spans="1:15" x14ac:dyDescent="0.35">
      <c r="A7921" s="500" t="s">
        <v>1559</v>
      </c>
      <c r="B7921" s="501" t="s">
        <v>3252</v>
      </c>
      <c r="C7921" s="501" t="s">
        <v>1089</v>
      </c>
      <c r="D7921" s="501" t="s">
        <v>3392</v>
      </c>
      <c r="E7921" s="501" t="s">
        <v>3381</v>
      </c>
      <c r="F7921" s="501" t="s">
        <v>916</v>
      </c>
      <c r="G7921" s="501" t="s">
        <v>917</v>
      </c>
      <c r="H7921" s="501" t="s">
        <v>9783</v>
      </c>
      <c r="I7921" s="501">
        <v>21</v>
      </c>
      <c r="J7921" s="501">
        <v>0</v>
      </c>
      <c r="K7921" s="501">
        <v>0</v>
      </c>
      <c r="L7921" s="501">
        <v>0</v>
      </c>
      <c r="M7921" s="501">
        <v>21</v>
      </c>
      <c r="N7921" s="501">
        <v>0</v>
      </c>
      <c r="O7921" s="506">
        <v>0</v>
      </c>
    </row>
    <row r="7922" spans="1:15" x14ac:dyDescent="0.35">
      <c r="A7922" s="503" t="s">
        <v>1253</v>
      </c>
      <c r="B7922" s="504" t="s">
        <v>3232</v>
      </c>
      <c r="C7922" s="504" t="s">
        <v>1094</v>
      </c>
      <c r="D7922" s="504" t="s">
        <v>3380</v>
      </c>
      <c r="E7922" s="504" t="s">
        <v>3381</v>
      </c>
      <c r="F7922" s="504" t="s">
        <v>916</v>
      </c>
      <c r="G7922" s="504" t="s">
        <v>917</v>
      </c>
      <c r="H7922" s="504" t="s">
        <v>9784</v>
      </c>
      <c r="I7922" s="504">
        <v>590</v>
      </c>
      <c r="J7922" s="504">
        <v>517</v>
      </c>
      <c r="K7922" s="504">
        <v>0</v>
      </c>
      <c r="L7922" s="504">
        <v>41</v>
      </c>
      <c r="M7922" s="504">
        <v>0</v>
      </c>
      <c r="N7922" s="504">
        <v>0</v>
      </c>
      <c r="O7922" s="505">
        <v>32</v>
      </c>
    </row>
    <row r="7923" spans="1:15" x14ac:dyDescent="0.35">
      <c r="A7923" s="500" t="s">
        <v>2123</v>
      </c>
      <c r="B7923" s="501" t="s">
        <v>3338</v>
      </c>
      <c r="C7923" s="501" t="s">
        <v>1094</v>
      </c>
      <c r="D7923" s="501" t="s">
        <v>3380</v>
      </c>
      <c r="E7923" s="501" t="s">
        <v>3381</v>
      </c>
      <c r="F7923" s="501" t="s">
        <v>916</v>
      </c>
      <c r="G7923" s="501" t="s">
        <v>917</v>
      </c>
      <c r="H7923" s="501" t="s">
        <v>9785</v>
      </c>
      <c r="I7923" s="501">
        <v>8</v>
      </c>
      <c r="J7923" s="501">
        <v>0</v>
      </c>
      <c r="K7923" s="501">
        <v>0</v>
      </c>
      <c r="L7923" s="501">
        <v>8</v>
      </c>
      <c r="M7923" s="501">
        <v>0</v>
      </c>
      <c r="N7923" s="501">
        <v>0</v>
      </c>
      <c r="O7923" s="506">
        <v>0</v>
      </c>
    </row>
    <row r="7924" spans="1:15" x14ac:dyDescent="0.35">
      <c r="A7924" s="503" t="s">
        <v>1262</v>
      </c>
      <c r="B7924" s="504">
        <v>4772</v>
      </c>
      <c r="C7924" s="504" t="s">
        <v>1089</v>
      </c>
      <c r="D7924" s="504" t="s">
        <v>3392</v>
      </c>
      <c r="E7924" s="504" t="s">
        <v>3381</v>
      </c>
      <c r="F7924" s="504" t="s">
        <v>916</v>
      </c>
      <c r="G7924" s="504" t="s">
        <v>917</v>
      </c>
      <c r="H7924" s="504" t="s">
        <v>9786</v>
      </c>
      <c r="I7924" s="504">
        <v>9</v>
      </c>
      <c r="J7924" s="504">
        <v>0</v>
      </c>
      <c r="K7924" s="504">
        <v>0</v>
      </c>
      <c r="L7924" s="504">
        <v>9</v>
      </c>
      <c r="M7924" s="504">
        <v>0</v>
      </c>
      <c r="N7924" s="504">
        <v>0</v>
      </c>
      <c r="O7924" s="505">
        <v>0</v>
      </c>
    </row>
    <row r="7925" spans="1:15" x14ac:dyDescent="0.35">
      <c r="A7925" s="500" t="s">
        <v>11437</v>
      </c>
      <c r="B7925" s="501" t="s">
        <v>2947</v>
      </c>
      <c r="C7925" s="501" t="s">
        <v>1089</v>
      </c>
      <c r="D7925" s="501" t="s">
        <v>3392</v>
      </c>
      <c r="E7925" s="501" t="s">
        <v>3381</v>
      </c>
      <c r="F7925" s="501" t="s">
        <v>916</v>
      </c>
      <c r="G7925" s="501" t="s">
        <v>917</v>
      </c>
      <c r="H7925" s="501" t="s">
        <v>12261</v>
      </c>
      <c r="I7925" s="501">
        <v>203</v>
      </c>
      <c r="J7925" s="501">
        <v>0</v>
      </c>
      <c r="K7925" s="501">
        <v>0</v>
      </c>
      <c r="L7925" s="501">
        <v>203</v>
      </c>
      <c r="M7925" s="501">
        <v>0</v>
      </c>
      <c r="N7925" s="501">
        <v>0</v>
      </c>
      <c r="O7925" s="506">
        <v>0</v>
      </c>
    </row>
    <row r="7926" spans="1:15" x14ac:dyDescent="0.35">
      <c r="A7926" s="503" t="s">
        <v>1266</v>
      </c>
      <c r="B7926" s="504" t="s">
        <v>3071</v>
      </c>
      <c r="C7926" s="504" t="s">
        <v>1094</v>
      </c>
      <c r="D7926" s="504" t="s">
        <v>3380</v>
      </c>
      <c r="E7926" s="504" t="s">
        <v>3381</v>
      </c>
      <c r="F7926" s="504" t="s">
        <v>916</v>
      </c>
      <c r="G7926" s="504" t="s">
        <v>917</v>
      </c>
      <c r="H7926" s="504" t="s">
        <v>9787</v>
      </c>
      <c r="I7926" s="504">
        <v>427</v>
      </c>
      <c r="J7926" s="504">
        <v>37</v>
      </c>
      <c r="K7926" s="504">
        <v>0</v>
      </c>
      <c r="L7926" s="504">
        <v>0</v>
      </c>
      <c r="M7926" s="504">
        <v>390</v>
      </c>
      <c r="N7926" s="504">
        <v>0</v>
      </c>
      <c r="O7926" s="505">
        <v>0</v>
      </c>
    </row>
    <row r="7927" spans="1:15" x14ac:dyDescent="0.35">
      <c r="A7927" s="500" t="s">
        <v>1093</v>
      </c>
      <c r="B7927" s="501" t="s">
        <v>3248</v>
      </c>
      <c r="C7927" s="501" t="s">
        <v>1094</v>
      </c>
      <c r="D7927" s="501" t="s">
        <v>3380</v>
      </c>
      <c r="E7927" s="501" t="s">
        <v>3381</v>
      </c>
      <c r="F7927" s="501" t="s">
        <v>918</v>
      </c>
      <c r="G7927" s="501" t="s">
        <v>919</v>
      </c>
      <c r="H7927" s="501" t="s">
        <v>9788</v>
      </c>
      <c r="I7927" s="501">
        <v>8</v>
      </c>
      <c r="J7927" s="501">
        <v>0</v>
      </c>
      <c r="K7927" s="501">
        <v>0</v>
      </c>
      <c r="L7927" s="501">
        <v>5</v>
      </c>
      <c r="M7927" s="501">
        <v>0</v>
      </c>
      <c r="N7927" s="501">
        <v>0</v>
      </c>
      <c r="O7927" s="506">
        <v>3</v>
      </c>
    </row>
    <row r="7928" spans="1:15" x14ac:dyDescent="0.35">
      <c r="A7928" s="503" t="s">
        <v>11363</v>
      </c>
      <c r="B7928" s="504">
        <v>4718</v>
      </c>
      <c r="C7928" s="504" t="s">
        <v>1094</v>
      </c>
      <c r="D7928" s="504" t="s">
        <v>3380</v>
      </c>
      <c r="E7928" s="504" t="s">
        <v>3381</v>
      </c>
      <c r="F7928" s="504" t="s">
        <v>918</v>
      </c>
      <c r="G7928" s="504" t="s">
        <v>919</v>
      </c>
      <c r="H7928" s="504" t="s">
        <v>11594</v>
      </c>
      <c r="I7928" s="504">
        <v>2</v>
      </c>
      <c r="J7928" s="504">
        <v>0</v>
      </c>
      <c r="K7928" s="504">
        <v>0</v>
      </c>
      <c r="L7928" s="504">
        <v>2</v>
      </c>
      <c r="M7928" s="504">
        <v>0</v>
      </c>
      <c r="N7928" s="504">
        <v>0</v>
      </c>
      <c r="O7928" s="505">
        <v>0</v>
      </c>
    </row>
    <row r="7929" spans="1:15" x14ac:dyDescent="0.35">
      <c r="A7929" s="500" t="s">
        <v>1157</v>
      </c>
      <c r="B7929" s="501" t="s">
        <v>3196</v>
      </c>
      <c r="C7929" s="501" t="s">
        <v>1089</v>
      </c>
      <c r="D7929" s="501" t="s">
        <v>3392</v>
      </c>
      <c r="E7929" s="501" t="s">
        <v>3381</v>
      </c>
      <c r="F7929" s="501" t="s">
        <v>918</v>
      </c>
      <c r="G7929" s="501" t="s">
        <v>919</v>
      </c>
      <c r="H7929" s="501" t="s">
        <v>9789</v>
      </c>
      <c r="I7929" s="501">
        <v>11</v>
      </c>
      <c r="J7929" s="501">
        <v>11</v>
      </c>
      <c r="K7929" s="501">
        <v>0</v>
      </c>
      <c r="L7929" s="501">
        <v>0</v>
      </c>
      <c r="M7929" s="501">
        <v>0</v>
      </c>
      <c r="N7929" s="501">
        <v>0</v>
      </c>
      <c r="O7929" s="506">
        <v>0</v>
      </c>
    </row>
    <row r="7930" spans="1:15" x14ac:dyDescent="0.35">
      <c r="A7930" s="503" t="s">
        <v>1158</v>
      </c>
      <c r="B7930" s="504">
        <v>4819</v>
      </c>
      <c r="C7930" s="504" t="s">
        <v>1094</v>
      </c>
      <c r="D7930" s="504" t="s">
        <v>3380</v>
      </c>
      <c r="E7930" s="504" t="s">
        <v>3381</v>
      </c>
      <c r="F7930" s="504" t="s">
        <v>918</v>
      </c>
      <c r="G7930" s="504" t="s">
        <v>919</v>
      </c>
      <c r="H7930" s="504" t="s">
        <v>9790</v>
      </c>
      <c r="I7930" s="504">
        <v>757</v>
      </c>
      <c r="J7930" s="504">
        <v>595</v>
      </c>
      <c r="K7930" s="504">
        <v>0</v>
      </c>
      <c r="L7930" s="504">
        <v>4</v>
      </c>
      <c r="M7930" s="504">
        <v>0</v>
      </c>
      <c r="N7930" s="504">
        <v>0</v>
      </c>
      <c r="O7930" s="505">
        <v>158</v>
      </c>
    </row>
    <row r="7931" spans="1:15" x14ac:dyDescent="0.35">
      <c r="A7931" s="500" t="s">
        <v>1961</v>
      </c>
      <c r="B7931" s="501">
        <v>5075</v>
      </c>
      <c r="C7931" s="501" t="s">
        <v>1094</v>
      </c>
      <c r="D7931" s="501" t="s">
        <v>3380</v>
      </c>
      <c r="E7931" s="501" t="s">
        <v>3381</v>
      </c>
      <c r="F7931" s="501" t="s">
        <v>918</v>
      </c>
      <c r="G7931" s="501" t="s">
        <v>919</v>
      </c>
      <c r="H7931" s="501" t="s">
        <v>15121</v>
      </c>
      <c r="I7931" s="501">
        <v>16</v>
      </c>
      <c r="J7931" s="501">
        <v>16</v>
      </c>
      <c r="K7931" s="501">
        <v>0</v>
      </c>
      <c r="L7931" s="501">
        <v>0</v>
      </c>
      <c r="M7931" s="501">
        <v>0</v>
      </c>
      <c r="N7931" s="501">
        <v>0</v>
      </c>
      <c r="O7931" s="506">
        <v>0</v>
      </c>
    </row>
    <row r="7932" spans="1:15" x14ac:dyDescent="0.35">
      <c r="A7932" s="503" t="s">
        <v>1167</v>
      </c>
      <c r="B7932" s="504">
        <v>4689</v>
      </c>
      <c r="C7932" s="504" t="s">
        <v>1089</v>
      </c>
      <c r="D7932" s="504" t="s">
        <v>3392</v>
      </c>
      <c r="E7932" s="504" t="s">
        <v>3381</v>
      </c>
      <c r="F7932" s="504" t="s">
        <v>918</v>
      </c>
      <c r="G7932" s="504" t="s">
        <v>919</v>
      </c>
      <c r="H7932" s="504" t="s">
        <v>9791</v>
      </c>
      <c r="I7932" s="504">
        <v>21</v>
      </c>
      <c r="J7932" s="504">
        <v>0</v>
      </c>
      <c r="K7932" s="504">
        <v>0</v>
      </c>
      <c r="L7932" s="504">
        <v>21</v>
      </c>
      <c r="M7932" s="504">
        <v>0</v>
      </c>
      <c r="N7932" s="504">
        <v>0</v>
      </c>
      <c r="O7932" s="505">
        <v>0</v>
      </c>
    </row>
    <row r="7933" spans="1:15" x14ac:dyDescent="0.35">
      <c r="A7933" s="500" t="s">
        <v>1832</v>
      </c>
      <c r="B7933" s="501">
        <v>4797</v>
      </c>
      <c r="C7933" s="501" t="s">
        <v>1089</v>
      </c>
      <c r="D7933" s="501" t="s">
        <v>3392</v>
      </c>
      <c r="E7933" s="501" t="s">
        <v>3381</v>
      </c>
      <c r="F7933" s="501" t="s">
        <v>918</v>
      </c>
      <c r="G7933" s="501" t="s">
        <v>919</v>
      </c>
      <c r="H7933" s="501" t="s">
        <v>9792</v>
      </c>
      <c r="I7933" s="501">
        <v>2</v>
      </c>
      <c r="J7933" s="501">
        <v>0</v>
      </c>
      <c r="K7933" s="501">
        <v>0</v>
      </c>
      <c r="L7933" s="501">
        <v>2</v>
      </c>
      <c r="M7933" s="501">
        <v>0</v>
      </c>
      <c r="N7933" s="501">
        <v>0</v>
      </c>
      <c r="O7933" s="506">
        <v>0</v>
      </c>
    </row>
    <row r="7934" spans="1:15" x14ac:dyDescent="0.35">
      <c r="A7934" s="503" t="s">
        <v>14192</v>
      </c>
      <c r="B7934" s="504">
        <v>5049</v>
      </c>
      <c r="C7934" s="504" t="s">
        <v>1089</v>
      </c>
      <c r="D7934" s="504" t="s">
        <v>3392</v>
      </c>
      <c r="E7934" s="504" t="s">
        <v>3381</v>
      </c>
      <c r="F7934" s="504" t="s">
        <v>918</v>
      </c>
      <c r="G7934" s="504" t="s">
        <v>919</v>
      </c>
      <c r="H7934" s="504" t="s">
        <v>15122</v>
      </c>
      <c r="I7934" s="504">
        <v>8</v>
      </c>
      <c r="J7934" s="504">
        <v>8</v>
      </c>
      <c r="K7934" s="504">
        <v>0</v>
      </c>
      <c r="L7934" s="504">
        <v>0</v>
      </c>
      <c r="M7934" s="504">
        <v>0</v>
      </c>
      <c r="N7934" s="504">
        <v>0</v>
      </c>
      <c r="O7934" s="505">
        <v>0</v>
      </c>
    </row>
    <row r="7935" spans="1:15" x14ac:dyDescent="0.35">
      <c r="A7935" s="500" t="s">
        <v>1705</v>
      </c>
      <c r="B7935" s="501" t="s">
        <v>3158</v>
      </c>
      <c r="C7935" s="501" t="s">
        <v>1094</v>
      </c>
      <c r="D7935" s="501" t="s">
        <v>3380</v>
      </c>
      <c r="E7935" s="501" t="s">
        <v>3381</v>
      </c>
      <c r="F7935" s="501" t="s">
        <v>918</v>
      </c>
      <c r="G7935" s="501" t="s">
        <v>919</v>
      </c>
      <c r="H7935" s="501" t="s">
        <v>9793</v>
      </c>
      <c r="I7935" s="501">
        <v>1</v>
      </c>
      <c r="J7935" s="501">
        <v>0</v>
      </c>
      <c r="K7935" s="501">
        <v>0</v>
      </c>
      <c r="L7935" s="501">
        <v>0</v>
      </c>
      <c r="M7935" s="501">
        <v>0</v>
      </c>
      <c r="N7935" s="501">
        <v>0</v>
      </c>
      <c r="O7935" s="506">
        <v>1</v>
      </c>
    </row>
    <row r="7936" spans="1:15" x14ac:dyDescent="0.35">
      <c r="A7936" s="503" t="s">
        <v>1105</v>
      </c>
      <c r="B7936" s="504">
        <v>4668</v>
      </c>
      <c r="C7936" s="504" t="s">
        <v>1094</v>
      </c>
      <c r="D7936" s="504" t="s">
        <v>3380</v>
      </c>
      <c r="E7936" s="504" t="s">
        <v>3381</v>
      </c>
      <c r="F7936" s="504" t="s">
        <v>918</v>
      </c>
      <c r="G7936" s="504" t="s">
        <v>919</v>
      </c>
      <c r="H7936" s="504" t="s">
        <v>9794</v>
      </c>
      <c r="I7936" s="504">
        <v>64</v>
      </c>
      <c r="J7936" s="504">
        <v>0</v>
      </c>
      <c r="K7936" s="504">
        <v>0</v>
      </c>
      <c r="L7936" s="504">
        <v>0</v>
      </c>
      <c r="M7936" s="504">
        <v>0</v>
      </c>
      <c r="N7936" s="504">
        <v>0</v>
      </c>
      <c r="O7936" s="505">
        <v>64</v>
      </c>
    </row>
    <row r="7937" spans="1:15" x14ac:dyDescent="0.35">
      <c r="A7937" s="500" t="s">
        <v>1107</v>
      </c>
      <c r="B7937" s="501" t="s">
        <v>3109</v>
      </c>
      <c r="C7937" s="501" t="s">
        <v>1094</v>
      </c>
      <c r="D7937" s="501" t="s">
        <v>3380</v>
      </c>
      <c r="E7937" s="501" t="s">
        <v>3381</v>
      </c>
      <c r="F7937" s="501" t="s">
        <v>918</v>
      </c>
      <c r="G7937" s="501" t="s">
        <v>919</v>
      </c>
      <c r="H7937" s="501" t="s">
        <v>9795</v>
      </c>
      <c r="I7937" s="501">
        <v>9</v>
      </c>
      <c r="J7937" s="501">
        <v>0</v>
      </c>
      <c r="K7937" s="501">
        <v>0</v>
      </c>
      <c r="L7937" s="501">
        <v>9</v>
      </c>
      <c r="M7937" s="501">
        <v>0</v>
      </c>
      <c r="N7937" s="501">
        <v>0</v>
      </c>
      <c r="O7937" s="506">
        <v>0</v>
      </c>
    </row>
    <row r="7938" spans="1:15" x14ac:dyDescent="0.35">
      <c r="A7938" s="503" t="s">
        <v>1109</v>
      </c>
      <c r="B7938" s="504" t="s">
        <v>2959</v>
      </c>
      <c r="C7938" s="504" t="s">
        <v>1094</v>
      </c>
      <c r="D7938" s="504" t="s">
        <v>3380</v>
      </c>
      <c r="E7938" s="504" t="s">
        <v>3381</v>
      </c>
      <c r="F7938" s="504" t="s">
        <v>918</v>
      </c>
      <c r="G7938" s="504" t="s">
        <v>919</v>
      </c>
      <c r="H7938" s="504" t="s">
        <v>15123</v>
      </c>
      <c r="I7938" s="504">
        <v>75</v>
      </c>
      <c r="J7938" s="504">
        <v>0</v>
      </c>
      <c r="K7938" s="504">
        <v>0</v>
      </c>
      <c r="L7938" s="504">
        <v>0</v>
      </c>
      <c r="M7938" s="504">
        <v>50</v>
      </c>
      <c r="N7938" s="504">
        <v>0</v>
      </c>
      <c r="O7938" s="505">
        <v>25</v>
      </c>
    </row>
    <row r="7939" spans="1:15" x14ac:dyDescent="0.35">
      <c r="A7939" s="500" t="s">
        <v>1190</v>
      </c>
      <c r="B7939" s="501">
        <v>4662</v>
      </c>
      <c r="C7939" s="501" t="s">
        <v>1094</v>
      </c>
      <c r="D7939" s="501" t="s">
        <v>3380</v>
      </c>
      <c r="E7939" s="501" t="s">
        <v>3381</v>
      </c>
      <c r="F7939" s="501" t="s">
        <v>918</v>
      </c>
      <c r="G7939" s="501" t="s">
        <v>919</v>
      </c>
      <c r="H7939" s="501" t="s">
        <v>15124</v>
      </c>
      <c r="I7939" s="501">
        <v>14</v>
      </c>
      <c r="J7939" s="501">
        <v>0</v>
      </c>
      <c r="K7939" s="501">
        <v>0</v>
      </c>
      <c r="L7939" s="501">
        <v>14</v>
      </c>
      <c r="M7939" s="501">
        <v>0</v>
      </c>
      <c r="N7939" s="501">
        <v>0</v>
      </c>
      <c r="O7939" s="506">
        <v>0</v>
      </c>
    </row>
    <row r="7940" spans="1:15" x14ac:dyDescent="0.35">
      <c r="A7940" s="503" t="s">
        <v>1310</v>
      </c>
      <c r="B7940" s="504">
        <v>5062</v>
      </c>
      <c r="C7940" s="504" t="s">
        <v>1089</v>
      </c>
      <c r="D7940" s="504" t="s">
        <v>3380</v>
      </c>
      <c r="E7940" s="504" t="s">
        <v>3381</v>
      </c>
      <c r="F7940" s="504" t="s">
        <v>918</v>
      </c>
      <c r="G7940" s="504" t="s">
        <v>919</v>
      </c>
      <c r="H7940" s="504" t="s">
        <v>9796</v>
      </c>
      <c r="I7940" s="504">
        <v>12</v>
      </c>
      <c r="J7940" s="504">
        <v>10</v>
      </c>
      <c r="K7940" s="504">
        <v>0</v>
      </c>
      <c r="L7940" s="504">
        <v>0</v>
      </c>
      <c r="M7940" s="504">
        <v>0</v>
      </c>
      <c r="N7940" s="504">
        <v>0</v>
      </c>
      <c r="O7940" s="505">
        <v>2</v>
      </c>
    </row>
    <row r="7941" spans="1:15" x14ac:dyDescent="0.35">
      <c r="A7941" s="500" t="s">
        <v>1202</v>
      </c>
      <c r="B7941" s="501" t="s">
        <v>3217</v>
      </c>
      <c r="C7941" s="501" t="s">
        <v>1094</v>
      </c>
      <c r="D7941" s="501" t="s">
        <v>3380</v>
      </c>
      <c r="E7941" s="501" t="s">
        <v>3381</v>
      </c>
      <c r="F7941" s="501" t="s">
        <v>918</v>
      </c>
      <c r="G7941" s="501" t="s">
        <v>919</v>
      </c>
      <c r="H7941" s="501" t="s">
        <v>11847</v>
      </c>
      <c r="I7941" s="501">
        <v>84</v>
      </c>
      <c r="J7941" s="501">
        <v>39</v>
      </c>
      <c r="K7941" s="501">
        <v>0</v>
      </c>
      <c r="L7941" s="501">
        <v>0</v>
      </c>
      <c r="M7941" s="501">
        <v>0</v>
      </c>
      <c r="N7941" s="501">
        <v>0</v>
      </c>
      <c r="O7941" s="506">
        <v>45</v>
      </c>
    </row>
    <row r="7942" spans="1:15" x14ac:dyDescent="0.35">
      <c r="A7942" s="503" t="s">
        <v>1218</v>
      </c>
      <c r="B7942" s="504" t="s">
        <v>3147</v>
      </c>
      <c r="C7942" s="504" t="s">
        <v>1094</v>
      </c>
      <c r="D7942" s="504" t="s">
        <v>3380</v>
      </c>
      <c r="E7942" s="504" t="s">
        <v>3381</v>
      </c>
      <c r="F7942" s="504" t="s">
        <v>918</v>
      </c>
      <c r="G7942" s="504" t="s">
        <v>919</v>
      </c>
      <c r="H7942" s="504" t="s">
        <v>9797</v>
      </c>
      <c r="I7942" s="504">
        <v>472</v>
      </c>
      <c r="J7942" s="504">
        <v>0</v>
      </c>
      <c r="K7942" s="504">
        <v>0</v>
      </c>
      <c r="L7942" s="504">
        <v>0</v>
      </c>
      <c r="M7942" s="504">
        <v>0</v>
      </c>
      <c r="N7942" s="504">
        <v>0</v>
      </c>
      <c r="O7942" s="505">
        <v>472</v>
      </c>
    </row>
    <row r="7943" spans="1:15" x14ac:dyDescent="0.35">
      <c r="A7943" s="500" t="s">
        <v>11367</v>
      </c>
      <c r="B7943" s="501" t="s">
        <v>3143</v>
      </c>
      <c r="C7943" s="501" t="s">
        <v>1094</v>
      </c>
      <c r="D7943" s="501" t="s">
        <v>3380</v>
      </c>
      <c r="E7943" s="501" t="s">
        <v>3381</v>
      </c>
      <c r="F7943" s="501" t="s">
        <v>918</v>
      </c>
      <c r="G7943" s="501" t="s">
        <v>919</v>
      </c>
      <c r="H7943" s="501" t="s">
        <v>11954</v>
      </c>
      <c r="I7943" s="501">
        <v>6506</v>
      </c>
      <c r="J7943" s="501">
        <v>5677</v>
      </c>
      <c r="K7943" s="501">
        <v>2</v>
      </c>
      <c r="L7943" s="501">
        <v>40</v>
      </c>
      <c r="M7943" s="501">
        <v>738</v>
      </c>
      <c r="N7943" s="501">
        <v>4</v>
      </c>
      <c r="O7943" s="506">
        <v>49</v>
      </c>
    </row>
    <row r="7944" spans="1:15" x14ac:dyDescent="0.35">
      <c r="A7944" s="503" t="s">
        <v>1226</v>
      </c>
      <c r="B7944" s="504">
        <v>5084</v>
      </c>
      <c r="C7944" s="504" t="s">
        <v>1094</v>
      </c>
      <c r="D7944" s="504" t="s">
        <v>3380</v>
      </c>
      <c r="E7944" s="504" t="s">
        <v>3381</v>
      </c>
      <c r="F7944" s="504" t="s">
        <v>918</v>
      </c>
      <c r="G7944" s="504" t="s">
        <v>919</v>
      </c>
      <c r="H7944" s="504" t="s">
        <v>9798</v>
      </c>
      <c r="I7944" s="504">
        <v>483</v>
      </c>
      <c r="J7944" s="504">
        <v>347</v>
      </c>
      <c r="K7944" s="504">
        <v>0</v>
      </c>
      <c r="L7944" s="504">
        <v>0</v>
      </c>
      <c r="M7944" s="504">
        <v>0</v>
      </c>
      <c r="N7944" s="504">
        <v>0</v>
      </c>
      <c r="O7944" s="505">
        <v>136</v>
      </c>
    </row>
    <row r="7945" spans="1:15" x14ac:dyDescent="0.35">
      <c r="A7945" s="500" t="s">
        <v>1233</v>
      </c>
      <c r="B7945" s="501">
        <v>4636</v>
      </c>
      <c r="C7945" s="501" t="s">
        <v>1094</v>
      </c>
      <c r="D7945" s="501" t="s">
        <v>3380</v>
      </c>
      <c r="E7945" s="501" t="s">
        <v>3381</v>
      </c>
      <c r="F7945" s="501" t="s">
        <v>918</v>
      </c>
      <c r="G7945" s="501" t="s">
        <v>919</v>
      </c>
      <c r="H7945" s="501" t="s">
        <v>9799</v>
      </c>
      <c r="I7945" s="501">
        <v>103</v>
      </c>
      <c r="J7945" s="501">
        <v>45</v>
      </c>
      <c r="K7945" s="501">
        <v>0</v>
      </c>
      <c r="L7945" s="501">
        <v>0</v>
      </c>
      <c r="M7945" s="501">
        <v>0</v>
      </c>
      <c r="N7945" s="501">
        <v>0</v>
      </c>
      <c r="O7945" s="506">
        <v>58</v>
      </c>
    </row>
    <row r="7946" spans="1:15" x14ac:dyDescent="0.35">
      <c r="A7946" s="503" t="s">
        <v>11368</v>
      </c>
      <c r="B7946" s="504">
        <v>5083</v>
      </c>
      <c r="C7946" s="504" t="s">
        <v>1094</v>
      </c>
      <c r="D7946" s="504" t="s">
        <v>3380</v>
      </c>
      <c r="E7946" s="504" t="s">
        <v>3381</v>
      </c>
      <c r="F7946" s="504" t="s">
        <v>918</v>
      </c>
      <c r="G7946" s="504" t="s">
        <v>919</v>
      </c>
      <c r="H7946" s="504" t="s">
        <v>12081</v>
      </c>
      <c r="I7946" s="504">
        <v>57</v>
      </c>
      <c r="J7946" s="504">
        <v>57</v>
      </c>
      <c r="K7946" s="504">
        <v>0</v>
      </c>
      <c r="L7946" s="504">
        <v>0</v>
      </c>
      <c r="M7946" s="504">
        <v>0</v>
      </c>
      <c r="N7946" s="504">
        <v>0</v>
      </c>
      <c r="O7946" s="505">
        <v>0</v>
      </c>
    </row>
    <row r="7947" spans="1:15" x14ac:dyDescent="0.35">
      <c r="A7947" s="500" t="s">
        <v>2096</v>
      </c>
      <c r="B7947" s="501" t="s">
        <v>2564</v>
      </c>
      <c r="C7947" s="501" t="s">
        <v>1089</v>
      </c>
      <c r="D7947" s="501" t="s">
        <v>3392</v>
      </c>
      <c r="E7947" s="501" t="s">
        <v>3381</v>
      </c>
      <c r="F7947" s="501" t="s">
        <v>918</v>
      </c>
      <c r="G7947" s="501" t="s">
        <v>919</v>
      </c>
      <c r="H7947" s="501" t="s">
        <v>9800</v>
      </c>
      <c r="I7947" s="501">
        <v>10</v>
      </c>
      <c r="J7947" s="501">
        <v>10</v>
      </c>
      <c r="K7947" s="501">
        <v>0</v>
      </c>
      <c r="L7947" s="501">
        <v>0</v>
      </c>
      <c r="M7947" s="501">
        <v>0</v>
      </c>
      <c r="N7947" s="501">
        <v>0</v>
      </c>
      <c r="O7947" s="506">
        <v>0</v>
      </c>
    </row>
    <row r="7948" spans="1:15" x14ac:dyDescent="0.35">
      <c r="A7948" s="503" t="s">
        <v>1235</v>
      </c>
      <c r="B7948" s="504">
        <v>4684</v>
      </c>
      <c r="C7948" s="504" t="s">
        <v>1094</v>
      </c>
      <c r="D7948" s="504" t="s">
        <v>3380</v>
      </c>
      <c r="E7948" s="504" t="s">
        <v>3381</v>
      </c>
      <c r="F7948" s="504" t="s">
        <v>918</v>
      </c>
      <c r="G7948" s="504" t="s">
        <v>919</v>
      </c>
      <c r="H7948" s="504" t="s">
        <v>9801</v>
      </c>
      <c r="I7948" s="504">
        <v>10</v>
      </c>
      <c r="J7948" s="504">
        <v>0</v>
      </c>
      <c r="K7948" s="504">
        <v>0</v>
      </c>
      <c r="L7948" s="504">
        <v>0</v>
      </c>
      <c r="M7948" s="504">
        <v>0</v>
      </c>
      <c r="N7948" s="504">
        <v>0</v>
      </c>
      <c r="O7948" s="505">
        <v>10</v>
      </c>
    </row>
    <row r="7949" spans="1:15" x14ac:dyDescent="0.35">
      <c r="A7949" s="500" t="s">
        <v>1126</v>
      </c>
      <c r="B7949" s="501" t="s">
        <v>2974</v>
      </c>
      <c r="C7949" s="501" t="s">
        <v>1094</v>
      </c>
      <c r="D7949" s="501" t="s">
        <v>3380</v>
      </c>
      <c r="E7949" s="501" t="s">
        <v>3381</v>
      </c>
      <c r="F7949" s="501" t="s">
        <v>918</v>
      </c>
      <c r="G7949" s="501" t="s">
        <v>919</v>
      </c>
      <c r="H7949" s="501" t="s">
        <v>9802</v>
      </c>
      <c r="I7949" s="501">
        <v>50</v>
      </c>
      <c r="J7949" s="501">
        <v>40</v>
      </c>
      <c r="K7949" s="501">
        <v>0</v>
      </c>
      <c r="L7949" s="501">
        <v>0</v>
      </c>
      <c r="M7949" s="501">
        <v>0</v>
      </c>
      <c r="N7949" s="501">
        <v>0</v>
      </c>
      <c r="O7949" s="506">
        <v>10</v>
      </c>
    </row>
    <row r="7950" spans="1:15" x14ac:dyDescent="0.35">
      <c r="A7950" s="503" t="s">
        <v>1240</v>
      </c>
      <c r="B7950" s="504" t="s">
        <v>2972</v>
      </c>
      <c r="C7950" s="504" t="s">
        <v>1094</v>
      </c>
      <c r="D7950" s="504" t="s">
        <v>3380</v>
      </c>
      <c r="E7950" s="504" t="s">
        <v>3381</v>
      </c>
      <c r="F7950" s="504" t="s">
        <v>918</v>
      </c>
      <c r="G7950" s="504" t="s">
        <v>919</v>
      </c>
      <c r="H7950" s="504" t="s">
        <v>9803</v>
      </c>
      <c r="I7950" s="504">
        <v>231</v>
      </c>
      <c r="J7950" s="504">
        <v>162</v>
      </c>
      <c r="K7950" s="504">
        <v>0</v>
      </c>
      <c r="L7950" s="504">
        <v>0</v>
      </c>
      <c r="M7950" s="504">
        <v>0</v>
      </c>
      <c r="N7950" s="504">
        <v>0</v>
      </c>
      <c r="O7950" s="505">
        <v>69</v>
      </c>
    </row>
    <row r="7951" spans="1:15" x14ac:dyDescent="0.35">
      <c r="A7951" s="500" t="s">
        <v>1134</v>
      </c>
      <c r="B7951" s="501" t="s">
        <v>3066</v>
      </c>
      <c r="C7951" s="501" t="s">
        <v>1094</v>
      </c>
      <c r="D7951" s="501" t="s">
        <v>3380</v>
      </c>
      <c r="E7951" s="501" t="s">
        <v>3381</v>
      </c>
      <c r="F7951" s="501" t="s">
        <v>918</v>
      </c>
      <c r="G7951" s="501" t="s">
        <v>919</v>
      </c>
      <c r="H7951" s="501" t="s">
        <v>12175</v>
      </c>
      <c r="I7951" s="501">
        <v>112</v>
      </c>
      <c r="J7951" s="501">
        <v>99</v>
      </c>
      <c r="K7951" s="501">
        <v>0</v>
      </c>
      <c r="L7951" s="501">
        <v>0</v>
      </c>
      <c r="M7951" s="501">
        <v>0</v>
      </c>
      <c r="N7951" s="501">
        <v>0</v>
      </c>
      <c r="O7951" s="506">
        <v>13</v>
      </c>
    </row>
    <row r="7952" spans="1:15" x14ac:dyDescent="0.35">
      <c r="A7952" s="503" t="s">
        <v>2121</v>
      </c>
      <c r="B7952" s="504" t="s">
        <v>2539</v>
      </c>
      <c r="C7952" s="504" t="s">
        <v>1089</v>
      </c>
      <c r="D7952" s="504" t="s">
        <v>3392</v>
      </c>
      <c r="E7952" s="504" t="s">
        <v>3381</v>
      </c>
      <c r="F7952" s="504" t="s">
        <v>918</v>
      </c>
      <c r="G7952" s="504" t="s">
        <v>919</v>
      </c>
      <c r="H7952" s="504" t="s">
        <v>9804</v>
      </c>
      <c r="I7952" s="504">
        <v>46</v>
      </c>
      <c r="J7952" s="504">
        <v>0</v>
      </c>
      <c r="K7952" s="504">
        <v>0</v>
      </c>
      <c r="L7952" s="504">
        <v>0</v>
      </c>
      <c r="M7952" s="504">
        <v>46</v>
      </c>
      <c r="N7952" s="504">
        <v>0</v>
      </c>
      <c r="O7952" s="505">
        <v>0</v>
      </c>
    </row>
    <row r="7953" spans="1:15" x14ac:dyDescent="0.35">
      <c r="A7953" s="500" t="s">
        <v>2128</v>
      </c>
      <c r="B7953" s="501" t="s">
        <v>3133</v>
      </c>
      <c r="C7953" s="501" t="s">
        <v>1089</v>
      </c>
      <c r="D7953" s="501" t="s">
        <v>3392</v>
      </c>
      <c r="E7953" s="501" t="s">
        <v>3381</v>
      </c>
      <c r="F7953" s="501" t="s">
        <v>918</v>
      </c>
      <c r="G7953" s="501" t="s">
        <v>919</v>
      </c>
      <c r="H7953" s="501" t="s">
        <v>9805</v>
      </c>
      <c r="I7953" s="501">
        <v>389</v>
      </c>
      <c r="J7953" s="501">
        <v>389</v>
      </c>
      <c r="K7953" s="501">
        <v>0</v>
      </c>
      <c r="L7953" s="501">
        <v>0</v>
      </c>
      <c r="M7953" s="501">
        <v>0</v>
      </c>
      <c r="N7953" s="501">
        <v>0</v>
      </c>
      <c r="O7953" s="506">
        <v>0</v>
      </c>
    </row>
    <row r="7954" spans="1:15" x14ac:dyDescent="0.35">
      <c r="A7954" s="503" t="s">
        <v>2129</v>
      </c>
      <c r="B7954" s="504" t="s">
        <v>2578</v>
      </c>
      <c r="C7954" s="504" t="s">
        <v>1089</v>
      </c>
      <c r="D7954" s="504" t="s">
        <v>3392</v>
      </c>
      <c r="E7954" s="504" t="s">
        <v>3381</v>
      </c>
      <c r="F7954" s="504" t="s">
        <v>918</v>
      </c>
      <c r="G7954" s="504" t="s">
        <v>919</v>
      </c>
      <c r="H7954" s="504" t="s">
        <v>9806</v>
      </c>
      <c r="I7954" s="504">
        <v>12</v>
      </c>
      <c r="J7954" s="504">
        <v>12</v>
      </c>
      <c r="K7954" s="504">
        <v>0</v>
      </c>
      <c r="L7954" s="504">
        <v>0</v>
      </c>
      <c r="M7954" s="504">
        <v>0</v>
      </c>
      <c r="N7954" s="504">
        <v>0</v>
      </c>
      <c r="O7954" s="505">
        <v>0</v>
      </c>
    </row>
    <row r="7955" spans="1:15" x14ac:dyDescent="0.35">
      <c r="A7955" s="500" t="s">
        <v>1093</v>
      </c>
      <c r="B7955" s="501" t="s">
        <v>3248</v>
      </c>
      <c r="C7955" s="501" t="s">
        <v>1094</v>
      </c>
      <c r="D7955" s="501" t="s">
        <v>3380</v>
      </c>
      <c r="E7955" s="501" t="s">
        <v>3381</v>
      </c>
      <c r="F7955" s="501" t="s">
        <v>920</v>
      </c>
      <c r="G7955" s="501" t="s">
        <v>921</v>
      </c>
      <c r="H7955" s="501" t="s">
        <v>9807</v>
      </c>
      <c r="I7955" s="501">
        <v>7</v>
      </c>
      <c r="J7955" s="501">
        <v>0</v>
      </c>
      <c r="K7955" s="501">
        <v>0</v>
      </c>
      <c r="L7955" s="501">
        <v>4</v>
      </c>
      <c r="M7955" s="501">
        <v>0</v>
      </c>
      <c r="N7955" s="501">
        <v>0</v>
      </c>
      <c r="O7955" s="506">
        <v>3</v>
      </c>
    </row>
    <row r="7956" spans="1:15" x14ac:dyDescent="0.35">
      <c r="A7956" s="503" t="s">
        <v>1096</v>
      </c>
      <c r="B7956" s="504" t="s">
        <v>3326</v>
      </c>
      <c r="C7956" s="504" t="s">
        <v>1094</v>
      </c>
      <c r="D7956" s="504" t="s">
        <v>3380</v>
      </c>
      <c r="E7956" s="504" t="s">
        <v>3381</v>
      </c>
      <c r="F7956" s="504" t="s">
        <v>920</v>
      </c>
      <c r="G7956" s="504" t="s">
        <v>921</v>
      </c>
      <c r="H7956" s="504" t="s">
        <v>9808</v>
      </c>
      <c r="I7956" s="504">
        <v>86</v>
      </c>
      <c r="J7956" s="504">
        <v>0</v>
      </c>
      <c r="K7956" s="504">
        <v>0</v>
      </c>
      <c r="L7956" s="504">
        <v>0</v>
      </c>
      <c r="M7956" s="504">
        <v>86</v>
      </c>
      <c r="N7956" s="504">
        <v>0</v>
      </c>
      <c r="O7956" s="505">
        <v>0</v>
      </c>
    </row>
    <row r="7957" spans="1:15" x14ac:dyDescent="0.35">
      <c r="A7957" s="500" t="s">
        <v>1098</v>
      </c>
      <c r="B7957" s="501">
        <v>4691</v>
      </c>
      <c r="C7957" s="501" t="s">
        <v>1094</v>
      </c>
      <c r="D7957" s="501" t="s">
        <v>3380</v>
      </c>
      <c r="E7957" s="501" t="s">
        <v>3381</v>
      </c>
      <c r="F7957" s="501" t="s">
        <v>920</v>
      </c>
      <c r="G7957" s="501" t="s">
        <v>921</v>
      </c>
      <c r="H7957" s="501" t="s">
        <v>9809</v>
      </c>
      <c r="I7957" s="501">
        <v>33</v>
      </c>
      <c r="J7957" s="501">
        <v>33</v>
      </c>
      <c r="K7957" s="501">
        <v>0</v>
      </c>
      <c r="L7957" s="501">
        <v>0</v>
      </c>
      <c r="M7957" s="501">
        <v>0</v>
      </c>
      <c r="N7957" s="501">
        <v>0</v>
      </c>
      <c r="O7957" s="506">
        <v>0</v>
      </c>
    </row>
    <row r="7958" spans="1:15" x14ac:dyDescent="0.35">
      <c r="A7958" s="503" t="s">
        <v>1277</v>
      </c>
      <c r="B7958" s="504" t="s">
        <v>3056</v>
      </c>
      <c r="C7958" s="504" t="s">
        <v>1089</v>
      </c>
      <c r="D7958" s="504" t="s">
        <v>3392</v>
      </c>
      <c r="E7958" s="504" t="s">
        <v>3381</v>
      </c>
      <c r="F7958" s="504" t="s">
        <v>920</v>
      </c>
      <c r="G7958" s="504" t="s">
        <v>921</v>
      </c>
      <c r="H7958" s="504" t="s">
        <v>9810</v>
      </c>
      <c r="I7958" s="504">
        <v>37</v>
      </c>
      <c r="J7958" s="504">
        <v>23</v>
      </c>
      <c r="K7958" s="504">
        <v>0</v>
      </c>
      <c r="L7958" s="504">
        <v>14</v>
      </c>
      <c r="M7958" s="504">
        <v>0</v>
      </c>
      <c r="N7958" s="504">
        <v>0</v>
      </c>
      <c r="O7958" s="505">
        <v>0</v>
      </c>
    </row>
    <row r="7959" spans="1:15" x14ac:dyDescent="0.35">
      <c r="A7959" s="500" t="s">
        <v>1403</v>
      </c>
      <c r="B7959" s="501">
        <v>4733</v>
      </c>
      <c r="C7959" s="501" t="s">
        <v>1089</v>
      </c>
      <c r="D7959" s="501" t="s">
        <v>3392</v>
      </c>
      <c r="E7959" s="501" t="s">
        <v>3381</v>
      </c>
      <c r="F7959" s="501" t="s">
        <v>920</v>
      </c>
      <c r="G7959" s="501" t="s">
        <v>921</v>
      </c>
      <c r="H7959" s="501" t="s">
        <v>11617</v>
      </c>
      <c r="I7959" s="501">
        <v>8</v>
      </c>
      <c r="J7959" s="501">
        <v>0</v>
      </c>
      <c r="K7959" s="501">
        <v>8</v>
      </c>
      <c r="L7959" s="501">
        <v>0</v>
      </c>
      <c r="M7959" s="501">
        <v>0</v>
      </c>
      <c r="N7959" s="501">
        <v>0</v>
      </c>
      <c r="O7959" s="506">
        <v>0</v>
      </c>
    </row>
    <row r="7960" spans="1:15" x14ac:dyDescent="0.35">
      <c r="A7960" s="503" t="s">
        <v>1158</v>
      </c>
      <c r="B7960" s="504">
        <v>4819</v>
      </c>
      <c r="C7960" s="504" t="s">
        <v>1094</v>
      </c>
      <c r="D7960" s="504" t="s">
        <v>3380</v>
      </c>
      <c r="E7960" s="504" t="s">
        <v>3381</v>
      </c>
      <c r="F7960" s="504" t="s">
        <v>920</v>
      </c>
      <c r="G7960" s="504" t="s">
        <v>921</v>
      </c>
      <c r="H7960" s="504" t="s">
        <v>9811</v>
      </c>
      <c r="I7960" s="504">
        <v>237</v>
      </c>
      <c r="J7960" s="504">
        <v>195</v>
      </c>
      <c r="K7960" s="504">
        <v>0</v>
      </c>
      <c r="L7960" s="504">
        <v>7</v>
      </c>
      <c r="M7960" s="504">
        <v>0</v>
      </c>
      <c r="N7960" s="504">
        <v>0</v>
      </c>
      <c r="O7960" s="505">
        <v>35</v>
      </c>
    </row>
    <row r="7961" spans="1:15" x14ac:dyDescent="0.35">
      <c r="A7961" s="500" t="s">
        <v>1819</v>
      </c>
      <c r="B7961" s="501" t="s">
        <v>3175</v>
      </c>
      <c r="C7961" s="501" t="s">
        <v>1094</v>
      </c>
      <c r="D7961" s="501" t="s">
        <v>3380</v>
      </c>
      <c r="E7961" s="501" t="s">
        <v>3381</v>
      </c>
      <c r="F7961" s="501" t="s">
        <v>920</v>
      </c>
      <c r="G7961" s="501" t="s">
        <v>921</v>
      </c>
      <c r="H7961" s="501" t="s">
        <v>9812</v>
      </c>
      <c r="I7961" s="501">
        <v>62</v>
      </c>
      <c r="J7961" s="501">
        <v>42</v>
      </c>
      <c r="K7961" s="501">
        <v>0</v>
      </c>
      <c r="L7961" s="501">
        <v>0</v>
      </c>
      <c r="M7961" s="501">
        <v>0</v>
      </c>
      <c r="N7961" s="501">
        <v>0</v>
      </c>
      <c r="O7961" s="506">
        <v>20</v>
      </c>
    </row>
    <row r="7962" spans="1:15" x14ac:dyDescent="0.35">
      <c r="A7962" s="503" t="s">
        <v>1172</v>
      </c>
      <c r="B7962" s="504">
        <v>4648</v>
      </c>
      <c r="C7962" s="504" t="s">
        <v>1089</v>
      </c>
      <c r="D7962" s="504" t="s">
        <v>3392</v>
      </c>
      <c r="E7962" s="504" t="s">
        <v>3381</v>
      </c>
      <c r="F7962" s="504" t="s">
        <v>920</v>
      </c>
      <c r="G7962" s="504" t="s">
        <v>921</v>
      </c>
      <c r="H7962" s="504" t="s">
        <v>9813</v>
      </c>
      <c r="I7962" s="504">
        <v>7</v>
      </c>
      <c r="J7962" s="504">
        <v>0</v>
      </c>
      <c r="K7962" s="504">
        <v>0</v>
      </c>
      <c r="L7962" s="504">
        <v>7</v>
      </c>
      <c r="M7962" s="504">
        <v>0</v>
      </c>
      <c r="N7962" s="504">
        <v>0</v>
      </c>
      <c r="O7962" s="505">
        <v>0</v>
      </c>
    </row>
    <row r="7963" spans="1:15" x14ac:dyDescent="0.35">
      <c r="A7963" s="500" t="s">
        <v>1975</v>
      </c>
      <c r="B7963" s="501" t="s">
        <v>3268</v>
      </c>
      <c r="C7963" s="501" t="s">
        <v>1089</v>
      </c>
      <c r="D7963" s="501" t="s">
        <v>3392</v>
      </c>
      <c r="E7963" s="501" t="s">
        <v>3381</v>
      </c>
      <c r="F7963" s="501" t="s">
        <v>920</v>
      </c>
      <c r="G7963" s="501" t="s">
        <v>921</v>
      </c>
      <c r="H7963" s="501" t="s">
        <v>9814</v>
      </c>
      <c r="I7963" s="501">
        <v>1</v>
      </c>
      <c r="J7963" s="501">
        <v>1</v>
      </c>
      <c r="K7963" s="501">
        <v>0</v>
      </c>
      <c r="L7963" s="501">
        <v>0</v>
      </c>
      <c r="M7963" s="501">
        <v>0</v>
      </c>
      <c r="N7963" s="501">
        <v>0</v>
      </c>
      <c r="O7963" s="506">
        <v>0</v>
      </c>
    </row>
    <row r="7964" spans="1:15" x14ac:dyDescent="0.35">
      <c r="A7964" s="503" t="s">
        <v>1174</v>
      </c>
      <c r="B7964" s="504">
        <v>4784</v>
      </c>
      <c r="C7964" s="504" t="s">
        <v>1089</v>
      </c>
      <c r="D7964" s="504" t="s">
        <v>3392</v>
      </c>
      <c r="E7964" s="504" t="s">
        <v>3381</v>
      </c>
      <c r="F7964" s="504" t="s">
        <v>920</v>
      </c>
      <c r="G7964" s="504" t="s">
        <v>921</v>
      </c>
      <c r="H7964" s="504" t="s">
        <v>9815</v>
      </c>
      <c r="I7964" s="504">
        <v>12</v>
      </c>
      <c r="J7964" s="504">
        <v>0</v>
      </c>
      <c r="K7964" s="504">
        <v>0</v>
      </c>
      <c r="L7964" s="504">
        <v>12</v>
      </c>
      <c r="M7964" s="504">
        <v>0</v>
      </c>
      <c r="N7964" s="504">
        <v>0</v>
      </c>
      <c r="O7964" s="505">
        <v>0</v>
      </c>
    </row>
    <row r="7965" spans="1:15" x14ac:dyDescent="0.35">
      <c r="A7965" s="500" t="s">
        <v>1177</v>
      </c>
      <c r="B7965" s="501">
        <v>4702</v>
      </c>
      <c r="C7965" s="501" t="s">
        <v>1089</v>
      </c>
      <c r="D7965" s="501" t="s">
        <v>3392</v>
      </c>
      <c r="E7965" s="501" t="s">
        <v>3381</v>
      </c>
      <c r="F7965" s="501" t="s">
        <v>920</v>
      </c>
      <c r="G7965" s="501" t="s">
        <v>921</v>
      </c>
      <c r="H7965" s="501" t="s">
        <v>9816</v>
      </c>
      <c r="I7965" s="501">
        <v>3</v>
      </c>
      <c r="J7965" s="501">
        <v>0</v>
      </c>
      <c r="K7965" s="501">
        <v>0</v>
      </c>
      <c r="L7965" s="501">
        <v>3</v>
      </c>
      <c r="M7965" s="501">
        <v>0</v>
      </c>
      <c r="N7965" s="501">
        <v>0</v>
      </c>
      <c r="O7965" s="506">
        <v>0</v>
      </c>
    </row>
    <row r="7966" spans="1:15" x14ac:dyDescent="0.35">
      <c r="A7966" s="503" t="s">
        <v>1980</v>
      </c>
      <c r="B7966" s="504" t="s">
        <v>3264</v>
      </c>
      <c r="C7966" s="504" t="s">
        <v>1089</v>
      </c>
      <c r="D7966" s="504" t="s">
        <v>3392</v>
      </c>
      <c r="E7966" s="504" t="s">
        <v>3381</v>
      </c>
      <c r="F7966" s="504" t="s">
        <v>920</v>
      </c>
      <c r="G7966" s="504" t="s">
        <v>921</v>
      </c>
      <c r="H7966" s="504" t="s">
        <v>9817</v>
      </c>
      <c r="I7966" s="504">
        <v>8</v>
      </c>
      <c r="J7966" s="504">
        <v>8</v>
      </c>
      <c r="K7966" s="504">
        <v>0</v>
      </c>
      <c r="L7966" s="504">
        <v>0</v>
      </c>
      <c r="M7966" s="504">
        <v>0</v>
      </c>
      <c r="N7966" s="504">
        <v>0</v>
      </c>
      <c r="O7966" s="505">
        <v>0</v>
      </c>
    </row>
    <row r="7967" spans="1:15" x14ac:dyDescent="0.35">
      <c r="A7967" s="500" t="s">
        <v>14203</v>
      </c>
      <c r="B7967" s="501" t="s">
        <v>11450</v>
      </c>
      <c r="C7967" s="501" t="s">
        <v>1089</v>
      </c>
      <c r="D7967" s="501" t="s">
        <v>3392</v>
      </c>
      <c r="E7967" s="501" t="s">
        <v>3381</v>
      </c>
      <c r="F7967" s="501" t="s">
        <v>920</v>
      </c>
      <c r="G7967" s="501" t="s">
        <v>921</v>
      </c>
      <c r="H7967" s="501" t="s">
        <v>15125</v>
      </c>
      <c r="I7967" s="501">
        <v>2</v>
      </c>
      <c r="J7967" s="501">
        <v>2</v>
      </c>
      <c r="K7967" s="501">
        <v>0</v>
      </c>
      <c r="L7967" s="501">
        <v>0</v>
      </c>
      <c r="M7967" s="501">
        <v>0</v>
      </c>
      <c r="N7967" s="501">
        <v>0</v>
      </c>
      <c r="O7967" s="506">
        <v>0</v>
      </c>
    </row>
    <row r="7968" spans="1:15" x14ac:dyDescent="0.35">
      <c r="A7968" s="503" t="s">
        <v>1983</v>
      </c>
      <c r="B7968" s="504">
        <v>4584</v>
      </c>
      <c r="C7968" s="504" t="s">
        <v>1094</v>
      </c>
      <c r="D7968" s="504" t="s">
        <v>3380</v>
      </c>
      <c r="E7968" s="504" t="s">
        <v>3381</v>
      </c>
      <c r="F7968" s="504" t="s">
        <v>920</v>
      </c>
      <c r="G7968" s="504" t="s">
        <v>921</v>
      </c>
      <c r="H7968" s="504" t="s">
        <v>9818</v>
      </c>
      <c r="I7968" s="504">
        <v>62</v>
      </c>
      <c r="J7968" s="504">
        <v>43</v>
      </c>
      <c r="K7968" s="504">
        <v>0</v>
      </c>
      <c r="L7968" s="504">
        <v>0</v>
      </c>
      <c r="M7968" s="504">
        <v>0</v>
      </c>
      <c r="N7968" s="504">
        <v>0</v>
      </c>
      <c r="O7968" s="505">
        <v>19</v>
      </c>
    </row>
    <row r="7969" spans="1:15" x14ac:dyDescent="0.35">
      <c r="A7969" s="500" t="s">
        <v>1984</v>
      </c>
      <c r="B7969" s="501" t="s">
        <v>3118</v>
      </c>
      <c r="C7969" s="501" t="s">
        <v>1089</v>
      </c>
      <c r="D7969" s="501" t="s">
        <v>3392</v>
      </c>
      <c r="E7969" s="501" t="s">
        <v>3381</v>
      </c>
      <c r="F7969" s="501" t="s">
        <v>920</v>
      </c>
      <c r="G7969" s="501" t="s">
        <v>921</v>
      </c>
      <c r="H7969" s="501" t="s">
        <v>9819</v>
      </c>
      <c r="I7969" s="501">
        <v>39</v>
      </c>
      <c r="J7969" s="501">
        <v>39</v>
      </c>
      <c r="K7969" s="501">
        <v>0</v>
      </c>
      <c r="L7969" s="501">
        <v>0</v>
      </c>
      <c r="M7969" s="501">
        <v>0</v>
      </c>
      <c r="N7969" s="501">
        <v>0</v>
      </c>
      <c r="O7969" s="506">
        <v>0</v>
      </c>
    </row>
    <row r="7970" spans="1:15" x14ac:dyDescent="0.35">
      <c r="A7970" s="503" t="s">
        <v>14208</v>
      </c>
      <c r="B7970" s="504">
        <v>4803</v>
      </c>
      <c r="C7970" s="504" t="s">
        <v>1094</v>
      </c>
      <c r="D7970" s="504" t="s">
        <v>3380</v>
      </c>
      <c r="E7970" s="504" t="s">
        <v>3381</v>
      </c>
      <c r="F7970" s="504" t="s">
        <v>920</v>
      </c>
      <c r="G7970" s="504" t="s">
        <v>921</v>
      </c>
      <c r="H7970" s="504" t="s">
        <v>15126</v>
      </c>
      <c r="I7970" s="504">
        <v>3</v>
      </c>
      <c r="J7970" s="504">
        <v>0</v>
      </c>
      <c r="K7970" s="504">
        <v>0</v>
      </c>
      <c r="L7970" s="504">
        <v>3</v>
      </c>
      <c r="M7970" s="504">
        <v>0</v>
      </c>
      <c r="N7970" s="504">
        <v>0</v>
      </c>
      <c r="O7970" s="505">
        <v>0</v>
      </c>
    </row>
    <row r="7971" spans="1:15" x14ac:dyDescent="0.35">
      <c r="A7971" s="500" t="s">
        <v>14213</v>
      </c>
      <c r="B7971" s="501" t="s">
        <v>3312</v>
      </c>
      <c r="C7971" s="501" t="s">
        <v>1094</v>
      </c>
      <c r="D7971" s="501" t="s">
        <v>3380</v>
      </c>
      <c r="E7971" s="501" t="s">
        <v>3381</v>
      </c>
      <c r="F7971" s="501" t="s">
        <v>920</v>
      </c>
      <c r="G7971" s="501" t="s">
        <v>921</v>
      </c>
      <c r="H7971" s="501" t="s">
        <v>15127</v>
      </c>
      <c r="I7971" s="501">
        <v>219</v>
      </c>
      <c r="J7971" s="501">
        <v>143</v>
      </c>
      <c r="K7971" s="501">
        <v>0</v>
      </c>
      <c r="L7971" s="501">
        <v>14</v>
      </c>
      <c r="M7971" s="501">
        <v>0</v>
      </c>
      <c r="N7971" s="501">
        <v>0</v>
      </c>
      <c r="O7971" s="506">
        <v>62</v>
      </c>
    </row>
    <row r="7972" spans="1:15" x14ac:dyDescent="0.35">
      <c r="A7972" s="503" t="s">
        <v>1105</v>
      </c>
      <c r="B7972" s="504">
        <v>4668</v>
      </c>
      <c r="C7972" s="504" t="s">
        <v>1094</v>
      </c>
      <c r="D7972" s="504" t="s">
        <v>3380</v>
      </c>
      <c r="E7972" s="504" t="s">
        <v>3381</v>
      </c>
      <c r="F7972" s="504" t="s">
        <v>920</v>
      </c>
      <c r="G7972" s="504" t="s">
        <v>921</v>
      </c>
      <c r="H7972" s="504" t="s">
        <v>9820</v>
      </c>
      <c r="I7972" s="504">
        <v>68</v>
      </c>
      <c r="J7972" s="504">
        <v>0</v>
      </c>
      <c r="K7972" s="504">
        <v>0</v>
      </c>
      <c r="L7972" s="504">
        <v>0</v>
      </c>
      <c r="M7972" s="504">
        <v>0</v>
      </c>
      <c r="N7972" s="504">
        <v>0</v>
      </c>
      <c r="O7972" s="505">
        <v>68</v>
      </c>
    </row>
    <row r="7973" spans="1:15" x14ac:dyDescent="0.35">
      <c r="A7973" s="500" t="s">
        <v>1188</v>
      </c>
      <c r="B7973" s="501">
        <v>4760</v>
      </c>
      <c r="C7973" s="501" t="s">
        <v>1089</v>
      </c>
      <c r="D7973" s="501" t="s">
        <v>3392</v>
      </c>
      <c r="E7973" s="501" t="s">
        <v>3381</v>
      </c>
      <c r="F7973" s="501" t="s">
        <v>920</v>
      </c>
      <c r="G7973" s="501" t="s">
        <v>921</v>
      </c>
      <c r="H7973" s="501" t="s">
        <v>9821</v>
      </c>
      <c r="I7973" s="501">
        <v>13</v>
      </c>
      <c r="J7973" s="501">
        <v>0</v>
      </c>
      <c r="K7973" s="501">
        <v>0</v>
      </c>
      <c r="L7973" s="501">
        <v>13</v>
      </c>
      <c r="M7973" s="501">
        <v>0</v>
      </c>
      <c r="N7973" s="501">
        <v>0</v>
      </c>
      <c r="O7973" s="506">
        <v>0</v>
      </c>
    </row>
    <row r="7974" spans="1:15" x14ac:dyDescent="0.35">
      <c r="A7974" s="503" t="s">
        <v>1107</v>
      </c>
      <c r="B7974" s="504" t="s">
        <v>3109</v>
      </c>
      <c r="C7974" s="504" t="s">
        <v>1094</v>
      </c>
      <c r="D7974" s="504" t="s">
        <v>3380</v>
      </c>
      <c r="E7974" s="504" t="s">
        <v>3381</v>
      </c>
      <c r="F7974" s="504" t="s">
        <v>920</v>
      </c>
      <c r="G7974" s="504" t="s">
        <v>921</v>
      </c>
      <c r="H7974" s="504" t="s">
        <v>9822</v>
      </c>
      <c r="I7974" s="504">
        <v>9</v>
      </c>
      <c r="J7974" s="504">
        <v>0</v>
      </c>
      <c r="K7974" s="504">
        <v>0</v>
      </c>
      <c r="L7974" s="504">
        <v>9</v>
      </c>
      <c r="M7974" s="504">
        <v>0</v>
      </c>
      <c r="N7974" s="504">
        <v>0</v>
      </c>
      <c r="O7974" s="505">
        <v>0</v>
      </c>
    </row>
    <row r="7975" spans="1:15" x14ac:dyDescent="0.35">
      <c r="A7975" s="500" t="s">
        <v>1109</v>
      </c>
      <c r="B7975" s="501" t="s">
        <v>2959</v>
      </c>
      <c r="C7975" s="501" t="s">
        <v>1094</v>
      </c>
      <c r="D7975" s="501" t="s">
        <v>3380</v>
      </c>
      <c r="E7975" s="501" t="s">
        <v>3381</v>
      </c>
      <c r="F7975" s="501" t="s">
        <v>920</v>
      </c>
      <c r="G7975" s="501" t="s">
        <v>921</v>
      </c>
      <c r="H7975" s="501" t="s">
        <v>9823</v>
      </c>
      <c r="I7975" s="501">
        <v>33</v>
      </c>
      <c r="J7975" s="501">
        <v>0</v>
      </c>
      <c r="K7975" s="501">
        <v>0</v>
      </c>
      <c r="L7975" s="501">
        <v>0</v>
      </c>
      <c r="M7975" s="501">
        <v>33</v>
      </c>
      <c r="N7975" s="501">
        <v>0</v>
      </c>
      <c r="O7975" s="506">
        <v>0</v>
      </c>
    </row>
    <row r="7976" spans="1:15" x14ac:dyDescent="0.35">
      <c r="A7976" s="503" t="s">
        <v>1111</v>
      </c>
      <c r="B7976" s="504">
        <v>4873</v>
      </c>
      <c r="C7976" s="504" t="s">
        <v>1094</v>
      </c>
      <c r="D7976" s="504" t="s">
        <v>3380</v>
      </c>
      <c r="E7976" s="504" t="s">
        <v>3381</v>
      </c>
      <c r="F7976" s="504" t="s">
        <v>920</v>
      </c>
      <c r="G7976" s="504" t="s">
        <v>921</v>
      </c>
      <c r="H7976" s="504" t="s">
        <v>9824</v>
      </c>
      <c r="I7976" s="504">
        <v>103</v>
      </c>
      <c r="J7976" s="504">
        <v>71</v>
      </c>
      <c r="K7976" s="504">
        <v>0</v>
      </c>
      <c r="L7976" s="504">
        <v>13</v>
      </c>
      <c r="M7976" s="504">
        <v>0</v>
      </c>
      <c r="N7976" s="504">
        <v>0</v>
      </c>
      <c r="O7976" s="505">
        <v>19</v>
      </c>
    </row>
    <row r="7977" spans="1:15" x14ac:dyDescent="0.35">
      <c r="A7977" s="500" t="s">
        <v>1994</v>
      </c>
      <c r="B7977" s="501" t="s">
        <v>3206</v>
      </c>
      <c r="C7977" s="501" t="s">
        <v>1094</v>
      </c>
      <c r="D7977" s="501" t="s">
        <v>3380</v>
      </c>
      <c r="E7977" s="501" t="s">
        <v>3381</v>
      </c>
      <c r="F7977" s="501" t="s">
        <v>920</v>
      </c>
      <c r="G7977" s="501" t="s">
        <v>921</v>
      </c>
      <c r="H7977" s="501" t="s">
        <v>9825</v>
      </c>
      <c r="I7977" s="501">
        <v>104</v>
      </c>
      <c r="J7977" s="501">
        <v>67</v>
      </c>
      <c r="K7977" s="501">
        <v>0</v>
      </c>
      <c r="L7977" s="501">
        <v>0</v>
      </c>
      <c r="M7977" s="501">
        <v>0</v>
      </c>
      <c r="N7977" s="501">
        <v>0</v>
      </c>
      <c r="O7977" s="506">
        <v>37</v>
      </c>
    </row>
    <row r="7978" spans="1:15" x14ac:dyDescent="0.35">
      <c r="A7978" s="503" t="s">
        <v>14400</v>
      </c>
      <c r="B7978" s="504">
        <v>4727</v>
      </c>
      <c r="C7978" s="504" t="s">
        <v>1089</v>
      </c>
      <c r="D7978" s="504" t="s">
        <v>3392</v>
      </c>
      <c r="E7978" s="504" t="s">
        <v>3381</v>
      </c>
      <c r="F7978" s="504" t="s">
        <v>920</v>
      </c>
      <c r="G7978" s="504" t="s">
        <v>921</v>
      </c>
      <c r="H7978" s="504" t="s">
        <v>15128</v>
      </c>
      <c r="I7978" s="504">
        <v>4</v>
      </c>
      <c r="J7978" s="504">
        <v>0</v>
      </c>
      <c r="K7978" s="504">
        <v>0</v>
      </c>
      <c r="L7978" s="504">
        <v>4</v>
      </c>
      <c r="M7978" s="504">
        <v>0</v>
      </c>
      <c r="N7978" s="504">
        <v>0</v>
      </c>
      <c r="O7978" s="505">
        <v>0</v>
      </c>
    </row>
    <row r="7979" spans="1:15" x14ac:dyDescent="0.35">
      <c r="A7979" s="500" t="s">
        <v>1120</v>
      </c>
      <c r="B7979" s="501" t="s">
        <v>3362</v>
      </c>
      <c r="C7979" s="501" t="s">
        <v>1094</v>
      </c>
      <c r="D7979" s="501" t="s">
        <v>3380</v>
      </c>
      <c r="E7979" s="501" t="s">
        <v>3381</v>
      </c>
      <c r="F7979" s="501" t="s">
        <v>920</v>
      </c>
      <c r="G7979" s="501" t="s">
        <v>921</v>
      </c>
      <c r="H7979" s="501" t="s">
        <v>9826</v>
      </c>
      <c r="I7979" s="501">
        <v>1</v>
      </c>
      <c r="J7979" s="501">
        <v>0</v>
      </c>
      <c r="K7979" s="501">
        <v>0</v>
      </c>
      <c r="L7979" s="501">
        <v>0</v>
      </c>
      <c r="M7979" s="501">
        <v>0</v>
      </c>
      <c r="N7979" s="501">
        <v>0</v>
      </c>
      <c r="O7979" s="506">
        <v>1</v>
      </c>
    </row>
    <row r="7980" spans="1:15" x14ac:dyDescent="0.35">
      <c r="A7980" s="503" t="s">
        <v>1122</v>
      </c>
      <c r="B7980" s="504" t="s">
        <v>2994</v>
      </c>
      <c r="C7980" s="504" t="s">
        <v>1094</v>
      </c>
      <c r="D7980" s="504" t="s">
        <v>3380</v>
      </c>
      <c r="E7980" s="504" t="s">
        <v>3381</v>
      </c>
      <c r="F7980" s="504" t="s">
        <v>920</v>
      </c>
      <c r="G7980" s="504" t="s">
        <v>921</v>
      </c>
      <c r="H7980" s="504" t="s">
        <v>9827</v>
      </c>
      <c r="I7980" s="504">
        <v>13</v>
      </c>
      <c r="J7980" s="504">
        <v>7</v>
      </c>
      <c r="K7980" s="504">
        <v>0</v>
      </c>
      <c r="L7980" s="504">
        <v>0</v>
      </c>
      <c r="M7980" s="504">
        <v>0</v>
      </c>
      <c r="N7980" s="504">
        <v>0</v>
      </c>
      <c r="O7980" s="505">
        <v>6</v>
      </c>
    </row>
    <row r="7981" spans="1:15" x14ac:dyDescent="0.35">
      <c r="A7981" s="500" t="s">
        <v>1225</v>
      </c>
      <c r="B7981" s="501" t="s">
        <v>3315</v>
      </c>
      <c r="C7981" s="501" t="s">
        <v>1094</v>
      </c>
      <c r="D7981" s="501" t="s">
        <v>3380</v>
      </c>
      <c r="E7981" s="501" t="s">
        <v>3381</v>
      </c>
      <c r="F7981" s="501" t="s">
        <v>920</v>
      </c>
      <c r="G7981" s="501" t="s">
        <v>921</v>
      </c>
      <c r="H7981" s="501" t="s">
        <v>9828</v>
      </c>
      <c r="I7981" s="501">
        <v>8</v>
      </c>
      <c r="J7981" s="501">
        <v>8</v>
      </c>
      <c r="K7981" s="501">
        <v>0</v>
      </c>
      <c r="L7981" s="501">
        <v>0</v>
      </c>
      <c r="M7981" s="501">
        <v>0</v>
      </c>
      <c r="N7981" s="501">
        <v>0</v>
      </c>
      <c r="O7981" s="506">
        <v>0</v>
      </c>
    </row>
    <row r="7982" spans="1:15" x14ac:dyDescent="0.35">
      <c r="A7982" s="503" t="s">
        <v>1226</v>
      </c>
      <c r="B7982" s="504">
        <v>5084</v>
      </c>
      <c r="C7982" s="504" t="s">
        <v>1094</v>
      </c>
      <c r="D7982" s="504" t="s">
        <v>3380</v>
      </c>
      <c r="E7982" s="504" t="s">
        <v>3381</v>
      </c>
      <c r="F7982" s="504" t="s">
        <v>920</v>
      </c>
      <c r="G7982" s="504" t="s">
        <v>921</v>
      </c>
      <c r="H7982" s="504" t="s">
        <v>9829</v>
      </c>
      <c r="I7982" s="504">
        <v>64</v>
      </c>
      <c r="J7982" s="504">
        <v>37</v>
      </c>
      <c r="K7982" s="504">
        <v>0</v>
      </c>
      <c r="L7982" s="504">
        <v>0</v>
      </c>
      <c r="M7982" s="504">
        <v>0</v>
      </c>
      <c r="N7982" s="504">
        <v>0</v>
      </c>
      <c r="O7982" s="505">
        <v>27</v>
      </c>
    </row>
    <row r="7983" spans="1:15" x14ac:dyDescent="0.35">
      <c r="A7983" s="500" t="s">
        <v>2008</v>
      </c>
      <c r="B7983" s="501" t="s">
        <v>3323</v>
      </c>
      <c r="C7983" s="501" t="s">
        <v>1094</v>
      </c>
      <c r="D7983" s="501" t="s">
        <v>3380</v>
      </c>
      <c r="E7983" s="501" t="s">
        <v>3381</v>
      </c>
      <c r="F7983" s="501" t="s">
        <v>920</v>
      </c>
      <c r="G7983" s="501" t="s">
        <v>921</v>
      </c>
      <c r="H7983" s="501" t="s">
        <v>9830</v>
      </c>
      <c r="I7983" s="501">
        <v>55</v>
      </c>
      <c r="J7983" s="501">
        <v>44</v>
      </c>
      <c r="K7983" s="501">
        <v>4</v>
      </c>
      <c r="L7983" s="501">
        <v>7</v>
      </c>
      <c r="M7983" s="501">
        <v>0</v>
      </c>
      <c r="N7983" s="501">
        <v>0</v>
      </c>
      <c r="O7983" s="506">
        <v>0</v>
      </c>
    </row>
    <row r="7984" spans="1:15" x14ac:dyDescent="0.35">
      <c r="A7984" s="503" t="s">
        <v>1233</v>
      </c>
      <c r="B7984" s="504">
        <v>4636</v>
      </c>
      <c r="C7984" s="504" t="s">
        <v>1094</v>
      </c>
      <c r="D7984" s="504" t="s">
        <v>3380</v>
      </c>
      <c r="E7984" s="504" t="s">
        <v>3381</v>
      </c>
      <c r="F7984" s="504" t="s">
        <v>920</v>
      </c>
      <c r="G7984" s="504" t="s">
        <v>921</v>
      </c>
      <c r="H7984" s="504" t="s">
        <v>9831</v>
      </c>
      <c r="I7984" s="504">
        <v>33</v>
      </c>
      <c r="J7984" s="504">
        <v>6</v>
      </c>
      <c r="K7984" s="504">
        <v>0</v>
      </c>
      <c r="L7984" s="504">
        <v>0</v>
      </c>
      <c r="M7984" s="504">
        <v>0</v>
      </c>
      <c r="N7984" s="504">
        <v>0</v>
      </c>
      <c r="O7984" s="505">
        <v>27</v>
      </c>
    </row>
    <row r="7985" spans="1:15" x14ac:dyDescent="0.35">
      <c r="A7985" s="500" t="s">
        <v>11368</v>
      </c>
      <c r="B7985" s="501">
        <v>5083</v>
      </c>
      <c r="C7985" s="501" t="s">
        <v>1094</v>
      </c>
      <c r="D7985" s="501" t="s">
        <v>3380</v>
      </c>
      <c r="E7985" s="501" t="s">
        <v>3381</v>
      </c>
      <c r="F7985" s="501" t="s">
        <v>920</v>
      </c>
      <c r="G7985" s="501" t="s">
        <v>921</v>
      </c>
      <c r="H7985" s="501" t="s">
        <v>15129</v>
      </c>
      <c r="I7985" s="501">
        <v>6</v>
      </c>
      <c r="J7985" s="501">
        <v>6</v>
      </c>
      <c r="K7985" s="501">
        <v>0</v>
      </c>
      <c r="L7985" s="501">
        <v>0</v>
      </c>
      <c r="M7985" s="501">
        <v>0</v>
      </c>
      <c r="N7985" s="501">
        <v>0</v>
      </c>
      <c r="O7985" s="506">
        <v>0</v>
      </c>
    </row>
    <row r="7986" spans="1:15" x14ac:dyDescent="0.35">
      <c r="A7986" s="503" t="s">
        <v>1234</v>
      </c>
      <c r="B7986" s="504" t="s">
        <v>3291</v>
      </c>
      <c r="C7986" s="504" t="s">
        <v>1094</v>
      </c>
      <c r="D7986" s="504" t="s">
        <v>3380</v>
      </c>
      <c r="E7986" s="504" t="s">
        <v>3381</v>
      </c>
      <c r="F7986" s="504" t="s">
        <v>920</v>
      </c>
      <c r="G7986" s="504" t="s">
        <v>921</v>
      </c>
      <c r="H7986" s="504" t="s">
        <v>9832</v>
      </c>
      <c r="I7986" s="504">
        <v>46</v>
      </c>
      <c r="J7986" s="504">
        <v>46</v>
      </c>
      <c r="K7986" s="504">
        <v>0</v>
      </c>
      <c r="L7986" s="504">
        <v>0</v>
      </c>
      <c r="M7986" s="504">
        <v>0</v>
      </c>
      <c r="N7986" s="504">
        <v>0</v>
      </c>
      <c r="O7986" s="505">
        <v>0</v>
      </c>
    </row>
    <row r="7987" spans="1:15" x14ac:dyDescent="0.35">
      <c r="A7987" s="500" t="s">
        <v>1235</v>
      </c>
      <c r="B7987" s="501">
        <v>4684</v>
      </c>
      <c r="C7987" s="501" t="s">
        <v>1094</v>
      </c>
      <c r="D7987" s="501" t="s">
        <v>3380</v>
      </c>
      <c r="E7987" s="501" t="s">
        <v>3381</v>
      </c>
      <c r="F7987" s="501" t="s">
        <v>920</v>
      </c>
      <c r="G7987" s="501" t="s">
        <v>921</v>
      </c>
      <c r="H7987" s="501" t="s">
        <v>9833</v>
      </c>
      <c r="I7987" s="501">
        <v>49</v>
      </c>
      <c r="J7987" s="501">
        <v>25</v>
      </c>
      <c r="K7987" s="501">
        <v>0</v>
      </c>
      <c r="L7987" s="501">
        <v>0</v>
      </c>
      <c r="M7987" s="501">
        <v>0</v>
      </c>
      <c r="N7987" s="501">
        <v>0</v>
      </c>
      <c r="O7987" s="506">
        <v>24</v>
      </c>
    </row>
    <row r="7988" spans="1:15" x14ac:dyDescent="0.35">
      <c r="A7988" s="503" t="s">
        <v>1126</v>
      </c>
      <c r="B7988" s="504" t="s">
        <v>2974</v>
      </c>
      <c r="C7988" s="504" t="s">
        <v>1094</v>
      </c>
      <c r="D7988" s="504" t="s">
        <v>3380</v>
      </c>
      <c r="E7988" s="504" t="s">
        <v>3381</v>
      </c>
      <c r="F7988" s="504" t="s">
        <v>920</v>
      </c>
      <c r="G7988" s="504" t="s">
        <v>921</v>
      </c>
      <c r="H7988" s="504" t="s">
        <v>9834</v>
      </c>
      <c r="I7988" s="504">
        <v>314</v>
      </c>
      <c r="J7988" s="504">
        <v>268</v>
      </c>
      <c r="K7988" s="504">
        <v>0</v>
      </c>
      <c r="L7988" s="504">
        <v>4</v>
      </c>
      <c r="M7988" s="504">
        <v>20</v>
      </c>
      <c r="N7988" s="504">
        <v>1</v>
      </c>
      <c r="O7988" s="505">
        <v>22</v>
      </c>
    </row>
    <row r="7989" spans="1:15" x14ac:dyDescent="0.35">
      <c r="A7989" s="500" t="s">
        <v>1132</v>
      </c>
      <c r="B7989" s="501">
        <v>4837</v>
      </c>
      <c r="C7989" s="501" t="s">
        <v>1094</v>
      </c>
      <c r="D7989" s="501" t="s">
        <v>3380</v>
      </c>
      <c r="E7989" s="501" t="s">
        <v>3381</v>
      </c>
      <c r="F7989" s="501" t="s">
        <v>920</v>
      </c>
      <c r="G7989" s="501" t="s">
        <v>921</v>
      </c>
      <c r="H7989" s="501" t="s">
        <v>9835</v>
      </c>
      <c r="I7989" s="501">
        <v>486</v>
      </c>
      <c r="J7989" s="501">
        <v>301</v>
      </c>
      <c r="K7989" s="501">
        <v>0</v>
      </c>
      <c r="L7989" s="501">
        <v>0</v>
      </c>
      <c r="M7989" s="501">
        <v>0</v>
      </c>
      <c r="N7989" s="501">
        <v>0</v>
      </c>
      <c r="O7989" s="506">
        <v>185</v>
      </c>
    </row>
    <row r="7990" spans="1:15" x14ac:dyDescent="0.35">
      <c r="A7990" s="503" t="s">
        <v>1240</v>
      </c>
      <c r="B7990" s="504" t="s">
        <v>2972</v>
      </c>
      <c r="C7990" s="504" t="s">
        <v>1094</v>
      </c>
      <c r="D7990" s="504" t="s">
        <v>3380</v>
      </c>
      <c r="E7990" s="504" t="s">
        <v>3381</v>
      </c>
      <c r="F7990" s="504" t="s">
        <v>920</v>
      </c>
      <c r="G7990" s="504" t="s">
        <v>921</v>
      </c>
      <c r="H7990" s="504" t="s">
        <v>9836</v>
      </c>
      <c r="I7990" s="504">
        <v>38</v>
      </c>
      <c r="J7990" s="504">
        <v>38</v>
      </c>
      <c r="K7990" s="504">
        <v>0</v>
      </c>
      <c r="L7990" s="504">
        <v>0</v>
      </c>
      <c r="M7990" s="504">
        <v>0</v>
      </c>
      <c r="N7990" s="504">
        <v>0</v>
      </c>
      <c r="O7990" s="505">
        <v>0</v>
      </c>
    </row>
    <row r="7991" spans="1:15" x14ac:dyDescent="0.35">
      <c r="A7991" s="500" t="s">
        <v>1134</v>
      </c>
      <c r="B7991" s="501" t="s">
        <v>3066</v>
      </c>
      <c r="C7991" s="501" t="s">
        <v>1094</v>
      </c>
      <c r="D7991" s="501" t="s">
        <v>3380</v>
      </c>
      <c r="E7991" s="501" t="s">
        <v>3381</v>
      </c>
      <c r="F7991" s="501" t="s">
        <v>920</v>
      </c>
      <c r="G7991" s="501" t="s">
        <v>921</v>
      </c>
      <c r="H7991" s="501" t="s">
        <v>9837</v>
      </c>
      <c r="I7991" s="501">
        <v>77</v>
      </c>
      <c r="J7991" s="501">
        <v>55</v>
      </c>
      <c r="K7991" s="501">
        <v>0</v>
      </c>
      <c r="L7991" s="501">
        <v>0</v>
      </c>
      <c r="M7991" s="501">
        <v>0</v>
      </c>
      <c r="N7991" s="501">
        <v>0</v>
      </c>
      <c r="O7991" s="506">
        <v>22</v>
      </c>
    </row>
    <row r="7992" spans="1:15" x14ac:dyDescent="0.35">
      <c r="A7992" s="503" t="s">
        <v>14418</v>
      </c>
      <c r="B7992" s="504">
        <v>4749</v>
      </c>
      <c r="C7992" s="504" t="s">
        <v>1089</v>
      </c>
      <c r="D7992" s="504" t="s">
        <v>3392</v>
      </c>
      <c r="E7992" s="504" t="s">
        <v>3381</v>
      </c>
      <c r="F7992" s="504" t="s">
        <v>920</v>
      </c>
      <c r="G7992" s="504" t="s">
        <v>921</v>
      </c>
      <c r="H7992" s="504" t="s">
        <v>15130</v>
      </c>
      <c r="I7992" s="504">
        <v>6</v>
      </c>
      <c r="J7992" s="504">
        <v>0</v>
      </c>
      <c r="K7992" s="504">
        <v>0</v>
      </c>
      <c r="L7992" s="504">
        <v>6</v>
      </c>
      <c r="M7992" s="504">
        <v>0</v>
      </c>
      <c r="N7992" s="504">
        <v>0</v>
      </c>
      <c r="O7992" s="505">
        <v>0</v>
      </c>
    </row>
    <row r="7993" spans="1:15" x14ac:dyDescent="0.35">
      <c r="A7993" s="500" t="s">
        <v>1249</v>
      </c>
      <c r="B7993" s="501">
        <v>4729</v>
      </c>
      <c r="C7993" s="501" t="s">
        <v>1094</v>
      </c>
      <c r="D7993" s="501" t="s">
        <v>3380</v>
      </c>
      <c r="E7993" s="501" t="s">
        <v>3381</v>
      </c>
      <c r="F7993" s="501" t="s">
        <v>920</v>
      </c>
      <c r="G7993" s="501" t="s">
        <v>921</v>
      </c>
      <c r="H7993" s="501" t="s">
        <v>9838</v>
      </c>
      <c r="I7993" s="501">
        <v>315</v>
      </c>
      <c r="J7993" s="501">
        <v>240</v>
      </c>
      <c r="K7993" s="501">
        <v>0</v>
      </c>
      <c r="L7993" s="501">
        <v>0</v>
      </c>
      <c r="M7993" s="501">
        <v>0</v>
      </c>
      <c r="N7993" s="501">
        <v>0</v>
      </c>
      <c r="O7993" s="506">
        <v>75</v>
      </c>
    </row>
    <row r="7994" spans="1:15" x14ac:dyDescent="0.35">
      <c r="A7994" s="503" t="s">
        <v>2043</v>
      </c>
      <c r="B7994" s="504" t="s">
        <v>2438</v>
      </c>
      <c r="C7994" s="504" t="s">
        <v>1089</v>
      </c>
      <c r="D7994" s="504" t="s">
        <v>3392</v>
      </c>
      <c r="E7994" s="504" t="s">
        <v>3381</v>
      </c>
      <c r="F7994" s="504" t="s">
        <v>920</v>
      </c>
      <c r="G7994" s="504" t="s">
        <v>921</v>
      </c>
      <c r="H7994" s="504" t="s">
        <v>9839</v>
      </c>
      <c r="I7994" s="504">
        <v>7</v>
      </c>
      <c r="J7994" s="504">
        <v>7</v>
      </c>
      <c r="K7994" s="504">
        <v>0</v>
      </c>
      <c r="L7994" s="504">
        <v>0</v>
      </c>
      <c r="M7994" s="504">
        <v>0</v>
      </c>
      <c r="N7994" s="504">
        <v>0</v>
      </c>
      <c r="O7994" s="505">
        <v>0</v>
      </c>
    </row>
    <row r="7995" spans="1:15" x14ac:dyDescent="0.35">
      <c r="A7995" s="500" t="s">
        <v>1253</v>
      </c>
      <c r="B7995" s="501" t="s">
        <v>3232</v>
      </c>
      <c r="C7995" s="501" t="s">
        <v>1094</v>
      </c>
      <c r="D7995" s="501" t="s">
        <v>3380</v>
      </c>
      <c r="E7995" s="501" t="s">
        <v>3381</v>
      </c>
      <c r="F7995" s="501" t="s">
        <v>920</v>
      </c>
      <c r="G7995" s="501" t="s">
        <v>921</v>
      </c>
      <c r="H7995" s="501" t="s">
        <v>9840</v>
      </c>
      <c r="I7995" s="501">
        <v>18</v>
      </c>
      <c r="J7995" s="501">
        <v>0</v>
      </c>
      <c r="K7995" s="501">
        <v>0</v>
      </c>
      <c r="L7995" s="501">
        <v>18</v>
      </c>
      <c r="M7995" s="501">
        <v>0</v>
      </c>
      <c r="N7995" s="501">
        <v>0</v>
      </c>
      <c r="O7995" s="506">
        <v>0</v>
      </c>
    </row>
    <row r="7996" spans="1:15" x14ac:dyDescent="0.35">
      <c r="A7996" s="503" t="s">
        <v>1260</v>
      </c>
      <c r="B7996" s="504">
        <v>4645</v>
      </c>
      <c r="C7996" s="504" t="s">
        <v>1089</v>
      </c>
      <c r="D7996" s="504" t="s">
        <v>3392</v>
      </c>
      <c r="E7996" s="504" t="s">
        <v>3381</v>
      </c>
      <c r="F7996" s="504" t="s">
        <v>920</v>
      </c>
      <c r="G7996" s="504" t="s">
        <v>921</v>
      </c>
      <c r="H7996" s="504" t="s">
        <v>9841</v>
      </c>
      <c r="I7996" s="504">
        <v>14</v>
      </c>
      <c r="J7996" s="504">
        <v>0</v>
      </c>
      <c r="K7996" s="504">
        <v>0</v>
      </c>
      <c r="L7996" s="504">
        <v>14</v>
      </c>
      <c r="M7996" s="504">
        <v>0</v>
      </c>
      <c r="N7996" s="504">
        <v>0</v>
      </c>
      <c r="O7996" s="505">
        <v>0</v>
      </c>
    </row>
    <row r="7997" spans="1:15" x14ac:dyDescent="0.35">
      <c r="A7997" s="500" t="s">
        <v>2047</v>
      </c>
      <c r="B7997" s="501" t="s">
        <v>3187</v>
      </c>
      <c r="C7997" s="501" t="s">
        <v>1094</v>
      </c>
      <c r="D7997" s="501" t="s">
        <v>3380</v>
      </c>
      <c r="E7997" s="501" t="s">
        <v>3381</v>
      </c>
      <c r="F7997" s="501" t="s">
        <v>920</v>
      </c>
      <c r="G7997" s="501" t="s">
        <v>921</v>
      </c>
      <c r="H7997" s="501" t="s">
        <v>9842</v>
      </c>
      <c r="I7997" s="501">
        <v>77</v>
      </c>
      <c r="J7997" s="501">
        <v>54</v>
      </c>
      <c r="K7997" s="501">
        <v>0</v>
      </c>
      <c r="L7997" s="501">
        <v>0</v>
      </c>
      <c r="M7997" s="501">
        <v>0</v>
      </c>
      <c r="N7997" s="501">
        <v>0</v>
      </c>
      <c r="O7997" s="506">
        <v>23</v>
      </c>
    </row>
    <row r="7998" spans="1:15" x14ac:dyDescent="0.35">
      <c r="A7998" s="503" t="s">
        <v>1262</v>
      </c>
      <c r="B7998" s="504">
        <v>4772</v>
      </c>
      <c r="C7998" s="504" t="s">
        <v>1089</v>
      </c>
      <c r="D7998" s="504" t="s">
        <v>3392</v>
      </c>
      <c r="E7998" s="504" t="s">
        <v>3381</v>
      </c>
      <c r="F7998" s="504" t="s">
        <v>920</v>
      </c>
      <c r="G7998" s="504" t="s">
        <v>921</v>
      </c>
      <c r="H7998" s="504" t="s">
        <v>9843</v>
      </c>
      <c r="I7998" s="504">
        <v>3</v>
      </c>
      <c r="J7998" s="504">
        <v>0</v>
      </c>
      <c r="K7998" s="504">
        <v>0</v>
      </c>
      <c r="L7998" s="504">
        <v>3</v>
      </c>
      <c r="M7998" s="504">
        <v>0</v>
      </c>
      <c r="N7998" s="504">
        <v>0</v>
      </c>
      <c r="O7998" s="505">
        <v>0</v>
      </c>
    </row>
    <row r="7999" spans="1:15" x14ac:dyDescent="0.35">
      <c r="A7999" s="500" t="s">
        <v>1143</v>
      </c>
      <c r="B7999" s="501" t="s">
        <v>3281</v>
      </c>
      <c r="C7999" s="501" t="s">
        <v>1094</v>
      </c>
      <c r="D7999" s="501" t="s">
        <v>3380</v>
      </c>
      <c r="E7999" s="501" t="s">
        <v>3381</v>
      </c>
      <c r="F7999" s="501" t="s">
        <v>922</v>
      </c>
      <c r="G7999" s="501" t="s">
        <v>923</v>
      </c>
      <c r="H7999" s="501" t="s">
        <v>9844</v>
      </c>
      <c r="I7999" s="501">
        <v>90</v>
      </c>
      <c r="J7999" s="501">
        <v>90</v>
      </c>
      <c r="K7999" s="501">
        <v>0</v>
      </c>
      <c r="L7999" s="501">
        <v>0</v>
      </c>
      <c r="M7999" s="501">
        <v>0</v>
      </c>
      <c r="N7999" s="501">
        <v>0</v>
      </c>
      <c r="O7999" s="506">
        <v>0</v>
      </c>
    </row>
    <row r="8000" spans="1:15" x14ac:dyDescent="0.35">
      <c r="A8000" s="503" t="s">
        <v>1612</v>
      </c>
      <c r="B8000" s="504" t="s">
        <v>2493</v>
      </c>
      <c r="C8000" s="504" t="s">
        <v>1089</v>
      </c>
      <c r="D8000" s="504" t="s">
        <v>3392</v>
      </c>
      <c r="E8000" s="504" t="s">
        <v>3381</v>
      </c>
      <c r="F8000" s="504" t="s">
        <v>922</v>
      </c>
      <c r="G8000" s="504" t="s">
        <v>923</v>
      </c>
      <c r="H8000" s="504" t="s">
        <v>9845</v>
      </c>
      <c r="I8000" s="504">
        <v>31</v>
      </c>
      <c r="J8000" s="504">
        <v>31</v>
      </c>
      <c r="K8000" s="504">
        <v>0</v>
      </c>
      <c r="L8000" s="504">
        <v>0</v>
      </c>
      <c r="M8000" s="504">
        <v>0</v>
      </c>
      <c r="N8000" s="504">
        <v>3</v>
      </c>
      <c r="O8000" s="505">
        <v>0</v>
      </c>
    </row>
    <row r="8001" spans="1:15" x14ac:dyDescent="0.35">
      <c r="A8001" s="500" t="s">
        <v>1096</v>
      </c>
      <c r="B8001" s="501" t="s">
        <v>3326</v>
      </c>
      <c r="C8001" s="501" t="s">
        <v>1094</v>
      </c>
      <c r="D8001" s="501" t="s">
        <v>3380</v>
      </c>
      <c r="E8001" s="501" t="s">
        <v>3381</v>
      </c>
      <c r="F8001" s="501" t="s">
        <v>922</v>
      </c>
      <c r="G8001" s="501" t="s">
        <v>923</v>
      </c>
      <c r="H8001" s="501" t="s">
        <v>9846</v>
      </c>
      <c r="I8001" s="501">
        <v>523</v>
      </c>
      <c r="J8001" s="501">
        <v>0</v>
      </c>
      <c r="K8001" s="501">
        <v>0</v>
      </c>
      <c r="L8001" s="501">
        <v>0</v>
      </c>
      <c r="M8001" s="501">
        <v>523</v>
      </c>
      <c r="N8001" s="501">
        <v>0</v>
      </c>
      <c r="O8001" s="506">
        <v>0</v>
      </c>
    </row>
    <row r="8002" spans="1:15" x14ac:dyDescent="0.35">
      <c r="A8002" s="503" t="s">
        <v>1614</v>
      </c>
      <c r="B8002" s="504" t="s">
        <v>2739</v>
      </c>
      <c r="C8002" s="504" t="s">
        <v>1089</v>
      </c>
      <c r="D8002" s="504" t="s">
        <v>3392</v>
      </c>
      <c r="E8002" s="504" t="s">
        <v>3381</v>
      </c>
      <c r="F8002" s="504" t="s">
        <v>922</v>
      </c>
      <c r="G8002" s="504" t="s">
        <v>923</v>
      </c>
      <c r="H8002" s="504" t="s">
        <v>9847</v>
      </c>
      <c r="I8002" s="504">
        <v>31</v>
      </c>
      <c r="J8002" s="504">
        <v>31</v>
      </c>
      <c r="K8002" s="504">
        <v>0</v>
      </c>
      <c r="L8002" s="504">
        <v>0</v>
      </c>
      <c r="M8002" s="504">
        <v>0</v>
      </c>
      <c r="N8002" s="504">
        <v>0</v>
      </c>
      <c r="O8002" s="505">
        <v>0</v>
      </c>
    </row>
    <row r="8003" spans="1:15" x14ac:dyDescent="0.35">
      <c r="A8003" s="500" t="s">
        <v>11370</v>
      </c>
      <c r="B8003" s="501">
        <v>4690</v>
      </c>
      <c r="C8003" s="501" t="s">
        <v>1089</v>
      </c>
      <c r="D8003" s="501" t="s">
        <v>3392</v>
      </c>
      <c r="E8003" s="501" t="s">
        <v>3381</v>
      </c>
      <c r="F8003" s="501" t="s">
        <v>922</v>
      </c>
      <c r="G8003" s="501" t="s">
        <v>923</v>
      </c>
      <c r="H8003" s="501" t="s">
        <v>11507</v>
      </c>
      <c r="I8003" s="501">
        <v>17</v>
      </c>
      <c r="J8003" s="501">
        <v>0</v>
      </c>
      <c r="K8003" s="501">
        <v>0</v>
      </c>
      <c r="L8003" s="501">
        <v>17</v>
      </c>
      <c r="M8003" s="501">
        <v>0</v>
      </c>
      <c r="N8003" s="501">
        <v>0</v>
      </c>
      <c r="O8003" s="506">
        <v>0</v>
      </c>
    </row>
    <row r="8004" spans="1:15" x14ac:dyDescent="0.35">
      <c r="A8004" s="503" t="s">
        <v>1615</v>
      </c>
      <c r="B8004" s="504">
        <v>5071</v>
      </c>
      <c r="C8004" s="504" t="s">
        <v>1094</v>
      </c>
      <c r="D8004" s="504" t="s">
        <v>3380</v>
      </c>
      <c r="E8004" s="504" t="s">
        <v>3381</v>
      </c>
      <c r="F8004" s="504" t="s">
        <v>922</v>
      </c>
      <c r="G8004" s="504" t="s">
        <v>923</v>
      </c>
      <c r="H8004" s="504" t="s">
        <v>9848</v>
      </c>
      <c r="I8004" s="504">
        <v>51</v>
      </c>
      <c r="J8004" s="504">
        <v>51</v>
      </c>
      <c r="K8004" s="504">
        <v>0</v>
      </c>
      <c r="L8004" s="504">
        <v>0</v>
      </c>
      <c r="M8004" s="504">
        <v>0</v>
      </c>
      <c r="N8004" s="504">
        <v>0</v>
      </c>
      <c r="O8004" s="505">
        <v>0</v>
      </c>
    </row>
    <row r="8005" spans="1:15" x14ac:dyDescent="0.35">
      <c r="A8005" s="500" t="s">
        <v>1617</v>
      </c>
      <c r="B8005" s="501">
        <v>4868</v>
      </c>
      <c r="C8005" s="501" t="s">
        <v>1094</v>
      </c>
      <c r="D8005" s="501" t="s">
        <v>3380</v>
      </c>
      <c r="E8005" s="501" t="s">
        <v>3381</v>
      </c>
      <c r="F8005" s="501" t="s">
        <v>922</v>
      </c>
      <c r="G8005" s="501" t="s">
        <v>923</v>
      </c>
      <c r="H8005" s="501" t="s">
        <v>9849</v>
      </c>
      <c r="I8005" s="501">
        <v>1201</v>
      </c>
      <c r="J8005" s="501">
        <v>772</v>
      </c>
      <c r="K8005" s="501">
        <v>0</v>
      </c>
      <c r="L8005" s="501">
        <v>172</v>
      </c>
      <c r="M8005" s="501">
        <v>237</v>
      </c>
      <c r="N8005" s="501">
        <v>0</v>
      </c>
      <c r="O8005" s="506">
        <v>20</v>
      </c>
    </row>
    <row r="8006" spans="1:15" x14ac:dyDescent="0.35">
      <c r="A8006" s="503" t="s">
        <v>11363</v>
      </c>
      <c r="B8006" s="504">
        <v>4718</v>
      </c>
      <c r="C8006" s="504" t="s">
        <v>1094</v>
      </c>
      <c r="D8006" s="504" t="s">
        <v>3380</v>
      </c>
      <c r="E8006" s="504" t="s">
        <v>3381</v>
      </c>
      <c r="F8006" s="504" t="s">
        <v>922</v>
      </c>
      <c r="G8006" s="504" t="s">
        <v>923</v>
      </c>
      <c r="H8006" s="504" t="s">
        <v>11595</v>
      </c>
      <c r="I8006" s="504">
        <v>11</v>
      </c>
      <c r="J8006" s="504">
        <v>0</v>
      </c>
      <c r="K8006" s="504">
        <v>0</v>
      </c>
      <c r="L8006" s="504">
        <v>11</v>
      </c>
      <c r="M8006" s="504">
        <v>0</v>
      </c>
      <c r="N8006" s="504">
        <v>0</v>
      </c>
      <c r="O8006" s="505">
        <v>0</v>
      </c>
    </row>
    <row r="8007" spans="1:15" x14ac:dyDescent="0.35">
      <c r="A8007" s="500" t="s">
        <v>1623</v>
      </c>
      <c r="B8007" s="501">
        <v>4858</v>
      </c>
      <c r="C8007" s="501" t="s">
        <v>1094</v>
      </c>
      <c r="D8007" s="501" t="s">
        <v>3380</v>
      </c>
      <c r="E8007" s="501" t="s">
        <v>3381</v>
      </c>
      <c r="F8007" s="501" t="s">
        <v>922</v>
      </c>
      <c r="G8007" s="501" t="s">
        <v>923</v>
      </c>
      <c r="H8007" s="501" t="s">
        <v>9850</v>
      </c>
      <c r="I8007" s="501">
        <v>402</v>
      </c>
      <c r="J8007" s="501">
        <v>140</v>
      </c>
      <c r="K8007" s="501">
        <v>0</v>
      </c>
      <c r="L8007" s="501">
        <v>0</v>
      </c>
      <c r="M8007" s="501">
        <v>262</v>
      </c>
      <c r="N8007" s="501">
        <v>1</v>
      </c>
      <c r="O8007" s="506">
        <v>0</v>
      </c>
    </row>
    <row r="8008" spans="1:15" x14ac:dyDescent="0.35">
      <c r="A8008" s="503" t="s">
        <v>1411</v>
      </c>
      <c r="B8008" s="504" t="s">
        <v>2873</v>
      </c>
      <c r="C8008" s="504" t="s">
        <v>1089</v>
      </c>
      <c r="D8008" s="504" t="s">
        <v>3392</v>
      </c>
      <c r="E8008" s="504" t="s">
        <v>3381</v>
      </c>
      <c r="F8008" s="504" t="s">
        <v>922</v>
      </c>
      <c r="G8008" s="504" t="s">
        <v>923</v>
      </c>
      <c r="H8008" s="504" t="s">
        <v>9851</v>
      </c>
      <c r="I8008" s="504">
        <v>2</v>
      </c>
      <c r="J8008" s="504">
        <v>0</v>
      </c>
      <c r="K8008" s="504">
        <v>2</v>
      </c>
      <c r="L8008" s="504">
        <v>0</v>
      </c>
      <c r="M8008" s="504">
        <v>0</v>
      </c>
      <c r="N8008" s="504">
        <v>0</v>
      </c>
      <c r="O8008" s="505">
        <v>0</v>
      </c>
    </row>
    <row r="8009" spans="1:15" x14ac:dyDescent="0.35">
      <c r="A8009" s="500" t="s">
        <v>1626</v>
      </c>
      <c r="B8009" s="501">
        <v>5125</v>
      </c>
      <c r="C8009" s="501" t="s">
        <v>1094</v>
      </c>
      <c r="D8009" s="501" t="s">
        <v>3380</v>
      </c>
      <c r="E8009" s="501" t="s">
        <v>3381</v>
      </c>
      <c r="F8009" s="501" t="s">
        <v>922</v>
      </c>
      <c r="G8009" s="501" t="s">
        <v>923</v>
      </c>
      <c r="H8009" s="501" t="s">
        <v>9852</v>
      </c>
      <c r="I8009" s="501">
        <v>188</v>
      </c>
      <c r="J8009" s="501">
        <v>188</v>
      </c>
      <c r="K8009" s="501">
        <v>0</v>
      </c>
      <c r="L8009" s="501">
        <v>0</v>
      </c>
      <c r="M8009" s="501">
        <v>0</v>
      </c>
      <c r="N8009" s="501">
        <v>0</v>
      </c>
      <c r="O8009" s="506">
        <v>0</v>
      </c>
    </row>
    <row r="8010" spans="1:15" x14ac:dyDescent="0.35">
      <c r="A8010" s="503" t="s">
        <v>1629</v>
      </c>
      <c r="B8010" s="504" t="s">
        <v>3176</v>
      </c>
      <c r="C8010" s="504" t="s">
        <v>1094</v>
      </c>
      <c r="D8010" s="504" t="s">
        <v>3380</v>
      </c>
      <c r="E8010" s="504" t="s">
        <v>3381</v>
      </c>
      <c r="F8010" s="504" t="s">
        <v>922</v>
      </c>
      <c r="G8010" s="504" t="s">
        <v>923</v>
      </c>
      <c r="H8010" s="504" t="s">
        <v>9853</v>
      </c>
      <c r="I8010" s="504">
        <v>28785</v>
      </c>
      <c r="J8010" s="504">
        <v>28246</v>
      </c>
      <c r="K8010" s="504">
        <v>0</v>
      </c>
      <c r="L8010" s="504">
        <v>150</v>
      </c>
      <c r="M8010" s="504">
        <v>233</v>
      </c>
      <c r="N8010" s="504">
        <v>0</v>
      </c>
      <c r="O8010" s="505">
        <v>156</v>
      </c>
    </row>
    <row r="8011" spans="1:15" x14ac:dyDescent="0.35">
      <c r="A8011" s="500" t="s">
        <v>14208</v>
      </c>
      <c r="B8011" s="501">
        <v>4803</v>
      </c>
      <c r="C8011" s="501" t="s">
        <v>1094</v>
      </c>
      <c r="D8011" s="501" t="s">
        <v>3380</v>
      </c>
      <c r="E8011" s="501" t="s">
        <v>3381</v>
      </c>
      <c r="F8011" s="501" t="s">
        <v>922</v>
      </c>
      <c r="G8011" s="501" t="s">
        <v>923</v>
      </c>
      <c r="H8011" s="501" t="s">
        <v>15131</v>
      </c>
      <c r="I8011" s="501">
        <v>1</v>
      </c>
      <c r="J8011" s="501">
        <v>0</v>
      </c>
      <c r="K8011" s="501">
        <v>0</v>
      </c>
      <c r="L8011" s="501">
        <v>1</v>
      </c>
      <c r="M8011" s="501">
        <v>0</v>
      </c>
      <c r="N8011" s="501">
        <v>0</v>
      </c>
      <c r="O8011" s="506">
        <v>0</v>
      </c>
    </row>
    <row r="8012" spans="1:15" x14ac:dyDescent="0.35">
      <c r="A8012" s="503" t="s">
        <v>1630</v>
      </c>
      <c r="B8012" s="504">
        <v>4744</v>
      </c>
      <c r="C8012" s="504" t="s">
        <v>1089</v>
      </c>
      <c r="D8012" s="504" t="s">
        <v>3392</v>
      </c>
      <c r="E8012" s="504" t="s">
        <v>3381</v>
      </c>
      <c r="F8012" s="504" t="s">
        <v>922</v>
      </c>
      <c r="G8012" s="504" t="s">
        <v>923</v>
      </c>
      <c r="H8012" s="504" t="s">
        <v>9854</v>
      </c>
      <c r="I8012" s="504">
        <v>23</v>
      </c>
      <c r="J8012" s="504">
        <v>23</v>
      </c>
      <c r="K8012" s="504">
        <v>0</v>
      </c>
      <c r="L8012" s="504">
        <v>0</v>
      </c>
      <c r="M8012" s="504">
        <v>0</v>
      </c>
      <c r="N8012" s="504">
        <v>0</v>
      </c>
      <c r="O8012" s="505">
        <v>0</v>
      </c>
    </row>
    <row r="8013" spans="1:15" x14ac:dyDescent="0.35">
      <c r="A8013" s="500" t="s">
        <v>1105</v>
      </c>
      <c r="B8013" s="501">
        <v>4668</v>
      </c>
      <c r="C8013" s="501" t="s">
        <v>1094</v>
      </c>
      <c r="D8013" s="501" t="s">
        <v>3380</v>
      </c>
      <c r="E8013" s="501" t="s">
        <v>3381</v>
      </c>
      <c r="F8013" s="501" t="s">
        <v>922</v>
      </c>
      <c r="G8013" s="501" t="s">
        <v>923</v>
      </c>
      <c r="H8013" s="501" t="s">
        <v>9855</v>
      </c>
      <c r="I8013" s="501">
        <v>9</v>
      </c>
      <c r="J8013" s="501">
        <v>0</v>
      </c>
      <c r="K8013" s="501">
        <v>0</v>
      </c>
      <c r="L8013" s="501">
        <v>0</v>
      </c>
      <c r="M8013" s="501">
        <v>0</v>
      </c>
      <c r="N8013" s="501">
        <v>0</v>
      </c>
      <c r="O8013" s="506">
        <v>9</v>
      </c>
    </row>
    <row r="8014" spans="1:15" x14ac:dyDescent="0.35">
      <c r="A8014" s="503" t="s">
        <v>1107</v>
      </c>
      <c r="B8014" s="504" t="s">
        <v>3109</v>
      </c>
      <c r="C8014" s="504" t="s">
        <v>1094</v>
      </c>
      <c r="D8014" s="504" t="s">
        <v>3380</v>
      </c>
      <c r="E8014" s="504" t="s">
        <v>3381</v>
      </c>
      <c r="F8014" s="504" t="s">
        <v>922</v>
      </c>
      <c r="G8014" s="504" t="s">
        <v>923</v>
      </c>
      <c r="H8014" s="504" t="s">
        <v>9856</v>
      </c>
      <c r="I8014" s="504">
        <v>1438</v>
      </c>
      <c r="J8014" s="504">
        <v>1343</v>
      </c>
      <c r="K8014" s="504">
        <v>0</v>
      </c>
      <c r="L8014" s="504">
        <v>46</v>
      </c>
      <c r="M8014" s="504">
        <v>29</v>
      </c>
      <c r="N8014" s="504">
        <v>1</v>
      </c>
      <c r="O8014" s="505">
        <v>20</v>
      </c>
    </row>
    <row r="8015" spans="1:15" x14ac:dyDescent="0.35">
      <c r="A8015" s="500" t="s">
        <v>1109</v>
      </c>
      <c r="B8015" s="501" t="s">
        <v>2959</v>
      </c>
      <c r="C8015" s="501" t="s">
        <v>1094</v>
      </c>
      <c r="D8015" s="501" t="s">
        <v>3380</v>
      </c>
      <c r="E8015" s="501" t="s">
        <v>3381</v>
      </c>
      <c r="F8015" s="501" t="s">
        <v>922</v>
      </c>
      <c r="G8015" s="501" t="s">
        <v>923</v>
      </c>
      <c r="H8015" s="501" t="s">
        <v>9857</v>
      </c>
      <c r="I8015" s="501">
        <v>716</v>
      </c>
      <c r="J8015" s="501">
        <v>0</v>
      </c>
      <c r="K8015" s="501">
        <v>0</v>
      </c>
      <c r="L8015" s="501">
        <v>0</v>
      </c>
      <c r="M8015" s="501">
        <v>569</v>
      </c>
      <c r="N8015" s="501">
        <v>0</v>
      </c>
      <c r="O8015" s="506">
        <v>147</v>
      </c>
    </row>
    <row r="8016" spans="1:15" x14ac:dyDescent="0.35">
      <c r="A8016" s="503" t="s">
        <v>1190</v>
      </c>
      <c r="B8016" s="504">
        <v>4662</v>
      </c>
      <c r="C8016" s="504" t="s">
        <v>1094</v>
      </c>
      <c r="D8016" s="504" t="s">
        <v>3380</v>
      </c>
      <c r="E8016" s="504" t="s">
        <v>3381</v>
      </c>
      <c r="F8016" s="504" t="s">
        <v>922</v>
      </c>
      <c r="G8016" s="504" t="s">
        <v>923</v>
      </c>
      <c r="H8016" s="504" t="s">
        <v>9858</v>
      </c>
      <c r="I8016" s="504">
        <v>94</v>
      </c>
      <c r="J8016" s="504">
        <v>0</v>
      </c>
      <c r="K8016" s="504">
        <v>0</v>
      </c>
      <c r="L8016" s="504">
        <v>56</v>
      </c>
      <c r="M8016" s="504">
        <v>38</v>
      </c>
      <c r="N8016" s="504">
        <v>0</v>
      </c>
      <c r="O8016" s="505">
        <v>0</v>
      </c>
    </row>
    <row r="8017" spans="1:15" x14ac:dyDescent="0.35">
      <c r="A8017" s="500" t="s">
        <v>1637</v>
      </c>
      <c r="B8017" s="501" t="s">
        <v>2451</v>
      </c>
      <c r="C8017" s="501" t="s">
        <v>1089</v>
      </c>
      <c r="D8017" s="501" t="s">
        <v>3392</v>
      </c>
      <c r="E8017" s="501" t="s">
        <v>3381</v>
      </c>
      <c r="F8017" s="501" t="s">
        <v>922</v>
      </c>
      <c r="G8017" s="501" t="s">
        <v>923</v>
      </c>
      <c r="H8017" s="501" t="s">
        <v>9859</v>
      </c>
      <c r="I8017" s="501">
        <v>8</v>
      </c>
      <c r="J8017" s="501">
        <v>0</v>
      </c>
      <c r="K8017" s="501">
        <v>0</v>
      </c>
      <c r="L8017" s="501">
        <v>0</v>
      </c>
      <c r="M8017" s="501">
        <v>8</v>
      </c>
      <c r="N8017" s="501">
        <v>0</v>
      </c>
      <c r="O8017" s="506">
        <v>0</v>
      </c>
    </row>
    <row r="8018" spans="1:15" x14ac:dyDescent="0.35">
      <c r="A8018" s="503" t="s">
        <v>1639</v>
      </c>
      <c r="B8018" s="504">
        <v>4846</v>
      </c>
      <c r="C8018" s="504" t="s">
        <v>1094</v>
      </c>
      <c r="D8018" s="504" t="s">
        <v>3380</v>
      </c>
      <c r="E8018" s="504" t="s">
        <v>3381</v>
      </c>
      <c r="F8018" s="504" t="s">
        <v>922</v>
      </c>
      <c r="G8018" s="504" t="s">
        <v>923</v>
      </c>
      <c r="H8018" s="504" t="s">
        <v>9860</v>
      </c>
      <c r="I8018" s="504">
        <v>341</v>
      </c>
      <c r="J8018" s="504">
        <v>268</v>
      </c>
      <c r="K8018" s="504">
        <v>0</v>
      </c>
      <c r="L8018" s="504">
        <v>54</v>
      </c>
      <c r="M8018" s="504">
        <v>0</v>
      </c>
      <c r="N8018" s="504">
        <v>0</v>
      </c>
      <c r="O8018" s="505">
        <v>19</v>
      </c>
    </row>
    <row r="8019" spans="1:15" x14ac:dyDescent="0.35">
      <c r="A8019" s="500" t="s">
        <v>1209</v>
      </c>
      <c r="B8019" s="501">
        <v>4779</v>
      </c>
      <c r="C8019" s="501" t="s">
        <v>1094</v>
      </c>
      <c r="D8019" s="501" t="s">
        <v>3380</v>
      </c>
      <c r="E8019" s="501" t="s">
        <v>3381</v>
      </c>
      <c r="F8019" s="501" t="s">
        <v>922</v>
      </c>
      <c r="G8019" s="501" t="s">
        <v>923</v>
      </c>
      <c r="H8019" s="501" t="s">
        <v>11865</v>
      </c>
      <c r="I8019" s="501">
        <v>16</v>
      </c>
      <c r="J8019" s="501">
        <v>0</v>
      </c>
      <c r="K8019" s="501">
        <v>0</v>
      </c>
      <c r="L8019" s="501">
        <v>16</v>
      </c>
      <c r="M8019" s="501">
        <v>0</v>
      </c>
      <c r="N8019" s="501">
        <v>0</v>
      </c>
      <c r="O8019" s="506">
        <v>0</v>
      </c>
    </row>
    <row r="8020" spans="1:15" x14ac:dyDescent="0.35">
      <c r="A8020" s="503" t="s">
        <v>1645</v>
      </c>
      <c r="B8020" s="504" t="s">
        <v>3239</v>
      </c>
      <c r="C8020" s="504" t="s">
        <v>1094</v>
      </c>
      <c r="D8020" s="504" t="s">
        <v>3380</v>
      </c>
      <c r="E8020" s="504" t="s">
        <v>3381</v>
      </c>
      <c r="F8020" s="504" t="s">
        <v>922</v>
      </c>
      <c r="G8020" s="504" t="s">
        <v>923</v>
      </c>
      <c r="H8020" s="504" t="s">
        <v>9861</v>
      </c>
      <c r="I8020" s="504">
        <v>41</v>
      </c>
      <c r="J8020" s="504">
        <v>6</v>
      </c>
      <c r="K8020" s="504">
        <v>0</v>
      </c>
      <c r="L8020" s="504">
        <v>34</v>
      </c>
      <c r="M8020" s="504">
        <v>0</v>
      </c>
      <c r="N8020" s="504">
        <v>0</v>
      </c>
      <c r="O8020" s="505">
        <v>1</v>
      </c>
    </row>
    <row r="8021" spans="1:15" x14ac:dyDescent="0.35">
      <c r="A8021" s="500" t="s">
        <v>1647</v>
      </c>
      <c r="B8021" s="501" t="s">
        <v>2705</v>
      </c>
      <c r="C8021" s="501" t="s">
        <v>1089</v>
      </c>
      <c r="D8021" s="501" t="s">
        <v>3392</v>
      </c>
      <c r="E8021" s="501" t="s">
        <v>3381</v>
      </c>
      <c r="F8021" s="501" t="s">
        <v>922</v>
      </c>
      <c r="G8021" s="501" t="s">
        <v>923</v>
      </c>
      <c r="H8021" s="501" t="s">
        <v>9862</v>
      </c>
      <c r="I8021" s="501">
        <v>23</v>
      </c>
      <c r="J8021" s="501">
        <v>23</v>
      </c>
      <c r="K8021" s="501">
        <v>0</v>
      </c>
      <c r="L8021" s="501">
        <v>0</v>
      </c>
      <c r="M8021" s="501">
        <v>0</v>
      </c>
      <c r="N8021" s="501">
        <v>0</v>
      </c>
      <c r="O8021" s="506">
        <v>0</v>
      </c>
    </row>
    <row r="8022" spans="1:15" x14ac:dyDescent="0.35">
      <c r="A8022" s="503" t="s">
        <v>1122</v>
      </c>
      <c r="B8022" s="504" t="s">
        <v>2994</v>
      </c>
      <c r="C8022" s="504" t="s">
        <v>1094</v>
      </c>
      <c r="D8022" s="504" t="s">
        <v>3380</v>
      </c>
      <c r="E8022" s="504" t="s">
        <v>3381</v>
      </c>
      <c r="F8022" s="504" t="s">
        <v>922</v>
      </c>
      <c r="G8022" s="504" t="s">
        <v>923</v>
      </c>
      <c r="H8022" s="504" t="s">
        <v>9863</v>
      </c>
      <c r="I8022" s="504">
        <v>107</v>
      </c>
      <c r="J8022" s="504">
        <v>105</v>
      </c>
      <c r="K8022" s="504">
        <v>0</v>
      </c>
      <c r="L8022" s="504">
        <v>0</v>
      </c>
      <c r="M8022" s="504">
        <v>0</v>
      </c>
      <c r="N8022" s="504">
        <v>0</v>
      </c>
      <c r="O8022" s="505">
        <v>2</v>
      </c>
    </row>
    <row r="8023" spans="1:15" x14ac:dyDescent="0.35">
      <c r="A8023" s="500" t="s">
        <v>1225</v>
      </c>
      <c r="B8023" s="501" t="s">
        <v>3315</v>
      </c>
      <c r="C8023" s="501" t="s">
        <v>1094</v>
      </c>
      <c r="D8023" s="501" t="s">
        <v>3380</v>
      </c>
      <c r="E8023" s="501" t="s">
        <v>3381</v>
      </c>
      <c r="F8023" s="501" t="s">
        <v>922</v>
      </c>
      <c r="G8023" s="501" t="s">
        <v>923</v>
      </c>
      <c r="H8023" s="501" t="s">
        <v>9864</v>
      </c>
      <c r="I8023" s="501">
        <v>10</v>
      </c>
      <c r="J8023" s="501">
        <v>0</v>
      </c>
      <c r="K8023" s="501">
        <v>0</v>
      </c>
      <c r="L8023" s="501">
        <v>10</v>
      </c>
      <c r="M8023" s="501">
        <v>0</v>
      </c>
      <c r="N8023" s="501">
        <v>0</v>
      </c>
      <c r="O8023" s="506">
        <v>0</v>
      </c>
    </row>
    <row r="8024" spans="1:15" x14ac:dyDescent="0.35">
      <c r="A8024" s="503" t="s">
        <v>1648</v>
      </c>
      <c r="B8024" s="504" t="s">
        <v>2496</v>
      </c>
      <c r="C8024" s="504" t="s">
        <v>1094</v>
      </c>
      <c r="D8024" s="504" t="s">
        <v>3380</v>
      </c>
      <c r="E8024" s="504" t="s">
        <v>3381</v>
      </c>
      <c r="F8024" s="504" t="s">
        <v>922</v>
      </c>
      <c r="G8024" s="504" t="s">
        <v>923</v>
      </c>
      <c r="H8024" s="504" t="s">
        <v>9865</v>
      </c>
      <c r="I8024" s="504">
        <v>14</v>
      </c>
      <c r="J8024" s="504">
        <v>14</v>
      </c>
      <c r="K8024" s="504">
        <v>0</v>
      </c>
      <c r="L8024" s="504">
        <v>0</v>
      </c>
      <c r="M8024" s="504">
        <v>0</v>
      </c>
      <c r="N8024" s="504">
        <v>0</v>
      </c>
      <c r="O8024" s="505">
        <v>0</v>
      </c>
    </row>
    <row r="8025" spans="1:15" x14ac:dyDescent="0.35">
      <c r="A8025" s="500" t="s">
        <v>1124</v>
      </c>
      <c r="B8025" s="501">
        <v>4745</v>
      </c>
      <c r="C8025" s="501" t="s">
        <v>1094</v>
      </c>
      <c r="D8025" s="501" t="s">
        <v>3380</v>
      </c>
      <c r="E8025" s="501" t="s">
        <v>3381</v>
      </c>
      <c r="F8025" s="501" t="s">
        <v>922</v>
      </c>
      <c r="G8025" s="501" t="s">
        <v>923</v>
      </c>
      <c r="H8025" s="501" t="s">
        <v>9866</v>
      </c>
      <c r="I8025" s="501">
        <v>19</v>
      </c>
      <c r="J8025" s="501">
        <v>0</v>
      </c>
      <c r="K8025" s="501">
        <v>0</v>
      </c>
      <c r="L8025" s="501">
        <v>19</v>
      </c>
      <c r="M8025" s="501">
        <v>0</v>
      </c>
      <c r="N8025" s="501">
        <v>0</v>
      </c>
      <c r="O8025" s="506">
        <v>0</v>
      </c>
    </row>
    <row r="8026" spans="1:15" x14ac:dyDescent="0.35">
      <c r="A8026" s="503" t="s">
        <v>1234</v>
      </c>
      <c r="B8026" s="504" t="s">
        <v>3291</v>
      </c>
      <c r="C8026" s="504" t="s">
        <v>1094</v>
      </c>
      <c r="D8026" s="504" t="s">
        <v>3380</v>
      </c>
      <c r="E8026" s="504" t="s">
        <v>3381</v>
      </c>
      <c r="F8026" s="504" t="s">
        <v>922</v>
      </c>
      <c r="G8026" s="504" t="s">
        <v>923</v>
      </c>
      <c r="H8026" s="504" t="s">
        <v>9867</v>
      </c>
      <c r="I8026" s="504">
        <v>65</v>
      </c>
      <c r="J8026" s="504">
        <v>0</v>
      </c>
      <c r="K8026" s="504">
        <v>0</v>
      </c>
      <c r="L8026" s="504">
        <v>65</v>
      </c>
      <c r="M8026" s="504">
        <v>0</v>
      </c>
      <c r="N8026" s="504">
        <v>0</v>
      </c>
      <c r="O8026" s="505">
        <v>0</v>
      </c>
    </row>
    <row r="8027" spans="1:15" x14ac:dyDescent="0.35">
      <c r="A8027" s="500" t="s">
        <v>1126</v>
      </c>
      <c r="B8027" s="501" t="s">
        <v>2974</v>
      </c>
      <c r="C8027" s="501" t="s">
        <v>1094</v>
      </c>
      <c r="D8027" s="501" t="s">
        <v>3380</v>
      </c>
      <c r="E8027" s="501" t="s">
        <v>3381</v>
      </c>
      <c r="F8027" s="501" t="s">
        <v>922</v>
      </c>
      <c r="G8027" s="501" t="s">
        <v>923</v>
      </c>
      <c r="H8027" s="501" t="s">
        <v>9868</v>
      </c>
      <c r="I8027" s="501">
        <v>3</v>
      </c>
      <c r="J8027" s="501">
        <v>0</v>
      </c>
      <c r="K8027" s="501">
        <v>0</v>
      </c>
      <c r="L8027" s="501">
        <v>3</v>
      </c>
      <c r="M8027" s="501">
        <v>0</v>
      </c>
      <c r="N8027" s="501">
        <v>0</v>
      </c>
      <c r="O8027" s="506">
        <v>0</v>
      </c>
    </row>
    <row r="8028" spans="1:15" x14ac:dyDescent="0.35">
      <c r="A8028" s="503" t="s">
        <v>1655</v>
      </c>
      <c r="B8028" s="504" t="s">
        <v>2747</v>
      </c>
      <c r="C8028" s="504" t="s">
        <v>1089</v>
      </c>
      <c r="D8028" s="504" t="s">
        <v>3392</v>
      </c>
      <c r="E8028" s="504" t="s">
        <v>3381</v>
      </c>
      <c r="F8028" s="504" t="s">
        <v>922</v>
      </c>
      <c r="G8028" s="504" t="s">
        <v>923</v>
      </c>
      <c r="H8028" s="504" t="s">
        <v>9869</v>
      </c>
      <c r="I8028" s="504">
        <v>87</v>
      </c>
      <c r="J8028" s="504">
        <v>87</v>
      </c>
      <c r="K8028" s="504">
        <v>0</v>
      </c>
      <c r="L8028" s="504">
        <v>0</v>
      </c>
      <c r="M8028" s="504">
        <v>0</v>
      </c>
      <c r="N8028" s="504">
        <v>0</v>
      </c>
      <c r="O8028" s="505">
        <v>0</v>
      </c>
    </row>
    <row r="8029" spans="1:15" x14ac:dyDescent="0.35">
      <c r="A8029" s="500" t="s">
        <v>1656</v>
      </c>
      <c r="B8029" s="501">
        <v>4756</v>
      </c>
      <c r="C8029" s="501" t="s">
        <v>1089</v>
      </c>
      <c r="D8029" s="501" t="s">
        <v>3392</v>
      </c>
      <c r="E8029" s="501" t="s">
        <v>3381</v>
      </c>
      <c r="F8029" s="501" t="s">
        <v>922</v>
      </c>
      <c r="G8029" s="501" t="s">
        <v>923</v>
      </c>
      <c r="H8029" s="501" t="s">
        <v>9870</v>
      </c>
      <c r="I8029" s="501">
        <v>58</v>
      </c>
      <c r="J8029" s="501">
        <v>3</v>
      </c>
      <c r="K8029" s="501">
        <v>0</v>
      </c>
      <c r="L8029" s="501">
        <v>55</v>
      </c>
      <c r="M8029" s="501">
        <v>0</v>
      </c>
      <c r="N8029" s="501">
        <v>0</v>
      </c>
      <c r="O8029" s="506">
        <v>0</v>
      </c>
    </row>
    <row r="8030" spans="1:15" x14ac:dyDescent="0.35">
      <c r="A8030" s="503" t="s">
        <v>1245</v>
      </c>
      <c r="B8030" s="504" t="s">
        <v>2859</v>
      </c>
      <c r="C8030" s="504" t="s">
        <v>1094</v>
      </c>
      <c r="D8030" s="504" t="s">
        <v>3380</v>
      </c>
      <c r="E8030" s="504" t="s">
        <v>3381</v>
      </c>
      <c r="F8030" s="504" t="s">
        <v>922</v>
      </c>
      <c r="G8030" s="504" t="s">
        <v>923</v>
      </c>
      <c r="H8030" s="504" t="s">
        <v>9871</v>
      </c>
      <c r="I8030" s="504">
        <v>75</v>
      </c>
      <c r="J8030" s="504">
        <v>0</v>
      </c>
      <c r="K8030" s="504">
        <v>0</v>
      </c>
      <c r="L8030" s="504">
        <v>0</v>
      </c>
      <c r="M8030" s="504">
        <v>75</v>
      </c>
      <c r="N8030" s="504">
        <v>0</v>
      </c>
      <c r="O8030" s="505">
        <v>0</v>
      </c>
    </row>
    <row r="8031" spans="1:15" x14ac:dyDescent="0.35">
      <c r="A8031" s="500" t="s">
        <v>1253</v>
      </c>
      <c r="B8031" s="501" t="s">
        <v>3232</v>
      </c>
      <c r="C8031" s="501" t="s">
        <v>1094</v>
      </c>
      <c r="D8031" s="501" t="s">
        <v>3380</v>
      </c>
      <c r="E8031" s="501" t="s">
        <v>3381</v>
      </c>
      <c r="F8031" s="501" t="s">
        <v>922</v>
      </c>
      <c r="G8031" s="501" t="s">
        <v>923</v>
      </c>
      <c r="H8031" s="501" t="s">
        <v>9872</v>
      </c>
      <c r="I8031" s="501">
        <v>107</v>
      </c>
      <c r="J8031" s="501">
        <v>0</v>
      </c>
      <c r="K8031" s="501">
        <v>0</v>
      </c>
      <c r="L8031" s="501">
        <v>0</v>
      </c>
      <c r="M8031" s="501">
        <v>79</v>
      </c>
      <c r="N8031" s="501">
        <v>0</v>
      </c>
      <c r="O8031" s="506">
        <v>28</v>
      </c>
    </row>
    <row r="8032" spans="1:15" x14ac:dyDescent="0.35">
      <c r="A8032" s="503" t="s">
        <v>1368</v>
      </c>
      <c r="B8032" s="504" t="s">
        <v>3220</v>
      </c>
      <c r="C8032" s="504" t="s">
        <v>1094</v>
      </c>
      <c r="D8032" s="504" t="s">
        <v>3380</v>
      </c>
      <c r="E8032" s="504" t="s">
        <v>3381</v>
      </c>
      <c r="F8032" s="504" t="s">
        <v>922</v>
      </c>
      <c r="G8032" s="504" t="s">
        <v>923</v>
      </c>
      <c r="H8032" s="504" t="s">
        <v>9873</v>
      </c>
      <c r="I8032" s="504">
        <v>238</v>
      </c>
      <c r="J8032" s="504">
        <v>186</v>
      </c>
      <c r="K8032" s="504">
        <v>0</v>
      </c>
      <c r="L8032" s="504">
        <v>36</v>
      </c>
      <c r="M8032" s="504">
        <v>7</v>
      </c>
      <c r="N8032" s="504">
        <v>0</v>
      </c>
      <c r="O8032" s="505">
        <v>9</v>
      </c>
    </row>
    <row r="8033" spans="1:15" x14ac:dyDescent="0.35">
      <c r="A8033" s="500" t="s">
        <v>1660</v>
      </c>
      <c r="B8033" s="501" t="s">
        <v>2762</v>
      </c>
      <c r="C8033" s="501" t="s">
        <v>1089</v>
      </c>
      <c r="D8033" s="501" t="s">
        <v>3392</v>
      </c>
      <c r="E8033" s="501" t="s">
        <v>3381</v>
      </c>
      <c r="F8033" s="501" t="s">
        <v>922</v>
      </c>
      <c r="G8033" s="501" t="s">
        <v>923</v>
      </c>
      <c r="H8033" s="501" t="s">
        <v>9874</v>
      </c>
      <c r="I8033" s="501">
        <v>30</v>
      </c>
      <c r="J8033" s="501">
        <v>30</v>
      </c>
      <c r="K8033" s="501">
        <v>0</v>
      </c>
      <c r="L8033" s="501">
        <v>0</v>
      </c>
      <c r="M8033" s="501">
        <v>0</v>
      </c>
      <c r="N8033" s="501">
        <v>0</v>
      </c>
      <c r="O8033" s="506">
        <v>0</v>
      </c>
    </row>
    <row r="8034" spans="1:15" x14ac:dyDescent="0.35">
      <c r="A8034" s="503" t="s">
        <v>1663</v>
      </c>
      <c r="B8034" s="504" t="s">
        <v>2718</v>
      </c>
      <c r="C8034" s="504" t="s">
        <v>1089</v>
      </c>
      <c r="D8034" s="504" t="s">
        <v>3392</v>
      </c>
      <c r="E8034" s="504" t="s">
        <v>3381</v>
      </c>
      <c r="F8034" s="504" t="s">
        <v>922</v>
      </c>
      <c r="G8034" s="504" t="s">
        <v>923</v>
      </c>
      <c r="H8034" s="504" t="s">
        <v>9875</v>
      </c>
      <c r="I8034" s="504">
        <v>67</v>
      </c>
      <c r="J8034" s="504">
        <v>67</v>
      </c>
      <c r="K8034" s="504">
        <v>0</v>
      </c>
      <c r="L8034" s="504">
        <v>0</v>
      </c>
      <c r="M8034" s="504">
        <v>0</v>
      </c>
      <c r="N8034" s="504">
        <v>0</v>
      </c>
      <c r="O8034" s="505">
        <v>0</v>
      </c>
    </row>
    <row r="8035" spans="1:15" x14ac:dyDescent="0.35">
      <c r="A8035" s="500" t="s">
        <v>1386</v>
      </c>
      <c r="B8035" s="501" t="s">
        <v>3331</v>
      </c>
      <c r="C8035" s="501" t="s">
        <v>1094</v>
      </c>
      <c r="D8035" s="501" t="s">
        <v>3380</v>
      </c>
      <c r="E8035" s="501" t="s">
        <v>3381</v>
      </c>
      <c r="F8035" s="501" t="s">
        <v>924</v>
      </c>
      <c r="G8035" s="501" t="s">
        <v>925</v>
      </c>
      <c r="H8035" s="501" t="s">
        <v>9876</v>
      </c>
      <c r="I8035" s="501">
        <v>149</v>
      </c>
      <c r="J8035" s="501">
        <v>137</v>
      </c>
      <c r="K8035" s="501">
        <v>0</v>
      </c>
      <c r="L8035" s="501">
        <v>0</v>
      </c>
      <c r="M8035" s="501">
        <v>0</v>
      </c>
      <c r="N8035" s="501">
        <v>2</v>
      </c>
      <c r="O8035" s="506">
        <v>12</v>
      </c>
    </row>
    <row r="8036" spans="1:15" x14ac:dyDescent="0.35">
      <c r="A8036" s="503" t="s">
        <v>1143</v>
      </c>
      <c r="B8036" s="504" t="s">
        <v>3281</v>
      </c>
      <c r="C8036" s="504" t="s">
        <v>1094</v>
      </c>
      <c r="D8036" s="504" t="s">
        <v>3380</v>
      </c>
      <c r="E8036" s="504" t="s">
        <v>3381</v>
      </c>
      <c r="F8036" s="504" t="s">
        <v>924</v>
      </c>
      <c r="G8036" s="504" t="s">
        <v>925</v>
      </c>
      <c r="H8036" s="504" t="s">
        <v>9877</v>
      </c>
      <c r="I8036" s="504">
        <v>2945</v>
      </c>
      <c r="J8036" s="504">
        <v>2626</v>
      </c>
      <c r="K8036" s="504">
        <v>44</v>
      </c>
      <c r="L8036" s="504">
        <v>0</v>
      </c>
      <c r="M8036" s="504">
        <v>228</v>
      </c>
      <c r="N8036" s="504">
        <v>4</v>
      </c>
      <c r="O8036" s="505">
        <v>47</v>
      </c>
    </row>
    <row r="8037" spans="1:15" x14ac:dyDescent="0.35">
      <c r="A8037" s="500" t="s">
        <v>1093</v>
      </c>
      <c r="B8037" s="501" t="s">
        <v>3248</v>
      </c>
      <c r="C8037" s="501" t="s">
        <v>1094</v>
      </c>
      <c r="D8037" s="501" t="s">
        <v>3380</v>
      </c>
      <c r="E8037" s="501" t="s">
        <v>3381</v>
      </c>
      <c r="F8037" s="501" t="s">
        <v>924</v>
      </c>
      <c r="G8037" s="501" t="s">
        <v>925</v>
      </c>
      <c r="H8037" s="501" t="s">
        <v>9878</v>
      </c>
      <c r="I8037" s="501">
        <v>1</v>
      </c>
      <c r="J8037" s="501">
        <v>0</v>
      </c>
      <c r="K8037" s="501">
        <v>0</v>
      </c>
      <c r="L8037" s="501">
        <v>0</v>
      </c>
      <c r="M8037" s="501">
        <v>0</v>
      </c>
      <c r="N8037" s="501">
        <v>0</v>
      </c>
      <c r="O8037" s="506">
        <v>1</v>
      </c>
    </row>
    <row r="8038" spans="1:15" x14ac:dyDescent="0.35">
      <c r="A8038" s="503" t="s">
        <v>1096</v>
      </c>
      <c r="B8038" s="504" t="s">
        <v>3326</v>
      </c>
      <c r="C8038" s="504" t="s">
        <v>1094</v>
      </c>
      <c r="D8038" s="504" t="s">
        <v>3380</v>
      </c>
      <c r="E8038" s="504" t="s">
        <v>3381</v>
      </c>
      <c r="F8038" s="504" t="s">
        <v>924</v>
      </c>
      <c r="G8038" s="504" t="s">
        <v>925</v>
      </c>
      <c r="H8038" s="504" t="s">
        <v>9879</v>
      </c>
      <c r="I8038" s="504">
        <v>74</v>
      </c>
      <c r="J8038" s="504">
        <v>0</v>
      </c>
      <c r="K8038" s="504">
        <v>0</v>
      </c>
      <c r="L8038" s="504">
        <v>0</v>
      </c>
      <c r="M8038" s="504">
        <v>74</v>
      </c>
      <c r="N8038" s="504">
        <v>0</v>
      </c>
      <c r="O8038" s="505">
        <v>0</v>
      </c>
    </row>
    <row r="8039" spans="1:15" x14ac:dyDescent="0.35">
      <c r="A8039" s="500" t="s">
        <v>1098</v>
      </c>
      <c r="B8039" s="501">
        <v>4691</v>
      </c>
      <c r="C8039" s="501" t="s">
        <v>1094</v>
      </c>
      <c r="D8039" s="501" t="s">
        <v>3380</v>
      </c>
      <c r="E8039" s="501" t="s">
        <v>3381</v>
      </c>
      <c r="F8039" s="501" t="s">
        <v>924</v>
      </c>
      <c r="G8039" s="501" t="s">
        <v>925</v>
      </c>
      <c r="H8039" s="501" t="s">
        <v>11503</v>
      </c>
      <c r="I8039" s="501">
        <v>81</v>
      </c>
      <c r="J8039" s="501">
        <v>41</v>
      </c>
      <c r="K8039" s="501">
        <v>0</v>
      </c>
      <c r="L8039" s="501">
        <v>0</v>
      </c>
      <c r="M8039" s="501">
        <v>0</v>
      </c>
      <c r="N8039" s="501">
        <v>0</v>
      </c>
      <c r="O8039" s="506">
        <v>40</v>
      </c>
    </row>
    <row r="8040" spans="1:15" x14ac:dyDescent="0.35">
      <c r="A8040" s="503" t="s">
        <v>11363</v>
      </c>
      <c r="B8040" s="504">
        <v>4718</v>
      </c>
      <c r="C8040" s="504" t="s">
        <v>1094</v>
      </c>
      <c r="D8040" s="504" t="s">
        <v>3380</v>
      </c>
      <c r="E8040" s="504" t="s">
        <v>3381</v>
      </c>
      <c r="F8040" s="504" t="s">
        <v>924</v>
      </c>
      <c r="G8040" s="504" t="s">
        <v>925</v>
      </c>
      <c r="H8040" s="504" t="s">
        <v>11596</v>
      </c>
      <c r="I8040" s="504">
        <v>8</v>
      </c>
      <c r="J8040" s="504">
        <v>0</v>
      </c>
      <c r="K8040" s="504">
        <v>0</v>
      </c>
      <c r="L8040" s="504">
        <v>8</v>
      </c>
      <c r="M8040" s="504">
        <v>0</v>
      </c>
      <c r="N8040" s="504">
        <v>0</v>
      </c>
      <c r="O8040" s="505">
        <v>0</v>
      </c>
    </row>
    <row r="8041" spans="1:15" x14ac:dyDescent="0.35">
      <c r="A8041" s="500" t="s">
        <v>1100</v>
      </c>
      <c r="B8041" s="501">
        <v>4865</v>
      </c>
      <c r="C8041" s="501" t="s">
        <v>1094</v>
      </c>
      <c r="D8041" s="501" t="s">
        <v>3380</v>
      </c>
      <c r="E8041" s="501" t="s">
        <v>3381</v>
      </c>
      <c r="F8041" s="501" t="s">
        <v>924</v>
      </c>
      <c r="G8041" s="501" t="s">
        <v>925</v>
      </c>
      <c r="H8041" s="501" t="s">
        <v>9880</v>
      </c>
      <c r="I8041" s="501">
        <v>89</v>
      </c>
      <c r="J8041" s="501">
        <v>32</v>
      </c>
      <c r="K8041" s="501">
        <v>0</v>
      </c>
      <c r="L8041" s="501">
        <v>0</v>
      </c>
      <c r="M8041" s="501">
        <v>0</v>
      </c>
      <c r="N8041" s="501">
        <v>0</v>
      </c>
      <c r="O8041" s="506">
        <v>57</v>
      </c>
    </row>
    <row r="8042" spans="1:15" x14ac:dyDescent="0.35">
      <c r="A8042" s="503" t="s">
        <v>1174</v>
      </c>
      <c r="B8042" s="504">
        <v>4784</v>
      </c>
      <c r="C8042" s="504" t="s">
        <v>1089</v>
      </c>
      <c r="D8042" s="504" t="s">
        <v>3392</v>
      </c>
      <c r="E8042" s="504" t="s">
        <v>3381</v>
      </c>
      <c r="F8042" s="504" t="s">
        <v>924</v>
      </c>
      <c r="G8042" s="504" t="s">
        <v>925</v>
      </c>
      <c r="H8042" s="504" t="s">
        <v>9881</v>
      </c>
      <c r="I8042" s="504">
        <v>6</v>
      </c>
      <c r="J8042" s="504">
        <v>0</v>
      </c>
      <c r="K8042" s="504">
        <v>0</v>
      </c>
      <c r="L8042" s="504">
        <v>6</v>
      </c>
      <c r="M8042" s="504">
        <v>0</v>
      </c>
      <c r="N8042" s="504">
        <v>0</v>
      </c>
      <c r="O8042" s="505">
        <v>0</v>
      </c>
    </row>
    <row r="8043" spans="1:15" x14ac:dyDescent="0.35">
      <c r="A8043" s="500" t="s">
        <v>1105</v>
      </c>
      <c r="B8043" s="501">
        <v>4668</v>
      </c>
      <c r="C8043" s="501" t="s">
        <v>1094</v>
      </c>
      <c r="D8043" s="501" t="s">
        <v>3380</v>
      </c>
      <c r="E8043" s="501" t="s">
        <v>3381</v>
      </c>
      <c r="F8043" s="501" t="s">
        <v>924</v>
      </c>
      <c r="G8043" s="501" t="s">
        <v>925</v>
      </c>
      <c r="H8043" s="501" t="s">
        <v>15132</v>
      </c>
      <c r="I8043" s="501">
        <v>2</v>
      </c>
      <c r="J8043" s="501">
        <v>0</v>
      </c>
      <c r="K8043" s="501">
        <v>0</v>
      </c>
      <c r="L8043" s="501">
        <v>0</v>
      </c>
      <c r="M8043" s="501">
        <v>0</v>
      </c>
      <c r="N8043" s="501">
        <v>0</v>
      </c>
      <c r="O8043" s="506">
        <v>2</v>
      </c>
    </row>
    <row r="8044" spans="1:15" x14ac:dyDescent="0.35">
      <c r="A8044" s="503" t="s">
        <v>1107</v>
      </c>
      <c r="B8044" s="504" t="s">
        <v>3109</v>
      </c>
      <c r="C8044" s="504" t="s">
        <v>1094</v>
      </c>
      <c r="D8044" s="504" t="s">
        <v>3380</v>
      </c>
      <c r="E8044" s="504" t="s">
        <v>3381</v>
      </c>
      <c r="F8044" s="504" t="s">
        <v>924</v>
      </c>
      <c r="G8044" s="504" t="s">
        <v>925</v>
      </c>
      <c r="H8044" s="504" t="s">
        <v>9882</v>
      </c>
      <c r="I8044" s="504">
        <v>14</v>
      </c>
      <c r="J8044" s="504">
        <v>0</v>
      </c>
      <c r="K8044" s="504">
        <v>0</v>
      </c>
      <c r="L8044" s="504">
        <v>14</v>
      </c>
      <c r="M8044" s="504">
        <v>0</v>
      </c>
      <c r="N8044" s="504">
        <v>0</v>
      </c>
      <c r="O8044" s="505">
        <v>0</v>
      </c>
    </row>
    <row r="8045" spans="1:15" x14ac:dyDescent="0.35">
      <c r="A8045" s="500" t="s">
        <v>1190</v>
      </c>
      <c r="B8045" s="501">
        <v>4662</v>
      </c>
      <c r="C8045" s="501" t="s">
        <v>1094</v>
      </c>
      <c r="D8045" s="501" t="s">
        <v>3380</v>
      </c>
      <c r="E8045" s="501" t="s">
        <v>3381</v>
      </c>
      <c r="F8045" s="501" t="s">
        <v>924</v>
      </c>
      <c r="G8045" s="501" t="s">
        <v>925</v>
      </c>
      <c r="H8045" s="501" t="s">
        <v>9883</v>
      </c>
      <c r="I8045" s="501">
        <v>6</v>
      </c>
      <c r="J8045" s="501">
        <v>0</v>
      </c>
      <c r="K8045" s="501">
        <v>0</v>
      </c>
      <c r="L8045" s="501">
        <v>6</v>
      </c>
      <c r="M8045" s="501">
        <v>0</v>
      </c>
      <c r="N8045" s="501">
        <v>0</v>
      </c>
      <c r="O8045" s="506">
        <v>0</v>
      </c>
    </row>
    <row r="8046" spans="1:15" x14ac:dyDescent="0.35">
      <c r="A8046" s="503" t="s">
        <v>1202</v>
      </c>
      <c r="B8046" s="504" t="s">
        <v>3217</v>
      </c>
      <c r="C8046" s="504" t="s">
        <v>1094</v>
      </c>
      <c r="D8046" s="504" t="s">
        <v>3380</v>
      </c>
      <c r="E8046" s="504" t="s">
        <v>3381</v>
      </c>
      <c r="F8046" s="504" t="s">
        <v>924</v>
      </c>
      <c r="G8046" s="504" t="s">
        <v>925</v>
      </c>
      <c r="H8046" s="504" t="s">
        <v>9884</v>
      </c>
      <c r="I8046" s="504">
        <v>8</v>
      </c>
      <c r="J8046" s="504">
        <v>7</v>
      </c>
      <c r="K8046" s="504">
        <v>0</v>
      </c>
      <c r="L8046" s="504">
        <v>0</v>
      </c>
      <c r="M8046" s="504">
        <v>0</v>
      </c>
      <c r="N8046" s="504">
        <v>0</v>
      </c>
      <c r="O8046" s="505">
        <v>1</v>
      </c>
    </row>
    <row r="8047" spans="1:15" x14ac:dyDescent="0.35">
      <c r="A8047" s="500" t="s">
        <v>1112</v>
      </c>
      <c r="B8047" s="501" t="s">
        <v>3008</v>
      </c>
      <c r="C8047" s="501" t="s">
        <v>1094</v>
      </c>
      <c r="D8047" s="501" t="s">
        <v>3380</v>
      </c>
      <c r="E8047" s="501" t="s">
        <v>3381</v>
      </c>
      <c r="F8047" s="501" t="s">
        <v>924</v>
      </c>
      <c r="G8047" s="501" t="s">
        <v>925</v>
      </c>
      <c r="H8047" s="501" t="s">
        <v>9885</v>
      </c>
      <c r="I8047" s="501">
        <v>365</v>
      </c>
      <c r="J8047" s="501">
        <v>212</v>
      </c>
      <c r="K8047" s="501">
        <v>0</v>
      </c>
      <c r="L8047" s="501">
        <v>0</v>
      </c>
      <c r="M8047" s="501">
        <v>0</v>
      </c>
      <c r="N8047" s="501">
        <v>1</v>
      </c>
      <c r="O8047" s="506">
        <v>153</v>
      </c>
    </row>
    <row r="8048" spans="1:15" x14ac:dyDescent="0.35">
      <c r="A8048" s="503" t="s">
        <v>1501</v>
      </c>
      <c r="B8048" s="504" t="s">
        <v>2956</v>
      </c>
      <c r="C8048" s="504" t="s">
        <v>1094</v>
      </c>
      <c r="D8048" s="504" t="s">
        <v>3380</v>
      </c>
      <c r="E8048" s="504" t="s">
        <v>3381</v>
      </c>
      <c r="F8048" s="504" t="s">
        <v>924</v>
      </c>
      <c r="G8048" s="504" t="s">
        <v>925</v>
      </c>
      <c r="H8048" s="504" t="s">
        <v>9886</v>
      </c>
      <c r="I8048" s="504">
        <v>17</v>
      </c>
      <c r="J8048" s="504">
        <v>15</v>
      </c>
      <c r="K8048" s="504">
        <v>0</v>
      </c>
      <c r="L8048" s="504">
        <v>0</v>
      </c>
      <c r="M8048" s="504">
        <v>0</v>
      </c>
      <c r="N8048" s="504">
        <v>0</v>
      </c>
      <c r="O8048" s="505">
        <v>2</v>
      </c>
    </row>
    <row r="8049" spans="1:15" x14ac:dyDescent="0.35">
      <c r="A8049" s="500" t="s">
        <v>1209</v>
      </c>
      <c r="B8049" s="501">
        <v>4779</v>
      </c>
      <c r="C8049" s="501" t="s">
        <v>1094</v>
      </c>
      <c r="D8049" s="501" t="s">
        <v>3380</v>
      </c>
      <c r="E8049" s="501" t="s">
        <v>3381</v>
      </c>
      <c r="F8049" s="501" t="s">
        <v>924</v>
      </c>
      <c r="G8049" s="501" t="s">
        <v>925</v>
      </c>
      <c r="H8049" s="501" t="s">
        <v>9887</v>
      </c>
      <c r="I8049" s="501">
        <v>1</v>
      </c>
      <c r="J8049" s="501">
        <v>0</v>
      </c>
      <c r="K8049" s="501">
        <v>0</v>
      </c>
      <c r="L8049" s="501">
        <v>1</v>
      </c>
      <c r="M8049" s="501">
        <v>0</v>
      </c>
      <c r="N8049" s="501">
        <v>0</v>
      </c>
      <c r="O8049" s="506">
        <v>0</v>
      </c>
    </row>
    <row r="8050" spans="1:15" x14ac:dyDescent="0.35">
      <c r="A8050" s="503" t="s">
        <v>1124</v>
      </c>
      <c r="B8050" s="504">
        <v>4745</v>
      </c>
      <c r="C8050" s="504" t="s">
        <v>1094</v>
      </c>
      <c r="D8050" s="504" t="s">
        <v>3380</v>
      </c>
      <c r="E8050" s="504" t="s">
        <v>3381</v>
      </c>
      <c r="F8050" s="504" t="s">
        <v>924</v>
      </c>
      <c r="G8050" s="504" t="s">
        <v>925</v>
      </c>
      <c r="H8050" s="504" t="s">
        <v>9888</v>
      </c>
      <c r="I8050" s="504">
        <v>15</v>
      </c>
      <c r="J8050" s="504">
        <v>0</v>
      </c>
      <c r="K8050" s="504">
        <v>0</v>
      </c>
      <c r="L8050" s="504">
        <v>15</v>
      </c>
      <c r="M8050" s="504">
        <v>0</v>
      </c>
      <c r="N8050" s="504">
        <v>7</v>
      </c>
      <c r="O8050" s="505">
        <v>0</v>
      </c>
    </row>
    <row r="8051" spans="1:15" x14ac:dyDescent="0.35">
      <c r="A8051" s="500" t="s">
        <v>1540</v>
      </c>
      <c r="B8051" s="501" t="s">
        <v>3271</v>
      </c>
      <c r="C8051" s="501" t="s">
        <v>1089</v>
      </c>
      <c r="D8051" s="501" t="s">
        <v>3392</v>
      </c>
      <c r="E8051" s="501" t="s">
        <v>3381</v>
      </c>
      <c r="F8051" s="501" t="s">
        <v>924</v>
      </c>
      <c r="G8051" s="501" t="s">
        <v>925</v>
      </c>
      <c r="H8051" s="501" t="s">
        <v>15133</v>
      </c>
      <c r="I8051" s="501">
        <v>3</v>
      </c>
      <c r="J8051" s="501">
        <v>3</v>
      </c>
      <c r="K8051" s="501">
        <v>0</v>
      </c>
      <c r="L8051" s="501">
        <v>0</v>
      </c>
      <c r="M8051" s="501">
        <v>0</v>
      </c>
      <c r="N8051" s="501">
        <v>0</v>
      </c>
      <c r="O8051" s="506">
        <v>0</v>
      </c>
    </row>
    <row r="8052" spans="1:15" x14ac:dyDescent="0.35">
      <c r="A8052" s="503" t="s">
        <v>1132</v>
      </c>
      <c r="B8052" s="504">
        <v>4837</v>
      </c>
      <c r="C8052" s="504" t="s">
        <v>1094</v>
      </c>
      <c r="D8052" s="504" t="s">
        <v>3380</v>
      </c>
      <c r="E8052" s="504" t="s">
        <v>3381</v>
      </c>
      <c r="F8052" s="504" t="s">
        <v>924</v>
      </c>
      <c r="G8052" s="504" t="s">
        <v>925</v>
      </c>
      <c r="H8052" s="504" t="s">
        <v>9889</v>
      </c>
      <c r="I8052" s="504">
        <v>1</v>
      </c>
      <c r="J8052" s="504">
        <v>0</v>
      </c>
      <c r="K8052" s="504">
        <v>0</v>
      </c>
      <c r="L8052" s="504">
        <v>0</v>
      </c>
      <c r="M8052" s="504">
        <v>0</v>
      </c>
      <c r="N8052" s="504">
        <v>0</v>
      </c>
      <c r="O8052" s="505">
        <v>1</v>
      </c>
    </row>
    <row r="8053" spans="1:15" x14ac:dyDescent="0.35">
      <c r="A8053" s="500" t="s">
        <v>1358</v>
      </c>
      <c r="B8053" s="501" t="s">
        <v>3293</v>
      </c>
      <c r="C8053" s="501" t="s">
        <v>1089</v>
      </c>
      <c r="D8053" s="501" t="s">
        <v>3392</v>
      </c>
      <c r="E8053" s="501" t="s">
        <v>3381</v>
      </c>
      <c r="F8053" s="501" t="s">
        <v>924</v>
      </c>
      <c r="G8053" s="501" t="s">
        <v>925</v>
      </c>
      <c r="H8053" s="501" t="s">
        <v>9890</v>
      </c>
      <c r="I8053" s="501">
        <v>12</v>
      </c>
      <c r="J8053" s="501">
        <v>0</v>
      </c>
      <c r="K8053" s="501">
        <v>0</v>
      </c>
      <c r="L8053" s="501">
        <v>12</v>
      </c>
      <c r="M8053" s="501">
        <v>0</v>
      </c>
      <c r="N8053" s="501">
        <v>0</v>
      </c>
      <c r="O8053" s="506">
        <v>0</v>
      </c>
    </row>
    <row r="8054" spans="1:15" x14ac:dyDescent="0.35">
      <c r="A8054" s="503" t="s">
        <v>1252</v>
      </c>
      <c r="B8054" s="504" t="s">
        <v>2875</v>
      </c>
      <c r="C8054" s="504" t="s">
        <v>1089</v>
      </c>
      <c r="D8054" s="504" t="s">
        <v>3392</v>
      </c>
      <c r="E8054" s="504" t="s">
        <v>3381</v>
      </c>
      <c r="F8054" s="504" t="s">
        <v>924</v>
      </c>
      <c r="G8054" s="504" t="s">
        <v>925</v>
      </c>
      <c r="H8054" s="504" t="s">
        <v>9891</v>
      </c>
      <c r="I8054" s="504">
        <v>17</v>
      </c>
      <c r="J8054" s="504">
        <v>0</v>
      </c>
      <c r="K8054" s="504">
        <v>0</v>
      </c>
      <c r="L8054" s="504">
        <v>17</v>
      </c>
      <c r="M8054" s="504">
        <v>0</v>
      </c>
      <c r="N8054" s="504">
        <v>0</v>
      </c>
      <c r="O8054" s="505">
        <v>0</v>
      </c>
    </row>
    <row r="8055" spans="1:15" x14ac:dyDescent="0.35">
      <c r="A8055" s="500" t="s">
        <v>1581</v>
      </c>
      <c r="B8055" s="501" t="s">
        <v>2888</v>
      </c>
      <c r="C8055" s="501" t="s">
        <v>1089</v>
      </c>
      <c r="D8055" s="501" t="s">
        <v>3392</v>
      </c>
      <c r="E8055" s="501" t="s">
        <v>3381</v>
      </c>
      <c r="F8055" s="501" t="s">
        <v>924</v>
      </c>
      <c r="G8055" s="501" t="s">
        <v>925</v>
      </c>
      <c r="H8055" s="501" t="s">
        <v>9892</v>
      </c>
      <c r="I8055" s="501">
        <v>11</v>
      </c>
      <c r="J8055" s="501">
        <v>0</v>
      </c>
      <c r="K8055" s="501">
        <v>0</v>
      </c>
      <c r="L8055" s="501">
        <v>11</v>
      </c>
      <c r="M8055" s="501">
        <v>0</v>
      </c>
      <c r="N8055" s="501">
        <v>0</v>
      </c>
      <c r="O8055" s="506">
        <v>0</v>
      </c>
    </row>
    <row r="8056" spans="1:15" x14ac:dyDescent="0.35">
      <c r="A8056" s="503" t="s">
        <v>1140</v>
      </c>
      <c r="B8056" s="504">
        <v>4850</v>
      </c>
      <c r="C8056" s="504" t="s">
        <v>1094</v>
      </c>
      <c r="D8056" s="504" t="s">
        <v>3380</v>
      </c>
      <c r="E8056" s="504" t="s">
        <v>3381</v>
      </c>
      <c r="F8056" s="504" t="s">
        <v>924</v>
      </c>
      <c r="G8056" s="504" t="s">
        <v>925</v>
      </c>
      <c r="H8056" s="504" t="s">
        <v>9893</v>
      </c>
      <c r="I8056" s="504">
        <v>225</v>
      </c>
      <c r="J8056" s="504">
        <v>159</v>
      </c>
      <c r="K8056" s="504">
        <v>0</v>
      </c>
      <c r="L8056" s="504">
        <v>0</v>
      </c>
      <c r="M8056" s="504">
        <v>0</v>
      </c>
      <c r="N8056" s="504">
        <v>0</v>
      </c>
      <c r="O8056" s="505">
        <v>66</v>
      </c>
    </row>
    <row r="8057" spans="1:15" x14ac:dyDescent="0.35">
      <c r="A8057" s="500" t="s">
        <v>1262</v>
      </c>
      <c r="B8057" s="501">
        <v>4772</v>
      </c>
      <c r="C8057" s="501" t="s">
        <v>1089</v>
      </c>
      <c r="D8057" s="501" t="s">
        <v>3392</v>
      </c>
      <c r="E8057" s="501" t="s">
        <v>3381</v>
      </c>
      <c r="F8057" s="501" t="s">
        <v>924</v>
      </c>
      <c r="G8057" s="501" t="s">
        <v>925</v>
      </c>
      <c r="H8057" s="501" t="s">
        <v>9894</v>
      </c>
      <c r="I8057" s="501">
        <v>8</v>
      </c>
      <c r="J8057" s="501">
        <v>0</v>
      </c>
      <c r="K8057" s="501">
        <v>0</v>
      </c>
      <c r="L8057" s="501">
        <v>8</v>
      </c>
      <c r="M8057" s="501">
        <v>0</v>
      </c>
      <c r="N8057" s="501">
        <v>0</v>
      </c>
      <c r="O8057" s="506">
        <v>0</v>
      </c>
    </row>
    <row r="8058" spans="1:15" x14ac:dyDescent="0.35">
      <c r="A8058" s="503" t="s">
        <v>1264</v>
      </c>
      <c r="B8058" s="504">
        <v>4671</v>
      </c>
      <c r="C8058" s="504" t="s">
        <v>1089</v>
      </c>
      <c r="D8058" s="504" t="s">
        <v>3392</v>
      </c>
      <c r="E8058" s="504" t="s">
        <v>3381</v>
      </c>
      <c r="F8058" s="504" t="s">
        <v>924</v>
      </c>
      <c r="G8058" s="504" t="s">
        <v>925</v>
      </c>
      <c r="H8058" s="504" t="s">
        <v>15134</v>
      </c>
      <c r="I8058" s="504">
        <v>6</v>
      </c>
      <c r="J8058" s="504">
        <v>0</v>
      </c>
      <c r="K8058" s="504">
        <v>0</v>
      </c>
      <c r="L8058" s="504">
        <v>6</v>
      </c>
      <c r="M8058" s="504">
        <v>0</v>
      </c>
      <c r="N8058" s="504">
        <v>0</v>
      </c>
      <c r="O8058" s="505">
        <v>0</v>
      </c>
    </row>
    <row r="8059" spans="1:15" x14ac:dyDescent="0.35">
      <c r="A8059" s="500" t="s">
        <v>1385</v>
      </c>
      <c r="B8059" s="501" t="s">
        <v>3249</v>
      </c>
      <c r="C8059" s="501" t="s">
        <v>1094</v>
      </c>
      <c r="D8059" s="501" t="s">
        <v>3380</v>
      </c>
      <c r="E8059" s="501" t="s">
        <v>3381</v>
      </c>
      <c r="F8059" s="501" t="s">
        <v>926</v>
      </c>
      <c r="G8059" s="501" t="s">
        <v>927</v>
      </c>
      <c r="H8059" s="501" t="s">
        <v>9895</v>
      </c>
      <c r="I8059" s="501">
        <v>335</v>
      </c>
      <c r="J8059" s="501">
        <v>329</v>
      </c>
      <c r="K8059" s="501">
        <v>0</v>
      </c>
      <c r="L8059" s="501">
        <v>0</v>
      </c>
      <c r="M8059" s="501">
        <v>0</v>
      </c>
      <c r="N8059" s="501">
        <v>1</v>
      </c>
      <c r="O8059" s="506">
        <v>6</v>
      </c>
    </row>
    <row r="8060" spans="1:15" x14ac:dyDescent="0.35">
      <c r="A8060" s="503" t="s">
        <v>1387</v>
      </c>
      <c r="B8060" s="504" t="s">
        <v>2861</v>
      </c>
      <c r="C8060" s="504" t="s">
        <v>1089</v>
      </c>
      <c r="D8060" s="504" t="s">
        <v>3392</v>
      </c>
      <c r="E8060" s="504" t="s">
        <v>3381</v>
      </c>
      <c r="F8060" s="504" t="s">
        <v>926</v>
      </c>
      <c r="G8060" s="504" t="s">
        <v>927</v>
      </c>
      <c r="H8060" s="504" t="s">
        <v>9896</v>
      </c>
      <c r="I8060" s="504">
        <v>16</v>
      </c>
      <c r="J8060" s="504">
        <v>0</v>
      </c>
      <c r="K8060" s="504">
        <v>0</v>
      </c>
      <c r="L8060" s="504">
        <v>0</v>
      </c>
      <c r="M8060" s="504">
        <v>16</v>
      </c>
      <c r="N8060" s="504">
        <v>0</v>
      </c>
      <c r="O8060" s="505">
        <v>0</v>
      </c>
    </row>
    <row r="8061" spans="1:15" x14ac:dyDescent="0.35">
      <c r="A8061" s="500" t="s">
        <v>1091</v>
      </c>
      <c r="B8061" s="501" t="s">
        <v>3288</v>
      </c>
      <c r="C8061" s="501" t="s">
        <v>1089</v>
      </c>
      <c r="D8061" s="501" t="s">
        <v>3392</v>
      </c>
      <c r="E8061" s="501" t="s">
        <v>3381</v>
      </c>
      <c r="F8061" s="501" t="s">
        <v>926</v>
      </c>
      <c r="G8061" s="501" t="s">
        <v>927</v>
      </c>
      <c r="H8061" s="501" t="s">
        <v>9897</v>
      </c>
      <c r="I8061" s="501">
        <v>21</v>
      </c>
      <c r="J8061" s="501">
        <v>0</v>
      </c>
      <c r="K8061" s="501">
        <v>0</v>
      </c>
      <c r="L8061" s="501">
        <v>21</v>
      </c>
      <c r="M8061" s="501">
        <v>0</v>
      </c>
      <c r="N8061" s="501">
        <v>0</v>
      </c>
      <c r="O8061" s="506">
        <v>0</v>
      </c>
    </row>
    <row r="8062" spans="1:15" x14ac:dyDescent="0.35">
      <c r="A8062" s="503" t="s">
        <v>1093</v>
      </c>
      <c r="B8062" s="504" t="s">
        <v>3248</v>
      </c>
      <c r="C8062" s="504" t="s">
        <v>1094</v>
      </c>
      <c r="D8062" s="504" t="s">
        <v>3380</v>
      </c>
      <c r="E8062" s="504" t="s">
        <v>3381</v>
      </c>
      <c r="F8062" s="504" t="s">
        <v>926</v>
      </c>
      <c r="G8062" s="504" t="s">
        <v>927</v>
      </c>
      <c r="H8062" s="504" t="s">
        <v>9898</v>
      </c>
      <c r="I8062" s="504">
        <v>4</v>
      </c>
      <c r="J8062" s="504">
        <v>0</v>
      </c>
      <c r="K8062" s="504">
        <v>0</v>
      </c>
      <c r="L8062" s="504">
        <v>4</v>
      </c>
      <c r="M8062" s="504">
        <v>0</v>
      </c>
      <c r="N8062" s="504">
        <v>0</v>
      </c>
      <c r="O8062" s="505">
        <v>0</v>
      </c>
    </row>
    <row r="8063" spans="1:15" x14ac:dyDescent="0.35">
      <c r="A8063" s="500" t="s">
        <v>1096</v>
      </c>
      <c r="B8063" s="501" t="s">
        <v>3326</v>
      </c>
      <c r="C8063" s="501" t="s">
        <v>1094</v>
      </c>
      <c r="D8063" s="501" t="s">
        <v>3380</v>
      </c>
      <c r="E8063" s="501" t="s">
        <v>3381</v>
      </c>
      <c r="F8063" s="501" t="s">
        <v>926</v>
      </c>
      <c r="G8063" s="501" t="s">
        <v>927</v>
      </c>
      <c r="H8063" s="501" t="s">
        <v>9899</v>
      </c>
      <c r="I8063" s="501">
        <v>188</v>
      </c>
      <c r="J8063" s="501">
        <v>0</v>
      </c>
      <c r="K8063" s="501">
        <v>0</v>
      </c>
      <c r="L8063" s="501">
        <v>0</v>
      </c>
      <c r="M8063" s="501">
        <v>188</v>
      </c>
      <c r="N8063" s="501">
        <v>0</v>
      </c>
      <c r="O8063" s="506">
        <v>0</v>
      </c>
    </row>
    <row r="8064" spans="1:15" x14ac:dyDescent="0.35">
      <c r="A8064" s="503" t="s">
        <v>1100</v>
      </c>
      <c r="B8064" s="504">
        <v>4865</v>
      </c>
      <c r="C8064" s="504" t="s">
        <v>1094</v>
      </c>
      <c r="D8064" s="504" t="s">
        <v>3380</v>
      </c>
      <c r="E8064" s="504" t="s">
        <v>3381</v>
      </c>
      <c r="F8064" s="504" t="s">
        <v>926</v>
      </c>
      <c r="G8064" s="504" t="s">
        <v>927</v>
      </c>
      <c r="H8064" s="504" t="s">
        <v>9900</v>
      </c>
      <c r="I8064" s="504">
        <v>576</v>
      </c>
      <c r="J8064" s="504">
        <v>464</v>
      </c>
      <c r="K8064" s="504">
        <v>0</v>
      </c>
      <c r="L8064" s="504">
        <v>0</v>
      </c>
      <c r="M8064" s="504">
        <v>0</v>
      </c>
      <c r="N8064" s="504">
        <v>0</v>
      </c>
      <c r="O8064" s="505">
        <v>112</v>
      </c>
    </row>
    <row r="8065" spans="1:15" x14ac:dyDescent="0.35">
      <c r="A8065" s="500" t="s">
        <v>1420</v>
      </c>
      <c r="B8065" s="501">
        <v>4764</v>
      </c>
      <c r="C8065" s="501" t="s">
        <v>1089</v>
      </c>
      <c r="D8065" s="501" t="s">
        <v>3392</v>
      </c>
      <c r="E8065" s="501" t="s">
        <v>3381</v>
      </c>
      <c r="F8065" s="501" t="s">
        <v>926</v>
      </c>
      <c r="G8065" s="501" t="s">
        <v>927</v>
      </c>
      <c r="H8065" s="501" t="s">
        <v>15135</v>
      </c>
      <c r="I8065" s="501">
        <v>3</v>
      </c>
      <c r="J8065" s="501">
        <v>3</v>
      </c>
      <c r="K8065" s="501">
        <v>0</v>
      </c>
      <c r="L8065" s="501">
        <v>0</v>
      </c>
      <c r="M8065" s="501">
        <v>0</v>
      </c>
      <c r="N8065" s="501">
        <v>0</v>
      </c>
      <c r="O8065" s="506">
        <v>0</v>
      </c>
    </row>
    <row r="8066" spans="1:15" x14ac:dyDescent="0.35">
      <c r="A8066" s="503" t="s">
        <v>1422</v>
      </c>
      <c r="B8066" s="504" t="s">
        <v>3254</v>
      </c>
      <c r="C8066" s="504" t="s">
        <v>1094</v>
      </c>
      <c r="D8066" s="504" t="s">
        <v>3380</v>
      </c>
      <c r="E8066" s="504" t="s">
        <v>3381</v>
      </c>
      <c r="F8066" s="504" t="s">
        <v>926</v>
      </c>
      <c r="G8066" s="504" t="s">
        <v>927</v>
      </c>
      <c r="H8066" s="504" t="s">
        <v>9901</v>
      </c>
      <c r="I8066" s="504">
        <v>185</v>
      </c>
      <c r="J8066" s="504">
        <v>15</v>
      </c>
      <c r="K8066" s="504">
        <v>0</v>
      </c>
      <c r="L8066" s="504">
        <v>6</v>
      </c>
      <c r="M8066" s="504">
        <v>147</v>
      </c>
      <c r="N8066" s="504">
        <v>0</v>
      </c>
      <c r="O8066" s="505">
        <v>17</v>
      </c>
    </row>
    <row r="8067" spans="1:15" x14ac:dyDescent="0.35">
      <c r="A8067" s="500" t="s">
        <v>14208</v>
      </c>
      <c r="B8067" s="501">
        <v>4803</v>
      </c>
      <c r="C8067" s="501" t="s">
        <v>1094</v>
      </c>
      <c r="D8067" s="501" t="s">
        <v>3380</v>
      </c>
      <c r="E8067" s="501" t="s">
        <v>3381</v>
      </c>
      <c r="F8067" s="501" t="s">
        <v>926</v>
      </c>
      <c r="G8067" s="501" t="s">
        <v>927</v>
      </c>
      <c r="H8067" s="501" t="s">
        <v>15136</v>
      </c>
      <c r="I8067" s="501">
        <v>2</v>
      </c>
      <c r="J8067" s="501">
        <v>0</v>
      </c>
      <c r="K8067" s="501">
        <v>0</v>
      </c>
      <c r="L8067" s="501">
        <v>2</v>
      </c>
      <c r="M8067" s="501">
        <v>0</v>
      </c>
      <c r="N8067" s="501">
        <v>0</v>
      </c>
      <c r="O8067" s="506">
        <v>0</v>
      </c>
    </row>
    <row r="8068" spans="1:15" x14ac:dyDescent="0.35">
      <c r="A8068" s="503" t="s">
        <v>1105</v>
      </c>
      <c r="B8068" s="504">
        <v>4668</v>
      </c>
      <c r="C8068" s="504" t="s">
        <v>1094</v>
      </c>
      <c r="D8068" s="504" t="s">
        <v>3380</v>
      </c>
      <c r="E8068" s="504" t="s">
        <v>3381</v>
      </c>
      <c r="F8068" s="504" t="s">
        <v>926</v>
      </c>
      <c r="G8068" s="504" t="s">
        <v>927</v>
      </c>
      <c r="H8068" s="504" t="s">
        <v>9902</v>
      </c>
      <c r="I8068" s="504">
        <v>6</v>
      </c>
      <c r="J8068" s="504">
        <v>0</v>
      </c>
      <c r="K8068" s="504">
        <v>0</v>
      </c>
      <c r="L8068" s="504">
        <v>0</v>
      </c>
      <c r="M8068" s="504">
        <v>0</v>
      </c>
      <c r="N8068" s="504">
        <v>0</v>
      </c>
      <c r="O8068" s="505">
        <v>6</v>
      </c>
    </row>
    <row r="8069" spans="1:15" x14ac:dyDescent="0.35">
      <c r="A8069" s="500" t="s">
        <v>1107</v>
      </c>
      <c r="B8069" s="501" t="s">
        <v>3109</v>
      </c>
      <c r="C8069" s="501" t="s">
        <v>1094</v>
      </c>
      <c r="D8069" s="501" t="s">
        <v>3380</v>
      </c>
      <c r="E8069" s="501" t="s">
        <v>3381</v>
      </c>
      <c r="F8069" s="501" t="s">
        <v>926</v>
      </c>
      <c r="G8069" s="501" t="s">
        <v>927</v>
      </c>
      <c r="H8069" s="501" t="s">
        <v>9903</v>
      </c>
      <c r="I8069" s="501">
        <v>93</v>
      </c>
      <c r="J8069" s="501">
        <v>76</v>
      </c>
      <c r="K8069" s="501">
        <v>0</v>
      </c>
      <c r="L8069" s="501">
        <v>17</v>
      </c>
      <c r="M8069" s="501">
        <v>0</v>
      </c>
      <c r="N8069" s="501">
        <v>0</v>
      </c>
      <c r="O8069" s="506">
        <v>0</v>
      </c>
    </row>
    <row r="8070" spans="1:15" x14ac:dyDescent="0.35">
      <c r="A8070" s="503" t="s">
        <v>1109</v>
      </c>
      <c r="B8070" s="504" t="s">
        <v>2959</v>
      </c>
      <c r="C8070" s="504" t="s">
        <v>1094</v>
      </c>
      <c r="D8070" s="504" t="s">
        <v>3380</v>
      </c>
      <c r="E8070" s="504" t="s">
        <v>3381</v>
      </c>
      <c r="F8070" s="504" t="s">
        <v>926</v>
      </c>
      <c r="G8070" s="504" t="s">
        <v>927</v>
      </c>
      <c r="H8070" s="504" t="s">
        <v>9904</v>
      </c>
      <c r="I8070" s="504">
        <v>171</v>
      </c>
      <c r="J8070" s="504">
        <v>0</v>
      </c>
      <c r="K8070" s="504">
        <v>0</v>
      </c>
      <c r="L8070" s="504">
        <v>52</v>
      </c>
      <c r="M8070" s="504">
        <v>109</v>
      </c>
      <c r="N8070" s="504">
        <v>0</v>
      </c>
      <c r="O8070" s="505">
        <v>10</v>
      </c>
    </row>
    <row r="8071" spans="1:15" x14ac:dyDescent="0.35">
      <c r="A8071" s="500" t="s">
        <v>1488</v>
      </c>
      <c r="B8071" s="501" t="s">
        <v>2857</v>
      </c>
      <c r="C8071" s="501" t="s">
        <v>1089</v>
      </c>
      <c r="D8071" s="501" t="s">
        <v>3392</v>
      </c>
      <c r="E8071" s="501" t="s">
        <v>3381</v>
      </c>
      <c r="F8071" s="501" t="s">
        <v>926</v>
      </c>
      <c r="G8071" s="501" t="s">
        <v>927</v>
      </c>
      <c r="H8071" s="501" t="s">
        <v>9905</v>
      </c>
      <c r="I8071" s="501">
        <v>8</v>
      </c>
      <c r="J8071" s="501">
        <v>0</v>
      </c>
      <c r="K8071" s="501">
        <v>8</v>
      </c>
      <c r="L8071" s="501">
        <v>0</v>
      </c>
      <c r="M8071" s="501">
        <v>0</v>
      </c>
      <c r="N8071" s="501">
        <v>0</v>
      </c>
      <c r="O8071" s="506">
        <v>0</v>
      </c>
    </row>
    <row r="8072" spans="1:15" x14ac:dyDescent="0.35">
      <c r="A8072" s="503" t="s">
        <v>1202</v>
      </c>
      <c r="B8072" s="504" t="s">
        <v>3217</v>
      </c>
      <c r="C8072" s="504" t="s">
        <v>1094</v>
      </c>
      <c r="D8072" s="504" t="s">
        <v>3380</v>
      </c>
      <c r="E8072" s="504" t="s">
        <v>3381</v>
      </c>
      <c r="F8072" s="504" t="s">
        <v>926</v>
      </c>
      <c r="G8072" s="504" t="s">
        <v>927</v>
      </c>
      <c r="H8072" s="504" t="s">
        <v>9906</v>
      </c>
      <c r="I8072" s="504">
        <v>710</v>
      </c>
      <c r="J8072" s="504">
        <v>463</v>
      </c>
      <c r="K8072" s="504">
        <v>0</v>
      </c>
      <c r="L8072" s="504">
        <v>26</v>
      </c>
      <c r="M8072" s="504">
        <v>0</v>
      </c>
      <c r="N8072" s="504">
        <v>1</v>
      </c>
      <c r="O8072" s="505">
        <v>221</v>
      </c>
    </row>
    <row r="8073" spans="1:15" x14ac:dyDescent="0.35">
      <c r="A8073" s="500" t="s">
        <v>1112</v>
      </c>
      <c r="B8073" s="501" t="s">
        <v>3008</v>
      </c>
      <c r="C8073" s="501" t="s">
        <v>1094</v>
      </c>
      <c r="D8073" s="501" t="s">
        <v>3380</v>
      </c>
      <c r="E8073" s="501" t="s">
        <v>3381</v>
      </c>
      <c r="F8073" s="501" t="s">
        <v>926</v>
      </c>
      <c r="G8073" s="501" t="s">
        <v>927</v>
      </c>
      <c r="H8073" s="501" t="s">
        <v>9907</v>
      </c>
      <c r="I8073" s="501">
        <v>2147</v>
      </c>
      <c r="J8073" s="501">
        <v>1851</v>
      </c>
      <c r="K8073" s="501">
        <v>0</v>
      </c>
      <c r="L8073" s="501">
        <v>16</v>
      </c>
      <c r="M8073" s="501">
        <v>0</v>
      </c>
      <c r="N8073" s="501">
        <v>0</v>
      </c>
      <c r="O8073" s="506">
        <v>280</v>
      </c>
    </row>
    <row r="8074" spans="1:15" x14ac:dyDescent="0.35">
      <c r="A8074" s="503" t="s">
        <v>1498</v>
      </c>
      <c r="B8074" s="504" t="s">
        <v>3138</v>
      </c>
      <c r="C8074" s="504" t="s">
        <v>1089</v>
      </c>
      <c r="D8074" s="504" t="s">
        <v>3392</v>
      </c>
      <c r="E8074" s="504" t="s">
        <v>3381</v>
      </c>
      <c r="F8074" s="504" t="s">
        <v>926</v>
      </c>
      <c r="G8074" s="504" t="s">
        <v>927</v>
      </c>
      <c r="H8074" s="504" t="s">
        <v>9908</v>
      </c>
      <c r="I8074" s="504">
        <v>1</v>
      </c>
      <c r="J8074" s="504">
        <v>1</v>
      </c>
      <c r="K8074" s="504">
        <v>0</v>
      </c>
      <c r="L8074" s="504">
        <v>0</v>
      </c>
      <c r="M8074" s="504">
        <v>0</v>
      </c>
      <c r="N8074" s="504">
        <v>0</v>
      </c>
      <c r="O8074" s="505">
        <v>0</v>
      </c>
    </row>
    <row r="8075" spans="1:15" x14ac:dyDescent="0.35">
      <c r="A8075" s="500" t="s">
        <v>1114</v>
      </c>
      <c r="B8075" s="501" t="s">
        <v>2982</v>
      </c>
      <c r="C8075" s="501" t="s">
        <v>1094</v>
      </c>
      <c r="D8075" s="501" t="s">
        <v>3380</v>
      </c>
      <c r="E8075" s="501" t="s">
        <v>3381</v>
      </c>
      <c r="F8075" s="501" t="s">
        <v>926</v>
      </c>
      <c r="G8075" s="501" t="s">
        <v>927</v>
      </c>
      <c r="H8075" s="501" t="s">
        <v>9909</v>
      </c>
      <c r="I8075" s="501">
        <v>272</v>
      </c>
      <c r="J8075" s="501">
        <v>233</v>
      </c>
      <c r="K8075" s="501">
        <v>0</v>
      </c>
      <c r="L8075" s="501">
        <v>0</v>
      </c>
      <c r="M8075" s="501">
        <v>32</v>
      </c>
      <c r="N8075" s="501">
        <v>0</v>
      </c>
      <c r="O8075" s="506">
        <v>7</v>
      </c>
    </row>
    <row r="8076" spans="1:15" x14ac:dyDescent="0.35">
      <c r="A8076" s="503" t="s">
        <v>1319</v>
      </c>
      <c r="B8076" s="504">
        <v>4880</v>
      </c>
      <c r="C8076" s="504" t="s">
        <v>1094</v>
      </c>
      <c r="D8076" s="504" t="s">
        <v>3380</v>
      </c>
      <c r="E8076" s="504" t="s">
        <v>3381</v>
      </c>
      <c r="F8076" s="504" t="s">
        <v>926</v>
      </c>
      <c r="G8076" s="504" t="s">
        <v>927</v>
      </c>
      <c r="H8076" s="504" t="s">
        <v>9910</v>
      </c>
      <c r="I8076" s="504">
        <v>71</v>
      </c>
      <c r="J8076" s="504">
        <v>71</v>
      </c>
      <c r="K8076" s="504">
        <v>0</v>
      </c>
      <c r="L8076" s="504">
        <v>0</v>
      </c>
      <c r="M8076" s="504">
        <v>0</v>
      </c>
      <c r="N8076" s="504">
        <v>4</v>
      </c>
      <c r="O8076" s="505">
        <v>0</v>
      </c>
    </row>
    <row r="8077" spans="1:15" x14ac:dyDescent="0.35">
      <c r="A8077" s="500" t="s">
        <v>1120</v>
      </c>
      <c r="B8077" s="501" t="s">
        <v>3362</v>
      </c>
      <c r="C8077" s="501" t="s">
        <v>1094</v>
      </c>
      <c r="D8077" s="501" t="s">
        <v>3380</v>
      </c>
      <c r="E8077" s="501" t="s">
        <v>3381</v>
      </c>
      <c r="F8077" s="501" t="s">
        <v>926</v>
      </c>
      <c r="G8077" s="501" t="s">
        <v>927</v>
      </c>
      <c r="H8077" s="501" t="s">
        <v>9911</v>
      </c>
      <c r="I8077" s="501">
        <v>6</v>
      </c>
      <c r="J8077" s="501">
        <v>0</v>
      </c>
      <c r="K8077" s="501">
        <v>0</v>
      </c>
      <c r="L8077" s="501">
        <v>0</v>
      </c>
      <c r="M8077" s="501">
        <v>0</v>
      </c>
      <c r="N8077" s="501">
        <v>0</v>
      </c>
      <c r="O8077" s="506">
        <v>6</v>
      </c>
    </row>
    <row r="8078" spans="1:15" x14ac:dyDescent="0.35">
      <c r="A8078" s="503" t="s">
        <v>1321</v>
      </c>
      <c r="B8078" s="504">
        <v>4635</v>
      </c>
      <c r="C8078" s="504" t="s">
        <v>1089</v>
      </c>
      <c r="D8078" s="504" t="s">
        <v>3392</v>
      </c>
      <c r="E8078" s="504" t="s">
        <v>3381</v>
      </c>
      <c r="F8078" s="504" t="s">
        <v>926</v>
      </c>
      <c r="G8078" s="504" t="s">
        <v>927</v>
      </c>
      <c r="H8078" s="504" t="s">
        <v>9912</v>
      </c>
      <c r="I8078" s="504">
        <v>40</v>
      </c>
      <c r="J8078" s="504">
        <v>40</v>
      </c>
      <c r="K8078" s="504">
        <v>0</v>
      </c>
      <c r="L8078" s="504">
        <v>0</v>
      </c>
      <c r="M8078" s="504">
        <v>0</v>
      </c>
      <c r="N8078" s="504">
        <v>0</v>
      </c>
      <c r="O8078" s="505">
        <v>0</v>
      </c>
    </row>
    <row r="8079" spans="1:15" x14ac:dyDescent="0.35">
      <c r="A8079" s="500" t="s">
        <v>1217</v>
      </c>
      <c r="B8079" s="501">
        <v>4851</v>
      </c>
      <c r="C8079" s="501" t="s">
        <v>1094</v>
      </c>
      <c r="D8079" s="501" t="s">
        <v>3380</v>
      </c>
      <c r="E8079" s="501" t="s">
        <v>3381</v>
      </c>
      <c r="F8079" s="501" t="s">
        <v>926</v>
      </c>
      <c r="G8079" s="501" t="s">
        <v>927</v>
      </c>
      <c r="H8079" s="501" t="s">
        <v>9913</v>
      </c>
      <c r="I8079" s="501">
        <v>565</v>
      </c>
      <c r="J8079" s="501">
        <v>261</v>
      </c>
      <c r="K8079" s="501">
        <v>0</v>
      </c>
      <c r="L8079" s="501">
        <v>25</v>
      </c>
      <c r="M8079" s="501">
        <v>86</v>
      </c>
      <c r="N8079" s="501">
        <v>3</v>
      </c>
      <c r="O8079" s="506">
        <v>193</v>
      </c>
    </row>
    <row r="8080" spans="1:15" x14ac:dyDescent="0.35">
      <c r="A8080" s="503" t="s">
        <v>1218</v>
      </c>
      <c r="B8080" s="504" t="s">
        <v>3147</v>
      </c>
      <c r="C8080" s="504" t="s">
        <v>1094</v>
      </c>
      <c r="D8080" s="504" t="s">
        <v>3380</v>
      </c>
      <c r="E8080" s="504" t="s">
        <v>3381</v>
      </c>
      <c r="F8080" s="504" t="s">
        <v>926</v>
      </c>
      <c r="G8080" s="504" t="s">
        <v>927</v>
      </c>
      <c r="H8080" s="504" t="s">
        <v>9914</v>
      </c>
      <c r="I8080" s="504">
        <v>20</v>
      </c>
      <c r="J8080" s="504">
        <v>0</v>
      </c>
      <c r="K8080" s="504">
        <v>0</v>
      </c>
      <c r="L8080" s="504">
        <v>0</v>
      </c>
      <c r="M8080" s="504">
        <v>0</v>
      </c>
      <c r="N8080" s="504">
        <v>0</v>
      </c>
      <c r="O8080" s="505">
        <v>20</v>
      </c>
    </row>
    <row r="8081" spans="1:15" x14ac:dyDescent="0.35">
      <c r="A8081" s="500" t="s">
        <v>11367</v>
      </c>
      <c r="B8081" s="501" t="s">
        <v>3143</v>
      </c>
      <c r="C8081" s="501" t="s">
        <v>1094</v>
      </c>
      <c r="D8081" s="501" t="s">
        <v>3380</v>
      </c>
      <c r="E8081" s="501" t="s">
        <v>3381</v>
      </c>
      <c r="F8081" s="501" t="s">
        <v>926</v>
      </c>
      <c r="G8081" s="501" t="s">
        <v>927</v>
      </c>
      <c r="H8081" s="501" t="s">
        <v>11955</v>
      </c>
      <c r="I8081" s="501">
        <v>405</v>
      </c>
      <c r="J8081" s="501">
        <v>405</v>
      </c>
      <c r="K8081" s="501">
        <v>0</v>
      </c>
      <c r="L8081" s="501">
        <v>0</v>
      </c>
      <c r="M8081" s="501">
        <v>0</v>
      </c>
      <c r="N8081" s="501">
        <v>0</v>
      </c>
      <c r="O8081" s="506">
        <v>0</v>
      </c>
    </row>
    <row r="8082" spans="1:15" x14ac:dyDescent="0.35">
      <c r="A8082" s="503" t="s">
        <v>1332</v>
      </c>
      <c r="B8082" s="504">
        <v>4878</v>
      </c>
      <c r="C8082" s="504" t="s">
        <v>1094</v>
      </c>
      <c r="D8082" s="504" t="s">
        <v>3380</v>
      </c>
      <c r="E8082" s="504" t="s">
        <v>3381</v>
      </c>
      <c r="F8082" s="504" t="s">
        <v>926</v>
      </c>
      <c r="G8082" s="504" t="s">
        <v>927</v>
      </c>
      <c r="H8082" s="504" t="s">
        <v>9915</v>
      </c>
      <c r="I8082" s="504">
        <v>42</v>
      </c>
      <c r="J8082" s="504">
        <v>24</v>
      </c>
      <c r="K8082" s="504">
        <v>0</v>
      </c>
      <c r="L8082" s="504">
        <v>0</v>
      </c>
      <c r="M8082" s="504">
        <v>0</v>
      </c>
      <c r="N8082" s="504">
        <v>0</v>
      </c>
      <c r="O8082" s="505">
        <v>18</v>
      </c>
    </row>
    <row r="8083" spans="1:15" x14ac:dyDescent="0.35">
      <c r="A8083" s="500" t="s">
        <v>1122</v>
      </c>
      <c r="B8083" s="501" t="s">
        <v>2994</v>
      </c>
      <c r="C8083" s="501" t="s">
        <v>1094</v>
      </c>
      <c r="D8083" s="501" t="s">
        <v>3380</v>
      </c>
      <c r="E8083" s="501" t="s">
        <v>3381</v>
      </c>
      <c r="F8083" s="501" t="s">
        <v>926</v>
      </c>
      <c r="G8083" s="501" t="s">
        <v>927</v>
      </c>
      <c r="H8083" s="501" t="s">
        <v>9916</v>
      </c>
      <c r="I8083" s="501">
        <v>3</v>
      </c>
      <c r="J8083" s="501">
        <v>3</v>
      </c>
      <c r="K8083" s="501">
        <v>0</v>
      </c>
      <c r="L8083" s="501">
        <v>0</v>
      </c>
      <c r="M8083" s="501">
        <v>0</v>
      </c>
      <c r="N8083" s="501">
        <v>0</v>
      </c>
      <c r="O8083" s="506">
        <v>0</v>
      </c>
    </row>
    <row r="8084" spans="1:15" x14ac:dyDescent="0.35">
      <c r="A8084" s="503" t="s">
        <v>1228</v>
      </c>
      <c r="B8084" s="504" t="s">
        <v>3321</v>
      </c>
      <c r="C8084" s="504" t="s">
        <v>1094</v>
      </c>
      <c r="D8084" s="504" t="s">
        <v>3380</v>
      </c>
      <c r="E8084" s="504" t="s">
        <v>3381</v>
      </c>
      <c r="F8084" s="504" t="s">
        <v>926</v>
      </c>
      <c r="G8084" s="504" t="s">
        <v>927</v>
      </c>
      <c r="H8084" s="504" t="s">
        <v>9917</v>
      </c>
      <c r="I8084" s="504">
        <v>38</v>
      </c>
      <c r="J8084" s="504">
        <v>0</v>
      </c>
      <c r="K8084" s="504">
        <v>0</v>
      </c>
      <c r="L8084" s="504">
        <v>38</v>
      </c>
      <c r="M8084" s="504">
        <v>0</v>
      </c>
      <c r="N8084" s="504">
        <v>0</v>
      </c>
      <c r="O8084" s="505">
        <v>0</v>
      </c>
    </row>
    <row r="8085" spans="1:15" x14ac:dyDescent="0.35">
      <c r="A8085" s="500" t="s">
        <v>1536</v>
      </c>
      <c r="B8085" s="501" t="s">
        <v>3178</v>
      </c>
      <c r="C8085" s="501" t="s">
        <v>1094</v>
      </c>
      <c r="D8085" s="501" t="s">
        <v>3380</v>
      </c>
      <c r="E8085" s="501" t="s">
        <v>3381</v>
      </c>
      <c r="F8085" s="501" t="s">
        <v>926</v>
      </c>
      <c r="G8085" s="501" t="s">
        <v>927</v>
      </c>
      <c r="H8085" s="501" t="s">
        <v>9918</v>
      </c>
      <c r="I8085" s="501">
        <v>29</v>
      </c>
      <c r="J8085" s="501">
        <v>29</v>
      </c>
      <c r="K8085" s="501">
        <v>0</v>
      </c>
      <c r="L8085" s="501">
        <v>0</v>
      </c>
      <c r="M8085" s="501">
        <v>0</v>
      </c>
      <c r="N8085" s="501">
        <v>0</v>
      </c>
      <c r="O8085" s="506">
        <v>0</v>
      </c>
    </row>
    <row r="8086" spans="1:15" x14ac:dyDescent="0.35">
      <c r="A8086" s="503" t="s">
        <v>1124</v>
      </c>
      <c r="B8086" s="504">
        <v>4745</v>
      </c>
      <c r="C8086" s="504" t="s">
        <v>1094</v>
      </c>
      <c r="D8086" s="504" t="s">
        <v>3380</v>
      </c>
      <c r="E8086" s="504" t="s">
        <v>3381</v>
      </c>
      <c r="F8086" s="504" t="s">
        <v>926</v>
      </c>
      <c r="G8086" s="504" t="s">
        <v>927</v>
      </c>
      <c r="H8086" s="504" t="s">
        <v>9919</v>
      </c>
      <c r="I8086" s="504">
        <v>25</v>
      </c>
      <c r="J8086" s="504">
        <v>0</v>
      </c>
      <c r="K8086" s="504">
        <v>0</v>
      </c>
      <c r="L8086" s="504">
        <v>25</v>
      </c>
      <c r="M8086" s="504">
        <v>0</v>
      </c>
      <c r="N8086" s="504">
        <v>0</v>
      </c>
      <c r="O8086" s="505">
        <v>0</v>
      </c>
    </row>
    <row r="8087" spans="1:15" x14ac:dyDescent="0.35">
      <c r="A8087" s="500" t="s">
        <v>1540</v>
      </c>
      <c r="B8087" s="501" t="s">
        <v>3271</v>
      </c>
      <c r="C8087" s="501" t="s">
        <v>1089</v>
      </c>
      <c r="D8087" s="501" t="s">
        <v>3392</v>
      </c>
      <c r="E8087" s="501" t="s">
        <v>3381</v>
      </c>
      <c r="F8087" s="501" t="s">
        <v>926</v>
      </c>
      <c r="G8087" s="501" t="s">
        <v>927</v>
      </c>
      <c r="H8087" s="501" t="s">
        <v>9920</v>
      </c>
      <c r="I8087" s="501">
        <v>13</v>
      </c>
      <c r="J8087" s="501">
        <v>13</v>
      </c>
      <c r="K8087" s="501">
        <v>0</v>
      </c>
      <c r="L8087" s="501">
        <v>0</v>
      </c>
      <c r="M8087" s="501">
        <v>0</v>
      </c>
      <c r="N8087" s="501">
        <v>0</v>
      </c>
      <c r="O8087" s="506">
        <v>0</v>
      </c>
    </row>
    <row r="8088" spans="1:15" x14ac:dyDescent="0.35">
      <c r="A8088" s="503" t="s">
        <v>1233</v>
      </c>
      <c r="B8088" s="504">
        <v>4636</v>
      </c>
      <c r="C8088" s="504" t="s">
        <v>1094</v>
      </c>
      <c r="D8088" s="504" t="s">
        <v>3380</v>
      </c>
      <c r="E8088" s="504" t="s">
        <v>3381</v>
      </c>
      <c r="F8088" s="504" t="s">
        <v>926</v>
      </c>
      <c r="G8088" s="504" t="s">
        <v>927</v>
      </c>
      <c r="H8088" s="504" t="s">
        <v>9921</v>
      </c>
      <c r="I8088" s="504">
        <v>9</v>
      </c>
      <c r="J8088" s="504">
        <v>0</v>
      </c>
      <c r="K8088" s="504">
        <v>0</v>
      </c>
      <c r="L8088" s="504">
        <v>0</v>
      </c>
      <c r="M8088" s="504">
        <v>0</v>
      </c>
      <c r="N8088" s="504">
        <v>0</v>
      </c>
      <c r="O8088" s="505">
        <v>9</v>
      </c>
    </row>
    <row r="8089" spans="1:15" x14ac:dyDescent="0.35">
      <c r="A8089" s="500" t="s">
        <v>11368</v>
      </c>
      <c r="B8089" s="501">
        <v>5083</v>
      </c>
      <c r="C8089" s="501" t="s">
        <v>1094</v>
      </c>
      <c r="D8089" s="501" t="s">
        <v>3380</v>
      </c>
      <c r="E8089" s="501" t="s">
        <v>3381</v>
      </c>
      <c r="F8089" s="501" t="s">
        <v>926</v>
      </c>
      <c r="G8089" s="501" t="s">
        <v>927</v>
      </c>
      <c r="H8089" s="501" t="s">
        <v>12082</v>
      </c>
      <c r="I8089" s="501">
        <v>21</v>
      </c>
      <c r="J8089" s="501">
        <v>21</v>
      </c>
      <c r="K8089" s="501">
        <v>0</v>
      </c>
      <c r="L8089" s="501">
        <v>0</v>
      </c>
      <c r="M8089" s="501">
        <v>0</v>
      </c>
      <c r="N8089" s="501">
        <v>0</v>
      </c>
      <c r="O8089" s="506">
        <v>0</v>
      </c>
    </row>
    <row r="8090" spans="1:15" x14ac:dyDescent="0.35">
      <c r="A8090" s="503" t="s">
        <v>1342</v>
      </c>
      <c r="B8090" s="504" t="s">
        <v>3237</v>
      </c>
      <c r="C8090" s="504" t="s">
        <v>1094</v>
      </c>
      <c r="D8090" s="504" t="s">
        <v>3380</v>
      </c>
      <c r="E8090" s="504" t="s">
        <v>3381</v>
      </c>
      <c r="F8090" s="504" t="s">
        <v>926</v>
      </c>
      <c r="G8090" s="504" t="s">
        <v>927</v>
      </c>
      <c r="H8090" s="504" t="s">
        <v>9922</v>
      </c>
      <c r="I8090" s="504">
        <v>3</v>
      </c>
      <c r="J8090" s="504">
        <v>0</v>
      </c>
      <c r="K8090" s="504">
        <v>0</v>
      </c>
      <c r="L8090" s="504">
        <v>0</v>
      </c>
      <c r="M8090" s="504">
        <v>0</v>
      </c>
      <c r="N8090" s="504">
        <v>0</v>
      </c>
      <c r="O8090" s="505">
        <v>3</v>
      </c>
    </row>
    <row r="8091" spans="1:15" x14ac:dyDescent="0.35">
      <c r="A8091" s="500" t="s">
        <v>1130</v>
      </c>
      <c r="B8091" s="501" t="s">
        <v>3234</v>
      </c>
      <c r="C8091" s="501" t="s">
        <v>1094</v>
      </c>
      <c r="D8091" s="501" t="s">
        <v>3380</v>
      </c>
      <c r="E8091" s="501" t="s">
        <v>3381</v>
      </c>
      <c r="F8091" s="501" t="s">
        <v>926</v>
      </c>
      <c r="G8091" s="501" t="s">
        <v>927</v>
      </c>
      <c r="H8091" s="501" t="s">
        <v>9923</v>
      </c>
      <c r="I8091" s="501">
        <v>1</v>
      </c>
      <c r="J8091" s="501">
        <v>0</v>
      </c>
      <c r="K8091" s="501">
        <v>0</v>
      </c>
      <c r="L8091" s="501">
        <v>0</v>
      </c>
      <c r="M8091" s="501">
        <v>0</v>
      </c>
      <c r="N8091" s="501">
        <v>0</v>
      </c>
      <c r="O8091" s="506">
        <v>1</v>
      </c>
    </row>
    <row r="8092" spans="1:15" x14ac:dyDescent="0.35">
      <c r="A8092" s="503" t="s">
        <v>1345</v>
      </c>
      <c r="B8092" s="504" t="s">
        <v>3247</v>
      </c>
      <c r="C8092" s="504" t="s">
        <v>1094</v>
      </c>
      <c r="D8092" s="504" t="s">
        <v>3380</v>
      </c>
      <c r="E8092" s="504" t="s">
        <v>3381</v>
      </c>
      <c r="F8092" s="504" t="s">
        <v>926</v>
      </c>
      <c r="G8092" s="504" t="s">
        <v>927</v>
      </c>
      <c r="H8092" s="504" t="s">
        <v>9924</v>
      </c>
      <c r="I8092" s="504">
        <v>43</v>
      </c>
      <c r="J8092" s="504">
        <v>0</v>
      </c>
      <c r="K8092" s="504">
        <v>0</v>
      </c>
      <c r="L8092" s="504">
        <v>43</v>
      </c>
      <c r="M8092" s="504">
        <v>0</v>
      </c>
      <c r="N8092" s="504">
        <v>0</v>
      </c>
      <c r="O8092" s="505">
        <v>0</v>
      </c>
    </row>
    <row r="8093" spans="1:15" x14ac:dyDescent="0.35">
      <c r="A8093" s="500" t="s">
        <v>1555</v>
      </c>
      <c r="B8093" s="501" t="s">
        <v>3007</v>
      </c>
      <c r="C8093" s="501" t="s">
        <v>1089</v>
      </c>
      <c r="D8093" s="501" t="s">
        <v>3392</v>
      </c>
      <c r="E8093" s="501" t="s">
        <v>3381</v>
      </c>
      <c r="F8093" s="501" t="s">
        <v>926</v>
      </c>
      <c r="G8093" s="501" t="s">
        <v>927</v>
      </c>
      <c r="H8093" s="501" t="s">
        <v>9925</v>
      </c>
      <c r="I8093" s="501">
        <v>487</v>
      </c>
      <c r="J8093" s="501">
        <v>108</v>
      </c>
      <c r="K8093" s="501">
        <v>0</v>
      </c>
      <c r="L8093" s="501">
        <v>6</v>
      </c>
      <c r="M8093" s="501">
        <v>373</v>
      </c>
      <c r="N8093" s="501">
        <v>0</v>
      </c>
      <c r="O8093" s="506">
        <v>0</v>
      </c>
    </row>
    <row r="8094" spans="1:15" x14ac:dyDescent="0.35">
      <c r="A8094" s="503" t="s">
        <v>1560</v>
      </c>
      <c r="B8094" s="504" t="s">
        <v>2990</v>
      </c>
      <c r="C8094" s="504" t="s">
        <v>1094</v>
      </c>
      <c r="D8094" s="504" t="s">
        <v>3380</v>
      </c>
      <c r="E8094" s="504" t="s">
        <v>3381</v>
      </c>
      <c r="F8094" s="504" t="s">
        <v>926</v>
      </c>
      <c r="G8094" s="504" t="s">
        <v>927</v>
      </c>
      <c r="H8094" s="504" t="s">
        <v>9926</v>
      </c>
      <c r="I8094" s="504">
        <v>30</v>
      </c>
      <c r="J8094" s="504">
        <v>0</v>
      </c>
      <c r="K8094" s="504">
        <v>0</v>
      </c>
      <c r="L8094" s="504">
        <v>0</v>
      </c>
      <c r="M8094" s="504">
        <v>0</v>
      </c>
      <c r="N8094" s="504">
        <v>0</v>
      </c>
      <c r="O8094" s="505">
        <v>30</v>
      </c>
    </row>
    <row r="8095" spans="1:15" x14ac:dyDescent="0.35">
      <c r="A8095" s="500" t="s">
        <v>1253</v>
      </c>
      <c r="B8095" s="501" t="s">
        <v>3232</v>
      </c>
      <c r="C8095" s="501" t="s">
        <v>1094</v>
      </c>
      <c r="D8095" s="501" t="s">
        <v>3380</v>
      </c>
      <c r="E8095" s="501" t="s">
        <v>3381</v>
      </c>
      <c r="F8095" s="501" t="s">
        <v>926</v>
      </c>
      <c r="G8095" s="501" t="s">
        <v>927</v>
      </c>
      <c r="H8095" s="501" t="s">
        <v>9927</v>
      </c>
      <c r="I8095" s="501">
        <v>24</v>
      </c>
      <c r="J8095" s="501">
        <v>23</v>
      </c>
      <c r="K8095" s="501">
        <v>0</v>
      </c>
      <c r="L8095" s="501">
        <v>1</v>
      </c>
      <c r="M8095" s="501">
        <v>0</v>
      </c>
      <c r="N8095" s="501">
        <v>0</v>
      </c>
      <c r="O8095" s="506">
        <v>0</v>
      </c>
    </row>
    <row r="8096" spans="1:15" x14ac:dyDescent="0.35">
      <c r="A8096" s="503" t="s">
        <v>1581</v>
      </c>
      <c r="B8096" s="504" t="s">
        <v>2888</v>
      </c>
      <c r="C8096" s="504" t="s">
        <v>1089</v>
      </c>
      <c r="D8096" s="504" t="s">
        <v>3392</v>
      </c>
      <c r="E8096" s="504" t="s">
        <v>3381</v>
      </c>
      <c r="F8096" s="504" t="s">
        <v>926</v>
      </c>
      <c r="G8096" s="504" t="s">
        <v>927</v>
      </c>
      <c r="H8096" s="504" t="s">
        <v>9928</v>
      </c>
      <c r="I8096" s="504">
        <v>73</v>
      </c>
      <c r="J8096" s="504">
        <v>0</v>
      </c>
      <c r="K8096" s="504">
        <v>0</v>
      </c>
      <c r="L8096" s="504">
        <v>73</v>
      </c>
      <c r="M8096" s="504">
        <v>0</v>
      </c>
      <c r="N8096" s="504">
        <v>0</v>
      </c>
      <c r="O8096" s="505">
        <v>0</v>
      </c>
    </row>
    <row r="8097" spans="1:15" x14ac:dyDescent="0.35">
      <c r="A8097" s="500" t="s">
        <v>1587</v>
      </c>
      <c r="B8097" s="501" t="s">
        <v>2978</v>
      </c>
      <c r="C8097" s="501" t="s">
        <v>1094</v>
      </c>
      <c r="D8097" s="501" t="s">
        <v>3380</v>
      </c>
      <c r="E8097" s="501" t="s">
        <v>3381</v>
      </c>
      <c r="F8097" s="501" t="s">
        <v>926</v>
      </c>
      <c r="G8097" s="501" t="s">
        <v>927</v>
      </c>
      <c r="H8097" s="501" t="s">
        <v>9929</v>
      </c>
      <c r="I8097" s="501">
        <v>234</v>
      </c>
      <c r="J8097" s="501">
        <v>185</v>
      </c>
      <c r="K8097" s="501">
        <v>0</v>
      </c>
      <c r="L8097" s="501">
        <v>4</v>
      </c>
      <c r="M8097" s="501">
        <v>0</v>
      </c>
      <c r="N8097" s="501">
        <v>2</v>
      </c>
      <c r="O8097" s="506">
        <v>45</v>
      </c>
    </row>
    <row r="8098" spans="1:15" x14ac:dyDescent="0.35">
      <c r="A8098" s="503" t="s">
        <v>1262</v>
      </c>
      <c r="B8098" s="504">
        <v>4772</v>
      </c>
      <c r="C8098" s="504" t="s">
        <v>1089</v>
      </c>
      <c r="D8098" s="504" t="s">
        <v>3392</v>
      </c>
      <c r="E8098" s="504" t="s">
        <v>3381</v>
      </c>
      <c r="F8098" s="504" t="s">
        <v>926</v>
      </c>
      <c r="G8098" s="504" t="s">
        <v>927</v>
      </c>
      <c r="H8098" s="504" t="s">
        <v>9930</v>
      </c>
      <c r="I8098" s="504">
        <v>32</v>
      </c>
      <c r="J8098" s="504">
        <v>0</v>
      </c>
      <c r="K8098" s="504">
        <v>0</v>
      </c>
      <c r="L8098" s="504">
        <v>32</v>
      </c>
      <c r="M8098" s="504">
        <v>0</v>
      </c>
      <c r="N8098" s="504">
        <v>0</v>
      </c>
      <c r="O8098" s="505">
        <v>0</v>
      </c>
    </row>
    <row r="8099" spans="1:15" x14ac:dyDescent="0.35">
      <c r="A8099" s="500" t="s">
        <v>1096</v>
      </c>
      <c r="B8099" s="501" t="s">
        <v>3326</v>
      </c>
      <c r="C8099" s="501" t="s">
        <v>1094</v>
      </c>
      <c r="D8099" s="501" t="s">
        <v>3380</v>
      </c>
      <c r="E8099" s="501" t="s">
        <v>3381</v>
      </c>
      <c r="F8099" s="501" t="s">
        <v>928</v>
      </c>
      <c r="G8099" s="501" t="s">
        <v>929</v>
      </c>
      <c r="H8099" s="501" t="s">
        <v>9931</v>
      </c>
      <c r="I8099" s="501">
        <v>72</v>
      </c>
      <c r="J8099" s="501">
        <v>0</v>
      </c>
      <c r="K8099" s="501">
        <v>0</v>
      </c>
      <c r="L8099" s="501">
        <v>0</v>
      </c>
      <c r="M8099" s="501">
        <v>72</v>
      </c>
      <c r="N8099" s="501">
        <v>0</v>
      </c>
      <c r="O8099" s="506">
        <v>0</v>
      </c>
    </row>
    <row r="8100" spans="1:15" x14ac:dyDescent="0.35">
      <c r="A8100" s="503" t="s">
        <v>1814</v>
      </c>
      <c r="B8100" s="504" t="s">
        <v>2520</v>
      </c>
      <c r="C8100" s="504" t="s">
        <v>1089</v>
      </c>
      <c r="D8100" s="504" t="s">
        <v>3392</v>
      </c>
      <c r="E8100" s="504" t="s">
        <v>3381</v>
      </c>
      <c r="F8100" s="504" t="s">
        <v>928</v>
      </c>
      <c r="G8100" s="504" t="s">
        <v>929</v>
      </c>
      <c r="H8100" s="504" t="s">
        <v>9932</v>
      </c>
      <c r="I8100" s="504">
        <v>14</v>
      </c>
      <c r="J8100" s="504">
        <v>14</v>
      </c>
      <c r="K8100" s="504">
        <v>0</v>
      </c>
      <c r="L8100" s="504">
        <v>0</v>
      </c>
      <c r="M8100" s="504">
        <v>0</v>
      </c>
      <c r="N8100" s="504">
        <v>0</v>
      </c>
      <c r="O8100" s="505">
        <v>0</v>
      </c>
    </row>
    <row r="8101" spans="1:15" x14ac:dyDescent="0.35">
      <c r="A8101" s="500" t="s">
        <v>1100</v>
      </c>
      <c r="B8101" s="501">
        <v>4865</v>
      </c>
      <c r="C8101" s="501" t="s">
        <v>1094</v>
      </c>
      <c r="D8101" s="501" t="s">
        <v>3380</v>
      </c>
      <c r="E8101" s="501" t="s">
        <v>3381</v>
      </c>
      <c r="F8101" s="501" t="s">
        <v>928</v>
      </c>
      <c r="G8101" s="501" t="s">
        <v>929</v>
      </c>
      <c r="H8101" s="501" t="s">
        <v>11648</v>
      </c>
      <c r="I8101" s="501">
        <v>109</v>
      </c>
      <c r="J8101" s="501">
        <v>42</v>
      </c>
      <c r="K8101" s="501">
        <v>0</v>
      </c>
      <c r="L8101" s="501">
        <v>0</v>
      </c>
      <c r="M8101" s="501">
        <v>0</v>
      </c>
      <c r="N8101" s="501">
        <v>0</v>
      </c>
      <c r="O8101" s="506">
        <v>67</v>
      </c>
    </row>
    <row r="8102" spans="1:15" x14ac:dyDescent="0.35">
      <c r="A8102" s="503" t="s">
        <v>1175</v>
      </c>
      <c r="B8102" s="504" t="s">
        <v>3141</v>
      </c>
      <c r="C8102" s="504" t="s">
        <v>1094</v>
      </c>
      <c r="D8102" s="504" t="s">
        <v>3380</v>
      </c>
      <c r="E8102" s="504" t="s">
        <v>3381</v>
      </c>
      <c r="F8102" s="504" t="s">
        <v>928</v>
      </c>
      <c r="G8102" s="504" t="s">
        <v>929</v>
      </c>
      <c r="H8102" s="504" t="s">
        <v>9933</v>
      </c>
      <c r="I8102" s="504">
        <v>37</v>
      </c>
      <c r="J8102" s="504">
        <v>28</v>
      </c>
      <c r="K8102" s="504">
        <v>0</v>
      </c>
      <c r="L8102" s="504">
        <v>0</v>
      </c>
      <c r="M8102" s="504">
        <v>0</v>
      </c>
      <c r="N8102" s="504">
        <v>0</v>
      </c>
      <c r="O8102" s="505">
        <v>9</v>
      </c>
    </row>
    <row r="8103" spans="1:15" x14ac:dyDescent="0.35">
      <c r="A8103" s="500" t="s">
        <v>1443</v>
      </c>
      <c r="B8103" s="501" t="s">
        <v>3356</v>
      </c>
      <c r="C8103" s="501" t="s">
        <v>1094</v>
      </c>
      <c r="D8103" s="501" t="s">
        <v>3380</v>
      </c>
      <c r="E8103" s="501" t="s">
        <v>3381</v>
      </c>
      <c r="F8103" s="501" t="s">
        <v>928</v>
      </c>
      <c r="G8103" s="501" t="s">
        <v>929</v>
      </c>
      <c r="H8103" s="501" t="s">
        <v>9934</v>
      </c>
      <c r="I8103" s="501">
        <v>106</v>
      </c>
      <c r="J8103" s="501">
        <v>91</v>
      </c>
      <c r="K8103" s="501">
        <v>0</v>
      </c>
      <c r="L8103" s="501">
        <v>0</v>
      </c>
      <c r="M8103" s="501">
        <v>0</v>
      </c>
      <c r="N8103" s="501">
        <v>3</v>
      </c>
      <c r="O8103" s="506">
        <v>15</v>
      </c>
    </row>
    <row r="8104" spans="1:15" x14ac:dyDescent="0.35">
      <c r="A8104" s="503" t="s">
        <v>1444</v>
      </c>
      <c r="B8104" s="504">
        <v>4743</v>
      </c>
      <c r="C8104" s="504" t="s">
        <v>1089</v>
      </c>
      <c r="D8104" s="504" t="s">
        <v>3392</v>
      </c>
      <c r="E8104" s="504" t="s">
        <v>3381</v>
      </c>
      <c r="F8104" s="504" t="s">
        <v>928</v>
      </c>
      <c r="G8104" s="504" t="s">
        <v>929</v>
      </c>
      <c r="H8104" s="504" t="s">
        <v>9935</v>
      </c>
      <c r="I8104" s="504">
        <v>22</v>
      </c>
      <c r="J8104" s="504">
        <v>22</v>
      </c>
      <c r="K8104" s="504">
        <v>0</v>
      </c>
      <c r="L8104" s="504">
        <v>0</v>
      </c>
      <c r="M8104" s="504">
        <v>0</v>
      </c>
      <c r="N8104" s="504">
        <v>0</v>
      </c>
      <c r="O8104" s="505">
        <v>0</v>
      </c>
    </row>
    <row r="8105" spans="1:15" x14ac:dyDescent="0.35">
      <c r="A8105" s="500" t="s">
        <v>1185</v>
      </c>
      <c r="B8105" s="501" t="s">
        <v>3253</v>
      </c>
      <c r="C8105" s="501" t="s">
        <v>1094</v>
      </c>
      <c r="D8105" s="501" t="s">
        <v>3380</v>
      </c>
      <c r="E8105" s="501" t="s">
        <v>3381</v>
      </c>
      <c r="F8105" s="501" t="s">
        <v>928</v>
      </c>
      <c r="G8105" s="501" t="s">
        <v>929</v>
      </c>
      <c r="H8105" s="501" t="s">
        <v>9936</v>
      </c>
      <c r="I8105" s="501">
        <v>26</v>
      </c>
      <c r="J8105" s="501">
        <v>24</v>
      </c>
      <c r="K8105" s="501">
        <v>0</v>
      </c>
      <c r="L8105" s="501">
        <v>2</v>
      </c>
      <c r="M8105" s="501">
        <v>0</v>
      </c>
      <c r="N8105" s="501">
        <v>0</v>
      </c>
      <c r="O8105" s="506">
        <v>0</v>
      </c>
    </row>
    <row r="8106" spans="1:15" x14ac:dyDescent="0.35">
      <c r="A8106" s="503" t="s">
        <v>1459</v>
      </c>
      <c r="B8106" s="504" t="s">
        <v>3063</v>
      </c>
      <c r="C8106" s="504" t="s">
        <v>1094</v>
      </c>
      <c r="D8106" s="504" t="s">
        <v>3380</v>
      </c>
      <c r="E8106" s="504" t="s">
        <v>3381</v>
      </c>
      <c r="F8106" s="504" t="s">
        <v>928</v>
      </c>
      <c r="G8106" s="504" t="s">
        <v>929</v>
      </c>
      <c r="H8106" s="504" t="s">
        <v>9937</v>
      </c>
      <c r="I8106" s="504">
        <v>10</v>
      </c>
      <c r="J8106" s="504">
        <v>10</v>
      </c>
      <c r="K8106" s="504">
        <v>0</v>
      </c>
      <c r="L8106" s="504">
        <v>0</v>
      </c>
      <c r="M8106" s="504">
        <v>0</v>
      </c>
      <c r="N8106" s="504">
        <v>0</v>
      </c>
      <c r="O8106" s="505">
        <v>0</v>
      </c>
    </row>
    <row r="8107" spans="1:15" x14ac:dyDescent="0.35">
      <c r="A8107" s="500" t="s">
        <v>1105</v>
      </c>
      <c r="B8107" s="501">
        <v>4668</v>
      </c>
      <c r="C8107" s="501" t="s">
        <v>1094</v>
      </c>
      <c r="D8107" s="501" t="s">
        <v>3380</v>
      </c>
      <c r="E8107" s="501" t="s">
        <v>3381</v>
      </c>
      <c r="F8107" s="501" t="s">
        <v>928</v>
      </c>
      <c r="G8107" s="501" t="s">
        <v>929</v>
      </c>
      <c r="H8107" s="501" t="s">
        <v>9938</v>
      </c>
      <c r="I8107" s="501">
        <v>32</v>
      </c>
      <c r="J8107" s="501">
        <v>0</v>
      </c>
      <c r="K8107" s="501">
        <v>0</v>
      </c>
      <c r="L8107" s="501">
        <v>0</v>
      </c>
      <c r="M8107" s="501">
        <v>0</v>
      </c>
      <c r="N8107" s="501">
        <v>0</v>
      </c>
      <c r="O8107" s="506">
        <v>32</v>
      </c>
    </row>
    <row r="8108" spans="1:15" x14ac:dyDescent="0.35">
      <c r="A8108" s="503" t="s">
        <v>1109</v>
      </c>
      <c r="B8108" s="504" t="s">
        <v>2959</v>
      </c>
      <c r="C8108" s="504" t="s">
        <v>1094</v>
      </c>
      <c r="D8108" s="504" t="s">
        <v>3380</v>
      </c>
      <c r="E8108" s="504" t="s">
        <v>3381</v>
      </c>
      <c r="F8108" s="504" t="s">
        <v>928</v>
      </c>
      <c r="G8108" s="504" t="s">
        <v>929</v>
      </c>
      <c r="H8108" s="504" t="s">
        <v>9939</v>
      </c>
      <c r="I8108" s="504">
        <v>6</v>
      </c>
      <c r="J8108" s="504">
        <v>0</v>
      </c>
      <c r="K8108" s="504">
        <v>0</v>
      </c>
      <c r="L8108" s="504">
        <v>0</v>
      </c>
      <c r="M8108" s="504">
        <v>6</v>
      </c>
      <c r="N8108" s="504">
        <v>0</v>
      </c>
      <c r="O8108" s="505">
        <v>0</v>
      </c>
    </row>
    <row r="8109" spans="1:15" x14ac:dyDescent="0.35">
      <c r="A8109" s="500" t="s">
        <v>1189</v>
      </c>
      <c r="B8109" s="501" t="s">
        <v>3236</v>
      </c>
      <c r="C8109" s="501" t="s">
        <v>1094</v>
      </c>
      <c r="D8109" s="501" t="s">
        <v>3380</v>
      </c>
      <c r="E8109" s="501" t="s">
        <v>3381</v>
      </c>
      <c r="F8109" s="501" t="s">
        <v>928</v>
      </c>
      <c r="G8109" s="501" t="s">
        <v>929</v>
      </c>
      <c r="H8109" s="501" t="s">
        <v>9940</v>
      </c>
      <c r="I8109" s="501">
        <v>421</v>
      </c>
      <c r="J8109" s="501">
        <v>273</v>
      </c>
      <c r="K8109" s="501">
        <v>0</v>
      </c>
      <c r="L8109" s="501">
        <v>0</v>
      </c>
      <c r="M8109" s="501">
        <v>0</v>
      </c>
      <c r="N8109" s="501">
        <v>0</v>
      </c>
      <c r="O8109" s="506">
        <v>148</v>
      </c>
    </row>
    <row r="8110" spans="1:15" x14ac:dyDescent="0.35">
      <c r="A8110" s="503" t="s">
        <v>1202</v>
      </c>
      <c r="B8110" s="504" t="s">
        <v>3217</v>
      </c>
      <c r="C8110" s="504" t="s">
        <v>1094</v>
      </c>
      <c r="D8110" s="504" t="s">
        <v>3380</v>
      </c>
      <c r="E8110" s="504" t="s">
        <v>3381</v>
      </c>
      <c r="F8110" s="504" t="s">
        <v>928</v>
      </c>
      <c r="G8110" s="504" t="s">
        <v>929</v>
      </c>
      <c r="H8110" s="504" t="s">
        <v>9941</v>
      </c>
      <c r="I8110" s="504">
        <v>3</v>
      </c>
      <c r="J8110" s="504">
        <v>1</v>
      </c>
      <c r="K8110" s="504">
        <v>0</v>
      </c>
      <c r="L8110" s="504">
        <v>0</v>
      </c>
      <c r="M8110" s="504">
        <v>0</v>
      </c>
      <c r="N8110" s="504">
        <v>0</v>
      </c>
      <c r="O8110" s="505">
        <v>2</v>
      </c>
    </row>
    <row r="8111" spans="1:15" x14ac:dyDescent="0.35">
      <c r="A8111" s="500" t="s">
        <v>1861</v>
      </c>
      <c r="B8111" s="501" t="s">
        <v>2826</v>
      </c>
      <c r="C8111" s="501" t="s">
        <v>1089</v>
      </c>
      <c r="D8111" s="501" t="s">
        <v>3392</v>
      </c>
      <c r="E8111" s="501" t="s">
        <v>3381</v>
      </c>
      <c r="F8111" s="501" t="s">
        <v>928</v>
      </c>
      <c r="G8111" s="501" t="s">
        <v>929</v>
      </c>
      <c r="H8111" s="501" t="s">
        <v>9942</v>
      </c>
      <c r="I8111" s="501">
        <v>17</v>
      </c>
      <c r="J8111" s="501">
        <v>17</v>
      </c>
      <c r="K8111" s="501">
        <v>0</v>
      </c>
      <c r="L8111" s="501">
        <v>0</v>
      </c>
      <c r="M8111" s="501">
        <v>0</v>
      </c>
      <c r="N8111" s="501">
        <v>0</v>
      </c>
      <c r="O8111" s="506">
        <v>0</v>
      </c>
    </row>
    <row r="8112" spans="1:15" x14ac:dyDescent="0.35">
      <c r="A8112" s="503" t="s">
        <v>1866</v>
      </c>
      <c r="B8112" s="504" t="s">
        <v>2827</v>
      </c>
      <c r="C8112" s="504" t="s">
        <v>1089</v>
      </c>
      <c r="D8112" s="504" t="s">
        <v>3392</v>
      </c>
      <c r="E8112" s="504" t="s">
        <v>3381</v>
      </c>
      <c r="F8112" s="504" t="s">
        <v>928</v>
      </c>
      <c r="G8112" s="504" t="s">
        <v>929</v>
      </c>
      <c r="H8112" s="504" t="s">
        <v>9943</v>
      </c>
      <c r="I8112" s="504">
        <v>36</v>
      </c>
      <c r="J8112" s="504">
        <v>36</v>
      </c>
      <c r="K8112" s="504">
        <v>0</v>
      </c>
      <c r="L8112" s="504">
        <v>0</v>
      </c>
      <c r="M8112" s="504">
        <v>0</v>
      </c>
      <c r="N8112" s="504">
        <v>0</v>
      </c>
      <c r="O8112" s="505">
        <v>0</v>
      </c>
    </row>
    <row r="8113" spans="1:15" x14ac:dyDescent="0.35">
      <c r="A8113" s="500" t="s">
        <v>1114</v>
      </c>
      <c r="B8113" s="501" t="s">
        <v>2982</v>
      </c>
      <c r="C8113" s="501" t="s">
        <v>1094</v>
      </c>
      <c r="D8113" s="501" t="s">
        <v>3380</v>
      </c>
      <c r="E8113" s="501" t="s">
        <v>3381</v>
      </c>
      <c r="F8113" s="501" t="s">
        <v>928</v>
      </c>
      <c r="G8113" s="501" t="s">
        <v>929</v>
      </c>
      <c r="H8113" s="501" t="s">
        <v>9944</v>
      </c>
      <c r="I8113" s="501">
        <v>1029</v>
      </c>
      <c r="J8113" s="501">
        <v>760</v>
      </c>
      <c r="K8113" s="501">
        <v>0</v>
      </c>
      <c r="L8113" s="501">
        <v>16</v>
      </c>
      <c r="M8113" s="501">
        <v>0</v>
      </c>
      <c r="N8113" s="501">
        <v>0</v>
      </c>
      <c r="O8113" s="506">
        <v>253</v>
      </c>
    </row>
    <row r="8114" spans="1:15" x14ac:dyDescent="0.35">
      <c r="A8114" s="503" t="s">
        <v>14400</v>
      </c>
      <c r="B8114" s="504">
        <v>4727</v>
      </c>
      <c r="C8114" s="504" t="s">
        <v>1089</v>
      </c>
      <c r="D8114" s="504" t="s">
        <v>3392</v>
      </c>
      <c r="E8114" s="504" t="s">
        <v>3381</v>
      </c>
      <c r="F8114" s="504" t="s">
        <v>928</v>
      </c>
      <c r="G8114" s="504" t="s">
        <v>929</v>
      </c>
      <c r="H8114" s="504" t="s">
        <v>15137</v>
      </c>
      <c r="I8114" s="504">
        <v>2</v>
      </c>
      <c r="J8114" s="504">
        <v>0</v>
      </c>
      <c r="K8114" s="504">
        <v>0</v>
      </c>
      <c r="L8114" s="504">
        <v>2</v>
      </c>
      <c r="M8114" s="504">
        <v>0</v>
      </c>
      <c r="N8114" s="504">
        <v>0</v>
      </c>
      <c r="O8114" s="505">
        <v>0</v>
      </c>
    </row>
    <row r="8115" spans="1:15" x14ac:dyDescent="0.35">
      <c r="A8115" s="500" t="s">
        <v>1320</v>
      </c>
      <c r="B8115" s="501">
        <v>4720</v>
      </c>
      <c r="C8115" s="501" t="s">
        <v>1089</v>
      </c>
      <c r="D8115" s="501" t="s">
        <v>3392</v>
      </c>
      <c r="E8115" s="501" t="s">
        <v>3381</v>
      </c>
      <c r="F8115" s="501" t="s">
        <v>928</v>
      </c>
      <c r="G8115" s="501" t="s">
        <v>929</v>
      </c>
      <c r="H8115" s="501" t="s">
        <v>11883</v>
      </c>
      <c r="I8115" s="501">
        <v>6</v>
      </c>
      <c r="J8115" s="501">
        <v>6</v>
      </c>
      <c r="K8115" s="501">
        <v>0</v>
      </c>
      <c r="L8115" s="501">
        <v>0</v>
      </c>
      <c r="M8115" s="501">
        <v>0</v>
      </c>
      <c r="N8115" s="501">
        <v>0</v>
      </c>
      <c r="O8115" s="506">
        <v>0</v>
      </c>
    </row>
    <row r="8116" spans="1:15" x14ac:dyDescent="0.35">
      <c r="A8116" s="503" t="s">
        <v>1217</v>
      </c>
      <c r="B8116" s="504">
        <v>4851</v>
      </c>
      <c r="C8116" s="504" t="s">
        <v>1094</v>
      </c>
      <c r="D8116" s="504" t="s">
        <v>3380</v>
      </c>
      <c r="E8116" s="504" t="s">
        <v>3381</v>
      </c>
      <c r="F8116" s="504" t="s">
        <v>928</v>
      </c>
      <c r="G8116" s="504" t="s">
        <v>929</v>
      </c>
      <c r="H8116" s="504" t="s">
        <v>9945</v>
      </c>
      <c r="I8116" s="504">
        <v>6803</v>
      </c>
      <c r="J8116" s="504">
        <v>6265</v>
      </c>
      <c r="K8116" s="504">
        <v>0</v>
      </c>
      <c r="L8116" s="504">
        <v>83</v>
      </c>
      <c r="M8116" s="504">
        <v>243</v>
      </c>
      <c r="N8116" s="504">
        <v>20</v>
      </c>
      <c r="O8116" s="505">
        <v>212</v>
      </c>
    </row>
    <row r="8117" spans="1:15" x14ac:dyDescent="0.35">
      <c r="A8117" s="500" t="s">
        <v>1218</v>
      </c>
      <c r="B8117" s="501" t="s">
        <v>3147</v>
      </c>
      <c r="C8117" s="501" t="s">
        <v>1094</v>
      </c>
      <c r="D8117" s="501" t="s">
        <v>3380</v>
      </c>
      <c r="E8117" s="501" t="s">
        <v>3381</v>
      </c>
      <c r="F8117" s="501" t="s">
        <v>928</v>
      </c>
      <c r="G8117" s="501" t="s">
        <v>929</v>
      </c>
      <c r="H8117" s="501" t="s">
        <v>9946</v>
      </c>
      <c r="I8117" s="501">
        <v>11</v>
      </c>
      <c r="J8117" s="501">
        <v>0</v>
      </c>
      <c r="K8117" s="501">
        <v>0</v>
      </c>
      <c r="L8117" s="501">
        <v>0</v>
      </c>
      <c r="M8117" s="501">
        <v>0</v>
      </c>
      <c r="N8117" s="501">
        <v>0</v>
      </c>
      <c r="O8117" s="506">
        <v>11</v>
      </c>
    </row>
    <row r="8118" spans="1:15" x14ac:dyDescent="0.35">
      <c r="A8118" s="503" t="s">
        <v>11367</v>
      </c>
      <c r="B8118" s="504" t="s">
        <v>3143</v>
      </c>
      <c r="C8118" s="504" t="s">
        <v>1094</v>
      </c>
      <c r="D8118" s="504" t="s">
        <v>3380</v>
      </c>
      <c r="E8118" s="504" t="s">
        <v>3381</v>
      </c>
      <c r="F8118" s="504" t="s">
        <v>928</v>
      </c>
      <c r="G8118" s="504" t="s">
        <v>929</v>
      </c>
      <c r="H8118" s="504" t="s">
        <v>11956</v>
      </c>
      <c r="I8118" s="504">
        <v>8</v>
      </c>
      <c r="J8118" s="504">
        <v>8</v>
      </c>
      <c r="K8118" s="504">
        <v>0</v>
      </c>
      <c r="L8118" s="504">
        <v>0</v>
      </c>
      <c r="M8118" s="504">
        <v>0</v>
      </c>
      <c r="N8118" s="504">
        <v>0</v>
      </c>
      <c r="O8118" s="505">
        <v>0</v>
      </c>
    </row>
    <row r="8119" spans="1:15" x14ac:dyDescent="0.35">
      <c r="A8119" s="500" t="s">
        <v>1122</v>
      </c>
      <c r="B8119" s="501" t="s">
        <v>2994</v>
      </c>
      <c r="C8119" s="501" t="s">
        <v>1094</v>
      </c>
      <c r="D8119" s="501" t="s">
        <v>3380</v>
      </c>
      <c r="E8119" s="501" t="s">
        <v>3381</v>
      </c>
      <c r="F8119" s="501" t="s">
        <v>928</v>
      </c>
      <c r="G8119" s="501" t="s">
        <v>929</v>
      </c>
      <c r="H8119" s="501" t="s">
        <v>9947</v>
      </c>
      <c r="I8119" s="501">
        <v>87</v>
      </c>
      <c r="J8119" s="501">
        <v>87</v>
      </c>
      <c r="K8119" s="501">
        <v>0</v>
      </c>
      <c r="L8119" s="501">
        <v>0</v>
      </c>
      <c r="M8119" s="501">
        <v>0</v>
      </c>
      <c r="N8119" s="501">
        <v>0</v>
      </c>
      <c r="O8119" s="506">
        <v>0</v>
      </c>
    </row>
    <row r="8120" spans="1:15" x14ac:dyDescent="0.35">
      <c r="A8120" s="503" t="s">
        <v>1225</v>
      </c>
      <c r="B8120" s="504" t="s">
        <v>3315</v>
      </c>
      <c r="C8120" s="504" t="s">
        <v>1094</v>
      </c>
      <c r="D8120" s="504" t="s">
        <v>3380</v>
      </c>
      <c r="E8120" s="504" t="s">
        <v>3381</v>
      </c>
      <c r="F8120" s="504" t="s">
        <v>928</v>
      </c>
      <c r="G8120" s="504" t="s">
        <v>929</v>
      </c>
      <c r="H8120" s="504" t="s">
        <v>9948</v>
      </c>
      <c r="I8120" s="504">
        <v>12</v>
      </c>
      <c r="J8120" s="504">
        <v>0</v>
      </c>
      <c r="K8120" s="504">
        <v>0</v>
      </c>
      <c r="L8120" s="504">
        <v>12</v>
      </c>
      <c r="M8120" s="504">
        <v>0</v>
      </c>
      <c r="N8120" s="504">
        <v>0</v>
      </c>
      <c r="O8120" s="505">
        <v>0</v>
      </c>
    </row>
    <row r="8121" spans="1:15" x14ac:dyDescent="0.35">
      <c r="A8121" s="500" t="s">
        <v>1124</v>
      </c>
      <c r="B8121" s="501">
        <v>4745</v>
      </c>
      <c r="C8121" s="501" t="s">
        <v>1094</v>
      </c>
      <c r="D8121" s="501" t="s">
        <v>3380</v>
      </c>
      <c r="E8121" s="501" t="s">
        <v>3381</v>
      </c>
      <c r="F8121" s="501" t="s">
        <v>928</v>
      </c>
      <c r="G8121" s="501" t="s">
        <v>929</v>
      </c>
      <c r="H8121" s="501" t="s">
        <v>9949</v>
      </c>
      <c r="I8121" s="501">
        <v>20</v>
      </c>
      <c r="J8121" s="501">
        <v>0</v>
      </c>
      <c r="K8121" s="501">
        <v>0</v>
      </c>
      <c r="L8121" s="501">
        <v>20</v>
      </c>
      <c r="M8121" s="501">
        <v>0</v>
      </c>
      <c r="N8121" s="501">
        <v>0</v>
      </c>
      <c r="O8121" s="506">
        <v>0</v>
      </c>
    </row>
    <row r="8122" spans="1:15" x14ac:dyDescent="0.35">
      <c r="A8122" s="503" t="s">
        <v>1233</v>
      </c>
      <c r="B8122" s="504">
        <v>4636</v>
      </c>
      <c r="C8122" s="504" t="s">
        <v>1094</v>
      </c>
      <c r="D8122" s="504" t="s">
        <v>3380</v>
      </c>
      <c r="E8122" s="504" t="s">
        <v>3381</v>
      </c>
      <c r="F8122" s="504" t="s">
        <v>928</v>
      </c>
      <c r="G8122" s="504" t="s">
        <v>929</v>
      </c>
      <c r="H8122" s="504" t="s">
        <v>9950</v>
      </c>
      <c r="I8122" s="504">
        <v>10</v>
      </c>
      <c r="J8122" s="504">
        <v>0</v>
      </c>
      <c r="K8122" s="504">
        <v>0</v>
      </c>
      <c r="L8122" s="504">
        <v>0</v>
      </c>
      <c r="M8122" s="504">
        <v>0</v>
      </c>
      <c r="N8122" s="504">
        <v>0</v>
      </c>
      <c r="O8122" s="505">
        <v>10</v>
      </c>
    </row>
    <row r="8123" spans="1:15" x14ac:dyDescent="0.35">
      <c r="A8123" s="500" t="s">
        <v>11368</v>
      </c>
      <c r="B8123" s="501">
        <v>5083</v>
      </c>
      <c r="C8123" s="501" t="s">
        <v>1094</v>
      </c>
      <c r="D8123" s="501" t="s">
        <v>3380</v>
      </c>
      <c r="E8123" s="501" t="s">
        <v>3381</v>
      </c>
      <c r="F8123" s="501" t="s">
        <v>928</v>
      </c>
      <c r="G8123" s="501" t="s">
        <v>929</v>
      </c>
      <c r="H8123" s="501" t="s">
        <v>12083</v>
      </c>
      <c r="I8123" s="501">
        <v>9</v>
      </c>
      <c r="J8123" s="501">
        <v>9</v>
      </c>
      <c r="K8123" s="501">
        <v>0</v>
      </c>
      <c r="L8123" s="501">
        <v>0</v>
      </c>
      <c r="M8123" s="501">
        <v>0</v>
      </c>
      <c r="N8123" s="501">
        <v>0</v>
      </c>
      <c r="O8123" s="506">
        <v>0</v>
      </c>
    </row>
    <row r="8124" spans="1:15" x14ac:dyDescent="0.35">
      <c r="A8124" s="503" t="s">
        <v>1235</v>
      </c>
      <c r="B8124" s="504">
        <v>4684</v>
      </c>
      <c r="C8124" s="504" t="s">
        <v>1094</v>
      </c>
      <c r="D8124" s="504" t="s">
        <v>3380</v>
      </c>
      <c r="E8124" s="504" t="s">
        <v>3381</v>
      </c>
      <c r="F8124" s="504" t="s">
        <v>928</v>
      </c>
      <c r="G8124" s="504" t="s">
        <v>929</v>
      </c>
      <c r="H8124" s="504" t="s">
        <v>9951</v>
      </c>
      <c r="I8124" s="504">
        <v>55</v>
      </c>
      <c r="J8124" s="504">
        <v>45</v>
      </c>
      <c r="K8124" s="504">
        <v>0</v>
      </c>
      <c r="L8124" s="504">
        <v>0</v>
      </c>
      <c r="M8124" s="504">
        <v>0</v>
      </c>
      <c r="N8124" s="504">
        <v>0</v>
      </c>
      <c r="O8124" s="505">
        <v>10</v>
      </c>
    </row>
    <row r="8125" spans="1:15" x14ac:dyDescent="0.35">
      <c r="A8125" s="500" t="s">
        <v>1126</v>
      </c>
      <c r="B8125" s="501" t="s">
        <v>2974</v>
      </c>
      <c r="C8125" s="501" t="s">
        <v>1094</v>
      </c>
      <c r="D8125" s="501" t="s">
        <v>3380</v>
      </c>
      <c r="E8125" s="501" t="s">
        <v>3381</v>
      </c>
      <c r="F8125" s="501" t="s">
        <v>928</v>
      </c>
      <c r="G8125" s="501" t="s">
        <v>929</v>
      </c>
      <c r="H8125" s="501" t="s">
        <v>9952</v>
      </c>
      <c r="I8125" s="501">
        <v>39</v>
      </c>
      <c r="J8125" s="501">
        <v>16</v>
      </c>
      <c r="K8125" s="501">
        <v>0</v>
      </c>
      <c r="L8125" s="501">
        <v>17</v>
      </c>
      <c r="M8125" s="501">
        <v>0</v>
      </c>
      <c r="N8125" s="501">
        <v>0</v>
      </c>
      <c r="O8125" s="506">
        <v>6</v>
      </c>
    </row>
    <row r="8126" spans="1:15" x14ac:dyDescent="0.35">
      <c r="A8126" s="503" t="s">
        <v>11468</v>
      </c>
      <c r="B8126" s="504" t="s">
        <v>2491</v>
      </c>
      <c r="C8126" s="504" t="s">
        <v>1089</v>
      </c>
      <c r="D8126" s="504" t="s">
        <v>3392</v>
      </c>
      <c r="E8126" s="504" t="s">
        <v>3381</v>
      </c>
      <c r="F8126" s="504" t="s">
        <v>928</v>
      </c>
      <c r="G8126" s="504" t="s">
        <v>929</v>
      </c>
      <c r="H8126" s="504" t="s">
        <v>12207</v>
      </c>
      <c r="I8126" s="504">
        <v>69</v>
      </c>
      <c r="J8126" s="504">
        <v>0</v>
      </c>
      <c r="K8126" s="504">
        <v>0</v>
      </c>
      <c r="L8126" s="504">
        <v>0</v>
      </c>
      <c r="M8126" s="504">
        <v>69</v>
      </c>
      <c r="N8126" s="504">
        <v>0</v>
      </c>
      <c r="O8126" s="505">
        <v>0</v>
      </c>
    </row>
    <row r="8127" spans="1:15" x14ac:dyDescent="0.35">
      <c r="A8127" s="500" t="s">
        <v>1253</v>
      </c>
      <c r="B8127" s="501" t="s">
        <v>3232</v>
      </c>
      <c r="C8127" s="501" t="s">
        <v>1094</v>
      </c>
      <c r="D8127" s="501" t="s">
        <v>3380</v>
      </c>
      <c r="E8127" s="501" t="s">
        <v>3381</v>
      </c>
      <c r="F8127" s="501" t="s">
        <v>928</v>
      </c>
      <c r="G8127" s="501" t="s">
        <v>929</v>
      </c>
      <c r="H8127" s="501" t="s">
        <v>9953</v>
      </c>
      <c r="I8127" s="501">
        <v>291</v>
      </c>
      <c r="J8127" s="501">
        <v>153</v>
      </c>
      <c r="K8127" s="501">
        <v>0</v>
      </c>
      <c r="L8127" s="501">
        <v>86</v>
      </c>
      <c r="M8127" s="501">
        <v>48</v>
      </c>
      <c r="N8127" s="501">
        <v>1</v>
      </c>
      <c r="O8127" s="506">
        <v>4</v>
      </c>
    </row>
    <row r="8128" spans="1:15" x14ac:dyDescent="0.35">
      <c r="A8128" s="503" t="s">
        <v>1935</v>
      </c>
      <c r="B8128" s="504" t="s">
        <v>3305</v>
      </c>
      <c r="C8128" s="504" t="s">
        <v>1094</v>
      </c>
      <c r="D8128" s="504" t="s">
        <v>3380</v>
      </c>
      <c r="E8128" s="504" t="s">
        <v>3381</v>
      </c>
      <c r="F8128" s="504" t="s">
        <v>928</v>
      </c>
      <c r="G8128" s="504" t="s">
        <v>929</v>
      </c>
      <c r="H8128" s="504" t="s">
        <v>9954</v>
      </c>
      <c r="I8128" s="504">
        <v>104</v>
      </c>
      <c r="J8128" s="504">
        <v>54</v>
      </c>
      <c r="K8128" s="504">
        <v>0</v>
      </c>
      <c r="L8128" s="504">
        <v>0</v>
      </c>
      <c r="M8128" s="504">
        <v>0</v>
      </c>
      <c r="N8128" s="504">
        <v>1</v>
      </c>
      <c r="O8128" s="505">
        <v>50</v>
      </c>
    </row>
    <row r="8129" spans="1:15" x14ac:dyDescent="0.35">
      <c r="A8129" s="500" t="s">
        <v>1385</v>
      </c>
      <c r="B8129" s="501" t="s">
        <v>3249</v>
      </c>
      <c r="C8129" s="501" t="s">
        <v>1094</v>
      </c>
      <c r="D8129" s="501" t="s">
        <v>3380</v>
      </c>
      <c r="E8129" s="501" t="s">
        <v>3381</v>
      </c>
      <c r="F8129" s="501" t="s">
        <v>930</v>
      </c>
      <c r="G8129" s="501" t="s">
        <v>931</v>
      </c>
      <c r="H8129" s="501" t="s">
        <v>9955</v>
      </c>
      <c r="I8129" s="501">
        <v>38</v>
      </c>
      <c r="J8129" s="501">
        <v>35</v>
      </c>
      <c r="K8129" s="501">
        <v>0</v>
      </c>
      <c r="L8129" s="501">
        <v>0</v>
      </c>
      <c r="M8129" s="501">
        <v>0</v>
      </c>
      <c r="N8129" s="501">
        <v>0</v>
      </c>
      <c r="O8129" s="506">
        <v>3</v>
      </c>
    </row>
    <row r="8130" spans="1:15" x14ac:dyDescent="0.35">
      <c r="A8130" s="503" t="s">
        <v>1091</v>
      </c>
      <c r="B8130" s="504" t="s">
        <v>3288</v>
      </c>
      <c r="C8130" s="504" t="s">
        <v>1089</v>
      </c>
      <c r="D8130" s="504" t="s">
        <v>3392</v>
      </c>
      <c r="E8130" s="504" t="s">
        <v>3381</v>
      </c>
      <c r="F8130" s="504" t="s">
        <v>930</v>
      </c>
      <c r="G8130" s="504" t="s">
        <v>931</v>
      </c>
      <c r="H8130" s="504" t="s">
        <v>9956</v>
      </c>
      <c r="I8130" s="504">
        <v>24</v>
      </c>
      <c r="J8130" s="504">
        <v>0</v>
      </c>
      <c r="K8130" s="504">
        <v>0</v>
      </c>
      <c r="L8130" s="504">
        <v>24</v>
      </c>
      <c r="M8130" s="504">
        <v>0</v>
      </c>
      <c r="N8130" s="504">
        <v>0</v>
      </c>
      <c r="O8130" s="505">
        <v>0</v>
      </c>
    </row>
    <row r="8131" spans="1:15" x14ac:dyDescent="0.35">
      <c r="A8131" s="500" t="s">
        <v>1093</v>
      </c>
      <c r="B8131" s="501" t="s">
        <v>3248</v>
      </c>
      <c r="C8131" s="501" t="s">
        <v>1094</v>
      </c>
      <c r="D8131" s="501" t="s">
        <v>3380</v>
      </c>
      <c r="E8131" s="501" t="s">
        <v>3381</v>
      </c>
      <c r="F8131" s="501" t="s">
        <v>930</v>
      </c>
      <c r="G8131" s="501" t="s">
        <v>931</v>
      </c>
      <c r="H8131" s="501" t="s">
        <v>9957</v>
      </c>
      <c r="I8131" s="501">
        <v>21</v>
      </c>
      <c r="J8131" s="501">
        <v>0</v>
      </c>
      <c r="K8131" s="501">
        <v>0</v>
      </c>
      <c r="L8131" s="501">
        <v>11</v>
      </c>
      <c r="M8131" s="501">
        <v>0</v>
      </c>
      <c r="N8131" s="501">
        <v>0</v>
      </c>
      <c r="O8131" s="506">
        <v>10</v>
      </c>
    </row>
    <row r="8132" spans="1:15" x14ac:dyDescent="0.35">
      <c r="A8132" s="503" t="s">
        <v>1096</v>
      </c>
      <c r="B8132" s="504" t="s">
        <v>3326</v>
      </c>
      <c r="C8132" s="504" t="s">
        <v>1094</v>
      </c>
      <c r="D8132" s="504" t="s">
        <v>3380</v>
      </c>
      <c r="E8132" s="504" t="s">
        <v>3381</v>
      </c>
      <c r="F8132" s="504" t="s">
        <v>930</v>
      </c>
      <c r="G8132" s="504" t="s">
        <v>931</v>
      </c>
      <c r="H8132" s="504" t="s">
        <v>9958</v>
      </c>
      <c r="I8132" s="504">
        <v>85</v>
      </c>
      <c r="J8132" s="504">
        <v>0</v>
      </c>
      <c r="K8132" s="504">
        <v>0</v>
      </c>
      <c r="L8132" s="504">
        <v>0</v>
      </c>
      <c r="M8132" s="504">
        <v>85</v>
      </c>
      <c r="N8132" s="504">
        <v>0</v>
      </c>
      <c r="O8132" s="505">
        <v>0</v>
      </c>
    </row>
    <row r="8133" spans="1:15" x14ac:dyDescent="0.35">
      <c r="A8133" s="500" t="s">
        <v>1802</v>
      </c>
      <c r="B8133" s="501">
        <v>4872</v>
      </c>
      <c r="C8133" s="501" t="s">
        <v>1089</v>
      </c>
      <c r="D8133" s="501" t="s">
        <v>3380</v>
      </c>
      <c r="E8133" s="501" t="s">
        <v>3381</v>
      </c>
      <c r="F8133" s="501" t="s">
        <v>930</v>
      </c>
      <c r="G8133" s="501" t="s">
        <v>931</v>
      </c>
      <c r="H8133" s="501" t="s">
        <v>11502</v>
      </c>
      <c r="I8133" s="501">
        <v>11</v>
      </c>
      <c r="J8133" s="501">
        <v>8</v>
      </c>
      <c r="K8133" s="501">
        <v>0</v>
      </c>
      <c r="L8133" s="501">
        <v>0</v>
      </c>
      <c r="M8133" s="501">
        <v>0</v>
      </c>
      <c r="N8133" s="501">
        <v>0</v>
      </c>
      <c r="O8133" s="506">
        <v>3</v>
      </c>
    </row>
    <row r="8134" spans="1:15" x14ac:dyDescent="0.35">
      <c r="A8134" s="503" t="s">
        <v>1098</v>
      </c>
      <c r="B8134" s="504">
        <v>4691</v>
      </c>
      <c r="C8134" s="504" t="s">
        <v>1094</v>
      </c>
      <c r="D8134" s="504" t="s">
        <v>3380</v>
      </c>
      <c r="E8134" s="504" t="s">
        <v>3381</v>
      </c>
      <c r="F8134" s="504" t="s">
        <v>930</v>
      </c>
      <c r="G8134" s="504" t="s">
        <v>931</v>
      </c>
      <c r="H8134" s="504" t="s">
        <v>9959</v>
      </c>
      <c r="I8134" s="504">
        <v>580</v>
      </c>
      <c r="J8134" s="504">
        <v>410</v>
      </c>
      <c r="K8134" s="504">
        <v>0</v>
      </c>
      <c r="L8134" s="504">
        <v>12</v>
      </c>
      <c r="M8134" s="504">
        <v>0</v>
      </c>
      <c r="N8134" s="504">
        <v>0</v>
      </c>
      <c r="O8134" s="505">
        <v>158</v>
      </c>
    </row>
    <row r="8135" spans="1:15" x14ac:dyDescent="0.35">
      <c r="A8135" s="500" t="s">
        <v>11423</v>
      </c>
      <c r="B8135" s="501" t="s">
        <v>3128</v>
      </c>
      <c r="C8135" s="501" t="s">
        <v>1094</v>
      </c>
      <c r="D8135" s="501" t="s">
        <v>3380</v>
      </c>
      <c r="E8135" s="501" t="s">
        <v>3381</v>
      </c>
      <c r="F8135" s="501" t="s">
        <v>930</v>
      </c>
      <c r="G8135" s="501" t="s">
        <v>931</v>
      </c>
      <c r="H8135" s="501" t="s">
        <v>11631</v>
      </c>
      <c r="I8135" s="501">
        <v>107</v>
      </c>
      <c r="J8135" s="501">
        <v>107</v>
      </c>
      <c r="K8135" s="501">
        <v>0</v>
      </c>
      <c r="L8135" s="501">
        <v>0</v>
      </c>
      <c r="M8135" s="501">
        <v>0</v>
      </c>
      <c r="N8135" s="501">
        <v>1</v>
      </c>
      <c r="O8135" s="506">
        <v>0</v>
      </c>
    </row>
    <row r="8136" spans="1:15" x14ac:dyDescent="0.35">
      <c r="A8136" s="503" t="s">
        <v>1158</v>
      </c>
      <c r="B8136" s="504">
        <v>4819</v>
      </c>
      <c r="C8136" s="504" t="s">
        <v>1094</v>
      </c>
      <c r="D8136" s="504" t="s">
        <v>3380</v>
      </c>
      <c r="E8136" s="504" t="s">
        <v>3381</v>
      </c>
      <c r="F8136" s="504" t="s">
        <v>930</v>
      </c>
      <c r="G8136" s="504" t="s">
        <v>931</v>
      </c>
      <c r="H8136" s="504" t="s">
        <v>9960</v>
      </c>
      <c r="I8136" s="504">
        <v>207</v>
      </c>
      <c r="J8136" s="504">
        <v>140</v>
      </c>
      <c r="K8136" s="504">
        <v>0</v>
      </c>
      <c r="L8136" s="504">
        <v>41</v>
      </c>
      <c r="M8136" s="504">
        <v>0</v>
      </c>
      <c r="N8136" s="504">
        <v>0</v>
      </c>
      <c r="O8136" s="505">
        <v>26</v>
      </c>
    </row>
    <row r="8137" spans="1:15" x14ac:dyDescent="0.35">
      <c r="A8137" s="500" t="s">
        <v>1819</v>
      </c>
      <c r="B8137" s="501" t="s">
        <v>3175</v>
      </c>
      <c r="C8137" s="501" t="s">
        <v>1094</v>
      </c>
      <c r="D8137" s="501" t="s">
        <v>3380</v>
      </c>
      <c r="E8137" s="501" t="s">
        <v>3381</v>
      </c>
      <c r="F8137" s="501" t="s">
        <v>930</v>
      </c>
      <c r="G8137" s="501" t="s">
        <v>931</v>
      </c>
      <c r="H8137" s="501" t="s">
        <v>9961</v>
      </c>
      <c r="I8137" s="501">
        <v>44</v>
      </c>
      <c r="J8137" s="501">
        <v>39</v>
      </c>
      <c r="K8137" s="501">
        <v>0</v>
      </c>
      <c r="L8137" s="501">
        <v>0</v>
      </c>
      <c r="M8137" s="501">
        <v>0</v>
      </c>
      <c r="N8137" s="501">
        <v>0</v>
      </c>
      <c r="O8137" s="506">
        <v>5</v>
      </c>
    </row>
    <row r="8138" spans="1:15" x14ac:dyDescent="0.35">
      <c r="A8138" s="503" t="s">
        <v>1705</v>
      </c>
      <c r="B8138" s="504" t="s">
        <v>3158</v>
      </c>
      <c r="C8138" s="504" t="s">
        <v>1094</v>
      </c>
      <c r="D8138" s="504" t="s">
        <v>3380</v>
      </c>
      <c r="E8138" s="504" t="s">
        <v>3381</v>
      </c>
      <c r="F8138" s="504" t="s">
        <v>930</v>
      </c>
      <c r="G8138" s="504" t="s">
        <v>931</v>
      </c>
      <c r="H8138" s="504" t="s">
        <v>9962</v>
      </c>
      <c r="I8138" s="504">
        <v>6</v>
      </c>
      <c r="J8138" s="504">
        <v>0</v>
      </c>
      <c r="K8138" s="504">
        <v>0</v>
      </c>
      <c r="L8138" s="504">
        <v>0</v>
      </c>
      <c r="M8138" s="504">
        <v>0</v>
      </c>
      <c r="N8138" s="504">
        <v>0</v>
      </c>
      <c r="O8138" s="505">
        <v>6</v>
      </c>
    </row>
    <row r="8139" spans="1:15" x14ac:dyDescent="0.35">
      <c r="A8139" s="500" t="s">
        <v>14213</v>
      </c>
      <c r="B8139" s="501" t="s">
        <v>3312</v>
      </c>
      <c r="C8139" s="501" t="s">
        <v>1094</v>
      </c>
      <c r="D8139" s="501" t="s">
        <v>3380</v>
      </c>
      <c r="E8139" s="501" t="s">
        <v>3381</v>
      </c>
      <c r="F8139" s="501" t="s">
        <v>930</v>
      </c>
      <c r="G8139" s="501" t="s">
        <v>931</v>
      </c>
      <c r="H8139" s="501" t="s">
        <v>15138</v>
      </c>
      <c r="I8139" s="501">
        <v>944</v>
      </c>
      <c r="J8139" s="501">
        <v>572</v>
      </c>
      <c r="K8139" s="501">
        <v>0</v>
      </c>
      <c r="L8139" s="501">
        <v>160</v>
      </c>
      <c r="M8139" s="501">
        <v>0</v>
      </c>
      <c r="N8139" s="501">
        <v>0</v>
      </c>
      <c r="O8139" s="506">
        <v>212</v>
      </c>
    </row>
    <row r="8140" spans="1:15" x14ac:dyDescent="0.35">
      <c r="A8140" s="503" t="s">
        <v>1185</v>
      </c>
      <c r="B8140" s="504" t="s">
        <v>3253</v>
      </c>
      <c r="C8140" s="504" t="s">
        <v>1094</v>
      </c>
      <c r="D8140" s="504" t="s">
        <v>3380</v>
      </c>
      <c r="E8140" s="504" t="s">
        <v>3381</v>
      </c>
      <c r="F8140" s="504" t="s">
        <v>930</v>
      </c>
      <c r="G8140" s="504" t="s">
        <v>931</v>
      </c>
      <c r="H8140" s="504" t="s">
        <v>9963</v>
      </c>
      <c r="I8140" s="504">
        <v>36</v>
      </c>
      <c r="J8140" s="504">
        <v>18</v>
      </c>
      <c r="K8140" s="504">
        <v>0</v>
      </c>
      <c r="L8140" s="504">
        <v>18</v>
      </c>
      <c r="M8140" s="504">
        <v>0</v>
      </c>
      <c r="N8140" s="504">
        <v>0</v>
      </c>
      <c r="O8140" s="505">
        <v>0</v>
      </c>
    </row>
    <row r="8141" spans="1:15" x14ac:dyDescent="0.35">
      <c r="A8141" s="500" t="s">
        <v>1105</v>
      </c>
      <c r="B8141" s="501">
        <v>4668</v>
      </c>
      <c r="C8141" s="501" t="s">
        <v>1094</v>
      </c>
      <c r="D8141" s="501" t="s">
        <v>3380</v>
      </c>
      <c r="E8141" s="501" t="s">
        <v>3381</v>
      </c>
      <c r="F8141" s="501" t="s">
        <v>930</v>
      </c>
      <c r="G8141" s="501" t="s">
        <v>931</v>
      </c>
      <c r="H8141" s="501" t="s">
        <v>9964</v>
      </c>
      <c r="I8141" s="501">
        <v>12</v>
      </c>
      <c r="J8141" s="501">
        <v>0</v>
      </c>
      <c r="K8141" s="501">
        <v>0</v>
      </c>
      <c r="L8141" s="501">
        <v>0</v>
      </c>
      <c r="M8141" s="501">
        <v>0</v>
      </c>
      <c r="N8141" s="501">
        <v>0</v>
      </c>
      <c r="O8141" s="506">
        <v>12</v>
      </c>
    </row>
    <row r="8142" spans="1:15" x14ac:dyDescent="0.35">
      <c r="A8142" s="503" t="s">
        <v>1107</v>
      </c>
      <c r="B8142" s="504" t="s">
        <v>3109</v>
      </c>
      <c r="C8142" s="504" t="s">
        <v>1094</v>
      </c>
      <c r="D8142" s="504" t="s">
        <v>3380</v>
      </c>
      <c r="E8142" s="504" t="s">
        <v>3381</v>
      </c>
      <c r="F8142" s="504" t="s">
        <v>930</v>
      </c>
      <c r="G8142" s="504" t="s">
        <v>931</v>
      </c>
      <c r="H8142" s="504" t="s">
        <v>9965</v>
      </c>
      <c r="I8142" s="504">
        <v>38</v>
      </c>
      <c r="J8142" s="504">
        <v>0</v>
      </c>
      <c r="K8142" s="504">
        <v>0</v>
      </c>
      <c r="L8142" s="504">
        <v>38</v>
      </c>
      <c r="M8142" s="504">
        <v>0</v>
      </c>
      <c r="N8142" s="504">
        <v>0</v>
      </c>
      <c r="O8142" s="505">
        <v>0</v>
      </c>
    </row>
    <row r="8143" spans="1:15" x14ac:dyDescent="0.35">
      <c r="A8143" s="500" t="s">
        <v>1109</v>
      </c>
      <c r="B8143" s="501" t="s">
        <v>2959</v>
      </c>
      <c r="C8143" s="501" t="s">
        <v>1094</v>
      </c>
      <c r="D8143" s="501" t="s">
        <v>3380</v>
      </c>
      <c r="E8143" s="501" t="s">
        <v>3381</v>
      </c>
      <c r="F8143" s="501" t="s">
        <v>930</v>
      </c>
      <c r="G8143" s="501" t="s">
        <v>931</v>
      </c>
      <c r="H8143" s="501" t="s">
        <v>9966</v>
      </c>
      <c r="I8143" s="501">
        <v>129</v>
      </c>
      <c r="J8143" s="501">
        <v>0</v>
      </c>
      <c r="K8143" s="501">
        <v>0</v>
      </c>
      <c r="L8143" s="501">
        <v>0</v>
      </c>
      <c r="M8143" s="501">
        <v>114</v>
      </c>
      <c r="N8143" s="501">
        <v>0</v>
      </c>
      <c r="O8143" s="506">
        <v>15</v>
      </c>
    </row>
    <row r="8144" spans="1:15" x14ac:dyDescent="0.35">
      <c r="A8144" s="503" t="s">
        <v>1111</v>
      </c>
      <c r="B8144" s="504">
        <v>4873</v>
      </c>
      <c r="C8144" s="504" t="s">
        <v>1094</v>
      </c>
      <c r="D8144" s="504" t="s">
        <v>3380</v>
      </c>
      <c r="E8144" s="504" t="s">
        <v>3381</v>
      </c>
      <c r="F8144" s="504" t="s">
        <v>930</v>
      </c>
      <c r="G8144" s="504" t="s">
        <v>931</v>
      </c>
      <c r="H8144" s="504" t="s">
        <v>9967</v>
      </c>
      <c r="I8144" s="504">
        <v>10</v>
      </c>
      <c r="J8144" s="504">
        <v>0</v>
      </c>
      <c r="K8144" s="504">
        <v>0</v>
      </c>
      <c r="L8144" s="504">
        <v>0</v>
      </c>
      <c r="M8144" s="504">
        <v>0</v>
      </c>
      <c r="N8144" s="504">
        <v>0</v>
      </c>
      <c r="O8144" s="505">
        <v>10</v>
      </c>
    </row>
    <row r="8145" spans="1:15" x14ac:dyDescent="0.35">
      <c r="A8145" s="500" t="s">
        <v>1202</v>
      </c>
      <c r="B8145" s="501" t="s">
        <v>3217</v>
      </c>
      <c r="C8145" s="501" t="s">
        <v>1094</v>
      </c>
      <c r="D8145" s="501" t="s">
        <v>3380</v>
      </c>
      <c r="E8145" s="501" t="s">
        <v>3381</v>
      </c>
      <c r="F8145" s="501" t="s">
        <v>930</v>
      </c>
      <c r="G8145" s="501" t="s">
        <v>931</v>
      </c>
      <c r="H8145" s="501" t="s">
        <v>11848</v>
      </c>
      <c r="I8145" s="501">
        <v>1</v>
      </c>
      <c r="J8145" s="501">
        <v>0</v>
      </c>
      <c r="K8145" s="501">
        <v>0</v>
      </c>
      <c r="L8145" s="501">
        <v>0</v>
      </c>
      <c r="M8145" s="501">
        <v>0</v>
      </c>
      <c r="N8145" s="501">
        <v>0</v>
      </c>
      <c r="O8145" s="506">
        <v>1</v>
      </c>
    </row>
    <row r="8146" spans="1:15" x14ac:dyDescent="0.35">
      <c r="A8146" s="503" t="s">
        <v>1497</v>
      </c>
      <c r="B8146" s="504" t="s">
        <v>3290</v>
      </c>
      <c r="C8146" s="504" t="s">
        <v>1089</v>
      </c>
      <c r="D8146" s="504" t="s">
        <v>3392</v>
      </c>
      <c r="E8146" s="504" t="s">
        <v>3381</v>
      </c>
      <c r="F8146" s="504" t="s">
        <v>930</v>
      </c>
      <c r="G8146" s="504" t="s">
        <v>931</v>
      </c>
      <c r="H8146" s="504" t="s">
        <v>9968</v>
      </c>
      <c r="I8146" s="504">
        <v>25</v>
      </c>
      <c r="J8146" s="504">
        <v>0</v>
      </c>
      <c r="K8146" s="504">
        <v>0</v>
      </c>
      <c r="L8146" s="504">
        <v>0</v>
      </c>
      <c r="M8146" s="504">
        <v>25</v>
      </c>
      <c r="N8146" s="504">
        <v>0</v>
      </c>
      <c r="O8146" s="505">
        <v>0</v>
      </c>
    </row>
    <row r="8147" spans="1:15" x14ac:dyDescent="0.35">
      <c r="A8147" s="500" t="s">
        <v>1114</v>
      </c>
      <c r="B8147" s="501" t="s">
        <v>2982</v>
      </c>
      <c r="C8147" s="501" t="s">
        <v>1094</v>
      </c>
      <c r="D8147" s="501" t="s">
        <v>3380</v>
      </c>
      <c r="E8147" s="501" t="s">
        <v>3381</v>
      </c>
      <c r="F8147" s="501" t="s">
        <v>930</v>
      </c>
      <c r="G8147" s="501" t="s">
        <v>931</v>
      </c>
      <c r="H8147" s="501" t="s">
        <v>9969</v>
      </c>
      <c r="I8147" s="501">
        <v>8</v>
      </c>
      <c r="J8147" s="501">
        <v>0</v>
      </c>
      <c r="K8147" s="501">
        <v>0</v>
      </c>
      <c r="L8147" s="501">
        <v>0</v>
      </c>
      <c r="M8147" s="501">
        <v>0</v>
      </c>
      <c r="N8147" s="501">
        <v>0</v>
      </c>
      <c r="O8147" s="506">
        <v>8</v>
      </c>
    </row>
    <row r="8148" spans="1:15" x14ac:dyDescent="0.35">
      <c r="A8148" s="503" t="s">
        <v>1122</v>
      </c>
      <c r="B8148" s="504" t="s">
        <v>2994</v>
      </c>
      <c r="C8148" s="504" t="s">
        <v>1094</v>
      </c>
      <c r="D8148" s="504" t="s">
        <v>3380</v>
      </c>
      <c r="E8148" s="504" t="s">
        <v>3381</v>
      </c>
      <c r="F8148" s="504" t="s">
        <v>930</v>
      </c>
      <c r="G8148" s="504" t="s">
        <v>931</v>
      </c>
      <c r="H8148" s="504" t="s">
        <v>9970</v>
      </c>
      <c r="I8148" s="504">
        <v>159</v>
      </c>
      <c r="J8148" s="504">
        <v>97</v>
      </c>
      <c r="K8148" s="504">
        <v>0</v>
      </c>
      <c r="L8148" s="504">
        <v>0</v>
      </c>
      <c r="M8148" s="504">
        <v>0</v>
      </c>
      <c r="N8148" s="504">
        <v>0</v>
      </c>
      <c r="O8148" s="505">
        <v>62</v>
      </c>
    </row>
    <row r="8149" spans="1:15" x14ac:dyDescent="0.35">
      <c r="A8149" s="500" t="s">
        <v>1225</v>
      </c>
      <c r="B8149" s="501" t="s">
        <v>3315</v>
      </c>
      <c r="C8149" s="501" t="s">
        <v>1094</v>
      </c>
      <c r="D8149" s="501" t="s">
        <v>3380</v>
      </c>
      <c r="E8149" s="501" t="s">
        <v>3381</v>
      </c>
      <c r="F8149" s="501" t="s">
        <v>930</v>
      </c>
      <c r="G8149" s="501" t="s">
        <v>931</v>
      </c>
      <c r="H8149" s="501" t="s">
        <v>9971</v>
      </c>
      <c r="I8149" s="501">
        <v>11</v>
      </c>
      <c r="J8149" s="501">
        <v>0</v>
      </c>
      <c r="K8149" s="501">
        <v>0</v>
      </c>
      <c r="L8149" s="501">
        <v>0</v>
      </c>
      <c r="M8149" s="501">
        <v>0</v>
      </c>
      <c r="N8149" s="501">
        <v>0</v>
      </c>
      <c r="O8149" s="506">
        <v>11</v>
      </c>
    </row>
    <row r="8150" spans="1:15" x14ac:dyDescent="0.35">
      <c r="A8150" s="503" t="s">
        <v>1234</v>
      </c>
      <c r="B8150" s="504" t="s">
        <v>3291</v>
      </c>
      <c r="C8150" s="504" t="s">
        <v>1094</v>
      </c>
      <c r="D8150" s="504" t="s">
        <v>3380</v>
      </c>
      <c r="E8150" s="504" t="s">
        <v>3381</v>
      </c>
      <c r="F8150" s="504" t="s">
        <v>930</v>
      </c>
      <c r="G8150" s="504" t="s">
        <v>931</v>
      </c>
      <c r="H8150" s="504" t="s">
        <v>9972</v>
      </c>
      <c r="I8150" s="504">
        <v>103</v>
      </c>
      <c r="J8150" s="504">
        <v>90</v>
      </c>
      <c r="K8150" s="504">
        <v>0</v>
      </c>
      <c r="L8150" s="504">
        <v>13</v>
      </c>
      <c r="M8150" s="504">
        <v>0</v>
      </c>
      <c r="N8150" s="504">
        <v>0</v>
      </c>
      <c r="O8150" s="505">
        <v>0</v>
      </c>
    </row>
    <row r="8151" spans="1:15" x14ac:dyDescent="0.35">
      <c r="A8151" s="500" t="s">
        <v>1126</v>
      </c>
      <c r="B8151" s="501" t="s">
        <v>2974</v>
      </c>
      <c r="C8151" s="501" t="s">
        <v>1094</v>
      </c>
      <c r="D8151" s="501" t="s">
        <v>3380</v>
      </c>
      <c r="E8151" s="501" t="s">
        <v>3381</v>
      </c>
      <c r="F8151" s="501" t="s">
        <v>930</v>
      </c>
      <c r="G8151" s="501" t="s">
        <v>931</v>
      </c>
      <c r="H8151" s="501" t="s">
        <v>9973</v>
      </c>
      <c r="I8151" s="501">
        <v>888</v>
      </c>
      <c r="J8151" s="501">
        <v>385</v>
      </c>
      <c r="K8151" s="501">
        <v>0</v>
      </c>
      <c r="L8151" s="501">
        <v>68</v>
      </c>
      <c r="M8151" s="501">
        <v>403</v>
      </c>
      <c r="N8151" s="501">
        <v>1</v>
      </c>
      <c r="O8151" s="506">
        <v>32</v>
      </c>
    </row>
    <row r="8152" spans="1:15" x14ac:dyDescent="0.35">
      <c r="A8152" s="503" t="s">
        <v>1898</v>
      </c>
      <c r="B8152" s="504" t="s">
        <v>3148</v>
      </c>
      <c r="C8152" s="504" t="s">
        <v>1094</v>
      </c>
      <c r="D8152" s="504" t="s">
        <v>3380</v>
      </c>
      <c r="E8152" s="504" t="s">
        <v>3381</v>
      </c>
      <c r="F8152" s="504" t="s">
        <v>930</v>
      </c>
      <c r="G8152" s="504" t="s">
        <v>931</v>
      </c>
      <c r="H8152" s="504" t="s">
        <v>9974</v>
      </c>
      <c r="I8152" s="504">
        <v>116</v>
      </c>
      <c r="J8152" s="504">
        <v>96</v>
      </c>
      <c r="K8152" s="504">
        <v>0</v>
      </c>
      <c r="L8152" s="504">
        <v>0</v>
      </c>
      <c r="M8152" s="504">
        <v>0</v>
      </c>
      <c r="N8152" s="504">
        <v>0</v>
      </c>
      <c r="O8152" s="505">
        <v>20</v>
      </c>
    </row>
    <row r="8153" spans="1:15" x14ac:dyDescent="0.35">
      <c r="A8153" s="500" t="s">
        <v>1132</v>
      </c>
      <c r="B8153" s="501">
        <v>4837</v>
      </c>
      <c r="C8153" s="501" t="s">
        <v>1094</v>
      </c>
      <c r="D8153" s="501" t="s">
        <v>3380</v>
      </c>
      <c r="E8153" s="501" t="s">
        <v>3381</v>
      </c>
      <c r="F8153" s="501" t="s">
        <v>930</v>
      </c>
      <c r="G8153" s="501" t="s">
        <v>931</v>
      </c>
      <c r="H8153" s="501" t="s">
        <v>9975</v>
      </c>
      <c r="I8153" s="501">
        <v>1636</v>
      </c>
      <c r="J8153" s="501">
        <v>1238</v>
      </c>
      <c r="K8153" s="501">
        <v>0</v>
      </c>
      <c r="L8153" s="501">
        <v>0</v>
      </c>
      <c r="M8153" s="501">
        <v>0</v>
      </c>
      <c r="N8153" s="501">
        <v>0</v>
      </c>
      <c r="O8153" s="506">
        <v>398</v>
      </c>
    </row>
    <row r="8154" spans="1:15" x14ac:dyDescent="0.35">
      <c r="A8154" s="503" t="s">
        <v>1240</v>
      </c>
      <c r="B8154" s="504" t="s">
        <v>2972</v>
      </c>
      <c r="C8154" s="504" t="s">
        <v>1094</v>
      </c>
      <c r="D8154" s="504" t="s">
        <v>3380</v>
      </c>
      <c r="E8154" s="504" t="s">
        <v>3381</v>
      </c>
      <c r="F8154" s="504" t="s">
        <v>930</v>
      </c>
      <c r="G8154" s="504" t="s">
        <v>931</v>
      </c>
      <c r="H8154" s="504" t="s">
        <v>9976</v>
      </c>
      <c r="I8154" s="504">
        <v>819</v>
      </c>
      <c r="J8154" s="504">
        <v>517</v>
      </c>
      <c r="K8154" s="504">
        <v>0</v>
      </c>
      <c r="L8154" s="504">
        <v>52</v>
      </c>
      <c r="M8154" s="504">
        <v>147</v>
      </c>
      <c r="N8154" s="504">
        <v>0</v>
      </c>
      <c r="O8154" s="505">
        <v>103</v>
      </c>
    </row>
    <row r="8155" spans="1:15" x14ac:dyDescent="0.35">
      <c r="A8155" s="500" t="s">
        <v>1241</v>
      </c>
      <c r="B8155" s="501">
        <v>4717</v>
      </c>
      <c r="C8155" s="501" t="s">
        <v>1094</v>
      </c>
      <c r="D8155" s="501" t="s">
        <v>3380</v>
      </c>
      <c r="E8155" s="501" t="s">
        <v>3381</v>
      </c>
      <c r="F8155" s="501" t="s">
        <v>930</v>
      </c>
      <c r="G8155" s="501" t="s">
        <v>931</v>
      </c>
      <c r="H8155" s="501" t="s">
        <v>9977</v>
      </c>
      <c r="I8155" s="501">
        <v>15</v>
      </c>
      <c r="J8155" s="501">
        <v>15</v>
      </c>
      <c r="K8155" s="501">
        <v>0</v>
      </c>
      <c r="L8155" s="501">
        <v>0</v>
      </c>
      <c r="M8155" s="501">
        <v>0</v>
      </c>
      <c r="N8155" s="501">
        <v>0</v>
      </c>
      <c r="O8155" s="506">
        <v>0</v>
      </c>
    </row>
    <row r="8156" spans="1:15" x14ac:dyDescent="0.35">
      <c r="A8156" s="503" t="s">
        <v>1134</v>
      </c>
      <c r="B8156" s="504" t="s">
        <v>3066</v>
      </c>
      <c r="C8156" s="504" t="s">
        <v>1094</v>
      </c>
      <c r="D8156" s="504" t="s">
        <v>3380</v>
      </c>
      <c r="E8156" s="504" t="s">
        <v>3381</v>
      </c>
      <c r="F8156" s="504" t="s">
        <v>930</v>
      </c>
      <c r="G8156" s="504" t="s">
        <v>931</v>
      </c>
      <c r="H8156" s="504" t="s">
        <v>9978</v>
      </c>
      <c r="I8156" s="504">
        <v>291</v>
      </c>
      <c r="J8156" s="504">
        <v>184</v>
      </c>
      <c r="K8156" s="504">
        <v>0</v>
      </c>
      <c r="L8156" s="504">
        <v>89</v>
      </c>
      <c r="M8156" s="504">
        <v>0</v>
      </c>
      <c r="N8156" s="504">
        <v>0</v>
      </c>
      <c r="O8156" s="505">
        <v>18</v>
      </c>
    </row>
    <row r="8157" spans="1:15" x14ac:dyDescent="0.35">
      <c r="A8157" s="500" t="s">
        <v>1136</v>
      </c>
      <c r="B8157" s="501">
        <v>4680</v>
      </c>
      <c r="C8157" s="501" t="s">
        <v>1094</v>
      </c>
      <c r="D8157" s="501" t="s">
        <v>3380</v>
      </c>
      <c r="E8157" s="501" t="s">
        <v>3381</v>
      </c>
      <c r="F8157" s="501" t="s">
        <v>930</v>
      </c>
      <c r="G8157" s="501" t="s">
        <v>931</v>
      </c>
      <c r="H8157" s="501" t="s">
        <v>9979</v>
      </c>
      <c r="I8157" s="501">
        <v>21</v>
      </c>
      <c r="J8157" s="501">
        <v>11</v>
      </c>
      <c r="K8157" s="501">
        <v>0</v>
      </c>
      <c r="L8157" s="501">
        <v>0</v>
      </c>
      <c r="M8157" s="501">
        <v>0</v>
      </c>
      <c r="N8157" s="501">
        <v>0</v>
      </c>
      <c r="O8157" s="506">
        <v>10</v>
      </c>
    </row>
    <row r="8158" spans="1:15" x14ac:dyDescent="0.35">
      <c r="A8158" s="503" t="s">
        <v>1249</v>
      </c>
      <c r="B8158" s="504">
        <v>4729</v>
      </c>
      <c r="C8158" s="504" t="s">
        <v>1094</v>
      </c>
      <c r="D8158" s="504" t="s">
        <v>3380</v>
      </c>
      <c r="E8158" s="504" t="s">
        <v>3381</v>
      </c>
      <c r="F8158" s="504" t="s">
        <v>930</v>
      </c>
      <c r="G8158" s="504" t="s">
        <v>931</v>
      </c>
      <c r="H8158" s="504" t="s">
        <v>9980</v>
      </c>
      <c r="I8158" s="504">
        <v>313</v>
      </c>
      <c r="J8158" s="504">
        <v>173</v>
      </c>
      <c r="K8158" s="504">
        <v>0</v>
      </c>
      <c r="L8158" s="504">
        <v>0</v>
      </c>
      <c r="M8158" s="504">
        <v>134</v>
      </c>
      <c r="N8158" s="504">
        <v>0</v>
      </c>
      <c r="O8158" s="505">
        <v>6</v>
      </c>
    </row>
    <row r="8159" spans="1:15" x14ac:dyDescent="0.35">
      <c r="A8159" s="500" t="s">
        <v>1253</v>
      </c>
      <c r="B8159" s="501" t="s">
        <v>3232</v>
      </c>
      <c r="C8159" s="501" t="s">
        <v>1094</v>
      </c>
      <c r="D8159" s="501" t="s">
        <v>3380</v>
      </c>
      <c r="E8159" s="501" t="s">
        <v>3381</v>
      </c>
      <c r="F8159" s="501" t="s">
        <v>930</v>
      </c>
      <c r="G8159" s="501" t="s">
        <v>931</v>
      </c>
      <c r="H8159" s="501" t="s">
        <v>9981</v>
      </c>
      <c r="I8159" s="501">
        <v>49</v>
      </c>
      <c r="J8159" s="501">
        <v>0</v>
      </c>
      <c r="K8159" s="501">
        <v>0</v>
      </c>
      <c r="L8159" s="501">
        <v>34</v>
      </c>
      <c r="M8159" s="501">
        <v>15</v>
      </c>
      <c r="N8159" s="501">
        <v>0</v>
      </c>
      <c r="O8159" s="506">
        <v>0</v>
      </c>
    </row>
    <row r="8160" spans="1:15" x14ac:dyDescent="0.35">
      <c r="A8160" s="503" t="s">
        <v>2051</v>
      </c>
      <c r="B8160" s="504" t="s">
        <v>3115</v>
      </c>
      <c r="C8160" s="504" t="s">
        <v>1089</v>
      </c>
      <c r="D8160" s="504" t="s">
        <v>3392</v>
      </c>
      <c r="E8160" s="504" t="s">
        <v>3381</v>
      </c>
      <c r="F8160" s="504" t="s">
        <v>930</v>
      </c>
      <c r="G8160" s="504" t="s">
        <v>931</v>
      </c>
      <c r="H8160" s="504" t="s">
        <v>9982</v>
      </c>
      <c r="I8160" s="504">
        <v>56</v>
      </c>
      <c r="J8160" s="504">
        <v>56</v>
      </c>
      <c r="K8160" s="504">
        <v>0</v>
      </c>
      <c r="L8160" s="504">
        <v>0</v>
      </c>
      <c r="M8160" s="504">
        <v>0</v>
      </c>
      <c r="N8160" s="504">
        <v>0</v>
      </c>
      <c r="O8160" s="505">
        <v>0</v>
      </c>
    </row>
    <row r="8161" spans="1:15" x14ac:dyDescent="0.35">
      <c r="A8161" s="500" t="s">
        <v>1193</v>
      </c>
      <c r="B8161" s="501" t="s">
        <v>3039</v>
      </c>
      <c r="C8161" s="501" t="s">
        <v>1094</v>
      </c>
      <c r="D8161" s="501" t="s">
        <v>3380</v>
      </c>
      <c r="E8161" s="501" t="s">
        <v>3381</v>
      </c>
      <c r="F8161" s="501" t="s">
        <v>932</v>
      </c>
      <c r="G8161" s="501" t="s">
        <v>933</v>
      </c>
      <c r="H8161" s="501" t="s">
        <v>9998</v>
      </c>
      <c r="I8161" s="501">
        <v>346</v>
      </c>
      <c r="J8161" s="501">
        <v>65</v>
      </c>
      <c r="K8161" s="501">
        <v>0</v>
      </c>
      <c r="L8161" s="501">
        <v>0</v>
      </c>
      <c r="M8161" s="501">
        <v>198</v>
      </c>
      <c r="N8161" s="501">
        <v>0</v>
      </c>
      <c r="O8161" s="506">
        <v>83</v>
      </c>
    </row>
    <row r="8162" spans="1:15" x14ac:dyDescent="0.35">
      <c r="A8162" s="503" t="s">
        <v>1143</v>
      </c>
      <c r="B8162" s="504" t="s">
        <v>3281</v>
      </c>
      <c r="C8162" s="504" t="s">
        <v>1094</v>
      </c>
      <c r="D8162" s="504" t="s">
        <v>3380</v>
      </c>
      <c r="E8162" s="504" t="s">
        <v>3381</v>
      </c>
      <c r="F8162" s="504" t="s">
        <v>932</v>
      </c>
      <c r="G8162" s="504" t="s">
        <v>933</v>
      </c>
      <c r="H8162" s="504" t="s">
        <v>9983</v>
      </c>
      <c r="I8162" s="504">
        <v>569</v>
      </c>
      <c r="J8162" s="504">
        <v>515</v>
      </c>
      <c r="K8162" s="504">
        <v>0</v>
      </c>
      <c r="L8162" s="504">
        <v>0</v>
      </c>
      <c r="M8162" s="504">
        <v>39</v>
      </c>
      <c r="N8162" s="504">
        <v>2</v>
      </c>
      <c r="O8162" s="505">
        <v>15</v>
      </c>
    </row>
    <row r="8163" spans="1:15" x14ac:dyDescent="0.35">
      <c r="A8163" s="500" t="s">
        <v>1147</v>
      </c>
      <c r="B8163" s="501" t="s">
        <v>3274</v>
      </c>
      <c r="C8163" s="501" t="s">
        <v>1089</v>
      </c>
      <c r="D8163" s="501" t="s">
        <v>3392</v>
      </c>
      <c r="E8163" s="501" t="s">
        <v>3381</v>
      </c>
      <c r="F8163" s="501" t="s">
        <v>932</v>
      </c>
      <c r="G8163" s="501" t="s">
        <v>933</v>
      </c>
      <c r="H8163" s="501" t="s">
        <v>9984</v>
      </c>
      <c r="I8163" s="501">
        <v>2</v>
      </c>
      <c r="J8163" s="501">
        <v>0</v>
      </c>
      <c r="K8163" s="501">
        <v>0</v>
      </c>
      <c r="L8163" s="501">
        <v>2</v>
      </c>
      <c r="M8163" s="501">
        <v>0</v>
      </c>
      <c r="N8163" s="501">
        <v>0</v>
      </c>
      <c r="O8163" s="506">
        <v>0</v>
      </c>
    </row>
    <row r="8164" spans="1:15" x14ac:dyDescent="0.35">
      <c r="A8164" s="503" t="s">
        <v>1093</v>
      </c>
      <c r="B8164" s="504" t="s">
        <v>3248</v>
      </c>
      <c r="C8164" s="504" t="s">
        <v>1094</v>
      </c>
      <c r="D8164" s="504" t="s">
        <v>3380</v>
      </c>
      <c r="E8164" s="504" t="s">
        <v>3381</v>
      </c>
      <c r="F8164" s="504" t="s">
        <v>932</v>
      </c>
      <c r="G8164" s="504" t="s">
        <v>933</v>
      </c>
      <c r="H8164" s="504" t="s">
        <v>9985</v>
      </c>
      <c r="I8164" s="504">
        <v>1</v>
      </c>
      <c r="J8164" s="504">
        <v>0</v>
      </c>
      <c r="K8164" s="504">
        <v>0</v>
      </c>
      <c r="L8164" s="504">
        <v>0</v>
      </c>
      <c r="M8164" s="504">
        <v>0</v>
      </c>
      <c r="N8164" s="504">
        <v>0</v>
      </c>
      <c r="O8164" s="505">
        <v>1</v>
      </c>
    </row>
    <row r="8165" spans="1:15" x14ac:dyDescent="0.35">
      <c r="A8165" s="500" t="s">
        <v>1096</v>
      </c>
      <c r="B8165" s="501" t="s">
        <v>3326</v>
      </c>
      <c r="C8165" s="501" t="s">
        <v>1094</v>
      </c>
      <c r="D8165" s="501" t="s">
        <v>3380</v>
      </c>
      <c r="E8165" s="501" t="s">
        <v>3381</v>
      </c>
      <c r="F8165" s="501" t="s">
        <v>932</v>
      </c>
      <c r="G8165" s="501" t="s">
        <v>933</v>
      </c>
      <c r="H8165" s="501" t="s">
        <v>9986</v>
      </c>
      <c r="I8165" s="501">
        <v>74</v>
      </c>
      <c r="J8165" s="501">
        <v>0</v>
      </c>
      <c r="K8165" s="501">
        <v>0</v>
      </c>
      <c r="L8165" s="501">
        <v>0</v>
      </c>
      <c r="M8165" s="501">
        <v>74</v>
      </c>
      <c r="N8165" s="501">
        <v>0</v>
      </c>
      <c r="O8165" s="506">
        <v>0</v>
      </c>
    </row>
    <row r="8166" spans="1:15" x14ac:dyDescent="0.35">
      <c r="A8166" s="503" t="s">
        <v>1150</v>
      </c>
      <c r="B8166" s="504" t="s">
        <v>2975</v>
      </c>
      <c r="C8166" s="504" t="s">
        <v>1094</v>
      </c>
      <c r="D8166" s="504" t="s">
        <v>3380</v>
      </c>
      <c r="E8166" s="504" t="s">
        <v>3381</v>
      </c>
      <c r="F8166" s="504" t="s">
        <v>932</v>
      </c>
      <c r="G8166" s="504" t="s">
        <v>933</v>
      </c>
      <c r="H8166" s="504" t="s">
        <v>9987</v>
      </c>
      <c r="I8166" s="504">
        <v>92</v>
      </c>
      <c r="J8166" s="504">
        <v>86</v>
      </c>
      <c r="K8166" s="504">
        <v>0</v>
      </c>
      <c r="L8166" s="504">
        <v>0</v>
      </c>
      <c r="M8166" s="504">
        <v>0</v>
      </c>
      <c r="N8166" s="504">
        <v>0</v>
      </c>
      <c r="O8166" s="505">
        <v>6</v>
      </c>
    </row>
    <row r="8167" spans="1:15" x14ac:dyDescent="0.35">
      <c r="A8167" s="500" t="s">
        <v>1671</v>
      </c>
      <c r="B8167" s="501" t="s">
        <v>3157</v>
      </c>
      <c r="C8167" s="501" t="s">
        <v>1089</v>
      </c>
      <c r="D8167" s="501" t="s">
        <v>3392</v>
      </c>
      <c r="E8167" s="501" t="s">
        <v>3381</v>
      </c>
      <c r="F8167" s="501" t="s">
        <v>932</v>
      </c>
      <c r="G8167" s="501" t="s">
        <v>933</v>
      </c>
      <c r="H8167" s="501" t="s">
        <v>9988</v>
      </c>
      <c r="I8167" s="501">
        <v>954</v>
      </c>
      <c r="J8167" s="501">
        <v>954</v>
      </c>
      <c r="K8167" s="501">
        <v>0</v>
      </c>
      <c r="L8167" s="501">
        <v>0</v>
      </c>
      <c r="M8167" s="501">
        <v>0</v>
      </c>
      <c r="N8167" s="501">
        <v>0</v>
      </c>
      <c r="O8167" s="506">
        <v>0</v>
      </c>
    </row>
    <row r="8168" spans="1:15" x14ac:dyDescent="0.35">
      <c r="A8168" s="503" t="s">
        <v>1160</v>
      </c>
      <c r="B8168" s="504">
        <v>4672</v>
      </c>
      <c r="C8168" s="504" t="s">
        <v>1089</v>
      </c>
      <c r="D8168" s="504" t="s">
        <v>3392</v>
      </c>
      <c r="E8168" s="504" t="s">
        <v>3381</v>
      </c>
      <c r="F8168" s="504" t="s">
        <v>932</v>
      </c>
      <c r="G8168" s="504" t="s">
        <v>933</v>
      </c>
      <c r="H8168" s="504" t="s">
        <v>15139</v>
      </c>
      <c r="I8168" s="504">
        <v>5</v>
      </c>
      <c r="J8168" s="504">
        <v>0</v>
      </c>
      <c r="K8168" s="504">
        <v>0</v>
      </c>
      <c r="L8168" s="504">
        <v>5</v>
      </c>
      <c r="M8168" s="504">
        <v>0</v>
      </c>
      <c r="N8168" s="504">
        <v>0</v>
      </c>
      <c r="O8168" s="505">
        <v>0</v>
      </c>
    </row>
    <row r="8169" spans="1:15" x14ac:dyDescent="0.35">
      <c r="A8169" s="500" t="s">
        <v>1167</v>
      </c>
      <c r="B8169" s="501">
        <v>4689</v>
      </c>
      <c r="C8169" s="501" t="s">
        <v>1089</v>
      </c>
      <c r="D8169" s="501" t="s">
        <v>3392</v>
      </c>
      <c r="E8169" s="501" t="s">
        <v>3381</v>
      </c>
      <c r="F8169" s="501" t="s">
        <v>932</v>
      </c>
      <c r="G8169" s="501" t="s">
        <v>933</v>
      </c>
      <c r="H8169" s="501" t="s">
        <v>9989</v>
      </c>
      <c r="I8169" s="501">
        <v>72</v>
      </c>
      <c r="J8169" s="501">
        <v>0</v>
      </c>
      <c r="K8169" s="501">
        <v>0</v>
      </c>
      <c r="L8169" s="501">
        <v>72</v>
      </c>
      <c r="M8169" s="501">
        <v>0</v>
      </c>
      <c r="N8169" s="501">
        <v>0</v>
      </c>
      <c r="O8169" s="506">
        <v>0</v>
      </c>
    </row>
    <row r="8170" spans="1:15" x14ac:dyDescent="0.35">
      <c r="A8170" s="503" t="s">
        <v>1700</v>
      </c>
      <c r="B8170" s="504" t="s">
        <v>3129</v>
      </c>
      <c r="C8170" s="504" t="s">
        <v>1089</v>
      </c>
      <c r="D8170" s="504" t="s">
        <v>3392</v>
      </c>
      <c r="E8170" s="504" t="s">
        <v>3381</v>
      </c>
      <c r="F8170" s="504" t="s">
        <v>932</v>
      </c>
      <c r="G8170" s="504" t="s">
        <v>933</v>
      </c>
      <c r="H8170" s="504" t="s">
        <v>9990</v>
      </c>
      <c r="I8170" s="504">
        <v>16</v>
      </c>
      <c r="J8170" s="504">
        <v>16</v>
      </c>
      <c r="K8170" s="504">
        <v>0</v>
      </c>
      <c r="L8170" s="504">
        <v>0</v>
      </c>
      <c r="M8170" s="504">
        <v>0</v>
      </c>
      <c r="N8170" s="504">
        <v>0</v>
      </c>
      <c r="O8170" s="505">
        <v>0</v>
      </c>
    </row>
    <row r="8171" spans="1:15" x14ac:dyDescent="0.35">
      <c r="A8171" s="500" t="s">
        <v>1177</v>
      </c>
      <c r="B8171" s="501">
        <v>4702</v>
      </c>
      <c r="C8171" s="501" t="s">
        <v>1089</v>
      </c>
      <c r="D8171" s="501" t="s">
        <v>3392</v>
      </c>
      <c r="E8171" s="501" t="s">
        <v>3381</v>
      </c>
      <c r="F8171" s="501" t="s">
        <v>932</v>
      </c>
      <c r="G8171" s="501" t="s">
        <v>933</v>
      </c>
      <c r="H8171" s="501" t="s">
        <v>9991</v>
      </c>
      <c r="I8171" s="501">
        <v>8</v>
      </c>
      <c r="J8171" s="501">
        <v>0</v>
      </c>
      <c r="K8171" s="501">
        <v>0</v>
      </c>
      <c r="L8171" s="501">
        <v>8</v>
      </c>
      <c r="M8171" s="501">
        <v>0</v>
      </c>
      <c r="N8171" s="501">
        <v>0</v>
      </c>
      <c r="O8171" s="506">
        <v>0</v>
      </c>
    </row>
    <row r="8172" spans="1:15" x14ac:dyDescent="0.35">
      <c r="A8172" s="503" t="s">
        <v>14208</v>
      </c>
      <c r="B8172" s="504">
        <v>4803</v>
      </c>
      <c r="C8172" s="504" t="s">
        <v>1094</v>
      </c>
      <c r="D8172" s="504" t="s">
        <v>3380</v>
      </c>
      <c r="E8172" s="504" t="s">
        <v>3381</v>
      </c>
      <c r="F8172" s="504" t="s">
        <v>932</v>
      </c>
      <c r="G8172" s="504" t="s">
        <v>933</v>
      </c>
      <c r="H8172" s="504" t="s">
        <v>15140</v>
      </c>
      <c r="I8172" s="504">
        <v>9</v>
      </c>
      <c r="J8172" s="504">
        <v>0</v>
      </c>
      <c r="K8172" s="504">
        <v>0</v>
      </c>
      <c r="L8172" s="504">
        <v>9</v>
      </c>
      <c r="M8172" s="504">
        <v>0</v>
      </c>
      <c r="N8172" s="504">
        <v>0</v>
      </c>
      <c r="O8172" s="505">
        <v>0</v>
      </c>
    </row>
    <row r="8173" spans="1:15" x14ac:dyDescent="0.35">
      <c r="A8173" s="500" t="s">
        <v>1183</v>
      </c>
      <c r="B8173" s="501" t="s">
        <v>3038</v>
      </c>
      <c r="C8173" s="501" t="s">
        <v>1094</v>
      </c>
      <c r="D8173" s="501" t="s">
        <v>3380</v>
      </c>
      <c r="E8173" s="501" t="s">
        <v>3381</v>
      </c>
      <c r="F8173" s="501" t="s">
        <v>932</v>
      </c>
      <c r="G8173" s="501" t="s">
        <v>933</v>
      </c>
      <c r="H8173" s="501" t="s">
        <v>9992</v>
      </c>
      <c r="I8173" s="501">
        <v>63</v>
      </c>
      <c r="J8173" s="501">
        <v>51</v>
      </c>
      <c r="K8173" s="501">
        <v>0</v>
      </c>
      <c r="L8173" s="501">
        <v>11</v>
      </c>
      <c r="M8173" s="501">
        <v>0</v>
      </c>
      <c r="N8173" s="501">
        <v>0</v>
      </c>
      <c r="O8173" s="506">
        <v>1</v>
      </c>
    </row>
    <row r="8174" spans="1:15" x14ac:dyDescent="0.35">
      <c r="A8174" s="503" t="s">
        <v>1186</v>
      </c>
      <c r="B8174" s="504">
        <v>4661</v>
      </c>
      <c r="C8174" s="504" t="s">
        <v>1089</v>
      </c>
      <c r="D8174" s="504" t="s">
        <v>3392</v>
      </c>
      <c r="E8174" s="504" t="s">
        <v>3381</v>
      </c>
      <c r="F8174" s="504" t="s">
        <v>932</v>
      </c>
      <c r="G8174" s="504" t="s">
        <v>933</v>
      </c>
      <c r="H8174" s="504" t="s">
        <v>9993</v>
      </c>
      <c r="I8174" s="504">
        <v>36</v>
      </c>
      <c r="J8174" s="504">
        <v>0</v>
      </c>
      <c r="K8174" s="504">
        <v>0</v>
      </c>
      <c r="L8174" s="504">
        <v>36</v>
      </c>
      <c r="M8174" s="504">
        <v>0</v>
      </c>
      <c r="N8174" s="504">
        <v>0</v>
      </c>
      <c r="O8174" s="505">
        <v>0</v>
      </c>
    </row>
    <row r="8175" spans="1:15" x14ac:dyDescent="0.35">
      <c r="A8175" s="500" t="s">
        <v>1105</v>
      </c>
      <c r="B8175" s="501">
        <v>4668</v>
      </c>
      <c r="C8175" s="501" t="s">
        <v>1094</v>
      </c>
      <c r="D8175" s="501" t="s">
        <v>3380</v>
      </c>
      <c r="E8175" s="501" t="s">
        <v>3381</v>
      </c>
      <c r="F8175" s="501" t="s">
        <v>932</v>
      </c>
      <c r="G8175" s="501" t="s">
        <v>933</v>
      </c>
      <c r="H8175" s="501" t="s">
        <v>9994</v>
      </c>
      <c r="I8175" s="501">
        <v>11</v>
      </c>
      <c r="J8175" s="501">
        <v>0</v>
      </c>
      <c r="K8175" s="501">
        <v>0</v>
      </c>
      <c r="L8175" s="501">
        <v>0</v>
      </c>
      <c r="M8175" s="501">
        <v>0</v>
      </c>
      <c r="N8175" s="501">
        <v>0</v>
      </c>
      <c r="O8175" s="506">
        <v>11</v>
      </c>
    </row>
    <row r="8176" spans="1:15" x14ac:dyDescent="0.35">
      <c r="A8176" s="503" t="s">
        <v>1188</v>
      </c>
      <c r="B8176" s="504">
        <v>4760</v>
      </c>
      <c r="C8176" s="504" t="s">
        <v>1089</v>
      </c>
      <c r="D8176" s="504" t="s">
        <v>3392</v>
      </c>
      <c r="E8176" s="504" t="s">
        <v>3381</v>
      </c>
      <c r="F8176" s="504" t="s">
        <v>932</v>
      </c>
      <c r="G8176" s="504" t="s">
        <v>933</v>
      </c>
      <c r="H8176" s="504" t="s">
        <v>15141</v>
      </c>
      <c r="I8176" s="504">
        <v>12</v>
      </c>
      <c r="J8176" s="504">
        <v>0</v>
      </c>
      <c r="K8176" s="504">
        <v>0</v>
      </c>
      <c r="L8176" s="504">
        <v>12</v>
      </c>
      <c r="M8176" s="504">
        <v>0</v>
      </c>
      <c r="N8176" s="504">
        <v>0</v>
      </c>
      <c r="O8176" s="505">
        <v>0</v>
      </c>
    </row>
    <row r="8177" spans="1:15" x14ac:dyDescent="0.35">
      <c r="A8177" s="500" t="s">
        <v>1109</v>
      </c>
      <c r="B8177" s="501" t="s">
        <v>2959</v>
      </c>
      <c r="C8177" s="501" t="s">
        <v>1094</v>
      </c>
      <c r="D8177" s="501" t="s">
        <v>3380</v>
      </c>
      <c r="E8177" s="501" t="s">
        <v>3381</v>
      </c>
      <c r="F8177" s="501" t="s">
        <v>932</v>
      </c>
      <c r="G8177" s="501" t="s">
        <v>933</v>
      </c>
      <c r="H8177" s="501" t="s">
        <v>9995</v>
      </c>
      <c r="I8177" s="501">
        <v>71</v>
      </c>
      <c r="J8177" s="501">
        <v>0</v>
      </c>
      <c r="K8177" s="501">
        <v>0</v>
      </c>
      <c r="L8177" s="501">
        <v>0</v>
      </c>
      <c r="M8177" s="501">
        <v>71</v>
      </c>
      <c r="N8177" s="501">
        <v>0</v>
      </c>
      <c r="O8177" s="506">
        <v>0</v>
      </c>
    </row>
    <row r="8178" spans="1:15" x14ac:dyDescent="0.35">
      <c r="A8178" s="503" t="s">
        <v>1190</v>
      </c>
      <c r="B8178" s="504">
        <v>4662</v>
      </c>
      <c r="C8178" s="504" t="s">
        <v>1094</v>
      </c>
      <c r="D8178" s="504" t="s">
        <v>3380</v>
      </c>
      <c r="E8178" s="504" t="s">
        <v>3381</v>
      </c>
      <c r="F8178" s="504" t="s">
        <v>932</v>
      </c>
      <c r="G8178" s="504" t="s">
        <v>933</v>
      </c>
      <c r="H8178" s="504" t="s">
        <v>15142</v>
      </c>
      <c r="I8178" s="504">
        <v>6</v>
      </c>
      <c r="J8178" s="504">
        <v>0</v>
      </c>
      <c r="K8178" s="504">
        <v>0</v>
      </c>
      <c r="L8178" s="504">
        <v>6</v>
      </c>
      <c r="M8178" s="504">
        <v>0</v>
      </c>
      <c r="N8178" s="504">
        <v>0</v>
      </c>
      <c r="O8178" s="505">
        <v>0</v>
      </c>
    </row>
    <row r="8179" spans="1:15" x14ac:dyDescent="0.35">
      <c r="A8179" s="500" t="s">
        <v>1716</v>
      </c>
      <c r="B8179" s="501" t="s">
        <v>2960</v>
      </c>
      <c r="C8179" s="501" t="s">
        <v>1094</v>
      </c>
      <c r="D8179" s="501" t="s">
        <v>3380</v>
      </c>
      <c r="E8179" s="501" t="s">
        <v>3381</v>
      </c>
      <c r="F8179" s="501" t="s">
        <v>932</v>
      </c>
      <c r="G8179" s="501" t="s">
        <v>933</v>
      </c>
      <c r="H8179" s="501" t="s">
        <v>9996</v>
      </c>
      <c r="I8179" s="501">
        <v>984</v>
      </c>
      <c r="J8179" s="501">
        <v>947</v>
      </c>
      <c r="K8179" s="501">
        <v>0</v>
      </c>
      <c r="L8179" s="501">
        <v>25</v>
      </c>
      <c r="M8179" s="501">
        <v>0</v>
      </c>
      <c r="N8179" s="501">
        <v>0</v>
      </c>
      <c r="O8179" s="506">
        <v>12</v>
      </c>
    </row>
    <row r="8180" spans="1:15" x14ac:dyDescent="0.35">
      <c r="A8180" s="503" t="s">
        <v>1718</v>
      </c>
      <c r="B8180" s="504" t="s">
        <v>3352</v>
      </c>
      <c r="C8180" s="504" t="s">
        <v>1094</v>
      </c>
      <c r="D8180" s="504" t="s">
        <v>3392</v>
      </c>
      <c r="E8180" s="504" t="s">
        <v>3381</v>
      </c>
      <c r="F8180" s="504" t="s">
        <v>932</v>
      </c>
      <c r="G8180" s="504" t="s">
        <v>933</v>
      </c>
      <c r="H8180" s="504" t="s">
        <v>9997</v>
      </c>
      <c r="I8180" s="504">
        <v>5</v>
      </c>
      <c r="J8180" s="504">
        <v>5</v>
      </c>
      <c r="K8180" s="504">
        <v>0</v>
      </c>
      <c r="L8180" s="504">
        <v>0</v>
      </c>
      <c r="M8180" s="504">
        <v>0</v>
      </c>
      <c r="N8180" s="504">
        <v>0</v>
      </c>
      <c r="O8180" s="505">
        <v>0</v>
      </c>
    </row>
    <row r="8181" spans="1:15" x14ac:dyDescent="0.35">
      <c r="A8181" s="500" t="s">
        <v>11401</v>
      </c>
      <c r="B8181" s="501" t="s">
        <v>3241</v>
      </c>
      <c r="C8181" s="501" t="s">
        <v>1094</v>
      </c>
      <c r="D8181" s="501" t="s">
        <v>3380</v>
      </c>
      <c r="E8181" s="501" t="s">
        <v>3381</v>
      </c>
      <c r="F8181" s="501" t="s">
        <v>932</v>
      </c>
      <c r="G8181" s="501" t="s">
        <v>933</v>
      </c>
      <c r="H8181" s="501" t="s">
        <v>15143</v>
      </c>
      <c r="I8181" s="501">
        <v>34</v>
      </c>
      <c r="J8181" s="501">
        <v>34</v>
      </c>
      <c r="K8181" s="501">
        <v>0</v>
      </c>
      <c r="L8181" s="501">
        <v>0</v>
      </c>
      <c r="M8181" s="501">
        <v>0</v>
      </c>
      <c r="N8181" s="501">
        <v>0</v>
      </c>
      <c r="O8181" s="506">
        <v>0</v>
      </c>
    </row>
    <row r="8182" spans="1:15" x14ac:dyDescent="0.35">
      <c r="A8182" s="503" t="s">
        <v>11402</v>
      </c>
      <c r="B8182" s="504" t="s">
        <v>3344</v>
      </c>
      <c r="C8182" s="504" t="s">
        <v>1094</v>
      </c>
      <c r="D8182" s="504" t="s">
        <v>3380</v>
      </c>
      <c r="E8182" s="504" t="s">
        <v>3381</v>
      </c>
      <c r="F8182" s="504" t="s">
        <v>932</v>
      </c>
      <c r="G8182" s="504" t="s">
        <v>933</v>
      </c>
      <c r="H8182" s="504" t="s">
        <v>11799</v>
      </c>
      <c r="I8182" s="504">
        <v>14942</v>
      </c>
      <c r="J8182" s="504">
        <v>14101</v>
      </c>
      <c r="K8182" s="504">
        <v>0</v>
      </c>
      <c r="L8182" s="504">
        <v>215</v>
      </c>
      <c r="M8182" s="504">
        <v>621</v>
      </c>
      <c r="N8182" s="504">
        <v>11</v>
      </c>
      <c r="O8182" s="505">
        <v>5</v>
      </c>
    </row>
    <row r="8183" spans="1:15" x14ac:dyDescent="0.35">
      <c r="A8183" s="500" t="s">
        <v>1739</v>
      </c>
      <c r="B8183" s="501">
        <v>4857</v>
      </c>
      <c r="C8183" s="501" t="s">
        <v>1094</v>
      </c>
      <c r="D8183" s="501" t="s">
        <v>3380</v>
      </c>
      <c r="E8183" s="501" t="s">
        <v>3381</v>
      </c>
      <c r="F8183" s="501" t="s">
        <v>932</v>
      </c>
      <c r="G8183" s="501" t="s">
        <v>933</v>
      </c>
      <c r="H8183" s="501" t="s">
        <v>9999</v>
      </c>
      <c r="I8183" s="501">
        <v>237</v>
      </c>
      <c r="J8183" s="501">
        <v>161</v>
      </c>
      <c r="K8183" s="501">
        <v>0</v>
      </c>
      <c r="L8183" s="501">
        <v>60</v>
      </c>
      <c r="M8183" s="501">
        <v>8</v>
      </c>
      <c r="N8183" s="501">
        <v>0</v>
      </c>
      <c r="O8183" s="506">
        <v>8</v>
      </c>
    </row>
    <row r="8184" spans="1:15" x14ac:dyDescent="0.35">
      <c r="A8184" s="503" t="s">
        <v>1744</v>
      </c>
      <c r="B8184" s="504" t="s">
        <v>3245</v>
      </c>
      <c r="C8184" s="504" t="s">
        <v>1094</v>
      </c>
      <c r="D8184" s="504" t="s">
        <v>3380</v>
      </c>
      <c r="E8184" s="504" t="s">
        <v>3381</v>
      </c>
      <c r="F8184" s="504" t="s">
        <v>932</v>
      </c>
      <c r="G8184" s="504" t="s">
        <v>933</v>
      </c>
      <c r="H8184" s="504" t="s">
        <v>10000</v>
      </c>
      <c r="I8184" s="504">
        <v>1834</v>
      </c>
      <c r="J8184" s="504">
        <v>1605</v>
      </c>
      <c r="K8184" s="504">
        <v>0</v>
      </c>
      <c r="L8184" s="504">
        <v>37</v>
      </c>
      <c r="M8184" s="504">
        <v>168</v>
      </c>
      <c r="N8184" s="504">
        <v>2</v>
      </c>
      <c r="O8184" s="505">
        <v>24</v>
      </c>
    </row>
    <row r="8185" spans="1:15" x14ac:dyDescent="0.35">
      <c r="A8185" s="500" t="s">
        <v>1122</v>
      </c>
      <c r="B8185" s="501" t="s">
        <v>2994</v>
      </c>
      <c r="C8185" s="501" t="s">
        <v>1094</v>
      </c>
      <c r="D8185" s="501" t="s">
        <v>3380</v>
      </c>
      <c r="E8185" s="501" t="s">
        <v>3381</v>
      </c>
      <c r="F8185" s="501" t="s">
        <v>932</v>
      </c>
      <c r="G8185" s="501" t="s">
        <v>933</v>
      </c>
      <c r="H8185" s="501" t="s">
        <v>10001</v>
      </c>
      <c r="I8185" s="501">
        <v>113</v>
      </c>
      <c r="J8185" s="501">
        <v>108</v>
      </c>
      <c r="K8185" s="501">
        <v>0</v>
      </c>
      <c r="L8185" s="501">
        <v>0</v>
      </c>
      <c r="M8185" s="501">
        <v>0</v>
      </c>
      <c r="N8185" s="501">
        <v>0</v>
      </c>
      <c r="O8185" s="506">
        <v>5</v>
      </c>
    </row>
    <row r="8186" spans="1:15" x14ac:dyDescent="0.35">
      <c r="A8186" s="503" t="s">
        <v>1752</v>
      </c>
      <c r="B8186" s="504">
        <v>4653</v>
      </c>
      <c r="C8186" s="504" t="s">
        <v>1094</v>
      </c>
      <c r="D8186" s="504" t="s">
        <v>3380</v>
      </c>
      <c r="E8186" s="504" t="s">
        <v>3381</v>
      </c>
      <c r="F8186" s="504" t="s">
        <v>932</v>
      </c>
      <c r="G8186" s="504" t="s">
        <v>933</v>
      </c>
      <c r="H8186" s="504" t="s">
        <v>10002</v>
      </c>
      <c r="I8186" s="504">
        <v>1012</v>
      </c>
      <c r="J8186" s="504">
        <v>835</v>
      </c>
      <c r="K8186" s="504">
        <v>0</v>
      </c>
      <c r="L8186" s="504">
        <v>97</v>
      </c>
      <c r="M8186" s="504">
        <v>80</v>
      </c>
      <c r="N8186" s="504">
        <v>0</v>
      </c>
      <c r="O8186" s="505">
        <v>0</v>
      </c>
    </row>
    <row r="8187" spans="1:15" x14ac:dyDescent="0.35">
      <c r="A8187" s="500" t="s">
        <v>1126</v>
      </c>
      <c r="B8187" s="501" t="s">
        <v>2974</v>
      </c>
      <c r="C8187" s="501" t="s">
        <v>1094</v>
      </c>
      <c r="D8187" s="501" t="s">
        <v>3380</v>
      </c>
      <c r="E8187" s="501" t="s">
        <v>3381</v>
      </c>
      <c r="F8187" s="501" t="s">
        <v>932</v>
      </c>
      <c r="G8187" s="501" t="s">
        <v>933</v>
      </c>
      <c r="H8187" s="501" t="s">
        <v>10003</v>
      </c>
      <c r="I8187" s="501">
        <v>60</v>
      </c>
      <c r="J8187" s="501">
        <v>60</v>
      </c>
      <c r="K8187" s="501">
        <v>0</v>
      </c>
      <c r="L8187" s="501">
        <v>0</v>
      </c>
      <c r="M8187" s="501">
        <v>0</v>
      </c>
      <c r="N8187" s="501">
        <v>0</v>
      </c>
      <c r="O8187" s="506">
        <v>0</v>
      </c>
    </row>
    <row r="8188" spans="1:15" x14ac:dyDescent="0.35">
      <c r="A8188" s="503" t="s">
        <v>1764</v>
      </c>
      <c r="B8188" s="504" t="s">
        <v>3214</v>
      </c>
      <c r="C8188" s="504" t="s">
        <v>1094</v>
      </c>
      <c r="D8188" s="504" t="s">
        <v>3380</v>
      </c>
      <c r="E8188" s="504" t="s">
        <v>3381</v>
      </c>
      <c r="F8188" s="504" t="s">
        <v>932</v>
      </c>
      <c r="G8188" s="504" t="s">
        <v>933</v>
      </c>
      <c r="H8188" s="504" t="s">
        <v>10004</v>
      </c>
      <c r="I8188" s="504">
        <v>61</v>
      </c>
      <c r="J8188" s="504">
        <v>32</v>
      </c>
      <c r="K8188" s="504">
        <v>0</v>
      </c>
      <c r="L8188" s="504">
        <v>0</v>
      </c>
      <c r="M8188" s="504">
        <v>12</v>
      </c>
      <c r="N8188" s="504">
        <v>0</v>
      </c>
      <c r="O8188" s="505">
        <v>17</v>
      </c>
    </row>
    <row r="8189" spans="1:15" x14ac:dyDescent="0.35">
      <c r="A8189" s="500" t="s">
        <v>1249</v>
      </c>
      <c r="B8189" s="501">
        <v>4729</v>
      </c>
      <c r="C8189" s="501" t="s">
        <v>1094</v>
      </c>
      <c r="D8189" s="501" t="s">
        <v>3380</v>
      </c>
      <c r="E8189" s="501" t="s">
        <v>3381</v>
      </c>
      <c r="F8189" s="501" t="s">
        <v>932</v>
      </c>
      <c r="G8189" s="501" t="s">
        <v>933</v>
      </c>
      <c r="H8189" s="501" t="s">
        <v>10005</v>
      </c>
      <c r="I8189" s="501">
        <v>298</v>
      </c>
      <c r="J8189" s="501">
        <v>195</v>
      </c>
      <c r="K8189" s="501">
        <v>0</v>
      </c>
      <c r="L8189" s="501">
        <v>37</v>
      </c>
      <c r="M8189" s="501">
        <v>59</v>
      </c>
      <c r="N8189" s="501">
        <v>0</v>
      </c>
      <c r="O8189" s="506">
        <v>7</v>
      </c>
    </row>
    <row r="8190" spans="1:15" x14ac:dyDescent="0.35">
      <c r="A8190" s="503" t="s">
        <v>1266</v>
      </c>
      <c r="B8190" s="504" t="s">
        <v>3071</v>
      </c>
      <c r="C8190" s="504" t="s">
        <v>1094</v>
      </c>
      <c r="D8190" s="504" t="s">
        <v>3380</v>
      </c>
      <c r="E8190" s="504" t="s">
        <v>3381</v>
      </c>
      <c r="F8190" s="504" t="s">
        <v>932</v>
      </c>
      <c r="G8190" s="504" t="s">
        <v>933</v>
      </c>
      <c r="H8190" s="504" t="s">
        <v>10006</v>
      </c>
      <c r="I8190" s="504">
        <v>512</v>
      </c>
      <c r="J8190" s="504">
        <v>416</v>
      </c>
      <c r="K8190" s="504">
        <v>0</v>
      </c>
      <c r="L8190" s="504">
        <v>23</v>
      </c>
      <c r="M8190" s="504">
        <v>43</v>
      </c>
      <c r="N8190" s="504">
        <v>0</v>
      </c>
      <c r="O8190" s="505">
        <v>30</v>
      </c>
    </row>
    <row r="8191" spans="1:15" x14ac:dyDescent="0.35">
      <c r="A8191" s="500" t="s">
        <v>1096</v>
      </c>
      <c r="B8191" s="501" t="s">
        <v>3326</v>
      </c>
      <c r="C8191" s="501" t="s">
        <v>1094</v>
      </c>
      <c r="D8191" s="501" t="s">
        <v>3380</v>
      </c>
      <c r="E8191" s="501" t="s">
        <v>3381</v>
      </c>
      <c r="F8191" s="501" t="s">
        <v>934</v>
      </c>
      <c r="G8191" s="501" t="s">
        <v>935</v>
      </c>
      <c r="H8191" s="501" t="s">
        <v>10007</v>
      </c>
      <c r="I8191" s="501">
        <v>21</v>
      </c>
      <c r="J8191" s="501">
        <v>0</v>
      </c>
      <c r="K8191" s="501">
        <v>0</v>
      </c>
      <c r="L8191" s="501">
        <v>0</v>
      </c>
      <c r="M8191" s="501">
        <v>21</v>
      </c>
      <c r="N8191" s="501">
        <v>0</v>
      </c>
      <c r="O8191" s="506">
        <v>0</v>
      </c>
    </row>
    <row r="8192" spans="1:15" x14ac:dyDescent="0.35">
      <c r="A8192" s="503" t="s">
        <v>1158</v>
      </c>
      <c r="B8192" s="504">
        <v>4819</v>
      </c>
      <c r="C8192" s="504" t="s">
        <v>1094</v>
      </c>
      <c r="D8192" s="504" t="s">
        <v>3380</v>
      </c>
      <c r="E8192" s="504" t="s">
        <v>3381</v>
      </c>
      <c r="F8192" s="504" t="s">
        <v>934</v>
      </c>
      <c r="G8192" s="504" t="s">
        <v>935</v>
      </c>
      <c r="H8192" s="504" t="s">
        <v>10008</v>
      </c>
      <c r="I8192" s="504">
        <v>431</v>
      </c>
      <c r="J8192" s="504">
        <v>342</v>
      </c>
      <c r="K8192" s="504">
        <v>0</v>
      </c>
      <c r="L8192" s="504">
        <v>8</v>
      </c>
      <c r="M8192" s="504">
        <v>0</v>
      </c>
      <c r="N8192" s="504">
        <v>0</v>
      </c>
      <c r="O8192" s="505">
        <v>81</v>
      </c>
    </row>
    <row r="8193" spans="1:15" x14ac:dyDescent="0.35">
      <c r="A8193" s="500" t="s">
        <v>1961</v>
      </c>
      <c r="B8193" s="501">
        <v>5075</v>
      </c>
      <c r="C8193" s="501" t="s">
        <v>1094</v>
      </c>
      <c r="D8193" s="501" t="s">
        <v>3380</v>
      </c>
      <c r="E8193" s="501" t="s">
        <v>3381</v>
      </c>
      <c r="F8193" s="501" t="s">
        <v>934</v>
      </c>
      <c r="G8193" s="501" t="s">
        <v>935</v>
      </c>
      <c r="H8193" s="501" t="s">
        <v>10009</v>
      </c>
      <c r="I8193" s="501">
        <v>4</v>
      </c>
      <c r="J8193" s="501">
        <v>4</v>
      </c>
      <c r="K8193" s="501">
        <v>0</v>
      </c>
      <c r="L8193" s="501">
        <v>0</v>
      </c>
      <c r="M8193" s="501">
        <v>0</v>
      </c>
      <c r="N8193" s="501">
        <v>0</v>
      </c>
      <c r="O8193" s="506">
        <v>0</v>
      </c>
    </row>
    <row r="8194" spans="1:15" x14ac:dyDescent="0.35">
      <c r="A8194" s="503" t="s">
        <v>1100</v>
      </c>
      <c r="B8194" s="504">
        <v>4865</v>
      </c>
      <c r="C8194" s="504" t="s">
        <v>1094</v>
      </c>
      <c r="D8194" s="504" t="s">
        <v>3380</v>
      </c>
      <c r="E8194" s="504" t="s">
        <v>3381</v>
      </c>
      <c r="F8194" s="504" t="s">
        <v>934</v>
      </c>
      <c r="G8194" s="504" t="s">
        <v>935</v>
      </c>
      <c r="H8194" s="504" t="s">
        <v>10010</v>
      </c>
      <c r="I8194" s="504">
        <v>340</v>
      </c>
      <c r="J8194" s="504">
        <v>316</v>
      </c>
      <c r="K8194" s="504">
        <v>0</v>
      </c>
      <c r="L8194" s="504">
        <v>0</v>
      </c>
      <c r="M8194" s="504">
        <v>24</v>
      </c>
      <c r="N8194" s="504">
        <v>0</v>
      </c>
      <c r="O8194" s="505">
        <v>0</v>
      </c>
    </row>
    <row r="8195" spans="1:15" x14ac:dyDescent="0.35">
      <c r="A8195" s="500" t="s">
        <v>1171</v>
      </c>
      <c r="B8195" s="501" t="s">
        <v>3003</v>
      </c>
      <c r="C8195" s="501" t="s">
        <v>1094</v>
      </c>
      <c r="D8195" s="501" t="s">
        <v>3380</v>
      </c>
      <c r="E8195" s="501" t="s">
        <v>3381</v>
      </c>
      <c r="F8195" s="501" t="s">
        <v>934</v>
      </c>
      <c r="G8195" s="501" t="s">
        <v>935</v>
      </c>
      <c r="H8195" s="501" t="s">
        <v>10011</v>
      </c>
      <c r="I8195" s="501">
        <v>89</v>
      </c>
      <c r="J8195" s="501">
        <v>80</v>
      </c>
      <c r="K8195" s="501">
        <v>0</v>
      </c>
      <c r="L8195" s="501">
        <v>0</v>
      </c>
      <c r="M8195" s="501">
        <v>0</v>
      </c>
      <c r="N8195" s="501">
        <v>0</v>
      </c>
      <c r="O8195" s="506">
        <v>9</v>
      </c>
    </row>
    <row r="8196" spans="1:15" x14ac:dyDescent="0.35">
      <c r="A8196" s="503" t="s">
        <v>1173</v>
      </c>
      <c r="B8196" s="504">
        <v>4775</v>
      </c>
      <c r="C8196" s="504" t="s">
        <v>1094</v>
      </c>
      <c r="D8196" s="504" t="s">
        <v>3380</v>
      </c>
      <c r="E8196" s="504" t="s">
        <v>3381</v>
      </c>
      <c r="F8196" s="504" t="s">
        <v>934</v>
      </c>
      <c r="G8196" s="504" t="s">
        <v>935</v>
      </c>
      <c r="H8196" s="504" t="s">
        <v>10012</v>
      </c>
      <c r="I8196" s="504">
        <v>1</v>
      </c>
      <c r="J8196" s="504">
        <v>0</v>
      </c>
      <c r="K8196" s="504">
        <v>0</v>
      </c>
      <c r="L8196" s="504">
        <v>0</v>
      </c>
      <c r="M8196" s="504">
        <v>0</v>
      </c>
      <c r="N8196" s="504">
        <v>0</v>
      </c>
      <c r="O8196" s="505">
        <v>1</v>
      </c>
    </row>
    <row r="8197" spans="1:15" x14ac:dyDescent="0.35">
      <c r="A8197" s="500" t="s">
        <v>1102</v>
      </c>
      <c r="B8197" s="501">
        <v>4663</v>
      </c>
      <c r="C8197" s="501" t="s">
        <v>1089</v>
      </c>
      <c r="D8197" s="501" t="s">
        <v>3392</v>
      </c>
      <c r="E8197" s="501" t="s">
        <v>3381</v>
      </c>
      <c r="F8197" s="501" t="s">
        <v>934</v>
      </c>
      <c r="G8197" s="501" t="s">
        <v>935</v>
      </c>
      <c r="H8197" s="501" t="s">
        <v>10013</v>
      </c>
      <c r="I8197" s="501">
        <v>1</v>
      </c>
      <c r="J8197" s="501">
        <v>0</v>
      </c>
      <c r="K8197" s="501">
        <v>0</v>
      </c>
      <c r="L8197" s="501">
        <v>1</v>
      </c>
      <c r="M8197" s="501">
        <v>0</v>
      </c>
      <c r="N8197" s="501">
        <v>0</v>
      </c>
      <c r="O8197" s="506">
        <v>0</v>
      </c>
    </row>
    <row r="8198" spans="1:15" x14ac:dyDescent="0.35">
      <c r="A8198" s="503" t="s">
        <v>14208</v>
      </c>
      <c r="B8198" s="504">
        <v>4803</v>
      </c>
      <c r="C8198" s="504" t="s">
        <v>1094</v>
      </c>
      <c r="D8198" s="504" t="s">
        <v>3380</v>
      </c>
      <c r="E8198" s="504" t="s">
        <v>3381</v>
      </c>
      <c r="F8198" s="504" t="s">
        <v>934</v>
      </c>
      <c r="G8198" s="504" t="s">
        <v>935</v>
      </c>
      <c r="H8198" s="504" t="s">
        <v>15144</v>
      </c>
      <c r="I8198" s="504">
        <v>3</v>
      </c>
      <c r="J8198" s="504">
        <v>0</v>
      </c>
      <c r="K8198" s="504">
        <v>0</v>
      </c>
      <c r="L8198" s="504">
        <v>3</v>
      </c>
      <c r="M8198" s="504">
        <v>0</v>
      </c>
      <c r="N8198" s="504">
        <v>0</v>
      </c>
      <c r="O8198" s="505">
        <v>0</v>
      </c>
    </row>
    <row r="8199" spans="1:15" x14ac:dyDescent="0.35">
      <c r="A8199" s="500" t="s">
        <v>1183</v>
      </c>
      <c r="B8199" s="501" t="s">
        <v>3038</v>
      </c>
      <c r="C8199" s="501" t="s">
        <v>1094</v>
      </c>
      <c r="D8199" s="501" t="s">
        <v>3380</v>
      </c>
      <c r="E8199" s="501" t="s">
        <v>3381</v>
      </c>
      <c r="F8199" s="501" t="s">
        <v>934</v>
      </c>
      <c r="G8199" s="501" t="s">
        <v>935</v>
      </c>
      <c r="H8199" s="501" t="s">
        <v>11718</v>
      </c>
      <c r="I8199" s="501">
        <v>1</v>
      </c>
      <c r="J8199" s="501">
        <v>0</v>
      </c>
      <c r="K8199" s="501">
        <v>0</v>
      </c>
      <c r="L8199" s="501">
        <v>0</v>
      </c>
      <c r="M8199" s="501">
        <v>0</v>
      </c>
      <c r="N8199" s="501">
        <v>0</v>
      </c>
      <c r="O8199" s="506">
        <v>1</v>
      </c>
    </row>
    <row r="8200" spans="1:15" x14ac:dyDescent="0.35">
      <c r="A8200" s="503" t="s">
        <v>1112</v>
      </c>
      <c r="B8200" s="504" t="s">
        <v>3008</v>
      </c>
      <c r="C8200" s="504" t="s">
        <v>1094</v>
      </c>
      <c r="D8200" s="504" t="s">
        <v>3380</v>
      </c>
      <c r="E8200" s="504" t="s">
        <v>3381</v>
      </c>
      <c r="F8200" s="504" t="s">
        <v>934</v>
      </c>
      <c r="G8200" s="504" t="s">
        <v>935</v>
      </c>
      <c r="H8200" s="504" t="s">
        <v>10014</v>
      </c>
      <c r="I8200" s="504">
        <v>9</v>
      </c>
      <c r="J8200" s="504">
        <v>9</v>
      </c>
      <c r="K8200" s="504">
        <v>0</v>
      </c>
      <c r="L8200" s="504">
        <v>0</v>
      </c>
      <c r="M8200" s="504">
        <v>0</v>
      </c>
      <c r="N8200" s="504">
        <v>0</v>
      </c>
      <c r="O8200" s="505">
        <v>0</v>
      </c>
    </row>
    <row r="8201" spans="1:15" x14ac:dyDescent="0.35">
      <c r="A8201" s="500" t="s">
        <v>1207</v>
      </c>
      <c r="B8201" s="501" t="s">
        <v>3202</v>
      </c>
      <c r="C8201" s="501" t="s">
        <v>1094</v>
      </c>
      <c r="D8201" s="501" t="s">
        <v>3380</v>
      </c>
      <c r="E8201" s="501" t="s">
        <v>3381</v>
      </c>
      <c r="F8201" s="501" t="s">
        <v>934</v>
      </c>
      <c r="G8201" s="501" t="s">
        <v>935</v>
      </c>
      <c r="H8201" s="501" t="s">
        <v>10015</v>
      </c>
      <c r="I8201" s="501">
        <v>633</v>
      </c>
      <c r="J8201" s="501">
        <v>541</v>
      </c>
      <c r="K8201" s="501">
        <v>0</v>
      </c>
      <c r="L8201" s="501">
        <v>0</v>
      </c>
      <c r="M8201" s="501">
        <v>65</v>
      </c>
      <c r="N8201" s="501">
        <v>0</v>
      </c>
      <c r="O8201" s="506">
        <v>27</v>
      </c>
    </row>
    <row r="8202" spans="1:15" x14ac:dyDescent="0.35">
      <c r="A8202" s="503" t="s">
        <v>1218</v>
      </c>
      <c r="B8202" s="504" t="s">
        <v>3147</v>
      </c>
      <c r="C8202" s="504" t="s">
        <v>1094</v>
      </c>
      <c r="D8202" s="504" t="s">
        <v>3380</v>
      </c>
      <c r="E8202" s="504" t="s">
        <v>3381</v>
      </c>
      <c r="F8202" s="504" t="s">
        <v>934</v>
      </c>
      <c r="G8202" s="504" t="s">
        <v>935</v>
      </c>
      <c r="H8202" s="504" t="s">
        <v>10016</v>
      </c>
      <c r="I8202" s="504">
        <v>34</v>
      </c>
      <c r="J8202" s="504">
        <v>0</v>
      </c>
      <c r="K8202" s="504">
        <v>0</v>
      </c>
      <c r="L8202" s="504">
        <v>0</v>
      </c>
      <c r="M8202" s="504">
        <v>0</v>
      </c>
      <c r="N8202" s="504">
        <v>0</v>
      </c>
      <c r="O8202" s="505">
        <v>34</v>
      </c>
    </row>
    <row r="8203" spans="1:15" x14ac:dyDescent="0.35">
      <c r="A8203" s="500" t="s">
        <v>11367</v>
      </c>
      <c r="B8203" s="501" t="s">
        <v>3143</v>
      </c>
      <c r="C8203" s="501" t="s">
        <v>1094</v>
      </c>
      <c r="D8203" s="501" t="s">
        <v>3380</v>
      </c>
      <c r="E8203" s="501" t="s">
        <v>3381</v>
      </c>
      <c r="F8203" s="501" t="s">
        <v>934</v>
      </c>
      <c r="G8203" s="501" t="s">
        <v>935</v>
      </c>
      <c r="H8203" s="501" t="s">
        <v>11957</v>
      </c>
      <c r="I8203" s="501">
        <v>55</v>
      </c>
      <c r="J8203" s="501">
        <v>55</v>
      </c>
      <c r="K8203" s="501">
        <v>0</v>
      </c>
      <c r="L8203" s="501">
        <v>0</v>
      </c>
      <c r="M8203" s="501">
        <v>0</v>
      </c>
      <c r="N8203" s="501">
        <v>0</v>
      </c>
      <c r="O8203" s="506">
        <v>0</v>
      </c>
    </row>
    <row r="8204" spans="1:15" x14ac:dyDescent="0.35">
      <c r="A8204" s="503" t="s">
        <v>1226</v>
      </c>
      <c r="B8204" s="504">
        <v>5084</v>
      </c>
      <c r="C8204" s="504" t="s">
        <v>1094</v>
      </c>
      <c r="D8204" s="504" t="s">
        <v>3380</v>
      </c>
      <c r="E8204" s="504" t="s">
        <v>3381</v>
      </c>
      <c r="F8204" s="504" t="s">
        <v>934</v>
      </c>
      <c r="G8204" s="504" t="s">
        <v>935</v>
      </c>
      <c r="H8204" s="504" t="s">
        <v>10017</v>
      </c>
      <c r="I8204" s="504">
        <v>284</v>
      </c>
      <c r="J8204" s="504">
        <v>185</v>
      </c>
      <c r="K8204" s="504">
        <v>0</v>
      </c>
      <c r="L8204" s="504">
        <v>69</v>
      </c>
      <c r="M8204" s="504">
        <v>0</v>
      </c>
      <c r="N8204" s="504">
        <v>0</v>
      </c>
      <c r="O8204" s="505">
        <v>30</v>
      </c>
    </row>
    <row r="8205" spans="1:15" x14ac:dyDescent="0.35">
      <c r="A8205" s="500" t="s">
        <v>1233</v>
      </c>
      <c r="B8205" s="501">
        <v>4636</v>
      </c>
      <c r="C8205" s="501" t="s">
        <v>1094</v>
      </c>
      <c r="D8205" s="501" t="s">
        <v>3380</v>
      </c>
      <c r="E8205" s="501" t="s">
        <v>3381</v>
      </c>
      <c r="F8205" s="501" t="s">
        <v>934</v>
      </c>
      <c r="G8205" s="501" t="s">
        <v>935</v>
      </c>
      <c r="H8205" s="501" t="s">
        <v>10018</v>
      </c>
      <c r="I8205" s="501">
        <v>12</v>
      </c>
      <c r="J8205" s="501">
        <v>0</v>
      </c>
      <c r="K8205" s="501">
        <v>0</v>
      </c>
      <c r="L8205" s="501">
        <v>0</v>
      </c>
      <c r="M8205" s="501">
        <v>0</v>
      </c>
      <c r="N8205" s="501">
        <v>0</v>
      </c>
      <c r="O8205" s="506">
        <v>12</v>
      </c>
    </row>
    <row r="8206" spans="1:15" x14ac:dyDescent="0.35">
      <c r="A8206" s="503" t="s">
        <v>11368</v>
      </c>
      <c r="B8206" s="504">
        <v>5083</v>
      </c>
      <c r="C8206" s="504" t="s">
        <v>1094</v>
      </c>
      <c r="D8206" s="504" t="s">
        <v>3380</v>
      </c>
      <c r="E8206" s="504" t="s">
        <v>3381</v>
      </c>
      <c r="F8206" s="504" t="s">
        <v>934</v>
      </c>
      <c r="G8206" s="504" t="s">
        <v>935</v>
      </c>
      <c r="H8206" s="504" t="s">
        <v>12084</v>
      </c>
      <c r="I8206" s="504">
        <v>48</v>
      </c>
      <c r="J8206" s="504">
        <v>48</v>
      </c>
      <c r="K8206" s="504">
        <v>0</v>
      </c>
      <c r="L8206" s="504">
        <v>0</v>
      </c>
      <c r="M8206" s="504">
        <v>0</v>
      </c>
      <c r="N8206" s="504">
        <v>0</v>
      </c>
      <c r="O8206" s="505">
        <v>0</v>
      </c>
    </row>
    <row r="8207" spans="1:15" x14ac:dyDescent="0.35">
      <c r="A8207" s="500" t="s">
        <v>2113</v>
      </c>
      <c r="B8207" s="501">
        <v>4659</v>
      </c>
      <c r="C8207" s="501" t="s">
        <v>1089</v>
      </c>
      <c r="D8207" s="501" t="s">
        <v>3392</v>
      </c>
      <c r="E8207" s="501" t="s">
        <v>3381</v>
      </c>
      <c r="F8207" s="501" t="s">
        <v>934</v>
      </c>
      <c r="G8207" s="501" t="s">
        <v>935</v>
      </c>
      <c r="H8207" s="501" t="s">
        <v>10019</v>
      </c>
      <c r="I8207" s="501">
        <v>49</v>
      </c>
      <c r="J8207" s="501">
        <v>0</v>
      </c>
      <c r="K8207" s="501">
        <v>0</v>
      </c>
      <c r="L8207" s="501">
        <v>49</v>
      </c>
      <c r="M8207" s="501">
        <v>0</v>
      </c>
      <c r="N8207" s="501">
        <v>0</v>
      </c>
      <c r="O8207" s="506">
        <v>0</v>
      </c>
    </row>
    <row r="8208" spans="1:15" x14ac:dyDescent="0.35">
      <c r="A8208" s="503" t="s">
        <v>1253</v>
      </c>
      <c r="B8208" s="504" t="s">
        <v>3232</v>
      </c>
      <c r="C8208" s="504" t="s">
        <v>1094</v>
      </c>
      <c r="D8208" s="504" t="s">
        <v>3380</v>
      </c>
      <c r="E8208" s="504" t="s">
        <v>3381</v>
      </c>
      <c r="F8208" s="504" t="s">
        <v>934</v>
      </c>
      <c r="G8208" s="504" t="s">
        <v>935</v>
      </c>
      <c r="H8208" s="504" t="s">
        <v>10020</v>
      </c>
      <c r="I8208" s="504">
        <v>1</v>
      </c>
      <c r="J8208" s="504">
        <v>1</v>
      </c>
      <c r="K8208" s="504">
        <v>0</v>
      </c>
      <c r="L8208" s="504">
        <v>0</v>
      </c>
      <c r="M8208" s="504">
        <v>0</v>
      </c>
      <c r="N8208" s="504">
        <v>0</v>
      </c>
      <c r="O8208" s="505">
        <v>0</v>
      </c>
    </row>
    <row r="8209" spans="1:15" x14ac:dyDescent="0.35">
      <c r="A8209" s="500" t="s">
        <v>1259</v>
      </c>
      <c r="B8209" s="501" t="s">
        <v>3025</v>
      </c>
      <c r="C8209" s="501" t="s">
        <v>1094</v>
      </c>
      <c r="D8209" s="501" t="s">
        <v>3380</v>
      </c>
      <c r="E8209" s="501" t="s">
        <v>3381</v>
      </c>
      <c r="F8209" s="501" t="s">
        <v>934</v>
      </c>
      <c r="G8209" s="501" t="s">
        <v>935</v>
      </c>
      <c r="H8209" s="501" t="s">
        <v>10021</v>
      </c>
      <c r="I8209" s="501">
        <v>3</v>
      </c>
      <c r="J8209" s="501">
        <v>3</v>
      </c>
      <c r="K8209" s="501">
        <v>0</v>
      </c>
      <c r="L8209" s="501">
        <v>0</v>
      </c>
      <c r="M8209" s="501">
        <v>0</v>
      </c>
      <c r="N8209" s="501">
        <v>0</v>
      </c>
      <c r="O8209" s="506">
        <v>0</v>
      </c>
    </row>
    <row r="8210" spans="1:15" x14ac:dyDescent="0.35">
      <c r="A8210" s="503" t="s">
        <v>2127</v>
      </c>
      <c r="B8210" s="504" t="s">
        <v>3188</v>
      </c>
      <c r="C8210" s="504" t="s">
        <v>1094</v>
      </c>
      <c r="D8210" s="504" t="s">
        <v>3380</v>
      </c>
      <c r="E8210" s="504" t="s">
        <v>3381</v>
      </c>
      <c r="F8210" s="504" t="s">
        <v>934</v>
      </c>
      <c r="G8210" s="504" t="s">
        <v>935</v>
      </c>
      <c r="H8210" s="504" t="s">
        <v>10022</v>
      </c>
      <c r="I8210" s="504">
        <v>137</v>
      </c>
      <c r="J8210" s="504">
        <v>86</v>
      </c>
      <c r="K8210" s="504">
        <v>0</v>
      </c>
      <c r="L8210" s="504">
        <v>0</v>
      </c>
      <c r="M8210" s="504">
        <v>0</v>
      </c>
      <c r="N8210" s="504">
        <v>0</v>
      </c>
      <c r="O8210" s="505">
        <v>51</v>
      </c>
    </row>
    <row r="8211" spans="1:15" x14ac:dyDescent="0.35">
      <c r="A8211" s="500" t="s">
        <v>1385</v>
      </c>
      <c r="B8211" s="501" t="s">
        <v>3249</v>
      </c>
      <c r="C8211" s="501" t="s">
        <v>1094</v>
      </c>
      <c r="D8211" s="501" t="s">
        <v>3380</v>
      </c>
      <c r="E8211" s="501" t="s">
        <v>3381</v>
      </c>
      <c r="F8211" s="501" t="s">
        <v>936</v>
      </c>
      <c r="G8211" s="501" t="s">
        <v>937</v>
      </c>
      <c r="H8211" s="501" t="s">
        <v>10023</v>
      </c>
      <c r="I8211" s="501">
        <v>74</v>
      </c>
      <c r="J8211" s="501">
        <v>28</v>
      </c>
      <c r="K8211" s="501">
        <v>0</v>
      </c>
      <c r="L8211" s="501">
        <v>0</v>
      </c>
      <c r="M8211" s="501">
        <v>0</v>
      </c>
      <c r="N8211" s="501">
        <v>0</v>
      </c>
      <c r="O8211" s="506">
        <v>46</v>
      </c>
    </row>
    <row r="8212" spans="1:15" x14ac:dyDescent="0.35">
      <c r="A8212" s="503" t="s">
        <v>1386</v>
      </c>
      <c r="B8212" s="504" t="s">
        <v>3331</v>
      </c>
      <c r="C8212" s="504" t="s">
        <v>1094</v>
      </c>
      <c r="D8212" s="504" t="s">
        <v>3380</v>
      </c>
      <c r="E8212" s="504" t="s">
        <v>3381</v>
      </c>
      <c r="F8212" s="504" t="s">
        <v>936</v>
      </c>
      <c r="G8212" s="504" t="s">
        <v>937</v>
      </c>
      <c r="H8212" s="504" t="s">
        <v>10024</v>
      </c>
      <c r="I8212" s="504">
        <v>14</v>
      </c>
      <c r="J8212" s="504">
        <v>13</v>
      </c>
      <c r="K8212" s="504">
        <v>0</v>
      </c>
      <c r="L8212" s="504">
        <v>0</v>
      </c>
      <c r="M8212" s="504">
        <v>0</v>
      </c>
      <c r="N8212" s="504">
        <v>0</v>
      </c>
      <c r="O8212" s="505">
        <v>1</v>
      </c>
    </row>
    <row r="8213" spans="1:15" x14ac:dyDescent="0.35">
      <c r="A8213" s="500" t="s">
        <v>1093</v>
      </c>
      <c r="B8213" s="501" t="s">
        <v>3248</v>
      </c>
      <c r="C8213" s="501" t="s">
        <v>1094</v>
      </c>
      <c r="D8213" s="501" t="s">
        <v>3380</v>
      </c>
      <c r="E8213" s="501" t="s">
        <v>3381</v>
      </c>
      <c r="F8213" s="501" t="s">
        <v>936</v>
      </c>
      <c r="G8213" s="501" t="s">
        <v>937</v>
      </c>
      <c r="H8213" s="501" t="s">
        <v>11490</v>
      </c>
      <c r="I8213" s="501">
        <v>1</v>
      </c>
      <c r="J8213" s="501">
        <v>0</v>
      </c>
      <c r="K8213" s="501">
        <v>0</v>
      </c>
      <c r="L8213" s="501">
        <v>0</v>
      </c>
      <c r="M8213" s="501">
        <v>0</v>
      </c>
      <c r="N8213" s="501">
        <v>0</v>
      </c>
      <c r="O8213" s="506">
        <v>1</v>
      </c>
    </row>
    <row r="8214" spans="1:15" x14ac:dyDescent="0.35">
      <c r="A8214" s="503" t="s">
        <v>1100</v>
      </c>
      <c r="B8214" s="504">
        <v>4865</v>
      </c>
      <c r="C8214" s="504" t="s">
        <v>1094</v>
      </c>
      <c r="D8214" s="504" t="s">
        <v>3380</v>
      </c>
      <c r="E8214" s="504" t="s">
        <v>3381</v>
      </c>
      <c r="F8214" s="504" t="s">
        <v>936</v>
      </c>
      <c r="G8214" s="504" t="s">
        <v>937</v>
      </c>
      <c r="H8214" s="504" t="s">
        <v>10025</v>
      </c>
      <c r="I8214" s="504">
        <v>378</v>
      </c>
      <c r="J8214" s="504">
        <v>224</v>
      </c>
      <c r="K8214" s="504">
        <v>0</v>
      </c>
      <c r="L8214" s="504">
        <v>0</v>
      </c>
      <c r="M8214" s="504">
        <v>0</v>
      </c>
      <c r="N8214" s="504">
        <v>0</v>
      </c>
      <c r="O8214" s="505">
        <v>154</v>
      </c>
    </row>
    <row r="8215" spans="1:15" x14ac:dyDescent="0.35">
      <c r="A8215" s="500" t="s">
        <v>1175</v>
      </c>
      <c r="B8215" s="501" t="s">
        <v>3141</v>
      </c>
      <c r="C8215" s="501" t="s">
        <v>1094</v>
      </c>
      <c r="D8215" s="501" t="s">
        <v>3380</v>
      </c>
      <c r="E8215" s="501" t="s">
        <v>3381</v>
      </c>
      <c r="F8215" s="501" t="s">
        <v>936</v>
      </c>
      <c r="G8215" s="501" t="s">
        <v>937</v>
      </c>
      <c r="H8215" s="501" t="s">
        <v>10026</v>
      </c>
      <c r="I8215" s="501">
        <v>38</v>
      </c>
      <c r="J8215" s="501">
        <v>29</v>
      </c>
      <c r="K8215" s="501">
        <v>0</v>
      </c>
      <c r="L8215" s="501">
        <v>0</v>
      </c>
      <c r="M8215" s="501">
        <v>0</v>
      </c>
      <c r="N8215" s="501">
        <v>0</v>
      </c>
      <c r="O8215" s="506">
        <v>9</v>
      </c>
    </row>
    <row r="8216" spans="1:15" x14ac:dyDescent="0.35">
      <c r="A8216" s="503" t="s">
        <v>14208</v>
      </c>
      <c r="B8216" s="504">
        <v>4803</v>
      </c>
      <c r="C8216" s="504" t="s">
        <v>1094</v>
      </c>
      <c r="D8216" s="504" t="s">
        <v>3380</v>
      </c>
      <c r="E8216" s="504" t="s">
        <v>3381</v>
      </c>
      <c r="F8216" s="504" t="s">
        <v>936</v>
      </c>
      <c r="G8216" s="504" t="s">
        <v>937</v>
      </c>
      <c r="H8216" s="504" t="s">
        <v>15145</v>
      </c>
      <c r="I8216" s="504">
        <v>8</v>
      </c>
      <c r="J8216" s="504">
        <v>0</v>
      </c>
      <c r="K8216" s="504">
        <v>0</v>
      </c>
      <c r="L8216" s="504">
        <v>8</v>
      </c>
      <c r="M8216" s="504">
        <v>0</v>
      </c>
      <c r="N8216" s="504">
        <v>0</v>
      </c>
      <c r="O8216" s="505">
        <v>0</v>
      </c>
    </row>
    <row r="8217" spans="1:15" x14ac:dyDescent="0.35">
      <c r="A8217" s="500" t="s">
        <v>1839</v>
      </c>
      <c r="B8217" s="501" t="s">
        <v>3050</v>
      </c>
      <c r="C8217" s="501" t="s">
        <v>1089</v>
      </c>
      <c r="D8217" s="501" t="s">
        <v>3392</v>
      </c>
      <c r="E8217" s="501" t="s">
        <v>3381</v>
      </c>
      <c r="F8217" s="501" t="s">
        <v>936</v>
      </c>
      <c r="G8217" s="501" t="s">
        <v>937</v>
      </c>
      <c r="H8217" s="501" t="s">
        <v>10027</v>
      </c>
      <c r="I8217" s="501">
        <v>24</v>
      </c>
      <c r="J8217" s="501">
        <v>24</v>
      </c>
      <c r="K8217" s="501">
        <v>0</v>
      </c>
      <c r="L8217" s="501">
        <v>0</v>
      </c>
      <c r="M8217" s="501">
        <v>0</v>
      </c>
      <c r="N8217" s="501">
        <v>0</v>
      </c>
      <c r="O8217" s="506">
        <v>0</v>
      </c>
    </row>
    <row r="8218" spans="1:15" x14ac:dyDescent="0.35">
      <c r="A8218" s="503" t="s">
        <v>1185</v>
      </c>
      <c r="B8218" s="504" t="s">
        <v>3253</v>
      </c>
      <c r="C8218" s="504" t="s">
        <v>1094</v>
      </c>
      <c r="D8218" s="504" t="s">
        <v>3380</v>
      </c>
      <c r="E8218" s="504" t="s">
        <v>3381</v>
      </c>
      <c r="F8218" s="504" t="s">
        <v>936</v>
      </c>
      <c r="G8218" s="504" t="s">
        <v>937</v>
      </c>
      <c r="H8218" s="504" t="s">
        <v>10028</v>
      </c>
      <c r="I8218" s="504">
        <v>28</v>
      </c>
      <c r="J8218" s="504">
        <v>2</v>
      </c>
      <c r="K8218" s="504">
        <v>0</v>
      </c>
      <c r="L8218" s="504">
        <v>7</v>
      </c>
      <c r="M8218" s="504">
        <v>19</v>
      </c>
      <c r="N8218" s="504">
        <v>0</v>
      </c>
      <c r="O8218" s="505">
        <v>0</v>
      </c>
    </row>
    <row r="8219" spans="1:15" x14ac:dyDescent="0.35">
      <c r="A8219" s="500" t="s">
        <v>1186</v>
      </c>
      <c r="B8219" s="501">
        <v>4661</v>
      </c>
      <c r="C8219" s="501" t="s">
        <v>1089</v>
      </c>
      <c r="D8219" s="501" t="s">
        <v>3392</v>
      </c>
      <c r="E8219" s="501" t="s">
        <v>3381</v>
      </c>
      <c r="F8219" s="501" t="s">
        <v>936</v>
      </c>
      <c r="G8219" s="501" t="s">
        <v>937</v>
      </c>
      <c r="H8219" s="501" t="s">
        <v>10029</v>
      </c>
      <c r="I8219" s="501">
        <v>10</v>
      </c>
      <c r="J8219" s="501">
        <v>0</v>
      </c>
      <c r="K8219" s="501">
        <v>0</v>
      </c>
      <c r="L8219" s="501">
        <v>10</v>
      </c>
      <c r="M8219" s="501">
        <v>0</v>
      </c>
      <c r="N8219" s="501">
        <v>0</v>
      </c>
      <c r="O8219" s="506">
        <v>0</v>
      </c>
    </row>
    <row r="8220" spans="1:15" x14ac:dyDescent="0.35">
      <c r="A8220" s="503" t="s">
        <v>1306</v>
      </c>
      <c r="B8220" s="504" t="s">
        <v>3005</v>
      </c>
      <c r="C8220" s="504" t="s">
        <v>1094</v>
      </c>
      <c r="D8220" s="504" t="s">
        <v>3380</v>
      </c>
      <c r="E8220" s="504" t="s">
        <v>3381</v>
      </c>
      <c r="F8220" s="504" t="s">
        <v>936</v>
      </c>
      <c r="G8220" s="504" t="s">
        <v>937</v>
      </c>
      <c r="H8220" s="504" t="s">
        <v>11761</v>
      </c>
      <c r="I8220" s="504">
        <v>12</v>
      </c>
      <c r="J8220" s="504">
        <v>12</v>
      </c>
      <c r="K8220" s="504">
        <v>0</v>
      </c>
      <c r="L8220" s="504">
        <v>0</v>
      </c>
      <c r="M8220" s="504">
        <v>0</v>
      </c>
      <c r="N8220" s="504">
        <v>0</v>
      </c>
      <c r="O8220" s="505">
        <v>0</v>
      </c>
    </row>
    <row r="8221" spans="1:15" x14ac:dyDescent="0.35">
      <c r="A8221" s="500" t="s">
        <v>1189</v>
      </c>
      <c r="B8221" s="501" t="s">
        <v>3236</v>
      </c>
      <c r="C8221" s="501" t="s">
        <v>1094</v>
      </c>
      <c r="D8221" s="501" t="s">
        <v>3380</v>
      </c>
      <c r="E8221" s="501" t="s">
        <v>3381</v>
      </c>
      <c r="F8221" s="501" t="s">
        <v>936</v>
      </c>
      <c r="G8221" s="501" t="s">
        <v>937</v>
      </c>
      <c r="H8221" s="501" t="s">
        <v>10030</v>
      </c>
      <c r="I8221" s="501">
        <v>25</v>
      </c>
      <c r="J8221" s="501">
        <v>0</v>
      </c>
      <c r="K8221" s="501">
        <v>0</v>
      </c>
      <c r="L8221" s="501">
        <v>25</v>
      </c>
      <c r="M8221" s="501">
        <v>0</v>
      </c>
      <c r="N8221" s="501">
        <v>0</v>
      </c>
      <c r="O8221" s="506">
        <v>0</v>
      </c>
    </row>
    <row r="8222" spans="1:15" x14ac:dyDescent="0.35">
      <c r="A8222" s="503" t="s">
        <v>1202</v>
      </c>
      <c r="B8222" s="504" t="s">
        <v>3217</v>
      </c>
      <c r="C8222" s="504" t="s">
        <v>1094</v>
      </c>
      <c r="D8222" s="504" t="s">
        <v>3380</v>
      </c>
      <c r="E8222" s="504" t="s">
        <v>3381</v>
      </c>
      <c r="F8222" s="504" t="s">
        <v>936</v>
      </c>
      <c r="G8222" s="504" t="s">
        <v>937</v>
      </c>
      <c r="H8222" s="504" t="s">
        <v>10031</v>
      </c>
      <c r="I8222" s="504">
        <v>242</v>
      </c>
      <c r="J8222" s="504">
        <v>208</v>
      </c>
      <c r="K8222" s="504">
        <v>0</v>
      </c>
      <c r="L8222" s="504">
        <v>0</v>
      </c>
      <c r="M8222" s="504">
        <v>0</v>
      </c>
      <c r="N8222" s="504">
        <v>0</v>
      </c>
      <c r="O8222" s="505">
        <v>34</v>
      </c>
    </row>
    <row r="8223" spans="1:15" x14ac:dyDescent="0.35">
      <c r="A8223" s="500" t="s">
        <v>1112</v>
      </c>
      <c r="B8223" s="501" t="s">
        <v>3008</v>
      </c>
      <c r="C8223" s="501" t="s">
        <v>1094</v>
      </c>
      <c r="D8223" s="501" t="s">
        <v>3380</v>
      </c>
      <c r="E8223" s="501" t="s">
        <v>3381</v>
      </c>
      <c r="F8223" s="501" t="s">
        <v>936</v>
      </c>
      <c r="G8223" s="501" t="s">
        <v>937</v>
      </c>
      <c r="H8223" s="501" t="s">
        <v>10032</v>
      </c>
      <c r="I8223" s="501">
        <v>6</v>
      </c>
      <c r="J8223" s="501">
        <v>1</v>
      </c>
      <c r="K8223" s="501">
        <v>0</v>
      </c>
      <c r="L8223" s="501">
        <v>0</v>
      </c>
      <c r="M8223" s="501">
        <v>0</v>
      </c>
      <c r="N8223" s="501">
        <v>0</v>
      </c>
      <c r="O8223" s="506">
        <v>5</v>
      </c>
    </row>
    <row r="8224" spans="1:15" x14ac:dyDescent="0.35">
      <c r="A8224" s="503" t="s">
        <v>1501</v>
      </c>
      <c r="B8224" s="504" t="s">
        <v>2956</v>
      </c>
      <c r="C8224" s="504" t="s">
        <v>1094</v>
      </c>
      <c r="D8224" s="504" t="s">
        <v>3380</v>
      </c>
      <c r="E8224" s="504" t="s">
        <v>3381</v>
      </c>
      <c r="F8224" s="504" t="s">
        <v>936</v>
      </c>
      <c r="G8224" s="504" t="s">
        <v>937</v>
      </c>
      <c r="H8224" s="504" t="s">
        <v>10033</v>
      </c>
      <c r="I8224" s="504">
        <v>6</v>
      </c>
      <c r="J8224" s="504">
        <v>4</v>
      </c>
      <c r="K8224" s="504">
        <v>0</v>
      </c>
      <c r="L8224" s="504">
        <v>0</v>
      </c>
      <c r="M8224" s="504">
        <v>0</v>
      </c>
      <c r="N8224" s="504">
        <v>0</v>
      </c>
      <c r="O8224" s="505">
        <v>2</v>
      </c>
    </row>
    <row r="8225" spans="1:15" x14ac:dyDescent="0.35">
      <c r="A8225" s="500" t="s">
        <v>1322</v>
      </c>
      <c r="B8225" s="501" t="s">
        <v>3244</v>
      </c>
      <c r="C8225" s="501" t="s">
        <v>1094</v>
      </c>
      <c r="D8225" s="501" t="s">
        <v>3380</v>
      </c>
      <c r="E8225" s="501" t="s">
        <v>3381</v>
      </c>
      <c r="F8225" s="501" t="s">
        <v>936</v>
      </c>
      <c r="G8225" s="501" t="s">
        <v>937</v>
      </c>
      <c r="H8225" s="501" t="s">
        <v>10034</v>
      </c>
      <c r="I8225" s="501">
        <v>1</v>
      </c>
      <c r="J8225" s="501">
        <v>1</v>
      </c>
      <c r="K8225" s="501">
        <v>0</v>
      </c>
      <c r="L8225" s="501">
        <v>0</v>
      </c>
      <c r="M8225" s="501">
        <v>0</v>
      </c>
      <c r="N8225" s="501">
        <v>0</v>
      </c>
      <c r="O8225" s="506">
        <v>0</v>
      </c>
    </row>
    <row r="8226" spans="1:15" x14ac:dyDescent="0.35">
      <c r="A8226" s="503" t="s">
        <v>1217</v>
      </c>
      <c r="B8226" s="504">
        <v>4851</v>
      </c>
      <c r="C8226" s="504" t="s">
        <v>1094</v>
      </c>
      <c r="D8226" s="504" t="s">
        <v>3380</v>
      </c>
      <c r="E8226" s="504" t="s">
        <v>3381</v>
      </c>
      <c r="F8226" s="504" t="s">
        <v>936</v>
      </c>
      <c r="G8226" s="504" t="s">
        <v>937</v>
      </c>
      <c r="H8226" s="504" t="s">
        <v>10035</v>
      </c>
      <c r="I8226" s="504">
        <v>192</v>
      </c>
      <c r="J8226" s="504">
        <v>159</v>
      </c>
      <c r="K8226" s="504">
        <v>0</v>
      </c>
      <c r="L8226" s="504">
        <v>5</v>
      </c>
      <c r="M8226" s="504">
        <v>8</v>
      </c>
      <c r="N8226" s="504">
        <v>1</v>
      </c>
      <c r="O8226" s="505">
        <v>20</v>
      </c>
    </row>
    <row r="8227" spans="1:15" x14ac:dyDescent="0.35">
      <c r="A8227" s="500" t="s">
        <v>1534</v>
      </c>
      <c r="B8227" s="501" t="s">
        <v>3092</v>
      </c>
      <c r="C8227" s="501" t="s">
        <v>1089</v>
      </c>
      <c r="D8227" s="501" t="s">
        <v>3392</v>
      </c>
      <c r="E8227" s="501" t="s">
        <v>3381</v>
      </c>
      <c r="F8227" s="501" t="s">
        <v>936</v>
      </c>
      <c r="G8227" s="501" t="s">
        <v>937</v>
      </c>
      <c r="H8227" s="501" t="s">
        <v>10036</v>
      </c>
      <c r="I8227" s="501">
        <v>11</v>
      </c>
      <c r="J8227" s="501">
        <v>11</v>
      </c>
      <c r="K8227" s="501">
        <v>0</v>
      </c>
      <c r="L8227" s="501">
        <v>0</v>
      </c>
      <c r="M8227" s="501">
        <v>0</v>
      </c>
      <c r="N8227" s="501">
        <v>0</v>
      </c>
      <c r="O8227" s="506">
        <v>0</v>
      </c>
    </row>
    <row r="8228" spans="1:15" x14ac:dyDescent="0.35">
      <c r="A8228" s="503" t="s">
        <v>1536</v>
      </c>
      <c r="B8228" s="504" t="s">
        <v>3178</v>
      </c>
      <c r="C8228" s="504" t="s">
        <v>1094</v>
      </c>
      <c r="D8228" s="504" t="s">
        <v>3380</v>
      </c>
      <c r="E8228" s="504" t="s">
        <v>3381</v>
      </c>
      <c r="F8228" s="504" t="s">
        <v>936</v>
      </c>
      <c r="G8228" s="504" t="s">
        <v>937</v>
      </c>
      <c r="H8228" s="504" t="s">
        <v>10037</v>
      </c>
      <c r="I8228" s="504">
        <v>96</v>
      </c>
      <c r="J8228" s="504">
        <v>94</v>
      </c>
      <c r="K8228" s="504">
        <v>0</v>
      </c>
      <c r="L8228" s="504">
        <v>0</v>
      </c>
      <c r="M8228" s="504">
        <v>0</v>
      </c>
      <c r="N8228" s="504">
        <v>0</v>
      </c>
      <c r="O8228" s="505">
        <v>2</v>
      </c>
    </row>
    <row r="8229" spans="1:15" x14ac:dyDescent="0.35">
      <c r="A8229" s="500" t="s">
        <v>1124</v>
      </c>
      <c r="B8229" s="501">
        <v>4745</v>
      </c>
      <c r="C8229" s="501" t="s">
        <v>1094</v>
      </c>
      <c r="D8229" s="501" t="s">
        <v>3380</v>
      </c>
      <c r="E8229" s="501" t="s">
        <v>3381</v>
      </c>
      <c r="F8229" s="501" t="s">
        <v>936</v>
      </c>
      <c r="G8229" s="501" t="s">
        <v>937</v>
      </c>
      <c r="H8229" s="501" t="s">
        <v>10038</v>
      </c>
      <c r="I8229" s="501">
        <v>20</v>
      </c>
      <c r="J8229" s="501">
        <v>0</v>
      </c>
      <c r="K8229" s="501">
        <v>0</v>
      </c>
      <c r="L8229" s="501">
        <v>20</v>
      </c>
      <c r="M8229" s="501">
        <v>0</v>
      </c>
      <c r="N8229" s="501">
        <v>0</v>
      </c>
      <c r="O8229" s="506">
        <v>0</v>
      </c>
    </row>
    <row r="8230" spans="1:15" x14ac:dyDescent="0.35">
      <c r="A8230" s="503" t="s">
        <v>1887</v>
      </c>
      <c r="B8230" s="504" t="s">
        <v>3320</v>
      </c>
      <c r="C8230" s="504" t="s">
        <v>1094</v>
      </c>
      <c r="D8230" s="504" t="s">
        <v>3380</v>
      </c>
      <c r="E8230" s="504" t="s">
        <v>3381</v>
      </c>
      <c r="F8230" s="504" t="s">
        <v>936</v>
      </c>
      <c r="G8230" s="504" t="s">
        <v>937</v>
      </c>
      <c r="H8230" s="504" t="s">
        <v>10039</v>
      </c>
      <c r="I8230" s="504">
        <v>58</v>
      </c>
      <c r="J8230" s="504">
        <v>33</v>
      </c>
      <c r="K8230" s="504">
        <v>0</v>
      </c>
      <c r="L8230" s="504">
        <v>0</v>
      </c>
      <c r="M8230" s="504">
        <v>0</v>
      </c>
      <c r="N8230" s="504">
        <v>0</v>
      </c>
      <c r="O8230" s="505">
        <v>25</v>
      </c>
    </row>
    <row r="8231" spans="1:15" x14ac:dyDescent="0.35">
      <c r="A8231" s="500" t="s">
        <v>1540</v>
      </c>
      <c r="B8231" s="501" t="s">
        <v>3271</v>
      </c>
      <c r="C8231" s="501" t="s">
        <v>1089</v>
      </c>
      <c r="D8231" s="501" t="s">
        <v>3392</v>
      </c>
      <c r="E8231" s="501" t="s">
        <v>3381</v>
      </c>
      <c r="F8231" s="501" t="s">
        <v>936</v>
      </c>
      <c r="G8231" s="501" t="s">
        <v>937</v>
      </c>
      <c r="H8231" s="501" t="s">
        <v>15146</v>
      </c>
      <c r="I8231" s="501">
        <v>7</v>
      </c>
      <c r="J8231" s="501">
        <v>7</v>
      </c>
      <c r="K8231" s="501">
        <v>0</v>
      </c>
      <c r="L8231" s="501">
        <v>0</v>
      </c>
      <c r="M8231" s="501">
        <v>0</v>
      </c>
      <c r="N8231" s="501">
        <v>0</v>
      </c>
      <c r="O8231" s="506">
        <v>0</v>
      </c>
    </row>
    <row r="8232" spans="1:15" x14ac:dyDescent="0.35">
      <c r="A8232" s="503" t="s">
        <v>1342</v>
      </c>
      <c r="B8232" s="504" t="s">
        <v>3237</v>
      </c>
      <c r="C8232" s="504" t="s">
        <v>1094</v>
      </c>
      <c r="D8232" s="504" t="s">
        <v>3380</v>
      </c>
      <c r="E8232" s="504" t="s">
        <v>3381</v>
      </c>
      <c r="F8232" s="504" t="s">
        <v>936</v>
      </c>
      <c r="G8232" s="504" t="s">
        <v>937</v>
      </c>
      <c r="H8232" s="504" t="s">
        <v>10040</v>
      </c>
      <c r="I8232" s="504">
        <v>1</v>
      </c>
      <c r="J8232" s="504">
        <v>0</v>
      </c>
      <c r="K8232" s="504">
        <v>0</v>
      </c>
      <c r="L8232" s="504">
        <v>0</v>
      </c>
      <c r="M8232" s="504">
        <v>0</v>
      </c>
      <c r="N8232" s="504">
        <v>0</v>
      </c>
      <c r="O8232" s="505">
        <v>1</v>
      </c>
    </row>
    <row r="8233" spans="1:15" x14ac:dyDescent="0.35">
      <c r="A8233" s="500" t="s">
        <v>1130</v>
      </c>
      <c r="B8233" s="501" t="s">
        <v>3234</v>
      </c>
      <c r="C8233" s="501" t="s">
        <v>1094</v>
      </c>
      <c r="D8233" s="501" t="s">
        <v>3380</v>
      </c>
      <c r="E8233" s="501" t="s">
        <v>3381</v>
      </c>
      <c r="F8233" s="501" t="s">
        <v>936</v>
      </c>
      <c r="G8233" s="501" t="s">
        <v>937</v>
      </c>
      <c r="H8233" s="501" t="s">
        <v>10041</v>
      </c>
      <c r="I8233" s="501">
        <v>3</v>
      </c>
      <c r="J8233" s="501">
        <v>0</v>
      </c>
      <c r="K8233" s="501">
        <v>0</v>
      </c>
      <c r="L8233" s="501">
        <v>0</v>
      </c>
      <c r="M8233" s="501">
        <v>0</v>
      </c>
      <c r="N8233" s="501">
        <v>0</v>
      </c>
      <c r="O8233" s="506">
        <v>3</v>
      </c>
    </row>
    <row r="8234" spans="1:15" x14ac:dyDescent="0.35">
      <c r="A8234" s="503" t="s">
        <v>1134</v>
      </c>
      <c r="B8234" s="504" t="s">
        <v>3066</v>
      </c>
      <c r="C8234" s="504" t="s">
        <v>1094</v>
      </c>
      <c r="D8234" s="504" t="s">
        <v>3380</v>
      </c>
      <c r="E8234" s="504" t="s">
        <v>3381</v>
      </c>
      <c r="F8234" s="504" t="s">
        <v>936</v>
      </c>
      <c r="G8234" s="504" t="s">
        <v>937</v>
      </c>
      <c r="H8234" s="504" t="s">
        <v>15147</v>
      </c>
      <c r="I8234" s="504">
        <v>51</v>
      </c>
      <c r="J8234" s="504">
        <v>26</v>
      </c>
      <c r="K8234" s="504">
        <v>0</v>
      </c>
      <c r="L8234" s="504">
        <v>0</v>
      </c>
      <c r="M8234" s="504">
        <v>0</v>
      </c>
      <c r="N8234" s="504">
        <v>0</v>
      </c>
      <c r="O8234" s="505">
        <v>25</v>
      </c>
    </row>
    <row r="8235" spans="1:15" x14ac:dyDescent="0.35">
      <c r="A8235" s="500" t="s">
        <v>1914</v>
      </c>
      <c r="B8235" s="501" t="s">
        <v>2912</v>
      </c>
      <c r="C8235" s="501" t="s">
        <v>1089</v>
      </c>
      <c r="D8235" s="501" t="s">
        <v>3392</v>
      </c>
      <c r="E8235" s="501" t="s">
        <v>3381</v>
      </c>
      <c r="F8235" s="501" t="s">
        <v>936</v>
      </c>
      <c r="G8235" s="501" t="s">
        <v>937</v>
      </c>
      <c r="H8235" s="501" t="s">
        <v>10042</v>
      </c>
      <c r="I8235" s="501">
        <v>5</v>
      </c>
      <c r="J8235" s="501">
        <v>0</v>
      </c>
      <c r="K8235" s="501">
        <v>0</v>
      </c>
      <c r="L8235" s="501">
        <v>0</v>
      </c>
      <c r="M8235" s="501">
        <v>5</v>
      </c>
      <c r="N8235" s="501">
        <v>0</v>
      </c>
      <c r="O8235" s="506">
        <v>0</v>
      </c>
    </row>
    <row r="8236" spans="1:15" x14ac:dyDescent="0.35">
      <c r="A8236" s="503" t="s">
        <v>1358</v>
      </c>
      <c r="B8236" s="504" t="s">
        <v>3293</v>
      </c>
      <c r="C8236" s="504" t="s">
        <v>1089</v>
      </c>
      <c r="D8236" s="504" t="s">
        <v>3392</v>
      </c>
      <c r="E8236" s="504" t="s">
        <v>3381</v>
      </c>
      <c r="F8236" s="504" t="s">
        <v>936</v>
      </c>
      <c r="G8236" s="504" t="s">
        <v>937</v>
      </c>
      <c r="H8236" s="504" t="s">
        <v>10043</v>
      </c>
      <c r="I8236" s="504">
        <v>4</v>
      </c>
      <c r="J8236" s="504">
        <v>0</v>
      </c>
      <c r="K8236" s="504">
        <v>0</v>
      </c>
      <c r="L8236" s="504">
        <v>4</v>
      </c>
      <c r="M8236" s="504">
        <v>0</v>
      </c>
      <c r="N8236" s="504">
        <v>0</v>
      </c>
      <c r="O8236" s="505">
        <v>0</v>
      </c>
    </row>
    <row r="8237" spans="1:15" x14ac:dyDescent="0.35">
      <c r="A8237" s="500" t="s">
        <v>1249</v>
      </c>
      <c r="B8237" s="501">
        <v>4729</v>
      </c>
      <c r="C8237" s="501" t="s">
        <v>1094</v>
      </c>
      <c r="D8237" s="501" t="s">
        <v>3380</v>
      </c>
      <c r="E8237" s="501" t="s">
        <v>3381</v>
      </c>
      <c r="F8237" s="501" t="s">
        <v>936</v>
      </c>
      <c r="G8237" s="501" t="s">
        <v>937</v>
      </c>
      <c r="H8237" s="501" t="s">
        <v>10044</v>
      </c>
      <c r="I8237" s="501">
        <v>355</v>
      </c>
      <c r="J8237" s="501">
        <v>316</v>
      </c>
      <c r="K8237" s="501">
        <v>0</v>
      </c>
      <c r="L8237" s="501">
        <v>0</v>
      </c>
      <c r="M8237" s="501">
        <v>0</v>
      </c>
      <c r="N8237" s="501">
        <v>0</v>
      </c>
      <c r="O8237" s="506">
        <v>39</v>
      </c>
    </row>
    <row r="8238" spans="1:15" x14ac:dyDescent="0.35">
      <c r="A8238" s="503" t="s">
        <v>11472</v>
      </c>
      <c r="B8238" s="504" t="s">
        <v>2424</v>
      </c>
      <c r="C8238" s="504" t="s">
        <v>1089</v>
      </c>
      <c r="D8238" s="504" t="s">
        <v>3392</v>
      </c>
      <c r="E8238" s="504" t="s">
        <v>3381</v>
      </c>
      <c r="F8238" s="504" t="s">
        <v>936</v>
      </c>
      <c r="G8238" s="504" t="s">
        <v>937</v>
      </c>
      <c r="H8238" s="504" t="s">
        <v>12220</v>
      </c>
      <c r="I8238" s="504">
        <v>43</v>
      </c>
      <c r="J8238" s="504">
        <v>0</v>
      </c>
      <c r="K8238" s="504">
        <v>0</v>
      </c>
      <c r="L8238" s="504">
        <v>0</v>
      </c>
      <c r="M8238" s="504">
        <v>43</v>
      </c>
      <c r="N8238" s="504">
        <v>0</v>
      </c>
      <c r="O8238" s="505">
        <v>0</v>
      </c>
    </row>
    <row r="8239" spans="1:15" x14ac:dyDescent="0.35">
      <c r="A8239" s="500" t="s">
        <v>1581</v>
      </c>
      <c r="B8239" s="501" t="s">
        <v>2888</v>
      </c>
      <c r="C8239" s="501" t="s">
        <v>1089</v>
      </c>
      <c r="D8239" s="501" t="s">
        <v>3392</v>
      </c>
      <c r="E8239" s="501" t="s">
        <v>3381</v>
      </c>
      <c r="F8239" s="501" t="s">
        <v>936</v>
      </c>
      <c r="G8239" s="501" t="s">
        <v>937</v>
      </c>
      <c r="H8239" s="501" t="s">
        <v>10045</v>
      </c>
      <c r="I8239" s="501">
        <v>49</v>
      </c>
      <c r="J8239" s="501">
        <v>0</v>
      </c>
      <c r="K8239" s="501">
        <v>0</v>
      </c>
      <c r="L8239" s="501">
        <v>49</v>
      </c>
      <c r="M8239" s="501">
        <v>0</v>
      </c>
      <c r="N8239" s="501">
        <v>0</v>
      </c>
      <c r="O8239" s="506">
        <v>0</v>
      </c>
    </row>
    <row r="8240" spans="1:15" x14ac:dyDescent="0.35">
      <c r="A8240" s="503" t="s">
        <v>1093</v>
      </c>
      <c r="B8240" s="504" t="s">
        <v>3248</v>
      </c>
      <c r="C8240" s="504" t="s">
        <v>1094</v>
      </c>
      <c r="D8240" s="504" t="s">
        <v>3380</v>
      </c>
      <c r="E8240" s="504" t="s">
        <v>3381</v>
      </c>
      <c r="F8240" s="504" t="s">
        <v>938</v>
      </c>
      <c r="G8240" s="504" t="s">
        <v>939</v>
      </c>
      <c r="H8240" s="504" t="s">
        <v>10046</v>
      </c>
      <c r="I8240" s="504">
        <v>11</v>
      </c>
      <c r="J8240" s="504">
        <v>0</v>
      </c>
      <c r="K8240" s="504">
        <v>0</v>
      </c>
      <c r="L8240" s="504">
        <v>0</v>
      </c>
      <c r="M8240" s="504">
        <v>0</v>
      </c>
      <c r="N8240" s="504">
        <v>0</v>
      </c>
      <c r="O8240" s="505">
        <v>11</v>
      </c>
    </row>
    <row r="8241" spans="1:15" x14ac:dyDescent="0.35">
      <c r="A8241" s="500" t="s">
        <v>1096</v>
      </c>
      <c r="B8241" s="501" t="s">
        <v>3326</v>
      </c>
      <c r="C8241" s="501" t="s">
        <v>1094</v>
      </c>
      <c r="D8241" s="501" t="s">
        <v>3380</v>
      </c>
      <c r="E8241" s="501" t="s">
        <v>3381</v>
      </c>
      <c r="F8241" s="501" t="s">
        <v>938</v>
      </c>
      <c r="G8241" s="501" t="s">
        <v>939</v>
      </c>
      <c r="H8241" s="501" t="s">
        <v>10047</v>
      </c>
      <c r="I8241" s="501">
        <v>35</v>
      </c>
      <c r="J8241" s="501">
        <v>0</v>
      </c>
      <c r="K8241" s="501">
        <v>0</v>
      </c>
      <c r="L8241" s="501">
        <v>0</v>
      </c>
      <c r="M8241" s="501">
        <v>35</v>
      </c>
      <c r="N8241" s="501">
        <v>0</v>
      </c>
      <c r="O8241" s="506">
        <v>0</v>
      </c>
    </row>
    <row r="8242" spans="1:15" x14ac:dyDescent="0.35">
      <c r="A8242" s="503" t="s">
        <v>1098</v>
      </c>
      <c r="B8242" s="504">
        <v>4691</v>
      </c>
      <c r="C8242" s="504" t="s">
        <v>1094</v>
      </c>
      <c r="D8242" s="504" t="s">
        <v>3380</v>
      </c>
      <c r="E8242" s="504" t="s">
        <v>3381</v>
      </c>
      <c r="F8242" s="504" t="s">
        <v>938</v>
      </c>
      <c r="G8242" s="504" t="s">
        <v>939</v>
      </c>
      <c r="H8242" s="504" t="s">
        <v>10048</v>
      </c>
      <c r="I8242" s="504">
        <v>135</v>
      </c>
      <c r="J8242" s="504">
        <v>56</v>
      </c>
      <c r="K8242" s="504">
        <v>0</v>
      </c>
      <c r="L8242" s="504">
        <v>50</v>
      </c>
      <c r="M8242" s="504">
        <v>0</v>
      </c>
      <c r="N8242" s="504">
        <v>0</v>
      </c>
      <c r="O8242" s="505">
        <v>29</v>
      </c>
    </row>
    <row r="8243" spans="1:15" x14ac:dyDescent="0.35">
      <c r="A8243" s="500" t="s">
        <v>11363</v>
      </c>
      <c r="B8243" s="501">
        <v>4718</v>
      </c>
      <c r="C8243" s="501" t="s">
        <v>1094</v>
      </c>
      <c r="D8243" s="501" t="s">
        <v>3380</v>
      </c>
      <c r="E8243" s="501" t="s">
        <v>3381</v>
      </c>
      <c r="F8243" s="501" t="s">
        <v>938</v>
      </c>
      <c r="G8243" s="501" t="s">
        <v>939</v>
      </c>
      <c r="H8243" s="501" t="s">
        <v>11597</v>
      </c>
      <c r="I8243" s="501">
        <v>17</v>
      </c>
      <c r="J8243" s="501">
        <v>0</v>
      </c>
      <c r="K8243" s="501">
        <v>0</v>
      </c>
      <c r="L8243" s="501">
        <v>17</v>
      </c>
      <c r="M8243" s="501">
        <v>0</v>
      </c>
      <c r="N8243" s="501">
        <v>0</v>
      </c>
      <c r="O8243" s="506">
        <v>0</v>
      </c>
    </row>
    <row r="8244" spans="1:15" x14ac:dyDescent="0.35">
      <c r="A8244" s="503" t="s">
        <v>1100</v>
      </c>
      <c r="B8244" s="504">
        <v>4865</v>
      </c>
      <c r="C8244" s="504" t="s">
        <v>1094</v>
      </c>
      <c r="D8244" s="504" t="s">
        <v>3380</v>
      </c>
      <c r="E8244" s="504" t="s">
        <v>3381</v>
      </c>
      <c r="F8244" s="504" t="s">
        <v>938</v>
      </c>
      <c r="G8244" s="504" t="s">
        <v>939</v>
      </c>
      <c r="H8244" s="504" t="s">
        <v>10049</v>
      </c>
      <c r="I8244" s="504">
        <v>52</v>
      </c>
      <c r="J8244" s="504">
        <v>44</v>
      </c>
      <c r="K8244" s="504">
        <v>0</v>
      </c>
      <c r="L8244" s="504">
        <v>0</v>
      </c>
      <c r="M8244" s="504">
        <v>0</v>
      </c>
      <c r="N8244" s="504">
        <v>0</v>
      </c>
      <c r="O8244" s="505">
        <v>8</v>
      </c>
    </row>
    <row r="8245" spans="1:15" x14ac:dyDescent="0.35">
      <c r="A8245" s="500" t="s">
        <v>1966</v>
      </c>
      <c r="B8245" s="501" t="s">
        <v>2969</v>
      </c>
      <c r="C8245" s="501" t="s">
        <v>1094</v>
      </c>
      <c r="D8245" s="501" t="s">
        <v>3380</v>
      </c>
      <c r="E8245" s="501" t="s">
        <v>3381</v>
      </c>
      <c r="F8245" s="501" t="s">
        <v>938</v>
      </c>
      <c r="G8245" s="501" t="s">
        <v>939</v>
      </c>
      <c r="H8245" s="501" t="s">
        <v>10050</v>
      </c>
      <c r="I8245" s="501">
        <v>103</v>
      </c>
      <c r="J8245" s="501">
        <v>83</v>
      </c>
      <c r="K8245" s="501">
        <v>0</v>
      </c>
      <c r="L8245" s="501">
        <v>0</v>
      </c>
      <c r="M8245" s="501">
        <v>0</v>
      </c>
      <c r="N8245" s="501">
        <v>0</v>
      </c>
      <c r="O8245" s="506">
        <v>20</v>
      </c>
    </row>
    <row r="8246" spans="1:15" x14ac:dyDescent="0.35">
      <c r="A8246" s="503" t="s">
        <v>1102</v>
      </c>
      <c r="B8246" s="504">
        <v>4663</v>
      </c>
      <c r="C8246" s="504" t="s">
        <v>1089</v>
      </c>
      <c r="D8246" s="504" t="s">
        <v>3392</v>
      </c>
      <c r="E8246" s="504" t="s">
        <v>3381</v>
      </c>
      <c r="F8246" s="504" t="s">
        <v>938</v>
      </c>
      <c r="G8246" s="504" t="s">
        <v>939</v>
      </c>
      <c r="H8246" s="504" t="s">
        <v>10051</v>
      </c>
      <c r="I8246" s="504">
        <v>12</v>
      </c>
      <c r="J8246" s="504">
        <v>0</v>
      </c>
      <c r="K8246" s="504">
        <v>0</v>
      </c>
      <c r="L8246" s="504">
        <v>12</v>
      </c>
      <c r="M8246" s="504">
        <v>0</v>
      </c>
      <c r="N8246" s="504">
        <v>0</v>
      </c>
      <c r="O8246" s="505">
        <v>0</v>
      </c>
    </row>
    <row r="8247" spans="1:15" x14ac:dyDescent="0.35">
      <c r="A8247" s="500" t="s">
        <v>1174</v>
      </c>
      <c r="B8247" s="501">
        <v>4784</v>
      </c>
      <c r="C8247" s="501" t="s">
        <v>1089</v>
      </c>
      <c r="D8247" s="501" t="s">
        <v>3392</v>
      </c>
      <c r="E8247" s="501" t="s">
        <v>3381</v>
      </c>
      <c r="F8247" s="501" t="s">
        <v>938</v>
      </c>
      <c r="G8247" s="501" t="s">
        <v>939</v>
      </c>
      <c r="H8247" s="501" t="s">
        <v>11695</v>
      </c>
      <c r="I8247" s="501">
        <v>14</v>
      </c>
      <c r="J8247" s="501">
        <v>0</v>
      </c>
      <c r="K8247" s="501">
        <v>0</v>
      </c>
      <c r="L8247" s="501">
        <v>14</v>
      </c>
      <c r="M8247" s="501">
        <v>0</v>
      </c>
      <c r="N8247" s="501">
        <v>0</v>
      </c>
      <c r="O8247" s="506">
        <v>0</v>
      </c>
    </row>
    <row r="8248" spans="1:15" x14ac:dyDescent="0.35">
      <c r="A8248" s="503" t="s">
        <v>14208</v>
      </c>
      <c r="B8248" s="504">
        <v>4803</v>
      </c>
      <c r="C8248" s="504" t="s">
        <v>1094</v>
      </c>
      <c r="D8248" s="504" t="s">
        <v>3380</v>
      </c>
      <c r="E8248" s="504" t="s">
        <v>3381</v>
      </c>
      <c r="F8248" s="504" t="s">
        <v>938</v>
      </c>
      <c r="G8248" s="504" t="s">
        <v>939</v>
      </c>
      <c r="H8248" s="504" t="s">
        <v>15148</v>
      </c>
      <c r="I8248" s="504">
        <v>11</v>
      </c>
      <c r="J8248" s="504">
        <v>0</v>
      </c>
      <c r="K8248" s="504">
        <v>0</v>
      </c>
      <c r="L8248" s="504">
        <v>11</v>
      </c>
      <c r="M8248" s="504">
        <v>0</v>
      </c>
      <c r="N8248" s="504">
        <v>0</v>
      </c>
      <c r="O8248" s="505">
        <v>0</v>
      </c>
    </row>
    <row r="8249" spans="1:15" x14ac:dyDescent="0.35">
      <c r="A8249" s="500" t="s">
        <v>1985</v>
      </c>
      <c r="B8249" s="501" t="s">
        <v>3210</v>
      </c>
      <c r="C8249" s="501" t="s">
        <v>1089</v>
      </c>
      <c r="D8249" s="501" t="s">
        <v>3392</v>
      </c>
      <c r="E8249" s="501" t="s">
        <v>3381</v>
      </c>
      <c r="F8249" s="501" t="s">
        <v>938</v>
      </c>
      <c r="G8249" s="501" t="s">
        <v>939</v>
      </c>
      <c r="H8249" s="501" t="s">
        <v>10052</v>
      </c>
      <c r="I8249" s="501">
        <v>234</v>
      </c>
      <c r="J8249" s="501">
        <v>0</v>
      </c>
      <c r="K8249" s="501">
        <v>0</v>
      </c>
      <c r="L8249" s="501">
        <v>21</v>
      </c>
      <c r="M8249" s="501">
        <v>213</v>
      </c>
      <c r="N8249" s="501">
        <v>0</v>
      </c>
      <c r="O8249" s="506">
        <v>0</v>
      </c>
    </row>
    <row r="8250" spans="1:15" x14ac:dyDescent="0.35">
      <c r="A8250" s="503" t="s">
        <v>1187</v>
      </c>
      <c r="B8250" s="504" t="s">
        <v>2951</v>
      </c>
      <c r="C8250" s="504" t="s">
        <v>1094</v>
      </c>
      <c r="D8250" s="504" t="s">
        <v>3380</v>
      </c>
      <c r="E8250" s="504" t="s">
        <v>3381</v>
      </c>
      <c r="F8250" s="504" t="s">
        <v>938</v>
      </c>
      <c r="G8250" s="504" t="s">
        <v>939</v>
      </c>
      <c r="H8250" s="504" t="s">
        <v>10053</v>
      </c>
      <c r="I8250" s="504">
        <v>48</v>
      </c>
      <c r="J8250" s="504">
        <v>43</v>
      </c>
      <c r="K8250" s="504">
        <v>0</v>
      </c>
      <c r="L8250" s="504">
        <v>0</v>
      </c>
      <c r="M8250" s="504">
        <v>0</v>
      </c>
      <c r="N8250" s="504">
        <v>0</v>
      </c>
      <c r="O8250" s="505">
        <v>5</v>
      </c>
    </row>
    <row r="8251" spans="1:15" x14ac:dyDescent="0.35">
      <c r="A8251" s="500" t="s">
        <v>1105</v>
      </c>
      <c r="B8251" s="501">
        <v>4668</v>
      </c>
      <c r="C8251" s="501" t="s">
        <v>1094</v>
      </c>
      <c r="D8251" s="501" t="s">
        <v>3380</v>
      </c>
      <c r="E8251" s="501" t="s">
        <v>3381</v>
      </c>
      <c r="F8251" s="501" t="s">
        <v>938</v>
      </c>
      <c r="G8251" s="501" t="s">
        <v>939</v>
      </c>
      <c r="H8251" s="501" t="s">
        <v>10054</v>
      </c>
      <c r="I8251" s="501">
        <v>80</v>
      </c>
      <c r="J8251" s="501">
        <v>0</v>
      </c>
      <c r="K8251" s="501">
        <v>0</v>
      </c>
      <c r="L8251" s="501">
        <v>0</v>
      </c>
      <c r="M8251" s="501">
        <v>0</v>
      </c>
      <c r="N8251" s="501">
        <v>0</v>
      </c>
      <c r="O8251" s="506">
        <v>80</v>
      </c>
    </row>
    <row r="8252" spans="1:15" x14ac:dyDescent="0.35">
      <c r="A8252" s="503" t="s">
        <v>1197</v>
      </c>
      <c r="B8252" s="504">
        <v>4863</v>
      </c>
      <c r="C8252" s="504" t="s">
        <v>1089</v>
      </c>
      <c r="D8252" s="504" t="s">
        <v>3392</v>
      </c>
      <c r="E8252" s="504" t="s">
        <v>3381</v>
      </c>
      <c r="F8252" s="504" t="s">
        <v>938</v>
      </c>
      <c r="G8252" s="504" t="s">
        <v>939</v>
      </c>
      <c r="H8252" s="504" t="s">
        <v>10055</v>
      </c>
      <c r="I8252" s="504">
        <v>11</v>
      </c>
      <c r="J8252" s="504">
        <v>0</v>
      </c>
      <c r="K8252" s="504">
        <v>0</v>
      </c>
      <c r="L8252" s="504">
        <v>11</v>
      </c>
      <c r="M8252" s="504">
        <v>0</v>
      </c>
      <c r="N8252" s="504">
        <v>0</v>
      </c>
      <c r="O8252" s="505">
        <v>0</v>
      </c>
    </row>
    <row r="8253" spans="1:15" x14ac:dyDescent="0.35">
      <c r="A8253" s="500" t="s">
        <v>1111</v>
      </c>
      <c r="B8253" s="501">
        <v>4873</v>
      </c>
      <c r="C8253" s="501" t="s">
        <v>1094</v>
      </c>
      <c r="D8253" s="501" t="s">
        <v>3380</v>
      </c>
      <c r="E8253" s="501" t="s">
        <v>3381</v>
      </c>
      <c r="F8253" s="501" t="s">
        <v>938</v>
      </c>
      <c r="G8253" s="501" t="s">
        <v>939</v>
      </c>
      <c r="H8253" s="501" t="s">
        <v>10056</v>
      </c>
      <c r="I8253" s="501">
        <v>756</v>
      </c>
      <c r="J8253" s="501">
        <v>596</v>
      </c>
      <c r="K8253" s="501">
        <v>0</v>
      </c>
      <c r="L8253" s="501">
        <v>10</v>
      </c>
      <c r="M8253" s="501">
        <v>0</v>
      </c>
      <c r="N8253" s="501">
        <v>0</v>
      </c>
      <c r="O8253" s="506">
        <v>150</v>
      </c>
    </row>
    <row r="8254" spans="1:15" x14ac:dyDescent="0.35">
      <c r="A8254" s="503" t="s">
        <v>1112</v>
      </c>
      <c r="B8254" s="504" t="s">
        <v>3008</v>
      </c>
      <c r="C8254" s="504" t="s">
        <v>1094</v>
      </c>
      <c r="D8254" s="504" t="s">
        <v>3380</v>
      </c>
      <c r="E8254" s="504" t="s">
        <v>3381</v>
      </c>
      <c r="F8254" s="504" t="s">
        <v>938</v>
      </c>
      <c r="G8254" s="504" t="s">
        <v>939</v>
      </c>
      <c r="H8254" s="504" t="s">
        <v>10057</v>
      </c>
      <c r="I8254" s="504">
        <v>1</v>
      </c>
      <c r="J8254" s="504">
        <v>0</v>
      </c>
      <c r="K8254" s="504">
        <v>0</v>
      </c>
      <c r="L8254" s="504">
        <v>0</v>
      </c>
      <c r="M8254" s="504">
        <v>0</v>
      </c>
      <c r="N8254" s="504">
        <v>0</v>
      </c>
      <c r="O8254" s="505">
        <v>1</v>
      </c>
    </row>
    <row r="8255" spans="1:15" x14ac:dyDescent="0.35">
      <c r="A8255" s="500" t="s">
        <v>1114</v>
      </c>
      <c r="B8255" s="501" t="s">
        <v>2982</v>
      </c>
      <c r="C8255" s="501" t="s">
        <v>1094</v>
      </c>
      <c r="D8255" s="501" t="s">
        <v>3380</v>
      </c>
      <c r="E8255" s="501" t="s">
        <v>3381</v>
      </c>
      <c r="F8255" s="501" t="s">
        <v>938</v>
      </c>
      <c r="G8255" s="501" t="s">
        <v>939</v>
      </c>
      <c r="H8255" s="501" t="s">
        <v>10058</v>
      </c>
      <c r="I8255" s="501">
        <v>1</v>
      </c>
      <c r="J8255" s="501">
        <v>0</v>
      </c>
      <c r="K8255" s="501">
        <v>0</v>
      </c>
      <c r="L8255" s="501">
        <v>0</v>
      </c>
      <c r="M8255" s="501">
        <v>0</v>
      </c>
      <c r="N8255" s="501">
        <v>0</v>
      </c>
      <c r="O8255" s="506">
        <v>1</v>
      </c>
    </row>
    <row r="8256" spans="1:15" x14ac:dyDescent="0.35">
      <c r="A8256" s="503" t="s">
        <v>1228</v>
      </c>
      <c r="B8256" s="504" t="s">
        <v>3321</v>
      </c>
      <c r="C8256" s="504" t="s">
        <v>1094</v>
      </c>
      <c r="D8256" s="504" t="s">
        <v>3380</v>
      </c>
      <c r="E8256" s="504" t="s">
        <v>3381</v>
      </c>
      <c r="F8256" s="504" t="s">
        <v>938</v>
      </c>
      <c r="G8256" s="504" t="s">
        <v>939</v>
      </c>
      <c r="H8256" s="504" t="s">
        <v>10059</v>
      </c>
      <c r="I8256" s="504">
        <v>22</v>
      </c>
      <c r="J8256" s="504">
        <v>0</v>
      </c>
      <c r="K8256" s="504">
        <v>0</v>
      </c>
      <c r="L8256" s="504">
        <v>22</v>
      </c>
      <c r="M8256" s="504">
        <v>0</v>
      </c>
      <c r="N8256" s="504">
        <v>0</v>
      </c>
      <c r="O8256" s="505">
        <v>0</v>
      </c>
    </row>
    <row r="8257" spans="1:15" x14ac:dyDescent="0.35">
      <c r="A8257" s="500" t="s">
        <v>2006</v>
      </c>
      <c r="B8257" s="501" t="s">
        <v>2854</v>
      </c>
      <c r="C8257" s="501" t="s">
        <v>1089</v>
      </c>
      <c r="D8257" s="501" t="s">
        <v>3392</v>
      </c>
      <c r="E8257" s="501" t="s">
        <v>3381</v>
      </c>
      <c r="F8257" s="501" t="s">
        <v>938</v>
      </c>
      <c r="G8257" s="501" t="s">
        <v>939</v>
      </c>
      <c r="H8257" s="501" t="s">
        <v>10060</v>
      </c>
      <c r="I8257" s="501">
        <v>37</v>
      </c>
      <c r="J8257" s="501">
        <v>0</v>
      </c>
      <c r="K8257" s="501">
        <v>0</v>
      </c>
      <c r="L8257" s="501">
        <v>21</v>
      </c>
      <c r="M8257" s="501">
        <v>16</v>
      </c>
      <c r="N8257" s="501">
        <v>0</v>
      </c>
      <c r="O8257" s="506">
        <v>0</v>
      </c>
    </row>
    <row r="8258" spans="1:15" x14ac:dyDescent="0.35">
      <c r="A8258" s="503" t="s">
        <v>1235</v>
      </c>
      <c r="B8258" s="504">
        <v>4684</v>
      </c>
      <c r="C8258" s="504" t="s">
        <v>1094</v>
      </c>
      <c r="D8258" s="504" t="s">
        <v>3380</v>
      </c>
      <c r="E8258" s="504" t="s">
        <v>3381</v>
      </c>
      <c r="F8258" s="504" t="s">
        <v>938</v>
      </c>
      <c r="G8258" s="504" t="s">
        <v>939</v>
      </c>
      <c r="H8258" s="504" t="s">
        <v>10061</v>
      </c>
      <c r="I8258" s="504">
        <v>49</v>
      </c>
      <c r="J8258" s="504">
        <v>35</v>
      </c>
      <c r="K8258" s="504">
        <v>0</v>
      </c>
      <c r="L8258" s="504">
        <v>0</v>
      </c>
      <c r="M8258" s="504">
        <v>0</v>
      </c>
      <c r="N8258" s="504">
        <v>0</v>
      </c>
      <c r="O8258" s="505">
        <v>14</v>
      </c>
    </row>
    <row r="8259" spans="1:15" x14ac:dyDescent="0.35">
      <c r="A8259" s="500" t="s">
        <v>1126</v>
      </c>
      <c r="B8259" s="501" t="s">
        <v>2974</v>
      </c>
      <c r="C8259" s="501" t="s">
        <v>1094</v>
      </c>
      <c r="D8259" s="501" t="s">
        <v>3380</v>
      </c>
      <c r="E8259" s="501" t="s">
        <v>3381</v>
      </c>
      <c r="F8259" s="501" t="s">
        <v>938</v>
      </c>
      <c r="G8259" s="501" t="s">
        <v>939</v>
      </c>
      <c r="H8259" s="501" t="s">
        <v>10062</v>
      </c>
      <c r="I8259" s="501">
        <v>270</v>
      </c>
      <c r="J8259" s="501">
        <v>241</v>
      </c>
      <c r="K8259" s="501">
        <v>0</v>
      </c>
      <c r="L8259" s="501">
        <v>0</v>
      </c>
      <c r="M8259" s="501">
        <v>0</v>
      </c>
      <c r="N8259" s="501">
        <v>0</v>
      </c>
      <c r="O8259" s="506">
        <v>29</v>
      </c>
    </row>
    <row r="8260" spans="1:15" x14ac:dyDescent="0.35">
      <c r="A8260" s="503" t="s">
        <v>2016</v>
      </c>
      <c r="B8260" s="504" t="s">
        <v>3265</v>
      </c>
      <c r="C8260" s="504" t="s">
        <v>1089</v>
      </c>
      <c r="D8260" s="504" t="s">
        <v>3392</v>
      </c>
      <c r="E8260" s="504" t="s">
        <v>3381</v>
      </c>
      <c r="F8260" s="504" t="s">
        <v>938</v>
      </c>
      <c r="G8260" s="504" t="s">
        <v>939</v>
      </c>
      <c r="H8260" s="504" t="s">
        <v>10063</v>
      </c>
      <c r="I8260" s="504">
        <v>25</v>
      </c>
      <c r="J8260" s="504">
        <v>5</v>
      </c>
      <c r="K8260" s="504">
        <v>0</v>
      </c>
      <c r="L8260" s="504">
        <v>10</v>
      </c>
      <c r="M8260" s="504">
        <v>10</v>
      </c>
      <c r="N8260" s="504">
        <v>0</v>
      </c>
      <c r="O8260" s="505">
        <v>0</v>
      </c>
    </row>
    <row r="8261" spans="1:15" x14ac:dyDescent="0.35">
      <c r="A8261" s="500" t="s">
        <v>2017</v>
      </c>
      <c r="B8261" s="501" t="s">
        <v>3101</v>
      </c>
      <c r="C8261" s="501" t="s">
        <v>1089</v>
      </c>
      <c r="D8261" s="501" t="s">
        <v>3392</v>
      </c>
      <c r="E8261" s="501" t="s">
        <v>3381</v>
      </c>
      <c r="F8261" s="501" t="s">
        <v>938</v>
      </c>
      <c r="G8261" s="501" t="s">
        <v>939</v>
      </c>
      <c r="H8261" s="501" t="s">
        <v>12124</v>
      </c>
      <c r="I8261" s="501">
        <v>7</v>
      </c>
      <c r="J8261" s="501">
        <v>7</v>
      </c>
      <c r="K8261" s="501">
        <v>0</v>
      </c>
      <c r="L8261" s="501">
        <v>0</v>
      </c>
      <c r="M8261" s="501">
        <v>0</v>
      </c>
      <c r="N8261" s="501">
        <v>0</v>
      </c>
      <c r="O8261" s="506">
        <v>0</v>
      </c>
    </row>
    <row r="8262" spans="1:15" x14ac:dyDescent="0.35">
      <c r="A8262" s="503" t="s">
        <v>1132</v>
      </c>
      <c r="B8262" s="504">
        <v>4837</v>
      </c>
      <c r="C8262" s="504" t="s">
        <v>1094</v>
      </c>
      <c r="D8262" s="504" t="s">
        <v>3380</v>
      </c>
      <c r="E8262" s="504" t="s">
        <v>3381</v>
      </c>
      <c r="F8262" s="504" t="s">
        <v>938</v>
      </c>
      <c r="G8262" s="504" t="s">
        <v>939</v>
      </c>
      <c r="H8262" s="504" t="s">
        <v>10064</v>
      </c>
      <c r="I8262" s="504">
        <v>401</v>
      </c>
      <c r="J8262" s="504">
        <v>275</v>
      </c>
      <c r="K8262" s="504">
        <v>0</v>
      </c>
      <c r="L8262" s="504">
        <v>0</v>
      </c>
      <c r="M8262" s="504">
        <v>0</v>
      </c>
      <c r="N8262" s="504">
        <v>0</v>
      </c>
      <c r="O8262" s="505">
        <v>126</v>
      </c>
    </row>
    <row r="8263" spans="1:15" x14ac:dyDescent="0.35">
      <c r="A8263" s="500" t="s">
        <v>1134</v>
      </c>
      <c r="B8263" s="501" t="s">
        <v>3066</v>
      </c>
      <c r="C8263" s="501" t="s">
        <v>1094</v>
      </c>
      <c r="D8263" s="501" t="s">
        <v>3380</v>
      </c>
      <c r="E8263" s="501" t="s">
        <v>3381</v>
      </c>
      <c r="F8263" s="501" t="s">
        <v>938</v>
      </c>
      <c r="G8263" s="501" t="s">
        <v>939</v>
      </c>
      <c r="H8263" s="501" t="s">
        <v>12176</v>
      </c>
      <c r="I8263" s="501">
        <v>27</v>
      </c>
      <c r="J8263" s="501">
        <v>17</v>
      </c>
      <c r="K8263" s="501">
        <v>0</v>
      </c>
      <c r="L8263" s="501">
        <v>0</v>
      </c>
      <c r="M8263" s="501">
        <v>0</v>
      </c>
      <c r="N8263" s="501">
        <v>0</v>
      </c>
      <c r="O8263" s="506">
        <v>10</v>
      </c>
    </row>
    <row r="8264" spans="1:15" x14ac:dyDescent="0.35">
      <c r="A8264" s="503" t="s">
        <v>2023</v>
      </c>
      <c r="B8264" s="504" t="s">
        <v>3357</v>
      </c>
      <c r="C8264" s="504" t="s">
        <v>1094</v>
      </c>
      <c r="D8264" s="504" t="s">
        <v>3380</v>
      </c>
      <c r="E8264" s="504" t="s">
        <v>3381</v>
      </c>
      <c r="F8264" s="504" t="s">
        <v>938</v>
      </c>
      <c r="G8264" s="504" t="s">
        <v>939</v>
      </c>
      <c r="H8264" s="504" t="s">
        <v>10065</v>
      </c>
      <c r="I8264" s="504">
        <v>3668</v>
      </c>
      <c r="J8264" s="504">
        <v>2575</v>
      </c>
      <c r="K8264" s="504">
        <v>0</v>
      </c>
      <c r="L8264" s="504">
        <v>0</v>
      </c>
      <c r="M8264" s="504">
        <v>999</v>
      </c>
      <c r="N8264" s="504">
        <v>0</v>
      </c>
      <c r="O8264" s="505">
        <v>94</v>
      </c>
    </row>
    <row r="8265" spans="1:15" x14ac:dyDescent="0.35">
      <c r="A8265" s="500" t="s">
        <v>14354</v>
      </c>
      <c r="B8265" s="501" t="s">
        <v>14353</v>
      </c>
      <c r="C8265" s="501" t="s">
        <v>1089</v>
      </c>
      <c r="D8265" s="501" t="s">
        <v>3392</v>
      </c>
      <c r="E8265" s="501" t="s">
        <v>3381</v>
      </c>
      <c r="F8265" s="501" t="s">
        <v>938</v>
      </c>
      <c r="G8265" s="501" t="s">
        <v>939</v>
      </c>
      <c r="H8265" s="501" t="s">
        <v>15149</v>
      </c>
      <c r="I8265" s="501">
        <v>8</v>
      </c>
      <c r="J8265" s="501">
        <v>8</v>
      </c>
      <c r="K8265" s="501">
        <v>0</v>
      </c>
      <c r="L8265" s="501">
        <v>0</v>
      </c>
      <c r="M8265" s="501">
        <v>0</v>
      </c>
      <c r="N8265" s="501">
        <v>0</v>
      </c>
      <c r="O8265" s="506">
        <v>0</v>
      </c>
    </row>
    <row r="8266" spans="1:15" x14ac:dyDescent="0.35">
      <c r="A8266" s="503" t="s">
        <v>1249</v>
      </c>
      <c r="B8266" s="504">
        <v>4729</v>
      </c>
      <c r="C8266" s="504" t="s">
        <v>1094</v>
      </c>
      <c r="D8266" s="504" t="s">
        <v>3380</v>
      </c>
      <c r="E8266" s="504" t="s">
        <v>3381</v>
      </c>
      <c r="F8266" s="504" t="s">
        <v>938</v>
      </c>
      <c r="G8266" s="504" t="s">
        <v>939</v>
      </c>
      <c r="H8266" s="504" t="s">
        <v>10066</v>
      </c>
      <c r="I8266" s="504">
        <v>1</v>
      </c>
      <c r="J8266" s="504">
        <v>0</v>
      </c>
      <c r="K8266" s="504">
        <v>0</v>
      </c>
      <c r="L8266" s="504">
        <v>0</v>
      </c>
      <c r="M8266" s="504">
        <v>0</v>
      </c>
      <c r="N8266" s="504">
        <v>0</v>
      </c>
      <c r="O8266" s="505">
        <v>1</v>
      </c>
    </row>
    <row r="8267" spans="1:15" x14ac:dyDescent="0.35">
      <c r="A8267" s="500" t="s">
        <v>2050</v>
      </c>
      <c r="B8267" s="501">
        <v>4826</v>
      </c>
      <c r="C8267" s="501" t="s">
        <v>1094</v>
      </c>
      <c r="D8267" s="501" t="s">
        <v>3380</v>
      </c>
      <c r="E8267" s="501" t="s">
        <v>3381</v>
      </c>
      <c r="F8267" s="501" t="s">
        <v>938</v>
      </c>
      <c r="G8267" s="501" t="s">
        <v>939</v>
      </c>
      <c r="H8267" s="501" t="s">
        <v>10067</v>
      </c>
      <c r="I8267" s="501">
        <v>575</v>
      </c>
      <c r="J8267" s="501">
        <v>325</v>
      </c>
      <c r="K8267" s="501">
        <v>0</v>
      </c>
      <c r="L8267" s="501">
        <v>19</v>
      </c>
      <c r="M8267" s="501">
        <v>110</v>
      </c>
      <c r="N8267" s="501">
        <v>0</v>
      </c>
      <c r="O8267" s="506">
        <v>121</v>
      </c>
    </row>
    <row r="8268" spans="1:15" x14ac:dyDescent="0.35">
      <c r="A8268" s="503" t="s">
        <v>1668</v>
      </c>
      <c r="B8268" s="504" t="s">
        <v>3035</v>
      </c>
      <c r="C8268" s="504" t="s">
        <v>1089</v>
      </c>
      <c r="D8268" s="504" t="s">
        <v>3392</v>
      </c>
      <c r="E8268" s="504" t="s">
        <v>3381</v>
      </c>
      <c r="F8268" s="504" t="s">
        <v>940</v>
      </c>
      <c r="G8268" s="504" t="s">
        <v>941</v>
      </c>
      <c r="H8268" s="504" t="s">
        <v>10068</v>
      </c>
      <c r="I8268" s="504">
        <v>32</v>
      </c>
      <c r="J8268" s="504">
        <v>0</v>
      </c>
      <c r="K8268" s="504">
        <v>0</v>
      </c>
      <c r="L8268" s="504">
        <v>0</v>
      </c>
      <c r="M8268" s="504">
        <v>32</v>
      </c>
      <c r="N8268" s="504">
        <v>0</v>
      </c>
      <c r="O8268" s="505">
        <v>0</v>
      </c>
    </row>
    <row r="8269" spans="1:15" x14ac:dyDescent="0.35">
      <c r="A8269" s="500" t="s">
        <v>1096</v>
      </c>
      <c r="B8269" s="501" t="s">
        <v>3326</v>
      </c>
      <c r="C8269" s="501" t="s">
        <v>1094</v>
      </c>
      <c r="D8269" s="501" t="s">
        <v>3380</v>
      </c>
      <c r="E8269" s="501" t="s">
        <v>3381</v>
      </c>
      <c r="F8269" s="501" t="s">
        <v>940</v>
      </c>
      <c r="G8269" s="501" t="s">
        <v>941</v>
      </c>
      <c r="H8269" s="501" t="s">
        <v>10069</v>
      </c>
      <c r="I8269" s="501">
        <v>171</v>
      </c>
      <c r="J8269" s="501">
        <v>0</v>
      </c>
      <c r="K8269" s="501">
        <v>0</v>
      </c>
      <c r="L8269" s="501">
        <v>0</v>
      </c>
      <c r="M8269" s="501">
        <v>171</v>
      </c>
      <c r="N8269" s="501">
        <v>0</v>
      </c>
      <c r="O8269" s="506">
        <v>0</v>
      </c>
    </row>
    <row r="8270" spans="1:15" x14ac:dyDescent="0.35">
      <c r="A8270" s="503" t="s">
        <v>1278</v>
      </c>
      <c r="B8270" s="504">
        <v>4639</v>
      </c>
      <c r="C8270" s="504" t="s">
        <v>1089</v>
      </c>
      <c r="D8270" s="504" t="s">
        <v>3392</v>
      </c>
      <c r="E8270" s="504" t="s">
        <v>3381</v>
      </c>
      <c r="F8270" s="504" t="s">
        <v>940</v>
      </c>
      <c r="G8270" s="504" t="s">
        <v>941</v>
      </c>
      <c r="H8270" s="504" t="s">
        <v>10070</v>
      </c>
      <c r="I8270" s="504">
        <v>12</v>
      </c>
      <c r="J8270" s="504">
        <v>0</v>
      </c>
      <c r="K8270" s="504">
        <v>0</v>
      </c>
      <c r="L8270" s="504">
        <v>12</v>
      </c>
      <c r="M8270" s="504">
        <v>0</v>
      </c>
      <c r="N8270" s="504">
        <v>0</v>
      </c>
      <c r="O8270" s="505">
        <v>0</v>
      </c>
    </row>
    <row r="8271" spans="1:15" x14ac:dyDescent="0.35">
      <c r="A8271" s="500" t="s">
        <v>14144</v>
      </c>
      <c r="B8271" s="501" t="s">
        <v>14143</v>
      </c>
      <c r="C8271" s="501" t="s">
        <v>1089</v>
      </c>
      <c r="D8271" s="501" t="s">
        <v>3392</v>
      </c>
      <c r="E8271" s="501" t="s">
        <v>3381</v>
      </c>
      <c r="F8271" s="501" t="s">
        <v>940</v>
      </c>
      <c r="G8271" s="501" t="s">
        <v>941</v>
      </c>
      <c r="H8271" s="501" t="s">
        <v>15150</v>
      </c>
      <c r="I8271" s="501">
        <v>42</v>
      </c>
      <c r="J8271" s="501">
        <v>0</v>
      </c>
      <c r="K8271" s="501">
        <v>0</v>
      </c>
      <c r="L8271" s="501">
        <v>0</v>
      </c>
      <c r="M8271" s="501">
        <v>42</v>
      </c>
      <c r="N8271" s="501">
        <v>0</v>
      </c>
      <c r="O8271" s="506">
        <v>0</v>
      </c>
    </row>
    <row r="8272" spans="1:15" x14ac:dyDescent="0.35">
      <c r="A8272" s="503" t="s">
        <v>2062</v>
      </c>
      <c r="B8272" s="504" t="s">
        <v>3002</v>
      </c>
      <c r="C8272" s="504" t="s">
        <v>1094</v>
      </c>
      <c r="D8272" s="504" t="s">
        <v>3380</v>
      </c>
      <c r="E8272" s="504" t="s">
        <v>3381</v>
      </c>
      <c r="F8272" s="504" t="s">
        <v>940</v>
      </c>
      <c r="G8272" s="504" t="s">
        <v>941</v>
      </c>
      <c r="H8272" s="504" t="s">
        <v>10071</v>
      </c>
      <c r="I8272" s="504">
        <v>808</v>
      </c>
      <c r="J8272" s="504">
        <v>689</v>
      </c>
      <c r="K8272" s="504">
        <v>0</v>
      </c>
      <c r="L8272" s="504">
        <v>0</v>
      </c>
      <c r="M8272" s="504">
        <v>59</v>
      </c>
      <c r="N8272" s="504">
        <v>0</v>
      </c>
      <c r="O8272" s="505">
        <v>60</v>
      </c>
    </row>
    <row r="8273" spans="1:15" x14ac:dyDescent="0.35">
      <c r="A8273" s="500" t="s">
        <v>1158</v>
      </c>
      <c r="B8273" s="501">
        <v>4819</v>
      </c>
      <c r="C8273" s="501" t="s">
        <v>1094</v>
      </c>
      <c r="D8273" s="501" t="s">
        <v>3380</v>
      </c>
      <c r="E8273" s="501" t="s">
        <v>3381</v>
      </c>
      <c r="F8273" s="501" t="s">
        <v>940</v>
      </c>
      <c r="G8273" s="501" t="s">
        <v>941</v>
      </c>
      <c r="H8273" s="501" t="s">
        <v>10072</v>
      </c>
      <c r="I8273" s="501">
        <v>1393</v>
      </c>
      <c r="J8273" s="501">
        <v>1112</v>
      </c>
      <c r="K8273" s="501">
        <v>0</v>
      </c>
      <c r="L8273" s="501">
        <v>80</v>
      </c>
      <c r="M8273" s="501">
        <v>55</v>
      </c>
      <c r="N8273" s="501">
        <v>0</v>
      </c>
      <c r="O8273" s="506">
        <v>146</v>
      </c>
    </row>
    <row r="8274" spans="1:15" x14ac:dyDescent="0.35">
      <c r="A8274" s="503" t="s">
        <v>11430</v>
      </c>
      <c r="B8274" s="504" t="s">
        <v>3353</v>
      </c>
      <c r="C8274" s="504" t="s">
        <v>1094</v>
      </c>
      <c r="D8274" s="504" t="s">
        <v>3380</v>
      </c>
      <c r="E8274" s="504" t="s">
        <v>3381</v>
      </c>
      <c r="F8274" s="504" t="s">
        <v>940</v>
      </c>
      <c r="G8274" s="504" t="s">
        <v>941</v>
      </c>
      <c r="H8274" s="504" t="s">
        <v>15151</v>
      </c>
      <c r="I8274" s="504">
        <v>33</v>
      </c>
      <c r="J8274" s="504">
        <v>26</v>
      </c>
      <c r="K8274" s="504">
        <v>0</v>
      </c>
      <c r="L8274" s="504">
        <v>0</v>
      </c>
      <c r="M8274" s="504">
        <v>0</v>
      </c>
      <c r="N8274" s="504">
        <v>0</v>
      </c>
      <c r="O8274" s="505">
        <v>7</v>
      </c>
    </row>
    <row r="8275" spans="1:15" x14ac:dyDescent="0.35">
      <c r="A8275" s="500" t="s">
        <v>1172</v>
      </c>
      <c r="B8275" s="501">
        <v>4648</v>
      </c>
      <c r="C8275" s="501" t="s">
        <v>1089</v>
      </c>
      <c r="D8275" s="501" t="s">
        <v>3392</v>
      </c>
      <c r="E8275" s="501" t="s">
        <v>3381</v>
      </c>
      <c r="F8275" s="501" t="s">
        <v>940</v>
      </c>
      <c r="G8275" s="501" t="s">
        <v>941</v>
      </c>
      <c r="H8275" s="501" t="s">
        <v>10073</v>
      </c>
      <c r="I8275" s="501">
        <v>1</v>
      </c>
      <c r="J8275" s="501">
        <v>0</v>
      </c>
      <c r="K8275" s="501">
        <v>0</v>
      </c>
      <c r="L8275" s="501">
        <v>1</v>
      </c>
      <c r="M8275" s="501">
        <v>0</v>
      </c>
      <c r="N8275" s="501">
        <v>0</v>
      </c>
      <c r="O8275" s="506">
        <v>0</v>
      </c>
    </row>
    <row r="8276" spans="1:15" x14ac:dyDescent="0.35">
      <c r="A8276" s="503" t="s">
        <v>1832</v>
      </c>
      <c r="B8276" s="504">
        <v>4797</v>
      </c>
      <c r="C8276" s="504" t="s">
        <v>1089</v>
      </c>
      <c r="D8276" s="504" t="s">
        <v>3392</v>
      </c>
      <c r="E8276" s="504" t="s">
        <v>3381</v>
      </c>
      <c r="F8276" s="504" t="s">
        <v>940</v>
      </c>
      <c r="G8276" s="504" t="s">
        <v>941</v>
      </c>
      <c r="H8276" s="504" t="s">
        <v>10074</v>
      </c>
      <c r="I8276" s="504">
        <v>2</v>
      </c>
      <c r="J8276" s="504">
        <v>0</v>
      </c>
      <c r="K8276" s="504">
        <v>0</v>
      </c>
      <c r="L8276" s="504">
        <v>2</v>
      </c>
      <c r="M8276" s="504">
        <v>0</v>
      </c>
      <c r="N8276" s="504">
        <v>0</v>
      </c>
      <c r="O8276" s="505">
        <v>0</v>
      </c>
    </row>
    <row r="8277" spans="1:15" x14ac:dyDescent="0.35">
      <c r="A8277" s="500" t="s">
        <v>14208</v>
      </c>
      <c r="B8277" s="501">
        <v>4803</v>
      </c>
      <c r="C8277" s="501" t="s">
        <v>1094</v>
      </c>
      <c r="D8277" s="501" t="s">
        <v>3380</v>
      </c>
      <c r="E8277" s="501" t="s">
        <v>3381</v>
      </c>
      <c r="F8277" s="501" t="s">
        <v>940</v>
      </c>
      <c r="G8277" s="501" t="s">
        <v>941</v>
      </c>
      <c r="H8277" s="501" t="s">
        <v>15152</v>
      </c>
      <c r="I8277" s="501">
        <v>1</v>
      </c>
      <c r="J8277" s="501">
        <v>0</v>
      </c>
      <c r="K8277" s="501">
        <v>0</v>
      </c>
      <c r="L8277" s="501">
        <v>1</v>
      </c>
      <c r="M8277" s="501">
        <v>0</v>
      </c>
      <c r="N8277" s="501">
        <v>0</v>
      </c>
      <c r="O8277" s="506">
        <v>0</v>
      </c>
    </row>
    <row r="8278" spans="1:15" x14ac:dyDescent="0.35">
      <c r="A8278" s="503" t="s">
        <v>14213</v>
      </c>
      <c r="B8278" s="504" t="s">
        <v>3312</v>
      </c>
      <c r="C8278" s="504" t="s">
        <v>1094</v>
      </c>
      <c r="D8278" s="504" t="s">
        <v>3380</v>
      </c>
      <c r="E8278" s="504" t="s">
        <v>3381</v>
      </c>
      <c r="F8278" s="504" t="s">
        <v>940</v>
      </c>
      <c r="G8278" s="504" t="s">
        <v>941</v>
      </c>
      <c r="H8278" s="504" t="s">
        <v>15153</v>
      </c>
      <c r="I8278" s="504">
        <v>26</v>
      </c>
      <c r="J8278" s="504">
        <v>26</v>
      </c>
      <c r="K8278" s="504">
        <v>0</v>
      </c>
      <c r="L8278" s="504">
        <v>0</v>
      </c>
      <c r="M8278" s="504">
        <v>0</v>
      </c>
      <c r="N8278" s="504">
        <v>0</v>
      </c>
      <c r="O8278" s="505">
        <v>0</v>
      </c>
    </row>
    <row r="8279" spans="1:15" x14ac:dyDescent="0.35">
      <c r="A8279" s="500" t="s">
        <v>1185</v>
      </c>
      <c r="B8279" s="501" t="s">
        <v>3253</v>
      </c>
      <c r="C8279" s="501" t="s">
        <v>1094</v>
      </c>
      <c r="D8279" s="501" t="s">
        <v>3380</v>
      </c>
      <c r="E8279" s="501" t="s">
        <v>3381</v>
      </c>
      <c r="F8279" s="501" t="s">
        <v>940</v>
      </c>
      <c r="G8279" s="501" t="s">
        <v>941</v>
      </c>
      <c r="H8279" s="501" t="s">
        <v>10075</v>
      </c>
      <c r="I8279" s="501">
        <v>53</v>
      </c>
      <c r="J8279" s="501">
        <v>35</v>
      </c>
      <c r="K8279" s="501">
        <v>0</v>
      </c>
      <c r="L8279" s="501">
        <v>15</v>
      </c>
      <c r="M8279" s="501">
        <v>3</v>
      </c>
      <c r="N8279" s="501">
        <v>0</v>
      </c>
      <c r="O8279" s="506">
        <v>0</v>
      </c>
    </row>
    <row r="8280" spans="1:15" x14ac:dyDescent="0.35">
      <c r="A8280" s="503" t="s">
        <v>1186</v>
      </c>
      <c r="B8280" s="504">
        <v>4661</v>
      </c>
      <c r="C8280" s="504" t="s">
        <v>1089</v>
      </c>
      <c r="D8280" s="504" t="s">
        <v>3392</v>
      </c>
      <c r="E8280" s="504" t="s">
        <v>3381</v>
      </c>
      <c r="F8280" s="504" t="s">
        <v>940</v>
      </c>
      <c r="G8280" s="504" t="s">
        <v>941</v>
      </c>
      <c r="H8280" s="504" t="s">
        <v>10076</v>
      </c>
      <c r="I8280" s="504">
        <v>20</v>
      </c>
      <c r="J8280" s="504">
        <v>0</v>
      </c>
      <c r="K8280" s="504">
        <v>0</v>
      </c>
      <c r="L8280" s="504">
        <v>20</v>
      </c>
      <c r="M8280" s="504">
        <v>0</v>
      </c>
      <c r="N8280" s="504">
        <v>0</v>
      </c>
      <c r="O8280" s="505">
        <v>0</v>
      </c>
    </row>
    <row r="8281" spans="1:15" x14ac:dyDescent="0.35">
      <c r="A8281" s="500" t="s">
        <v>1105</v>
      </c>
      <c r="B8281" s="501">
        <v>4668</v>
      </c>
      <c r="C8281" s="501" t="s">
        <v>1094</v>
      </c>
      <c r="D8281" s="501" t="s">
        <v>3380</v>
      </c>
      <c r="E8281" s="501" t="s">
        <v>3381</v>
      </c>
      <c r="F8281" s="501" t="s">
        <v>940</v>
      </c>
      <c r="G8281" s="501" t="s">
        <v>941</v>
      </c>
      <c r="H8281" s="501" t="s">
        <v>10077</v>
      </c>
      <c r="I8281" s="501">
        <v>34</v>
      </c>
      <c r="J8281" s="501">
        <v>0</v>
      </c>
      <c r="K8281" s="501">
        <v>0</v>
      </c>
      <c r="L8281" s="501">
        <v>0</v>
      </c>
      <c r="M8281" s="501">
        <v>0</v>
      </c>
      <c r="N8281" s="501">
        <v>0</v>
      </c>
      <c r="O8281" s="506">
        <v>34</v>
      </c>
    </row>
    <row r="8282" spans="1:15" x14ac:dyDescent="0.35">
      <c r="A8282" s="503" t="s">
        <v>1107</v>
      </c>
      <c r="B8282" s="504" t="s">
        <v>3109</v>
      </c>
      <c r="C8282" s="504" t="s">
        <v>1094</v>
      </c>
      <c r="D8282" s="504" t="s">
        <v>3380</v>
      </c>
      <c r="E8282" s="504" t="s">
        <v>3381</v>
      </c>
      <c r="F8282" s="504" t="s">
        <v>940</v>
      </c>
      <c r="G8282" s="504" t="s">
        <v>941</v>
      </c>
      <c r="H8282" s="504" t="s">
        <v>10078</v>
      </c>
      <c r="I8282" s="504">
        <v>8</v>
      </c>
      <c r="J8282" s="504">
        <v>0</v>
      </c>
      <c r="K8282" s="504">
        <v>0</v>
      </c>
      <c r="L8282" s="504">
        <v>8</v>
      </c>
      <c r="M8282" s="504">
        <v>0</v>
      </c>
      <c r="N8282" s="504">
        <v>0</v>
      </c>
      <c r="O8282" s="505">
        <v>0</v>
      </c>
    </row>
    <row r="8283" spans="1:15" x14ac:dyDescent="0.35">
      <c r="A8283" s="500" t="s">
        <v>14226</v>
      </c>
      <c r="B8283" s="501" t="s">
        <v>3329</v>
      </c>
      <c r="C8283" s="501" t="s">
        <v>1094</v>
      </c>
      <c r="D8283" s="501" t="s">
        <v>3380</v>
      </c>
      <c r="E8283" s="501" t="s">
        <v>3381</v>
      </c>
      <c r="F8283" s="501" t="s">
        <v>940</v>
      </c>
      <c r="G8283" s="501" t="s">
        <v>941</v>
      </c>
      <c r="H8283" s="501" t="s">
        <v>15154</v>
      </c>
      <c r="I8283" s="501">
        <v>304</v>
      </c>
      <c r="J8283" s="501">
        <v>266</v>
      </c>
      <c r="K8283" s="501">
        <v>0</v>
      </c>
      <c r="L8283" s="501">
        <v>0</v>
      </c>
      <c r="M8283" s="501">
        <v>0</v>
      </c>
      <c r="N8283" s="501">
        <v>0</v>
      </c>
      <c r="O8283" s="506">
        <v>38</v>
      </c>
    </row>
    <row r="8284" spans="1:15" x14ac:dyDescent="0.35">
      <c r="A8284" s="503" t="s">
        <v>1109</v>
      </c>
      <c r="B8284" s="504" t="s">
        <v>2959</v>
      </c>
      <c r="C8284" s="504" t="s">
        <v>1094</v>
      </c>
      <c r="D8284" s="504" t="s">
        <v>3380</v>
      </c>
      <c r="E8284" s="504" t="s">
        <v>3381</v>
      </c>
      <c r="F8284" s="504" t="s">
        <v>940</v>
      </c>
      <c r="G8284" s="504" t="s">
        <v>941</v>
      </c>
      <c r="H8284" s="504" t="s">
        <v>10079</v>
      </c>
      <c r="I8284" s="504">
        <v>33</v>
      </c>
      <c r="J8284" s="504">
        <v>0</v>
      </c>
      <c r="K8284" s="504">
        <v>0</v>
      </c>
      <c r="L8284" s="504">
        <v>0</v>
      </c>
      <c r="M8284" s="504">
        <v>33</v>
      </c>
      <c r="N8284" s="504">
        <v>0</v>
      </c>
      <c r="O8284" s="505">
        <v>0</v>
      </c>
    </row>
    <row r="8285" spans="1:15" x14ac:dyDescent="0.35">
      <c r="A8285" s="500" t="s">
        <v>1190</v>
      </c>
      <c r="B8285" s="501">
        <v>4662</v>
      </c>
      <c r="C8285" s="501" t="s">
        <v>1094</v>
      </c>
      <c r="D8285" s="501" t="s">
        <v>3380</v>
      </c>
      <c r="E8285" s="501" t="s">
        <v>3381</v>
      </c>
      <c r="F8285" s="501" t="s">
        <v>940</v>
      </c>
      <c r="G8285" s="501" t="s">
        <v>941</v>
      </c>
      <c r="H8285" s="501" t="s">
        <v>10080</v>
      </c>
      <c r="I8285" s="501">
        <v>29</v>
      </c>
      <c r="J8285" s="501">
        <v>0</v>
      </c>
      <c r="K8285" s="501">
        <v>0</v>
      </c>
      <c r="L8285" s="501">
        <v>29</v>
      </c>
      <c r="M8285" s="501">
        <v>0</v>
      </c>
      <c r="N8285" s="501">
        <v>0</v>
      </c>
      <c r="O8285" s="506">
        <v>0</v>
      </c>
    </row>
    <row r="8286" spans="1:15" x14ac:dyDescent="0.35">
      <c r="A8286" s="503" t="s">
        <v>1209</v>
      </c>
      <c r="B8286" s="504">
        <v>4779</v>
      </c>
      <c r="C8286" s="504" t="s">
        <v>1094</v>
      </c>
      <c r="D8286" s="504" t="s">
        <v>3380</v>
      </c>
      <c r="E8286" s="504" t="s">
        <v>3381</v>
      </c>
      <c r="F8286" s="504" t="s">
        <v>940</v>
      </c>
      <c r="G8286" s="504" t="s">
        <v>941</v>
      </c>
      <c r="H8286" s="504" t="s">
        <v>10081</v>
      </c>
      <c r="I8286" s="504">
        <v>10</v>
      </c>
      <c r="J8286" s="504">
        <v>0</v>
      </c>
      <c r="K8286" s="504">
        <v>0</v>
      </c>
      <c r="L8286" s="504">
        <v>10</v>
      </c>
      <c r="M8286" s="504">
        <v>0</v>
      </c>
      <c r="N8286" s="504">
        <v>0</v>
      </c>
      <c r="O8286" s="505">
        <v>0</v>
      </c>
    </row>
    <row r="8287" spans="1:15" x14ac:dyDescent="0.35">
      <c r="A8287" s="500" t="s">
        <v>14400</v>
      </c>
      <c r="B8287" s="501">
        <v>4727</v>
      </c>
      <c r="C8287" s="501" t="s">
        <v>1089</v>
      </c>
      <c r="D8287" s="501" t="s">
        <v>3392</v>
      </c>
      <c r="E8287" s="501" t="s">
        <v>3381</v>
      </c>
      <c r="F8287" s="501" t="s">
        <v>940</v>
      </c>
      <c r="G8287" s="501" t="s">
        <v>941</v>
      </c>
      <c r="H8287" s="501" t="s">
        <v>15155</v>
      </c>
      <c r="I8287" s="501">
        <v>2</v>
      </c>
      <c r="J8287" s="501">
        <v>0</v>
      </c>
      <c r="K8287" s="501">
        <v>0</v>
      </c>
      <c r="L8287" s="501">
        <v>2</v>
      </c>
      <c r="M8287" s="501">
        <v>0</v>
      </c>
      <c r="N8287" s="501">
        <v>0</v>
      </c>
      <c r="O8287" s="506">
        <v>0</v>
      </c>
    </row>
    <row r="8288" spans="1:15" x14ac:dyDescent="0.35">
      <c r="A8288" s="503" t="s">
        <v>11414</v>
      </c>
      <c r="B8288" s="504" t="s">
        <v>2495</v>
      </c>
      <c r="C8288" s="504" t="s">
        <v>1089</v>
      </c>
      <c r="D8288" s="504" t="s">
        <v>3392</v>
      </c>
      <c r="E8288" s="504" t="s">
        <v>3381</v>
      </c>
      <c r="F8288" s="504" t="s">
        <v>940</v>
      </c>
      <c r="G8288" s="504" t="s">
        <v>941</v>
      </c>
      <c r="H8288" s="504" t="s">
        <v>11891</v>
      </c>
      <c r="I8288" s="504">
        <v>37</v>
      </c>
      <c r="J8288" s="504">
        <v>0</v>
      </c>
      <c r="K8288" s="504">
        <v>0</v>
      </c>
      <c r="L8288" s="504">
        <v>0</v>
      </c>
      <c r="M8288" s="504">
        <v>37</v>
      </c>
      <c r="N8288" s="504">
        <v>0</v>
      </c>
      <c r="O8288" s="505">
        <v>0</v>
      </c>
    </row>
    <row r="8289" spans="1:15" x14ac:dyDescent="0.35">
      <c r="A8289" s="500" t="s">
        <v>1122</v>
      </c>
      <c r="B8289" s="501" t="s">
        <v>2994</v>
      </c>
      <c r="C8289" s="501" t="s">
        <v>1094</v>
      </c>
      <c r="D8289" s="501" t="s">
        <v>3380</v>
      </c>
      <c r="E8289" s="501" t="s">
        <v>3381</v>
      </c>
      <c r="F8289" s="501" t="s">
        <v>940</v>
      </c>
      <c r="G8289" s="501" t="s">
        <v>941</v>
      </c>
      <c r="H8289" s="501" t="s">
        <v>10082</v>
      </c>
      <c r="I8289" s="501">
        <v>1</v>
      </c>
      <c r="J8289" s="501">
        <v>0</v>
      </c>
      <c r="K8289" s="501">
        <v>0</v>
      </c>
      <c r="L8289" s="501">
        <v>0</v>
      </c>
      <c r="M8289" s="501">
        <v>0</v>
      </c>
      <c r="N8289" s="501">
        <v>0</v>
      </c>
      <c r="O8289" s="506">
        <v>1</v>
      </c>
    </row>
    <row r="8290" spans="1:15" x14ac:dyDescent="0.35">
      <c r="A8290" s="503" t="s">
        <v>1124</v>
      </c>
      <c r="B8290" s="504">
        <v>4745</v>
      </c>
      <c r="C8290" s="504" t="s">
        <v>1094</v>
      </c>
      <c r="D8290" s="504" t="s">
        <v>3380</v>
      </c>
      <c r="E8290" s="504" t="s">
        <v>3381</v>
      </c>
      <c r="F8290" s="504" t="s">
        <v>940</v>
      </c>
      <c r="G8290" s="504" t="s">
        <v>941</v>
      </c>
      <c r="H8290" s="504" t="s">
        <v>10083</v>
      </c>
      <c r="I8290" s="504">
        <v>5</v>
      </c>
      <c r="J8290" s="504">
        <v>0</v>
      </c>
      <c r="K8290" s="504">
        <v>0</v>
      </c>
      <c r="L8290" s="504">
        <v>5</v>
      </c>
      <c r="M8290" s="504">
        <v>0</v>
      </c>
      <c r="N8290" s="504">
        <v>0</v>
      </c>
      <c r="O8290" s="505">
        <v>0</v>
      </c>
    </row>
    <row r="8291" spans="1:15" x14ac:dyDescent="0.35">
      <c r="A8291" s="500" t="s">
        <v>1235</v>
      </c>
      <c r="B8291" s="501">
        <v>4684</v>
      </c>
      <c r="C8291" s="501" t="s">
        <v>1094</v>
      </c>
      <c r="D8291" s="501" t="s">
        <v>3380</v>
      </c>
      <c r="E8291" s="501" t="s">
        <v>3381</v>
      </c>
      <c r="F8291" s="501" t="s">
        <v>940</v>
      </c>
      <c r="G8291" s="501" t="s">
        <v>941</v>
      </c>
      <c r="H8291" s="501" t="s">
        <v>10084</v>
      </c>
      <c r="I8291" s="501">
        <v>267</v>
      </c>
      <c r="J8291" s="501">
        <v>146</v>
      </c>
      <c r="K8291" s="501">
        <v>0</v>
      </c>
      <c r="L8291" s="501">
        <v>12</v>
      </c>
      <c r="M8291" s="501">
        <v>69</v>
      </c>
      <c r="N8291" s="501">
        <v>0</v>
      </c>
      <c r="O8291" s="506">
        <v>40</v>
      </c>
    </row>
    <row r="8292" spans="1:15" x14ac:dyDescent="0.35">
      <c r="A8292" s="503" t="s">
        <v>1126</v>
      </c>
      <c r="B8292" s="504" t="s">
        <v>2974</v>
      </c>
      <c r="C8292" s="504" t="s">
        <v>1094</v>
      </c>
      <c r="D8292" s="504" t="s">
        <v>3380</v>
      </c>
      <c r="E8292" s="504" t="s">
        <v>3381</v>
      </c>
      <c r="F8292" s="504" t="s">
        <v>940</v>
      </c>
      <c r="G8292" s="504" t="s">
        <v>941</v>
      </c>
      <c r="H8292" s="504" t="s">
        <v>10085</v>
      </c>
      <c r="I8292" s="504">
        <v>1104</v>
      </c>
      <c r="J8292" s="504">
        <v>908</v>
      </c>
      <c r="K8292" s="504">
        <v>0</v>
      </c>
      <c r="L8292" s="504">
        <v>12</v>
      </c>
      <c r="M8292" s="504">
        <v>101</v>
      </c>
      <c r="N8292" s="504">
        <v>0</v>
      </c>
      <c r="O8292" s="505">
        <v>83</v>
      </c>
    </row>
    <row r="8293" spans="1:15" x14ac:dyDescent="0.35">
      <c r="A8293" s="500" t="s">
        <v>2102</v>
      </c>
      <c r="B8293" s="501" t="s">
        <v>3054</v>
      </c>
      <c r="C8293" s="501" t="s">
        <v>1089</v>
      </c>
      <c r="D8293" s="501" t="s">
        <v>3392</v>
      </c>
      <c r="E8293" s="501" t="s">
        <v>3381</v>
      </c>
      <c r="F8293" s="501" t="s">
        <v>940</v>
      </c>
      <c r="G8293" s="501" t="s">
        <v>941</v>
      </c>
      <c r="H8293" s="501" t="s">
        <v>12115</v>
      </c>
      <c r="I8293" s="501">
        <v>4</v>
      </c>
      <c r="J8293" s="501">
        <v>4</v>
      </c>
      <c r="K8293" s="501">
        <v>0</v>
      </c>
      <c r="L8293" s="501">
        <v>0</v>
      </c>
      <c r="M8293" s="501">
        <v>0</v>
      </c>
      <c r="N8293" s="501">
        <v>0</v>
      </c>
      <c r="O8293" s="506">
        <v>0</v>
      </c>
    </row>
    <row r="8294" spans="1:15" x14ac:dyDescent="0.35">
      <c r="A8294" s="503" t="s">
        <v>2123</v>
      </c>
      <c r="B8294" s="504" t="s">
        <v>3338</v>
      </c>
      <c r="C8294" s="504" t="s">
        <v>1094</v>
      </c>
      <c r="D8294" s="504" t="s">
        <v>3380</v>
      </c>
      <c r="E8294" s="504" t="s">
        <v>3381</v>
      </c>
      <c r="F8294" s="504" t="s">
        <v>940</v>
      </c>
      <c r="G8294" s="504" t="s">
        <v>941</v>
      </c>
      <c r="H8294" s="504" t="s">
        <v>10086</v>
      </c>
      <c r="I8294" s="504">
        <v>9783</v>
      </c>
      <c r="J8294" s="504">
        <v>8142</v>
      </c>
      <c r="K8294" s="504">
        <v>0</v>
      </c>
      <c r="L8294" s="504">
        <v>152</v>
      </c>
      <c r="M8294" s="504">
        <v>1356</v>
      </c>
      <c r="N8294" s="504">
        <v>129</v>
      </c>
      <c r="O8294" s="505">
        <v>133</v>
      </c>
    </row>
    <row r="8295" spans="1:15" x14ac:dyDescent="0.35">
      <c r="A8295" s="500" t="s">
        <v>1259</v>
      </c>
      <c r="B8295" s="501" t="s">
        <v>3025</v>
      </c>
      <c r="C8295" s="501" t="s">
        <v>1094</v>
      </c>
      <c r="D8295" s="501" t="s">
        <v>3380</v>
      </c>
      <c r="E8295" s="501" t="s">
        <v>3381</v>
      </c>
      <c r="F8295" s="501" t="s">
        <v>940</v>
      </c>
      <c r="G8295" s="501" t="s">
        <v>941</v>
      </c>
      <c r="H8295" s="501" t="s">
        <v>10087</v>
      </c>
      <c r="I8295" s="501">
        <v>61</v>
      </c>
      <c r="J8295" s="501">
        <v>61</v>
      </c>
      <c r="K8295" s="501">
        <v>0</v>
      </c>
      <c r="L8295" s="501">
        <v>0</v>
      </c>
      <c r="M8295" s="501">
        <v>0</v>
      </c>
      <c r="N8295" s="501">
        <v>0</v>
      </c>
      <c r="O8295" s="506">
        <v>0</v>
      </c>
    </row>
    <row r="8296" spans="1:15" x14ac:dyDescent="0.35">
      <c r="A8296" s="503" t="s">
        <v>2127</v>
      </c>
      <c r="B8296" s="504" t="s">
        <v>3188</v>
      </c>
      <c r="C8296" s="504" t="s">
        <v>1094</v>
      </c>
      <c r="D8296" s="504" t="s">
        <v>3380</v>
      </c>
      <c r="E8296" s="504" t="s">
        <v>3381</v>
      </c>
      <c r="F8296" s="504" t="s">
        <v>940</v>
      </c>
      <c r="G8296" s="504" t="s">
        <v>941</v>
      </c>
      <c r="H8296" s="504" t="s">
        <v>10088</v>
      </c>
      <c r="I8296" s="504">
        <v>195</v>
      </c>
      <c r="J8296" s="504">
        <v>116</v>
      </c>
      <c r="K8296" s="504">
        <v>0</v>
      </c>
      <c r="L8296" s="504">
        <v>0</v>
      </c>
      <c r="M8296" s="504">
        <v>0</v>
      </c>
      <c r="N8296" s="504">
        <v>0</v>
      </c>
      <c r="O8296" s="505">
        <v>79</v>
      </c>
    </row>
    <row r="8297" spans="1:15" x14ac:dyDescent="0.35">
      <c r="A8297" s="500" t="s">
        <v>1609</v>
      </c>
      <c r="B8297" s="501">
        <v>4758</v>
      </c>
      <c r="C8297" s="501" t="s">
        <v>1089</v>
      </c>
      <c r="D8297" s="501" t="s">
        <v>3392</v>
      </c>
      <c r="E8297" s="501" t="s">
        <v>3381</v>
      </c>
      <c r="F8297" s="501" t="s">
        <v>942</v>
      </c>
      <c r="G8297" s="501" t="s">
        <v>943</v>
      </c>
      <c r="H8297" s="501" t="s">
        <v>15156</v>
      </c>
      <c r="I8297" s="501">
        <v>14</v>
      </c>
      <c r="J8297" s="501">
        <v>0</v>
      </c>
      <c r="K8297" s="501">
        <v>0</v>
      </c>
      <c r="L8297" s="501">
        <v>14</v>
      </c>
      <c r="M8297" s="501">
        <v>0</v>
      </c>
      <c r="N8297" s="501">
        <v>0</v>
      </c>
      <c r="O8297" s="506">
        <v>0</v>
      </c>
    </row>
    <row r="8298" spans="1:15" x14ac:dyDescent="0.35">
      <c r="A8298" s="503" t="s">
        <v>1093</v>
      </c>
      <c r="B8298" s="504" t="s">
        <v>3248</v>
      </c>
      <c r="C8298" s="504" t="s">
        <v>1094</v>
      </c>
      <c r="D8298" s="504" t="s">
        <v>3380</v>
      </c>
      <c r="E8298" s="504" t="s">
        <v>3381</v>
      </c>
      <c r="F8298" s="504" t="s">
        <v>942</v>
      </c>
      <c r="G8298" s="504" t="s">
        <v>943</v>
      </c>
      <c r="H8298" s="504" t="s">
        <v>10089</v>
      </c>
      <c r="I8298" s="504">
        <v>14</v>
      </c>
      <c r="J8298" s="504">
        <v>0</v>
      </c>
      <c r="K8298" s="504">
        <v>0</v>
      </c>
      <c r="L8298" s="504">
        <v>9</v>
      </c>
      <c r="M8298" s="504">
        <v>0</v>
      </c>
      <c r="N8298" s="504">
        <v>0</v>
      </c>
      <c r="O8298" s="505">
        <v>5</v>
      </c>
    </row>
    <row r="8299" spans="1:15" x14ac:dyDescent="0.35">
      <c r="A8299" s="500" t="s">
        <v>1096</v>
      </c>
      <c r="B8299" s="501" t="s">
        <v>3326</v>
      </c>
      <c r="C8299" s="501" t="s">
        <v>1094</v>
      </c>
      <c r="D8299" s="501" t="s">
        <v>3380</v>
      </c>
      <c r="E8299" s="501" t="s">
        <v>3381</v>
      </c>
      <c r="F8299" s="501" t="s">
        <v>942</v>
      </c>
      <c r="G8299" s="501" t="s">
        <v>943</v>
      </c>
      <c r="H8299" s="501" t="s">
        <v>10090</v>
      </c>
      <c r="I8299" s="501">
        <v>355</v>
      </c>
      <c r="J8299" s="501">
        <v>20</v>
      </c>
      <c r="K8299" s="501">
        <v>0</v>
      </c>
      <c r="L8299" s="501">
        <v>0</v>
      </c>
      <c r="M8299" s="501">
        <v>335</v>
      </c>
      <c r="N8299" s="501">
        <v>0</v>
      </c>
      <c r="O8299" s="506">
        <v>0</v>
      </c>
    </row>
    <row r="8300" spans="1:15" x14ac:dyDescent="0.35">
      <c r="A8300" s="503" t="s">
        <v>1283</v>
      </c>
      <c r="B8300" s="504" t="s">
        <v>3177</v>
      </c>
      <c r="C8300" s="504" t="s">
        <v>1094</v>
      </c>
      <c r="D8300" s="504" t="s">
        <v>3380</v>
      </c>
      <c r="E8300" s="504" t="s">
        <v>3381</v>
      </c>
      <c r="F8300" s="504" t="s">
        <v>942</v>
      </c>
      <c r="G8300" s="504" t="s">
        <v>943</v>
      </c>
      <c r="H8300" s="504" t="s">
        <v>10091</v>
      </c>
      <c r="I8300" s="504">
        <v>344</v>
      </c>
      <c r="J8300" s="504">
        <v>329</v>
      </c>
      <c r="K8300" s="504">
        <v>0</v>
      </c>
      <c r="L8300" s="504">
        <v>0</v>
      </c>
      <c r="M8300" s="504">
        <v>0</v>
      </c>
      <c r="N8300" s="504">
        <v>0</v>
      </c>
      <c r="O8300" s="505">
        <v>15</v>
      </c>
    </row>
    <row r="8301" spans="1:15" x14ac:dyDescent="0.35">
      <c r="A8301" s="500" t="s">
        <v>1100</v>
      </c>
      <c r="B8301" s="501">
        <v>4865</v>
      </c>
      <c r="C8301" s="501" t="s">
        <v>1094</v>
      </c>
      <c r="D8301" s="501" t="s">
        <v>3380</v>
      </c>
      <c r="E8301" s="501" t="s">
        <v>3381</v>
      </c>
      <c r="F8301" s="501" t="s">
        <v>942</v>
      </c>
      <c r="G8301" s="501" t="s">
        <v>943</v>
      </c>
      <c r="H8301" s="501" t="s">
        <v>10092</v>
      </c>
      <c r="I8301" s="501">
        <v>69</v>
      </c>
      <c r="J8301" s="501">
        <v>59</v>
      </c>
      <c r="K8301" s="501">
        <v>0</v>
      </c>
      <c r="L8301" s="501">
        <v>8</v>
      </c>
      <c r="M8301" s="501">
        <v>0</v>
      </c>
      <c r="N8301" s="501">
        <v>0</v>
      </c>
      <c r="O8301" s="506">
        <v>2</v>
      </c>
    </row>
    <row r="8302" spans="1:15" x14ac:dyDescent="0.35">
      <c r="A8302" s="503" t="s">
        <v>1172</v>
      </c>
      <c r="B8302" s="504">
        <v>4648</v>
      </c>
      <c r="C8302" s="504" t="s">
        <v>1089</v>
      </c>
      <c r="D8302" s="504" t="s">
        <v>3392</v>
      </c>
      <c r="E8302" s="504" t="s">
        <v>3381</v>
      </c>
      <c r="F8302" s="504" t="s">
        <v>942</v>
      </c>
      <c r="G8302" s="504" t="s">
        <v>943</v>
      </c>
      <c r="H8302" s="504" t="s">
        <v>10093</v>
      </c>
      <c r="I8302" s="504">
        <v>1</v>
      </c>
      <c r="J8302" s="504">
        <v>0</v>
      </c>
      <c r="K8302" s="504">
        <v>0</v>
      </c>
      <c r="L8302" s="504">
        <v>1</v>
      </c>
      <c r="M8302" s="504">
        <v>0</v>
      </c>
      <c r="N8302" s="504">
        <v>0</v>
      </c>
      <c r="O8302" s="505">
        <v>0</v>
      </c>
    </row>
    <row r="8303" spans="1:15" x14ac:dyDescent="0.35">
      <c r="A8303" s="500" t="s">
        <v>1293</v>
      </c>
      <c r="B8303" s="501" t="s">
        <v>3212</v>
      </c>
      <c r="C8303" s="501" t="s">
        <v>1094</v>
      </c>
      <c r="D8303" s="501" t="s">
        <v>3380</v>
      </c>
      <c r="E8303" s="501" t="s">
        <v>3381</v>
      </c>
      <c r="F8303" s="501" t="s">
        <v>942</v>
      </c>
      <c r="G8303" s="501" t="s">
        <v>943</v>
      </c>
      <c r="H8303" s="501" t="s">
        <v>11684</v>
      </c>
      <c r="I8303" s="501">
        <v>605</v>
      </c>
      <c r="J8303" s="501">
        <v>417</v>
      </c>
      <c r="K8303" s="501">
        <v>0</v>
      </c>
      <c r="L8303" s="501">
        <v>57</v>
      </c>
      <c r="M8303" s="501">
        <v>97</v>
      </c>
      <c r="N8303" s="501">
        <v>0</v>
      </c>
      <c r="O8303" s="506">
        <v>34</v>
      </c>
    </row>
    <row r="8304" spans="1:15" x14ac:dyDescent="0.35">
      <c r="A8304" s="503" t="s">
        <v>1102</v>
      </c>
      <c r="B8304" s="504">
        <v>4663</v>
      </c>
      <c r="C8304" s="504" t="s">
        <v>1089</v>
      </c>
      <c r="D8304" s="504" t="s">
        <v>3392</v>
      </c>
      <c r="E8304" s="504" t="s">
        <v>3381</v>
      </c>
      <c r="F8304" s="504" t="s">
        <v>942</v>
      </c>
      <c r="G8304" s="504" t="s">
        <v>943</v>
      </c>
      <c r="H8304" s="504" t="s">
        <v>10094</v>
      </c>
      <c r="I8304" s="504">
        <v>5</v>
      </c>
      <c r="J8304" s="504">
        <v>0</v>
      </c>
      <c r="K8304" s="504">
        <v>0</v>
      </c>
      <c r="L8304" s="504">
        <v>5</v>
      </c>
      <c r="M8304" s="504">
        <v>0</v>
      </c>
      <c r="N8304" s="504">
        <v>0</v>
      </c>
      <c r="O8304" s="505">
        <v>0</v>
      </c>
    </row>
    <row r="8305" spans="1:15" x14ac:dyDescent="0.35">
      <c r="A8305" s="500" t="s">
        <v>1175</v>
      </c>
      <c r="B8305" s="501" t="s">
        <v>3141</v>
      </c>
      <c r="C8305" s="501" t="s">
        <v>1094</v>
      </c>
      <c r="D8305" s="501" t="s">
        <v>3380</v>
      </c>
      <c r="E8305" s="501" t="s">
        <v>3381</v>
      </c>
      <c r="F8305" s="501" t="s">
        <v>942</v>
      </c>
      <c r="G8305" s="501" t="s">
        <v>943</v>
      </c>
      <c r="H8305" s="501" t="s">
        <v>10095</v>
      </c>
      <c r="I8305" s="501">
        <v>47</v>
      </c>
      <c r="J8305" s="501">
        <v>45</v>
      </c>
      <c r="K8305" s="501">
        <v>0</v>
      </c>
      <c r="L8305" s="501">
        <v>0</v>
      </c>
      <c r="M8305" s="501">
        <v>0</v>
      </c>
      <c r="N8305" s="501">
        <v>0</v>
      </c>
      <c r="O8305" s="506">
        <v>2</v>
      </c>
    </row>
    <row r="8306" spans="1:15" x14ac:dyDescent="0.35">
      <c r="A8306" s="503" t="s">
        <v>1294</v>
      </c>
      <c r="B8306" s="504" t="s">
        <v>3114</v>
      </c>
      <c r="C8306" s="504" t="s">
        <v>1094</v>
      </c>
      <c r="D8306" s="504" t="s">
        <v>3380</v>
      </c>
      <c r="E8306" s="504" t="s">
        <v>3381</v>
      </c>
      <c r="F8306" s="504" t="s">
        <v>942</v>
      </c>
      <c r="G8306" s="504" t="s">
        <v>943</v>
      </c>
      <c r="H8306" s="504" t="s">
        <v>10096</v>
      </c>
      <c r="I8306" s="504">
        <v>97</v>
      </c>
      <c r="J8306" s="504">
        <v>88</v>
      </c>
      <c r="K8306" s="504">
        <v>0</v>
      </c>
      <c r="L8306" s="504">
        <v>0</v>
      </c>
      <c r="M8306" s="504">
        <v>0</v>
      </c>
      <c r="N8306" s="504">
        <v>1</v>
      </c>
      <c r="O8306" s="505">
        <v>9</v>
      </c>
    </row>
    <row r="8307" spans="1:15" x14ac:dyDescent="0.35">
      <c r="A8307" s="500" t="s">
        <v>1296</v>
      </c>
      <c r="B8307" s="501">
        <v>4651</v>
      </c>
      <c r="C8307" s="501" t="s">
        <v>1094</v>
      </c>
      <c r="D8307" s="501" t="s">
        <v>3380</v>
      </c>
      <c r="E8307" s="501" t="s">
        <v>3381</v>
      </c>
      <c r="F8307" s="501" t="s">
        <v>942</v>
      </c>
      <c r="G8307" s="501" t="s">
        <v>943</v>
      </c>
      <c r="H8307" s="501" t="s">
        <v>10097</v>
      </c>
      <c r="I8307" s="501">
        <v>83</v>
      </c>
      <c r="J8307" s="501">
        <v>69</v>
      </c>
      <c r="K8307" s="501">
        <v>0</v>
      </c>
      <c r="L8307" s="501">
        <v>8</v>
      </c>
      <c r="M8307" s="501">
        <v>0</v>
      </c>
      <c r="N8307" s="501">
        <v>0</v>
      </c>
      <c r="O8307" s="506">
        <v>6</v>
      </c>
    </row>
    <row r="8308" spans="1:15" x14ac:dyDescent="0.35">
      <c r="A8308" s="503" t="s">
        <v>14208</v>
      </c>
      <c r="B8308" s="504">
        <v>4803</v>
      </c>
      <c r="C8308" s="504" t="s">
        <v>1094</v>
      </c>
      <c r="D8308" s="504" t="s">
        <v>3380</v>
      </c>
      <c r="E8308" s="504" t="s">
        <v>3381</v>
      </c>
      <c r="F8308" s="504" t="s">
        <v>942</v>
      </c>
      <c r="G8308" s="504" t="s">
        <v>943</v>
      </c>
      <c r="H8308" s="504" t="s">
        <v>15157</v>
      </c>
      <c r="I8308" s="504">
        <v>2</v>
      </c>
      <c r="J8308" s="504">
        <v>0</v>
      </c>
      <c r="K8308" s="504">
        <v>0</v>
      </c>
      <c r="L8308" s="504">
        <v>2</v>
      </c>
      <c r="M8308" s="504">
        <v>0</v>
      </c>
      <c r="N8308" s="504">
        <v>0</v>
      </c>
      <c r="O8308" s="505">
        <v>0</v>
      </c>
    </row>
    <row r="8309" spans="1:15" x14ac:dyDescent="0.35">
      <c r="A8309" s="500" t="s">
        <v>1185</v>
      </c>
      <c r="B8309" s="501" t="s">
        <v>3253</v>
      </c>
      <c r="C8309" s="501" t="s">
        <v>1094</v>
      </c>
      <c r="D8309" s="501" t="s">
        <v>3380</v>
      </c>
      <c r="E8309" s="501" t="s">
        <v>3381</v>
      </c>
      <c r="F8309" s="501" t="s">
        <v>942</v>
      </c>
      <c r="G8309" s="501" t="s">
        <v>943</v>
      </c>
      <c r="H8309" s="501" t="s">
        <v>10098</v>
      </c>
      <c r="I8309" s="501">
        <v>1</v>
      </c>
      <c r="J8309" s="501">
        <v>0</v>
      </c>
      <c r="K8309" s="501">
        <v>0</v>
      </c>
      <c r="L8309" s="501">
        <v>1</v>
      </c>
      <c r="M8309" s="501">
        <v>0</v>
      </c>
      <c r="N8309" s="501">
        <v>0</v>
      </c>
      <c r="O8309" s="506">
        <v>0</v>
      </c>
    </row>
    <row r="8310" spans="1:15" x14ac:dyDescent="0.35">
      <c r="A8310" s="503" t="s">
        <v>1187</v>
      </c>
      <c r="B8310" s="504" t="s">
        <v>2951</v>
      </c>
      <c r="C8310" s="504" t="s">
        <v>1094</v>
      </c>
      <c r="D8310" s="504" t="s">
        <v>3380</v>
      </c>
      <c r="E8310" s="504" t="s">
        <v>3381</v>
      </c>
      <c r="F8310" s="504" t="s">
        <v>942</v>
      </c>
      <c r="G8310" s="504" t="s">
        <v>943</v>
      </c>
      <c r="H8310" s="504" t="s">
        <v>10099</v>
      </c>
      <c r="I8310" s="504">
        <v>12</v>
      </c>
      <c r="J8310" s="504">
        <v>12</v>
      </c>
      <c r="K8310" s="504">
        <v>0</v>
      </c>
      <c r="L8310" s="504">
        <v>0</v>
      </c>
      <c r="M8310" s="504">
        <v>0</v>
      </c>
      <c r="N8310" s="504">
        <v>0</v>
      </c>
      <c r="O8310" s="505">
        <v>0</v>
      </c>
    </row>
    <row r="8311" spans="1:15" x14ac:dyDescent="0.35">
      <c r="A8311" s="500" t="s">
        <v>1105</v>
      </c>
      <c r="B8311" s="501">
        <v>4668</v>
      </c>
      <c r="C8311" s="501" t="s">
        <v>1094</v>
      </c>
      <c r="D8311" s="501" t="s">
        <v>3380</v>
      </c>
      <c r="E8311" s="501" t="s">
        <v>3381</v>
      </c>
      <c r="F8311" s="501" t="s">
        <v>942</v>
      </c>
      <c r="G8311" s="501" t="s">
        <v>943</v>
      </c>
      <c r="H8311" s="501" t="s">
        <v>10100</v>
      </c>
      <c r="I8311" s="501">
        <v>35</v>
      </c>
      <c r="J8311" s="501">
        <v>0</v>
      </c>
      <c r="K8311" s="501">
        <v>0</v>
      </c>
      <c r="L8311" s="501">
        <v>0</v>
      </c>
      <c r="M8311" s="501">
        <v>0</v>
      </c>
      <c r="N8311" s="501">
        <v>0</v>
      </c>
      <c r="O8311" s="506">
        <v>35</v>
      </c>
    </row>
    <row r="8312" spans="1:15" x14ac:dyDescent="0.35">
      <c r="A8312" s="503" t="s">
        <v>1107</v>
      </c>
      <c r="B8312" s="504" t="s">
        <v>3109</v>
      </c>
      <c r="C8312" s="504" t="s">
        <v>1094</v>
      </c>
      <c r="D8312" s="504" t="s">
        <v>3380</v>
      </c>
      <c r="E8312" s="504" t="s">
        <v>3381</v>
      </c>
      <c r="F8312" s="504" t="s">
        <v>942</v>
      </c>
      <c r="G8312" s="504" t="s">
        <v>943</v>
      </c>
      <c r="H8312" s="504" t="s">
        <v>10101</v>
      </c>
      <c r="I8312" s="504">
        <v>18</v>
      </c>
      <c r="J8312" s="504">
        <v>0</v>
      </c>
      <c r="K8312" s="504">
        <v>0</v>
      </c>
      <c r="L8312" s="504">
        <v>0</v>
      </c>
      <c r="M8312" s="504">
        <v>0</v>
      </c>
      <c r="N8312" s="504">
        <v>0</v>
      </c>
      <c r="O8312" s="505">
        <v>18</v>
      </c>
    </row>
    <row r="8313" spans="1:15" x14ac:dyDescent="0.35">
      <c r="A8313" s="500" t="s">
        <v>1109</v>
      </c>
      <c r="B8313" s="501" t="s">
        <v>2959</v>
      </c>
      <c r="C8313" s="501" t="s">
        <v>1094</v>
      </c>
      <c r="D8313" s="501" t="s">
        <v>3380</v>
      </c>
      <c r="E8313" s="501" t="s">
        <v>3381</v>
      </c>
      <c r="F8313" s="501" t="s">
        <v>942</v>
      </c>
      <c r="G8313" s="501" t="s">
        <v>943</v>
      </c>
      <c r="H8313" s="501" t="s">
        <v>10102</v>
      </c>
      <c r="I8313" s="501">
        <v>74</v>
      </c>
      <c r="J8313" s="501">
        <v>0</v>
      </c>
      <c r="K8313" s="501">
        <v>0</v>
      </c>
      <c r="L8313" s="501">
        <v>0</v>
      </c>
      <c r="M8313" s="501">
        <v>74</v>
      </c>
      <c r="N8313" s="501">
        <v>0</v>
      </c>
      <c r="O8313" s="506">
        <v>0</v>
      </c>
    </row>
    <row r="8314" spans="1:15" x14ac:dyDescent="0.35">
      <c r="A8314" s="503" t="s">
        <v>1190</v>
      </c>
      <c r="B8314" s="504">
        <v>4662</v>
      </c>
      <c r="C8314" s="504" t="s">
        <v>1094</v>
      </c>
      <c r="D8314" s="504" t="s">
        <v>3380</v>
      </c>
      <c r="E8314" s="504" t="s">
        <v>3381</v>
      </c>
      <c r="F8314" s="504" t="s">
        <v>942</v>
      </c>
      <c r="G8314" s="504" t="s">
        <v>943</v>
      </c>
      <c r="H8314" s="504" t="s">
        <v>10103</v>
      </c>
      <c r="I8314" s="504">
        <v>17</v>
      </c>
      <c r="J8314" s="504">
        <v>0</v>
      </c>
      <c r="K8314" s="504">
        <v>0</v>
      </c>
      <c r="L8314" s="504">
        <v>17</v>
      </c>
      <c r="M8314" s="504">
        <v>0</v>
      </c>
      <c r="N8314" s="504">
        <v>0</v>
      </c>
      <c r="O8314" s="505">
        <v>0</v>
      </c>
    </row>
    <row r="8315" spans="1:15" x14ac:dyDescent="0.35">
      <c r="A8315" s="500" t="s">
        <v>1310</v>
      </c>
      <c r="B8315" s="501">
        <v>5062</v>
      </c>
      <c r="C8315" s="501" t="s">
        <v>1089</v>
      </c>
      <c r="D8315" s="501" t="s">
        <v>3380</v>
      </c>
      <c r="E8315" s="501" t="s">
        <v>3381</v>
      </c>
      <c r="F8315" s="501" t="s">
        <v>942</v>
      </c>
      <c r="G8315" s="501" t="s">
        <v>943</v>
      </c>
      <c r="H8315" s="501" t="s">
        <v>15158</v>
      </c>
      <c r="I8315" s="501">
        <v>2</v>
      </c>
      <c r="J8315" s="501">
        <v>0</v>
      </c>
      <c r="K8315" s="501">
        <v>0</v>
      </c>
      <c r="L8315" s="501">
        <v>0</v>
      </c>
      <c r="M8315" s="501">
        <v>0</v>
      </c>
      <c r="N8315" s="501">
        <v>0</v>
      </c>
      <c r="O8315" s="506">
        <v>2</v>
      </c>
    </row>
    <row r="8316" spans="1:15" x14ac:dyDescent="0.35">
      <c r="A8316" s="503" t="s">
        <v>1197</v>
      </c>
      <c r="B8316" s="504">
        <v>4863</v>
      </c>
      <c r="C8316" s="504" t="s">
        <v>1089</v>
      </c>
      <c r="D8316" s="504" t="s">
        <v>3392</v>
      </c>
      <c r="E8316" s="504" t="s">
        <v>3381</v>
      </c>
      <c r="F8316" s="504" t="s">
        <v>942</v>
      </c>
      <c r="G8316" s="504" t="s">
        <v>943</v>
      </c>
      <c r="H8316" s="504" t="s">
        <v>10104</v>
      </c>
      <c r="I8316" s="504">
        <v>3</v>
      </c>
      <c r="J8316" s="504">
        <v>0</v>
      </c>
      <c r="K8316" s="504">
        <v>0</v>
      </c>
      <c r="L8316" s="504">
        <v>3</v>
      </c>
      <c r="M8316" s="504">
        <v>0</v>
      </c>
      <c r="N8316" s="504">
        <v>0</v>
      </c>
      <c r="O8316" s="505">
        <v>0</v>
      </c>
    </row>
    <row r="8317" spans="1:15" x14ac:dyDescent="0.35">
      <c r="A8317" s="500" t="s">
        <v>1202</v>
      </c>
      <c r="B8317" s="501" t="s">
        <v>3217</v>
      </c>
      <c r="C8317" s="501" t="s">
        <v>1094</v>
      </c>
      <c r="D8317" s="501" t="s">
        <v>3380</v>
      </c>
      <c r="E8317" s="501" t="s">
        <v>3381</v>
      </c>
      <c r="F8317" s="501" t="s">
        <v>942</v>
      </c>
      <c r="G8317" s="501" t="s">
        <v>943</v>
      </c>
      <c r="H8317" s="501" t="s">
        <v>10105</v>
      </c>
      <c r="I8317" s="501">
        <v>129</v>
      </c>
      <c r="J8317" s="501">
        <v>128</v>
      </c>
      <c r="K8317" s="501">
        <v>0</v>
      </c>
      <c r="L8317" s="501">
        <v>0</v>
      </c>
      <c r="M8317" s="501">
        <v>0</v>
      </c>
      <c r="N8317" s="501">
        <v>0</v>
      </c>
      <c r="O8317" s="506">
        <v>1</v>
      </c>
    </row>
    <row r="8318" spans="1:15" x14ac:dyDescent="0.35">
      <c r="A8318" s="503" t="s">
        <v>1112</v>
      </c>
      <c r="B8318" s="504" t="s">
        <v>3008</v>
      </c>
      <c r="C8318" s="504" t="s">
        <v>1094</v>
      </c>
      <c r="D8318" s="504" t="s">
        <v>3380</v>
      </c>
      <c r="E8318" s="504" t="s">
        <v>3381</v>
      </c>
      <c r="F8318" s="504" t="s">
        <v>942</v>
      </c>
      <c r="G8318" s="504" t="s">
        <v>943</v>
      </c>
      <c r="H8318" s="504" t="s">
        <v>10106</v>
      </c>
      <c r="I8318" s="504">
        <v>8</v>
      </c>
      <c r="J8318" s="504">
        <v>0</v>
      </c>
      <c r="K8318" s="504">
        <v>0</v>
      </c>
      <c r="L8318" s="504">
        <v>8</v>
      </c>
      <c r="M8318" s="504">
        <v>0</v>
      </c>
      <c r="N8318" s="504">
        <v>0</v>
      </c>
      <c r="O8318" s="505">
        <v>0</v>
      </c>
    </row>
    <row r="8319" spans="1:15" x14ac:dyDescent="0.35">
      <c r="A8319" s="500" t="s">
        <v>1210</v>
      </c>
      <c r="B8319" s="501">
        <v>4781</v>
      </c>
      <c r="C8319" s="501" t="s">
        <v>1089</v>
      </c>
      <c r="D8319" s="501" t="s">
        <v>3392</v>
      </c>
      <c r="E8319" s="501" t="s">
        <v>3381</v>
      </c>
      <c r="F8319" s="501" t="s">
        <v>942</v>
      </c>
      <c r="G8319" s="501" t="s">
        <v>943</v>
      </c>
      <c r="H8319" s="501" t="s">
        <v>10107</v>
      </c>
      <c r="I8319" s="501">
        <v>14</v>
      </c>
      <c r="J8319" s="501">
        <v>0</v>
      </c>
      <c r="K8319" s="501">
        <v>0</v>
      </c>
      <c r="L8319" s="501">
        <v>14</v>
      </c>
      <c r="M8319" s="501">
        <v>0</v>
      </c>
      <c r="N8319" s="501">
        <v>0</v>
      </c>
      <c r="O8319" s="506">
        <v>0</v>
      </c>
    </row>
    <row r="8320" spans="1:15" x14ac:dyDescent="0.35">
      <c r="A8320" s="503" t="s">
        <v>1326</v>
      </c>
      <c r="B8320" s="504" t="s">
        <v>2954</v>
      </c>
      <c r="C8320" s="504" t="s">
        <v>1094</v>
      </c>
      <c r="D8320" s="504" t="s">
        <v>3380</v>
      </c>
      <c r="E8320" s="504" t="s">
        <v>3381</v>
      </c>
      <c r="F8320" s="504" t="s">
        <v>942</v>
      </c>
      <c r="G8320" s="504" t="s">
        <v>943</v>
      </c>
      <c r="H8320" s="504" t="s">
        <v>10108</v>
      </c>
      <c r="I8320" s="504">
        <v>25</v>
      </c>
      <c r="J8320" s="504">
        <v>8</v>
      </c>
      <c r="K8320" s="504">
        <v>0</v>
      </c>
      <c r="L8320" s="504">
        <v>9</v>
      </c>
      <c r="M8320" s="504">
        <v>0</v>
      </c>
      <c r="N8320" s="504">
        <v>0</v>
      </c>
      <c r="O8320" s="505">
        <v>8</v>
      </c>
    </row>
    <row r="8321" spans="1:15" x14ac:dyDescent="0.35">
      <c r="A8321" s="500" t="s">
        <v>1332</v>
      </c>
      <c r="B8321" s="501">
        <v>4878</v>
      </c>
      <c r="C8321" s="501" t="s">
        <v>1094</v>
      </c>
      <c r="D8321" s="501" t="s">
        <v>3380</v>
      </c>
      <c r="E8321" s="501" t="s">
        <v>3381</v>
      </c>
      <c r="F8321" s="501" t="s">
        <v>942</v>
      </c>
      <c r="G8321" s="501" t="s">
        <v>943</v>
      </c>
      <c r="H8321" s="501" t="s">
        <v>15159</v>
      </c>
      <c r="I8321" s="501">
        <v>64</v>
      </c>
      <c r="J8321" s="501">
        <v>23</v>
      </c>
      <c r="K8321" s="501">
        <v>0</v>
      </c>
      <c r="L8321" s="501">
        <v>41</v>
      </c>
      <c r="M8321" s="501">
        <v>0</v>
      </c>
      <c r="N8321" s="501">
        <v>0</v>
      </c>
      <c r="O8321" s="506">
        <v>0</v>
      </c>
    </row>
    <row r="8322" spans="1:15" x14ac:dyDescent="0.35">
      <c r="A8322" s="503" t="s">
        <v>1122</v>
      </c>
      <c r="B8322" s="504" t="s">
        <v>2994</v>
      </c>
      <c r="C8322" s="504" t="s">
        <v>1094</v>
      </c>
      <c r="D8322" s="504" t="s">
        <v>3380</v>
      </c>
      <c r="E8322" s="504" t="s">
        <v>3381</v>
      </c>
      <c r="F8322" s="504" t="s">
        <v>942</v>
      </c>
      <c r="G8322" s="504" t="s">
        <v>943</v>
      </c>
      <c r="H8322" s="504" t="s">
        <v>10109</v>
      </c>
      <c r="I8322" s="504">
        <v>543</v>
      </c>
      <c r="J8322" s="504">
        <v>543</v>
      </c>
      <c r="K8322" s="504">
        <v>0</v>
      </c>
      <c r="L8322" s="504">
        <v>0</v>
      </c>
      <c r="M8322" s="504">
        <v>0</v>
      </c>
      <c r="N8322" s="504">
        <v>0</v>
      </c>
      <c r="O8322" s="505">
        <v>0</v>
      </c>
    </row>
    <row r="8323" spans="1:15" x14ac:dyDescent="0.35">
      <c r="A8323" s="500" t="s">
        <v>1228</v>
      </c>
      <c r="B8323" s="501" t="s">
        <v>3321</v>
      </c>
      <c r="C8323" s="501" t="s">
        <v>1094</v>
      </c>
      <c r="D8323" s="501" t="s">
        <v>3380</v>
      </c>
      <c r="E8323" s="501" t="s">
        <v>3381</v>
      </c>
      <c r="F8323" s="501" t="s">
        <v>942</v>
      </c>
      <c r="G8323" s="501" t="s">
        <v>943</v>
      </c>
      <c r="H8323" s="501" t="s">
        <v>10110</v>
      </c>
      <c r="I8323" s="501">
        <v>2</v>
      </c>
      <c r="J8323" s="501">
        <v>0</v>
      </c>
      <c r="K8323" s="501">
        <v>0</v>
      </c>
      <c r="L8323" s="501">
        <v>2</v>
      </c>
      <c r="M8323" s="501">
        <v>0</v>
      </c>
      <c r="N8323" s="501">
        <v>0</v>
      </c>
      <c r="O8323" s="506">
        <v>0</v>
      </c>
    </row>
    <row r="8324" spans="1:15" x14ac:dyDescent="0.35">
      <c r="A8324" s="503" t="s">
        <v>1124</v>
      </c>
      <c r="B8324" s="504">
        <v>4745</v>
      </c>
      <c r="C8324" s="504" t="s">
        <v>1094</v>
      </c>
      <c r="D8324" s="504" t="s">
        <v>3380</v>
      </c>
      <c r="E8324" s="504" t="s">
        <v>3381</v>
      </c>
      <c r="F8324" s="504" t="s">
        <v>942</v>
      </c>
      <c r="G8324" s="504" t="s">
        <v>943</v>
      </c>
      <c r="H8324" s="504" t="s">
        <v>12001</v>
      </c>
      <c r="I8324" s="504">
        <v>1</v>
      </c>
      <c r="J8324" s="504">
        <v>0</v>
      </c>
      <c r="K8324" s="504">
        <v>0</v>
      </c>
      <c r="L8324" s="504">
        <v>1</v>
      </c>
      <c r="M8324" s="504">
        <v>0</v>
      </c>
      <c r="N8324" s="504">
        <v>0</v>
      </c>
      <c r="O8324" s="505">
        <v>0</v>
      </c>
    </row>
    <row r="8325" spans="1:15" x14ac:dyDescent="0.35">
      <c r="A8325" s="500" t="s">
        <v>1339</v>
      </c>
      <c r="B8325" s="501" t="s">
        <v>3358</v>
      </c>
      <c r="C8325" s="501" t="s">
        <v>1094</v>
      </c>
      <c r="D8325" s="501" t="s">
        <v>3380</v>
      </c>
      <c r="E8325" s="501" t="s">
        <v>3381</v>
      </c>
      <c r="F8325" s="501" t="s">
        <v>942</v>
      </c>
      <c r="G8325" s="501" t="s">
        <v>943</v>
      </c>
      <c r="H8325" s="501" t="s">
        <v>10111</v>
      </c>
      <c r="I8325" s="501">
        <v>1</v>
      </c>
      <c r="J8325" s="501">
        <v>0</v>
      </c>
      <c r="K8325" s="501">
        <v>0</v>
      </c>
      <c r="L8325" s="501">
        <v>0</v>
      </c>
      <c r="M8325" s="501">
        <v>0</v>
      </c>
      <c r="N8325" s="501">
        <v>0</v>
      </c>
      <c r="O8325" s="506">
        <v>1</v>
      </c>
    </row>
    <row r="8326" spans="1:15" x14ac:dyDescent="0.35">
      <c r="A8326" s="503" t="s">
        <v>1233</v>
      </c>
      <c r="B8326" s="504">
        <v>4636</v>
      </c>
      <c r="C8326" s="504" t="s">
        <v>1094</v>
      </c>
      <c r="D8326" s="504" t="s">
        <v>3380</v>
      </c>
      <c r="E8326" s="504" t="s">
        <v>3381</v>
      </c>
      <c r="F8326" s="504" t="s">
        <v>942</v>
      </c>
      <c r="G8326" s="504" t="s">
        <v>943</v>
      </c>
      <c r="H8326" s="504" t="s">
        <v>10112</v>
      </c>
      <c r="I8326" s="504">
        <v>55</v>
      </c>
      <c r="J8326" s="504">
        <v>30</v>
      </c>
      <c r="K8326" s="504">
        <v>0</v>
      </c>
      <c r="L8326" s="504">
        <v>0</v>
      </c>
      <c r="M8326" s="504">
        <v>0</v>
      </c>
      <c r="N8326" s="504">
        <v>0</v>
      </c>
      <c r="O8326" s="505">
        <v>25</v>
      </c>
    </row>
    <row r="8327" spans="1:15" x14ac:dyDescent="0.35">
      <c r="A8327" s="500" t="s">
        <v>11368</v>
      </c>
      <c r="B8327" s="501">
        <v>5083</v>
      </c>
      <c r="C8327" s="501" t="s">
        <v>1094</v>
      </c>
      <c r="D8327" s="501" t="s">
        <v>3380</v>
      </c>
      <c r="E8327" s="501" t="s">
        <v>3381</v>
      </c>
      <c r="F8327" s="501" t="s">
        <v>942</v>
      </c>
      <c r="G8327" s="501" t="s">
        <v>943</v>
      </c>
      <c r="H8327" s="501" t="s">
        <v>12085</v>
      </c>
      <c r="I8327" s="501">
        <v>17</v>
      </c>
      <c r="J8327" s="501">
        <v>17</v>
      </c>
      <c r="K8327" s="501">
        <v>0</v>
      </c>
      <c r="L8327" s="501">
        <v>0</v>
      </c>
      <c r="M8327" s="501">
        <v>0</v>
      </c>
      <c r="N8327" s="501">
        <v>0</v>
      </c>
      <c r="O8327" s="506">
        <v>0</v>
      </c>
    </row>
    <row r="8328" spans="1:15" x14ac:dyDescent="0.35">
      <c r="A8328" s="503" t="s">
        <v>1234</v>
      </c>
      <c r="B8328" s="504" t="s">
        <v>3291</v>
      </c>
      <c r="C8328" s="504" t="s">
        <v>1094</v>
      </c>
      <c r="D8328" s="504" t="s">
        <v>3380</v>
      </c>
      <c r="E8328" s="504" t="s">
        <v>3381</v>
      </c>
      <c r="F8328" s="504" t="s">
        <v>942</v>
      </c>
      <c r="G8328" s="504" t="s">
        <v>943</v>
      </c>
      <c r="H8328" s="504" t="s">
        <v>10113</v>
      </c>
      <c r="I8328" s="504">
        <v>56</v>
      </c>
      <c r="J8328" s="504">
        <v>56</v>
      </c>
      <c r="K8328" s="504">
        <v>0</v>
      </c>
      <c r="L8328" s="504">
        <v>0</v>
      </c>
      <c r="M8328" s="504">
        <v>0</v>
      </c>
      <c r="N8328" s="504">
        <v>0</v>
      </c>
      <c r="O8328" s="505">
        <v>0</v>
      </c>
    </row>
    <row r="8329" spans="1:15" x14ac:dyDescent="0.35">
      <c r="A8329" s="500" t="s">
        <v>1235</v>
      </c>
      <c r="B8329" s="501">
        <v>4684</v>
      </c>
      <c r="C8329" s="501" t="s">
        <v>1094</v>
      </c>
      <c r="D8329" s="501" t="s">
        <v>3380</v>
      </c>
      <c r="E8329" s="501" t="s">
        <v>3381</v>
      </c>
      <c r="F8329" s="501" t="s">
        <v>942</v>
      </c>
      <c r="G8329" s="501" t="s">
        <v>943</v>
      </c>
      <c r="H8329" s="501" t="s">
        <v>10114</v>
      </c>
      <c r="I8329" s="501">
        <v>70</v>
      </c>
      <c r="J8329" s="501">
        <v>18</v>
      </c>
      <c r="K8329" s="501">
        <v>0</v>
      </c>
      <c r="L8329" s="501">
        <v>17</v>
      </c>
      <c r="M8329" s="501">
        <v>0</v>
      </c>
      <c r="N8329" s="501">
        <v>0</v>
      </c>
      <c r="O8329" s="506">
        <v>35</v>
      </c>
    </row>
    <row r="8330" spans="1:15" x14ac:dyDescent="0.35">
      <c r="A8330" s="503" t="s">
        <v>1126</v>
      </c>
      <c r="B8330" s="504" t="s">
        <v>2974</v>
      </c>
      <c r="C8330" s="504" t="s">
        <v>1094</v>
      </c>
      <c r="D8330" s="504" t="s">
        <v>3380</v>
      </c>
      <c r="E8330" s="504" t="s">
        <v>3381</v>
      </c>
      <c r="F8330" s="504" t="s">
        <v>942</v>
      </c>
      <c r="G8330" s="504" t="s">
        <v>943</v>
      </c>
      <c r="H8330" s="504" t="s">
        <v>10115</v>
      </c>
      <c r="I8330" s="504">
        <v>145</v>
      </c>
      <c r="J8330" s="504">
        <v>108</v>
      </c>
      <c r="K8330" s="504">
        <v>0</v>
      </c>
      <c r="L8330" s="504">
        <v>6</v>
      </c>
      <c r="M8330" s="504">
        <v>31</v>
      </c>
      <c r="N8330" s="504">
        <v>0</v>
      </c>
      <c r="O8330" s="505">
        <v>0</v>
      </c>
    </row>
    <row r="8331" spans="1:15" x14ac:dyDescent="0.35">
      <c r="A8331" s="500" t="s">
        <v>1346</v>
      </c>
      <c r="B8331" s="501" t="s">
        <v>3150</v>
      </c>
      <c r="C8331" s="501" t="s">
        <v>1094</v>
      </c>
      <c r="D8331" s="501" t="s">
        <v>3380</v>
      </c>
      <c r="E8331" s="501" t="s">
        <v>3381</v>
      </c>
      <c r="F8331" s="501" t="s">
        <v>942</v>
      </c>
      <c r="G8331" s="501" t="s">
        <v>943</v>
      </c>
      <c r="H8331" s="501" t="s">
        <v>10116</v>
      </c>
      <c r="I8331" s="501">
        <v>133</v>
      </c>
      <c r="J8331" s="501">
        <v>110</v>
      </c>
      <c r="K8331" s="501">
        <v>0</v>
      </c>
      <c r="L8331" s="501">
        <v>23</v>
      </c>
      <c r="M8331" s="501">
        <v>0</v>
      </c>
      <c r="N8331" s="501">
        <v>3</v>
      </c>
      <c r="O8331" s="506">
        <v>0</v>
      </c>
    </row>
    <row r="8332" spans="1:15" x14ac:dyDescent="0.35">
      <c r="A8332" s="503" t="s">
        <v>1249</v>
      </c>
      <c r="B8332" s="504">
        <v>4729</v>
      </c>
      <c r="C8332" s="504" t="s">
        <v>1094</v>
      </c>
      <c r="D8332" s="504" t="s">
        <v>3380</v>
      </c>
      <c r="E8332" s="504" t="s">
        <v>3381</v>
      </c>
      <c r="F8332" s="504" t="s">
        <v>942</v>
      </c>
      <c r="G8332" s="504" t="s">
        <v>943</v>
      </c>
      <c r="H8332" s="504" t="s">
        <v>10117</v>
      </c>
      <c r="I8332" s="504">
        <v>39</v>
      </c>
      <c r="J8332" s="504">
        <v>39</v>
      </c>
      <c r="K8332" s="504">
        <v>0</v>
      </c>
      <c r="L8332" s="504">
        <v>0</v>
      </c>
      <c r="M8332" s="504">
        <v>0</v>
      </c>
      <c r="N8332" s="504">
        <v>0</v>
      </c>
      <c r="O8332" s="505">
        <v>0</v>
      </c>
    </row>
    <row r="8333" spans="1:15" x14ac:dyDescent="0.35">
      <c r="A8333" s="500" t="s">
        <v>1253</v>
      </c>
      <c r="B8333" s="501" t="s">
        <v>3232</v>
      </c>
      <c r="C8333" s="501" t="s">
        <v>1094</v>
      </c>
      <c r="D8333" s="501" t="s">
        <v>3380</v>
      </c>
      <c r="E8333" s="501" t="s">
        <v>3381</v>
      </c>
      <c r="F8333" s="501" t="s">
        <v>942</v>
      </c>
      <c r="G8333" s="501" t="s">
        <v>943</v>
      </c>
      <c r="H8333" s="501" t="s">
        <v>10118</v>
      </c>
      <c r="I8333" s="501">
        <v>28</v>
      </c>
      <c r="J8333" s="501">
        <v>12</v>
      </c>
      <c r="K8333" s="501">
        <v>0</v>
      </c>
      <c r="L8333" s="501">
        <v>0</v>
      </c>
      <c r="M8333" s="501">
        <v>16</v>
      </c>
      <c r="N8333" s="501">
        <v>0</v>
      </c>
      <c r="O8333" s="506">
        <v>0</v>
      </c>
    </row>
    <row r="8334" spans="1:15" x14ac:dyDescent="0.35">
      <c r="A8334" s="503" t="s">
        <v>1088</v>
      </c>
      <c r="B8334" s="504" t="s">
        <v>2879</v>
      </c>
      <c r="C8334" s="504" t="s">
        <v>1089</v>
      </c>
      <c r="D8334" s="504" t="s">
        <v>3392</v>
      </c>
      <c r="E8334" s="504" t="s">
        <v>3381</v>
      </c>
      <c r="F8334" s="504" t="s">
        <v>944</v>
      </c>
      <c r="G8334" s="504" t="s">
        <v>945</v>
      </c>
      <c r="H8334" s="504" t="s">
        <v>10119</v>
      </c>
      <c r="I8334" s="504">
        <v>12</v>
      </c>
      <c r="J8334" s="504">
        <v>0</v>
      </c>
      <c r="K8334" s="504">
        <v>0</v>
      </c>
      <c r="L8334" s="504">
        <v>0</v>
      </c>
      <c r="M8334" s="504">
        <v>12</v>
      </c>
      <c r="N8334" s="504">
        <v>0</v>
      </c>
      <c r="O8334" s="505">
        <v>0</v>
      </c>
    </row>
    <row r="8335" spans="1:15" x14ac:dyDescent="0.35">
      <c r="A8335" s="500" t="s">
        <v>14127</v>
      </c>
      <c r="B8335" s="501" t="s">
        <v>14126</v>
      </c>
      <c r="C8335" s="501" t="s">
        <v>1094</v>
      </c>
      <c r="D8335" s="501" t="s">
        <v>3380</v>
      </c>
      <c r="E8335" s="501" t="s">
        <v>3381</v>
      </c>
      <c r="F8335" s="501" t="s">
        <v>944</v>
      </c>
      <c r="G8335" s="501" t="s">
        <v>945</v>
      </c>
      <c r="H8335" s="501" t="s">
        <v>15160</v>
      </c>
      <c r="I8335" s="501">
        <v>327</v>
      </c>
      <c r="J8335" s="501">
        <v>295</v>
      </c>
      <c r="K8335" s="501">
        <v>0</v>
      </c>
      <c r="L8335" s="501">
        <v>0</v>
      </c>
      <c r="M8335" s="501">
        <v>0</v>
      </c>
      <c r="N8335" s="501">
        <v>0</v>
      </c>
      <c r="O8335" s="506">
        <v>32</v>
      </c>
    </row>
    <row r="8336" spans="1:15" x14ac:dyDescent="0.35">
      <c r="A8336" s="503" t="s">
        <v>1093</v>
      </c>
      <c r="B8336" s="504" t="s">
        <v>3248</v>
      </c>
      <c r="C8336" s="504" t="s">
        <v>1094</v>
      </c>
      <c r="D8336" s="504" t="s">
        <v>3380</v>
      </c>
      <c r="E8336" s="504" t="s">
        <v>3381</v>
      </c>
      <c r="F8336" s="504" t="s">
        <v>944</v>
      </c>
      <c r="G8336" s="504" t="s">
        <v>945</v>
      </c>
      <c r="H8336" s="504" t="s">
        <v>10120</v>
      </c>
      <c r="I8336" s="504">
        <v>18</v>
      </c>
      <c r="J8336" s="504">
        <v>0</v>
      </c>
      <c r="K8336" s="504">
        <v>0</v>
      </c>
      <c r="L8336" s="504">
        <v>14</v>
      </c>
      <c r="M8336" s="504">
        <v>0</v>
      </c>
      <c r="N8336" s="504">
        <v>0</v>
      </c>
      <c r="O8336" s="505">
        <v>4</v>
      </c>
    </row>
    <row r="8337" spans="1:15" x14ac:dyDescent="0.35">
      <c r="A8337" s="500" t="s">
        <v>1096</v>
      </c>
      <c r="B8337" s="501" t="s">
        <v>3326</v>
      </c>
      <c r="C8337" s="501" t="s">
        <v>1094</v>
      </c>
      <c r="D8337" s="501" t="s">
        <v>3380</v>
      </c>
      <c r="E8337" s="501" t="s">
        <v>3381</v>
      </c>
      <c r="F8337" s="501" t="s">
        <v>944</v>
      </c>
      <c r="G8337" s="501" t="s">
        <v>945</v>
      </c>
      <c r="H8337" s="501" t="s">
        <v>10121</v>
      </c>
      <c r="I8337" s="501">
        <v>103</v>
      </c>
      <c r="J8337" s="501">
        <v>8</v>
      </c>
      <c r="K8337" s="501">
        <v>0</v>
      </c>
      <c r="L8337" s="501">
        <v>0</v>
      </c>
      <c r="M8337" s="501">
        <v>95</v>
      </c>
      <c r="N8337" s="501">
        <v>0</v>
      </c>
      <c r="O8337" s="506">
        <v>0</v>
      </c>
    </row>
    <row r="8338" spans="1:15" x14ac:dyDescent="0.35">
      <c r="A8338" s="503" t="s">
        <v>1802</v>
      </c>
      <c r="B8338" s="504">
        <v>4872</v>
      </c>
      <c r="C8338" s="504" t="s">
        <v>1089</v>
      </c>
      <c r="D8338" s="504" t="s">
        <v>3380</v>
      </c>
      <c r="E8338" s="504" t="s">
        <v>3381</v>
      </c>
      <c r="F8338" s="504" t="s">
        <v>944</v>
      </c>
      <c r="G8338" s="504" t="s">
        <v>945</v>
      </c>
      <c r="H8338" s="504" t="s">
        <v>10122</v>
      </c>
      <c r="I8338" s="504">
        <v>113</v>
      </c>
      <c r="J8338" s="504">
        <v>112</v>
      </c>
      <c r="K8338" s="504">
        <v>0</v>
      </c>
      <c r="L8338" s="504">
        <v>1</v>
      </c>
      <c r="M8338" s="504">
        <v>0</v>
      </c>
      <c r="N8338" s="504">
        <v>0</v>
      </c>
      <c r="O8338" s="505">
        <v>0</v>
      </c>
    </row>
    <row r="8339" spans="1:15" x14ac:dyDescent="0.35">
      <c r="A8339" s="500" t="s">
        <v>1098</v>
      </c>
      <c r="B8339" s="501">
        <v>4691</v>
      </c>
      <c r="C8339" s="501" t="s">
        <v>1094</v>
      </c>
      <c r="D8339" s="501" t="s">
        <v>3380</v>
      </c>
      <c r="E8339" s="501" t="s">
        <v>3381</v>
      </c>
      <c r="F8339" s="501" t="s">
        <v>944</v>
      </c>
      <c r="G8339" s="501" t="s">
        <v>945</v>
      </c>
      <c r="H8339" s="501" t="s">
        <v>10123</v>
      </c>
      <c r="I8339" s="501">
        <v>5069</v>
      </c>
      <c r="J8339" s="501">
        <v>4753</v>
      </c>
      <c r="K8339" s="501">
        <v>0</v>
      </c>
      <c r="L8339" s="501">
        <v>36</v>
      </c>
      <c r="M8339" s="501">
        <v>125</v>
      </c>
      <c r="N8339" s="501">
        <v>0</v>
      </c>
      <c r="O8339" s="506">
        <v>155</v>
      </c>
    </row>
    <row r="8340" spans="1:15" x14ac:dyDescent="0.35">
      <c r="A8340" s="503" t="s">
        <v>1100</v>
      </c>
      <c r="B8340" s="504">
        <v>4865</v>
      </c>
      <c r="C8340" s="504" t="s">
        <v>1094</v>
      </c>
      <c r="D8340" s="504" t="s">
        <v>3380</v>
      </c>
      <c r="E8340" s="504" t="s">
        <v>3381</v>
      </c>
      <c r="F8340" s="504" t="s">
        <v>944</v>
      </c>
      <c r="G8340" s="504" t="s">
        <v>945</v>
      </c>
      <c r="H8340" s="504" t="s">
        <v>10124</v>
      </c>
      <c r="I8340" s="504">
        <v>253</v>
      </c>
      <c r="J8340" s="504">
        <v>125</v>
      </c>
      <c r="K8340" s="504">
        <v>0</v>
      </c>
      <c r="L8340" s="504">
        <v>0</v>
      </c>
      <c r="M8340" s="504">
        <v>0</v>
      </c>
      <c r="N8340" s="504">
        <v>0</v>
      </c>
      <c r="O8340" s="505">
        <v>128</v>
      </c>
    </row>
    <row r="8341" spans="1:15" x14ac:dyDescent="0.35">
      <c r="A8341" s="500" t="s">
        <v>1172</v>
      </c>
      <c r="B8341" s="501">
        <v>4648</v>
      </c>
      <c r="C8341" s="501" t="s">
        <v>1089</v>
      </c>
      <c r="D8341" s="501" t="s">
        <v>3392</v>
      </c>
      <c r="E8341" s="501" t="s">
        <v>3381</v>
      </c>
      <c r="F8341" s="501" t="s">
        <v>944</v>
      </c>
      <c r="G8341" s="501" t="s">
        <v>945</v>
      </c>
      <c r="H8341" s="501" t="s">
        <v>10125</v>
      </c>
      <c r="I8341" s="501">
        <v>11</v>
      </c>
      <c r="J8341" s="501">
        <v>0</v>
      </c>
      <c r="K8341" s="501">
        <v>0</v>
      </c>
      <c r="L8341" s="501">
        <v>11</v>
      </c>
      <c r="M8341" s="501">
        <v>0</v>
      </c>
      <c r="N8341" s="501">
        <v>0</v>
      </c>
      <c r="O8341" s="506">
        <v>0</v>
      </c>
    </row>
    <row r="8342" spans="1:15" x14ac:dyDescent="0.35">
      <c r="A8342" s="503" t="s">
        <v>1175</v>
      </c>
      <c r="B8342" s="504" t="s">
        <v>3141</v>
      </c>
      <c r="C8342" s="504" t="s">
        <v>1094</v>
      </c>
      <c r="D8342" s="504" t="s">
        <v>3380</v>
      </c>
      <c r="E8342" s="504" t="s">
        <v>3381</v>
      </c>
      <c r="F8342" s="504" t="s">
        <v>944</v>
      </c>
      <c r="G8342" s="504" t="s">
        <v>945</v>
      </c>
      <c r="H8342" s="504" t="s">
        <v>10126</v>
      </c>
      <c r="I8342" s="504">
        <v>149</v>
      </c>
      <c r="J8342" s="504">
        <v>110</v>
      </c>
      <c r="K8342" s="504">
        <v>0</v>
      </c>
      <c r="L8342" s="504">
        <v>0</v>
      </c>
      <c r="M8342" s="504">
        <v>0</v>
      </c>
      <c r="N8342" s="504">
        <v>0</v>
      </c>
      <c r="O8342" s="505">
        <v>39</v>
      </c>
    </row>
    <row r="8343" spans="1:15" x14ac:dyDescent="0.35">
      <c r="A8343" s="500" t="s">
        <v>1830</v>
      </c>
      <c r="B8343" s="501" t="s">
        <v>3255</v>
      </c>
      <c r="C8343" s="501" t="s">
        <v>1089</v>
      </c>
      <c r="D8343" s="501" t="s">
        <v>3392</v>
      </c>
      <c r="E8343" s="501" t="s">
        <v>3381</v>
      </c>
      <c r="F8343" s="501" t="s">
        <v>944</v>
      </c>
      <c r="G8343" s="501" t="s">
        <v>945</v>
      </c>
      <c r="H8343" s="501" t="s">
        <v>10127</v>
      </c>
      <c r="I8343" s="501">
        <v>221</v>
      </c>
      <c r="J8343" s="501">
        <v>142</v>
      </c>
      <c r="K8343" s="501">
        <v>0</v>
      </c>
      <c r="L8343" s="501">
        <v>79</v>
      </c>
      <c r="M8343" s="501">
        <v>0</v>
      </c>
      <c r="N8343" s="501">
        <v>0</v>
      </c>
      <c r="O8343" s="506">
        <v>0</v>
      </c>
    </row>
    <row r="8344" spans="1:15" x14ac:dyDescent="0.35">
      <c r="A8344" s="503" t="s">
        <v>1107</v>
      </c>
      <c r="B8344" s="504" t="s">
        <v>3109</v>
      </c>
      <c r="C8344" s="504" t="s">
        <v>1094</v>
      </c>
      <c r="D8344" s="504" t="s">
        <v>3380</v>
      </c>
      <c r="E8344" s="504" t="s">
        <v>3381</v>
      </c>
      <c r="F8344" s="504" t="s">
        <v>944</v>
      </c>
      <c r="G8344" s="504" t="s">
        <v>945</v>
      </c>
      <c r="H8344" s="504" t="s">
        <v>10128</v>
      </c>
      <c r="I8344" s="504">
        <v>17</v>
      </c>
      <c r="J8344" s="504">
        <v>0</v>
      </c>
      <c r="K8344" s="504">
        <v>0</v>
      </c>
      <c r="L8344" s="504">
        <v>17</v>
      </c>
      <c r="M8344" s="504">
        <v>0</v>
      </c>
      <c r="N8344" s="504">
        <v>0</v>
      </c>
      <c r="O8344" s="505">
        <v>0</v>
      </c>
    </row>
    <row r="8345" spans="1:15" x14ac:dyDescent="0.35">
      <c r="A8345" s="500" t="s">
        <v>1109</v>
      </c>
      <c r="B8345" s="501" t="s">
        <v>2959</v>
      </c>
      <c r="C8345" s="501" t="s">
        <v>1094</v>
      </c>
      <c r="D8345" s="501" t="s">
        <v>3380</v>
      </c>
      <c r="E8345" s="501" t="s">
        <v>3381</v>
      </c>
      <c r="F8345" s="501" t="s">
        <v>944</v>
      </c>
      <c r="G8345" s="501" t="s">
        <v>945</v>
      </c>
      <c r="H8345" s="501" t="s">
        <v>10129</v>
      </c>
      <c r="I8345" s="501">
        <v>55</v>
      </c>
      <c r="J8345" s="501">
        <v>0</v>
      </c>
      <c r="K8345" s="501">
        <v>0</v>
      </c>
      <c r="L8345" s="501">
        <v>0</v>
      </c>
      <c r="M8345" s="501">
        <v>55</v>
      </c>
      <c r="N8345" s="501">
        <v>0</v>
      </c>
      <c r="O8345" s="506">
        <v>0</v>
      </c>
    </row>
    <row r="8346" spans="1:15" x14ac:dyDescent="0.35">
      <c r="A8346" s="503" t="s">
        <v>1111</v>
      </c>
      <c r="B8346" s="504">
        <v>4873</v>
      </c>
      <c r="C8346" s="504" t="s">
        <v>1094</v>
      </c>
      <c r="D8346" s="504" t="s">
        <v>3380</v>
      </c>
      <c r="E8346" s="504" t="s">
        <v>3381</v>
      </c>
      <c r="F8346" s="504" t="s">
        <v>944</v>
      </c>
      <c r="G8346" s="504" t="s">
        <v>945</v>
      </c>
      <c r="H8346" s="504" t="s">
        <v>10130</v>
      </c>
      <c r="I8346" s="504">
        <v>1</v>
      </c>
      <c r="J8346" s="504">
        <v>0</v>
      </c>
      <c r="K8346" s="504">
        <v>0</v>
      </c>
      <c r="L8346" s="504">
        <v>0</v>
      </c>
      <c r="M8346" s="504">
        <v>0</v>
      </c>
      <c r="N8346" s="504">
        <v>0</v>
      </c>
      <c r="O8346" s="505">
        <v>1</v>
      </c>
    </row>
    <row r="8347" spans="1:15" x14ac:dyDescent="0.35">
      <c r="A8347" s="500" t="s">
        <v>1202</v>
      </c>
      <c r="B8347" s="501" t="s">
        <v>3217</v>
      </c>
      <c r="C8347" s="501" t="s">
        <v>1094</v>
      </c>
      <c r="D8347" s="501" t="s">
        <v>3380</v>
      </c>
      <c r="E8347" s="501" t="s">
        <v>3381</v>
      </c>
      <c r="F8347" s="501" t="s">
        <v>944</v>
      </c>
      <c r="G8347" s="501" t="s">
        <v>945</v>
      </c>
      <c r="H8347" s="501" t="s">
        <v>10131</v>
      </c>
      <c r="I8347" s="501">
        <v>3</v>
      </c>
      <c r="J8347" s="501">
        <v>1</v>
      </c>
      <c r="K8347" s="501">
        <v>0</v>
      </c>
      <c r="L8347" s="501">
        <v>0</v>
      </c>
      <c r="M8347" s="501">
        <v>0</v>
      </c>
      <c r="N8347" s="501">
        <v>0</v>
      </c>
      <c r="O8347" s="506">
        <v>2</v>
      </c>
    </row>
    <row r="8348" spans="1:15" x14ac:dyDescent="0.35">
      <c r="A8348" s="503" t="s">
        <v>1114</v>
      </c>
      <c r="B8348" s="504" t="s">
        <v>2982</v>
      </c>
      <c r="C8348" s="504" t="s">
        <v>1094</v>
      </c>
      <c r="D8348" s="504" t="s">
        <v>3380</v>
      </c>
      <c r="E8348" s="504" t="s">
        <v>3381</v>
      </c>
      <c r="F8348" s="504" t="s">
        <v>944</v>
      </c>
      <c r="G8348" s="504" t="s">
        <v>945</v>
      </c>
      <c r="H8348" s="504" t="s">
        <v>10132</v>
      </c>
      <c r="I8348" s="504">
        <v>3</v>
      </c>
      <c r="J8348" s="504">
        <v>0</v>
      </c>
      <c r="K8348" s="504">
        <v>0</v>
      </c>
      <c r="L8348" s="504">
        <v>0</v>
      </c>
      <c r="M8348" s="504">
        <v>0</v>
      </c>
      <c r="N8348" s="504">
        <v>0</v>
      </c>
      <c r="O8348" s="505">
        <v>3</v>
      </c>
    </row>
    <row r="8349" spans="1:15" x14ac:dyDescent="0.35">
      <c r="A8349" s="500" t="s">
        <v>1221</v>
      </c>
      <c r="B8349" s="501">
        <v>4728</v>
      </c>
      <c r="C8349" s="501" t="s">
        <v>1089</v>
      </c>
      <c r="D8349" s="501" t="s">
        <v>3392</v>
      </c>
      <c r="E8349" s="501" t="s">
        <v>3381</v>
      </c>
      <c r="F8349" s="501" t="s">
        <v>944</v>
      </c>
      <c r="G8349" s="501" t="s">
        <v>945</v>
      </c>
      <c r="H8349" s="501" t="s">
        <v>10133</v>
      </c>
      <c r="I8349" s="501">
        <v>4</v>
      </c>
      <c r="J8349" s="501">
        <v>0</v>
      </c>
      <c r="K8349" s="501">
        <v>0</v>
      </c>
      <c r="L8349" s="501">
        <v>4</v>
      </c>
      <c r="M8349" s="501">
        <v>0</v>
      </c>
      <c r="N8349" s="501">
        <v>0</v>
      </c>
      <c r="O8349" s="506">
        <v>0</v>
      </c>
    </row>
    <row r="8350" spans="1:15" x14ac:dyDescent="0.35">
      <c r="A8350" s="503" t="s">
        <v>1122</v>
      </c>
      <c r="B8350" s="504" t="s">
        <v>2994</v>
      </c>
      <c r="C8350" s="504" t="s">
        <v>1094</v>
      </c>
      <c r="D8350" s="504" t="s">
        <v>3380</v>
      </c>
      <c r="E8350" s="504" t="s">
        <v>3381</v>
      </c>
      <c r="F8350" s="504" t="s">
        <v>944</v>
      </c>
      <c r="G8350" s="504" t="s">
        <v>945</v>
      </c>
      <c r="H8350" s="504" t="s">
        <v>10134</v>
      </c>
      <c r="I8350" s="504">
        <v>18</v>
      </c>
      <c r="J8350" s="504">
        <v>17</v>
      </c>
      <c r="K8350" s="504">
        <v>0</v>
      </c>
      <c r="L8350" s="504">
        <v>0</v>
      </c>
      <c r="M8350" s="504">
        <v>0</v>
      </c>
      <c r="N8350" s="504">
        <v>0</v>
      </c>
      <c r="O8350" s="505">
        <v>1</v>
      </c>
    </row>
    <row r="8351" spans="1:15" x14ac:dyDescent="0.35">
      <c r="A8351" s="500" t="s">
        <v>1225</v>
      </c>
      <c r="B8351" s="501" t="s">
        <v>3315</v>
      </c>
      <c r="C8351" s="501" t="s">
        <v>1094</v>
      </c>
      <c r="D8351" s="501" t="s">
        <v>3380</v>
      </c>
      <c r="E8351" s="501" t="s">
        <v>3381</v>
      </c>
      <c r="F8351" s="501" t="s">
        <v>944</v>
      </c>
      <c r="G8351" s="501" t="s">
        <v>945</v>
      </c>
      <c r="H8351" s="501" t="s">
        <v>15161</v>
      </c>
      <c r="I8351" s="501">
        <v>37</v>
      </c>
      <c r="J8351" s="501">
        <v>0</v>
      </c>
      <c r="K8351" s="501">
        <v>0</v>
      </c>
      <c r="L8351" s="501">
        <v>37</v>
      </c>
      <c r="M8351" s="501">
        <v>0</v>
      </c>
      <c r="N8351" s="501">
        <v>0</v>
      </c>
      <c r="O8351" s="506">
        <v>0</v>
      </c>
    </row>
    <row r="8352" spans="1:15" x14ac:dyDescent="0.35">
      <c r="A8352" s="503" t="s">
        <v>1233</v>
      </c>
      <c r="B8352" s="504">
        <v>4636</v>
      </c>
      <c r="C8352" s="504" t="s">
        <v>1094</v>
      </c>
      <c r="D8352" s="504" t="s">
        <v>3380</v>
      </c>
      <c r="E8352" s="504" t="s">
        <v>3381</v>
      </c>
      <c r="F8352" s="504" t="s">
        <v>944</v>
      </c>
      <c r="G8352" s="504" t="s">
        <v>945</v>
      </c>
      <c r="H8352" s="504" t="s">
        <v>10135</v>
      </c>
      <c r="I8352" s="504">
        <v>114</v>
      </c>
      <c r="J8352" s="504">
        <v>40</v>
      </c>
      <c r="K8352" s="504">
        <v>0</v>
      </c>
      <c r="L8352" s="504">
        <v>0</v>
      </c>
      <c r="M8352" s="504">
        <v>0</v>
      </c>
      <c r="N8352" s="504">
        <v>0</v>
      </c>
      <c r="O8352" s="505">
        <v>74</v>
      </c>
    </row>
    <row r="8353" spans="1:15" x14ac:dyDescent="0.35">
      <c r="A8353" s="500" t="s">
        <v>11368</v>
      </c>
      <c r="B8353" s="501">
        <v>5083</v>
      </c>
      <c r="C8353" s="501" t="s">
        <v>1094</v>
      </c>
      <c r="D8353" s="501" t="s">
        <v>3380</v>
      </c>
      <c r="E8353" s="501" t="s">
        <v>3381</v>
      </c>
      <c r="F8353" s="501" t="s">
        <v>944</v>
      </c>
      <c r="G8353" s="501" t="s">
        <v>945</v>
      </c>
      <c r="H8353" s="501" t="s">
        <v>12086</v>
      </c>
      <c r="I8353" s="501">
        <v>105</v>
      </c>
      <c r="J8353" s="501">
        <v>105</v>
      </c>
      <c r="K8353" s="501">
        <v>0</v>
      </c>
      <c r="L8353" s="501">
        <v>0</v>
      </c>
      <c r="M8353" s="501">
        <v>0</v>
      </c>
      <c r="N8353" s="501">
        <v>0</v>
      </c>
      <c r="O8353" s="506">
        <v>0</v>
      </c>
    </row>
    <row r="8354" spans="1:15" x14ac:dyDescent="0.35">
      <c r="A8354" s="503" t="s">
        <v>1234</v>
      </c>
      <c r="B8354" s="504" t="s">
        <v>3291</v>
      </c>
      <c r="C8354" s="504" t="s">
        <v>1094</v>
      </c>
      <c r="D8354" s="504" t="s">
        <v>3380</v>
      </c>
      <c r="E8354" s="504" t="s">
        <v>3381</v>
      </c>
      <c r="F8354" s="504" t="s">
        <v>944</v>
      </c>
      <c r="G8354" s="504" t="s">
        <v>945</v>
      </c>
      <c r="H8354" s="504" t="s">
        <v>10136</v>
      </c>
      <c r="I8354" s="504">
        <v>10</v>
      </c>
      <c r="J8354" s="504">
        <v>0</v>
      </c>
      <c r="K8354" s="504">
        <v>0</v>
      </c>
      <c r="L8354" s="504">
        <v>10</v>
      </c>
      <c r="M8354" s="504">
        <v>0</v>
      </c>
      <c r="N8354" s="504">
        <v>0</v>
      </c>
      <c r="O8354" s="505">
        <v>0</v>
      </c>
    </row>
    <row r="8355" spans="1:15" x14ac:dyDescent="0.35">
      <c r="A8355" s="500" t="s">
        <v>1126</v>
      </c>
      <c r="B8355" s="501" t="s">
        <v>2974</v>
      </c>
      <c r="C8355" s="501" t="s">
        <v>1094</v>
      </c>
      <c r="D8355" s="501" t="s">
        <v>3380</v>
      </c>
      <c r="E8355" s="501" t="s">
        <v>3381</v>
      </c>
      <c r="F8355" s="501" t="s">
        <v>944</v>
      </c>
      <c r="G8355" s="501" t="s">
        <v>945</v>
      </c>
      <c r="H8355" s="501" t="s">
        <v>10137</v>
      </c>
      <c r="I8355" s="501">
        <v>9</v>
      </c>
      <c r="J8355" s="501">
        <v>1</v>
      </c>
      <c r="K8355" s="501">
        <v>0</v>
      </c>
      <c r="L8355" s="501">
        <v>8</v>
      </c>
      <c r="M8355" s="501">
        <v>0</v>
      </c>
      <c r="N8355" s="501">
        <v>0</v>
      </c>
      <c r="O8355" s="506">
        <v>0</v>
      </c>
    </row>
    <row r="8356" spans="1:15" x14ac:dyDescent="0.35">
      <c r="A8356" s="503" t="s">
        <v>1132</v>
      </c>
      <c r="B8356" s="504">
        <v>4837</v>
      </c>
      <c r="C8356" s="504" t="s">
        <v>1094</v>
      </c>
      <c r="D8356" s="504" t="s">
        <v>3380</v>
      </c>
      <c r="E8356" s="504" t="s">
        <v>3381</v>
      </c>
      <c r="F8356" s="504" t="s">
        <v>944</v>
      </c>
      <c r="G8356" s="504" t="s">
        <v>945</v>
      </c>
      <c r="H8356" s="504" t="s">
        <v>10138</v>
      </c>
      <c r="I8356" s="504">
        <v>1291</v>
      </c>
      <c r="J8356" s="504">
        <v>1010</v>
      </c>
      <c r="K8356" s="504">
        <v>0</v>
      </c>
      <c r="L8356" s="504">
        <v>64</v>
      </c>
      <c r="M8356" s="504">
        <v>0</v>
      </c>
      <c r="N8356" s="504">
        <v>0</v>
      </c>
      <c r="O8356" s="505">
        <v>217</v>
      </c>
    </row>
    <row r="8357" spans="1:15" x14ac:dyDescent="0.35">
      <c r="A8357" s="500" t="s">
        <v>1134</v>
      </c>
      <c r="B8357" s="501" t="s">
        <v>3066</v>
      </c>
      <c r="C8357" s="501" t="s">
        <v>1094</v>
      </c>
      <c r="D8357" s="501" t="s">
        <v>3380</v>
      </c>
      <c r="E8357" s="501" t="s">
        <v>3381</v>
      </c>
      <c r="F8357" s="501" t="s">
        <v>944</v>
      </c>
      <c r="G8357" s="501" t="s">
        <v>945</v>
      </c>
      <c r="H8357" s="501" t="s">
        <v>10139</v>
      </c>
      <c r="I8357" s="501">
        <v>177</v>
      </c>
      <c r="J8357" s="501">
        <v>126</v>
      </c>
      <c r="K8357" s="501">
        <v>0</v>
      </c>
      <c r="L8357" s="501">
        <v>0</v>
      </c>
      <c r="M8357" s="501">
        <v>31</v>
      </c>
      <c r="N8357" s="501">
        <v>0</v>
      </c>
      <c r="O8357" s="506">
        <v>20</v>
      </c>
    </row>
    <row r="8358" spans="1:15" x14ac:dyDescent="0.35">
      <c r="A8358" s="503" t="s">
        <v>1136</v>
      </c>
      <c r="B8358" s="504">
        <v>4680</v>
      </c>
      <c r="C8358" s="504" t="s">
        <v>1094</v>
      </c>
      <c r="D8358" s="504" t="s">
        <v>3380</v>
      </c>
      <c r="E8358" s="504" t="s">
        <v>3381</v>
      </c>
      <c r="F8358" s="504" t="s">
        <v>944</v>
      </c>
      <c r="G8358" s="504" t="s">
        <v>945</v>
      </c>
      <c r="H8358" s="504" t="s">
        <v>10140</v>
      </c>
      <c r="I8358" s="504">
        <v>215</v>
      </c>
      <c r="J8358" s="504">
        <v>121</v>
      </c>
      <c r="K8358" s="504">
        <v>0</v>
      </c>
      <c r="L8358" s="504">
        <v>55</v>
      </c>
      <c r="M8358" s="504">
        <v>22</v>
      </c>
      <c r="N8358" s="504">
        <v>0</v>
      </c>
      <c r="O8358" s="505">
        <v>17</v>
      </c>
    </row>
    <row r="8359" spans="1:15" x14ac:dyDescent="0.35">
      <c r="A8359" s="500" t="s">
        <v>1917</v>
      </c>
      <c r="B8359" s="501" t="s">
        <v>2459</v>
      </c>
      <c r="C8359" s="501" t="s">
        <v>1089</v>
      </c>
      <c r="D8359" s="501" t="s">
        <v>3392</v>
      </c>
      <c r="E8359" s="501" t="s">
        <v>3381</v>
      </c>
      <c r="F8359" s="501" t="s">
        <v>944</v>
      </c>
      <c r="G8359" s="501" t="s">
        <v>945</v>
      </c>
      <c r="H8359" s="501" t="s">
        <v>10141</v>
      </c>
      <c r="I8359" s="501">
        <v>18</v>
      </c>
      <c r="J8359" s="501">
        <v>18</v>
      </c>
      <c r="K8359" s="501">
        <v>0</v>
      </c>
      <c r="L8359" s="501">
        <v>0</v>
      </c>
      <c r="M8359" s="501">
        <v>0</v>
      </c>
      <c r="N8359" s="501">
        <v>4</v>
      </c>
      <c r="O8359" s="506">
        <v>0</v>
      </c>
    </row>
    <row r="8360" spans="1:15" x14ac:dyDescent="0.35">
      <c r="A8360" s="503" t="s">
        <v>1138</v>
      </c>
      <c r="B8360" s="504" t="s">
        <v>2998</v>
      </c>
      <c r="C8360" s="504" t="s">
        <v>1094</v>
      </c>
      <c r="D8360" s="504" t="s">
        <v>3380</v>
      </c>
      <c r="E8360" s="504" t="s">
        <v>3381</v>
      </c>
      <c r="F8360" s="504" t="s">
        <v>944</v>
      </c>
      <c r="G8360" s="504" t="s">
        <v>945</v>
      </c>
      <c r="H8360" s="504" t="s">
        <v>10142</v>
      </c>
      <c r="I8360" s="504">
        <v>276</v>
      </c>
      <c r="J8360" s="504">
        <v>151</v>
      </c>
      <c r="K8360" s="504">
        <v>0</v>
      </c>
      <c r="L8360" s="504">
        <v>0</v>
      </c>
      <c r="M8360" s="504">
        <v>0</v>
      </c>
      <c r="N8360" s="504">
        <v>0</v>
      </c>
      <c r="O8360" s="505">
        <v>125</v>
      </c>
    </row>
    <row r="8361" spans="1:15" x14ac:dyDescent="0.35">
      <c r="A8361" s="500" t="s">
        <v>1930</v>
      </c>
      <c r="B8361" s="501" t="s">
        <v>3313</v>
      </c>
      <c r="C8361" s="501" t="s">
        <v>1089</v>
      </c>
      <c r="D8361" s="501" t="s">
        <v>3392</v>
      </c>
      <c r="E8361" s="501" t="s">
        <v>3381</v>
      </c>
      <c r="F8361" s="501" t="s">
        <v>944</v>
      </c>
      <c r="G8361" s="501" t="s">
        <v>945</v>
      </c>
      <c r="H8361" s="501" t="s">
        <v>10143</v>
      </c>
      <c r="I8361" s="501">
        <v>25</v>
      </c>
      <c r="J8361" s="501">
        <v>0</v>
      </c>
      <c r="K8361" s="501">
        <v>0</v>
      </c>
      <c r="L8361" s="501">
        <v>25</v>
      </c>
      <c r="M8361" s="501">
        <v>0</v>
      </c>
      <c r="N8361" s="501">
        <v>0</v>
      </c>
      <c r="O8361" s="506">
        <v>0</v>
      </c>
    </row>
    <row r="8362" spans="1:15" x14ac:dyDescent="0.35">
      <c r="A8362" s="503" t="s">
        <v>1140</v>
      </c>
      <c r="B8362" s="504">
        <v>4850</v>
      </c>
      <c r="C8362" s="504" t="s">
        <v>1094</v>
      </c>
      <c r="D8362" s="504" t="s">
        <v>3380</v>
      </c>
      <c r="E8362" s="504" t="s">
        <v>3381</v>
      </c>
      <c r="F8362" s="504" t="s">
        <v>944</v>
      </c>
      <c r="G8362" s="504" t="s">
        <v>945</v>
      </c>
      <c r="H8362" s="504" t="s">
        <v>10144</v>
      </c>
      <c r="I8362" s="504">
        <v>881</v>
      </c>
      <c r="J8362" s="504">
        <v>572</v>
      </c>
      <c r="K8362" s="504">
        <v>0</v>
      </c>
      <c r="L8362" s="504">
        <v>2</v>
      </c>
      <c r="M8362" s="504">
        <v>7</v>
      </c>
      <c r="N8362" s="504">
        <v>0</v>
      </c>
      <c r="O8362" s="505">
        <v>300</v>
      </c>
    </row>
    <row r="8363" spans="1:15" x14ac:dyDescent="0.35">
      <c r="A8363" s="500" t="s">
        <v>1093</v>
      </c>
      <c r="B8363" s="501" t="s">
        <v>3248</v>
      </c>
      <c r="C8363" s="501" t="s">
        <v>1094</v>
      </c>
      <c r="D8363" s="501" t="s">
        <v>3380</v>
      </c>
      <c r="E8363" s="501" t="s">
        <v>3381</v>
      </c>
      <c r="F8363" s="501" t="s">
        <v>946</v>
      </c>
      <c r="G8363" s="501" t="s">
        <v>947</v>
      </c>
      <c r="H8363" s="501" t="s">
        <v>10145</v>
      </c>
      <c r="I8363" s="501">
        <v>42</v>
      </c>
      <c r="J8363" s="501">
        <v>0</v>
      </c>
      <c r="K8363" s="501">
        <v>0</v>
      </c>
      <c r="L8363" s="501">
        <v>41</v>
      </c>
      <c r="M8363" s="501">
        <v>0</v>
      </c>
      <c r="N8363" s="501">
        <v>0</v>
      </c>
      <c r="O8363" s="506">
        <v>1</v>
      </c>
    </row>
    <row r="8364" spans="1:15" x14ac:dyDescent="0.35">
      <c r="A8364" s="503" t="s">
        <v>1096</v>
      </c>
      <c r="B8364" s="504" t="s">
        <v>3326</v>
      </c>
      <c r="C8364" s="504" t="s">
        <v>1094</v>
      </c>
      <c r="D8364" s="504" t="s">
        <v>3380</v>
      </c>
      <c r="E8364" s="504" t="s">
        <v>3381</v>
      </c>
      <c r="F8364" s="504" t="s">
        <v>946</v>
      </c>
      <c r="G8364" s="504" t="s">
        <v>947</v>
      </c>
      <c r="H8364" s="504" t="s">
        <v>10146</v>
      </c>
      <c r="I8364" s="504">
        <v>104</v>
      </c>
      <c r="J8364" s="504">
        <v>0</v>
      </c>
      <c r="K8364" s="504">
        <v>0</v>
      </c>
      <c r="L8364" s="504">
        <v>0</v>
      </c>
      <c r="M8364" s="504">
        <v>85</v>
      </c>
      <c r="N8364" s="504">
        <v>0</v>
      </c>
      <c r="O8364" s="505">
        <v>19</v>
      </c>
    </row>
    <row r="8365" spans="1:15" x14ac:dyDescent="0.35">
      <c r="A8365" s="500" t="s">
        <v>1098</v>
      </c>
      <c r="B8365" s="501">
        <v>4691</v>
      </c>
      <c r="C8365" s="501" t="s">
        <v>1094</v>
      </c>
      <c r="D8365" s="501" t="s">
        <v>3380</v>
      </c>
      <c r="E8365" s="501" t="s">
        <v>3381</v>
      </c>
      <c r="F8365" s="501" t="s">
        <v>946</v>
      </c>
      <c r="G8365" s="501" t="s">
        <v>947</v>
      </c>
      <c r="H8365" s="501" t="s">
        <v>15162</v>
      </c>
      <c r="I8365" s="501">
        <v>19</v>
      </c>
      <c r="J8365" s="501">
        <v>16</v>
      </c>
      <c r="K8365" s="501">
        <v>0</v>
      </c>
      <c r="L8365" s="501">
        <v>0</v>
      </c>
      <c r="M8365" s="501">
        <v>0</v>
      </c>
      <c r="N8365" s="501">
        <v>0</v>
      </c>
      <c r="O8365" s="506">
        <v>3</v>
      </c>
    </row>
    <row r="8366" spans="1:15" x14ac:dyDescent="0.35">
      <c r="A8366" s="503" t="s">
        <v>1158</v>
      </c>
      <c r="B8366" s="504">
        <v>4819</v>
      </c>
      <c r="C8366" s="504" t="s">
        <v>1094</v>
      </c>
      <c r="D8366" s="504" t="s">
        <v>3380</v>
      </c>
      <c r="E8366" s="504" t="s">
        <v>3381</v>
      </c>
      <c r="F8366" s="504" t="s">
        <v>946</v>
      </c>
      <c r="G8366" s="504" t="s">
        <v>947</v>
      </c>
      <c r="H8366" s="504" t="s">
        <v>10147</v>
      </c>
      <c r="I8366" s="504">
        <v>954</v>
      </c>
      <c r="J8366" s="504">
        <v>612</v>
      </c>
      <c r="K8366" s="504">
        <v>0</v>
      </c>
      <c r="L8366" s="504">
        <v>3</v>
      </c>
      <c r="M8366" s="504">
        <v>0</v>
      </c>
      <c r="N8366" s="504">
        <v>0</v>
      </c>
      <c r="O8366" s="505">
        <v>339</v>
      </c>
    </row>
    <row r="8367" spans="1:15" x14ac:dyDescent="0.35">
      <c r="A8367" s="500" t="s">
        <v>1961</v>
      </c>
      <c r="B8367" s="501">
        <v>5075</v>
      </c>
      <c r="C8367" s="501" t="s">
        <v>1094</v>
      </c>
      <c r="D8367" s="501" t="s">
        <v>3380</v>
      </c>
      <c r="E8367" s="501" t="s">
        <v>3381</v>
      </c>
      <c r="F8367" s="501" t="s">
        <v>946</v>
      </c>
      <c r="G8367" s="501" t="s">
        <v>947</v>
      </c>
      <c r="H8367" s="501" t="s">
        <v>10148</v>
      </c>
      <c r="I8367" s="501">
        <v>25</v>
      </c>
      <c r="J8367" s="501">
        <v>25</v>
      </c>
      <c r="K8367" s="501">
        <v>0</v>
      </c>
      <c r="L8367" s="501">
        <v>0</v>
      </c>
      <c r="M8367" s="501">
        <v>0</v>
      </c>
      <c r="N8367" s="501">
        <v>0</v>
      </c>
      <c r="O8367" s="506">
        <v>0</v>
      </c>
    </row>
    <row r="8368" spans="1:15" x14ac:dyDescent="0.35">
      <c r="A8368" s="503" t="s">
        <v>1819</v>
      </c>
      <c r="B8368" s="504" t="s">
        <v>3175</v>
      </c>
      <c r="C8368" s="504" t="s">
        <v>1094</v>
      </c>
      <c r="D8368" s="504" t="s">
        <v>3380</v>
      </c>
      <c r="E8368" s="504" t="s">
        <v>3381</v>
      </c>
      <c r="F8368" s="504" t="s">
        <v>946</v>
      </c>
      <c r="G8368" s="504" t="s">
        <v>947</v>
      </c>
      <c r="H8368" s="504" t="s">
        <v>10149</v>
      </c>
      <c r="I8368" s="504">
        <v>163</v>
      </c>
      <c r="J8368" s="504">
        <v>132</v>
      </c>
      <c r="K8368" s="504">
        <v>0</v>
      </c>
      <c r="L8368" s="504">
        <v>0</v>
      </c>
      <c r="M8368" s="504">
        <v>0</v>
      </c>
      <c r="N8368" s="504">
        <v>0</v>
      </c>
      <c r="O8368" s="505">
        <v>31</v>
      </c>
    </row>
    <row r="8369" spans="1:15" x14ac:dyDescent="0.35">
      <c r="A8369" s="500" t="s">
        <v>1175</v>
      </c>
      <c r="B8369" s="501" t="s">
        <v>3141</v>
      </c>
      <c r="C8369" s="501" t="s">
        <v>1094</v>
      </c>
      <c r="D8369" s="501" t="s">
        <v>3380</v>
      </c>
      <c r="E8369" s="501" t="s">
        <v>3381</v>
      </c>
      <c r="F8369" s="501" t="s">
        <v>946</v>
      </c>
      <c r="G8369" s="501" t="s">
        <v>947</v>
      </c>
      <c r="H8369" s="501" t="s">
        <v>10150</v>
      </c>
      <c r="I8369" s="501">
        <v>4</v>
      </c>
      <c r="J8369" s="501">
        <v>0</v>
      </c>
      <c r="K8369" s="501">
        <v>0</v>
      </c>
      <c r="L8369" s="501">
        <v>0</v>
      </c>
      <c r="M8369" s="501">
        <v>0</v>
      </c>
      <c r="N8369" s="501">
        <v>0</v>
      </c>
      <c r="O8369" s="506">
        <v>4</v>
      </c>
    </row>
    <row r="8370" spans="1:15" x14ac:dyDescent="0.35">
      <c r="A8370" s="503" t="s">
        <v>1983</v>
      </c>
      <c r="B8370" s="504">
        <v>4584</v>
      </c>
      <c r="C8370" s="504" t="s">
        <v>1094</v>
      </c>
      <c r="D8370" s="504" t="s">
        <v>3380</v>
      </c>
      <c r="E8370" s="504" t="s">
        <v>3381</v>
      </c>
      <c r="F8370" s="504" t="s">
        <v>946</v>
      </c>
      <c r="G8370" s="504" t="s">
        <v>947</v>
      </c>
      <c r="H8370" s="504" t="s">
        <v>10151</v>
      </c>
      <c r="I8370" s="504">
        <v>81</v>
      </c>
      <c r="J8370" s="504">
        <v>58</v>
      </c>
      <c r="K8370" s="504">
        <v>0</v>
      </c>
      <c r="L8370" s="504">
        <v>0</v>
      </c>
      <c r="M8370" s="504">
        <v>0</v>
      </c>
      <c r="N8370" s="504">
        <v>0</v>
      </c>
      <c r="O8370" s="505">
        <v>23</v>
      </c>
    </row>
    <row r="8371" spans="1:15" x14ac:dyDescent="0.35">
      <c r="A8371" s="500" t="s">
        <v>1984</v>
      </c>
      <c r="B8371" s="501" t="s">
        <v>3118</v>
      </c>
      <c r="C8371" s="501" t="s">
        <v>1089</v>
      </c>
      <c r="D8371" s="501" t="s">
        <v>3392</v>
      </c>
      <c r="E8371" s="501" t="s">
        <v>3381</v>
      </c>
      <c r="F8371" s="501" t="s">
        <v>946</v>
      </c>
      <c r="G8371" s="501" t="s">
        <v>947</v>
      </c>
      <c r="H8371" s="501" t="s">
        <v>10152</v>
      </c>
      <c r="I8371" s="501">
        <v>6</v>
      </c>
      <c r="J8371" s="501">
        <v>6</v>
      </c>
      <c r="K8371" s="501">
        <v>0</v>
      </c>
      <c r="L8371" s="501">
        <v>0</v>
      </c>
      <c r="M8371" s="501">
        <v>0</v>
      </c>
      <c r="N8371" s="501">
        <v>0</v>
      </c>
      <c r="O8371" s="506">
        <v>0</v>
      </c>
    </row>
    <row r="8372" spans="1:15" x14ac:dyDescent="0.35">
      <c r="A8372" s="503" t="s">
        <v>14208</v>
      </c>
      <c r="B8372" s="504">
        <v>4803</v>
      </c>
      <c r="C8372" s="504" t="s">
        <v>1094</v>
      </c>
      <c r="D8372" s="504" t="s">
        <v>3380</v>
      </c>
      <c r="E8372" s="504" t="s">
        <v>3381</v>
      </c>
      <c r="F8372" s="504" t="s">
        <v>946</v>
      </c>
      <c r="G8372" s="504" t="s">
        <v>947</v>
      </c>
      <c r="H8372" s="504" t="s">
        <v>15163</v>
      </c>
      <c r="I8372" s="504">
        <v>8</v>
      </c>
      <c r="J8372" s="504">
        <v>0</v>
      </c>
      <c r="K8372" s="504">
        <v>0</v>
      </c>
      <c r="L8372" s="504">
        <v>8</v>
      </c>
      <c r="M8372" s="504">
        <v>0</v>
      </c>
      <c r="N8372" s="504">
        <v>0</v>
      </c>
      <c r="O8372" s="505">
        <v>0</v>
      </c>
    </row>
    <row r="8373" spans="1:15" x14ac:dyDescent="0.35">
      <c r="A8373" s="500" t="s">
        <v>14213</v>
      </c>
      <c r="B8373" s="501" t="s">
        <v>3312</v>
      </c>
      <c r="C8373" s="501" t="s">
        <v>1094</v>
      </c>
      <c r="D8373" s="501" t="s">
        <v>3380</v>
      </c>
      <c r="E8373" s="501" t="s">
        <v>3381</v>
      </c>
      <c r="F8373" s="501" t="s">
        <v>946</v>
      </c>
      <c r="G8373" s="501" t="s">
        <v>947</v>
      </c>
      <c r="H8373" s="501" t="s">
        <v>15164</v>
      </c>
      <c r="I8373" s="501">
        <v>16</v>
      </c>
      <c r="J8373" s="501">
        <v>12</v>
      </c>
      <c r="K8373" s="501">
        <v>0</v>
      </c>
      <c r="L8373" s="501">
        <v>1</v>
      </c>
      <c r="M8373" s="501">
        <v>0</v>
      </c>
      <c r="N8373" s="501">
        <v>0</v>
      </c>
      <c r="O8373" s="506">
        <v>3</v>
      </c>
    </row>
    <row r="8374" spans="1:15" x14ac:dyDescent="0.35">
      <c r="A8374" s="503" t="s">
        <v>1105</v>
      </c>
      <c r="B8374" s="504">
        <v>4668</v>
      </c>
      <c r="C8374" s="504" t="s">
        <v>1094</v>
      </c>
      <c r="D8374" s="504" t="s">
        <v>3380</v>
      </c>
      <c r="E8374" s="504" t="s">
        <v>3381</v>
      </c>
      <c r="F8374" s="504" t="s">
        <v>946</v>
      </c>
      <c r="G8374" s="504" t="s">
        <v>947</v>
      </c>
      <c r="H8374" s="504" t="s">
        <v>10153</v>
      </c>
      <c r="I8374" s="504">
        <v>49</v>
      </c>
      <c r="J8374" s="504">
        <v>0</v>
      </c>
      <c r="K8374" s="504">
        <v>0</v>
      </c>
      <c r="L8374" s="504">
        <v>0</v>
      </c>
      <c r="M8374" s="504">
        <v>0</v>
      </c>
      <c r="N8374" s="504">
        <v>0</v>
      </c>
      <c r="O8374" s="505">
        <v>49</v>
      </c>
    </row>
    <row r="8375" spans="1:15" x14ac:dyDescent="0.35">
      <c r="A8375" s="500" t="s">
        <v>1109</v>
      </c>
      <c r="B8375" s="501" t="s">
        <v>2959</v>
      </c>
      <c r="C8375" s="501" t="s">
        <v>1094</v>
      </c>
      <c r="D8375" s="501" t="s">
        <v>3380</v>
      </c>
      <c r="E8375" s="501" t="s">
        <v>3381</v>
      </c>
      <c r="F8375" s="501" t="s">
        <v>946</v>
      </c>
      <c r="G8375" s="501" t="s">
        <v>947</v>
      </c>
      <c r="H8375" s="501" t="s">
        <v>10154</v>
      </c>
      <c r="I8375" s="501">
        <v>30</v>
      </c>
      <c r="J8375" s="501">
        <v>0</v>
      </c>
      <c r="K8375" s="501">
        <v>0</v>
      </c>
      <c r="L8375" s="501">
        <v>0</v>
      </c>
      <c r="M8375" s="501">
        <v>30</v>
      </c>
      <c r="N8375" s="501">
        <v>0</v>
      </c>
      <c r="O8375" s="506">
        <v>0</v>
      </c>
    </row>
    <row r="8376" spans="1:15" x14ac:dyDescent="0.35">
      <c r="A8376" s="503" t="s">
        <v>1195</v>
      </c>
      <c r="B8376" s="504">
        <v>4693</v>
      </c>
      <c r="C8376" s="504" t="s">
        <v>1089</v>
      </c>
      <c r="D8376" s="504" t="s">
        <v>3392</v>
      </c>
      <c r="E8376" s="504" t="s">
        <v>3381</v>
      </c>
      <c r="F8376" s="504" t="s">
        <v>946</v>
      </c>
      <c r="G8376" s="504" t="s">
        <v>947</v>
      </c>
      <c r="H8376" s="504" t="s">
        <v>10155</v>
      </c>
      <c r="I8376" s="504">
        <v>5</v>
      </c>
      <c r="J8376" s="504">
        <v>0</v>
      </c>
      <c r="K8376" s="504">
        <v>0</v>
      </c>
      <c r="L8376" s="504">
        <v>5</v>
      </c>
      <c r="M8376" s="504">
        <v>0</v>
      </c>
      <c r="N8376" s="504">
        <v>0</v>
      </c>
      <c r="O8376" s="505">
        <v>0</v>
      </c>
    </row>
    <row r="8377" spans="1:15" x14ac:dyDescent="0.35">
      <c r="A8377" s="500" t="s">
        <v>1111</v>
      </c>
      <c r="B8377" s="501">
        <v>4873</v>
      </c>
      <c r="C8377" s="501" t="s">
        <v>1094</v>
      </c>
      <c r="D8377" s="501" t="s">
        <v>3380</v>
      </c>
      <c r="E8377" s="501" t="s">
        <v>3381</v>
      </c>
      <c r="F8377" s="501" t="s">
        <v>946</v>
      </c>
      <c r="G8377" s="501" t="s">
        <v>947</v>
      </c>
      <c r="H8377" s="501" t="s">
        <v>10156</v>
      </c>
      <c r="I8377" s="501">
        <v>53</v>
      </c>
      <c r="J8377" s="501">
        <v>53</v>
      </c>
      <c r="K8377" s="501">
        <v>0</v>
      </c>
      <c r="L8377" s="501">
        <v>0</v>
      </c>
      <c r="M8377" s="501">
        <v>0</v>
      </c>
      <c r="N8377" s="501">
        <v>0</v>
      </c>
      <c r="O8377" s="506">
        <v>0</v>
      </c>
    </row>
    <row r="8378" spans="1:15" x14ac:dyDescent="0.35">
      <c r="A8378" s="503" t="s">
        <v>1994</v>
      </c>
      <c r="B8378" s="504" t="s">
        <v>3206</v>
      </c>
      <c r="C8378" s="504" t="s">
        <v>1094</v>
      </c>
      <c r="D8378" s="504" t="s">
        <v>3380</v>
      </c>
      <c r="E8378" s="504" t="s">
        <v>3381</v>
      </c>
      <c r="F8378" s="504" t="s">
        <v>946</v>
      </c>
      <c r="G8378" s="504" t="s">
        <v>947</v>
      </c>
      <c r="H8378" s="504" t="s">
        <v>10157</v>
      </c>
      <c r="I8378" s="504">
        <v>3100</v>
      </c>
      <c r="J8378" s="504">
        <v>2597</v>
      </c>
      <c r="K8378" s="504">
        <v>0</v>
      </c>
      <c r="L8378" s="504">
        <v>0</v>
      </c>
      <c r="M8378" s="504">
        <v>422</v>
      </c>
      <c r="N8378" s="504">
        <v>0</v>
      </c>
      <c r="O8378" s="505">
        <v>81</v>
      </c>
    </row>
    <row r="8379" spans="1:15" x14ac:dyDescent="0.35">
      <c r="A8379" s="500" t="s">
        <v>1114</v>
      </c>
      <c r="B8379" s="501" t="s">
        <v>2982</v>
      </c>
      <c r="C8379" s="501" t="s">
        <v>1094</v>
      </c>
      <c r="D8379" s="501" t="s">
        <v>3380</v>
      </c>
      <c r="E8379" s="501" t="s">
        <v>3381</v>
      </c>
      <c r="F8379" s="501" t="s">
        <v>946</v>
      </c>
      <c r="G8379" s="501" t="s">
        <v>947</v>
      </c>
      <c r="H8379" s="501" t="s">
        <v>10158</v>
      </c>
      <c r="I8379" s="501">
        <v>2</v>
      </c>
      <c r="J8379" s="501">
        <v>0</v>
      </c>
      <c r="K8379" s="501">
        <v>0</v>
      </c>
      <c r="L8379" s="501">
        <v>0</v>
      </c>
      <c r="M8379" s="501">
        <v>0</v>
      </c>
      <c r="N8379" s="501">
        <v>0</v>
      </c>
      <c r="O8379" s="506">
        <v>2</v>
      </c>
    </row>
    <row r="8380" spans="1:15" x14ac:dyDescent="0.35">
      <c r="A8380" s="503" t="s">
        <v>1226</v>
      </c>
      <c r="B8380" s="504">
        <v>5084</v>
      </c>
      <c r="C8380" s="504" t="s">
        <v>1094</v>
      </c>
      <c r="D8380" s="504" t="s">
        <v>3380</v>
      </c>
      <c r="E8380" s="504" t="s">
        <v>3381</v>
      </c>
      <c r="F8380" s="504" t="s">
        <v>946</v>
      </c>
      <c r="G8380" s="504" t="s">
        <v>947</v>
      </c>
      <c r="H8380" s="504" t="s">
        <v>10159</v>
      </c>
      <c r="I8380" s="504">
        <v>95</v>
      </c>
      <c r="J8380" s="504">
        <v>56</v>
      </c>
      <c r="K8380" s="504">
        <v>0</v>
      </c>
      <c r="L8380" s="504">
        <v>0</v>
      </c>
      <c r="M8380" s="504">
        <v>0</v>
      </c>
      <c r="N8380" s="504">
        <v>0</v>
      </c>
      <c r="O8380" s="505">
        <v>39</v>
      </c>
    </row>
    <row r="8381" spans="1:15" x14ac:dyDescent="0.35">
      <c r="A8381" s="500" t="s">
        <v>2008</v>
      </c>
      <c r="B8381" s="501" t="s">
        <v>3323</v>
      </c>
      <c r="C8381" s="501" t="s">
        <v>1094</v>
      </c>
      <c r="D8381" s="501" t="s">
        <v>3380</v>
      </c>
      <c r="E8381" s="501" t="s">
        <v>3381</v>
      </c>
      <c r="F8381" s="501" t="s">
        <v>946</v>
      </c>
      <c r="G8381" s="501" t="s">
        <v>947</v>
      </c>
      <c r="H8381" s="501" t="s">
        <v>10160</v>
      </c>
      <c r="I8381" s="501">
        <v>438</v>
      </c>
      <c r="J8381" s="501">
        <v>369</v>
      </c>
      <c r="K8381" s="501">
        <v>0</v>
      </c>
      <c r="L8381" s="501">
        <v>17</v>
      </c>
      <c r="M8381" s="501">
        <v>0</v>
      </c>
      <c r="N8381" s="501">
        <v>0</v>
      </c>
      <c r="O8381" s="506">
        <v>52</v>
      </c>
    </row>
    <row r="8382" spans="1:15" x14ac:dyDescent="0.35">
      <c r="A8382" s="503" t="s">
        <v>1233</v>
      </c>
      <c r="B8382" s="504">
        <v>4636</v>
      </c>
      <c r="C8382" s="504" t="s">
        <v>1094</v>
      </c>
      <c r="D8382" s="504" t="s">
        <v>3380</v>
      </c>
      <c r="E8382" s="504" t="s">
        <v>3381</v>
      </c>
      <c r="F8382" s="504" t="s">
        <v>946</v>
      </c>
      <c r="G8382" s="504" t="s">
        <v>947</v>
      </c>
      <c r="H8382" s="504" t="s">
        <v>10161</v>
      </c>
      <c r="I8382" s="504">
        <v>37</v>
      </c>
      <c r="J8382" s="504">
        <v>0</v>
      </c>
      <c r="K8382" s="504">
        <v>0</v>
      </c>
      <c r="L8382" s="504">
        <v>0</v>
      </c>
      <c r="M8382" s="504">
        <v>0</v>
      </c>
      <c r="N8382" s="504">
        <v>0</v>
      </c>
      <c r="O8382" s="505">
        <v>37</v>
      </c>
    </row>
    <row r="8383" spans="1:15" x14ac:dyDescent="0.35">
      <c r="A8383" s="500" t="s">
        <v>1126</v>
      </c>
      <c r="B8383" s="501" t="s">
        <v>2974</v>
      </c>
      <c r="C8383" s="501" t="s">
        <v>1094</v>
      </c>
      <c r="D8383" s="501" t="s">
        <v>3380</v>
      </c>
      <c r="E8383" s="501" t="s">
        <v>3381</v>
      </c>
      <c r="F8383" s="501" t="s">
        <v>946</v>
      </c>
      <c r="G8383" s="501" t="s">
        <v>947</v>
      </c>
      <c r="H8383" s="501" t="s">
        <v>10162</v>
      </c>
      <c r="I8383" s="501">
        <v>19</v>
      </c>
      <c r="J8383" s="501">
        <v>19</v>
      </c>
      <c r="K8383" s="501">
        <v>0</v>
      </c>
      <c r="L8383" s="501">
        <v>0</v>
      </c>
      <c r="M8383" s="501">
        <v>0</v>
      </c>
      <c r="N8383" s="501">
        <v>0</v>
      </c>
      <c r="O8383" s="506">
        <v>0</v>
      </c>
    </row>
    <row r="8384" spans="1:15" x14ac:dyDescent="0.35">
      <c r="A8384" s="503" t="s">
        <v>1132</v>
      </c>
      <c r="B8384" s="504">
        <v>4837</v>
      </c>
      <c r="C8384" s="504" t="s">
        <v>1094</v>
      </c>
      <c r="D8384" s="504" t="s">
        <v>3380</v>
      </c>
      <c r="E8384" s="504" t="s">
        <v>3381</v>
      </c>
      <c r="F8384" s="504" t="s">
        <v>946</v>
      </c>
      <c r="G8384" s="504" t="s">
        <v>947</v>
      </c>
      <c r="H8384" s="504" t="s">
        <v>10163</v>
      </c>
      <c r="I8384" s="504">
        <v>394</v>
      </c>
      <c r="J8384" s="504">
        <v>251</v>
      </c>
      <c r="K8384" s="504">
        <v>0</v>
      </c>
      <c r="L8384" s="504">
        <v>0</v>
      </c>
      <c r="M8384" s="504">
        <v>0</v>
      </c>
      <c r="N8384" s="504">
        <v>0</v>
      </c>
      <c r="O8384" s="505">
        <v>143</v>
      </c>
    </row>
    <row r="8385" spans="1:15" x14ac:dyDescent="0.35">
      <c r="A8385" s="500" t="s">
        <v>1240</v>
      </c>
      <c r="B8385" s="501" t="s">
        <v>2972</v>
      </c>
      <c r="C8385" s="501" t="s">
        <v>1094</v>
      </c>
      <c r="D8385" s="501" t="s">
        <v>3380</v>
      </c>
      <c r="E8385" s="501" t="s">
        <v>3381</v>
      </c>
      <c r="F8385" s="501" t="s">
        <v>946</v>
      </c>
      <c r="G8385" s="501" t="s">
        <v>947</v>
      </c>
      <c r="H8385" s="501" t="s">
        <v>10164</v>
      </c>
      <c r="I8385" s="501">
        <v>59</v>
      </c>
      <c r="J8385" s="501">
        <v>59</v>
      </c>
      <c r="K8385" s="501">
        <v>0</v>
      </c>
      <c r="L8385" s="501">
        <v>0</v>
      </c>
      <c r="M8385" s="501">
        <v>0</v>
      </c>
      <c r="N8385" s="501">
        <v>0</v>
      </c>
      <c r="O8385" s="506">
        <v>0</v>
      </c>
    </row>
    <row r="8386" spans="1:15" x14ac:dyDescent="0.35">
      <c r="A8386" s="503" t="s">
        <v>1134</v>
      </c>
      <c r="B8386" s="504" t="s">
        <v>3066</v>
      </c>
      <c r="C8386" s="504" t="s">
        <v>1094</v>
      </c>
      <c r="D8386" s="504" t="s">
        <v>3380</v>
      </c>
      <c r="E8386" s="504" t="s">
        <v>3381</v>
      </c>
      <c r="F8386" s="504" t="s">
        <v>946</v>
      </c>
      <c r="G8386" s="504" t="s">
        <v>947</v>
      </c>
      <c r="H8386" s="504" t="s">
        <v>12177</v>
      </c>
      <c r="I8386" s="504">
        <v>74</v>
      </c>
      <c r="J8386" s="504">
        <v>27</v>
      </c>
      <c r="K8386" s="504">
        <v>0</v>
      </c>
      <c r="L8386" s="504">
        <v>0</v>
      </c>
      <c r="M8386" s="504">
        <v>34</v>
      </c>
      <c r="N8386" s="504">
        <v>0</v>
      </c>
      <c r="O8386" s="505">
        <v>13</v>
      </c>
    </row>
    <row r="8387" spans="1:15" x14ac:dyDescent="0.35">
      <c r="A8387" s="500" t="s">
        <v>1249</v>
      </c>
      <c r="B8387" s="501">
        <v>4729</v>
      </c>
      <c r="C8387" s="501" t="s">
        <v>1094</v>
      </c>
      <c r="D8387" s="501" t="s">
        <v>3380</v>
      </c>
      <c r="E8387" s="501" t="s">
        <v>3381</v>
      </c>
      <c r="F8387" s="501" t="s">
        <v>946</v>
      </c>
      <c r="G8387" s="501" t="s">
        <v>947</v>
      </c>
      <c r="H8387" s="501" t="s">
        <v>10165</v>
      </c>
      <c r="I8387" s="501">
        <v>492</v>
      </c>
      <c r="J8387" s="501">
        <v>429</v>
      </c>
      <c r="K8387" s="501">
        <v>0</v>
      </c>
      <c r="L8387" s="501">
        <v>0</v>
      </c>
      <c r="M8387" s="501">
        <v>0</v>
      </c>
      <c r="N8387" s="501">
        <v>0</v>
      </c>
      <c r="O8387" s="506">
        <v>63</v>
      </c>
    </row>
    <row r="8388" spans="1:15" x14ac:dyDescent="0.35">
      <c r="A8388" s="503" t="s">
        <v>2047</v>
      </c>
      <c r="B8388" s="504" t="s">
        <v>3187</v>
      </c>
      <c r="C8388" s="504" t="s">
        <v>1094</v>
      </c>
      <c r="D8388" s="504" t="s">
        <v>3380</v>
      </c>
      <c r="E8388" s="504" t="s">
        <v>3381</v>
      </c>
      <c r="F8388" s="504" t="s">
        <v>946</v>
      </c>
      <c r="G8388" s="504" t="s">
        <v>947</v>
      </c>
      <c r="H8388" s="504" t="s">
        <v>10166</v>
      </c>
      <c r="I8388" s="504">
        <v>164</v>
      </c>
      <c r="J8388" s="504">
        <v>92</v>
      </c>
      <c r="K8388" s="504">
        <v>0</v>
      </c>
      <c r="L8388" s="504">
        <v>0</v>
      </c>
      <c r="M8388" s="504">
        <v>0</v>
      </c>
      <c r="N8388" s="504">
        <v>0</v>
      </c>
      <c r="O8388" s="505">
        <v>72</v>
      </c>
    </row>
    <row r="8389" spans="1:15" x14ac:dyDescent="0.35">
      <c r="A8389" s="500" t="s">
        <v>1262</v>
      </c>
      <c r="B8389" s="501">
        <v>4772</v>
      </c>
      <c r="C8389" s="501" t="s">
        <v>1089</v>
      </c>
      <c r="D8389" s="501" t="s">
        <v>3392</v>
      </c>
      <c r="E8389" s="501" t="s">
        <v>3381</v>
      </c>
      <c r="F8389" s="501" t="s">
        <v>946</v>
      </c>
      <c r="G8389" s="501" t="s">
        <v>947</v>
      </c>
      <c r="H8389" s="501" t="s">
        <v>10167</v>
      </c>
      <c r="I8389" s="501">
        <v>3</v>
      </c>
      <c r="J8389" s="501">
        <v>0</v>
      </c>
      <c r="K8389" s="501">
        <v>0</v>
      </c>
      <c r="L8389" s="501">
        <v>3</v>
      </c>
      <c r="M8389" s="501">
        <v>0</v>
      </c>
      <c r="N8389" s="501">
        <v>0</v>
      </c>
      <c r="O8389" s="506">
        <v>0</v>
      </c>
    </row>
    <row r="8390" spans="1:15" x14ac:dyDescent="0.35">
      <c r="A8390" s="503" t="s">
        <v>1093</v>
      </c>
      <c r="B8390" s="504" t="s">
        <v>3248</v>
      </c>
      <c r="C8390" s="504" t="s">
        <v>1094</v>
      </c>
      <c r="D8390" s="504" t="s">
        <v>3380</v>
      </c>
      <c r="E8390" s="504" t="s">
        <v>3381</v>
      </c>
      <c r="F8390" s="504" t="s">
        <v>948</v>
      </c>
      <c r="G8390" s="504" t="s">
        <v>949</v>
      </c>
      <c r="H8390" s="504" t="s">
        <v>10168</v>
      </c>
      <c r="I8390" s="504">
        <v>3</v>
      </c>
      <c r="J8390" s="504">
        <v>0</v>
      </c>
      <c r="K8390" s="504">
        <v>0</v>
      </c>
      <c r="L8390" s="504">
        <v>0</v>
      </c>
      <c r="M8390" s="504">
        <v>0</v>
      </c>
      <c r="N8390" s="504">
        <v>0</v>
      </c>
      <c r="O8390" s="505">
        <v>3</v>
      </c>
    </row>
    <row r="8391" spans="1:15" x14ac:dyDescent="0.35">
      <c r="A8391" s="500" t="s">
        <v>1096</v>
      </c>
      <c r="B8391" s="501" t="s">
        <v>3326</v>
      </c>
      <c r="C8391" s="501" t="s">
        <v>1094</v>
      </c>
      <c r="D8391" s="501" t="s">
        <v>3380</v>
      </c>
      <c r="E8391" s="501" t="s">
        <v>3381</v>
      </c>
      <c r="F8391" s="501" t="s">
        <v>948</v>
      </c>
      <c r="G8391" s="501" t="s">
        <v>949</v>
      </c>
      <c r="H8391" s="501" t="s">
        <v>10169</v>
      </c>
      <c r="I8391" s="501">
        <v>141</v>
      </c>
      <c r="J8391" s="501">
        <v>0</v>
      </c>
      <c r="K8391" s="501">
        <v>0</v>
      </c>
      <c r="L8391" s="501">
        <v>0</v>
      </c>
      <c r="M8391" s="501">
        <v>141</v>
      </c>
      <c r="N8391" s="501">
        <v>0</v>
      </c>
      <c r="O8391" s="506">
        <v>0</v>
      </c>
    </row>
    <row r="8392" spans="1:15" x14ac:dyDescent="0.35">
      <c r="A8392" s="503" t="s">
        <v>11363</v>
      </c>
      <c r="B8392" s="504">
        <v>4718</v>
      </c>
      <c r="C8392" s="504" t="s">
        <v>1094</v>
      </c>
      <c r="D8392" s="504" t="s">
        <v>3380</v>
      </c>
      <c r="E8392" s="504" t="s">
        <v>3381</v>
      </c>
      <c r="F8392" s="504" t="s">
        <v>948</v>
      </c>
      <c r="G8392" s="504" t="s">
        <v>949</v>
      </c>
      <c r="H8392" s="504" t="s">
        <v>11598</v>
      </c>
      <c r="I8392" s="504">
        <v>6</v>
      </c>
      <c r="J8392" s="504">
        <v>0</v>
      </c>
      <c r="K8392" s="504">
        <v>0</v>
      </c>
      <c r="L8392" s="504">
        <v>6</v>
      </c>
      <c r="M8392" s="504">
        <v>0</v>
      </c>
      <c r="N8392" s="504">
        <v>0</v>
      </c>
      <c r="O8392" s="505">
        <v>0</v>
      </c>
    </row>
    <row r="8393" spans="1:15" x14ac:dyDescent="0.35">
      <c r="A8393" s="500" t="s">
        <v>1100</v>
      </c>
      <c r="B8393" s="501">
        <v>4865</v>
      </c>
      <c r="C8393" s="501" t="s">
        <v>1094</v>
      </c>
      <c r="D8393" s="501" t="s">
        <v>3380</v>
      </c>
      <c r="E8393" s="501" t="s">
        <v>3381</v>
      </c>
      <c r="F8393" s="501" t="s">
        <v>948</v>
      </c>
      <c r="G8393" s="501" t="s">
        <v>949</v>
      </c>
      <c r="H8393" s="501" t="s">
        <v>10170</v>
      </c>
      <c r="I8393" s="501">
        <v>24</v>
      </c>
      <c r="J8393" s="501">
        <v>24</v>
      </c>
      <c r="K8393" s="501">
        <v>0</v>
      </c>
      <c r="L8393" s="501">
        <v>0</v>
      </c>
      <c r="M8393" s="501">
        <v>0</v>
      </c>
      <c r="N8393" s="501">
        <v>0</v>
      </c>
      <c r="O8393" s="506">
        <v>0</v>
      </c>
    </row>
    <row r="8394" spans="1:15" x14ac:dyDescent="0.35">
      <c r="A8394" s="503" t="s">
        <v>1627</v>
      </c>
      <c r="B8394" s="504">
        <v>4771</v>
      </c>
      <c r="C8394" s="504" t="s">
        <v>1089</v>
      </c>
      <c r="D8394" s="504" t="s">
        <v>3392</v>
      </c>
      <c r="E8394" s="504" t="s">
        <v>3381</v>
      </c>
      <c r="F8394" s="504" t="s">
        <v>948</v>
      </c>
      <c r="G8394" s="504" t="s">
        <v>949</v>
      </c>
      <c r="H8394" s="504" t="s">
        <v>10171</v>
      </c>
      <c r="I8394" s="504">
        <v>2</v>
      </c>
      <c r="J8394" s="504">
        <v>0</v>
      </c>
      <c r="K8394" s="504">
        <v>0</v>
      </c>
      <c r="L8394" s="504">
        <v>2</v>
      </c>
      <c r="M8394" s="504">
        <v>0</v>
      </c>
      <c r="N8394" s="504">
        <v>0</v>
      </c>
      <c r="O8394" s="505">
        <v>0</v>
      </c>
    </row>
    <row r="8395" spans="1:15" x14ac:dyDescent="0.35">
      <c r="A8395" s="500" t="s">
        <v>14208</v>
      </c>
      <c r="B8395" s="501">
        <v>4803</v>
      </c>
      <c r="C8395" s="501" t="s">
        <v>1094</v>
      </c>
      <c r="D8395" s="501" t="s">
        <v>3380</v>
      </c>
      <c r="E8395" s="501" t="s">
        <v>3381</v>
      </c>
      <c r="F8395" s="501" t="s">
        <v>948</v>
      </c>
      <c r="G8395" s="501" t="s">
        <v>949</v>
      </c>
      <c r="H8395" s="501" t="s">
        <v>15165</v>
      </c>
      <c r="I8395" s="501">
        <v>1</v>
      </c>
      <c r="J8395" s="501">
        <v>0</v>
      </c>
      <c r="K8395" s="501">
        <v>0</v>
      </c>
      <c r="L8395" s="501">
        <v>1</v>
      </c>
      <c r="M8395" s="501">
        <v>0</v>
      </c>
      <c r="N8395" s="501">
        <v>0</v>
      </c>
      <c r="O8395" s="506">
        <v>0</v>
      </c>
    </row>
    <row r="8396" spans="1:15" x14ac:dyDescent="0.35">
      <c r="A8396" s="503" t="s">
        <v>1105</v>
      </c>
      <c r="B8396" s="504">
        <v>4668</v>
      </c>
      <c r="C8396" s="504" t="s">
        <v>1094</v>
      </c>
      <c r="D8396" s="504" t="s">
        <v>3380</v>
      </c>
      <c r="E8396" s="504" t="s">
        <v>3381</v>
      </c>
      <c r="F8396" s="504" t="s">
        <v>948</v>
      </c>
      <c r="G8396" s="504" t="s">
        <v>949</v>
      </c>
      <c r="H8396" s="504" t="s">
        <v>10172</v>
      </c>
      <c r="I8396" s="504">
        <v>2</v>
      </c>
      <c r="J8396" s="504">
        <v>0</v>
      </c>
      <c r="K8396" s="504">
        <v>0</v>
      </c>
      <c r="L8396" s="504">
        <v>0</v>
      </c>
      <c r="M8396" s="504">
        <v>0</v>
      </c>
      <c r="N8396" s="504">
        <v>0</v>
      </c>
      <c r="O8396" s="505">
        <v>2</v>
      </c>
    </row>
    <row r="8397" spans="1:15" x14ac:dyDescent="0.35">
      <c r="A8397" s="500" t="s">
        <v>1107</v>
      </c>
      <c r="B8397" s="501" t="s">
        <v>3109</v>
      </c>
      <c r="C8397" s="501" t="s">
        <v>1094</v>
      </c>
      <c r="D8397" s="501" t="s">
        <v>3380</v>
      </c>
      <c r="E8397" s="501" t="s">
        <v>3381</v>
      </c>
      <c r="F8397" s="501" t="s">
        <v>948</v>
      </c>
      <c r="G8397" s="501" t="s">
        <v>949</v>
      </c>
      <c r="H8397" s="501" t="s">
        <v>15166</v>
      </c>
      <c r="I8397" s="501">
        <v>1</v>
      </c>
      <c r="J8397" s="501">
        <v>0</v>
      </c>
      <c r="K8397" s="501">
        <v>0</v>
      </c>
      <c r="L8397" s="501">
        <v>1</v>
      </c>
      <c r="M8397" s="501">
        <v>0</v>
      </c>
      <c r="N8397" s="501">
        <v>0</v>
      </c>
      <c r="O8397" s="506">
        <v>0</v>
      </c>
    </row>
    <row r="8398" spans="1:15" x14ac:dyDescent="0.35">
      <c r="A8398" s="503" t="s">
        <v>1109</v>
      </c>
      <c r="B8398" s="504" t="s">
        <v>2959</v>
      </c>
      <c r="C8398" s="504" t="s">
        <v>1094</v>
      </c>
      <c r="D8398" s="504" t="s">
        <v>3380</v>
      </c>
      <c r="E8398" s="504" t="s">
        <v>3381</v>
      </c>
      <c r="F8398" s="504" t="s">
        <v>948</v>
      </c>
      <c r="G8398" s="504" t="s">
        <v>949</v>
      </c>
      <c r="H8398" s="504" t="s">
        <v>10173</v>
      </c>
      <c r="I8398" s="504">
        <v>71</v>
      </c>
      <c r="J8398" s="504">
        <v>0</v>
      </c>
      <c r="K8398" s="504">
        <v>0</v>
      </c>
      <c r="L8398" s="504">
        <v>0</v>
      </c>
      <c r="M8398" s="504">
        <v>71</v>
      </c>
      <c r="N8398" s="504">
        <v>0</v>
      </c>
      <c r="O8398" s="505">
        <v>0</v>
      </c>
    </row>
    <row r="8399" spans="1:15" x14ac:dyDescent="0.35">
      <c r="A8399" s="500" t="s">
        <v>1308</v>
      </c>
      <c r="B8399" s="501" t="s">
        <v>3263</v>
      </c>
      <c r="C8399" s="501" t="s">
        <v>1089</v>
      </c>
      <c r="D8399" s="501" t="s">
        <v>3392</v>
      </c>
      <c r="E8399" s="501" t="s">
        <v>3381</v>
      </c>
      <c r="F8399" s="501" t="s">
        <v>948</v>
      </c>
      <c r="G8399" s="501" t="s">
        <v>949</v>
      </c>
      <c r="H8399" s="501" t="s">
        <v>10174</v>
      </c>
      <c r="I8399" s="501">
        <v>15</v>
      </c>
      <c r="J8399" s="501">
        <v>0</v>
      </c>
      <c r="K8399" s="501">
        <v>0</v>
      </c>
      <c r="L8399" s="501">
        <v>0</v>
      </c>
      <c r="M8399" s="501">
        <v>15</v>
      </c>
      <c r="N8399" s="501">
        <v>0</v>
      </c>
      <c r="O8399" s="506">
        <v>0</v>
      </c>
    </row>
    <row r="8400" spans="1:15" x14ac:dyDescent="0.35">
      <c r="A8400" s="503" t="s">
        <v>1202</v>
      </c>
      <c r="B8400" s="504" t="s">
        <v>3217</v>
      </c>
      <c r="C8400" s="504" t="s">
        <v>1094</v>
      </c>
      <c r="D8400" s="504" t="s">
        <v>3380</v>
      </c>
      <c r="E8400" s="504" t="s">
        <v>3381</v>
      </c>
      <c r="F8400" s="504" t="s">
        <v>948</v>
      </c>
      <c r="G8400" s="504" t="s">
        <v>949</v>
      </c>
      <c r="H8400" s="504" t="s">
        <v>11849</v>
      </c>
      <c r="I8400" s="504">
        <v>3</v>
      </c>
      <c r="J8400" s="504">
        <v>0</v>
      </c>
      <c r="K8400" s="504">
        <v>0</v>
      </c>
      <c r="L8400" s="504">
        <v>0</v>
      </c>
      <c r="M8400" s="504">
        <v>0</v>
      </c>
      <c r="N8400" s="504">
        <v>0</v>
      </c>
      <c r="O8400" s="505">
        <v>3</v>
      </c>
    </row>
    <row r="8401" spans="1:15" x14ac:dyDescent="0.35">
      <c r="A8401" s="500" t="s">
        <v>1114</v>
      </c>
      <c r="B8401" s="501" t="s">
        <v>2982</v>
      </c>
      <c r="C8401" s="501" t="s">
        <v>1094</v>
      </c>
      <c r="D8401" s="501" t="s">
        <v>3380</v>
      </c>
      <c r="E8401" s="501" t="s">
        <v>3381</v>
      </c>
      <c r="F8401" s="501" t="s">
        <v>948</v>
      </c>
      <c r="G8401" s="501" t="s">
        <v>949</v>
      </c>
      <c r="H8401" s="501" t="s">
        <v>10175</v>
      </c>
      <c r="I8401" s="501">
        <v>49</v>
      </c>
      <c r="J8401" s="501">
        <v>10</v>
      </c>
      <c r="K8401" s="501">
        <v>0</v>
      </c>
      <c r="L8401" s="501">
        <v>0</v>
      </c>
      <c r="M8401" s="501">
        <v>0</v>
      </c>
      <c r="N8401" s="501">
        <v>0</v>
      </c>
      <c r="O8401" s="506">
        <v>39</v>
      </c>
    </row>
    <row r="8402" spans="1:15" x14ac:dyDescent="0.35">
      <c r="A8402" s="503" t="s">
        <v>1503</v>
      </c>
      <c r="B8402" s="504">
        <v>4666</v>
      </c>
      <c r="C8402" s="504" t="s">
        <v>1089</v>
      </c>
      <c r="D8402" s="504" t="s">
        <v>3392</v>
      </c>
      <c r="E8402" s="504" t="s">
        <v>3381</v>
      </c>
      <c r="F8402" s="504" t="s">
        <v>948</v>
      </c>
      <c r="G8402" s="504" t="s">
        <v>949</v>
      </c>
      <c r="H8402" s="504" t="s">
        <v>10176</v>
      </c>
      <c r="I8402" s="504">
        <v>3</v>
      </c>
      <c r="J8402" s="504">
        <v>0</v>
      </c>
      <c r="K8402" s="504">
        <v>0</v>
      </c>
      <c r="L8402" s="504">
        <v>3</v>
      </c>
      <c r="M8402" s="504">
        <v>0</v>
      </c>
      <c r="N8402" s="504">
        <v>0</v>
      </c>
      <c r="O8402" s="505">
        <v>0</v>
      </c>
    </row>
    <row r="8403" spans="1:15" x14ac:dyDescent="0.35">
      <c r="A8403" s="500" t="s">
        <v>1320</v>
      </c>
      <c r="B8403" s="501">
        <v>4720</v>
      </c>
      <c r="C8403" s="501" t="s">
        <v>1089</v>
      </c>
      <c r="D8403" s="501" t="s">
        <v>3392</v>
      </c>
      <c r="E8403" s="501" t="s">
        <v>3381</v>
      </c>
      <c r="F8403" s="501" t="s">
        <v>948</v>
      </c>
      <c r="G8403" s="501" t="s">
        <v>949</v>
      </c>
      <c r="H8403" s="501" t="s">
        <v>11884</v>
      </c>
      <c r="I8403" s="501">
        <v>1</v>
      </c>
      <c r="J8403" s="501">
        <v>1</v>
      </c>
      <c r="K8403" s="501">
        <v>0</v>
      </c>
      <c r="L8403" s="501">
        <v>0</v>
      </c>
      <c r="M8403" s="501">
        <v>0</v>
      </c>
      <c r="N8403" s="501">
        <v>0</v>
      </c>
      <c r="O8403" s="506">
        <v>0</v>
      </c>
    </row>
    <row r="8404" spans="1:15" x14ac:dyDescent="0.35">
      <c r="A8404" s="503" t="s">
        <v>1217</v>
      </c>
      <c r="B8404" s="504">
        <v>4851</v>
      </c>
      <c r="C8404" s="504" t="s">
        <v>1094</v>
      </c>
      <c r="D8404" s="504" t="s">
        <v>3380</v>
      </c>
      <c r="E8404" s="504" t="s">
        <v>3381</v>
      </c>
      <c r="F8404" s="504" t="s">
        <v>948</v>
      </c>
      <c r="G8404" s="504" t="s">
        <v>949</v>
      </c>
      <c r="H8404" s="504" t="s">
        <v>10177</v>
      </c>
      <c r="I8404" s="504">
        <v>27</v>
      </c>
      <c r="J8404" s="504">
        <v>0</v>
      </c>
      <c r="K8404" s="504">
        <v>0</v>
      </c>
      <c r="L8404" s="504">
        <v>27</v>
      </c>
      <c r="M8404" s="504">
        <v>0</v>
      </c>
      <c r="N8404" s="504">
        <v>0</v>
      </c>
      <c r="O8404" s="505">
        <v>0</v>
      </c>
    </row>
    <row r="8405" spans="1:15" x14ac:dyDescent="0.35">
      <c r="A8405" s="500" t="s">
        <v>1218</v>
      </c>
      <c r="B8405" s="501" t="s">
        <v>3147</v>
      </c>
      <c r="C8405" s="501" t="s">
        <v>1094</v>
      </c>
      <c r="D8405" s="501" t="s">
        <v>3380</v>
      </c>
      <c r="E8405" s="501" t="s">
        <v>3381</v>
      </c>
      <c r="F8405" s="501" t="s">
        <v>948</v>
      </c>
      <c r="G8405" s="501" t="s">
        <v>949</v>
      </c>
      <c r="H8405" s="501" t="s">
        <v>10178</v>
      </c>
      <c r="I8405" s="501">
        <v>106</v>
      </c>
      <c r="J8405" s="501">
        <v>0</v>
      </c>
      <c r="K8405" s="501">
        <v>0</v>
      </c>
      <c r="L8405" s="501">
        <v>0</v>
      </c>
      <c r="M8405" s="501">
        <v>0</v>
      </c>
      <c r="N8405" s="501">
        <v>0</v>
      </c>
      <c r="O8405" s="506">
        <v>106</v>
      </c>
    </row>
    <row r="8406" spans="1:15" x14ac:dyDescent="0.35">
      <c r="A8406" s="503" t="s">
        <v>11367</v>
      </c>
      <c r="B8406" s="504" t="s">
        <v>3143</v>
      </c>
      <c r="C8406" s="504" t="s">
        <v>1094</v>
      </c>
      <c r="D8406" s="504" t="s">
        <v>3380</v>
      </c>
      <c r="E8406" s="504" t="s">
        <v>3381</v>
      </c>
      <c r="F8406" s="504" t="s">
        <v>948</v>
      </c>
      <c r="G8406" s="504" t="s">
        <v>949</v>
      </c>
      <c r="H8406" s="504" t="s">
        <v>11958</v>
      </c>
      <c r="I8406" s="504">
        <v>2623</v>
      </c>
      <c r="J8406" s="504">
        <v>2289</v>
      </c>
      <c r="K8406" s="504">
        <v>0</v>
      </c>
      <c r="L8406" s="504">
        <v>6</v>
      </c>
      <c r="M8406" s="504">
        <v>327</v>
      </c>
      <c r="N8406" s="504">
        <v>1</v>
      </c>
      <c r="O8406" s="505">
        <v>1</v>
      </c>
    </row>
    <row r="8407" spans="1:15" x14ac:dyDescent="0.35">
      <c r="A8407" s="500" t="s">
        <v>1122</v>
      </c>
      <c r="B8407" s="501" t="s">
        <v>2994</v>
      </c>
      <c r="C8407" s="501" t="s">
        <v>1094</v>
      </c>
      <c r="D8407" s="501" t="s">
        <v>3380</v>
      </c>
      <c r="E8407" s="501" t="s">
        <v>3381</v>
      </c>
      <c r="F8407" s="501" t="s">
        <v>948</v>
      </c>
      <c r="G8407" s="501" t="s">
        <v>949</v>
      </c>
      <c r="H8407" s="501" t="s">
        <v>10179</v>
      </c>
      <c r="I8407" s="501">
        <v>146</v>
      </c>
      <c r="J8407" s="501">
        <v>146</v>
      </c>
      <c r="K8407" s="501">
        <v>0</v>
      </c>
      <c r="L8407" s="501">
        <v>0</v>
      </c>
      <c r="M8407" s="501">
        <v>0</v>
      </c>
      <c r="N8407" s="501">
        <v>0</v>
      </c>
      <c r="O8407" s="506">
        <v>0</v>
      </c>
    </row>
    <row r="8408" spans="1:15" x14ac:dyDescent="0.35">
      <c r="A8408" s="503" t="s">
        <v>1124</v>
      </c>
      <c r="B8408" s="504">
        <v>4745</v>
      </c>
      <c r="C8408" s="504" t="s">
        <v>1094</v>
      </c>
      <c r="D8408" s="504" t="s">
        <v>3380</v>
      </c>
      <c r="E8408" s="504" t="s">
        <v>3381</v>
      </c>
      <c r="F8408" s="504" t="s">
        <v>948</v>
      </c>
      <c r="G8408" s="504" t="s">
        <v>949</v>
      </c>
      <c r="H8408" s="504" t="s">
        <v>10180</v>
      </c>
      <c r="I8408" s="504">
        <v>1</v>
      </c>
      <c r="J8408" s="504">
        <v>0</v>
      </c>
      <c r="K8408" s="504">
        <v>0</v>
      </c>
      <c r="L8408" s="504">
        <v>1</v>
      </c>
      <c r="M8408" s="504">
        <v>0</v>
      </c>
      <c r="N8408" s="504">
        <v>0</v>
      </c>
      <c r="O8408" s="505">
        <v>0</v>
      </c>
    </row>
    <row r="8409" spans="1:15" x14ac:dyDescent="0.35">
      <c r="A8409" s="500" t="s">
        <v>1126</v>
      </c>
      <c r="B8409" s="501" t="s">
        <v>2974</v>
      </c>
      <c r="C8409" s="501" t="s">
        <v>1094</v>
      </c>
      <c r="D8409" s="501" t="s">
        <v>3380</v>
      </c>
      <c r="E8409" s="501" t="s">
        <v>3381</v>
      </c>
      <c r="F8409" s="501" t="s">
        <v>948</v>
      </c>
      <c r="G8409" s="501" t="s">
        <v>949</v>
      </c>
      <c r="H8409" s="501" t="s">
        <v>10181</v>
      </c>
      <c r="I8409" s="501">
        <v>183</v>
      </c>
      <c r="J8409" s="501">
        <v>120</v>
      </c>
      <c r="K8409" s="501">
        <v>0</v>
      </c>
      <c r="L8409" s="501">
        <v>27</v>
      </c>
      <c r="M8409" s="501">
        <v>2</v>
      </c>
      <c r="N8409" s="501">
        <v>0</v>
      </c>
      <c r="O8409" s="506">
        <v>34</v>
      </c>
    </row>
    <row r="8410" spans="1:15" x14ac:dyDescent="0.35">
      <c r="A8410" s="503" t="s">
        <v>1130</v>
      </c>
      <c r="B8410" s="504" t="s">
        <v>3234</v>
      </c>
      <c r="C8410" s="504" t="s">
        <v>1094</v>
      </c>
      <c r="D8410" s="504" t="s">
        <v>3380</v>
      </c>
      <c r="E8410" s="504" t="s">
        <v>3381</v>
      </c>
      <c r="F8410" s="504" t="s">
        <v>948</v>
      </c>
      <c r="G8410" s="504" t="s">
        <v>949</v>
      </c>
      <c r="H8410" s="504" t="s">
        <v>10182</v>
      </c>
      <c r="I8410" s="504">
        <v>490</v>
      </c>
      <c r="J8410" s="504">
        <v>479</v>
      </c>
      <c r="K8410" s="504">
        <v>0</v>
      </c>
      <c r="L8410" s="504">
        <v>0</v>
      </c>
      <c r="M8410" s="504">
        <v>0</v>
      </c>
      <c r="N8410" s="504">
        <v>25</v>
      </c>
      <c r="O8410" s="505">
        <v>11</v>
      </c>
    </row>
    <row r="8411" spans="1:15" x14ac:dyDescent="0.35">
      <c r="A8411" s="500" t="s">
        <v>1245</v>
      </c>
      <c r="B8411" s="501" t="s">
        <v>2859</v>
      </c>
      <c r="C8411" s="501" t="s">
        <v>1094</v>
      </c>
      <c r="D8411" s="501" t="s">
        <v>3380</v>
      </c>
      <c r="E8411" s="501" t="s">
        <v>3381</v>
      </c>
      <c r="F8411" s="501" t="s">
        <v>948</v>
      </c>
      <c r="G8411" s="501" t="s">
        <v>949</v>
      </c>
      <c r="H8411" s="501" t="s">
        <v>10183</v>
      </c>
      <c r="I8411" s="501">
        <v>21</v>
      </c>
      <c r="J8411" s="501">
        <v>0</v>
      </c>
      <c r="K8411" s="501">
        <v>0</v>
      </c>
      <c r="L8411" s="501">
        <v>0</v>
      </c>
      <c r="M8411" s="501">
        <v>21</v>
      </c>
      <c r="N8411" s="501">
        <v>0</v>
      </c>
      <c r="O8411" s="506">
        <v>0</v>
      </c>
    </row>
    <row r="8412" spans="1:15" x14ac:dyDescent="0.35">
      <c r="A8412" s="503" t="s">
        <v>1253</v>
      </c>
      <c r="B8412" s="504" t="s">
        <v>3232</v>
      </c>
      <c r="C8412" s="504" t="s">
        <v>1094</v>
      </c>
      <c r="D8412" s="504" t="s">
        <v>3380</v>
      </c>
      <c r="E8412" s="504" t="s">
        <v>3381</v>
      </c>
      <c r="F8412" s="504" t="s">
        <v>948</v>
      </c>
      <c r="G8412" s="504" t="s">
        <v>949</v>
      </c>
      <c r="H8412" s="504" t="s">
        <v>10184</v>
      </c>
      <c r="I8412" s="504">
        <v>714</v>
      </c>
      <c r="J8412" s="504">
        <v>634</v>
      </c>
      <c r="K8412" s="504">
        <v>0</v>
      </c>
      <c r="L8412" s="504">
        <v>11</v>
      </c>
      <c r="M8412" s="504">
        <v>65</v>
      </c>
      <c r="N8412" s="504">
        <v>0</v>
      </c>
      <c r="O8412" s="505">
        <v>4</v>
      </c>
    </row>
    <row r="8413" spans="1:15" x14ac:dyDescent="0.35">
      <c r="A8413" s="500" t="s">
        <v>1928</v>
      </c>
      <c r="B8413" s="501" t="s">
        <v>3167</v>
      </c>
      <c r="C8413" s="501" t="s">
        <v>1094</v>
      </c>
      <c r="D8413" s="501" t="s">
        <v>3380</v>
      </c>
      <c r="E8413" s="501" t="s">
        <v>3381</v>
      </c>
      <c r="F8413" s="501" t="s">
        <v>948</v>
      </c>
      <c r="G8413" s="501" t="s">
        <v>949</v>
      </c>
      <c r="H8413" s="501" t="s">
        <v>10185</v>
      </c>
      <c r="I8413" s="501">
        <v>178</v>
      </c>
      <c r="J8413" s="501">
        <v>161</v>
      </c>
      <c r="K8413" s="501">
        <v>0</v>
      </c>
      <c r="L8413" s="501">
        <v>0</v>
      </c>
      <c r="M8413" s="501">
        <v>0</v>
      </c>
      <c r="N8413" s="501">
        <v>0</v>
      </c>
      <c r="O8413" s="506">
        <v>17</v>
      </c>
    </row>
    <row r="8414" spans="1:15" x14ac:dyDescent="0.35">
      <c r="A8414" s="503" t="s">
        <v>1935</v>
      </c>
      <c r="B8414" s="504" t="s">
        <v>3305</v>
      </c>
      <c r="C8414" s="504" t="s">
        <v>1094</v>
      </c>
      <c r="D8414" s="504" t="s">
        <v>3380</v>
      </c>
      <c r="E8414" s="504" t="s">
        <v>3381</v>
      </c>
      <c r="F8414" s="504" t="s">
        <v>948</v>
      </c>
      <c r="G8414" s="504" t="s">
        <v>949</v>
      </c>
      <c r="H8414" s="504" t="s">
        <v>10186</v>
      </c>
      <c r="I8414" s="504">
        <v>81</v>
      </c>
      <c r="J8414" s="504">
        <v>13</v>
      </c>
      <c r="K8414" s="504">
        <v>0</v>
      </c>
      <c r="L8414" s="504">
        <v>9</v>
      </c>
      <c r="M8414" s="504">
        <v>49</v>
      </c>
      <c r="N8414" s="504">
        <v>0</v>
      </c>
      <c r="O8414" s="505">
        <v>10</v>
      </c>
    </row>
    <row r="8415" spans="1:15" x14ac:dyDescent="0.35">
      <c r="A8415" s="500" t="s">
        <v>1262</v>
      </c>
      <c r="B8415" s="501">
        <v>4772</v>
      </c>
      <c r="C8415" s="501" t="s">
        <v>1089</v>
      </c>
      <c r="D8415" s="501" t="s">
        <v>3392</v>
      </c>
      <c r="E8415" s="501" t="s">
        <v>3381</v>
      </c>
      <c r="F8415" s="501" t="s">
        <v>948</v>
      </c>
      <c r="G8415" s="501" t="s">
        <v>949</v>
      </c>
      <c r="H8415" s="501" t="s">
        <v>10187</v>
      </c>
      <c r="I8415" s="501">
        <v>2</v>
      </c>
      <c r="J8415" s="501">
        <v>0</v>
      </c>
      <c r="K8415" s="501">
        <v>0</v>
      </c>
      <c r="L8415" s="501">
        <v>2</v>
      </c>
      <c r="M8415" s="501">
        <v>0</v>
      </c>
      <c r="N8415" s="501">
        <v>0</v>
      </c>
      <c r="O8415" s="506">
        <v>0</v>
      </c>
    </row>
    <row r="8416" spans="1:15" x14ac:dyDescent="0.35">
      <c r="A8416" s="503" t="s">
        <v>1096</v>
      </c>
      <c r="B8416" s="504" t="s">
        <v>3326</v>
      </c>
      <c r="C8416" s="504" t="s">
        <v>1094</v>
      </c>
      <c r="D8416" s="504" t="s">
        <v>3380</v>
      </c>
      <c r="E8416" s="504" t="s">
        <v>3381</v>
      </c>
      <c r="F8416" s="504" t="s">
        <v>950</v>
      </c>
      <c r="G8416" s="504" t="s">
        <v>951</v>
      </c>
      <c r="H8416" s="504" t="s">
        <v>10188</v>
      </c>
      <c r="I8416" s="504">
        <v>55</v>
      </c>
      <c r="J8416" s="504">
        <v>0</v>
      </c>
      <c r="K8416" s="504">
        <v>0</v>
      </c>
      <c r="L8416" s="504">
        <v>0</v>
      </c>
      <c r="M8416" s="504">
        <v>55</v>
      </c>
      <c r="N8416" s="504">
        <v>0</v>
      </c>
      <c r="O8416" s="505">
        <v>0</v>
      </c>
    </row>
    <row r="8417" spans="1:15" x14ac:dyDescent="0.35">
      <c r="A8417" s="500" t="s">
        <v>1161</v>
      </c>
      <c r="B8417" s="501" t="s">
        <v>3001</v>
      </c>
      <c r="C8417" s="501" t="s">
        <v>1094</v>
      </c>
      <c r="D8417" s="501" t="s">
        <v>3380</v>
      </c>
      <c r="E8417" s="501" t="s">
        <v>3381</v>
      </c>
      <c r="F8417" s="501" t="s">
        <v>950</v>
      </c>
      <c r="G8417" s="501" t="s">
        <v>951</v>
      </c>
      <c r="H8417" s="501" t="s">
        <v>10189</v>
      </c>
      <c r="I8417" s="501">
        <v>189</v>
      </c>
      <c r="J8417" s="501">
        <v>144</v>
      </c>
      <c r="K8417" s="501">
        <v>0</v>
      </c>
      <c r="L8417" s="501">
        <v>18</v>
      </c>
      <c r="M8417" s="501">
        <v>0</v>
      </c>
      <c r="N8417" s="501">
        <v>0</v>
      </c>
      <c r="O8417" s="506">
        <v>27</v>
      </c>
    </row>
    <row r="8418" spans="1:15" x14ac:dyDescent="0.35">
      <c r="A8418" s="503" t="s">
        <v>1100</v>
      </c>
      <c r="B8418" s="504">
        <v>4865</v>
      </c>
      <c r="C8418" s="504" t="s">
        <v>1094</v>
      </c>
      <c r="D8418" s="504" t="s">
        <v>3380</v>
      </c>
      <c r="E8418" s="504" t="s">
        <v>3381</v>
      </c>
      <c r="F8418" s="504" t="s">
        <v>950</v>
      </c>
      <c r="G8418" s="504" t="s">
        <v>951</v>
      </c>
      <c r="H8418" s="504" t="s">
        <v>10190</v>
      </c>
      <c r="I8418" s="504">
        <v>16</v>
      </c>
      <c r="J8418" s="504">
        <v>15</v>
      </c>
      <c r="K8418" s="504">
        <v>0</v>
      </c>
      <c r="L8418" s="504">
        <v>0</v>
      </c>
      <c r="M8418" s="504">
        <v>0</v>
      </c>
      <c r="N8418" s="504">
        <v>0</v>
      </c>
      <c r="O8418" s="505">
        <v>1</v>
      </c>
    </row>
    <row r="8419" spans="1:15" x14ac:dyDescent="0.35">
      <c r="A8419" s="500" t="s">
        <v>1182</v>
      </c>
      <c r="B8419" s="501">
        <v>5060</v>
      </c>
      <c r="C8419" s="501" t="s">
        <v>1094</v>
      </c>
      <c r="D8419" s="501" t="s">
        <v>3380</v>
      </c>
      <c r="E8419" s="501" t="s">
        <v>3381</v>
      </c>
      <c r="F8419" s="501" t="s">
        <v>950</v>
      </c>
      <c r="G8419" s="501" t="s">
        <v>951</v>
      </c>
      <c r="H8419" s="501" t="s">
        <v>11706</v>
      </c>
      <c r="I8419" s="501">
        <v>4</v>
      </c>
      <c r="J8419" s="501">
        <v>0</v>
      </c>
      <c r="K8419" s="501">
        <v>0</v>
      </c>
      <c r="L8419" s="501">
        <v>4</v>
      </c>
      <c r="M8419" s="501">
        <v>0</v>
      </c>
      <c r="N8419" s="501">
        <v>0</v>
      </c>
      <c r="O8419" s="506">
        <v>0</v>
      </c>
    </row>
    <row r="8420" spans="1:15" x14ac:dyDescent="0.35">
      <c r="A8420" s="503" t="s">
        <v>1185</v>
      </c>
      <c r="B8420" s="504" t="s">
        <v>3253</v>
      </c>
      <c r="C8420" s="504" t="s">
        <v>1094</v>
      </c>
      <c r="D8420" s="504" t="s">
        <v>3380</v>
      </c>
      <c r="E8420" s="504" t="s">
        <v>3381</v>
      </c>
      <c r="F8420" s="504" t="s">
        <v>950</v>
      </c>
      <c r="G8420" s="504" t="s">
        <v>951</v>
      </c>
      <c r="H8420" s="504" t="s">
        <v>10191</v>
      </c>
      <c r="I8420" s="504">
        <v>2</v>
      </c>
      <c r="J8420" s="504">
        <v>0</v>
      </c>
      <c r="K8420" s="504">
        <v>0</v>
      </c>
      <c r="L8420" s="504">
        <v>1</v>
      </c>
      <c r="M8420" s="504">
        <v>0</v>
      </c>
      <c r="N8420" s="504">
        <v>0</v>
      </c>
      <c r="O8420" s="505">
        <v>1</v>
      </c>
    </row>
    <row r="8421" spans="1:15" x14ac:dyDescent="0.35">
      <c r="A8421" s="500" t="s">
        <v>1302</v>
      </c>
      <c r="B8421" s="501" t="s">
        <v>3094</v>
      </c>
      <c r="C8421" s="501" t="s">
        <v>1094</v>
      </c>
      <c r="D8421" s="501" t="s">
        <v>3380</v>
      </c>
      <c r="E8421" s="501" t="s">
        <v>3381</v>
      </c>
      <c r="F8421" s="501" t="s">
        <v>950</v>
      </c>
      <c r="G8421" s="501" t="s">
        <v>951</v>
      </c>
      <c r="H8421" s="501" t="s">
        <v>10192</v>
      </c>
      <c r="I8421" s="501">
        <v>204</v>
      </c>
      <c r="J8421" s="501">
        <v>149</v>
      </c>
      <c r="K8421" s="501">
        <v>0</v>
      </c>
      <c r="L8421" s="501">
        <v>0</v>
      </c>
      <c r="M8421" s="501">
        <v>0</v>
      </c>
      <c r="N8421" s="501">
        <v>0</v>
      </c>
      <c r="O8421" s="506">
        <v>55</v>
      </c>
    </row>
    <row r="8422" spans="1:15" x14ac:dyDescent="0.35">
      <c r="A8422" s="503" t="s">
        <v>1107</v>
      </c>
      <c r="B8422" s="504" t="s">
        <v>3109</v>
      </c>
      <c r="C8422" s="504" t="s">
        <v>1094</v>
      </c>
      <c r="D8422" s="504" t="s">
        <v>3380</v>
      </c>
      <c r="E8422" s="504" t="s">
        <v>3381</v>
      </c>
      <c r="F8422" s="504" t="s">
        <v>950</v>
      </c>
      <c r="G8422" s="504" t="s">
        <v>951</v>
      </c>
      <c r="H8422" s="504" t="s">
        <v>10193</v>
      </c>
      <c r="I8422" s="504">
        <v>471</v>
      </c>
      <c r="J8422" s="504">
        <v>353</v>
      </c>
      <c r="K8422" s="504">
        <v>0</v>
      </c>
      <c r="L8422" s="504">
        <v>12</v>
      </c>
      <c r="M8422" s="504">
        <v>77</v>
      </c>
      <c r="N8422" s="504">
        <v>12</v>
      </c>
      <c r="O8422" s="505">
        <v>29</v>
      </c>
    </row>
    <row r="8423" spans="1:15" x14ac:dyDescent="0.35">
      <c r="A8423" s="500" t="s">
        <v>1109</v>
      </c>
      <c r="B8423" s="501" t="s">
        <v>2959</v>
      </c>
      <c r="C8423" s="501" t="s">
        <v>1094</v>
      </c>
      <c r="D8423" s="501" t="s">
        <v>3380</v>
      </c>
      <c r="E8423" s="501" t="s">
        <v>3381</v>
      </c>
      <c r="F8423" s="501" t="s">
        <v>950</v>
      </c>
      <c r="G8423" s="501" t="s">
        <v>951</v>
      </c>
      <c r="H8423" s="501" t="s">
        <v>10194</v>
      </c>
      <c r="I8423" s="501">
        <v>59</v>
      </c>
      <c r="J8423" s="501">
        <v>0</v>
      </c>
      <c r="K8423" s="501">
        <v>0</v>
      </c>
      <c r="L8423" s="501">
        <v>0</v>
      </c>
      <c r="M8423" s="501">
        <v>59</v>
      </c>
      <c r="N8423" s="501">
        <v>0</v>
      </c>
      <c r="O8423" s="506">
        <v>0</v>
      </c>
    </row>
    <row r="8424" spans="1:15" x14ac:dyDescent="0.35">
      <c r="A8424" s="503" t="s">
        <v>1112</v>
      </c>
      <c r="B8424" s="504" t="s">
        <v>3008</v>
      </c>
      <c r="C8424" s="504" t="s">
        <v>1094</v>
      </c>
      <c r="D8424" s="504" t="s">
        <v>3380</v>
      </c>
      <c r="E8424" s="504" t="s">
        <v>3381</v>
      </c>
      <c r="F8424" s="504" t="s">
        <v>950</v>
      </c>
      <c r="G8424" s="504" t="s">
        <v>951</v>
      </c>
      <c r="H8424" s="504" t="s">
        <v>10195</v>
      </c>
      <c r="I8424" s="504">
        <v>13</v>
      </c>
      <c r="J8424" s="504">
        <v>11</v>
      </c>
      <c r="K8424" s="504">
        <v>0</v>
      </c>
      <c r="L8424" s="504">
        <v>0</v>
      </c>
      <c r="M8424" s="504">
        <v>0</v>
      </c>
      <c r="N8424" s="504">
        <v>0</v>
      </c>
      <c r="O8424" s="505">
        <v>2</v>
      </c>
    </row>
    <row r="8425" spans="1:15" x14ac:dyDescent="0.35">
      <c r="A8425" s="500" t="s">
        <v>1315</v>
      </c>
      <c r="B8425" s="501">
        <v>4825</v>
      </c>
      <c r="C8425" s="501" t="s">
        <v>1094</v>
      </c>
      <c r="D8425" s="501" t="s">
        <v>3380</v>
      </c>
      <c r="E8425" s="501" t="s">
        <v>3381</v>
      </c>
      <c r="F8425" s="501" t="s">
        <v>950</v>
      </c>
      <c r="G8425" s="501" t="s">
        <v>951</v>
      </c>
      <c r="H8425" s="501" t="s">
        <v>10196</v>
      </c>
      <c r="I8425" s="501">
        <v>106</v>
      </c>
      <c r="J8425" s="501">
        <v>106</v>
      </c>
      <c r="K8425" s="501">
        <v>0</v>
      </c>
      <c r="L8425" s="501">
        <v>0</v>
      </c>
      <c r="M8425" s="501">
        <v>0</v>
      </c>
      <c r="N8425" s="501">
        <v>1</v>
      </c>
      <c r="O8425" s="506">
        <v>0</v>
      </c>
    </row>
    <row r="8426" spans="1:15" x14ac:dyDescent="0.35">
      <c r="A8426" s="503" t="s">
        <v>1319</v>
      </c>
      <c r="B8426" s="504">
        <v>4880</v>
      </c>
      <c r="C8426" s="504" t="s">
        <v>1094</v>
      </c>
      <c r="D8426" s="504" t="s">
        <v>3380</v>
      </c>
      <c r="E8426" s="504" t="s">
        <v>3381</v>
      </c>
      <c r="F8426" s="504" t="s">
        <v>950</v>
      </c>
      <c r="G8426" s="504" t="s">
        <v>951</v>
      </c>
      <c r="H8426" s="504" t="s">
        <v>10197</v>
      </c>
      <c r="I8426" s="504">
        <v>61</v>
      </c>
      <c r="J8426" s="504">
        <v>22</v>
      </c>
      <c r="K8426" s="504">
        <v>0</v>
      </c>
      <c r="L8426" s="504">
        <v>0</v>
      </c>
      <c r="M8426" s="504">
        <v>0</v>
      </c>
      <c r="N8426" s="504">
        <v>0</v>
      </c>
      <c r="O8426" s="505">
        <v>39</v>
      </c>
    </row>
    <row r="8427" spans="1:15" x14ac:dyDescent="0.35">
      <c r="A8427" s="500" t="s">
        <v>1120</v>
      </c>
      <c r="B8427" s="501" t="s">
        <v>3362</v>
      </c>
      <c r="C8427" s="501" t="s">
        <v>1094</v>
      </c>
      <c r="D8427" s="501" t="s">
        <v>3380</v>
      </c>
      <c r="E8427" s="501" t="s">
        <v>3381</v>
      </c>
      <c r="F8427" s="501" t="s">
        <v>950</v>
      </c>
      <c r="G8427" s="501" t="s">
        <v>951</v>
      </c>
      <c r="H8427" s="501" t="s">
        <v>10198</v>
      </c>
      <c r="I8427" s="501">
        <v>13</v>
      </c>
      <c r="J8427" s="501">
        <v>0</v>
      </c>
      <c r="K8427" s="501">
        <v>0</v>
      </c>
      <c r="L8427" s="501">
        <v>0</v>
      </c>
      <c r="M8427" s="501">
        <v>0</v>
      </c>
      <c r="N8427" s="501">
        <v>0</v>
      </c>
      <c r="O8427" s="506">
        <v>13</v>
      </c>
    </row>
    <row r="8428" spans="1:15" x14ac:dyDescent="0.35">
      <c r="A8428" s="503" t="s">
        <v>1323</v>
      </c>
      <c r="B8428" s="504" t="s">
        <v>2946</v>
      </c>
      <c r="C8428" s="504" t="s">
        <v>1089</v>
      </c>
      <c r="D8428" s="504" t="s">
        <v>3392</v>
      </c>
      <c r="E8428" s="504" t="s">
        <v>3381</v>
      </c>
      <c r="F8428" s="504" t="s">
        <v>950</v>
      </c>
      <c r="G8428" s="504" t="s">
        <v>951</v>
      </c>
      <c r="H8428" s="504" t="s">
        <v>15167</v>
      </c>
      <c r="I8428" s="504">
        <v>5</v>
      </c>
      <c r="J8428" s="504">
        <v>0</v>
      </c>
      <c r="K8428" s="504">
        <v>0</v>
      </c>
      <c r="L8428" s="504">
        <v>5</v>
      </c>
      <c r="M8428" s="504">
        <v>0</v>
      </c>
      <c r="N8428" s="504">
        <v>0</v>
      </c>
      <c r="O8428" s="505">
        <v>0</v>
      </c>
    </row>
    <row r="8429" spans="1:15" x14ac:dyDescent="0.35">
      <c r="A8429" s="500" t="s">
        <v>1325</v>
      </c>
      <c r="B8429" s="501" t="s">
        <v>3011</v>
      </c>
      <c r="C8429" s="501" t="s">
        <v>1094</v>
      </c>
      <c r="D8429" s="501" t="s">
        <v>3380</v>
      </c>
      <c r="E8429" s="501" t="s">
        <v>3381</v>
      </c>
      <c r="F8429" s="501" t="s">
        <v>950</v>
      </c>
      <c r="G8429" s="501" t="s">
        <v>951</v>
      </c>
      <c r="H8429" s="501" t="s">
        <v>10199</v>
      </c>
      <c r="I8429" s="501">
        <v>78</v>
      </c>
      <c r="J8429" s="501">
        <v>70</v>
      </c>
      <c r="K8429" s="501">
        <v>0</v>
      </c>
      <c r="L8429" s="501">
        <v>8</v>
      </c>
      <c r="M8429" s="501">
        <v>0</v>
      </c>
      <c r="N8429" s="501">
        <v>0</v>
      </c>
      <c r="O8429" s="506">
        <v>0</v>
      </c>
    </row>
    <row r="8430" spans="1:15" x14ac:dyDescent="0.35">
      <c r="A8430" s="503" t="s">
        <v>1327</v>
      </c>
      <c r="B8430" s="504" t="s">
        <v>3330</v>
      </c>
      <c r="C8430" s="504" t="s">
        <v>1094</v>
      </c>
      <c r="D8430" s="504" t="s">
        <v>3380</v>
      </c>
      <c r="E8430" s="504" t="s">
        <v>3381</v>
      </c>
      <c r="F8430" s="504" t="s">
        <v>950</v>
      </c>
      <c r="G8430" s="504" t="s">
        <v>951</v>
      </c>
      <c r="H8430" s="504" t="s">
        <v>10200</v>
      </c>
      <c r="I8430" s="504">
        <v>69</v>
      </c>
      <c r="J8430" s="504">
        <v>57</v>
      </c>
      <c r="K8430" s="504">
        <v>0</v>
      </c>
      <c r="L8430" s="504">
        <v>0</v>
      </c>
      <c r="M8430" s="504">
        <v>0</v>
      </c>
      <c r="N8430" s="504">
        <v>0</v>
      </c>
      <c r="O8430" s="505">
        <v>12</v>
      </c>
    </row>
    <row r="8431" spans="1:15" x14ac:dyDescent="0.35">
      <c r="A8431" s="500" t="s">
        <v>1122</v>
      </c>
      <c r="B8431" s="501" t="s">
        <v>2994</v>
      </c>
      <c r="C8431" s="501" t="s">
        <v>1094</v>
      </c>
      <c r="D8431" s="501" t="s">
        <v>3380</v>
      </c>
      <c r="E8431" s="501" t="s">
        <v>3381</v>
      </c>
      <c r="F8431" s="501" t="s">
        <v>950</v>
      </c>
      <c r="G8431" s="501" t="s">
        <v>951</v>
      </c>
      <c r="H8431" s="501" t="s">
        <v>10201</v>
      </c>
      <c r="I8431" s="501">
        <v>74</v>
      </c>
      <c r="J8431" s="501">
        <v>74</v>
      </c>
      <c r="K8431" s="501">
        <v>0</v>
      </c>
      <c r="L8431" s="501">
        <v>0</v>
      </c>
      <c r="M8431" s="501">
        <v>0</v>
      </c>
      <c r="N8431" s="501">
        <v>0</v>
      </c>
      <c r="O8431" s="506">
        <v>0</v>
      </c>
    </row>
    <row r="8432" spans="1:15" x14ac:dyDescent="0.35">
      <c r="A8432" s="503" t="s">
        <v>1225</v>
      </c>
      <c r="B8432" s="504" t="s">
        <v>3315</v>
      </c>
      <c r="C8432" s="504" t="s">
        <v>1094</v>
      </c>
      <c r="D8432" s="504" t="s">
        <v>3380</v>
      </c>
      <c r="E8432" s="504" t="s">
        <v>3381</v>
      </c>
      <c r="F8432" s="504" t="s">
        <v>950</v>
      </c>
      <c r="G8432" s="504" t="s">
        <v>951</v>
      </c>
      <c r="H8432" s="504" t="s">
        <v>10202</v>
      </c>
      <c r="I8432" s="504">
        <v>12</v>
      </c>
      <c r="J8432" s="504">
        <v>0</v>
      </c>
      <c r="K8432" s="504">
        <v>0</v>
      </c>
      <c r="L8432" s="504">
        <v>12</v>
      </c>
      <c r="M8432" s="504">
        <v>0</v>
      </c>
      <c r="N8432" s="504">
        <v>0</v>
      </c>
      <c r="O8432" s="505">
        <v>0</v>
      </c>
    </row>
    <row r="8433" spans="1:15" x14ac:dyDescent="0.35">
      <c r="A8433" s="500" t="s">
        <v>1124</v>
      </c>
      <c r="B8433" s="501">
        <v>4745</v>
      </c>
      <c r="C8433" s="501" t="s">
        <v>1094</v>
      </c>
      <c r="D8433" s="501" t="s">
        <v>3380</v>
      </c>
      <c r="E8433" s="501" t="s">
        <v>3381</v>
      </c>
      <c r="F8433" s="501" t="s">
        <v>950</v>
      </c>
      <c r="G8433" s="501" t="s">
        <v>951</v>
      </c>
      <c r="H8433" s="501" t="s">
        <v>10203</v>
      </c>
      <c r="I8433" s="501">
        <v>1</v>
      </c>
      <c r="J8433" s="501">
        <v>0</v>
      </c>
      <c r="K8433" s="501">
        <v>0</v>
      </c>
      <c r="L8433" s="501">
        <v>1</v>
      </c>
      <c r="M8433" s="501">
        <v>0</v>
      </c>
      <c r="N8433" s="501">
        <v>0</v>
      </c>
      <c r="O8433" s="506">
        <v>0</v>
      </c>
    </row>
    <row r="8434" spans="1:15" x14ac:dyDescent="0.35">
      <c r="A8434" s="503" t="s">
        <v>1337</v>
      </c>
      <c r="B8434" s="504" t="s">
        <v>3015</v>
      </c>
      <c r="C8434" s="504" t="s">
        <v>1089</v>
      </c>
      <c r="D8434" s="504" t="s">
        <v>3392</v>
      </c>
      <c r="E8434" s="504" t="s">
        <v>3381</v>
      </c>
      <c r="F8434" s="504" t="s">
        <v>950</v>
      </c>
      <c r="G8434" s="504" t="s">
        <v>951</v>
      </c>
      <c r="H8434" s="504" t="s">
        <v>10204</v>
      </c>
      <c r="I8434" s="504">
        <v>27</v>
      </c>
      <c r="J8434" s="504">
        <v>0</v>
      </c>
      <c r="K8434" s="504">
        <v>0</v>
      </c>
      <c r="L8434" s="504">
        <v>0</v>
      </c>
      <c r="M8434" s="504">
        <v>27</v>
      </c>
      <c r="N8434" s="504">
        <v>0</v>
      </c>
      <c r="O8434" s="505">
        <v>0</v>
      </c>
    </row>
    <row r="8435" spans="1:15" x14ac:dyDescent="0.35">
      <c r="A8435" s="500" t="s">
        <v>1126</v>
      </c>
      <c r="B8435" s="501" t="s">
        <v>2974</v>
      </c>
      <c r="C8435" s="501" t="s">
        <v>1094</v>
      </c>
      <c r="D8435" s="501" t="s">
        <v>3380</v>
      </c>
      <c r="E8435" s="501" t="s">
        <v>3381</v>
      </c>
      <c r="F8435" s="501" t="s">
        <v>950</v>
      </c>
      <c r="G8435" s="501" t="s">
        <v>951</v>
      </c>
      <c r="H8435" s="501" t="s">
        <v>10205</v>
      </c>
      <c r="I8435" s="501">
        <v>182</v>
      </c>
      <c r="J8435" s="501">
        <v>142</v>
      </c>
      <c r="K8435" s="501">
        <v>0</v>
      </c>
      <c r="L8435" s="501">
        <v>0</v>
      </c>
      <c r="M8435" s="501">
        <v>39</v>
      </c>
      <c r="N8435" s="501">
        <v>0</v>
      </c>
      <c r="O8435" s="506">
        <v>1</v>
      </c>
    </row>
    <row r="8436" spans="1:15" x14ac:dyDescent="0.35">
      <c r="A8436" s="503" t="s">
        <v>1341</v>
      </c>
      <c r="B8436" s="504" t="s">
        <v>3183</v>
      </c>
      <c r="C8436" s="504" t="s">
        <v>1094</v>
      </c>
      <c r="D8436" s="504" t="s">
        <v>3380</v>
      </c>
      <c r="E8436" s="504" t="s">
        <v>3381</v>
      </c>
      <c r="F8436" s="504" t="s">
        <v>950</v>
      </c>
      <c r="G8436" s="504" t="s">
        <v>951</v>
      </c>
      <c r="H8436" s="504" t="s">
        <v>15168</v>
      </c>
      <c r="I8436" s="504">
        <v>35</v>
      </c>
      <c r="J8436" s="504">
        <v>35</v>
      </c>
      <c r="K8436" s="504">
        <v>0</v>
      </c>
      <c r="L8436" s="504">
        <v>0</v>
      </c>
      <c r="M8436" s="504">
        <v>0</v>
      </c>
      <c r="N8436" s="504">
        <v>0</v>
      </c>
      <c r="O8436" s="505">
        <v>0</v>
      </c>
    </row>
    <row r="8437" spans="1:15" x14ac:dyDescent="0.35">
      <c r="A8437" s="500" t="s">
        <v>1342</v>
      </c>
      <c r="B8437" s="501" t="s">
        <v>3237</v>
      </c>
      <c r="C8437" s="501" t="s">
        <v>1094</v>
      </c>
      <c r="D8437" s="501" t="s">
        <v>3380</v>
      </c>
      <c r="E8437" s="501" t="s">
        <v>3381</v>
      </c>
      <c r="F8437" s="501" t="s">
        <v>950</v>
      </c>
      <c r="G8437" s="501" t="s">
        <v>951</v>
      </c>
      <c r="H8437" s="501" t="s">
        <v>10206</v>
      </c>
      <c r="I8437" s="501">
        <v>1</v>
      </c>
      <c r="J8437" s="501">
        <v>0</v>
      </c>
      <c r="K8437" s="501">
        <v>0</v>
      </c>
      <c r="L8437" s="501">
        <v>0</v>
      </c>
      <c r="M8437" s="501">
        <v>0</v>
      </c>
      <c r="N8437" s="501">
        <v>0</v>
      </c>
      <c r="O8437" s="506">
        <v>1</v>
      </c>
    </row>
    <row r="8438" spans="1:15" x14ac:dyDescent="0.35">
      <c r="A8438" s="503" t="s">
        <v>1354</v>
      </c>
      <c r="B8438" s="504" t="s">
        <v>2835</v>
      </c>
      <c r="C8438" s="504" t="s">
        <v>1089</v>
      </c>
      <c r="D8438" s="504" t="s">
        <v>3392</v>
      </c>
      <c r="E8438" s="504" t="s">
        <v>3381</v>
      </c>
      <c r="F8438" s="504" t="s">
        <v>950</v>
      </c>
      <c r="G8438" s="504" t="s">
        <v>951</v>
      </c>
      <c r="H8438" s="504" t="s">
        <v>10207</v>
      </c>
      <c r="I8438" s="504">
        <v>12</v>
      </c>
      <c r="J8438" s="504">
        <v>0</v>
      </c>
      <c r="K8438" s="504">
        <v>0</v>
      </c>
      <c r="L8438" s="504">
        <v>0</v>
      </c>
      <c r="M8438" s="504">
        <v>12</v>
      </c>
      <c r="N8438" s="504">
        <v>0</v>
      </c>
      <c r="O8438" s="505">
        <v>0</v>
      </c>
    </row>
    <row r="8439" spans="1:15" x14ac:dyDescent="0.35">
      <c r="A8439" s="500" t="s">
        <v>1253</v>
      </c>
      <c r="B8439" s="501" t="s">
        <v>3232</v>
      </c>
      <c r="C8439" s="501" t="s">
        <v>1094</v>
      </c>
      <c r="D8439" s="501" t="s">
        <v>3380</v>
      </c>
      <c r="E8439" s="501" t="s">
        <v>3381</v>
      </c>
      <c r="F8439" s="501" t="s">
        <v>950</v>
      </c>
      <c r="G8439" s="501" t="s">
        <v>951</v>
      </c>
      <c r="H8439" s="501" t="s">
        <v>10208</v>
      </c>
      <c r="I8439" s="501">
        <v>16</v>
      </c>
      <c r="J8439" s="501">
        <v>0</v>
      </c>
      <c r="K8439" s="501">
        <v>0</v>
      </c>
      <c r="L8439" s="501">
        <v>0</v>
      </c>
      <c r="M8439" s="501">
        <v>16</v>
      </c>
      <c r="N8439" s="501">
        <v>0</v>
      </c>
      <c r="O8439" s="506">
        <v>0</v>
      </c>
    </row>
    <row r="8440" spans="1:15" x14ac:dyDescent="0.35">
      <c r="A8440" s="503" t="s">
        <v>1369</v>
      </c>
      <c r="B8440" s="504" t="s">
        <v>3218</v>
      </c>
      <c r="C8440" s="504" t="s">
        <v>1094</v>
      </c>
      <c r="D8440" s="504" t="s">
        <v>3380</v>
      </c>
      <c r="E8440" s="504" t="s">
        <v>3381</v>
      </c>
      <c r="F8440" s="504" t="s">
        <v>950</v>
      </c>
      <c r="G8440" s="504" t="s">
        <v>951</v>
      </c>
      <c r="H8440" s="504" t="s">
        <v>10209</v>
      </c>
      <c r="I8440" s="504">
        <v>3582</v>
      </c>
      <c r="J8440" s="504">
        <v>2980</v>
      </c>
      <c r="K8440" s="504">
        <v>0</v>
      </c>
      <c r="L8440" s="504">
        <v>0</v>
      </c>
      <c r="M8440" s="504">
        <v>571</v>
      </c>
      <c r="N8440" s="504">
        <v>1</v>
      </c>
      <c r="O8440" s="505">
        <v>31</v>
      </c>
    </row>
    <row r="8441" spans="1:15" x14ac:dyDescent="0.35">
      <c r="A8441" s="500" t="s">
        <v>1374</v>
      </c>
      <c r="B8441" s="501" t="s">
        <v>3209</v>
      </c>
      <c r="C8441" s="501" t="s">
        <v>1094</v>
      </c>
      <c r="D8441" s="501" t="s">
        <v>3380</v>
      </c>
      <c r="E8441" s="501" t="s">
        <v>3381</v>
      </c>
      <c r="F8441" s="501" t="s">
        <v>950</v>
      </c>
      <c r="G8441" s="501" t="s">
        <v>951</v>
      </c>
      <c r="H8441" s="501" t="s">
        <v>10210</v>
      </c>
      <c r="I8441" s="501">
        <v>608</v>
      </c>
      <c r="J8441" s="501">
        <v>459</v>
      </c>
      <c r="K8441" s="501">
        <v>21</v>
      </c>
      <c r="L8441" s="501">
        <v>0</v>
      </c>
      <c r="M8441" s="501">
        <v>0</v>
      </c>
      <c r="N8441" s="501">
        <v>5</v>
      </c>
      <c r="O8441" s="506">
        <v>128</v>
      </c>
    </row>
    <row r="8442" spans="1:15" x14ac:dyDescent="0.35">
      <c r="A8442" s="503" t="s">
        <v>1096</v>
      </c>
      <c r="B8442" s="504" t="s">
        <v>3326</v>
      </c>
      <c r="C8442" s="504" t="s">
        <v>1094</v>
      </c>
      <c r="D8442" s="504" t="s">
        <v>3380</v>
      </c>
      <c r="E8442" s="504" t="s">
        <v>3381</v>
      </c>
      <c r="F8442" s="504" t="s">
        <v>952</v>
      </c>
      <c r="G8442" s="504" t="s">
        <v>953</v>
      </c>
      <c r="H8442" s="504" t="s">
        <v>10211</v>
      </c>
      <c r="I8442" s="504">
        <v>65</v>
      </c>
      <c r="J8442" s="504">
        <v>0</v>
      </c>
      <c r="K8442" s="504">
        <v>0</v>
      </c>
      <c r="L8442" s="504">
        <v>0</v>
      </c>
      <c r="M8442" s="504">
        <v>47</v>
      </c>
      <c r="N8442" s="504">
        <v>0</v>
      </c>
      <c r="O8442" s="505">
        <v>18</v>
      </c>
    </row>
    <row r="8443" spans="1:15" x14ac:dyDescent="0.35">
      <c r="A8443" s="500" t="s">
        <v>11363</v>
      </c>
      <c r="B8443" s="501">
        <v>4718</v>
      </c>
      <c r="C8443" s="501" t="s">
        <v>1094</v>
      </c>
      <c r="D8443" s="501" t="s">
        <v>3380</v>
      </c>
      <c r="E8443" s="501" t="s">
        <v>3381</v>
      </c>
      <c r="F8443" s="501" t="s">
        <v>952</v>
      </c>
      <c r="G8443" s="501" t="s">
        <v>953</v>
      </c>
      <c r="H8443" s="501" t="s">
        <v>11599</v>
      </c>
      <c r="I8443" s="501">
        <v>6</v>
      </c>
      <c r="J8443" s="501">
        <v>0</v>
      </c>
      <c r="K8443" s="501">
        <v>0</v>
      </c>
      <c r="L8443" s="501">
        <v>6</v>
      </c>
      <c r="M8443" s="501">
        <v>0</v>
      </c>
      <c r="N8443" s="501">
        <v>0</v>
      </c>
      <c r="O8443" s="506">
        <v>0</v>
      </c>
    </row>
    <row r="8444" spans="1:15" x14ac:dyDescent="0.35">
      <c r="A8444" s="503" t="s">
        <v>1277</v>
      </c>
      <c r="B8444" s="504" t="s">
        <v>3056</v>
      </c>
      <c r="C8444" s="504" t="s">
        <v>1089</v>
      </c>
      <c r="D8444" s="504" t="s">
        <v>3392</v>
      </c>
      <c r="E8444" s="504" t="s">
        <v>3381</v>
      </c>
      <c r="F8444" s="504" t="s">
        <v>952</v>
      </c>
      <c r="G8444" s="504" t="s">
        <v>953</v>
      </c>
      <c r="H8444" s="504" t="s">
        <v>10212</v>
      </c>
      <c r="I8444" s="504">
        <v>23</v>
      </c>
      <c r="J8444" s="504">
        <v>17</v>
      </c>
      <c r="K8444" s="504">
        <v>0</v>
      </c>
      <c r="L8444" s="504">
        <v>6</v>
      </c>
      <c r="M8444" s="504">
        <v>0</v>
      </c>
      <c r="N8444" s="504">
        <v>0</v>
      </c>
      <c r="O8444" s="505">
        <v>0</v>
      </c>
    </row>
    <row r="8445" spans="1:15" x14ac:dyDescent="0.35">
      <c r="A8445" s="500" t="s">
        <v>1291</v>
      </c>
      <c r="B8445" s="501" t="s">
        <v>3060</v>
      </c>
      <c r="C8445" s="501" t="s">
        <v>1089</v>
      </c>
      <c r="D8445" s="501" t="s">
        <v>3392</v>
      </c>
      <c r="E8445" s="501" t="s">
        <v>3381</v>
      </c>
      <c r="F8445" s="501" t="s">
        <v>952</v>
      </c>
      <c r="G8445" s="501" t="s">
        <v>953</v>
      </c>
      <c r="H8445" s="501" t="s">
        <v>10215</v>
      </c>
      <c r="I8445" s="501">
        <v>30</v>
      </c>
      <c r="J8445" s="501">
        <v>0</v>
      </c>
      <c r="K8445" s="501">
        <v>0</v>
      </c>
      <c r="L8445" s="501">
        <v>0</v>
      </c>
      <c r="M8445" s="501">
        <v>30</v>
      </c>
      <c r="N8445" s="501">
        <v>0</v>
      </c>
      <c r="O8445" s="506">
        <v>0</v>
      </c>
    </row>
    <row r="8446" spans="1:15" x14ac:dyDescent="0.35">
      <c r="A8446" s="503" t="s">
        <v>1283</v>
      </c>
      <c r="B8446" s="504" t="s">
        <v>3177</v>
      </c>
      <c r="C8446" s="504" t="s">
        <v>1094</v>
      </c>
      <c r="D8446" s="504" t="s">
        <v>3380</v>
      </c>
      <c r="E8446" s="504" t="s">
        <v>3381</v>
      </c>
      <c r="F8446" s="504" t="s">
        <v>952</v>
      </c>
      <c r="G8446" s="504" t="s">
        <v>953</v>
      </c>
      <c r="H8446" s="504" t="s">
        <v>10213</v>
      </c>
      <c r="I8446" s="504">
        <v>343</v>
      </c>
      <c r="J8446" s="504">
        <v>276</v>
      </c>
      <c r="K8446" s="504">
        <v>0</v>
      </c>
      <c r="L8446" s="504">
        <v>0</v>
      </c>
      <c r="M8446" s="504">
        <v>0</v>
      </c>
      <c r="N8446" s="504">
        <v>0</v>
      </c>
      <c r="O8446" s="505">
        <v>67</v>
      </c>
    </row>
    <row r="8447" spans="1:15" x14ac:dyDescent="0.35">
      <c r="A8447" s="500" t="s">
        <v>1100</v>
      </c>
      <c r="B8447" s="501">
        <v>4865</v>
      </c>
      <c r="C8447" s="501" t="s">
        <v>1094</v>
      </c>
      <c r="D8447" s="501" t="s">
        <v>3380</v>
      </c>
      <c r="E8447" s="501" t="s">
        <v>3381</v>
      </c>
      <c r="F8447" s="501" t="s">
        <v>952</v>
      </c>
      <c r="G8447" s="501" t="s">
        <v>953</v>
      </c>
      <c r="H8447" s="501" t="s">
        <v>10214</v>
      </c>
      <c r="I8447" s="501">
        <v>7</v>
      </c>
      <c r="J8447" s="501">
        <v>0</v>
      </c>
      <c r="K8447" s="501">
        <v>0</v>
      </c>
      <c r="L8447" s="501">
        <v>7</v>
      </c>
      <c r="M8447" s="501">
        <v>0</v>
      </c>
      <c r="N8447" s="501">
        <v>0</v>
      </c>
      <c r="O8447" s="506">
        <v>0</v>
      </c>
    </row>
    <row r="8448" spans="1:15" x14ac:dyDescent="0.35">
      <c r="A8448" s="503" t="s">
        <v>1294</v>
      </c>
      <c r="B8448" s="504" t="s">
        <v>3114</v>
      </c>
      <c r="C8448" s="504" t="s">
        <v>1094</v>
      </c>
      <c r="D8448" s="504" t="s">
        <v>3380</v>
      </c>
      <c r="E8448" s="504" t="s">
        <v>3381</v>
      </c>
      <c r="F8448" s="504" t="s">
        <v>952</v>
      </c>
      <c r="G8448" s="504" t="s">
        <v>953</v>
      </c>
      <c r="H8448" s="504" t="s">
        <v>10216</v>
      </c>
      <c r="I8448" s="504">
        <v>412</v>
      </c>
      <c r="J8448" s="504">
        <v>371</v>
      </c>
      <c r="K8448" s="504">
        <v>0</v>
      </c>
      <c r="L8448" s="504">
        <v>8</v>
      </c>
      <c r="M8448" s="504">
        <v>0</v>
      </c>
      <c r="N8448" s="504">
        <v>0</v>
      </c>
      <c r="O8448" s="505">
        <v>33</v>
      </c>
    </row>
    <row r="8449" spans="1:15" x14ac:dyDescent="0.35">
      <c r="A8449" s="500" t="s">
        <v>1105</v>
      </c>
      <c r="B8449" s="501">
        <v>4668</v>
      </c>
      <c r="C8449" s="501" t="s">
        <v>1094</v>
      </c>
      <c r="D8449" s="501" t="s">
        <v>3380</v>
      </c>
      <c r="E8449" s="501" t="s">
        <v>3381</v>
      </c>
      <c r="F8449" s="501" t="s">
        <v>952</v>
      </c>
      <c r="G8449" s="501" t="s">
        <v>953</v>
      </c>
      <c r="H8449" s="501" t="s">
        <v>10217</v>
      </c>
      <c r="I8449" s="501">
        <v>8</v>
      </c>
      <c r="J8449" s="501">
        <v>0</v>
      </c>
      <c r="K8449" s="501">
        <v>0</v>
      </c>
      <c r="L8449" s="501">
        <v>0</v>
      </c>
      <c r="M8449" s="501">
        <v>0</v>
      </c>
      <c r="N8449" s="501">
        <v>0</v>
      </c>
      <c r="O8449" s="506">
        <v>8</v>
      </c>
    </row>
    <row r="8450" spans="1:15" x14ac:dyDescent="0.35">
      <c r="A8450" s="503" t="s">
        <v>1310</v>
      </c>
      <c r="B8450" s="504">
        <v>5062</v>
      </c>
      <c r="C8450" s="504" t="s">
        <v>1089</v>
      </c>
      <c r="D8450" s="504" t="s">
        <v>3380</v>
      </c>
      <c r="E8450" s="504" t="s">
        <v>3381</v>
      </c>
      <c r="F8450" s="504" t="s">
        <v>952</v>
      </c>
      <c r="G8450" s="504" t="s">
        <v>953</v>
      </c>
      <c r="H8450" s="504" t="s">
        <v>15169</v>
      </c>
      <c r="I8450" s="504">
        <v>59</v>
      </c>
      <c r="J8450" s="504">
        <v>0</v>
      </c>
      <c r="K8450" s="504">
        <v>0</v>
      </c>
      <c r="L8450" s="504">
        <v>0</v>
      </c>
      <c r="M8450" s="504">
        <v>0</v>
      </c>
      <c r="N8450" s="504">
        <v>0</v>
      </c>
      <c r="O8450" s="505">
        <v>59</v>
      </c>
    </row>
    <row r="8451" spans="1:15" x14ac:dyDescent="0.35">
      <c r="A8451" s="500" t="s">
        <v>1311</v>
      </c>
      <c r="B8451" s="501" t="s">
        <v>3361</v>
      </c>
      <c r="C8451" s="501" t="s">
        <v>1094</v>
      </c>
      <c r="D8451" s="501" t="s">
        <v>3380</v>
      </c>
      <c r="E8451" s="501" t="s">
        <v>3381</v>
      </c>
      <c r="F8451" s="501" t="s">
        <v>952</v>
      </c>
      <c r="G8451" s="501" t="s">
        <v>953</v>
      </c>
      <c r="H8451" s="501" t="s">
        <v>10218</v>
      </c>
      <c r="I8451" s="501">
        <v>87</v>
      </c>
      <c r="J8451" s="501">
        <v>87</v>
      </c>
      <c r="K8451" s="501">
        <v>0</v>
      </c>
      <c r="L8451" s="501">
        <v>0</v>
      </c>
      <c r="M8451" s="501">
        <v>0</v>
      </c>
      <c r="N8451" s="501">
        <v>0</v>
      </c>
      <c r="O8451" s="506">
        <v>0</v>
      </c>
    </row>
    <row r="8452" spans="1:15" x14ac:dyDescent="0.35">
      <c r="A8452" s="503" t="s">
        <v>1202</v>
      </c>
      <c r="B8452" s="504" t="s">
        <v>3217</v>
      </c>
      <c r="C8452" s="504" t="s">
        <v>1094</v>
      </c>
      <c r="D8452" s="504" t="s">
        <v>3380</v>
      </c>
      <c r="E8452" s="504" t="s">
        <v>3381</v>
      </c>
      <c r="F8452" s="504" t="s">
        <v>952</v>
      </c>
      <c r="G8452" s="504" t="s">
        <v>953</v>
      </c>
      <c r="H8452" s="504" t="s">
        <v>10219</v>
      </c>
      <c r="I8452" s="504">
        <v>73</v>
      </c>
      <c r="J8452" s="504">
        <v>15</v>
      </c>
      <c r="K8452" s="504">
        <v>0</v>
      </c>
      <c r="L8452" s="504">
        <v>4</v>
      </c>
      <c r="M8452" s="504">
        <v>0</v>
      </c>
      <c r="N8452" s="504">
        <v>0</v>
      </c>
      <c r="O8452" s="505">
        <v>54</v>
      </c>
    </row>
    <row r="8453" spans="1:15" x14ac:dyDescent="0.35">
      <c r="A8453" s="500" t="s">
        <v>1114</v>
      </c>
      <c r="B8453" s="501" t="s">
        <v>2982</v>
      </c>
      <c r="C8453" s="501" t="s">
        <v>1094</v>
      </c>
      <c r="D8453" s="501" t="s">
        <v>3380</v>
      </c>
      <c r="E8453" s="501" t="s">
        <v>3381</v>
      </c>
      <c r="F8453" s="501" t="s">
        <v>952</v>
      </c>
      <c r="G8453" s="501" t="s">
        <v>953</v>
      </c>
      <c r="H8453" s="501" t="s">
        <v>10220</v>
      </c>
      <c r="I8453" s="501">
        <v>349</v>
      </c>
      <c r="J8453" s="501">
        <v>265</v>
      </c>
      <c r="K8453" s="501">
        <v>0</v>
      </c>
      <c r="L8453" s="501">
        <v>0</v>
      </c>
      <c r="M8453" s="501">
        <v>0</v>
      </c>
      <c r="N8453" s="501">
        <v>0</v>
      </c>
      <c r="O8453" s="506">
        <v>84</v>
      </c>
    </row>
    <row r="8454" spans="1:15" x14ac:dyDescent="0.35">
      <c r="A8454" s="503" t="s">
        <v>1319</v>
      </c>
      <c r="B8454" s="504">
        <v>4880</v>
      </c>
      <c r="C8454" s="504" t="s">
        <v>1094</v>
      </c>
      <c r="D8454" s="504" t="s">
        <v>3380</v>
      </c>
      <c r="E8454" s="504" t="s">
        <v>3381</v>
      </c>
      <c r="F8454" s="504" t="s">
        <v>952</v>
      </c>
      <c r="G8454" s="504" t="s">
        <v>953</v>
      </c>
      <c r="H8454" s="504" t="s">
        <v>10221</v>
      </c>
      <c r="I8454" s="504">
        <v>50</v>
      </c>
      <c r="J8454" s="504">
        <v>41</v>
      </c>
      <c r="K8454" s="504">
        <v>0</v>
      </c>
      <c r="L8454" s="504">
        <v>0</v>
      </c>
      <c r="M8454" s="504">
        <v>0</v>
      </c>
      <c r="N8454" s="504">
        <v>0</v>
      </c>
      <c r="O8454" s="505">
        <v>9</v>
      </c>
    </row>
    <row r="8455" spans="1:15" x14ac:dyDescent="0.35">
      <c r="A8455" s="500" t="s">
        <v>1320</v>
      </c>
      <c r="B8455" s="501">
        <v>4720</v>
      </c>
      <c r="C8455" s="501" t="s">
        <v>1089</v>
      </c>
      <c r="D8455" s="501" t="s">
        <v>3392</v>
      </c>
      <c r="E8455" s="501" t="s">
        <v>3381</v>
      </c>
      <c r="F8455" s="501" t="s">
        <v>952</v>
      </c>
      <c r="G8455" s="501" t="s">
        <v>953</v>
      </c>
      <c r="H8455" s="501" t="s">
        <v>11885</v>
      </c>
      <c r="I8455" s="501">
        <v>2</v>
      </c>
      <c r="J8455" s="501">
        <v>2</v>
      </c>
      <c r="K8455" s="501">
        <v>0</v>
      </c>
      <c r="L8455" s="501">
        <v>0</v>
      </c>
      <c r="M8455" s="501">
        <v>0</v>
      </c>
      <c r="N8455" s="501">
        <v>0</v>
      </c>
      <c r="O8455" s="506">
        <v>0</v>
      </c>
    </row>
    <row r="8456" spans="1:15" x14ac:dyDescent="0.35">
      <c r="A8456" s="503" t="s">
        <v>1218</v>
      </c>
      <c r="B8456" s="504" t="s">
        <v>3147</v>
      </c>
      <c r="C8456" s="504" t="s">
        <v>1094</v>
      </c>
      <c r="D8456" s="504" t="s">
        <v>3380</v>
      </c>
      <c r="E8456" s="504" t="s">
        <v>3381</v>
      </c>
      <c r="F8456" s="504" t="s">
        <v>952</v>
      </c>
      <c r="G8456" s="504" t="s">
        <v>953</v>
      </c>
      <c r="H8456" s="504" t="s">
        <v>15170</v>
      </c>
      <c r="I8456" s="504">
        <v>25</v>
      </c>
      <c r="J8456" s="504">
        <v>0</v>
      </c>
      <c r="K8456" s="504">
        <v>0</v>
      </c>
      <c r="L8456" s="504">
        <v>0</v>
      </c>
      <c r="M8456" s="504">
        <v>0</v>
      </c>
      <c r="N8456" s="504">
        <v>0</v>
      </c>
      <c r="O8456" s="505">
        <v>25</v>
      </c>
    </row>
    <row r="8457" spans="1:15" x14ac:dyDescent="0.35">
      <c r="A8457" s="500" t="s">
        <v>1332</v>
      </c>
      <c r="B8457" s="501">
        <v>4878</v>
      </c>
      <c r="C8457" s="501" t="s">
        <v>1094</v>
      </c>
      <c r="D8457" s="501" t="s">
        <v>3380</v>
      </c>
      <c r="E8457" s="501" t="s">
        <v>3381</v>
      </c>
      <c r="F8457" s="501" t="s">
        <v>952</v>
      </c>
      <c r="G8457" s="501" t="s">
        <v>953</v>
      </c>
      <c r="H8457" s="501" t="s">
        <v>15171</v>
      </c>
      <c r="I8457" s="501">
        <v>287</v>
      </c>
      <c r="J8457" s="501">
        <v>214</v>
      </c>
      <c r="K8457" s="501">
        <v>0</v>
      </c>
      <c r="L8457" s="501">
        <v>31</v>
      </c>
      <c r="M8457" s="501">
        <v>0</v>
      </c>
      <c r="N8457" s="501">
        <v>0</v>
      </c>
      <c r="O8457" s="506">
        <v>42</v>
      </c>
    </row>
    <row r="8458" spans="1:15" x14ac:dyDescent="0.35">
      <c r="A8458" s="503" t="s">
        <v>1122</v>
      </c>
      <c r="B8458" s="504" t="s">
        <v>2994</v>
      </c>
      <c r="C8458" s="504" t="s">
        <v>1094</v>
      </c>
      <c r="D8458" s="504" t="s">
        <v>3380</v>
      </c>
      <c r="E8458" s="504" t="s">
        <v>3381</v>
      </c>
      <c r="F8458" s="504" t="s">
        <v>952</v>
      </c>
      <c r="G8458" s="504" t="s">
        <v>953</v>
      </c>
      <c r="H8458" s="504" t="s">
        <v>10222</v>
      </c>
      <c r="I8458" s="504">
        <v>4</v>
      </c>
      <c r="J8458" s="504">
        <v>4</v>
      </c>
      <c r="K8458" s="504">
        <v>0</v>
      </c>
      <c r="L8458" s="504">
        <v>0</v>
      </c>
      <c r="M8458" s="504">
        <v>0</v>
      </c>
      <c r="N8458" s="504">
        <v>0</v>
      </c>
      <c r="O8458" s="505">
        <v>0</v>
      </c>
    </row>
    <row r="8459" spans="1:15" x14ac:dyDescent="0.35">
      <c r="A8459" s="500" t="s">
        <v>1233</v>
      </c>
      <c r="B8459" s="501">
        <v>4636</v>
      </c>
      <c r="C8459" s="501" t="s">
        <v>1094</v>
      </c>
      <c r="D8459" s="501" t="s">
        <v>3380</v>
      </c>
      <c r="E8459" s="501" t="s">
        <v>3381</v>
      </c>
      <c r="F8459" s="501" t="s">
        <v>952</v>
      </c>
      <c r="G8459" s="501" t="s">
        <v>953</v>
      </c>
      <c r="H8459" s="501" t="s">
        <v>12025</v>
      </c>
      <c r="I8459" s="501">
        <v>53</v>
      </c>
      <c r="J8459" s="501">
        <v>30</v>
      </c>
      <c r="K8459" s="501">
        <v>0</v>
      </c>
      <c r="L8459" s="501">
        <v>0</v>
      </c>
      <c r="M8459" s="501">
        <v>0</v>
      </c>
      <c r="N8459" s="501">
        <v>0</v>
      </c>
      <c r="O8459" s="506">
        <v>23</v>
      </c>
    </row>
    <row r="8460" spans="1:15" x14ac:dyDescent="0.35">
      <c r="A8460" s="503" t="s">
        <v>1126</v>
      </c>
      <c r="B8460" s="504" t="s">
        <v>2974</v>
      </c>
      <c r="C8460" s="504" t="s">
        <v>1094</v>
      </c>
      <c r="D8460" s="504" t="s">
        <v>3380</v>
      </c>
      <c r="E8460" s="504" t="s">
        <v>3381</v>
      </c>
      <c r="F8460" s="504" t="s">
        <v>952</v>
      </c>
      <c r="G8460" s="504" t="s">
        <v>953</v>
      </c>
      <c r="H8460" s="504" t="s">
        <v>10223</v>
      </c>
      <c r="I8460" s="504">
        <v>134</v>
      </c>
      <c r="J8460" s="504">
        <v>74</v>
      </c>
      <c r="K8460" s="504">
        <v>0</v>
      </c>
      <c r="L8460" s="504">
        <v>60</v>
      </c>
      <c r="M8460" s="504">
        <v>0</v>
      </c>
      <c r="N8460" s="504">
        <v>0</v>
      </c>
      <c r="O8460" s="505">
        <v>0</v>
      </c>
    </row>
    <row r="8461" spans="1:15" x14ac:dyDescent="0.35">
      <c r="A8461" s="500" t="s">
        <v>1130</v>
      </c>
      <c r="B8461" s="501" t="s">
        <v>3234</v>
      </c>
      <c r="C8461" s="501" t="s">
        <v>1094</v>
      </c>
      <c r="D8461" s="501" t="s">
        <v>3380</v>
      </c>
      <c r="E8461" s="501" t="s">
        <v>3381</v>
      </c>
      <c r="F8461" s="501" t="s">
        <v>952</v>
      </c>
      <c r="G8461" s="501" t="s">
        <v>953</v>
      </c>
      <c r="H8461" s="501" t="s">
        <v>10224</v>
      </c>
      <c r="I8461" s="501">
        <v>390</v>
      </c>
      <c r="J8461" s="501">
        <v>354</v>
      </c>
      <c r="K8461" s="501">
        <v>0</v>
      </c>
      <c r="L8461" s="501">
        <v>0</v>
      </c>
      <c r="M8461" s="501">
        <v>2</v>
      </c>
      <c r="N8461" s="501">
        <v>21</v>
      </c>
      <c r="O8461" s="506">
        <v>34</v>
      </c>
    </row>
    <row r="8462" spans="1:15" x14ac:dyDescent="0.35">
      <c r="A8462" s="503" t="s">
        <v>1346</v>
      </c>
      <c r="B8462" s="504" t="s">
        <v>3150</v>
      </c>
      <c r="C8462" s="504" t="s">
        <v>1094</v>
      </c>
      <c r="D8462" s="504" t="s">
        <v>3380</v>
      </c>
      <c r="E8462" s="504" t="s">
        <v>3381</v>
      </c>
      <c r="F8462" s="504" t="s">
        <v>952</v>
      </c>
      <c r="G8462" s="504" t="s">
        <v>953</v>
      </c>
      <c r="H8462" s="504" t="s">
        <v>10225</v>
      </c>
      <c r="I8462" s="504">
        <v>194</v>
      </c>
      <c r="J8462" s="504">
        <v>176</v>
      </c>
      <c r="K8462" s="504">
        <v>0</v>
      </c>
      <c r="L8462" s="504">
        <v>15</v>
      </c>
      <c r="M8462" s="504">
        <v>0</v>
      </c>
      <c r="N8462" s="504">
        <v>2</v>
      </c>
      <c r="O8462" s="505">
        <v>3</v>
      </c>
    </row>
    <row r="8463" spans="1:15" x14ac:dyDescent="0.35">
      <c r="A8463" s="500" t="s">
        <v>1253</v>
      </c>
      <c r="B8463" s="501" t="s">
        <v>3232</v>
      </c>
      <c r="C8463" s="501" t="s">
        <v>1094</v>
      </c>
      <c r="D8463" s="501" t="s">
        <v>3380</v>
      </c>
      <c r="E8463" s="501" t="s">
        <v>3381</v>
      </c>
      <c r="F8463" s="501" t="s">
        <v>952</v>
      </c>
      <c r="G8463" s="501" t="s">
        <v>953</v>
      </c>
      <c r="H8463" s="501" t="s">
        <v>10226</v>
      </c>
      <c r="I8463" s="501">
        <v>14</v>
      </c>
      <c r="J8463" s="501">
        <v>0</v>
      </c>
      <c r="K8463" s="501">
        <v>0</v>
      </c>
      <c r="L8463" s="501">
        <v>0</v>
      </c>
      <c r="M8463" s="501">
        <v>14</v>
      </c>
      <c r="N8463" s="501">
        <v>0</v>
      </c>
      <c r="O8463" s="506">
        <v>0</v>
      </c>
    </row>
    <row r="8464" spans="1:15" x14ac:dyDescent="0.35">
      <c r="A8464" s="503" t="s">
        <v>1385</v>
      </c>
      <c r="B8464" s="504" t="s">
        <v>3249</v>
      </c>
      <c r="C8464" s="504" t="s">
        <v>1094</v>
      </c>
      <c r="D8464" s="504" t="s">
        <v>3380</v>
      </c>
      <c r="E8464" s="504" t="s">
        <v>3381</v>
      </c>
      <c r="F8464" s="504" t="s">
        <v>954</v>
      </c>
      <c r="G8464" s="504" t="s">
        <v>955</v>
      </c>
      <c r="H8464" s="504" t="s">
        <v>10227</v>
      </c>
      <c r="I8464" s="504">
        <v>5</v>
      </c>
      <c r="J8464" s="504">
        <v>0</v>
      </c>
      <c r="K8464" s="504">
        <v>0</v>
      </c>
      <c r="L8464" s="504">
        <v>0</v>
      </c>
      <c r="M8464" s="504">
        <v>0</v>
      </c>
      <c r="N8464" s="504">
        <v>0</v>
      </c>
      <c r="O8464" s="505">
        <v>5</v>
      </c>
    </row>
    <row r="8465" spans="1:15" x14ac:dyDescent="0.35">
      <c r="A8465" s="500" t="s">
        <v>1093</v>
      </c>
      <c r="B8465" s="501" t="s">
        <v>3248</v>
      </c>
      <c r="C8465" s="501" t="s">
        <v>1094</v>
      </c>
      <c r="D8465" s="501" t="s">
        <v>3380</v>
      </c>
      <c r="E8465" s="501" t="s">
        <v>3381</v>
      </c>
      <c r="F8465" s="501" t="s">
        <v>954</v>
      </c>
      <c r="G8465" s="501" t="s">
        <v>955</v>
      </c>
      <c r="H8465" s="501" t="s">
        <v>10228</v>
      </c>
      <c r="I8465" s="501">
        <v>1</v>
      </c>
      <c r="J8465" s="501">
        <v>0</v>
      </c>
      <c r="K8465" s="501">
        <v>0</v>
      </c>
      <c r="L8465" s="501">
        <v>0</v>
      </c>
      <c r="M8465" s="501">
        <v>0</v>
      </c>
      <c r="N8465" s="501">
        <v>0</v>
      </c>
      <c r="O8465" s="506">
        <v>1</v>
      </c>
    </row>
    <row r="8466" spans="1:15" x14ac:dyDescent="0.35">
      <c r="A8466" s="503" t="s">
        <v>1797</v>
      </c>
      <c r="B8466" s="504" t="s">
        <v>2599</v>
      </c>
      <c r="C8466" s="504" t="s">
        <v>1089</v>
      </c>
      <c r="D8466" s="504" t="s">
        <v>3392</v>
      </c>
      <c r="E8466" s="504" t="s">
        <v>3381</v>
      </c>
      <c r="F8466" s="504" t="s">
        <v>954</v>
      </c>
      <c r="G8466" s="504" t="s">
        <v>955</v>
      </c>
      <c r="H8466" s="504" t="s">
        <v>10229</v>
      </c>
      <c r="I8466" s="504">
        <v>10</v>
      </c>
      <c r="J8466" s="504">
        <v>0</v>
      </c>
      <c r="K8466" s="504">
        <v>0</v>
      </c>
      <c r="L8466" s="504">
        <v>0</v>
      </c>
      <c r="M8466" s="504">
        <v>10</v>
      </c>
      <c r="N8466" s="504">
        <v>0</v>
      </c>
      <c r="O8466" s="505">
        <v>0</v>
      </c>
    </row>
    <row r="8467" spans="1:15" x14ac:dyDescent="0.35">
      <c r="A8467" s="500" t="s">
        <v>1096</v>
      </c>
      <c r="B8467" s="501" t="s">
        <v>3326</v>
      </c>
      <c r="C8467" s="501" t="s">
        <v>1094</v>
      </c>
      <c r="D8467" s="501" t="s">
        <v>3380</v>
      </c>
      <c r="E8467" s="501" t="s">
        <v>3381</v>
      </c>
      <c r="F8467" s="501" t="s">
        <v>954</v>
      </c>
      <c r="G8467" s="501" t="s">
        <v>955</v>
      </c>
      <c r="H8467" s="501" t="s">
        <v>10230</v>
      </c>
      <c r="I8467" s="501">
        <v>14</v>
      </c>
      <c r="J8467" s="501">
        <v>0</v>
      </c>
      <c r="K8467" s="501">
        <v>0</v>
      </c>
      <c r="L8467" s="501">
        <v>0</v>
      </c>
      <c r="M8467" s="501">
        <v>14</v>
      </c>
      <c r="N8467" s="501">
        <v>0</v>
      </c>
      <c r="O8467" s="506">
        <v>0</v>
      </c>
    </row>
    <row r="8468" spans="1:15" x14ac:dyDescent="0.35">
      <c r="A8468" s="503" t="s">
        <v>1278</v>
      </c>
      <c r="B8468" s="504">
        <v>4639</v>
      </c>
      <c r="C8468" s="504" t="s">
        <v>1089</v>
      </c>
      <c r="D8468" s="504" t="s">
        <v>3392</v>
      </c>
      <c r="E8468" s="504" t="s">
        <v>3381</v>
      </c>
      <c r="F8468" s="504" t="s">
        <v>954</v>
      </c>
      <c r="G8468" s="504" t="s">
        <v>955</v>
      </c>
      <c r="H8468" s="504" t="s">
        <v>10231</v>
      </c>
      <c r="I8468" s="504">
        <v>37</v>
      </c>
      <c r="J8468" s="504">
        <v>0</v>
      </c>
      <c r="K8468" s="504">
        <v>0</v>
      </c>
      <c r="L8468" s="504">
        <v>37</v>
      </c>
      <c r="M8468" s="504">
        <v>0</v>
      </c>
      <c r="N8468" s="504">
        <v>0</v>
      </c>
      <c r="O8468" s="505">
        <v>0</v>
      </c>
    </row>
    <row r="8469" spans="1:15" x14ac:dyDescent="0.35">
      <c r="A8469" s="500" t="s">
        <v>1807</v>
      </c>
      <c r="B8469" s="501" t="s">
        <v>2641</v>
      </c>
      <c r="C8469" s="501" t="s">
        <v>1089</v>
      </c>
      <c r="D8469" s="501" t="s">
        <v>3392</v>
      </c>
      <c r="E8469" s="501" t="s">
        <v>3381</v>
      </c>
      <c r="F8469" s="501" t="s">
        <v>954</v>
      </c>
      <c r="G8469" s="501" t="s">
        <v>955</v>
      </c>
      <c r="H8469" s="501" t="s">
        <v>10232</v>
      </c>
      <c r="I8469" s="501">
        <v>2</v>
      </c>
      <c r="J8469" s="501">
        <v>0</v>
      </c>
      <c r="K8469" s="501">
        <v>0</v>
      </c>
      <c r="L8469" s="501">
        <v>0</v>
      </c>
      <c r="M8469" s="501">
        <v>2</v>
      </c>
      <c r="N8469" s="501">
        <v>0</v>
      </c>
      <c r="O8469" s="506">
        <v>0</v>
      </c>
    </row>
    <row r="8470" spans="1:15" x14ac:dyDescent="0.35">
      <c r="A8470" s="503" t="s">
        <v>1100</v>
      </c>
      <c r="B8470" s="504">
        <v>4865</v>
      </c>
      <c r="C8470" s="504" t="s">
        <v>1094</v>
      </c>
      <c r="D8470" s="504" t="s">
        <v>3380</v>
      </c>
      <c r="E8470" s="504" t="s">
        <v>3381</v>
      </c>
      <c r="F8470" s="504" t="s">
        <v>954</v>
      </c>
      <c r="G8470" s="504" t="s">
        <v>955</v>
      </c>
      <c r="H8470" s="504" t="s">
        <v>10233</v>
      </c>
      <c r="I8470" s="504">
        <v>7116</v>
      </c>
      <c r="J8470" s="504">
        <v>6398</v>
      </c>
      <c r="K8470" s="504">
        <v>1</v>
      </c>
      <c r="L8470" s="504">
        <v>27</v>
      </c>
      <c r="M8470" s="504">
        <v>289</v>
      </c>
      <c r="N8470" s="504">
        <v>0</v>
      </c>
      <c r="O8470" s="505">
        <v>401</v>
      </c>
    </row>
    <row r="8471" spans="1:15" x14ac:dyDescent="0.35">
      <c r="A8471" s="500" t="s">
        <v>1177</v>
      </c>
      <c r="B8471" s="501">
        <v>4702</v>
      </c>
      <c r="C8471" s="501" t="s">
        <v>1089</v>
      </c>
      <c r="D8471" s="501" t="s">
        <v>3392</v>
      </c>
      <c r="E8471" s="501" t="s">
        <v>3381</v>
      </c>
      <c r="F8471" s="501" t="s">
        <v>954</v>
      </c>
      <c r="G8471" s="501" t="s">
        <v>955</v>
      </c>
      <c r="H8471" s="501" t="s">
        <v>10234</v>
      </c>
      <c r="I8471" s="501">
        <v>2</v>
      </c>
      <c r="J8471" s="501">
        <v>0</v>
      </c>
      <c r="K8471" s="501">
        <v>0</v>
      </c>
      <c r="L8471" s="501">
        <v>2</v>
      </c>
      <c r="M8471" s="501">
        <v>0</v>
      </c>
      <c r="N8471" s="501">
        <v>0</v>
      </c>
      <c r="O8471" s="506">
        <v>0</v>
      </c>
    </row>
    <row r="8472" spans="1:15" x14ac:dyDescent="0.35">
      <c r="A8472" s="503" t="s">
        <v>1443</v>
      </c>
      <c r="B8472" s="504" t="s">
        <v>3356</v>
      </c>
      <c r="C8472" s="504" t="s">
        <v>1094</v>
      </c>
      <c r="D8472" s="504" t="s">
        <v>3380</v>
      </c>
      <c r="E8472" s="504" t="s">
        <v>3381</v>
      </c>
      <c r="F8472" s="504" t="s">
        <v>954</v>
      </c>
      <c r="G8472" s="504" t="s">
        <v>955</v>
      </c>
      <c r="H8472" s="504" t="s">
        <v>10235</v>
      </c>
      <c r="I8472" s="504">
        <v>165</v>
      </c>
      <c r="J8472" s="504">
        <v>165</v>
      </c>
      <c r="K8472" s="504">
        <v>0</v>
      </c>
      <c r="L8472" s="504">
        <v>0</v>
      </c>
      <c r="M8472" s="504">
        <v>0</v>
      </c>
      <c r="N8472" s="504">
        <v>3</v>
      </c>
      <c r="O8472" s="505">
        <v>0</v>
      </c>
    </row>
    <row r="8473" spans="1:15" x14ac:dyDescent="0.35">
      <c r="A8473" s="500" t="s">
        <v>1107</v>
      </c>
      <c r="B8473" s="501" t="s">
        <v>3109</v>
      </c>
      <c r="C8473" s="501" t="s">
        <v>1094</v>
      </c>
      <c r="D8473" s="501" t="s">
        <v>3380</v>
      </c>
      <c r="E8473" s="501" t="s">
        <v>3381</v>
      </c>
      <c r="F8473" s="501" t="s">
        <v>954</v>
      </c>
      <c r="G8473" s="501" t="s">
        <v>955</v>
      </c>
      <c r="H8473" s="501" t="s">
        <v>15172</v>
      </c>
      <c r="I8473" s="501">
        <v>1</v>
      </c>
      <c r="J8473" s="501">
        <v>0</v>
      </c>
      <c r="K8473" s="501">
        <v>0</v>
      </c>
      <c r="L8473" s="501">
        <v>1</v>
      </c>
      <c r="M8473" s="501">
        <v>0</v>
      </c>
      <c r="N8473" s="501">
        <v>0</v>
      </c>
      <c r="O8473" s="506">
        <v>0</v>
      </c>
    </row>
    <row r="8474" spans="1:15" x14ac:dyDescent="0.35">
      <c r="A8474" s="503" t="s">
        <v>1109</v>
      </c>
      <c r="B8474" s="504" t="s">
        <v>2959</v>
      </c>
      <c r="C8474" s="504" t="s">
        <v>1094</v>
      </c>
      <c r="D8474" s="504" t="s">
        <v>3380</v>
      </c>
      <c r="E8474" s="504" t="s">
        <v>3381</v>
      </c>
      <c r="F8474" s="504" t="s">
        <v>954</v>
      </c>
      <c r="G8474" s="504" t="s">
        <v>955</v>
      </c>
      <c r="H8474" s="504" t="s">
        <v>10236</v>
      </c>
      <c r="I8474" s="504">
        <v>122</v>
      </c>
      <c r="J8474" s="504">
        <v>0</v>
      </c>
      <c r="K8474" s="504">
        <v>0</v>
      </c>
      <c r="L8474" s="504">
        <v>0</v>
      </c>
      <c r="M8474" s="504">
        <v>122</v>
      </c>
      <c r="N8474" s="504">
        <v>0</v>
      </c>
      <c r="O8474" s="505">
        <v>0</v>
      </c>
    </row>
    <row r="8475" spans="1:15" x14ac:dyDescent="0.35">
      <c r="A8475" s="500" t="s">
        <v>1189</v>
      </c>
      <c r="B8475" s="501" t="s">
        <v>3236</v>
      </c>
      <c r="C8475" s="501" t="s">
        <v>1094</v>
      </c>
      <c r="D8475" s="501" t="s">
        <v>3380</v>
      </c>
      <c r="E8475" s="501" t="s">
        <v>3381</v>
      </c>
      <c r="F8475" s="501" t="s">
        <v>954</v>
      </c>
      <c r="G8475" s="501" t="s">
        <v>955</v>
      </c>
      <c r="H8475" s="501" t="s">
        <v>10237</v>
      </c>
      <c r="I8475" s="501">
        <v>311</v>
      </c>
      <c r="J8475" s="501">
        <v>231</v>
      </c>
      <c r="K8475" s="501">
        <v>0</v>
      </c>
      <c r="L8475" s="501">
        <v>6</v>
      </c>
      <c r="M8475" s="501">
        <v>0</v>
      </c>
      <c r="N8475" s="501">
        <v>0</v>
      </c>
      <c r="O8475" s="506">
        <v>74</v>
      </c>
    </row>
    <row r="8476" spans="1:15" x14ac:dyDescent="0.35">
      <c r="A8476" s="503" t="s">
        <v>1310</v>
      </c>
      <c r="B8476" s="504">
        <v>5062</v>
      </c>
      <c r="C8476" s="504" t="s">
        <v>1089</v>
      </c>
      <c r="D8476" s="504" t="s">
        <v>3380</v>
      </c>
      <c r="E8476" s="504" t="s">
        <v>3381</v>
      </c>
      <c r="F8476" s="504" t="s">
        <v>954</v>
      </c>
      <c r="G8476" s="504" t="s">
        <v>955</v>
      </c>
      <c r="H8476" s="504" t="s">
        <v>15173</v>
      </c>
      <c r="I8476" s="504">
        <v>6</v>
      </c>
      <c r="J8476" s="504">
        <v>0</v>
      </c>
      <c r="K8476" s="504">
        <v>0</v>
      </c>
      <c r="L8476" s="504">
        <v>0</v>
      </c>
      <c r="M8476" s="504">
        <v>0</v>
      </c>
      <c r="N8476" s="504">
        <v>0</v>
      </c>
      <c r="O8476" s="505">
        <v>6</v>
      </c>
    </row>
    <row r="8477" spans="1:15" x14ac:dyDescent="0.35">
      <c r="A8477" s="500" t="s">
        <v>1111</v>
      </c>
      <c r="B8477" s="501">
        <v>4873</v>
      </c>
      <c r="C8477" s="501" t="s">
        <v>1094</v>
      </c>
      <c r="D8477" s="501" t="s">
        <v>3380</v>
      </c>
      <c r="E8477" s="501" t="s">
        <v>3381</v>
      </c>
      <c r="F8477" s="501" t="s">
        <v>954</v>
      </c>
      <c r="G8477" s="501" t="s">
        <v>955</v>
      </c>
      <c r="H8477" s="501" t="s">
        <v>10238</v>
      </c>
      <c r="I8477" s="501">
        <v>1</v>
      </c>
      <c r="J8477" s="501">
        <v>0</v>
      </c>
      <c r="K8477" s="501">
        <v>0</v>
      </c>
      <c r="L8477" s="501">
        <v>0</v>
      </c>
      <c r="M8477" s="501">
        <v>0</v>
      </c>
      <c r="N8477" s="501">
        <v>0</v>
      </c>
      <c r="O8477" s="506">
        <v>1</v>
      </c>
    </row>
    <row r="8478" spans="1:15" x14ac:dyDescent="0.35">
      <c r="A8478" s="503" t="s">
        <v>1202</v>
      </c>
      <c r="B8478" s="504" t="s">
        <v>3217</v>
      </c>
      <c r="C8478" s="504" t="s">
        <v>1094</v>
      </c>
      <c r="D8478" s="504" t="s">
        <v>3380</v>
      </c>
      <c r="E8478" s="504" t="s">
        <v>3381</v>
      </c>
      <c r="F8478" s="504" t="s">
        <v>954</v>
      </c>
      <c r="G8478" s="504" t="s">
        <v>955</v>
      </c>
      <c r="H8478" s="504" t="s">
        <v>10239</v>
      </c>
      <c r="I8478" s="504">
        <v>66</v>
      </c>
      <c r="J8478" s="504">
        <v>50</v>
      </c>
      <c r="K8478" s="504">
        <v>0</v>
      </c>
      <c r="L8478" s="504">
        <v>0</v>
      </c>
      <c r="M8478" s="504">
        <v>0</v>
      </c>
      <c r="N8478" s="504">
        <v>0</v>
      </c>
      <c r="O8478" s="505">
        <v>16</v>
      </c>
    </row>
    <row r="8479" spans="1:15" x14ac:dyDescent="0.35">
      <c r="A8479" s="500" t="s">
        <v>1114</v>
      </c>
      <c r="B8479" s="501" t="s">
        <v>2982</v>
      </c>
      <c r="C8479" s="501" t="s">
        <v>1094</v>
      </c>
      <c r="D8479" s="501" t="s">
        <v>3380</v>
      </c>
      <c r="E8479" s="501" t="s">
        <v>3381</v>
      </c>
      <c r="F8479" s="501" t="s">
        <v>954</v>
      </c>
      <c r="G8479" s="501" t="s">
        <v>955</v>
      </c>
      <c r="H8479" s="501" t="s">
        <v>10240</v>
      </c>
      <c r="I8479" s="501">
        <v>719</v>
      </c>
      <c r="J8479" s="501">
        <v>273</v>
      </c>
      <c r="K8479" s="501">
        <v>0</v>
      </c>
      <c r="L8479" s="501">
        <v>23</v>
      </c>
      <c r="M8479" s="501">
        <v>28</v>
      </c>
      <c r="N8479" s="501">
        <v>0</v>
      </c>
      <c r="O8479" s="506">
        <v>395</v>
      </c>
    </row>
    <row r="8480" spans="1:15" x14ac:dyDescent="0.35">
      <c r="A8480" s="503" t="s">
        <v>1320</v>
      </c>
      <c r="B8480" s="504">
        <v>4720</v>
      </c>
      <c r="C8480" s="504" t="s">
        <v>1089</v>
      </c>
      <c r="D8480" s="504" t="s">
        <v>3392</v>
      </c>
      <c r="E8480" s="504" t="s">
        <v>3381</v>
      </c>
      <c r="F8480" s="504" t="s">
        <v>954</v>
      </c>
      <c r="G8480" s="504" t="s">
        <v>955</v>
      </c>
      <c r="H8480" s="504" t="s">
        <v>11886</v>
      </c>
      <c r="I8480" s="504">
        <v>1</v>
      </c>
      <c r="J8480" s="504">
        <v>1</v>
      </c>
      <c r="K8480" s="504">
        <v>0</v>
      </c>
      <c r="L8480" s="504">
        <v>0</v>
      </c>
      <c r="M8480" s="504">
        <v>0</v>
      </c>
      <c r="N8480" s="504">
        <v>0</v>
      </c>
      <c r="O8480" s="505">
        <v>0</v>
      </c>
    </row>
    <row r="8481" spans="1:15" x14ac:dyDescent="0.35">
      <c r="A8481" s="500" t="s">
        <v>1218</v>
      </c>
      <c r="B8481" s="501" t="s">
        <v>3147</v>
      </c>
      <c r="C8481" s="501" t="s">
        <v>1094</v>
      </c>
      <c r="D8481" s="501" t="s">
        <v>3380</v>
      </c>
      <c r="E8481" s="501" t="s">
        <v>3381</v>
      </c>
      <c r="F8481" s="501" t="s">
        <v>954</v>
      </c>
      <c r="G8481" s="501" t="s">
        <v>955</v>
      </c>
      <c r="H8481" s="501" t="s">
        <v>10241</v>
      </c>
      <c r="I8481" s="501">
        <v>112</v>
      </c>
      <c r="J8481" s="501">
        <v>6</v>
      </c>
      <c r="K8481" s="501">
        <v>0</v>
      </c>
      <c r="L8481" s="501">
        <v>0</v>
      </c>
      <c r="M8481" s="501">
        <v>0</v>
      </c>
      <c r="N8481" s="501">
        <v>0</v>
      </c>
      <c r="O8481" s="506">
        <v>106</v>
      </c>
    </row>
    <row r="8482" spans="1:15" x14ac:dyDescent="0.35">
      <c r="A8482" s="503" t="s">
        <v>11367</v>
      </c>
      <c r="B8482" s="504" t="s">
        <v>3143</v>
      </c>
      <c r="C8482" s="504" t="s">
        <v>1094</v>
      </c>
      <c r="D8482" s="504" t="s">
        <v>3380</v>
      </c>
      <c r="E8482" s="504" t="s">
        <v>3381</v>
      </c>
      <c r="F8482" s="504" t="s">
        <v>954</v>
      </c>
      <c r="G8482" s="504" t="s">
        <v>955</v>
      </c>
      <c r="H8482" s="504" t="s">
        <v>11959</v>
      </c>
      <c r="I8482" s="504">
        <v>147</v>
      </c>
      <c r="J8482" s="504">
        <v>147</v>
      </c>
      <c r="K8482" s="504">
        <v>0</v>
      </c>
      <c r="L8482" s="504">
        <v>0</v>
      </c>
      <c r="M8482" s="504">
        <v>0</v>
      </c>
      <c r="N8482" s="504">
        <v>0</v>
      </c>
      <c r="O8482" s="505">
        <v>0</v>
      </c>
    </row>
    <row r="8483" spans="1:15" x14ac:dyDescent="0.35">
      <c r="A8483" s="500" t="s">
        <v>1221</v>
      </c>
      <c r="B8483" s="501">
        <v>4728</v>
      </c>
      <c r="C8483" s="501" t="s">
        <v>1089</v>
      </c>
      <c r="D8483" s="501" t="s">
        <v>3392</v>
      </c>
      <c r="E8483" s="501" t="s">
        <v>3381</v>
      </c>
      <c r="F8483" s="501" t="s">
        <v>954</v>
      </c>
      <c r="G8483" s="501" t="s">
        <v>955</v>
      </c>
      <c r="H8483" s="501" t="s">
        <v>10242</v>
      </c>
      <c r="I8483" s="501">
        <v>31</v>
      </c>
      <c r="J8483" s="501">
        <v>0</v>
      </c>
      <c r="K8483" s="501">
        <v>0</v>
      </c>
      <c r="L8483" s="501">
        <v>31</v>
      </c>
      <c r="M8483" s="501">
        <v>0</v>
      </c>
      <c r="N8483" s="501">
        <v>0</v>
      </c>
      <c r="O8483" s="506">
        <v>0</v>
      </c>
    </row>
    <row r="8484" spans="1:15" x14ac:dyDescent="0.35">
      <c r="A8484" s="503" t="s">
        <v>1122</v>
      </c>
      <c r="B8484" s="504" t="s">
        <v>2994</v>
      </c>
      <c r="C8484" s="504" t="s">
        <v>1094</v>
      </c>
      <c r="D8484" s="504" t="s">
        <v>3380</v>
      </c>
      <c r="E8484" s="504" t="s">
        <v>3381</v>
      </c>
      <c r="F8484" s="504" t="s">
        <v>954</v>
      </c>
      <c r="G8484" s="504" t="s">
        <v>955</v>
      </c>
      <c r="H8484" s="504" t="s">
        <v>10243</v>
      </c>
      <c r="I8484" s="504">
        <v>21</v>
      </c>
      <c r="J8484" s="504">
        <v>21</v>
      </c>
      <c r="K8484" s="504">
        <v>0</v>
      </c>
      <c r="L8484" s="504">
        <v>0</v>
      </c>
      <c r="M8484" s="504">
        <v>0</v>
      </c>
      <c r="N8484" s="504">
        <v>0</v>
      </c>
      <c r="O8484" s="505">
        <v>0</v>
      </c>
    </row>
    <row r="8485" spans="1:15" x14ac:dyDescent="0.35">
      <c r="A8485" s="500" t="s">
        <v>1225</v>
      </c>
      <c r="B8485" s="501" t="s">
        <v>3315</v>
      </c>
      <c r="C8485" s="501" t="s">
        <v>1094</v>
      </c>
      <c r="D8485" s="501" t="s">
        <v>3380</v>
      </c>
      <c r="E8485" s="501" t="s">
        <v>3381</v>
      </c>
      <c r="F8485" s="501" t="s">
        <v>954</v>
      </c>
      <c r="G8485" s="501" t="s">
        <v>955</v>
      </c>
      <c r="H8485" s="501" t="s">
        <v>15174</v>
      </c>
      <c r="I8485" s="501">
        <v>4</v>
      </c>
      <c r="J8485" s="501">
        <v>0</v>
      </c>
      <c r="K8485" s="501">
        <v>0</v>
      </c>
      <c r="L8485" s="501">
        <v>4</v>
      </c>
      <c r="M8485" s="501">
        <v>0</v>
      </c>
      <c r="N8485" s="501">
        <v>0</v>
      </c>
      <c r="O8485" s="506">
        <v>0</v>
      </c>
    </row>
    <row r="8486" spans="1:15" x14ac:dyDescent="0.35">
      <c r="A8486" s="503" t="s">
        <v>1535</v>
      </c>
      <c r="B8486" s="504" t="s">
        <v>2885</v>
      </c>
      <c r="C8486" s="504" t="s">
        <v>1089</v>
      </c>
      <c r="D8486" s="504" t="s">
        <v>3392</v>
      </c>
      <c r="E8486" s="504" t="s">
        <v>3381</v>
      </c>
      <c r="F8486" s="504" t="s">
        <v>954</v>
      </c>
      <c r="G8486" s="504" t="s">
        <v>955</v>
      </c>
      <c r="H8486" s="504" t="s">
        <v>10244</v>
      </c>
      <c r="I8486" s="504">
        <v>131</v>
      </c>
      <c r="J8486" s="504">
        <v>0</v>
      </c>
      <c r="K8486" s="504">
        <v>0</v>
      </c>
      <c r="L8486" s="504">
        <v>0</v>
      </c>
      <c r="M8486" s="504">
        <v>131</v>
      </c>
      <c r="N8486" s="504">
        <v>0</v>
      </c>
      <c r="O8486" s="505">
        <v>0</v>
      </c>
    </row>
    <row r="8487" spans="1:15" x14ac:dyDescent="0.35">
      <c r="A8487" s="500" t="s">
        <v>1124</v>
      </c>
      <c r="B8487" s="501">
        <v>4745</v>
      </c>
      <c r="C8487" s="501" t="s">
        <v>1094</v>
      </c>
      <c r="D8487" s="501" t="s">
        <v>3380</v>
      </c>
      <c r="E8487" s="501" t="s">
        <v>3381</v>
      </c>
      <c r="F8487" s="501" t="s">
        <v>954</v>
      </c>
      <c r="G8487" s="501" t="s">
        <v>955</v>
      </c>
      <c r="H8487" s="501" t="s">
        <v>10245</v>
      </c>
      <c r="I8487" s="501">
        <v>11</v>
      </c>
      <c r="J8487" s="501">
        <v>0</v>
      </c>
      <c r="K8487" s="501">
        <v>0</v>
      </c>
      <c r="L8487" s="501">
        <v>11</v>
      </c>
      <c r="M8487" s="501">
        <v>0</v>
      </c>
      <c r="N8487" s="501">
        <v>0</v>
      </c>
      <c r="O8487" s="506">
        <v>0</v>
      </c>
    </row>
    <row r="8488" spans="1:15" x14ac:dyDescent="0.35">
      <c r="A8488" s="503" t="s">
        <v>1235</v>
      </c>
      <c r="B8488" s="504">
        <v>4684</v>
      </c>
      <c r="C8488" s="504" t="s">
        <v>1094</v>
      </c>
      <c r="D8488" s="504" t="s">
        <v>3380</v>
      </c>
      <c r="E8488" s="504" t="s">
        <v>3381</v>
      </c>
      <c r="F8488" s="504" t="s">
        <v>954</v>
      </c>
      <c r="G8488" s="504" t="s">
        <v>955</v>
      </c>
      <c r="H8488" s="504" t="s">
        <v>10246</v>
      </c>
      <c r="I8488" s="504">
        <v>3</v>
      </c>
      <c r="J8488" s="504">
        <v>3</v>
      </c>
      <c r="K8488" s="504">
        <v>0</v>
      </c>
      <c r="L8488" s="504">
        <v>0</v>
      </c>
      <c r="M8488" s="504">
        <v>0</v>
      </c>
      <c r="N8488" s="504">
        <v>0</v>
      </c>
      <c r="O8488" s="505">
        <v>0</v>
      </c>
    </row>
    <row r="8489" spans="1:15" x14ac:dyDescent="0.35">
      <c r="A8489" s="500" t="s">
        <v>1126</v>
      </c>
      <c r="B8489" s="501" t="s">
        <v>2974</v>
      </c>
      <c r="C8489" s="501" t="s">
        <v>1094</v>
      </c>
      <c r="D8489" s="501" t="s">
        <v>3380</v>
      </c>
      <c r="E8489" s="501" t="s">
        <v>3381</v>
      </c>
      <c r="F8489" s="501" t="s">
        <v>954</v>
      </c>
      <c r="G8489" s="501" t="s">
        <v>955</v>
      </c>
      <c r="H8489" s="501" t="s">
        <v>10247</v>
      </c>
      <c r="I8489" s="501">
        <v>72</v>
      </c>
      <c r="J8489" s="501">
        <v>71</v>
      </c>
      <c r="K8489" s="501">
        <v>0</v>
      </c>
      <c r="L8489" s="501">
        <v>0</v>
      </c>
      <c r="M8489" s="501">
        <v>0</v>
      </c>
      <c r="N8489" s="501">
        <v>0</v>
      </c>
      <c r="O8489" s="506">
        <v>1</v>
      </c>
    </row>
    <row r="8490" spans="1:15" x14ac:dyDescent="0.35">
      <c r="A8490" s="503" t="s">
        <v>1130</v>
      </c>
      <c r="B8490" s="504" t="s">
        <v>3234</v>
      </c>
      <c r="C8490" s="504" t="s">
        <v>1094</v>
      </c>
      <c r="D8490" s="504" t="s">
        <v>3380</v>
      </c>
      <c r="E8490" s="504" t="s">
        <v>3381</v>
      </c>
      <c r="F8490" s="504" t="s">
        <v>954</v>
      </c>
      <c r="G8490" s="504" t="s">
        <v>955</v>
      </c>
      <c r="H8490" s="504" t="s">
        <v>10248</v>
      </c>
      <c r="I8490" s="504">
        <v>256</v>
      </c>
      <c r="J8490" s="504">
        <v>219</v>
      </c>
      <c r="K8490" s="504">
        <v>0</v>
      </c>
      <c r="L8490" s="504">
        <v>0</v>
      </c>
      <c r="M8490" s="504">
        <v>0</v>
      </c>
      <c r="N8490" s="504">
        <v>1</v>
      </c>
      <c r="O8490" s="505">
        <v>37</v>
      </c>
    </row>
    <row r="8491" spans="1:15" x14ac:dyDescent="0.35">
      <c r="A8491" s="500" t="s">
        <v>1922</v>
      </c>
      <c r="B8491" s="501" t="s">
        <v>2585</v>
      </c>
      <c r="C8491" s="501" t="s">
        <v>1089</v>
      </c>
      <c r="D8491" s="501" t="s">
        <v>3392</v>
      </c>
      <c r="E8491" s="501" t="s">
        <v>3381</v>
      </c>
      <c r="F8491" s="501" t="s">
        <v>954</v>
      </c>
      <c r="G8491" s="501" t="s">
        <v>955</v>
      </c>
      <c r="H8491" s="501" t="s">
        <v>10249</v>
      </c>
      <c r="I8491" s="501">
        <v>14</v>
      </c>
      <c r="J8491" s="501">
        <v>0</v>
      </c>
      <c r="K8491" s="501">
        <v>0</v>
      </c>
      <c r="L8491" s="501">
        <v>0</v>
      </c>
      <c r="M8491" s="501">
        <v>14</v>
      </c>
      <c r="N8491" s="501">
        <v>0</v>
      </c>
      <c r="O8491" s="506">
        <v>0</v>
      </c>
    </row>
    <row r="8492" spans="1:15" x14ac:dyDescent="0.35">
      <c r="A8492" s="503" t="s">
        <v>1253</v>
      </c>
      <c r="B8492" s="504" t="s">
        <v>3232</v>
      </c>
      <c r="C8492" s="504" t="s">
        <v>1094</v>
      </c>
      <c r="D8492" s="504" t="s">
        <v>3380</v>
      </c>
      <c r="E8492" s="504" t="s">
        <v>3381</v>
      </c>
      <c r="F8492" s="504" t="s">
        <v>954</v>
      </c>
      <c r="G8492" s="504" t="s">
        <v>955</v>
      </c>
      <c r="H8492" s="504" t="s">
        <v>10250</v>
      </c>
      <c r="I8492" s="504">
        <v>30</v>
      </c>
      <c r="J8492" s="504">
        <v>0</v>
      </c>
      <c r="K8492" s="504">
        <v>0</v>
      </c>
      <c r="L8492" s="504">
        <v>0</v>
      </c>
      <c r="M8492" s="504">
        <v>30</v>
      </c>
      <c r="N8492" s="504">
        <v>0</v>
      </c>
      <c r="O8492" s="505">
        <v>0</v>
      </c>
    </row>
    <row r="8493" spans="1:15" x14ac:dyDescent="0.35">
      <c r="A8493" s="500" t="s">
        <v>1927</v>
      </c>
      <c r="B8493" s="501" t="s">
        <v>2505</v>
      </c>
      <c r="C8493" s="501" t="s">
        <v>1089</v>
      </c>
      <c r="D8493" s="501" t="s">
        <v>3392</v>
      </c>
      <c r="E8493" s="501" t="s">
        <v>3381</v>
      </c>
      <c r="F8493" s="501" t="s">
        <v>954</v>
      </c>
      <c r="G8493" s="501" t="s">
        <v>955</v>
      </c>
      <c r="H8493" s="501" t="s">
        <v>10251</v>
      </c>
      <c r="I8493" s="501">
        <v>6</v>
      </c>
      <c r="J8493" s="501">
        <v>6</v>
      </c>
      <c r="K8493" s="501">
        <v>0</v>
      </c>
      <c r="L8493" s="501">
        <v>0</v>
      </c>
      <c r="M8493" s="501">
        <v>0</v>
      </c>
      <c r="N8493" s="501">
        <v>0</v>
      </c>
      <c r="O8493" s="506">
        <v>0</v>
      </c>
    </row>
    <row r="8494" spans="1:15" x14ac:dyDescent="0.35">
      <c r="A8494" s="503" t="s">
        <v>1928</v>
      </c>
      <c r="B8494" s="504" t="s">
        <v>3167</v>
      </c>
      <c r="C8494" s="504" t="s">
        <v>1094</v>
      </c>
      <c r="D8494" s="504" t="s">
        <v>3380</v>
      </c>
      <c r="E8494" s="504" t="s">
        <v>3381</v>
      </c>
      <c r="F8494" s="504" t="s">
        <v>954</v>
      </c>
      <c r="G8494" s="504" t="s">
        <v>955</v>
      </c>
      <c r="H8494" s="504" t="s">
        <v>10252</v>
      </c>
      <c r="I8494" s="504">
        <v>182</v>
      </c>
      <c r="J8494" s="504">
        <v>129</v>
      </c>
      <c r="K8494" s="504">
        <v>0</v>
      </c>
      <c r="L8494" s="504">
        <v>0</v>
      </c>
      <c r="M8494" s="504">
        <v>0</v>
      </c>
      <c r="N8494" s="504">
        <v>0</v>
      </c>
      <c r="O8494" s="505">
        <v>53</v>
      </c>
    </row>
    <row r="8495" spans="1:15" x14ac:dyDescent="0.35">
      <c r="A8495" s="500" t="s">
        <v>1935</v>
      </c>
      <c r="B8495" s="501" t="s">
        <v>3305</v>
      </c>
      <c r="C8495" s="501" t="s">
        <v>1094</v>
      </c>
      <c r="D8495" s="501" t="s">
        <v>3380</v>
      </c>
      <c r="E8495" s="501" t="s">
        <v>3381</v>
      </c>
      <c r="F8495" s="501" t="s">
        <v>954</v>
      </c>
      <c r="G8495" s="501" t="s">
        <v>955</v>
      </c>
      <c r="H8495" s="501" t="s">
        <v>10253</v>
      </c>
      <c r="I8495" s="501">
        <v>79</v>
      </c>
      <c r="J8495" s="501">
        <v>49</v>
      </c>
      <c r="K8495" s="501">
        <v>0</v>
      </c>
      <c r="L8495" s="501">
        <v>5</v>
      </c>
      <c r="M8495" s="501">
        <v>0</v>
      </c>
      <c r="N8495" s="501">
        <v>0</v>
      </c>
      <c r="O8495" s="506">
        <v>25</v>
      </c>
    </row>
    <row r="8496" spans="1:15" x14ac:dyDescent="0.35">
      <c r="A8496" s="503" t="s">
        <v>1093</v>
      </c>
      <c r="B8496" s="504" t="s">
        <v>3248</v>
      </c>
      <c r="C8496" s="504" t="s">
        <v>1094</v>
      </c>
      <c r="D8496" s="504" t="s">
        <v>3380</v>
      </c>
      <c r="E8496" s="504" t="s">
        <v>3381</v>
      </c>
      <c r="F8496" s="504" t="s">
        <v>956</v>
      </c>
      <c r="G8496" s="504" t="s">
        <v>957</v>
      </c>
      <c r="H8496" s="504" t="s">
        <v>10254</v>
      </c>
      <c r="I8496" s="504">
        <v>3</v>
      </c>
      <c r="J8496" s="504">
        <v>0</v>
      </c>
      <c r="K8496" s="504">
        <v>0</v>
      </c>
      <c r="L8496" s="504">
        <v>0</v>
      </c>
      <c r="M8496" s="504">
        <v>0</v>
      </c>
      <c r="N8496" s="504">
        <v>0</v>
      </c>
      <c r="O8496" s="505">
        <v>3</v>
      </c>
    </row>
    <row r="8497" spans="1:15" x14ac:dyDescent="0.35">
      <c r="A8497" s="500" t="s">
        <v>1096</v>
      </c>
      <c r="B8497" s="501" t="s">
        <v>3326</v>
      </c>
      <c r="C8497" s="501" t="s">
        <v>1094</v>
      </c>
      <c r="D8497" s="501" t="s">
        <v>3380</v>
      </c>
      <c r="E8497" s="501" t="s">
        <v>3381</v>
      </c>
      <c r="F8497" s="501" t="s">
        <v>956</v>
      </c>
      <c r="G8497" s="501" t="s">
        <v>957</v>
      </c>
      <c r="H8497" s="501" t="s">
        <v>10255</v>
      </c>
      <c r="I8497" s="501">
        <v>31</v>
      </c>
      <c r="J8497" s="501">
        <v>0</v>
      </c>
      <c r="K8497" s="501">
        <v>0</v>
      </c>
      <c r="L8497" s="501">
        <v>0</v>
      </c>
      <c r="M8497" s="501">
        <v>31</v>
      </c>
      <c r="N8497" s="501">
        <v>0</v>
      </c>
      <c r="O8497" s="506">
        <v>0</v>
      </c>
    </row>
    <row r="8498" spans="1:15" x14ac:dyDescent="0.35">
      <c r="A8498" s="503" t="s">
        <v>1098</v>
      </c>
      <c r="B8498" s="504">
        <v>4691</v>
      </c>
      <c r="C8498" s="504" t="s">
        <v>1094</v>
      </c>
      <c r="D8498" s="504" t="s">
        <v>3380</v>
      </c>
      <c r="E8498" s="504" t="s">
        <v>3381</v>
      </c>
      <c r="F8498" s="504" t="s">
        <v>956</v>
      </c>
      <c r="G8498" s="504" t="s">
        <v>957</v>
      </c>
      <c r="H8498" s="504" t="s">
        <v>10256</v>
      </c>
      <c r="I8498" s="504">
        <v>118</v>
      </c>
      <c r="J8498" s="504">
        <v>73</v>
      </c>
      <c r="K8498" s="504">
        <v>0</v>
      </c>
      <c r="L8498" s="504">
        <v>0</v>
      </c>
      <c r="M8498" s="504">
        <v>0</v>
      </c>
      <c r="N8498" s="504">
        <v>0</v>
      </c>
      <c r="O8498" s="505">
        <v>45</v>
      </c>
    </row>
    <row r="8499" spans="1:15" x14ac:dyDescent="0.35">
      <c r="A8499" s="500" t="s">
        <v>11363</v>
      </c>
      <c r="B8499" s="501">
        <v>4718</v>
      </c>
      <c r="C8499" s="501" t="s">
        <v>1094</v>
      </c>
      <c r="D8499" s="501" t="s">
        <v>3380</v>
      </c>
      <c r="E8499" s="501" t="s">
        <v>3381</v>
      </c>
      <c r="F8499" s="501" t="s">
        <v>956</v>
      </c>
      <c r="G8499" s="501" t="s">
        <v>957</v>
      </c>
      <c r="H8499" s="501" t="s">
        <v>11600</v>
      </c>
      <c r="I8499" s="501">
        <v>4</v>
      </c>
      <c r="J8499" s="501">
        <v>0</v>
      </c>
      <c r="K8499" s="501">
        <v>0</v>
      </c>
      <c r="L8499" s="501">
        <v>4</v>
      </c>
      <c r="M8499" s="501">
        <v>0</v>
      </c>
      <c r="N8499" s="501">
        <v>0</v>
      </c>
      <c r="O8499" s="506">
        <v>0</v>
      </c>
    </row>
    <row r="8500" spans="1:15" x14ac:dyDescent="0.35">
      <c r="A8500" s="503" t="s">
        <v>14208</v>
      </c>
      <c r="B8500" s="504">
        <v>4803</v>
      </c>
      <c r="C8500" s="504" t="s">
        <v>1094</v>
      </c>
      <c r="D8500" s="504" t="s">
        <v>3380</v>
      </c>
      <c r="E8500" s="504" t="s">
        <v>3381</v>
      </c>
      <c r="F8500" s="504" t="s">
        <v>956</v>
      </c>
      <c r="G8500" s="504" t="s">
        <v>957</v>
      </c>
      <c r="H8500" s="504" t="s">
        <v>15175</v>
      </c>
      <c r="I8500" s="504">
        <v>14</v>
      </c>
      <c r="J8500" s="504">
        <v>0</v>
      </c>
      <c r="K8500" s="504">
        <v>0</v>
      </c>
      <c r="L8500" s="504">
        <v>14</v>
      </c>
      <c r="M8500" s="504">
        <v>0</v>
      </c>
      <c r="N8500" s="504">
        <v>0</v>
      </c>
      <c r="O8500" s="505">
        <v>0</v>
      </c>
    </row>
    <row r="8501" spans="1:15" x14ac:dyDescent="0.35">
      <c r="A8501" s="500" t="s">
        <v>1985</v>
      </c>
      <c r="B8501" s="501" t="s">
        <v>3210</v>
      </c>
      <c r="C8501" s="501" t="s">
        <v>1089</v>
      </c>
      <c r="D8501" s="501" t="s">
        <v>3392</v>
      </c>
      <c r="E8501" s="501" t="s">
        <v>3381</v>
      </c>
      <c r="F8501" s="501" t="s">
        <v>956</v>
      </c>
      <c r="G8501" s="501" t="s">
        <v>957</v>
      </c>
      <c r="H8501" s="501" t="s">
        <v>10257</v>
      </c>
      <c r="I8501" s="501">
        <v>127</v>
      </c>
      <c r="J8501" s="501">
        <v>0</v>
      </c>
      <c r="K8501" s="501">
        <v>0</v>
      </c>
      <c r="L8501" s="501">
        <v>16</v>
      </c>
      <c r="M8501" s="501">
        <v>111</v>
      </c>
      <c r="N8501" s="501">
        <v>0</v>
      </c>
      <c r="O8501" s="506">
        <v>0</v>
      </c>
    </row>
    <row r="8502" spans="1:15" x14ac:dyDescent="0.35">
      <c r="A8502" s="503" t="s">
        <v>1105</v>
      </c>
      <c r="B8502" s="504">
        <v>4668</v>
      </c>
      <c r="C8502" s="504" t="s">
        <v>1094</v>
      </c>
      <c r="D8502" s="504" t="s">
        <v>3380</v>
      </c>
      <c r="E8502" s="504" t="s">
        <v>3381</v>
      </c>
      <c r="F8502" s="504" t="s">
        <v>956</v>
      </c>
      <c r="G8502" s="504" t="s">
        <v>957</v>
      </c>
      <c r="H8502" s="504" t="s">
        <v>10258</v>
      </c>
      <c r="I8502" s="504">
        <v>23</v>
      </c>
      <c r="J8502" s="504">
        <v>0</v>
      </c>
      <c r="K8502" s="504">
        <v>0</v>
      </c>
      <c r="L8502" s="504">
        <v>0</v>
      </c>
      <c r="M8502" s="504">
        <v>0</v>
      </c>
      <c r="N8502" s="504">
        <v>0</v>
      </c>
      <c r="O8502" s="505">
        <v>23</v>
      </c>
    </row>
    <row r="8503" spans="1:15" x14ac:dyDescent="0.35">
      <c r="A8503" s="500" t="s">
        <v>1107</v>
      </c>
      <c r="B8503" s="501" t="s">
        <v>3109</v>
      </c>
      <c r="C8503" s="501" t="s">
        <v>1094</v>
      </c>
      <c r="D8503" s="501" t="s">
        <v>3380</v>
      </c>
      <c r="E8503" s="501" t="s">
        <v>3381</v>
      </c>
      <c r="F8503" s="501" t="s">
        <v>956</v>
      </c>
      <c r="G8503" s="501" t="s">
        <v>957</v>
      </c>
      <c r="H8503" s="501" t="s">
        <v>10259</v>
      </c>
      <c r="I8503" s="501">
        <v>10</v>
      </c>
      <c r="J8503" s="501">
        <v>0</v>
      </c>
      <c r="K8503" s="501">
        <v>0</v>
      </c>
      <c r="L8503" s="501">
        <v>10</v>
      </c>
      <c r="M8503" s="501">
        <v>0</v>
      </c>
      <c r="N8503" s="501">
        <v>0</v>
      </c>
      <c r="O8503" s="506">
        <v>0</v>
      </c>
    </row>
    <row r="8504" spans="1:15" x14ac:dyDescent="0.35">
      <c r="A8504" s="503" t="s">
        <v>1195</v>
      </c>
      <c r="B8504" s="504">
        <v>4693</v>
      </c>
      <c r="C8504" s="504" t="s">
        <v>1089</v>
      </c>
      <c r="D8504" s="504" t="s">
        <v>3392</v>
      </c>
      <c r="E8504" s="504" t="s">
        <v>3381</v>
      </c>
      <c r="F8504" s="504" t="s">
        <v>956</v>
      </c>
      <c r="G8504" s="504" t="s">
        <v>957</v>
      </c>
      <c r="H8504" s="504" t="s">
        <v>10260</v>
      </c>
      <c r="I8504" s="504">
        <v>30</v>
      </c>
      <c r="J8504" s="504">
        <v>0</v>
      </c>
      <c r="K8504" s="504">
        <v>0</v>
      </c>
      <c r="L8504" s="504">
        <v>30</v>
      </c>
      <c r="M8504" s="504">
        <v>0</v>
      </c>
      <c r="N8504" s="504">
        <v>0</v>
      </c>
      <c r="O8504" s="505">
        <v>0</v>
      </c>
    </row>
    <row r="8505" spans="1:15" x14ac:dyDescent="0.35">
      <c r="A8505" s="500" t="s">
        <v>1310</v>
      </c>
      <c r="B8505" s="501">
        <v>5062</v>
      </c>
      <c r="C8505" s="501" t="s">
        <v>1089</v>
      </c>
      <c r="D8505" s="501" t="s">
        <v>3380</v>
      </c>
      <c r="E8505" s="501" t="s">
        <v>3381</v>
      </c>
      <c r="F8505" s="501" t="s">
        <v>956</v>
      </c>
      <c r="G8505" s="501" t="s">
        <v>957</v>
      </c>
      <c r="H8505" s="501" t="s">
        <v>15176</v>
      </c>
      <c r="I8505" s="501">
        <v>3</v>
      </c>
      <c r="J8505" s="501">
        <v>3</v>
      </c>
      <c r="K8505" s="501">
        <v>0</v>
      </c>
      <c r="L8505" s="501">
        <v>0</v>
      </c>
      <c r="M8505" s="501">
        <v>0</v>
      </c>
      <c r="N8505" s="501">
        <v>0</v>
      </c>
      <c r="O8505" s="506">
        <v>0</v>
      </c>
    </row>
    <row r="8506" spans="1:15" x14ac:dyDescent="0.35">
      <c r="A8506" s="503" t="s">
        <v>1197</v>
      </c>
      <c r="B8506" s="504">
        <v>4863</v>
      </c>
      <c r="C8506" s="504" t="s">
        <v>1089</v>
      </c>
      <c r="D8506" s="504" t="s">
        <v>3392</v>
      </c>
      <c r="E8506" s="504" t="s">
        <v>3381</v>
      </c>
      <c r="F8506" s="504" t="s">
        <v>956</v>
      </c>
      <c r="G8506" s="504" t="s">
        <v>957</v>
      </c>
      <c r="H8506" s="504" t="s">
        <v>10261</v>
      </c>
      <c r="I8506" s="504">
        <v>15</v>
      </c>
      <c r="J8506" s="504">
        <v>0</v>
      </c>
      <c r="K8506" s="504">
        <v>0</v>
      </c>
      <c r="L8506" s="504">
        <v>15</v>
      </c>
      <c r="M8506" s="504">
        <v>0</v>
      </c>
      <c r="N8506" s="504">
        <v>0</v>
      </c>
      <c r="O8506" s="505">
        <v>0</v>
      </c>
    </row>
    <row r="8507" spans="1:15" x14ac:dyDescent="0.35">
      <c r="A8507" s="500" t="s">
        <v>1111</v>
      </c>
      <c r="B8507" s="501">
        <v>4873</v>
      </c>
      <c r="C8507" s="501" t="s">
        <v>1094</v>
      </c>
      <c r="D8507" s="501" t="s">
        <v>3380</v>
      </c>
      <c r="E8507" s="501" t="s">
        <v>3381</v>
      </c>
      <c r="F8507" s="501" t="s">
        <v>956</v>
      </c>
      <c r="G8507" s="501" t="s">
        <v>957</v>
      </c>
      <c r="H8507" s="501" t="s">
        <v>10262</v>
      </c>
      <c r="I8507" s="501">
        <v>496</v>
      </c>
      <c r="J8507" s="501">
        <v>367</v>
      </c>
      <c r="K8507" s="501">
        <v>0</v>
      </c>
      <c r="L8507" s="501">
        <v>61</v>
      </c>
      <c r="M8507" s="501">
        <v>0</v>
      </c>
      <c r="N8507" s="501">
        <v>0</v>
      </c>
      <c r="O8507" s="506">
        <v>68</v>
      </c>
    </row>
    <row r="8508" spans="1:15" x14ac:dyDescent="0.35">
      <c r="A8508" s="503" t="s">
        <v>1991</v>
      </c>
      <c r="B8508" s="504">
        <v>4844</v>
      </c>
      <c r="C8508" s="504" t="s">
        <v>1094</v>
      </c>
      <c r="D8508" s="504" t="s">
        <v>3380</v>
      </c>
      <c r="E8508" s="504" t="s">
        <v>3381</v>
      </c>
      <c r="F8508" s="504" t="s">
        <v>956</v>
      </c>
      <c r="G8508" s="504" t="s">
        <v>957</v>
      </c>
      <c r="H8508" s="504" t="s">
        <v>10263</v>
      </c>
      <c r="I8508" s="504">
        <v>4</v>
      </c>
      <c r="J8508" s="504">
        <v>4</v>
      </c>
      <c r="K8508" s="504">
        <v>0</v>
      </c>
      <c r="L8508" s="504">
        <v>0</v>
      </c>
      <c r="M8508" s="504">
        <v>0</v>
      </c>
      <c r="N8508" s="504">
        <v>0</v>
      </c>
      <c r="O8508" s="505">
        <v>0</v>
      </c>
    </row>
    <row r="8509" spans="1:15" x14ac:dyDescent="0.35">
      <c r="A8509" s="500" t="s">
        <v>1114</v>
      </c>
      <c r="B8509" s="501" t="s">
        <v>2982</v>
      </c>
      <c r="C8509" s="501" t="s">
        <v>1094</v>
      </c>
      <c r="D8509" s="501" t="s">
        <v>3380</v>
      </c>
      <c r="E8509" s="501" t="s">
        <v>3381</v>
      </c>
      <c r="F8509" s="501" t="s">
        <v>956</v>
      </c>
      <c r="G8509" s="501" t="s">
        <v>957</v>
      </c>
      <c r="H8509" s="501" t="s">
        <v>10264</v>
      </c>
      <c r="I8509" s="501">
        <v>2</v>
      </c>
      <c r="J8509" s="501">
        <v>0</v>
      </c>
      <c r="K8509" s="501">
        <v>0</v>
      </c>
      <c r="L8509" s="501">
        <v>0</v>
      </c>
      <c r="M8509" s="501">
        <v>0</v>
      </c>
      <c r="N8509" s="501">
        <v>0</v>
      </c>
      <c r="O8509" s="506">
        <v>2</v>
      </c>
    </row>
    <row r="8510" spans="1:15" x14ac:dyDescent="0.35">
      <c r="A8510" s="503" t="s">
        <v>1320</v>
      </c>
      <c r="B8510" s="504">
        <v>4720</v>
      </c>
      <c r="C8510" s="504" t="s">
        <v>1089</v>
      </c>
      <c r="D8510" s="504" t="s">
        <v>3392</v>
      </c>
      <c r="E8510" s="504" t="s">
        <v>3381</v>
      </c>
      <c r="F8510" s="504" t="s">
        <v>956</v>
      </c>
      <c r="G8510" s="504" t="s">
        <v>957</v>
      </c>
      <c r="H8510" s="504" t="s">
        <v>15177</v>
      </c>
      <c r="I8510" s="504">
        <v>68</v>
      </c>
      <c r="J8510" s="504">
        <v>68</v>
      </c>
      <c r="K8510" s="504">
        <v>0</v>
      </c>
      <c r="L8510" s="504">
        <v>0</v>
      </c>
      <c r="M8510" s="504">
        <v>0</v>
      </c>
      <c r="N8510" s="504">
        <v>0</v>
      </c>
      <c r="O8510" s="505">
        <v>0</v>
      </c>
    </row>
    <row r="8511" spans="1:15" x14ac:dyDescent="0.35">
      <c r="A8511" s="500" t="s">
        <v>1225</v>
      </c>
      <c r="B8511" s="501" t="s">
        <v>3315</v>
      </c>
      <c r="C8511" s="501" t="s">
        <v>1094</v>
      </c>
      <c r="D8511" s="501" t="s">
        <v>3380</v>
      </c>
      <c r="E8511" s="501" t="s">
        <v>3381</v>
      </c>
      <c r="F8511" s="501" t="s">
        <v>956</v>
      </c>
      <c r="G8511" s="501" t="s">
        <v>957</v>
      </c>
      <c r="H8511" s="501" t="s">
        <v>10265</v>
      </c>
      <c r="I8511" s="501">
        <v>7</v>
      </c>
      <c r="J8511" s="501">
        <v>0</v>
      </c>
      <c r="K8511" s="501">
        <v>0</v>
      </c>
      <c r="L8511" s="501">
        <v>7</v>
      </c>
      <c r="M8511" s="501">
        <v>0</v>
      </c>
      <c r="N8511" s="501">
        <v>0</v>
      </c>
      <c r="O8511" s="506">
        <v>0</v>
      </c>
    </row>
    <row r="8512" spans="1:15" x14ac:dyDescent="0.35">
      <c r="A8512" s="503" t="s">
        <v>1227</v>
      </c>
      <c r="B8512" s="504">
        <v>4757</v>
      </c>
      <c r="C8512" s="504" t="s">
        <v>1094</v>
      </c>
      <c r="D8512" s="504" t="s">
        <v>3392</v>
      </c>
      <c r="E8512" s="504" t="s">
        <v>3381</v>
      </c>
      <c r="F8512" s="504" t="s">
        <v>956</v>
      </c>
      <c r="G8512" s="504" t="s">
        <v>957</v>
      </c>
      <c r="H8512" s="504" t="s">
        <v>10266</v>
      </c>
      <c r="I8512" s="504">
        <v>1</v>
      </c>
      <c r="J8512" s="504">
        <v>1</v>
      </c>
      <c r="K8512" s="504">
        <v>0</v>
      </c>
      <c r="L8512" s="504">
        <v>0</v>
      </c>
      <c r="M8512" s="504">
        <v>0</v>
      </c>
      <c r="N8512" s="504">
        <v>0</v>
      </c>
      <c r="O8512" s="505">
        <v>0</v>
      </c>
    </row>
    <row r="8513" spans="1:15" x14ac:dyDescent="0.35">
      <c r="A8513" s="500" t="s">
        <v>1228</v>
      </c>
      <c r="B8513" s="501" t="s">
        <v>3321</v>
      </c>
      <c r="C8513" s="501" t="s">
        <v>1094</v>
      </c>
      <c r="D8513" s="501" t="s">
        <v>3380</v>
      </c>
      <c r="E8513" s="501" t="s">
        <v>3381</v>
      </c>
      <c r="F8513" s="501" t="s">
        <v>956</v>
      </c>
      <c r="G8513" s="501" t="s">
        <v>957</v>
      </c>
      <c r="H8513" s="501" t="s">
        <v>10267</v>
      </c>
      <c r="I8513" s="501">
        <v>26</v>
      </c>
      <c r="J8513" s="501">
        <v>0</v>
      </c>
      <c r="K8513" s="501">
        <v>0</v>
      </c>
      <c r="L8513" s="501">
        <v>26</v>
      </c>
      <c r="M8513" s="501">
        <v>0</v>
      </c>
      <c r="N8513" s="501">
        <v>0</v>
      </c>
      <c r="O8513" s="506">
        <v>0</v>
      </c>
    </row>
    <row r="8514" spans="1:15" x14ac:dyDescent="0.35">
      <c r="A8514" s="503" t="s">
        <v>1124</v>
      </c>
      <c r="B8514" s="504">
        <v>4745</v>
      </c>
      <c r="C8514" s="504" t="s">
        <v>1094</v>
      </c>
      <c r="D8514" s="504" t="s">
        <v>3380</v>
      </c>
      <c r="E8514" s="504" t="s">
        <v>3381</v>
      </c>
      <c r="F8514" s="504" t="s">
        <v>956</v>
      </c>
      <c r="G8514" s="504" t="s">
        <v>957</v>
      </c>
      <c r="H8514" s="504" t="s">
        <v>10268</v>
      </c>
      <c r="I8514" s="504">
        <v>9</v>
      </c>
      <c r="J8514" s="504">
        <v>0</v>
      </c>
      <c r="K8514" s="504">
        <v>0</v>
      </c>
      <c r="L8514" s="504">
        <v>9</v>
      </c>
      <c r="M8514" s="504">
        <v>0</v>
      </c>
      <c r="N8514" s="504">
        <v>0</v>
      </c>
      <c r="O8514" s="505">
        <v>0</v>
      </c>
    </row>
    <row r="8515" spans="1:15" x14ac:dyDescent="0.35">
      <c r="A8515" s="500" t="s">
        <v>1234</v>
      </c>
      <c r="B8515" s="501" t="s">
        <v>3291</v>
      </c>
      <c r="C8515" s="501" t="s">
        <v>1094</v>
      </c>
      <c r="D8515" s="501" t="s">
        <v>3380</v>
      </c>
      <c r="E8515" s="501" t="s">
        <v>3381</v>
      </c>
      <c r="F8515" s="501" t="s">
        <v>956</v>
      </c>
      <c r="G8515" s="501" t="s">
        <v>957</v>
      </c>
      <c r="H8515" s="501" t="s">
        <v>10269</v>
      </c>
      <c r="I8515" s="501">
        <v>22</v>
      </c>
      <c r="J8515" s="501">
        <v>6</v>
      </c>
      <c r="K8515" s="501">
        <v>11</v>
      </c>
      <c r="L8515" s="501">
        <v>5</v>
      </c>
      <c r="M8515" s="501">
        <v>0</v>
      </c>
      <c r="N8515" s="501">
        <v>0</v>
      </c>
      <c r="O8515" s="506">
        <v>0</v>
      </c>
    </row>
    <row r="8516" spans="1:15" x14ac:dyDescent="0.35">
      <c r="A8516" s="503" t="s">
        <v>1235</v>
      </c>
      <c r="B8516" s="504">
        <v>4684</v>
      </c>
      <c r="C8516" s="504" t="s">
        <v>1094</v>
      </c>
      <c r="D8516" s="504" t="s">
        <v>3380</v>
      </c>
      <c r="E8516" s="504" t="s">
        <v>3381</v>
      </c>
      <c r="F8516" s="504" t="s">
        <v>956</v>
      </c>
      <c r="G8516" s="504" t="s">
        <v>957</v>
      </c>
      <c r="H8516" s="504" t="s">
        <v>10270</v>
      </c>
      <c r="I8516" s="504">
        <v>82</v>
      </c>
      <c r="J8516" s="504">
        <v>81</v>
      </c>
      <c r="K8516" s="504">
        <v>0</v>
      </c>
      <c r="L8516" s="504">
        <v>1</v>
      </c>
      <c r="M8516" s="504">
        <v>0</v>
      </c>
      <c r="N8516" s="504">
        <v>0</v>
      </c>
      <c r="O8516" s="505">
        <v>0</v>
      </c>
    </row>
    <row r="8517" spans="1:15" x14ac:dyDescent="0.35">
      <c r="A8517" s="500" t="s">
        <v>1126</v>
      </c>
      <c r="B8517" s="501" t="s">
        <v>2974</v>
      </c>
      <c r="C8517" s="501" t="s">
        <v>1094</v>
      </c>
      <c r="D8517" s="501" t="s">
        <v>3380</v>
      </c>
      <c r="E8517" s="501" t="s">
        <v>3381</v>
      </c>
      <c r="F8517" s="501" t="s">
        <v>956</v>
      </c>
      <c r="G8517" s="501" t="s">
        <v>957</v>
      </c>
      <c r="H8517" s="501" t="s">
        <v>10271</v>
      </c>
      <c r="I8517" s="501">
        <v>2643</v>
      </c>
      <c r="J8517" s="501">
        <v>2168</v>
      </c>
      <c r="K8517" s="501">
        <v>0</v>
      </c>
      <c r="L8517" s="501">
        <v>20</v>
      </c>
      <c r="M8517" s="501">
        <v>403</v>
      </c>
      <c r="N8517" s="501">
        <v>4</v>
      </c>
      <c r="O8517" s="506">
        <v>52</v>
      </c>
    </row>
    <row r="8518" spans="1:15" x14ac:dyDescent="0.35">
      <c r="A8518" s="503" t="s">
        <v>1132</v>
      </c>
      <c r="B8518" s="504">
        <v>4837</v>
      </c>
      <c r="C8518" s="504" t="s">
        <v>1094</v>
      </c>
      <c r="D8518" s="504" t="s">
        <v>3380</v>
      </c>
      <c r="E8518" s="504" t="s">
        <v>3381</v>
      </c>
      <c r="F8518" s="504" t="s">
        <v>956</v>
      </c>
      <c r="G8518" s="504" t="s">
        <v>957</v>
      </c>
      <c r="H8518" s="504" t="s">
        <v>10272</v>
      </c>
      <c r="I8518" s="504">
        <v>402</v>
      </c>
      <c r="J8518" s="504">
        <v>336</v>
      </c>
      <c r="K8518" s="504">
        <v>0</v>
      </c>
      <c r="L8518" s="504">
        <v>0</v>
      </c>
      <c r="M8518" s="504">
        <v>0</v>
      </c>
      <c r="N8518" s="504">
        <v>0</v>
      </c>
      <c r="O8518" s="505">
        <v>66</v>
      </c>
    </row>
    <row r="8519" spans="1:15" x14ac:dyDescent="0.35">
      <c r="A8519" s="500" t="s">
        <v>1241</v>
      </c>
      <c r="B8519" s="501">
        <v>4717</v>
      </c>
      <c r="C8519" s="501" t="s">
        <v>1094</v>
      </c>
      <c r="D8519" s="501" t="s">
        <v>3380</v>
      </c>
      <c r="E8519" s="501" t="s">
        <v>3381</v>
      </c>
      <c r="F8519" s="501" t="s">
        <v>956</v>
      </c>
      <c r="G8519" s="501" t="s">
        <v>957</v>
      </c>
      <c r="H8519" s="501" t="s">
        <v>10273</v>
      </c>
      <c r="I8519" s="501">
        <v>66</v>
      </c>
      <c r="J8519" s="501">
        <v>0</v>
      </c>
      <c r="K8519" s="501">
        <v>0</v>
      </c>
      <c r="L8519" s="501">
        <v>0</v>
      </c>
      <c r="M8519" s="501">
        <v>66</v>
      </c>
      <c r="N8519" s="501">
        <v>0</v>
      </c>
      <c r="O8519" s="506">
        <v>0</v>
      </c>
    </row>
    <row r="8520" spans="1:15" x14ac:dyDescent="0.35">
      <c r="A8520" s="503" t="s">
        <v>1134</v>
      </c>
      <c r="B8520" s="504" t="s">
        <v>3066</v>
      </c>
      <c r="C8520" s="504" t="s">
        <v>1094</v>
      </c>
      <c r="D8520" s="504" t="s">
        <v>3380</v>
      </c>
      <c r="E8520" s="504" t="s">
        <v>3381</v>
      </c>
      <c r="F8520" s="504" t="s">
        <v>956</v>
      </c>
      <c r="G8520" s="504" t="s">
        <v>957</v>
      </c>
      <c r="H8520" s="504" t="s">
        <v>10274</v>
      </c>
      <c r="I8520" s="504">
        <v>71</v>
      </c>
      <c r="J8520" s="504">
        <v>71</v>
      </c>
      <c r="K8520" s="504">
        <v>0</v>
      </c>
      <c r="L8520" s="504">
        <v>0</v>
      </c>
      <c r="M8520" s="504">
        <v>0</v>
      </c>
      <c r="N8520" s="504">
        <v>0</v>
      </c>
      <c r="O8520" s="505">
        <v>0</v>
      </c>
    </row>
    <row r="8521" spans="1:15" x14ac:dyDescent="0.35">
      <c r="A8521" s="500" t="s">
        <v>1559</v>
      </c>
      <c r="B8521" s="501" t="s">
        <v>3252</v>
      </c>
      <c r="C8521" s="501" t="s">
        <v>1089</v>
      </c>
      <c r="D8521" s="501" t="s">
        <v>3392</v>
      </c>
      <c r="E8521" s="501" t="s">
        <v>3381</v>
      </c>
      <c r="F8521" s="501" t="s">
        <v>956</v>
      </c>
      <c r="G8521" s="501" t="s">
        <v>957</v>
      </c>
      <c r="H8521" s="501" t="s">
        <v>10275</v>
      </c>
      <c r="I8521" s="501">
        <v>58</v>
      </c>
      <c r="J8521" s="501">
        <v>0</v>
      </c>
      <c r="K8521" s="501">
        <v>0</v>
      </c>
      <c r="L8521" s="501">
        <v>0</v>
      </c>
      <c r="M8521" s="501">
        <v>58</v>
      </c>
      <c r="N8521" s="501">
        <v>0</v>
      </c>
      <c r="O8521" s="506">
        <v>0</v>
      </c>
    </row>
    <row r="8522" spans="1:15" x14ac:dyDescent="0.35">
      <c r="A8522" s="503" t="s">
        <v>2034</v>
      </c>
      <c r="B8522" s="504" t="s">
        <v>2913</v>
      </c>
      <c r="C8522" s="504" t="s">
        <v>1089</v>
      </c>
      <c r="D8522" s="504" t="s">
        <v>3392</v>
      </c>
      <c r="E8522" s="504" t="s">
        <v>3381</v>
      </c>
      <c r="F8522" s="504" t="s">
        <v>956</v>
      </c>
      <c r="G8522" s="504" t="s">
        <v>957</v>
      </c>
      <c r="H8522" s="504" t="s">
        <v>10276</v>
      </c>
      <c r="I8522" s="504">
        <v>26</v>
      </c>
      <c r="J8522" s="504">
        <v>0</v>
      </c>
      <c r="K8522" s="504">
        <v>0</v>
      </c>
      <c r="L8522" s="504">
        <v>0</v>
      </c>
      <c r="M8522" s="504">
        <v>26</v>
      </c>
      <c r="N8522" s="504">
        <v>0</v>
      </c>
      <c r="O8522" s="505">
        <v>0</v>
      </c>
    </row>
    <row r="8523" spans="1:15" x14ac:dyDescent="0.35">
      <c r="A8523" s="500" t="s">
        <v>1249</v>
      </c>
      <c r="B8523" s="501">
        <v>4729</v>
      </c>
      <c r="C8523" s="501" t="s">
        <v>1094</v>
      </c>
      <c r="D8523" s="501" t="s">
        <v>3380</v>
      </c>
      <c r="E8523" s="501" t="s">
        <v>3381</v>
      </c>
      <c r="F8523" s="501" t="s">
        <v>956</v>
      </c>
      <c r="G8523" s="501" t="s">
        <v>957</v>
      </c>
      <c r="H8523" s="501" t="s">
        <v>10277</v>
      </c>
      <c r="I8523" s="501">
        <v>1</v>
      </c>
      <c r="J8523" s="501">
        <v>0</v>
      </c>
      <c r="K8523" s="501">
        <v>0</v>
      </c>
      <c r="L8523" s="501">
        <v>0</v>
      </c>
      <c r="M8523" s="501">
        <v>0</v>
      </c>
      <c r="N8523" s="501">
        <v>0</v>
      </c>
      <c r="O8523" s="506">
        <v>1</v>
      </c>
    </row>
    <row r="8524" spans="1:15" x14ac:dyDescent="0.35">
      <c r="A8524" s="503" t="s">
        <v>11428</v>
      </c>
      <c r="B8524" s="504">
        <v>5126</v>
      </c>
      <c r="C8524" s="504" t="s">
        <v>1089</v>
      </c>
      <c r="D8524" s="504" t="s">
        <v>3392</v>
      </c>
      <c r="E8524" s="504" t="s">
        <v>3381</v>
      </c>
      <c r="F8524" s="504" t="s">
        <v>956</v>
      </c>
      <c r="G8524" s="504" t="s">
        <v>957</v>
      </c>
      <c r="H8524" s="504" t="s">
        <v>12237</v>
      </c>
      <c r="I8524" s="504">
        <v>23</v>
      </c>
      <c r="J8524" s="504">
        <v>9</v>
      </c>
      <c r="K8524" s="504">
        <v>0</v>
      </c>
      <c r="L8524" s="504">
        <v>14</v>
      </c>
      <c r="M8524" s="504">
        <v>0</v>
      </c>
      <c r="N8524" s="504">
        <v>0</v>
      </c>
      <c r="O8524" s="505">
        <v>0</v>
      </c>
    </row>
    <row r="8525" spans="1:15" x14ac:dyDescent="0.35">
      <c r="A8525" s="500" t="s">
        <v>2050</v>
      </c>
      <c r="B8525" s="501">
        <v>4826</v>
      </c>
      <c r="C8525" s="501" t="s">
        <v>1094</v>
      </c>
      <c r="D8525" s="501" t="s">
        <v>3380</v>
      </c>
      <c r="E8525" s="501" t="s">
        <v>3381</v>
      </c>
      <c r="F8525" s="501" t="s">
        <v>956</v>
      </c>
      <c r="G8525" s="501" t="s">
        <v>957</v>
      </c>
      <c r="H8525" s="501" t="s">
        <v>10278</v>
      </c>
      <c r="I8525" s="501">
        <v>1588</v>
      </c>
      <c r="J8525" s="501">
        <v>1064</v>
      </c>
      <c r="K8525" s="501">
        <v>0</v>
      </c>
      <c r="L8525" s="501">
        <v>58</v>
      </c>
      <c r="M8525" s="501">
        <v>184</v>
      </c>
      <c r="N8525" s="501">
        <v>0</v>
      </c>
      <c r="O8525" s="506">
        <v>282</v>
      </c>
    </row>
    <row r="8526" spans="1:15" x14ac:dyDescent="0.35">
      <c r="A8526" s="503" t="s">
        <v>1093</v>
      </c>
      <c r="B8526" s="504" t="s">
        <v>3248</v>
      </c>
      <c r="C8526" s="504" t="s">
        <v>1094</v>
      </c>
      <c r="D8526" s="504" t="s">
        <v>3380</v>
      </c>
      <c r="E8526" s="504" t="s">
        <v>3381</v>
      </c>
      <c r="F8526" s="504" t="s">
        <v>958</v>
      </c>
      <c r="G8526" s="504" t="s">
        <v>959</v>
      </c>
      <c r="H8526" s="504" t="s">
        <v>10279</v>
      </c>
      <c r="I8526" s="504">
        <v>1</v>
      </c>
      <c r="J8526" s="504">
        <v>0</v>
      </c>
      <c r="K8526" s="504">
        <v>0</v>
      </c>
      <c r="L8526" s="504">
        <v>0</v>
      </c>
      <c r="M8526" s="504">
        <v>0</v>
      </c>
      <c r="N8526" s="504">
        <v>0</v>
      </c>
      <c r="O8526" s="505">
        <v>1</v>
      </c>
    </row>
    <row r="8527" spans="1:15" x14ac:dyDescent="0.35">
      <c r="A8527" s="500" t="s">
        <v>1151</v>
      </c>
      <c r="B8527" s="501">
        <v>4726</v>
      </c>
      <c r="C8527" s="501" t="s">
        <v>1089</v>
      </c>
      <c r="D8527" s="501" t="s">
        <v>3392</v>
      </c>
      <c r="E8527" s="501" t="s">
        <v>3381</v>
      </c>
      <c r="F8527" s="501" t="s">
        <v>958</v>
      </c>
      <c r="G8527" s="501" t="s">
        <v>959</v>
      </c>
      <c r="H8527" s="501" t="s">
        <v>15178</v>
      </c>
      <c r="I8527" s="501">
        <v>1</v>
      </c>
      <c r="J8527" s="501">
        <v>0</v>
      </c>
      <c r="K8527" s="501">
        <v>0</v>
      </c>
      <c r="L8527" s="501">
        <v>1</v>
      </c>
      <c r="M8527" s="501">
        <v>0</v>
      </c>
      <c r="N8527" s="501">
        <v>0</v>
      </c>
      <c r="O8527" s="506">
        <v>0</v>
      </c>
    </row>
    <row r="8528" spans="1:15" x14ac:dyDescent="0.35">
      <c r="A8528" s="503" t="s">
        <v>1098</v>
      </c>
      <c r="B8528" s="504">
        <v>4691</v>
      </c>
      <c r="C8528" s="504" t="s">
        <v>1094</v>
      </c>
      <c r="D8528" s="504" t="s">
        <v>3380</v>
      </c>
      <c r="E8528" s="504" t="s">
        <v>3381</v>
      </c>
      <c r="F8528" s="504" t="s">
        <v>958</v>
      </c>
      <c r="G8528" s="504" t="s">
        <v>959</v>
      </c>
      <c r="H8528" s="504" t="s">
        <v>10280</v>
      </c>
      <c r="I8528" s="504">
        <v>57</v>
      </c>
      <c r="J8528" s="504">
        <v>51</v>
      </c>
      <c r="K8528" s="504">
        <v>0</v>
      </c>
      <c r="L8528" s="504">
        <v>0</v>
      </c>
      <c r="M8528" s="504">
        <v>0</v>
      </c>
      <c r="N8528" s="504">
        <v>0</v>
      </c>
      <c r="O8528" s="505">
        <v>6</v>
      </c>
    </row>
    <row r="8529" spans="1:15" x14ac:dyDescent="0.35">
      <c r="A8529" s="500" t="s">
        <v>11363</v>
      </c>
      <c r="B8529" s="501">
        <v>4718</v>
      </c>
      <c r="C8529" s="501" t="s">
        <v>1094</v>
      </c>
      <c r="D8529" s="501" t="s">
        <v>3380</v>
      </c>
      <c r="E8529" s="501" t="s">
        <v>3381</v>
      </c>
      <c r="F8529" s="501" t="s">
        <v>958</v>
      </c>
      <c r="G8529" s="501" t="s">
        <v>959</v>
      </c>
      <c r="H8529" s="501" t="s">
        <v>11601</v>
      </c>
      <c r="I8529" s="501">
        <v>6</v>
      </c>
      <c r="J8529" s="501">
        <v>0</v>
      </c>
      <c r="K8529" s="501">
        <v>0</v>
      </c>
      <c r="L8529" s="501">
        <v>6</v>
      </c>
      <c r="M8529" s="501">
        <v>0</v>
      </c>
      <c r="N8529" s="501">
        <v>0</v>
      </c>
      <c r="O8529" s="506">
        <v>0</v>
      </c>
    </row>
    <row r="8530" spans="1:15" x14ac:dyDescent="0.35">
      <c r="A8530" s="503" t="s">
        <v>14208</v>
      </c>
      <c r="B8530" s="504">
        <v>4803</v>
      </c>
      <c r="C8530" s="504" t="s">
        <v>1094</v>
      </c>
      <c r="D8530" s="504" t="s">
        <v>3380</v>
      </c>
      <c r="E8530" s="504" t="s">
        <v>3381</v>
      </c>
      <c r="F8530" s="504" t="s">
        <v>958</v>
      </c>
      <c r="G8530" s="504" t="s">
        <v>959</v>
      </c>
      <c r="H8530" s="504" t="s">
        <v>15179</v>
      </c>
      <c r="I8530" s="504">
        <v>1</v>
      </c>
      <c r="J8530" s="504">
        <v>0</v>
      </c>
      <c r="K8530" s="504">
        <v>0</v>
      </c>
      <c r="L8530" s="504">
        <v>1</v>
      </c>
      <c r="M8530" s="504">
        <v>0</v>
      </c>
      <c r="N8530" s="504">
        <v>0</v>
      </c>
      <c r="O8530" s="505">
        <v>0</v>
      </c>
    </row>
    <row r="8531" spans="1:15" x14ac:dyDescent="0.35">
      <c r="A8531" s="500" t="s">
        <v>1187</v>
      </c>
      <c r="B8531" s="501" t="s">
        <v>2951</v>
      </c>
      <c r="C8531" s="501" t="s">
        <v>1094</v>
      </c>
      <c r="D8531" s="501" t="s">
        <v>3380</v>
      </c>
      <c r="E8531" s="501" t="s">
        <v>3381</v>
      </c>
      <c r="F8531" s="501" t="s">
        <v>958</v>
      </c>
      <c r="G8531" s="501" t="s">
        <v>959</v>
      </c>
      <c r="H8531" s="501" t="s">
        <v>10281</v>
      </c>
      <c r="I8531" s="501">
        <v>70</v>
      </c>
      <c r="J8531" s="501">
        <v>62</v>
      </c>
      <c r="K8531" s="501">
        <v>0</v>
      </c>
      <c r="L8531" s="501">
        <v>0</v>
      </c>
      <c r="M8531" s="501">
        <v>0</v>
      </c>
      <c r="N8531" s="501">
        <v>0</v>
      </c>
      <c r="O8531" s="506">
        <v>8</v>
      </c>
    </row>
    <row r="8532" spans="1:15" x14ac:dyDescent="0.35">
      <c r="A8532" s="503" t="s">
        <v>1105</v>
      </c>
      <c r="B8532" s="504">
        <v>4668</v>
      </c>
      <c r="C8532" s="504" t="s">
        <v>1094</v>
      </c>
      <c r="D8532" s="504" t="s">
        <v>3380</v>
      </c>
      <c r="E8532" s="504" t="s">
        <v>3381</v>
      </c>
      <c r="F8532" s="504" t="s">
        <v>958</v>
      </c>
      <c r="G8532" s="504" t="s">
        <v>959</v>
      </c>
      <c r="H8532" s="504" t="s">
        <v>10282</v>
      </c>
      <c r="I8532" s="504">
        <v>13</v>
      </c>
      <c r="J8532" s="504">
        <v>0</v>
      </c>
      <c r="K8532" s="504">
        <v>0</v>
      </c>
      <c r="L8532" s="504">
        <v>0</v>
      </c>
      <c r="M8532" s="504">
        <v>0</v>
      </c>
      <c r="N8532" s="504">
        <v>0</v>
      </c>
      <c r="O8532" s="505">
        <v>13</v>
      </c>
    </row>
    <row r="8533" spans="1:15" x14ac:dyDescent="0.35">
      <c r="A8533" s="500" t="s">
        <v>1111</v>
      </c>
      <c r="B8533" s="501">
        <v>4873</v>
      </c>
      <c r="C8533" s="501" t="s">
        <v>1094</v>
      </c>
      <c r="D8533" s="501" t="s">
        <v>3380</v>
      </c>
      <c r="E8533" s="501" t="s">
        <v>3381</v>
      </c>
      <c r="F8533" s="501" t="s">
        <v>958</v>
      </c>
      <c r="G8533" s="501" t="s">
        <v>959</v>
      </c>
      <c r="H8533" s="501" t="s">
        <v>10283</v>
      </c>
      <c r="I8533" s="501">
        <v>764</v>
      </c>
      <c r="J8533" s="501">
        <v>628</v>
      </c>
      <c r="K8533" s="501">
        <v>0</v>
      </c>
      <c r="L8533" s="501">
        <v>13</v>
      </c>
      <c r="M8533" s="501">
        <v>61</v>
      </c>
      <c r="N8533" s="501">
        <v>0</v>
      </c>
      <c r="O8533" s="506">
        <v>62</v>
      </c>
    </row>
    <row r="8534" spans="1:15" x14ac:dyDescent="0.35">
      <c r="A8534" s="503" t="s">
        <v>1114</v>
      </c>
      <c r="B8534" s="504" t="s">
        <v>2982</v>
      </c>
      <c r="C8534" s="504" t="s">
        <v>1094</v>
      </c>
      <c r="D8534" s="504" t="s">
        <v>3380</v>
      </c>
      <c r="E8534" s="504" t="s">
        <v>3381</v>
      </c>
      <c r="F8534" s="504" t="s">
        <v>958</v>
      </c>
      <c r="G8534" s="504" t="s">
        <v>959</v>
      </c>
      <c r="H8534" s="504" t="s">
        <v>10284</v>
      </c>
      <c r="I8534" s="504">
        <v>1</v>
      </c>
      <c r="J8534" s="504">
        <v>0</v>
      </c>
      <c r="K8534" s="504">
        <v>0</v>
      </c>
      <c r="L8534" s="504">
        <v>0</v>
      </c>
      <c r="M8534" s="504">
        <v>0</v>
      </c>
      <c r="N8534" s="504">
        <v>0</v>
      </c>
      <c r="O8534" s="505">
        <v>1</v>
      </c>
    </row>
    <row r="8535" spans="1:15" x14ac:dyDescent="0.35">
      <c r="A8535" s="500" t="s">
        <v>1997</v>
      </c>
      <c r="B8535" s="501" t="s">
        <v>3340</v>
      </c>
      <c r="C8535" s="501" t="s">
        <v>1094</v>
      </c>
      <c r="D8535" s="501" t="s">
        <v>3380</v>
      </c>
      <c r="E8535" s="501" t="s">
        <v>3381</v>
      </c>
      <c r="F8535" s="501" t="s">
        <v>958</v>
      </c>
      <c r="G8535" s="501" t="s">
        <v>959</v>
      </c>
      <c r="H8535" s="501" t="s">
        <v>10285</v>
      </c>
      <c r="I8535" s="501">
        <v>2</v>
      </c>
      <c r="J8535" s="501">
        <v>2</v>
      </c>
      <c r="K8535" s="501">
        <v>0</v>
      </c>
      <c r="L8535" s="501">
        <v>0</v>
      </c>
      <c r="M8535" s="501">
        <v>0</v>
      </c>
      <c r="N8535" s="501">
        <v>0</v>
      </c>
      <c r="O8535" s="506">
        <v>0</v>
      </c>
    </row>
    <row r="8536" spans="1:15" x14ac:dyDescent="0.35">
      <c r="A8536" s="503" t="s">
        <v>2002</v>
      </c>
      <c r="B8536" s="504">
        <v>4747</v>
      </c>
      <c r="C8536" s="504" t="s">
        <v>1089</v>
      </c>
      <c r="D8536" s="504" t="s">
        <v>3392</v>
      </c>
      <c r="E8536" s="504" t="s">
        <v>3381</v>
      </c>
      <c r="F8536" s="504" t="s">
        <v>958</v>
      </c>
      <c r="G8536" s="504" t="s">
        <v>959</v>
      </c>
      <c r="H8536" s="504" t="s">
        <v>15180</v>
      </c>
      <c r="I8536" s="504">
        <v>11</v>
      </c>
      <c r="J8536" s="504">
        <v>0</v>
      </c>
      <c r="K8536" s="504">
        <v>0</v>
      </c>
      <c r="L8536" s="504">
        <v>11</v>
      </c>
      <c r="M8536" s="504">
        <v>0</v>
      </c>
      <c r="N8536" s="504">
        <v>0</v>
      </c>
      <c r="O8536" s="505">
        <v>0</v>
      </c>
    </row>
    <row r="8537" spans="1:15" x14ac:dyDescent="0.35">
      <c r="A8537" s="500" t="s">
        <v>2007</v>
      </c>
      <c r="B8537" s="501">
        <v>4866</v>
      </c>
      <c r="C8537" s="501" t="s">
        <v>1089</v>
      </c>
      <c r="D8537" s="501" t="s">
        <v>3392</v>
      </c>
      <c r="E8537" s="501" t="s">
        <v>3381</v>
      </c>
      <c r="F8537" s="501" t="s">
        <v>958</v>
      </c>
      <c r="G8537" s="501" t="s">
        <v>959</v>
      </c>
      <c r="H8537" s="501" t="s">
        <v>10286</v>
      </c>
      <c r="I8537" s="501">
        <v>4</v>
      </c>
      <c r="J8537" s="501">
        <v>4</v>
      </c>
      <c r="K8537" s="501">
        <v>0</v>
      </c>
      <c r="L8537" s="501">
        <v>0</v>
      </c>
      <c r="M8537" s="501">
        <v>0</v>
      </c>
      <c r="N8537" s="501">
        <v>0</v>
      </c>
      <c r="O8537" s="506">
        <v>0</v>
      </c>
    </row>
    <row r="8538" spans="1:15" x14ac:dyDescent="0.35">
      <c r="A8538" s="503" t="s">
        <v>1235</v>
      </c>
      <c r="B8538" s="504">
        <v>4684</v>
      </c>
      <c r="C8538" s="504" t="s">
        <v>1094</v>
      </c>
      <c r="D8538" s="504" t="s">
        <v>3380</v>
      </c>
      <c r="E8538" s="504" t="s">
        <v>3381</v>
      </c>
      <c r="F8538" s="504" t="s">
        <v>958</v>
      </c>
      <c r="G8538" s="504" t="s">
        <v>959</v>
      </c>
      <c r="H8538" s="504" t="s">
        <v>10287</v>
      </c>
      <c r="I8538" s="504">
        <v>74</v>
      </c>
      <c r="J8538" s="504">
        <v>12</v>
      </c>
      <c r="K8538" s="504">
        <v>0</v>
      </c>
      <c r="L8538" s="504">
        <v>0</v>
      </c>
      <c r="M8538" s="504">
        <v>41</v>
      </c>
      <c r="N8538" s="504">
        <v>0</v>
      </c>
      <c r="O8538" s="505">
        <v>21</v>
      </c>
    </row>
    <row r="8539" spans="1:15" x14ac:dyDescent="0.35">
      <c r="A8539" s="500" t="s">
        <v>1126</v>
      </c>
      <c r="B8539" s="501" t="s">
        <v>2974</v>
      </c>
      <c r="C8539" s="501" t="s">
        <v>1094</v>
      </c>
      <c r="D8539" s="501" t="s">
        <v>3380</v>
      </c>
      <c r="E8539" s="501" t="s">
        <v>3381</v>
      </c>
      <c r="F8539" s="501" t="s">
        <v>958</v>
      </c>
      <c r="G8539" s="501" t="s">
        <v>959</v>
      </c>
      <c r="H8539" s="501" t="s">
        <v>10288</v>
      </c>
      <c r="I8539" s="501">
        <v>67</v>
      </c>
      <c r="J8539" s="501">
        <v>46</v>
      </c>
      <c r="K8539" s="501">
        <v>0</v>
      </c>
      <c r="L8539" s="501">
        <v>0</v>
      </c>
      <c r="M8539" s="501">
        <v>20</v>
      </c>
      <c r="N8539" s="501">
        <v>0</v>
      </c>
      <c r="O8539" s="506">
        <v>1</v>
      </c>
    </row>
    <row r="8540" spans="1:15" x14ac:dyDescent="0.35">
      <c r="A8540" s="503" t="s">
        <v>2017</v>
      </c>
      <c r="B8540" s="504" t="s">
        <v>3101</v>
      </c>
      <c r="C8540" s="504" t="s">
        <v>1089</v>
      </c>
      <c r="D8540" s="504" t="s">
        <v>3392</v>
      </c>
      <c r="E8540" s="504" t="s">
        <v>3381</v>
      </c>
      <c r="F8540" s="504" t="s">
        <v>958</v>
      </c>
      <c r="G8540" s="504" t="s">
        <v>959</v>
      </c>
      <c r="H8540" s="504" t="s">
        <v>10289</v>
      </c>
      <c r="I8540" s="504">
        <v>8</v>
      </c>
      <c r="J8540" s="504">
        <v>8</v>
      </c>
      <c r="K8540" s="504">
        <v>0</v>
      </c>
      <c r="L8540" s="504">
        <v>0</v>
      </c>
      <c r="M8540" s="504">
        <v>0</v>
      </c>
      <c r="N8540" s="504">
        <v>0</v>
      </c>
      <c r="O8540" s="505">
        <v>0</v>
      </c>
    </row>
    <row r="8541" spans="1:15" x14ac:dyDescent="0.35">
      <c r="A8541" s="500" t="s">
        <v>1132</v>
      </c>
      <c r="B8541" s="501">
        <v>4837</v>
      </c>
      <c r="C8541" s="501" t="s">
        <v>1094</v>
      </c>
      <c r="D8541" s="501" t="s">
        <v>3380</v>
      </c>
      <c r="E8541" s="501" t="s">
        <v>3381</v>
      </c>
      <c r="F8541" s="501" t="s">
        <v>958</v>
      </c>
      <c r="G8541" s="501" t="s">
        <v>959</v>
      </c>
      <c r="H8541" s="501" t="s">
        <v>10290</v>
      </c>
      <c r="I8541" s="501">
        <v>14</v>
      </c>
      <c r="J8541" s="501">
        <v>0</v>
      </c>
      <c r="K8541" s="501">
        <v>0</v>
      </c>
      <c r="L8541" s="501">
        <v>0</v>
      </c>
      <c r="M8541" s="501">
        <v>0</v>
      </c>
      <c r="N8541" s="501">
        <v>0</v>
      </c>
      <c r="O8541" s="506">
        <v>14</v>
      </c>
    </row>
    <row r="8542" spans="1:15" x14ac:dyDescent="0.35">
      <c r="A8542" s="503" t="s">
        <v>2030</v>
      </c>
      <c r="B8542" s="504" t="s">
        <v>2903</v>
      </c>
      <c r="C8542" s="504" t="s">
        <v>1089</v>
      </c>
      <c r="D8542" s="504" t="s">
        <v>3392</v>
      </c>
      <c r="E8542" s="504" t="s">
        <v>3381</v>
      </c>
      <c r="F8542" s="504" t="s">
        <v>958</v>
      </c>
      <c r="G8542" s="504" t="s">
        <v>959</v>
      </c>
      <c r="H8542" s="504" t="s">
        <v>10291</v>
      </c>
      <c r="I8542" s="504">
        <v>10</v>
      </c>
      <c r="J8542" s="504">
        <v>0</v>
      </c>
      <c r="K8542" s="504">
        <v>0</v>
      </c>
      <c r="L8542" s="504">
        <v>0</v>
      </c>
      <c r="M8542" s="504">
        <v>10</v>
      </c>
      <c r="N8542" s="504">
        <v>0</v>
      </c>
      <c r="O8542" s="505">
        <v>0</v>
      </c>
    </row>
    <row r="8543" spans="1:15" x14ac:dyDescent="0.35">
      <c r="A8543" s="500" t="s">
        <v>2034</v>
      </c>
      <c r="B8543" s="501" t="s">
        <v>2913</v>
      </c>
      <c r="C8543" s="501" t="s">
        <v>1089</v>
      </c>
      <c r="D8543" s="501" t="s">
        <v>3392</v>
      </c>
      <c r="E8543" s="501" t="s">
        <v>3381</v>
      </c>
      <c r="F8543" s="501" t="s">
        <v>958</v>
      </c>
      <c r="G8543" s="501" t="s">
        <v>959</v>
      </c>
      <c r="H8543" s="501" t="s">
        <v>10292</v>
      </c>
      <c r="I8543" s="501">
        <v>11</v>
      </c>
      <c r="J8543" s="501">
        <v>0</v>
      </c>
      <c r="K8543" s="501">
        <v>0</v>
      </c>
      <c r="L8543" s="501">
        <v>0</v>
      </c>
      <c r="M8543" s="501">
        <v>11</v>
      </c>
      <c r="N8543" s="501">
        <v>0</v>
      </c>
      <c r="O8543" s="506">
        <v>0</v>
      </c>
    </row>
    <row r="8544" spans="1:15" x14ac:dyDescent="0.35">
      <c r="A8544" s="503" t="s">
        <v>2050</v>
      </c>
      <c r="B8544" s="504">
        <v>4826</v>
      </c>
      <c r="C8544" s="504" t="s">
        <v>1094</v>
      </c>
      <c r="D8544" s="504" t="s">
        <v>3380</v>
      </c>
      <c r="E8544" s="504" t="s">
        <v>3381</v>
      </c>
      <c r="F8544" s="504" t="s">
        <v>958</v>
      </c>
      <c r="G8544" s="504" t="s">
        <v>959</v>
      </c>
      <c r="H8544" s="504" t="s">
        <v>10293</v>
      </c>
      <c r="I8544" s="504">
        <v>1924</v>
      </c>
      <c r="J8544" s="504">
        <v>1605</v>
      </c>
      <c r="K8544" s="504">
        <v>0</v>
      </c>
      <c r="L8544" s="504">
        <v>0</v>
      </c>
      <c r="M8544" s="504">
        <v>243</v>
      </c>
      <c r="N8544" s="504">
        <v>0</v>
      </c>
      <c r="O8544" s="505">
        <v>76</v>
      </c>
    </row>
    <row r="8545" spans="1:15" x14ac:dyDescent="0.35">
      <c r="A8545" s="500" t="s">
        <v>14388</v>
      </c>
      <c r="B8545" s="501">
        <v>5101</v>
      </c>
      <c r="C8545" s="501" t="s">
        <v>1089</v>
      </c>
      <c r="D8545" s="501" t="s">
        <v>3392</v>
      </c>
      <c r="E8545" s="501" t="s">
        <v>3381</v>
      </c>
      <c r="F8545" s="501" t="s">
        <v>958</v>
      </c>
      <c r="G8545" s="501" t="s">
        <v>959</v>
      </c>
      <c r="H8545" s="501" t="s">
        <v>15181</v>
      </c>
      <c r="I8545" s="501">
        <v>4</v>
      </c>
      <c r="J8545" s="501">
        <v>4</v>
      </c>
      <c r="K8545" s="501">
        <v>0</v>
      </c>
      <c r="L8545" s="501">
        <v>0</v>
      </c>
      <c r="M8545" s="501">
        <v>0</v>
      </c>
      <c r="N8545" s="501">
        <v>0</v>
      </c>
      <c r="O8545" s="506">
        <v>0</v>
      </c>
    </row>
    <row r="8546" spans="1:15" x14ac:dyDescent="0.35">
      <c r="A8546" s="503" t="s">
        <v>1385</v>
      </c>
      <c r="B8546" s="504" t="s">
        <v>3249</v>
      </c>
      <c r="C8546" s="504" t="s">
        <v>1094</v>
      </c>
      <c r="D8546" s="504" t="s">
        <v>3380</v>
      </c>
      <c r="E8546" s="504" t="s">
        <v>3381</v>
      </c>
      <c r="F8546" s="504" t="s">
        <v>960</v>
      </c>
      <c r="G8546" s="504" t="s">
        <v>961</v>
      </c>
      <c r="H8546" s="504" t="s">
        <v>10294</v>
      </c>
      <c r="I8546" s="504">
        <v>173</v>
      </c>
      <c r="J8546" s="504">
        <v>139</v>
      </c>
      <c r="K8546" s="504">
        <v>0</v>
      </c>
      <c r="L8546" s="504">
        <v>0</v>
      </c>
      <c r="M8546" s="504">
        <v>0</v>
      </c>
      <c r="N8546" s="504">
        <v>0</v>
      </c>
      <c r="O8546" s="505">
        <v>34</v>
      </c>
    </row>
    <row r="8547" spans="1:15" x14ac:dyDescent="0.35">
      <c r="A8547" s="500" t="s">
        <v>1389</v>
      </c>
      <c r="B8547" s="501" t="s">
        <v>3366</v>
      </c>
      <c r="C8547" s="501" t="s">
        <v>1089</v>
      </c>
      <c r="D8547" s="501" t="s">
        <v>3392</v>
      </c>
      <c r="E8547" s="501" t="s">
        <v>3381</v>
      </c>
      <c r="F8547" s="501" t="s">
        <v>960</v>
      </c>
      <c r="G8547" s="501" t="s">
        <v>961</v>
      </c>
      <c r="H8547" s="501" t="s">
        <v>10295</v>
      </c>
      <c r="I8547" s="501">
        <v>26</v>
      </c>
      <c r="J8547" s="501">
        <v>26</v>
      </c>
      <c r="K8547" s="501">
        <v>0</v>
      </c>
      <c r="L8547" s="501">
        <v>0</v>
      </c>
      <c r="M8547" s="501">
        <v>0</v>
      </c>
      <c r="N8547" s="501">
        <v>0</v>
      </c>
      <c r="O8547" s="506">
        <v>0</v>
      </c>
    </row>
    <row r="8548" spans="1:15" x14ac:dyDescent="0.35">
      <c r="A8548" s="503" t="s">
        <v>1270</v>
      </c>
      <c r="B8548" s="504" t="s">
        <v>3304</v>
      </c>
      <c r="C8548" s="504" t="s">
        <v>1089</v>
      </c>
      <c r="D8548" s="504" t="s">
        <v>3392</v>
      </c>
      <c r="E8548" s="504" t="s">
        <v>3381</v>
      </c>
      <c r="F8548" s="504" t="s">
        <v>960</v>
      </c>
      <c r="G8548" s="504" t="s">
        <v>961</v>
      </c>
      <c r="H8548" s="504" t="s">
        <v>10296</v>
      </c>
      <c r="I8548" s="504">
        <v>128</v>
      </c>
      <c r="J8548" s="504">
        <v>118</v>
      </c>
      <c r="K8548" s="504">
        <v>0</v>
      </c>
      <c r="L8548" s="504">
        <v>10</v>
      </c>
      <c r="M8548" s="504">
        <v>0</v>
      </c>
      <c r="N8548" s="504">
        <v>0</v>
      </c>
      <c r="O8548" s="505">
        <v>0</v>
      </c>
    </row>
    <row r="8549" spans="1:15" x14ac:dyDescent="0.35">
      <c r="A8549" s="500" t="s">
        <v>1401</v>
      </c>
      <c r="B8549" s="501" t="s">
        <v>2703</v>
      </c>
      <c r="C8549" s="501" t="s">
        <v>1089</v>
      </c>
      <c r="D8549" s="501" t="s">
        <v>3392</v>
      </c>
      <c r="E8549" s="501" t="s">
        <v>3381</v>
      </c>
      <c r="F8549" s="501" t="s">
        <v>960</v>
      </c>
      <c r="G8549" s="501" t="s">
        <v>961</v>
      </c>
      <c r="H8549" s="501" t="s">
        <v>10297</v>
      </c>
      <c r="I8549" s="501">
        <v>22</v>
      </c>
      <c r="J8549" s="501">
        <v>22</v>
      </c>
      <c r="K8549" s="501">
        <v>0</v>
      </c>
      <c r="L8549" s="501">
        <v>0</v>
      </c>
      <c r="M8549" s="501">
        <v>0</v>
      </c>
      <c r="N8549" s="501">
        <v>0</v>
      </c>
      <c r="O8549" s="506">
        <v>0</v>
      </c>
    </row>
    <row r="8550" spans="1:15" x14ac:dyDescent="0.35">
      <c r="A8550" s="503" t="s">
        <v>1100</v>
      </c>
      <c r="B8550" s="504">
        <v>4865</v>
      </c>
      <c r="C8550" s="504" t="s">
        <v>1094</v>
      </c>
      <c r="D8550" s="504" t="s">
        <v>3380</v>
      </c>
      <c r="E8550" s="504" t="s">
        <v>3381</v>
      </c>
      <c r="F8550" s="504" t="s">
        <v>960</v>
      </c>
      <c r="G8550" s="504" t="s">
        <v>961</v>
      </c>
      <c r="H8550" s="504" t="s">
        <v>10298</v>
      </c>
      <c r="I8550" s="504">
        <v>4395</v>
      </c>
      <c r="J8550" s="504">
        <v>3949</v>
      </c>
      <c r="K8550" s="504">
        <v>18</v>
      </c>
      <c r="L8550" s="504">
        <v>167</v>
      </c>
      <c r="M8550" s="504">
        <v>87</v>
      </c>
      <c r="N8550" s="504">
        <v>0</v>
      </c>
      <c r="O8550" s="505">
        <v>174</v>
      </c>
    </row>
    <row r="8551" spans="1:15" x14ac:dyDescent="0.35">
      <c r="A8551" s="500" t="s">
        <v>1288</v>
      </c>
      <c r="B8551" s="501" t="s">
        <v>3243</v>
      </c>
      <c r="C8551" s="501" t="s">
        <v>1089</v>
      </c>
      <c r="D8551" s="501" t="s">
        <v>3392</v>
      </c>
      <c r="E8551" s="501" t="s">
        <v>3381</v>
      </c>
      <c r="F8551" s="501" t="s">
        <v>960</v>
      </c>
      <c r="G8551" s="501" t="s">
        <v>961</v>
      </c>
      <c r="H8551" s="501" t="s">
        <v>10299</v>
      </c>
      <c r="I8551" s="501">
        <v>19</v>
      </c>
      <c r="J8551" s="501">
        <v>19</v>
      </c>
      <c r="K8551" s="501">
        <v>0</v>
      </c>
      <c r="L8551" s="501">
        <v>0</v>
      </c>
      <c r="M8551" s="501">
        <v>0</v>
      </c>
      <c r="N8551" s="501">
        <v>0</v>
      </c>
      <c r="O8551" s="506">
        <v>0</v>
      </c>
    </row>
    <row r="8552" spans="1:15" x14ac:dyDescent="0.35">
      <c r="A8552" s="503" t="s">
        <v>1429</v>
      </c>
      <c r="B8552" s="504" t="s">
        <v>3190</v>
      </c>
      <c r="C8552" s="504" t="s">
        <v>1094</v>
      </c>
      <c r="D8552" s="504" t="s">
        <v>3380</v>
      </c>
      <c r="E8552" s="504" t="s">
        <v>3381</v>
      </c>
      <c r="F8552" s="504" t="s">
        <v>960</v>
      </c>
      <c r="G8552" s="504" t="s">
        <v>961</v>
      </c>
      <c r="H8552" s="504" t="s">
        <v>10300</v>
      </c>
      <c r="I8552" s="504">
        <v>2259</v>
      </c>
      <c r="J8552" s="504">
        <v>2259</v>
      </c>
      <c r="K8552" s="504">
        <v>0</v>
      </c>
      <c r="L8552" s="504">
        <v>0</v>
      </c>
      <c r="M8552" s="504">
        <v>0</v>
      </c>
      <c r="N8552" s="504">
        <v>196</v>
      </c>
      <c r="O8552" s="505">
        <v>0</v>
      </c>
    </row>
    <row r="8553" spans="1:15" x14ac:dyDescent="0.35">
      <c r="A8553" s="500" t="s">
        <v>1298</v>
      </c>
      <c r="B8553" s="501" t="s">
        <v>2991</v>
      </c>
      <c r="C8553" s="501" t="s">
        <v>1094</v>
      </c>
      <c r="D8553" s="501" t="s">
        <v>3380</v>
      </c>
      <c r="E8553" s="501" t="s">
        <v>3381</v>
      </c>
      <c r="F8553" s="501" t="s">
        <v>960</v>
      </c>
      <c r="G8553" s="501" t="s">
        <v>961</v>
      </c>
      <c r="H8553" s="501" t="s">
        <v>10301</v>
      </c>
      <c r="I8553" s="501">
        <v>2715</v>
      </c>
      <c r="J8553" s="501">
        <v>1864</v>
      </c>
      <c r="K8553" s="501">
        <v>0</v>
      </c>
      <c r="L8553" s="501">
        <v>84</v>
      </c>
      <c r="M8553" s="501">
        <v>428</v>
      </c>
      <c r="N8553" s="501">
        <v>0</v>
      </c>
      <c r="O8553" s="506">
        <v>339</v>
      </c>
    </row>
    <row r="8554" spans="1:15" x14ac:dyDescent="0.35">
      <c r="A8554" s="503" t="s">
        <v>1441</v>
      </c>
      <c r="B8554" s="504">
        <v>5123</v>
      </c>
      <c r="C8554" s="504" t="s">
        <v>1089</v>
      </c>
      <c r="D8554" s="504" t="s">
        <v>3392</v>
      </c>
      <c r="E8554" s="504" t="s">
        <v>3381</v>
      </c>
      <c r="F8554" s="504" t="s">
        <v>960</v>
      </c>
      <c r="G8554" s="504" t="s">
        <v>961</v>
      </c>
      <c r="H8554" s="504" t="s">
        <v>10302</v>
      </c>
      <c r="I8554" s="504">
        <v>11</v>
      </c>
      <c r="J8554" s="504">
        <v>11</v>
      </c>
      <c r="K8554" s="504">
        <v>0</v>
      </c>
      <c r="L8554" s="504">
        <v>0</v>
      </c>
      <c r="M8554" s="504">
        <v>0</v>
      </c>
      <c r="N8554" s="504">
        <v>0</v>
      </c>
      <c r="O8554" s="505">
        <v>0</v>
      </c>
    </row>
    <row r="8555" spans="1:15" x14ac:dyDescent="0.35">
      <c r="A8555" s="500" t="s">
        <v>1445</v>
      </c>
      <c r="B8555" s="501" t="s">
        <v>2690</v>
      </c>
      <c r="C8555" s="501" t="s">
        <v>1089</v>
      </c>
      <c r="D8555" s="501" t="s">
        <v>3392</v>
      </c>
      <c r="E8555" s="501" t="s">
        <v>3381</v>
      </c>
      <c r="F8555" s="501" t="s">
        <v>960</v>
      </c>
      <c r="G8555" s="501" t="s">
        <v>961</v>
      </c>
      <c r="H8555" s="501" t="s">
        <v>10303</v>
      </c>
      <c r="I8555" s="501">
        <v>78</v>
      </c>
      <c r="J8555" s="501">
        <v>78</v>
      </c>
      <c r="K8555" s="501">
        <v>0</v>
      </c>
      <c r="L8555" s="501">
        <v>0</v>
      </c>
      <c r="M8555" s="501">
        <v>0</v>
      </c>
      <c r="N8555" s="501">
        <v>0</v>
      </c>
      <c r="O8555" s="506">
        <v>0</v>
      </c>
    </row>
    <row r="8556" spans="1:15" x14ac:dyDescent="0.35">
      <c r="A8556" s="503" t="s">
        <v>1185</v>
      </c>
      <c r="B8556" s="504" t="s">
        <v>3253</v>
      </c>
      <c r="C8556" s="504" t="s">
        <v>1094</v>
      </c>
      <c r="D8556" s="504" t="s">
        <v>3380</v>
      </c>
      <c r="E8556" s="504" t="s">
        <v>3381</v>
      </c>
      <c r="F8556" s="504" t="s">
        <v>960</v>
      </c>
      <c r="G8556" s="504" t="s">
        <v>961</v>
      </c>
      <c r="H8556" s="504" t="s">
        <v>10304</v>
      </c>
      <c r="I8556" s="504">
        <v>4</v>
      </c>
      <c r="J8556" s="504">
        <v>0</v>
      </c>
      <c r="K8556" s="504">
        <v>0</v>
      </c>
      <c r="L8556" s="504">
        <v>4</v>
      </c>
      <c r="M8556" s="504">
        <v>0</v>
      </c>
      <c r="N8556" s="504">
        <v>0</v>
      </c>
      <c r="O8556" s="505">
        <v>0</v>
      </c>
    </row>
    <row r="8557" spans="1:15" x14ac:dyDescent="0.35">
      <c r="A8557" s="500" t="s">
        <v>1105</v>
      </c>
      <c r="B8557" s="501">
        <v>4668</v>
      </c>
      <c r="C8557" s="501" t="s">
        <v>1094</v>
      </c>
      <c r="D8557" s="501" t="s">
        <v>3380</v>
      </c>
      <c r="E8557" s="501" t="s">
        <v>3381</v>
      </c>
      <c r="F8557" s="501" t="s">
        <v>960</v>
      </c>
      <c r="G8557" s="501" t="s">
        <v>961</v>
      </c>
      <c r="H8557" s="501" t="s">
        <v>15182</v>
      </c>
      <c r="I8557" s="501">
        <v>1</v>
      </c>
      <c r="J8557" s="501">
        <v>0</v>
      </c>
      <c r="K8557" s="501">
        <v>0</v>
      </c>
      <c r="L8557" s="501">
        <v>0</v>
      </c>
      <c r="M8557" s="501">
        <v>0</v>
      </c>
      <c r="N8557" s="501">
        <v>0</v>
      </c>
      <c r="O8557" s="506">
        <v>1</v>
      </c>
    </row>
    <row r="8558" spans="1:15" x14ac:dyDescent="0.35">
      <c r="A8558" s="503" t="s">
        <v>1107</v>
      </c>
      <c r="B8558" s="504" t="s">
        <v>3109</v>
      </c>
      <c r="C8558" s="504" t="s">
        <v>1094</v>
      </c>
      <c r="D8558" s="504" t="s">
        <v>3380</v>
      </c>
      <c r="E8558" s="504" t="s">
        <v>3381</v>
      </c>
      <c r="F8558" s="504" t="s">
        <v>960</v>
      </c>
      <c r="G8558" s="504" t="s">
        <v>961</v>
      </c>
      <c r="H8558" s="504" t="s">
        <v>10305</v>
      </c>
      <c r="I8558" s="504">
        <v>87</v>
      </c>
      <c r="J8558" s="504">
        <v>52</v>
      </c>
      <c r="K8558" s="504">
        <v>0</v>
      </c>
      <c r="L8558" s="504">
        <v>0</v>
      </c>
      <c r="M8558" s="504">
        <v>0</v>
      </c>
      <c r="N8558" s="504">
        <v>0</v>
      </c>
      <c r="O8558" s="505">
        <v>35</v>
      </c>
    </row>
    <row r="8559" spans="1:15" x14ac:dyDescent="0.35">
      <c r="A8559" s="500" t="s">
        <v>1476</v>
      </c>
      <c r="B8559" s="501" t="s">
        <v>2988</v>
      </c>
      <c r="C8559" s="501" t="s">
        <v>1094</v>
      </c>
      <c r="D8559" s="501" t="s">
        <v>3380</v>
      </c>
      <c r="E8559" s="501" t="s">
        <v>3381</v>
      </c>
      <c r="F8559" s="501" t="s">
        <v>960</v>
      </c>
      <c r="G8559" s="501" t="s">
        <v>961</v>
      </c>
      <c r="H8559" s="501" t="s">
        <v>10306</v>
      </c>
      <c r="I8559" s="501">
        <v>23</v>
      </c>
      <c r="J8559" s="501">
        <v>22</v>
      </c>
      <c r="K8559" s="501">
        <v>0</v>
      </c>
      <c r="L8559" s="501">
        <v>0</v>
      </c>
      <c r="M8559" s="501">
        <v>0</v>
      </c>
      <c r="N8559" s="501">
        <v>0</v>
      </c>
      <c r="O8559" s="506">
        <v>1</v>
      </c>
    </row>
    <row r="8560" spans="1:15" x14ac:dyDescent="0.35">
      <c r="A8560" s="503" t="s">
        <v>1480</v>
      </c>
      <c r="B8560" s="504">
        <v>4770</v>
      </c>
      <c r="C8560" s="504" t="s">
        <v>1089</v>
      </c>
      <c r="D8560" s="504" t="s">
        <v>3392</v>
      </c>
      <c r="E8560" s="504" t="s">
        <v>3381</v>
      </c>
      <c r="F8560" s="504" t="s">
        <v>960</v>
      </c>
      <c r="G8560" s="504" t="s">
        <v>961</v>
      </c>
      <c r="H8560" s="504" t="s">
        <v>10307</v>
      </c>
      <c r="I8560" s="504">
        <v>2</v>
      </c>
      <c r="J8560" s="504">
        <v>2</v>
      </c>
      <c r="K8560" s="504">
        <v>0</v>
      </c>
      <c r="L8560" s="504">
        <v>0</v>
      </c>
      <c r="M8560" s="504">
        <v>0</v>
      </c>
      <c r="N8560" s="504">
        <v>0</v>
      </c>
      <c r="O8560" s="505">
        <v>0</v>
      </c>
    </row>
    <row r="8561" spans="1:15" x14ac:dyDescent="0.35">
      <c r="A8561" s="500" t="s">
        <v>1310</v>
      </c>
      <c r="B8561" s="501">
        <v>5062</v>
      </c>
      <c r="C8561" s="501" t="s">
        <v>1089</v>
      </c>
      <c r="D8561" s="501" t="s">
        <v>3380</v>
      </c>
      <c r="E8561" s="501" t="s">
        <v>3381</v>
      </c>
      <c r="F8561" s="501" t="s">
        <v>960</v>
      </c>
      <c r="G8561" s="501" t="s">
        <v>961</v>
      </c>
      <c r="H8561" s="501" t="s">
        <v>15183</v>
      </c>
      <c r="I8561" s="501">
        <v>78</v>
      </c>
      <c r="J8561" s="501">
        <v>0</v>
      </c>
      <c r="K8561" s="501">
        <v>0</v>
      </c>
      <c r="L8561" s="501">
        <v>0</v>
      </c>
      <c r="M8561" s="501">
        <v>0</v>
      </c>
      <c r="N8561" s="501">
        <v>0</v>
      </c>
      <c r="O8561" s="506">
        <v>78</v>
      </c>
    </row>
    <row r="8562" spans="1:15" x14ac:dyDescent="0.35">
      <c r="A8562" s="503" t="s">
        <v>1311</v>
      </c>
      <c r="B8562" s="504" t="s">
        <v>3361</v>
      </c>
      <c r="C8562" s="504" t="s">
        <v>1094</v>
      </c>
      <c r="D8562" s="504" t="s">
        <v>3380</v>
      </c>
      <c r="E8562" s="504" t="s">
        <v>3381</v>
      </c>
      <c r="F8562" s="504" t="s">
        <v>960</v>
      </c>
      <c r="G8562" s="504" t="s">
        <v>961</v>
      </c>
      <c r="H8562" s="504" t="s">
        <v>10308</v>
      </c>
      <c r="I8562" s="504">
        <v>106</v>
      </c>
      <c r="J8562" s="504">
        <v>106</v>
      </c>
      <c r="K8562" s="504">
        <v>0</v>
      </c>
      <c r="L8562" s="504">
        <v>0</v>
      </c>
      <c r="M8562" s="504">
        <v>0</v>
      </c>
      <c r="N8562" s="504">
        <v>0</v>
      </c>
      <c r="O8562" s="505">
        <v>0</v>
      </c>
    </row>
    <row r="8563" spans="1:15" x14ac:dyDescent="0.35">
      <c r="A8563" s="500" t="s">
        <v>1202</v>
      </c>
      <c r="B8563" s="501" t="s">
        <v>3217</v>
      </c>
      <c r="C8563" s="501" t="s">
        <v>1094</v>
      </c>
      <c r="D8563" s="501" t="s">
        <v>3380</v>
      </c>
      <c r="E8563" s="501" t="s">
        <v>3381</v>
      </c>
      <c r="F8563" s="501" t="s">
        <v>960</v>
      </c>
      <c r="G8563" s="501" t="s">
        <v>961</v>
      </c>
      <c r="H8563" s="501" t="s">
        <v>10309</v>
      </c>
      <c r="I8563" s="501">
        <v>2314</v>
      </c>
      <c r="J8563" s="501">
        <v>1691</v>
      </c>
      <c r="K8563" s="501">
        <v>0</v>
      </c>
      <c r="L8563" s="501">
        <v>17</v>
      </c>
      <c r="M8563" s="501">
        <v>45</v>
      </c>
      <c r="N8563" s="501">
        <v>4</v>
      </c>
      <c r="O8563" s="506">
        <v>561</v>
      </c>
    </row>
    <row r="8564" spans="1:15" x14ac:dyDescent="0.35">
      <c r="A8564" s="503" t="s">
        <v>1494</v>
      </c>
      <c r="B8564" s="504" t="s">
        <v>3235</v>
      </c>
      <c r="C8564" s="504" t="s">
        <v>1094</v>
      </c>
      <c r="D8564" s="504" t="s">
        <v>3380</v>
      </c>
      <c r="E8564" s="504" t="s">
        <v>3381</v>
      </c>
      <c r="F8564" s="504" t="s">
        <v>960</v>
      </c>
      <c r="G8564" s="504" t="s">
        <v>961</v>
      </c>
      <c r="H8564" s="504" t="s">
        <v>10310</v>
      </c>
      <c r="I8564" s="504">
        <v>376</v>
      </c>
      <c r="J8564" s="504">
        <v>0</v>
      </c>
      <c r="K8564" s="504">
        <v>0</v>
      </c>
      <c r="L8564" s="504">
        <v>376</v>
      </c>
      <c r="M8564" s="504">
        <v>0</v>
      </c>
      <c r="N8564" s="504">
        <v>20</v>
      </c>
      <c r="O8564" s="505">
        <v>0</v>
      </c>
    </row>
    <row r="8565" spans="1:15" x14ac:dyDescent="0.35">
      <c r="A8565" s="500" t="s">
        <v>1112</v>
      </c>
      <c r="B8565" s="501" t="s">
        <v>3008</v>
      </c>
      <c r="C8565" s="501" t="s">
        <v>1094</v>
      </c>
      <c r="D8565" s="501" t="s">
        <v>3380</v>
      </c>
      <c r="E8565" s="501" t="s">
        <v>3381</v>
      </c>
      <c r="F8565" s="501" t="s">
        <v>960</v>
      </c>
      <c r="G8565" s="501" t="s">
        <v>961</v>
      </c>
      <c r="H8565" s="501" t="s">
        <v>10311</v>
      </c>
      <c r="I8565" s="501">
        <v>445</v>
      </c>
      <c r="J8565" s="501">
        <v>354</v>
      </c>
      <c r="K8565" s="501">
        <v>0</v>
      </c>
      <c r="L8565" s="501">
        <v>0</v>
      </c>
      <c r="M8565" s="501">
        <v>0</v>
      </c>
      <c r="N8565" s="501">
        <v>0</v>
      </c>
      <c r="O8565" s="506">
        <v>91</v>
      </c>
    </row>
    <row r="8566" spans="1:15" x14ac:dyDescent="0.35">
      <c r="A8566" s="503" t="s">
        <v>1315</v>
      </c>
      <c r="B8566" s="504">
        <v>4825</v>
      </c>
      <c r="C8566" s="504" t="s">
        <v>1094</v>
      </c>
      <c r="D8566" s="504" t="s">
        <v>3380</v>
      </c>
      <c r="E8566" s="504" t="s">
        <v>3381</v>
      </c>
      <c r="F8566" s="504" t="s">
        <v>960</v>
      </c>
      <c r="G8566" s="504" t="s">
        <v>961</v>
      </c>
      <c r="H8566" s="504" t="s">
        <v>10312</v>
      </c>
      <c r="I8566" s="504">
        <v>294</v>
      </c>
      <c r="J8566" s="504">
        <v>248</v>
      </c>
      <c r="K8566" s="504">
        <v>0</v>
      </c>
      <c r="L8566" s="504">
        <v>8</v>
      </c>
      <c r="M8566" s="504">
        <v>0</v>
      </c>
      <c r="N8566" s="504">
        <v>0</v>
      </c>
      <c r="O8566" s="505">
        <v>38</v>
      </c>
    </row>
    <row r="8567" spans="1:15" x14ac:dyDescent="0.35">
      <c r="A8567" s="500" t="s">
        <v>1316</v>
      </c>
      <c r="B8567" s="501" t="s">
        <v>2949</v>
      </c>
      <c r="C8567" s="501" t="s">
        <v>1094</v>
      </c>
      <c r="D8567" s="501" t="s">
        <v>3380</v>
      </c>
      <c r="E8567" s="501" t="s">
        <v>3381</v>
      </c>
      <c r="F8567" s="501" t="s">
        <v>960</v>
      </c>
      <c r="G8567" s="501" t="s">
        <v>961</v>
      </c>
      <c r="H8567" s="501" t="s">
        <v>10313</v>
      </c>
      <c r="I8567" s="501">
        <v>1042</v>
      </c>
      <c r="J8567" s="501">
        <v>825</v>
      </c>
      <c r="K8567" s="501">
        <v>0</v>
      </c>
      <c r="L8567" s="501">
        <v>47</v>
      </c>
      <c r="M8567" s="501">
        <v>0</v>
      </c>
      <c r="N8567" s="501">
        <v>0</v>
      </c>
      <c r="O8567" s="506">
        <v>170</v>
      </c>
    </row>
    <row r="8568" spans="1:15" x14ac:dyDescent="0.35">
      <c r="A8568" s="503" t="s">
        <v>1508</v>
      </c>
      <c r="B8568" s="504" t="s">
        <v>3307</v>
      </c>
      <c r="C8568" s="504" t="s">
        <v>1089</v>
      </c>
      <c r="D8568" s="504" t="s">
        <v>3380</v>
      </c>
      <c r="E8568" s="504" t="s">
        <v>3381</v>
      </c>
      <c r="F8568" s="504" t="s">
        <v>960</v>
      </c>
      <c r="G8568" s="504" t="s">
        <v>961</v>
      </c>
      <c r="H8568" s="504" t="s">
        <v>10314</v>
      </c>
      <c r="I8568" s="504">
        <v>118</v>
      </c>
      <c r="J8568" s="504">
        <v>98</v>
      </c>
      <c r="K8568" s="504">
        <v>0</v>
      </c>
      <c r="L8568" s="504">
        <v>0</v>
      </c>
      <c r="M8568" s="504">
        <v>0</v>
      </c>
      <c r="N8568" s="504">
        <v>0</v>
      </c>
      <c r="O8568" s="505">
        <v>20</v>
      </c>
    </row>
    <row r="8569" spans="1:15" x14ac:dyDescent="0.35">
      <c r="A8569" s="500" t="s">
        <v>1319</v>
      </c>
      <c r="B8569" s="501">
        <v>4880</v>
      </c>
      <c r="C8569" s="501" t="s">
        <v>1094</v>
      </c>
      <c r="D8569" s="501" t="s">
        <v>3380</v>
      </c>
      <c r="E8569" s="501" t="s">
        <v>3381</v>
      </c>
      <c r="F8569" s="501" t="s">
        <v>960</v>
      </c>
      <c r="G8569" s="501" t="s">
        <v>961</v>
      </c>
      <c r="H8569" s="501" t="s">
        <v>10315</v>
      </c>
      <c r="I8569" s="501">
        <v>2283</v>
      </c>
      <c r="J8569" s="501">
        <v>1830</v>
      </c>
      <c r="K8569" s="501">
        <v>0</v>
      </c>
      <c r="L8569" s="501">
        <v>36</v>
      </c>
      <c r="M8569" s="501">
        <v>36</v>
      </c>
      <c r="N8569" s="501">
        <v>7</v>
      </c>
      <c r="O8569" s="506">
        <v>381</v>
      </c>
    </row>
    <row r="8570" spans="1:15" x14ac:dyDescent="0.35">
      <c r="A8570" s="503" t="s">
        <v>1120</v>
      </c>
      <c r="B8570" s="504" t="s">
        <v>3362</v>
      </c>
      <c r="C8570" s="504" t="s">
        <v>1094</v>
      </c>
      <c r="D8570" s="504" t="s">
        <v>3380</v>
      </c>
      <c r="E8570" s="504" t="s">
        <v>3381</v>
      </c>
      <c r="F8570" s="504" t="s">
        <v>960</v>
      </c>
      <c r="G8570" s="504" t="s">
        <v>961</v>
      </c>
      <c r="H8570" s="504" t="s">
        <v>10316</v>
      </c>
      <c r="I8570" s="504">
        <v>169</v>
      </c>
      <c r="J8570" s="504">
        <v>0</v>
      </c>
      <c r="K8570" s="504">
        <v>0</v>
      </c>
      <c r="L8570" s="504">
        <v>0</v>
      </c>
      <c r="M8570" s="504">
        <v>0</v>
      </c>
      <c r="N8570" s="504">
        <v>0</v>
      </c>
      <c r="O8570" s="505">
        <v>169</v>
      </c>
    </row>
    <row r="8571" spans="1:15" x14ac:dyDescent="0.35">
      <c r="A8571" s="500" t="s">
        <v>1320</v>
      </c>
      <c r="B8571" s="501">
        <v>4720</v>
      </c>
      <c r="C8571" s="501" t="s">
        <v>1089</v>
      </c>
      <c r="D8571" s="501" t="s">
        <v>3392</v>
      </c>
      <c r="E8571" s="501" t="s">
        <v>3381</v>
      </c>
      <c r="F8571" s="501" t="s">
        <v>960</v>
      </c>
      <c r="G8571" s="501" t="s">
        <v>961</v>
      </c>
      <c r="H8571" s="501" t="s">
        <v>11887</v>
      </c>
      <c r="I8571" s="501">
        <v>3</v>
      </c>
      <c r="J8571" s="501">
        <v>3</v>
      </c>
      <c r="K8571" s="501">
        <v>0</v>
      </c>
      <c r="L8571" s="501">
        <v>0</v>
      </c>
      <c r="M8571" s="501">
        <v>0</v>
      </c>
      <c r="N8571" s="501">
        <v>0</v>
      </c>
      <c r="O8571" s="506">
        <v>0</v>
      </c>
    </row>
    <row r="8572" spans="1:15" x14ac:dyDescent="0.35">
      <c r="A8572" s="503" t="s">
        <v>1322</v>
      </c>
      <c r="B8572" s="504" t="s">
        <v>3244</v>
      </c>
      <c r="C8572" s="504" t="s">
        <v>1094</v>
      </c>
      <c r="D8572" s="504" t="s">
        <v>3380</v>
      </c>
      <c r="E8572" s="504" t="s">
        <v>3381</v>
      </c>
      <c r="F8572" s="504" t="s">
        <v>960</v>
      </c>
      <c r="G8572" s="504" t="s">
        <v>961</v>
      </c>
      <c r="H8572" s="504" t="s">
        <v>10317</v>
      </c>
      <c r="I8572" s="504">
        <v>3337</v>
      </c>
      <c r="J8572" s="504">
        <v>2973</v>
      </c>
      <c r="K8572" s="504">
        <v>0</v>
      </c>
      <c r="L8572" s="504">
        <v>34</v>
      </c>
      <c r="M8572" s="504">
        <v>30</v>
      </c>
      <c r="N8572" s="504">
        <v>0</v>
      </c>
      <c r="O8572" s="505">
        <v>300</v>
      </c>
    </row>
    <row r="8573" spans="1:15" x14ac:dyDescent="0.35">
      <c r="A8573" s="500" t="s">
        <v>1217</v>
      </c>
      <c r="B8573" s="501">
        <v>4851</v>
      </c>
      <c r="C8573" s="501" t="s">
        <v>1094</v>
      </c>
      <c r="D8573" s="501" t="s">
        <v>3380</v>
      </c>
      <c r="E8573" s="501" t="s">
        <v>3381</v>
      </c>
      <c r="F8573" s="501" t="s">
        <v>960</v>
      </c>
      <c r="G8573" s="501" t="s">
        <v>961</v>
      </c>
      <c r="H8573" s="501" t="s">
        <v>10318</v>
      </c>
      <c r="I8573" s="501">
        <v>141</v>
      </c>
      <c r="J8573" s="501">
        <v>76</v>
      </c>
      <c r="K8573" s="501">
        <v>0</v>
      </c>
      <c r="L8573" s="501">
        <v>0</v>
      </c>
      <c r="M8573" s="501">
        <v>0</v>
      </c>
      <c r="N8573" s="501">
        <v>0</v>
      </c>
      <c r="O8573" s="506">
        <v>65</v>
      </c>
    </row>
    <row r="8574" spans="1:15" x14ac:dyDescent="0.35">
      <c r="A8574" s="503" t="s">
        <v>1218</v>
      </c>
      <c r="B8574" s="504" t="s">
        <v>3147</v>
      </c>
      <c r="C8574" s="504" t="s">
        <v>1094</v>
      </c>
      <c r="D8574" s="504" t="s">
        <v>3380</v>
      </c>
      <c r="E8574" s="504" t="s">
        <v>3381</v>
      </c>
      <c r="F8574" s="504" t="s">
        <v>960</v>
      </c>
      <c r="G8574" s="504" t="s">
        <v>961</v>
      </c>
      <c r="H8574" s="504" t="s">
        <v>10319</v>
      </c>
      <c r="I8574" s="504">
        <v>37</v>
      </c>
      <c r="J8574" s="504">
        <v>0</v>
      </c>
      <c r="K8574" s="504">
        <v>0</v>
      </c>
      <c r="L8574" s="504">
        <v>0</v>
      </c>
      <c r="M8574" s="504">
        <v>0</v>
      </c>
      <c r="N8574" s="504">
        <v>0</v>
      </c>
      <c r="O8574" s="505">
        <v>37</v>
      </c>
    </row>
    <row r="8575" spans="1:15" x14ac:dyDescent="0.35">
      <c r="A8575" s="500" t="s">
        <v>1325</v>
      </c>
      <c r="B8575" s="501" t="s">
        <v>3011</v>
      </c>
      <c r="C8575" s="501" t="s">
        <v>1094</v>
      </c>
      <c r="D8575" s="501" t="s">
        <v>3380</v>
      </c>
      <c r="E8575" s="501" t="s">
        <v>3381</v>
      </c>
      <c r="F8575" s="501" t="s">
        <v>960</v>
      </c>
      <c r="G8575" s="501" t="s">
        <v>961</v>
      </c>
      <c r="H8575" s="501" t="s">
        <v>10320</v>
      </c>
      <c r="I8575" s="501">
        <v>8</v>
      </c>
      <c r="J8575" s="501">
        <v>0</v>
      </c>
      <c r="K8575" s="501">
        <v>0</v>
      </c>
      <c r="L8575" s="501">
        <v>0</v>
      </c>
      <c r="M8575" s="501">
        <v>0</v>
      </c>
      <c r="N8575" s="501">
        <v>0</v>
      </c>
      <c r="O8575" s="506">
        <v>8</v>
      </c>
    </row>
    <row r="8576" spans="1:15" x14ac:dyDescent="0.35">
      <c r="A8576" s="503" t="s">
        <v>1220</v>
      </c>
      <c r="B8576" s="504">
        <v>4849</v>
      </c>
      <c r="C8576" s="504" t="s">
        <v>1094</v>
      </c>
      <c r="D8576" s="504" t="s">
        <v>3380</v>
      </c>
      <c r="E8576" s="504" t="s">
        <v>3381</v>
      </c>
      <c r="F8576" s="504" t="s">
        <v>960</v>
      </c>
      <c r="G8576" s="504" t="s">
        <v>961</v>
      </c>
      <c r="H8576" s="504" t="s">
        <v>10321</v>
      </c>
      <c r="I8576" s="504">
        <v>15</v>
      </c>
      <c r="J8576" s="504">
        <v>4</v>
      </c>
      <c r="K8576" s="504">
        <v>0</v>
      </c>
      <c r="L8576" s="504">
        <v>0</v>
      </c>
      <c r="M8576" s="504">
        <v>11</v>
      </c>
      <c r="N8576" s="504">
        <v>0</v>
      </c>
      <c r="O8576" s="505">
        <v>0</v>
      </c>
    </row>
    <row r="8577" spans="1:15" x14ac:dyDescent="0.35">
      <c r="A8577" s="500" t="s">
        <v>1332</v>
      </c>
      <c r="B8577" s="501">
        <v>4878</v>
      </c>
      <c r="C8577" s="501" t="s">
        <v>1094</v>
      </c>
      <c r="D8577" s="501" t="s">
        <v>3380</v>
      </c>
      <c r="E8577" s="501" t="s">
        <v>3381</v>
      </c>
      <c r="F8577" s="501" t="s">
        <v>960</v>
      </c>
      <c r="G8577" s="501" t="s">
        <v>961</v>
      </c>
      <c r="H8577" s="501" t="s">
        <v>10322</v>
      </c>
      <c r="I8577" s="501">
        <v>2488</v>
      </c>
      <c r="J8577" s="501">
        <v>1922</v>
      </c>
      <c r="K8577" s="501">
        <v>2</v>
      </c>
      <c r="L8577" s="501">
        <v>87</v>
      </c>
      <c r="M8577" s="501">
        <v>19</v>
      </c>
      <c r="N8577" s="501">
        <v>0</v>
      </c>
      <c r="O8577" s="506">
        <v>458</v>
      </c>
    </row>
    <row r="8578" spans="1:15" x14ac:dyDescent="0.35">
      <c r="A8578" s="503" t="s">
        <v>1122</v>
      </c>
      <c r="B8578" s="504" t="s">
        <v>2994</v>
      </c>
      <c r="C8578" s="504" t="s">
        <v>1094</v>
      </c>
      <c r="D8578" s="504" t="s">
        <v>3380</v>
      </c>
      <c r="E8578" s="504" t="s">
        <v>3381</v>
      </c>
      <c r="F8578" s="504" t="s">
        <v>960</v>
      </c>
      <c r="G8578" s="504" t="s">
        <v>961</v>
      </c>
      <c r="H8578" s="504" t="s">
        <v>10323</v>
      </c>
      <c r="I8578" s="504">
        <v>111</v>
      </c>
      <c r="J8578" s="504">
        <v>92</v>
      </c>
      <c r="K8578" s="504">
        <v>0</v>
      </c>
      <c r="L8578" s="504">
        <v>0</v>
      </c>
      <c r="M8578" s="504">
        <v>0</v>
      </c>
      <c r="N8578" s="504">
        <v>0</v>
      </c>
      <c r="O8578" s="505">
        <v>19</v>
      </c>
    </row>
    <row r="8579" spans="1:15" x14ac:dyDescent="0.35">
      <c r="A8579" s="500" t="s">
        <v>1528</v>
      </c>
      <c r="B8579" s="501" t="s">
        <v>3153</v>
      </c>
      <c r="C8579" s="501" t="s">
        <v>1094</v>
      </c>
      <c r="D8579" s="501" t="s">
        <v>3380</v>
      </c>
      <c r="E8579" s="501" t="s">
        <v>3381</v>
      </c>
      <c r="F8579" s="501" t="s">
        <v>960</v>
      </c>
      <c r="G8579" s="501" t="s">
        <v>961</v>
      </c>
      <c r="H8579" s="501" t="s">
        <v>10324</v>
      </c>
      <c r="I8579" s="501">
        <v>5541</v>
      </c>
      <c r="J8579" s="501">
        <v>5288</v>
      </c>
      <c r="K8579" s="501">
        <v>0</v>
      </c>
      <c r="L8579" s="501">
        <v>0</v>
      </c>
      <c r="M8579" s="501">
        <v>0</v>
      </c>
      <c r="N8579" s="501">
        <v>0</v>
      </c>
      <c r="O8579" s="506">
        <v>253</v>
      </c>
    </row>
    <row r="8580" spans="1:15" x14ac:dyDescent="0.35">
      <c r="A8580" s="503" t="s">
        <v>1531</v>
      </c>
      <c r="B8580" s="504" t="s">
        <v>3000</v>
      </c>
      <c r="C8580" s="504" t="s">
        <v>1089</v>
      </c>
      <c r="D8580" s="504" t="s">
        <v>3392</v>
      </c>
      <c r="E8580" s="504" t="s">
        <v>3381</v>
      </c>
      <c r="F8580" s="504" t="s">
        <v>960</v>
      </c>
      <c r="G8580" s="504" t="s">
        <v>961</v>
      </c>
      <c r="H8580" s="504" t="s">
        <v>10325</v>
      </c>
      <c r="I8580" s="504">
        <v>480</v>
      </c>
      <c r="J8580" s="504">
        <v>88</v>
      </c>
      <c r="K8580" s="504">
        <v>0</v>
      </c>
      <c r="L8580" s="504">
        <v>359</v>
      </c>
      <c r="M8580" s="504">
        <v>33</v>
      </c>
      <c r="N8580" s="504">
        <v>0</v>
      </c>
      <c r="O8580" s="505">
        <v>0</v>
      </c>
    </row>
    <row r="8581" spans="1:15" x14ac:dyDescent="0.35">
      <c r="A8581" s="500" t="s">
        <v>1234</v>
      </c>
      <c r="B8581" s="501" t="s">
        <v>3291</v>
      </c>
      <c r="C8581" s="501" t="s">
        <v>1094</v>
      </c>
      <c r="D8581" s="501" t="s">
        <v>3380</v>
      </c>
      <c r="E8581" s="501" t="s">
        <v>3381</v>
      </c>
      <c r="F8581" s="501" t="s">
        <v>960</v>
      </c>
      <c r="G8581" s="501" t="s">
        <v>961</v>
      </c>
      <c r="H8581" s="501" t="s">
        <v>10326</v>
      </c>
      <c r="I8581" s="501">
        <v>231</v>
      </c>
      <c r="J8581" s="501">
        <v>0</v>
      </c>
      <c r="K8581" s="501">
        <v>0</v>
      </c>
      <c r="L8581" s="501">
        <v>231</v>
      </c>
      <c r="M8581" s="501">
        <v>0</v>
      </c>
      <c r="N8581" s="501">
        <v>0</v>
      </c>
      <c r="O8581" s="506">
        <v>0</v>
      </c>
    </row>
    <row r="8582" spans="1:15" x14ac:dyDescent="0.35">
      <c r="A8582" s="503" t="s">
        <v>1126</v>
      </c>
      <c r="B8582" s="504" t="s">
        <v>2974</v>
      </c>
      <c r="C8582" s="504" t="s">
        <v>1094</v>
      </c>
      <c r="D8582" s="504" t="s">
        <v>3380</v>
      </c>
      <c r="E8582" s="504" t="s">
        <v>3381</v>
      </c>
      <c r="F8582" s="504" t="s">
        <v>960</v>
      </c>
      <c r="G8582" s="504" t="s">
        <v>961</v>
      </c>
      <c r="H8582" s="504" t="s">
        <v>10327</v>
      </c>
      <c r="I8582" s="504">
        <v>116</v>
      </c>
      <c r="J8582" s="504">
        <v>22</v>
      </c>
      <c r="K8582" s="504">
        <v>0</v>
      </c>
      <c r="L8582" s="504">
        <v>5</v>
      </c>
      <c r="M8582" s="504">
        <v>73</v>
      </c>
      <c r="N8582" s="504">
        <v>0</v>
      </c>
      <c r="O8582" s="505">
        <v>16</v>
      </c>
    </row>
    <row r="8583" spans="1:15" x14ac:dyDescent="0.35">
      <c r="A8583" s="500" t="s">
        <v>14309</v>
      </c>
      <c r="B8583" s="501" t="s">
        <v>14308</v>
      </c>
      <c r="C8583" s="501" t="s">
        <v>1089</v>
      </c>
      <c r="D8583" s="501" t="s">
        <v>3392</v>
      </c>
      <c r="E8583" s="501" t="s">
        <v>3381</v>
      </c>
      <c r="F8583" s="501" t="s">
        <v>960</v>
      </c>
      <c r="G8583" s="501" t="s">
        <v>961</v>
      </c>
      <c r="H8583" s="501" t="s">
        <v>15184</v>
      </c>
      <c r="I8583" s="501">
        <v>12</v>
      </c>
      <c r="J8583" s="501">
        <v>12</v>
      </c>
      <c r="K8583" s="501">
        <v>0</v>
      </c>
      <c r="L8583" s="501">
        <v>0</v>
      </c>
      <c r="M8583" s="501">
        <v>0</v>
      </c>
      <c r="N8583" s="501">
        <v>0</v>
      </c>
      <c r="O8583" s="506">
        <v>0</v>
      </c>
    </row>
    <row r="8584" spans="1:15" x14ac:dyDescent="0.35">
      <c r="A8584" s="503" t="s">
        <v>1547</v>
      </c>
      <c r="B8584" s="504" t="s">
        <v>3279</v>
      </c>
      <c r="C8584" s="504" t="s">
        <v>1089</v>
      </c>
      <c r="D8584" s="504" t="s">
        <v>3392</v>
      </c>
      <c r="E8584" s="504" t="s">
        <v>3381</v>
      </c>
      <c r="F8584" s="504" t="s">
        <v>960</v>
      </c>
      <c r="G8584" s="504" t="s">
        <v>961</v>
      </c>
      <c r="H8584" s="504" t="s">
        <v>10328</v>
      </c>
      <c r="I8584" s="504">
        <v>23</v>
      </c>
      <c r="J8584" s="504">
        <v>23</v>
      </c>
      <c r="K8584" s="504">
        <v>0</v>
      </c>
      <c r="L8584" s="504">
        <v>0</v>
      </c>
      <c r="M8584" s="504">
        <v>0</v>
      </c>
      <c r="N8584" s="504">
        <v>0</v>
      </c>
      <c r="O8584" s="505">
        <v>0</v>
      </c>
    </row>
    <row r="8585" spans="1:15" x14ac:dyDescent="0.35">
      <c r="A8585" s="500" t="s">
        <v>1130</v>
      </c>
      <c r="B8585" s="501" t="s">
        <v>3234</v>
      </c>
      <c r="C8585" s="501" t="s">
        <v>1094</v>
      </c>
      <c r="D8585" s="501" t="s">
        <v>3380</v>
      </c>
      <c r="E8585" s="501" t="s">
        <v>3381</v>
      </c>
      <c r="F8585" s="501" t="s">
        <v>960</v>
      </c>
      <c r="G8585" s="501" t="s">
        <v>961</v>
      </c>
      <c r="H8585" s="501" t="s">
        <v>10329</v>
      </c>
      <c r="I8585" s="501">
        <v>1610</v>
      </c>
      <c r="J8585" s="501">
        <v>1286</v>
      </c>
      <c r="K8585" s="501">
        <v>0</v>
      </c>
      <c r="L8585" s="501">
        <v>0</v>
      </c>
      <c r="M8585" s="501">
        <v>122</v>
      </c>
      <c r="N8585" s="501">
        <v>79</v>
      </c>
      <c r="O8585" s="506">
        <v>202</v>
      </c>
    </row>
    <row r="8586" spans="1:15" x14ac:dyDescent="0.35">
      <c r="A8586" s="503" t="s">
        <v>1549</v>
      </c>
      <c r="B8586" s="504" t="s">
        <v>2710</v>
      </c>
      <c r="C8586" s="504" t="s">
        <v>1089</v>
      </c>
      <c r="D8586" s="504" t="s">
        <v>3392</v>
      </c>
      <c r="E8586" s="504" t="s">
        <v>3381</v>
      </c>
      <c r="F8586" s="504" t="s">
        <v>960</v>
      </c>
      <c r="G8586" s="504" t="s">
        <v>961</v>
      </c>
      <c r="H8586" s="504" t="s">
        <v>10330</v>
      </c>
      <c r="I8586" s="504">
        <v>673</v>
      </c>
      <c r="J8586" s="504">
        <v>673</v>
      </c>
      <c r="K8586" s="504">
        <v>0</v>
      </c>
      <c r="L8586" s="504">
        <v>0</v>
      </c>
      <c r="M8586" s="504">
        <v>0</v>
      </c>
      <c r="N8586" s="504">
        <v>0</v>
      </c>
      <c r="O8586" s="505">
        <v>0</v>
      </c>
    </row>
    <row r="8587" spans="1:15" x14ac:dyDescent="0.35">
      <c r="A8587" s="500" t="s">
        <v>1346</v>
      </c>
      <c r="B8587" s="501" t="s">
        <v>3150</v>
      </c>
      <c r="C8587" s="501" t="s">
        <v>1094</v>
      </c>
      <c r="D8587" s="501" t="s">
        <v>3380</v>
      </c>
      <c r="E8587" s="501" t="s">
        <v>3381</v>
      </c>
      <c r="F8587" s="501" t="s">
        <v>960</v>
      </c>
      <c r="G8587" s="501" t="s">
        <v>961</v>
      </c>
      <c r="H8587" s="501" t="s">
        <v>10331</v>
      </c>
      <c r="I8587" s="501">
        <v>1769</v>
      </c>
      <c r="J8587" s="501">
        <v>1659</v>
      </c>
      <c r="K8587" s="501">
        <v>0</v>
      </c>
      <c r="L8587" s="501">
        <v>0</v>
      </c>
      <c r="M8587" s="501">
        <v>0</v>
      </c>
      <c r="N8587" s="501">
        <v>6</v>
      </c>
      <c r="O8587" s="506">
        <v>110</v>
      </c>
    </row>
    <row r="8588" spans="1:15" x14ac:dyDescent="0.35">
      <c r="A8588" s="503" t="s">
        <v>1558</v>
      </c>
      <c r="B8588" s="504">
        <v>4843</v>
      </c>
      <c r="C8588" s="504" t="s">
        <v>1089</v>
      </c>
      <c r="D8588" s="504" t="s">
        <v>3392</v>
      </c>
      <c r="E8588" s="504" t="s">
        <v>3381</v>
      </c>
      <c r="F8588" s="504" t="s">
        <v>960</v>
      </c>
      <c r="G8588" s="504" t="s">
        <v>961</v>
      </c>
      <c r="H8588" s="504" t="s">
        <v>15185</v>
      </c>
      <c r="I8588" s="504">
        <v>1</v>
      </c>
      <c r="J8588" s="504">
        <v>1</v>
      </c>
      <c r="K8588" s="504">
        <v>0</v>
      </c>
      <c r="L8588" s="504">
        <v>0</v>
      </c>
      <c r="M8588" s="504">
        <v>0</v>
      </c>
      <c r="N8588" s="504">
        <v>0</v>
      </c>
      <c r="O8588" s="505">
        <v>0</v>
      </c>
    </row>
    <row r="8589" spans="1:15" x14ac:dyDescent="0.35">
      <c r="A8589" s="500" t="s">
        <v>1249</v>
      </c>
      <c r="B8589" s="501">
        <v>4729</v>
      </c>
      <c r="C8589" s="501" t="s">
        <v>1094</v>
      </c>
      <c r="D8589" s="501" t="s">
        <v>3380</v>
      </c>
      <c r="E8589" s="501" t="s">
        <v>3381</v>
      </c>
      <c r="F8589" s="501" t="s">
        <v>960</v>
      </c>
      <c r="G8589" s="501" t="s">
        <v>961</v>
      </c>
      <c r="H8589" s="501" t="s">
        <v>10332</v>
      </c>
      <c r="I8589" s="501">
        <v>342</v>
      </c>
      <c r="J8589" s="501">
        <v>203</v>
      </c>
      <c r="K8589" s="501">
        <v>0</v>
      </c>
      <c r="L8589" s="501">
        <v>1</v>
      </c>
      <c r="M8589" s="501">
        <v>0</v>
      </c>
      <c r="N8589" s="501">
        <v>0</v>
      </c>
      <c r="O8589" s="506">
        <v>138</v>
      </c>
    </row>
    <row r="8590" spans="1:15" x14ac:dyDescent="0.35">
      <c r="A8590" s="503" t="s">
        <v>1362</v>
      </c>
      <c r="B8590" s="504" t="s">
        <v>2977</v>
      </c>
      <c r="C8590" s="504" t="s">
        <v>1094</v>
      </c>
      <c r="D8590" s="504" t="s">
        <v>3380</v>
      </c>
      <c r="E8590" s="504" t="s">
        <v>3381</v>
      </c>
      <c r="F8590" s="504" t="s">
        <v>960</v>
      </c>
      <c r="G8590" s="504" t="s">
        <v>961</v>
      </c>
      <c r="H8590" s="504" t="s">
        <v>10333</v>
      </c>
      <c r="I8590" s="504">
        <v>167</v>
      </c>
      <c r="J8590" s="504">
        <v>147</v>
      </c>
      <c r="K8590" s="504">
        <v>0</v>
      </c>
      <c r="L8590" s="504">
        <v>0</v>
      </c>
      <c r="M8590" s="504">
        <v>20</v>
      </c>
      <c r="N8590" s="504">
        <v>0</v>
      </c>
      <c r="O8590" s="505">
        <v>0</v>
      </c>
    </row>
    <row r="8591" spans="1:15" x14ac:dyDescent="0.35">
      <c r="A8591" s="500" t="s">
        <v>14363</v>
      </c>
      <c r="B8591" s="501" t="s">
        <v>14362</v>
      </c>
      <c r="C8591" s="501" t="s">
        <v>1089</v>
      </c>
      <c r="D8591" s="501" t="s">
        <v>3392</v>
      </c>
      <c r="E8591" s="501" t="s">
        <v>3381</v>
      </c>
      <c r="F8591" s="501" t="s">
        <v>960</v>
      </c>
      <c r="G8591" s="501" t="s">
        <v>961</v>
      </c>
      <c r="H8591" s="501" t="s">
        <v>15186</v>
      </c>
      <c r="I8591" s="501">
        <v>25</v>
      </c>
      <c r="J8591" s="501">
        <v>25</v>
      </c>
      <c r="K8591" s="501">
        <v>0</v>
      </c>
      <c r="L8591" s="501">
        <v>0</v>
      </c>
      <c r="M8591" s="501">
        <v>0</v>
      </c>
      <c r="N8591" s="501">
        <v>0</v>
      </c>
      <c r="O8591" s="506">
        <v>0</v>
      </c>
    </row>
    <row r="8592" spans="1:15" x14ac:dyDescent="0.35">
      <c r="A8592" s="503" t="s">
        <v>1579</v>
      </c>
      <c r="B8592" s="504" t="s">
        <v>3169</v>
      </c>
      <c r="C8592" s="504" t="s">
        <v>1094</v>
      </c>
      <c r="D8592" s="504" t="s">
        <v>3380</v>
      </c>
      <c r="E8592" s="504" t="s">
        <v>3381</v>
      </c>
      <c r="F8592" s="504" t="s">
        <v>960</v>
      </c>
      <c r="G8592" s="504" t="s">
        <v>961</v>
      </c>
      <c r="H8592" s="504" t="s">
        <v>10334</v>
      </c>
      <c r="I8592" s="504">
        <v>2058</v>
      </c>
      <c r="J8592" s="504">
        <v>2002</v>
      </c>
      <c r="K8592" s="504">
        <v>0</v>
      </c>
      <c r="L8592" s="504">
        <v>0</v>
      </c>
      <c r="M8592" s="504">
        <v>0</v>
      </c>
      <c r="N8592" s="504">
        <v>0</v>
      </c>
      <c r="O8592" s="505">
        <v>56</v>
      </c>
    </row>
    <row r="8593" spans="1:15" x14ac:dyDescent="0.35">
      <c r="A8593" s="500" t="s">
        <v>1583</v>
      </c>
      <c r="B8593" s="501" t="s">
        <v>3256</v>
      </c>
      <c r="C8593" s="501" t="s">
        <v>1089</v>
      </c>
      <c r="D8593" s="501" t="s">
        <v>3392</v>
      </c>
      <c r="E8593" s="501" t="s">
        <v>3381</v>
      </c>
      <c r="F8593" s="501" t="s">
        <v>960</v>
      </c>
      <c r="G8593" s="501" t="s">
        <v>961</v>
      </c>
      <c r="H8593" s="501" t="s">
        <v>10335</v>
      </c>
      <c r="I8593" s="501">
        <v>66</v>
      </c>
      <c r="J8593" s="501">
        <v>0</v>
      </c>
      <c r="K8593" s="501">
        <v>66</v>
      </c>
      <c r="L8593" s="501">
        <v>0</v>
      </c>
      <c r="M8593" s="501">
        <v>0</v>
      </c>
      <c r="N8593" s="501">
        <v>0</v>
      </c>
      <c r="O8593" s="506">
        <v>0</v>
      </c>
    </row>
    <row r="8594" spans="1:15" x14ac:dyDescent="0.35">
      <c r="A8594" s="503" t="s">
        <v>11396</v>
      </c>
      <c r="B8594" s="504" t="s">
        <v>11478</v>
      </c>
      <c r="C8594" s="504" t="s">
        <v>1089</v>
      </c>
      <c r="D8594" s="504" t="s">
        <v>3392</v>
      </c>
      <c r="E8594" s="504" t="s">
        <v>3381</v>
      </c>
      <c r="F8594" s="504" t="s">
        <v>960</v>
      </c>
      <c r="G8594" s="504" t="s">
        <v>961</v>
      </c>
      <c r="H8594" s="504" t="s">
        <v>12251</v>
      </c>
      <c r="I8594" s="504">
        <v>66</v>
      </c>
      <c r="J8594" s="504">
        <v>66</v>
      </c>
      <c r="K8594" s="504">
        <v>0</v>
      </c>
      <c r="L8594" s="504">
        <v>0</v>
      </c>
      <c r="M8594" s="504">
        <v>0</v>
      </c>
      <c r="N8594" s="504">
        <v>0</v>
      </c>
      <c r="O8594" s="505">
        <v>0</v>
      </c>
    </row>
    <row r="8595" spans="1:15" x14ac:dyDescent="0.35">
      <c r="A8595" s="500" t="s">
        <v>1193</v>
      </c>
      <c r="B8595" s="501" t="s">
        <v>3039</v>
      </c>
      <c r="C8595" s="501" t="s">
        <v>1094</v>
      </c>
      <c r="D8595" s="501" t="s">
        <v>3380</v>
      </c>
      <c r="E8595" s="501" t="s">
        <v>3381</v>
      </c>
      <c r="F8595" s="501" t="s">
        <v>962</v>
      </c>
      <c r="G8595" s="501" t="s">
        <v>963</v>
      </c>
      <c r="H8595" s="501" t="s">
        <v>10346</v>
      </c>
      <c r="I8595" s="501">
        <v>55</v>
      </c>
      <c r="J8595" s="501">
        <v>0</v>
      </c>
      <c r="K8595" s="501">
        <v>0</v>
      </c>
      <c r="L8595" s="501">
        <v>0</v>
      </c>
      <c r="M8595" s="501">
        <v>55</v>
      </c>
      <c r="N8595" s="501">
        <v>0</v>
      </c>
      <c r="O8595" s="506">
        <v>0</v>
      </c>
    </row>
    <row r="8596" spans="1:15" x14ac:dyDescent="0.35">
      <c r="A8596" s="503" t="s">
        <v>1096</v>
      </c>
      <c r="B8596" s="504" t="s">
        <v>3326</v>
      </c>
      <c r="C8596" s="504" t="s">
        <v>1094</v>
      </c>
      <c r="D8596" s="504" t="s">
        <v>3380</v>
      </c>
      <c r="E8596" s="504" t="s">
        <v>3381</v>
      </c>
      <c r="F8596" s="504" t="s">
        <v>962</v>
      </c>
      <c r="G8596" s="504" t="s">
        <v>963</v>
      </c>
      <c r="H8596" s="504" t="s">
        <v>10336</v>
      </c>
      <c r="I8596" s="504">
        <v>256</v>
      </c>
      <c r="J8596" s="504">
        <v>0</v>
      </c>
      <c r="K8596" s="504">
        <v>0</v>
      </c>
      <c r="L8596" s="504">
        <v>0</v>
      </c>
      <c r="M8596" s="504">
        <v>221</v>
      </c>
      <c r="N8596" s="504">
        <v>0</v>
      </c>
      <c r="O8596" s="505">
        <v>35</v>
      </c>
    </row>
    <row r="8597" spans="1:15" x14ac:dyDescent="0.35">
      <c r="A8597" s="500" t="s">
        <v>1670</v>
      </c>
      <c r="B8597" s="501" t="s">
        <v>3125</v>
      </c>
      <c r="C8597" s="501" t="s">
        <v>1094</v>
      </c>
      <c r="D8597" s="501" t="s">
        <v>3380</v>
      </c>
      <c r="E8597" s="501" t="s">
        <v>3381</v>
      </c>
      <c r="F8597" s="501" t="s">
        <v>962</v>
      </c>
      <c r="G8597" s="501" t="s">
        <v>963</v>
      </c>
      <c r="H8597" s="501" t="s">
        <v>10337</v>
      </c>
      <c r="I8597" s="501">
        <v>71</v>
      </c>
      <c r="J8597" s="501">
        <v>67</v>
      </c>
      <c r="K8597" s="501">
        <v>0</v>
      </c>
      <c r="L8597" s="501">
        <v>0</v>
      </c>
      <c r="M8597" s="501">
        <v>0</v>
      </c>
      <c r="N8597" s="501">
        <v>0</v>
      </c>
      <c r="O8597" s="506">
        <v>4</v>
      </c>
    </row>
    <row r="8598" spans="1:15" x14ac:dyDescent="0.35">
      <c r="A8598" s="503" t="s">
        <v>1150</v>
      </c>
      <c r="B8598" s="504" t="s">
        <v>2975</v>
      </c>
      <c r="C8598" s="504" t="s">
        <v>1094</v>
      </c>
      <c r="D8598" s="504" t="s">
        <v>3380</v>
      </c>
      <c r="E8598" s="504" t="s">
        <v>3381</v>
      </c>
      <c r="F8598" s="504" t="s">
        <v>962</v>
      </c>
      <c r="G8598" s="504" t="s">
        <v>963</v>
      </c>
      <c r="H8598" s="504" t="s">
        <v>10338</v>
      </c>
      <c r="I8598" s="504">
        <v>56</v>
      </c>
      <c r="J8598" s="504">
        <v>46</v>
      </c>
      <c r="K8598" s="504">
        <v>0</v>
      </c>
      <c r="L8598" s="504">
        <v>0</v>
      </c>
      <c r="M8598" s="504">
        <v>0</v>
      </c>
      <c r="N8598" s="504">
        <v>0</v>
      </c>
      <c r="O8598" s="505">
        <v>10</v>
      </c>
    </row>
    <row r="8599" spans="1:15" x14ac:dyDescent="0.35">
      <c r="A8599" s="500" t="s">
        <v>11363</v>
      </c>
      <c r="B8599" s="501">
        <v>4718</v>
      </c>
      <c r="C8599" s="501" t="s">
        <v>1094</v>
      </c>
      <c r="D8599" s="501" t="s">
        <v>3380</v>
      </c>
      <c r="E8599" s="501" t="s">
        <v>3381</v>
      </c>
      <c r="F8599" s="501" t="s">
        <v>962</v>
      </c>
      <c r="G8599" s="501" t="s">
        <v>963</v>
      </c>
      <c r="H8599" s="501" t="s">
        <v>11602</v>
      </c>
      <c r="I8599" s="501">
        <v>4</v>
      </c>
      <c r="J8599" s="501">
        <v>0</v>
      </c>
      <c r="K8599" s="501">
        <v>0</v>
      </c>
      <c r="L8599" s="501">
        <v>4</v>
      </c>
      <c r="M8599" s="501">
        <v>0</v>
      </c>
      <c r="N8599" s="501">
        <v>0</v>
      </c>
      <c r="O8599" s="506">
        <v>0</v>
      </c>
    </row>
    <row r="8600" spans="1:15" x14ac:dyDescent="0.35">
      <c r="A8600" s="503" t="s">
        <v>1167</v>
      </c>
      <c r="B8600" s="504">
        <v>4689</v>
      </c>
      <c r="C8600" s="504" t="s">
        <v>1089</v>
      </c>
      <c r="D8600" s="504" t="s">
        <v>3392</v>
      </c>
      <c r="E8600" s="504" t="s">
        <v>3381</v>
      </c>
      <c r="F8600" s="504" t="s">
        <v>962</v>
      </c>
      <c r="G8600" s="504" t="s">
        <v>963</v>
      </c>
      <c r="H8600" s="504" t="s">
        <v>10339</v>
      </c>
      <c r="I8600" s="504">
        <v>43</v>
      </c>
      <c r="J8600" s="504">
        <v>0</v>
      </c>
      <c r="K8600" s="504">
        <v>0</v>
      </c>
      <c r="L8600" s="504">
        <v>43</v>
      </c>
      <c r="M8600" s="504">
        <v>0</v>
      </c>
      <c r="N8600" s="504">
        <v>0</v>
      </c>
      <c r="O8600" s="505">
        <v>0</v>
      </c>
    </row>
    <row r="8601" spans="1:15" x14ac:dyDescent="0.35">
      <c r="A8601" s="500" t="s">
        <v>1174</v>
      </c>
      <c r="B8601" s="501">
        <v>4784</v>
      </c>
      <c r="C8601" s="501" t="s">
        <v>1089</v>
      </c>
      <c r="D8601" s="501" t="s">
        <v>3392</v>
      </c>
      <c r="E8601" s="501" t="s">
        <v>3381</v>
      </c>
      <c r="F8601" s="501" t="s">
        <v>962</v>
      </c>
      <c r="G8601" s="501" t="s">
        <v>963</v>
      </c>
      <c r="H8601" s="501" t="s">
        <v>10340</v>
      </c>
      <c r="I8601" s="501">
        <v>3</v>
      </c>
      <c r="J8601" s="501">
        <v>0</v>
      </c>
      <c r="K8601" s="501">
        <v>0</v>
      </c>
      <c r="L8601" s="501">
        <v>3</v>
      </c>
      <c r="M8601" s="501">
        <v>0</v>
      </c>
      <c r="N8601" s="501">
        <v>0</v>
      </c>
      <c r="O8601" s="506">
        <v>0</v>
      </c>
    </row>
    <row r="8602" spans="1:15" x14ac:dyDescent="0.35">
      <c r="A8602" s="503" t="s">
        <v>1704</v>
      </c>
      <c r="B8602" s="504" t="s">
        <v>3221</v>
      </c>
      <c r="C8602" s="504" t="s">
        <v>1094</v>
      </c>
      <c r="D8602" s="504" t="s">
        <v>3380</v>
      </c>
      <c r="E8602" s="504" t="s">
        <v>3381</v>
      </c>
      <c r="F8602" s="504" t="s">
        <v>962</v>
      </c>
      <c r="G8602" s="504" t="s">
        <v>963</v>
      </c>
      <c r="H8602" s="504" t="s">
        <v>11701</v>
      </c>
      <c r="I8602" s="504">
        <v>6</v>
      </c>
      <c r="J8602" s="504">
        <v>2</v>
      </c>
      <c r="K8602" s="504">
        <v>0</v>
      </c>
      <c r="L8602" s="504">
        <v>0</v>
      </c>
      <c r="M8602" s="504">
        <v>0</v>
      </c>
      <c r="N8602" s="504">
        <v>0</v>
      </c>
      <c r="O8602" s="505">
        <v>4</v>
      </c>
    </row>
    <row r="8603" spans="1:15" x14ac:dyDescent="0.35">
      <c r="A8603" s="500" t="s">
        <v>1705</v>
      </c>
      <c r="B8603" s="501" t="s">
        <v>3158</v>
      </c>
      <c r="C8603" s="501" t="s">
        <v>1094</v>
      </c>
      <c r="D8603" s="501" t="s">
        <v>3380</v>
      </c>
      <c r="E8603" s="501" t="s">
        <v>3381</v>
      </c>
      <c r="F8603" s="501" t="s">
        <v>962</v>
      </c>
      <c r="G8603" s="501" t="s">
        <v>963</v>
      </c>
      <c r="H8603" s="501" t="s">
        <v>10341</v>
      </c>
      <c r="I8603" s="501">
        <v>1</v>
      </c>
      <c r="J8603" s="501">
        <v>0</v>
      </c>
      <c r="K8603" s="501">
        <v>0</v>
      </c>
      <c r="L8603" s="501">
        <v>0</v>
      </c>
      <c r="M8603" s="501">
        <v>0</v>
      </c>
      <c r="N8603" s="501">
        <v>0</v>
      </c>
      <c r="O8603" s="506">
        <v>1</v>
      </c>
    </row>
    <row r="8604" spans="1:15" x14ac:dyDescent="0.35">
      <c r="A8604" s="503" t="s">
        <v>14208</v>
      </c>
      <c r="B8604" s="504">
        <v>4803</v>
      </c>
      <c r="C8604" s="504" t="s">
        <v>1094</v>
      </c>
      <c r="D8604" s="504" t="s">
        <v>3380</v>
      </c>
      <c r="E8604" s="504" t="s">
        <v>3381</v>
      </c>
      <c r="F8604" s="504" t="s">
        <v>962</v>
      </c>
      <c r="G8604" s="504" t="s">
        <v>963</v>
      </c>
      <c r="H8604" s="504" t="s">
        <v>15187</v>
      </c>
      <c r="I8604" s="504">
        <v>9</v>
      </c>
      <c r="J8604" s="504">
        <v>0</v>
      </c>
      <c r="K8604" s="504">
        <v>0</v>
      </c>
      <c r="L8604" s="504">
        <v>9</v>
      </c>
      <c r="M8604" s="504">
        <v>0</v>
      </c>
      <c r="N8604" s="504">
        <v>0</v>
      </c>
      <c r="O8604" s="505">
        <v>0</v>
      </c>
    </row>
    <row r="8605" spans="1:15" x14ac:dyDescent="0.35">
      <c r="A8605" s="500" t="s">
        <v>1183</v>
      </c>
      <c r="B8605" s="501" t="s">
        <v>3038</v>
      </c>
      <c r="C8605" s="501" t="s">
        <v>1094</v>
      </c>
      <c r="D8605" s="501" t="s">
        <v>3380</v>
      </c>
      <c r="E8605" s="501" t="s">
        <v>3381</v>
      </c>
      <c r="F8605" s="501" t="s">
        <v>962</v>
      </c>
      <c r="G8605" s="501" t="s">
        <v>963</v>
      </c>
      <c r="H8605" s="501" t="s">
        <v>10342</v>
      </c>
      <c r="I8605" s="501">
        <v>687</v>
      </c>
      <c r="J8605" s="501">
        <v>459</v>
      </c>
      <c r="K8605" s="501">
        <v>0</v>
      </c>
      <c r="L8605" s="501">
        <v>67</v>
      </c>
      <c r="M8605" s="501">
        <v>24</v>
      </c>
      <c r="N8605" s="501">
        <v>0</v>
      </c>
      <c r="O8605" s="506">
        <v>137</v>
      </c>
    </row>
    <row r="8606" spans="1:15" x14ac:dyDescent="0.35">
      <c r="A8606" s="503" t="s">
        <v>1188</v>
      </c>
      <c r="B8606" s="504">
        <v>4760</v>
      </c>
      <c r="C8606" s="504" t="s">
        <v>1089</v>
      </c>
      <c r="D8606" s="504" t="s">
        <v>3392</v>
      </c>
      <c r="E8606" s="504" t="s">
        <v>3381</v>
      </c>
      <c r="F8606" s="504" t="s">
        <v>962</v>
      </c>
      <c r="G8606" s="504" t="s">
        <v>963</v>
      </c>
      <c r="H8606" s="504" t="s">
        <v>11753</v>
      </c>
      <c r="I8606" s="504">
        <v>8</v>
      </c>
      <c r="J8606" s="504">
        <v>0</v>
      </c>
      <c r="K8606" s="504">
        <v>0</v>
      </c>
      <c r="L8606" s="504">
        <v>8</v>
      </c>
      <c r="M8606" s="504">
        <v>0</v>
      </c>
      <c r="N8606" s="504">
        <v>0</v>
      </c>
      <c r="O8606" s="505">
        <v>0</v>
      </c>
    </row>
    <row r="8607" spans="1:15" x14ac:dyDescent="0.35">
      <c r="A8607" s="500" t="s">
        <v>1109</v>
      </c>
      <c r="B8607" s="501" t="s">
        <v>2959</v>
      </c>
      <c r="C8607" s="501" t="s">
        <v>1094</v>
      </c>
      <c r="D8607" s="501" t="s">
        <v>3380</v>
      </c>
      <c r="E8607" s="501" t="s">
        <v>3381</v>
      </c>
      <c r="F8607" s="501" t="s">
        <v>962</v>
      </c>
      <c r="G8607" s="501" t="s">
        <v>963</v>
      </c>
      <c r="H8607" s="501" t="s">
        <v>10343</v>
      </c>
      <c r="I8607" s="501">
        <v>69</v>
      </c>
      <c r="J8607" s="501">
        <v>0</v>
      </c>
      <c r="K8607" s="501">
        <v>0</v>
      </c>
      <c r="L8607" s="501">
        <v>0</v>
      </c>
      <c r="M8607" s="501">
        <v>69</v>
      </c>
      <c r="N8607" s="501">
        <v>0</v>
      </c>
      <c r="O8607" s="506">
        <v>0</v>
      </c>
    </row>
    <row r="8608" spans="1:15" x14ac:dyDescent="0.35">
      <c r="A8608" s="503" t="s">
        <v>1190</v>
      </c>
      <c r="B8608" s="504">
        <v>4662</v>
      </c>
      <c r="C8608" s="504" t="s">
        <v>1094</v>
      </c>
      <c r="D8608" s="504" t="s">
        <v>3380</v>
      </c>
      <c r="E8608" s="504" t="s">
        <v>3381</v>
      </c>
      <c r="F8608" s="504" t="s">
        <v>962</v>
      </c>
      <c r="G8608" s="504" t="s">
        <v>963</v>
      </c>
      <c r="H8608" s="504" t="s">
        <v>10344</v>
      </c>
      <c r="I8608" s="504">
        <v>42</v>
      </c>
      <c r="J8608" s="504">
        <v>0</v>
      </c>
      <c r="K8608" s="504">
        <v>0</v>
      </c>
      <c r="L8608" s="504">
        <v>42</v>
      </c>
      <c r="M8608" s="504">
        <v>0</v>
      </c>
      <c r="N8608" s="504">
        <v>0</v>
      </c>
      <c r="O8608" s="505">
        <v>0</v>
      </c>
    </row>
    <row r="8609" spans="1:15" x14ac:dyDescent="0.35">
      <c r="A8609" s="500" t="s">
        <v>1716</v>
      </c>
      <c r="B8609" s="501" t="s">
        <v>2960</v>
      </c>
      <c r="C8609" s="501" t="s">
        <v>1094</v>
      </c>
      <c r="D8609" s="501" t="s">
        <v>3380</v>
      </c>
      <c r="E8609" s="501" t="s">
        <v>3381</v>
      </c>
      <c r="F8609" s="501" t="s">
        <v>962</v>
      </c>
      <c r="G8609" s="501" t="s">
        <v>963</v>
      </c>
      <c r="H8609" s="501" t="s">
        <v>10345</v>
      </c>
      <c r="I8609" s="501">
        <v>2031</v>
      </c>
      <c r="J8609" s="501">
        <v>1840</v>
      </c>
      <c r="K8609" s="501">
        <v>0</v>
      </c>
      <c r="L8609" s="501">
        <v>43</v>
      </c>
      <c r="M8609" s="501">
        <v>107</v>
      </c>
      <c r="N8609" s="501">
        <v>0</v>
      </c>
      <c r="O8609" s="506">
        <v>41</v>
      </c>
    </row>
    <row r="8610" spans="1:15" x14ac:dyDescent="0.35">
      <c r="A8610" s="503" t="s">
        <v>11401</v>
      </c>
      <c r="B8610" s="504" t="s">
        <v>3241</v>
      </c>
      <c r="C8610" s="504" t="s">
        <v>1094</v>
      </c>
      <c r="D8610" s="504" t="s">
        <v>3380</v>
      </c>
      <c r="E8610" s="504" t="s">
        <v>3381</v>
      </c>
      <c r="F8610" s="504" t="s">
        <v>962</v>
      </c>
      <c r="G8610" s="504" t="s">
        <v>963</v>
      </c>
      <c r="H8610" s="504" t="s">
        <v>11791</v>
      </c>
      <c r="I8610" s="504">
        <v>793</v>
      </c>
      <c r="J8610" s="504">
        <v>540</v>
      </c>
      <c r="K8610" s="504">
        <v>0</v>
      </c>
      <c r="L8610" s="504">
        <v>71</v>
      </c>
      <c r="M8610" s="504">
        <v>98</v>
      </c>
      <c r="N8610" s="504">
        <v>0</v>
      </c>
      <c r="O8610" s="505">
        <v>84</v>
      </c>
    </row>
    <row r="8611" spans="1:15" x14ac:dyDescent="0.35">
      <c r="A8611" s="500" t="s">
        <v>11402</v>
      </c>
      <c r="B8611" s="501" t="s">
        <v>3344</v>
      </c>
      <c r="C8611" s="501" t="s">
        <v>1094</v>
      </c>
      <c r="D8611" s="501" t="s">
        <v>3380</v>
      </c>
      <c r="E8611" s="501" t="s">
        <v>3381</v>
      </c>
      <c r="F8611" s="501" t="s">
        <v>962</v>
      </c>
      <c r="G8611" s="501" t="s">
        <v>963</v>
      </c>
      <c r="H8611" s="501" t="s">
        <v>11800</v>
      </c>
      <c r="I8611" s="501">
        <v>5</v>
      </c>
      <c r="J8611" s="501">
        <v>0</v>
      </c>
      <c r="K8611" s="501">
        <v>0</v>
      </c>
      <c r="L8611" s="501">
        <v>5</v>
      </c>
      <c r="M8611" s="501">
        <v>0</v>
      </c>
      <c r="N8611" s="501">
        <v>0</v>
      </c>
      <c r="O8611" s="506">
        <v>0</v>
      </c>
    </row>
    <row r="8612" spans="1:15" x14ac:dyDescent="0.35">
      <c r="A8612" s="503" t="s">
        <v>1197</v>
      </c>
      <c r="B8612" s="504">
        <v>4863</v>
      </c>
      <c r="C8612" s="504" t="s">
        <v>1089</v>
      </c>
      <c r="D8612" s="504" t="s">
        <v>3392</v>
      </c>
      <c r="E8612" s="504" t="s">
        <v>3381</v>
      </c>
      <c r="F8612" s="504" t="s">
        <v>962</v>
      </c>
      <c r="G8612" s="504" t="s">
        <v>963</v>
      </c>
      <c r="H8612" s="504" t="s">
        <v>10347</v>
      </c>
      <c r="I8612" s="504">
        <v>3</v>
      </c>
      <c r="J8612" s="504">
        <v>0</v>
      </c>
      <c r="K8612" s="504">
        <v>0</v>
      </c>
      <c r="L8612" s="504">
        <v>3</v>
      </c>
      <c r="M8612" s="504">
        <v>0</v>
      </c>
      <c r="N8612" s="504">
        <v>0</v>
      </c>
      <c r="O8612" s="505">
        <v>0</v>
      </c>
    </row>
    <row r="8613" spans="1:15" x14ac:dyDescent="0.35">
      <c r="A8613" s="500" t="s">
        <v>1739</v>
      </c>
      <c r="B8613" s="501">
        <v>4857</v>
      </c>
      <c r="C8613" s="501" t="s">
        <v>1094</v>
      </c>
      <c r="D8613" s="501" t="s">
        <v>3380</v>
      </c>
      <c r="E8613" s="501" t="s">
        <v>3381</v>
      </c>
      <c r="F8613" s="501" t="s">
        <v>962</v>
      </c>
      <c r="G8613" s="501" t="s">
        <v>963</v>
      </c>
      <c r="H8613" s="501" t="s">
        <v>10348</v>
      </c>
      <c r="I8613" s="501">
        <v>268</v>
      </c>
      <c r="J8613" s="501">
        <v>234</v>
      </c>
      <c r="K8613" s="501">
        <v>0</v>
      </c>
      <c r="L8613" s="501">
        <v>7</v>
      </c>
      <c r="M8613" s="501">
        <v>0</v>
      </c>
      <c r="N8613" s="501">
        <v>0</v>
      </c>
      <c r="O8613" s="506">
        <v>27</v>
      </c>
    </row>
    <row r="8614" spans="1:15" x14ac:dyDescent="0.35">
      <c r="A8614" s="503" t="s">
        <v>1209</v>
      </c>
      <c r="B8614" s="504">
        <v>4779</v>
      </c>
      <c r="C8614" s="504" t="s">
        <v>1094</v>
      </c>
      <c r="D8614" s="504" t="s">
        <v>3380</v>
      </c>
      <c r="E8614" s="504" t="s">
        <v>3381</v>
      </c>
      <c r="F8614" s="504" t="s">
        <v>962</v>
      </c>
      <c r="G8614" s="504" t="s">
        <v>963</v>
      </c>
      <c r="H8614" s="504" t="s">
        <v>10349</v>
      </c>
      <c r="I8614" s="504">
        <v>8</v>
      </c>
      <c r="J8614" s="504">
        <v>0</v>
      </c>
      <c r="K8614" s="504">
        <v>0</v>
      </c>
      <c r="L8614" s="504">
        <v>8</v>
      </c>
      <c r="M8614" s="504">
        <v>0</v>
      </c>
      <c r="N8614" s="504">
        <v>0</v>
      </c>
      <c r="O8614" s="505">
        <v>0</v>
      </c>
    </row>
    <row r="8615" spans="1:15" x14ac:dyDescent="0.35">
      <c r="A8615" s="500" t="s">
        <v>1503</v>
      </c>
      <c r="B8615" s="501">
        <v>4666</v>
      </c>
      <c r="C8615" s="501" t="s">
        <v>1089</v>
      </c>
      <c r="D8615" s="501" t="s">
        <v>3392</v>
      </c>
      <c r="E8615" s="501" t="s">
        <v>3381</v>
      </c>
      <c r="F8615" s="501" t="s">
        <v>962</v>
      </c>
      <c r="G8615" s="501" t="s">
        <v>963</v>
      </c>
      <c r="H8615" s="501" t="s">
        <v>10350</v>
      </c>
      <c r="I8615" s="501">
        <v>3</v>
      </c>
      <c r="J8615" s="501">
        <v>0</v>
      </c>
      <c r="K8615" s="501">
        <v>0</v>
      </c>
      <c r="L8615" s="501">
        <v>3</v>
      </c>
      <c r="M8615" s="501">
        <v>0</v>
      </c>
      <c r="N8615" s="501">
        <v>0</v>
      </c>
      <c r="O8615" s="506">
        <v>0</v>
      </c>
    </row>
    <row r="8616" spans="1:15" x14ac:dyDescent="0.35">
      <c r="A8616" s="503" t="s">
        <v>1742</v>
      </c>
      <c r="B8616" s="504">
        <v>4808</v>
      </c>
      <c r="C8616" s="504" t="s">
        <v>1094</v>
      </c>
      <c r="D8616" s="504" t="s">
        <v>3380</v>
      </c>
      <c r="E8616" s="504" t="s">
        <v>3381</v>
      </c>
      <c r="F8616" s="504" t="s">
        <v>962</v>
      </c>
      <c r="G8616" s="504" t="s">
        <v>963</v>
      </c>
      <c r="H8616" s="504" t="s">
        <v>10351</v>
      </c>
      <c r="I8616" s="504">
        <v>2</v>
      </c>
      <c r="J8616" s="504">
        <v>2</v>
      </c>
      <c r="K8616" s="504">
        <v>0</v>
      </c>
      <c r="L8616" s="504">
        <v>0</v>
      </c>
      <c r="M8616" s="504">
        <v>0</v>
      </c>
      <c r="N8616" s="504">
        <v>0</v>
      </c>
      <c r="O8616" s="505">
        <v>0</v>
      </c>
    </row>
    <row r="8617" spans="1:15" x14ac:dyDescent="0.35">
      <c r="A8617" s="500" t="s">
        <v>1744</v>
      </c>
      <c r="B8617" s="501" t="s">
        <v>3245</v>
      </c>
      <c r="C8617" s="501" t="s">
        <v>1094</v>
      </c>
      <c r="D8617" s="501" t="s">
        <v>3380</v>
      </c>
      <c r="E8617" s="501" t="s">
        <v>3381</v>
      </c>
      <c r="F8617" s="501" t="s">
        <v>962</v>
      </c>
      <c r="G8617" s="501" t="s">
        <v>963</v>
      </c>
      <c r="H8617" s="501" t="s">
        <v>15188</v>
      </c>
      <c r="I8617" s="501">
        <v>393</v>
      </c>
      <c r="J8617" s="501">
        <v>344</v>
      </c>
      <c r="K8617" s="501">
        <v>0</v>
      </c>
      <c r="L8617" s="501">
        <v>16</v>
      </c>
      <c r="M8617" s="501">
        <v>24</v>
      </c>
      <c r="N8617" s="501">
        <v>0</v>
      </c>
      <c r="O8617" s="506">
        <v>9</v>
      </c>
    </row>
    <row r="8618" spans="1:15" x14ac:dyDescent="0.35">
      <c r="A8618" s="503" t="s">
        <v>1223</v>
      </c>
      <c r="B8618" s="504">
        <v>4768</v>
      </c>
      <c r="C8618" s="504" t="s">
        <v>1089</v>
      </c>
      <c r="D8618" s="504" t="s">
        <v>3392</v>
      </c>
      <c r="E8618" s="504" t="s">
        <v>3381</v>
      </c>
      <c r="F8618" s="504" t="s">
        <v>962</v>
      </c>
      <c r="G8618" s="504" t="s">
        <v>963</v>
      </c>
      <c r="H8618" s="504" t="s">
        <v>10352</v>
      </c>
      <c r="I8618" s="504">
        <v>8</v>
      </c>
      <c r="J8618" s="504">
        <v>0</v>
      </c>
      <c r="K8618" s="504">
        <v>0</v>
      </c>
      <c r="L8618" s="504">
        <v>8</v>
      </c>
      <c r="M8618" s="504">
        <v>0</v>
      </c>
      <c r="N8618" s="504">
        <v>0</v>
      </c>
      <c r="O8618" s="505">
        <v>0</v>
      </c>
    </row>
    <row r="8619" spans="1:15" x14ac:dyDescent="0.35">
      <c r="A8619" s="500" t="s">
        <v>1122</v>
      </c>
      <c r="B8619" s="501" t="s">
        <v>2994</v>
      </c>
      <c r="C8619" s="501" t="s">
        <v>1094</v>
      </c>
      <c r="D8619" s="501" t="s">
        <v>3380</v>
      </c>
      <c r="E8619" s="501" t="s">
        <v>3381</v>
      </c>
      <c r="F8619" s="501" t="s">
        <v>962</v>
      </c>
      <c r="G8619" s="501" t="s">
        <v>963</v>
      </c>
      <c r="H8619" s="501" t="s">
        <v>10353</v>
      </c>
      <c r="I8619" s="501">
        <v>11</v>
      </c>
      <c r="J8619" s="501">
        <v>11</v>
      </c>
      <c r="K8619" s="501">
        <v>0</v>
      </c>
      <c r="L8619" s="501">
        <v>0</v>
      </c>
      <c r="M8619" s="501">
        <v>0</v>
      </c>
      <c r="N8619" s="501">
        <v>0</v>
      </c>
      <c r="O8619" s="506">
        <v>0</v>
      </c>
    </row>
    <row r="8620" spans="1:15" x14ac:dyDescent="0.35">
      <c r="A8620" s="503" t="s">
        <v>1228</v>
      </c>
      <c r="B8620" s="504" t="s">
        <v>3321</v>
      </c>
      <c r="C8620" s="504" t="s">
        <v>1094</v>
      </c>
      <c r="D8620" s="504" t="s">
        <v>3380</v>
      </c>
      <c r="E8620" s="504" t="s">
        <v>3381</v>
      </c>
      <c r="F8620" s="504" t="s">
        <v>962</v>
      </c>
      <c r="G8620" s="504" t="s">
        <v>963</v>
      </c>
      <c r="H8620" s="504" t="s">
        <v>10354</v>
      </c>
      <c r="I8620" s="504">
        <v>28</v>
      </c>
      <c r="J8620" s="504">
        <v>0</v>
      </c>
      <c r="K8620" s="504">
        <v>0</v>
      </c>
      <c r="L8620" s="504">
        <v>28</v>
      </c>
      <c r="M8620" s="504">
        <v>0</v>
      </c>
      <c r="N8620" s="504">
        <v>0</v>
      </c>
      <c r="O8620" s="505">
        <v>0</v>
      </c>
    </row>
    <row r="8621" spans="1:15" x14ac:dyDescent="0.35">
      <c r="A8621" s="500" t="s">
        <v>1752</v>
      </c>
      <c r="B8621" s="501">
        <v>4653</v>
      </c>
      <c r="C8621" s="501" t="s">
        <v>1094</v>
      </c>
      <c r="D8621" s="501" t="s">
        <v>3380</v>
      </c>
      <c r="E8621" s="501" t="s">
        <v>3381</v>
      </c>
      <c r="F8621" s="501" t="s">
        <v>962</v>
      </c>
      <c r="G8621" s="501" t="s">
        <v>963</v>
      </c>
      <c r="H8621" s="501" t="s">
        <v>10355</v>
      </c>
      <c r="I8621" s="501">
        <v>78</v>
      </c>
      <c r="J8621" s="501">
        <v>78</v>
      </c>
      <c r="K8621" s="501">
        <v>0</v>
      </c>
      <c r="L8621" s="501">
        <v>0</v>
      </c>
      <c r="M8621" s="501">
        <v>0</v>
      </c>
      <c r="N8621" s="501">
        <v>0</v>
      </c>
      <c r="O8621" s="506">
        <v>0</v>
      </c>
    </row>
    <row r="8622" spans="1:15" x14ac:dyDescent="0.35">
      <c r="A8622" s="503" t="s">
        <v>1234</v>
      </c>
      <c r="B8622" s="504" t="s">
        <v>3291</v>
      </c>
      <c r="C8622" s="504" t="s">
        <v>1094</v>
      </c>
      <c r="D8622" s="504" t="s">
        <v>3380</v>
      </c>
      <c r="E8622" s="504" t="s">
        <v>3381</v>
      </c>
      <c r="F8622" s="504" t="s">
        <v>962</v>
      </c>
      <c r="G8622" s="504" t="s">
        <v>963</v>
      </c>
      <c r="H8622" s="504" t="s">
        <v>10356</v>
      </c>
      <c r="I8622" s="504">
        <v>24</v>
      </c>
      <c r="J8622" s="504">
        <v>0</v>
      </c>
      <c r="K8622" s="504">
        <v>0</v>
      </c>
      <c r="L8622" s="504">
        <v>0</v>
      </c>
      <c r="M8622" s="504">
        <v>24</v>
      </c>
      <c r="N8622" s="504">
        <v>0</v>
      </c>
      <c r="O8622" s="505">
        <v>0</v>
      </c>
    </row>
    <row r="8623" spans="1:15" x14ac:dyDescent="0.35">
      <c r="A8623" s="500" t="s">
        <v>1778</v>
      </c>
      <c r="B8623" s="501">
        <v>5052</v>
      </c>
      <c r="C8623" s="501" t="s">
        <v>1089</v>
      </c>
      <c r="D8623" s="501" t="s">
        <v>3392</v>
      </c>
      <c r="E8623" s="501" t="s">
        <v>3381</v>
      </c>
      <c r="F8623" s="501" t="s">
        <v>962</v>
      </c>
      <c r="G8623" s="501" t="s">
        <v>963</v>
      </c>
      <c r="H8623" s="501" t="s">
        <v>10359</v>
      </c>
      <c r="I8623" s="501">
        <v>51</v>
      </c>
      <c r="J8623" s="501">
        <v>51</v>
      </c>
      <c r="K8623" s="501">
        <v>0</v>
      </c>
      <c r="L8623" s="501">
        <v>0</v>
      </c>
      <c r="M8623" s="501">
        <v>0</v>
      </c>
      <c r="N8623" s="501">
        <v>0</v>
      </c>
      <c r="O8623" s="506">
        <v>0</v>
      </c>
    </row>
    <row r="8624" spans="1:15" x14ac:dyDescent="0.35">
      <c r="A8624" s="503" t="s">
        <v>1249</v>
      </c>
      <c r="B8624" s="504">
        <v>4729</v>
      </c>
      <c r="C8624" s="504" t="s">
        <v>1094</v>
      </c>
      <c r="D8624" s="504" t="s">
        <v>3380</v>
      </c>
      <c r="E8624" s="504" t="s">
        <v>3381</v>
      </c>
      <c r="F8624" s="504" t="s">
        <v>962</v>
      </c>
      <c r="G8624" s="504" t="s">
        <v>963</v>
      </c>
      <c r="H8624" s="504" t="s">
        <v>10357</v>
      </c>
      <c r="I8624" s="504">
        <v>313</v>
      </c>
      <c r="J8624" s="504">
        <v>257</v>
      </c>
      <c r="K8624" s="504">
        <v>0</v>
      </c>
      <c r="L8624" s="504">
        <v>0</v>
      </c>
      <c r="M8624" s="504">
        <v>28</v>
      </c>
      <c r="N8624" s="504">
        <v>0</v>
      </c>
      <c r="O8624" s="505">
        <v>28</v>
      </c>
    </row>
    <row r="8625" spans="1:15" x14ac:dyDescent="0.35">
      <c r="A8625" s="500" t="s">
        <v>1253</v>
      </c>
      <c r="B8625" s="501" t="s">
        <v>3232</v>
      </c>
      <c r="C8625" s="501" t="s">
        <v>1094</v>
      </c>
      <c r="D8625" s="501" t="s">
        <v>3380</v>
      </c>
      <c r="E8625" s="501" t="s">
        <v>3381</v>
      </c>
      <c r="F8625" s="501" t="s">
        <v>962</v>
      </c>
      <c r="G8625" s="501" t="s">
        <v>963</v>
      </c>
      <c r="H8625" s="501" t="s">
        <v>10358</v>
      </c>
      <c r="I8625" s="501">
        <v>66</v>
      </c>
      <c r="J8625" s="501">
        <v>66</v>
      </c>
      <c r="K8625" s="501">
        <v>0</v>
      </c>
      <c r="L8625" s="501">
        <v>0</v>
      </c>
      <c r="M8625" s="501">
        <v>0</v>
      </c>
      <c r="N8625" s="501">
        <v>0</v>
      </c>
      <c r="O8625" s="506">
        <v>0</v>
      </c>
    </row>
    <row r="8626" spans="1:15" x14ac:dyDescent="0.35">
      <c r="A8626" s="503" t="s">
        <v>1780</v>
      </c>
      <c r="B8626" s="504" t="s">
        <v>3192</v>
      </c>
      <c r="C8626" s="504" t="s">
        <v>1094</v>
      </c>
      <c r="D8626" s="504" t="s">
        <v>3380</v>
      </c>
      <c r="E8626" s="504" t="s">
        <v>3381</v>
      </c>
      <c r="F8626" s="504" t="s">
        <v>962</v>
      </c>
      <c r="G8626" s="504" t="s">
        <v>963</v>
      </c>
      <c r="H8626" s="504" t="s">
        <v>10360</v>
      </c>
      <c r="I8626" s="504">
        <v>8875</v>
      </c>
      <c r="J8626" s="504">
        <v>6042</v>
      </c>
      <c r="K8626" s="504">
        <v>0</v>
      </c>
      <c r="L8626" s="504">
        <v>136</v>
      </c>
      <c r="M8626" s="504">
        <v>2542</v>
      </c>
      <c r="N8626" s="504">
        <v>0</v>
      </c>
      <c r="O8626" s="505">
        <v>155</v>
      </c>
    </row>
    <row r="8627" spans="1:15" x14ac:dyDescent="0.35">
      <c r="A8627" s="500" t="s">
        <v>11410</v>
      </c>
      <c r="B8627" s="501" t="s">
        <v>3162</v>
      </c>
      <c r="C8627" s="501" t="s">
        <v>1094</v>
      </c>
      <c r="D8627" s="501" t="s">
        <v>3380</v>
      </c>
      <c r="E8627" s="501" t="s">
        <v>3381</v>
      </c>
      <c r="F8627" s="501" t="s">
        <v>962</v>
      </c>
      <c r="G8627" s="501" t="s">
        <v>963</v>
      </c>
      <c r="H8627" s="501" t="s">
        <v>12257</v>
      </c>
      <c r="I8627" s="501">
        <v>39</v>
      </c>
      <c r="J8627" s="501">
        <v>39</v>
      </c>
      <c r="K8627" s="501">
        <v>0</v>
      </c>
      <c r="L8627" s="501">
        <v>0</v>
      </c>
      <c r="M8627" s="501">
        <v>0</v>
      </c>
      <c r="N8627" s="501">
        <v>0</v>
      </c>
      <c r="O8627" s="506">
        <v>0</v>
      </c>
    </row>
    <row r="8628" spans="1:15" x14ac:dyDescent="0.35">
      <c r="A8628" s="503" t="s">
        <v>1266</v>
      </c>
      <c r="B8628" s="504" t="s">
        <v>3071</v>
      </c>
      <c r="C8628" s="504" t="s">
        <v>1094</v>
      </c>
      <c r="D8628" s="504" t="s">
        <v>3380</v>
      </c>
      <c r="E8628" s="504" t="s">
        <v>3381</v>
      </c>
      <c r="F8628" s="504" t="s">
        <v>962</v>
      </c>
      <c r="G8628" s="504" t="s">
        <v>963</v>
      </c>
      <c r="H8628" s="504" t="s">
        <v>10361</v>
      </c>
      <c r="I8628" s="504">
        <v>1860</v>
      </c>
      <c r="J8628" s="504">
        <v>1736</v>
      </c>
      <c r="K8628" s="504">
        <v>0</v>
      </c>
      <c r="L8628" s="504">
        <v>0</v>
      </c>
      <c r="M8628" s="504">
        <v>59</v>
      </c>
      <c r="N8628" s="504">
        <v>0</v>
      </c>
      <c r="O8628" s="505">
        <v>65</v>
      </c>
    </row>
    <row r="8629" spans="1:15" x14ac:dyDescent="0.35">
      <c r="A8629" s="500" t="s">
        <v>1385</v>
      </c>
      <c r="B8629" s="501" t="s">
        <v>3249</v>
      </c>
      <c r="C8629" s="501" t="s">
        <v>1094</v>
      </c>
      <c r="D8629" s="501" t="s">
        <v>3380</v>
      </c>
      <c r="E8629" s="501" t="s">
        <v>3381</v>
      </c>
      <c r="F8629" s="501" t="s">
        <v>964</v>
      </c>
      <c r="G8629" s="501" t="s">
        <v>965</v>
      </c>
      <c r="H8629" s="501" t="s">
        <v>10362</v>
      </c>
      <c r="I8629" s="501">
        <v>11</v>
      </c>
      <c r="J8629" s="501">
        <v>0</v>
      </c>
      <c r="K8629" s="501">
        <v>0</v>
      </c>
      <c r="L8629" s="501">
        <v>11</v>
      </c>
      <c r="M8629" s="501">
        <v>0</v>
      </c>
      <c r="N8629" s="501">
        <v>0</v>
      </c>
      <c r="O8629" s="506">
        <v>0</v>
      </c>
    </row>
    <row r="8630" spans="1:15" x14ac:dyDescent="0.35">
      <c r="A8630" s="503" t="s">
        <v>1792</v>
      </c>
      <c r="B8630" s="504" t="s">
        <v>2845</v>
      </c>
      <c r="C8630" s="504" t="s">
        <v>1089</v>
      </c>
      <c r="D8630" s="504" t="s">
        <v>3392</v>
      </c>
      <c r="E8630" s="504" t="s">
        <v>3381</v>
      </c>
      <c r="F8630" s="504" t="s">
        <v>964</v>
      </c>
      <c r="G8630" s="504" t="s">
        <v>965</v>
      </c>
      <c r="H8630" s="504" t="s">
        <v>10363</v>
      </c>
      <c r="I8630" s="504">
        <v>14</v>
      </c>
      <c r="J8630" s="504">
        <v>0</v>
      </c>
      <c r="K8630" s="504">
        <v>0</v>
      </c>
      <c r="L8630" s="504">
        <v>14</v>
      </c>
      <c r="M8630" s="504">
        <v>0</v>
      </c>
      <c r="N8630" s="504">
        <v>0</v>
      </c>
      <c r="O8630" s="505">
        <v>0</v>
      </c>
    </row>
    <row r="8631" spans="1:15" x14ac:dyDescent="0.35">
      <c r="A8631" s="500" t="s">
        <v>1093</v>
      </c>
      <c r="B8631" s="501" t="s">
        <v>3248</v>
      </c>
      <c r="C8631" s="501" t="s">
        <v>1094</v>
      </c>
      <c r="D8631" s="501" t="s">
        <v>3380</v>
      </c>
      <c r="E8631" s="501" t="s">
        <v>3381</v>
      </c>
      <c r="F8631" s="501" t="s">
        <v>964</v>
      </c>
      <c r="G8631" s="501" t="s">
        <v>965</v>
      </c>
      <c r="H8631" s="501" t="s">
        <v>10364</v>
      </c>
      <c r="I8631" s="501">
        <v>1</v>
      </c>
      <c r="J8631" s="501">
        <v>0</v>
      </c>
      <c r="K8631" s="501">
        <v>0</v>
      </c>
      <c r="L8631" s="501">
        <v>0</v>
      </c>
      <c r="M8631" s="501">
        <v>0</v>
      </c>
      <c r="N8631" s="501">
        <v>0</v>
      </c>
      <c r="O8631" s="506">
        <v>1</v>
      </c>
    </row>
    <row r="8632" spans="1:15" x14ac:dyDescent="0.35">
      <c r="A8632" s="503" t="s">
        <v>1096</v>
      </c>
      <c r="B8632" s="504" t="s">
        <v>3326</v>
      </c>
      <c r="C8632" s="504" t="s">
        <v>1094</v>
      </c>
      <c r="D8632" s="504" t="s">
        <v>3380</v>
      </c>
      <c r="E8632" s="504" t="s">
        <v>3381</v>
      </c>
      <c r="F8632" s="504" t="s">
        <v>964</v>
      </c>
      <c r="G8632" s="504" t="s">
        <v>965</v>
      </c>
      <c r="H8632" s="504" t="s">
        <v>10365</v>
      </c>
      <c r="I8632" s="504">
        <v>24</v>
      </c>
      <c r="J8632" s="504">
        <v>0</v>
      </c>
      <c r="K8632" s="504">
        <v>0</v>
      </c>
      <c r="L8632" s="504">
        <v>0</v>
      </c>
      <c r="M8632" s="504">
        <v>24</v>
      </c>
      <c r="N8632" s="504">
        <v>0</v>
      </c>
      <c r="O8632" s="505">
        <v>0</v>
      </c>
    </row>
    <row r="8633" spans="1:15" x14ac:dyDescent="0.35">
      <c r="A8633" s="500" t="s">
        <v>1805</v>
      </c>
      <c r="B8633" s="501" t="s">
        <v>2575</v>
      </c>
      <c r="C8633" s="501" t="s">
        <v>1089</v>
      </c>
      <c r="D8633" s="501" t="s">
        <v>3392</v>
      </c>
      <c r="E8633" s="501" t="s">
        <v>3381</v>
      </c>
      <c r="F8633" s="501" t="s">
        <v>964</v>
      </c>
      <c r="G8633" s="501" t="s">
        <v>965</v>
      </c>
      <c r="H8633" s="501" t="s">
        <v>10366</v>
      </c>
      <c r="I8633" s="501">
        <v>9</v>
      </c>
      <c r="J8633" s="501">
        <v>9</v>
      </c>
      <c r="K8633" s="501">
        <v>0</v>
      </c>
      <c r="L8633" s="501">
        <v>0</v>
      </c>
      <c r="M8633" s="501">
        <v>0</v>
      </c>
      <c r="N8633" s="501">
        <v>0</v>
      </c>
      <c r="O8633" s="506">
        <v>0</v>
      </c>
    </row>
    <row r="8634" spans="1:15" x14ac:dyDescent="0.35">
      <c r="A8634" s="503" t="s">
        <v>1100</v>
      </c>
      <c r="B8634" s="504">
        <v>4865</v>
      </c>
      <c r="C8634" s="504" t="s">
        <v>1094</v>
      </c>
      <c r="D8634" s="504" t="s">
        <v>3380</v>
      </c>
      <c r="E8634" s="504" t="s">
        <v>3381</v>
      </c>
      <c r="F8634" s="504" t="s">
        <v>964</v>
      </c>
      <c r="G8634" s="504" t="s">
        <v>965</v>
      </c>
      <c r="H8634" s="504" t="s">
        <v>10367</v>
      </c>
      <c r="I8634" s="504">
        <v>76</v>
      </c>
      <c r="J8634" s="504">
        <v>51</v>
      </c>
      <c r="K8634" s="504">
        <v>0</v>
      </c>
      <c r="L8634" s="504">
        <v>0</v>
      </c>
      <c r="M8634" s="504">
        <v>25</v>
      </c>
      <c r="N8634" s="504">
        <v>0</v>
      </c>
      <c r="O8634" s="505">
        <v>0</v>
      </c>
    </row>
    <row r="8635" spans="1:15" x14ac:dyDescent="0.35">
      <c r="A8635" s="500" t="s">
        <v>1288</v>
      </c>
      <c r="B8635" s="501" t="s">
        <v>3243</v>
      </c>
      <c r="C8635" s="501" t="s">
        <v>1089</v>
      </c>
      <c r="D8635" s="501" t="s">
        <v>3392</v>
      </c>
      <c r="E8635" s="501" t="s">
        <v>3381</v>
      </c>
      <c r="F8635" s="501" t="s">
        <v>964</v>
      </c>
      <c r="G8635" s="501" t="s">
        <v>965</v>
      </c>
      <c r="H8635" s="501" t="s">
        <v>10368</v>
      </c>
      <c r="I8635" s="501">
        <v>16</v>
      </c>
      <c r="J8635" s="501">
        <v>16</v>
      </c>
      <c r="K8635" s="501">
        <v>0</v>
      </c>
      <c r="L8635" s="501">
        <v>0</v>
      </c>
      <c r="M8635" s="501">
        <v>0</v>
      </c>
      <c r="N8635" s="501">
        <v>0</v>
      </c>
      <c r="O8635" s="506">
        <v>0</v>
      </c>
    </row>
    <row r="8636" spans="1:15" x14ac:dyDescent="0.35">
      <c r="A8636" s="503" t="s">
        <v>1827</v>
      </c>
      <c r="B8636" s="504" t="s">
        <v>2637</v>
      </c>
      <c r="C8636" s="504" t="s">
        <v>1089</v>
      </c>
      <c r="D8636" s="504" t="s">
        <v>3392</v>
      </c>
      <c r="E8636" s="504" t="s">
        <v>3381</v>
      </c>
      <c r="F8636" s="504" t="s">
        <v>964</v>
      </c>
      <c r="G8636" s="504" t="s">
        <v>965</v>
      </c>
      <c r="H8636" s="504" t="s">
        <v>10369</v>
      </c>
      <c r="I8636" s="504">
        <v>14</v>
      </c>
      <c r="J8636" s="504">
        <v>0</v>
      </c>
      <c r="K8636" s="504">
        <v>0</v>
      </c>
      <c r="L8636" s="504">
        <v>0</v>
      </c>
      <c r="M8636" s="504">
        <v>14</v>
      </c>
      <c r="N8636" s="504">
        <v>0</v>
      </c>
      <c r="O8636" s="505">
        <v>0</v>
      </c>
    </row>
    <row r="8637" spans="1:15" x14ac:dyDescent="0.35">
      <c r="A8637" s="500" t="s">
        <v>1175</v>
      </c>
      <c r="B8637" s="501" t="s">
        <v>3141</v>
      </c>
      <c r="C8637" s="501" t="s">
        <v>1094</v>
      </c>
      <c r="D8637" s="501" t="s">
        <v>3380</v>
      </c>
      <c r="E8637" s="501" t="s">
        <v>3381</v>
      </c>
      <c r="F8637" s="501" t="s">
        <v>964</v>
      </c>
      <c r="G8637" s="501" t="s">
        <v>965</v>
      </c>
      <c r="H8637" s="501" t="s">
        <v>10370</v>
      </c>
      <c r="I8637" s="501">
        <v>22</v>
      </c>
      <c r="J8637" s="501">
        <v>16</v>
      </c>
      <c r="K8637" s="501">
        <v>0</v>
      </c>
      <c r="L8637" s="501">
        <v>0</v>
      </c>
      <c r="M8637" s="501">
        <v>0</v>
      </c>
      <c r="N8637" s="501">
        <v>0</v>
      </c>
      <c r="O8637" s="506">
        <v>6</v>
      </c>
    </row>
    <row r="8638" spans="1:15" x14ac:dyDescent="0.35">
      <c r="A8638" s="503" t="s">
        <v>14208</v>
      </c>
      <c r="B8638" s="504">
        <v>4803</v>
      </c>
      <c r="C8638" s="504" t="s">
        <v>1094</v>
      </c>
      <c r="D8638" s="504" t="s">
        <v>3380</v>
      </c>
      <c r="E8638" s="504" t="s">
        <v>3381</v>
      </c>
      <c r="F8638" s="504" t="s">
        <v>964</v>
      </c>
      <c r="G8638" s="504" t="s">
        <v>965</v>
      </c>
      <c r="H8638" s="504" t="s">
        <v>15189</v>
      </c>
      <c r="I8638" s="504">
        <v>7</v>
      </c>
      <c r="J8638" s="504">
        <v>0</v>
      </c>
      <c r="K8638" s="504">
        <v>0</v>
      </c>
      <c r="L8638" s="504">
        <v>7</v>
      </c>
      <c r="M8638" s="504">
        <v>0</v>
      </c>
      <c r="N8638" s="504">
        <v>0</v>
      </c>
      <c r="O8638" s="505">
        <v>0</v>
      </c>
    </row>
    <row r="8639" spans="1:15" x14ac:dyDescent="0.35">
      <c r="A8639" s="500" t="s">
        <v>1443</v>
      </c>
      <c r="B8639" s="501" t="s">
        <v>3356</v>
      </c>
      <c r="C8639" s="501" t="s">
        <v>1094</v>
      </c>
      <c r="D8639" s="501" t="s">
        <v>3380</v>
      </c>
      <c r="E8639" s="501" t="s">
        <v>3381</v>
      </c>
      <c r="F8639" s="501" t="s">
        <v>964</v>
      </c>
      <c r="G8639" s="501" t="s">
        <v>965</v>
      </c>
      <c r="H8639" s="501" t="s">
        <v>10371</v>
      </c>
      <c r="I8639" s="501">
        <v>29</v>
      </c>
      <c r="J8639" s="501">
        <v>26</v>
      </c>
      <c r="K8639" s="501">
        <v>0</v>
      </c>
      <c r="L8639" s="501">
        <v>0</v>
      </c>
      <c r="M8639" s="501">
        <v>0</v>
      </c>
      <c r="N8639" s="501">
        <v>0</v>
      </c>
      <c r="O8639" s="506">
        <v>3</v>
      </c>
    </row>
    <row r="8640" spans="1:15" x14ac:dyDescent="0.35">
      <c r="A8640" s="503" t="s">
        <v>1185</v>
      </c>
      <c r="B8640" s="504" t="s">
        <v>3253</v>
      </c>
      <c r="C8640" s="504" t="s">
        <v>1094</v>
      </c>
      <c r="D8640" s="504" t="s">
        <v>3380</v>
      </c>
      <c r="E8640" s="504" t="s">
        <v>3381</v>
      </c>
      <c r="F8640" s="504" t="s">
        <v>964</v>
      </c>
      <c r="G8640" s="504" t="s">
        <v>965</v>
      </c>
      <c r="H8640" s="504" t="s">
        <v>10372</v>
      </c>
      <c r="I8640" s="504">
        <v>38</v>
      </c>
      <c r="J8640" s="504">
        <v>10</v>
      </c>
      <c r="K8640" s="504">
        <v>0</v>
      </c>
      <c r="L8640" s="504">
        <v>27</v>
      </c>
      <c r="M8640" s="504">
        <v>1</v>
      </c>
      <c r="N8640" s="504">
        <v>0</v>
      </c>
      <c r="O8640" s="505">
        <v>0</v>
      </c>
    </row>
    <row r="8641" spans="1:15" x14ac:dyDescent="0.35">
      <c r="A8641" s="500" t="s">
        <v>1187</v>
      </c>
      <c r="B8641" s="501" t="s">
        <v>2951</v>
      </c>
      <c r="C8641" s="501" t="s">
        <v>1094</v>
      </c>
      <c r="D8641" s="501" t="s">
        <v>3380</v>
      </c>
      <c r="E8641" s="501" t="s">
        <v>3381</v>
      </c>
      <c r="F8641" s="501" t="s">
        <v>964</v>
      </c>
      <c r="G8641" s="501" t="s">
        <v>965</v>
      </c>
      <c r="H8641" s="501" t="s">
        <v>10373</v>
      </c>
      <c r="I8641" s="501">
        <v>48</v>
      </c>
      <c r="J8641" s="501">
        <v>46</v>
      </c>
      <c r="K8641" s="501">
        <v>0</v>
      </c>
      <c r="L8641" s="501">
        <v>0</v>
      </c>
      <c r="M8641" s="501">
        <v>0</v>
      </c>
      <c r="N8641" s="501">
        <v>0</v>
      </c>
      <c r="O8641" s="506">
        <v>2</v>
      </c>
    </row>
    <row r="8642" spans="1:15" x14ac:dyDescent="0.35">
      <c r="A8642" s="503" t="s">
        <v>1845</v>
      </c>
      <c r="B8642" s="504" t="s">
        <v>3021</v>
      </c>
      <c r="C8642" s="504" t="s">
        <v>1089</v>
      </c>
      <c r="D8642" s="504" t="s">
        <v>3392</v>
      </c>
      <c r="E8642" s="504" t="s">
        <v>3381</v>
      </c>
      <c r="F8642" s="504" t="s">
        <v>964</v>
      </c>
      <c r="G8642" s="504" t="s">
        <v>965</v>
      </c>
      <c r="H8642" s="504" t="s">
        <v>10374</v>
      </c>
      <c r="I8642" s="504">
        <v>100</v>
      </c>
      <c r="J8642" s="504">
        <v>100</v>
      </c>
      <c r="K8642" s="504">
        <v>0</v>
      </c>
      <c r="L8642" s="504">
        <v>0</v>
      </c>
      <c r="M8642" s="504">
        <v>0</v>
      </c>
      <c r="N8642" s="504">
        <v>0</v>
      </c>
      <c r="O8642" s="505">
        <v>0</v>
      </c>
    </row>
    <row r="8643" spans="1:15" x14ac:dyDescent="0.35">
      <c r="A8643" s="500" t="s">
        <v>1105</v>
      </c>
      <c r="B8643" s="501">
        <v>4668</v>
      </c>
      <c r="C8643" s="501" t="s">
        <v>1094</v>
      </c>
      <c r="D8643" s="501" t="s">
        <v>3380</v>
      </c>
      <c r="E8643" s="501" t="s">
        <v>3381</v>
      </c>
      <c r="F8643" s="501" t="s">
        <v>964</v>
      </c>
      <c r="G8643" s="501" t="s">
        <v>965</v>
      </c>
      <c r="H8643" s="501" t="s">
        <v>11742</v>
      </c>
      <c r="I8643" s="501">
        <v>20</v>
      </c>
      <c r="J8643" s="501">
        <v>0</v>
      </c>
      <c r="K8643" s="501">
        <v>0</v>
      </c>
      <c r="L8643" s="501">
        <v>0</v>
      </c>
      <c r="M8643" s="501">
        <v>0</v>
      </c>
      <c r="N8643" s="501">
        <v>0</v>
      </c>
      <c r="O8643" s="506">
        <v>20</v>
      </c>
    </row>
    <row r="8644" spans="1:15" x14ac:dyDescent="0.35">
      <c r="A8644" s="503" t="s">
        <v>1107</v>
      </c>
      <c r="B8644" s="504" t="s">
        <v>3109</v>
      </c>
      <c r="C8644" s="504" t="s">
        <v>1094</v>
      </c>
      <c r="D8644" s="504" t="s">
        <v>3380</v>
      </c>
      <c r="E8644" s="504" t="s">
        <v>3381</v>
      </c>
      <c r="F8644" s="504" t="s">
        <v>964</v>
      </c>
      <c r="G8644" s="504" t="s">
        <v>965</v>
      </c>
      <c r="H8644" s="504" t="s">
        <v>10375</v>
      </c>
      <c r="I8644" s="504">
        <v>153</v>
      </c>
      <c r="J8644" s="504">
        <v>153</v>
      </c>
      <c r="K8644" s="504">
        <v>0</v>
      </c>
      <c r="L8644" s="504">
        <v>0</v>
      </c>
      <c r="M8644" s="504">
        <v>0</v>
      </c>
      <c r="N8644" s="504">
        <v>0</v>
      </c>
      <c r="O8644" s="505">
        <v>0</v>
      </c>
    </row>
    <row r="8645" spans="1:15" x14ac:dyDescent="0.35">
      <c r="A8645" s="500" t="s">
        <v>1189</v>
      </c>
      <c r="B8645" s="501" t="s">
        <v>3236</v>
      </c>
      <c r="C8645" s="501" t="s">
        <v>1094</v>
      </c>
      <c r="D8645" s="501" t="s">
        <v>3380</v>
      </c>
      <c r="E8645" s="501" t="s">
        <v>3381</v>
      </c>
      <c r="F8645" s="501" t="s">
        <v>964</v>
      </c>
      <c r="G8645" s="501" t="s">
        <v>965</v>
      </c>
      <c r="H8645" s="501" t="s">
        <v>10376</v>
      </c>
      <c r="I8645" s="501">
        <v>142</v>
      </c>
      <c r="J8645" s="501">
        <v>120</v>
      </c>
      <c r="K8645" s="501">
        <v>0</v>
      </c>
      <c r="L8645" s="501">
        <v>0</v>
      </c>
      <c r="M8645" s="501">
        <v>14</v>
      </c>
      <c r="N8645" s="501">
        <v>0</v>
      </c>
      <c r="O8645" s="506">
        <v>8</v>
      </c>
    </row>
    <row r="8646" spans="1:15" x14ac:dyDescent="0.35">
      <c r="A8646" s="503" t="s">
        <v>1114</v>
      </c>
      <c r="B8646" s="504" t="s">
        <v>2982</v>
      </c>
      <c r="C8646" s="504" t="s">
        <v>1094</v>
      </c>
      <c r="D8646" s="504" t="s">
        <v>3380</v>
      </c>
      <c r="E8646" s="504" t="s">
        <v>3381</v>
      </c>
      <c r="F8646" s="504" t="s">
        <v>964</v>
      </c>
      <c r="G8646" s="504" t="s">
        <v>965</v>
      </c>
      <c r="H8646" s="504" t="s">
        <v>10377</v>
      </c>
      <c r="I8646" s="504">
        <v>601</v>
      </c>
      <c r="J8646" s="504">
        <v>294</v>
      </c>
      <c r="K8646" s="504">
        <v>0</v>
      </c>
      <c r="L8646" s="504">
        <v>48</v>
      </c>
      <c r="M8646" s="504">
        <v>29</v>
      </c>
      <c r="N8646" s="504">
        <v>0</v>
      </c>
      <c r="O8646" s="505">
        <v>230</v>
      </c>
    </row>
    <row r="8647" spans="1:15" x14ac:dyDescent="0.35">
      <c r="A8647" s="500" t="s">
        <v>1320</v>
      </c>
      <c r="B8647" s="501">
        <v>4720</v>
      </c>
      <c r="C8647" s="501" t="s">
        <v>1089</v>
      </c>
      <c r="D8647" s="501" t="s">
        <v>3392</v>
      </c>
      <c r="E8647" s="501" t="s">
        <v>3381</v>
      </c>
      <c r="F8647" s="501" t="s">
        <v>964</v>
      </c>
      <c r="G8647" s="501" t="s">
        <v>965</v>
      </c>
      <c r="H8647" s="501" t="s">
        <v>11888</v>
      </c>
      <c r="I8647" s="501">
        <v>2</v>
      </c>
      <c r="J8647" s="501">
        <v>2</v>
      </c>
      <c r="K8647" s="501">
        <v>0</v>
      </c>
      <c r="L8647" s="501">
        <v>0</v>
      </c>
      <c r="M8647" s="501">
        <v>0</v>
      </c>
      <c r="N8647" s="501">
        <v>0</v>
      </c>
      <c r="O8647" s="506">
        <v>0</v>
      </c>
    </row>
    <row r="8648" spans="1:15" x14ac:dyDescent="0.35">
      <c r="A8648" s="503" t="s">
        <v>1322</v>
      </c>
      <c r="B8648" s="504" t="s">
        <v>3244</v>
      </c>
      <c r="C8648" s="504" t="s">
        <v>1094</v>
      </c>
      <c r="D8648" s="504" t="s">
        <v>3380</v>
      </c>
      <c r="E8648" s="504" t="s">
        <v>3381</v>
      </c>
      <c r="F8648" s="504" t="s">
        <v>964</v>
      </c>
      <c r="G8648" s="504" t="s">
        <v>965</v>
      </c>
      <c r="H8648" s="504" t="s">
        <v>10378</v>
      </c>
      <c r="I8648" s="504">
        <v>4</v>
      </c>
      <c r="J8648" s="504">
        <v>0</v>
      </c>
      <c r="K8648" s="504">
        <v>0</v>
      </c>
      <c r="L8648" s="504">
        <v>0</v>
      </c>
      <c r="M8648" s="504">
        <v>0</v>
      </c>
      <c r="N8648" s="504">
        <v>0</v>
      </c>
      <c r="O8648" s="505">
        <v>4</v>
      </c>
    </row>
    <row r="8649" spans="1:15" x14ac:dyDescent="0.35">
      <c r="A8649" s="500" t="s">
        <v>1218</v>
      </c>
      <c r="B8649" s="501" t="s">
        <v>3147</v>
      </c>
      <c r="C8649" s="501" t="s">
        <v>1094</v>
      </c>
      <c r="D8649" s="501" t="s">
        <v>3380</v>
      </c>
      <c r="E8649" s="501" t="s">
        <v>3381</v>
      </c>
      <c r="F8649" s="501" t="s">
        <v>964</v>
      </c>
      <c r="G8649" s="501" t="s">
        <v>965</v>
      </c>
      <c r="H8649" s="501" t="s">
        <v>10379</v>
      </c>
      <c r="I8649" s="501">
        <v>12</v>
      </c>
      <c r="J8649" s="501">
        <v>0</v>
      </c>
      <c r="K8649" s="501">
        <v>0</v>
      </c>
      <c r="L8649" s="501">
        <v>0</v>
      </c>
      <c r="M8649" s="501">
        <v>0</v>
      </c>
      <c r="N8649" s="501">
        <v>0</v>
      </c>
      <c r="O8649" s="506">
        <v>12</v>
      </c>
    </row>
    <row r="8650" spans="1:15" x14ac:dyDescent="0.35">
      <c r="A8650" s="503" t="s">
        <v>11367</v>
      </c>
      <c r="B8650" s="504" t="s">
        <v>3143</v>
      </c>
      <c r="C8650" s="504" t="s">
        <v>1094</v>
      </c>
      <c r="D8650" s="504" t="s">
        <v>3380</v>
      </c>
      <c r="E8650" s="504" t="s">
        <v>3381</v>
      </c>
      <c r="F8650" s="504" t="s">
        <v>964</v>
      </c>
      <c r="G8650" s="504" t="s">
        <v>965</v>
      </c>
      <c r="H8650" s="504" t="s">
        <v>11960</v>
      </c>
      <c r="I8650" s="504">
        <v>206</v>
      </c>
      <c r="J8650" s="504">
        <v>206</v>
      </c>
      <c r="K8650" s="504">
        <v>0</v>
      </c>
      <c r="L8650" s="504">
        <v>0</v>
      </c>
      <c r="M8650" s="504">
        <v>0</v>
      </c>
      <c r="N8650" s="504">
        <v>3</v>
      </c>
      <c r="O8650" s="505">
        <v>0</v>
      </c>
    </row>
    <row r="8651" spans="1:15" x14ac:dyDescent="0.35">
      <c r="A8651" s="500" t="s">
        <v>1221</v>
      </c>
      <c r="B8651" s="501">
        <v>4728</v>
      </c>
      <c r="C8651" s="501" t="s">
        <v>1089</v>
      </c>
      <c r="D8651" s="501" t="s">
        <v>3392</v>
      </c>
      <c r="E8651" s="501" t="s">
        <v>3381</v>
      </c>
      <c r="F8651" s="501" t="s">
        <v>964</v>
      </c>
      <c r="G8651" s="501" t="s">
        <v>965</v>
      </c>
      <c r="H8651" s="501" t="s">
        <v>10380</v>
      </c>
      <c r="I8651" s="501">
        <v>22</v>
      </c>
      <c r="J8651" s="501">
        <v>0</v>
      </c>
      <c r="K8651" s="501">
        <v>0</v>
      </c>
      <c r="L8651" s="501">
        <v>22</v>
      </c>
      <c r="M8651" s="501">
        <v>0</v>
      </c>
      <c r="N8651" s="501">
        <v>0</v>
      </c>
      <c r="O8651" s="506">
        <v>0</v>
      </c>
    </row>
    <row r="8652" spans="1:15" x14ac:dyDescent="0.35">
      <c r="A8652" s="503" t="s">
        <v>1534</v>
      </c>
      <c r="B8652" s="504" t="s">
        <v>3092</v>
      </c>
      <c r="C8652" s="504" t="s">
        <v>1089</v>
      </c>
      <c r="D8652" s="504" t="s">
        <v>3392</v>
      </c>
      <c r="E8652" s="504" t="s">
        <v>3381</v>
      </c>
      <c r="F8652" s="504" t="s">
        <v>964</v>
      </c>
      <c r="G8652" s="504" t="s">
        <v>965</v>
      </c>
      <c r="H8652" s="504" t="s">
        <v>10381</v>
      </c>
      <c r="I8652" s="504">
        <v>22</v>
      </c>
      <c r="J8652" s="504">
        <v>22</v>
      </c>
      <c r="K8652" s="504">
        <v>0</v>
      </c>
      <c r="L8652" s="504">
        <v>0</v>
      </c>
      <c r="M8652" s="504">
        <v>0</v>
      </c>
      <c r="N8652" s="504">
        <v>0</v>
      </c>
      <c r="O8652" s="505">
        <v>0</v>
      </c>
    </row>
    <row r="8653" spans="1:15" x14ac:dyDescent="0.35">
      <c r="A8653" s="500" t="s">
        <v>1535</v>
      </c>
      <c r="B8653" s="501" t="s">
        <v>2885</v>
      </c>
      <c r="C8653" s="501" t="s">
        <v>1089</v>
      </c>
      <c r="D8653" s="501" t="s">
        <v>3392</v>
      </c>
      <c r="E8653" s="501" t="s">
        <v>3381</v>
      </c>
      <c r="F8653" s="501" t="s">
        <v>964</v>
      </c>
      <c r="G8653" s="501" t="s">
        <v>965</v>
      </c>
      <c r="H8653" s="501" t="s">
        <v>10382</v>
      </c>
      <c r="I8653" s="501">
        <v>12</v>
      </c>
      <c r="J8653" s="501">
        <v>0</v>
      </c>
      <c r="K8653" s="501">
        <v>0</v>
      </c>
      <c r="L8653" s="501">
        <v>10</v>
      </c>
      <c r="M8653" s="501">
        <v>2</v>
      </c>
      <c r="N8653" s="501">
        <v>0</v>
      </c>
      <c r="O8653" s="506">
        <v>0</v>
      </c>
    </row>
    <row r="8654" spans="1:15" x14ac:dyDescent="0.35">
      <c r="A8654" s="503" t="s">
        <v>1233</v>
      </c>
      <c r="B8654" s="504">
        <v>4636</v>
      </c>
      <c r="C8654" s="504" t="s">
        <v>1094</v>
      </c>
      <c r="D8654" s="504" t="s">
        <v>3380</v>
      </c>
      <c r="E8654" s="504" t="s">
        <v>3381</v>
      </c>
      <c r="F8654" s="504" t="s">
        <v>964</v>
      </c>
      <c r="G8654" s="504" t="s">
        <v>965</v>
      </c>
      <c r="H8654" s="504" t="s">
        <v>10383</v>
      </c>
      <c r="I8654" s="504">
        <v>58</v>
      </c>
      <c r="J8654" s="504">
        <v>0</v>
      </c>
      <c r="K8654" s="504">
        <v>0</v>
      </c>
      <c r="L8654" s="504">
        <v>0</v>
      </c>
      <c r="M8654" s="504">
        <v>0</v>
      </c>
      <c r="N8654" s="504">
        <v>0</v>
      </c>
      <c r="O8654" s="505">
        <v>58</v>
      </c>
    </row>
    <row r="8655" spans="1:15" x14ac:dyDescent="0.35">
      <c r="A8655" s="500" t="s">
        <v>11368</v>
      </c>
      <c r="B8655" s="501">
        <v>5083</v>
      </c>
      <c r="C8655" s="501" t="s">
        <v>1094</v>
      </c>
      <c r="D8655" s="501" t="s">
        <v>3380</v>
      </c>
      <c r="E8655" s="501" t="s">
        <v>3381</v>
      </c>
      <c r="F8655" s="501" t="s">
        <v>964</v>
      </c>
      <c r="G8655" s="501" t="s">
        <v>965</v>
      </c>
      <c r="H8655" s="501" t="s">
        <v>12087</v>
      </c>
      <c r="I8655" s="501">
        <v>43</v>
      </c>
      <c r="J8655" s="501">
        <v>43</v>
      </c>
      <c r="K8655" s="501">
        <v>0</v>
      </c>
      <c r="L8655" s="501">
        <v>0</v>
      </c>
      <c r="M8655" s="501">
        <v>0</v>
      </c>
      <c r="N8655" s="501">
        <v>0</v>
      </c>
      <c r="O8655" s="506">
        <v>0</v>
      </c>
    </row>
    <row r="8656" spans="1:15" x14ac:dyDescent="0.35">
      <c r="A8656" s="503" t="s">
        <v>1234</v>
      </c>
      <c r="B8656" s="504" t="s">
        <v>3291</v>
      </c>
      <c r="C8656" s="504" t="s">
        <v>1094</v>
      </c>
      <c r="D8656" s="504" t="s">
        <v>3380</v>
      </c>
      <c r="E8656" s="504" t="s">
        <v>3381</v>
      </c>
      <c r="F8656" s="504" t="s">
        <v>964</v>
      </c>
      <c r="G8656" s="504" t="s">
        <v>965</v>
      </c>
      <c r="H8656" s="504" t="s">
        <v>10384</v>
      </c>
      <c r="I8656" s="504">
        <v>53</v>
      </c>
      <c r="J8656" s="504">
        <v>0</v>
      </c>
      <c r="K8656" s="504">
        <v>0</v>
      </c>
      <c r="L8656" s="504">
        <v>17</v>
      </c>
      <c r="M8656" s="504">
        <v>36</v>
      </c>
      <c r="N8656" s="504">
        <v>0</v>
      </c>
      <c r="O8656" s="505">
        <v>0</v>
      </c>
    </row>
    <row r="8657" spans="1:15" x14ac:dyDescent="0.35">
      <c r="A8657" s="500" t="s">
        <v>1126</v>
      </c>
      <c r="B8657" s="501" t="s">
        <v>2974</v>
      </c>
      <c r="C8657" s="501" t="s">
        <v>1094</v>
      </c>
      <c r="D8657" s="501" t="s">
        <v>3380</v>
      </c>
      <c r="E8657" s="501" t="s">
        <v>3381</v>
      </c>
      <c r="F8657" s="501" t="s">
        <v>964</v>
      </c>
      <c r="G8657" s="501" t="s">
        <v>965</v>
      </c>
      <c r="H8657" s="501" t="s">
        <v>10385</v>
      </c>
      <c r="I8657" s="501">
        <v>44</v>
      </c>
      <c r="J8657" s="501">
        <v>1</v>
      </c>
      <c r="K8657" s="501">
        <v>0</v>
      </c>
      <c r="L8657" s="501">
        <v>0</v>
      </c>
      <c r="M8657" s="501">
        <v>0</v>
      </c>
      <c r="N8657" s="501">
        <v>0</v>
      </c>
      <c r="O8657" s="506">
        <v>43</v>
      </c>
    </row>
    <row r="8658" spans="1:15" x14ac:dyDescent="0.35">
      <c r="A8658" s="503" t="s">
        <v>1894</v>
      </c>
      <c r="B8658" s="504" t="s">
        <v>3010</v>
      </c>
      <c r="C8658" s="504" t="s">
        <v>1089</v>
      </c>
      <c r="D8658" s="504" t="s">
        <v>3392</v>
      </c>
      <c r="E8658" s="504" t="s">
        <v>3381</v>
      </c>
      <c r="F8658" s="504" t="s">
        <v>964</v>
      </c>
      <c r="G8658" s="504" t="s">
        <v>965</v>
      </c>
      <c r="H8658" s="504" t="s">
        <v>10386</v>
      </c>
      <c r="I8658" s="504">
        <v>94</v>
      </c>
      <c r="J8658" s="504">
        <v>0</v>
      </c>
      <c r="K8658" s="504">
        <v>0</v>
      </c>
      <c r="L8658" s="504">
        <v>0</v>
      </c>
      <c r="M8658" s="504">
        <v>94</v>
      </c>
      <c r="N8658" s="504">
        <v>0</v>
      </c>
      <c r="O8658" s="505">
        <v>0</v>
      </c>
    </row>
    <row r="8659" spans="1:15" x14ac:dyDescent="0.35">
      <c r="A8659" s="500" t="s">
        <v>1923</v>
      </c>
      <c r="B8659" s="501" t="s">
        <v>2638</v>
      </c>
      <c r="C8659" s="501" t="s">
        <v>1089</v>
      </c>
      <c r="D8659" s="501" t="s">
        <v>3392</v>
      </c>
      <c r="E8659" s="501" t="s">
        <v>3381</v>
      </c>
      <c r="F8659" s="501" t="s">
        <v>964</v>
      </c>
      <c r="G8659" s="501" t="s">
        <v>965</v>
      </c>
      <c r="H8659" s="501" t="s">
        <v>10387</v>
      </c>
      <c r="I8659" s="501">
        <v>16</v>
      </c>
      <c r="J8659" s="501">
        <v>16</v>
      </c>
      <c r="K8659" s="501">
        <v>0</v>
      </c>
      <c r="L8659" s="501">
        <v>0</v>
      </c>
      <c r="M8659" s="501">
        <v>0</v>
      </c>
      <c r="N8659" s="501">
        <v>0</v>
      </c>
      <c r="O8659" s="506">
        <v>0</v>
      </c>
    </row>
    <row r="8660" spans="1:15" x14ac:dyDescent="0.35">
      <c r="A8660" s="503" t="s">
        <v>1253</v>
      </c>
      <c r="B8660" s="504" t="s">
        <v>3232</v>
      </c>
      <c r="C8660" s="504" t="s">
        <v>1094</v>
      </c>
      <c r="D8660" s="504" t="s">
        <v>3380</v>
      </c>
      <c r="E8660" s="504" t="s">
        <v>3381</v>
      </c>
      <c r="F8660" s="504" t="s">
        <v>964</v>
      </c>
      <c r="G8660" s="504" t="s">
        <v>965</v>
      </c>
      <c r="H8660" s="504" t="s">
        <v>10388</v>
      </c>
      <c r="I8660" s="504">
        <v>98</v>
      </c>
      <c r="J8660" s="504">
        <v>98</v>
      </c>
      <c r="K8660" s="504">
        <v>0</v>
      </c>
      <c r="L8660" s="504">
        <v>0</v>
      </c>
      <c r="M8660" s="504">
        <v>0</v>
      </c>
      <c r="N8660" s="504">
        <v>0</v>
      </c>
      <c r="O8660" s="505">
        <v>0</v>
      </c>
    </row>
    <row r="8661" spans="1:15" x14ac:dyDescent="0.35">
      <c r="A8661" s="500" t="s">
        <v>1928</v>
      </c>
      <c r="B8661" s="501" t="s">
        <v>3167</v>
      </c>
      <c r="C8661" s="501" t="s">
        <v>1094</v>
      </c>
      <c r="D8661" s="501" t="s">
        <v>3380</v>
      </c>
      <c r="E8661" s="501" t="s">
        <v>3381</v>
      </c>
      <c r="F8661" s="501" t="s">
        <v>964</v>
      </c>
      <c r="G8661" s="501" t="s">
        <v>965</v>
      </c>
      <c r="H8661" s="501" t="s">
        <v>10389</v>
      </c>
      <c r="I8661" s="501">
        <v>5799</v>
      </c>
      <c r="J8661" s="501">
        <v>5150</v>
      </c>
      <c r="K8661" s="501">
        <v>0</v>
      </c>
      <c r="L8661" s="501">
        <v>22</v>
      </c>
      <c r="M8661" s="501">
        <v>475</v>
      </c>
      <c r="N8661" s="501">
        <v>1</v>
      </c>
      <c r="O8661" s="506">
        <v>152</v>
      </c>
    </row>
    <row r="8662" spans="1:15" x14ac:dyDescent="0.35">
      <c r="A8662" s="503" t="s">
        <v>1935</v>
      </c>
      <c r="B8662" s="504" t="s">
        <v>3305</v>
      </c>
      <c r="C8662" s="504" t="s">
        <v>1094</v>
      </c>
      <c r="D8662" s="504" t="s">
        <v>3380</v>
      </c>
      <c r="E8662" s="504" t="s">
        <v>3381</v>
      </c>
      <c r="F8662" s="504" t="s">
        <v>964</v>
      </c>
      <c r="G8662" s="504" t="s">
        <v>965</v>
      </c>
      <c r="H8662" s="504" t="s">
        <v>10390</v>
      </c>
      <c r="I8662" s="504">
        <v>129</v>
      </c>
      <c r="J8662" s="504">
        <v>37</v>
      </c>
      <c r="K8662" s="504">
        <v>0</v>
      </c>
      <c r="L8662" s="504">
        <v>0</v>
      </c>
      <c r="M8662" s="504">
        <v>75</v>
      </c>
      <c r="N8662" s="504">
        <v>2</v>
      </c>
      <c r="O8662" s="505">
        <v>17</v>
      </c>
    </row>
    <row r="8663" spans="1:15" x14ac:dyDescent="0.35">
      <c r="A8663" s="500" t="s">
        <v>1096</v>
      </c>
      <c r="B8663" s="501" t="s">
        <v>3326</v>
      </c>
      <c r="C8663" s="501" t="s">
        <v>1094</v>
      </c>
      <c r="D8663" s="501" t="s">
        <v>3380</v>
      </c>
      <c r="E8663" s="501" t="s">
        <v>3381</v>
      </c>
      <c r="F8663" s="501" t="s">
        <v>966</v>
      </c>
      <c r="G8663" s="501" t="s">
        <v>967</v>
      </c>
      <c r="H8663" s="501" t="s">
        <v>10391</v>
      </c>
      <c r="I8663" s="501">
        <v>71</v>
      </c>
      <c r="J8663" s="501">
        <v>0</v>
      </c>
      <c r="K8663" s="501">
        <v>0</v>
      </c>
      <c r="L8663" s="501">
        <v>0</v>
      </c>
      <c r="M8663" s="501">
        <v>71</v>
      </c>
      <c r="N8663" s="501">
        <v>0</v>
      </c>
      <c r="O8663" s="506">
        <v>0</v>
      </c>
    </row>
    <row r="8664" spans="1:15" x14ac:dyDescent="0.35">
      <c r="A8664" s="503" t="s">
        <v>1273</v>
      </c>
      <c r="B8664" s="504" t="s">
        <v>3197</v>
      </c>
      <c r="C8664" s="504" t="s">
        <v>1094</v>
      </c>
      <c r="D8664" s="504" t="s">
        <v>3380</v>
      </c>
      <c r="E8664" s="504" t="s">
        <v>3381</v>
      </c>
      <c r="F8664" s="504" t="s">
        <v>966</v>
      </c>
      <c r="G8664" s="504" t="s">
        <v>967</v>
      </c>
      <c r="H8664" s="504" t="s">
        <v>10392</v>
      </c>
      <c r="I8664" s="504">
        <v>57</v>
      </c>
      <c r="J8664" s="504">
        <v>34</v>
      </c>
      <c r="K8664" s="504">
        <v>0</v>
      </c>
      <c r="L8664" s="504">
        <v>0</v>
      </c>
      <c r="M8664" s="504">
        <v>0</v>
      </c>
      <c r="N8664" s="504">
        <v>0</v>
      </c>
      <c r="O8664" s="505">
        <v>23</v>
      </c>
    </row>
    <row r="8665" spans="1:15" x14ac:dyDescent="0.35">
      <c r="A8665" s="500" t="s">
        <v>1283</v>
      </c>
      <c r="B8665" s="501" t="s">
        <v>3177</v>
      </c>
      <c r="C8665" s="501" t="s">
        <v>1094</v>
      </c>
      <c r="D8665" s="501" t="s">
        <v>3380</v>
      </c>
      <c r="E8665" s="501" t="s">
        <v>3381</v>
      </c>
      <c r="F8665" s="501" t="s">
        <v>966</v>
      </c>
      <c r="G8665" s="501" t="s">
        <v>967</v>
      </c>
      <c r="H8665" s="501" t="s">
        <v>10393</v>
      </c>
      <c r="I8665" s="501">
        <v>419</v>
      </c>
      <c r="J8665" s="501">
        <v>309</v>
      </c>
      <c r="K8665" s="501">
        <v>0</v>
      </c>
      <c r="L8665" s="501">
        <v>0</v>
      </c>
      <c r="M8665" s="501">
        <v>0</v>
      </c>
      <c r="N8665" s="501">
        <v>0</v>
      </c>
      <c r="O8665" s="506">
        <v>110</v>
      </c>
    </row>
    <row r="8666" spans="1:15" x14ac:dyDescent="0.35">
      <c r="A8666" s="503" t="s">
        <v>1100</v>
      </c>
      <c r="B8666" s="504">
        <v>4865</v>
      </c>
      <c r="C8666" s="504" t="s">
        <v>1094</v>
      </c>
      <c r="D8666" s="504" t="s">
        <v>3380</v>
      </c>
      <c r="E8666" s="504" t="s">
        <v>3381</v>
      </c>
      <c r="F8666" s="504" t="s">
        <v>966</v>
      </c>
      <c r="G8666" s="504" t="s">
        <v>967</v>
      </c>
      <c r="H8666" s="504" t="s">
        <v>10394</v>
      </c>
      <c r="I8666" s="504">
        <v>186</v>
      </c>
      <c r="J8666" s="504">
        <v>153</v>
      </c>
      <c r="K8666" s="504">
        <v>0</v>
      </c>
      <c r="L8666" s="504">
        <v>0</v>
      </c>
      <c r="M8666" s="504">
        <v>0</v>
      </c>
      <c r="N8666" s="504">
        <v>0</v>
      </c>
      <c r="O8666" s="505">
        <v>33</v>
      </c>
    </row>
    <row r="8667" spans="1:15" x14ac:dyDescent="0.35">
      <c r="A8667" s="500" t="s">
        <v>1172</v>
      </c>
      <c r="B8667" s="501">
        <v>4648</v>
      </c>
      <c r="C8667" s="501" t="s">
        <v>1089</v>
      </c>
      <c r="D8667" s="501" t="s">
        <v>3392</v>
      </c>
      <c r="E8667" s="501" t="s">
        <v>3381</v>
      </c>
      <c r="F8667" s="501" t="s">
        <v>966</v>
      </c>
      <c r="G8667" s="501" t="s">
        <v>967</v>
      </c>
      <c r="H8667" s="501" t="s">
        <v>10395</v>
      </c>
      <c r="I8667" s="501">
        <v>1</v>
      </c>
      <c r="J8667" s="501">
        <v>0</v>
      </c>
      <c r="K8667" s="501">
        <v>0</v>
      </c>
      <c r="L8667" s="501">
        <v>1</v>
      </c>
      <c r="M8667" s="501">
        <v>0</v>
      </c>
      <c r="N8667" s="501">
        <v>0</v>
      </c>
      <c r="O8667" s="506">
        <v>0</v>
      </c>
    </row>
    <row r="8668" spans="1:15" x14ac:dyDescent="0.35">
      <c r="A8668" s="503" t="s">
        <v>1293</v>
      </c>
      <c r="B8668" s="504" t="s">
        <v>3212</v>
      </c>
      <c r="C8668" s="504" t="s">
        <v>1094</v>
      </c>
      <c r="D8668" s="504" t="s">
        <v>3380</v>
      </c>
      <c r="E8668" s="504" t="s">
        <v>3381</v>
      </c>
      <c r="F8668" s="504" t="s">
        <v>966</v>
      </c>
      <c r="G8668" s="504" t="s">
        <v>967</v>
      </c>
      <c r="H8668" s="504" t="s">
        <v>10396</v>
      </c>
      <c r="I8668" s="504">
        <v>307</v>
      </c>
      <c r="J8668" s="504">
        <v>209</v>
      </c>
      <c r="K8668" s="504">
        <v>0</v>
      </c>
      <c r="L8668" s="504">
        <v>0</v>
      </c>
      <c r="M8668" s="504">
        <v>0</v>
      </c>
      <c r="N8668" s="504">
        <v>0</v>
      </c>
      <c r="O8668" s="505">
        <v>98</v>
      </c>
    </row>
    <row r="8669" spans="1:15" x14ac:dyDescent="0.35">
      <c r="A8669" s="500" t="s">
        <v>1175</v>
      </c>
      <c r="B8669" s="501" t="s">
        <v>3141</v>
      </c>
      <c r="C8669" s="501" t="s">
        <v>1094</v>
      </c>
      <c r="D8669" s="501" t="s">
        <v>3380</v>
      </c>
      <c r="E8669" s="501" t="s">
        <v>3381</v>
      </c>
      <c r="F8669" s="501" t="s">
        <v>966</v>
      </c>
      <c r="G8669" s="501" t="s">
        <v>967</v>
      </c>
      <c r="H8669" s="501" t="s">
        <v>10397</v>
      </c>
      <c r="I8669" s="501">
        <v>84</v>
      </c>
      <c r="J8669" s="501">
        <v>48</v>
      </c>
      <c r="K8669" s="501">
        <v>0</v>
      </c>
      <c r="L8669" s="501">
        <v>0</v>
      </c>
      <c r="M8669" s="501">
        <v>0</v>
      </c>
      <c r="N8669" s="501">
        <v>0</v>
      </c>
      <c r="O8669" s="506">
        <v>36</v>
      </c>
    </row>
    <row r="8670" spans="1:15" x14ac:dyDescent="0.35">
      <c r="A8670" s="503" t="s">
        <v>1294</v>
      </c>
      <c r="B8670" s="504" t="s">
        <v>3114</v>
      </c>
      <c r="C8670" s="504" t="s">
        <v>1094</v>
      </c>
      <c r="D8670" s="504" t="s">
        <v>3380</v>
      </c>
      <c r="E8670" s="504" t="s">
        <v>3381</v>
      </c>
      <c r="F8670" s="504" t="s">
        <v>966</v>
      </c>
      <c r="G8670" s="504" t="s">
        <v>967</v>
      </c>
      <c r="H8670" s="504" t="s">
        <v>10398</v>
      </c>
      <c r="I8670" s="504">
        <v>210</v>
      </c>
      <c r="J8670" s="504">
        <v>159</v>
      </c>
      <c r="K8670" s="504">
        <v>0</v>
      </c>
      <c r="L8670" s="504">
        <v>6</v>
      </c>
      <c r="M8670" s="504">
        <v>0</v>
      </c>
      <c r="N8670" s="504">
        <v>1</v>
      </c>
      <c r="O8670" s="505">
        <v>45</v>
      </c>
    </row>
    <row r="8671" spans="1:15" x14ac:dyDescent="0.35">
      <c r="A8671" s="500" t="s">
        <v>14208</v>
      </c>
      <c r="B8671" s="501">
        <v>4803</v>
      </c>
      <c r="C8671" s="501" t="s">
        <v>1094</v>
      </c>
      <c r="D8671" s="501" t="s">
        <v>3380</v>
      </c>
      <c r="E8671" s="501" t="s">
        <v>3381</v>
      </c>
      <c r="F8671" s="501" t="s">
        <v>966</v>
      </c>
      <c r="G8671" s="501" t="s">
        <v>967</v>
      </c>
      <c r="H8671" s="501" t="s">
        <v>15190</v>
      </c>
      <c r="I8671" s="501">
        <v>3</v>
      </c>
      <c r="J8671" s="501">
        <v>0</v>
      </c>
      <c r="K8671" s="501">
        <v>0</v>
      </c>
      <c r="L8671" s="501">
        <v>3</v>
      </c>
      <c r="M8671" s="501">
        <v>0</v>
      </c>
      <c r="N8671" s="501">
        <v>0</v>
      </c>
      <c r="O8671" s="506">
        <v>0</v>
      </c>
    </row>
    <row r="8672" spans="1:15" x14ac:dyDescent="0.35">
      <c r="A8672" s="503" t="s">
        <v>1185</v>
      </c>
      <c r="B8672" s="504" t="s">
        <v>3253</v>
      </c>
      <c r="C8672" s="504" t="s">
        <v>1094</v>
      </c>
      <c r="D8672" s="504" t="s">
        <v>3380</v>
      </c>
      <c r="E8672" s="504" t="s">
        <v>3381</v>
      </c>
      <c r="F8672" s="504" t="s">
        <v>966</v>
      </c>
      <c r="G8672" s="504" t="s">
        <v>967</v>
      </c>
      <c r="H8672" s="504" t="s">
        <v>10399</v>
      </c>
      <c r="I8672" s="504">
        <v>2</v>
      </c>
      <c r="J8672" s="504">
        <v>0</v>
      </c>
      <c r="K8672" s="504">
        <v>0</v>
      </c>
      <c r="L8672" s="504">
        <v>2</v>
      </c>
      <c r="M8672" s="504">
        <v>0</v>
      </c>
      <c r="N8672" s="504">
        <v>0</v>
      </c>
      <c r="O8672" s="505">
        <v>0</v>
      </c>
    </row>
    <row r="8673" spans="1:15" x14ac:dyDescent="0.35">
      <c r="A8673" s="500" t="s">
        <v>1187</v>
      </c>
      <c r="B8673" s="501" t="s">
        <v>2951</v>
      </c>
      <c r="C8673" s="501" t="s">
        <v>1094</v>
      </c>
      <c r="D8673" s="501" t="s">
        <v>3380</v>
      </c>
      <c r="E8673" s="501" t="s">
        <v>3381</v>
      </c>
      <c r="F8673" s="501" t="s">
        <v>966</v>
      </c>
      <c r="G8673" s="501" t="s">
        <v>967</v>
      </c>
      <c r="H8673" s="501" t="s">
        <v>10400</v>
      </c>
      <c r="I8673" s="501">
        <v>411</v>
      </c>
      <c r="J8673" s="501">
        <v>328</v>
      </c>
      <c r="K8673" s="501">
        <v>0</v>
      </c>
      <c r="L8673" s="501">
        <v>0</v>
      </c>
      <c r="M8673" s="501">
        <v>0</v>
      </c>
      <c r="N8673" s="501">
        <v>0</v>
      </c>
      <c r="O8673" s="506">
        <v>83</v>
      </c>
    </row>
    <row r="8674" spans="1:15" x14ac:dyDescent="0.35">
      <c r="A8674" s="503" t="s">
        <v>1107</v>
      </c>
      <c r="B8674" s="504" t="s">
        <v>3109</v>
      </c>
      <c r="C8674" s="504" t="s">
        <v>1094</v>
      </c>
      <c r="D8674" s="504" t="s">
        <v>3380</v>
      </c>
      <c r="E8674" s="504" t="s">
        <v>3381</v>
      </c>
      <c r="F8674" s="504" t="s">
        <v>966</v>
      </c>
      <c r="G8674" s="504" t="s">
        <v>967</v>
      </c>
      <c r="H8674" s="504" t="s">
        <v>10401</v>
      </c>
      <c r="I8674" s="504">
        <v>154</v>
      </c>
      <c r="J8674" s="504">
        <v>105</v>
      </c>
      <c r="K8674" s="504">
        <v>0</v>
      </c>
      <c r="L8674" s="504">
        <v>0</v>
      </c>
      <c r="M8674" s="504">
        <v>0</v>
      </c>
      <c r="N8674" s="504">
        <v>0</v>
      </c>
      <c r="O8674" s="505">
        <v>49</v>
      </c>
    </row>
    <row r="8675" spans="1:15" x14ac:dyDescent="0.35">
      <c r="A8675" s="500" t="s">
        <v>1109</v>
      </c>
      <c r="B8675" s="501" t="s">
        <v>2959</v>
      </c>
      <c r="C8675" s="501" t="s">
        <v>1094</v>
      </c>
      <c r="D8675" s="501" t="s">
        <v>3380</v>
      </c>
      <c r="E8675" s="501" t="s">
        <v>3381</v>
      </c>
      <c r="F8675" s="501" t="s">
        <v>966</v>
      </c>
      <c r="G8675" s="501" t="s">
        <v>967</v>
      </c>
      <c r="H8675" s="501" t="s">
        <v>10402</v>
      </c>
      <c r="I8675" s="501">
        <v>36</v>
      </c>
      <c r="J8675" s="501">
        <v>0</v>
      </c>
      <c r="K8675" s="501">
        <v>0</v>
      </c>
      <c r="L8675" s="501">
        <v>0</v>
      </c>
      <c r="M8675" s="501">
        <v>36</v>
      </c>
      <c r="N8675" s="501">
        <v>0</v>
      </c>
      <c r="O8675" s="506">
        <v>0</v>
      </c>
    </row>
    <row r="8676" spans="1:15" x14ac:dyDescent="0.35">
      <c r="A8676" s="503" t="s">
        <v>1306</v>
      </c>
      <c r="B8676" s="504" t="s">
        <v>3005</v>
      </c>
      <c r="C8676" s="504" t="s">
        <v>1094</v>
      </c>
      <c r="D8676" s="504" t="s">
        <v>3380</v>
      </c>
      <c r="E8676" s="504" t="s">
        <v>3381</v>
      </c>
      <c r="F8676" s="504" t="s">
        <v>966</v>
      </c>
      <c r="G8676" s="504" t="s">
        <v>967</v>
      </c>
      <c r="H8676" s="504" t="s">
        <v>10403</v>
      </c>
      <c r="I8676" s="504">
        <v>10</v>
      </c>
      <c r="J8676" s="504">
        <v>10</v>
      </c>
      <c r="K8676" s="504">
        <v>0</v>
      </c>
      <c r="L8676" s="504">
        <v>0</v>
      </c>
      <c r="M8676" s="504">
        <v>0</v>
      </c>
      <c r="N8676" s="504">
        <v>0</v>
      </c>
      <c r="O8676" s="505">
        <v>0</v>
      </c>
    </row>
    <row r="8677" spans="1:15" x14ac:dyDescent="0.35">
      <c r="A8677" s="500" t="s">
        <v>1190</v>
      </c>
      <c r="B8677" s="501">
        <v>4662</v>
      </c>
      <c r="C8677" s="501" t="s">
        <v>1094</v>
      </c>
      <c r="D8677" s="501" t="s">
        <v>3380</v>
      </c>
      <c r="E8677" s="501" t="s">
        <v>3381</v>
      </c>
      <c r="F8677" s="501" t="s">
        <v>966</v>
      </c>
      <c r="G8677" s="501" t="s">
        <v>967</v>
      </c>
      <c r="H8677" s="501" t="s">
        <v>15191</v>
      </c>
      <c r="I8677" s="501">
        <v>8</v>
      </c>
      <c r="J8677" s="501">
        <v>0</v>
      </c>
      <c r="K8677" s="501">
        <v>0</v>
      </c>
      <c r="L8677" s="501">
        <v>8</v>
      </c>
      <c r="M8677" s="501">
        <v>0</v>
      </c>
      <c r="N8677" s="501">
        <v>0</v>
      </c>
      <c r="O8677" s="506">
        <v>0</v>
      </c>
    </row>
    <row r="8678" spans="1:15" x14ac:dyDescent="0.35">
      <c r="A8678" s="503" t="s">
        <v>1310</v>
      </c>
      <c r="B8678" s="504">
        <v>5062</v>
      </c>
      <c r="C8678" s="504" t="s">
        <v>1089</v>
      </c>
      <c r="D8678" s="504" t="s">
        <v>3380</v>
      </c>
      <c r="E8678" s="504" t="s">
        <v>3381</v>
      </c>
      <c r="F8678" s="504" t="s">
        <v>966</v>
      </c>
      <c r="G8678" s="504" t="s">
        <v>967</v>
      </c>
      <c r="H8678" s="504" t="s">
        <v>15192</v>
      </c>
      <c r="I8678" s="504">
        <v>12</v>
      </c>
      <c r="J8678" s="504">
        <v>0</v>
      </c>
      <c r="K8678" s="504">
        <v>0</v>
      </c>
      <c r="L8678" s="504">
        <v>0</v>
      </c>
      <c r="M8678" s="504">
        <v>0</v>
      </c>
      <c r="N8678" s="504">
        <v>0</v>
      </c>
      <c r="O8678" s="505">
        <v>12</v>
      </c>
    </row>
    <row r="8679" spans="1:15" x14ac:dyDescent="0.35">
      <c r="A8679" s="500" t="s">
        <v>1202</v>
      </c>
      <c r="B8679" s="501" t="s">
        <v>3217</v>
      </c>
      <c r="C8679" s="501" t="s">
        <v>1094</v>
      </c>
      <c r="D8679" s="501" t="s">
        <v>3380</v>
      </c>
      <c r="E8679" s="501" t="s">
        <v>3381</v>
      </c>
      <c r="F8679" s="501" t="s">
        <v>966</v>
      </c>
      <c r="G8679" s="501" t="s">
        <v>967</v>
      </c>
      <c r="H8679" s="501" t="s">
        <v>10404</v>
      </c>
      <c r="I8679" s="501">
        <v>94</v>
      </c>
      <c r="J8679" s="501">
        <v>12</v>
      </c>
      <c r="K8679" s="501">
        <v>0</v>
      </c>
      <c r="L8679" s="501">
        <v>6</v>
      </c>
      <c r="M8679" s="501">
        <v>73</v>
      </c>
      <c r="N8679" s="501">
        <v>0</v>
      </c>
      <c r="O8679" s="506">
        <v>3</v>
      </c>
    </row>
    <row r="8680" spans="1:15" x14ac:dyDescent="0.35">
      <c r="A8680" s="503" t="s">
        <v>1112</v>
      </c>
      <c r="B8680" s="504" t="s">
        <v>3008</v>
      </c>
      <c r="C8680" s="504" t="s">
        <v>1094</v>
      </c>
      <c r="D8680" s="504" t="s">
        <v>3380</v>
      </c>
      <c r="E8680" s="504" t="s">
        <v>3381</v>
      </c>
      <c r="F8680" s="504" t="s">
        <v>966</v>
      </c>
      <c r="G8680" s="504" t="s">
        <v>967</v>
      </c>
      <c r="H8680" s="504" t="s">
        <v>10405</v>
      </c>
      <c r="I8680" s="504">
        <v>66</v>
      </c>
      <c r="J8680" s="504">
        <v>54</v>
      </c>
      <c r="K8680" s="504">
        <v>0</v>
      </c>
      <c r="L8680" s="504">
        <v>10</v>
      </c>
      <c r="M8680" s="504">
        <v>0</v>
      </c>
      <c r="N8680" s="504">
        <v>0</v>
      </c>
      <c r="O8680" s="505">
        <v>2</v>
      </c>
    </row>
    <row r="8681" spans="1:15" x14ac:dyDescent="0.35">
      <c r="A8681" s="500" t="s">
        <v>1114</v>
      </c>
      <c r="B8681" s="501" t="s">
        <v>2982</v>
      </c>
      <c r="C8681" s="501" t="s">
        <v>1094</v>
      </c>
      <c r="D8681" s="501" t="s">
        <v>3380</v>
      </c>
      <c r="E8681" s="501" t="s">
        <v>3381</v>
      </c>
      <c r="F8681" s="501" t="s">
        <v>966</v>
      </c>
      <c r="G8681" s="501" t="s">
        <v>967</v>
      </c>
      <c r="H8681" s="501" t="s">
        <v>10406</v>
      </c>
      <c r="I8681" s="501">
        <v>234</v>
      </c>
      <c r="J8681" s="501">
        <v>176</v>
      </c>
      <c r="K8681" s="501">
        <v>0</v>
      </c>
      <c r="L8681" s="501">
        <v>0</v>
      </c>
      <c r="M8681" s="501">
        <v>0</v>
      </c>
      <c r="N8681" s="501">
        <v>0</v>
      </c>
      <c r="O8681" s="506">
        <v>58</v>
      </c>
    </row>
    <row r="8682" spans="1:15" x14ac:dyDescent="0.35">
      <c r="A8682" s="503" t="s">
        <v>1218</v>
      </c>
      <c r="B8682" s="504" t="s">
        <v>3147</v>
      </c>
      <c r="C8682" s="504" t="s">
        <v>1094</v>
      </c>
      <c r="D8682" s="504" t="s">
        <v>3380</v>
      </c>
      <c r="E8682" s="504" t="s">
        <v>3381</v>
      </c>
      <c r="F8682" s="504" t="s">
        <v>966</v>
      </c>
      <c r="G8682" s="504" t="s">
        <v>967</v>
      </c>
      <c r="H8682" s="504" t="s">
        <v>15193</v>
      </c>
      <c r="I8682" s="504">
        <v>18</v>
      </c>
      <c r="J8682" s="504">
        <v>0</v>
      </c>
      <c r="K8682" s="504">
        <v>0</v>
      </c>
      <c r="L8682" s="504">
        <v>0</v>
      </c>
      <c r="M8682" s="504">
        <v>0</v>
      </c>
      <c r="N8682" s="504">
        <v>0</v>
      </c>
      <c r="O8682" s="505">
        <v>18</v>
      </c>
    </row>
    <row r="8683" spans="1:15" x14ac:dyDescent="0.35">
      <c r="A8683" s="500" t="s">
        <v>1332</v>
      </c>
      <c r="B8683" s="501">
        <v>4878</v>
      </c>
      <c r="C8683" s="501" t="s">
        <v>1094</v>
      </c>
      <c r="D8683" s="501" t="s">
        <v>3380</v>
      </c>
      <c r="E8683" s="501" t="s">
        <v>3381</v>
      </c>
      <c r="F8683" s="501" t="s">
        <v>966</v>
      </c>
      <c r="G8683" s="501" t="s">
        <v>967</v>
      </c>
      <c r="H8683" s="501" t="s">
        <v>15194</v>
      </c>
      <c r="I8683" s="501">
        <v>23</v>
      </c>
      <c r="J8683" s="501">
        <v>0</v>
      </c>
      <c r="K8683" s="501">
        <v>0</v>
      </c>
      <c r="L8683" s="501">
        <v>23</v>
      </c>
      <c r="M8683" s="501">
        <v>0</v>
      </c>
      <c r="N8683" s="501">
        <v>0</v>
      </c>
      <c r="O8683" s="506">
        <v>0</v>
      </c>
    </row>
    <row r="8684" spans="1:15" x14ac:dyDescent="0.35">
      <c r="A8684" s="503" t="s">
        <v>1122</v>
      </c>
      <c r="B8684" s="504" t="s">
        <v>2994</v>
      </c>
      <c r="C8684" s="504" t="s">
        <v>1094</v>
      </c>
      <c r="D8684" s="504" t="s">
        <v>3380</v>
      </c>
      <c r="E8684" s="504" t="s">
        <v>3381</v>
      </c>
      <c r="F8684" s="504" t="s">
        <v>966</v>
      </c>
      <c r="G8684" s="504" t="s">
        <v>967</v>
      </c>
      <c r="H8684" s="504" t="s">
        <v>10407</v>
      </c>
      <c r="I8684" s="504">
        <v>17</v>
      </c>
      <c r="J8684" s="504">
        <v>17</v>
      </c>
      <c r="K8684" s="504">
        <v>0</v>
      </c>
      <c r="L8684" s="504">
        <v>0</v>
      </c>
      <c r="M8684" s="504">
        <v>0</v>
      </c>
      <c r="N8684" s="504">
        <v>0</v>
      </c>
      <c r="O8684" s="505">
        <v>0</v>
      </c>
    </row>
    <row r="8685" spans="1:15" x14ac:dyDescent="0.35">
      <c r="A8685" s="500" t="s">
        <v>1124</v>
      </c>
      <c r="B8685" s="501">
        <v>4745</v>
      </c>
      <c r="C8685" s="501" t="s">
        <v>1094</v>
      </c>
      <c r="D8685" s="501" t="s">
        <v>3380</v>
      </c>
      <c r="E8685" s="501" t="s">
        <v>3381</v>
      </c>
      <c r="F8685" s="501" t="s">
        <v>966</v>
      </c>
      <c r="G8685" s="501" t="s">
        <v>967</v>
      </c>
      <c r="H8685" s="501" t="s">
        <v>10408</v>
      </c>
      <c r="I8685" s="501">
        <v>9</v>
      </c>
      <c r="J8685" s="501">
        <v>0</v>
      </c>
      <c r="K8685" s="501">
        <v>0</v>
      </c>
      <c r="L8685" s="501">
        <v>9</v>
      </c>
      <c r="M8685" s="501">
        <v>0</v>
      </c>
      <c r="N8685" s="501">
        <v>0</v>
      </c>
      <c r="O8685" s="506">
        <v>0</v>
      </c>
    </row>
    <row r="8686" spans="1:15" x14ac:dyDescent="0.35">
      <c r="A8686" s="503" t="s">
        <v>1233</v>
      </c>
      <c r="B8686" s="504">
        <v>4636</v>
      </c>
      <c r="C8686" s="504" t="s">
        <v>1094</v>
      </c>
      <c r="D8686" s="504" t="s">
        <v>3380</v>
      </c>
      <c r="E8686" s="504" t="s">
        <v>3381</v>
      </c>
      <c r="F8686" s="504" t="s">
        <v>966</v>
      </c>
      <c r="G8686" s="504" t="s">
        <v>967</v>
      </c>
      <c r="H8686" s="504" t="s">
        <v>10409</v>
      </c>
      <c r="I8686" s="504">
        <v>12</v>
      </c>
      <c r="J8686" s="504">
        <v>0</v>
      </c>
      <c r="K8686" s="504">
        <v>0</v>
      </c>
      <c r="L8686" s="504">
        <v>0</v>
      </c>
      <c r="M8686" s="504">
        <v>0</v>
      </c>
      <c r="N8686" s="504">
        <v>0</v>
      </c>
      <c r="O8686" s="505">
        <v>12</v>
      </c>
    </row>
    <row r="8687" spans="1:15" x14ac:dyDescent="0.35">
      <c r="A8687" s="500" t="s">
        <v>11368</v>
      </c>
      <c r="B8687" s="501">
        <v>5083</v>
      </c>
      <c r="C8687" s="501" t="s">
        <v>1094</v>
      </c>
      <c r="D8687" s="501" t="s">
        <v>3380</v>
      </c>
      <c r="E8687" s="501" t="s">
        <v>3381</v>
      </c>
      <c r="F8687" s="501" t="s">
        <v>966</v>
      </c>
      <c r="G8687" s="501" t="s">
        <v>967</v>
      </c>
      <c r="H8687" s="501" t="s">
        <v>12088</v>
      </c>
      <c r="I8687" s="501">
        <v>20</v>
      </c>
      <c r="J8687" s="501">
        <v>20</v>
      </c>
      <c r="K8687" s="501">
        <v>0</v>
      </c>
      <c r="L8687" s="501">
        <v>0</v>
      </c>
      <c r="M8687" s="501">
        <v>0</v>
      </c>
      <c r="N8687" s="501">
        <v>0</v>
      </c>
      <c r="O8687" s="506">
        <v>0</v>
      </c>
    </row>
    <row r="8688" spans="1:15" x14ac:dyDescent="0.35">
      <c r="A8688" s="503" t="s">
        <v>1235</v>
      </c>
      <c r="B8688" s="504">
        <v>4684</v>
      </c>
      <c r="C8688" s="504" t="s">
        <v>1094</v>
      </c>
      <c r="D8688" s="504" t="s">
        <v>3380</v>
      </c>
      <c r="E8688" s="504" t="s">
        <v>3381</v>
      </c>
      <c r="F8688" s="504" t="s">
        <v>966</v>
      </c>
      <c r="G8688" s="504" t="s">
        <v>967</v>
      </c>
      <c r="H8688" s="504" t="s">
        <v>10410</v>
      </c>
      <c r="I8688" s="504">
        <v>222</v>
      </c>
      <c r="J8688" s="504">
        <v>173</v>
      </c>
      <c r="K8688" s="504">
        <v>0</v>
      </c>
      <c r="L8688" s="504">
        <v>18</v>
      </c>
      <c r="M8688" s="504">
        <v>31</v>
      </c>
      <c r="N8688" s="504">
        <v>0</v>
      </c>
      <c r="O8688" s="505">
        <v>0</v>
      </c>
    </row>
    <row r="8689" spans="1:15" x14ac:dyDescent="0.35">
      <c r="A8689" s="500" t="s">
        <v>1346</v>
      </c>
      <c r="B8689" s="501" t="s">
        <v>3150</v>
      </c>
      <c r="C8689" s="501" t="s">
        <v>1094</v>
      </c>
      <c r="D8689" s="501" t="s">
        <v>3380</v>
      </c>
      <c r="E8689" s="501" t="s">
        <v>3381</v>
      </c>
      <c r="F8689" s="501" t="s">
        <v>966</v>
      </c>
      <c r="G8689" s="501" t="s">
        <v>967</v>
      </c>
      <c r="H8689" s="501" t="s">
        <v>10411</v>
      </c>
      <c r="I8689" s="501">
        <v>123</v>
      </c>
      <c r="J8689" s="501">
        <v>74</v>
      </c>
      <c r="K8689" s="501">
        <v>0</v>
      </c>
      <c r="L8689" s="501">
        <v>0</v>
      </c>
      <c r="M8689" s="501">
        <v>49</v>
      </c>
      <c r="N8689" s="501">
        <v>0</v>
      </c>
      <c r="O8689" s="506">
        <v>0</v>
      </c>
    </row>
    <row r="8690" spans="1:15" x14ac:dyDescent="0.35">
      <c r="A8690" s="503" t="s">
        <v>1356</v>
      </c>
      <c r="B8690" s="504" t="s">
        <v>3026</v>
      </c>
      <c r="C8690" s="504" t="s">
        <v>1094</v>
      </c>
      <c r="D8690" s="504" t="s">
        <v>3380</v>
      </c>
      <c r="E8690" s="504" t="s">
        <v>3381</v>
      </c>
      <c r="F8690" s="504" t="s">
        <v>966</v>
      </c>
      <c r="G8690" s="504" t="s">
        <v>967</v>
      </c>
      <c r="H8690" s="504" t="s">
        <v>10412</v>
      </c>
      <c r="I8690" s="504">
        <v>38</v>
      </c>
      <c r="J8690" s="504">
        <v>32</v>
      </c>
      <c r="K8690" s="504">
        <v>0</v>
      </c>
      <c r="L8690" s="504">
        <v>0</v>
      </c>
      <c r="M8690" s="504">
        <v>0</v>
      </c>
      <c r="N8690" s="504">
        <v>0</v>
      </c>
      <c r="O8690" s="505">
        <v>6</v>
      </c>
    </row>
    <row r="8691" spans="1:15" x14ac:dyDescent="0.35">
      <c r="A8691" s="500" t="s">
        <v>1357</v>
      </c>
      <c r="B8691" s="501" t="s">
        <v>3013</v>
      </c>
      <c r="C8691" s="501" t="s">
        <v>1089</v>
      </c>
      <c r="D8691" s="501" t="s">
        <v>3392</v>
      </c>
      <c r="E8691" s="501" t="s">
        <v>3381</v>
      </c>
      <c r="F8691" s="501" t="s">
        <v>966</v>
      </c>
      <c r="G8691" s="501" t="s">
        <v>967</v>
      </c>
      <c r="H8691" s="501" t="s">
        <v>10413</v>
      </c>
      <c r="I8691" s="501">
        <v>1</v>
      </c>
      <c r="J8691" s="501">
        <v>1</v>
      </c>
      <c r="K8691" s="501">
        <v>0</v>
      </c>
      <c r="L8691" s="501">
        <v>0</v>
      </c>
      <c r="M8691" s="501">
        <v>0</v>
      </c>
      <c r="N8691" s="501">
        <v>0</v>
      </c>
      <c r="O8691" s="506">
        <v>0</v>
      </c>
    </row>
    <row r="8692" spans="1:15" x14ac:dyDescent="0.35">
      <c r="A8692" s="503" t="s">
        <v>1385</v>
      </c>
      <c r="B8692" s="504" t="s">
        <v>3249</v>
      </c>
      <c r="C8692" s="504" t="s">
        <v>1094</v>
      </c>
      <c r="D8692" s="504" t="s">
        <v>3380</v>
      </c>
      <c r="E8692" s="504" t="s">
        <v>3381</v>
      </c>
      <c r="F8692" s="504" t="s">
        <v>968</v>
      </c>
      <c r="G8692" s="504" t="s">
        <v>969</v>
      </c>
      <c r="H8692" s="504" t="s">
        <v>10414</v>
      </c>
      <c r="I8692" s="504">
        <v>34</v>
      </c>
      <c r="J8692" s="504">
        <v>19</v>
      </c>
      <c r="K8692" s="504">
        <v>0</v>
      </c>
      <c r="L8692" s="504">
        <v>14</v>
      </c>
      <c r="M8692" s="504">
        <v>0</v>
      </c>
      <c r="N8692" s="504">
        <v>0</v>
      </c>
      <c r="O8692" s="505">
        <v>1</v>
      </c>
    </row>
    <row r="8693" spans="1:15" x14ac:dyDescent="0.35">
      <c r="A8693" s="500" t="s">
        <v>1093</v>
      </c>
      <c r="B8693" s="501" t="s">
        <v>3248</v>
      </c>
      <c r="C8693" s="501" t="s">
        <v>1094</v>
      </c>
      <c r="D8693" s="501" t="s">
        <v>3380</v>
      </c>
      <c r="E8693" s="501" t="s">
        <v>3381</v>
      </c>
      <c r="F8693" s="501" t="s">
        <v>968</v>
      </c>
      <c r="G8693" s="501" t="s">
        <v>969</v>
      </c>
      <c r="H8693" s="501" t="s">
        <v>10415</v>
      </c>
      <c r="I8693" s="501">
        <v>42</v>
      </c>
      <c r="J8693" s="501">
        <v>0</v>
      </c>
      <c r="K8693" s="501">
        <v>0</v>
      </c>
      <c r="L8693" s="501">
        <v>35</v>
      </c>
      <c r="M8693" s="501">
        <v>0</v>
      </c>
      <c r="N8693" s="501">
        <v>0</v>
      </c>
      <c r="O8693" s="506">
        <v>7</v>
      </c>
    </row>
    <row r="8694" spans="1:15" x14ac:dyDescent="0.35">
      <c r="A8694" s="503" t="s">
        <v>1096</v>
      </c>
      <c r="B8694" s="504" t="s">
        <v>3326</v>
      </c>
      <c r="C8694" s="504" t="s">
        <v>1094</v>
      </c>
      <c r="D8694" s="504" t="s">
        <v>3380</v>
      </c>
      <c r="E8694" s="504" t="s">
        <v>3381</v>
      </c>
      <c r="F8694" s="504" t="s">
        <v>968</v>
      </c>
      <c r="G8694" s="504" t="s">
        <v>969</v>
      </c>
      <c r="H8694" s="504" t="s">
        <v>10416</v>
      </c>
      <c r="I8694" s="504">
        <v>130</v>
      </c>
      <c r="J8694" s="504">
        <v>0</v>
      </c>
      <c r="K8694" s="504">
        <v>0</v>
      </c>
      <c r="L8694" s="504">
        <v>0</v>
      </c>
      <c r="M8694" s="504">
        <v>130</v>
      </c>
      <c r="N8694" s="504">
        <v>0</v>
      </c>
      <c r="O8694" s="505">
        <v>0</v>
      </c>
    </row>
    <row r="8695" spans="1:15" x14ac:dyDescent="0.35">
      <c r="A8695" s="500" t="s">
        <v>1098</v>
      </c>
      <c r="B8695" s="501">
        <v>4691</v>
      </c>
      <c r="C8695" s="501" t="s">
        <v>1094</v>
      </c>
      <c r="D8695" s="501" t="s">
        <v>3380</v>
      </c>
      <c r="E8695" s="501" t="s">
        <v>3381</v>
      </c>
      <c r="F8695" s="501" t="s">
        <v>968</v>
      </c>
      <c r="G8695" s="501" t="s">
        <v>969</v>
      </c>
      <c r="H8695" s="501" t="s">
        <v>10417</v>
      </c>
      <c r="I8695" s="501">
        <v>282</v>
      </c>
      <c r="J8695" s="501">
        <v>158</v>
      </c>
      <c r="K8695" s="501">
        <v>0</v>
      </c>
      <c r="L8695" s="501">
        <v>0</v>
      </c>
      <c r="M8695" s="501">
        <v>0</v>
      </c>
      <c r="N8695" s="501">
        <v>0</v>
      </c>
      <c r="O8695" s="506">
        <v>124</v>
      </c>
    </row>
    <row r="8696" spans="1:15" x14ac:dyDescent="0.35">
      <c r="A8696" s="503" t="s">
        <v>1161</v>
      </c>
      <c r="B8696" s="504" t="s">
        <v>3001</v>
      </c>
      <c r="C8696" s="504" t="s">
        <v>1094</v>
      </c>
      <c r="D8696" s="504" t="s">
        <v>3380</v>
      </c>
      <c r="E8696" s="504" t="s">
        <v>3381</v>
      </c>
      <c r="F8696" s="504" t="s">
        <v>968</v>
      </c>
      <c r="G8696" s="504" t="s">
        <v>969</v>
      </c>
      <c r="H8696" s="504" t="s">
        <v>10419</v>
      </c>
      <c r="I8696" s="504">
        <v>172</v>
      </c>
      <c r="J8696" s="504">
        <v>122</v>
      </c>
      <c r="K8696" s="504">
        <v>0</v>
      </c>
      <c r="L8696" s="504">
        <v>0</v>
      </c>
      <c r="M8696" s="504">
        <v>0</v>
      </c>
      <c r="N8696" s="504">
        <v>0</v>
      </c>
      <c r="O8696" s="505">
        <v>50</v>
      </c>
    </row>
    <row r="8697" spans="1:15" x14ac:dyDescent="0.35">
      <c r="A8697" s="500" t="s">
        <v>1164</v>
      </c>
      <c r="B8697" s="501">
        <v>4751</v>
      </c>
      <c r="C8697" s="501" t="s">
        <v>1089</v>
      </c>
      <c r="D8697" s="501" t="s">
        <v>3392</v>
      </c>
      <c r="E8697" s="501" t="s">
        <v>3381</v>
      </c>
      <c r="F8697" s="501" t="s">
        <v>968</v>
      </c>
      <c r="G8697" s="501" t="s">
        <v>969</v>
      </c>
      <c r="H8697" s="501" t="s">
        <v>10420</v>
      </c>
      <c r="I8697" s="501">
        <v>26</v>
      </c>
      <c r="J8697" s="501">
        <v>0</v>
      </c>
      <c r="K8697" s="501">
        <v>0</v>
      </c>
      <c r="L8697" s="501">
        <v>26</v>
      </c>
      <c r="M8697" s="501">
        <v>0</v>
      </c>
      <c r="N8697" s="501">
        <v>0</v>
      </c>
      <c r="O8697" s="506">
        <v>0</v>
      </c>
    </row>
    <row r="8698" spans="1:15" x14ac:dyDescent="0.35">
      <c r="A8698" s="503" t="s">
        <v>1816</v>
      </c>
      <c r="B8698" s="504" t="s">
        <v>2501</v>
      </c>
      <c r="C8698" s="504" t="s">
        <v>1089</v>
      </c>
      <c r="D8698" s="504" t="s">
        <v>3392</v>
      </c>
      <c r="E8698" s="504" t="s">
        <v>3381</v>
      </c>
      <c r="F8698" s="504" t="s">
        <v>968</v>
      </c>
      <c r="G8698" s="504" t="s">
        <v>969</v>
      </c>
      <c r="H8698" s="504" t="s">
        <v>10421</v>
      </c>
      <c r="I8698" s="504">
        <v>3</v>
      </c>
      <c r="J8698" s="504">
        <v>3</v>
      </c>
      <c r="K8698" s="504">
        <v>0</v>
      </c>
      <c r="L8698" s="504">
        <v>0</v>
      </c>
      <c r="M8698" s="504">
        <v>0</v>
      </c>
      <c r="N8698" s="504">
        <v>0</v>
      </c>
      <c r="O8698" s="505">
        <v>0</v>
      </c>
    </row>
    <row r="8699" spans="1:15" x14ac:dyDescent="0.35">
      <c r="A8699" s="500" t="s">
        <v>1100</v>
      </c>
      <c r="B8699" s="501">
        <v>4865</v>
      </c>
      <c r="C8699" s="501" t="s">
        <v>1094</v>
      </c>
      <c r="D8699" s="501" t="s">
        <v>3380</v>
      </c>
      <c r="E8699" s="501" t="s">
        <v>3381</v>
      </c>
      <c r="F8699" s="501" t="s">
        <v>968</v>
      </c>
      <c r="G8699" s="501" t="s">
        <v>969</v>
      </c>
      <c r="H8699" s="501" t="s">
        <v>10422</v>
      </c>
      <c r="I8699" s="501">
        <v>294</v>
      </c>
      <c r="J8699" s="501">
        <v>236</v>
      </c>
      <c r="K8699" s="501">
        <v>0</v>
      </c>
      <c r="L8699" s="501">
        <v>0</v>
      </c>
      <c r="M8699" s="501">
        <v>0</v>
      </c>
      <c r="N8699" s="501">
        <v>0</v>
      </c>
      <c r="O8699" s="506">
        <v>58</v>
      </c>
    </row>
    <row r="8700" spans="1:15" x14ac:dyDescent="0.35">
      <c r="A8700" s="503" t="s">
        <v>1172</v>
      </c>
      <c r="B8700" s="504">
        <v>4648</v>
      </c>
      <c r="C8700" s="504" t="s">
        <v>1089</v>
      </c>
      <c r="D8700" s="504" t="s">
        <v>3392</v>
      </c>
      <c r="E8700" s="504" t="s">
        <v>3381</v>
      </c>
      <c r="F8700" s="504" t="s">
        <v>968</v>
      </c>
      <c r="G8700" s="504" t="s">
        <v>969</v>
      </c>
      <c r="H8700" s="504" t="s">
        <v>10423</v>
      </c>
      <c r="I8700" s="504">
        <v>20</v>
      </c>
      <c r="J8700" s="504">
        <v>0</v>
      </c>
      <c r="K8700" s="504">
        <v>0</v>
      </c>
      <c r="L8700" s="504">
        <v>20</v>
      </c>
      <c r="M8700" s="504">
        <v>0</v>
      </c>
      <c r="N8700" s="504">
        <v>0</v>
      </c>
      <c r="O8700" s="505">
        <v>0</v>
      </c>
    </row>
    <row r="8701" spans="1:15" x14ac:dyDescent="0.35">
      <c r="A8701" s="500" t="s">
        <v>1826</v>
      </c>
      <c r="B8701" s="501" t="s">
        <v>2519</v>
      </c>
      <c r="C8701" s="501" t="s">
        <v>1089</v>
      </c>
      <c r="D8701" s="501" t="s">
        <v>3392</v>
      </c>
      <c r="E8701" s="501" t="s">
        <v>3381</v>
      </c>
      <c r="F8701" s="501" t="s">
        <v>968</v>
      </c>
      <c r="G8701" s="501" t="s">
        <v>969</v>
      </c>
      <c r="H8701" s="501" t="s">
        <v>11680</v>
      </c>
      <c r="I8701" s="501">
        <v>6</v>
      </c>
      <c r="J8701" s="501">
        <v>0</v>
      </c>
      <c r="K8701" s="501">
        <v>0</v>
      </c>
      <c r="L8701" s="501">
        <v>6</v>
      </c>
      <c r="M8701" s="501">
        <v>0</v>
      </c>
      <c r="N8701" s="501">
        <v>0</v>
      </c>
      <c r="O8701" s="506">
        <v>0</v>
      </c>
    </row>
    <row r="8702" spans="1:15" x14ac:dyDescent="0.35">
      <c r="A8702" s="503" t="s">
        <v>1102</v>
      </c>
      <c r="B8702" s="504">
        <v>4663</v>
      </c>
      <c r="C8702" s="504" t="s">
        <v>1089</v>
      </c>
      <c r="D8702" s="504" t="s">
        <v>3392</v>
      </c>
      <c r="E8702" s="504" t="s">
        <v>3381</v>
      </c>
      <c r="F8702" s="504" t="s">
        <v>968</v>
      </c>
      <c r="G8702" s="504" t="s">
        <v>969</v>
      </c>
      <c r="H8702" s="504" t="s">
        <v>10424</v>
      </c>
      <c r="I8702" s="504">
        <v>7</v>
      </c>
      <c r="J8702" s="504">
        <v>0</v>
      </c>
      <c r="K8702" s="504">
        <v>0</v>
      </c>
      <c r="L8702" s="504">
        <v>7</v>
      </c>
      <c r="M8702" s="504">
        <v>0</v>
      </c>
      <c r="N8702" s="504">
        <v>0</v>
      </c>
      <c r="O8702" s="505">
        <v>0</v>
      </c>
    </row>
    <row r="8703" spans="1:15" x14ac:dyDescent="0.35">
      <c r="A8703" s="500" t="s">
        <v>1182</v>
      </c>
      <c r="B8703" s="501">
        <v>5060</v>
      </c>
      <c r="C8703" s="501" t="s">
        <v>1094</v>
      </c>
      <c r="D8703" s="501" t="s">
        <v>3380</v>
      </c>
      <c r="E8703" s="501" t="s">
        <v>3381</v>
      </c>
      <c r="F8703" s="501" t="s">
        <v>968</v>
      </c>
      <c r="G8703" s="501" t="s">
        <v>969</v>
      </c>
      <c r="H8703" s="501" t="s">
        <v>10425</v>
      </c>
      <c r="I8703" s="501">
        <v>4</v>
      </c>
      <c r="J8703" s="501">
        <v>0</v>
      </c>
      <c r="K8703" s="501">
        <v>0</v>
      </c>
      <c r="L8703" s="501">
        <v>4</v>
      </c>
      <c r="M8703" s="501">
        <v>0</v>
      </c>
      <c r="N8703" s="501">
        <v>0</v>
      </c>
      <c r="O8703" s="506">
        <v>0</v>
      </c>
    </row>
    <row r="8704" spans="1:15" x14ac:dyDescent="0.35">
      <c r="A8704" s="503" t="s">
        <v>14213</v>
      </c>
      <c r="B8704" s="504" t="s">
        <v>3312</v>
      </c>
      <c r="C8704" s="504" t="s">
        <v>1094</v>
      </c>
      <c r="D8704" s="504" t="s">
        <v>3380</v>
      </c>
      <c r="E8704" s="504" t="s">
        <v>3381</v>
      </c>
      <c r="F8704" s="504" t="s">
        <v>968</v>
      </c>
      <c r="G8704" s="504" t="s">
        <v>969</v>
      </c>
      <c r="H8704" s="504" t="s">
        <v>15195</v>
      </c>
      <c r="I8704" s="504">
        <v>391</v>
      </c>
      <c r="J8704" s="504">
        <v>333</v>
      </c>
      <c r="K8704" s="504">
        <v>0</v>
      </c>
      <c r="L8704" s="504">
        <v>13</v>
      </c>
      <c r="M8704" s="504">
        <v>0</v>
      </c>
      <c r="N8704" s="504">
        <v>0</v>
      </c>
      <c r="O8704" s="505">
        <v>45</v>
      </c>
    </row>
    <row r="8705" spans="1:15" x14ac:dyDescent="0.35">
      <c r="A8705" s="500" t="s">
        <v>1105</v>
      </c>
      <c r="B8705" s="501">
        <v>4668</v>
      </c>
      <c r="C8705" s="501" t="s">
        <v>1094</v>
      </c>
      <c r="D8705" s="501" t="s">
        <v>3380</v>
      </c>
      <c r="E8705" s="501" t="s">
        <v>3381</v>
      </c>
      <c r="F8705" s="501" t="s">
        <v>968</v>
      </c>
      <c r="G8705" s="501" t="s">
        <v>969</v>
      </c>
      <c r="H8705" s="501" t="s">
        <v>10426</v>
      </c>
      <c r="I8705" s="501">
        <v>45</v>
      </c>
      <c r="J8705" s="501">
        <v>0</v>
      </c>
      <c r="K8705" s="501">
        <v>0</v>
      </c>
      <c r="L8705" s="501">
        <v>0</v>
      </c>
      <c r="M8705" s="501">
        <v>0</v>
      </c>
      <c r="N8705" s="501">
        <v>0</v>
      </c>
      <c r="O8705" s="506">
        <v>45</v>
      </c>
    </row>
    <row r="8706" spans="1:15" x14ac:dyDescent="0.35">
      <c r="A8706" s="503" t="s">
        <v>1188</v>
      </c>
      <c r="B8706" s="504">
        <v>4760</v>
      </c>
      <c r="C8706" s="504" t="s">
        <v>1089</v>
      </c>
      <c r="D8706" s="504" t="s">
        <v>3392</v>
      </c>
      <c r="E8706" s="504" t="s">
        <v>3381</v>
      </c>
      <c r="F8706" s="504" t="s">
        <v>968</v>
      </c>
      <c r="G8706" s="504" t="s">
        <v>969</v>
      </c>
      <c r="H8706" s="504" t="s">
        <v>11754</v>
      </c>
      <c r="I8706" s="504">
        <v>5</v>
      </c>
      <c r="J8706" s="504">
        <v>0</v>
      </c>
      <c r="K8706" s="504">
        <v>0</v>
      </c>
      <c r="L8706" s="504">
        <v>5</v>
      </c>
      <c r="M8706" s="504">
        <v>0</v>
      </c>
      <c r="N8706" s="504">
        <v>0</v>
      </c>
      <c r="O8706" s="505">
        <v>0</v>
      </c>
    </row>
    <row r="8707" spans="1:15" x14ac:dyDescent="0.35">
      <c r="A8707" s="500" t="s">
        <v>1107</v>
      </c>
      <c r="B8707" s="501" t="s">
        <v>3109</v>
      </c>
      <c r="C8707" s="501" t="s">
        <v>1094</v>
      </c>
      <c r="D8707" s="501" t="s">
        <v>3380</v>
      </c>
      <c r="E8707" s="501" t="s">
        <v>3381</v>
      </c>
      <c r="F8707" s="501" t="s">
        <v>968</v>
      </c>
      <c r="G8707" s="501" t="s">
        <v>969</v>
      </c>
      <c r="H8707" s="501" t="s">
        <v>10427</v>
      </c>
      <c r="I8707" s="501">
        <v>19</v>
      </c>
      <c r="J8707" s="501">
        <v>19</v>
      </c>
      <c r="K8707" s="501">
        <v>0</v>
      </c>
      <c r="L8707" s="501">
        <v>0</v>
      </c>
      <c r="M8707" s="501">
        <v>0</v>
      </c>
      <c r="N8707" s="501">
        <v>0</v>
      </c>
      <c r="O8707" s="506">
        <v>0</v>
      </c>
    </row>
    <row r="8708" spans="1:15" x14ac:dyDescent="0.35">
      <c r="A8708" s="503" t="s">
        <v>14243</v>
      </c>
      <c r="B8708" s="504">
        <v>5149</v>
      </c>
      <c r="C8708" s="504" t="s">
        <v>1089</v>
      </c>
      <c r="D8708" s="504" t="s">
        <v>3392</v>
      </c>
      <c r="E8708" s="504" t="s">
        <v>3381</v>
      </c>
      <c r="F8708" s="504" t="s">
        <v>968</v>
      </c>
      <c r="G8708" s="504" t="s">
        <v>969</v>
      </c>
      <c r="H8708" s="504" t="s">
        <v>15196</v>
      </c>
      <c r="I8708" s="504">
        <v>46</v>
      </c>
      <c r="J8708" s="504">
        <v>46</v>
      </c>
      <c r="K8708" s="504">
        <v>0</v>
      </c>
      <c r="L8708" s="504">
        <v>0</v>
      </c>
      <c r="M8708" s="504">
        <v>0</v>
      </c>
      <c r="N8708" s="504">
        <v>0</v>
      </c>
      <c r="O8708" s="505">
        <v>0</v>
      </c>
    </row>
    <row r="8709" spans="1:15" x14ac:dyDescent="0.35">
      <c r="A8709" s="500" t="s">
        <v>1310</v>
      </c>
      <c r="B8709" s="501">
        <v>5062</v>
      </c>
      <c r="C8709" s="501" t="s">
        <v>1089</v>
      </c>
      <c r="D8709" s="501" t="s">
        <v>3380</v>
      </c>
      <c r="E8709" s="501" t="s">
        <v>3381</v>
      </c>
      <c r="F8709" s="501" t="s">
        <v>968</v>
      </c>
      <c r="G8709" s="501" t="s">
        <v>969</v>
      </c>
      <c r="H8709" s="501" t="s">
        <v>11816</v>
      </c>
      <c r="I8709" s="501">
        <v>29</v>
      </c>
      <c r="J8709" s="501">
        <v>11</v>
      </c>
      <c r="K8709" s="501">
        <v>0</v>
      </c>
      <c r="L8709" s="501">
        <v>0</v>
      </c>
      <c r="M8709" s="501">
        <v>0</v>
      </c>
      <c r="N8709" s="501">
        <v>0</v>
      </c>
      <c r="O8709" s="506">
        <v>18</v>
      </c>
    </row>
    <row r="8710" spans="1:15" x14ac:dyDescent="0.35">
      <c r="A8710" s="503" t="s">
        <v>1202</v>
      </c>
      <c r="B8710" s="504" t="s">
        <v>3217</v>
      </c>
      <c r="C8710" s="504" t="s">
        <v>1094</v>
      </c>
      <c r="D8710" s="504" t="s">
        <v>3380</v>
      </c>
      <c r="E8710" s="504" t="s">
        <v>3381</v>
      </c>
      <c r="F8710" s="504" t="s">
        <v>968</v>
      </c>
      <c r="G8710" s="504" t="s">
        <v>969</v>
      </c>
      <c r="H8710" s="504" t="s">
        <v>10428</v>
      </c>
      <c r="I8710" s="504">
        <v>11</v>
      </c>
      <c r="J8710" s="504">
        <v>0</v>
      </c>
      <c r="K8710" s="504">
        <v>0</v>
      </c>
      <c r="L8710" s="504">
        <v>0</v>
      </c>
      <c r="M8710" s="504">
        <v>0</v>
      </c>
      <c r="N8710" s="504">
        <v>0</v>
      </c>
      <c r="O8710" s="505">
        <v>11</v>
      </c>
    </row>
    <row r="8711" spans="1:15" x14ac:dyDescent="0.35">
      <c r="A8711" s="500" t="s">
        <v>1112</v>
      </c>
      <c r="B8711" s="501" t="s">
        <v>3008</v>
      </c>
      <c r="C8711" s="501" t="s">
        <v>1094</v>
      </c>
      <c r="D8711" s="501" t="s">
        <v>3380</v>
      </c>
      <c r="E8711" s="501" t="s">
        <v>3381</v>
      </c>
      <c r="F8711" s="501" t="s">
        <v>968</v>
      </c>
      <c r="G8711" s="501" t="s">
        <v>969</v>
      </c>
      <c r="H8711" s="501" t="s">
        <v>10429</v>
      </c>
      <c r="I8711" s="501">
        <v>252</v>
      </c>
      <c r="J8711" s="501">
        <v>145</v>
      </c>
      <c r="K8711" s="501">
        <v>0</v>
      </c>
      <c r="L8711" s="501">
        <v>0</v>
      </c>
      <c r="M8711" s="501">
        <v>0</v>
      </c>
      <c r="N8711" s="501">
        <v>0</v>
      </c>
      <c r="O8711" s="506">
        <v>107</v>
      </c>
    </row>
    <row r="8712" spans="1:15" x14ac:dyDescent="0.35">
      <c r="A8712" s="503" t="s">
        <v>1114</v>
      </c>
      <c r="B8712" s="504" t="s">
        <v>2982</v>
      </c>
      <c r="C8712" s="504" t="s">
        <v>1094</v>
      </c>
      <c r="D8712" s="504" t="s">
        <v>3380</v>
      </c>
      <c r="E8712" s="504" t="s">
        <v>3381</v>
      </c>
      <c r="F8712" s="504" t="s">
        <v>968</v>
      </c>
      <c r="G8712" s="504" t="s">
        <v>969</v>
      </c>
      <c r="H8712" s="504" t="s">
        <v>10430</v>
      </c>
      <c r="I8712" s="504">
        <v>1</v>
      </c>
      <c r="J8712" s="504">
        <v>0</v>
      </c>
      <c r="K8712" s="504">
        <v>0</v>
      </c>
      <c r="L8712" s="504">
        <v>0</v>
      </c>
      <c r="M8712" s="504">
        <v>0</v>
      </c>
      <c r="N8712" s="504">
        <v>0</v>
      </c>
      <c r="O8712" s="505">
        <v>1</v>
      </c>
    </row>
    <row r="8713" spans="1:15" x14ac:dyDescent="0.35">
      <c r="A8713" s="500" t="s">
        <v>1226</v>
      </c>
      <c r="B8713" s="501">
        <v>5084</v>
      </c>
      <c r="C8713" s="501" t="s">
        <v>1094</v>
      </c>
      <c r="D8713" s="501" t="s">
        <v>3380</v>
      </c>
      <c r="E8713" s="501" t="s">
        <v>3381</v>
      </c>
      <c r="F8713" s="501" t="s">
        <v>968</v>
      </c>
      <c r="G8713" s="501" t="s">
        <v>969</v>
      </c>
      <c r="H8713" s="501" t="s">
        <v>11989</v>
      </c>
      <c r="I8713" s="501">
        <v>7</v>
      </c>
      <c r="J8713" s="501">
        <v>7</v>
      </c>
      <c r="K8713" s="501">
        <v>0</v>
      </c>
      <c r="L8713" s="501">
        <v>0</v>
      </c>
      <c r="M8713" s="501">
        <v>0</v>
      </c>
      <c r="N8713" s="501">
        <v>0</v>
      </c>
      <c r="O8713" s="506">
        <v>0</v>
      </c>
    </row>
    <row r="8714" spans="1:15" x14ac:dyDescent="0.35">
      <c r="A8714" s="503" t="s">
        <v>1126</v>
      </c>
      <c r="B8714" s="504" t="s">
        <v>2974</v>
      </c>
      <c r="C8714" s="504" t="s">
        <v>1094</v>
      </c>
      <c r="D8714" s="504" t="s">
        <v>3380</v>
      </c>
      <c r="E8714" s="504" t="s">
        <v>3381</v>
      </c>
      <c r="F8714" s="504" t="s">
        <v>968</v>
      </c>
      <c r="G8714" s="504" t="s">
        <v>969</v>
      </c>
      <c r="H8714" s="504" t="s">
        <v>10431</v>
      </c>
      <c r="I8714" s="504">
        <v>17</v>
      </c>
      <c r="J8714" s="504">
        <v>15</v>
      </c>
      <c r="K8714" s="504">
        <v>0</v>
      </c>
      <c r="L8714" s="504">
        <v>0</v>
      </c>
      <c r="M8714" s="504">
        <v>0</v>
      </c>
      <c r="N8714" s="504">
        <v>0</v>
      </c>
      <c r="O8714" s="505">
        <v>2</v>
      </c>
    </row>
    <row r="8715" spans="1:15" x14ac:dyDescent="0.35">
      <c r="A8715" s="500" t="s">
        <v>1896</v>
      </c>
      <c r="B8715" s="501" t="s">
        <v>3216</v>
      </c>
      <c r="C8715" s="501" t="s">
        <v>1094</v>
      </c>
      <c r="D8715" s="501" t="s">
        <v>3380</v>
      </c>
      <c r="E8715" s="501" t="s">
        <v>3381</v>
      </c>
      <c r="F8715" s="501" t="s">
        <v>968</v>
      </c>
      <c r="G8715" s="501" t="s">
        <v>969</v>
      </c>
      <c r="H8715" s="501" t="s">
        <v>10432</v>
      </c>
      <c r="I8715" s="501">
        <v>221</v>
      </c>
      <c r="J8715" s="501">
        <v>163</v>
      </c>
      <c r="K8715" s="501">
        <v>0</v>
      </c>
      <c r="L8715" s="501">
        <v>0</v>
      </c>
      <c r="M8715" s="501">
        <v>0</v>
      </c>
      <c r="N8715" s="501">
        <v>0</v>
      </c>
      <c r="O8715" s="506">
        <v>58</v>
      </c>
    </row>
    <row r="8716" spans="1:15" x14ac:dyDescent="0.35">
      <c r="A8716" s="503" t="s">
        <v>1898</v>
      </c>
      <c r="B8716" s="504" t="s">
        <v>3148</v>
      </c>
      <c r="C8716" s="504" t="s">
        <v>1094</v>
      </c>
      <c r="D8716" s="504" t="s">
        <v>3380</v>
      </c>
      <c r="E8716" s="504" t="s">
        <v>3381</v>
      </c>
      <c r="F8716" s="504" t="s">
        <v>968</v>
      </c>
      <c r="G8716" s="504" t="s">
        <v>969</v>
      </c>
      <c r="H8716" s="504" t="s">
        <v>10433</v>
      </c>
      <c r="I8716" s="504">
        <v>753</v>
      </c>
      <c r="J8716" s="504">
        <v>540</v>
      </c>
      <c r="K8716" s="504">
        <v>0</v>
      </c>
      <c r="L8716" s="504">
        <v>27</v>
      </c>
      <c r="M8716" s="504">
        <v>0</v>
      </c>
      <c r="N8716" s="504">
        <v>0</v>
      </c>
      <c r="O8716" s="505">
        <v>186</v>
      </c>
    </row>
    <row r="8717" spans="1:15" x14ac:dyDescent="0.35">
      <c r="A8717" s="500" t="s">
        <v>1132</v>
      </c>
      <c r="B8717" s="501">
        <v>4837</v>
      </c>
      <c r="C8717" s="501" t="s">
        <v>1094</v>
      </c>
      <c r="D8717" s="501" t="s">
        <v>3380</v>
      </c>
      <c r="E8717" s="501" t="s">
        <v>3381</v>
      </c>
      <c r="F8717" s="501" t="s">
        <v>968</v>
      </c>
      <c r="G8717" s="501" t="s">
        <v>969</v>
      </c>
      <c r="H8717" s="501" t="s">
        <v>10434</v>
      </c>
      <c r="I8717" s="501">
        <v>6390</v>
      </c>
      <c r="J8717" s="501">
        <v>5732</v>
      </c>
      <c r="K8717" s="501">
        <v>0</v>
      </c>
      <c r="L8717" s="501">
        <v>77</v>
      </c>
      <c r="M8717" s="501">
        <v>267</v>
      </c>
      <c r="N8717" s="501">
        <v>1</v>
      </c>
      <c r="O8717" s="506">
        <v>314</v>
      </c>
    </row>
    <row r="8718" spans="1:15" x14ac:dyDescent="0.35">
      <c r="A8718" s="503" t="s">
        <v>1240</v>
      </c>
      <c r="B8718" s="504" t="s">
        <v>2972</v>
      </c>
      <c r="C8718" s="504" t="s">
        <v>1094</v>
      </c>
      <c r="D8718" s="504" t="s">
        <v>3380</v>
      </c>
      <c r="E8718" s="504" t="s">
        <v>3381</v>
      </c>
      <c r="F8718" s="504" t="s">
        <v>968</v>
      </c>
      <c r="G8718" s="504" t="s">
        <v>969</v>
      </c>
      <c r="H8718" s="504" t="s">
        <v>10435</v>
      </c>
      <c r="I8718" s="504">
        <v>82</v>
      </c>
      <c r="J8718" s="504">
        <v>64</v>
      </c>
      <c r="K8718" s="504">
        <v>0</v>
      </c>
      <c r="L8718" s="504">
        <v>0</v>
      </c>
      <c r="M8718" s="504">
        <v>0</v>
      </c>
      <c r="N8718" s="504">
        <v>0</v>
      </c>
      <c r="O8718" s="505">
        <v>18</v>
      </c>
    </row>
    <row r="8719" spans="1:15" x14ac:dyDescent="0.35">
      <c r="A8719" s="500" t="s">
        <v>1134</v>
      </c>
      <c r="B8719" s="501" t="s">
        <v>3066</v>
      </c>
      <c r="C8719" s="501" t="s">
        <v>1094</v>
      </c>
      <c r="D8719" s="501" t="s">
        <v>3380</v>
      </c>
      <c r="E8719" s="501" t="s">
        <v>3381</v>
      </c>
      <c r="F8719" s="501" t="s">
        <v>968</v>
      </c>
      <c r="G8719" s="501" t="s">
        <v>969</v>
      </c>
      <c r="H8719" s="501" t="s">
        <v>10436</v>
      </c>
      <c r="I8719" s="501">
        <v>85</v>
      </c>
      <c r="J8719" s="501">
        <v>57</v>
      </c>
      <c r="K8719" s="501">
        <v>0</v>
      </c>
      <c r="L8719" s="501">
        <v>19</v>
      </c>
      <c r="M8719" s="501">
        <v>0</v>
      </c>
      <c r="N8719" s="501">
        <v>0</v>
      </c>
      <c r="O8719" s="506">
        <v>9</v>
      </c>
    </row>
    <row r="8720" spans="1:15" x14ac:dyDescent="0.35">
      <c r="A8720" s="503" t="s">
        <v>1136</v>
      </c>
      <c r="B8720" s="504">
        <v>4680</v>
      </c>
      <c r="C8720" s="504" t="s">
        <v>1094</v>
      </c>
      <c r="D8720" s="504" t="s">
        <v>3380</v>
      </c>
      <c r="E8720" s="504" t="s">
        <v>3381</v>
      </c>
      <c r="F8720" s="504" t="s">
        <v>968</v>
      </c>
      <c r="G8720" s="504" t="s">
        <v>969</v>
      </c>
      <c r="H8720" s="504" t="s">
        <v>10437</v>
      </c>
      <c r="I8720" s="504">
        <v>23</v>
      </c>
      <c r="J8720" s="504">
        <v>12</v>
      </c>
      <c r="K8720" s="504">
        <v>0</v>
      </c>
      <c r="L8720" s="504">
        <v>0</v>
      </c>
      <c r="M8720" s="504">
        <v>0</v>
      </c>
      <c r="N8720" s="504">
        <v>0</v>
      </c>
      <c r="O8720" s="505">
        <v>11</v>
      </c>
    </row>
    <row r="8721" spans="1:15" x14ac:dyDescent="0.35">
      <c r="A8721" s="500" t="s">
        <v>1249</v>
      </c>
      <c r="B8721" s="501">
        <v>4729</v>
      </c>
      <c r="C8721" s="501" t="s">
        <v>1094</v>
      </c>
      <c r="D8721" s="501" t="s">
        <v>3380</v>
      </c>
      <c r="E8721" s="501" t="s">
        <v>3381</v>
      </c>
      <c r="F8721" s="501" t="s">
        <v>968</v>
      </c>
      <c r="G8721" s="501" t="s">
        <v>969</v>
      </c>
      <c r="H8721" s="501" t="s">
        <v>10438</v>
      </c>
      <c r="I8721" s="501">
        <v>12</v>
      </c>
      <c r="J8721" s="501">
        <v>9</v>
      </c>
      <c r="K8721" s="501">
        <v>0</v>
      </c>
      <c r="L8721" s="501">
        <v>0</v>
      </c>
      <c r="M8721" s="501">
        <v>0</v>
      </c>
      <c r="N8721" s="501">
        <v>0</v>
      </c>
      <c r="O8721" s="506">
        <v>3</v>
      </c>
    </row>
    <row r="8722" spans="1:15" x14ac:dyDescent="0.35">
      <c r="A8722" s="503" t="s">
        <v>1156</v>
      </c>
      <c r="B8722" s="504" t="s">
        <v>3310</v>
      </c>
      <c r="C8722" s="504" t="s">
        <v>1094</v>
      </c>
      <c r="D8722" s="504" t="s">
        <v>3380</v>
      </c>
      <c r="E8722" s="504" t="s">
        <v>3381</v>
      </c>
      <c r="F8722" s="504" t="s">
        <v>968</v>
      </c>
      <c r="G8722" s="504" t="s">
        <v>969</v>
      </c>
      <c r="H8722" s="504" t="s">
        <v>10418</v>
      </c>
      <c r="I8722" s="504">
        <v>80</v>
      </c>
      <c r="J8722" s="504">
        <v>34</v>
      </c>
      <c r="K8722" s="504">
        <v>0</v>
      </c>
      <c r="L8722" s="504">
        <v>0</v>
      </c>
      <c r="M8722" s="504">
        <v>36</v>
      </c>
      <c r="N8722" s="504">
        <v>0</v>
      </c>
      <c r="O8722" s="505">
        <v>10</v>
      </c>
    </row>
    <row r="8723" spans="1:15" x14ac:dyDescent="0.35">
      <c r="A8723" s="500" t="s">
        <v>1143</v>
      </c>
      <c r="B8723" s="501" t="s">
        <v>3281</v>
      </c>
      <c r="C8723" s="501" t="s">
        <v>1094</v>
      </c>
      <c r="D8723" s="501" t="s">
        <v>3380</v>
      </c>
      <c r="E8723" s="501" t="s">
        <v>3381</v>
      </c>
      <c r="F8723" s="501" t="s">
        <v>970</v>
      </c>
      <c r="G8723" s="501" t="s">
        <v>971</v>
      </c>
      <c r="H8723" s="501" t="s">
        <v>10439</v>
      </c>
      <c r="I8723" s="501">
        <v>306</v>
      </c>
      <c r="J8723" s="501">
        <v>212</v>
      </c>
      <c r="K8723" s="501">
        <v>0</v>
      </c>
      <c r="L8723" s="501">
        <v>0</v>
      </c>
      <c r="M8723" s="501">
        <v>67</v>
      </c>
      <c r="N8723" s="501">
        <v>0</v>
      </c>
      <c r="O8723" s="506">
        <v>27</v>
      </c>
    </row>
    <row r="8724" spans="1:15" x14ac:dyDescent="0.35">
      <c r="A8724" s="503" t="s">
        <v>1096</v>
      </c>
      <c r="B8724" s="504" t="s">
        <v>3326</v>
      </c>
      <c r="C8724" s="504" t="s">
        <v>1094</v>
      </c>
      <c r="D8724" s="504" t="s">
        <v>3380</v>
      </c>
      <c r="E8724" s="504" t="s">
        <v>3381</v>
      </c>
      <c r="F8724" s="504" t="s">
        <v>970</v>
      </c>
      <c r="G8724" s="504" t="s">
        <v>971</v>
      </c>
      <c r="H8724" s="504" t="s">
        <v>10440</v>
      </c>
      <c r="I8724" s="504">
        <v>126</v>
      </c>
      <c r="J8724" s="504">
        <v>0</v>
      </c>
      <c r="K8724" s="504">
        <v>0</v>
      </c>
      <c r="L8724" s="504">
        <v>0</v>
      </c>
      <c r="M8724" s="504">
        <v>123</v>
      </c>
      <c r="N8724" s="504">
        <v>0</v>
      </c>
      <c r="O8724" s="505">
        <v>3</v>
      </c>
    </row>
    <row r="8725" spans="1:15" x14ac:dyDescent="0.35">
      <c r="A8725" s="500" t="s">
        <v>1151</v>
      </c>
      <c r="B8725" s="501">
        <v>4726</v>
      </c>
      <c r="C8725" s="501" t="s">
        <v>1089</v>
      </c>
      <c r="D8725" s="501" t="s">
        <v>3392</v>
      </c>
      <c r="E8725" s="501" t="s">
        <v>3381</v>
      </c>
      <c r="F8725" s="501" t="s">
        <v>970</v>
      </c>
      <c r="G8725" s="501" t="s">
        <v>971</v>
      </c>
      <c r="H8725" s="501" t="s">
        <v>10441</v>
      </c>
      <c r="I8725" s="501">
        <v>1</v>
      </c>
      <c r="J8725" s="501">
        <v>1</v>
      </c>
      <c r="K8725" s="501">
        <v>0</v>
      </c>
      <c r="L8725" s="501">
        <v>0</v>
      </c>
      <c r="M8725" s="501">
        <v>0</v>
      </c>
      <c r="N8725" s="501">
        <v>0</v>
      </c>
      <c r="O8725" s="506">
        <v>0</v>
      </c>
    </row>
    <row r="8726" spans="1:15" x14ac:dyDescent="0.35">
      <c r="A8726" s="503" t="s">
        <v>11363</v>
      </c>
      <c r="B8726" s="504">
        <v>4718</v>
      </c>
      <c r="C8726" s="504" t="s">
        <v>1094</v>
      </c>
      <c r="D8726" s="504" t="s">
        <v>3380</v>
      </c>
      <c r="E8726" s="504" t="s">
        <v>3381</v>
      </c>
      <c r="F8726" s="504" t="s">
        <v>970</v>
      </c>
      <c r="G8726" s="504" t="s">
        <v>971</v>
      </c>
      <c r="H8726" s="504" t="s">
        <v>11603</v>
      </c>
      <c r="I8726" s="504">
        <v>6</v>
      </c>
      <c r="J8726" s="504">
        <v>0</v>
      </c>
      <c r="K8726" s="504">
        <v>0</v>
      </c>
      <c r="L8726" s="504">
        <v>6</v>
      </c>
      <c r="M8726" s="504">
        <v>0</v>
      </c>
      <c r="N8726" s="504">
        <v>0</v>
      </c>
      <c r="O8726" s="505">
        <v>0</v>
      </c>
    </row>
    <row r="8727" spans="1:15" x14ac:dyDescent="0.35">
      <c r="A8727" s="500" t="s">
        <v>2137</v>
      </c>
      <c r="B8727" s="501">
        <v>4736</v>
      </c>
      <c r="C8727" s="501" t="s">
        <v>1089</v>
      </c>
      <c r="D8727" s="501" t="s">
        <v>3392</v>
      </c>
      <c r="E8727" s="501" t="s">
        <v>3381</v>
      </c>
      <c r="F8727" s="501" t="s">
        <v>970</v>
      </c>
      <c r="G8727" s="501" t="s">
        <v>971</v>
      </c>
      <c r="H8727" s="501" t="s">
        <v>10442</v>
      </c>
      <c r="I8727" s="501">
        <v>11</v>
      </c>
      <c r="J8727" s="501">
        <v>0</v>
      </c>
      <c r="K8727" s="501">
        <v>1</v>
      </c>
      <c r="L8727" s="501">
        <v>10</v>
      </c>
      <c r="M8727" s="501">
        <v>0</v>
      </c>
      <c r="N8727" s="501">
        <v>0</v>
      </c>
      <c r="O8727" s="506">
        <v>0</v>
      </c>
    </row>
    <row r="8728" spans="1:15" x14ac:dyDescent="0.35">
      <c r="A8728" s="503" t="s">
        <v>2142</v>
      </c>
      <c r="B8728" s="504" t="s">
        <v>3100</v>
      </c>
      <c r="C8728" s="504" t="s">
        <v>1094</v>
      </c>
      <c r="D8728" s="504" t="s">
        <v>3380</v>
      </c>
      <c r="E8728" s="504" t="s">
        <v>3381</v>
      </c>
      <c r="F8728" s="504" t="s">
        <v>970</v>
      </c>
      <c r="G8728" s="504" t="s">
        <v>971</v>
      </c>
      <c r="H8728" s="504" t="s">
        <v>10443</v>
      </c>
      <c r="I8728" s="504">
        <v>69</v>
      </c>
      <c r="J8728" s="504">
        <v>30</v>
      </c>
      <c r="K8728" s="504">
        <v>0</v>
      </c>
      <c r="L8728" s="504">
        <v>0</v>
      </c>
      <c r="M8728" s="504">
        <v>8</v>
      </c>
      <c r="N8728" s="504">
        <v>0</v>
      </c>
      <c r="O8728" s="505">
        <v>31</v>
      </c>
    </row>
    <row r="8729" spans="1:15" x14ac:dyDescent="0.35">
      <c r="A8729" s="500" t="s">
        <v>2145</v>
      </c>
      <c r="B8729" s="501" t="s">
        <v>2608</v>
      </c>
      <c r="C8729" s="501" t="s">
        <v>1089</v>
      </c>
      <c r="D8729" s="501" t="s">
        <v>3392</v>
      </c>
      <c r="E8729" s="501" t="s">
        <v>3381</v>
      </c>
      <c r="F8729" s="501" t="s">
        <v>970</v>
      </c>
      <c r="G8729" s="501" t="s">
        <v>971</v>
      </c>
      <c r="H8729" s="501" t="s">
        <v>10444</v>
      </c>
      <c r="I8729" s="501">
        <v>4</v>
      </c>
      <c r="J8729" s="501">
        <v>0</v>
      </c>
      <c r="K8729" s="501">
        <v>0</v>
      </c>
      <c r="L8729" s="501">
        <v>0</v>
      </c>
      <c r="M8729" s="501">
        <v>4</v>
      </c>
      <c r="N8729" s="501">
        <v>0</v>
      </c>
      <c r="O8729" s="506">
        <v>0</v>
      </c>
    </row>
    <row r="8730" spans="1:15" x14ac:dyDescent="0.35">
      <c r="A8730" s="503" t="s">
        <v>1174</v>
      </c>
      <c r="B8730" s="504">
        <v>4784</v>
      </c>
      <c r="C8730" s="504" t="s">
        <v>1089</v>
      </c>
      <c r="D8730" s="504" t="s">
        <v>3392</v>
      </c>
      <c r="E8730" s="504" t="s">
        <v>3381</v>
      </c>
      <c r="F8730" s="504" t="s">
        <v>970</v>
      </c>
      <c r="G8730" s="504" t="s">
        <v>971</v>
      </c>
      <c r="H8730" s="504" t="s">
        <v>10445</v>
      </c>
      <c r="I8730" s="504">
        <v>16</v>
      </c>
      <c r="J8730" s="504">
        <v>0</v>
      </c>
      <c r="K8730" s="504">
        <v>0</v>
      </c>
      <c r="L8730" s="504">
        <v>16</v>
      </c>
      <c r="M8730" s="504">
        <v>0</v>
      </c>
      <c r="N8730" s="504">
        <v>0</v>
      </c>
      <c r="O8730" s="505">
        <v>0</v>
      </c>
    </row>
    <row r="8731" spans="1:15" x14ac:dyDescent="0.35">
      <c r="A8731" s="500" t="s">
        <v>14208</v>
      </c>
      <c r="B8731" s="501">
        <v>4803</v>
      </c>
      <c r="C8731" s="501" t="s">
        <v>1094</v>
      </c>
      <c r="D8731" s="501" t="s">
        <v>3380</v>
      </c>
      <c r="E8731" s="501" t="s">
        <v>3381</v>
      </c>
      <c r="F8731" s="501" t="s">
        <v>970</v>
      </c>
      <c r="G8731" s="501" t="s">
        <v>971</v>
      </c>
      <c r="H8731" s="501" t="s">
        <v>15197</v>
      </c>
      <c r="I8731" s="501">
        <v>26</v>
      </c>
      <c r="J8731" s="501">
        <v>0</v>
      </c>
      <c r="K8731" s="501">
        <v>0</v>
      </c>
      <c r="L8731" s="501">
        <v>26</v>
      </c>
      <c r="M8731" s="501">
        <v>0</v>
      </c>
      <c r="N8731" s="501">
        <v>0</v>
      </c>
      <c r="O8731" s="506">
        <v>0</v>
      </c>
    </row>
    <row r="8732" spans="1:15" x14ac:dyDescent="0.35">
      <c r="A8732" s="503" t="s">
        <v>1183</v>
      </c>
      <c r="B8732" s="504" t="s">
        <v>3038</v>
      </c>
      <c r="C8732" s="504" t="s">
        <v>1094</v>
      </c>
      <c r="D8732" s="504" t="s">
        <v>3380</v>
      </c>
      <c r="E8732" s="504" t="s">
        <v>3381</v>
      </c>
      <c r="F8732" s="504" t="s">
        <v>970</v>
      </c>
      <c r="G8732" s="504" t="s">
        <v>971</v>
      </c>
      <c r="H8732" s="504" t="s">
        <v>11719</v>
      </c>
      <c r="I8732" s="504">
        <v>2</v>
      </c>
      <c r="J8732" s="504">
        <v>0</v>
      </c>
      <c r="K8732" s="504">
        <v>0</v>
      </c>
      <c r="L8732" s="504">
        <v>0</v>
      </c>
      <c r="M8732" s="504">
        <v>0</v>
      </c>
      <c r="N8732" s="504">
        <v>0</v>
      </c>
      <c r="O8732" s="505">
        <v>2</v>
      </c>
    </row>
    <row r="8733" spans="1:15" x14ac:dyDescent="0.35">
      <c r="A8733" s="500" t="s">
        <v>1185</v>
      </c>
      <c r="B8733" s="501" t="s">
        <v>3253</v>
      </c>
      <c r="C8733" s="501" t="s">
        <v>1094</v>
      </c>
      <c r="D8733" s="501" t="s">
        <v>3380</v>
      </c>
      <c r="E8733" s="501" t="s">
        <v>3381</v>
      </c>
      <c r="F8733" s="501" t="s">
        <v>970</v>
      </c>
      <c r="G8733" s="501" t="s">
        <v>971</v>
      </c>
      <c r="H8733" s="501" t="s">
        <v>10446</v>
      </c>
      <c r="I8733" s="501">
        <v>65</v>
      </c>
      <c r="J8733" s="501">
        <v>48</v>
      </c>
      <c r="K8733" s="501">
        <v>0</v>
      </c>
      <c r="L8733" s="501">
        <v>17</v>
      </c>
      <c r="M8733" s="501">
        <v>0</v>
      </c>
      <c r="N8733" s="501">
        <v>0</v>
      </c>
      <c r="O8733" s="506">
        <v>0</v>
      </c>
    </row>
    <row r="8734" spans="1:15" x14ac:dyDescent="0.35">
      <c r="A8734" s="503" t="s">
        <v>1105</v>
      </c>
      <c r="B8734" s="504">
        <v>4668</v>
      </c>
      <c r="C8734" s="504" t="s">
        <v>1094</v>
      </c>
      <c r="D8734" s="504" t="s">
        <v>3380</v>
      </c>
      <c r="E8734" s="504" t="s">
        <v>3381</v>
      </c>
      <c r="F8734" s="504" t="s">
        <v>970</v>
      </c>
      <c r="G8734" s="504" t="s">
        <v>971</v>
      </c>
      <c r="H8734" s="504" t="s">
        <v>10447</v>
      </c>
      <c r="I8734" s="504">
        <v>144</v>
      </c>
      <c r="J8734" s="504">
        <v>0</v>
      </c>
      <c r="K8734" s="504">
        <v>0</v>
      </c>
      <c r="L8734" s="504">
        <v>0</v>
      </c>
      <c r="M8734" s="504">
        <v>0</v>
      </c>
      <c r="N8734" s="504">
        <v>0</v>
      </c>
      <c r="O8734" s="505">
        <v>144</v>
      </c>
    </row>
    <row r="8735" spans="1:15" x14ac:dyDescent="0.35">
      <c r="A8735" s="500" t="s">
        <v>2155</v>
      </c>
      <c r="B8735" s="501">
        <v>4776</v>
      </c>
      <c r="C8735" s="501" t="s">
        <v>1089</v>
      </c>
      <c r="D8735" s="501" t="s">
        <v>3392</v>
      </c>
      <c r="E8735" s="501" t="s">
        <v>3381</v>
      </c>
      <c r="F8735" s="501" t="s">
        <v>970</v>
      </c>
      <c r="G8735" s="501" t="s">
        <v>971</v>
      </c>
      <c r="H8735" s="501" t="s">
        <v>10448</v>
      </c>
      <c r="I8735" s="501">
        <v>67</v>
      </c>
      <c r="J8735" s="501">
        <v>15</v>
      </c>
      <c r="K8735" s="501">
        <v>0</v>
      </c>
      <c r="L8735" s="501">
        <v>52</v>
      </c>
      <c r="M8735" s="501">
        <v>0</v>
      </c>
      <c r="N8735" s="501">
        <v>0</v>
      </c>
      <c r="O8735" s="506">
        <v>0</v>
      </c>
    </row>
    <row r="8736" spans="1:15" x14ac:dyDescent="0.35">
      <c r="A8736" s="503" t="s">
        <v>1107</v>
      </c>
      <c r="B8736" s="504" t="s">
        <v>3109</v>
      </c>
      <c r="C8736" s="504" t="s">
        <v>1094</v>
      </c>
      <c r="D8736" s="504" t="s">
        <v>3380</v>
      </c>
      <c r="E8736" s="504" t="s">
        <v>3381</v>
      </c>
      <c r="F8736" s="504" t="s">
        <v>970</v>
      </c>
      <c r="G8736" s="504" t="s">
        <v>971</v>
      </c>
      <c r="H8736" s="504" t="s">
        <v>10449</v>
      </c>
      <c r="I8736" s="504">
        <v>2</v>
      </c>
      <c r="J8736" s="504">
        <v>0</v>
      </c>
      <c r="K8736" s="504">
        <v>0</v>
      </c>
      <c r="L8736" s="504">
        <v>0</v>
      </c>
      <c r="M8736" s="504">
        <v>0</v>
      </c>
      <c r="N8736" s="504">
        <v>0</v>
      </c>
      <c r="O8736" s="505">
        <v>2</v>
      </c>
    </row>
    <row r="8737" spans="1:15" x14ac:dyDescent="0.35">
      <c r="A8737" s="500" t="s">
        <v>1109</v>
      </c>
      <c r="B8737" s="501" t="s">
        <v>2959</v>
      </c>
      <c r="C8737" s="501" t="s">
        <v>1094</v>
      </c>
      <c r="D8737" s="501" t="s">
        <v>3380</v>
      </c>
      <c r="E8737" s="501" t="s">
        <v>3381</v>
      </c>
      <c r="F8737" s="501" t="s">
        <v>970</v>
      </c>
      <c r="G8737" s="501" t="s">
        <v>971</v>
      </c>
      <c r="H8737" s="501" t="s">
        <v>10450</v>
      </c>
      <c r="I8737" s="501">
        <v>25</v>
      </c>
      <c r="J8737" s="501">
        <v>0</v>
      </c>
      <c r="K8737" s="501">
        <v>0</v>
      </c>
      <c r="L8737" s="501">
        <v>0</v>
      </c>
      <c r="M8737" s="501">
        <v>25</v>
      </c>
      <c r="N8737" s="501">
        <v>0</v>
      </c>
      <c r="O8737" s="506">
        <v>0</v>
      </c>
    </row>
    <row r="8738" spans="1:15" x14ac:dyDescent="0.35">
      <c r="A8738" s="503" t="s">
        <v>1634</v>
      </c>
      <c r="B8738" s="504">
        <v>4822</v>
      </c>
      <c r="C8738" s="504" t="s">
        <v>1089</v>
      </c>
      <c r="D8738" s="504" t="s">
        <v>3392</v>
      </c>
      <c r="E8738" s="504" t="s">
        <v>3381</v>
      </c>
      <c r="F8738" s="504" t="s">
        <v>970</v>
      </c>
      <c r="G8738" s="504" t="s">
        <v>971</v>
      </c>
      <c r="H8738" s="504" t="s">
        <v>10451</v>
      </c>
      <c r="I8738" s="504">
        <v>4</v>
      </c>
      <c r="J8738" s="504">
        <v>0</v>
      </c>
      <c r="K8738" s="504">
        <v>0</v>
      </c>
      <c r="L8738" s="504">
        <v>4</v>
      </c>
      <c r="M8738" s="504">
        <v>0</v>
      </c>
      <c r="N8738" s="504">
        <v>0</v>
      </c>
      <c r="O8738" s="505">
        <v>0</v>
      </c>
    </row>
    <row r="8739" spans="1:15" x14ac:dyDescent="0.35">
      <c r="A8739" s="500" t="s">
        <v>1190</v>
      </c>
      <c r="B8739" s="501">
        <v>4662</v>
      </c>
      <c r="C8739" s="501" t="s">
        <v>1094</v>
      </c>
      <c r="D8739" s="501" t="s">
        <v>3380</v>
      </c>
      <c r="E8739" s="501" t="s">
        <v>3381</v>
      </c>
      <c r="F8739" s="501" t="s">
        <v>970</v>
      </c>
      <c r="G8739" s="501" t="s">
        <v>971</v>
      </c>
      <c r="H8739" s="501" t="s">
        <v>10452</v>
      </c>
      <c r="I8739" s="501">
        <v>17</v>
      </c>
      <c r="J8739" s="501">
        <v>1</v>
      </c>
      <c r="K8739" s="501">
        <v>0</v>
      </c>
      <c r="L8739" s="501">
        <v>16</v>
      </c>
      <c r="M8739" s="501">
        <v>0</v>
      </c>
      <c r="N8739" s="501">
        <v>0</v>
      </c>
      <c r="O8739" s="506">
        <v>0</v>
      </c>
    </row>
    <row r="8740" spans="1:15" x14ac:dyDescent="0.35">
      <c r="A8740" s="503" t="s">
        <v>2161</v>
      </c>
      <c r="B8740" s="504" t="s">
        <v>3205</v>
      </c>
      <c r="C8740" s="504" t="s">
        <v>1094</v>
      </c>
      <c r="D8740" s="504" t="s">
        <v>3380</v>
      </c>
      <c r="E8740" s="504" t="s">
        <v>3381</v>
      </c>
      <c r="F8740" s="504" t="s">
        <v>970</v>
      </c>
      <c r="G8740" s="504" t="s">
        <v>971</v>
      </c>
      <c r="H8740" s="504" t="s">
        <v>15198</v>
      </c>
      <c r="I8740" s="504">
        <v>112</v>
      </c>
      <c r="J8740" s="504">
        <v>108</v>
      </c>
      <c r="K8740" s="504">
        <v>0</v>
      </c>
      <c r="L8740" s="504">
        <v>0</v>
      </c>
      <c r="M8740" s="504">
        <v>0</v>
      </c>
      <c r="N8740" s="504">
        <v>0</v>
      </c>
      <c r="O8740" s="505">
        <v>4</v>
      </c>
    </row>
    <row r="8741" spans="1:15" x14ac:dyDescent="0.35">
      <c r="A8741" s="500" t="s">
        <v>1639</v>
      </c>
      <c r="B8741" s="501">
        <v>4846</v>
      </c>
      <c r="C8741" s="501" t="s">
        <v>1094</v>
      </c>
      <c r="D8741" s="501" t="s">
        <v>3380</v>
      </c>
      <c r="E8741" s="501" t="s">
        <v>3381</v>
      </c>
      <c r="F8741" s="501" t="s">
        <v>970</v>
      </c>
      <c r="G8741" s="501" t="s">
        <v>971</v>
      </c>
      <c r="H8741" s="501" t="s">
        <v>10453</v>
      </c>
      <c r="I8741" s="501">
        <v>14</v>
      </c>
      <c r="J8741" s="501">
        <v>14</v>
      </c>
      <c r="K8741" s="501">
        <v>0</v>
      </c>
      <c r="L8741" s="501">
        <v>0</v>
      </c>
      <c r="M8741" s="501">
        <v>0</v>
      </c>
      <c r="N8741" s="501">
        <v>0</v>
      </c>
      <c r="O8741" s="506">
        <v>0</v>
      </c>
    </row>
    <row r="8742" spans="1:15" x14ac:dyDescent="0.35">
      <c r="A8742" s="503" t="s">
        <v>1195</v>
      </c>
      <c r="B8742" s="504">
        <v>4693</v>
      </c>
      <c r="C8742" s="504" t="s">
        <v>1089</v>
      </c>
      <c r="D8742" s="504" t="s">
        <v>3392</v>
      </c>
      <c r="E8742" s="504" t="s">
        <v>3381</v>
      </c>
      <c r="F8742" s="504" t="s">
        <v>970</v>
      </c>
      <c r="G8742" s="504" t="s">
        <v>971</v>
      </c>
      <c r="H8742" s="504" t="s">
        <v>10454</v>
      </c>
      <c r="I8742" s="504">
        <v>30</v>
      </c>
      <c r="J8742" s="504">
        <v>0</v>
      </c>
      <c r="K8742" s="504">
        <v>0</v>
      </c>
      <c r="L8742" s="504">
        <v>30</v>
      </c>
      <c r="M8742" s="504">
        <v>0</v>
      </c>
      <c r="N8742" s="504">
        <v>0</v>
      </c>
      <c r="O8742" s="505">
        <v>0</v>
      </c>
    </row>
    <row r="8743" spans="1:15" x14ac:dyDescent="0.35">
      <c r="A8743" s="500" t="s">
        <v>1196</v>
      </c>
      <c r="B8743" s="501" t="s">
        <v>3269</v>
      </c>
      <c r="C8743" s="501" t="s">
        <v>1094</v>
      </c>
      <c r="D8743" s="501" t="s">
        <v>3380</v>
      </c>
      <c r="E8743" s="501" t="s">
        <v>3381</v>
      </c>
      <c r="F8743" s="501" t="s">
        <v>970</v>
      </c>
      <c r="G8743" s="501" t="s">
        <v>971</v>
      </c>
      <c r="H8743" s="501" t="s">
        <v>10456</v>
      </c>
      <c r="I8743" s="501">
        <v>189</v>
      </c>
      <c r="J8743" s="501">
        <v>125</v>
      </c>
      <c r="K8743" s="501">
        <v>0</v>
      </c>
      <c r="L8743" s="501">
        <v>4</v>
      </c>
      <c r="M8743" s="501">
        <v>0</v>
      </c>
      <c r="N8743" s="501">
        <v>0</v>
      </c>
      <c r="O8743" s="506">
        <v>60</v>
      </c>
    </row>
    <row r="8744" spans="1:15" x14ac:dyDescent="0.35">
      <c r="A8744" s="503" t="s">
        <v>1726</v>
      </c>
      <c r="B8744" s="504" t="s">
        <v>3258</v>
      </c>
      <c r="C8744" s="504" t="s">
        <v>1094</v>
      </c>
      <c r="D8744" s="504" t="s">
        <v>3380</v>
      </c>
      <c r="E8744" s="504" t="s">
        <v>3381</v>
      </c>
      <c r="F8744" s="504" t="s">
        <v>970</v>
      </c>
      <c r="G8744" s="504" t="s">
        <v>971</v>
      </c>
      <c r="H8744" s="504" t="s">
        <v>10455</v>
      </c>
      <c r="I8744" s="504">
        <v>2</v>
      </c>
      <c r="J8744" s="504">
        <v>2</v>
      </c>
      <c r="K8744" s="504">
        <v>0</v>
      </c>
      <c r="L8744" s="504">
        <v>0</v>
      </c>
      <c r="M8744" s="504">
        <v>0</v>
      </c>
      <c r="N8744" s="504">
        <v>0</v>
      </c>
      <c r="O8744" s="505">
        <v>0</v>
      </c>
    </row>
    <row r="8745" spans="1:15" x14ac:dyDescent="0.35">
      <c r="A8745" s="500" t="s">
        <v>1209</v>
      </c>
      <c r="B8745" s="501">
        <v>4779</v>
      </c>
      <c r="C8745" s="501" t="s">
        <v>1094</v>
      </c>
      <c r="D8745" s="501" t="s">
        <v>3380</v>
      </c>
      <c r="E8745" s="501" t="s">
        <v>3381</v>
      </c>
      <c r="F8745" s="501" t="s">
        <v>970</v>
      </c>
      <c r="G8745" s="501" t="s">
        <v>971</v>
      </c>
      <c r="H8745" s="501" t="s">
        <v>10457</v>
      </c>
      <c r="I8745" s="501">
        <v>31</v>
      </c>
      <c r="J8745" s="501">
        <v>0</v>
      </c>
      <c r="K8745" s="501">
        <v>0</v>
      </c>
      <c r="L8745" s="501">
        <v>31</v>
      </c>
      <c r="M8745" s="501">
        <v>0</v>
      </c>
      <c r="N8745" s="501">
        <v>0</v>
      </c>
      <c r="O8745" s="506">
        <v>0</v>
      </c>
    </row>
    <row r="8746" spans="1:15" x14ac:dyDescent="0.35">
      <c r="A8746" s="503" t="s">
        <v>1221</v>
      </c>
      <c r="B8746" s="504">
        <v>4728</v>
      </c>
      <c r="C8746" s="504" t="s">
        <v>1089</v>
      </c>
      <c r="D8746" s="504" t="s">
        <v>3392</v>
      </c>
      <c r="E8746" s="504" t="s">
        <v>3381</v>
      </c>
      <c r="F8746" s="504" t="s">
        <v>970</v>
      </c>
      <c r="G8746" s="504" t="s">
        <v>971</v>
      </c>
      <c r="H8746" s="504" t="s">
        <v>10458</v>
      </c>
      <c r="I8746" s="504">
        <v>77</v>
      </c>
      <c r="J8746" s="504">
        <v>0</v>
      </c>
      <c r="K8746" s="504">
        <v>0</v>
      </c>
      <c r="L8746" s="504">
        <v>77</v>
      </c>
      <c r="M8746" s="504">
        <v>0</v>
      </c>
      <c r="N8746" s="504">
        <v>0</v>
      </c>
      <c r="O8746" s="505">
        <v>0</v>
      </c>
    </row>
    <row r="8747" spans="1:15" x14ac:dyDescent="0.35">
      <c r="A8747" s="500" t="s">
        <v>1122</v>
      </c>
      <c r="B8747" s="501" t="s">
        <v>2994</v>
      </c>
      <c r="C8747" s="501" t="s">
        <v>1094</v>
      </c>
      <c r="D8747" s="501" t="s">
        <v>3380</v>
      </c>
      <c r="E8747" s="501" t="s">
        <v>3381</v>
      </c>
      <c r="F8747" s="501" t="s">
        <v>970</v>
      </c>
      <c r="G8747" s="501" t="s">
        <v>971</v>
      </c>
      <c r="H8747" s="501" t="s">
        <v>10459</v>
      </c>
      <c r="I8747" s="501">
        <v>267</v>
      </c>
      <c r="J8747" s="501">
        <v>234</v>
      </c>
      <c r="K8747" s="501">
        <v>0</v>
      </c>
      <c r="L8747" s="501">
        <v>0</v>
      </c>
      <c r="M8747" s="501">
        <v>0</v>
      </c>
      <c r="N8747" s="501">
        <v>0</v>
      </c>
      <c r="O8747" s="506">
        <v>33</v>
      </c>
    </row>
    <row r="8748" spans="1:15" x14ac:dyDescent="0.35">
      <c r="A8748" s="503" t="s">
        <v>1227</v>
      </c>
      <c r="B8748" s="504">
        <v>4757</v>
      </c>
      <c r="C8748" s="504" t="s">
        <v>1094</v>
      </c>
      <c r="D8748" s="504" t="s">
        <v>3392</v>
      </c>
      <c r="E8748" s="504" t="s">
        <v>3381</v>
      </c>
      <c r="F8748" s="504" t="s">
        <v>970</v>
      </c>
      <c r="G8748" s="504" t="s">
        <v>971</v>
      </c>
      <c r="H8748" s="504" t="s">
        <v>10460</v>
      </c>
      <c r="I8748" s="504">
        <v>8</v>
      </c>
      <c r="J8748" s="504">
        <v>8</v>
      </c>
      <c r="K8748" s="504">
        <v>0</v>
      </c>
      <c r="L8748" s="504">
        <v>0</v>
      </c>
      <c r="M8748" s="504">
        <v>0</v>
      </c>
      <c r="N8748" s="504">
        <v>0</v>
      </c>
      <c r="O8748" s="505">
        <v>0</v>
      </c>
    </row>
    <row r="8749" spans="1:15" x14ac:dyDescent="0.35">
      <c r="A8749" s="500" t="s">
        <v>1233</v>
      </c>
      <c r="B8749" s="501">
        <v>4636</v>
      </c>
      <c r="C8749" s="501" t="s">
        <v>1094</v>
      </c>
      <c r="D8749" s="501" t="s">
        <v>3380</v>
      </c>
      <c r="E8749" s="501" t="s">
        <v>3381</v>
      </c>
      <c r="F8749" s="501" t="s">
        <v>970</v>
      </c>
      <c r="G8749" s="501" t="s">
        <v>971</v>
      </c>
      <c r="H8749" s="501" t="s">
        <v>10461</v>
      </c>
      <c r="I8749" s="501">
        <v>40</v>
      </c>
      <c r="J8749" s="501">
        <v>13</v>
      </c>
      <c r="K8749" s="501">
        <v>0</v>
      </c>
      <c r="L8749" s="501">
        <v>0</v>
      </c>
      <c r="M8749" s="501">
        <v>0</v>
      </c>
      <c r="N8749" s="501">
        <v>0</v>
      </c>
      <c r="O8749" s="506">
        <v>27</v>
      </c>
    </row>
    <row r="8750" spans="1:15" x14ac:dyDescent="0.35">
      <c r="A8750" s="503" t="s">
        <v>11368</v>
      </c>
      <c r="B8750" s="504">
        <v>5083</v>
      </c>
      <c r="C8750" s="504" t="s">
        <v>1094</v>
      </c>
      <c r="D8750" s="504" t="s">
        <v>3380</v>
      </c>
      <c r="E8750" s="504" t="s">
        <v>3381</v>
      </c>
      <c r="F8750" s="504" t="s">
        <v>970</v>
      </c>
      <c r="G8750" s="504" t="s">
        <v>971</v>
      </c>
      <c r="H8750" s="504" t="s">
        <v>12089</v>
      </c>
      <c r="I8750" s="504">
        <v>12</v>
      </c>
      <c r="J8750" s="504">
        <v>12</v>
      </c>
      <c r="K8750" s="504">
        <v>0</v>
      </c>
      <c r="L8750" s="504">
        <v>0</v>
      </c>
      <c r="M8750" s="504">
        <v>0</v>
      </c>
      <c r="N8750" s="504">
        <v>0</v>
      </c>
      <c r="O8750" s="505">
        <v>0</v>
      </c>
    </row>
    <row r="8751" spans="1:15" x14ac:dyDescent="0.35">
      <c r="A8751" s="500" t="s">
        <v>1238</v>
      </c>
      <c r="B8751" s="501" t="s">
        <v>2963</v>
      </c>
      <c r="C8751" s="501" t="s">
        <v>1094</v>
      </c>
      <c r="D8751" s="501" t="s">
        <v>3380</v>
      </c>
      <c r="E8751" s="501" t="s">
        <v>3381</v>
      </c>
      <c r="F8751" s="501" t="s">
        <v>970</v>
      </c>
      <c r="G8751" s="501" t="s">
        <v>971</v>
      </c>
      <c r="H8751" s="501" t="s">
        <v>10462</v>
      </c>
      <c r="I8751" s="501">
        <v>132</v>
      </c>
      <c r="J8751" s="501">
        <v>36</v>
      </c>
      <c r="K8751" s="501">
        <v>0</v>
      </c>
      <c r="L8751" s="501">
        <v>0</v>
      </c>
      <c r="M8751" s="501">
        <v>69</v>
      </c>
      <c r="N8751" s="501">
        <v>0</v>
      </c>
      <c r="O8751" s="506">
        <v>27</v>
      </c>
    </row>
    <row r="8752" spans="1:15" x14ac:dyDescent="0.35">
      <c r="A8752" s="503" t="s">
        <v>1240</v>
      </c>
      <c r="B8752" s="504" t="s">
        <v>2972</v>
      </c>
      <c r="C8752" s="504" t="s">
        <v>1094</v>
      </c>
      <c r="D8752" s="504" t="s">
        <v>3380</v>
      </c>
      <c r="E8752" s="504" t="s">
        <v>3381</v>
      </c>
      <c r="F8752" s="504" t="s">
        <v>970</v>
      </c>
      <c r="G8752" s="504" t="s">
        <v>971</v>
      </c>
      <c r="H8752" s="504" t="s">
        <v>10463</v>
      </c>
      <c r="I8752" s="504">
        <v>29</v>
      </c>
      <c r="J8752" s="504">
        <v>27</v>
      </c>
      <c r="K8752" s="504">
        <v>0</v>
      </c>
      <c r="L8752" s="504">
        <v>1</v>
      </c>
      <c r="M8752" s="504">
        <v>0</v>
      </c>
      <c r="N8752" s="504">
        <v>0</v>
      </c>
      <c r="O8752" s="505">
        <v>1</v>
      </c>
    </row>
    <row r="8753" spans="1:15" x14ac:dyDescent="0.35">
      <c r="A8753" s="500" t="s">
        <v>1134</v>
      </c>
      <c r="B8753" s="501" t="s">
        <v>3066</v>
      </c>
      <c r="C8753" s="501" t="s">
        <v>1094</v>
      </c>
      <c r="D8753" s="501" t="s">
        <v>3380</v>
      </c>
      <c r="E8753" s="501" t="s">
        <v>3381</v>
      </c>
      <c r="F8753" s="501" t="s">
        <v>970</v>
      </c>
      <c r="G8753" s="501" t="s">
        <v>971</v>
      </c>
      <c r="H8753" s="501" t="s">
        <v>10464</v>
      </c>
      <c r="I8753" s="501">
        <v>94</v>
      </c>
      <c r="J8753" s="501">
        <v>61</v>
      </c>
      <c r="K8753" s="501">
        <v>0</v>
      </c>
      <c r="L8753" s="501">
        <v>0</v>
      </c>
      <c r="M8753" s="501">
        <v>0</v>
      </c>
      <c r="N8753" s="501">
        <v>0</v>
      </c>
      <c r="O8753" s="506">
        <v>33</v>
      </c>
    </row>
    <row r="8754" spans="1:15" x14ac:dyDescent="0.35">
      <c r="A8754" s="503" t="s">
        <v>2180</v>
      </c>
      <c r="B8754" s="504" t="s">
        <v>2553</v>
      </c>
      <c r="C8754" s="504" t="s">
        <v>1089</v>
      </c>
      <c r="D8754" s="504" t="s">
        <v>3392</v>
      </c>
      <c r="E8754" s="504" t="s">
        <v>3381</v>
      </c>
      <c r="F8754" s="504" t="s">
        <v>970</v>
      </c>
      <c r="G8754" s="504" t="s">
        <v>971</v>
      </c>
      <c r="H8754" s="504" t="s">
        <v>10465</v>
      </c>
      <c r="I8754" s="504">
        <v>4</v>
      </c>
      <c r="J8754" s="504">
        <v>0</v>
      </c>
      <c r="K8754" s="504">
        <v>0</v>
      </c>
      <c r="L8754" s="504">
        <v>0</v>
      </c>
      <c r="M8754" s="504">
        <v>4</v>
      </c>
      <c r="N8754" s="504">
        <v>0</v>
      </c>
      <c r="O8754" s="505">
        <v>0</v>
      </c>
    </row>
    <row r="8755" spans="1:15" x14ac:dyDescent="0.35">
      <c r="A8755" s="500" t="s">
        <v>1249</v>
      </c>
      <c r="B8755" s="501">
        <v>4729</v>
      </c>
      <c r="C8755" s="501" t="s">
        <v>1094</v>
      </c>
      <c r="D8755" s="501" t="s">
        <v>3380</v>
      </c>
      <c r="E8755" s="501" t="s">
        <v>3381</v>
      </c>
      <c r="F8755" s="501" t="s">
        <v>970</v>
      </c>
      <c r="G8755" s="501" t="s">
        <v>971</v>
      </c>
      <c r="H8755" s="501" t="s">
        <v>10466</v>
      </c>
      <c r="I8755" s="501">
        <v>459</v>
      </c>
      <c r="J8755" s="501">
        <v>209</v>
      </c>
      <c r="K8755" s="501">
        <v>0</v>
      </c>
      <c r="L8755" s="501">
        <v>0</v>
      </c>
      <c r="M8755" s="501">
        <v>221</v>
      </c>
      <c r="N8755" s="501">
        <v>0</v>
      </c>
      <c r="O8755" s="506">
        <v>29</v>
      </c>
    </row>
    <row r="8756" spans="1:15" x14ac:dyDescent="0.35">
      <c r="A8756" s="503" t="s">
        <v>1253</v>
      </c>
      <c r="B8756" s="504" t="s">
        <v>3232</v>
      </c>
      <c r="C8756" s="504" t="s">
        <v>1094</v>
      </c>
      <c r="D8756" s="504" t="s">
        <v>3380</v>
      </c>
      <c r="E8756" s="504" t="s">
        <v>3381</v>
      </c>
      <c r="F8756" s="504" t="s">
        <v>970</v>
      </c>
      <c r="G8756" s="504" t="s">
        <v>971</v>
      </c>
      <c r="H8756" s="504" t="s">
        <v>10467</v>
      </c>
      <c r="I8756" s="504">
        <v>238</v>
      </c>
      <c r="J8756" s="504">
        <v>148</v>
      </c>
      <c r="K8756" s="504">
        <v>0</v>
      </c>
      <c r="L8756" s="504">
        <v>82</v>
      </c>
      <c r="M8756" s="504">
        <v>0</v>
      </c>
      <c r="N8756" s="504">
        <v>0</v>
      </c>
      <c r="O8756" s="505">
        <v>8</v>
      </c>
    </row>
    <row r="8757" spans="1:15" x14ac:dyDescent="0.35">
      <c r="A8757" s="500" t="s">
        <v>1257</v>
      </c>
      <c r="B8757" s="501" t="s">
        <v>3151</v>
      </c>
      <c r="C8757" s="501" t="s">
        <v>1094</v>
      </c>
      <c r="D8757" s="501" t="s">
        <v>3380</v>
      </c>
      <c r="E8757" s="501" t="s">
        <v>3381</v>
      </c>
      <c r="F8757" s="501" t="s">
        <v>970</v>
      </c>
      <c r="G8757" s="501" t="s">
        <v>971</v>
      </c>
      <c r="H8757" s="501" t="s">
        <v>10468</v>
      </c>
      <c r="I8757" s="501">
        <v>1353</v>
      </c>
      <c r="J8757" s="501">
        <v>1066</v>
      </c>
      <c r="K8757" s="501">
        <v>0</v>
      </c>
      <c r="L8757" s="501">
        <v>95</v>
      </c>
      <c r="M8757" s="501">
        <v>59</v>
      </c>
      <c r="N8757" s="501">
        <v>0</v>
      </c>
      <c r="O8757" s="506">
        <v>133</v>
      </c>
    </row>
    <row r="8758" spans="1:15" x14ac:dyDescent="0.35">
      <c r="A8758" s="503" t="s">
        <v>2187</v>
      </c>
      <c r="B8758" s="504" t="s">
        <v>3193</v>
      </c>
      <c r="C8758" s="504" t="s">
        <v>1094</v>
      </c>
      <c r="D8758" s="504" t="s">
        <v>3380</v>
      </c>
      <c r="E8758" s="504" t="s">
        <v>3381</v>
      </c>
      <c r="F8758" s="504" t="s">
        <v>970</v>
      </c>
      <c r="G8758" s="504" t="s">
        <v>971</v>
      </c>
      <c r="H8758" s="504" t="s">
        <v>10469</v>
      </c>
      <c r="I8758" s="504">
        <v>30857</v>
      </c>
      <c r="J8758" s="504">
        <v>28783</v>
      </c>
      <c r="K8758" s="504">
        <v>0</v>
      </c>
      <c r="L8758" s="504">
        <v>1572</v>
      </c>
      <c r="M8758" s="504">
        <v>0</v>
      </c>
      <c r="N8758" s="504">
        <v>0</v>
      </c>
      <c r="O8758" s="505">
        <v>502</v>
      </c>
    </row>
    <row r="8759" spans="1:15" x14ac:dyDescent="0.35">
      <c r="A8759" s="500" t="s">
        <v>2188</v>
      </c>
      <c r="B8759" s="501" t="s">
        <v>2550</v>
      </c>
      <c r="C8759" s="501" t="s">
        <v>1089</v>
      </c>
      <c r="D8759" s="501" t="s">
        <v>3392</v>
      </c>
      <c r="E8759" s="501" t="s">
        <v>3381</v>
      </c>
      <c r="F8759" s="501" t="s">
        <v>970</v>
      </c>
      <c r="G8759" s="501" t="s">
        <v>971</v>
      </c>
      <c r="H8759" s="501" t="s">
        <v>10470</v>
      </c>
      <c r="I8759" s="501">
        <v>31</v>
      </c>
      <c r="J8759" s="501">
        <v>0</v>
      </c>
      <c r="K8759" s="501">
        <v>0</v>
      </c>
      <c r="L8759" s="501">
        <v>0</v>
      </c>
      <c r="M8759" s="501">
        <v>31</v>
      </c>
      <c r="N8759" s="501">
        <v>0</v>
      </c>
      <c r="O8759" s="506">
        <v>0</v>
      </c>
    </row>
    <row r="8760" spans="1:15" x14ac:dyDescent="0.35">
      <c r="A8760" s="503" t="s">
        <v>1789</v>
      </c>
      <c r="B8760" s="504" t="s">
        <v>3219</v>
      </c>
      <c r="C8760" s="504" t="s">
        <v>1094</v>
      </c>
      <c r="D8760" s="504" t="s">
        <v>3380</v>
      </c>
      <c r="E8760" s="504" t="s">
        <v>3381</v>
      </c>
      <c r="F8760" s="504" t="s">
        <v>970</v>
      </c>
      <c r="G8760" s="504" t="s">
        <v>971</v>
      </c>
      <c r="H8760" s="504" t="s">
        <v>10471</v>
      </c>
      <c r="I8760" s="504">
        <v>1507</v>
      </c>
      <c r="J8760" s="504">
        <v>1299</v>
      </c>
      <c r="K8760" s="504">
        <v>0</v>
      </c>
      <c r="L8760" s="504">
        <v>67</v>
      </c>
      <c r="M8760" s="504">
        <v>44</v>
      </c>
      <c r="N8760" s="504">
        <v>0</v>
      </c>
      <c r="O8760" s="505">
        <v>97</v>
      </c>
    </row>
    <row r="8761" spans="1:15" x14ac:dyDescent="0.35">
      <c r="A8761" s="500" t="s">
        <v>1266</v>
      </c>
      <c r="B8761" s="501" t="s">
        <v>3071</v>
      </c>
      <c r="C8761" s="501" t="s">
        <v>1094</v>
      </c>
      <c r="D8761" s="501" t="s">
        <v>3380</v>
      </c>
      <c r="E8761" s="501" t="s">
        <v>3381</v>
      </c>
      <c r="F8761" s="501" t="s">
        <v>970</v>
      </c>
      <c r="G8761" s="501" t="s">
        <v>971</v>
      </c>
      <c r="H8761" s="501" t="s">
        <v>10472</v>
      </c>
      <c r="I8761" s="501">
        <v>4</v>
      </c>
      <c r="J8761" s="501">
        <v>0</v>
      </c>
      <c r="K8761" s="501">
        <v>0</v>
      </c>
      <c r="L8761" s="501">
        <v>0</v>
      </c>
      <c r="M8761" s="501">
        <v>0</v>
      </c>
      <c r="N8761" s="501">
        <v>0</v>
      </c>
      <c r="O8761" s="506">
        <v>4</v>
      </c>
    </row>
    <row r="8762" spans="1:15" x14ac:dyDescent="0.35">
      <c r="A8762" s="503" t="s">
        <v>1096</v>
      </c>
      <c r="B8762" s="504" t="s">
        <v>3326</v>
      </c>
      <c r="C8762" s="504" t="s">
        <v>1094</v>
      </c>
      <c r="D8762" s="504" t="s">
        <v>3380</v>
      </c>
      <c r="E8762" s="504" t="s">
        <v>3381</v>
      </c>
      <c r="F8762" s="504" t="s">
        <v>972</v>
      </c>
      <c r="G8762" s="504" t="s">
        <v>973</v>
      </c>
      <c r="H8762" s="504" t="s">
        <v>10473</v>
      </c>
      <c r="I8762" s="504">
        <v>36</v>
      </c>
      <c r="J8762" s="504">
        <v>0</v>
      </c>
      <c r="K8762" s="504">
        <v>0</v>
      </c>
      <c r="L8762" s="504">
        <v>0</v>
      </c>
      <c r="M8762" s="504">
        <v>36</v>
      </c>
      <c r="N8762" s="504">
        <v>0</v>
      </c>
      <c r="O8762" s="505">
        <v>0</v>
      </c>
    </row>
    <row r="8763" spans="1:15" x14ac:dyDescent="0.35">
      <c r="A8763" s="500" t="s">
        <v>2060</v>
      </c>
      <c r="B8763" s="501" t="s">
        <v>3068</v>
      </c>
      <c r="C8763" s="501" t="s">
        <v>1094</v>
      </c>
      <c r="D8763" s="501" t="s">
        <v>3380</v>
      </c>
      <c r="E8763" s="501" t="s">
        <v>3381</v>
      </c>
      <c r="F8763" s="501" t="s">
        <v>972</v>
      </c>
      <c r="G8763" s="501" t="s">
        <v>973</v>
      </c>
      <c r="H8763" s="501" t="s">
        <v>10474</v>
      </c>
      <c r="I8763" s="501">
        <v>80</v>
      </c>
      <c r="J8763" s="501">
        <v>70</v>
      </c>
      <c r="K8763" s="501">
        <v>0</v>
      </c>
      <c r="L8763" s="501">
        <v>3</v>
      </c>
      <c r="M8763" s="501">
        <v>0</v>
      </c>
      <c r="N8763" s="501">
        <v>0</v>
      </c>
      <c r="O8763" s="506">
        <v>7</v>
      </c>
    </row>
    <row r="8764" spans="1:15" x14ac:dyDescent="0.35">
      <c r="A8764" s="503" t="s">
        <v>1158</v>
      </c>
      <c r="B8764" s="504">
        <v>4819</v>
      </c>
      <c r="C8764" s="504" t="s">
        <v>1094</v>
      </c>
      <c r="D8764" s="504" t="s">
        <v>3380</v>
      </c>
      <c r="E8764" s="504" t="s">
        <v>3381</v>
      </c>
      <c r="F8764" s="504" t="s">
        <v>972</v>
      </c>
      <c r="G8764" s="504" t="s">
        <v>973</v>
      </c>
      <c r="H8764" s="504" t="s">
        <v>10475</v>
      </c>
      <c r="I8764" s="504">
        <v>307</v>
      </c>
      <c r="J8764" s="504">
        <v>267</v>
      </c>
      <c r="K8764" s="504">
        <v>0</v>
      </c>
      <c r="L8764" s="504">
        <v>14</v>
      </c>
      <c r="M8764" s="504">
        <v>0</v>
      </c>
      <c r="N8764" s="504">
        <v>0</v>
      </c>
      <c r="O8764" s="505">
        <v>26</v>
      </c>
    </row>
    <row r="8765" spans="1:15" x14ac:dyDescent="0.35">
      <c r="A8765" s="500" t="s">
        <v>2069</v>
      </c>
      <c r="B8765" s="501" t="s">
        <v>2650</v>
      </c>
      <c r="C8765" s="501" t="s">
        <v>1089</v>
      </c>
      <c r="D8765" s="501" t="s">
        <v>3392</v>
      </c>
      <c r="E8765" s="501" t="s">
        <v>3381</v>
      </c>
      <c r="F8765" s="501" t="s">
        <v>972</v>
      </c>
      <c r="G8765" s="501" t="s">
        <v>973</v>
      </c>
      <c r="H8765" s="501" t="s">
        <v>10476</v>
      </c>
      <c r="I8765" s="501">
        <v>6</v>
      </c>
      <c r="J8765" s="501">
        <v>6</v>
      </c>
      <c r="K8765" s="501">
        <v>0</v>
      </c>
      <c r="L8765" s="501">
        <v>0</v>
      </c>
      <c r="M8765" s="501">
        <v>0</v>
      </c>
      <c r="N8765" s="501">
        <v>0</v>
      </c>
      <c r="O8765" s="506">
        <v>0</v>
      </c>
    </row>
    <row r="8766" spans="1:15" x14ac:dyDescent="0.35">
      <c r="A8766" s="503" t="s">
        <v>1961</v>
      </c>
      <c r="B8766" s="504">
        <v>5075</v>
      </c>
      <c r="C8766" s="504" t="s">
        <v>1094</v>
      </c>
      <c r="D8766" s="504" t="s">
        <v>3380</v>
      </c>
      <c r="E8766" s="504" t="s">
        <v>3381</v>
      </c>
      <c r="F8766" s="504" t="s">
        <v>972</v>
      </c>
      <c r="G8766" s="504" t="s">
        <v>973</v>
      </c>
      <c r="H8766" s="504" t="s">
        <v>10477</v>
      </c>
      <c r="I8766" s="504">
        <v>22</v>
      </c>
      <c r="J8766" s="504">
        <v>22</v>
      </c>
      <c r="K8766" s="504">
        <v>0</v>
      </c>
      <c r="L8766" s="504">
        <v>0</v>
      </c>
      <c r="M8766" s="504">
        <v>0</v>
      </c>
      <c r="N8766" s="504">
        <v>0</v>
      </c>
      <c r="O8766" s="505">
        <v>0</v>
      </c>
    </row>
    <row r="8767" spans="1:15" x14ac:dyDescent="0.35">
      <c r="A8767" s="500" t="s">
        <v>1100</v>
      </c>
      <c r="B8767" s="501">
        <v>4865</v>
      </c>
      <c r="C8767" s="501" t="s">
        <v>1094</v>
      </c>
      <c r="D8767" s="501" t="s">
        <v>3380</v>
      </c>
      <c r="E8767" s="501" t="s">
        <v>3381</v>
      </c>
      <c r="F8767" s="501" t="s">
        <v>972</v>
      </c>
      <c r="G8767" s="501" t="s">
        <v>973</v>
      </c>
      <c r="H8767" s="501" t="s">
        <v>10478</v>
      </c>
      <c r="I8767" s="501">
        <v>412</v>
      </c>
      <c r="J8767" s="501">
        <v>312</v>
      </c>
      <c r="K8767" s="501">
        <v>0</v>
      </c>
      <c r="L8767" s="501">
        <v>0</v>
      </c>
      <c r="M8767" s="501">
        <v>48</v>
      </c>
      <c r="N8767" s="501">
        <v>0</v>
      </c>
      <c r="O8767" s="506">
        <v>52</v>
      </c>
    </row>
    <row r="8768" spans="1:15" x14ac:dyDescent="0.35">
      <c r="A8768" s="503" t="s">
        <v>14208</v>
      </c>
      <c r="B8768" s="504">
        <v>4803</v>
      </c>
      <c r="C8768" s="504" t="s">
        <v>1094</v>
      </c>
      <c r="D8768" s="504" t="s">
        <v>3380</v>
      </c>
      <c r="E8768" s="504" t="s">
        <v>3381</v>
      </c>
      <c r="F8768" s="504" t="s">
        <v>972</v>
      </c>
      <c r="G8768" s="504" t="s">
        <v>973</v>
      </c>
      <c r="H8768" s="504" t="s">
        <v>15199</v>
      </c>
      <c r="I8768" s="504">
        <v>6</v>
      </c>
      <c r="J8768" s="504">
        <v>0</v>
      </c>
      <c r="K8768" s="504">
        <v>0</v>
      </c>
      <c r="L8768" s="504">
        <v>6</v>
      </c>
      <c r="M8768" s="504">
        <v>0</v>
      </c>
      <c r="N8768" s="504">
        <v>0</v>
      </c>
      <c r="O8768" s="505">
        <v>0</v>
      </c>
    </row>
    <row r="8769" spans="1:15" x14ac:dyDescent="0.35">
      <c r="A8769" s="500" t="s">
        <v>14213</v>
      </c>
      <c r="B8769" s="501" t="s">
        <v>3312</v>
      </c>
      <c r="C8769" s="501" t="s">
        <v>1094</v>
      </c>
      <c r="D8769" s="501" t="s">
        <v>3380</v>
      </c>
      <c r="E8769" s="501" t="s">
        <v>3381</v>
      </c>
      <c r="F8769" s="501" t="s">
        <v>972</v>
      </c>
      <c r="G8769" s="501" t="s">
        <v>973</v>
      </c>
      <c r="H8769" s="501" t="s">
        <v>15200</v>
      </c>
      <c r="I8769" s="501">
        <v>4448</v>
      </c>
      <c r="J8769" s="501">
        <v>3689</v>
      </c>
      <c r="K8769" s="501">
        <v>7</v>
      </c>
      <c r="L8769" s="501">
        <v>74</v>
      </c>
      <c r="M8769" s="501">
        <v>419</v>
      </c>
      <c r="N8769" s="501">
        <v>13</v>
      </c>
      <c r="O8769" s="506">
        <v>259</v>
      </c>
    </row>
    <row r="8770" spans="1:15" x14ac:dyDescent="0.35">
      <c r="A8770" s="503" t="s">
        <v>1186</v>
      </c>
      <c r="B8770" s="504">
        <v>4661</v>
      </c>
      <c r="C8770" s="504" t="s">
        <v>1089</v>
      </c>
      <c r="D8770" s="504" t="s">
        <v>3392</v>
      </c>
      <c r="E8770" s="504" t="s">
        <v>3381</v>
      </c>
      <c r="F8770" s="504" t="s">
        <v>972</v>
      </c>
      <c r="G8770" s="504" t="s">
        <v>973</v>
      </c>
      <c r="H8770" s="504" t="s">
        <v>10479</v>
      </c>
      <c r="I8770" s="504">
        <v>3</v>
      </c>
      <c r="J8770" s="504">
        <v>0</v>
      </c>
      <c r="K8770" s="504">
        <v>0</v>
      </c>
      <c r="L8770" s="504">
        <v>3</v>
      </c>
      <c r="M8770" s="504">
        <v>0</v>
      </c>
      <c r="N8770" s="504">
        <v>0</v>
      </c>
      <c r="O8770" s="505">
        <v>0</v>
      </c>
    </row>
    <row r="8771" spans="1:15" x14ac:dyDescent="0.35">
      <c r="A8771" s="500" t="s">
        <v>2081</v>
      </c>
      <c r="B8771" s="501" t="s">
        <v>2441</v>
      </c>
      <c r="C8771" s="501" t="s">
        <v>1089</v>
      </c>
      <c r="D8771" s="501" t="s">
        <v>3392</v>
      </c>
      <c r="E8771" s="501" t="s">
        <v>3381</v>
      </c>
      <c r="F8771" s="501" t="s">
        <v>972</v>
      </c>
      <c r="G8771" s="501" t="s">
        <v>973</v>
      </c>
      <c r="H8771" s="501" t="s">
        <v>10480</v>
      </c>
      <c r="I8771" s="501">
        <v>13</v>
      </c>
      <c r="J8771" s="501">
        <v>13</v>
      </c>
      <c r="K8771" s="501">
        <v>0</v>
      </c>
      <c r="L8771" s="501">
        <v>0</v>
      </c>
      <c r="M8771" s="501">
        <v>0</v>
      </c>
      <c r="N8771" s="501">
        <v>0</v>
      </c>
      <c r="O8771" s="506">
        <v>0</v>
      </c>
    </row>
    <row r="8772" spans="1:15" x14ac:dyDescent="0.35">
      <c r="A8772" s="503" t="s">
        <v>14226</v>
      </c>
      <c r="B8772" s="504" t="s">
        <v>3329</v>
      </c>
      <c r="C8772" s="504" t="s">
        <v>1094</v>
      </c>
      <c r="D8772" s="504" t="s">
        <v>3380</v>
      </c>
      <c r="E8772" s="504" t="s">
        <v>3381</v>
      </c>
      <c r="F8772" s="504" t="s">
        <v>972</v>
      </c>
      <c r="G8772" s="504" t="s">
        <v>973</v>
      </c>
      <c r="H8772" s="504" t="s">
        <v>15201</v>
      </c>
      <c r="I8772" s="504">
        <v>6</v>
      </c>
      <c r="J8772" s="504">
        <v>6</v>
      </c>
      <c r="K8772" s="504">
        <v>0</v>
      </c>
      <c r="L8772" s="504">
        <v>0</v>
      </c>
      <c r="M8772" s="504">
        <v>0</v>
      </c>
      <c r="N8772" s="504">
        <v>0</v>
      </c>
      <c r="O8772" s="505">
        <v>0</v>
      </c>
    </row>
    <row r="8773" spans="1:15" x14ac:dyDescent="0.35">
      <c r="A8773" s="500" t="s">
        <v>1109</v>
      </c>
      <c r="B8773" s="501" t="s">
        <v>2959</v>
      </c>
      <c r="C8773" s="501" t="s">
        <v>1094</v>
      </c>
      <c r="D8773" s="501" t="s">
        <v>3380</v>
      </c>
      <c r="E8773" s="501" t="s">
        <v>3381</v>
      </c>
      <c r="F8773" s="501" t="s">
        <v>972</v>
      </c>
      <c r="G8773" s="501" t="s">
        <v>973</v>
      </c>
      <c r="H8773" s="501" t="s">
        <v>10481</v>
      </c>
      <c r="I8773" s="501">
        <v>285</v>
      </c>
      <c r="J8773" s="501">
        <v>0</v>
      </c>
      <c r="K8773" s="501">
        <v>0</v>
      </c>
      <c r="L8773" s="501">
        <v>5</v>
      </c>
      <c r="M8773" s="501">
        <v>210</v>
      </c>
      <c r="N8773" s="501">
        <v>0</v>
      </c>
      <c r="O8773" s="506">
        <v>70</v>
      </c>
    </row>
    <row r="8774" spans="1:15" x14ac:dyDescent="0.35">
      <c r="A8774" s="503" t="s">
        <v>1190</v>
      </c>
      <c r="B8774" s="504">
        <v>4662</v>
      </c>
      <c r="C8774" s="504" t="s">
        <v>1094</v>
      </c>
      <c r="D8774" s="504" t="s">
        <v>3380</v>
      </c>
      <c r="E8774" s="504" t="s">
        <v>3381</v>
      </c>
      <c r="F8774" s="504" t="s">
        <v>972</v>
      </c>
      <c r="G8774" s="504" t="s">
        <v>973</v>
      </c>
      <c r="H8774" s="504" t="s">
        <v>10482</v>
      </c>
      <c r="I8774" s="504">
        <v>22</v>
      </c>
      <c r="J8774" s="504">
        <v>0</v>
      </c>
      <c r="K8774" s="504">
        <v>0</v>
      </c>
      <c r="L8774" s="504">
        <v>22</v>
      </c>
      <c r="M8774" s="504">
        <v>0</v>
      </c>
      <c r="N8774" s="504">
        <v>0</v>
      </c>
      <c r="O8774" s="505">
        <v>0</v>
      </c>
    </row>
    <row r="8775" spans="1:15" x14ac:dyDescent="0.35">
      <c r="A8775" s="500" t="s">
        <v>1203</v>
      </c>
      <c r="B8775" s="501" t="s">
        <v>3170</v>
      </c>
      <c r="C8775" s="501" t="s">
        <v>1094</v>
      </c>
      <c r="D8775" s="501" t="s">
        <v>3380</v>
      </c>
      <c r="E8775" s="501" t="s">
        <v>3381</v>
      </c>
      <c r="F8775" s="501" t="s">
        <v>972</v>
      </c>
      <c r="G8775" s="501" t="s">
        <v>973</v>
      </c>
      <c r="H8775" s="501" t="s">
        <v>10483</v>
      </c>
      <c r="I8775" s="501">
        <v>1217</v>
      </c>
      <c r="J8775" s="501">
        <v>1217</v>
      </c>
      <c r="K8775" s="501">
        <v>0</v>
      </c>
      <c r="L8775" s="501">
        <v>0</v>
      </c>
      <c r="M8775" s="501">
        <v>0</v>
      </c>
      <c r="N8775" s="501">
        <v>4</v>
      </c>
      <c r="O8775" s="506">
        <v>0</v>
      </c>
    </row>
    <row r="8776" spans="1:15" x14ac:dyDescent="0.35">
      <c r="A8776" s="503" t="s">
        <v>2089</v>
      </c>
      <c r="B8776" s="504" t="s">
        <v>2597</v>
      </c>
      <c r="C8776" s="504" t="s">
        <v>1089</v>
      </c>
      <c r="D8776" s="504" t="s">
        <v>3392</v>
      </c>
      <c r="E8776" s="504" t="s">
        <v>3381</v>
      </c>
      <c r="F8776" s="504" t="s">
        <v>972</v>
      </c>
      <c r="G8776" s="504" t="s">
        <v>973</v>
      </c>
      <c r="H8776" s="504" t="s">
        <v>10484</v>
      </c>
      <c r="I8776" s="504">
        <v>2</v>
      </c>
      <c r="J8776" s="504">
        <v>2</v>
      </c>
      <c r="K8776" s="504">
        <v>0</v>
      </c>
      <c r="L8776" s="504">
        <v>0</v>
      </c>
      <c r="M8776" s="504">
        <v>0</v>
      </c>
      <c r="N8776" s="504">
        <v>0</v>
      </c>
      <c r="O8776" s="505">
        <v>0</v>
      </c>
    </row>
    <row r="8777" spans="1:15" x14ac:dyDescent="0.35">
      <c r="A8777" s="500" t="s">
        <v>1207</v>
      </c>
      <c r="B8777" s="501" t="s">
        <v>3202</v>
      </c>
      <c r="C8777" s="501" t="s">
        <v>1094</v>
      </c>
      <c r="D8777" s="501" t="s">
        <v>3380</v>
      </c>
      <c r="E8777" s="501" t="s">
        <v>3381</v>
      </c>
      <c r="F8777" s="501" t="s">
        <v>972</v>
      </c>
      <c r="G8777" s="501" t="s">
        <v>973</v>
      </c>
      <c r="H8777" s="501" t="s">
        <v>10485</v>
      </c>
      <c r="I8777" s="501">
        <v>247</v>
      </c>
      <c r="J8777" s="501">
        <v>182</v>
      </c>
      <c r="K8777" s="501">
        <v>0</v>
      </c>
      <c r="L8777" s="501">
        <v>0</v>
      </c>
      <c r="M8777" s="501">
        <v>45</v>
      </c>
      <c r="N8777" s="501">
        <v>0</v>
      </c>
      <c r="O8777" s="506">
        <v>20</v>
      </c>
    </row>
    <row r="8778" spans="1:15" x14ac:dyDescent="0.35">
      <c r="A8778" s="503" t="s">
        <v>2090</v>
      </c>
      <c r="B8778" s="504" t="s">
        <v>3131</v>
      </c>
      <c r="C8778" s="504" t="s">
        <v>1094</v>
      </c>
      <c r="D8778" s="504" t="s">
        <v>3380</v>
      </c>
      <c r="E8778" s="504" t="s">
        <v>3381</v>
      </c>
      <c r="F8778" s="504" t="s">
        <v>972</v>
      </c>
      <c r="G8778" s="504" t="s">
        <v>973</v>
      </c>
      <c r="H8778" s="504" t="s">
        <v>10486</v>
      </c>
      <c r="I8778" s="504">
        <v>34</v>
      </c>
      <c r="J8778" s="504">
        <v>0</v>
      </c>
      <c r="K8778" s="504">
        <v>0</v>
      </c>
      <c r="L8778" s="504">
        <v>0</v>
      </c>
      <c r="M8778" s="504">
        <v>34</v>
      </c>
      <c r="N8778" s="504">
        <v>0</v>
      </c>
      <c r="O8778" s="505">
        <v>0</v>
      </c>
    </row>
    <row r="8779" spans="1:15" x14ac:dyDescent="0.35">
      <c r="A8779" s="500" t="s">
        <v>1503</v>
      </c>
      <c r="B8779" s="501">
        <v>4666</v>
      </c>
      <c r="C8779" s="501" t="s">
        <v>1089</v>
      </c>
      <c r="D8779" s="501" t="s">
        <v>3392</v>
      </c>
      <c r="E8779" s="501" t="s">
        <v>3381</v>
      </c>
      <c r="F8779" s="501" t="s">
        <v>972</v>
      </c>
      <c r="G8779" s="501" t="s">
        <v>973</v>
      </c>
      <c r="H8779" s="501" t="s">
        <v>10487</v>
      </c>
      <c r="I8779" s="501">
        <v>13</v>
      </c>
      <c r="J8779" s="501">
        <v>0</v>
      </c>
      <c r="K8779" s="501">
        <v>0</v>
      </c>
      <c r="L8779" s="501">
        <v>13</v>
      </c>
      <c r="M8779" s="501">
        <v>0</v>
      </c>
      <c r="N8779" s="501">
        <v>0</v>
      </c>
      <c r="O8779" s="506">
        <v>0</v>
      </c>
    </row>
    <row r="8780" spans="1:15" x14ac:dyDescent="0.35">
      <c r="A8780" s="503" t="s">
        <v>1217</v>
      </c>
      <c r="B8780" s="504">
        <v>4851</v>
      </c>
      <c r="C8780" s="504" t="s">
        <v>1094</v>
      </c>
      <c r="D8780" s="504" t="s">
        <v>3380</v>
      </c>
      <c r="E8780" s="504" t="s">
        <v>3381</v>
      </c>
      <c r="F8780" s="504" t="s">
        <v>972</v>
      </c>
      <c r="G8780" s="504" t="s">
        <v>973</v>
      </c>
      <c r="H8780" s="504" t="s">
        <v>10488</v>
      </c>
      <c r="I8780" s="504">
        <v>11</v>
      </c>
      <c r="J8780" s="504">
        <v>6</v>
      </c>
      <c r="K8780" s="504">
        <v>0</v>
      </c>
      <c r="L8780" s="504">
        <v>0</v>
      </c>
      <c r="M8780" s="504">
        <v>0</v>
      </c>
      <c r="N8780" s="504">
        <v>0</v>
      </c>
      <c r="O8780" s="505">
        <v>5</v>
      </c>
    </row>
    <row r="8781" spans="1:15" x14ac:dyDescent="0.35">
      <c r="A8781" s="500" t="s">
        <v>2092</v>
      </c>
      <c r="B8781" s="501" t="s">
        <v>2772</v>
      </c>
      <c r="C8781" s="501" t="s">
        <v>1089</v>
      </c>
      <c r="D8781" s="501" t="s">
        <v>3392</v>
      </c>
      <c r="E8781" s="501" t="s">
        <v>3381</v>
      </c>
      <c r="F8781" s="501" t="s">
        <v>972</v>
      </c>
      <c r="G8781" s="501" t="s">
        <v>973</v>
      </c>
      <c r="H8781" s="501" t="s">
        <v>10489</v>
      </c>
      <c r="I8781" s="501">
        <v>24</v>
      </c>
      <c r="J8781" s="501">
        <v>24</v>
      </c>
      <c r="K8781" s="501">
        <v>0</v>
      </c>
      <c r="L8781" s="501">
        <v>0</v>
      </c>
      <c r="M8781" s="501">
        <v>0</v>
      </c>
      <c r="N8781" s="501">
        <v>0</v>
      </c>
      <c r="O8781" s="506">
        <v>0</v>
      </c>
    </row>
    <row r="8782" spans="1:15" x14ac:dyDescent="0.35">
      <c r="A8782" s="503" t="s">
        <v>1223</v>
      </c>
      <c r="B8782" s="504">
        <v>4768</v>
      </c>
      <c r="C8782" s="504" t="s">
        <v>1089</v>
      </c>
      <c r="D8782" s="504" t="s">
        <v>3392</v>
      </c>
      <c r="E8782" s="504" t="s">
        <v>3381</v>
      </c>
      <c r="F8782" s="504" t="s">
        <v>972</v>
      </c>
      <c r="G8782" s="504" t="s">
        <v>973</v>
      </c>
      <c r="H8782" s="504" t="s">
        <v>10490</v>
      </c>
      <c r="I8782" s="504">
        <v>3</v>
      </c>
      <c r="J8782" s="504">
        <v>0</v>
      </c>
      <c r="K8782" s="504">
        <v>0</v>
      </c>
      <c r="L8782" s="504">
        <v>3</v>
      </c>
      <c r="M8782" s="504">
        <v>0</v>
      </c>
      <c r="N8782" s="504">
        <v>0</v>
      </c>
      <c r="O8782" s="505">
        <v>0</v>
      </c>
    </row>
    <row r="8783" spans="1:15" x14ac:dyDescent="0.35">
      <c r="A8783" s="500" t="s">
        <v>1226</v>
      </c>
      <c r="B8783" s="501">
        <v>5084</v>
      </c>
      <c r="C8783" s="501" t="s">
        <v>1094</v>
      </c>
      <c r="D8783" s="501" t="s">
        <v>3380</v>
      </c>
      <c r="E8783" s="501" t="s">
        <v>3381</v>
      </c>
      <c r="F8783" s="501" t="s">
        <v>972</v>
      </c>
      <c r="G8783" s="501" t="s">
        <v>973</v>
      </c>
      <c r="H8783" s="501" t="s">
        <v>10491</v>
      </c>
      <c r="I8783" s="501">
        <v>50</v>
      </c>
      <c r="J8783" s="501">
        <v>30</v>
      </c>
      <c r="K8783" s="501">
        <v>0</v>
      </c>
      <c r="L8783" s="501">
        <v>0</v>
      </c>
      <c r="M8783" s="501">
        <v>0</v>
      </c>
      <c r="N8783" s="501">
        <v>0</v>
      </c>
      <c r="O8783" s="506">
        <v>20</v>
      </c>
    </row>
    <row r="8784" spans="1:15" x14ac:dyDescent="0.35">
      <c r="A8784" s="503" t="s">
        <v>1235</v>
      </c>
      <c r="B8784" s="504">
        <v>4684</v>
      </c>
      <c r="C8784" s="504" t="s">
        <v>1094</v>
      </c>
      <c r="D8784" s="504" t="s">
        <v>3380</v>
      </c>
      <c r="E8784" s="504" t="s">
        <v>3381</v>
      </c>
      <c r="F8784" s="504" t="s">
        <v>972</v>
      </c>
      <c r="G8784" s="504" t="s">
        <v>973</v>
      </c>
      <c r="H8784" s="504" t="s">
        <v>10492</v>
      </c>
      <c r="I8784" s="504">
        <v>87</v>
      </c>
      <c r="J8784" s="504">
        <v>87</v>
      </c>
      <c r="K8784" s="504">
        <v>0</v>
      </c>
      <c r="L8784" s="504">
        <v>0</v>
      </c>
      <c r="M8784" s="504">
        <v>0</v>
      </c>
      <c r="N8784" s="504">
        <v>0</v>
      </c>
      <c r="O8784" s="505">
        <v>0</v>
      </c>
    </row>
    <row r="8785" spans="1:15" x14ac:dyDescent="0.35">
      <c r="A8785" s="500" t="s">
        <v>1126</v>
      </c>
      <c r="B8785" s="501" t="s">
        <v>2974</v>
      </c>
      <c r="C8785" s="501" t="s">
        <v>1094</v>
      </c>
      <c r="D8785" s="501" t="s">
        <v>3380</v>
      </c>
      <c r="E8785" s="501" t="s">
        <v>3381</v>
      </c>
      <c r="F8785" s="501" t="s">
        <v>972</v>
      </c>
      <c r="G8785" s="501" t="s">
        <v>973</v>
      </c>
      <c r="H8785" s="501" t="s">
        <v>10493</v>
      </c>
      <c r="I8785" s="501">
        <v>49</v>
      </c>
      <c r="J8785" s="501">
        <v>49</v>
      </c>
      <c r="K8785" s="501">
        <v>0</v>
      </c>
      <c r="L8785" s="501">
        <v>0</v>
      </c>
      <c r="M8785" s="501">
        <v>0</v>
      </c>
      <c r="N8785" s="501">
        <v>0</v>
      </c>
      <c r="O8785" s="506">
        <v>0</v>
      </c>
    </row>
    <row r="8786" spans="1:15" x14ac:dyDescent="0.35">
      <c r="A8786" s="503" t="s">
        <v>1240</v>
      </c>
      <c r="B8786" s="504" t="s">
        <v>2972</v>
      </c>
      <c r="C8786" s="504" t="s">
        <v>1094</v>
      </c>
      <c r="D8786" s="504" t="s">
        <v>3380</v>
      </c>
      <c r="E8786" s="504" t="s">
        <v>3381</v>
      </c>
      <c r="F8786" s="504" t="s">
        <v>972</v>
      </c>
      <c r="G8786" s="504" t="s">
        <v>973</v>
      </c>
      <c r="H8786" s="504" t="s">
        <v>10494</v>
      </c>
      <c r="I8786" s="504">
        <v>1</v>
      </c>
      <c r="J8786" s="504">
        <v>1</v>
      </c>
      <c r="K8786" s="504">
        <v>0</v>
      </c>
      <c r="L8786" s="504">
        <v>0</v>
      </c>
      <c r="M8786" s="504">
        <v>0</v>
      </c>
      <c r="N8786" s="504">
        <v>0</v>
      </c>
      <c r="O8786" s="505">
        <v>0</v>
      </c>
    </row>
    <row r="8787" spans="1:15" x14ac:dyDescent="0.35">
      <c r="A8787" s="500" t="s">
        <v>1134</v>
      </c>
      <c r="B8787" s="501" t="s">
        <v>3066</v>
      </c>
      <c r="C8787" s="501" t="s">
        <v>1094</v>
      </c>
      <c r="D8787" s="501" t="s">
        <v>3380</v>
      </c>
      <c r="E8787" s="501" t="s">
        <v>3381</v>
      </c>
      <c r="F8787" s="501" t="s">
        <v>972</v>
      </c>
      <c r="G8787" s="501" t="s">
        <v>973</v>
      </c>
      <c r="H8787" s="501" t="s">
        <v>12178</v>
      </c>
      <c r="I8787" s="501">
        <v>27</v>
      </c>
      <c r="J8787" s="501">
        <v>27</v>
      </c>
      <c r="K8787" s="501">
        <v>0</v>
      </c>
      <c r="L8787" s="501">
        <v>0</v>
      </c>
      <c r="M8787" s="501">
        <v>0</v>
      </c>
      <c r="N8787" s="501">
        <v>0</v>
      </c>
      <c r="O8787" s="506">
        <v>0</v>
      </c>
    </row>
    <row r="8788" spans="1:15" x14ac:dyDescent="0.35">
      <c r="A8788" s="503" t="s">
        <v>14355</v>
      </c>
      <c r="B8788" s="504" t="s">
        <v>2631</v>
      </c>
      <c r="C8788" s="504" t="s">
        <v>1089</v>
      </c>
      <c r="D8788" s="504" t="s">
        <v>3392</v>
      </c>
      <c r="E8788" s="504" t="s">
        <v>3381</v>
      </c>
      <c r="F8788" s="504" t="s">
        <v>972</v>
      </c>
      <c r="G8788" s="504" t="s">
        <v>973</v>
      </c>
      <c r="H8788" s="504" t="s">
        <v>15202</v>
      </c>
      <c r="I8788" s="504">
        <v>12</v>
      </c>
      <c r="J8788" s="504">
        <v>12</v>
      </c>
      <c r="K8788" s="504">
        <v>0</v>
      </c>
      <c r="L8788" s="504">
        <v>0</v>
      </c>
      <c r="M8788" s="504">
        <v>0</v>
      </c>
      <c r="N8788" s="504">
        <v>0</v>
      </c>
      <c r="O8788" s="505">
        <v>0</v>
      </c>
    </row>
    <row r="8789" spans="1:15" x14ac:dyDescent="0.35">
      <c r="A8789" s="500" t="s">
        <v>1259</v>
      </c>
      <c r="B8789" s="501" t="s">
        <v>3025</v>
      </c>
      <c r="C8789" s="501" t="s">
        <v>1094</v>
      </c>
      <c r="D8789" s="501" t="s">
        <v>3380</v>
      </c>
      <c r="E8789" s="501" t="s">
        <v>3381</v>
      </c>
      <c r="F8789" s="501" t="s">
        <v>972</v>
      </c>
      <c r="G8789" s="501" t="s">
        <v>973</v>
      </c>
      <c r="H8789" s="501" t="s">
        <v>15203</v>
      </c>
      <c r="I8789" s="501">
        <v>1</v>
      </c>
      <c r="J8789" s="501">
        <v>1</v>
      </c>
      <c r="K8789" s="501">
        <v>0</v>
      </c>
      <c r="L8789" s="501">
        <v>0</v>
      </c>
      <c r="M8789" s="501">
        <v>0</v>
      </c>
      <c r="N8789" s="501">
        <v>0</v>
      </c>
      <c r="O8789" s="506">
        <v>0</v>
      </c>
    </row>
    <row r="8790" spans="1:15" x14ac:dyDescent="0.35">
      <c r="A8790" s="503" t="s">
        <v>1260</v>
      </c>
      <c r="B8790" s="504">
        <v>4645</v>
      </c>
      <c r="C8790" s="504" t="s">
        <v>1089</v>
      </c>
      <c r="D8790" s="504" t="s">
        <v>3392</v>
      </c>
      <c r="E8790" s="504" t="s">
        <v>3381</v>
      </c>
      <c r="F8790" s="504" t="s">
        <v>972</v>
      </c>
      <c r="G8790" s="504" t="s">
        <v>973</v>
      </c>
      <c r="H8790" s="504" t="s">
        <v>10495</v>
      </c>
      <c r="I8790" s="504">
        <v>18</v>
      </c>
      <c r="J8790" s="504">
        <v>0</v>
      </c>
      <c r="K8790" s="504">
        <v>0</v>
      </c>
      <c r="L8790" s="504">
        <v>18</v>
      </c>
      <c r="M8790" s="504">
        <v>0</v>
      </c>
      <c r="N8790" s="504">
        <v>0</v>
      </c>
      <c r="O8790" s="505">
        <v>0</v>
      </c>
    </row>
    <row r="8791" spans="1:15" x14ac:dyDescent="0.35">
      <c r="A8791" s="500" t="s">
        <v>1590</v>
      </c>
      <c r="B8791" s="501" t="s">
        <v>3186</v>
      </c>
      <c r="C8791" s="501" t="s">
        <v>1094</v>
      </c>
      <c r="D8791" s="501" t="s">
        <v>3380</v>
      </c>
      <c r="E8791" s="501" t="s">
        <v>3381</v>
      </c>
      <c r="F8791" s="501" t="s">
        <v>972</v>
      </c>
      <c r="G8791" s="501" t="s">
        <v>973</v>
      </c>
      <c r="H8791" s="501" t="s">
        <v>10497</v>
      </c>
      <c r="I8791" s="501">
        <v>1694</v>
      </c>
      <c r="J8791" s="501">
        <v>1694</v>
      </c>
      <c r="K8791" s="501">
        <v>0</v>
      </c>
      <c r="L8791" s="501">
        <v>0</v>
      </c>
      <c r="M8791" s="501">
        <v>0</v>
      </c>
      <c r="N8791" s="501">
        <v>0</v>
      </c>
      <c r="O8791" s="506">
        <v>0</v>
      </c>
    </row>
    <row r="8792" spans="1:15" x14ac:dyDescent="0.35">
      <c r="A8792" s="503" t="s">
        <v>2127</v>
      </c>
      <c r="B8792" s="504" t="s">
        <v>3188</v>
      </c>
      <c r="C8792" s="504" t="s">
        <v>1094</v>
      </c>
      <c r="D8792" s="504" t="s">
        <v>3380</v>
      </c>
      <c r="E8792" s="504" t="s">
        <v>3381</v>
      </c>
      <c r="F8792" s="504" t="s">
        <v>972</v>
      </c>
      <c r="G8792" s="504" t="s">
        <v>973</v>
      </c>
      <c r="H8792" s="504" t="s">
        <v>10496</v>
      </c>
      <c r="I8792" s="504">
        <v>19121</v>
      </c>
      <c r="J8792" s="504">
        <v>18768</v>
      </c>
      <c r="K8792" s="504">
        <v>0</v>
      </c>
      <c r="L8792" s="504">
        <v>300</v>
      </c>
      <c r="M8792" s="504">
        <v>0</v>
      </c>
      <c r="N8792" s="504">
        <v>0</v>
      </c>
      <c r="O8792" s="505">
        <v>53</v>
      </c>
    </row>
    <row r="8793" spans="1:15" x14ac:dyDescent="0.35">
      <c r="A8793" s="500" t="s">
        <v>1264</v>
      </c>
      <c r="B8793" s="501">
        <v>4671</v>
      </c>
      <c r="C8793" s="501" t="s">
        <v>1089</v>
      </c>
      <c r="D8793" s="501" t="s">
        <v>3392</v>
      </c>
      <c r="E8793" s="501" t="s">
        <v>3381</v>
      </c>
      <c r="F8793" s="501" t="s">
        <v>972</v>
      </c>
      <c r="G8793" s="501" t="s">
        <v>973</v>
      </c>
      <c r="H8793" s="501" t="s">
        <v>15204</v>
      </c>
      <c r="I8793" s="501">
        <v>13</v>
      </c>
      <c r="J8793" s="501">
        <v>0</v>
      </c>
      <c r="K8793" s="501">
        <v>0</v>
      </c>
      <c r="L8793" s="501">
        <v>13</v>
      </c>
      <c r="M8793" s="501">
        <v>0</v>
      </c>
      <c r="N8793" s="501">
        <v>0</v>
      </c>
      <c r="O8793" s="506">
        <v>0</v>
      </c>
    </row>
    <row r="8794" spans="1:15" x14ac:dyDescent="0.35">
      <c r="A8794" s="503" t="s">
        <v>2133</v>
      </c>
      <c r="B8794" s="504" t="s">
        <v>3230</v>
      </c>
      <c r="C8794" s="504" t="s">
        <v>1089</v>
      </c>
      <c r="D8794" s="504" t="s">
        <v>3392</v>
      </c>
      <c r="E8794" s="504" t="s">
        <v>3381</v>
      </c>
      <c r="F8794" s="504" t="s">
        <v>972</v>
      </c>
      <c r="G8794" s="504" t="s">
        <v>973</v>
      </c>
      <c r="H8794" s="504" t="s">
        <v>10498</v>
      </c>
      <c r="I8794" s="504">
        <v>21</v>
      </c>
      <c r="J8794" s="504">
        <v>0</v>
      </c>
      <c r="K8794" s="504">
        <v>0</v>
      </c>
      <c r="L8794" s="504">
        <v>21</v>
      </c>
      <c r="M8794" s="504">
        <v>0</v>
      </c>
      <c r="N8794" s="504">
        <v>0</v>
      </c>
      <c r="O8794" s="505">
        <v>0</v>
      </c>
    </row>
    <row r="8795" spans="1:15" x14ac:dyDescent="0.35">
      <c r="A8795" s="500" t="s">
        <v>1385</v>
      </c>
      <c r="B8795" s="501" t="s">
        <v>3249</v>
      </c>
      <c r="C8795" s="501" t="s">
        <v>1094</v>
      </c>
      <c r="D8795" s="501" t="s">
        <v>3380</v>
      </c>
      <c r="E8795" s="501" t="s">
        <v>3381</v>
      </c>
      <c r="F8795" s="501" t="s">
        <v>974</v>
      </c>
      <c r="G8795" s="501" t="s">
        <v>975</v>
      </c>
      <c r="H8795" s="501" t="s">
        <v>10499</v>
      </c>
      <c r="I8795" s="501">
        <v>35</v>
      </c>
      <c r="J8795" s="501">
        <v>28</v>
      </c>
      <c r="K8795" s="501">
        <v>0</v>
      </c>
      <c r="L8795" s="501">
        <v>0</v>
      </c>
      <c r="M8795" s="501">
        <v>0</v>
      </c>
      <c r="N8795" s="501">
        <v>0</v>
      </c>
      <c r="O8795" s="506">
        <v>7</v>
      </c>
    </row>
    <row r="8796" spans="1:15" x14ac:dyDescent="0.35">
      <c r="A8796" s="503" t="s">
        <v>1096</v>
      </c>
      <c r="B8796" s="504" t="s">
        <v>3326</v>
      </c>
      <c r="C8796" s="504" t="s">
        <v>1094</v>
      </c>
      <c r="D8796" s="504" t="s">
        <v>3380</v>
      </c>
      <c r="E8796" s="504" t="s">
        <v>3381</v>
      </c>
      <c r="F8796" s="504" t="s">
        <v>974</v>
      </c>
      <c r="G8796" s="504" t="s">
        <v>975</v>
      </c>
      <c r="H8796" s="504" t="s">
        <v>10500</v>
      </c>
      <c r="I8796" s="504">
        <v>79</v>
      </c>
      <c r="J8796" s="504">
        <v>0</v>
      </c>
      <c r="K8796" s="504">
        <v>0</v>
      </c>
      <c r="L8796" s="504">
        <v>0</v>
      </c>
      <c r="M8796" s="504">
        <v>79</v>
      </c>
      <c r="N8796" s="504">
        <v>0</v>
      </c>
      <c r="O8796" s="505">
        <v>0</v>
      </c>
    </row>
    <row r="8797" spans="1:15" x14ac:dyDescent="0.35">
      <c r="A8797" s="500" t="s">
        <v>11382</v>
      </c>
      <c r="B8797" s="501" t="s">
        <v>3223</v>
      </c>
      <c r="C8797" s="501" t="s">
        <v>1089</v>
      </c>
      <c r="D8797" s="501" t="s">
        <v>3392</v>
      </c>
      <c r="E8797" s="501" t="s">
        <v>3381</v>
      </c>
      <c r="F8797" s="501" t="s">
        <v>974</v>
      </c>
      <c r="G8797" s="501" t="s">
        <v>975</v>
      </c>
      <c r="H8797" s="501" t="s">
        <v>15205</v>
      </c>
      <c r="I8797" s="501">
        <v>6</v>
      </c>
      <c r="J8797" s="501">
        <v>6</v>
      </c>
      <c r="K8797" s="501">
        <v>0</v>
      </c>
      <c r="L8797" s="501">
        <v>0</v>
      </c>
      <c r="M8797" s="501">
        <v>0</v>
      </c>
      <c r="N8797" s="501">
        <v>0</v>
      </c>
      <c r="O8797" s="506">
        <v>0</v>
      </c>
    </row>
    <row r="8798" spans="1:15" x14ac:dyDescent="0.35">
      <c r="A8798" s="503" t="s">
        <v>1411</v>
      </c>
      <c r="B8798" s="504" t="s">
        <v>2873</v>
      </c>
      <c r="C8798" s="504" t="s">
        <v>1089</v>
      </c>
      <c r="D8798" s="504" t="s">
        <v>3392</v>
      </c>
      <c r="E8798" s="504" t="s">
        <v>3381</v>
      </c>
      <c r="F8798" s="504" t="s">
        <v>974</v>
      </c>
      <c r="G8798" s="504" t="s">
        <v>975</v>
      </c>
      <c r="H8798" s="504" t="s">
        <v>10501</v>
      </c>
      <c r="I8798" s="504">
        <v>22</v>
      </c>
      <c r="J8798" s="504">
        <v>6</v>
      </c>
      <c r="K8798" s="504">
        <v>0</v>
      </c>
      <c r="L8798" s="504">
        <v>16</v>
      </c>
      <c r="M8798" s="504">
        <v>0</v>
      </c>
      <c r="N8798" s="504">
        <v>0</v>
      </c>
      <c r="O8798" s="505">
        <v>0</v>
      </c>
    </row>
    <row r="8799" spans="1:15" x14ac:dyDescent="0.35">
      <c r="A8799" s="500" t="s">
        <v>1417</v>
      </c>
      <c r="B8799" s="501" t="s">
        <v>3257</v>
      </c>
      <c r="C8799" s="501" t="s">
        <v>1094</v>
      </c>
      <c r="D8799" s="501" t="s">
        <v>3380</v>
      </c>
      <c r="E8799" s="501" t="s">
        <v>3381</v>
      </c>
      <c r="F8799" s="501" t="s">
        <v>974</v>
      </c>
      <c r="G8799" s="501" t="s">
        <v>975</v>
      </c>
      <c r="H8799" s="501" t="s">
        <v>10502</v>
      </c>
      <c r="I8799" s="501">
        <v>345</v>
      </c>
      <c r="J8799" s="501">
        <v>295</v>
      </c>
      <c r="K8799" s="501">
        <v>0</v>
      </c>
      <c r="L8799" s="501">
        <v>27</v>
      </c>
      <c r="M8799" s="501">
        <v>23</v>
      </c>
      <c r="N8799" s="501">
        <v>0</v>
      </c>
      <c r="O8799" s="506">
        <v>0</v>
      </c>
    </row>
    <row r="8800" spans="1:15" x14ac:dyDescent="0.35">
      <c r="A8800" s="503" t="s">
        <v>1100</v>
      </c>
      <c r="B8800" s="504">
        <v>4865</v>
      </c>
      <c r="C8800" s="504" t="s">
        <v>1094</v>
      </c>
      <c r="D8800" s="504" t="s">
        <v>3380</v>
      </c>
      <c r="E8800" s="504" t="s">
        <v>3381</v>
      </c>
      <c r="F8800" s="504" t="s">
        <v>974</v>
      </c>
      <c r="G8800" s="504" t="s">
        <v>975</v>
      </c>
      <c r="H8800" s="504" t="s">
        <v>10503</v>
      </c>
      <c r="I8800" s="504">
        <v>1987</v>
      </c>
      <c r="J8800" s="504">
        <v>1586</v>
      </c>
      <c r="K8800" s="504">
        <v>7</v>
      </c>
      <c r="L8800" s="504">
        <v>99</v>
      </c>
      <c r="M8800" s="504">
        <v>123</v>
      </c>
      <c r="N8800" s="504">
        <v>0</v>
      </c>
      <c r="O8800" s="505">
        <v>172</v>
      </c>
    </row>
    <row r="8801" spans="1:15" x14ac:dyDescent="0.35">
      <c r="A8801" s="500" t="s">
        <v>1427</v>
      </c>
      <c r="B8801" s="501">
        <v>4813</v>
      </c>
      <c r="C8801" s="501" t="s">
        <v>1089</v>
      </c>
      <c r="D8801" s="501" t="s">
        <v>3392</v>
      </c>
      <c r="E8801" s="501" t="s">
        <v>3381</v>
      </c>
      <c r="F8801" s="501" t="s">
        <v>974</v>
      </c>
      <c r="G8801" s="501" t="s">
        <v>975</v>
      </c>
      <c r="H8801" s="501" t="s">
        <v>15206</v>
      </c>
      <c r="I8801" s="501">
        <v>39</v>
      </c>
      <c r="J8801" s="501">
        <v>39</v>
      </c>
      <c r="K8801" s="501">
        <v>0</v>
      </c>
      <c r="L8801" s="501">
        <v>0</v>
      </c>
      <c r="M8801" s="501">
        <v>0</v>
      </c>
      <c r="N8801" s="501">
        <v>0</v>
      </c>
      <c r="O8801" s="506">
        <v>0</v>
      </c>
    </row>
    <row r="8802" spans="1:15" x14ac:dyDescent="0.35">
      <c r="A8802" s="503" t="s">
        <v>1185</v>
      </c>
      <c r="B8802" s="504" t="s">
        <v>3253</v>
      </c>
      <c r="C8802" s="504" t="s">
        <v>1094</v>
      </c>
      <c r="D8802" s="504" t="s">
        <v>3380</v>
      </c>
      <c r="E8802" s="504" t="s">
        <v>3381</v>
      </c>
      <c r="F8802" s="504" t="s">
        <v>974</v>
      </c>
      <c r="G8802" s="504" t="s">
        <v>975</v>
      </c>
      <c r="H8802" s="504" t="s">
        <v>10504</v>
      </c>
      <c r="I8802" s="504">
        <v>42</v>
      </c>
      <c r="J8802" s="504">
        <v>17</v>
      </c>
      <c r="K8802" s="504">
        <v>0</v>
      </c>
      <c r="L8802" s="504">
        <v>23</v>
      </c>
      <c r="M8802" s="504">
        <v>2</v>
      </c>
      <c r="N8802" s="504">
        <v>0</v>
      </c>
      <c r="O8802" s="505">
        <v>0</v>
      </c>
    </row>
    <row r="8803" spans="1:15" x14ac:dyDescent="0.35">
      <c r="A8803" s="500" t="s">
        <v>1107</v>
      </c>
      <c r="B8803" s="501" t="s">
        <v>3109</v>
      </c>
      <c r="C8803" s="501" t="s">
        <v>1094</v>
      </c>
      <c r="D8803" s="501" t="s">
        <v>3380</v>
      </c>
      <c r="E8803" s="501" t="s">
        <v>3381</v>
      </c>
      <c r="F8803" s="501" t="s">
        <v>974</v>
      </c>
      <c r="G8803" s="501" t="s">
        <v>975</v>
      </c>
      <c r="H8803" s="501" t="s">
        <v>10506</v>
      </c>
      <c r="I8803" s="501">
        <v>1</v>
      </c>
      <c r="J8803" s="501">
        <v>1</v>
      </c>
      <c r="K8803" s="501">
        <v>0</v>
      </c>
      <c r="L8803" s="501">
        <v>0</v>
      </c>
      <c r="M8803" s="501">
        <v>0</v>
      </c>
      <c r="N8803" s="501">
        <v>0</v>
      </c>
      <c r="O8803" s="506">
        <v>0</v>
      </c>
    </row>
    <row r="8804" spans="1:15" x14ac:dyDescent="0.35">
      <c r="A8804" s="503" t="s">
        <v>1464</v>
      </c>
      <c r="B8804" s="504" t="s">
        <v>2801</v>
      </c>
      <c r="C8804" s="504" t="s">
        <v>1089</v>
      </c>
      <c r="D8804" s="504" t="s">
        <v>3392</v>
      </c>
      <c r="E8804" s="504" t="s">
        <v>3381</v>
      </c>
      <c r="F8804" s="504" t="s">
        <v>974</v>
      </c>
      <c r="G8804" s="504" t="s">
        <v>975</v>
      </c>
      <c r="H8804" s="504" t="s">
        <v>10505</v>
      </c>
      <c r="I8804" s="504">
        <v>1</v>
      </c>
      <c r="J8804" s="504">
        <v>1</v>
      </c>
      <c r="K8804" s="504">
        <v>0</v>
      </c>
      <c r="L8804" s="504">
        <v>0</v>
      </c>
      <c r="M8804" s="504">
        <v>0</v>
      </c>
      <c r="N8804" s="504">
        <v>0</v>
      </c>
      <c r="O8804" s="505">
        <v>0</v>
      </c>
    </row>
    <row r="8805" spans="1:15" x14ac:dyDescent="0.35">
      <c r="A8805" s="500" t="s">
        <v>1476</v>
      </c>
      <c r="B8805" s="501" t="s">
        <v>2988</v>
      </c>
      <c r="C8805" s="501" t="s">
        <v>1094</v>
      </c>
      <c r="D8805" s="501" t="s">
        <v>3380</v>
      </c>
      <c r="E8805" s="501" t="s">
        <v>3381</v>
      </c>
      <c r="F8805" s="501" t="s">
        <v>974</v>
      </c>
      <c r="G8805" s="501" t="s">
        <v>975</v>
      </c>
      <c r="H8805" s="501" t="s">
        <v>10507</v>
      </c>
      <c r="I8805" s="501">
        <v>582</v>
      </c>
      <c r="J8805" s="501">
        <v>434</v>
      </c>
      <c r="K8805" s="501">
        <v>0</v>
      </c>
      <c r="L8805" s="501">
        <v>7</v>
      </c>
      <c r="M8805" s="501">
        <v>0</v>
      </c>
      <c r="N8805" s="501">
        <v>17</v>
      </c>
      <c r="O8805" s="506">
        <v>141</v>
      </c>
    </row>
    <row r="8806" spans="1:15" x14ac:dyDescent="0.35">
      <c r="A8806" s="503" t="s">
        <v>1480</v>
      </c>
      <c r="B8806" s="504">
        <v>4770</v>
      </c>
      <c r="C8806" s="504" t="s">
        <v>1089</v>
      </c>
      <c r="D8806" s="504" t="s">
        <v>3392</v>
      </c>
      <c r="E8806" s="504" t="s">
        <v>3381</v>
      </c>
      <c r="F8806" s="504" t="s">
        <v>974</v>
      </c>
      <c r="G8806" s="504" t="s">
        <v>975</v>
      </c>
      <c r="H8806" s="504" t="s">
        <v>10508</v>
      </c>
      <c r="I8806" s="504">
        <v>1</v>
      </c>
      <c r="J8806" s="504">
        <v>1</v>
      </c>
      <c r="K8806" s="504">
        <v>0</v>
      </c>
      <c r="L8806" s="504">
        <v>0</v>
      </c>
      <c r="M8806" s="504">
        <v>0</v>
      </c>
      <c r="N8806" s="504">
        <v>0</v>
      </c>
      <c r="O8806" s="505">
        <v>0</v>
      </c>
    </row>
    <row r="8807" spans="1:15" x14ac:dyDescent="0.35">
      <c r="A8807" s="500" t="s">
        <v>1491</v>
      </c>
      <c r="B8807" s="501" t="s">
        <v>2783</v>
      </c>
      <c r="C8807" s="501" t="s">
        <v>1089</v>
      </c>
      <c r="D8807" s="501" t="s">
        <v>3392</v>
      </c>
      <c r="E8807" s="501" t="s">
        <v>3381</v>
      </c>
      <c r="F8807" s="501" t="s">
        <v>974</v>
      </c>
      <c r="G8807" s="501" t="s">
        <v>975</v>
      </c>
      <c r="H8807" s="501" t="s">
        <v>10509</v>
      </c>
      <c r="I8807" s="501">
        <v>12</v>
      </c>
      <c r="J8807" s="501">
        <v>12</v>
      </c>
      <c r="K8807" s="501">
        <v>0</v>
      </c>
      <c r="L8807" s="501">
        <v>0</v>
      </c>
      <c r="M8807" s="501">
        <v>0</v>
      </c>
      <c r="N8807" s="501">
        <v>0</v>
      </c>
      <c r="O8807" s="506">
        <v>0</v>
      </c>
    </row>
    <row r="8808" spans="1:15" x14ac:dyDescent="0.35">
      <c r="A8808" s="503" t="s">
        <v>1311</v>
      </c>
      <c r="B8808" s="504" t="s">
        <v>3361</v>
      </c>
      <c r="C8808" s="504" t="s">
        <v>1094</v>
      </c>
      <c r="D8808" s="504" t="s">
        <v>3380</v>
      </c>
      <c r="E8808" s="504" t="s">
        <v>3381</v>
      </c>
      <c r="F8808" s="504" t="s">
        <v>974</v>
      </c>
      <c r="G8808" s="504" t="s">
        <v>975</v>
      </c>
      <c r="H8808" s="504" t="s">
        <v>10510</v>
      </c>
      <c r="I8808" s="504">
        <v>183</v>
      </c>
      <c r="J8808" s="504">
        <v>183</v>
      </c>
      <c r="K8808" s="504">
        <v>0</v>
      </c>
      <c r="L8808" s="504">
        <v>0</v>
      </c>
      <c r="M8808" s="504">
        <v>0</v>
      </c>
      <c r="N8808" s="504">
        <v>0</v>
      </c>
      <c r="O8808" s="505">
        <v>0</v>
      </c>
    </row>
    <row r="8809" spans="1:15" x14ac:dyDescent="0.35">
      <c r="A8809" s="500" t="s">
        <v>1202</v>
      </c>
      <c r="B8809" s="501" t="s">
        <v>3217</v>
      </c>
      <c r="C8809" s="501" t="s">
        <v>1094</v>
      </c>
      <c r="D8809" s="501" t="s">
        <v>3380</v>
      </c>
      <c r="E8809" s="501" t="s">
        <v>3381</v>
      </c>
      <c r="F8809" s="501" t="s">
        <v>974</v>
      </c>
      <c r="G8809" s="501" t="s">
        <v>975</v>
      </c>
      <c r="H8809" s="501" t="s">
        <v>10511</v>
      </c>
      <c r="I8809" s="501">
        <v>5795</v>
      </c>
      <c r="J8809" s="501">
        <v>4462</v>
      </c>
      <c r="K8809" s="501">
        <v>0</v>
      </c>
      <c r="L8809" s="501">
        <v>203</v>
      </c>
      <c r="M8809" s="501">
        <v>337</v>
      </c>
      <c r="N8809" s="501">
        <v>34</v>
      </c>
      <c r="O8809" s="506">
        <v>793</v>
      </c>
    </row>
    <row r="8810" spans="1:15" x14ac:dyDescent="0.35">
      <c r="A8810" s="503" t="s">
        <v>1494</v>
      </c>
      <c r="B8810" s="504" t="s">
        <v>3235</v>
      </c>
      <c r="C8810" s="504" t="s">
        <v>1094</v>
      </c>
      <c r="D8810" s="504" t="s">
        <v>3380</v>
      </c>
      <c r="E8810" s="504" t="s">
        <v>3381</v>
      </c>
      <c r="F8810" s="504" t="s">
        <v>974</v>
      </c>
      <c r="G8810" s="504" t="s">
        <v>975</v>
      </c>
      <c r="H8810" s="504" t="s">
        <v>10512</v>
      </c>
      <c r="I8810" s="504">
        <v>5</v>
      </c>
      <c r="J8810" s="504">
        <v>0</v>
      </c>
      <c r="K8810" s="504">
        <v>0</v>
      </c>
      <c r="L8810" s="504">
        <v>5</v>
      </c>
      <c r="M8810" s="504">
        <v>0</v>
      </c>
      <c r="N8810" s="504">
        <v>0</v>
      </c>
      <c r="O8810" s="505">
        <v>0</v>
      </c>
    </row>
    <row r="8811" spans="1:15" x14ac:dyDescent="0.35">
      <c r="A8811" s="500" t="s">
        <v>1112</v>
      </c>
      <c r="B8811" s="501" t="s">
        <v>3008</v>
      </c>
      <c r="C8811" s="501" t="s">
        <v>1094</v>
      </c>
      <c r="D8811" s="501" t="s">
        <v>3380</v>
      </c>
      <c r="E8811" s="501" t="s">
        <v>3381</v>
      </c>
      <c r="F8811" s="501" t="s">
        <v>974</v>
      </c>
      <c r="G8811" s="501" t="s">
        <v>975</v>
      </c>
      <c r="H8811" s="501" t="s">
        <v>10513</v>
      </c>
      <c r="I8811" s="501">
        <v>355</v>
      </c>
      <c r="J8811" s="501">
        <v>255</v>
      </c>
      <c r="K8811" s="501">
        <v>0</v>
      </c>
      <c r="L8811" s="501">
        <v>4</v>
      </c>
      <c r="M8811" s="501">
        <v>0</v>
      </c>
      <c r="N8811" s="501">
        <v>0</v>
      </c>
      <c r="O8811" s="506">
        <v>96</v>
      </c>
    </row>
    <row r="8812" spans="1:15" x14ac:dyDescent="0.35">
      <c r="A8812" s="503" t="s">
        <v>1315</v>
      </c>
      <c r="B8812" s="504">
        <v>4825</v>
      </c>
      <c r="C8812" s="504" t="s">
        <v>1094</v>
      </c>
      <c r="D8812" s="504" t="s">
        <v>3380</v>
      </c>
      <c r="E8812" s="504" t="s">
        <v>3381</v>
      </c>
      <c r="F8812" s="504" t="s">
        <v>974</v>
      </c>
      <c r="G8812" s="504" t="s">
        <v>975</v>
      </c>
      <c r="H8812" s="504" t="s">
        <v>10514</v>
      </c>
      <c r="I8812" s="504">
        <v>68</v>
      </c>
      <c r="J8812" s="504">
        <v>56</v>
      </c>
      <c r="K8812" s="504">
        <v>0</v>
      </c>
      <c r="L8812" s="504">
        <v>0</v>
      </c>
      <c r="M8812" s="504">
        <v>0</v>
      </c>
      <c r="N8812" s="504">
        <v>0</v>
      </c>
      <c r="O8812" s="505">
        <v>12</v>
      </c>
    </row>
    <row r="8813" spans="1:15" x14ac:dyDescent="0.35">
      <c r="A8813" s="500" t="s">
        <v>1316</v>
      </c>
      <c r="B8813" s="501" t="s">
        <v>2949</v>
      </c>
      <c r="C8813" s="501" t="s">
        <v>1094</v>
      </c>
      <c r="D8813" s="501" t="s">
        <v>3380</v>
      </c>
      <c r="E8813" s="501" t="s">
        <v>3381</v>
      </c>
      <c r="F8813" s="501" t="s">
        <v>974</v>
      </c>
      <c r="G8813" s="501" t="s">
        <v>975</v>
      </c>
      <c r="H8813" s="501" t="s">
        <v>10515</v>
      </c>
      <c r="I8813" s="501">
        <v>255</v>
      </c>
      <c r="J8813" s="501">
        <v>104</v>
      </c>
      <c r="K8813" s="501">
        <v>0</v>
      </c>
      <c r="L8813" s="501">
        <v>63</v>
      </c>
      <c r="M8813" s="501">
        <v>0</v>
      </c>
      <c r="N8813" s="501">
        <v>0</v>
      </c>
      <c r="O8813" s="506">
        <v>88</v>
      </c>
    </row>
    <row r="8814" spans="1:15" x14ac:dyDescent="0.35">
      <c r="A8814" s="503" t="s">
        <v>1508</v>
      </c>
      <c r="B8814" s="504" t="s">
        <v>3307</v>
      </c>
      <c r="C8814" s="504" t="s">
        <v>1089</v>
      </c>
      <c r="D8814" s="504" t="s">
        <v>3380</v>
      </c>
      <c r="E8814" s="504" t="s">
        <v>3381</v>
      </c>
      <c r="F8814" s="504" t="s">
        <v>974</v>
      </c>
      <c r="G8814" s="504" t="s">
        <v>975</v>
      </c>
      <c r="H8814" s="504" t="s">
        <v>10516</v>
      </c>
      <c r="I8814" s="504">
        <v>266</v>
      </c>
      <c r="J8814" s="504">
        <v>255</v>
      </c>
      <c r="K8814" s="504">
        <v>0</v>
      </c>
      <c r="L8814" s="504">
        <v>0</v>
      </c>
      <c r="M8814" s="504">
        <v>0</v>
      </c>
      <c r="N8814" s="504">
        <v>0</v>
      </c>
      <c r="O8814" s="505">
        <v>11</v>
      </c>
    </row>
    <row r="8815" spans="1:15" x14ac:dyDescent="0.35">
      <c r="A8815" s="500" t="s">
        <v>1319</v>
      </c>
      <c r="B8815" s="501">
        <v>4880</v>
      </c>
      <c r="C8815" s="501" t="s">
        <v>1094</v>
      </c>
      <c r="D8815" s="501" t="s">
        <v>3380</v>
      </c>
      <c r="E8815" s="501" t="s">
        <v>3381</v>
      </c>
      <c r="F8815" s="501" t="s">
        <v>974</v>
      </c>
      <c r="G8815" s="501" t="s">
        <v>975</v>
      </c>
      <c r="H8815" s="501" t="s">
        <v>10517</v>
      </c>
      <c r="I8815" s="501">
        <v>251</v>
      </c>
      <c r="J8815" s="501">
        <v>190</v>
      </c>
      <c r="K8815" s="501">
        <v>0</v>
      </c>
      <c r="L8815" s="501">
        <v>37</v>
      </c>
      <c r="M8815" s="501">
        <v>23</v>
      </c>
      <c r="N8815" s="501">
        <v>4</v>
      </c>
      <c r="O8815" s="506">
        <v>1</v>
      </c>
    </row>
    <row r="8816" spans="1:15" x14ac:dyDescent="0.35">
      <c r="A8816" s="503" t="s">
        <v>1120</v>
      </c>
      <c r="B8816" s="504" t="s">
        <v>3362</v>
      </c>
      <c r="C8816" s="504" t="s">
        <v>1094</v>
      </c>
      <c r="D8816" s="504" t="s">
        <v>3380</v>
      </c>
      <c r="E8816" s="504" t="s">
        <v>3381</v>
      </c>
      <c r="F8816" s="504" t="s">
        <v>974</v>
      </c>
      <c r="G8816" s="504" t="s">
        <v>975</v>
      </c>
      <c r="H8816" s="504" t="s">
        <v>10518</v>
      </c>
      <c r="I8816" s="504">
        <v>49</v>
      </c>
      <c r="J8816" s="504">
        <v>0</v>
      </c>
      <c r="K8816" s="504">
        <v>0</v>
      </c>
      <c r="L8816" s="504">
        <v>0</v>
      </c>
      <c r="M8816" s="504">
        <v>0</v>
      </c>
      <c r="N8816" s="504">
        <v>0</v>
      </c>
      <c r="O8816" s="505">
        <v>49</v>
      </c>
    </row>
    <row r="8817" spans="1:15" x14ac:dyDescent="0.35">
      <c r="A8817" s="500" t="s">
        <v>1322</v>
      </c>
      <c r="B8817" s="501" t="s">
        <v>3244</v>
      </c>
      <c r="C8817" s="501" t="s">
        <v>1094</v>
      </c>
      <c r="D8817" s="501" t="s">
        <v>3380</v>
      </c>
      <c r="E8817" s="501" t="s">
        <v>3381</v>
      </c>
      <c r="F8817" s="501" t="s">
        <v>974</v>
      </c>
      <c r="G8817" s="501" t="s">
        <v>975</v>
      </c>
      <c r="H8817" s="501" t="s">
        <v>10519</v>
      </c>
      <c r="I8817" s="501">
        <v>141</v>
      </c>
      <c r="J8817" s="501">
        <v>64</v>
      </c>
      <c r="K8817" s="501">
        <v>0</v>
      </c>
      <c r="L8817" s="501">
        <v>9</v>
      </c>
      <c r="M8817" s="501">
        <v>0</v>
      </c>
      <c r="N8817" s="501">
        <v>0</v>
      </c>
      <c r="O8817" s="506">
        <v>68</v>
      </c>
    </row>
    <row r="8818" spans="1:15" x14ac:dyDescent="0.35">
      <c r="A8818" s="503" t="s">
        <v>1218</v>
      </c>
      <c r="B8818" s="504" t="s">
        <v>3147</v>
      </c>
      <c r="C8818" s="504" t="s">
        <v>1094</v>
      </c>
      <c r="D8818" s="504" t="s">
        <v>3380</v>
      </c>
      <c r="E8818" s="504" t="s">
        <v>3381</v>
      </c>
      <c r="F8818" s="504" t="s">
        <v>974</v>
      </c>
      <c r="G8818" s="504" t="s">
        <v>975</v>
      </c>
      <c r="H8818" s="504" t="s">
        <v>10520</v>
      </c>
      <c r="I8818" s="504">
        <v>26</v>
      </c>
      <c r="J8818" s="504">
        <v>0</v>
      </c>
      <c r="K8818" s="504">
        <v>0</v>
      </c>
      <c r="L8818" s="504">
        <v>0</v>
      </c>
      <c r="M8818" s="504">
        <v>0</v>
      </c>
      <c r="N8818" s="504">
        <v>0</v>
      </c>
      <c r="O8818" s="505">
        <v>26</v>
      </c>
    </row>
    <row r="8819" spans="1:15" x14ac:dyDescent="0.35">
      <c r="A8819" s="500" t="s">
        <v>11367</v>
      </c>
      <c r="B8819" s="501" t="s">
        <v>3143</v>
      </c>
      <c r="C8819" s="501" t="s">
        <v>1094</v>
      </c>
      <c r="D8819" s="501" t="s">
        <v>3380</v>
      </c>
      <c r="E8819" s="501" t="s">
        <v>3381</v>
      </c>
      <c r="F8819" s="501" t="s">
        <v>974</v>
      </c>
      <c r="G8819" s="501" t="s">
        <v>975</v>
      </c>
      <c r="H8819" s="501" t="s">
        <v>11961</v>
      </c>
      <c r="I8819" s="501">
        <v>4</v>
      </c>
      <c r="J8819" s="501">
        <v>0</v>
      </c>
      <c r="K8819" s="501">
        <v>0</v>
      </c>
      <c r="L8819" s="501">
        <v>0</v>
      </c>
      <c r="M8819" s="501">
        <v>4</v>
      </c>
      <c r="N8819" s="501">
        <v>0</v>
      </c>
      <c r="O8819" s="506">
        <v>0</v>
      </c>
    </row>
    <row r="8820" spans="1:15" x14ac:dyDescent="0.35">
      <c r="A8820" s="503" t="s">
        <v>1325</v>
      </c>
      <c r="B8820" s="504" t="s">
        <v>3011</v>
      </c>
      <c r="C8820" s="504" t="s">
        <v>1094</v>
      </c>
      <c r="D8820" s="504" t="s">
        <v>3380</v>
      </c>
      <c r="E8820" s="504" t="s">
        <v>3381</v>
      </c>
      <c r="F8820" s="504" t="s">
        <v>974</v>
      </c>
      <c r="G8820" s="504" t="s">
        <v>975</v>
      </c>
      <c r="H8820" s="504" t="s">
        <v>10521</v>
      </c>
      <c r="I8820" s="504">
        <v>1</v>
      </c>
      <c r="J8820" s="504">
        <v>0</v>
      </c>
      <c r="K8820" s="504">
        <v>0</v>
      </c>
      <c r="L8820" s="504">
        <v>0</v>
      </c>
      <c r="M8820" s="504">
        <v>0</v>
      </c>
      <c r="N8820" s="504">
        <v>0</v>
      </c>
      <c r="O8820" s="505">
        <v>1</v>
      </c>
    </row>
    <row r="8821" spans="1:15" x14ac:dyDescent="0.35">
      <c r="A8821" s="500" t="s">
        <v>1220</v>
      </c>
      <c r="B8821" s="501">
        <v>4849</v>
      </c>
      <c r="C8821" s="501" t="s">
        <v>1094</v>
      </c>
      <c r="D8821" s="501" t="s">
        <v>3380</v>
      </c>
      <c r="E8821" s="501" t="s">
        <v>3381</v>
      </c>
      <c r="F8821" s="501" t="s">
        <v>974</v>
      </c>
      <c r="G8821" s="501" t="s">
        <v>975</v>
      </c>
      <c r="H8821" s="501" t="s">
        <v>10522</v>
      </c>
      <c r="I8821" s="501">
        <v>173</v>
      </c>
      <c r="J8821" s="501">
        <v>148</v>
      </c>
      <c r="K8821" s="501">
        <v>0</v>
      </c>
      <c r="L8821" s="501">
        <v>0</v>
      </c>
      <c r="M8821" s="501">
        <v>0</v>
      </c>
      <c r="N8821" s="501">
        <v>0</v>
      </c>
      <c r="O8821" s="506">
        <v>25</v>
      </c>
    </row>
    <row r="8822" spans="1:15" x14ac:dyDescent="0.35">
      <c r="A8822" s="503" t="s">
        <v>1332</v>
      </c>
      <c r="B8822" s="504">
        <v>4878</v>
      </c>
      <c r="C8822" s="504" t="s">
        <v>1094</v>
      </c>
      <c r="D8822" s="504" t="s">
        <v>3380</v>
      </c>
      <c r="E8822" s="504" t="s">
        <v>3381</v>
      </c>
      <c r="F8822" s="504" t="s">
        <v>974</v>
      </c>
      <c r="G8822" s="504" t="s">
        <v>975</v>
      </c>
      <c r="H8822" s="504" t="s">
        <v>10523</v>
      </c>
      <c r="I8822" s="504">
        <v>2575</v>
      </c>
      <c r="J8822" s="504">
        <v>2276</v>
      </c>
      <c r="K8822" s="504">
        <v>0</v>
      </c>
      <c r="L8822" s="504">
        <v>86</v>
      </c>
      <c r="M8822" s="504">
        <v>55</v>
      </c>
      <c r="N8822" s="504">
        <v>0</v>
      </c>
      <c r="O8822" s="505">
        <v>158</v>
      </c>
    </row>
    <row r="8823" spans="1:15" x14ac:dyDescent="0.35">
      <c r="A8823" s="500" t="s">
        <v>1524</v>
      </c>
      <c r="B8823" s="501" t="s">
        <v>2767</v>
      </c>
      <c r="C8823" s="501" t="s">
        <v>1089</v>
      </c>
      <c r="D8823" s="501" t="s">
        <v>3392</v>
      </c>
      <c r="E8823" s="501" t="s">
        <v>3381</v>
      </c>
      <c r="F8823" s="501" t="s">
        <v>974</v>
      </c>
      <c r="G8823" s="501" t="s">
        <v>975</v>
      </c>
      <c r="H8823" s="501" t="s">
        <v>10524</v>
      </c>
      <c r="I8823" s="501">
        <v>6</v>
      </c>
      <c r="J8823" s="501">
        <v>0</v>
      </c>
      <c r="K8823" s="501">
        <v>6</v>
      </c>
      <c r="L8823" s="501">
        <v>0</v>
      </c>
      <c r="M8823" s="501">
        <v>0</v>
      </c>
      <c r="N8823" s="501">
        <v>0</v>
      </c>
      <c r="O8823" s="506">
        <v>0</v>
      </c>
    </row>
    <row r="8824" spans="1:15" x14ac:dyDescent="0.35">
      <c r="A8824" s="503" t="s">
        <v>1122</v>
      </c>
      <c r="B8824" s="504" t="s">
        <v>2994</v>
      </c>
      <c r="C8824" s="504" t="s">
        <v>1094</v>
      </c>
      <c r="D8824" s="504" t="s">
        <v>3380</v>
      </c>
      <c r="E8824" s="504" t="s">
        <v>3381</v>
      </c>
      <c r="F8824" s="504" t="s">
        <v>974</v>
      </c>
      <c r="G8824" s="504" t="s">
        <v>975</v>
      </c>
      <c r="H8824" s="504" t="s">
        <v>10525</v>
      </c>
      <c r="I8824" s="504">
        <v>1</v>
      </c>
      <c r="J8824" s="504">
        <v>1</v>
      </c>
      <c r="K8824" s="504">
        <v>0</v>
      </c>
      <c r="L8824" s="504">
        <v>0</v>
      </c>
      <c r="M8824" s="504">
        <v>0</v>
      </c>
      <c r="N8824" s="504">
        <v>0</v>
      </c>
      <c r="O8824" s="505">
        <v>0</v>
      </c>
    </row>
    <row r="8825" spans="1:15" x14ac:dyDescent="0.35">
      <c r="A8825" s="500" t="s">
        <v>1225</v>
      </c>
      <c r="B8825" s="501" t="s">
        <v>3315</v>
      </c>
      <c r="C8825" s="501" t="s">
        <v>1094</v>
      </c>
      <c r="D8825" s="501" t="s">
        <v>3380</v>
      </c>
      <c r="E8825" s="501" t="s">
        <v>3381</v>
      </c>
      <c r="F8825" s="501" t="s">
        <v>974</v>
      </c>
      <c r="G8825" s="501" t="s">
        <v>975</v>
      </c>
      <c r="H8825" s="501" t="s">
        <v>10526</v>
      </c>
      <c r="I8825" s="501">
        <v>105</v>
      </c>
      <c r="J8825" s="501">
        <v>100</v>
      </c>
      <c r="K8825" s="501">
        <v>0</v>
      </c>
      <c r="L8825" s="501">
        <v>3</v>
      </c>
      <c r="M8825" s="501">
        <v>0</v>
      </c>
      <c r="N8825" s="501">
        <v>0</v>
      </c>
      <c r="O8825" s="506">
        <v>2</v>
      </c>
    </row>
    <row r="8826" spans="1:15" x14ac:dyDescent="0.35">
      <c r="A8826" s="503" t="s">
        <v>1124</v>
      </c>
      <c r="B8826" s="504">
        <v>4745</v>
      </c>
      <c r="C8826" s="504" t="s">
        <v>1094</v>
      </c>
      <c r="D8826" s="504" t="s">
        <v>3380</v>
      </c>
      <c r="E8826" s="504" t="s">
        <v>3381</v>
      </c>
      <c r="F8826" s="504" t="s">
        <v>974</v>
      </c>
      <c r="G8826" s="504" t="s">
        <v>975</v>
      </c>
      <c r="H8826" s="504" t="s">
        <v>10527</v>
      </c>
      <c r="I8826" s="504">
        <v>17</v>
      </c>
      <c r="J8826" s="504">
        <v>0</v>
      </c>
      <c r="K8826" s="504">
        <v>0</v>
      </c>
      <c r="L8826" s="504">
        <v>17</v>
      </c>
      <c r="M8826" s="504">
        <v>0</v>
      </c>
      <c r="N8826" s="504">
        <v>0</v>
      </c>
      <c r="O8826" s="505">
        <v>0</v>
      </c>
    </row>
    <row r="8827" spans="1:15" x14ac:dyDescent="0.35">
      <c r="A8827" s="500" t="s">
        <v>1234</v>
      </c>
      <c r="B8827" s="501" t="s">
        <v>3291</v>
      </c>
      <c r="C8827" s="501" t="s">
        <v>1094</v>
      </c>
      <c r="D8827" s="501" t="s">
        <v>3380</v>
      </c>
      <c r="E8827" s="501" t="s">
        <v>3381</v>
      </c>
      <c r="F8827" s="501" t="s">
        <v>974</v>
      </c>
      <c r="G8827" s="501" t="s">
        <v>975</v>
      </c>
      <c r="H8827" s="501" t="s">
        <v>10528</v>
      </c>
      <c r="I8827" s="501">
        <v>17</v>
      </c>
      <c r="J8827" s="501">
        <v>0</v>
      </c>
      <c r="K8827" s="501">
        <v>0</v>
      </c>
      <c r="L8827" s="501">
        <v>17</v>
      </c>
      <c r="M8827" s="501">
        <v>0</v>
      </c>
      <c r="N8827" s="501">
        <v>0</v>
      </c>
      <c r="O8827" s="506">
        <v>0</v>
      </c>
    </row>
    <row r="8828" spans="1:15" x14ac:dyDescent="0.35">
      <c r="A8828" s="503" t="s">
        <v>1235</v>
      </c>
      <c r="B8828" s="504">
        <v>4684</v>
      </c>
      <c r="C8828" s="504" t="s">
        <v>1094</v>
      </c>
      <c r="D8828" s="504" t="s">
        <v>3380</v>
      </c>
      <c r="E8828" s="504" t="s">
        <v>3381</v>
      </c>
      <c r="F8828" s="504" t="s">
        <v>974</v>
      </c>
      <c r="G8828" s="504" t="s">
        <v>975</v>
      </c>
      <c r="H8828" s="504" t="s">
        <v>10529</v>
      </c>
      <c r="I8828" s="504">
        <v>105</v>
      </c>
      <c r="J8828" s="504">
        <v>68</v>
      </c>
      <c r="K8828" s="504">
        <v>0</v>
      </c>
      <c r="L8828" s="504">
        <v>0</v>
      </c>
      <c r="M8828" s="504">
        <v>0</v>
      </c>
      <c r="N8828" s="504">
        <v>0</v>
      </c>
      <c r="O8828" s="505">
        <v>37</v>
      </c>
    </row>
    <row r="8829" spans="1:15" x14ac:dyDescent="0.35">
      <c r="A8829" s="500" t="s">
        <v>1126</v>
      </c>
      <c r="B8829" s="501" t="s">
        <v>2974</v>
      </c>
      <c r="C8829" s="501" t="s">
        <v>1094</v>
      </c>
      <c r="D8829" s="501" t="s">
        <v>3380</v>
      </c>
      <c r="E8829" s="501" t="s">
        <v>3381</v>
      </c>
      <c r="F8829" s="501" t="s">
        <v>974</v>
      </c>
      <c r="G8829" s="501" t="s">
        <v>975</v>
      </c>
      <c r="H8829" s="501" t="s">
        <v>10530</v>
      </c>
      <c r="I8829" s="501">
        <v>119</v>
      </c>
      <c r="J8829" s="501">
        <v>119</v>
      </c>
      <c r="K8829" s="501">
        <v>0</v>
      </c>
      <c r="L8829" s="501">
        <v>0</v>
      </c>
      <c r="M8829" s="501">
        <v>0</v>
      </c>
      <c r="N8829" s="501">
        <v>0</v>
      </c>
      <c r="O8829" s="506">
        <v>0</v>
      </c>
    </row>
    <row r="8830" spans="1:15" x14ac:dyDescent="0.35">
      <c r="A8830" s="503" t="s">
        <v>1342</v>
      </c>
      <c r="B8830" s="504" t="s">
        <v>3237</v>
      </c>
      <c r="C8830" s="504" t="s">
        <v>1094</v>
      </c>
      <c r="D8830" s="504" t="s">
        <v>3380</v>
      </c>
      <c r="E8830" s="504" t="s">
        <v>3381</v>
      </c>
      <c r="F8830" s="504" t="s">
        <v>974</v>
      </c>
      <c r="G8830" s="504" t="s">
        <v>975</v>
      </c>
      <c r="H8830" s="504" t="s">
        <v>10531</v>
      </c>
      <c r="I8830" s="504">
        <v>3</v>
      </c>
      <c r="J8830" s="504">
        <v>0</v>
      </c>
      <c r="K8830" s="504">
        <v>0</v>
      </c>
      <c r="L8830" s="504">
        <v>0</v>
      </c>
      <c r="M8830" s="504">
        <v>0</v>
      </c>
      <c r="N8830" s="504">
        <v>0</v>
      </c>
      <c r="O8830" s="505">
        <v>3</v>
      </c>
    </row>
    <row r="8831" spans="1:15" x14ac:dyDescent="0.35">
      <c r="A8831" s="500" t="s">
        <v>1130</v>
      </c>
      <c r="B8831" s="501" t="s">
        <v>3234</v>
      </c>
      <c r="C8831" s="501" t="s">
        <v>1094</v>
      </c>
      <c r="D8831" s="501" t="s">
        <v>3380</v>
      </c>
      <c r="E8831" s="501" t="s">
        <v>3381</v>
      </c>
      <c r="F8831" s="501" t="s">
        <v>974</v>
      </c>
      <c r="G8831" s="501" t="s">
        <v>975</v>
      </c>
      <c r="H8831" s="501" t="s">
        <v>10532</v>
      </c>
      <c r="I8831" s="501">
        <v>128</v>
      </c>
      <c r="J8831" s="501">
        <v>67</v>
      </c>
      <c r="K8831" s="501">
        <v>0</v>
      </c>
      <c r="L8831" s="501">
        <v>0</v>
      </c>
      <c r="M8831" s="501">
        <v>29</v>
      </c>
      <c r="N8831" s="501">
        <v>6</v>
      </c>
      <c r="O8831" s="506">
        <v>32</v>
      </c>
    </row>
    <row r="8832" spans="1:15" x14ac:dyDescent="0.35">
      <c r="A8832" s="503" t="s">
        <v>1347</v>
      </c>
      <c r="B8832" s="504" t="s">
        <v>3185</v>
      </c>
      <c r="C8832" s="504" t="s">
        <v>1089</v>
      </c>
      <c r="D8832" s="504" t="s">
        <v>3392</v>
      </c>
      <c r="E8832" s="504" t="s">
        <v>3381</v>
      </c>
      <c r="F8832" s="504" t="s">
        <v>974</v>
      </c>
      <c r="G8832" s="504" t="s">
        <v>975</v>
      </c>
      <c r="H8832" s="504" t="s">
        <v>10533</v>
      </c>
      <c r="I8832" s="504">
        <v>1</v>
      </c>
      <c r="J8832" s="504">
        <v>1</v>
      </c>
      <c r="K8832" s="504">
        <v>0</v>
      </c>
      <c r="L8832" s="504">
        <v>0</v>
      </c>
      <c r="M8832" s="504">
        <v>0</v>
      </c>
      <c r="N8832" s="504">
        <v>0</v>
      </c>
      <c r="O8832" s="505">
        <v>0</v>
      </c>
    </row>
    <row r="8833" spans="1:15" x14ac:dyDescent="0.35">
      <c r="A8833" s="500" t="s">
        <v>1559</v>
      </c>
      <c r="B8833" s="501" t="s">
        <v>3252</v>
      </c>
      <c r="C8833" s="501" t="s">
        <v>1089</v>
      </c>
      <c r="D8833" s="501" t="s">
        <v>3392</v>
      </c>
      <c r="E8833" s="501" t="s">
        <v>3381</v>
      </c>
      <c r="F8833" s="501" t="s">
        <v>974</v>
      </c>
      <c r="G8833" s="501" t="s">
        <v>975</v>
      </c>
      <c r="H8833" s="501" t="s">
        <v>10534</v>
      </c>
      <c r="I8833" s="501">
        <v>14</v>
      </c>
      <c r="J8833" s="501">
        <v>14</v>
      </c>
      <c r="K8833" s="501">
        <v>0</v>
      </c>
      <c r="L8833" s="501">
        <v>0</v>
      </c>
      <c r="M8833" s="501">
        <v>0</v>
      </c>
      <c r="N8833" s="501">
        <v>0</v>
      </c>
      <c r="O8833" s="506">
        <v>0</v>
      </c>
    </row>
    <row r="8834" spans="1:15" x14ac:dyDescent="0.35">
      <c r="A8834" s="503" t="s">
        <v>1573</v>
      </c>
      <c r="B8834" s="504" t="s">
        <v>2473</v>
      </c>
      <c r="C8834" s="504" t="s">
        <v>1089</v>
      </c>
      <c r="D8834" s="504" t="s">
        <v>3392</v>
      </c>
      <c r="E8834" s="504" t="s">
        <v>3381</v>
      </c>
      <c r="F8834" s="504" t="s">
        <v>974</v>
      </c>
      <c r="G8834" s="504" t="s">
        <v>975</v>
      </c>
      <c r="H8834" s="504" t="s">
        <v>10535</v>
      </c>
      <c r="I8834" s="504">
        <v>6</v>
      </c>
      <c r="J8834" s="504">
        <v>0</v>
      </c>
      <c r="K8834" s="504">
        <v>0</v>
      </c>
      <c r="L8834" s="504">
        <v>0</v>
      </c>
      <c r="M8834" s="504">
        <v>6</v>
      </c>
      <c r="N8834" s="504">
        <v>0</v>
      </c>
      <c r="O8834" s="505">
        <v>0</v>
      </c>
    </row>
    <row r="8835" spans="1:15" x14ac:dyDescent="0.35">
      <c r="A8835" s="500" t="s">
        <v>1252</v>
      </c>
      <c r="B8835" s="501" t="s">
        <v>2875</v>
      </c>
      <c r="C8835" s="501" t="s">
        <v>1089</v>
      </c>
      <c r="D8835" s="501" t="s">
        <v>3392</v>
      </c>
      <c r="E8835" s="501" t="s">
        <v>3381</v>
      </c>
      <c r="F8835" s="501" t="s">
        <v>974</v>
      </c>
      <c r="G8835" s="501" t="s">
        <v>975</v>
      </c>
      <c r="H8835" s="501" t="s">
        <v>10536</v>
      </c>
      <c r="I8835" s="501">
        <v>8</v>
      </c>
      <c r="J8835" s="501">
        <v>0</v>
      </c>
      <c r="K8835" s="501">
        <v>0</v>
      </c>
      <c r="L8835" s="501">
        <v>8</v>
      </c>
      <c r="M8835" s="501">
        <v>0</v>
      </c>
      <c r="N8835" s="501">
        <v>0</v>
      </c>
      <c r="O8835" s="506">
        <v>0</v>
      </c>
    </row>
    <row r="8836" spans="1:15" x14ac:dyDescent="0.35">
      <c r="A8836" s="503" t="s">
        <v>1253</v>
      </c>
      <c r="B8836" s="504" t="s">
        <v>3232</v>
      </c>
      <c r="C8836" s="504" t="s">
        <v>1094</v>
      </c>
      <c r="D8836" s="504" t="s">
        <v>3380</v>
      </c>
      <c r="E8836" s="504" t="s">
        <v>3381</v>
      </c>
      <c r="F8836" s="504" t="s">
        <v>974</v>
      </c>
      <c r="G8836" s="504" t="s">
        <v>975</v>
      </c>
      <c r="H8836" s="504" t="s">
        <v>10537</v>
      </c>
      <c r="I8836" s="504">
        <v>50</v>
      </c>
      <c r="J8836" s="504">
        <v>0</v>
      </c>
      <c r="K8836" s="504">
        <v>0</v>
      </c>
      <c r="L8836" s="504">
        <v>24</v>
      </c>
      <c r="M8836" s="504">
        <v>26</v>
      </c>
      <c r="N8836" s="504">
        <v>0</v>
      </c>
      <c r="O8836" s="505">
        <v>0</v>
      </c>
    </row>
    <row r="8837" spans="1:15" x14ac:dyDescent="0.35">
      <c r="A8837" s="500" t="s">
        <v>1586</v>
      </c>
      <c r="B8837" s="501" t="s">
        <v>2989</v>
      </c>
      <c r="C8837" s="501" t="s">
        <v>1089</v>
      </c>
      <c r="D8837" s="501" t="s">
        <v>3392</v>
      </c>
      <c r="E8837" s="501" t="s">
        <v>3381</v>
      </c>
      <c r="F8837" s="501" t="s">
        <v>974</v>
      </c>
      <c r="G8837" s="501" t="s">
        <v>975</v>
      </c>
      <c r="H8837" s="501" t="s">
        <v>10538</v>
      </c>
      <c r="I8837" s="501">
        <v>331</v>
      </c>
      <c r="J8837" s="501">
        <v>156</v>
      </c>
      <c r="K8837" s="501">
        <v>0</v>
      </c>
      <c r="L8837" s="501">
        <v>21</v>
      </c>
      <c r="M8837" s="501">
        <v>154</v>
      </c>
      <c r="N8837" s="501">
        <v>0</v>
      </c>
      <c r="O8837" s="506">
        <v>0</v>
      </c>
    </row>
    <row r="8838" spans="1:15" x14ac:dyDescent="0.35">
      <c r="A8838" s="503" t="s">
        <v>1262</v>
      </c>
      <c r="B8838" s="504">
        <v>4772</v>
      </c>
      <c r="C8838" s="504" t="s">
        <v>1089</v>
      </c>
      <c r="D8838" s="504" t="s">
        <v>3392</v>
      </c>
      <c r="E8838" s="504" t="s">
        <v>3381</v>
      </c>
      <c r="F8838" s="504" t="s">
        <v>974</v>
      </c>
      <c r="G8838" s="504" t="s">
        <v>975</v>
      </c>
      <c r="H8838" s="504" t="s">
        <v>10539</v>
      </c>
      <c r="I8838" s="504">
        <v>5</v>
      </c>
      <c r="J8838" s="504">
        <v>0</v>
      </c>
      <c r="K8838" s="504">
        <v>0</v>
      </c>
      <c r="L8838" s="504">
        <v>5</v>
      </c>
      <c r="M8838" s="504">
        <v>0</v>
      </c>
      <c r="N8838" s="504">
        <v>0</v>
      </c>
      <c r="O8838" s="505">
        <v>0</v>
      </c>
    </row>
    <row r="8839" spans="1:15" x14ac:dyDescent="0.35">
      <c r="A8839" s="500" t="s">
        <v>1607</v>
      </c>
      <c r="B8839" s="501" t="s">
        <v>3324</v>
      </c>
      <c r="C8839" s="501" t="s">
        <v>1094</v>
      </c>
      <c r="D8839" s="501" t="s">
        <v>3392</v>
      </c>
      <c r="E8839" s="501" t="s">
        <v>3381</v>
      </c>
      <c r="F8839" s="501" t="s">
        <v>974</v>
      </c>
      <c r="G8839" s="501" t="s">
        <v>975</v>
      </c>
      <c r="H8839" s="501" t="s">
        <v>10540</v>
      </c>
      <c r="I8839" s="501">
        <v>347</v>
      </c>
      <c r="J8839" s="501">
        <v>20</v>
      </c>
      <c r="K8839" s="501">
        <v>0</v>
      </c>
      <c r="L8839" s="501">
        <v>327</v>
      </c>
      <c r="M8839" s="501">
        <v>0</v>
      </c>
      <c r="N8839" s="501">
        <v>0</v>
      </c>
      <c r="O8839" s="506">
        <v>0</v>
      </c>
    </row>
    <row r="8840" spans="1:15" x14ac:dyDescent="0.35">
      <c r="A8840" s="503" t="s">
        <v>1385</v>
      </c>
      <c r="B8840" s="504" t="s">
        <v>3249</v>
      </c>
      <c r="C8840" s="504" t="s">
        <v>1094</v>
      </c>
      <c r="D8840" s="504" t="s">
        <v>3380</v>
      </c>
      <c r="E8840" s="504" t="s">
        <v>3381</v>
      </c>
      <c r="F8840" s="504" t="s">
        <v>976</v>
      </c>
      <c r="G8840" s="504" t="s">
        <v>977</v>
      </c>
      <c r="H8840" s="504" t="s">
        <v>10541</v>
      </c>
      <c r="I8840" s="504">
        <v>231</v>
      </c>
      <c r="J8840" s="504">
        <v>164</v>
      </c>
      <c r="K8840" s="504">
        <v>0</v>
      </c>
      <c r="L8840" s="504">
        <v>10</v>
      </c>
      <c r="M8840" s="504">
        <v>0</v>
      </c>
      <c r="N8840" s="504">
        <v>0</v>
      </c>
      <c r="O8840" s="505">
        <v>57</v>
      </c>
    </row>
    <row r="8841" spans="1:15" x14ac:dyDescent="0.35">
      <c r="A8841" s="500" t="s">
        <v>1386</v>
      </c>
      <c r="B8841" s="501" t="s">
        <v>3331</v>
      </c>
      <c r="C8841" s="501" t="s">
        <v>1094</v>
      </c>
      <c r="D8841" s="501" t="s">
        <v>3380</v>
      </c>
      <c r="E8841" s="501" t="s">
        <v>3381</v>
      </c>
      <c r="F8841" s="501" t="s">
        <v>976</v>
      </c>
      <c r="G8841" s="501" t="s">
        <v>977</v>
      </c>
      <c r="H8841" s="501" t="s">
        <v>10542</v>
      </c>
      <c r="I8841" s="501">
        <v>6</v>
      </c>
      <c r="J8841" s="501">
        <v>0</v>
      </c>
      <c r="K8841" s="501">
        <v>0</v>
      </c>
      <c r="L8841" s="501">
        <v>0</v>
      </c>
      <c r="M8841" s="501">
        <v>0</v>
      </c>
      <c r="N8841" s="501">
        <v>0</v>
      </c>
      <c r="O8841" s="506">
        <v>6</v>
      </c>
    </row>
    <row r="8842" spans="1:15" x14ac:dyDescent="0.35">
      <c r="A8842" s="503" t="s">
        <v>1096</v>
      </c>
      <c r="B8842" s="504" t="s">
        <v>3326</v>
      </c>
      <c r="C8842" s="504" t="s">
        <v>1094</v>
      </c>
      <c r="D8842" s="504" t="s">
        <v>3380</v>
      </c>
      <c r="E8842" s="504" t="s">
        <v>3381</v>
      </c>
      <c r="F8842" s="504" t="s">
        <v>976</v>
      </c>
      <c r="G8842" s="504" t="s">
        <v>977</v>
      </c>
      <c r="H8842" s="504" t="s">
        <v>10543</v>
      </c>
      <c r="I8842" s="504">
        <v>135</v>
      </c>
      <c r="J8842" s="504">
        <v>0</v>
      </c>
      <c r="K8842" s="504">
        <v>0</v>
      </c>
      <c r="L8842" s="504">
        <v>0</v>
      </c>
      <c r="M8842" s="504">
        <v>135</v>
      </c>
      <c r="N8842" s="504">
        <v>0</v>
      </c>
      <c r="O8842" s="505">
        <v>0</v>
      </c>
    </row>
    <row r="8843" spans="1:15" x14ac:dyDescent="0.35">
      <c r="A8843" s="500" t="s">
        <v>1399</v>
      </c>
      <c r="B8843" s="501" t="s">
        <v>2660</v>
      </c>
      <c r="C8843" s="501" t="s">
        <v>1089</v>
      </c>
      <c r="D8843" s="501" t="s">
        <v>3392</v>
      </c>
      <c r="E8843" s="501" t="s">
        <v>3381</v>
      </c>
      <c r="F8843" s="501" t="s">
        <v>976</v>
      </c>
      <c r="G8843" s="501" t="s">
        <v>977</v>
      </c>
      <c r="H8843" s="501" t="s">
        <v>10544</v>
      </c>
      <c r="I8843" s="501">
        <v>66</v>
      </c>
      <c r="J8843" s="501">
        <v>66</v>
      </c>
      <c r="K8843" s="501">
        <v>0</v>
      </c>
      <c r="L8843" s="501">
        <v>0</v>
      </c>
      <c r="M8843" s="501">
        <v>0</v>
      </c>
      <c r="N8843" s="501">
        <v>0</v>
      </c>
      <c r="O8843" s="506">
        <v>0</v>
      </c>
    </row>
    <row r="8844" spans="1:15" x14ac:dyDescent="0.35">
      <c r="A8844" s="503" t="s">
        <v>1404</v>
      </c>
      <c r="B8844" s="504" t="s">
        <v>2980</v>
      </c>
      <c r="C8844" s="504" t="s">
        <v>1089</v>
      </c>
      <c r="D8844" s="504" t="s">
        <v>3392</v>
      </c>
      <c r="E8844" s="504" t="s">
        <v>3381</v>
      </c>
      <c r="F8844" s="504" t="s">
        <v>976</v>
      </c>
      <c r="G8844" s="504" t="s">
        <v>977</v>
      </c>
      <c r="H8844" s="504" t="s">
        <v>10545</v>
      </c>
      <c r="I8844" s="504">
        <v>18</v>
      </c>
      <c r="J8844" s="504">
        <v>0</v>
      </c>
      <c r="K8844" s="504">
        <v>0</v>
      </c>
      <c r="L8844" s="504">
        <v>0</v>
      </c>
      <c r="M8844" s="504">
        <v>18</v>
      </c>
      <c r="N8844" s="504">
        <v>0</v>
      </c>
      <c r="O8844" s="505">
        <v>0</v>
      </c>
    </row>
    <row r="8845" spans="1:15" x14ac:dyDescent="0.35">
      <c r="A8845" s="500" t="s">
        <v>1161</v>
      </c>
      <c r="B8845" s="501" t="s">
        <v>3001</v>
      </c>
      <c r="C8845" s="501" t="s">
        <v>1094</v>
      </c>
      <c r="D8845" s="501" t="s">
        <v>3380</v>
      </c>
      <c r="E8845" s="501" t="s">
        <v>3381</v>
      </c>
      <c r="F8845" s="501" t="s">
        <v>976</v>
      </c>
      <c r="G8845" s="501" t="s">
        <v>977</v>
      </c>
      <c r="H8845" s="501" t="s">
        <v>10546</v>
      </c>
      <c r="I8845" s="501">
        <v>1</v>
      </c>
      <c r="J8845" s="501">
        <v>0</v>
      </c>
      <c r="K8845" s="501">
        <v>0</v>
      </c>
      <c r="L8845" s="501">
        <v>0</v>
      </c>
      <c r="M8845" s="501">
        <v>0</v>
      </c>
      <c r="N8845" s="501">
        <v>0</v>
      </c>
      <c r="O8845" s="506">
        <v>1</v>
      </c>
    </row>
    <row r="8846" spans="1:15" x14ac:dyDescent="0.35">
      <c r="A8846" s="503" t="s">
        <v>1100</v>
      </c>
      <c r="B8846" s="504">
        <v>4865</v>
      </c>
      <c r="C8846" s="504" t="s">
        <v>1094</v>
      </c>
      <c r="D8846" s="504" t="s">
        <v>3380</v>
      </c>
      <c r="E8846" s="504" t="s">
        <v>3381</v>
      </c>
      <c r="F8846" s="504" t="s">
        <v>976</v>
      </c>
      <c r="G8846" s="504" t="s">
        <v>977</v>
      </c>
      <c r="H8846" s="504" t="s">
        <v>10547</v>
      </c>
      <c r="I8846" s="504">
        <v>241</v>
      </c>
      <c r="J8846" s="504">
        <v>80</v>
      </c>
      <c r="K8846" s="504">
        <v>0</v>
      </c>
      <c r="L8846" s="504">
        <v>0</v>
      </c>
      <c r="M8846" s="504">
        <v>0</v>
      </c>
      <c r="N8846" s="504">
        <v>0</v>
      </c>
      <c r="O8846" s="505">
        <v>161</v>
      </c>
    </row>
    <row r="8847" spans="1:15" x14ac:dyDescent="0.35">
      <c r="A8847" s="500" t="s">
        <v>1420</v>
      </c>
      <c r="B8847" s="501">
        <v>4764</v>
      </c>
      <c r="C8847" s="501" t="s">
        <v>1089</v>
      </c>
      <c r="D8847" s="501" t="s">
        <v>3392</v>
      </c>
      <c r="E8847" s="501" t="s">
        <v>3381</v>
      </c>
      <c r="F8847" s="501" t="s">
        <v>976</v>
      </c>
      <c r="G8847" s="501" t="s">
        <v>977</v>
      </c>
      <c r="H8847" s="501" t="s">
        <v>11666</v>
      </c>
      <c r="I8847" s="501">
        <v>1</v>
      </c>
      <c r="J8847" s="501">
        <v>1</v>
      </c>
      <c r="K8847" s="501">
        <v>0</v>
      </c>
      <c r="L8847" s="501">
        <v>0</v>
      </c>
      <c r="M8847" s="501">
        <v>0</v>
      </c>
      <c r="N8847" s="501">
        <v>0</v>
      </c>
      <c r="O8847" s="506">
        <v>0</v>
      </c>
    </row>
    <row r="8848" spans="1:15" x14ac:dyDescent="0.35">
      <c r="A8848" s="503" t="s">
        <v>1433</v>
      </c>
      <c r="B8848" s="504" t="s">
        <v>3316</v>
      </c>
      <c r="C8848" s="504" t="s">
        <v>1089</v>
      </c>
      <c r="D8848" s="504" t="s">
        <v>3392</v>
      </c>
      <c r="E8848" s="504" t="s">
        <v>3381</v>
      </c>
      <c r="F8848" s="504" t="s">
        <v>976</v>
      </c>
      <c r="G8848" s="504" t="s">
        <v>977</v>
      </c>
      <c r="H8848" s="504" t="s">
        <v>10548</v>
      </c>
      <c r="I8848" s="504">
        <v>39</v>
      </c>
      <c r="J8848" s="504">
        <v>33</v>
      </c>
      <c r="K8848" s="504">
        <v>0</v>
      </c>
      <c r="L8848" s="504">
        <v>6</v>
      </c>
      <c r="M8848" s="504">
        <v>0</v>
      </c>
      <c r="N8848" s="504">
        <v>0</v>
      </c>
      <c r="O8848" s="505">
        <v>0</v>
      </c>
    </row>
    <row r="8849" spans="1:15" x14ac:dyDescent="0.35">
      <c r="A8849" s="500" t="s">
        <v>14208</v>
      </c>
      <c r="B8849" s="501">
        <v>4803</v>
      </c>
      <c r="C8849" s="501" t="s">
        <v>1094</v>
      </c>
      <c r="D8849" s="501" t="s">
        <v>3380</v>
      </c>
      <c r="E8849" s="501" t="s">
        <v>3381</v>
      </c>
      <c r="F8849" s="501" t="s">
        <v>976</v>
      </c>
      <c r="G8849" s="501" t="s">
        <v>977</v>
      </c>
      <c r="H8849" s="501" t="s">
        <v>15207</v>
      </c>
      <c r="I8849" s="501">
        <v>12</v>
      </c>
      <c r="J8849" s="501">
        <v>0</v>
      </c>
      <c r="K8849" s="501">
        <v>0</v>
      </c>
      <c r="L8849" s="501">
        <v>12</v>
      </c>
      <c r="M8849" s="501">
        <v>0</v>
      </c>
      <c r="N8849" s="501">
        <v>0</v>
      </c>
      <c r="O8849" s="506">
        <v>0</v>
      </c>
    </row>
    <row r="8850" spans="1:15" x14ac:dyDescent="0.35">
      <c r="A8850" s="503" t="s">
        <v>1185</v>
      </c>
      <c r="B8850" s="504" t="s">
        <v>3253</v>
      </c>
      <c r="C8850" s="504" t="s">
        <v>1094</v>
      </c>
      <c r="D8850" s="504" t="s">
        <v>3380</v>
      </c>
      <c r="E8850" s="504" t="s">
        <v>3381</v>
      </c>
      <c r="F8850" s="504" t="s">
        <v>976</v>
      </c>
      <c r="G8850" s="504" t="s">
        <v>977</v>
      </c>
      <c r="H8850" s="504" t="s">
        <v>10549</v>
      </c>
      <c r="I8850" s="504">
        <v>38</v>
      </c>
      <c r="J8850" s="504">
        <v>13</v>
      </c>
      <c r="K8850" s="504">
        <v>0</v>
      </c>
      <c r="L8850" s="504">
        <v>23</v>
      </c>
      <c r="M8850" s="504">
        <v>2</v>
      </c>
      <c r="N8850" s="504">
        <v>0</v>
      </c>
      <c r="O8850" s="505">
        <v>0</v>
      </c>
    </row>
    <row r="8851" spans="1:15" x14ac:dyDescent="0.35">
      <c r="A8851" s="500" t="s">
        <v>1107</v>
      </c>
      <c r="B8851" s="501" t="s">
        <v>3109</v>
      </c>
      <c r="C8851" s="501" t="s">
        <v>1094</v>
      </c>
      <c r="D8851" s="501" t="s">
        <v>3380</v>
      </c>
      <c r="E8851" s="501" t="s">
        <v>3381</v>
      </c>
      <c r="F8851" s="501" t="s">
        <v>976</v>
      </c>
      <c r="G8851" s="501" t="s">
        <v>977</v>
      </c>
      <c r="H8851" s="501" t="s">
        <v>10550</v>
      </c>
      <c r="I8851" s="501">
        <v>80</v>
      </c>
      <c r="J8851" s="501">
        <v>23</v>
      </c>
      <c r="K8851" s="501">
        <v>0</v>
      </c>
      <c r="L8851" s="501">
        <v>5</v>
      </c>
      <c r="M8851" s="501">
        <v>48</v>
      </c>
      <c r="N8851" s="501">
        <v>0</v>
      </c>
      <c r="O8851" s="506">
        <v>4</v>
      </c>
    </row>
    <row r="8852" spans="1:15" x14ac:dyDescent="0.35">
      <c r="A8852" s="503" t="s">
        <v>1189</v>
      </c>
      <c r="B8852" s="504" t="s">
        <v>3236</v>
      </c>
      <c r="C8852" s="504" t="s">
        <v>1094</v>
      </c>
      <c r="D8852" s="504" t="s">
        <v>3380</v>
      </c>
      <c r="E8852" s="504" t="s">
        <v>3381</v>
      </c>
      <c r="F8852" s="504" t="s">
        <v>976</v>
      </c>
      <c r="G8852" s="504" t="s">
        <v>977</v>
      </c>
      <c r="H8852" s="504" t="s">
        <v>10551</v>
      </c>
      <c r="I8852" s="504">
        <v>1</v>
      </c>
      <c r="J8852" s="504">
        <v>1</v>
      </c>
      <c r="K8852" s="504">
        <v>0</v>
      </c>
      <c r="L8852" s="504">
        <v>0</v>
      </c>
      <c r="M8852" s="504">
        <v>0</v>
      </c>
      <c r="N8852" s="504">
        <v>0</v>
      </c>
      <c r="O8852" s="505">
        <v>0</v>
      </c>
    </row>
    <row r="8853" spans="1:15" x14ac:dyDescent="0.35">
      <c r="A8853" s="500" t="s">
        <v>1473</v>
      </c>
      <c r="B8853" s="501" t="s">
        <v>2799</v>
      </c>
      <c r="C8853" s="501" t="s">
        <v>1089</v>
      </c>
      <c r="D8853" s="501" t="s">
        <v>3392</v>
      </c>
      <c r="E8853" s="501" t="s">
        <v>3381</v>
      </c>
      <c r="F8853" s="501" t="s">
        <v>976</v>
      </c>
      <c r="G8853" s="501" t="s">
        <v>977</v>
      </c>
      <c r="H8853" s="501" t="s">
        <v>10552</v>
      </c>
      <c r="I8853" s="501">
        <v>54</v>
      </c>
      <c r="J8853" s="501">
        <v>54</v>
      </c>
      <c r="K8853" s="501">
        <v>0</v>
      </c>
      <c r="L8853" s="501">
        <v>0</v>
      </c>
      <c r="M8853" s="501">
        <v>0</v>
      </c>
      <c r="N8853" s="501">
        <v>0</v>
      </c>
      <c r="O8853" s="506">
        <v>0</v>
      </c>
    </row>
    <row r="8854" spans="1:15" x14ac:dyDescent="0.35">
      <c r="A8854" s="503" t="s">
        <v>1190</v>
      </c>
      <c r="B8854" s="504">
        <v>4662</v>
      </c>
      <c r="C8854" s="504" t="s">
        <v>1094</v>
      </c>
      <c r="D8854" s="504" t="s">
        <v>3380</v>
      </c>
      <c r="E8854" s="504" t="s">
        <v>3381</v>
      </c>
      <c r="F8854" s="504" t="s">
        <v>976</v>
      </c>
      <c r="G8854" s="504" t="s">
        <v>977</v>
      </c>
      <c r="H8854" s="504" t="s">
        <v>10553</v>
      </c>
      <c r="I8854" s="504">
        <v>3</v>
      </c>
      <c r="J8854" s="504">
        <v>0</v>
      </c>
      <c r="K8854" s="504">
        <v>0</v>
      </c>
      <c r="L8854" s="504">
        <v>3</v>
      </c>
      <c r="M8854" s="504">
        <v>0</v>
      </c>
      <c r="N8854" s="504">
        <v>0</v>
      </c>
      <c r="O8854" s="505">
        <v>0</v>
      </c>
    </row>
    <row r="8855" spans="1:15" x14ac:dyDescent="0.35">
      <c r="A8855" s="500" t="s">
        <v>1202</v>
      </c>
      <c r="B8855" s="501" t="s">
        <v>3217</v>
      </c>
      <c r="C8855" s="501" t="s">
        <v>1094</v>
      </c>
      <c r="D8855" s="501" t="s">
        <v>3380</v>
      </c>
      <c r="E8855" s="501" t="s">
        <v>3381</v>
      </c>
      <c r="F8855" s="501" t="s">
        <v>976</v>
      </c>
      <c r="G8855" s="501" t="s">
        <v>977</v>
      </c>
      <c r="H8855" s="501" t="s">
        <v>10554</v>
      </c>
      <c r="I8855" s="501">
        <v>2074</v>
      </c>
      <c r="J8855" s="501">
        <v>1550</v>
      </c>
      <c r="K8855" s="501">
        <v>0</v>
      </c>
      <c r="L8855" s="501">
        <v>86</v>
      </c>
      <c r="M8855" s="501">
        <v>0</v>
      </c>
      <c r="N8855" s="501">
        <v>10</v>
      </c>
      <c r="O8855" s="506">
        <v>438</v>
      </c>
    </row>
    <row r="8856" spans="1:15" x14ac:dyDescent="0.35">
      <c r="A8856" s="503" t="s">
        <v>1497</v>
      </c>
      <c r="B8856" s="504" t="s">
        <v>3290</v>
      </c>
      <c r="C8856" s="504" t="s">
        <v>1089</v>
      </c>
      <c r="D8856" s="504" t="s">
        <v>3392</v>
      </c>
      <c r="E8856" s="504" t="s">
        <v>3381</v>
      </c>
      <c r="F8856" s="504" t="s">
        <v>976</v>
      </c>
      <c r="G8856" s="504" t="s">
        <v>977</v>
      </c>
      <c r="H8856" s="504" t="s">
        <v>10555</v>
      </c>
      <c r="I8856" s="504">
        <v>12</v>
      </c>
      <c r="J8856" s="504">
        <v>0</v>
      </c>
      <c r="K8856" s="504">
        <v>0</v>
      </c>
      <c r="L8856" s="504">
        <v>0</v>
      </c>
      <c r="M8856" s="504">
        <v>12</v>
      </c>
      <c r="N8856" s="504">
        <v>0</v>
      </c>
      <c r="O8856" s="505">
        <v>0</v>
      </c>
    </row>
    <row r="8857" spans="1:15" x14ac:dyDescent="0.35">
      <c r="A8857" s="500" t="s">
        <v>1112</v>
      </c>
      <c r="B8857" s="501" t="s">
        <v>3008</v>
      </c>
      <c r="C8857" s="501" t="s">
        <v>1094</v>
      </c>
      <c r="D8857" s="501" t="s">
        <v>3380</v>
      </c>
      <c r="E8857" s="501" t="s">
        <v>3381</v>
      </c>
      <c r="F8857" s="501" t="s">
        <v>976</v>
      </c>
      <c r="G8857" s="501" t="s">
        <v>977</v>
      </c>
      <c r="H8857" s="501" t="s">
        <v>10556</v>
      </c>
      <c r="I8857" s="501">
        <v>529</v>
      </c>
      <c r="J8857" s="501">
        <v>91</v>
      </c>
      <c r="K8857" s="501">
        <v>0</v>
      </c>
      <c r="L8857" s="501">
        <v>272</v>
      </c>
      <c r="M8857" s="501">
        <v>0</v>
      </c>
      <c r="N8857" s="501">
        <v>0</v>
      </c>
      <c r="O8857" s="506">
        <v>166</v>
      </c>
    </row>
    <row r="8858" spans="1:15" x14ac:dyDescent="0.35">
      <c r="A8858" s="503" t="s">
        <v>1210</v>
      </c>
      <c r="B8858" s="504">
        <v>4781</v>
      </c>
      <c r="C8858" s="504" t="s">
        <v>1089</v>
      </c>
      <c r="D8858" s="504" t="s">
        <v>3392</v>
      </c>
      <c r="E8858" s="504" t="s">
        <v>3381</v>
      </c>
      <c r="F8858" s="504" t="s">
        <v>976</v>
      </c>
      <c r="G8858" s="504" t="s">
        <v>977</v>
      </c>
      <c r="H8858" s="504" t="s">
        <v>10557</v>
      </c>
      <c r="I8858" s="504">
        <v>16</v>
      </c>
      <c r="J8858" s="504">
        <v>0</v>
      </c>
      <c r="K8858" s="504">
        <v>0</v>
      </c>
      <c r="L8858" s="504">
        <v>16</v>
      </c>
      <c r="M8858" s="504">
        <v>0</v>
      </c>
      <c r="N8858" s="504">
        <v>0</v>
      </c>
      <c r="O8858" s="505">
        <v>0</v>
      </c>
    </row>
    <row r="8859" spans="1:15" x14ac:dyDescent="0.35">
      <c r="A8859" s="500" t="s">
        <v>1315</v>
      </c>
      <c r="B8859" s="501">
        <v>4825</v>
      </c>
      <c r="C8859" s="501" t="s">
        <v>1094</v>
      </c>
      <c r="D8859" s="501" t="s">
        <v>3380</v>
      </c>
      <c r="E8859" s="501" t="s">
        <v>3381</v>
      </c>
      <c r="F8859" s="501" t="s">
        <v>976</v>
      </c>
      <c r="G8859" s="501" t="s">
        <v>977</v>
      </c>
      <c r="H8859" s="501" t="s">
        <v>10558</v>
      </c>
      <c r="I8859" s="501">
        <v>4</v>
      </c>
      <c r="J8859" s="501">
        <v>0</v>
      </c>
      <c r="K8859" s="501">
        <v>0</v>
      </c>
      <c r="L8859" s="501">
        <v>0</v>
      </c>
      <c r="M8859" s="501">
        <v>0</v>
      </c>
      <c r="N8859" s="501">
        <v>0</v>
      </c>
      <c r="O8859" s="506">
        <v>4</v>
      </c>
    </row>
    <row r="8860" spans="1:15" x14ac:dyDescent="0.35">
      <c r="A8860" s="503" t="s">
        <v>1506</v>
      </c>
      <c r="B8860" s="504" t="s">
        <v>3318</v>
      </c>
      <c r="C8860" s="504" t="s">
        <v>1089</v>
      </c>
      <c r="D8860" s="504" t="s">
        <v>3392</v>
      </c>
      <c r="E8860" s="504" t="s">
        <v>3381</v>
      </c>
      <c r="F8860" s="504" t="s">
        <v>976</v>
      </c>
      <c r="G8860" s="504" t="s">
        <v>977</v>
      </c>
      <c r="H8860" s="504" t="s">
        <v>10559</v>
      </c>
      <c r="I8860" s="504">
        <v>91</v>
      </c>
      <c r="J8860" s="504">
        <v>71</v>
      </c>
      <c r="K8860" s="504">
        <v>0</v>
      </c>
      <c r="L8860" s="504">
        <v>0</v>
      </c>
      <c r="M8860" s="504">
        <v>20</v>
      </c>
      <c r="N8860" s="504">
        <v>4</v>
      </c>
      <c r="O8860" s="505">
        <v>0</v>
      </c>
    </row>
    <row r="8861" spans="1:15" x14ac:dyDescent="0.35">
      <c r="A8861" s="500" t="s">
        <v>1319</v>
      </c>
      <c r="B8861" s="501">
        <v>4880</v>
      </c>
      <c r="C8861" s="501" t="s">
        <v>1094</v>
      </c>
      <c r="D8861" s="501" t="s">
        <v>3380</v>
      </c>
      <c r="E8861" s="501" t="s">
        <v>3381</v>
      </c>
      <c r="F8861" s="501" t="s">
        <v>976</v>
      </c>
      <c r="G8861" s="501" t="s">
        <v>977</v>
      </c>
      <c r="H8861" s="501" t="s">
        <v>10560</v>
      </c>
      <c r="I8861" s="501">
        <v>505</v>
      </c>
      <c r="J8861" s="501">
        <v>250</v>
      </c>
      <c r="K8861" s="501">
        <v>0</v>
      </c>
      <c r="L8861" s="501">
        <v>77</v>
      </c>
      <c r="M8861" s="501">
        <v>0</v>
      </c>
      <c r="N8861" s="501">
        <v>0</v>
      </c>
      <c r="O8861" s="506">
        <v>178</v>
      </c>
    </row>
    <row r="8862" spans="1:15" x14ac:dyDescent="0.35">
      <c r="A8862" s="503" t="s">
        <v>1120</v>
      </c>
      <c r="B8862" s="504" t="s">
        <v>3362</v>
      </c>
      <c r="C8862" s="504" t="s">
        <v>1094</v>
      </c>
      <c r="D8862" s="504" t="s">
        <v>3380</v>
      </c>
      <c r="E8862" s="504" t="s">
        <v>3381</v>
      </c>
      <c r="F8862" s="504" t="s">
        <v>976</v>
      </c>
      <c r="G8862" s="504" t="s">
        <v>977</v>
      </c>
      <c r="H8862" s="504" t="s">
        <v>10561</v>
      </c>
      <c r="I8862" s="504">
        <v>380</v>
      </c>
      <c r="J8862" s="504">
        <v>0</v>
      </c>
      <c r="K8862" s="504">
        <v>0</v>
      </c>
      <c r="L8862" s="504">
        <v>0</v>
      </c>
      <c r="M8862" s="504">
        <v>0</v>
      </c>
      <c r="N8862" s="504">
        <v>0</v>
      </c>
      <c r="O8862" s="505">
        <v>380</v>
      </c>
    </row>
    <row r="8863" spans="1:15" x14ac:dyDescent="0.35">
      <c r="A8863" s="500" t="s">
        <v>1320</v>
      </c>
      <c r="B8863" s="501">
        <v>4720</v>
      </c>
      <c r="C8863" s="501" t="s">
        <v>1089</v>
      </c>
      <c r="D8863" s="501" t="s">
        <v>3392</v>
      </c>
      <c r="E8863" s="501" t="s">
        <v>3381</v>
      </c>
      <c r="F8863" s="501" t="s">
        <v>976</v>
      </c>
      <c r="G8863" s="501" t="s">
        <v>977</v>
      </c>
      <c r="H8863" s="501" t="s">
        <v>10562</v>
      </c>
      <c r="I8863" s="501">
        <v>21</v>
      </c>
      <c r="J8863" s="501">
        <v>0</v>
      </c>
      <c r="K8863" s="501">
        <v>0</v>
      </c>
      <c r="L8863" s="501">
        <v>0</v>
      </c>
      <c r="M8863" s="501">
        <v>21</v>
      </c>
      <c r="N8863" s="501">
        <v>0</v>
      </c>
      <c r="O8863" s="506">
        <v>0</v>
      </c>
    </row>
    <row r="8864" spans="1:15" x14ac:dyDescent="0.35">
      <c r="A8864" s="503" t="s">
        <v>1510</v>
      </c>
      <c r="B8864" s="504" t="s">
        <v>3004</v>
      </c>
      <c r="C8864" s="504" t="s">
        <v>1094</v>
      </c>
      <c r="D8864" s="504" t="s">
        <v>3380</v>
      </c>
      <c r="E8864" s="504" t="s">
        <v>3381</v>
      </c>
      <c r="F8864" s="504" t="s">
        <v>976</v>
      </c>
      <c r="G8864" s="504" t="s">
        <v>977</v>
      </c>
      <c r="H8864" s="504" t="s">
        <v>10563</v>
      </c>
      <c r="I8864" s="504">
        <v>125</v>
      </c>
      <c r="J8864" s="504">
        <v>72</v>
      </c>
      <c r="K8864" s="504">
        <v>0</v>
      </c>
      <c r="L8864" s="504">
        <v>0</v>
      </c>
      <c r="M8864" s="504">
        <v>0</v>
      </c>
      <c r="N8864" s="504">
        <v>0</v>
      </c>
      <c r="O8864" s="505">
        <v>53</v>
      </c>
    </row>
    <row r="8865" spans="1:15" x14ac:dyDescent="0.35">
      <c r="A8865" s="500" t="s">
        <v>1322</v>
      </c>
      <c r="B8865" s="501" t="s">
        <v>3244</v>
      </c>
      <c r="C8865" s="501" t="s">
        <v>1094</v>
      </c>
      <c r="D8865" s="501" t="s">
        <v>3380</v>
      </c>
      <c r="E8865" s="501" t="s">
        <v>3381</v>
      </c>
      <c r="F8865" s="501" t="s">
        <v>976</v>
      </c>
      <c r="G8865" s="501" t="s">
        <v>977</v>
      </c>
      <c r="H8865" s="501" t="s">
        <v>10564</v>
      </c>
      <c r="I8865" s="501">
        <v>56</v>
      </c>
      <c r="J8865" s="501">
        <v>0</v>
      </c>
      <c r="K8865" s="501">
        <v>0</v>
      </c>
      <c r="L8865" s="501">
        <v>21</v>
      </c>
      <c r="M8865" s="501">
        <v>0</v>
      </c>
      <c r="N8865" s="501">
        <v>0</v>
      </c>
      <c r="O8865" s="506">
        <v>35</v>
      </c>
    </row>
    <row r="8866" spans="1:15" x14ac:dyDescent="0.35">
      <c r="A8866" s="503" t="s">
        <v>1217</v>
      </c>
      <c r="B8866" s="504">
        <v>4851</v>
      </c>
      <c r="C8866" s="504" t="s">
        <v>1094</v>
      </c>
      <c r="D8866" s="504" t="s">
        <v>3380</v>
      </c>
      <c r="E8866" s="504" t="s">
        <v>3381</v>
      </c>
      <c r="F8866" s="504" t="s">
        <v>976</v>
      </c>
      <c r="G8866" s="504" t="s">
        <v>977</v>
      </c>
      <c r="H8866" s="504" t="s">
        <v>10565</v>
      </c>
      <c r="I8866" s="504">
        <v>3787</v>
      </c>
      <c r="J8866" s="504">
        <v>2733</v>
      </c>
      <c r="K8866" s="504">
        <v>6</v>
      </c>
      <c r="L8866" s="504">
        <v>355</v>
      </c>
      <c r="M8866" s="504">
        <v>229</v>
      </c>
      <c r="N8866" s="504">
        <v>16</v>
      </c>
      <c r="O8866" s="505">
        <v>464</v>
      </c>
    </row>
    <row r="8867" spans="1:15" x14ac:dyDescent="0.35">
      <c r="A8867" s="500" t="s">
        <v>1325</v>
      </c>
      <c r="B8867" s="501" t="s">
        <v>3011</v>
      </c>
      <c r="C8867" s="501" t="s">
        <v>1094</v>
      </c>
      <c r="D8867" s="501" t="s">
        <v>3380</v>
      </c>
      <c r="E8867" s="501" t="s">
        <v>3381</v>
      </c>
      <c r="F8867" s="501" t="s">
        <v>976</v>
      </c>
      <c r="G8867" s="501" t="s">
        <v>977</v>
      </c>
      <c r="H8867" s="501" t="s">
        <v>10566</v>
      </c>
      <c r="I8867" s="501">
        <v>1</v>
      </c>
      <c r="J8867" s="501">
        <v>0</v>
      </c>
      <c r="K8867" s="501">
        <v>0</v>
      </c>
      <c r="L8867" s="501">
        <v>0</v>
      </c>
      <c r="M8867" s="501">
        <v>0</v>
      </c>
      <c r="N8867" s="501">
        <v>0</v>
      </c>
      <c r="O8867" s="506">
        <v>1</v>
      </c>
    </row>
    <row r="8868" spans="1:15" x14ac:dyDescent="0.35">
      <c r="A8868" s="503" t="s">
        <v>1220</v>
      </c>
      <c r="B8868" s="504">
        <v>4849</v>
      </c>
      <c r="C8868" s="504" t="s">
        <v>1094</v>
      </c>
      <c r="D8868" s="504" t="s">
        <v>3380</v>
      </c>
      <c r="E8868" s="504" t="s">
        <v>3381</v>
      </c>
      <c r="F8868" s="504" t="s">
        <v>976</v>
      </c>
      <c r="G8868" s="504" t="s">
        <v>977</v>
      </c>
      <c r="H8868" s="504" t="s">
        <v>10567</v>
      </c>
      <c r="I8868" s="504">
        <v>438</v>
      </c>
      <c r="J8868" s="504">
        <v>94</v>
      </c>
      <c r="K8868" s="504">
        <v>0</v>
      </c>
      <c r="L8868" s="504">
        <v>14</v>
      </c>
      <c r="M8868" s="504">
        <v>152</v>
      </c>
      <c r="N8868" s="504">
        <v>0</v>
      </c>
      <c r="O8868" s="505">
        <v>178</v>
      </c>
    </row>
    <row r="8869" spans="1:15" x14ac:dyDescent="0.35">
      <c r="A8869" s="500" t="s">
        <v>1332</v>
      </c>
      <c r="B8869" s="501">
        <v>4878</v>
      </c>
      <c r="C8869" s="501" t="s">
        <v>1094</v>
      </c>
      <c r="D8869" s="501" t="s">
        <v>3380</v>
      </c>
      <c r="E8869" s="501" t="s">
        <v>3381</v>
      </c>
      <c r="F8869" s="501" t="s">
        <v>976</v>
      </c>
      <c r="G8869" s="501" t="s">
        <v>977</v>
      </c>
      <c r="H8869" s="501" t="s">
        <v>10568</v>
      </c>
      <c r="I8869" s="501">
        <v>1946</v>
      </c>
      <c r="J8869" s="501">
        <v>1644</v>
      </c>
      <c r="K8869" s="501">
        <v>0</v>
      </c>
      <c r="L8869" s="501">
        <v>41</v>
      </c>
      <c r="M8869" s="501">
        <v>43</v>
      </c>
      <c r="N8869" s="501">
        <v>0</v>
      </c>
      <c r="O8869" s="506">
        <v>218</v>
      </c>
    </row>
    <row r="8870" spans="1:15" x14ac:dyDescent="0.35">
      <c r="A8870" s="503" t="s">
        <v>1234</v>
      </c>
      <c r="B8870" s="504" t="s">
        <v>3291</v>
      </c>
      <c r="C8870" s="504" t="s">
        <v>1094</v>
      </c>
      <c r="D8870" s="504" t="s">
        <v>3380</v>
      </c>
      <c r="E8870" s="504" t="s">
        <v>3381</v>
      </c>
      <c r="F8870" s="504" t="s">
        <v>976</v>
      </c>
      <c r="G8870" s="504" t="s">
        <v>977</v>
      </c>
      <c r="H8870" s="504" t="s">
        <v>10569</v>
      </c>
      <c r="I8870" s="504">
        <v>24</v>
      </c>
      <c r="J8870" s="504">
        <v>0</v>
      </c>
      <c r="K8870" s="504">
        <v>0</v>
      </c>
      <c r="L8870" s="504">
        <v>0</v>
      </c>
      <c r="M8870" s="504">
        <v>24</v>
      </c>
      <c r="N8870" s="504">
        <v>0</v>
      </c>
      <c r="O8870" s="505">
        <v>0</v>
      </c>
    </row>
    <row r="8871" spans="1:15" x14ac:dyDescent="0.35">
      <c r="A8871" s="500" t="s">
        <v>1126</v>
      </c>
      <c r="B8871" s="501" t="s">
        <v>2974</v>
      </c>
      <c r="C8871" s="501" t="s">
        <v>1094</v>
      </c>
      <c r="D8871" s="501" t="s">
        <v>3380</v>
      </c>
      <c r="E8871" s="501" t="s">
        <v>3381</v>
      </c>
      <c r="F8871" s="501" t="s">
        <v>976</v>
      </c>
      <c r="G8871" s="501" t="s">
        <v>977</v>
      </c>
      <c r="H8871" s="501" t="s">
        <v>10570</v>
      </c>
      <c r="I8871" s="501">
        <v>231</v>
      </c>
      <c r="J8871" s="501">
        <v>4</v>
      </c>
      <c r="K8871" s="501">
        <v>0</v>
      </c>
      <c r="L8871" s="501">
        <v>35</v>
      </c>
      <c r="M8871" s="501">
        <v>192</v>
      </c>
      <c r="N8871" s="501">
        <v>1</v>
      </c>
      <c r="O8871" s="506">
        <v>0</v>
      </c>
    </row>
    <row r="8872" spans="1:15" x14ac:dyDescent="0.35">
      <c r="A8872" s="503" t="s">
        <v>1342</v>
      </c>
      <c r="B8872" s="504" t="s">
        <v>3237</v>
      </c>
      <c r="C8872" s="504" t="s">
        <v>1094</v>
      </c>
      <c r="D8872" s="504" t="s">
        <v>3380</v>
      </c>
      <c r="E8872" s="504" t="s">
        <v>3381</v>
      </c>
      <c r="F8872" s="504" t="s">
        <v>976</v>
      </c>
      <c r="G8872" s="504" t="s">
        <v>977</v>
      </c>
      <c r="H8872" s="504" t="s">
        <v>10571</v>
      </c>
      <c r="I8872" s="504">
        <v>10</v>
      </c>
      <c r="J8872" s="504">
        <v>0</v>
      </c>
      <c r="K8872" s="504">
        <v>0</v>
      </c>
      <c r="L8872" s="504">
        <v>0</v>
      </c>
      <c r="M8872" s="504">
        <v>0</v>
      </c>
      <c r="N8872" s="504">
        <v>0</v>
      </c>
      <c r="O8872" s="505">
        <v>10</v>
      </c>
    </row>
    <row r="8873" spans="1:15" x14ac:dyDescent="0.35">
      <c r="A8873" s="500" t="s">
        <v>1548</v>
      </c>
      <c r="B8873" s="501" t="s">
        <v>2684</v>
      </c>
      <c r="C8873" s="501" t="s">
        <v>1089</v>
      </c>
      <c r="D8873" s="501" t="s">
        <v>3392</v>
      </c>
      <c r="E8873" s="501" t="s">
        <v>3381</v>
      </c>
      <c r="F8873" s="501" t="s">
        <v>976</v>
      </c>
      <c r="G8873" s="501" t="s">
        <v>977</v>
      </c>
      <c r="H8873" s="501" t="s">
        <v>10572</v>
      </c>
      <c r="I8873" s="501">
        <v>36</v>
      </c>
      <c r="J8873" s="501">
        <v>36</v>
      </c>
      <c r="K8873" s="501">
        <v>0</v>
      </c>
      <c r="L8873" s="501">
        <v>0</v>
      </c>
      <c r="M8873" s="501">
        <v>0</v>
      </c>
      <c r="N8873" s="501">
        <v>0</v>
      </c>
      <c r="O8873" s="506">
        <v>0</v>
      </c>
    </row>
    <row r="8874" spans="1:15" x14ac:dyDescent="0.35">
      <c r="A8874" s="503" t="s">
        <v>1560</v>
      </c>
      <c r="B8874" s="504" t="s">
        <v>2990</v>
      </c>
      <c r="C8874" s="504" t="s">
        <v>1094</v>
      </c>
      <c r="D8874" s="504" t="s">
        <v>3380</v>
      </c>
      <c r="E8874" s="504" t="s">
        <v>3381</v>
      </c>
      <c r="F8874" s="504" t="s">
        <v>976</v>
      </c>
      <c r="G8874" s="504" t="s">
        <v>977</v>
      </c>
      <c r="H8874" s="504" t="s">
        <v>10573</v>
      </c>
      <c r="I8874" s="504">
        <v>653</v>
      </c>
      <c r="J8874" s="504">
        <v>569</v>
      </c>
      <c r="K8874" s="504">
        <v>0</v>
      </c>
      <c r="L8874" s="504">
        <v>0</v>
      </c>
      <c r="M8874" s="504">
        <v>0</v>
      </c>
      <c r="N8874" s="504">
        <v>0</v>
      </c>
      <c r="O8874" s="505">
        <v>84</v>
      </c>
    </row>
    <row r="8875" spans="1:15" x14ac:dyDescent="0.35">
      <c r="A8875" s="500" t="s">
        <v>1563</v>
      </c>
      <c r="B8875" s="501" t="s">
        <v>2917</v>
      </c>
      <c r="C8875" s="501" t="s">
        <v>1089</v>
      </c>
      <c r="D8875" s="501" t="s">
        <v>3392</v>
      </c>
      <c r="E8875" s="501" t="s">
        <v>3381</v>
      </c>
      <c r="F8875" s="501" t="s">
        <v>976</v>
      </c>
      <c r="G8875" s="501" t="s">
        <v>977</v>
      </c>
      <c r="H8875" s="501" t="s">
        <v>10574</v>
      </c>
      <c r="I8875" s="501">
        <v>7</v>
      </c>
      <c r="J8875" s="501">
        <v>0</v>
      </c>
      <c r="K8875" s="501">
        <v>0</v>
      </c>
      <c r="L8875" s="501">
        <v>7</v>
      </c>
      <c r="M8875" s="501">
        <v>0</v>
      </c>
      <c r="N8875" s="501">
        <v>0</v>
      </c>
      <c r="O8875" s="506">
        <v>0</v>
      </c>
    </row>
    <row r="8876" spans="1:15" x14ac:dyDescent="0.35">
      <c r="A8876" s="503" t="s">
        <v>1573</v>
      </c>
      <c r="B8876" s="504" t="s">
        <v>2473</v>
      </c>
      <c r="C8876" s="504" t="s">
        <v>1089</v>
      </c>
      <c r="D8876" s="504" t="s">
        <v>3392</v>
      </c>
      <c r="E8876" s="504" t="s">
        <v>3381</v>
      </c>
      <c r="F8876" s="504" t="s">
        <v>976</v>
      </c>
      <c r="G8876" s="504" t="s">
        <v>977</v>
      </c>
      <c r="H8876" s="504" t="s">
        <v>10575</v>
      </c>
      <c r="I8876" s="504">
        <v>33</v>
      </c>
      <c r="J8876" s="504">
        <v>0</v>
      </c>
      <c r="K8876" s="504">
        <v>0</v>
      </c>
      <c r="L8876" s="504">
        <v>0</v>
      </c>
      <c r="M8876" s="504">
        <v>33</v>
      </c>
      <c r="N8876" s="504">
        <v>0</v>
      </c>
      <c r="O8876" s="505">
        <v>0</v>
      </c>
    </row>
    <row r="8877" spans="1:15" x14ac:dyDescent="0.35">
      <c r="A8877" s="500" t="s">
        <v>1578</v>
      </c>
      <c r="B8877" s="501" t="s">
        <v>2688</v>
      </c>
      <c r="C8877" s="501" t="s">
        <v>1089</v>
      </c>
      <c r="D8877" s="501" t="s">
        <v>3392</v>
      </c>
      <c r="E8877" s="501" t="s">
        <v>3381</v>
      </c>
      <c r="F8877" s="501" t="s">
        <v>976</v>
      </c>
      <c r="G8877" s="501" t="s">
        <v>977</v>
      </c>
      <c r="H8877" s="501" t="s">
        <v>10576</v>
      </c>
      <c r="I8877" s="501">
        <v>70</v>
      </c>
      <c r="J8877" s="501">
        <v>70</v>
      </c>
      <c r="K8877" s="501">
        <v>0</v>
      </c>
      <c r="L8877" s="501">
        <v>0</v>
      </c>
      <c r="M8877" s="501">
        <v>0</v>
      </c>
      <c r="N8877" s="501">
        <v>0</v>
      </c>
      <c r="O8877" s="506">
        <v>0</v>
      </c>
    </row>
    <row r="8878" spans="1:15" x14ac:dyDescent="0.35">
      <c r="A8878" s="503" t="s">
        <v>1587</v>
      </c>
      <c r="B8878" s="504" t="s">
        <v>2978</v>
      </c>
      <c r="C8878" s="504" t="s">
        <v>1094</v>
      </c>
      <c r="D8878" s="504" t="s">
        <v>3380</v>
      </c>
      <c r="E8878" s="504" t="s">
        <v>3381</v>
      </c>
      <c r="F8878" s="504" t="s">
        <v>976</v>
      </c>
      <c r="G8878" s="504" t="s">
        <v>977</v>
      </c>
      <c r="H8878" s="504" t="s">
        <v>10577</v>
      </c>
      <c r="I8878" s="504">
        <v>1661</v>
      </c>
      <c r="J8878" s="504">
        <v>1365</v>
      </c>
      <c r="K8878" s="504">
        <v>0</v>
      </c>
      <c r="L8878" s="504">
        <v>123</v>
      </c>
      <c r="M8878" s="504">
        <v>52</v>
      </c>
      <c r="N8878" s="504">
        <v>71</v>
      </c>
      <c r="O8878" s="505">
        <v>121</v>
      </c>
    </row>
    <row r="8879" spans="1:15" x14ac:dyDescent="0.35">
      <c r="A8879" s="500" t="s">
        <v>1262</v>
      </c>
      <c r="B8879" s="501">
        <v>4772</v>
      </c>
      <c r="C8879" s="501" t="s">
        <v>1089</v>
      </c>
      <c r="D8879" s="501" t="s">
        <v>3392</v>
      </c>
      <c r="E8879" s="501" t="s">
        <v>3381</v>
      </c>
      <c r="F8879" s="501" t="s">
        <v>976</v>
      </c>
      <c r="G8879" s="501" t="s">
        <v>977</v>
      </c>
      <c r="H8879" s="501" t="s">
        <v>10578</v>
      </c>
      <c r="I8879" s="501">
        <v>6</v>
      </c>
      <c r="J8879" s="501">
        <v>0</v>
      </c>
      <c r="K8879" s="501">
        <v>0</v>
      </c>
      <c r="L8879" s="501">
        <v>6</v>
      </c>
      <c r="M8879" s="501">
        <v>0</v>
      </c>
      <c r="N8879" s="501">
        <v>0</v>
      </c>
      <c r="O8879" s="506">
        <v>0</v>
      </c>
    </row>
    <row r="8880" spans="1:15" x14ac:dyDescent="0.35">
      <c r="A8880" s="503" t="s">
        <v>1605</v>
      </c>
      <c r="B8880" s="504" t="s">
        <v>3064</v>
      </c>
      <c r="C8880" s="504" t="s">
        <v>1089</v>
      </c>
      <c r="D8880" s="504" t="s">
        <v>3392</v>
      </c>
      <c r="E8880" s="504" t="s">
        <v>3381</v>
      </c>
      <c r="F8880" s="504" t="s">
        <v>976</v>
      </c>
      <c r="G8880" s="504" t="s">
        <v>977</v>
      </c>
      <c r="H8880" s="504" t="s">
        <v>10579</v>
      </c>
      <c r="I8880" s="504">
        <v>36</v>
      </c>
      <c r="J8880" s="504">
        <v>36</v>
      </c>
      <c r="K8880" s="504">
        <v>0</v>
      </c>
      <c r="L8880" s="504">
        <v>0</v>
      </c>
      <c r="M8880" s="504">
        <v>0</v>
      </c>
      <c r="N8880" s="504">
        <v>0</v>
      </c>
      <c r="O8880" s="505">
        <v>0</v>
      </c>
    </row>
    <row r="8881" spans="1:15" x14ac:dyDescent="0.35">
      <c r="A8881" s="500" t="s">
        <v>1143</v>
      </c>
      <c r="B8881" s="501" t="s">
        <v>3281</v>
      </c>
      <c r="C8881" s="501" t="s">
        <v>1094</v>
      </c>
      <c r="D8881" s="501" t="s">
        <v>3380</v>
      </c>
      <c r="E8881" s="501" t="s">
        <v>3381</v>
      </c>
      <c r="F8881" s="501" t="s">
        <v>978</v>
      </c>
      <c r="G8881" s="501" t="s">
        <v>979</v>
      </c>
      <c r="H8881" s="501" t="s">
        <v>10580</v>
      </c>
      <c r="I8881" s="501">
        <v>1</v>
      </c>
      <c r="J8881" s="501">
        <v>0</v>
      </c>
      <c r="K8881" s="501">
        <v>0</v>
      </c>
      <c r="L8881" s="501">
        <v>0</v>
      </c>
      <c r="M8881" s="501">
        <v>0</v>
      </c>
      <c r="N8881" s="501">
        <v>0</v>
      </c>
      <c r="O8881" s="506">
        <v>1</v>
      </c>
    </row>
    <row r="8882" spans="1:15" x14ac:dyDescent="0.35">
      <c r="A8882" s="503" t="s">
        <v>1096</v>
      </c>
      <c r="B8882" s="504" t="s">
        <v>3326</v>
      </c>
      <c r="C8882" s="504" t="s">
        <v>1094</v>
      </c>
      <c r="D8882" s="504" t="s">
        <v>3380</v>
      </c>
      <c r="E8882" s="504" t="s">
        <v>3381</v>
      </c>
      <c r="F8882" s="504" t="s">
        <v>978</v>
      </c>
      <c r="G8882" s="504" t="s">
        <v>979</v>
      </c>
      <c r="H8882" s="504" t="s">
        <v>10581</v>
      </c>
      <c r="I8882" s="504">
        <v>122</v>
      </c>
      <c r="J8882" s="504">
        <v>0</v>
      </c>
      <c r="K8882" s="504">
        <v>0</v>
      </c>
      <c r="L8882" s="504">
        <v>0</v>
      </c>
      <c r="M8882" s="504">
        <v>122</v>
      </c>
      <c r="N8882" s="504">
        <v>0</v>
      </c>
      <c r="O8882" s="505">
        <v>0</v>
      </c>
    </row>
    <row r="8883" spans="1:15" x14ac:dyDescent="0.35">
      <c r="A8883" s="500" t="s">
        <v>1676</v>
      </c>
      <c r="B8883" s="501" t="s">
        <v>3046</v>
      </c>
      <c r="C8883" s="501" t="s">
        <v>1089</v>
      </c>
      <c r="D8883" s="501" t="s">
        <v>3392</v>
      </c>
      <c r="E8883" s="501" t="s">
        <v>3381</v>
      </c>
      <c r="F8883" s="501" t="s">
        <v>978</v>
      </c>
      <c r="G8883" s="501" t="s">
        <v>979</v>
      </c>
      <c r="H8883" s="501" t="s">
        <v>15208</v>
      </c>
      <c r="I8883" s="501">
        <v>24</v>
      </c>
      <c r="J8883" s="501">
        <v>0</v>
      </c>
      <c r="K8883" s="501">
        <v>0</v>
      </c>
      <c r="L8883" s="501">
        <v>24</v>
      </c>
      <c r="M8883" s="501">
        <v>0</v>
      </c>
      <c r="N8883" s="501">
        <v>0</v>
      </c>
      <c r="O8883" s="506">
        <v>0</v>
      </c>
    </row>
    <row r="8884" spans="1:15" x14ac:dyDescent="0.35">
      <c r="A8884" s="503" t="s">
        <v>1160</v>
      </c>
      <c r="B8884" s="504">
        <v>4672</v>
      </c>
      <c r="C8884" s="504" t="s">
        <v>1089</v>
      </c>
      <c r="D8884" s="504" t="s">
        <v>3392</v>
      </c>
      <c r="E8884" s="504" t="s">
        <v>3381</v>
      </c>
      <c r="F8884" s="504" t="s">
        <v>978</v>
      </c>
      <c r="G8884" s="504" t="s">
        <v>979</v>
      </c>
      <c r="H8884" s="504" t="s">
        <v>10582</v>
      </c>
      <c r="I8884" s="504">
        <v>13</v>
      </c>
      <c r="J8884" s="504">
        <v>0</v>
      </c>
      <c r="K8884" s="504">
        <v>0</v>
      </c>
      <c r="L8884" s="504">
        <v>13</v>
      </c>
      <c r="M8884" s="504">
        <v>0</v>
      </c>
      <c r="N8884" s="504">
        <v>0</v>
      </c>
      <c r="O8884" s="505">
        <v>0</v>
      </c>
    </row>
    <row r="8885" spans="1:15" x14ac:dyDescent="0.35">
      <c r="A8885" s="500" t="s">
        <v>1100</v>
      </c>
      <c r="B8885" s="501">
        <v>4865</v>
      </c>
      <c r="C8885" s="501" t="s">
        <v>1094</v>
      </c>
      <c r="D8885" s="501" t="s">
        <v>3380</v>
      </c>
      <c r="E8885" s="501" t="s">
        <v>3381</v>
      </c>
      <c r="F8885" s="501" t="s">
        <v>978</v>
      </c>
      <c r="G8885" s="501" t="s">
        <v>979</v>
      </c>
      <c r="H8885" s="501" t="s">
        <v>10583</v>
      </c>
      <c r="I8885" s="501">
        <v>527</v>
      </c>
      <c r="J8885" s="501">
        <v>500</v>
      </c>
      <c r="K8885" s="501">
        <v>0</v>
      </c>
      <c r="L8885" s="501">
        <v>0</v>
      </c>
      <c r="M8885" s="501">
        <v>0</v>
      </c>
      <c r="N8885" s="501">
        <v>0</v>
      </c>
      <c r="O8885" s="506">
        <v>27</v>
      </c>
    </row>
    <row r="8886" spans="1:15" x14ac:dyDescent="0.35">
      <c r="A8886" s="503" t="s">
        <v>1167</v>
      </c>
      <c r="B8886" s="504">
        <v>4689</v>
      </c>
      <c r="C8886" s="504" t="s">
        <v>1089</v>
      </c>
      <c r="D8886" s="504" t="s">
        <v>3392</v>
      </c>
      <c r="E8886" s="504" t="s">
        <v>3381</v>
      </c>
      <c r="F8886" s="504" t="s">
        <v>978</v>
      </c>
      <c r="G8886" s="504" t="s">
        <v>979</v>
      </c>
      <c r="H8886" s="504" t="s">
        <v>10584</v>
      </c>
      <c r="I8886" s="504">
        <v>34</v>
      </c>
      <c r="J8886" s="504">
        <v>0</v>
      </c>
      <c r="K8886" s="504">
        <v>0</v>
      </c>
      <c r="L8886" s="504">
        <v>34</v>
      </c>
      <c r="M8886" s="504">
        <v>0</v>
      </c>
      <c r="N8886" s="504">
        <v>0</v>
      </c>
      <c r="O8886" s="505">
        <v>0</v>
      </c>
    </row>
    <row r="8887" spans="1:15" x14ac:dyDescent="0.35">
      <c r="A8887" s="500" t="s">
        <v>1174</v>
      </c>
      <c r="B8887" s="501">
        <v>4784</v>
      </c>
      <c r="C8887" s="501" t="s">
        <v>1089</v>
      </c>
      <c r="D8887" s="501" t="s">
        <v>3392</v>
      </c>
      <c r="E8887" s="501" t="s">
        <v>3381</v>
      </c>
      <c r="F8887" s="501" t="s">
        <v>978</v>
      </c>
      <c r="G8887" s="501" t="s">
        <v>979</v>
      </c>
      <c r="H8887" s="501" t="s">
        <v>11696</v>
      </c>
      <c r="I8887" s="501">
        <v>22</v>
      </c>
      <c r="J8887" s="501">
        <v>0</v>
      </c>
      <c r="K8887" s="501">
        <v>0</v>
      </c>
      <c r="L8887" s="501">
        <v>22</v>
      </c>
      <c r="M8887" s="501">
        <v>0</v>
      </c>
      <c r="N8887" s="501">
        <v>0</v>
      </c>
      <c r="O8887" s="506">
        <v>0</v>
      </c>
    </row>
    <row r="8888" spans="1:15" x14ac:dyDescent="0.35">
      <c r="A8888" s="503" t="s">
        <v>1177</v>
      </c>
      <c r="B8888" s="504">
        <v>4702</v>
      </c>
      <c r="C8888" s="504" t="s">
        <v>1089</v>
      </c>
      <c r="D8888" s="504" t="s">
        <v>3392</v>
      </c>
      <c r="E8888" s="504" t="s">
        <v>3381</v>
      </c>
      <c r="F8888" s="504" t="s">
        <v>978</v>
      </c>
      <c r="G8888" s="504" t="s">
        <v>979</v>
      </c>
      <c r="H8888" s="504" t="s">
        <v>10585</v>
      </c>
      <c r="I8888" s="504">
        <v>18</v>
      </c>
      <c r="J8888" s="504">
        <v>0</v>
      </c>
      <c r="K8888" s="504">
        <v>0</v>
      </c>
      <c r="L8888" s="504">
        <v>18</v>
      </c>
      <c r="M8888" s="504">
        <v>0</v>
      </c>
      <c r="N8888" s="504">
        <v>0</v>
      </c>
      <c r="O8888" s="505">
        <v>0</v>
      </c>
    </row>
    <row r="8889" spans="1:15" x14ac:dyDescent="0.35">
      <c r="A8889" s="500" t="s">
        <v>1705</v>
      </c>
      <c r="B8889" s="501" t="s">
        <v>3158</v>
      </c>
      <c r="C8889" s="501" t="s">
        <v>1094</v>
      </c>
      <c r="D8889" s="501" t="s">
        <v>3380</v>
      </c>
      <c r="E8889" s="501" t="s">
        <v>3381</v>
      </c>
      <c r="F8889" s="501" t="s">
        <v>978</v>
      </c>
      <c r="G8889" s="501" t="s">
        <v>979</v>
      </c>
      <c r="H8889" s="501" t="s">
        <v>10586</v>
      </c>
      <c r="I8889" s="501">
        <v>1241</v>
      </c>
      <c r="J8889" s="501">
        <v>1133</v>
      </c>
      <c r="K8889" s="501">
        <v>0</v>
      </c>
      <c r="L8889" s="501">
        <v>23</v>
      </c>
      <c r="M8889" s="501">
        <v>49</v>
      </c>
      <c r="N8889" s="501">
        <v>0</v>
      </c>
      <c r="O8889" s="506">
        <v>36</v>
      </c>
    </row>
    <row r="8890" spans="1:15" x14ac:dyDescent="0.35">
      <c r="A8890" s="503" t="s">
        <v>14208</v>
      </c>
      <c r="B8890" s="504">
        <v>4803</v>
      </c>
      <c r="C8890" s="504" t="s">
        <v>1094</v>
      </c>
      <c r="D8890" s="504" t="s">
        <v>3380</v>
      </c>
      <c r="E8890" s="504" t="s">
        <v>3381</v>
      </c>
      <c r="F8890" s="504" t="s">
        <v>978</v>
      </c>
      <c r="G8890" s="504" t="s">
        <v>979</v>
      </c>
      <c r="H8890" s="504" t="s">
        <v>15209</v>
      </c>
      <c r="I8890" s="504">
        <v>20</v>
      </c>
      <c r="J8890" s="504">
        <v>0</v>
      </c>
      <c r="K8890" s="504">
        <v>0</v>
      </c>
      <c r="L8890" s="504">
        <v>20</v>
      </c>
      <c r="M8890" s="504">
        <v>0</v>
      </c>
      <c r="N8890" s="504">
        <v>0</v>
      </c>
      <c r="O8890" s="505">
        <v>0</v>
      </c>
    </row>
    <row r="8891" spans="1:15" x14ac:dyDescent="0.35">
      <c r="A8891" s="500" t="s">
        <v>1183</v>
      </c>
      <c r="B8891" s="501" t="s">
        <v>3038</v>
      </c>
      <c r="C8891" s="501" t="s">
        <v>1094</v>
      </c>
      <c r="D8891" s="501" t="s">
        <v>3380</v>
      </c>
      <c r="E8891" s="501" t="s">
        <v>3381</v>
      </c>
      <c r="F8891" s="501" t="s">
        <v>978</v>
      </c>
      <c r="G8891" s="501" t="s">
        <v>979</v>
      </c>
      <c r="H8891" s="501" t="s">
        <v>10587</v>
      </c>
      <c r="I8891" s="501">
        <v>10</v>
      </c>
      <c r="J8891" s="501">
        <v>0</v>
      </c>
      <c r="K8891" s="501">
        <v>0</v>
      </c>
      <c r="L8891" s="501">
        <v>0</v>
      </c>
      <c r="M8891" s="501">
        <v>0</v>
      </c>
      <c r="N8891" s="501">
        <v>0</v>
      </c>
      <c r="O8891" s="506">
        <v>10</v>
      </c>
    </row>
    <row r="8892" spans="1:15" x14ac:dyDescent="0.35">
      <c r="A8892" s="503" t="s">
        <v>1186</v>
      </c>
      <c r="B8892" s="504">
        <v>4661</v>
      </c>
      <c r="C8892" s="504" t="s">
        <v>1089</v>
      </c>
      <c r="D8892" s="504" t="s">
        <v>3392</v>
      </c>
      <c r="E8892" s="504" t="s">
        <v>3381</v>
      </c>
      <c r="F8892" s="504" t="s">
        <v>978</v>
      </c>
      <c r="G8892" s="504" t="s">
        <v>979</v>
      </c>
      <c r="H8892" s="504" t="s">
        <v>15210</v>
      </c>
      <c r="I8892" s="504">
        <v>1</v>
      </c>
      <c r="J8892" s="504">
        <v>0</v>
      </c>
      <c r="K8892" s="504">
        <v>0</v>
      </c>
      <c r="L8892" s="504">
        <v>1</v>
      </c>
      <c r="M8892" s="504">
        <v>0</v>
      </c>
      <c r="N8892" s="504">
        <v>0</v>
      </c>
      <c r="O8892" s="505">
        <v>0</v>
      </c>
    </row>
    <row r="8893" spans="1:15" x14ac:dyDescent="0.35">
      <c r="A8893" s="500" t="s">
        <v>1707</v>
      </c>
      <c r="B8893" s="501" t="s">
        <v>3198</v>
      </c>
      <c r="C8893" s="501" t="s">
        <v>1094</v>
      </c>
      <c r="D8893" s="501" t="s">
        <v>3380</v>
      </c>
      <c r="E8893" s="501" t="s">
        <v>3381</v>
      </c>
      <c r="F8893" s="501" t="s">
        <v>978</v>
      </c>
      <c r="G8893" s="501" t="s">
        <v>979</v>
      </c>
      <c r="H8893" s="501" t="s">
        <v>15211</v>
      </c>
      <c r="I8893" s="501">
        <v>39</v>
      </c>
      <c r="J8893" s="501">
        <v>11</v>
      </c>
      <c r="K8893" s="501">
        <v>0</v>
      </c>
      <c r="L8893" s="501">
        <v>0</v>
      </c>
      <c r="M8893" s="501">
        <v>0</v>
      </c>
      <c r="N8893" s="501">
        <v>0</v>
      </c>
      <c r="O8893" s="506">
        <v>28</v>
      </c>
    </row>
    <row r="8894" spans="1:15" x14ac:dyDescent="0.35">
      <c r="A8894" s="503" t="s">
        <v>1105</v>
      </c>
      <c r="B8894" s="504">
        <v>4668</v>
      </c>
      <c r="C8894" s="504" t="s">
        <v>1094</v>
      </c>
      <c r="D8894" s="504" t="s">
        <v>3380</v>
      </c>
      <c r="E8894" s="504" t="s">
        <v>3381</v>
      </c>
      <c r="F8894" s="504" t="s">
        <v>978</v>
      </c>
      <c r="G8894" s="504" t="s">
        <v>979</v>
      </c>
      <c r="H8894" s="504" t="s">
        <v>15212</v>
      </c>
      <c r="I8894" s="504">
        <v>2</v>
      </c>
      <c r="J8894" s="504">
        <v>0</v>
      </c>
      <c r="K8894" s="504">
        <v>0</v>
      </c>
      <c r="L8894" s="504">
        <v>0</v>
      </c>
      <c r="M8894" s="504">
        <v>0</v>
      </c>
      <c r="N8894" s="504">
        <v>0</v>
      </c>
      <c r="O8894" s="505">
        <v>2</v>
      </c>
    </row>
    <row r="8895" spans="1:15" x14ac:dyDescent="0.35">
      <c r="A8895" s="500" t="s">
        <v>1109</v>
      </c>
      <c r="B8895" s="501" t="s">
        <v>2959</v>
      </c>
      <c r="C8895" s="501" t="s">
        <v>1094</v>
      </c>
      <c r="D8895" s="501" t="s">
        <v>3380</v>
      </c>
      <c r="E8895" s="501" t="s">
        <v>3381</v>
      </c>
      <c r="F8895" s="501" t="s">
        <v>978</v>
      </c>
      <c r="G8895" s="501" t="s">
        <v>979</v>
      </c>
      <c r="H8895" s="501" t="s">
        <v>10588</v>
      </c>
      <c r="I8895" s="501">
        <v>31</v>
      </c>
      <c r="J8895" s="501">
        <v>0</v>
      </c>
      <c r="K8895" s="501">
        <v>0</v>
      </c>
      <c r="L8895" s="501">
        <v>0</v>
      </c>
      <c r="M8895" s="501">
        <v>31</v>
      </c>
      <c r="N8895" s="501">
        <v>0</v>
      </c>
      <c r="O8895" s="506">
        <v>0</v>
      </c>
    </row>
    <row r="8896" spans="1:15" x14ac:dyDescent="0.35">
      <c r="A8896" s="503" t="s">
        <v>1190</v>
      </c>
      <c r="B8896" s="504">
        <v>4662</v>
      </c>
      <c r="C8896" s="504" t="s">
        <v>1094</v>
      </c>
      <c r="D8896" s="504" t="s">
        <v>3380</v>
      </c>
      <c r="E8896" s="504" t="s">
        <v>3381</v>
      </c>
      <c r="F8896" s="504" t="s">
        <v>978</v>
      </c>
      <c r="G8896" s="504" t="s">
        <v>979</v>
      </c>
      <c r="H8896" s="504" t="s">
        <v>10589</v>
      </c>
      <c r="I8896" s="504">
        <v>62</v>
      </c>
      <c r="J8896" s="504">
        <v>0</v>
      </c>
      <c r="K8896" s="504">
        <v>0</v>
      </c>
      <c r="L8896" s="504">
        <v>62</v>
      </c>
      <c r="M8896" s="504">
        <v>0</v>
      </c>
      <c r="N8896" s="504">
        <v>0</v>
      </c>
      <c r="O8896" s="505">
        <v>0</v>
      </c>
    </row>
    <row r="8897" spans="1:15" x14ac:dyDescent="0.35">
      <c r="A8897" s="500" t="s">
        <v>11401</v>
      </c>
      <c r="B8897" s="501" t="s">
        <v>3241</v>
      </c>
      <c r="C8897" s="501" t="s">
        <v>1094</v>
      </c>
      <c r="D8897" s="501" t="s">
        <v>3380</v>
      </c>
      <c r="E8897" s="501" t="s">
        <v>3381</v>
      </c>
      <c r="F8897" s="501" t="s">
        <v>978</v>
      </c>
      <c r="G8897" s="501" t="s">
        <v>979</v>
      </c>
      <c r="H8897" s="501" t="s">
        <v>11792</v>
      </c>
      <c r="I8897" s="501">
        <v>81</v>
      </c>
      <c r="J8897" s="501">
        <v>81</v>
      </c>
      <c r="K8897" s="501">
        <v>0</v>
      </c>
      <c r="L8897" s="501">
        <v>0</v>
      </c>
      <c r="M8897" s="501">
        <v>0</v>
      </c>
      <c r="N8897" s="501">
        <v>0</v>
      </c>
      <c r="O8897" s="506">
        <v>0</v>
      </c>
    </row>
    <row r="8898" spans="1:15" x14ac:dyDescent="0.35">
      <c r="A8898" s="503" t="s">
        <v>1739</v>
      </c>
      <c r="B8898" s="504">
        <v>4857</v>
      </c>
      <c r="C8898" s="504" t="s">
        <v>1094</v>
      </c>
      <c r="D8898" s="504" t="s">
        <v>3380</v>
      </c>
      <c r="E8898" s="504" t="s">
        <v>3381</v>
      </c>
      <c r="F8898" s="504" t="s">
        <v>978</v>
      </c>
      <c r="G8898" s="504" t="s">
        <v>979</v>
      </c>
      <c r="H8898" s="504" t="s">
        <v>10590</v>
      </c>
      <c r="I8898" s="504">
        <v>59</v>
      </c>
      <c r="J8898" s="504">
        <v>28</v>
      </c>
      <c r="K8898" s="504">
        <v>0</v>
      </c>
      <c r="L8898" s="504">
        <v>0</v>
      </c>
      <c r="M8898" s="504">
        <v>31</v>
      </c>
      <c r="N8898" s="504">
        <v>0</v>
      </c>
      <c r="O8898" s="505">
        <v>0</v>
      </c>
    </row>
    <row r="8899" spans="1:15" x14ac:dyDescent="0.35">
      <c r="A8899" s="500" t="s">
        <v>1208</v>
      </c>
      <c r="B8899" s="501" t="s">
        <v>3096</v>
      </c>
      <c r="C8899" s="501" t="s">
        <v>1094</v>
      </c>
      <c r="D8899" s="501" t="s">
        <v>3380</v>
      </c>
      <c r="E8899" s="501" t="s">
        <v>3381</v>
      </c>
      <c r="F8899" s="501" t="s">
        <v>978</v>
      </c>
      <c r="G8899" s="501" t="s">
        <v>979</v>
      </c>
      <c r="H8899" s="501" t="s">
        <v>10591</v>
      </c>
      <c r="I8899" s="501">
        <v>488</v>
      </c>
      <c r="J8899" s="501">
        <v>461</v>
      </c>
      <c r="K8899" s="501">
        <v>0</v>
      </c>
      <c r="L8899" s="501">
        <v>1</v>
      </c>
      <c r="M8899" s="501">
        <v>0</v>
      </c>
      <c r="N8899" s="501">
        <v>0</v>
      </c>
      <c r="O8899" s="506">
        <v>26</v>
      </c>
    </row>
    <row r="8900" spans="1:15" x14ac:dyDescent="0.35">
      <c r="A8900" s="503" t="s">
        <v>1209</v>
      </c>
      <c r="B8900" s="504">
        <v>4779</v>
      </c>
      <c r="C8900" s="504" t="s">
        <v>1094</v>
      </c>
      <c r="D8900" s="504" t="s">
        <v>3380</v>
      </c>
      <c r="E8900" s="504" t="s">
        <v>3381</v>
      </c>
      <c r="F8900" s="504" t="s">
        <v>978</v>
      </c>
      <c r="G8900" s="504" t="s">
        <v>979</v>
      </c>
      <c r="H8900" s="504" t="s">
        <v>10592</v>
      </c>
      <c r="I8900" s="504">
        <v>101</v>
      </c>
      <c r="J8900" s="504">
        <v>0</v>
      </c>
      <c r="K8900" s="504">
        <v>0</v>
      </c>
      <c r="L8900" s="504">
        <v>101</v>
      </c>
      <c r="M8900" s="504">
        <v>0</v>
      </c>
      <c r="N8900" s="504">
        <v>0</v>
      </c>
      <c r="O8900" s="505">
        <v>0</v>
      </c>
    </row>
    <row r="8901" spans="1:15" x14ac:dyDescent="0.35">
      <c r="A8901" s="500" t="s">
        <v>1120</v>
      </c>
      <c r="B8901" s="501" t="s">
        <v>3362</v>
      </c>
      <c r="C8901" s="501" t="s">
        <v>1094</v>
      </c>
      <c r="D8901" s="501" t="s">
        <v>3380</v>
      </c>
      <c r="E8901" s="501" t="s">
        <v>3381</v>
      </c>
      <c r="F8901" s="501" t="s">
        <v>978</v>
      </c>
      <c r="G8901" s="501" t="s">
        <v>979</v>
      </c>
      <c r="H8901" s="501" t="s">
        <v>10593</v>
      </c>
      <c r="I8901" s="501">
        <v>1</v>
      </c>
      <c r="J8901" s="501">
        <v>0</v>
      </c>
      <c r="K8901" s="501">
        <v>0</v>
      </c>
      <c r="L8901" s="501">
        <v>0</v>
      </c>
      <c r="M8901" s="501">
        <v>0</v>
      </c>
      <c r="N8901" s="501">
        <v>0</v>
      </c>
      <c r="O8901" s="506">
        <v>1</v>
      </c>
    </row>
    <row r="8902" spans="1:15" x14ac:dyDescent="0.35">
      <c r="A8902" s="503" t="s">
        <v>1743</v>
      </c>
      <c r="B8902" s="504">
        <v>4804</v>
      </c>
      <c r="C8902" s="504" t="s">
        <v>1094</v>
      </c>
      <c r="D8902" s="504" t="s">
        <v>3380</v>
      </c>
      <c r="E8902" s="504" t="s">
        <v>3381</v>
      </c>
      <c r="F8902" s="504" t="s">
        <v>978</v>
      </c>
      <c r="G8902" s="504" t="s">
        <v>979</v>
      </c>
      <c r="H8902" s="504" t="s">
        <v>10594</v>
      </c>
      <c r="I8902" s="504">
        <v>22</v>
      </c>
      <c r="J8902" s="504">
        <v>11</v>
      </c>
      <c r="K8902" s="504">
        <v>0</v>
      </c>
      <c r="L8902" s="504">
        <v>0</v>
      </c>
      <c r="M8902" s="504">
        <v>0</v>
      </c>
      <c r="N8902" s="504">
        <v>0</v>
      </c>
      <c r="O8902" s="505">
        <v>11</v>
      </c>
    </row>
    <row r="8903" spans="1:15" x14ac:dyDescent="0.35">
      <c r="A8903" s="500" t="s">
        <v>1744</v>
      </c>
      <c r="B8903" s="501" t="s">
        <v>3245</v>
      </c>
      <c r="C8903" s="501" t="s">
        <v>1094</v>
      </c>
      <c r="D8903" s="501" t="s">
        <v>3380</v>
      </c>
      <c r="E8903" s="501" t="s">
        <v>3381</v>
      </c>
      <c r="F8903" s="501" t="s">
        <v>978</v>
      </c>
      <c r="G8903" s="501" t="s">
        <v>979</v>
      </c>
      <c r="H8903" s="501" t="s">
        <v>10595</v>
      </c>
      <c r="I8903" s="501">
        <v>28</v>
      </c>
      <c r="J8903" s="501">
        <v>13</v>
      </c>
      <c r="K8903" s="501">
        <v>0</v>
      </c>
      <c r="L8903" s="501">
        <v>0</v>
      </c>
      <c r="M8903" s="501">
        <v>0</v>
      </c>
      <c r="N8903" s="501">
        <v>0</v>
      </c>
      <c r="O8903" s="506">
        <v>15</v>
      </c>
    </row>
    <row r="8904" spans="1:15" x14ac:dyDescent="0.35">
      <c r="A8904" s="503" t="s">
        <v>1122</v>
      </c>
      <c r="B8904" s="504" t="s">
        <v>2994</v>
      </c>
      <c r="C8904" s="504" t="s">
        <v>1094</v>
      </c>
      <c r="D8904" s="504" t="s">
        <v>3380</v>
      </c>
      <c r="E8904" s="504" t="s">
        <v>3381</v>
      </c>
      <c r="F8904" s="504" t="s">
        <v>978</v>
      </c>
      <c r="G8904" s="504" t="s">
        <v>979</v>
      </c>
      <c r="H8904" s="504" t="s">
        <v>10596</v>
      </c>
      <c r="I8904" s="504">
        <v>3</v>
      </c>
      <c r="J8904" s="504">
        <v>1</v>
      </c>
      <c r="K8904" s="504">
        <v>0</v>
      </c>
      <c r="L8904" s="504">
        <v>0</v>
      </c>
      <c r="M8904" s="504">
        <v>0</v>
      </c>
      <c r="N8904" s="504">
        <v>0</v>
      </c>
      <c r="O8904" s="505">
        <v>2</v>
      </c>
    </row>
    <row r="8905" spans="1:15" x14ac:dyDescent="0.35">
      <c r="A8905" s="500" t="s">
        <v>1225</v>
      </c>
      <c r="B8905" s="501" t="s">
        <v>3315</v>
      </c>
      <c r="C8905" s="501" t="s">
        <v>1094</v>
      </c>
      <c r="D8905" s="501" t="s">
        <v>3380</v>
      </c>
      <c r="E8905" s="501" t="s">
        <v>3381</v>
      </c>
      <c r="F8905" s="501" t="s">
        <v>978</v>
      </c>
      <c r="G8905" s="501" t="s">
        <v>979</v>
      </c>
      <c r="H8905" s="501" t="s">
        <v>11988</v>
      </c>
      <c r="I8905" s="501">
        <v>6</v>
      </c>
      <c r="J8905" s="501">
        <v>0</v>
      </c>
      <c r="K8905" s="501">
        <v>0</v>
      </c>
      <c r="L8905" s="501">
        <v>6</v>
      </c>
      <c r="M8905" s="501">
        <v>0</v>
      </c>
      <c r="N8905" s="501">
        <v>0</v>
      </c>
      <c r="O8905" s="506">
        <v>0</v>
      </c>
    </row>
    <row r="8906" spans="1:15" x14ac:dyDescent="0.35">
      <c r="A8906" s="503" t="s">
        <v>1748</v>
      </c>
      <c r="B8906" s="504" t="s">
        <v>3233</v>
      </c>
      <c r="C8906" s="504" t="s">
        <v>1094</v>
      </c>
      <c r="D8906" s="504" t="s">
        <v>3380</v>
      </c>
      <c r="E8906" s="504" t="s">
        <v>3381</v>
      </c>
      <c r="F8906" s="504" t="s">
        <v>978</v>
      </c>
      <c r="G8906" s="504" t="s">
        <v>979</v>
      </c>
      <c r="H8906" s="504" t="s">
        <v>10597</v>
      </c>
      <c r="I8906" s="504">
        <v>363</v>
      </c>
      <c r="J8906" s="504">
        <v>329</v>
      </c>
      <c r="K8906" s="504">
        <v>0</v>
      </c>
      <c r="L8906" s="504">
        <v>0</v>
      </c>
      <c r="M8906" s="504">
        <v>0</v>
      </c>
      <c r="N8906" s="504">
        <v>0</v>
      </c>
      <c r="O8906" s="505">
        <v>34</v>
      </c>
    </row>
    <row r="8907" spans="1:15" x14ac:dyDescent="0.35">
      <c r="A8907" s="500" t="s">
        <v>1233</v>
      </c>
      <c r="B8907" s="501">
        <v>4636</v>
      </c>
      <c r="C8907" s="501" t="s">
        <v>1094</v>
      </c>
      <c r="D8907" s="501" t="s">
        <v>3380</v>
      </c>
      <c r="E8907" s="501" t="s">
        <v>3381</v>
      </c>
      <c r="F8907" s="501" t="s">
        <v>978</v>
      </c>
      <c r="G8907" s="501" t="s">
        <v>979</v>
      </c>
      <c r="H8907" s="501" t="s">
        <v>12026</v>
      </c>
      <c r="I8907" s="501">
        <v>16</v>
      </c>
      <c r="J8907" s="501">
        <v>4</v>
      </c>
      <c r="K8907" s="501">
        <v>0</v>
      </c>
      <c r="L8907" s="501">
        <v>0</v>
      </c>
      <c r="M8907" s="501">
        <v>0</v>
      </c>
      <c r="N8907" s="501">
        <v>0</v>
      </c>
      <c r="O8907" s="506">
        <v>12</v>
      </c>
    </row>
    <row r="8908" spans="1:15" x14ac:dyDescent="0.35">
      <c r="A8908" s="503" t="s">
        <v>11368</v>
      </c>
      <c r="B8908" s="504">
        <v>5083</v>
      </c>
      <c r="C8908" s="504" t="s">
        <v>1094</v>
      </c>
      <c r="D8908" s="504" t="s">
        <v>3380</v>
      </c>
      <c r="E8908" s="504" t="s">
        <v>3381</v>
      </c>
      <c r="F8908" s="504" t="s">
        <v>978</v>
      </c>
      <c r="G8908" s="504" t="s">
        <v>979</v>
      </c>
      <c r="H8908" s="504" t="s">
        <v>15213</v>
      </c>
      <c r="I8908" s="504">
        <v>8</v>
      </c>
      <c r="J8908" s="504">
        <v>8</v>
      </c>
      <c r="K8908" s="504">
        <v>0</v>
      </c>
      <c r="L8908" s="504">
        <v>0</v>
      </c>
      <c r="M8908" s="504">
        <v>0</v>
      </c>
      <c r="N8908" s="504">
        <v>0</v>
      </c>
      <c r="O8908" s="505">
        <v>0</v>
      </c>
    </row>
    <row r="8909" spans="1:15" x14ac:dyDescent="0.35">
      <c r="A8909" s="500" t="s">
        <v>1126</v>
      </c>
      <c r="B8909" s="501" t="s">
        <v>2974</v>
      </c>
      <c r="C8909" s="501" t="s">
        <v>1094</v>
      </c>
      <c r="D8909" s="501" t="s">
        <v>3380</v>
      </c>
      <c r="E8909" s="501" t="s">
        <v>3381</v>
      </c>
      <c r="F8909" s="501" t="s">
        <v>978</v>
      </c>
      <c r="G8909" s="501" t="s">
        <v>979</v>
      </c>
      <c r="H8909" s="501" t="s">
        <v>10598</v>
      </c>
      <c r="I8909" s="501">
        <v>108</v>
      </c>
      <c r="J8909" s="501">
        <v>98</v>
      </c>
      <c r="K8909" s="501">
        <v>0</v>
      </c>
      <c r="L8909" s="501">
        <v>10</v>
      </c>
      <c r="M8909" s="501">
        <v>0</v>
      </c>
      <c r="N8909" s="501">
        <v>0</v>
      </c>
      <c r="O8909" s="506">
        <v>0</v>
      </c>
    </row>
    <row r="8910" spans="1:15" x14ac:dyDescent="0.35">
      <c r="A8910" s="503" t="s">
        <v>1253</v>
      </c>
      <c r="B8910" s="504" t="s">
        <v>3232</v>
      </c>
      <c r="C8910" s="504" t="s">
        <v>1094</v>
      </c>
      <c r="D8910" s="504" t="s">
        <v>3380</v>
      </c>
      <c r="E8910" s="504" t="s">
        <v>3381</v>
      </c>
      <c r="F8910" s="504" t="s">
        <v>978</v>
      </c>
      <c r="G8910" s="504" t="s">
        <v>979</v>
      </c>
      <c r="H8910" s="504" t="s">
        <v>10599</v>
      </c>
      <c r="I8910" s="504">
        <v>1</v>
      </c>
      <c r="J8910" s="504">
        <v>1</v>
      </c>
      <c r="K8910" s="504">
        <v>0</v>
      </c>
      <c r="L8910" s="504">
        <v>0</v>
      </c>
      <c r="M8910" s="504">
        <v>0</v>
      </c>
      <c r="N8910" s="504">
        <v>0</v>
      </c>
      <c r="O8910" s="505">
        <v>0</v>
      </c>
    </row>
    <row r="8911" spans="1:15" x14ac:dyDescent="0.35">
      <c r="A8911" s="500" t="s">
        <v>1779</v>
      </c>
      <c r="B8911" s="501">
        <v>5065</v>
      </c>
      <c r="C8911" s="501" t="s">
        <v>1094</v>
      </c>
      <c r="D8911" s="501" t="s">
        <v>3380</v>
      </c>
      <c r="E8911" s="501" t="s">
        <v>3381</v>
      </c>
      <c r="F8911" s="501" t="s">
        <v>978</v>
      </c>
      <c r="G8911" s="501" t="s">
        <v>979</v>
      </c>
      <c r="H8911" s="501" t="s">
        <v>10600</v>
      </c>
      <c r="I8911" s="501">
        <v>8494</v>
      </c>
      <c r="J8911" s="501">
        <v>6842</v>
      </c>
      <c r="K8911" s="501">
        <v>0</v>
      </c>
      <c r="L8911" s="501">
        <v>5</v>
      </c>
      <c r="M8911" s="501">
        <v>1450</v>
      </c>
      <c r="N8911" s="501">
        <v>0</v>
      </c>
      <c r="O8911" s="506">
        <v>197</v>
      </c>
    </row>
    <row r="8912" spans="1:15" x14ac:dyDescent="0.35">
      <c r="A8912" s="503" t="s">
        <v>1782</v>
      </c>
      <c r="B8912" s="504" t="s">
        <v>2992</v>
      </c>
      <c r="C8912" s="504" t="s">
        <v>1094</v>
      </c>
      <c r="D8912" s="504" t="s">
        <v>3380</v>
      </c>
      <c r="E8912" s="504" t="s">
        <v>3381</v>
      </c>
      <c r="F8912" s="504" t="s">
        <v>978</v>
      </c>
      <c r="G8912" s="504" t="s">
        <v>979</v>
      </c>
      <c r="H8912" s="504" t="s">
        <v>10601</v>
      </c>
      <c r="I8912" s="504">
        <v>1268</v>
      </c>
      <c r="J8912" s="504">
        <v>1005</v>
      </c>
      <c r="K8912" s="504">
        <v>0</v>
      </c>
      <c r="L8912" s="504">
        <v>71</v>
      </c>
      <c r="M8912" s="504">
        <v>157</v>
      </c>
      <c r="N8912" s="504">
        <v>0</v>
      </c>
      <c r="O8912" s="505">
        <v>35</v>
      </c>
    </row>
    <row r="8913" spans="1:15" x14ac:dyDescent="0.35">
      <c r="A8913" s="500" t="s">
        <v>1783</v>
      </c>
      <c r="B8913" s="501" t="s">
        <v>3179</v>
      </c>
      <c r="C8913" s="501" t="s">
        <v>1094</v>
      </c>
      <c r="D8913" s="501" t="s">
        <v>3380</v>
      </c>
      <c r="E8913" s="501" t="s">
        <v>3381</v>
      </c>
      <c r="F8913" s="501" t="s">
        <v>978</v>
      </c>
      <c r="G8913" s="501" t="s">
        <v>979</v>
      </c>
      <c r="H8913" s="501" t="s">
        <v>15214</v>
      </c>
      <c r="I8913" s="501">
        <v>33</v>
      </c>
      <c r="J8913" s="501">
        <v>33</v>
      </c>
      <c r="K8913" s="501">
        <v>0</v>
      </c>
      <c r="L8913" s="501">
        <v>0</v>
      </c>
      <c r="M8913" s="501">
        <v>0</v>
      </c>
      <c r="N8913" s="501">
        <v>0</v>
      </c>
      <c r="O8913" s="506">
        <v>0</v>
      </c>
    </row>
    <row r="8914" spans="1:15" x14ac:dyDescent="0.35">
      <c r="A8914" s="503" t="s">
        <v>1266</v>
      </c>
      <c r="B8914" s="504" t="s">
        <v>3071</v>
      </c>
      <c r="C8914" s="504" t="s">
        <v>1094</v>
      </c>
      <c r="D8914" s="504" t="s">
        <v>3380</v>
      </c>
      <c r="E8914" s="504" t="s">
        <v>3381</v>
      </c>
      <c r="F8914" s="504" t="s">
        <v>978</v>
      </c>
      <c r="G8914" s="504" t="s">
        <v>979</v>
      </c>
      <c r="H8914" s="504" t="s">
        <v>10602</v>
      </c>
      <c r="I8914" s="504">
        <v>2106</v>
      </c>
      <c r="J8914" s="504">
        <v>1345</v>
      </c>
      <c r="K8914" s="504">
        <v>0</v>
      </c>
      <c r="L8914" s="504">
        <v>174</v>
      </c>
      <c r="M8914" s="504">
        <v>326</v>
      </c>
      <c r="N8914" s="504">
        <v>0</v>
      </c>
      <c r="O8914" s="505">
        <v>261</v>
      </c>
    </row>
    <row r="8915" spans="1:15" x14ac:dyDescent="0.35">
      <c r="A8915" s="500" t="s">
        <v>1093</v>
      </c>
      <c r="B8915" s="501" t="s">
        <v>3248</v>
      </c>
      <c r="C8915" s="501" t="s">
        <v>1094</v>
      </c>
      <c r="D8915" s="501" t="s">
        <v>3380</v>
      </c>
      <c r="E8915" s="501" t="s">
        <v>3381</v>
      </c>
      <c r="F8915" s="501" t="s">
        <v>980</v>
      </c>
      <c r="G8915" s="501" t="s">
        <v>981</v>
      </c>
      <c r="H8915" s="501" t="s">
        <v>10603</v>
      </c>
      <c r="I8915" s="501">
        <v>3</v>
      </c>
      <c r="J8915" s="501">
        <v>0</v>
      </c>
      <c r="K8915" s="501">
        <v>0</v>
      </c>
      <c r="L8915" s="501">
        <v>0</v>
      </c>
      <c r="M8915" s="501">
        <v>0</v>
      </c>
      <c r="N8915" s="501">
        <v>0</v>
      </c>
      <c r="O8915" s="506">
        <v>3</v>
      </c>
    </row>
    <row r="8916" spans="1:15" x14ac:dyDescent="0.35">
      <c r="A8916" s="503" t="s">
        <v>1158</v>
      </c>
      <c r="B8916" s="504">
        <v>4819</v>
      </c>
      <c r="C8916" s="504" t="s">
        <v>1094</v>
      </c>
      <c r="D8916" s="504" t="s">
        <v>3380</v>
      </c>
      <c r="E8916" s="504" t="s">
        <v>3381</v>
      </c>
      <c r="F8916" s="504" t="s">
        <v>980</v>
      </c>
      <c r="G8916" s="504" t="s">
        <v>981</v>
      </c>
      <c r="H8916" s="504" t="s">
        <v>10604</v>
      </c>
      <c r="I8916" s="504">
        <v>511</v>
      </c>
      <c r="J8916" s="504">
        <v>455</v>
      </c>
      <c r="K8916" s="504">
        <v>0</v>
      </c>
      <c r="L8916" s="504">
        <v>6</v>
      </c>
      <c r="M8916" s="504">
        <v>0</v>
      </c>
      <c r="N8916" s="504">
        <v>0</v>
      </c>
      <c r="O8916" s="505">
        <v>50</v>
      </c>
    </row>
    <row r="8917" spans="1:15" x14ac:dyDescent="0.35">
      <c r="A8917" s="500" t="s">
        <v>1961</v>
      </c>
      <c r="B8917" s="501">
        <v>5075</v>
      </c>
      <c r="C8917" s="501" t="s">
        <v>1094</v>
      </c>
      <c r="D8917" s="501" t="s">
        <v>3380</v>
      </c>
      <c r="E8917" s="501" t="s">
        <v>3381</v>
      </c>
      <c r="F8917" s="501" t="s">
        <v>980</v>
      </c>
      <c r="G8917" s="501" t="s">
        <v>981</v>
      </c>
      <c r="H8917" s="501" t="s">
        <v>10605</v>
      </c>
      <c r="I8917" s="501">
        <v>292</v>
      </c>
      <c r="J8917" s="501">
        <v>131</v>
      </c>
      <c r="K8917" s="501">
        <v>0</v>
      </c>
      <c r="L8917" s="501">
        <v>0</v>
      </c>
      <c r="M8917" s="501">
        <v>0</v>
      </c>
      <c r="N8917" s="501">
        <v>0</v>
      </c>
      <c r="O8917" s="506">
        <v>161</v>
      </c>
    </row>
    <row r="8918" spans="1:15" x14ac:dyDescent="0.35">
      <c r="A8918" s="503" t="s">
        <v>1100</v>
      </c>
      <c r="B8918" s="504">
        <v>4865</v>
      </c>
      <c r="C8918" s="504" t="s">
        <v>1094</v>
      </c>
      <c r="D8918" s="504" t="s">
        <v>3380</v>
      </c>
      <c r="E8918" s="504" t="s">
        <v>3381</v>
      </c>
      <c r="F8918" s="504" t="s">
        <v>980</v>
      </c>
      <c r="G8918" s="504" t="s">
        <v>981</v>
      </c>
      <c r="H8918" s="504" t="s">
        <v>10606</v>
      </c>
      <c r="I8918" s="504">
        <v>53</v>
      </c>
      <c r="J8918" s="504">
        <v>0</v>
      </c>
      <c r="K8918" s="504">
        <v>0</v>
      </c>
      <c r="L8918" s="504">
        <v>0</v>
      </c>
      <c r="M8918" s="504">
        <v>0</v>
      </c>
      <c r="N8918" s="504">
        <v>0</v>
      </c>
      <c r="O8918" s="505">
        <v>53</v>
      </c>
    </row>
    <row r="8919" spans="1:15" x14ac:dyDescent="0.35">
      <c r="A8919" s="500" t="s">
        <v>2071</v>
      </c>
      <c r="B8919" s="501" t="s">
        <v>2970</v>
      </c>
      <c r="C8919" s="501" t="s">
        <v>1089</v>
      </c>
      <c r="D8919" s="501" t="s">
        <v>3392</v>
      </c>
      <c r="E8919" s="501" t="s">
        <v>3381</v>
      </c>
      <c r="F8919" s="501" t="s">
        <v>980</v>
      </c>
      <c r="G8919" s="501" t="s">
        <v>981</v>
      </c>
      <c r="H8919" s="501" t="s">
        <v>10607</v>
      </c>
      <c r="I8919" s="501">
        <v>16</v>
      </c>
      <c r="J8919" s="501">
        <v>0</v>
      </c>
      <c r="K8919" s="501">
        <v>0</v>
      </c>
      <c r="L8919" s="501">
        <v>0</v>
      </c>
      <c r="M8919" s="501">
        <v>16</v>
      </c>
      <c r="N8919" s="501">
        <v>0</v>
      </c>
      <c r="O8919" s="506">
        <v>0</v>
      </c>
    </row>
    <row r="8920" spans="1:15" x14ac:dyDescent="0.35">
      <c r="A8920" s="503" t="s">
        <v>1167</v>
      </c>
      <c r="B8920" s="504">
        <v>4689</v>
      </c>
      <c r="C8920" s="504" t="s">
        <v>1089</v>
      </c>
      <c r="D8920" s="504" t="s">
        <v>3392</v>
      </c>
      <c r="E8920" s="504" t="s">
        <v>3381</v>
      </c>
      <c r="F8920" s="504" t="s">
        <v>980</v>
      </c>
      <c r="G8920" s="504" t="s">
        <v>981</v>
      </c>
      <c r="H8920" s="504" t="s">
        <v>11656</v>
      </c>
      <c r="I8920" s="504">
        <v>15</v>
      </c>
      <c r="J8920" s="504">
        <v>0</v>
      </c>
      <c r="K8920" s="504">
        <v>0</v>
      </c>
      <c r="L8920" s="504">
        <v>15</v>
      </c>
      <c r="M8920" s="504">
        <v>0</v>
      </c>
      <c r="N8920" s="504">
        <v>0</v>
      </c>
      <c r="O8920" s="505">
        <v>0</v>
      </c>
    </row>
    <row r="8921" spans="1:15" x14ac:dyDescent="0.35">
      <c r="A8921" s="500" t="s">
        <v>1172</v>
      </c>
      <c r="B8921" s="501">
        <v>4648</v>
      </c>
      <c r="C8921" s="501" t="s">
        <v>1089</v>
      </c>
      <c r="D8921" s="501" t="s">
        <v>3392</v>
      </c>
      <c r="E8921" s="501" t="s">
        <v>3381</v>
      </c>
      <c r="F8921" s="501" t="s">
        <v>980</v>
      </c>
      <c r="G8921" s="501" t="s">
        <v>981</v>
      </c>
      <c r="H8921" s="501" t="s">
        <v>10608</v>
      </c>
      <c r="I8921" s="501">
        <v>5</v>
      </c>
      <c r="J8921" s="501">
        <v>0</v>
      </c>
      <c r="K8921" s="501">
        <v>0</v>
      </c>
      <c r="L8921" s="501">
        <v>5</v>
      </c>
      <c r="M8921" s="501">
        <v>0</v>
      </c>
      <c r="N8921" s="501">
        <v>0</v>
      </c>
      <c r="O8921" s="506">
        <v>0</v>
      </c>
    </row>
    <row r="8922" spans="1:15" x14ac:dyDescent="0.35">
      <c r="A8922" s="503" t="s">
        <v>1832</v>
      </c>
      <c r="B8922" s="504">
        <v>4797</v>
      </c>
      <c r="C8922" s="504" t="s">
        <v>1089</v>
      </c>
      <c r="D8922" s="504" t="s">
        <v>3392</v>
      </c>
      <c r="E8922" s="504" t="s">
        <v>3381</v>
      </c>
      <c r="F8922" s="504" t="s">
        <v>980</v>
      </c>
      <c r="G8922" s="504" t="s">
        <v>981</v>
      </c>
      <c r="H8922" s="504" t="s">
        <v>10609</v>
      </c>
      <c r="I8922" s="504">
        <v>9</v>
      </c>
      <c r="J8922" s="504">
        <v>0</v>
      </c>
      <c r="K8922" s="504">
        <v>0</v>
      </c>
      <c r="L8922" s="504">
        <v>9</v>
      </c>
      <c r="M8922" s="504">
        <v>0</v>
      </c>
      <c r="N8922" s="504">
        <v>0</v>
      </c>
      <c r="O8922" s="505">
        <v>0</v>
      </c>
    </row>
    <row r="8923" spans="1:15" x14ac:dyDescent="0.35">
      <c r="A8923" s="500" t="s">
        <v>14208</v>
      </c>
      <c r="B8923" s="501">
        <v>4803</v>
      </c>
      <c r="C8923" s="501" t="s">
        <v>1094</v>
      </c>
      <c r="D8923" s="501" t="s">
        <v>3380</v>
      </c>
      <c r="E8923" s="501" t="s">
        <v>3381</v>
      </c>
      <c r="F8923" s="501" t="s">
        <v>980</v>
      </c>
      <c r="G8923" s="501" t="s">
        <v>981</v>
      </c>
      <c r="H8923" s="501" t="s">
        <v>15215</v>
      </c>
      <c r="I8923" s="501">
        <v>5</v>
      </c>
      <c r="J8923" s="501">
        <v>0</v>
      </c>
      <c r="K8923" s="501">
        <v>0</v>
      </c>
      <c r="L8923" s="501">
        <v>5</v>
      </c>
      <c r="M8923" s="501">
        <v>0</v>
      </c>
      <c r="N8923" s="501">
        <v>0</v>
      </c>
      <c r="O8923" s="506">
        <v>0</v>
      </c>
    </row>
    <row r="8924" spans="1:15" x14ac:dyDescent="0.35">
      <c r="A8924" s="503" t="s">
        <v>14213</v>
      </c>
      <c r="B8924" s="504" t="s">
        <v>3312</v>
      </c>
      <c r="C8924" s="504" t="s">
        <v>1094</v>
      </c>
      <c r="D8924" s="504" t="s">
        <v>3380</v>
      </c>
      <c r="E8924" s="504" t="s">
        <v>3381</v>
      </c>
      <c r="F8924" s="504" t="s">
        <v>980</v>
      </c>
      <c r="G8924" s="504" t="s">
        <v>981</v>
      </c>
      <c r="H8924" s="504" t="s">
        <v>15216</v>
      </c>
      <c r="I8924" s="504">
        <v>27</v>
      </c>
      <c r="J8924" s="504">
        <v>14</v>
      </c>
      <c r="K8924" s="504">
        <v>0</v>
      </c>
      <c r="L8924" s="504">
        <v>13</v>
      </c>
      <c r="M8924" s="504">
        <v>0</v>
      </c>
      <c r="N8924" s="504">
        <v>0</v>
      </c>
      <c r="O8924" s="505">
        <v>0</v>
      </c>
    </row>
    <row r="8925" spans="1:15" x14ac:dyDescent="0.35">
      <c r="A8925" s="500" t="s">
        <v>1105</v>
      </c>
      <c r="B8925" s="501">
        <v>4668</v>
      </c>
      <c r="C8925" s="501" t="s">
        <v>1094</v>
      </c>
      <c r="D8925" s="501" t="s">
        <v>3380</v>
      </c>
      <c r="E8925" s="501" t="s">
        <v>3381</v>
      </c>
      <c r="F8925" s="501" t="s">
        <v>980</v>
      </c>
      <c r="G8925" s="501" t="s">
        <v>981</v>
      </c>
      <c r="H8925" s="501" t="s">
        <v>10610</v>
      </c>
      <c r="I8925" s="501">
        <v>37</v>
      </c>
      <c r="J8925" s="501">
        <v>0</v>
      </c>
      <c r="K8925" s="501">
        <v>0</v>
      </c>
      <c r="L8925" s="501">
        <v>0</v>
      </c>
      <c r="M8925" s="501">
        <v>0</v>
      </c>
      <c r="N8925" s="501">
        <v>0</v>
      </c>
      <c r="O8925" s="506">
        <v>37</v>
      </c>
    </row>
    <row r="8926" spans="1:15" x14ac:dyDescent="0.35">
      <c r="A8926" s="503" t="s">
        <v>1109</v>
      </c>
      <c r="B8926" s="504" t="s">
        <v>2959</v>
      </c>
      <c r="C8926" s="504" t="s">
        <v>1094</v>
      </c>
      <c r="D8926" s="504" t="s">
        <v>3380</v>
      </c>
      <c r="E8926" s="504" t="s">
        <v>3381</v>
      </c>
      <c r="F8926" s="504" t="s">
        <v>980</v>
      </c>
      <c r="G8926" s="504" t="s">
        <v>981</v>
      </c>
      <c r="H8926" s="504" t="s">
        <v>10611</v>
      </c>
      <c r="I8926" s="504">
        <v>160</v>
      </c>
      <c r="J8926" s="504">
        <v>0</v>
      </c>
      <c r="K8926" s="504">
        <v>0</v>
      </c>
      <c r="L8926" s="504">
        <v>1</v>
      </c>
      <c r="M8926" s="504">
        <v>138</v>
      </c>
      <c r="N8926" s="504">
        <v>0</v>
      </c>
      <c r="O8926" s="505">
        <v>21</v>
      </c>
    </row>
    <row r="8927" spans="1:15" x14ac:dyDescent="0.35">
      <c r="A8927" s="500" t="s">
        <v>1634</v>
      </c>
      <c r="B8927" s="501">
        <v>4822</v>
      </c>
      <c r="C8927" s="501" t="s">
        <v>1089</v>
      </c>
      <c r="D8927" s="501" t="s">
        <v>3392</v>
      </c>
      <c r="E8927" s="501" t="s">
        <v>3381</v>
      </c>
      <c r="F8927" s="501" t="s">
        <v>980</v>
      </c>
      <c r="G8927" s="501" t="s">
        <v>981</v>
      </c>
      <c r="H8927" s="501" t="s">
        <v>10612</v>
      </c>
      <c r="I8927" s="501">
        <v>5</v>
      </c>
      <c r="J8927" s="501">
        <v>0</v>
      </c>
      <c r="K8927" s="501">
        <v>0</v>
      </c>
      <c r="L8927" s="501">
        <v>5</v>
      </c>
      <c r="M8927" s="501">
        <v>0</v>
      </c>
      <c r="N8927" s="501">
        <v>0</v>
      </c>
      <c r="O8927" s="506">
        <v>0</v>
      </c>
    </row>
    <row r="8928" spans="1:15" x14ac:dyDescent="0.35">
      <c r="A8928" s="503" t="s">
        <v>1190</v>
      </c>
      <c r="B8928" s="504">
        <v>4662</v>
      </c>
      <c r="C8928" s="504" t="s">
        <v>1094</v>
      </c>
      <c r="D8928" s="504" t="s">
        <v>3380</v>
      </c>
      <c r="E8928" s="504" t="s">
        <v>3381</v>
      </c>
      <c r="F8928" s="504" t="s">
        <v>980</v>
      </c>
      <c r="G8928" s="504" t="s">
        <v>981</v>
      </c>
      <c r="H8928" s="504" t="s">
        <v>10613</v>
      </c>
      <c r="I8928" s="504">
        <v>21</v>
      </c>
      <c r="J8928" s="504">
        <v>0</v>
      </c>
      <c r="K8928" s="504">
        <v>0</v>
      </c>
      <c r="L8928" s="504">
        <v>21</v>
      </c>
      <c r="M8928" s="504">
        <v>0</v>
      </c>
      <c r="N8928" s="504">
        <v>0</v>
      </c>
      <c r="O8928" s="505">
        <v>0</v>
      </c>
    </row>
    <row r="8929" spans="1:15" x14ac:dyDescent="0.35">
      <c r="A8929" s="500" t="s">
        <v>1202</v>
      </c>
      <c r="B8929" s="501" t="s">
        <v>3217</v>
      </c>
      <c r="C8929" s="501" t="s">
        <v>1094</v>
      </c>
      <c r="D8929" s="501" t="s">
        <v>3380</v>
      </c>
      <c r="E8929" s="501" t="s">
        <v>3381</v>
      </c>
      <c r="F8929" s="501" t="s">
        <v>980</v>
      </c>
      <c r="G8929" s="501" t="s">
        <v>981</v>
      </c>
      <c r="H8929" s="501" t="s">
        <v>15217</v>
      </c>
      <c r="I8929" s="501">
        <v>8</v>
      </c>
      <c r="J8929" s="501">
        <v>0</v>
      </c>
      <c r="K8929" s="501">
        <v>0</v>
      </c>
      <c r="L8929" s="501">
        <v>0</v>
      </c>
      <c r="M8929" s="501">
        <v>0</v>
      </c>
      <c r="N8929" s="501">
        <v>0</v>
      </c>
      <c r="O8929" s="506">
        <v>8</v>
      </c>
    </row>
    <row r="8930" spans="1:15" x14ac:dyDescent="0.35">
      <c r="A8930" s="503" t="s">
        <v>1203</v>
      </c>
      <c r="B8930" s="504" t="s">
        <v>3170</v>
      </c>
      <c r="C8930" s="504" t="s">
        <v>1094</v>
      </c>
      <c r="D8930" s="504" t="s">
        <v>3380</v>
      </c>
      <c r="E8930" s="504" t="s">
        <v>3381</v>
      </c>
      <c r="F8930" s="504" t="s">
        <v>980</v>
      </c>
      <c r="G8930" s="504" t="s">
        <v>981</v>
      </c>
      <c r="H8930" s="504" t="s">
        <v>10614</v>
      </c>
      <c r="I8930" s="504">
        <v>2</v>
      </c>
      <c r="J8930" s="504">
        <v>1</v>
      </c>
      <c r="K8930" s="504">
        <v>0</v>
      </c>
      <c r="L8930" s="504">
        <v>1</v>
      </c>
      <c r="M8930" s="504">
        <v>0</v>
      </c>
      <c r="N8930" s="504">
        <v>0</v>
      </c>
      <c r="O8930" s="505">
        <v>0</v>
      </c>
    </row>
    <row r="8931" spans="1:15" x14ac:dyDescent="0.35">
      <c r="A8931" s="500" t="s">
        <v>1205</v>
      </c>
      <c r="B8931" s="501" t="s">
        <v>2996</v>
      </c>
      <c r="C8931" s="501" t="s">
        <v>1089</v>
      </c>
      <c r="D8931" s="501" t="s">
        <v>3392</v>
      </c>
      <c r="E8931" s="501" t="s">
        <v>3381</v>
      </c>
      <c r="F8931" s="501" t="s">
        <v>980</v>
      </c>
      <c r="G8931" s="501" t="s">
        <v>981</v>
      </c>
      <c r="H8931" s="501" t="s">
        <v>10615</v>
      </c>
      <c r="I8931" s="501">
        <v>46</v>
      </c>
      <c r="J8931" s="501">
        <v>0</v>
      </c>
      <c r="K8931" s="501">
        <v>0</v>
      </c>
      <c r="L8931" s="501">
        <v>0</v>
      </c>
      <c r="M8931" s="501">
        <v>46</v>
      </c>
      <c r="N8931" s="501">
        <v>0</v>
      </c>
      <c r="O8931" s="506">
        <v>0</v>
      </c>
    </row>
    <row r="8932" spans="1:15" x14ac:dyDescent="0.35">
      <c r="A8932" s="503" t="s">
        <v>1207</v>
      </c>
      <c r="B8932" s="504" t="s">
        <v>3202</v>
      </c>
      <c r="C8932" s="504" t="s">
        <v>1094</v>
      </c>
      <c r="D8932" s="504" t="s">
        <v>3380</v>
      </c>
      <c r="E8932" s="504" t="s">
        <v>3381</v>
      </c>
      <c r="F8932" s="504" t="s">
        <v>980</v>
      </c>
      <c r="G8932" s="504" t="s">
        <v>981</v>
      </c>
      <c r="H8932" s="504" t="s">
        <v>10616</v>
      </c>
      <c r="I8932" s="504">
        <v>11</v>
      </c>
      <c r="J8932" s="504">
        <v>1</v>
      </c>
      <c r="K8932" s="504">
        <v>0</v>
      </c>
      <c r="L8932" s="504">
        <v>0</v>
      </c>
      <c r="M8932" s="504">
        <v>0</v>
      </c>
      <c r="N8932" s="504">
        <v>0</v>
      </c>
      <c r="O8932" s="505">
        <v>10</v>
      </c>
    </row>
    <row r="8933" spans="1:15" x14ac:dyDescent="0.35">
      <c r="A8933" s="500" t="s">
        <v>1217</v>
      </c>
      <c r="B8933" s="501">
        <v>4851</v>
      </c>
      <c r="C8933" s="501" t="s">
        <v>1094</v>
      </c>
      <c r="D8933" s="501" t="s">
        <v>3380</v>
      </c>
      <c r="E8933" s="501" t="s">
        <v>3381</v>
      </c>
      <c r="F8933" s="501" t="s">
        <v>980</v>
      </c>
      <c r="G8933" s="501" t="s">
        <v>981</v>
      </c>
      <c r="H8933" s="501" t="s">
        <v>10617</v>
      </c>
      <c r="I8933" s="501">
        <v>156</v>
      </c>
      <c r="J8933" s="501">
        <v>81</v>
      </c>
      <c r="K8933" s="501">
        <v>0</v>
      </c>
      <c r="L8933" s="501">
        <v>0</v>
      </c>
      <c r="M8933" s="501">
        <v>40</v>
      </c>
      <c r="N8933" s="501">
        <v>0</v>
      </c>
      <c r="O8933" s="506">
        <v>35</v>
      </c>
    </row>
    <row r="8934" spans="1:15" x14ac:dyDescent="0.35">
      <c r="A8934" s="503" t="s">
        <v>1218</v>
      </c>
      <c r="B8934" s="504" t="s">
        <v>3147</v>
      </c>
      <c r="C8934" s="504" t="s">
        <v>1094</v>
      </c>
      <c r="D8934" s="504" t="s">
        <v>3380</v>
      </c>
      <c r="E8934" s="504" t="s">
        <v>3381</v>
      </c>
      <c r="F8934" s="504" t="s">
        <v>980</v>
      </c>
      <c r="G8934" s="504" t="s">
        <v>981</v>
      </c>
      <c r="H8934" s="504" t="s">
        <v>10618</v>
      </c>
      <c r="I8934" s="504">
        <v>352</v>
      </c>
      <c r="J8934" s="504">
        <v>5</v>
      </c>
      <c r="K8934" s="504">
        <v>0</v>
      </c>
      <c r="L8934" s="504">
        <v>0</v>
      </c>
      <c r="M8934" s="504">
        <v>0</v>
      </c>
      <c r="N8934" s="504">
        <v>0</v>
      </c>
      <c r="O8934" s="505">
        <v>347</v>
      </c>
    </row>
    <row r="8935" spans="1:15" x14ac:dyDescent="0.35">
      <c r="A8935" s="500" t="s">
        <v>11367</v>
      </c>
      <c r="B8935" s="501" t="s">
        <v>3143</v>
      </c>
      <c r="C8935" s="501" t="s">
        <v>1094</v>
      </c>
      <c r="D8935" s="501" t="s">
        <v>3380</v>
      </c>
      <c r="E8935" s="501" t="s">
        <v>3381</v>
      </c>
      <c r="F8935" s="501" t="s">
        <v>980</v>
      </c>
      <c r="G8935" s="501" t="s">
        <v>981</v>
      </c>
      <c r="H8935" s="501" t="s">
        <v>11962</v>
      </c>
      <c r="I8935" s="501">
        <v>1707</v>
      </c>
      <c r="J8935" s="501">
        <v>1411</v>
      </c>
      <c r="K8935" s="501">
        <v>0</v>
      </c>
      <c r="L8935" s="501">
        <v>33</v>
      </c>
      <c r="M8935" s="501">
        <v>263</v>
      </c>
      <c r="N8935" s="501">
        <v>6</v>
      </c>
      <c r="O8935" s="506">
        <v>0</v>
      </c>
    </row>
    <row r="8936" spans="1:15" x14ac:dyDescent="0.35">
      <c r="A8936" s="503" t="s">
        <v>1226</v>
      </c>
      <c r="B8936" s="504">
        <v>5084</v>
      </c>
      <c r="C8936" s="504" t="s">
        <v>1094</v>
      </c>
      <c r="D8936" s="504" t="s">
        <v>3380</v>
      </c>
      <c r="E8936" s="504" t="s">
        <v>3381</v>
      </c>
      <c r="F8936" s="504" t="s">
        <v>980</v>
      </c>
      <c r="G8936" s="504" t="s">
        <v>981</v>
      </c>
      <c r="H8936" s="504" t="s">
        <v>10619</v>
      </c>
      <c r="I8936" s="504">
        <v>912</v>
      </c>
      <c r="J8936" s="504">
        <v>627</v>
      </c>
      <c r="K8936" s="504">
        <v>0</v>
      </c>
      <c r="L8936" s="504">
        <v>0</v>
      </c>
      <c r="M8936" s="504">
        <v>0</v>
      </c>
      <c r="N8936" s="504">
        <v>0</v>
      </c>
      <c r="O8936" s="505">
        <v>285</v>
      </c>
    </row>
    <row r="8937" spans="1:15" x14ac:dyDescent="0.35">
      <c r="A8937" s="500" t="s">
        <v>1124</v>
      </c>
      <c r="B8937" s="501">
        <v>4745</v>
      </c>
      <c r="C8937" s="501" t="s">
        <v>1094</v>
      </c>
      <c r="D8937" s="501" t="s">
        <v>3380</v>
      </c>
      <c r="E8937" s="501" t="s">
        <v>3381</v>
      </c>
      <c r="F8937" s="501" t="s">
        <v>980</v>
      </c>
      <c r="G8937" s="501" t="s">
        <v>981</v>
      </c>
      <c r="H8937" s="501" t="s">
        <v>10620</v>
      </c>
      <c r="I8937" s="501">
        <v>1</v>
      </c>
      <c r="J8937" s="501">
        <v>0</v>
      </c>
      <c r="K8937" s="501">
        <v>0</v>
      </c>
      <c r="L8937" s="501">
        <v>1</v>
      </c>
      <c r="M8937" s="501">
        <v>0</v>
      </c>
      <c r="N8937" s="501">
        <v>0</v>
      </c>
      <c r="O8937" s="506">
        <v>0</v>
      </c>
    </row>
    <row r="8938" spans="1:15" x14ac:dyDescent="0.35">
      <c r="A8938" s="503" t="s">
        <v>1233</v>
      </c>
      <c r="B8938" s="504">
        <v>4636</v>
      </c>
      <c r="C8938" s="504" t="s">
        <v>1094</v>
      </c>
      <c r="D8938" s="504" t="s">
        <v>3380</v>
      </c>
      <c r="E8938" s="504" t="s">
        <v>3381</v>
      </c>
      <c r="F8938" s="504" t="s">
        <v>980</v>
      </c>
      <c r="G8938" s="504" t="s">
        <v>981</v>
      </c>
      <c r="H8938" s="504" t="s">
        <v>15218</v>
      </c>
      <c r="I8938" s="504">
        <v>38</v>
      </c>
      <c r="J8938" s="504">
        <v>33</v>
      </c>
      <c r="K8938" s="504">
        <v>0</v>
      </c>
      <c r="L8938" s="504">
        <v>0</v>
      </c>
      <c r="M8938" s="504">
        <v>0</v>
      </c>
      <c r="N8938" s="504">
        <v>0</v>
      </c>
      <c r="O8938" s="505">
        <v>5</v>
      </c>
    </row>
    <row r="8939" spans="1:15" x14ac:dyDescent="0.35">
      <c r="A8939" s="500" t="s">
        <v>1234</v>
      </c>
      <c r="B8939" s="501" t="s">
        <v>3291</v>
      </c>
      <c r="C8939" s="501" t="s">
        <v>1094</v>
      </c>
      <c r="D8939" s="501" t="s">
        <v>3380</v>
      </c>
      <c r="E8939" s="501" t="s">
        <v>3381</v>
      </c>
      <c r="F8939" s="501" t="s">
        <v>980</v>
      </c>
      <c r="G8939" s="501" t="s">
        <v>981</v>
      </c>
      <c r="H8939" s="501" t="s">
        <v>10621</v>
      </c>
      <c r="I8939" s="501">
        <v>34</v>
      </c>
      <c r="J8939" s="501">
        <v>0</v>
      </c>
      <c r="K8939" s="501">
        <v>0</v>
      </c>
      <c r="L8939" s="501">
        <v>34</v>
      </c>
      <c r="M8939" s="501">
        <v>0</v>
      </c>
      <c r="N8939" s="501">
        <v>0</v>
      </c>
      <c r="O8939" s="506">
        <v>0</v>
      </c>
    </row>
    <row r="8940" spans="1:15" x14ac:dyDescent="0.35">
      <c r="A8940" s="503" t="s">
        <v>1235</v>
      </c>
      <c r="B8940" s="504">
        <v>4684</v>
      </c>
      <c r="C8940" s="504" t="s">
        <v>1094</v>
      </c>
      <c r="D8940" s="504" t="s">
        <v>3380</v>
      </c>
      <c r="E8940" s="504" t="s">
        <v>3381</v>
      </c>
      <c r="F8940" s="504" t="s">
        <v>980</v>
      </c>
      <c r="G8940" s="504" t="s">
        <v>981</v>
      </c>
      <c r="H8940" s="504" t="s">
        <v>10622</v>
      </c>
      <c r="I8940" s="504">
        <v>9</v>
      </c>
      <c r="J8940" s="504">
        <v>0</v>
      </c>
      <c r="K8940" s="504">
        <v>0</v>
      </c>
      <c r="L8940" s="504">
        <v>0</v>
      </c>
      <c r="M8940" s="504">
        <v>0</v>
      </c>
      <c r="N8940" s="504">
        <v>0</v>
      </c>
      <c r="O8940" s="505">
        <v>9</v>
      </c>
    </row>
    <row r="8941" spans="1:15" x14ac:dyDescent="0.35">
      <c r="A8941" s="500" t="s">
        <v>2109</v>
      </c>
      <c r="B8941" s="501" t="s">
        <v>2931</v>
      </c>
      <c r="C8941" s="501" t="s">
        <v>1089</v>
      </c>
      <c r="D8941" s="501" t="s">
        <v>3392</v>
      </c>
      <c r="E8941" s="501" t="s">
        <v>3381</v>
      </c>
      <c r="F8941" s="501" t="s">
        <v>980</v>
      </c>
      <c r="G8941" s="501" t="s">
        <v>981</v>
      </c>
      <c r="H8941" s="501" t="s">
        <v>12136</v>
      </c>
      <c r="I8941" s="501">
        <v>9</v>
      </c>
      <c r="J8941" s="501">
        <v>0</v>
      </c>
      <c r="K8941" s="501">
        <v>0</v>
      </c>
      <c r="L8941" s="501">
        <v>9</v>
      </c>
      <c r="M8941" s="501">
        <v>0</v>
      </c>
      <c r="N8941" s="501">
        <v>0</v>
      </c>
      <c r="O8941" s="506">
        <v>0</v>
      </c>
    </row>
    <row r="8942" spans="1:15" x14ac:dyDescent="0.35">
      <c r="A8942" s="503" t="s">
        <v>1240</v>
      </c>
      <c r="B8942" s="504" t="s">
        <v>2972</v>
      </c>
      <c r="C8942" s="504" t="s">
        <v>1094</v>
      </c>
      <c r="D8942" s="504" t="s">
        <v>3380</v>
      </c>
      <c r="E8942" s="504" t="s">
        <v>3381</v>
      </c>
      <c r="F8942" s="504" t="s">
        <v>980</v>
      </c>
      <c r="G8942" s="504" t="s">
        <v>981</v>
      </c>
      <c r="H8942" s="504" t="s">
        <v>10623</v>
      </c>
      <c r="I8942" s="504">
        <v>421</v>
      </c>
      <c r="J8942" s="504">
        <v>317</v>
      </c>
      <c r="K8942" s="504">
        <v>0</v>
      </c>
      <c r="L8942" s="504">
        <v>0</v>
      </c>
      <c r="M8942" s="504">
        <v>0</v>
      </c>
      <c r="N8942" s="504">
        <v>0</v>
      </c>
      <c r="O8942" s="505">
        <v>104</v>
      </c>
    </row>
    <row r="8943" spans="1:15" x14ac:dyDescent="0.35">
      <c r="A8943" s="500" t="s">
        <v>1241</v>
      </c>
      <c r="B8943" s="501">
        <v>4717</v>
      </c>
      <c r="C8943" s="501" t="s">
        <v>1094</v>
      </c>
      <c r="D8943" s="501" t="s">
        <v>3380</v>
      </c>
      <c r="E8943" s="501" t="s">
        <v>3381</v>
      </c>
      <c r="F8943" s="501" t="s">
        <v>980</v>
      </c>
      <c r="G8943" s="501" t="s">
        <v>981</v>
      </c>
      <c r="H8943" s="501" t="s">
        <v>10624</v>
      </c>
      <c r="I8943" s="501">
        <v>21</v>
      </c>
      <c r="J8943" s="501">
        <v>21</v>
      </c>
      <c r="K8943" s="501">
        <v>0</v>
      </c>
      <c r="L8943" s="501">
        <v>0</v>
      </c>
      <c r="M8943" s="501">
        <v>0</v>
      </c>
      <c r="N8943" s="501">
        <v>0</v>
      </c>
      <c r="O8943" s="506">
        <v>0</v>
      </c>
    </row>
    <row r="8944" spans="1:15" x14ac:dyDescent="0.35">
      <c r="A8944" s="503" t="s">
        <v>1134</v>
      </c>
      <c r="B8944" s="504" t="s">
        <v>3066</v>
      </c>
      <c r="C8944" s="504" t="s">
        <v>1094</v>
      </c>
      <c r="D8944" s="504" t="s">
        <v>3380</v>
      </c>
      <c r="E8944" s="504" t="s">
        <v>3381</v>
      </c>
      <c r="F8944" s="504" t="s">
        <v>980</v>
      </c>
      <c r="G8944" s="504" t="s">
        <v>981</v>
      </c>
      <c r="H8944" s="504" t="s">
        <v>10625</v>
      </c>
      <c r="I8944" s="504">
        <v>301</v>
      </c>
      <c r="J8944" s="504">
        <v>191</v>
      </c>
      <c r="K8944" s="504">
        <v>0</v>
      </c>
      <c r="L8944" s="504">
        <v>0</v>
      </c>
      <c r="M8944" s="504">
        <v>72</v>
      </c>
      <c r="N8944" s="504">
        <v>0</v>
      </c>
      <c r="O8944" s="505">
        <v>38</v>
      </c>
    </row>
    <row r="8945" spans="1:15" x14ac:dyDescent="0.35">
      <c r="A8945" s="500" t="s">
        <v>1253</v>
      </c>
      <c r="B8945" s="501" t="s">
        <v>3232</v>
      </c>
      <c r="C8945" s="501" t="s">
        <v>1094</v>
      </c>
      <c r="D8945" s="501" t="s">
        <v>3380</v>
      </c>
      <c r="E8945" s="501" t="s">
        <v>3381</v>
      </c>
      <c r="F8945" s="501" t="s">
        <v>980</v>
      </c>
      <c r="G8945" s="501" t="s">
        <v>981</v>
      </c>
      <c r="H8945" s="501" t="s">
        <v>10626</v>
      </c>
      <c r="I8945" s="501">
        <v>54</v>
      </c>
      <c r="J8945" s="501">
        <v>0</v>
      </c>
      <c r="K8945" s="501">
        <v>0</v>
      </c>
      <c r="L8945" s="501">
        <v>0</v>
      </c>
      <c r="M8945" s="501">
        <v>54</v>
      </c>
      <c r="N8945" s="501">
        <v>0</v>
      </c>
      <c r="O8945" s="506">
        <v>0</v>
      </c>
    </row>
    <row r="8946" spans="1:15" x14ac:dyDescent="0.35">
      <c r="A8946" s="503" t="s">
        <v>2127</v>
      </c>
      <c r="B8946" s="504" t="s">
        <v>3188</v>
      </c>
      <c r="C8946" s="504" t="s">
        <v>1094</v>
      </c>
      <c r="D8946" s="504" t="s">
        <v>3380</v>
      </c>
      <c r="E8946" s="504" t="s">
        <v>3381</v>
      </c>
      <c r="F8946" s="504" t="s">
        <v>980</v>
      </c>
      <c r="G8946" s="504" t="s">
        <v>981</v>
      </c>
      <c r="H8946" s="504" t="s">
        <v>10627</v>
      </c>
      <c r="I8946" s="504">
        <v>84</v>
      </c>
      <c r="J8946" s="504">
        <v>72</v>
      </c>
      <c r="K8946" s="504">
        <v>0</v>
      </c>
      <c r="L8946" s="504">
        <v>0</v>
      </c>
      <c r="M8946" s="504">
        <v>0</v>
      </c>
      <c r="N8946" s="504">
        <v>0</v>
      </c>
      <c r="O8946" s="505">
        <v>12</v>
      </c>
    </row>
    <row r="8947" spans="1:15" x14ac:dyDescent="0.35">
      <c r="A8947" s="500" t="s">
        <v>2128</v>
      </c>
      <c r="B8947" s="501" t="s">
        <v>3133</v>
      </c>
      <c r="C8947" s="501" t="s">
        <v>1089</v>
      </c>
      <c r="D8947" s="501" t="s">
        <v>3392</v>
      </c>
      <c r="E8947" s="501" t="s">
        <v>3381</v>
      </c>
      <c r="F8947" s="501" t="s">
        <v>980</v>
      </c>
      <c r="G8947" s="501" t="s">
        <v>981</v>
      </c>
      <c r="H8947" s="501" t="s">
        <v>10628</v>
      </c>
      <c r="I8947" s="501">
        <v>64</v>
      </c>
      <c r="J8947" s="501">
        <v>64</v>
      </c>
      <c r="K8947" s="501">
        <v>0</v>
      </c>
      <c r="L8947" s="501">
        <v>0</v>
      </c>
      <c r="M8947" s="501">
        <v>0</v>
      </c>
      <c r="N8947" s="501">
        <v>0</v>
      </c>
      <c r="O8947" s="506">
        <v>0</v>
      </c>
    </row>
    <row r="8948" spans="1:15" x14ac:dyDescent="0.35">
      <c r="A8948" s="503" t="s">
        <v>1096</v>
      </c>
      <c r="B8948" s="504" t="s">
        <v>3326</v>
      </c>
      <c r="C8948" s="504" t="s">
        <v>1094</v>
      </c>
      <c r="D8948" s="504" t="s">
        <v>3380</v>
      </c>
      <c r="E8948" s="504" t="s">
        <v>3381</v>
      </c>
      <c r="F8948" s="504" t="s">
        <v>982</v>
      </c>
      <c r="G8948" s="504" t="s">
        <v>983</v>
      </c>
      <c r="H8948" s="504" t="s">
        <v>10629</v>
      </c>
      <c r="I8948" s="504">
        <v>77</v>
      </c>
      <c r="J8948" s="504">
        <v>56</v>
      </c>
      <c r="K8948" s="504">
        <v>0</v>
      </c>
      <c r="L8948" s="504">
        <v>0</v>
      </c>
      <c r="M8948" s="504">
        <v>21</v>
      </c>
      <c r="N8948" s="504">
        <v>1</v>
      </c>
      <c r="O8948" s="505">
        <v>0</v>
      </c>
    </row>
    <row r="8949" spans="1:15" x14ac:dyDescent="0.35">
      <c r="A8949" s="500" t="s">
        <v>1151</v>
      </c>
      <c r="B8949" s="501">
        <v>4726</v>
      </c>
      <c r="C8949" s="501" t="s">
        <v>1089</v>
      </c>
      <c r="D8949" s="501" t="s">
        <v>3392</v>
      </c>
      <c r="E8949" s="501" t="s">
        <v>3381</v>
      </c>
      <c r="F8949" s="501" t="s">
        <v>982</v>
      </c>
      <c r="G8949" s="501" t="s">
        <v>983</v>
      </c>
      <c r="H8949" s="501" t="s">
        <v>15219</v>
      </c>
      <c r="I8949" s="501">
        <v>5</v>
      </c>
      <c r="J8949" s="501">
        <v>0</v>
      </c>
      <c r="K8949" s="501">
        <v>0</v>
      </c>
      <c r="L8949" s="501">
        <v>5</v>
      </c>
      <c r="M8949" s="501">
        <v>0</v>
      </c>
      <c r="N8949" s="501">
        <v>0</v>
      </c>
      <c r="O8949" s="506">
        <v>0</v>
      </c>
    </row>
    <row r="8950" spans="1:15" x14ac:dyDescent="0.35">
      <c r="A8950" s="503" t="s">
        <v>1161</v>
      </c>
      <c r="B8950" s="504" t="s">
        <v>3001</v>
      </c>
      <c r="C8950" s="504" t="s">
        <v>1094</v>
      </c>
      <c r="D8950" s="504" t="s">
        <v>3380</v>
      </c>
      <c r="E8950" s="504" t="s">
        <v>3381</v>
      </c>
      <c r="F8950" s="504" t="s">
        <v>982</v>
      </c>
      <c r="G8950" s="504" t="s">
        <v>983</v>
      </c>
      <c r="H8950" s="504" t="s">
        <v>10630</v>
      </c>
      <c r="I8950" s="504">
        <v>181</v>
      </c>
      <c r="J8950" s="504">
        <v>117</v>
      </c>
      <c r="K8950" s="504">
        <v>0</v>
      </c>
      <c r="L8950" s="504">
        <v>24</v>
      </c>
      <c r="M8950" s="504">
        <v>0</v>
      </c>
      <c r="N8950" s="504">
        <v>0</v>
      </c>
      <c r="O8950" s="505">
        <v>40</v>
      </c>
    </row>
    <row r="8951" spans="1:15" x14ac:dyDescent="0.35">
      <c r="A8951" s="500" t="s">
        <v>1164</v>
      </c>
      <c r="B8951" s="501">
        <v>4751</v>
      </c>
      <c r="C8951" s="501" t="s">
        <v>1089</v>
      </c>
      <c r="D8951" s="501" t="s">
        <v>3392</v>
      </c>
      <c r="E8951" s="501" t="s">
        <v>3381</v>
      </c>
      <c r="F8951" s="501" t="s">
        <v>982</v>
      </c>
      <c r="G8951" s="501" t="s">
        <v>983</v>
      </c>
      <c r="H8951" s="501" t="s">
        <v>10631</v>
      </c>
      <c r="I8951" s="501">
        <v>15</v>
      </c>
      <c r="J8951" s="501">
        <v>0</v>
      </c>
      <c r="K8951" s="501">
        <v>0</v>
      </c>
      <c r="L8951" s="501">
        <v>15</v>
      </c>
      <c r="M8951" s="501">
        <v>0</v>
      </c>
      <c r="N8951" s="501">
        <v>0</v>
      </c>
      <c r="O8951" s="506">
        <v>0</v>
      </c>
    </row>
    <row r="8952" spans="1:15" x14ac:dyDescent="0.35">
      <c r="A8952" s="503" t="s">
        <v>1100</v>
      </c>
      <c r="B8952" s="504">
        <v>4865</v>
      </c>
      <c r="C8952" s="504" t="s">
        <v>1094</v>
      </c>
      <c r="D8952" s="504" t="s">
        <v>3380</v>
      </c>
      <c r="E8952" s="504" t="s">
        <v>3381</v>
      </c>
      <c r="F8952" s="504" t="s">
        <v>982</v>
      </c>
      <c r="G8952" s="504" t="s">
        <v>983</v>
      </c>
      <c r="H8952" s="504" t="s">
        <v>10632</v>
      </c>
      <c r="I8952" s="504">
        <v>99</v>
      </c>
      <c r="J8952" s="504">
        <v>80</v>
      </c>
      <c r="K8952" s="504">
        <v>0</v>
      </c>
      <c r="L8952" s="504">
        <v>0</v>
      </c>
      <c r="M8952" s="504">
        <v>0</v>
      </c>
      <c r="N8952" s="504">
        <v>0</v>
      </c>
      <c r="O8952" s="505">
        <v>19</v>
      </c>
    </row>
    <row r="8953" spans="1:15" x14ac:dyDescent="0.35">
      <c r="A8953" s="500" t="s">
        <v>1177</v>
      </c>
      <c r="B8953" s="501">
        <v>4702</v>
      </c>
      <c r="C8953" s="501" t="s">
        <v>1089</v>
      </c>
      <c r="D8953" s="501" t="s">
        <v>3392</v>
      </c>
      <c r="E8953" s="501" t="s">
        <v>3381</v>
      </c>
      <c r="F8953" s="501" t="s">
        <v>982</v>
      </c>
      <c r="G8953" s="501" t="s">
        <v>983</v>
      </c>
      <c r="H8953" s="501" t="s">
        <v>10633</v>
      </c>
      <c r="I8953" s="501">
        <v>1</v>
      </c>
      <c r="J8953" s="501">
        <v>0</v>
      </c>
      <c r="K8953" s="501">
        <v>0</v>
      </c>
      <c r="L8953" s="501">
        <v>1</v>
      </c>
      <c r="M8953" s="501">
        <v>0</v>
      </c>
      <c r="N8953" s="501">
        <v>0</v>
      </c>
      <c r="O8953" s="506">
        <v>0</v>
      </c>
    </row>
    <row r="8954" spans="1:15" x14ac:dyDescent="0.35">
      <c r="A8954" s="503" t="s">
        <v>1302</v>
      </c>
      <c r="B8954" s="504" t="s">
        <v>3094</v>
      </c>
      <c r="C8954" s="504" t="s">
        <v>1094</v>
      </c>
      <c r="D8954" s="504" t="s">
        <v>3380</v>
      </c>
      <c r="E8954" s="504" t="s">
        <v>3381</v>
      </c>
      <c r="F8954" s="504" t="s">
        <v>982</v>
      </c>
      <c r="G8954" s="504" t="s">
        <v>983</v>
      </c>
      <c r="H8954" s="504" t="s">
        <v>10634</v>
      </c>
      <c r="I8954" s="504">
        <v>324</v>
      </c>
      <c r="J8954" s="504">
        <v>278</v>
      </c>
      <c r="K8954" s="504">
        <v>0</v>
      </c>
      <c r="L8954" s="504">
        <v>8</v>
      </c>
      <c r="M8954" s="504">
        <v>0</v>
      </c>
      <c r="N8954" s="504">
        <v>0</v>
      </c>
      <c r="O8954" s="505">
        <v>38</v>
      </c>
    </row>
    <row r="8955" spans="1:15" x14ac:dyDescent="0.35">
      <c r="A8955" s="500" t="s">
        <v>1107</v>
      </c>
      <c r="B8955" s="501" t="s">
        <v>3109</v>
      </c>
      <c r="C8955" s="501" t="s">
        <v>1094</v>
      </c>
      <c r="D8955" s="501" t="s">
        <v>3380</v>
      </c>
      <c r="E8955" s="501" t="s">
        <v>3381</v>
      </c>
      <c r="F8955" s="501" t="s">
        <v>982</v>
      </c>
      <c r="G8955" s="501" t="s">
        <v>983</v>
      </c>
      <c r="H8955" s="501" t="s">
        <v>10635</v>
      </c>
      <c r="I8955" s="501">
        <v>201</v>
      </c>
      <c r="J8955" s="501">
        <v>131</v>
      </c>
      <c r="K8955" s="501">
        <v>0</v>
      </c>
      <c r="L8955" s="501">
        <v>0</v>
      </c>
      <c r="M8955" s="501">
        <v>33</v>
      </c>
      <c r="N8955" s="501">
        <v>1</v>
      </c>
      <c r="O8955" s="506">
        <v>37</v>
      </c>
    </row>
    <row r="8956" spans="1:15" x14ac:dyDescent="0.35">
      <c r="A8956" s="503" t="s">
        <v>1310</v>
      </c>
      <c r="B8956" s="504">
        <v>5062</v>
      </c>
      <c r="C8956" s="504" t="s">
        <v>1089</v>
      </c>
      <c r="D8956" s="504" t="s">
        <v>3380</v>
      </c>
      <c r="E8956" s="504" t="s">
        <v>3381</v>
      </c>
      <c r="F8956" s="504" t="s">
        <v>982</v>
      </c>
      <c r="G8956" s="504" t="s">
        <v>983</v>
      </c>
      <c r="H8956" s="504" t="s">
        <v>15220</v>
      </c>
      <c r="I8956" s="504">
        <v>32</v>
      </c>
      <c r="J8956" s="504">
        <v>28</v>
      </c>
      <c r="K8956" s="504">
        <v>0</v>
      </c>
      <c r="L8956" s="504">
        <v>0</v>
      </c>
      <c r="M8956" s="504">
        <v>0</v>
      </c>
      <c r="N8956" s="504">
        <v>0</v>
      </c>
      <c r="O8956" s="505">
        <v>4</v>
      </c>
    </row>
    <row r="8957" spans="1:15" x14ac:dyDescent="0.35">
      <c r="A8957" s="500" t="s">
        <v>1202</v>
      </c>
      <c r="B8957" s="501" t="s">
        <v>3217</v>
      </c>
      <c r="C8957" s="501" t="s">
        <v>1094</v>
      </c>
      <c r="D8957" s="501" t="s">
        <v>3380</v>
      </c>
      <c r="E8957" s="501" t="s">
        <v>3381</v>
      </c>
      <c r="F8957" s="501" t="s">
        <v>982</v>
      </c>
      <c r="G8957" s="501" t="s">
        <v>983</v>
      </c>
      <c r="H8957" s="501" t="s">
        <v>10636</v>
      </c>
      <c r="I8957" s="501">
        <v>3</v>
      </c>
      <c r="J8957" s="501">
        <v>0</v>
      </c>
      <c r="K8957" s="501">
        <v>0</v>
      </c>
      <c r="L8957" s="501">
        <v>0</v>
      </c>
      <c r="M8957" s="501">
        <v>0</v>
      </c>
      <c r="N8957" s="501">
        <v>0</v>
      </c>
      <c r="O8957" s="506">
        <v>3</v>
      </c>
    </row>
    <row r="8958" spans="1:15" x14ac:dyDescent="0.35">
      <c r="A8958" s="503" t="s">
        <v>1112</v>
      </c>
      <c r="B8958" s="504" t="s">
        <v>3008</v>
      </c>
      <c r="C8958" s="504" t="s">
        <v>1094</v>
      </c>
      <c r="D8958" s="504" t="s">
        <v>3380</v>
      </c>
      <c r="E8958" s="504" t="s">
        <v>3381</v>
      </c>
      <c r="F8958" s="504" t="s">
        <v>982</v>
      </c>
      <c r="G8958" s="504" t="s">
        <v>983</v>
      </c>
      <c r="H8958" s="504" t="s">
        <v>10637</v>
      </c>
      <c r="I8958" s="504">
        <v>1</v>
      </c>
      <c r="J8958" s="504">
        <v>0</v>
      </c>
      <c r="K8958" s="504">
        <v>0</v>
      </c>
      <c r="L8958" s="504">
        <v>0</v>
      </c>
      <c r="M8958" s="504">
        <v>0</v>
      </c>
      <c r="N8958" s="504">
        <v>0</v>
      </c>
      <c r="O8958" s="505">
        <v>1</v>
      </c>
    </row>
    <row r="8959" spans="1:15" x14ac:dyDescent="0.35">
      <c r="A8959" s="500" t="s">
        <v>1315</v>
      </c>
      <c r="B8959" s="501">
        <v>4825</v>
      </c>
      <c r="C8959" s="501" t="s">
        <v>1094</v>
      </c>
      <c r="D8959" s="501" t="s">
        <v>3380</v>
      </c>
      <c r="E8959" s="501" t="s">
        <v>3381</v>
      </c>
      <c r="F8959" s="501" t="s">
        <v>982</v>
      </c>
      <c r="G8959" s="501" t="s">
        <v>983</v>
      </c>
      <c r="H8959" s="501" t="s">
        <v>10638</v>
      </c>
      <c r="I8959" s="501">
        <v>84</v>
      </c>
      <c r="J8959" s="501">
        <v>68</v>
      </c>
      <c r="K8959" s="501">
        <v>0</v>
      </c>
      <c r="L8959" s="501">
        <v>0</v>
      </c>
      <c r="M8959" s="501">
        <v>0</v>
      </c>
      <c r="N8959" s="501">
        <v>0</v>
      </c>
      <c r="O8959" s="506">
        <v>16</v>
      </c>
    </row>
    <row r="8960" spans="1:15" x14ac:dyDescent="0.35">
      <c r="A8960" s="503" t="s">
        <v>1120</v>
      </c>
      <c r="B8960" s="504" t="s">
        <v>3362</v>
      </c>
      <c r="C8960" s="504" t="s">
        <v>1094</v>
      </c>
      <c r="D8960" s="504" t="s">
        <v>3380</v>
      </c>
      <c r="E8960" s="504" t="s">
        <v>3381</v>
      </c>
      <c r="F8960" s="504" t="s">
        <v>982</v>
      </c>
      <c r="G8960" s="504" t="s">
        <v>983</v>
      </c>
      <c r="H8960" s="504" t="s">
        <v>10639</v>
      </c>
      <c r="I8960" s="504">
        <v>26</v>
      </c>
      <c r="J8960" s="504">
        <v>0</v>
      </c>
      <c r="K8960" s="504">
        <v>0</v>
      </c>
      <c r="L8960" s="504">
        <v>0</v>
      </c>
      <c r="M8960" s="504">
        <v>0</v>
      </c>
      <c r="N8960" s="504">
        <v>0</v>
      </c>
      <c r="O8960" s="505">
        <v>26</v>
      </c>
    </row>
    <row r="8961" spans="1:15" x14ac:dyDescent="0.35">
      <c r="A8961" s="500" t="s">
        <v>1323</v>
      </c>
      <c r="B8961" s="501" t="s">
        <v>2946</v>
      </c>
      <c r="C8961" s="501" t="s">
        <v>1089</v>
      </c>
      <c r="D8961" s="501" t="s">
        <v>3392</v>
      </c>
      <c r="E8961" s="501" t="s">
        <v>3381</v>
      </c>
      <c r="F8961" s="501" t="s">
        <v>982</v>
      </c>
      <c r="G8961" s="501" t="s">
        <v>983</v>
      </c>
      <c r="H8961" s="501" t="s">
        <v>10640</v>
      </c>
      <c r="I8961" s="501">
        <v>197</v>
      </c>
      <c r="J8961" s="501">
        <v>0</v>
      </c>
      <c r="K8961" s="501">
        <v>0</v>
      </c>
      <c r="L8961" s="501">
        <v>197</v>
      </c>
      <c r="M8961" s="501">
        <v>0</v>
      </c>
      <c r="N8961" s="501">
        <v>0</v>
      </c>
      <c r="O8961" s="506">
        <v>0</v>
      </c>
    </row>
    <row r="8962" spans="1:15" x14ac:dyDescent="0.35">
      <c r="A8962" s="503" t="s">
        <v>1324</v>
      </c>
      <c r="B8962" s="504">
        <v>4766</v>
      </c>
      <c r="C8962" s="504" t="s">
        <v>1089</v>
      </c>
      <c r="D8962" s="504" t="s">
        <v>3392</v>
      </c>
      <c r="E8962" s="504" t="s">
        <v>3381</v>
      </c>
      <c r="F8962" s="504" t="s">
        <v>982</v>
      </c>
      <c r="G8962" s="504" t="s">
        <v>983</v>
      </c>
      <c r="H8962" s="504" t="s">
        <v>10641</v>
      </c>
      <c r="I8962" s="504">
        <v>13</v>
      </c>
      <c r="J8962" s="504">
        <v>13</v>
      </c>
      <c r="K8962" s="504">
        <v>0</v>
      </c>
      <c r="L8962" s="504">
        <v>0</v>
      </c>
      <c r="M8962" s="504">
        <v>0</v>
      </c>
      <c r="N8962" s="504">
        <v>0</v>
      </c>
      <c r="O8962" s="505">
        <v>0</v>
      </c>
    </row>
    <row r="8963" spans="1:15" x14ac:dyDescent="0.35">
      <c r="A8963" s="500" t="s">
        <v>1325</v>
      </c>
      <c r="B8963" s="501" t="s">
        <v>3011</v>
      </c>
      <c r="C8963" s="501" t="s">
        <v>1094</v>
      </c>
      <c r="D8963" s="501" t="s">
        <v>3380</v>
      </c>
      <c r="E8963" s="501" t="s">
        <v>3381</v>
      </c>
      <c r="F8963" s="501" t="s">
        <v>982</v>
      </c>
      <c r="G8963" s="501" t="s">
        <v>983</v>
      </c>
      <c r="H8963" s="501" t="s">
        <v>10642</v>
      </c>
      <c r="I8963" s="501">
        <v>468</v>
      </c>
      <c r="J8963" s="501">
        <v>348</v>
      </c>
      <c r="K8963" s="501">
        <v>90</v>
      </c>
      <c r="L8963" s="501">
        <v>19</v>
      </c>
      <c r="M8963" s="501">
        <v>0</v>
      </c>
      <c r="N8963" s="501">
        <v>0</v>
      </c>
      <c r="O8963" s="506">
        <v>11</v>
      </c>
    </row>
    <row r="8964" spans="1:15" x14ac:dyDescent="0.35">
      <c r="A8964" s="503" t="s">
        <v>1327</v>
      </c>
      <c r="B8964" s="504" t="s">
        <v>3330</v>
      </c>
      <c r="C8964" s="504" t="s">
        <v>1094</v>
      </c>
      <c r="D8964" s="504" t="s">
        <v>3380</v>
      </c>
      <c r="E8964" s="504" t="s">
        <v>3381</v>
      </c>
      <c r="F8964" s="504" t="s">
        <v>982</v>
      </c>
      <c r="G8964" s="504" t="s">
        <v>983</v>
      </c>
      <c r="H8964" s="504" t="s">
        <v>10643</v>
      </c>
      <c r="I8964" s="504">
        <v>313</v>
      </c>
      <c r="J8964" s="504">
        <v>278</v>
      </c>
      <c r="K8964" s="504">
        <v>0</v>
      </c>
      <c r="L8964" s="504">
        <v>1</v>
      </c>
      <c r="M8964" s="504">
        <v>0</v>
      </c>
      <c r="N8964" s="504">
        <v>0</v>
      </c>
      <c r="O8964" s="505">
        <v>34</v>
      </c>
    </row>
    <row r="8965" spans="1:15" x14ac:dyDescent="0.35">
      <c r="A8965" s="500" t="s">
        <v>1220</v>
      </c>
      <c r="B8965" s="501">
        <v>4849</v>
      </c>
      <c r="C8965" s="501" t="s">
        <v>1094</v>
      </c>
      <c r="D8965" s="501" t="s">
        <v>3380</v>
      </c>
      <c r="E8965" s="501" t="s">
        <v>3381</v>
      </c>
      <c r="F8965" s="501" t="s">
        <v>982</v>
      </c>
      <c r="G8965" s="501" t="s">
        <v>983</v>
      </c>
      <c r="H8965" s="501" t="s">
        <v>10644</v>
      </c>
      <c r="I8965" s="501">
        <v>25</v>
      </c>
      <c r="J8965" s="501">
        <v>0</v>
      </c>
      <c r="K8965" s="501">
        <v>0</v>
      </c>
      <c r="L8965" s="501">
        <v>0</v>
      </c>
      <c r="M8965" s="501">
        <v>25</v>
      </c>
      <c r="N8965" s="501">
        <v>0</v>
      </c>
      <c r="O8965" s="506">
        <v>0</v>
      </c>
    </row>
    <row r="8966" spans="1:15" x14ac:dyDescent="0.35">
      <c r="A8966" s="503" t="s">
        <v>1221</v>
      </c>
      <c r="B8966" s="504">
        <v>4728</v>
      </c>
      <c r="C8966" s="504" t="s">
        <v>1089</v>
      </c>
      <c r="D8966" s="504" t="s">
        <v>3392</v>
      </c>
      <c r="E8966" s="504" t="s">
        <v>3381</v>
      </c>
      <c r="F8966" s="504" t="s">
        <v>982</v>
      </c>
      <c r="G8966" s="504" t="s">
        <v>983</v>
      </c>
      <c r="H8966" s="504" t="s">
        <v>10645</v>
      </c>
      <c r="I8966" s="504">
        <v>38</v>
      </c>
      <c r="J8966" s="504">
        <v>0</v>
      </c>
      <c r="K8966" s="504">
        <v>0</v>
      </c>
      <c r="L8966" s="504">
        <v>38</v>
      </c>
      <c r="M8966" s="504">
        <v>0</v>
      </c>
      <c r="N8966" s="504">
        <v>0</v>
      </c>
      <c r="O8966" s="505">
        <v>0</v>
      </c>
    </row>
    <row r="8967" spans="1:15" x14ac:dyDescent="0.35">
      <c r="A8967" s="500" t="s">
        <v>1122</v>
      </c>
      <c r="B8967" s="501" t="s">
        <v>2994</v>
      </c>
      <c r="C8967" s="501" t="s">
        <v>1094</v>
      </c>
      <c r="D8967" s="501" t="s">
        <v>3380</v>
      </c>
      <c r="E8967" s="501" t="s">
        <v>3381</v>
      </c>
      <c r="F8967" s="501" t="s">
        <v>982</v>
      </c>
      <c r="G8967" s="501" t="s">
        <v>983</v>
      </c>
      <c r="H8967" s="501" t="s">
        <v>10646</v>
      </c>
      <c r="I8967" s="501">
        <v>161</v>
      </c>
      <c r="J8967" s="501">
        <v>138</v>
      </c>
      <c r="K8967" s="501">
        <v>0</v>
      </c>
      <c r="L8967" s="501">
        <v>7</v>
      </c>
      <c r="M8967" s="501">
        <v>0</v>
      </c>
      <c r="N8967" s="501">
        <v>0</v>
      </c>
      <c r="O8967" s="506">
        <v>16</v>
      </c>
    </row>
    <row r="8968" spans="1:15" x14ac:dyDescent="0.35">
      <c r="A8968" s="503" t="s">
        <v>1225</v>
      </c>
      <c r="B8968" s="504" t="s">
        <v>3315</v>
      </c>
      <c r="C8968" s="504" t="s">
        <v>1094</v>
      </c>
      <c r="D8968" s="504" t="s">
        <v>3380</v>
      </c>
      <c r="E8968" s="504" t="s">
        <v>3381</v>
      </c>
      <c r="F8968" s="504" t="s">
        <v>982</v>
      </c>
      <c r="G8968" s="504" t="s">
        <v>983</v>
      </c>
      <c r="H8968" s="504" t="s">
        <v>10647</v>
      </c>
      <c r="I8968" s="504">
        <v>25</v>
      </c>
      <c r="J8968" s="504">
        <v>0</v>
      </c>
      <c r="K8968" s="504">
        <v>0</v>
      </c>
      <c r="L8968" s="504">
        <v>25</v>
      </c>
      <c r="M8968" s="504">
        <v>0</v>
      </c>
      <c r="N8968" s="504">
        <v>0</v>
      </c>
      <c r="O8968" s="505">
        <v>0</v>
      </c>
    </row>
    <row r="8969" spans="1:15" x14ac:dyDescent="0.35">
      <c r="A8969" s="500" t="s">
        <v>1124</v>
      </c>
      <c r="B8969" s="501">
        <v>4745</v>
      </c>
      <c r="C8969" s="501" t="s">
        <v>1094</v>
      </c>
      <c r="D8969" s="501" t="s">
        <v>3380</v>
      </c>
      <c r="E8969" s="501" t="s">
        <v>3381</v>
      </c>
      <c r="F8969" s="501" t="s">
        <v>982</v>
      </c>
      <c r="G8969" s="501" t="s">
        <v>983</v>
      </c>
      <c r="H8969" s="501" t="s">
        <v>10648</v>
      </c>
      <c r="I8969" s="501">
        <v>9</v>
      </c>
      <c r="J8969" s="501">
        <v>0</v>
      </c>
      <c r="K8969" s="501">
        <v>0</v>
      </c>
      <c r="L8969" s="501">
        <v>9</v>
      </c>
      <c r="M8969" s="501">
        <v>0</v>
      </c>
      <c r="N8969" s="501">
        <v>0</v>
      </c>
      <c r="O8969" s="506">
        <v>0</v>
      </c>
    </row>
    <row r="8970" spans="1:15" x14ac:dyDescent="0.35">
      <c r="A8970" s="503" t="s">
        <v>1234</v>
      </c>
      <c r="B8970" s="504" t="s">
        <v>3291</v>
      </c>
      <c r="C8970" s="504" t="s">
        <v>1094</v>
      </c>
      <c r="D8970" s="504" t="s">
        <v>3380</v>
      </c>
      <c r="E8970" s="504" t="s">
        <v>3381</v>
      </c>
      <c r="F8970" s="504" t="s">
        <v>982</v>
      </c>
      <c r="G8970" s="504" t="s">
        <v>983</v>
      </c>
      <c r="H8970" s="504" t="s">
        <v>10649</v>
      </c>
      <c r="I8970" s="504">
        <v>24</v>
      </c>
      <c r="J8970" s="504">
        <v>4</v>
      </c>
      <c r="K8970" s="504">
        <v>0</v>
      </c>
      <c r="L8970" s="504">
        <v>20</v>
      </c>
      <c r="M8970" s="504">
        <v>0</v>
      </c>
      <c r="N8970" s="504">
        <v>0</v>
      </c>
      <c r="O8970" s="505">
        <v>0</v>
      </c>
    </row>
    <row r="8971" spans="1:15" x14ac:dyDescent="0.35">
      <c r="A8971" s="500" t="s">
        <v>1126</v>
      </c>
      <c r="B8971" s="501" t="s">
        <v>2974</v>
      </c>
      <c r="C8971" s="501" t="s">
        <v>1094</v>
      </c>
      <c r="D8971" s="501" t="s">
        <v>3380</v>
      </c>
      <c r="E8971" s="501" t="s">
        <v>3381</v>
      </c>
      <c r="F8971" s="501" t="s">
        <v>982</v>
      </c>
      <c r="G8971" s="501" t="s">
        <v>983</v>
      </c>
      <c r="H8971" s="501" t="s">
        <v>10650</v>
      </c>
      <c r="I8971" s="501">
        <v>139</v>
      </c>
      <c r="J8971" s="501">
        <v>139</v>
      </c>
      <c r="K8971" s="501">
        <v>0</v>
      </c>
      <c r="L8971" s="501">
        <v>0</v>
      </c>
      <c r="M8971" s="501">
        <v>0</v>
      </c>
      <c r="N8971" s="501">
        <v>0</v>
      </c>
      <c r="O8971" s="506">
        <v>0</v>
      </c>
    </row>
    <row r="8972" spans="1:15" x14ac:dyDescent="0.35">
      <c r="A8972" s="503" t="s">
        <v>1341</v>
      </c>
      <c r="B8972" s="504" t="s">
        <v>3183</v>
      </c>
      <c r="C8972" s="504" t="s">
        <v>1094</v>
      </c>
      <c r="D8972" s="504" t="s">
        <v>3380</v>
      </c>
      <c r="E8972" s="504" t="s">
        <v>3381</v>
      </c>
      <c r="F8972" s="504" t="s">
        <v>982</v>
      </c>
      <c r="G8972" s="504" t="s">
        <v>983</v>
      </c>
      <c r="H8972" s="504" t="s">
        <v>15221</v>
      </c>
      <c r="I8972" s="504">
        <v>87</v>
      </c>
      <c r="J8972" s="504">
        <v>80</v>
      </c>
      <c r="K8972" s="504">
        <v>0</v>
      </c>
      <c r="L8972" s="504">
        <v>0</v>
      </c>
      <c r="M8972" s="504">
        <v>0</v>
      </c>
      <c r="N8972" s="504">
        <v>0</v>
      </c>
      <c r="O8972" s="505">
        <v>7</v>
      </c>
    </row>
    <row r="8973" spans="1:15" x14ac:dyDescent="0.35">
      <c r="A8973" s="500" t="s">
        <v>1130</v>
      </c>
      <c r="B8973" s="501" t="s">
        <v>3234</v>
      </c>
      <c r="C8973" s="501" t="s">
        <v>1094</v>
      </c>
      <c r="D8973" s="501" t="s">
        <v>3380</v>
      </c>
      <c r="E8973" s="501" t="s">
        <v>3381</v>
      </c>
      <c r="F8973" s="501" t="s">
        <v>982</v>
      </c>
      <c r="G8973" s="501" t="s">
        <v>983</v>
      </c>
      <c r="H8973" s="501" t="s">
        <v>10651</v>
      </c>
      <c r="I8973" s="501">
        <v>1</v>
      </c>
      <c r="J8973" s="501">
        <v>0</v>
      </c>
      <c r="K8973" s="501">
        <v>0</v>
      </c>
      <c r="L8973" s="501">
        <v>0</v>
      </c>
      <c r="M8973" s="501">
        <v>0</v>
      </c>
      <c r="N8973" s="501">
        <v>0</v>
      </c>
      <c r="O8973" s="506">
        <v>1</v>
      </c>
    </row>
    <row r="8974" spans="1:15" x14ac:dyDescent="0.35">
      <c r="A8974" s="503" t="s">
        <v>1253</v>
      </c>
      <c r="B8974" s="504" t="s">
        <v>3232</v>
      </c>
      <c r="C8974" s="504" t="s">
        <v>1094</v>
      </c>
      <c r="D8974" s="504" t="s">
        <v>3380</v>
      </c>
      <c r="E8974" s="504" t="s">
        <v>3381</v>
      </c>
      <c r="F8974" s="504" t="s">
        <v>982</v>
      </c>
      <c r="G8974" s="504" t="s">
        <v>983</v>
      </c>
      <c r="H8974" s="504" t="s">
        <v>10652</v>
      </c>
      <c r="I8974" s="504">
        <v>41</v>
      </c>
      <c r="J8974" s="504">
        <v>0</v>
      </c>
      <c r="K8974" s="504">
        <v>0</v>
      </c>
      <c r="L8974" s="504">
        <v>0</v>
      </c>
      <c r="M8974" s="504">
        <v>41</v>
      </c>
      <c r="N8974" s="504">
        <v>0</v>
      </c>
      <c r="O8974" s="505">
        <v>0</v>
      </c>
    </row>
    <row r="8975" spans="1:15" x14ac:dyDescent="0.35">
      <c r="A8975" s="500" t="s">
        <v>1369</v>
      </c>
      <c r="B8975" s="501" t="s">
        <v>3218</v>
      </c>
      <c r="C8975" s="501" t="s">
        <v>1094</v>
      </c>
      <c r="D8975" s="501" t="s">
        <v>3380</v>
      </c>
      <c r="E8975" s="501" t="s">
        <v>3381</v>
      </c>
      <c r="F8975" s="501" t="s">
        <v>982</v>
      </c>
      <c r="G8975" s="501" t="s">
        <v>983</v>
      </c>
      <c r="H8975" s="501" t="s">
        <v>10653</v>
      </c>
      <c r="I8975" s="501">
        <v>154</v>
      </c>
      <c r="J8975" s="501">
        <v>83</v>
      </c>
      <c r="K8975" s="501">
        <v>0</v>
      </c>
      <c r="L8975" s="501">
        <v>0</v>
      </c>
      <c r="M8975" s="501">
        <v>0</v>
      </c>
      <c r="N8975" s="501">
        <v>0</v>
      </c>
      <c r="O8975" s="506">
        <v>71</v>
      </c>
    </row>
    <row r="8976" spans="1:15" x14ac:dyDescent="0.35">
      <c r="A8976" s="503" t="s">
        <v>1374</v>
      </c>
      <c r="B8976" s="504" t="s">
        <v>3209</v>
      </c>
      <c r="C8976" s="504" t="s">
        <v>1094</v>
      </c>
      <c r="D8976" s="504" t="s">
        <v>3380</v>
      </c>
      <c r="E8976" s="504" t="s">
        <v>3381</v>
      </c>
      <c r="F8976" s="504" t="s">
        <v>982</v>
      </c>
      <c r="G8976" s="504" t="s">
        <v>983</v>
      </c>
      <c r="H8976" s="504" t="s">
        <v>10654</v>
      </c>
      <c r="I8976" s="504">
        <v>4399</v>
      </c>
      <c r="J8976" s="504">
        <v>3848</v>
      </c>
      <c r="K8976" s="504">
        <v>66</v>
      </c>
      <c r="L8976" s="504">
        <v>0</v>
      </c>
      <c r="M8976" s="504">
        <v>469</v>
      </c>
      <c r="N8976" s="504">
        <v>103</v>
      </c>
      <c r="O8976" s="505">
        <v>16</v>
      </c>
    </row>
    <row r="8977" spans="1:15" x14ac:dyDescent="0.35">
      <c r="A8977" s="500" t="s">
        <v>1376</v>
      </c>
      <c r="B8977" s="501" t="s">
        <v>3081</v>
      </c>
      <c r="C8977" s="501" t="s">
        <v>1089</v>
      </c>
      <c r="D8977" s="501" t="s">
        <v>3392</v>
      </c>
      <c r="E8977" s="501" t="s">
        <v>3381</v>
      </c>
      <c r="F8977" s="501" t="s">
        <v>982</v>
      </c>
      <c r="G8977" s="501" t="s">
        <v>983</v>
      </c>
      <c r="H8977" s="501" t="s">
        <v>10655</v>
      </c>
      <c r="I8977" s="501">
        <v>2</v>
      </c>
      <c r="J8977" s="501">
        <v>0</v>
      </c>
      <c r="K8977" s="501">
        <v>0</v>
      </c>
      <c r="L8977" s="501">
        <v>2</v>
      </c>
      <c r="M8977" s="501">
        <v>0</v>
      </c>
      <c r="N8977" s="501">
        <v>0</v>
      </c>
      <c r="O8977" s="506">
        <v>0</v>
      </c>
    </row>
    <row r="8978" spans="1:15" x14ac:dyDescent="0.35">
      <c r="A8978" s="503" t="s">
        <v>1386</v>
      </c>
      <c r="B8978" s="504" t="s">
        <v>3331</v>
      </c>
      <c r="C8978" s="504" t="s">
        <v>1094</v>
      </c>
      <c r="D8978" s="504" t="s">
        <v>3380</v>
      </c>
      <c r="E8978" s="504" t="s">
        <v>3381</v>
      </c>
      <c r="F8978" s="504" t="s">
        <v>984</v>
      </c>
      <c r="G8978" s="504" t="s">
        <v>985</v>
      </c>
      <c r="H8978" s="504" t="s">
        <v>10656</v>
      </c>
      <c r="I8978" s="504">
        <v>17</v>
      </c>
      <c r="J8978" s="504">
        <v>9</v>
      </c>
      <c r="K8978" s="504">
        <v>0</v>
      </c>
      <c r="L8978" s="504">
        <v>8</v>
      </c>
      <c r="M8978" s="504">
        <v>0</v>
      </c>
      <c r="N8978" s="504">
        <v>0</v>
      </c>
      <c r="O8978" s="505">
        <v>0</v>
      </c>
    </row>
    <row r="8979" spans="1:15" x14ac:dyDescent="0.35">
      <c r="A8979" s="500" t="s">
        <v>1793</v>
      </c>
      <c r="B8979" s="501" t="s">
        <v>2911</v>
      </c>
      <c r="C8979" s="501" t="s">
        <v>1089</v>
      </c>
      <c r="D8979" s="501" t="s">
        <v>3392</v>
      </c>
      <c r="E8979" s="501" t="s">
        <v>3381</v>
      </c>
      <c r="F8979" s="501" t="s">
        <v>984</v>
      </c>
      <c r="G8979" s="501" t="s">
        <v>985</v>
      </c>
      <c r="H8979" s="501" t="s">
        <v>10657</v>
      </c>
      <c r="I8979" s="501">
        <v>7</v>
      </c>
      <c r="J8979" s="501">
        <v>0</v>
      </c>
      <c r="K8979" s="501">
        <v>0</v>
      </c>
      <c r="L8979" s="501">
        <v>0</v>
      </c>
      <c r="M8979" s="501">
        <v>7</v>
      </c>
      <c r="N8979" s="501">
        <v>0</v>
      </c>
      <c r="O8979" s="506">
        <v>0</v>
      </c>
    </row>
    <row r="8980" spans="1:15" x14ac:dyDescent="0.35">
      <c r="A8980" s="503" t="s">
        <v>1091</v>
      </c>
      <c r="B8980" s="504" t="s">
        <v>3288</v>
      </c>
      <c r="C8980" s="504" t="s">
        <v>1089</v>
      </c>
      <c r="D8980" s="504" t="s">
        <v>3392</v>
      </c>
      <c r="E8980" s="504" t="s">
        <v>3381</v>
      </c>
      <c r="F8980" s="504" t="s">
        <v>984</v>
      </c>
      <c r="G8980" s="504" t="s">
        <v>985</v>
      </c>
      <c r="H8980" s="504" t="s">
        <v>10658</v>
      </c>
      <c r="I8980" s="504">
        <v>17</v>
      </c>
      <c r="J8980" s="504">
        <v>0</v>
      </c>
      <c r="K8980" s="504">
        <v>0</v>
      </c>
      <c r="L8980" s="504">
        <v>17</v>
      </c>
      <c r="M8980" s="504">
        <v>0</v>
      </c>
      <c r="N8980" s="504">
        <v>0</v>
      </c>
      <c r="O8980" s="505">
        <v>0</v>
      </c>
    </row>
    <row r="8981" spans="1:15" x14ac:dyDescent="0.35">
      <c r="A8981" s="500" t="s">
        <v>1143</v>
      </c>
      <c r="B8981" s="501" t="s">
        <v>3281</v>
      </c>
      <c r="C8981" s="501" t="s">
        <v>1094</v>
      </c>
      <c r="D8981" s="501" t="s">
        <v>3380</v>
      </c>
      <c r="E8981" s="501" t="s">
        <v>3381</v>
      </c>
      <c r="F8981" s="501" t="s">
        <v>984</v>
      </c>
      <c r="G8981" s="501" t="s">
        <v>985</v>
      </c>
      <c r="H8981" s="501" t="s">
        <v>10659</v>
      </c>
      <c r="I8981" s="501">
        <v>25</v>
      </c>
      <c r="J8981" s="501">
        <v>17</v>
      </c>
      <c r="K8981" s="501">
        <v>0</v>
      </c>
      <c r="L8981" s="501">
        <v>0</v>
      </c>
      <c r="M8981" s="501">
        <v>0</v>
      </c>
      <c r="N8981" s="501">
        <v>0</v>
      </c>
      <c r="O8981" s="506">
        <v>8</v>
      </c>
    </row>
    <row r="8982" spans="1:15" x14ac:dyDescent="0.35">
      <c r="A8982" s="503" t="s">
        <v>1093</v>
      </c>
      <c r="B8982" s="504" t="s">
        <v>3248</v>
      </c>
      <c r="C8982" s="504" t="s">
        <v>1094</v>
      </c>
      <c r="D8982" s="504" t="s">
        <v>3380</v>
      </c>
      <c r="E8982" s="504" t="s">
        <v>3381</v>
      </c>
      <c r="F8982" s="504" t="s">
        <v>984</v>
      </c>
      <c r="G8982" s="504" t="s">
        <v>985</v>
      </c>
      <c r="H8982" s="504" t="s">
        <v>10660</v>
      </c>
      <c r="I8982" s="504">
        <v>5</v>
      </c>
      <c r="J8982" s="504">
        <v>0</v>
      </c>
      <c r="K8982" s="504">
        <v>0</v>
      </c>
      <c r="L8982" s="504">
        <v>5</v>
      </c>
      <c r="M8982" s="504">
        <v>0</v>
      </c>
      <c r="N8982" s="504">
        <v>0</v>
      </c>
      <c r="O8982" s="505">
        <v>0</v>
      </c>
    </row>
    <row r="8983" spans="1:15" x14ac:dyDescent="0.35">
      <c r="A8983" s="500" t="s">
        <v>1802</v>
      </c>
      <c r="B8983" s="501">
        <v>4872</v>
      </c>
      <c r="C8983" s="501" t="s">
        <v>1089</v>
      </c>
      <c r="D8983" s="501" t="s">
        <v>3380</v>
      </c>
      <c r="E8983" s="501" t="s">
        <v>3381</v>
      </c>
      <c r="F8983" s="501" t="s">
        <v>984</v>
      </c>
      <c r="G8983" s="501" t="s">
        <v>985</v>
      </c>
      <c r="H8983" s="501" t="s">
        <v>10661</v>
      </c>
      <c r="I8983" s="501">
        <v>76</v>
      </c>
      <c r="J8983" s="501">
        <v>54</v>
      </c>
      <c r="K8983" s="501">
        <v>0</v>
      </c>
      <c r="L8983" s="501">
        <v>0</v>
      </c>
      <c r="M8983" s="501">
        <v>0</v>
      </c>
      <c r="N8983" s="501">
        <v>0</v>
      </c>
      <c r="O8983" s="506">
        <v>22</v>
      </c>
    </row>
    <row r="8984" spans="1:15" x14ac:dyDescent="0.35">
      <c r="A8984" s="503" t="s">
        <v>1098</v>
      </c>
      <c r="B8984" s="504">
        <v>4691</v>
      </c>
      <c r="C8984" s="504" t="s">
        <v>1094</v>
      </c>
      <c r="D8984" s="504" t="s">
        <v>3380</v>
      </c>
      <c r="E8984" s="504" t="s">
        <v>3381</v>
      </c>
      <c r="F8984" s="504" t="s">
        <v>984</v>
      </c>
      <c r="G8984" s="504" t="s">
        <v>985</v>
      </c>
      <c r="H8984" s="504" t="s">
        <v>15222</v>
      </c>
      <c r="I8984" s="504">
        <v>11</v>
      </c>
      <c r="J8984" s="504">
        <v>7</v>
      </c>
      <c r="K8984" s="504">
        <v>0</v>
      </c>
      <c r="L8984" s="504">
        <v>0</v>
      </c>
      <c r="M8984" s="504">
        <v>0</v>
      </c>
      <c r="N8984" s="504">
        <v>0</v>
      </c>
      <c r="O8984" s="505">
        <v>4</v>
      </c>
    </row>
    <row r="8985" spans="1:15" x14ac:dyDescent="0.35">
      <c r="A8985" s="500" t="s">
        <v>1100</v>
      </c>
      <c r="B8985" s="501">
        <v>4865</v>
      </c>
      <c r="C8985" s="501" t="s">
        <v>1094</v>
      </c>
      <c r="D8985" s="501" t="s">
        <v>3380</v>
      </c>
      <c r="E8985" s="501" t="s">
        <v>3381</v>
      </c>
      <c r="F8985" s="501" t="s">
        <v>984</v>
      </c>
      <c r="G8985" s="501" t="s">
        <v>985</v>
      </c>
      <c r="H8985" s="501" t="s">
        <v>10662</v>
      </c>
      <c r="I8985" s="501">
        <v>416</v>
      </c>
      <c r="J8985" s="501">
        <v>232</v>
      </c>
      <c r="K8985" s="501">
        <v>0</v>
      </c>
      <c r="L8985" s="501">
        <v>0</v>
      </c>
      <c r="M8985" s="501">
        <v>47</v>
      </c>
      <c r="N8985" s="501">
        <v>0</v>
      </c>
      <c r="O8985" s="506">
        <v>137</v>
      </c>
    </row>
    <row r="8986" spans="1:15" x14ac:dyDescent="0.35">
      <c r="A8986" s="503" t="s">
        <v>1175</v>
      </c>
      <c r="B8986" s="504" t="s">
        <v>3141</v>
      </c>
      <c r="C8986" s="504" t="s">
        <v>1094</v>
      </c>
      <c r="D8986" s="504" t="s">
        <v>3380</v>
      </c>
      <c r="E8986" s="504" t="s">
        <v>3381</v>
      </c>
      <c r="F8986" s="504" t="s">
        <v>984</v>
      </c>
      <c r="G8986" s="504" t="s">
        <v>985</v>
      </c>
      <c r="H8986" s="504" t="s">
        <v>10663</v>
      </c>
      <c r="I8986" s="504">
        <v>94</v>
      </c>
      <c r="J8986" s="504">
        <v>50</v>
      </c>
      <c r="K8986" s="504">
        <v>0</v>
      </c>
      <c r="L8986" s="504">
        <v>0</v>
      </c>
      <c r="M8986" s="504">
        <v>0</v>
      </c>
      <c r="N8986" s="504">
        <v>0</v>
      </c>
      <c r="O8986" s="505">
        <v>44</v>
      </c>
    </row>
    <row r="8987" spans="1:15" x14ac:dyDescent="0.35">
      <c r="A8987" s="500" t="s">
        <v>14208</v>
      </c>
      <c r="B8987" s="501">
        <v>4803</v>
      </c>
      <c r="C8987" s="501" t="s">
        <v>1094</v>
      </c>
      <c r="D8987" s="501" t="s">
        <v>3380</v>
      </c>
      <c r="E8987" s="501" t="s">
        <v>3381</v>
      </c>
      <c r="F8987" s="501" t="s">
        <v>984</v>
      </c>
      <c r="G8987" s="501" t="s">
        <v>985</v>
      </c>
      <c r="H8987" s="501" t="s">
        <v>15223</v>
      </c>
      <c r="I8987" s="501">
        <v>11</v>
      </c>
      <c r="J8987" s="501">
        <v>0</v>
      </c>
      <c r="K8987" s="501">
        <v>0</v>
      </c>
      <c r="L8987" s="501">
        <v>11</v>
      </c>
      <c r="M8987" s="501">
        <v>0</v>
      </c>
      <c r="N8987" s="501">
        <v>0</v>
      </c>
      <c r="O8987" s="506">
        <v>0</v>
      </c>
    </row>
    <row r="8988" spans="1:15" x14ac:dyDescent="0.35">
      <c r="A8988" s="503" t="s">
        <v>1849</v>
      </c>
      <c r="B8988" s="504" t="s">
        <v>3079</v>
      </c>
      <c r="C8988" s="504" t="s">
        <v>1089</v>
      </c>
      <c r="D8988" s="504" t="s">
        <v>3392</v>
      </c>
      <c r="E8988" s="504" t="s">
        <v>3381</v>
      </c>
      <c r="F8988" s="504" t="s">
        <v>984</v>
      </c>
      <c r="G8988" s="504" t="s">
        <v>985</v>
      </c>
      <c r="H8988" s="504" t="s">
        <v>10664</v>
      </c>
      <c r="I8988" s="504">
        <v>49</v>
      </c>
      <c r="J8988" s="504">
        <v>0</v>
      </c>
      <c r="K8988" s="504">
        <v>0</v>
      </c>
      <c r="L8988" s="504">
        <v>0</v>
      </c>
      <c r="M8988" s="504">
        <v>49</v>
      </c>
      <c r="N8988" s="504">
        <v>13</v>
      </c>
      <c r="O8988" s="505">
        <v>0</v>
      </c>
    </row>
    <row r="8989" spans="1:15" x14ac:dyDescent="0.35">
      <c r="A8989" s="500" t="s">
        <v>1105</v>
      </c>
      <c r="B8989" s="501">
        <v>4668</v>
      </c>
      <c r="C8989" s="501" t="s">
        <v>1094</v>
      </c>
      <c r="D8989" s="501" t="s">
        <v>3380</v>
      </c>
      <c r="E8989" s="501" t="s">
        <v>3381</v>
      </c>
      <c r="F8989" s="501" t="s">
        <v>984</v>
      </c>
      <c r="G8989" s="501" t="s">
        <v>985</v>
      </c>
      <c r="H8989" s="501" t="s">
        <v>10665</v>
      </c>
      <c r="I8989" s="501">
        <v>12</v>
      </c>
      <c r="J8989" s="501">
        <v>0</v>
      </c>
      <c r="K8989" s="501">
        <v>0</v>
      </c>
      <c r="L8989" s="501">
        <v>0</v>
      </c>
      <c r="M8989" s="501">
        <v>0</v>
      </c>
      <c r="N8989" s="501">
        <v>0</v>
      </c>
      <c r="O8989" s="506">
        <v>12</v>
      </c>
    </row>
    <row r="8990" spans="1:15" x14ac:dyDescent="0.35">
      <c r="A8990" s="503" t="s">
        <v>1189</v>
      </c>
      <c r="B8990" s="504" t="s">
        <v>3236</v>
      </c>
      <c r="C8990" s="504" t="s">
        <v>1094</v>
      </c>
      <c r="D8990" s="504" t="s">
        <v>3380</v>
      </c>
      <c r="E8990" s="504" t="s">
        <v>3381</v>
      </c>
      <c r="F8990" s="504" t="s">
        <v>984</v>
      </c>
      <c r="G8990" s="504" t="s">
        <v>985</v>
      </c>
      <c r="H8990" s="504" t="s">
        <v>10666</v>
      </c>
      <c r="I8990" s="504">
        <v>49</v>
      </c>
      <c r="J8990" s="504">
        <v>25</v>
      </c>
      <c r="K8990" s="504">
        <v>0</v>
      </c>
      <c r="L8990" s="504">
        <v>0</v>
      </c>
      <c r="M8990" s="504">
        <v>0</v>
      </c>
      <c r="N8990" s="504">
        <v>0</v>
      </c>
      <c r="O8990" s="505">
        <v>24</v>
      </c>
    </row>
    <row r="8991" spans="1:15" x14ac:dyDescent="0.35">
      <c r="A8991" s="500" t="s">
        <v>1202</v>
      </c>
      <c r="B8991" s="501" t="s">
        <v>3217</v>
      </c>
      <c r="C8991" s="501" t="s">
        <v>1094</v>
      </c>
      <c r="D8991" s="501" t="s">
        <v>3380</v>
      </c>
      <c r="E8991" s="501" t="s">
        <v>3381</v>
      </c>
      <c r="F8991" s="501" t="s">
        <v>984</v>
      </c>
      <c r="G8991" s="501" t="s">
        <v>985</v>
      </c>
      <c r="H8991" s="501" t="s">
        <v>10667</v>
      </c>
      <c r="I8991" s="501">
        <v>44</v>
      </c>
      <c r="J8991" s="501">
        <v>43</v>
      </c>
      <c r="K8991" s="501">
        <v>0</v>
      </c>
      <c r="L8991" s="501">
        <v>0</v>
      </c>
      <c r="M8991" s="501">
        <v>0</v>
      </c>
      <c r="N8991" s="501">
        <v>0</v>
      </c>
      <c r="O8991" s="506">
        <v>1</v>
      </c>
    </row>
    <row r="8992" spans="1:15" x14ac:dyDescent="0.35">
      <c r="A8992" s="503" t="s">
        <v>1112</v>
      </c>
      <c r="B8992" s="504" t="s">
        <v>3008</v>
      </c>
      <c r="C8992" s="504" t="s">
        <v>1094</v>
      </c>
      <c r="D8992" s="504" t="s">
        <v>3380</v>
      </c>
      <c r="E8992" s="504" t="s">
        <v>3381</v>
      </c>
      <c r="F8992" s="504" t="s">
        <v>984</v>
      </c>
      <c r="G8992" s="504" t="s">
        <v>985</v>
      </c>
      <c r="H8992" s="504" t="s">
        <v>10668</v>
      </c>
      <c r="I8992" s="504">
        <v>348</v>
      </c>
      <c r="J8992" s="504">
        <v>226</v>
      </c>
      <c r="K8992" s="504">
        <v>0</v>
      </c>
      <c r="L8992" s="504">
        <v>0</v>
      </c>
      <c r="M8992" s="504">
        <v>0</v>
      </c>
      <c r="N8992" s="504">
        <v>0</v>
      </c>
      <c r="O8992" s="505">
        <v>122</v>
      </c>
    </row>
    <row r="8993" spans="1:15" x14ac:dyDescent="0.35">
      <c r="A8993" s="500" t="s">
        <v>1501</v>
      </c>
      <c r="B8993" s="501" t="s">
        <v>2956</v>
      </c>
      <c r="C8993" s="501" t="s">
        <v>1094</v>
      </c>
      <c r="D8993" s="501" t="s">
        <v>3380</v>
      </c>
      <c r="E8993" s="501" t="s">
        <v>3381</v>
      </c>
      <c r="F8993" s="501" t="s">
        <v>984</v>
      </c>
      <c r="G8993" s="501" t="s">
        <v>985</v>
      </c>
      <c r="H8993" s="501" t="s">
        <v>10669</v>
      </c>
      <c r="I8993" s="501">
        <v>134</v>
      </c>
      <c r="J8993" s="501">
        <v>73</v>
      </c>
      <c r="K8993" s="501">
        <v>0</v>
      </c>
      <c r="L8993" s="501">
        <v>0</v>
      </c>
      <c r="M8993" s="501">
        <v>37</v>
      </c>
      <c r="N8993" s="501">
        <v>0</v>
      </c>
      <c r="O8993" s="506">
        <v>24</v>
      </c>
    </row>
    <row r="8994" spans="1:15" x14ac:dyDescent="0.35">
      <c r="A8994" s="503" t="s">
        <v>1540</v>
      </c>
      <c r="B8994" s="504" t="s">
        <v>3271</v>
      </c>
      <c r="C8994" s="504" t="s">
        <v>1089</v>
      </c>
      <c r="D8994" s="504" t="s">
        <v>3392</v>
      </c>
      <c r="E8994" s="504" t="s">
        <v>3381</v>
      </c>
      <c r="F8994" s="504" t="s">
        <v>984</v>
      </c>
      <c r="G8994" s="504" t="s">
        <v>985</v>
      </c>
      <c r="H8994" s="504" t="s">
        <v>15224</v>
      </c>
      <c r="I8994" s="504">
        <v>1</v>
      </c>
      <c r="J8994" s="504">
        <v>1</v>
      </c>
      <c r="K8994" s="504">
        <v>0</v>
      </c>
      <c r="L8994" s="504">
        <v>0</v>
      </c>
      <c r="M8994" s="504">
        <v>0</v>
      </c>
      <c r="N8994" s="504">
        <v>0</v>
      </c>
      <c r="O8994" s="505">
        <v>0</v>
      </c>
    </row>
    <row r="8995" spans="1:15" x14ac:dyDescent="0.35">
      <c r="A8995" s="500" t="s">
        <v>1233</v>
      </c>
      <c r="B8995" s="501">
        <v>4636</v>
      </c>
      <c r="C8995" s="501" t="s">
        <v>1094</v>
      </c>
      <c r="D8995" s="501" t="s">
        <v>3380</v>
      </c>
      <c r="E8995" s="501" t="s">
        <v>3381</v>
      </c>
      <c r="F8995" s="501" t="s">
        <v>984</v>
      </c>
      <c r="G8995" s="501" t="s">
        <v>985</v>
      </c>
      <c r="H8995" s="501" t="s">
        <v>10670</v>
      </c>
      <c r="I8995" s="501">
        <v>8</v>
      </c>
      <c r="J8995" s="501">
        <v>0</v>
      </c>
      <c r="K8995" s="501">
        <v>0</v>
      </c>
      <c r="L8995" s="501">
        <v>0</v>
      </c>
      <c r="M8995" s="501">
        <v>0</v>
      </c>
      <c r="N8995" s="501">
        <v>0</v>
      </c>
      <c r="O8995" s="506">
        <v>8</v>
      </c>
    </row>
    <row r="8996" spans="1:15" x14ac:dyDescent="0.35">
      <c r="A8996" s="503" t="s">
        <v>11368</v>
      </c>
      <c r="B8996" s="504">
        <v>5083</v>
      </c>
      <c r="C8996" s="504" t="s">
        <v>1094</v>
      </c>
      <c r="D8996" s="504" t="s">
        <v>3380</v>
      </c>
      <c r="E8996" s="504" t="s">
        <v>3381</v>
      </c>
      <c r="F8996" s="504" t="s">
        <v>984</v>
      </c>
      <c r="G8996" s="504" t="s">
        <v>985</v>
      </c>
      <c r="H8996" s="504" t="s">
        <v>12090</v>
      </c>
      <c r="I8996" s="504">
        <v>9</v>
      </c>
      <c r="J8996" s="504">
        <v>9</v>
      </c>
      <c r="K8996" s="504">
        <v>0</v>
      </c>
      <c r="L8996" s="504">
        <v>0</v>
      </c>
      <c r="M8996" s="504">
        <v>0</v>
      </c>
      <c r="N8996" s="504">
        <v>0</v>
      </c>
      <c r="O8996" s="505">
        <v>0</v>
      </c>
    </row>
    <row r="8997" spans="1:15" x14ac:dyDescent="0.35">
      <c r="A8997" s="500" t="s">
        <v>1547</v>
      </c>
      <c r="B8997" s="501" t="s">
        <v>3279</v>
      </c>
      <c r="C8997" s="501" t="s">
        <v>1089</v>
      </c>
      <c r="D8997" s="501" t="s">
        <v>3392</v>
      </c>
      <c r="E8997" s="501" t="s">
        <v>3381</v>
      </c>
      <c r="F8997" s="501" t="s">
        <v>984</v>
      </c>
      <c r="G8997" s="501" t="s">
        <v>985</v>
      </c>
      <c r="H8997" s="501" t="s">
        <v>15225</v>
      </c>
      <c r="I8997" s="501">
        <v>43</v>
      </c>
      <c r="J8997" s="501">
        <v>43</v>
      </c>
      <c r="K8997" s="501">
        <v>0</v>
      </c>
      <c r="L8997" s="501">
        <v>0</v>
      </c>
      <c r="M8997" s="501">
        <v>0</v>
      </c>
      <c r="N8997" s="501">
        <v>0</v>
      </c>
      <c r="O8997" s="506">
        <v>0</v>
      </c>
    </row>
    <row r="8998" spans="1:15" x14ac:dyDescent="0.35">
      <c r="A8998" s="503" t="s">
        <v>1130</v>
      </c>
      <c r="B8998" s="504" t="s">
        <v>3234</v>
      </c>
      <c r="C8998" s="504" t="s">
        <v>1094</v>
      </c>
      <c r="D8998" s="504" t="s">
        <v>3380</v>
      </c>
      <c r="E8998" s="504" t="s">
        <v>3381</v>
      </c>
      <c r="F8998" s="504" t="s">
        <v>984</v>
      </c>
      <c r="G8998" s="504" t="s">
        <v>985</v>
      </c>
      <c r="H8998" s="504" t="s">
        <v>10671</v>
      </c>
      <c r="I8998" s="504">
        <v>187</v>
      </c>
      <c r="J8998" s="504">
        <v>163</v>
      </c>
      <c r="K8998" s="504">
        <v>0</v>
      </c>
      <c r="L8998" s="504">
        <v>0</v>
      </c>
      <c r="M8998" s="504">
        <v>0</v>
      </c>
      <c r="N8998" s="504">
        <v>0</v>
      </c>
      <c r="O8998" s="505">
        <v>24</v>
      </c>
    </row>
    <row r="8999" spans="1:15" x14ac:dyDescent="0.35">
      <c r="A8999" s="500" t="s">
        <v>1132</v>
      </c>
      <c r="B8999" s="501">
        <v>4837</v>
      </c>
      <c r="C8999" s="501" t="s">
        <v>1094</v>
      </c>
      <c r="D8999" s="501" t="s">
        <v>3380</v>
      </c>
      <c r="E8999" s="501" t="s">
        <v>3381</v>
      </c>
      <c r="F8999" s="501" t="s">
        <v>984</v>
      </c>
      <c r="G8999" s="501" t="s">
        <v>985</v>
      </c>
      <c r="H8999" s="501" t="s">
        <v>10672</v>
      </c>
      <c r="I8999" s="501">
        <v>3</v>
      </c>
      <c r="J8999" s="501">
        <v>0</v>
      </c>
      <c r="K8999" s="501">
        <v>0</v>
      </c>
      <c r="L8999" s="501">
        <v>0</v>
      </c>
      <c r="M8999" s="501">
        <v>0</v>
      </c>
      <c r="N8999" s="501">
        <v>0</v>
      </c>
      <c r="O8999" s="506">
        <v>3</v>
      </c>
    </row>
    <row r="9000" spans="1:15" x14ac:dyDescent="0.35">
      <c r="A9000" s="503" t="s">
        <v>1241</v>
      </c>
      <c r="B9000" s="504">
        <v>4717</v>
      </c>
      <c r="C9000" s="504" t="s">
        <v>1094</v>
      </c>
      <c r="D9000" s="504" t="s">
        <v>3380</v>
      </c>
      <c r="E9000" s="504" t="s">
        <v>3381</v>
      </c>
      <c r="F9000" s="504" t="s">
        <v>984</v>
      </c>
      <c r="G9000" s="504" t="s">
        <v>985</v>
      </c>
      <c r="H9000" s="504" t="s">
        <v>10673</v>
      </c>
      <c r="I9000" s="504">
        <v>24</v>
      </c>
      <c r="J9000" s="504">
        <v>24</v>
      </c>
      <c r="K9000" s="504">
        <v>0</v>
      </c>
      <c r="L9000" s="504">
        <v>0</v>
      </c>
      <c r="M9000" s="504">
        <v>0</v>
      </c>
      <c r="N9000" s="504">
        <v>0</v>
      </c>
      <c r="O9000" s="505">
        <v>0</v>
      </c>
    </row>
    <row r="9001" spans="1:15" x14ac:dyDescent="0.35">
      <c r="A9001" s="500" t="s">
        <v>1134</v>
      </c>
      <c r="B9001" s="501" t="s">
        <v>3066</v>
      </c>
      <c r="C9001" s="501" t="s">
        <v>1094</v>
      </c>
      <c r="D9001" s="501" t="s">
        <v>3380</v>
      </c>
      <c r="E9001" s="501" t="s">
        <v>3381</v>
      </c>
      <c r="F9001" s="501" t="s">
        <v>984</v>
      </c>
      <c r="G9001" s="501" t="s">
        <v>985</v>
      </c>
      <c r="H9001" s="501" t="s">
        <v>10674</v>
      </c>
      <c r="I9001" s="501">
        <v>37</v>
      </c>
      <c r="J9001" s="501">
        <v>13</v>
      </c>
      <c r="K9001" s="501">
        <v>0</v>
      </c>
      <c r="L9001" s="501">
        <v>0</v>
      </c>
      <c r="M9001" s="501">
        <v>24</v>
      </c>
      <c r="N9001" s="501">
        <v>0</v>
      </c>
      <c r="O9001" s="506">
        <v>0</v>
      </c>
    </row>
    <row r="9002" spans="1:15" x14ac:dyDescent="0.35">
      <c r="A9002" s="503" t="s">
        <v>1136</v>
      </c>
      <c r="B9002" s="504">
        <v>4680</v>
      </c>
      <c r="C9002" s="504" t="s">
        <v>1094</v>
      </c>
      <c r="D9002" s="504" t="s">
        <v>3380</v>
      </c>
      <c r="E9002" s="504" t="s">
        <v>3381</v>
      </c>
      <c r="F9002" s="504" t="s">
        <v>984</v>
      </c>
      <c r="G9002" s="504" t="s">
        <v>985</v>
      </c>
      <c r="H9002" s="504" t="s">
        <v>10675</v>
      </c>
      <c r="I9002" s="504">
        <v>33</v>
      </c>
      <c r="J9002" s="504">
        <v>15</v>
      </c>
      <c r="K9002" s="504">
        <v>0</v>
      </c>
      <c r="L9002" s="504">
        <v>0</v>
      </c>
      <c r="M9002" s="504">
        <v>0</v>
      </c>
      <c r="N9002" s="504">
        <v>0</v>
      </c>
      <c r="O9002" s="505">
        <v>18</v>
      </c>
    </row>
    <row r="9003" spans="1:15" x14ac:dyDescent="0.35">
      <c r="A9003" s="500" t="s">
        <v>1253</v>
      </c>
      <c r="B9003" s="501" t="s">
        <v>3232</v>
      </c>
      <c r="C9003" s="501" t="s">
        <v>1094</v>
      </c>
      <c r="D9003" s="501" t="s">
        <v>3380</v>
      </c>
      <c r="E9003" s="501" t="s">
        <v>3381</v>
      </c>
      <c r="F9003" s="501" t="s">
        <v>984</v>
      </c>
      <c r="G9003" s="501" t="s">
        <v>985</v>
      </c>
      <c r="H9003" s="501" t="s">
        <v>10676</v>
      </c>
      <c r="I9003" s="501">
        <v>3</v>
      </c>
      <c r="J9003" s="501">
        <v>0</v>
      </c>
      <c r="K9003" s="501">
        <v>0</v>
      </c>
      <c r="L9003" s="501">
        <v>3</v>
      </c>
      <c r="M9003" s="501">
        <v>0</v>
      </c>
      <c r="N9003" s="501">
        <v>0</v>
      </c>
      <c r="O9003" s="506">
        <v>0</v>
      </c>
    </row>
    <row r="9004" spans="1:15" x14ac:dyDescent="0.35">
      <c r="A9004" s="503" t="s">
        <v>1581</v>
      </c>
      <c r="B9004" s="504" t="s">
        <v>2888</v>
      </c>
      <c r="C9004" s="504" t="s">
        <v>1089</v>
      </c>
      <c r="D9004" s="504" t="s">
        <v>3392</v>
      </c>
      <c r="E9004" s="504" t="s">
        <v>3381</v>
      </c>
      <c r="F9004" s="504" t="s">
        <v>984</v>
      </c>
      <c r="G9004" s="504" t="s">
        <v>985</v>
      </c>
      <c r="H9004" s="504" t="s">
        <v>10677</v>
      </c>
      <c r="I9004" s="504">
        <v>85</v>
      </c>
      <c r="J9004" s="504">
        <v>0</v>
      </c>
      <c r="K9004" s="504">
        <v>0</v>
      </c>
      <c r="L9004" s="504">
        <v>85</v>
      </c>
      <c r="M9004" s="504">
        <v>0</v>
      </c>
      <c r="N9004" s="504">
        <v>0</v>
      </c>
      <c r="O9004" s="505">
        <v>0</v>
      </c>
    </row>
    <row r="9005" spans="1:15" x14ac:dyDescent="0.35">
      <c r="A9005" s="500" t="s">
        <v>1140</v>
      </c>
      <c r="B9005" s="501">
        <v>4850</v>
      </c>
      <c r="C9005" s="501" t="s">
        <v>1094</v>
      </c>
      <c r="D9005" s="501" t="s">
        <v>3380</v>
      </c>
      <c r="E9005" s="501" t="s">
        <v>3381</v>
      </c>
      <c r="F9005" s="501" t="s">
        <v>984</v>
      </c>
      <c r="G9005" s="501" t="s">
        <v>985</v>
      </c>
      <c r="H9005" s="501" t="s">
        <v>10678</v>
      </c>
      <c r="I9005" s="501">
        <v>566</v>
      </c>
      <c r="J9005" s="501">
        <v>421</v>
      </c>
      <c r="K9005" s="501">
        <v>0</v>
      </c>
      <c r="L9005" s="501">
        <v>0</v>
      </c>
      <c r="M9005" s="501">
        <v>0</v>
      </c>
      <c r="N9005" s="501">
        <v>0</v>
      </c>
      <c r="O9005" s="506">
        <v>145</v>
      </c>
    </row>
    <row r="9006" spans="1:15" x14ac:dyDescent="0.35">
      <c r="A9006" s="503" t="s">
        <v>1262</v>
      </c>
      <c r="B9006" s="504">
        <v>4772</v>
      </c>
      <c r="C9006" s="504" t="s">
        <v>1089</v>
      </c>
      <c r="D9006" s="504" t="s">
        <v>3392</v>
      </c>
      <c r="E9006" s="504" t="s">
        <v>3381</v>
      </c>
      <c r="F9006" s="504" t="s">
        <v>984</v>
      </c>
      <c r="G9006" s="504" t="s">
        <v>985</v>
      </c>
      <c r="H9006" s="504" t="s">
        <v>10679</v>
      </c>
      <c r="I9006" s="504">
        <v>7</v>
      </c>
      <c r="J9006" s="504">
        <v>0</v>
      </c>
      <c r="K9006" s="504">
        <v>0</v>
      </c>
      <c r="L9006" s="504">
        <v>7</v>
      </c>
      <c r="M9006" s="504">
        <v>0</v>
      </c>
      <c r="N9006" s="504">
        <v>0</v>
      </c>
      <c r="O9006" s="505">
        <v>0</v>
      </c>
    </row>
    <row r="9007" spans="1:15" x14ac:dyDescent="0.35">
      <c r="A9007" s="500" t="s">
        <v>1938</v>
      </c>
      <c r="B9007" s="501" t="s">
        <v>2743</v>
      </c>
      <c r="C9007" s="501" t="s">
        <v>1089</v>
      </c>
      <c r="D9007" s="501" t="s">
        <v>3392</v>
      </c>
      <c r="E9007" s="501" t="s">
        <v>3381</v>
      </c>
      <c r="F9007" s="501" t="s">
        <v>984</v>
      </c>
      <c r="G9007" s="501" t="s">
        <v>985</v>
      </c>
      <c r="H9007" s="501" t="s">
        <v>10680</v>
      </c>
      <c r="I9007" s="501">
        <v>48</v>
      </c>
      <c r="J9007" s="501">
        <v>48</v>
      </c>
      <c r="K9007" s="501">
        <v>0</v>
      </c>
      <c r="L9007" s="501">
        <v>0</v>
      </c>
      <c r="M9007" s="501">
        <v>0</v>
      </c>
      <c r="N9007" s="501">
        <v>0</v>
      </c>
      <c r="O9007" s="506">
        <v>0</v>
      </c>
    </row>
    <row r="9008" spans="1:15" x14ac:dyDescent="0.35">
      <c r="A9008" s="503" t="s">
        <v>1264</v>
      </c>
      <c r="B9008" s="504">
        <v>4671</v>
      </c>
      <c r="C9008" s="504" t="s">
        <v>1089</v>
      </c>
      <c r="D9008" s="504" t="s">
        <v>3392</v>
      </c>
      <c r="E9008" s="504" t="s">
        <v>3381</v>
      </c>
      <c r="F9008" s="504" t="s">
        <v>984</v>
      </c>
      <c r="G9008" s="504" t="s">
        <v>985</v>
      </c>
      <c r="H9008" s="504" t="s">
        <v>15226</v>
      </c>
      <c r="I9008" s="504">
        <v>10</v>
      </c>
      <c r="J9008" s="504">
        <v>0</v>
      </c>
      <c r="K9008" s="504">
        <v>0</v>
      </c>
      <c r="L9008" s="504">
        <v>10</v>
      </c>
      <c r="M9008" s="504">
        <v>0</v>
      </c>
      <c r="N9008" s="504">
        <v>0</v>
      </c>
      <c r="O9008" s="505">
        <v>0</v>
      </c>
    </row>
    <row r="9009" spans="1:15" x14ac:dyDescent="0.35">
      <c r="A9009" s="500" t="s">
        <v>1386</v>
      </c>
      <c r="B9009" s="501" t="s">
        <v>3331</v>
      </c>
      <c r="C9009" s="501" t="s">
        <v>1094</v>
      </c>
      <c r="D9009" s="501" t="s">
        <v>3380</v>
      </c>
      <c r="E9009" s="501" t="s">
        <v>3381</v>
      </c>
      <c r="F9009" s="501" t="s">
        <v>986</v>
      </c>
      <c r="G9009" s="501" t="s">
        <v>987</v>
      </c>
      <c r="H9009" s="501" t="s">
        <v>10681</v>
      </c>
      <c r="I9009" s="501">
        <v>27</v>
      </c>
      <c r="J9009" s="501">
        <v>24</v>
      </c>
      <c r="K9009" s="501">
        <v>0</v>
      </c>
      <c r="L9009" s="501">
        <v>0</v>
      </c>
      <c r="M9009" s="501">
        <v>0</v>
      </c>
      <c r="N9009" s="501">
        <v>0</v>
      </c>
      <c r="O9009" s="506">
        <v>3</v>
      </c>
    </row>
    <row r="9010" spans="1:15" x14ac:dyDescent="0.35">
      <c r="A9010" s="503" t="s">
        <v>1096</v>
      </c>
      <c r="B9010" s="504" t="s">
        <v>3326</v>
      </c>
      <c r="C9010" s="504" t="s">
        <v>1094</v>
      </c>
      <c r="D9010" s="504" t="s">
        <v>3380</v>
      </c>
      <c r="E9010" s="504" t="s">
        <v>3381</v>
      </c>
      <c r="F9010" s="504" t="s">
        <v>986</v>
      </c>
      <c r="G9010" s="504" t="s">
        <v>987</v>
      </c>
      <c r="H9010" s="504" t="s">
        <v>10682</v>
      </c>
      <c r="I9010" s="504">
        <v>93</v>
      </c>
      <c r="J9010" s="504">
        <v>0</v>
      </c>
      <c r="K9010" s="504">
        <v>0</v>
      </c>
      <c r="L9010" s="504">
        <v>0</v>
      </c>
      <c r="M9010" s="504">
        <v>77</v>
      </c>
      <c r="N9010" s="504">
        <v>0</v>
      </c>
      <c r="O9010" s="505">
        <v>16</v>
      </c>
    </row>
    <row r="9011" spans="1:15" x14ac:dyDescent="0.35">
      <c r="A9011" s="500" t="s">
        <v>1100</v>
      </c>
      <c r="B9011" s="501">
        <v>4865</v>
      </c>
      <c r="C9011" s="501" t="s">
        <v>1094</v>
      </c>
      <c r="D9011" s="501" t="s">
        <v>3380</v>
      </c>
      <c r="E9011" s="501" t="s">
        <v>3381</v>
      </c>
      <c r="F9011" s="501" t="s">
        <v>986</v>
      </c>
      <c r="G9011" s="501" t="s">
        <v>987</v>
      </c>
      <c r="H9011" s="501" t="s">
        <v>10683</v>
      </c>
      <c r="I9011" s="501">
        <v>792</v>
      </c>
      <c r="J9011" s="501">
        <v>635</v>
      </c>
      <c r="K9011" s="501">
        <v>0</v>
      </c>
      <c r="L9011" s="501">
        <v>7</v>
      </c>
      <c r="M9011" s="501">
        <v>0</v>
      </c>
      <c r="N9011" s="501">
        <v>0</v>
      </c>
      <c r="O9011" s="506">
        <v>150</v>
      </c>
    </row>
    <row r="9012" spans="1:15" x14ac:dyDescent="0.35">
      <c r="A9012" s="503" t="s">
        <v>1443</v>
      </c>
      <c r="B9012" s="504" t="s">
        <v>3356</v>
      </c>
      <c r="C9012" s="504" t="s">
        <v>1094</v>
      </c>
      <c r="D9012" s="504" t="s">
        <v>3380</v>
      </c>
      <c r="E9012" s="504" t="s">
        <v>3381</v>
      </c>
      <c r="F9012" s="504" t="s">
        <v>986</v>
      </c>
      <c r="G9012" s="504" t="s">
        <v>987</v>
      </c>
      <c r="H9012" s="504" t="s">
        <v>10684</v>
      </c>
      <c r="I9012" s="504">
        <v>53</v>
      </c>
      <c r="J9012" s="504">
        <v>40</v>
      </c>
      <c r="K9012" s="504">
        <v>0</v>
      </c>
      <c r="L9012" s="504">
        <v>0</v>
      </c>
      <c r="M9012" s="504">
        <v>0</v>
      </c>
      <c r="N9012" s="504">
        <v>0</v>
      </c>
      <c r="O9012" s="505">
        <v>13</v>
      </c>
    </row>
    <row r="9013" spans="1:15" x14ac:dyDescent="0.35">
      <c r="A9013" s="500" t="s">
        <v>1185</v>
      </c>
      <c r="B9013" s="501" t="s">
        <v>3253</v>
      </c>
      <c r="C9013" s="501" t="s">
        <v>1094</v>
      </c>
      <c r="D9013" s="501" t="s">
        <v>3380</v>
      </c>
      <c r="E9013" s="501" t="s">
        <v>3381</v>
      </c>
      <c r="F9013" s="501" t="s">
        <v>986</v>
      </c>
      <c r="G9013" s="501" t="s">
        <v>987</v>
      </c>
      <c r="H9013" s="501" t="s">
        <v>10685</v>
      </c>
      <c r="I9013" s="501">
        <v>43</v>
      </c>
      <c r="J9013" s="501">
        <v>27</v>
      </c>
      <c r="K9013" s="501">
        <v>0</v>
      </c>
      <c r="L9013" s="501">
        <v>16</v>
      </c>
      <c r="M9013" s="501">
        <v>0</v>
      </c>
      <c r="N9013" s="501">
        <v>0</v>
      </c>
      <c r="O9013" s="506">
        <v>0</v>
      </c>
    </row>
    <row r="9014" spans="1:15" x14ac:dyDescent="0.35">
      <c r="A9014" s="503" t="s">
        <v>1187</v>
      </c>
      <c r="B9014" s="504" t="s">
        <v>2951</v>
      </c>
      <c r="C9014" s="504" t="s">
        <v>1094</v>
      </c>
      <c r="D9014" s="504" t="s">
        <v>3380</v>
      </c>
      <c r="E9014" s="504" t="s">
        <v>3381</v>
      </c>
      <c r="F9014" s="504" t="s">
        <v>986</v>
      </c>
      <c r="G9014" s="504" t="s">
        <v>987</v>
      </c>
      <c r="H9014" s="504" t="s">
        <v>10686</v>
      </c>
      <c r="I9014" s="504">
        <v>90</v>
      </c>
      <c r="J9014" s="504">
        <v>77</v>
      </c>
      <c r="K9014" s="504">
        <v>0</v>
      </c>
      <c r="L9014" s="504">
        <v>0</v>
      </c>
      <c r="M9014" s="504">
        <v>0</v>
      </c>
      <c r="N9014" s="504">
        <v>0</v>
      </c>
      <c r="O9014" s="505">
        <v>13</v>
      </c>
    </row>
    <row r="9015" spans="1:15" x14ac:dyDescent="0.35">
      <c r="A9015" s="500" t="s">
        <v>1105</v>
      </c>
      <c r="B9015" s="501">
        <v>4668</v>
      </c>
      <c r="C9015" s="501" t="s">
        <v>1094</v>
      </c>
      <c r="D9015" s="501" t="s">
        <v>3380</v>
      </c>
      <c r="E9015" s="501" t="s">
        <v>3381</v>
      </c>
      <c r="F9015" s="501" t="s">
        <v>986</v>
      </c>
      <c r="G9015" s="501" t="s">
        <v>987</v>
      </c>
      <c r="H9015" s="501" t="s">
        <v>10687</v>
      </c>
      <c r="I9015" s="501">
        <v>32</v>
      </c>
      <c r="J9015" s="501">
        <v>0</v>
      </c>
      <c r="K9015" s="501">
        <v>0</v>
      </c>
      <c r="L9015" s="501">
        <v>0</v>
      </c>
      <c r="M9015" s="501">
        <v>0</v>
      </c>
      <c r="N9015" s="501">
        <v>0</v>
      </c>
      <c r="O9015" s="506">
        <v>32</v>
      </c>
    </row>
    <row r="9016" spans="1:15" x14ac:dyDescent="0.35">
      <c r="A9016" s="503" t="s">
        <v>1188</v>
      </c>
      <c r="B9016" s="504">
        <v>4760</v>
      </c>
      <c r="C9016" s="504" t="s">
        <v>1089</v>
      </c>
      <c r="D9016" s="504" t="s">
        <v>3392</v>
      </c>
      <c r="E9016" s="504" t="s">
        <v>3381</v>
      </c>
      <c r="F9016" s="504" t="s">
        <v>986</v>
      </c>
      <c r="G9016" s="504" t="s">
        <v>987</v>
      </c>
      <c r="H9016" s="504" t="s">
        <v>10688</v>
      </c>
      <c r="I9016" s="504">
        <v>7</v>
      </c>
      <c r="J9016" s="504">
        <v>0</v>
      </c>
      <c r="K9016" s="504">
        <v>0</v>
      </c>
      <c r="L9016" s="504">
        <v>7</v>
      </c>
      <c r="M9016" s="504">
        <v>0</v>
      </c>
      <c r="N9016" s="504">
        <v>0</v>
      </c>
      <c r="O9016" s="505">
        <v>0</v>
      </c>
    </row>
    <row r="9017" spans="1:15" x14ac:dyDescent="0.35">
      <c r="A9017" s="500" t="s">
        <v>1107</v>
      </c>
      <c r="B9017" s="501" t="s">
        <v>3109</v>
      </c>
      <c r="C9017" s="501" t="s">
        <v>1094</v>
      </c>
      <c r="D9017" s="501" t="s">
        <v>3380</v>
      </c>
      <c r="E9017" s="501" t="s">
        <v>3381</v>
      </c>
      <c r="F9017" s="501" t="s">
        <v>986</v>
      </c>
      <c r="G9017" s="501" t="s">
        <v>987</v>
      </c>
      <c r="H9017" s="501" t="s">
        <v>10689</v>
      </c>
      <c r="I9017" s="501">
        <v>346</v>
      </c>
      <c r="J9017" s="501">
        <v>291</v>
      </c>
      <c r="K9017" s="501">
        <v>0</v>
      </c>
      <c r="L9017" s="501">
        <v>0</v>
      </c>
      <c r="M9017" s="501">
        <v>29</v>
      </c>
      <c r="N9017" s="501">
        <v>0</v>
      </c>
      <c r="O9017" s="506">
        <v>26</v>
      </c>
    </row>
    <row r="9018" spans="1:15" x14ac:dyDescent="0.35">
      <c r="A9018" s="503" t="s">
        <v>14243</v>
      </c>
      <c r="B9018" s="504">
        <v>5149</v>
      </c>
      <c r="C9018" s="504" t="s">
        <v>1089</v>
      </c>
      <c r="D9018" s="504" t="s">
        <v>3392</v>
      </c>
      <c r="E9018" s="504" t="s">
        <v>3381</v>
      </c>
      <c r="F9018" s="504" t="s">
        <v>986</v>
      </c>
      <c r="G9018" s="504" t="s">
        <v>987</v>
      </c>
      <c r="H9018" s="504" t="s">
        <v>15227</v>
      </c>
      <c r="I9018" s="504">
        <v>6</v>
      </c>
      <c r="J9018" s="504">
        <v>6</v>
      </c>
      <c r="K9018" s="504">
        <v>0</v>
      </c>
      <c r="L9018" s="504">
        <v>0</v>
      </c>
      <c r="M9018" s="504">
        <v>0</v>
      </c>
      <c r="N9018" s="504">
        <v>0</v>
      </c>
      <c r="O9018" s="505">
        <v>0</v>
      </c>
    </row>
    <row r="9019" spans="1:15" x14ac:dyDescent="0.35">
      <c r="A9019" s="500" t="s">
        <v>1310</v>
      </c>
      <c r="B9019" s="501">
        <v>5062</v>
      </c>
      <c r="C9019" s="501" t="s">
        <v>1089</v>
      </c>
      <c r="D9019" s="501" t="s">
        <v>3380</v>
      </c>
      <c r="E9019" s="501" t="s">
        <v>3381</v>
      </c>
      <c r="F9019" s="501" t="s">
        <v>986</v>
      </c>
      <c r="G9019" s="501" t="s">
        <v>987</v>
      </c>
      <c r="H9019" s="501" t="s">
        <v>10690</v>
      </c>
      <c r="I9019" s="501">
        <v>28</v>
      </c>
      <c r="J9019" s="501">
        <v>15</v>
      </c>
      <c r="K9019" s="501">
        <v>0</v>
      </c>
      <c r="L9019" s="501">
        <v>0</v>
      </c>
      <c r="M9019" s="501">
        <v>0</v>
      </c>
      <c r="N9019" s="501">
        <v>0</v>
      </c>
      <c r="O9019" s="506">
        <v>13</v>
      </c>
    </row>
    <row r="9020" spans="1:15" x14ac:dyDescent="0.35">
      <c r="A9020" s="503" t="s">
        <v>1202</v>
      </c>
      <c r="B9020" s="504" t="s">
        <v>3217</v>
      </c>
      <c r="C9020" s="504" t="s">
        <v>1094</v>
      </c>
      <c r="D9020" s="504" t="s">
        <v>3380</v>
      </c>
      <c r="E9020" s="504" t="s">
        <v>3381</v>
      </c>
      <c r="F9020" s="504" t="s">
        <v>986</v>
      </c>
      <c r="G9020" s="504" t="s">
        <v>987</v>
      </c>
      <c r="H9020" s="504" t="s">
        <v>10691</v>
      </c>
      <c r="I9020" s="504">
        <v>2</v>
      </c>
      <c r="J9020" s="504">
        <v>0</v>
      </c>
      <c r="K9020" s="504">
        <v>0</v>
      </c>
      <c r="L9020" s="504">
        <v>0</v>
      </c>
      <c r="M9020" s="504">
        <v>0</v>
      </c>
      <c r="N9020" s="504">
        <v>0</v>
      </c>
      <c r="O9020" s="505">
        <v>2</v>
      </c>
    </row>
    <row r="9021" spans="1:15" x14ac:dyDescent="0.35">
      <c r="A9021" s="500" t="s">
        <v>1114</v>
      </c>
      <c r="B9021" s="501" t="s">
        <v>2982</v>
      </c>
      <c r="C9021" s="501" t="s">
        <v>1094</v>
      </c>
      <c r="D9021" s="501" t="s">
        <v>3380</v>
      </c>
      <c r="E9021" s="501" t="s">
        <v>3381</v>
      </c>
      <c r="F9021" s="501" t="s">
        <v>986</v>
      </c>
      <c r="G9021" s="501" t="s">
        <v>987</v>
      </c>
      <c r="H9021" s="501" t="s">
        <v>10692</v>
      </c>
      <c r="I9021" s="501">
        <v>281</v>
      </c>
      <c r="J9021" s="501">
        <v>130</v>
      </c>
      <c r="K9021" s="501">
        <v>0</v>
      </c>
      <c r="L9021" s="501">
        <v>0</v>
      </c>
      <c r="M9021" s="501">
        <v>18</v>
      </c>
      <c r="N9021" s="501">
        <v>0</v>
      </c>
      <c r="O9021" s="506">
        <v>133</v>
      </c>
    </row>
    <row r="9022" spans="1:15" x14ac:dyDescent="0.35">
      <c r="A9022" s="503" t="s">
        <v>1217</v>
      </c>
      <c r="B9022" s="504">
        <v>4851</v>
      </c>
      <c r="C9022" s="504" t="s">
        <v>1094</v>
      </c>
      <c r="D9022" s="504" t="s">
        <v>3380</v>
      </c>
      <c r="E9022" s="504" t="s">
        <v>3381</v>
      </c>
      <c r="F9022" s="504" t="s">
        <v>986</v>
      </c>
      <c r="G9022" s="504" t="s">
        <v>987</v>
      </c>
      <c r="H9022" s="504" t="s">
        <v>10693</v>
      </c>
      <c r="I9022" s="504">
        <v>161</v>
      </c>
      <c r="J9022" s="504">
        <v>120</v>
      </c>
      <c r="K9022" s="504">
        <v>0</v>
      </c>
      <c r="L9022" s="504">
        <v>0</v>
      </c>
      <c r="M9022" s="504">
        <v>0</v>
      </c>
      <c r="N9022" s="504">
        <v>2</v>
      </c>
      <c r="O9022" s="505">
        <v>41</v>
      </c>
    </row>
    <row r="9023" spans="1:15" x14ac:dyDescent="0.35">
      <c r="A9023" s="500" t="s">
        <v>1218</v>
      </c>
      <c r="B9023" s="501" t="s">
        <v>3147</v>
      </c>
      <c r="C9023" s="501" t="s">
        <v>1094</v>
      </c>
      <c r="D9023" s="501" t="s">
        <v>3380</v>
      </c>
      <c r="E9023" s="501" t="s">
        <v>3381</v>
      </c>
      <c r="F9023" s="501" t="s">
        <v>986</v>
      </c>
      <c r="G9023" s="501" t="s">
        <v>987</v>
      </c>
      <c r="H9023" s="501" t="s">
        <v>10694</v>
      </c>
      <c r="I9023" s="501">
        <v>157</v>
      </c>
      <c r="J9023" s="501">
        <v>0</v>
      </c>
      <c r="K9023" s="501">
        <v>0</v>
      </c>
      <c r="L9023" s="501">
        <v>0</v>
      </c>
      <c r="M9023" s="501">
        <v>0</v>
      </c>
      <c r="N9023" s="501">
        <v>0</v>
      </c>
      <c r="O9023" s="506">
        <v>157</v>
      </c>
    </row>
    <row r="9024" spans="1:15" x14ac:dyDescent="0.35">
      <c r="A9024" s="503" t="s">
        <v>11367</v>
      </c>
      <c r="B9024" s="504" t="s">
        <v>3143</v>
      </c>
      <c r="C9024" s="504" t="s">
        <v>1094</v>
      </c>
      <c r="D9024" s="504" t="s">
        <v>3380</v>
      </c>
      <c r="E9024" s="504" t="s">
        <v>3381</v>
      </c>
      <c r="F9024" s="504" t="s">
        <v>986</v>
      </c>
      <c r="G9024" s="504" t="s">
        <v>987</v>
      </c>
      <c r="H9024" s="504" t="s">
        <v>11963</v>
      </c>
      <c r="I9024" s="504">
        <v>610</v>
      </c>
      <c r="J9024" s="504">
        <v>610</v>
      </c>
      <c r="K9024" s="504">
        <v>0</v>
      </c>
      <c r="L9024" s="504">
        <v>0</v>
      </c>
      <c r="M9024" s="504">
        <v>0</v>
      </c>
      <c r="N9024" s="504">
        <v>0</v>
      </c>
      <c r="O9024" s="505">
        <v>0</v>
      </c>
    </row>
    <row r="9025" spans="1:15" x14ac:dyDescent="0.35">
      <c r="A9025" s="500" t="s">
        <v>1122</v>
      </c>
      <c r="B9025" s="501" t="s">
        <v>2994</v>
      </c>
      <c r="C9025" s="501" t="s">
        <v>1094</v>
      </c>
      <c r="D9025" s="501" t="s">
        <v>3380</v>
      </c>
      <c r="E9025" s="501" t="s">
        <v>3381</v>
      </c>
      <c r="F9025" s="501" t="s">
        <v>986</v>
      </c>
      <c r="G9025" s="501" t="s">
        <v>987</v>
      </c>
      <c r="H9025" s="501" t="s">
        <v>10695</v>
      </c>
      <c r="I9025" s="501">
        <v>14</v>
      </c>
      <c r="J9025" s="501">
        <v>14</v>
      </c>
      <c r="K9025" s="501">
        <v>0</v>
      </c>
      <c r="L9025" s="501">
        <v>0</v>
      </c>
      <c r="M9025" s="501">
        <v>0</v>
      </c>
      <c r="N9025" s="501">
        <v>0</v>
      </c>
      <c r="O9025" s="506">
        <v>0</v>
      </c>
    </row>
    <row r="9026" spans="1:15" x14ac:dyDescent="0.35">
      <c r="A9026" s="503" t="s">
        <v>1233</v>
      </c>
      <c r="B9026" s="504">
        <v>4636</v>
      </c>
      <c r="C9026" s="504" t="s">
        <v>1094</v>
      </c>
      <c r="D9026" s="504" t="s">
        <v>3380</v>
      </c>
      <c r="E9026" s="504" t="s">
        <v>3381</v>
      </c>
      <c r="F9026" s="504" t="s">
        <v>986</v>
      </c>
      <c r="G9026" s="504" t="s">
        <v>987</v>
      </c>
      <c r="H9026" s="504" t="s">
        <v>12027</v>
      </c>
      <c r="I9026" s="504">
        <v>6</v>
      </c>
      <c r="J9026" s="504">
        <v>0</v>
      </c>
      <c r="K9026" s="504">
        <v>0</v>
      </c>
      <c r="L9026" s="504">
        <v>0</v>
      </c>
      <c r="M9026" s="504">
        <v>0</v>
      </c>
      <c r="N9026" s="504">
        <v>0</v>
      </c>
      <c r="O9026" s="505">
        <v>6</v>
      </c>
    </row>
    <row r="9027" spans="1:15" x14ac:dyDescent="0.35">
      <c r="A9027" s="500" t="s">
        <v>11368</v>
      </c>
      <c r="B9027" s="501">
        <v>5083</v>
      </c>
      <c r="C9027" s="501" t="s">
        <v>1094</v>
      </c>
      <c r="D9027" s="501" t="s">
        <v>3380</v>
      </c>
      <c r="E9027" s="501" t="s">
        <v>3381</v>
      </c>
      <c r="F9027" s="501" t="s">
        <v>986</v>
      </c>
      <c r="G9027" s="501" t="s">
        <v>987</v>
      </c>
      <c r="H9027" s="501" t="s">
        <v>15228</v>
      </c>
      <c r="I9027" s="501">
        <v>24</v>
      </c>
      <c r="J9027" s="501">
        <v>24</v>
      </c>
      <c r="K9027" s="501">
        <v>0</v>
      </c>
      <c r="L9027" s="501">
        <v>0</v>
      </c>
      <c r="M9027" s="501">
        <v>0</v>
      </c>
      <c r="N9027" s="501">
        <v>0</v>
      </c>
      <c r="O9027" s="506">
        <v>0</v>
      </c>
    </row>
    <row r="9028" spans="1:15" x14ac:dyDescent="0.35">
      <c r="A9028" s="503" t="s">
        <v>1126</v>
      </c>
      <c r="B9028" s="504" t="s">
        <v>2974</v>
      </c>
      <c r="C9028" s="504" t="s">
        <v>1094</v>
      </c>
      <c r="D9028" s="504" t="s">
        <v>3380</v>
      </c>
      <c r="E9028" s="504" t="s">
        <v>3381</v>
      </c>
      <c r="F9028" s="504" t="s">
        <v>986</v>
      </c>
      <c r="G9028" s="504" t="s">
        <v>987</v>
      </c>
      <c r="H9028" s="504" t="s">
        <v>10696</v>
      </c>
      <c r="I9028" s="504">
        <v>53</v>
      </c>
      <c r="J9028" s="504">
        <v>10</v>
      </c>
      <c r="K9028" s="504">
        <v>0</v>
      </c>
      <c r="L9028" s="504">
        <v>0</v>
      </c>
      <c r="M9028" s="504">
        <v>0</v>
      </c>
      <c r="N9028" s="504">
        <v>0</v>
      </c>
      <c r="O9028" s="505">
        <v>43</v>
      </c>
    </row>
    <row r="9029" spans="1:15" x14ac:dyDescent="0.35">
      <c r="A9029" s="500" t="s">
        <v>1892</v>
      </c>
      <c r="B9029" s="501" t="s">
        <v>3172</v>
      </c>
      <c r="C9029" s="501" t="s">
        <v>1094</v>
      </c>
      <c r="D9029" s="501" t="s">
        <v>3380</v>
      </c>
      <c r="E9029" s="501" t="s">
        <v>3381</v>
      </c>
      <c r="F9029" s="501" t="s">
        <v>986</v>
      </c>
      <c r="G9029" s="501" t="s">
        <v>987</v>
      </c>
      <c r="H9029" s="501" t="s">
        <v>10697</v>
      </c>
      <c r="I9029" s="501">
        <v>168</v>
      </c>
      <c r="J9029" s="501">
        <v>61</v>
      </c>
      <c r="K9029" s="501">
        <v>0</v>
      </c>
      <c r="L9029" s="501">
        <v>20</v>
      </c>
      <c r="M9029" s="501">
        <v>64</v>
      </c>
      <c r="N9029" s="501">
        <v>0</v>
      </c>
      <c r="O9029" s="506">
        <v>23</v>
      </c>
    </row>
    <row r="9030" spans="1:15" x14ac:dyDescent="0.35">
      <c r="A9030" s="503" t="s">
        <v>1899</v>
      </c>
      <c r="B9030" s="504" t="s">
        <v>3078</v>
      </c>
      <c r="C9030" s="504" t="s">
        <v>1089</v>
      </c>
      <c r="D9030" s="504" t="s">
        <v>3392</v>
      </c>
      <c r="E9030" s="504" t="s">
        <v>3381</v>
      </c>
      <c r="F9030" s="504" t="s">
        <v>986</v>
      </c>
      <c r="G9030" s="504" t="s">
        <v>987</v>
      </c>
      <c r="H9030" s="504" t="s">
        <v>10698</v>
      </c>
      <c r="I9030" s="504">
        <v>31</v>
      </c>
      <c r="J9030" s="504">
        <v>0</v>
      </c>
      <c r="K9030" s="504">
        <v>0</v>
      </c>
      <c r="L9030" s="504">
        <v>31</v>
      </c>
      <c r="M9030" s="504">
        <v>0</v>
      </c>
      <c r="N9030" s="504">
        <v>0</v>
      </c>
      <c r="O9030" s="505">
        <v>0</v>
      </c>
    </row>
    <row r="9031" spans="1:15" x14ac:dyDescent="0.35">
      <c r="A9031" s="500" t="s">
        <v>1130</v>
      </c>
      <c r="B9031" s="501" t="s">
        <v>3234</v>
      </c>
      <c r="C9031" s="501" t="s">
        <v>1094</v>
      </c>
      <c r="D9031" s="501" t="s">
        <v>3380</v>
      </c>
      <c r="E9031" s="501" t="s">
        <v>3381</v>
      </c>
      <c r="F9031" s="501" t="s">
        <v>986</v>
      </c>
      <c r="G9031" s="501" t="s">
        <v>987</v>
      </c>
      <c r="H9031" s="501" t="s">
        <v>10699</v>
      </c>
      <c r="I9031" s="501">
        <v>26</v>
      </c>
      <c r="J9031" s="501">
        <v>26</v>
      </c>
      <c r="K9031" s="501">
        <v>0</v>
      </c>
      <c r="L9031" s="501">
        <v>0</v>
      </c>
      <c r="M9031" s="501">
        <v>0</v>
      </c>
      <c r="N9031" s="501">
        <v>0</v>
      </c>
      <c r="O9031" s="506">
        <v>0</v>
      </c>
    </row>
    <row r="9032" spans="1:15" x14ac:dyDescent="0.35">
      <c r="A9032" s="503" t="s">
        <v>1134</v>
      </c>
      <c r="B9032" s="504" t="s">
        <v>3066</v>
      </c>
      <c r="C9032" s="504" t="s">
        <v>1094</v>
      </c>
      <c r="D9032" s="504" t="s">
        <v>3380</v>
      </c>
      <c r="E9032" s="504" t="s">
        <v>3381</v>
      </c>
      <c r="F9032" s="504" t="s">
        <v>986</v>
      </c>
      <c r="G9032" s="504" t="s">
        <v>987</v>
      </c>
      <c r="H9032" s="504" t="s">
        <v>10700</v>
      </c>
      <c r="I9032" s="504">
        <v>245</v>
      </c>
      <c r="J9032" s="504">
        <v>181</v>
      </c>
      <c r="K9032" s="504">
        <v>0</v>
      </c>
      <c r="L9032" s="504">
        <v>0</v>
      </c>
      <c r="M9032" s="504">
        <v>37</v>
      </c>
      <c r="N9032" s="504">
        <v>0</v>
      </c>
      <c r="O9032" s="505">
        <v>27</v>
      </c>
    </row>
    <row r="9033" spans="1:15" x14ac:dyDescent="0.35">
      <c r="A9033" s="500" t="s">
        <v>1904</v>
      </c>
      <c r="B9033" s="501" t="s">
        <v>3238</v>
      </c>
      <c r="C9033" s="501" t="s">
        <v>1089</v>
      </c>
      <c r="D9033" s="501" t="s">
        <v>3392</v>
      </c>
      <c r="E9033" s="501" t="s">
        <v>3381</v>
      </c>
      <c r="F9033" s="501" t="s">
        <v>986</v>
      </c>
      <c r="G9033" s="501" t="s">
        <v>987</v>
      </c>
      <c r="H9033" s="501" t="s">
        <v>10701</v>
      </c>
      <c r="I9033" s="501">
        <v>83</v>
      </c>
      <c r="J9033" s="501">
        <v>0</v>
      </c>
      <c r="K9033" s="501">
        <v>0</v>
      </c>
      <c r="L9033" s="501">
        <v>0</v>
      </c>
      <c r="M9033" s="501">
        <v>83</v>
      </c>
      <c r="N9033" s="501">
        <v>0</v>
      </c>
      <c r="O9033" s="506">
        <v>0</v>
      </c>
    </row>
    <row r="9034" spans="1:15" x14ac:dyDescent="0.35">
      <c r="A9034" s="503" t="s">
        <v>1928</v>
      </c>
      <c r="B9034" s="504" t="s">
        <v>3167</v>
      </c>
      <c r="C9034" s="504" t="s">
        <v>1094</v>
      </c>
      <c r="D9034" s="504" t="s">
        <v>3380</v>
      </c>
      <c r="E9034" s="504" t="s">
        <v>3381</v>
      </c>
      <c r="F9034" s="504" t="s">
        <v>986</v>
      </c>
      <c r="G9034" s="504" t="s">
        <v>987</v>
      </c>
      <c r="H9034" s="504" t="s">
        <v>10702</v>
      </c>
      <c r="I9034" s="504">
        <v>423</v>
      </c>
      <c r="J9034" s="504">
        <v>336</v>
      </c>
      <c r="K9034" s="504">
        <v>0</v>
      </c>
      <c r="L9034" s="504">
        <v>14</v>
      </c>
      <c r="M9034" s="504">
        <v>0</v>
      </c>
      <c r="N9034" s="504">
        <v>0</v>
      </c>
      <c r="O9034" s="505">
        <v>73</v>
      </c>
    </row>
    <row r="9035" spans="1:15" x14ac:dyDescent="0.35">
      <c r="A9035" s="500" t="s">
        <v>11420</v>
      </c>
      <c r="B9035" s="501" t="s">
        <v>2983</v>
      </c>
      <c r="C9035" s="501" t="s">
        <v>1089</v>
      </c>
      <c r="D9035" s="501" t="s">
        <v>3392</v>
      </c>
      <c r="E9035" s="501" t="s">
        <v>3381</v>
      </c>
      <c r="F9035" s="501" t="s">
        <v>986</v>
      </c>
      <c r="G9035" s="501" t="s">
        <v>987</v>
      </c>
      <c r="H9035" s="501" t="s">
        <v>12244</v>
      </c>
      <c r="I9035" s="501">
        <v>17</v>
      </c>
      <c r="J9035" s="501">
        <v>0</v>
      </c>
      <c r="K9035" s="501">
        <v>0</v>
      </c>
      <c r="L9035" s="501">
        <v>0</v>
      </c>
      <c r="M9035" s="501">
        <v>17</v>
      </c>
      <c r="N9035" s="501">
        <v>0</v>
      </c>
      <c r="O9035" s="506">
        <v>0</v>
      </c>
    </row>
    <row r="9036" spans="1:15" x14ac:dyDescent="0.35">
      <c r="A9036" s="503" t="s">
        <v>1268</v>
      </c>
      <c r="B9036" s="504" t="s">
        <v>2442</v>
      </c>
      <c r="C9036" s="504" t="s">
        <v>1089</v>
      </c>
      <c r="D9036" s="504" t="s">
        <v>3392</v>
      </c>
      <c r="E9036" s="504" t="s">
        <v>3381</v>
      </c>
      <c r="F9036" s="504" t="s">
        <v>988</v>
      </c>
      <c r="G9036" s="504" t="s">
        <v>989</v>
      </c>
      <c r="H9036" s="504" t="s">
        <v>10703</v>
      </c>
      <c r="I9036" s="504">
        <v>14</v>
      </c>
      <c r="J9036" s="504">
        <v>14</v>
      </c>
      <c r="K9036" s="504">
        <v>0</v>
      </c>
      <c r="L9036" s="504">
        <v>0</v>
      </c>
      <c r="M9036" s="504">
        <v>0</v>
      </c>
      <c r="N9036" s="504">
        <v>0</v>
      </c>
      <c r="O9036" s="505">
        <v>0</v>
      </c>
    </row>
    <row r="9037" spans="1:15" x14ac:dyDescent="0.35">
      <c r="A9037" s="500" t="s">
        <v>1096</v>
      </c>
      <c r="B9037" s="501" t="s">
        <v>3326</v>
      </c>
      <c r="C9037" s="501" t="s">
        <v>1094</v>
      </c>
      <c r="D9037" s="501" t="s">
        <v>3380</v>
      </c>
      <c r="E9037" s="501" t="s">
        <v>3381</v>
      </c>
      <c r="F9037" s="501" t="s">
        <v>988</v>
      </c>
      <c r="G9037" s="501" t="s">
        <v>989</v>
      </c>
      <c r="H9037" s="501" t="s">
        <v>10704</v>
      </c>
      <c r="I9037" s="501">
        <v>35</v>
      </c>
      <c r="J9037" s="501">
        <v>0</v>
      </c>
      <c r="K9037" s="501">
        <v>0</v>
      </c>
      <c r="L9037" s="501">
        <v>0</v>
      </c>
      <c r="M9037" s="501">
        <v>35</v>
      </c>
      <c r="N9037" s="501">
        <v>0</v>
      </c>
      <c r="O9037" s="506">
        <v>0</v>
      </c>
    </row>
    <row r="9038" spans="1:15" x14ac:dyDescent="0.35">
      <c r="A9038" s="503" t="s">
        <v>1273</v>
      </c>
      <c r="B9038" s="504" t="s">
        <v>3197</v>
      </c>
      <c r="C9038" s="504" t="s">
        <v>1094</v>
      </c>
      <c r="D9038" s="504" t="s">
        <v>3380</v>
      </c>
      <c r="E9038" s="504" t="s">
        <v>3381</v>
      </c>
      <c r="F9038" s="504" t="s">
        <v>988</v>
      </c>
      <c r="G9038" s="504" t="s">
        <v>989</v>
      </c>
      <c r="H9038" s="504" t="s">
        <v>10705</v>
      </c>
      <c r="I9038" s="504">
        <v>32</v>
      </c>
      <c r="J9038" s="504">
        <v>22</v>
      </c>
      <c r="K9038" s="504">
        <v>0</v>
      </c>
      <c r="L9038" s="504">
        <v>0</v>
      </c>
      <c r="M9038" s="504">
        <v>0</v>
      </c>
      <c r="N9038" s="504">
        <v>0</v>
      </c>
      <c r="O9038" s="505">
        <v>10</v>
      </c>
    </row>
    <row r="9039" spans="1:15" x14ac:dyDescent="0.35">
      <c r="A9039" s="500" t="s">
        <v>1161</v>
      </c>
      <c r="B9039" s="501" t="s">
        <v>3001</v>
      </c>
      <c r="C9039" s="501" t="s">
        <v>1094</v>
      </c>
      <c r="D9039" s="501" t="s">
        <v>3380</v>
      </c>
      <c r="E9039" s="501" t="s">
        <v>3381</v>
      </c>
      <c r="F9039" s="501" t="s">
        <v>988</v>
      </c>
      <c r="G9039" s="501" t="s">
        <v>989</v>
      </c>
      <c r="H9039" s="501" t="s">
        <v>10706</v>
      </c>
      <c r="I9039" s="501">
        <v>281</v>
      </c>
      <c r="J9039" s="501">
        <v>220</v>
      </c>
      <c r="K9039" s="501">
        <v>0</v>
      </c>
      <c r="L9039" s="501">
        <v>34</v>
      </c>
      <c r="M9039" s="501">
        <v>0</v>
      </c>
      <c r="N9039" s="501">
        <v>0</v>
      </c>
      <c r="O9039" s="506">
        <v>27</v>
      </c>
    </row>
    <row r="9040" spans="1:15" x14ac:dyDescent="0.35">
      <c r="A9040" s="503" t="s">
        <v>1100</v>
      </c>
      <c r="B9040" s="504">
        <v>4865</v>
      </c>
      <c r="C9040" s="504" t="s">
        <v>1094</v>
      </c>
      <c r="D9040" s="504" t="s">
        <v>3380</v>
      </c>
      <c r="E9040" s="504" t="s">
        <v>3381</v>
      </c>
      <c r="F9040" s="504" t="s">
        <v>988</v>
      </c>
      <c r="G9040" s="504" t="s">
        <v>989</v>
      </c>
      <c r="H9040" s="504" t="s">
        <v>10707</v>
      </c>
      <c r="I9040" s="504">
        <v>585</v>
      </c>
      <c r="J9040" s="504">
        <v>471</v>
      </c>
      <c r="K9040" s="504">
        <v>0</v>
      </c>
      <c r="L9040" s="504">
        <v>11</v>
      </c>
      <c r="M9040" s="504">
        <v>0</v>
      </c>
      <c r="N9040" s="504">
        <v>0</v>
      </c>
      <c r="O9040" s="505">
        <v>103</v>
      </c>
    </row>
    <row r="9041" spans="1:15" x14ac:dyDescent="0.35">
      <c r="A9041" s="500" t="s">
        <v>1288</v>
      </c>
      <c r="B9041" s="501" t="s">
        <v>3243</v>
      </c>
      <c r="C9041" s="501" t="s">
        <v>1089</v>
      </c>
      <c r="D9041" s="501" t="s">
        <v>3392</v>
      </c>
      <c r="E9041" s="501" t="s">
        <v>3381</v>
      </c>
      <c r="F9041" s="501" t="s">
        <v>988</v>
      </c>
      <c r="G9041" s="501" t="s">
        <v>989</v>
      </c>
      <c r="H9041" s="501" t="s">
        <v>10708</v>
      </c>
      <c r="I9041" s="501">
        <v>29</v>
      </c>
      <c r="J9041" s="501">
        <v>29</v>
      </c>
      <c r="K9041" s="501">
        <v>0</v>
      </c>
      <c r="L9041" s="501">
        <v>0</v>
      </c>
      <c r="M9041" s="501">
        <v>0</v>
      </c>
      <c r="N9041" s="501">
        <v>0</v>
      </c>
      <c r="O9041" s="506">
        <v>0</v>
      </c>
    </row>
    <row r="9042" spans="1:15" x14ac:dyDescent="0.35">
      <c r="A9042" s="503" t="s">
        <v>1295</v>
      </c>
      <c r="B9042" s="504">
        <v>5090</v>
      </c>
      <c r="C9042" s="504" t="s">
        <v>1094</v>
      </c>
      <c r="D9042" s="504" t="s">
        <v>3380</v>
      </c>
      <c r="E9042" s="504" t="s">
        <v>3381</v>
      </c>
      <c r="F9042" s="504" t="s">
        <v>988</v>
      </c>
      <c r="G9042" s="504" t="s">
        <v>989</v>
      </c>
      <c r="H9042" s="504" t="s">
        <v>10709</v>
      </c>
      <c r="I9042" s="504">
        <v>422</v>
      </c>
      <c r="J9042" s="504">
        <v>122</v>
      </c>
      <c r="K9042" s="504">
        <v>0</v>
      </c>
      <c r="L9042" s="504">
        <v>28</v>
      </c>
      <c r="M9042" s="504">
        <v>256</v>
      </c>
      <c r="N9042" s="504">
        <v>0</v>
      </c>
      <c r="O9042" s="505">
        <v>16</v>
      </c>
    </row>
    <row r="9043" spans="1:15" x14ac:dyDescent="0.35">
      <c r="A9043" s="500" t="s">
        <v>14208</v>
      </c>
      <c r="B9043" s="501">
        <v>4803</v>
      </c>
      <c r="C9043" s="501" t="s">
        <v>1094</v>
      </c>
      <c r="D9043" s="501" t="s">
        <v>3380</v>
      </c>
      <c r="E9043" s="501" t="s">
        <v>3381</v>
      </c>
      <c r="F9043" s="501" t="s">
        <v>988</v>
      </c>
      <c r="G9043" s="501" t="s">
        <v>989</v>
      </c>
      <c r="H9043" s="501" t="s">
        <v>15229</v>
      </c>
      <c r="I9043" s="501">
        <v>1</v>
      </c>
      <c r="J9043" s="501">
        <v>0</v>
      </c>
      <c r="K9043" s="501">
        <v>0</v>
      </c>
      <c r="L9043" s="501">
        <v>1</v>
      </c>
      <c r="M9043" s="501">
        <v>0</v>
      </c>
      <c r="N9043" s="501">
        <v>0</v>
      </c>
      <c r="O9043" s="506">
        <v>0</v>
      </c>
    </row>
    <row r="9044" spans="1:15" x14ac:dyDescent="0.35">
      <c r="A9044" s="503" t="s">
        <v>1182</v>
      </c>
      <c r="B9044" s="504">
        <v>5060</v>
      </c>
      <c r="C9044" s="504" t="s">
        <v>1094</v>
      </c>
      <c r="D9044" s="504" t="s">
        <v>3380</v>
      </c>
      <c r="E9044" s="504" t="s">
        <v>3381</v>
      </c>
      <c r="F9044" s="504" t="s">
        <v>988</v>
      </c>
      <c r="G9044" s="504" t="s">
        <v>989</v>
      </c>
      <c r="H9044" s="504" t="s">
        <v>10710</v>
      </c>
      <c r="I9044" s="504">
        <v>2</v>
      </c>
      <c r="J9044" s="504">
        <v>0</v>
      </c>
      <c r="K9044" s="504">
        <v>0</v>
      </c>
      <c r="L9044" s="504">
        <v>2</v>
      </c>
      <c r="M9044" s="504">
        <v>0</v>
      </c>
      <c r="N9044" s="504">
        <v>0</v>
      </c>
      <c r="O9044" s="505">
        <v>0</v>
      </c>
    </row>
    <row r="9045" spans="1:15" x14ac:dyDescent="0.35">
      <c r="A9045" s="500" t="s">
        <v>1105</v>
      </c>
      <c r="B9045" s="501">
        <v>4668</v>
      </c>
      <c r="C9045" s="501" t="s">
        <v>1094</v>
      </c>
      <c r="D9045" s="501" t="s">
        <v>3380</v>
      </c>
      <c r="E9045" s="501" t="s">
        <v>3381</v>
      </c>
      <c r="F9045" s="501" t="s">
        <v>988</v>
      </c>
      <c r="G9045" s="501" t="s">
        <v>989</v>
      </c>
      <c r="H9045" s="501" t="s">
        <v>10711</v>
      </c>
      <c r="I9045" s="501">
        <v>5</v>
      </c>
      <c r="J9045" s="501">
        <v>0</v>
      </c>
      <c r="K9045" s="501">
        <v>0</v>
      </c>
      <c r="L9045" s="501">
        <v>0</v>
      </c>
      <c r="M9045" s="501">
        <v>0</v>
      </c>
      <c r="N9045" s="501">
        <v>0</v>
      </c>
      <c r="O9045" s="506">
        <v>5</v>
      </c>
    </row>
    <row r="9046" spans="1:15" x14ac:dyDescent="0.35">
      <c r="A9046" s="503" t="s">
        <v>1302</v>
      </c>
      <c r="B9046" s="504" t="s">
        <v>3094</v>
      </c>
      <c r="C9046" s="504" t="s">
        <v>1094</v>
      </c>
      <c r="D9046" s="504" t="s">
        <v>3380</v>
      </c>
      <c r="E9046" s="504" t="s">
        <v>3381</v>
      </c>
      <c r="F9046" s="504" t="s">
        <v>988</v>
      </c>
      <c r="G9046" s="504" t="s">
        <v>989</v>
      </c>
      <c r="H9046" s="504" t="s">
        <v>10712</v>
      </c>
      <c r="I9046" s="504">
        <v>41</v>
      </c>
      <c r="J9046" s="504">
        <v>25</v>
      </c>
      <c r="K9046" s="504">
        <v>0</v>
      </c>
      <c r="L9046" s="504">
        <v>0</v>
      </c>
      <c r="M9046" s="504">
        <v>0</v>
      </c>
      <c r="N9046" s="504">
        <v>0</v>
      </c>
      <c r="O9046" s="505">
        <v>16</v>
      </c>
    </row>
    <row r="9047" spans="1:15" x14ac:dyDescent="0.35">
      <c r="A9047" s="500" t="s">
        <v>1107</v>
      </c>
      <c r="B9047" s="501" t="s">
        <v>3109</v>
      </c>
      <c r="C9047" s="501" t="s">
        <v>1094</v>
      </c>
      <c r="D9047" s="501" t="s">
        <v>3380</v>
      </c>
      <c r="E9047" s="501" t="s">
        <v>3381</v>
      </c>
      <c r="F9047" s="501" t="s">
        <v>988</v>
      </c>
      <c r="G9047" s="501" t="s">
        <v>989</v>
      </c>
      <c r="H9047" s="501" t="s">
        <v>10713</v>
      </c>
      <c r="I9047" s="501">
        <v>58</v>
      </c>
      <c r="J9047" s="501">
        <v>29</v>
      </c>
      <c r="K9047" s="501">
        <v>0</v>
      </c>
      <c r="L9047" s="501">
        <v>0</v>
      </c>
      <c r="M9047" s="501">
        <v>29</v>
      </c>
      <c r="N9047" s="501">
        <v>0</v>
      </c>
      <c r="O9047" s="506">
        <v>0</v>
      </c>
    </row>
    <row r="9048" spans="1:15" x14ac:dyDescent="0.35">
      <c r="A9048" s="503" t="s">
        <v>1190</v>
      </c>
      <c r="B9048" s="504">
        <v>4662</v>
      </c>
      <c r="C9048" s="504" t="s">
        <v>1094</v>
      </c>
      <c r="D9048" s="504" t="s">
        <v>3380</v>
      </c>
      <c r="E9048" s="504" t="s">
        <v>3381</v>
      </c>
      <c r="F9048" s="504" t="s">
        <v>988</v>
      </c>
      <c r="G9048" s="504" t="s">
        <v>989</v>
      </c>
      <c r="H9048" s="504" t="s">
        <v>10714</v>
      </c>
      <c r="I9048" s="504">
        <v>4</v>
      </c>
      <c r="J9048" s="504">
        <v>0</v>
      </c>
      <c r="K9048" s="504">
        <v>0</v>
      </c>
      <c r="L9048" s="504">
        <v>4</v>
      </c>
      <c r="M9048" s="504">
        <v>0</v>
      </c>
      <c r="N9048" s="504">
        <v>0</v>
      </c>
      <c r="O9048" s="505">
        <v>0</v>
      </c>
    </row>
    <row r="9049" spans="1:15" x14ac:dyDescent="0.35">
      <c r="A9049" s="500" t="s">
        <v>1112</v>
      </c>
      <c r="B9049" s="501" t="s">
        <v>3008</v>
      </c>
      <c r="C9049" s="501" t="s">
        <v>1094</v>
      </c>
      <c r="D9049" s="501" t="s">
        <v>3380</v>
      </c>
      <c r="E9049" s="501" t="s">
        <v>3381</v>
      </c>
      <c r="F9049" s="501" t="s">
        <v>988</v>
      </c>
      <c r="G9049" s="501" t="s">
        <v>989</v>
      </c>
      <c r="H9049" s="501" t="s">
        <v>10715</v>
      </c>
      <c r="I9049" s="501">
        <v>594</v>
      </c>
      <c r="J9049" s="501">
        <v>180</v>
      </c>
      <c r="K9049" s="501">
        <v>0</v>
      </c>
      <c r="L9049" s="501">
        <v>0</v>
      </c>
      <c r="M9049" s="501">
        <v>0</v>
      </c>
      <c r="N9049" s="501">
        <v>0</v>
      </c>
      <c r="O9049" s="506">
        <v>414</v>
      </c>
    </row>
    <row r="9050" spans="1:15" x14ac:dyDescent="0.35">
      <c r="A9050" s="503" t="s">
        <v>1114</v>
      </c>
      <c r="B9050" s="504" t="s">
        <v>2982</v>
      </c>
      <c r="C9050" s="504" t="s">
        <v>1094</v>
      </c>
      <c r="D9050" s="504" t="s">
        <v>3380</v>
      </c>
      <c r="E9050" s="504" t="s">
        <v>3381</v>
      </c>
      <c r="F9050" s="504" t="s">
        <v>988</v>
      </c>
      <c r="G9050" s="504" t="s">
        <v>989</v>
      </c>
      <c r="H9050" s="504" t="s">
        <v>10716</v>
      </c>
      <c r="I9050" s="504">
        <v>25</v>
      </c>
      <c r="J9050" s="504">
        <v>0</v>
      </c>
      <c r="K9050" s="504">
        <v>0</v>
      </c>
      <c r="L9050" s="504">
        <v>0</v>
      </c>
      <c r="M9050" s="504">
        <v>0</v>
      </c>
      <c r="N9050" s="504">
        <v>0</v>
      </c>
      <c r="O9050" s="505">
        <v>25</v>
      </c>
    </row>
    <row r="9051" spans="1:15" x14ac:dyDescent="0.35">
      <c r="A9051" s="500" t="s">
        <v>1315</v>
      </c>
      <c r="B9051" s="501">
        <v>4825</v>
      </c>
      <c r="C9051" s="501" t="s">
        <v>1094</v>
      </c>
      <c r="D9051" s="501" t="s">
        <v>3380</v>
      </c>
      <c r="E9051" s="501" t="s">
        <v>3381</v>
      </c>
      <c r="F9051" s="501" t="s">
        <v>988</v>
      </c>
      <c r="G9051" s="501" t="s">
        <v>989</v>
      </c>
      <c r="H9051" s="501" t="s">
        <v>10717</v>
      </c>
      <c r="I9051" s="501">
        <v>93</v>
      </c>
      <c r="J9051" s="501">
        <v>93</v>
      </c>
      <c r="K9051" s="501">
        <v>0</v>
      </c>
      <c r="L9051" s="501">
        <v>0</v>
      </c>
      <c r="M9051" s="501">
        <v>0</v>
      </c>
      <c r="N9051" s="501">
        <v>1</v>
      </c>
      <c r="O9051" s="506">
        <v>0</v>
      </c>
    </row>
    <row r="9052" spans="1:15" x14ac:dyDescent="0.35">
      <c r="A9052" s="503" t="s">
        <v>1319</v>
      </c>
      <c r="B9052" s="504">
        <v>4880</v>
      </c>
      <c r="C9052" s="504" t="s">
        <v>1094</v>
      </c>
      <c r="D9052" s="504" t="s">
        <v>3380</v>
      </c>
      <c r="E9052" s="504" t="s">
        <v>3381</v>
      </c>
      <c r="F9052" s="504" t="s">
        <v>988</v>
      </c>
      <c r="G9052" s="504" t="s">
        <v>989</v>
      </c>
      <c r="H9052" s="504" t="s">
        <v>10718</v>
      </c>
      <c r="I9052" s="504">
        <v>290</v>
      </c>
      <c r="J9052" s="504">
        <v>228</v>
      </c>
      <c r="K9052" s="504">
        <v>0</v>
      </c>
      <c r="L9052" s="504">
        <v>46</v>
      </c>
      <c r="M9052" s="504">
        <v>0</v>
      </c>
      <c r="N9052" s="504">
        <v>0</v>
      </c>
      <c r="O9052" s="505">
        <v>16</v>
      </c>
    </row>
    <row r="9053" spans="1:15" x14ac:dyDescent="0.35">
      <c r="A9053" s="500" t="s">
        <v>1323</v>
      </c>
      <c r="B9053" s="501" t="s">
        <v>2946</v>
      </c>
      <c r="C9053" s="501" t="s">
        <v>1089</v>
      </c>
      <c r="D9053" s="501" t="s">
        <v>3392</v>
      </c>
      <c r="E9053" s="501" t="s">
        <v>3381</v>
      </c>
      <c r="F9053" s="501" t="s">
        <v>988</v>
      </c>
      <c r="G9053" s="501" t="s">
        <v>989</v>
      </c>
      <c r="H9053" s="501" t="s">
        <v>10719</v>
      </c>
      <c r="I9053" s="501">
        <v>191</v>
      </c>
      <c r="J9053" s="501">
        <v>0</v>
      </c>
      <c r="K9053" s="501">
        <v>0</v>
      </c>
      <c r="L9053" s="501">
        <v>191</v>
      </c>
      <c r="M9053" s="501">
        <v>0</v>
      </c>
      <c r="N9053" s="501">
        <v>128</v>
      </c>
      <c r="O9053" s="506">
        <v>0</v>
      </c>
    </row>
    <row r="9054" spans="1:15" x14ac:dyDescent="0.35">
      <c r="A9054" s="503" t="s">
        <v>1325</v>
      </c>
      <c r="B9054" s="504" t="s">
        <v>3011</v>
      </c>
      <c r="C9054" s="504" t="s">
        <v>1094</v>
      </c>
      <c r="D9054" s="504" t="s">
        <v>3380</v>
      </c>
      <c r="E9054" s="504" t="s">
        <v>3381</v>
      </c>
      <c r="F9054" s="504" t="s">
        <v>988</v>
      </c>
      <c r="G9054" s="504" t="s">
        <v>989</v>
      </c>
      <c r="H9054" s="504" t="s">
        <v>10720</v>
      </c>
      <c r="I9054" s="504">
        <v>69</v>
      </c>
      <c r="J9054" s="504">
        <v>43</v>
      </c>
      <c r="K9054" s="504">
        <v>0</v>
      </c>
      <c r="L9054" s="504">
        <v>0</v>
      </c>
      <c r="M9054" s="504">
        <v>0</v>
      </c>
      <c r="N9054" s="504">
        <v>0</v>
      </c>
      <c r="O9054" s="505">
        <v>26</v>
      </c>
    </row>
    <row r="9055" spans="1:15" x14ac:dyDescent="0.35">
      <c r="A9055" s="500" t="s">
        <v>1327</v>
      </c>
      <c r="B9055" s="501" t="s">
        <v>3330</v>
      </c>
      <c r="C9055" s="501" t="s">
        <v>1094</v>
      </c>
      <c r="D9055" s="501" t="s">
        <v>3380</v>
      </c>
      <c r="E9055" s="501" t="s">
        <v>3381</v>
      </c>
      <c r="F9055" s="501" t="s">
        <v>988</v>
      </c>
      <c r="G9055" s="501" t="s">
        <v>989</v>
      </c>
      <c r="H9055" s="501" t="s">
        <v>10721</v>
      </c>
      <c r="I9055" s="501">
        <v>706</v>
      </c>
      <c r="J9055" s="501">
        <v>619</v>
      </c>
      <c r="K9055" s="501">
        <v>0</v>
      </c>
      <c r="L9055" s="501">
        <v>50</v>
      </c>
      <c r="M9055" s="501">
        <v>0</v>
      </c>
      <c r="N9055" s="501">
        <v>1</v>
      </c>
      <c r="O9055" s="506">
        <v>37</v>
      </c>
    </row>
    <row r="9056" spans="1:15" x14ac:dyDescent="0.35">
      <c r="A9056" s="503" t="s">
        <v>1122</v>
      </c>
      <c r="B9056" s="504" t="s">
        <v>2994</v>
      </c>
      <c r="C9056" s="504" t="s">
        <v>1094</v>
      </c>
      <c r="D9056" s="504" t="s">
        <v>3380</v>
      </c>
      <c r="E9056" s="504" t="s">
        <v>3381</v>
      </c>
      <c r="F9056" s="504" t="s">
        <v>988</v>
      </c>
      <c r="G9056" s="504" t="s">
        <v>989</v>
      </c>
      <c r="H9056" s="504" t="s">
        <v>10722</v>
      </c>
      <c r="I9056" s="504">
        <v>26</v>
      </c>
      <c r="J9056" s="504">
        <v>26</v>
      </c>
      <c r="K9056" s="504">
        <v>0</v>
      </c>
      <c r="L9056" s="504">
        <v>0</v>
      </c>
      <c r="M9056" s="504">
        <v>0</v>
      </c>
      <c r="N9056" s="504">
        <v>0</v>
      </c>
      <c r="O9056" s="505">
        <v>0</v>
      </c>
    </row>
    <row r="9057" spans="1:15" x14ac:dyDescent="0.35">
      <c r="A9057" s="500" t="s">
        <v>1225</v>
      </c>
      <c r="B9057" s="501" t="s">
        <v>3315</v>
      </c>
      <c r="C9057" s="501" t="s">
        <v>1094</v>
      </c>
      <c r="D9057" s="501" t="s">
        <v>3380</v>
      </c>
      <c r="E9057" s="501" t="s">
        <v>3381</v>
      </c>
      <c r="F9057" s="501" t="s">
        <v>988</v>
      </c>
      <c r="G9057" s="501" t="s">
        <v>989</v>
      </c>
      <c r="H9057" s="501" t="s">
        <v>10723</v>
      </c>
      <c r="I9057" s="501">
        <v>7</v>
      </c>
      <c r="J9057" s="501">
        <v>0</v>
      </c>
      <c r="K9057" s="501">
        <v>0</v>
      </c>
      <c r="L9057" s="501">
        <v>7</v>
      </c>
      <c r="M9057" s="501">
        <v>0</v>
      </c>
      <c r="N9057" s="501">
        <v>0</v>
      </c>
      <c r="O9057" s="506">
        <v>0</v>
      </c>
    </row>
    <row r="9058" spans="1:15" x14ac:dyDescent="0.35">
      <c r="A9058" s="503" t="s">
        <v>1126</v>
      </c>
      <c r="B9058" s="504" t="s">
        <v>2974</v>
      </c>
      <c r="C9058" s="504" t="s">
        <v>1094</v>
      </c>
      <c r="D9058" s="504" t="s">
        <v>3380</v>
      </c>
      <c r="E9058" s="504" t="s">
        <v>3381</v>
      </c>
      <c r="F9058" s="504" t="s">
        <v>988</v>
      </c>
      <c r="G9058" s="504" t="s">
        <v>989</v>
      </c>
      <c r="H9058" s="504" t="s">
        <v>10724</v>
      </c>
      <c r="I9058" s="504">
        <v>316</v>
      </c>
      <c r="J9058" s="504">
        <v>295</v>
      </c>
      <c r="K9058" s="504">
        <v>0</v>
      </c>
      <c r="L9058" s="504">
        <v>0</v>
      </c>
      <c r="M9058" s="504">
        <v>0</v>
      </c>
      <c r="N9058" s="504">
        <v>0</v>
      </c>
      <c r="O9058" s="505">
        <v>21</v>
      </c>
    </row>
    <row r="9059" spans="1:15" x14ac:dyDescent="0.35">
      <c r="A9059" s="500" t="s">
        <v>1341</v>
      </c>
      <c r="B9059" s="501" t="s">
        <v>3183</v>
      </c>
      <c r="C9059" s="501" t="s">
        <v>1094</v>
      </c>
      <c r="D9059" s="501" t="s">
        <v>3380</v>
      </c>
      <c r="E9059" s="501" t="s">
        <v>3381</v>
      </c>
      <c r="F9059" s="501" t="s">
        <v>988</v>
      </c>
      <c r="G9059" s="501" t="s">
        <v>989</v>
      </c>
      <c r="H9059" s="501" t="s">
        <v>10725</v>
      </c>
      <c r="I9059" s="501">
        <v>43</v>
      </c>
      <c r="J9059" s="501">
        <v>14</v>
      </c>
      <c r="K9059" s="501">
        <v>0</v>
      </c>
      <c r="L9059" s="501">
        <v>0</v>
      </c>
      <c r="M9059" s="501">
        <v>0</v>
      </c>
      <c r="N9059" s="501">
        <v>0</v>
      </c>
      <c r="O9059" s="506">
        <v>29</v>
      </c>
    </row>
    <row r="9060" spans="1:15" x14ac:dyDescent="0.35">
      <c r="A9060" s="503" t="s">
        <v>1130</v>
      </c>
      <c r="B9060" s="504" t="s">
        <v>3234</v>
      </c>
      <c r="C9060" s="504" t="s">
        <v>1094</v>
      </c>
      <c r="D9060" s="504" t="s">
        <v>3380</v>
      </c>
      <c r="E9060" s="504" t="s">
        <v>3381</v>
      </c>
      <c r="F9060" s="504" t="s">
        <v>988</v>
      </c>
      <c r="G9060" s="504" t="s">
        <v>989</v>
      </c>
      <c r="H9060" s="504" t="s">
        <v>10726</v>
      </c>
      <c r="I9060" s="504">
        <v>1</v>
      </c>
      <c r="J9060" s="504">
        <v>0</v>
      </c>
      <c r="K9060" s="504">
        <v>0</v>
      </c>
      <c r="L9060" s="504">
        <v>0</v>
      </c>
      <c r="M9060" s="504">
        <v>0</v>
      </c>
      <c r="N9060" s="504">
        <v>0</v>
      </c>
      <c r="O9060" s="505">
        <v>1</v>
      </c>
    </row>
    <row r="9061" spans="1:15" x14ac:dyDescent="0.35">
      <c r="A9061" s="500" t="s">
        <v>1249</v>
      </c>
      <c r="B9061" s="501">
        <v>4729</v>
      </c>
      <c r="C9061" s="501" t="s">
        <v>1094</v>
      </c>
      <c r="D9061" s="501" t="s">
        <v>3380</v>
      </c>
      <c r="E9061" s="501" t="s">
        <v>3381</v>
      </c>
      <c r="F9061" s="501" t="s">
        <v>988</v>
      </c>
      <c r="G9061" s="501" t="s">
        <v>989</v>
      </c>
      <c r="H9061" s="501" t="s">
        <v>10727</v>
      </c>
      <c r="I9061" s="501">
        <v>257</v>
      </c>
      <c r="J9061" s="501">
        <v>257</v>
      </c>
      <c r="K9061" s="501">
        <v>0</v>
      </c>
      <c r="L9061" s="501">
        <v>0</v>
      </c>
      <c r="M9061" s="501">
        <v>0</v>
      </c>
      <c r="N9061" s="501">
        <v>0</v>
      </c>
      <c r="O9061" s="506">
        <v>0</v>
      </c>
    </row>
    <row r="9062" spans="1:15" x14ac:dyDescent="0.35">
      <c r="A9062" s="503" t="s">
        <v>1369</v>
      </c>
      <c r="B9062" s="504" t="s">
        <v>3218</v>
      </c>
      <c r="C9062" s="504" t="s">
        <v>1094</v>
      </c>
      <c r="D9062" s="504" t="s">
        <v>3380</v>
      </c>
      <c r="E9062" s="504" t="s">
        <v>3381</v>
      </c>
      <c r="F9062" s="504" t="s">
        <v>988</v>
      </c>
      <c r="G9062" s="504" t="s">
        <v>989</v>
      </c>
      <c r="H9062" s="504" t="s">
        <v>10728</v>
      </c>
      <c r="I9062" s="504">
        <v>250</v>
      </c>
      <c r="J9062" s="504">
        <v>239</v>
      </c>
      <c r="K9062" s="504">
        <v>0</v>
      </c>
      <c r="L9062" s="504">
        <v>0</v>
      </c>
      <c r="M9062" s="504">
        <v>0</v>
      </c>
      <c r="N9062" s="504">
        <v>0</v>
      </c>
      <c r="O9062" s="505">
        <v>11</v>
      </c>
    </row>
    <row r="9063" spans="1:15" x14ac:dyDescent="0.35">
      <c r="A9063" s="500" t="s">
        <v>1374</v>
      </c>
      <c r="B9063" s="501" t="s">
        <v>3209</v>
      </c>
      <c r="C9063" s="501" t="s">
        <v>1094</v>
      </c>
      <c r="D9063" s="501" t="s">
        <v>3380</v>
      </c>
      <c r="E9063" s="501" t="s">
        <v>3381</v>
      </c>
      <c r="F9063" s="501" t="s">
        <v>988</v>
      </c>
      <c r="G9063" s="501" t="s">
        <v>989</v>
      </c>
      <c r="H9063" s="501" t="s">
        <v>12247</v>
      </c>
      <c r="I9063" s="501">
        <v>12</v>
      </c>
      <c r="J9063" s="501">
        <v>6</v>
      </c>
      <c r="K9063" s="501">
        <v>0</v>
      </c>
      <c r="L9063" s="501">
        <v>0</v>
      </c>
      <c r="M9063" s="501">
        <v>0</v>
      </c>
      <c r="N9063" s="501">
        <v>0</v>
      </c>
      <c r="O9063" s="506">
        <v>6</v>
      </c>
    </row>
    <row r="9064" spans="1:15" x14ac:dyDescent="0.35">
      <c r="A9064" s="503" t="s">
        <v>1385</v>
      </c>
      <c r="B9064" s="504" t="s">
        <v>3249</v>
      </c>
      <c r="C9064" s="504" t="s">
        <v>1094</v>
      </c>
      <c r="D9064" s="504" t="s">
        <v>3380</v>
      </c>
      <c r="E9064" s="504" t="s">
        <v>3381</v>
      </c>
      <c r="F9064" s="504" t="s">
        <v>990</v>
      </c>
      <c r="G9064" s="504" t="s">
        <v>991</v>
      </c>
      <c r="H9064" s="504" t="s">
        <v>10729</v>
      </c>
      <c r="I9064" s="504">
        <v>2</v>
      </c>
      <c r="J9064" s="504">
        <v>2</v>
      </c>
      <c r="K9064" s="504">
        <v>0</v>
      </c>
      <c r="L9064" s="504">
        <v>0</v>
      </c>
      <c r="M9064" s="504">
        <v>0</v>
      </c>
      <c r="N9064" s="504">
        <v>0</v>
      </c>
      <c r="O9064" s="505">
        <v>0</v>
      </c>
    </row>
    <row r="9065" spans="1:15" x14ac:dyDescent="0.35">
      <c r="A9065" s="500" t="s">
        <v>1386</v>
      </c>
      <c r="B9065" s="501" t="s">
        <v>3331</v>
      </c>
      <c r="C9065" s="501" t="s">
        <v>1094</v>
      </c>
      <c r="D9065" s="501" t="s">
        <v>3380</v>
      </c>
      <c r="E9065" s="501" t="s">
        <v>3381</v>
      </c>
      <c r="F9065" s="501" t="s">
        <v>990</v>
      </c>
      <c r="G9065" s="501" t="s">
        <v>991</v>
      </c>
      <c r="H9065" s="501" t="s">
        <v>10730</v>
      </c>
      <c r="I9065" s="501">
        <v>452</v>
      </c>
      <c r="J9065" s="501">
        <v>273</v>
      </c>
      <c r="K9065" s="501">
        <v>0</v>
      </c>
      <c r="L9065" s="501">
        <v>54</v>
      </c>
      <c r="M9065" s="501">
        <v>91</v>
      </c>
      <c r="N9065" s="501">
        <v>0</v>
      </c>
      <c r="O9065" s="506">
        <v>34</v>
      </c>
    </row>
    <row r="9066" spans="1:15" x14ac:dyDescent="0.35">
      <c r="A9066" s="503" t="s">
        <v>1091</v>
      </c>
      <c r="B9066" s="504" t="s">
        <v>3288</v>
      </c>
      <c r="C9066" s="504" t="s">
        <v>1089</v>
      </c>
      <c r="D9066" s="504" t="s">
        <v>3392</v>
      </c>
      <c r="E9066" s="504" t="s">
        <v>3381</v>
      </c>
      <c r="F9066" s="504" t="s">
        <v>990</v>
      </c>
      <c r="G9066" s="504" t="s">
        <v>991</v>
      </c>
      <c r="H9066" s="504" t="s">
        <v>10731</v>
      </c>
      <c r="I9066" s="504">
        <v>5</v>
      </c>
      <c r="J9066" s="504">
        <v>0</v>
      </c>
      <c r="K9066" s="504">
        <v>0</v>
      </c>
      <c r="L9066" s="504">
        <v>5</v>
      </c>
      <c r="M9066" s="504">
        <v>0</v>
      </c>
      <c r="N9066" s="504">
        <v>0</v>
      </c>
      <c r="O9066" s="505">
        <v>0</v>
      </c>
    </row>
    <row r="9067" spans="1:15" x14ac:dyDescent="0.35">
      <c r="A9067" s="500" t="s">
        <v>14127</v>
      </c>
      <c r="B9067" s="501" t="s">
        <v>14126</v>
      </c>
      <c r="C9067" s="501" t="s">
        <v>1094</v>
      </c>
      <c r="D9067" s="501" t="s">
        <v>3380</v>
      </c>
      <c r="E9067" s="501" t="s">
        <v>3381</v>
      </c>
      <c r="F9067" s="501" t="s">
        <v>990</v>
      </c>
      <c r="G9067" s="501" t="s">
        <v>991</v>
      </c>
      <c r="H9067" s="501" t="s">
        <v>15230</v>
      </c>
      <c r="I9067" s="501">
        <v>13</v>
      </c>
      <c r="J9067" s="501">
        <v>10</v>
      </c>
      <c r="K9067" s="501">
        <v>0</v>
      </c>
      <c r="L9067" s="501">
        <v>0</v>
      </c>
      <c r="M9067" s="501">
        <v>0</v>
      </c>
      <c r="N9067" s="501">
        <v>0</v>
      </c>
      <c r="O9067" s="506">
        <v>3</v>
      </c>
    </row>
    <row r="9068" spans="1:15" x14ac:dyDescent="0.35">
      <c r="A9068" s="503" t="s">
        <v>1093</v>
      </c>
      <c r="B9068" s="504" t="s">
        <v>3248</v>
      </c>
      <c r="C9068" s="504" t="s">
        <v>1094</v>
      </c>
      <c r="D9068" s="504" t="s">
        <v>3380</v>
      </c>
      <c r="E9068" s="504" t="s">
        <v>3381</v>
      </c>
      <c r="F9068" s="504" t="s">
        <v>990</v>
      </c>
      <c r="G9068" s="504" t="s">
        <v>991</v>
      </c>
      <c r="H9068" s="504" t="s">
        <v>10732</v>
      </c>
      <c r="I9068" s="504">
        <v>17</v>
      </c>
      <c r="J9068" s="504">
        <v>0</v>
      </c>
      <c r="K9068" s="504">
        <v>0</v>
      </c>
      <c r="L9068" s="504">
        <v>11</v>
      </c>
      <c r="M9068" s="504">
        <v>0</v>
      </c>
      <c r="N9068" s="504">
        <v>0</v>
      </c>
      <c r="O9068" s="505">
        <v>6</v>
      </c>
    </row>
    <row r="9069" spans="1:15" x14ac:dyDescent="0.35">
      <c r="A9069" s="500" t="s">
        <v>1096</v>
      </c>
      <c r="B9069" s="501" t="s">
        <v>3326</v>
      </c>
      <c r="C9069" s="501" t="s">
        <v>1094</v>
      </c>
      <c r="D9069" s="501" t="s">
        <v>3380</v>
      </c>
      <c r="E9069" s="501" t="s">
        <v>3381</v>
      </c>
      <c r="F9069" s="501" t="s">
        <v>990</v>
      </c>
      <c r="G9069" s="501" t="s">
        <v>991</v>
      </c>
      <c r="H9069" s="501" t="s">
        <v>10733</v>
      </c>
      <c r="I9069" s="501">
        <v>103</v>
      </c>
      <c r="J9069" s="501">
        <v>0</v>
      </c>
      <c r="K9069" s="501">
        <v>0</v>
      </c>
      <c r="L9069" s="501">
        <v>0</v>
      </c>
      <c r="M9069" s="501">
        <v>103</v>
      </c>
      <c r="N9069" s="501">
        <v>0</v>
      </c>
      <c r="O9069" s="506">
        <v>0</v>
      </c>
    </row>
    <row r="9070" spans="1:15" x14ac:dyDescent="0.35">
      <c r="A9070" s="503" t="s">
        <v>1802</v>
      </c>
      <c r="B9070" s="504">
        <v>4872</v>
      </c>
      <c r="C9070" s="504" t="s">
        <v>1089</v>
      </c>
      <c r="D9070" s="504" t="s">
        <v>3380</v>
      </c>
      <c r="E9070" s="504" t="s">
        <v>3381</v>
      </c>
      <c r="F9070" s="504" t="s">
        <v>990</v>
      </c>
      <c r="G9070" s="504" t="s">
        <v>991</v>
      </c>
      <c r="H9070" s="504" t="s">
        <v>10734</v>
      </c>
      <c r="I9070" s="504">
        <v>40</v>
      </c>
      <c r="J9070" s="504">
        <v>40</v>
      </c>
      <c r="K9070" s="504">
        <v>0</v>
      </c>
      <c r="L9070" s="504">
        <v>0</v>
      </c>
      <c r="M9070" s="504">
        <v>0</v>
      </c>
      <c r="N9070" s="504">
        <v>0</v>
      </c>
      <c r="O9070" s="505">
        <v>0</v>
      </c>
    </row>
    <row r="9071" spans="1:15" x14ac:dyDescent="0.35">
      <c r="A9071" s="500" t="s">
        <v>1098</v>
      </c>
      <c r="B9071" s="501">
        <v>4691</v>
      </c>
      <c r="C9071" s="501" t="s">
        <v>1094</v>
      </c>
      <c r="D9071" s="501" t="s">
        <v>3380</v>
      </c>
      <c r="E9071" s="501" t="s">
        <v>3381</v>
      </c>
      <c r="F9071" s="501" t="s">
        <v>990</v>
      </c>
      <c r="G9071" s="501" t="s">
        <v>991</v>
      </c>
      <c r="H9071" s="501" t="s">
        <v>10735</v>
      </c>
      <c r="I9071" s="501">
        <v>8</v>
      </c>
      <c r="J9071" s="501">
        <v>8</v>
      </c>
      <c r="K9071" s="501">
        <v>0</v>
      </c>
      <c r="L9071" s="501">
        <v>0</v>
      </c>
      <c r="M9071" s="501">
        <v>0</v>
      </c>
      <c r="N9071" s="501">
        <v>0</v>
      </c>
      <c r="O9071" s="506">
        <v>0</v>
      </c>
    </row>
    <row r="9072" spans="1:15" x14ac:dyDescent="0.35">
      <c r="A9072" s="503" t="s">
        <v>1161</v>
      </c>
      <c r="B9072" s="504" t="s">
        <v>3001</v>
      </c>
      <c r="C9072" s="504" t="s">
        <v>1094</v>
      </c>
      <c r="D9072" s="504" t="s">
        <v>3380</v>
      </c>
      <c r="E9072" s="504" t="s">
        <v>3381</v>
      </c>
      <c r="F9072" s="504" t="s">
        <v>990</v>
      </c>
      <c r="G9072" s="504" t="s">
        <v>991</v>
      </c>
      <c r="H9072" s="504" t="s">
        <v>10736</v>
      </c>
      <c r="I9072" s="504">
        <v>5</v>
      </c>
      <c r="J9072" s="504">
        <v>1</v>
      </c>
      <c r="K9072" s="504">
        <v>0</v>
      </c>
      <c r="L9072" s="504">
        <v>0</v>
      </c>
      <c r="M9072" s="504">
        <v>0</v>
      </c>
      <c r="N9072" s="504">
        <v>0</v>
      </c>
      <c r="O9072" s="505">
        <v>4</v>
      </c>
    </row>
    <row r="9073" spans="1:15" x14ac:dyDescent="0.35">
      <c r="A9073" s="500" t="s">
        <v>1100</v>
      </c>
      <c r="B9073" s="501">
        <v>4865</v>
      </c>
      <c r="C9073" s="501" t="s">
        <v>1094</v>
      </c>
      <c r="D9073" s="501" t="s">
        <v>3380</v>
      </c>
      <c r="E9073" s="501" t="s">
        <v>3381</v>
      </c>
      <c r="F9073" s="501" t="s">
        <v>990</v>
      </c>
      <c r="G9073" s="501" t="s">
        <v>991</v>
      </c>
      <c r="H9073" s="501" t="s">
        <v>10737</v>
      </c>
      <c r="I9073" s="501">
        <v>36</v>
      </c>
      <c r="J9073" s="501">
        <v>25</v>
      </c>
      <c r="K9073" s="501">
        <v>0</v>
      </c>
      <c r="L9073" s="501">
        <v>0</v>
      </c>
      <c r="M9073" s="501">
        <v>0</v>
      </c>
      <c r="N9073" s="501">
        <v>0</v>
      </c>
      <c r="O9073" s="506">
        <v>11</v>
      </c>
    </row>
    <row r="9074" spans="1:15" x14ac:dyDescent="0.35">
      <c r="A9074" s="503" t="s">
        <v>1175</v>
      </c>
      <c r="B9074" s="504" t="s">
        <v>3141</v>
      </c>
      <c r="C9074" s="504" t="s">
        <v>1094</v>
      </c>
      <c r="D9074" s="504" t="s">
        <v>3380</v>
      </c>
      <c r="E9074" s="504" t="s">
        <v>3381</v>
      </c>
      <c r="F9074" s="504" t="s">
        <v>990</v>
      </c>
      <c r="G9074" s="504" t="s">
        <v>991</v>
      </c>
      <c r="H9074" s="504" t="s">
        <v>10738</v>
      </c>
      <c r="I9074" s="504">
        <v>26</v>
      </c>
      <c r="J9074" s="504">
        <v>10</v>
      </c>
      <c r="K9074" s="504">
        <v>0</v>
      </c>
      <c r="L9074" s="504">
        <v>0</v>
      </c>
      <c r="M9074" s="504">
        <v>0</v>
      </c>
      <c r="N9074" s="504">
        <v>0</v>
      </c>
      <c r="O9074" s="505">
        <v>16</v>
      </c>
    </row>
    <row r="9075" spans="1:15" x14ac:dyDescent="0.35">
      <c r="A9075" s="500" t="s">
        <v>14208</v>
      </c>
      <c r="B9075" s="501">
        <v>4803</v>
      </c>
      <c r="C9075" s="501" t="s">
        <v>1094</v>
      </c>
      <c r="D9075" s="501" t="s">
        <v>3380</v>
      </c>
      <c r="E9075" s="501" t="s">
        <v>3381</v>
      </c>
      <c r="F9075" s="501" t="s">
        <v>990</v>
      </c>
      <c r="G9075" s="501" t="s">
        <v>991</v>
      </c>
      <c r="H9075" s="501" t="s">
        <v>15231</v>
      </c>
      <c r="I9075" s="501">
        <v>7</v>
      </c>
      <c r="J9075" s="501">
        <v>0</v>
      </c>
      <c r="K9075" s="501">
        <v>0</v>
      </c>
      <c r="L9075" s="501">
        <v>7</v>
      </c>
      <c r="M9075" s="501">
        <v>0</v>
      </c>
      <c r="N9075" s="501">
        <v>0</v>
      </c>
      <c r="O9075" s="506">
        <v>0</v>
      </c>
    </row>
    <row r="9076" spans="1:15" x14ac:dyDescent="0.35">
      <c r="A9076" s="503" t="s">
        <v>1185</v>
      </c>
      <c r="B9076" s="504" t="s">
        <v>3253</v>
      </c>
      <c r="C9076" s="504" t="s">
        <v>1094</v>
      </c>
      <c r="D9076" s="504" t="s">
        <v>3380</v>
      </c>
      <c r="E9076" s="504" t="s">
        <v>3381</v>
      </c>
      <c r="F9076" s="504" t="s">
        <v>990</v>
      </c>
      <c r="G9076" s="504" t="s">
        <v>991</v>
      </c>
      <c r="H9076" s="504" t="s">
        <v>10739</v>
      </c>
      <c r="I9076" s="504">
        <v>21</v>
      </c>
      <c r="J9076" s="504">
        <v>7</v>
      </c>
      <c r="K9076" s="504">
        <v>0</v>
      </c>
      <c r="L9076" s="504">
        <v>14</v>
      </c>
      <c r="M9076" s="504">
        <v>0</v>
      </c>
      <c r="N9076" s="504">
        <v>0</v>
      </c>
      <c r="O9076" s="505">
        <v>0</v>
      </c>
    </row>
    <row r="9077" spans="1:15" x14ac:dyDescent="0.35">
      <c r="A9077" s="500" t="s">
        <v>1107</v>
      </c>
      <c r="B9077" s="501" t="s">
        <v>3109</v>
      </c>
      <c r="C9077" s="501" t="s">
        <v>1094</v>
      </c>
      <c r="D9077" s="501" t="s">
        <v>3380</v>
      </c>
      <c r="E9077" s="501" t="s">
        <v>3381</v>
      </c>
      <c r="F9077" s="501" t="s">
        <v>990</v>
      </c>
      <c r="G9077" s="501" t="s">
        <v>991</v>
      </c>
      <c r="H9077" s="501" t="s">
        <v>10740</v>
      </c>
      <c r="I9077" s="501">
        <v>369</v>
      </c>
      <c r="J9077" s="501">
        <v>291</v>
      </c>
      <c r="K9077" s="501">
        <v>0</v>
      </c>
      <c r="L9077" s="501">
        <v>8</v>
      </c>
      <c r="M9077" s="501">
        <v>0</v>
      </c>
      <c r="N9077" s="501">
        <v>0</v>
      </c>
      <c r="O9077" s="506">
        <v>70</v>
      </c>
    </row>
    <row r="9078" spans="1:15" x14ac:dyDescent="0.35">
      <c r="A9078" s="503" t="s">
        <v>1109</v>
      </c>
      <c r="B9078" s="504" t="s">
        <v>2959</v>
      </c>
      <c r="C9078" s="504" t="s">
        <v>1094</v>
      </c>
      <c r="D9078" s="504" t="s">
        <v>3380</v>
      </c>
      <c r="E9078" s="504" t="s">
        <v>3381</v>
      </c>
      <c r="F9078" s="504" t="s">
        <v>990</v>
      </c>
      <c r="G9078" s="504" t="s">
        <v>991</v>
      </c>
      <c r="H9078" s="504" t="s">
        <v>10741</v>
      </c>
      <c r="I9078" s="504">
        <v>51</v>
      </c>
      <c r="J9078" s="504">
        <v>0</v>
      </c>
      <c r="K9078" s="504">
        <v>0</v>
      </c>
      <c r="L9078" s="504">
        <v>0</v>
      </c>
      <c r="M9078" s="504">
        <v>39</v>
      </c>
      <c r="N9078" s="504">
        <v>0</v>
      </c>
      <c r="O9078" s="505">
        <v>12</v>
      </c>
    </row>
    <row r="9079" spans="1:15" x14ac:dyDescent="0.35">
      <c r="A9079" s="500" t="s">
        <v>1202</v>
      </c>
      <c r="B9079" s="501" t="s">
        <v>3217</v>
      </c>
      <c r="C9079" s="501" t="s">
        <v>1094</v>
      </c>
      <c r="D9079" s="501" t="s">
        <v>3380</v>
      </c>
      <c r="E9079" s="501" t="s">
        <v>3381</v>
      </c>
      <c r="F9079" s="501" t="s">
        <v>990</v>
      </c>
      <c r="G9079" s="501" t="s">
        <v>991</v>
      </c>
      <c r="H9079" s="501" t="s">
        <v>10742</v>
      </c>
      <c r="I9079" s="501">
        <v>46</v>
      </c>
      <c r="J9079" s="501">
        <v>32</v>
      </c>
      <c r="K9079" s="501">
        <v>0</v>
      </c>
      <c r="L9079" s="501">
        <v>13</v>
      </c>
      <c r="M9079" s="501">
        <v>0</v>
      </c>
      <c r="N9079" s="501">
        <v>0</v>
      </c>
      <c r="O9079" s="506">
        <v>1</v>
      </c>
    </row>
    <row r="9080" spans="1:15" x14ac:dyDescent="0.35">
      <c r="A9080" s="503" t="s">
        <v>1112</v>
      </c>
      <c r="B9080" s="504" t="s">
        <v>3008</v>
      </c>
      <c r="C9080" s="504" t="s">
        <v>1094</v>
      </c>
      <c r="D9080" s="504" t="s">
        <v>3380</v>
      </c>
      <c r="E9080" s="504" t="s">
        <v>3381</v>
      </c>
      <c r="F9080" s="504" t="s">
        <v>990</v>
      </c>
      <c r="G9080" s="504" t="s">
        <v>991</v>
      </c>
      <c r="H9080" s="504" t="s">
        <v>10743</v>
      </c>
      <c r="I9080" s="504">
        <v>38</v>
      </c>
      <c r="J9080" s="504">
        <v>22</v>
      </c>
      <c r="K9080" s="504">
        <v>0</v>
      </c>
      <c r="L9080" s="504">
        <v>0</v>
      </c>
      <c r="M9080" s="504">
        <v>0</v>
      </c>
      <c r="N9080" s="504">
        <v>0</v>
      </c>
      <c r="O9080" s="505">
        <v>16</v>
      </c>
    </row>
    <row r="9081" spans="1:15" x14ac:dyDescent="0.35">
      <c r="A9081" s="500" t="s">
        <v>1120</v>
      </c>
      <c r="B9081" s="501" t="s">
        <v>3362</v>
      </c>
      <c r="C9081" s="501" t="s">
        <v>1094</v>
      </c>
      <c r="D9081" s="501" t="s">
        <v>3380</v>
      </c>
      <c r="E9081" s="501" t="s">
        <v>3381</v>
      </c>
      <c r="F9081" s="501" t="s">
        <v>990</v>
      </c>
      <c r="G9081" s="501" t="s">
        <v>991</v>
      </c>
      <c r="H9081" s="501" t="s">
        <v>10744</v>
      </c>
      <c r="I9081" s="501">
        <v>1</v>
      </c>
      <c r="J9081" s="501">
        <v>0</v>
      </c>
      <c r="K9081" s="501">
        <v>0</v>
      </c>
      <c r="L9081" s="501">
        <v>0</v>
      </c>
      <c r="M9081" s="501">
        <v>0</v>
      </c>
      <c r="N9081" s="501">
        <v>0</v>
      </c>
      <c r="O9081" s="506">
        <v>1</v>
      </c>
    </row>
    <row r="9082" spans="1:15" x14ac:dyDescent="0.35">
      <c r="A9082" s="503" t="s">
        <v>1322</v>
      </c>
      <c r="B9082" s="504" t="s">
        <v>3244</v>
      </c>
      <c r="C9082" s="504" t="s">
        <v>1094</v>
      </c>
      <c r="D9082" s="504" t="s">
        <v>3380</v>
      </c>
      <c r="E9082" s="504" t="s">
        <v>3381</v>
      </c>
      <c r="F9082" s="504" t="s">
        <v>990</v>
      </c>
      <c r="G9082" s="504" t="s">
        <v>991</v>
      </c>
      <c r="H9082" s="504" t="s">
        <v>10745</v>
      </c>
      <c r="I9082" s="504">
        <v>197</v>
      </c>
      <c r="J9082" s="504">
        <v>153</v>
      </c>
      <c r="K9082" s="504">
        <v>0</v>
      </c>
      <c r="L9082" s="504">
        <v>0</v>
      </c>
      <c r="M9082" s="504">
        <v>0</v>
      </c>
      <c r="N9082" s="504">
        <v>0</v>
      </c>
      <c r="O9082" s="505">
        <v>44</v>
      </c>
    </row>
    <row r="9083" spans="1:15" x14ac:dyDescent="0.35">
      <c r="A9083" s="500" t="s">
        <v>1325</v>
      </c>
      <c r="B9083" s="501" t="s">
        <v>3011</v>
      </c>
      <c r="C9083" s="501" t="s">
        <v>1094</v>
      </c>
      <c r="D9083" s="501" t="s">
        <v>3380</v>
      </c>
      <c r="E9083" s="501" t="s">
        <v>3381</v>
      </c>
      <c r="F9083" s="501" t="s">
        <v>990</v>
      </c>
      <c r="G9083" s="501" t="s">
        <v>991</v>
      </c>
      <c r="H9083" s="501" t="s">
        <v>10746</v>
      </c>
      <c r="I9083" s="501">
        <v>1</v>
      </c>
      <c r="J9083" s="501">
        <v>0</v>
      </c>
      <c r="K9083" s="501">
        <v>0</v>
      </c>
      <c r="L9083" s="501">
        <v>0</v>
      </c>
      <c r="M9083" s="501">
        <v>0</v>
      </c>
      <c r="N9083" s="501">
        <v>0</v>
      </c>
      <c r="O9083" s="506">
        <v>1</v>
      </c>
    </row>
    <row r="9084" spans="1:15" x14ac:dyDescent="0.35">
      <c r="A9084" s="503" t="s">
        <v>1122</v>
      </c>
      <c r="B9084" s="504" t="s">
        <v>2994</v>
      </c>
      <c r="C9084" s="504" t="s">
        <v>1094</v>
      </c>
      <c r="D9084" s="504" t="s">
        <v>3380</v>
      </c>
      <c r="E9084" s="504" t="s">
        <v>3381</v>
      </c>
      <c r="F9084" s="504" t="s">
        <v>990</v>
      </c>
      <c r="G9084" s="504" t="s">
        <v>991</v>
      </c>
      <c r="H9084" s="504" t="s">
        <v>10747</v>
      </c>
      <c r="I9084" s="504">
        <v>51</v>
      </c>
      <c r="J9084" s="504">
        <v>49</v>
      </c>
      <c r="K9084" s="504">
        <v>0</v>
      </c>
      <c r="L9084" s="504">
        <v>0</v>
      </c>
      <c r="M9084" s="504">
        <v>0</v>
      </c>
      <c r="N9084" s="504">
        <v>0</v>
      </c>
      <c r="O9084" s="505">
        <v>2</v>
      </c>
    </row>
    <row r="9085" spans="1:15" x14ac:dyDescent="0.35">
      <c r="A9085" s="500" t="s">
        <v>1233</v>
      </c>
      <c r="B9085" s="501">
        <v>4636</v>
      </c>
      <c r="C9085" s="501" t="s">
        <v>1094</v>
      </c>
      <c r="D9085" s="501" t="s">
        <v>3380</v>
      </c>
      <c r="E9085" s="501" t="s">
        <v>3381</v>
      </c>
      <c r="F9085" s="501" t="s">
        <v>990</v>
      </c>
      <c r="G9085" s="501" t="s">
        <v>991</v>
      </c>
      <c r="H9085" s="501" t="s">
        <v>10748</v>
      </c>
      <c r="I9085" s="501">
        <v>11</v>
      </c>
      <c r="J9085" s="501">
        <v>0</v>
      </c>
      <c r="K9085" s="501">
        <v>0</v>
      </c>
      <c r="L9085" s="501">
        <v>0</v>
      </c>
      <c r="M9085" s="501">
        <v>0</v>
      </c>
      <c r="N9085" s="501">
        <v>0</v>
      </c>
      <c r="O9085" s="506">
        <v>11</v>
      </c>
    </row>
    <row r="9086" spans="1:15" x14ac:dyDescent="0.35">
      <c r="A9086" s="503" t="s">
        <v>11368</v>
      </c>
      <c r="B9086" s="504">
        <v>5083</v>
      </c>
      <c r="C9086" s="504" t="s">
        <v>1094</v>
      </c>
      <c r="D9086" s="504" t="s">
        <v>3380</v>
      </c>
      <c r="E9086" s="504" t="s">
        <v>3381</v>
      </c>
      <c r="F9086" s="504" t="s">
        <v>990</v>
      </c>
      <c r="G9086" s="504" t="s">
        <v>991</v>
      </c>
      <c r="H9086" s="504" t="s">
        <v>15232</v>
      </c>
      <c r="I9086" s="504">
        <v>8</v>
      </c>
      <c r="J9086" s="504">
        <v>8</v>
      </c>
      <c r="K9086" s="504">
        <v>0</v>
      </c>
      <c r="L9086" s="504">
        <v>0</v>
      </c>
      <c r="M9086" s="504">
        <v>0</v>
      </c>
      <c r="N9086" s="504">
        <v>0</v>
      </c>
      <c r="O9086" s="505">
        <v>0</v>
      </c>
    </row>
    <row r="9087" spans="1:15" x14ac:dyDescent="0.35">
      <c r="A9087" s="500" t="s">
        <v>1126</v>
      </c>
      <c r="B9087" s="501" t="s">
        <v>2974</v>
      </c>
      <c r="C9087" s="501" t="s">
        <v>1094</v>
      </c>
      <c r="D9087" s="501" t="s">
        <v>3380</v>
      </c>
      <c r="E9087" s="501" t="s">
        <v>3381</v>
      </c>
      <c r="F9087" s="501" t="s">
        <v>990</v>
      </c>
      <c r="G9087" s="501" t="s">
        <v>991</v>
      </c>
      <c r="H9087" s="501" t="s">
        <v>10749</v>
      </c>
      <c r="I9087" s="501">
        <v>301</v>
      </c>
      <c r="J9087" s="501">
        <v>273</v>
      </c>
      <c r="K9087" s="501">
        <v>0</v>
      </c>
      <c r="L9087" s="501">
        <v>0</v>
      </c>
      <c r="M9087" s="501">
        <v>0</v>
      </c>
      <c r="N9087" s="501">
        <v>0</v>
      </c>
      <c r="O9087" s="506">
        <v>28</v>
      </c>
    </row>
    <row r="9088" spans="1:15" x14ac:dyDescent="0.35">
      <c r="A9088" s="503" t="s">
        <v>1896</v>
      </c>
      <c r="B9088" s="504" t="s">
        <v>3216</v>
      </c>
      <c r="C9088" s="504" t="s">
        <v>1094</v>
      </c>
      <c r="D9088" s="504" t="s">
        <v>3380</v>
      </c>
      <c r="E9088" s="504" t="s">
        <v>3381</v>
      </c>
      <c r="F9088" s="504" t="s">
        <v>990</v>
      </c>
      <c r="G9088" s="504" t="s">
        <v>991</v>
      </c>
      <c r="H9088" s="504" t="s">
        <v>10750</v>
      </c>
      <c r="I9088" s="504">
        <v>32</v>
      </c>
      <c r="J9088" s="504">
        <v>21</v>
      </c>
      <c r="K9088" s="504">
        <v>0</v>
      </c>
      <c r="L9088" s="504">
        <v>0</v>
      </c>
      <c r="M9088" s="504">
        <v>0</v>
      </c>
      <c r="N9088" s="504">
        <v>0</v>
      </c>
      <c r="O9088" s="505">
        <v>11</v>
      </c>
    </row>
    <row r="9089" spans="1:15" x14ac:dyDescent="0.35">
      <c r="A9089" s="500" t="s">
        <v>1130</v>
      </c>
      <c r="B9089" s="501" t="s">
        <v>3234</v>
      </c>
      <c r="C9089" s="501" t="s">
        <v>1094</v>
      </c>
      <c r="D9089" s="501" t="s">
        <v>3380</v>
      </c>
      <c r="E9089" s="501" t="s">
        <v>3381</v>
      </c>
      <c r="F9089" s="501" t="s">
        <v>990</v>
      </c>
      <c r="G9089" s="501" t="s">
        <v>991</v>
      </c>
      <c r="H9089" s="501" t="s">
        <v>10751</v>
      </c>
      <c r="I9089" s="501">
        <v>316</v>
      </c>
      <c r="J9089" s="501">
        <v>224</v>
      </c>
      <c r="K9089" s="501">
        <v>0</v>
      </c>
      <c r="L9089" s="501">
        <v>0</v>
      </c>
      <c r="M9089" s="501">
        <v>92</v>
      </c>
      <c r="N9089" s="501">
        <v>5</v>
      </c>
      <c r="O9089" s="506">
        <v>0</v>
      </c>
    </row>
    <row r="9090" spans="1:15" x14ac:dyDescent="0.35">
      <c r="A9090" s="503" t="s">
        <v>1132</v>
      </c>
      <c r="B9090" s="504">
        <v>4837</v>
      </c>
      <c r="C9090" s="504" t="s">
        <v>1094</v>
      </c>
      <c r="D9090" s="504" t="s">
        <v>3380</v>
      </c>
      <c r="E9090" s="504" t="s">
        <v>3381</v>
      </c>
      <c r="F9090" s="504" t="s">
        <v>990</v>
      </c>
      <c r="G9090" s="504" t="s">
        <v>991</v>
      </c>
      <c r="H9090" s="504" t="s">
        <v>10752</v>
      </c>
      <c r="I9090" s="504">
        <v>7668</v>
      </c>
      <c r="J9090" s="504">
        <v>6508</v>
      </c>
      <c r="K9090" s="504">
        <v>0</v>
      </c>
      <c r="L9090" s="504">
        <v>140</v>
      </c>
      <c r="M9090" s="504">
        <v>513</v>
      </c>
      <c r="N9090" s="504">
        <v>2</v>
      </c>
      <c r="O9090" s="505">
        <v>507</v>
      </c>
    </row>
    <row r="9091" spans="1:15" x14ac:dyDescent="0.35">
      <c r="A9091" s="500" t="s">
        <v>1240</v>
      </c>
      <c r="B9091" s="501" t="s">
        <v>2972</v>
      </c>
      <c r="C9091" s="501" t="s">
        <v>1094</v>
      </c>
      <c r="D9091" s="501" t="s">
        <v>3380</v>
      </c>
      <c r="E9091" s="501" t="s">
        <v>3381</v>
      </c>
      <c r="F9091" s="501" t="s">
        <v>990</v>
      </c>
      <c r="G9091" s="501" t="s">
        <v>991</v>
      </c>
      <c r="H9091" s="501" t="s">
        <v>10753</v>
      </c>
      <c r="I9091" s="501">
        <v>147</v>
      </c>
      <c r="J9091" s="501">
        <v>103</v>
      </c>
      <c r="K9091" s="501">
        <v>0</v>
      </c>
      <c r="L9091" s="501">
        <v>7</v>
      </c>
      <c r="M9091" s="501">
        <v>23</v>
      </c>
      <c r="N9091" s="501">
        <v>0</v>
      </c>
      <c r="O9091" s="506">
        <v>14</v>
      </c>
    </row>
    <row r="9092" spans="1:15" x14ac:dyDescent="0.35">
      <c r="A9092" s="503" t="s">
        <v>1134</v>
      </c>
      <c r="B9092" s="504" t="s">
        <v>3066</v>
      </c>
      <c r="C9092" s="504" t="s">
        <v>1094</v>
      </c>
      <c r="D9092" s="504" t="s">
        <v>3380</v>
      </c>
      <c r="E9092" s="504" t="s">
        <v>3381</v>
      </c>
      <c r="F9092" s="504" t="s">
        <v>990</v>
      </c>
      <c r="G9092" s="504" t="s">
        <v>991</v>
      </c>
      <c r="H9092" s="504" t="s">
        <v>12179</v>
      </c>
      <c r="I9092" s="504">
        <v>15</v>
      </c>
      <c r="J9092" s="504">
        <v>15</v>
      </c>
      <c r="K9092" s="504">
        <v>0</v>
      </c>
      <c r="L9092" s="504">
        <v>0</v>
      </c>
      <c r="M9092" s="504">
        <v>0</v>
      </c>
      <c r="N9092" s="504">
        <v>0</v>
      </c>
      <c r="O9092" s="505">
        <v>0</v>
      </c>
    </row>
    <row r="9093" spans="1:15" x14ac:dyDescent="0.35">
      <c r="A9093" s="500" t="s">
        <v>1136</v>
      </c>
      <c r="B9093" s="501">
        <v>4680</v>
      </c>
      <c r="C9093" s="501" t="s">
        <v>1094</v>
      </c>
      <c r="D9093" s="501" t="s">
        <v>3380</v>
      </c>
      <c r="E9093" s="501" t="s">
        <v>3381</v>
      </c>
      <c r="F9093" s="501" t="s">
        <v>990</v>
      </c>
      <c r="G9093" s="501" t="s">
        <v>991</v>
      </c>
      <c r="H9093" s="501" t="s">
        <v>10754</v>
      </c>
      <c r="I9093" s="501">
        <v>21</v>
      </c>
      <c r="J9093" s="501">
        <v>5</v>
      </c>
      <c r="K9093" s="501">
        <v>0</v>
      </c>
      <c r="L9093" s="501">
        <v>0</v>
      </c>
      <c r="M9093" s="501">
        <v>0</v>
      </c>
      <c r="N9093" s="501">
        <v>0</v>
      </c>
      <c r="O9093" s="506">
        <v>16</v>
      </c>
    </row>
    <row r="9094" spans="1:15" x14ac:dyDescent="0.35">
      <c r="A9094" s="503" t="s">
        <v>1918</v>
      </c>
      <c r="B9094" s="504">
        <v>4840</v>
      </c>
      <c r="C9094" s="504" t="s">
        <v>1089</v>
      </c>
      <c r="D9094" s="504" t="s">
        <v>3392</v>
      </c>
      <c r="E9094" s="504" t="s">
        <v>3381</v>
      </c>
      <c r="F9094" s="504" t="s">
        <v>990</v>
      </c>
      <c r="G9094" s="504" t="s">
        <v>991</v>
      </c>
      <c r="H9094" s="504" t="s">
        <v>10755</v>
      </c>
      <c r="I9094" s="504">
        <v>16</v>
      </c>
      <c r="J9094" s="504">
        <v>16</v>
      </c>
      <c r="K9094" s="504">
        <v>0</v>
      </c>
      <c r="L9094" s="504">
        <v>0</v>
      </c>
      <c r="M9094" s="504">
        <v>0</v>
      </c>
      <c r="N9094" s="504">
        <v>0</v>
      </c>
      <c r="O9094" s="505">
        <v>0</v>
      </c>
    </row>
    <row r="9095" spans="1:15" x14ac:dyDescent="0.35">
      <c r="A9095" s="500" t="s">
        <v>1253</v>
      </c>
      <c r="B9095" s="501" t="s">
        <v>3232</v>
      </c>
      <c r="C9095" s="501" t="s">
        <v>1094</v>
      </c>
      <c r="D9095" s="501" t="s">
        <v>3380</v>
      </c>
      <c r="E9095" s="501" t="s">
        <v>3381</v>
      </c>
      <c r="F9095" s="501" t="s">
        <v>990</v>
      </c>
      <c r="G9095" s="501" t="s">
        <v>991</v>
      </c>
      <c r="H9095" s="501" t="s">
        <v>10756</v>
      </c>
      <c r="I9095" s="501">
        <v>21</v>
      </c>
      <c r="J9095" s="501">
        <v>0</v>
      </c>
      <c r="K9095" s="501">
        <v>0</v>
      </c>
      <c r="L9095" s="501">
        <v>0</v>
      </c>
      <c r="M9095" s="501">
        <v>21</v>
      </c>
      <c r="N9095" s="501">
        <v>0</v>
      </c>
      <c r="O9095" s="506">
        <v>0</v>
      </c>
    </row>
    <row r="9096" spans="1:15" x14ac:dyDescent="0.35">
      <c r="A9096" s="503" t="s">
        <v>1138</v>
      </c>
      <c r="B9096" s="504" t="s">
        <v>2998</v>
      </c>
      <c r="C9096" s="504" t="s">
        <v>1094</v>
      </c>
      <c r="D9096" s="504" t="s">
        <v>3380</v>
      </c>
      <c r="E9096" s="504" t="s">
        <v>3381</v>
      </c>
      <c r="F9096" s="504" t="s">
        <v>990</v>
      </c>
      <c r="G9096" s="504" t="s">
        <v>991</v>
      </c>
      <c r="H9096" s="504" t="s">
        <v>10757</v>
      </c>
      <c r="I9096" s="504">
        <v>3</v>
      </c>
      <c r="J9096" s="504">
        <v>1</v>
      </c>
      <c r="K9096" s="504">
        <v>0</v>
      </c>
      <c r="L9096" s="504">
        <v>0</v>
      </c>
      <c r="M9096" s="504">
        <v>0</v>
      </c>
      <c r="N9096" s="504">
        <v>0</v>
      </c>
      <c r="O9096" s="505">
        <v>2</v>
      </c>
    </row>
    <row r="9097" spans="1:15" x14ac:dyDescent="0.35">
      <c r="A9097" s="500" t="s">
        <v>1930</v>
      </c>
      <c r="B9097" s="501" t="s">
        <v>3313</v>
      </c>
      <c r="C9097" s="501" t="s">
        <v>1089</v>
      </c>
      <c r="D9097" s="501" t="s">
        <v>3392</v>
      </c>
      <c r="E9097" s="501" t="s">
        <v>3381</v>
      </c>
      <c r="F9097" s="501" t="s">
        <v>990</v>
      </c>
      <c r="G9097" s="501" t="s">
        <v>991</v>
      </c>
      <c r="H9097" s="501" t="s">
        <v>10758</v>
      </c>
      <c r="I9097" s="501">
        <v>91</v>
      </c>
      <c r="J9097" s="501">
        <v>0</v>
      </c>
      <c r="K9097" s="501">
        <v>0</v>
      </c>
      <c r="L9097" s="501">
        <v>91</v>
      </c>
      <c r="M9097" s="501">
        <v>0</v>
      </c>
      <c r="N9097" s="501">
        <v>0</v>
      </c>
      <c r="O9097" s="506">
        <v>0</v>
      </c>
    </row>
    <row r="9098" spans="1:15" x14ac:dyDescent="0.35">
      <c r="A9098" s="503" t="s">
        <v>1140</v>
      </c>
      <c r="B9098" s="504">
        <v>4850</v>
      </c>
      <c r="C9098" s="504" t="s">
        <v>1094</v>
      </c>
      <c r="D9098" s="504" t="s">
        <v>3380</v>
      </c>
      <c r="E9098" s="504" t="s">
        <v>3381</v>
      </c>
      <c r="F9098" s="504" t="s">
        <v>990</v>
      </c>
      <c r="G9098" s="504" t="s">
        <v>991</v>
      </c>
      <c r="H9098" s="504" t="s">
        <v>10759</v>
      </c>
      <c r="I9098" s="504">
        <v>1</v>
      </c>
      <c r="J9098" s="504">
        <v>1</v>
      </c>
      <c r="K9098" s="504">
        <v>0</v>
      </c>
      <c r="L9098" s="504">
        <v>0</v>
      </c>
      <c r="M9098" s="504">
        <v>0</v>
      </c>
      <c r="N9098" s="504">
        <v>0</v>
      </c>
      <c r="O9098" s="505">
        <v>0</v>
      </c>
    </row>
    <row r="9099" spans="1:15" x14ac:dyDescent="0.35">
      <c r="A9099" s="500" t="s">
        <v>1262</v>
      </c>
      <c r="B9099" s="501">
        <v>4772</v>
      </c>
      <c r="C9099" s="501" t="s">
        <v>1089</v>
      </c>
      <c r="D9099" s="501" t="s">
        <v>3392</v>
      </c>
      <c r="E9099" s="501" t="s">
        <v>3381</v>
      </c>
      <c r="F9099" s="501" t="s">
        <v>990</v>
      </c>
      <c r="G9099" s="501" t="s">
        <v>991</v>
      </c>
      <c r="H9099" s="501" t="s">
        <v>10760</v>
      </c>
      <c r="I9099" s="501">
        <v>22</v>
      </c>
      <c r="J9099" s="501">
        <v>0</v>
      </c>
      <c r="K9099" s="501">
        <v>0</v>
      </c>
      <c r="L9099" s="501">
        <v>22</v>
      </c>
      <c r="M9099" s="501">
        <v>0</v>
      </c>
      <c r="N9099" s="501">
        <v>0</v>
      </c>
      <c r="O9099" s="506">
        <v>0</v>
      </c>
    </row>
    <row r="9100" spans="1:15" x14ac:dyDescent="0.35">
      <c r="A9100" s="503" t="s">
        <v>1093</v>
      </c>
      <c r="B9100" s="504" t="s">
        <v>3248</v>
      </c>
      <c r="C9100" s="504" t="s">
        <v>1094</v>
      </c>
      <c r="D9100" s="504" t="s">
        <v>3380</v>
      </c>
      <c r="E9100" s="504" t="s">
        <v>3381</v>
      </c>
      <c r="F9100" s="504" t="s">
        <v>992</v>
      </c>
      <c r="G9100" s="504" t="s">
        <v>993</v>
      </c>
      <c r="H9100" s="504" t="s">
        <v>10761</v>
      </c>
      <c r="I9100" s="504">
        <v>3</v>
      </c>
      <c r="J9100" s="504">
        <v>0</v>
      </c>
      <c r="K9100" s="504">
        <v>0</v>
      </c>
      <c r="L9100" s="504">
        <v>0</v>
      </c>
      <c r="M9100" s="504">
        <v>0</v>
      </c>
      <c r="N9100" s="504">
        <v>0</v>
      </c>
      <c r="O9100" s="505">
        <v>3</v>
      </c>
    </row>
    <row r="9101" spans="1:15" x14ac:dyDescent="0.35">
      <c r="A9101" s="500" t="s">
        <v>1096</v>
      </c>
      <c r="B9101" s="501" t="s">
        <v>3326</v>
      </c>
      <c r="C9101" s="501" t="s">
        <v>1094</v>
      </c>
      <c r="D9101" s="501" t="s">
        <v>3380</v>
      </c>
      <c r="E9101" s="501" t="s">
        <v>3381</v>
      </c>
      <c r="F9101" s="501" t="s">
        <v>992</v>
      </c>
      <c r="G9101" s="501" t="s">
        <v>993</v>
      </c>
      <c r="H9101" s="501" t="s">
        <v>10762</v>
      </c>
      <c r="I9101" s="501">
        <v>8</v>
      </c>
      <c r="J9101" s="501">
        <v>0</v>
      </c>
      <c r="K9101" s="501">
        <v>0</v>
      </c>
      <c r="L9101" s="501">
        <v>0</v>
      </c>
      <c r="M9101" s="501">
        <v>8</v>
      </c>
      <c r="N9101" s="501">
        <v>0</v>
      </c>
      <c r="O9101" s="506">
        <v>0</v>
      </c>
    </row>
    <row r="9102" spans="1:15" x14ac:dyDescent="0.35">
      <c r="A9102" s="503" t="s">
        <v>1098</v>
      </c>
      <c r="B9102" s="504">
        <v>4691</v>
      </c>
      <c r="C9102" s="504" t="s">
        <v>1094</v>
      </c>
      <c r="D9102" s="504" t="s">
        <v>3380</v>
      </c>
      <c r="E9102" s="504" t="s">
        <v>3381</v>
      </c>
      <c r="F9102" s="504" t="s">
        <v>992</v>
      </c>
      <c r="G9102" s="504" t="s">
        <v>993</v>
      </c>
      <c r="H9102" s="504" t="s">
        <v>10763</v>
      </c>
      <c r="I9102" s="504">
        <v>169</v>
      </c>
      <c r="J9102" s="504">
        <v>125</v>
      </c>
      <c r="K9102" s="504">
        <v>0</v>
      </c>
      <c r="L9102" s="504">
        <v>0</v>
      </c>
      <c r="M9102" s="504">
        <v>0</v>
      </c>
      <c r="N9102" s="504">
        <v>0</v>
      </c>
      <c r="O9102" s="505">
        <v>44</v>
      </c>
    </row>
    <row r="9103" spans="1:15" x14ac:dyDescent="0.35">
      <c r="A9103" s="500" t="s">
        <v>1979</v>
      </c>
      <c r="B9103" s="501" t="s">
        <v>2582</v>
      </c>
      <c r="C9103" s="501" t="s">
        <v>1089</v>
      </c>
      <c r="D9103" s="501" t="s">
        <v>3392</v>
      </c>
      <c r="E9103" s="501" t="s">
        <v>3381</v>
      </c>
      <c r="F9103" s="501" t="s">
        <v>992</v>
      </c>
      <c r="G9103" s="501" t="s">
        <v>993</v>
      </c>
      <c r="H9103" s="501" t="s">
        <v>10764</v>
      </c>
      <c r="I9103" s="501">
        <v>12</v>
      </c>
      <c r="J9103" s="501">
        <v>0</v>
      </c>
      <c r="K9103" s="501">
        <v>0</v>
      </c>
      <c r="L9103" s="501">
        <v>0</v>
      </c>
      <c r="M9103" s="501">
        <v>12</v>
      </c>
      <c r="N9103" s="501">
        <v>0</v>
      </c>
      <c r="O9103" s="506">
        <v>0</v>
      </c>
    </row>
    <row r="9104" spans="1:15" x14ac:dyDescent="0.35">
      <c r="A9104" s="503" t="s">
        <v>14208</v>
      </c>
      <c r="B9104" s="504">
        <v>4803</v>
      </c>
      <c r="C9104" s="504" t="s">
        <v>1094</v>
      </c>
      <c r="D9104" s="504" t="s">
        <v>3380</v>
      </c>
      <c r="E9104" s="504" t="s">
        <v>3381</v>
      </c>
      <c r="F9104" s="504" t="s">
        <v>992</v>
      </c>
      <c r="G9104" s="504" t="s">
        <v>993</v>
      </c>
      <c r="H9104" s="504" t="s">
        <v>15233</v>
      </c>
      <c r="I9104" s="504">
        <v>2</v>
      </c>
      <c r="J9104" s="504">
        <v>0</v>
      </c>
      <c r="K9104" s="504">
        <v>0</v>
      </c>
      <c r="L9104" s="504">
        <v>2</v>
      </c>
      <c r="M9104" s="504">
        <v>0</v>
      </c>
      <c r="N9104" s="504">
        <v>0</v>
      </c>
      <c r="O9104" s="505">
        <v>0</v>
      </c>
    </row>
    <row r="9105" spans="1:15" x14ac:dyDescent="0.35">
      <c r="A9105" s="500" t="s">
        <v>1985</v>
      </c>
      <c r="B9105" s="501" t="s">
        <v>3210</v>
      </c>
      <c r="C9105" s="501" t="s">
        <v>1089</v>
      </c>
      <c r="D9105" s="501" t="s">
        <v>3392</v>
      </c>
      <c r="E9105" s="501" t="s">
        <v>3381</v>
      </c>
      <c r="F9105" s="501" t="s">
        <v>992</v>
      </c>
      <c r="G9105" s="501" t="s">
        <v>993</v>
      </c>
      <c r="H9105" s="501" t="s">
        <v>10765</v>
      </c>
      <c r="I9105" s="501">
        <v>19</v>
      </c>
      <c r="J9105" s="501">
        <v>0</v>
      </c>
      <c r="K9105" s="501">
        <v>0</v>
      </c>
      <c r="L9105" s="501">
        <v>19</v>
      </c>
      <c r="M9105" s="501">
        <v>0</v>
      </c>
      <c r="N9105" s="501">
        <v>0</v>
      </c>
      <c r="O9105" s="506">
        <v>0</v>
      </c>
    </row>
    <row r="9106" spans="1:15" x14ac:dyDescent="0.35">
      <c r="A9106" s="503" t="s">
        <v>1187</v>
      </c>
      <c r="B9106" s="504" t="s">
        <v>2951</v>
      </c>
      <c r="C9106" s="504" t="s">
        <v>1094</v>
      </c>
      <c r="D9106" s="504" t="s">
        <v>3380</v>
      </c>
      <c r="E9106" s="504" t="s">
        <v>3381</v>
      </c>
      <c r="F9106" s="504" t="s">
        <v>992</v>
      </c>
      <c r="G9106" s="504" t="s">
        <v>993</v>
      </c>
      <c r="H9106" s="504" t="s">
        <v>10766</v>
      </c>
      <c r="I9106" s="504">
        <v>51</v>
      </c>
      <c r="J9106" s="504">
        <v>49</v>
      </c>
      <c r="K9106" s="504">
        <v>0</v>
      </c>
      <c r="L9106" s="504">
        <v>0</v>
      </c>
      <c r="M9106" s="504">
        <v>0</v>
      </c>
      <c r="N9106" s="504">
        <v>0</v>
      </c>
      <c r="O9106" s="505">
        <v>2</v>
      </c>
    </row>
    <row r="9107" spans="1:15" x14ac:dyDescent="0.35">
      <c r="A9107" s="500" t="s">
        <v>1105</v>
      </c>
      <c r="B9107" s="501">
        <v>4668</v>
      </c>
      <c r="C9107" s="501" t="s">
        <v>1094</v>
      </c>
      <c r="D9107" s="501" t="s">
        <v>3380</v>
      </c>
      <c r="E9107" s="501" t="s">
        <v>3381</v>
      </c>
      <c r="F9107" s="501" t="s">
        <v>992</v>
      </c>
      <c r="G9107" s="501" t="s">
        <v>993</v>
      </c>
      <c r="H9107" s="501" t="s">
        <v>10767</v>
      </c>
      <c r="I9107" s="501">
        <v>1</v>
      </c>
      <c r="J9107" s="501">
        <v>0</v>
      </c>
      <c r="K9107" s="501">
        <v>0</v>
      </c>
      <c r="L9107" s="501">
        <v>0</v>
      </c>
      <c r="M9107" s="501">
        <v>0</v>
      </c>
      <c r="N9107" s="501">
        <v>0</v>
      </c>
      <c r="O9107" s="506">
        <v>1</v>
      </c>
    </row>
    <row r="9108" spans="1:15" x14ac:dyDescent="0.35">
      <c r="A9108" s="503" t="s">
        <v>1111</v>
      </c>
      <c r="B9108" s="504">
        <v>4873</v>
      </c>
      <c r="C9108" s="504" t="s">
        <v>1094</v>
      </c>
      <c r="D9108" s="504" t="s">
        <v>3380</v>
      </c>
      <c r="E9108" s="504" t="s">
        <v>3381</v>
      </c>
      <c r="F9108" s="504" t="s">
        <v>992</v>
      </c>
      <c r="G9108" s="504" t="s">
        <v>993</v>
      </c>
      <c r="H9108" s="504" t="s">
        <v>10768</v>
      </c>
      <c r="I9108" s="504">
        <v>1844</v>
      </c>
      <c r="J9108" s="504">
        <v>1610</v>
      </c>
      <c r="K9108" s="504">
        <v>2</v>
      </c>
      <c r="L9108" s="504">
        <v>0</v>
      </c>
      <c r="M9108" s="504">
        <v>175</v>
      </c>
      <c r="N9108" s="504">
        <v>0</v>
      </c>
      <c r="O9108" s="505">
        <v>57</v>
      </c>
    </row>
    <row r="9109" spans="1:15" x14ac:dyDescent="0.35">
      <c r="A9109" s="500" t="s">
        <v>2004</v>
      </c>
      <c r="B9109" s="501" t="s">
        <v>3226</v>
      </c>
      <c r="C9109" s="501" t="s">
        <v>1094</v>
      </c>
      <c r="D9109" s="501" t="s">
        <v>3380</v>
      </c>
      <c r="E9109" s="501" t="s">
        <v>3381</v>
      </c>
      <c r="F9109" s="501" t="s">
        <v>992</v>
      </c>
      <c r="G9109" s="501" t="s">
        <v>993</v>
      </c>
      <c r="H9109" s="501" t="s">
        <v>10769</v>
      </c>
      <c r="I9109" s="501">
        <v>49</v>
      </c>
      <c r="J9109" s="501">
        <v>40</v>
      </c>
      <c r="K9109" s="501">
        <v>0</v>
      </c>
      <c r="L9109" s="501">
        <v>0</v>
      </c>
      <c r="M9109" s="501">
        <v>0</v>
      </c>
      <c r="N9109" s="501">
        <v>0</v>
      </c>
      <c r="O9109" s="506">
        <v>9</v>
      </c>
    </row>
    <row r="9110" spans="1:15" x14ac:dyDescent="0.35">
      <c r="A9110" s="503" t="s">
        <v>1126</v>
      </c>
      <c r="B9110" s="504" t="s">
        <v>2974</v>
      </c>
      <c r="C9110" s="504" t="s">
        <v>1094</v>
      </c>
      <c r="D9110" s="504" t="s">
        <v>3380</v>
      </c>
      <c r="E9110" s="504" t="s">
        <v>3381</v>
      </c>
      <c r="F9110" s="504" t="s">
        <v>992</v>
      </c>
      <c r="G9110" s="504" t="s">
        <v>993</v>
      </c>
      <c r="H9110" s="504" t="s">
        <v>10770</v>
      </c>
      <c r="I9110" s="504">
        <v>162</v>
      </c>
      <c r="J9110" s="504">
        <v>125</v>
      </c>
      <c r="K9110" s="504">
        <v>0</v>
      </c>
      <c r="L9110" s="504">
        <v>0</v>
      </c>
      <c r="M9110" s="504">
        <v>37</v>
      </c>
      <c r="N9110" s="504">
        <v>0</v>
      </c>
      <c r="O9110" s="505">
        <v>0</v>
      </c>
    </row>
    <row r="9111" spans="1:15" x14ac:dyDescent="0.35">
      <c r="A9111" s="500" t="s">
        <v>2016</v>
      </c>
      <c r="B9111" s="501" t="s">
        <v>3265</v>
      </c>
      <c r="C9111" s="501" t="s">
        <v>1089</v>
      </c>
      <c r="D9111" s="501" t="s">
        <v>3392</v>
      </c>
      <c r="E9111" s="501" t="s">
        <v>3381</v>
      </c>
      <c r="F9111" s="501" t="s">
        <v>992</v>
      </c>
      <c r="G9111" s="501" t="s">
        <v>993</v>
      </c>
      <c r="H9111" s="501" t="s">
        <v>10771</v>
      </c>
      <c r="I9111" s="501">
        <v>12</v>
      </c>
      <c r="J9111" s="501">
        <v>0</v>
      </c>
      <c r="K9111" s="501">
        <v>0</v>
      </c>
      <c r="L9111" s="501">
        <v>0</v>
      </c>
      <c r="M9111" s="501">
        <v>12</v>
      </c>
      <c r="N9111" s="501">
        <v>0</v>
      </c>
      <c r="O9111" s="506">
        <v>0</v>
      </c>
    </row>
    <row r="9112" spans="1:15" x14ac:dyDescent="0.35">
      <c r="A9112" s="503" t="s">
        <v>2017</v>
      </c>
      <c r="B9112" s="504" t="s">
        <v>3101</v>
      </c>
      <c r="C9112" s="504" t="s">
        <v>1089</v>
      </c>
      <c r="D9112" s="504" t="s">
        <v>3392</v>
      </c>
      <c r="E9112" s="504" t="s">
        <v>3381</v>
      </c>
      <c r="F9112" s="504" t="s">
        <v>992</v>
      </c>
      <c r="G9112" s="504" t="s">
        <v>993</v>
      </c>
      <c r="H9112" s="504" t="s">
        <v>10772</v>
      </c>
      <c r="I9112" s="504">
        <v>42</v>
      </c>
      <c r="J9112" s="504">
        <v>42</v>
      </c>
      <c r="K9112" s="504">
        <v>0</v>
      </c>
      <c r="L9112" s="504">
        <v>0</v>
      </c>
      <c r="M9112" s="504">
        <v>0</v>
      </c>
      <c r="N9112" s="504">
        <v>0</v>
      </c>
      <c r="O9112" s="505">
        <v>0</v>
      </c>
    </row>
    <row r="9113" spans="1:15" x14ac:dyDescent="0.35">
      <c r="A9113" s="500" t="s">
        <v>1132</v>
      </c>
      <c r="B9113" s="501">
        <v>4837</v>
      </c>
      <c r="C9113" s="501" t="s">
        <v>1094</v>
      </c>
      <c r="D9113" s="501" t="s">
        <v>3380</v>
      </c>
      <c r="E9113" s="501" t="s">
        <v>3381</v>
      </c>
      <c r="F9113" s="501" t="s">
        <v>992</v>
      </c>
      <c r="G9113" s="501" t="s">
        <v>993</v>
      </c>
      <c r="H9113" s="501" t="s">
        <v>10773</v>
      </c>
      <c r="I9113" s="501">
        <v>48</v>
      </c>
      <c r="J9113" s="501">
        <v>44</v>
      </c>
      <c r="K9113" s="501">
        <v>0</v>
      </c>
      <c r="L9113" s="501">
        <v>0</v>
      </c>
      <c r="M9113" s="501">
        <v>0</v>
      </c>
      <c r="N9113" s="501">
        <v>0</v>
      </c>
      <c r="O9113" s="506">
        <v>4</v>
      </c>
    </row>
    <row r="9114" spans="1:15" x14ac:dyDescent="0.35">
      <c r="A9114" s="503" t="s">
        <v>2021</v>
      </c>
      <c r="B9114" s="504" t="s">
        <v>3099</v>
      </c>
      <c r="C9114" s="504" t="s">
        <v>1089</v>
      </c>
      <c r="D9114" s="504" t="s">
        <v>3392</v>
      </c>
      <c r="E9114" s="504" t="s">
        <v>3381</v>
      </c>
      <c r="F9114" s="504" t="s">
        <v>992</v>
      </c>
      <c r="G9114" s="504" t="s">
        <v>993</v>
      </c>
      <c r="H9114" s="504" t="s">
        <v>10774</v>
      </c>
      <c r="I9114" s="504">
        <v>53</v>
      </c>
      <c r="J9114" s="504">
        <v>53</v>
      </c>
      <c r="K9114" s="504">
        <v>0</v>
      </c>
      <c r="L9114" s="504">
        <v>0</v>
      </c>
      <c r="M9114" s="504">
        <v>0</v>
      </c>
      <c r="N9114" s="504">
        <v>0</v>
      </c>
      <c r="O9114" s="505">
        <v>0</v>
      </c>
    </row>
    <row r="9115" spans="1:15" x14ac:dyDescent="0.35">
      <c r="A9115" s="500" t="s">
        <v>2028</v>
      </c>
      <c r="B9115" s="501" t="s">
        <v>2863</v>
      </c>
      <c r="C9115" s="501" t="s">
        <v>1089</v>
      </c>
      <c r="D9115" s="501" t="s">
        <v>3392</v>
      </c>
      <c r="E9115" s="501" t="s">
        <v>3381</v>
      </c>
      <c r="F9115" s="501" t="s">
        <v>992</v>
      </c>
      <c r="G9115" s="501" t="s">
        <v>993</v>
      </c>
      <c r="H9115" s="501" t="s">
        <v>10775</v>
      </c>
      <c r="I9115" s="501">
        <v>7</v>
      </c>
      <c r="J9115" s="501">
        <v>0</v>
      </c>
      <c r="K9115" s="501">
        <v>0</v>
      </c>
      <c r="L9115" s="501">
        <v>0</v>
      </c>
      <c r="M9115" s="501">
        <v>7</v>
      </c>
      <c r="N9115" s="501">
        <v>0</v>
      </c>
      <c r="O9115" s="506">
        <v>0</v>
      </c>
    </row>
    <row r="9116" spans="1:15" x14ac:dyDescent="0.35">
      <c r="A9116" s="503" t="s">
        <v>2035</v>
      </c>
      <c r="B9116" s="504" t="s">
        <v>2895</v>
      </c>
      <c r="C9116" s="504" t="s">
        <v>1089</v>
      </c>
      <c r="D9116" s="504" t="s">
        <v>3392</v>
      </c>
      <c r="E9116" s="504" t="s">
        <v>3381</v>
      </c>
      <c r="F9116" s="504" t="s">
        <v>992</v>
      </c>
      <c r="G9116" s="504" t="s">
        <v>993</v>
      </c>
      <c r="H9116" s="504" t="s">
        <v>10776</v>
      </c>
      <c r="I9116" s="504">
        <v>18</v>
      </c>
      <c r="J9116" s="504">
        <v>0</v>
      </c>
      <c r="K9116" s="504">
        <v>0</v>
      </c>
      <c r="L9116" s="504">
        <v>0</v>
      </c>
      <c r="M9116" s="504">
        <v>18</v>
      </c>
      <c r="N9116" s="504">
        <v>0</v>
      </c>
      <c r="O9116" s="505">
        <v>0</v>
      </c>
    </row>
    <row r="9117" spans="1:15" x14ac:dyDescent="0.35">
      <c r="A9117" s="500" t="s">
        <v>1249</v>
      </c>
      <c r="B9117" s="501">
        <v>4729</v>
      </c>
      <c r="C9117" s="501" t="s">
        <v>1094</v>
      </c>
      <c r="D9117" s="501" t="s">
        <v>3380</v>
      </c>
      <c r="E9117" s="501" t="s">
        <v>3381</v>
      </c>
      <c r="F9117" s="501" t="s">
        <v>992</v>
      </c>
      <c r="G9117" s="501" t="s">
        <v>993</v>
      </c>
      <c r="H9117" s="501" t="s">
        <v>10777</v>
      </c>
      <c r="I9117" s="501">
        <v>50</v>
      </c>
      <c r="J9117" s="501">
        <v>0</v>
      </c>
      <c r="K9117" s="501">
        <v>0</v>
      </c>
      <c r="L9117" s="501">
        <v>0</v>
      </c>
      <c r="M9117" s="501">
        <v>50</v>
      </c>
      <c r="N9117" s="501">
        <v>0</v>
      </c>
      <c r="O9117" s="506">
        <v>0</v>
      </c>
    </row>
    <row r="9118" spans="1:15" x14ac:dyDescent="0.35">
      <c r="A9118" s="503" t="s">
        <v>2050</v>
      </c>
      <c r="B9118" s="504">
        <v>4826</v>
      </c>
      <c r="C9118" s="504" t="s">
        <v>1094</v>
      </c>
      <c r="D9118" s="504" t="s">
        <v>3380</v>
      </c>
      <c r="E9118" s="504" t="s">
        <v>3381</v>
      </c>
      <c r="F9118" s="504" t="s">
        <v>992</v>
      </c>
      <c r="G9118" s="504" t="s">
        <v>993</v>
      </c>
      <c r="H9118" s="504" t="s">
        <v>10778</v>
      </c>
      <c r="I9118" s="504">
        <v>145</v>
      </c>
      <c r="J9118" s="504">
        <v>115</v>
      </c>
      <c r="K9118" s="504">
        <v>0</v>
      </c>
      <c r="L9118" s="504">
        <v>0</v>
      </c>
      <c r="M9118" s="504">
        <v>0</v>
      </c>
      <c r="N9118" s="504">
        <v>0</v>
      </c>
      <c r="O9118" s="505">
        <v>30</v>
      </c>
    </row>
    <row r="9119" spans="1:15" x14ac:dyDescent="0.35">
      <c r="A9119" s="500" t="s">
        <v>1096</v>
      </c>
      <c r="B9119" s="501" t="s">
        <v>3326</v>
      </c>
      <c r="C9119" s="501" t="s">
        <v>1094</v>
      </c>
      <c r="D9119" s="501" t="s">
        <v>3380</v>
      </c>
      <c r="E9119" s="501" t="s">
        <v>3381</v>
      </c>
      <c r="F9119" s="501" t="s">
        <v>994</v>
      </c>
      <c r="G9119" s="501" t="s">
        <v>995</v>
      </c>
      <c r="H9119" s="501" t="s">
        <v>10779</v>
      </c>
      <c r="I9119" s="501">
        <v>80</v>
      </c>
      <c r="J9119" s="501">
        <v>0</v>
      </c>
      <c r="K9119" s="501">
        <v>0</v>
      </c>
      <c r="L9119" s="501">
        <v>0</v>
      </c>
      <c r="M9119" s="501">
        <v>70</v>
      </c>
      <c r="N9119" s="501">
        <v>0</v>
      </c>
      <c r="O9119" s="506">
        <v>10</v>
      </c>
    </row>
    <row r="9120" spans="1:15" x14ac:dyDescent="0.35">
      <c r="A9120" s="503" t="s">
        <v>1673</v>
      </c>
      <c r="B9120" s="504">
        <v>4731</v>
      </c>
      <c r="C9120" s="504" t="s">
        <v>1089</v>
      </c>
      <c r="D9120" s="504" t="s">
        <v>3392</v>
      </c>
      <c r="E9120" s="504" t="s">
        <v>3381</v>
      </c>
      <c r="F9120" s="504" t="s">
        <v>994</v>
      </c>
      <c r="G9120" s="504" t="s">
        <v>995</v>
      </c>
      <c r="H9120" s="504" t="s">
        <v>10780</v>
      </c>
      <c r="I9120" s="504">
        <v>8</v>
      </c>
      <c r="J9120" s="504">
        <v>0</v>
      </c>
      <c r="K9120" s="504">
        <v>0</v>
      </c>
      <c r="L9120" s="504">
        <v>8</v>
      </c>
      <c r="M9120" s="504">
        <v>0</v>
      </c>
      <c r="N9120" s="504">
        <v>0</v>
      </c>
      <c r="O9120" s="505">
        <v>0</v>
      </c>
    </row>
    <row r="9121" spans="1:15" x14ac:dyDescent="0.35">
      <c r="A9121" s="500" t="s">
        <v>1674</v>
      </c>
      <c r="B9121" s="501">
        <v>4765</v>
      </c>
      <c r="C9121" s="501" t="s">
        <v>1089</v>
      </c>
      <c r="D9121" s="501" t="s">
        <v>3392</v>
      </c>
      <c r="E9121" s="501" t="s">
        <v>3381</v>
      </c>
      <c r="F9121" s="501" t="s">
        <v>994</v>
      </c>
      <c r="G9121" s="501" t="s">
        <v>995</v>
      </c>
      <c r="H9121" s="501" t="s">
        <v>15234</v>
      </c>
      <c r="I9121" s="501">
        <v>4</v>
      </c>
      <c r="J9121" s="501">
        <v>4</v>
      </c>
      <c r="K9121" s="501">
        <v>0</v>
      </c>
      <c r="L9121" s="501">
        <v>0</v>
      </c>
      <c r="M9121" s="501">
        <v>0</v>
      </c>
      <c r="N9121" s="501">
        <v>0</v>
      </c>
      <c r="O9121" s="506">
        <v>0</v>
      </c>
    </row>
    <row r="9122" spans="1:15" x14ac:dyDescent="0.35">
      <c r="A9122" s="503" t="s">
        <v>1678</v>
      </c>
      <c r="B9122" s="504">
        <v>4568</v>
      </c>
      <c r="C9122" s="504" t="s">
        <v>1094</v>
      </c>
      <c r="D9122" s="504" t="s">
        <v>3380</v>
      </c>
      <c r="E9122" s="504" t="s">
        <v>3381</v>
      </c>
      <c r="F9122" s="504" t="s">
        <v>994</v>
      </c>
      <c r="G9122" s="504" t="s">
        <v>995</v>
      </c>
      <c r="H9122" s="504" t="s">
        <v>10781</v>
      </c>
      <c r="I9122" s="504">
        <v>45</v>
      </c>
      <c r="J9122" s="504">
        <v>31</v>
      </c>
      <c r="K9122" s="504">
        <v>0</v>
      </c>
      <c r="L9122" s="504">
        <v>0</v>
      </c>
      <c r="M9122" s="504">
        <v>0</v>
      </c>
      <c r="N9122" s="504">
        <v>0</v>
      </c>
      <c r="O9122" s="505">
        <v>14</v>
      </c>
    </row>
    <row r="9123" spans="1:15" x14ac:dyDescent="0.35">
      <c r="A9123" s="500" t="s">
        <v>1160</v>
      </c>
      <c r="B9123" s="501">
        <v>4672</v>
      </c>
      <c r="C9123" s="501" t="s">
        <v>1089</v>
      </c>
      <c r="D9123" s="501" t="s">
        <v>3392</v>
      </c>
      <c r="E9123" s="501" t="s">
        <v>3381</v>
      </c>
      <c r="F9123" s="501" t="s">
        <v>994</v>
      </c>
      <c r="G9123" s="501" t="s">
        <v>995</v>
      </c>
      <c r="H9123" s="501" t="s">
        <v>10782</v>
      </c>
      <c r="I9123" s="501">
        <v>18</v>
      </c>
      <c r="J9123" s="501">
        <v>0</v>
      </c>
      <c r="K9123" s="501">
        <v>0</v>
      </c>
      <c r="L9123" s="501">
        <v>18</v>
      </c>
      <c r="M9123" s="501">
        <v>0</v>
      </c>
      <c r="N9123" s="501">
        <v>0</v>
      </c>
      <c r="O9123" s="506">
        <v>0</v>
      </c>
    </row>
    <row r="9124" spans="1:15" x14ac:dyDescent="0.35">
      <c r="A9124" s="503" t="s">
        <v>1691</v>
      </c>
      <c r="B9124" s="504" t="s">
        <v>3199</v>
      </c>
      <c r="C9124" s="504" t="s">
        <v>1094</v>
      </c>
      <c r="D9124" s="504" t="s">
        <v>3380</v>
      </c>
      <c r="E9124" s="504" t="s">
        <v>3381</v>
      </c>
      <c r="F9124" s="504" t="s">
        <v>994</v>
      </c>
      <c r="G9124" s="504" t="s">
        <v>995</v>
      </c>
      <c r="H9124" s="504" t="s">
        <v>10783</v>
      </c>
      <c r="I9124" s="504">
        <v>6</v>
      </c>
      <c r="J9124" s="504">
        <v>6</v>
      </c>
      <c r="K9124" s="504">
        <v>0</v>
      </c>
      <c r="L9124" s="504">
        <v>0</v>
      </c>
      <c r="M9124" s="504">
        <v>0</v>
      </c>
      <c r="N9124" s="504">
        <v>0</v>
      </c>
      <c r="O9124" s="505">
        <v>0</v>
      </c>
    </row>
    <row r="9125" spans="1:15" x14ac:dyDescent="0.35">
      <c r="A9125" s="500" t="s">
        <v>1102</v>
      </c>
      <c r="B9125" s="501">
        <v>4663</v>
      </c>
      <c r="C9125" s="501" t="s">
        <v>1089</v>
      </c>
      <c r="D9125" s="501" t="s">
        <v>3392</v>
      </c>
      <c r="E9125" s="501" t="s">
        <v>3381</v>
      </c>
      <c r="F9125" s="501" t="s">
        <v>994</v>
      </c>
      <c r="G9125" s="501" t="s">
        <v>995</v>
      </c>
      <c r="H9125" s="501" t="s">
        <v>10784</v>
      </c>
      <c r="I9125" s="501">
        <v>47</v>
      </c>
      <c r="J9125" s="501">
        <v>0</v>
      </c>
      <c r="K9125" s="501">
        <v>0</v>
      </c>
      <c r="L9125" s="501">
        <v>47</v>
      </c>
      <c r="M9125" s="501">
        <v>0</v>
      </c>
      <c r="N9125" s="501">
        <v>0</v>
      </c>
      <c r="O9125" s="506">
        <v>0</v>
      </c>
    </row>
    <row r="9126" spans="1:15" x14ac:dyDescent="0.35">
      <c r="A9126" s="503" t="s">
        <v>1183</v>
      </c>
      <c r="B9126" s="504" t="s">
        <v>3038</v>
      </c>
      <c r="C9126" s="504" t="s">
        <v>1094</v>
      </c>
      <c r="D9126" s="504" t="s">
        <v>3380</v>
      </c>
      <c r="E9126" s="504" t="s">
        <v>3381</v>
      </c>
      <c r="F9126" s="504" t="s">
        <v>994</v>
      </c>
      <c r="G9126" s="504" t="s">
        <v>995</v>
      </c>
      <c r="H9126" s="504" t="s">
        <v>10785</v>
      </c>
      <c r="I9126" s="504">
        <v>2</v>
      </c>
      <c r="J9126" s="504">
        <v>2</v>
      </c>
      <c r="K9126" s="504">
        <v>0</v>
      </c>
      <c r="L9126" s="504">
        <v>0</v>
      </c>
      <c r="M9126" s="504">
        <v>0</v>
      </c>
      <c r="N9126" s="504">
        <v>0</v>
      </c>
      <c r="O9126" s="505">
        <v>0</v>
      </c>
    </row>
    <row r="9127" spans="1:15" x14ac:dyDescent="0.35">
      <c r="A9127" s="500" t="s">
        <v>1186</v>
      </c>
      <c r="B9127" s="501">
        <v>4661</v>
      </c>
      <c r="C9127" s="501" t="s">
        <v>1089</v>
      </c>
      <c r="D9127" s="501" t="s">
        <v>3392</v>
      </c>
      <c r="E9127" s="501" t="s">
        <v>3381</v>
      </c>
      <c r="F9127" s="501" t="s">
        <v>994</v>
      </c>
      <c r="G9127" s="501" t="s">
        <v>995</v>
      </c>
      <c r="H9127" s="501" t="s">
        <v>10786</v>
      </c>
      <c r="I9127" s="501">
        <v>10</v>
      </c>
      <c r="J9127" s="501">
        <v>0</v>
      </c>
      <c r="K9127" s="501">
        <v>0</v>
      </c>
      <c r="L9127" s="501">
        <v>10</v>
      </c>
      <c r="M9127" s="501">
        <v>0</v>
      </c>
      <c r="N9127" s="501">
        <v>0</v>
      </c>
      <c r="O9127" s="506">
        <v>0</v>
      </c>
    </row>
    <row r="9128" spans="1:15" x14ac:dyDescent="0.35">
      <c r="A9128" s="503" t="s">
        <v>1105</v>
      </c>
      <c r="B9128" s="504">
        <v>4668</v>
      </c>
      <c r="C9128" s="504" t="s">
        <v>1094</v>
      </c>
      <c r="D9128" s="504" t="s">
        <v>3380</v>
      </c>
      <c r="E9128" s="504" t="s">
        <v>3381</v>
      </c>
      <c r="F9128" s="504" t="s">
        <v>994</v>
      </c>
      <c r="G9128" s="504" t="s">
        <v>995</v>
      </c>
      <c r="H9128" s="504" t="s">
        <v>10787</v>
      </c>
      <c r="I9128" s="504">
        <v>90</v>
      </c>
      <c r="J9128" s="504">
        <v>0</v>
      </c>
      <c r="K9128" s="504">
        <v>0</v>
      </c>
      <c r="L9128" s="504">
        <v>0</v>
      </c>
      <c r="M9128" s="504">
        <v>0</v>
      </c>
      <c r="N9128" s="504">
        <v>0</v>
      </c>
      <c r="O9128" s="505">
        <v>90</v>
      </c>
    </row>
    <row r="9129" spans="1:15" x14ac:dyDescent="0.35">
      <c r="A9129" s="500" t="s">
        <v>1109</v>
      </c>
      <c r="B9129" s="501" t="s">
        <v>2959</v>
      </c>
      <c r="C9129" s="501" t="s">
        <v>1094</v>
      </c>
      <c r="D9129" s="501" t="s">
        <v>3380</v>
      </c>
      <c r="E9129" s="501" t="s">
        <v>3381</v>
      </c>
      <c r="F9129" s="501" t="s">
        <v>994</v>
      </c>
      <c r="G9129" s="501" t="s">
        <v>995</v>
      </c>
      <c r="H9129" s="501" t="s">
        <v>10788</v>
      </c>
      <c r="I9129" s="501">
        <v>110</v>
      </c>
      <c r="J9129" s="501">
        <v>0</v>
      </c>
      <c r="K9129" s="501">
        <v>0</v>
      </c>
      <c r="L9129" s="501">
        <v>0</v>
      </c>
      <c r="M9129" s="501">
        <v>110</v>
      </c>
      <c r="N9129" s="501">
        <v>0</v>
      </c>
      <c r="O9129" s="506">
        <v>0</v>
      </c>
    </row>
    <row r="9130" spans="1:15" x14ac:dyDescent="0.35">
      <c r="A9130" s="503" t="s">
        <v>1716</v>
      </c>
      <c r="B9130" s="504" t="s">
        <v>2960</v>
      </c>
      <c r="C9130" s="504" t="s">
        <v>1094</v>
      </c>
      <c r="D9130" s="504" t="s">
        <v>3380</v>
      </c>
      <c r="E9130" s="504" t="s">
        <v>3381</v>
      </c>
      <c r="F9130" s="504" t="s">
        <v>994</v>
      </c>
      <c r="G9130" s="504" t="s">
        <v>995</v>
      </c>
      <c r="H9130" s="504" t="s">
        <v>10789</v>
      </c>
      <c r="I9130" s="504">
        <v>5</v>
      </c>
      <c r="J9130" s="504">
        <v>0</v>
      </c>
      <c r="K9130" s="504">
        <v>0</v>
      </c>
      <c r="L9130" s="504">
        <v>5</v>
      </c>
      <c r="M9130" s="504">
        <v>0</v>
      </c>
      <c r="N9130" s="504">
        <v>0</v>
      </c>
      <c r="O9130" s="505">
        <v>0</v>
      </c>
    </row>
    <row r="9131" spans="1:15" x14ac:dyDescent="0.35">
      <c r="A9131" s="500" t="s">
        <v>11401</v>
      </c>
      <c r="B9131" s="501" t="s">
        <v>3241</v>
      </c>
      <c r="C9131" s="501" t="s">
        <v>1094</v>
      </c>
      <c r="D9131" s="501" t="s">
        <v>3380</v>
      </c>
      <c r="E9131" s="501" t="s">
        <v>3381</v>
      </c>
      <c r="F9131" s="501" t="s">
        <v>994</v>
      </c>
      <c r="G9131" s="501" t="s">
        <v>995</v>
      </c>
      <c r="H9131" s="501" t="s">
        <v>11793</v>
      </c>
      <c r="I9131" s="501">
        <v>68</v>
      </c>
      <c r="J9131" s="501">
        <v>61</v>
      </c>
      <c r="K9131" s="501">
        <v>0</v>
      </c>
      <c r="L9131" s="501">
        <v>7</v>
      </c>
      <c r="M9131" s="501">
        <v>0</v>
      </c>
      <c r="N9131" s="501">
        <v>0</v>
      </c>
      <c r="O9131" s="506">
        <v>0</v>
      </c>
    </row>
    <row r="9132" spans="1:15" x14ac:dyDescent="0.35">
      <c r="A9132" s="503" t="s">
        <v>1208</v>
      </c>
      <c r="B9132" s="504" t="s">
        <v>3096</v>
      </c>
      <c r="C9132" s="504" t="s">
        <v>1094</v>
      </c>
      <c r="D9132" s="504" t="s">
        <v>3380</v>
      </c>
      <c r="E9132" s="504" t="s">
        <v>3381</v>
      </c>
      <c r="F9132" s="504" t="s">
        <v>994</v>
      </c>
      <c r="G9132" s="504" t="s">
        <v>995</v>
      </c>
      <c r="H9132" s="504" t="s">
        <v>10790</v>
      </c>
      <c r="I9132" s="504">
        <v>94</v>
      </c>
      <c r="J9132" s="504">
        <v>85</v>
      </c>
      <c r="K9132" s="504">
        <v>0</v>
      </c>
      <c r="L9132" s="504">
        <v>9</v>
      </c>
      <c r="M9132" s="504">
        <v>0</v>
      </c>
      <c r="N9132" s="504">
        <v>0</v>
      </c>
      <c r="O9132" s="505">
        <v>0</v>
      </c>
    </row>
    <row r="9133" spans="1:15" x14ac:dyDescent="0.35">
      <c r="A9133" s="500" t="s">
        <v>1209</v>
      </c>
      <c r="B9133" s="501">
        <v>4779</v>
      </c>
      <c r="C9133" s="501" t="s">
        <v>1094</v>
      </c>
      <c r="D9133" s="501" t="s">
        <v>3380</v>
      </c>
      <c r="E9133" s="501" t="s">
        <v>3381</v>
      </c>
      <c r="F9133" s="501" t="s">
        <v>994</v>
      </c>
      <c r="G9133" s="501" t="s">
        <v>995</v>
      </c>
      <c r="H9133" s="501" t="s">
        <v>10791</v>
      </c>
      <c r="I9133" s="501">
        <v>4</v>
      </c>
      <c r="J9133" s="501">
        <v>0</v>
      </c>
      <c r="K9133" s="501">
        <v>0</v>
      </c>
      <c r="L9133" s="501">
        <v>4</v>
      </c>
      <c r="M9133" s="501">
        <v>0</v>
      </c>
      <c r="N9133" s="501">
        <v>0</v>
      </c>
      <c r="O9133" s="506">
        <v>0</v>
      </c>
    </row>
    <row r="9134" spans="1:15" x14ac:dyDescent="0.35">
      <c r="A9134" s="503" t="s">
        <v>1503</v>
      </c>
      <c r="B9134" s="504">
        <v>4666</v>
      </c>
      <c r="C9134" s="504" t="s">
        <v>1089</v>
      </c>
      <c r="D9134" s="504" t="s">
        <v>3392</v>
      </c>
      <c r="E9134" s="504" t="s">
        <v>3381</v>
      </c>
      <c r="F9134" s="504" t="s">
        <v>994</v>
      </c>
      <c r="G9134" s="504" t="s">
        <v>995</v>
      </c>
      <c r="H9134" s="504" t="s">
        <v>15235</v>
      </c>
      <c r="I9134" s="504">
        <v>3</v>
      </c>
      <c r="J9134" s="504">
        <v>0</v>
      </c>
      <c r="K9134" s="504">
        <v>0</v>
      </c>
      <c r="L9134" s="504">
        <v>3</v>
      </c>
      <c r="M9134" s="504">
        <v>0</v>
      </c>
      <c r="N9134" s="504">
        <v>0</v>
      </c>
      <c r="O9134" s="505">
        <v>0</v>
      </c>
    </row>
    <row r="9135" spans="1:15" x14ac:dyDescent="0.35">
      <c r="A9135" s="500" t="s">
        <v>1743</v>
      </c>
      <c r="B9135" s="501">
        <v>4804</v>
      </c>
      <c r="C9135" s="501" t="s">
        <v>1094</v>
      </c>
      <c r="D9135" s="501" t="s">
        <v>3380</v>
      </c>
      <c r="E9135" s="501" t="s">
        <v>3381</v>
      </c>
      <c r="F9135" s="501" t="s">
        <v>994</v>
      </c>
      <c r="G9135" s="501" t="s">
        <v>995</v>
      </c>
      <c r="H9135" s="501" t="s">
        <v>10792</v>
      </c>
      <c r="I9135" s="501">
        <v>132</v>
      </c>
      <c r="J9135" s="501">
        <v>92</v>
      </c>
      <c r="K9135" s="501">
        <v>0</v>
      </c>
      <c r="L9135" s="501">
        <v>0</v>
      </c>
      <c r="M9135" s="501">
        <v>0</v>
      </c>
      <c r="N9135" s="501">
        <v>0</v>
      </c>
      <c r="O9135" s="506">
        <v>40</v>
      </c>
    </row>
    <row r="9136" spans="1:15" x14ac:dyDescent="0.35">
      <c r="A9136" s="503" t="s">
        <v>1744</v>
      </c>
      <c r="B9136" s="504" t="s">
        <v>3245</v>
      </c>
      <c r="C9136" s="504" t="s">
        <v>1094</v>
      </c>
      <c r="D9136" s="504" t="s">
        <v>3380</v>
      </c>
      <c r="E9136" s="504" t="s">
        <v>3381</v>
      </c>
      <c r="F9136" s="504" t="s">
        <v>994</v>
      </c>
      <c r="G9136" s="504" t="s">
        <v>995</v>
      </c>
      <c r="H9136" s="504" t="s">
        <v>10793</v>
      </c>
      <c r="I9136" s="504">
        <v>92</v>
      </c>
      <c r="J9136" s="504">
        <v>20</v>
      </c>
      <c r="K9136" s="504">
        <v>0</v>
      </c>
      <c r="L9136" s="504">
        <v>27</v>
      </c>
      <c r="M9136" s="504">
        <v>0</v>
      </c>
      <c r="N9136" s="504">
        <v>3</v>
      </c>
      <c r="O9136" s="505">
        <v>45</v>
      </c>
    </row>
    <row r="9137" spans="1:15" x14ac:dyDescent="0.35">
      <c r="A9137" s="500" t="s">
        <v>1223</v>
      </c>
      <c r="B9137" s="501">
        <v>4768</v>
      </c>
      <c r="C9137" s="501" t="s">
        <v>1089</v>
      </c>
      <c r="D9137" s="501" t="s">
        <v>3392</v>
      </c>
      <c r="E9137" s="501" t="s">
        <v>3381</v>
      </c>
      <c r="F9137" s="501" t="s">
        <v>994</v>
      </c>
      <c r="G9137" s="501" t="s">
        <v>995</v>
      </c>
      <c r="H9137" s="501" t="s">
        <v>10794</v>
      </c>
      <c r="I9137" s="501">
        <v>2</v>
      </c>
      <c r="J9137" s="501">
        <v>0</v>
      </c>
      <c r="K9137" s="501">
        <v>0</v>
      </c>
      <c r="L9137" s="501">
        <v>2</v>
      </c>
      <c r="M9137" s="501">
        <v>0</v>
      </c>
      <c r="N9137" s="501">
        <v>0</v>
      </c>
      <c r="O9137" s="506">
        <v>0</v>
      </c>
    </row>
    <row r="9138" spans="1:15" x14ac:dyDescent="0.35">
      <c r="A9138" s="503" t="s">
        <v>1122</v>
      </c>
      <c r="B9138" s="504" t="s">
        <v>2994</v>
      </c>
      <c r="C9138" s="504" t="s">
        <v>1094</v>
      </c>
      <c r="D9138" s="504" t="s">
        <v>3380</v>
      </c>
      <c r="E9138" s="504" t="s">
        <v>3381</v>
      </c>
      <c r="F9138" s="504" t="s">
        <v>994</v>
      </c>
      <c r="G9138" s="504" t="s">
        <v>995</v>
      </c>
      <c r="H9138" s="504" t="s">
        <v>10795</v>
      </c>
      <c r="I9138" s="504">
        <v>4</v>
      </c>
      <c r="J9138" s="504">
        <v>4</v>
      </c>
      <c r="K9138" s="504">
        <v>0</v>
      </c>
      <c r="L9138" s="504">
        <v>0</v>
      </c>
      <c r="M9138" s="504">
        <v>0</v>
      </c>
      <c r="N9138" s="504">
        <v>0</v>
      </c>
      <c r="O9138" s="505">
        <v>0</v>
      </c>
    </row>
    <row r="9139" spans="1:15" x14ac:dyDescent="0.35">
      <c r="A9139" s="500" t="s">
        <v>1748</v>
      </c>
      <c r="B9139" s="501" t="s">
        <v>3233</v>
      </c>
      <c r="C9139" s="501" t="s">
        <v>1094</v>
      </c>
      <c r="D9139" s="501" t="s">
        <v>3380</v>
      </c>
      <c r="E9139" s="501" t="s">
        <v>3381</v>
      </c>
      <c r="F9139" s="501" t="s">
        <v>994</v>
      </c>
      <c r="G9139" s="501" t="s">
        <v>995</v>
      </c>
      <c r="H9139" s="501" t="s">
        <v>10796</v>
      </c>
      <c r="I9139" s="501">
        <v>26</v>
      </c>
      <c r="J9139" s="501">
        <v>26</v>
      </c>
      <c r="K9139" s="501">
        <v>0</v>
      </c>
      <c r="L9139" s="501">
        <v>0</v>
      </c>
      <c r="M9139" s="501">
        <v>0</v>
      </c>
      <c r="N9139" s="501">
        <v>0</v>
      </c>
      <c r="O9139" s="506">
        <v>0</v>
      </c>
    </row>
    <row r="9140" spans="1:15" x14ac:dyDescent="0.35">
      <c r="A9140" s="503" t="s">
        <v>1228</v>
      </c>
      <c r="B9140" s="504" t="s">
        <v>3321</v>
      </c>
      <c r="C9140" s="504" t="s">
        <v>1094</v>
      </c>
      <c r="D9140" s="504" t="s">
        <v>3380</v>
      </c>
      <c r="E9140" s="504" t="s">
        <v>3381</v>
      </c>
      <c r="F9140" s="504" t="s">
        <v>994</v>
      </c>
      <c r="G9140" s="504" t="s">
        <v>995</v>
      </c>
      <c r="H9140" s="504" t="s">
        <v>10797</v>
      </c>
      <c r="I9140" s="504">
        <v>92</v>
      </c>
      <c r="J9140" s="504">
        <v>50</v>
      </c>
      <c r="K9140" s="504">
        <v>0</v>
      </c>
      <c r="L9140" s="504">
        <v>40</v>
      </c>
      <c r="M9140" s="504">
        <v>0</v>
      </c>
      <c r="N9140" s="504">
        <v>0</v>
      </c>
      <c r="O9140" s="505">
        <v>2</v>
      </c>
    </row>
    <row r="9141" spans="1:15" x14ac:dyDescent="0.35">
      <c r="A9141" s="500" t="s">
        <v>1752</v>
      </c>
      <c r="B9141" s="501">
        <v>4653</v>
      </c>
      <c r="C9141" s="501" t="s">
        <v>1094</v>
      </c>
      <c r="D9141" s="501" t="s">
        <v>3380</v>
      </c>
      <c r="E9141" s="501" t="s">
        <v>3381</v>
      </c>
      <c r="F9141" s="501" t="s">
        <v>994</v>
      </c>
      <c r="G9141" s="501" t="s">
        <v>995</v>
      </c>
      <c r="H9141" s="501" t="s">
        <v>10798</v>
      </c>
      <c r="I9141" s="501">
        <v>203</v>
      </c>
      <c r="J9141" s="501">
        <v>135</v>
      </c>
      <c r="K9141" s="501">
        <v>0</v>
      </c>
      <c r="L9141" s="501">
        <v>0</v>
      </c>
      <c r="M9141" s="501">
        <v>0</v>
      </c>
      <c r="N9141" s="501">
        <v>0</v>
      </c>
      <c r="O9141" s="506">
        <v>68</v>
      </c>
    </row>
    <row r="9142" spans="1:15" x14ac:dyDescent="0.35">
      <c r="A9142" s="503" t="s">
        <v>1233</v>
      </c>
      <c r="B9142" s="504">
        <v>4636</v>
      </c>
      <c r="C9142" s="504" t="s">
        <v>1094</v>
      </c>
      <c r="D9142" s="504" t="s">
        <v>3380</v>
      </c>
      <c r="E9142" s="504" t="s">
        <v>3381</v>
      </c>
      <c r="F9142" s="504" t="s">
        <v>994</v>
      </c>
      <c r="G9142" s="504" t="s">
        <v>995</v>
      </c>
      <c r="H9142" s="504" t="s">
        <v>12028</v>
      </c>
      <c r="I9142" s="504">
        <v>2</v>
      </c>
      <c r="J9142" s="504">
        <v>0</v>
      </c>
      <c r="K9142" s="504">
        <v>0</v>
      </c>
      <c r="L9142" s="504">
        <v>0</v>
      </c>
      <c r="M9142" s="504">
        <v>0</v>
      </c>
      <c r="N9142" s="504">
        <v>0</v>
      </c>
      <c r="O9142" s="505">
        <v>2</v>
      </c>
    </row>
    <row r="9143" spans="1:15" x14ac:dyDescent="0.35">
      <c r="A9143" s="500" t="s">
        <v>11368</v>
      </c>
      <c r="B9143" s="501">
        <v>5083</v>
      </c>
      <c r="C9143" s="501" t="s">
        <v>1094</v>
      </c>
      <c r="D9143" s="501" t="s">
        <v>3380</v>
      </c>
      <c r="E9143" s="501" t="s">
        <v>3381</v>
      </c>
      <c r="F9143" s="501" t="s">
        <v>994</v>
      </c>
      <c r="G9143" s="501" t="s">
        <v>995</v>
      </c>
      <c r="H9143" s="501" t="s">
        <v>15236</v>
      </c>
      <c r="I9143" s="501">
        <v>32</v>
      </c>
      <c r="J9143" s="501">
        <v>32</v>
      </c>
      <c r="K9143" s="501">
        <v>0</v>
      </c>
      <c r="L9143" s="501">
        <v>0</v>
      </c>
      <c r="M9143" s="501">
        <v>0</v>
      </c>
      <c r="N9143" s="501">
        <v>0</v>
      </c>
      <c r="O9143" s="506">
        <v>0</v>
      </c>
    </row>
    <row r="9144" spans="1:15" x14ac:dyDescent="0.35">
      <c r="A9144" s="503" t="s">
        <v>1234</v>
      </c>
      <c r="B9144" s="504" t="s">
        <v>3291</v>
      </c>
      <c r="C9144" s="504" t="s">
        <v>1094</v>
      </c>
      <c r="D9144" s="504" t="s">
        <v>3380</v>
      </c>
      <c r="E9144" s="504" t="s">
        <v>3381</v>
      </c>
      <c r="F9144" s="504" t="s">
        <v>994</v>
      </c>
      <c r="G9144" s="504" t="s">
        <v>995</v>
      </c>
      <c r="H9144" s="504" t="s">
        <v>10799</v>
      </c>
      <c r="I9144" s="504">
        <v>90</v>
      </c>
      <c r="J9144" s="504">
        <v>90</v>
      </c>
      <c r="K9144" s="504">
        <v>0</v>
      </c>
      <c r="L9144" s="504">
        <v>0</v>
      </c>
      <c r="M9144" s="504">
        <v>0</v>
      </c>
      <c r="N9144" s="504">
        <v>0</v>
      </c>
      <c r="O9144" s="505">
        <v>0</v>
      </c>
    </row>
    <row r="9145" spans="1:15" x14ac:dyDescent="0.35">
      <c r="A9145" s="500" t="s">
        <v>1126</v>
      </c>
      <c r="B9145" s="501" t="s">
        <v>2974</v>
      </c>
      <c r="C9145" s="501" t="s">
        <v>1094</v>
      </c>
      <c r="D9145" s="501" t="s">
        <v>3380</v>
      </c>
      <c r="E9145" s="501" t="s">
        <v>3381</v>
      </c>
      <c r="F9145" s="501" t="s">
        <v>994</v>
      </c>
      <c r="G9145" s="501" t="s">
        <v>995</v>
      </c>
      <c r="H9145" s="501" t="s">
        <v>10800</v>
      </c>
      <c r="I9145" s="501">
        <v>184</v>
      </c>
      <c r="J9145" s="501">
        <v>149</v>
      </c>
      <c r="K9145" s="501">
        <v>0</v>
      </c>
      <c r="L9145" s="501">
        <v>0</v>
      </c>
      <c r="M9145" s="501">
        <v>0</v>
      </c>
      <c r="N9145" s="501">
        <v>0</v>
      </c>
      <c r="O9145" s="506">
        <v>35</v>
      </c>
    </row>
    <row r="9146" spans="1:15" x14ac:dyDescent="0.35">
      <c r="A9146" s="503" t="s">
        <v>1778</v>
      </c>
      <c r="B9146" s="504">
        <v>5052</v>
      </c>
      <c r="C9146" s="504" t="s">
        <v>1089</v>
      </c>
      <c r="D9146" s="504" t="s">
        <v>3392</v>
      </c>
      <c r="E9146" s="504" t="s">
        <v>3381</v>
      </c>
      <c r="F9146" s="504" t="s">
        <v>994</v>
      </c>
      <c r="G9146" s="504" t="s">
        <v>995</v>
      </c>
      <c r="H9146" s="504" t="s">
        <v>15237</v>
      </c>
      <c r="I9146" s="504">
        <v>21</v>
      </c>
      <c r="J9146" s="504">
        <v>21</v>
      </c>
      <c r="K9146" s="504">
        <v>0</v>
      </c>
      <c r="L9146" s="504">
        <v>0</v>
      </c>
      <c r="M9146" s="504">
        <v>0</v>
      </c>
      <c r="N9146" s="504">
        <v>0</v>
      </c>
      <c r="O9146" s="505">
        <v>0</v>
      </c>
    </row>
    <row r="9147" spans="1:15" x14ac:dyDescent="0.35">
      <c r="A9147" s="500" t="s">
        <v>1253</v>
      </c>
      <c r="B9147" s="501" t="s">
        <v>3232</v>
      </c>
      <c r="C9147" s="501" t="s">
        <v>1094</v>
      </c>
      <c r="D9147" s="501" t="s">
        <v>3380</v>
      </c>
      <c r="E9147" s="501" t="s">
        <v>3381</v>
      </c>
      <c r="F9147" s="501" t="s">
        <v>994</v>
      </c>
      <c r="G9147" s="501" t="s">
        <v>995</v>
      </c>
      <c r="H9147" s="501" t="s">
        <v>10801</v>
      </c>
      <c r="I9147" s="501">
        <v>296</v>
      </c>
      <c r="J9147" s="501">
        <v>142</v>
      </c>
      <c r="K9147" s="501">
        <v>0</v>
      </c>
      <c r="L9147" s="501">
        <v>17</v>
      </c>
      <c r="M9147" s="501">
        <v>65</v>
      </c>
      <c r="N9147" s="501">
        <v>0</v>
      </c>
      <c r="O9147" s="506">
        <v>72</v>
      </c>
    </row>
    <row r="9148" spans="1:15" x14ac:dyDescent="0.35">
      <c r="A9148" s="503" t="s">
        <v>1575</v>
      </c>
      <c r="B9148" s="504" t="s">
        <v>3349</v>
      </c>
      <c r="C9148" s="504" t="s">
        <v>1089</v>
      </c>
      <c r="D9148" s="504" t="s">
        <v>3392</v>
      </c>
      <c r="E9148" s="504" t="s">
        <v>3381</v>
      </c>
      <c r="F9148" s="504" t="s">
        <v>994</v>
      </c>
      <c r="G9148" s="504" t="s">
        <v>995</v>
      </c>
      <c r="H9148" s="504" t="s">
        <v>10802</v>
      </c>
      <c r="I9148" s="504">
        <v>10</v>
      </c>
      <c r="J9148" s="504">
        <v>10</v>
      </c>
      <c r="K9148" s="504">
        <v>0</v>
      </c>
      <c r="L9148" s="504">
        <v>0</v>
      </c>
      <c r="M9148" s="504">
        <v>0</v>
      </c>
      <c r="N9148" s="504">
        <v>0</v>
      </c>
      <c r="O9148" s="505">
        <v>0</v>
      </c>
    </row>
    <row r="9149" spans="1:15" x14ac:dyDescent="0.35">
      <c r="A9149" s="500" t="s">
        <v>14366</v>
      </c>
      <c r="B9149" s="501" t="s">
        <v>2457</v>
      </c>
      <c r="C9149" s="501" t="s">
        <v>1089</v>
      </c>
      <c r="D9149" s="501" t="s">
        <v>3392</v>
      </c>
      <c r="E9149" s="501" t="s">
        <v>3381</v>
      </c>
      <c r="F9149" s="501" t="s">
        <v>994</v>
      </c>
      <c r="G9149" s="501" t="s">
        <v>995</v>
      </c>
      <c r="H9149" s="501" t="s">
        <v>15238</v>
      </c>
      <c r="I9149" s="501">
        <v>6</v>
      </c>
      <c r="J9149" s="501">
        <v>0</v>
      </c>
      <c r="K9149" s="501">
        <v>0</v>
      </c>
      <c r="L9149" s="501">
        <v>0</v>
      </c>
      <c r="M9149" s="501">
        <v>6</v>
      </c>
      <c r="N9149" s="501">
        <v>0</v>
      </c>
      <c r="O9149" s="506">
        <v>0</v>
      </c>
    </row>
    <row r="9150" spans="1:15" x14ac:dyDescent="0.35">
      <c r="A9150" s="503" t="s">
        <v>1779</v>
      </c>
      <c r="B9150" s="504">
        <v>5065</v>
      </c>
      <c r="C9150" s="504" t="s">
        <v>1094</v>
      </c>
      <c r="D9150" s="504" t="s">
        <v>3380</v>
      </c>
      <c r="E9150" s="504" t="s">
        <v>3381</v>
      </c>
      <c r="F9150" s="504" t="s">
        <v>994</v>
      </c>
      <c r="G9150" s="504" t="s">
        <v>995</v>
      </c>
      <c r="H9150" s="504" t="s">
        <v>10803</v>
      </c>
      <c r="I9150" s="504">
        <v>83</v>
      </c>
      <c r="J9150" s="504">
        <v>33</v>
      </c>
      <c r="K9150" s="504">
        <v>0</v>
      </c>
      <c r="L9150" s="504">
        <v>0</v>
      </c>
      <c r="M9150" s="504">
        <v>41</v>
      </c>
      <c r="N9150" s="504">
        <v>0</v>
      </c>
      <c r="O9150" s="505">
        <v>9</v>
      </c>
    </row>
    <row r="9151" spans="1:15" x14ac:dyDescent="0.35">
      <c r="A9151" s="500" t="s">
        <v>1266</v>
      </c>
      <c r="B9151" s="501" t="s">
        <v>3071</v>
      </c>
      <c r="C9151" s="501" t="s">
        <v>1094</v>
      </c>
      <c r="D9151" s="501" t="s">
        <v>3380</v>
      </c>
      <c r="E9151" s="501" t="s">
        <v>3381</v>
      </c>
      <c r="F9151" s="501" t="s">
        <v>994</v>
      </c>
      <c r="G9151" s="501" t="s">
        <v>995</v>
      </c>
      <c r="H9151" s="501" t="s">
        <v>10804</v>
      </c>
      <c r="I9151" s="501">
        <v>156</v>
      </c>
      <c r="J9151" s="501">
        <v>18</v>
      </c>
      <c r="K9151" s="501">
        <v>0</v>
      </c>
      <c r="L9151" s="501">
        <v>6</v>
      </c>
      <c r="M9151" s="501">
        <v>79</v>
      </c>
      <c r="N9151" s="501">
        <v>0</v>
      </c>
      <c r="O9151" s="506">
        <v>53</v>
      </c>
    </row>
    <row r="9152" spans="1:15" x14ac:dyDescent="0.35">
      <c r="A9152" s="503" t="s">
        <v>1145</v>
      </c>
      <c r="B9152" s="504" t="s">
        <v>3164</v>
      </c>
      <c r="C9152" s="504" t="s">
        <v>1094</v>
      </c>
      <c r="D9152" s="504" t="s">
        <v>3380</v>
      </c>
      <c r="E9152" s="504" t="s">
        <v>3381</v>
      </c>
      <c r="F9152" s="504" t="s">
        <v>996</v>
      </c>
      <c r="G9152" s="504" t="s">
        <v>997</v>
      </c>
      <c r="H9152" s="504" t="s">
        <v>10805</v>
      </c>
      <c r="I9152" s="504">
        <v>3810</v>
      </c>
      <c r="J9152" s="504">
        <v>3437</v>
      </c>
      <c r="K9152" s="504">
        <v>0</v>
      </c>
      <c r="L9152" s="504">
        <v>4</v>
      </c>
      <c r="M9152" s="504">
        <v>235</v>
      </c>
      <c r="N9152" s="504">
        <v>0</v>
      </c>
      <c r="O9152" s="505">
        <v>134</v>
      </c>
    </row>
    <row r="9153" spans="1:15" x14ac:dyDescent="0.35">
      <c r="A9153" s="500" t="s">
        <v>1093</v>
      </c>
      <c r="B9153" s="501" t="s">
        <v>3248</v>
      </c>
      <c r="C9153" s="501" t="s">
        <v>1094</v>
      </c>
      <c r="D9153" s="501" t="s">
        <v>3380</v>
      </c>
      <c r="E9153" s="501" t="s">
        <v>3381</v>
      </c>
      <c r="F9153" s="501" t="s">
        <v>996</v>
      </c>
      <c r="G9153" s="501" t="s">
        <v>997</v>
      </c>
      <c r="H9153" s="501" t="s">
        <v>10806</v>
      </c>
      <c r="I9153" s="501">
        <v>1</v>
      </c>
      <c r="J9153" s="501">
        <v>0</v>
      </c>
      <c r="K9153" s="501">
        <v>0</v>
      </c>
      <c r="L9153" s="501">
        <v>0</v>
      </c>
      <c r="M9153" s="501">
        <v>0</v>
      </c>
      <c r="N9153" s="501">
        <v>0</v>
      </c>
      <c r="O9153" s="506">
        <v>1</v>
      </c>
    </row>
    <row r="9154" spans="1:15" x14ac:dyDescent="0.35">
      <c r="A9154" s="503" t="s">
        <v>1096</v>
      </c>
      <c r="B9154" s="504" t="s">
        <v>3326</v>
      </c>
      <c r="C9154" s="504" t="s">
        <v>1094</v>
      </c>
      <c r="D9154" s="504" t="s">
        <v>3380</v>
      </c>
      <c r="E9154" s="504" t="s">
        <v>3381</v>
      </c>
      <c r="F9154" s="504" t="s">
        <v>996</v>
      </c>
      <c r="G9154" s="504" t="s">
        <v>997</v>
      </c>
      <c r="H9154" s="504" t="s">
        <v>10807</v>
      </c>
      <c r="I9154" s="504">
        <v>94</v>
      </c>
      <c r="J9154" s="504">
        <v>0</v>
      </c>
      <c r="K9154" s="504">
        <v>0</v>
      </c>
      <c r="L9154" s="504">
        <v>0</v>
      </c>
      <c r="M9154" s="504">
        <v>94</v>
      </c>
      <c r="N9154" s="504">
        <v>0</v>
      </c>
      <c r="O9154" s="505">
        <v>0</v>
      </c>
    </row>
    <row r="9155" spans="1:15" x14ac:dyDescent="0.35">
      <c r="A9155" s="500" t="s">
        <v>1171</v>
      </c>
      <c r="B9155" s="501" t="s">
        <v>3003</v>
      </c>
      <c r="C9155" s="501" t="s">
        <v>1094</v>
      </c>
      <c r="D9155" s="501" t="s">
        <v>3380</v>
      </c>
      <c r="E9155" s="501" t="s">
        <v>3381</v>
      </c>
      <c r="F9155" s="501" t="s">
        <v>996</v>
      </c>
      <c r="G9155" s="501" t="s">
        <v>997</v>
      </c>
      <c r="H9155" s="501" t="s">
        <v>10808</v>
      </c>
      <c r="I9155" s="501">
        <v>55</v>
      </c>
      <c r="J9155" s="501">
        <v>54</v>
      </c>
      <c r="K9155" s="501">
        <v>0</v>
      </c>
      <c r="L9155" s="501">
        <v>0</v>
      </c>
      <c r="M9155" s="501">
        <v>0</v>
      </c>
      <c r="N9155" s="501">
        <v>0</v>
      </c>
      <c r="O9155" s="506">
        <v>1</v>
      </c>
    </row>
    <row r="9156" spans="1:15" x14ac:dyDescent="0.35">
      <c r="A9156" s="503" t="s">
        <v>1178</v>
      </c>
      <c r="B9156" s="504" t="s">
        <v>3334</v>
      </c>
      <c r="C9156" s="504" t="s">
        <v>1094</v>
      </c>
      <c r="D9156" s="504" t="s">
        <v>3380</v>
      </c>
      <c r="E9156" s="504" t="s">
        <v>3381</v>
      </c>
      <c r="F9156" s="504" t="s">
        <v>996</v>
      </c>
      <c r="G9156" s="504" t="s">
        <v>997</v>
      </c>
      <c r="H9156" s="504" t="s">
        <v>10809</v>
      </c>
      <c r="I9156" s="504">
        <v>5</v>
      </c>
      <c r="J9156" s="504">
        <v>0</v>
      </c>
      <c r="K9156" s="504">
        <v>0</v>
      </c>
      <c r="L9156" s="504">
        <v>5</v>
      </c>
      <c r="M9156" s="504">
        <v>0</v>
      </c>
      <c r="N9156" s="504">
        <v>0</v>
      </c>
      <c r="O9156" s="505">
        <v>0</v>
      </c>
    </row>
    <row r="9157" spans="1:15" x14ac:dyDescent="0.35">
      <c r="A9157" s="500" t="s">
        <v>14208</v>
      </c>
      <c r="B9157" s="501">
        <v>4803</v>
      </c>
      <c r="C9157" s="501" t="s">
        <v>1094</v>
      </c>
      <c r="D9157" s="501" t="s">
        <v>3380</v>
      </c>
      <c r="E9157" s="501" t="s">
        <v>3381</v>
      </c>
      <c r="F9157" s="501" t="s">
        <v>996</v>
      </c>
      <c r="G9157" s="501" t="s">
        <v>997</v>
      </c>
      <c r="H9157" s="501" t="s">
        <v>15239</v>
      </c>
      <c r="I9157" s="501">
        <v>3</v>
      </c>
      <c r="J9157" s="501">
        <v>0</v>
      </c>
      <c r="K9157" s="501">
        <v>0</v>
      </c>
      <c r="L9157" s="501">
        <v>3</v>
      </c>
      <c r="M9157" s="501">
        <v>0</v>
      </c>
      <c r="N9157" s="501">
        <v>0</v>
      </c>
      <c r="O9157" s="506">
        <v>0</v>
      </c>
    </row>
    <row r="9158" spans="1:15" x14ac:dyDescent="0.35">
      <c r="A9158" s="503" t="s">
        <v>1105</v>
      </c>
      <c r="B9158" s="504">
        <v>4668</v>
      </c>
      <c r="C9158" s="504" t="s">
        <v>1094</v>
      </c>
      <c r="D9158" s="504" t="s">
        <v>3380</v>
      </c>
      <c r="E9158" s="504" t="s">
        <v>3381</v>
      </c>
      <c r="F9158" s="504" t="s">
        <v>996</v>
      </c>
      <c r="G9158" s="504" t="s">
        <v>997</v>
      </c>
      <c r="H9158" s="504" t="s">
        <v>10810</v>
      </c>
      <c r="I9158" s="504">
        <v>15</v>
      </c>
      <c r="J9158" s="504">
        <v>0</v>
      </c>
      <c r="K9158" s="504">
        <v>0</v>
      </c>
      <c r="L9158" s="504">
        <v>0</v>
      </c>
      <c r="M9158" s="504">
        <v>0</v>
      </c>
      <c r="N9158" s="504">
        <v>0</v>
      </c>
      <c r="O9158" s="505">
        <v>15</v>
      </c>
    </row>
    <row r="9159" spans="1:15" x14ac:dyDescent="0.35">
      <c r="A9159" s="500" t="s">
        <v>1194</v>
      </c>
      <c r="B9159" s="501" t="s">
        <v>2985</v>
      </c>
      <c r="C9159" s="501" t="s">
        <v>1089</v>
      </c>
      <c r="D9159" s="501" t="s">
        <v>3392</v>
      </c>
      <c r="E9159" s="501" t="s">
        <v>3381</v>
      </c>
      <c r="F9159" s="501" t="s">
        <v>996</v>
      </c>
      <c r="G9159" s="501" t="s">
        <v>997</v>
      </c>
      <c r="H9159" s="501" t="s">
        <v>10811</v>
      </c>
      <c r="I9159" s="501">
        <v>42</v>
      </c>
      <c r="J9159" s="501">
        <v>42</v>
      </c>
      <c r="K9159" s="501">
        <v>0</v>
      </c>
      <c r="L9159" s="501">
        <v>0</v>
      </c>
      <c r="M9159" s="501">
        <v>0</v>
      </c>
      <c r="N9159" s="501">
        <v>0</v>
      </c>
      <c r="O9159" s="506">
        <v>0</v>
      </c>
    </row>
    <row r="9160" spans="1:15" x14ac:dyDescent="0.35">
      <c r="A9160" s="503" t="s">
        <v>1199</v>
      </c>
      <c r="B9160" s="504">
        <v>4877</v>
      </c>
      <c r="C9160" s="504" t="s">
        <v>1094</v>
      </c>
      <c r="D9160" s="504" t="s">
        <v>3380</v>
      </c>
      <c r="E9160" s="504" t="s">
        <v>3381</v>
      </c>
      <c r="F9160" s="504" t="s">
        <v>996</v>
      </c>
      <c r="G9160" s="504" t="s">
        <v>997</v>
      </c>
      <c r="H9160" s="504" t="s">
        <v>10812</v>
      </c>
      <c r="I9160" s="504">
        <v>4</v>
      </c>
      <c r="J9160" s="504">
        <v>3</v>
      </c>
      <c r="K9160" s="504">
        <v>0</v>
      </c>
      <c r="L9160" s="504">
        <v>0</v>
      </c>
      <c r="M9160" s="504">
        <v>0</v>
      </c>
      <c r="N9160" s="504">
        <v>0</v>
      </c>
      <c r="O9160" s="505">
        <v>1</v>
      </c>
    </row>
    <row r="9161" spans="1:15" x14ac:dyDescent="0.35">
      <c r="A9161" s="500" t="s">
        <v>1200</v>
      </c>
      <c r="B9161" s="501" t="s">
        <v>3122</v>
      </c>
      <c r="C9161" s="501" t="s">
        <v>1089</v>
      </c>
      <c r="D9161" s="501" t="s">
        <v>3392</v>
      </c>
      <c r="E9161" s="501" t="s">
        <v>3381</v>
      </c>
      <c r="F9161" s="501" t="s">
        <v>996</v>
      </c>
      <c r="G9161" s="501" t="s">
        <v>997</v>
      </c>
      <c r="H9161" s="501" t="s">
        <v>10813</v>
      </c>
      <c r="I9161" s="501">
        <v>11</v>
      </c>
      <c r="J9161" s="501">
        <v>11</v>
      </c>
      <c r="K9161" s="501">
        <v>0</v>
      </c>
      <c r="L9161" s="501">
        <v>0</v>
      </c>
      <c r="M9161" s="501">
        <v>0</v>
      </c>
      <c r="N9161" s="501">
        <v>0</v>
      </c>
      <c r="O9161" s="506">
        <v>0</v>
      </c>
    </row>
    <row r="9162" spans="1:15" x14ac:dyDescent="0.35">
      <c r="A9162" s="503" t="s">
        <v>1203</v>
      </c>
      <c r="B9162" s="504" t="s">
        <v>3170</v>
      </c>
      <c r="C9162" s="504" t="s">
        <v>1094</v>
      </c>
      <c r="D9162" s="504" t="s">
        <v>3380</v>
      </c>
      <c r="E9162" s="504" t="s">
        <v>3381</v>
      </c>
      <c r="F9162" s="504" t="s">
        <v>996</v>
      </c>
      <c r="G9162" s="504" t="s">
        <v>997</v>
      </c>
      <c r="H9162" s="504" t="s">
        <v>10814</v>
      </c>
      <c r="I9162" s="504">
        <v>576</v>
      </c>
      <c r="J9162" s="504">
        <v>359</v>
      </c>
      <c r="K9162" s="504">
        <v>0</v>
      </c>
      <c r="L9162" s="504">
        <v>39</v>
      </c>
      <c r="M9162" s="504">
        <v>93</v>
      </c>
      <c r="N9162" s="504">
        <v>0</v>
      </c>
      <c r="O9162" s="505">
        <v>85</v>
      </c>
    </row>
    <row r="9163" spans="1:15" x14ac:dyDescent="0.35">
      <c r="A9163" s="500" t="s">
        <v>1209</v>
      </c>
      <c r="B9163" s="501">
        <v>4779</v>
      </c>
      <c r="C9163" s="501" t="s">
        <v>1094</v>
      </c>
      <c r="D9163" s="501" t="s">
        <v>3380</v>
      </c>
      <c r="E9163" s="501" t="s">
        <v>3381</v>
      </c>
      <c r="F9163" s="501" t="s">
        <v>996</v>
      </c>
      <c r="G9163" s="501" t="s">
        <v>997</v>
      </c>
      <c r="H9163" s="501" t="s">
        <v>10815</v>
      </c>
      <c r="I9163" s="501">
        <v>8</v>
      </c>
      <c r="J9163" s="501">
        <v>0</v>
      </c>
      <c r="K9163" s="501">
        <v>0</v>
      </c>
      <c r="L9163" s="501">
        <v>8</v>
      </c>
      <c r="M9163" s="501">
        <v>0</v>
      </c>
      <c r="N9163" s="501">
        <v>0</v>
      </c>
      <c r="O9163" s="506">
        <v>0</v>
      </c>
    </row>
    <row r="9164" spans="1:15" x14ac:dyDescent="0.35">
      <c r="A9164" s="503" t="s">
        <v>1216</v>
      </c>
      <c r="B9164" s="504" t="s">
        <v>3207</v>
      </c>
      <c r="C9164" s="504" t="s">
        <v>1094</v>
      </c>
      <c r="D9164" s="504" t="s">
        <v>3380</v>
      </c>
      <c r="E9164" s="504" t="s">
        <v>3381</v>
      </c>
      <c r="F9164" s="504" t="s">
        <v>996</v>
      </c>
      <c r="G9164" s="504" t="s">
        <v>997</v>
      </c>
      <c r="H9164" s="504" t="s">
        <v>10816</v>
      </c>
      <c r="I9164" s="504">
        <v>61</v>
      </c>
      <c r="J9164" s="504">
        <v>33</v>
      </c>
      <c r="K9164" s="504">
        <v>0</v>
      </c>
      <c r="L9164" s="504">
        <v>24</v>
      </c>
      <c r="M9164" s="504">
        <v>0</v>
      </c>
      <c r="N9164" s="504">
        <v>0</v>
      </c>
      <c r="O9164" s="505">
        <v>4</v>
      </c>
    </row>
    <row r="9165" spans="1:15" x14ac:dyDescent="0.35">
      <c r="A9165" s="500" t="s">
        <v>1219</v>
      </c>
      <c r="B9165" s="501">
        <v>4876</v>
      </c>
      <c r="C9165" s="501" t="s">
        <v>1089</v>
      </c>
      <c r="D9165" s="501" t="s">
        <v>3392</v>
      </c>
      <c r="E9165" s="501" t="s">
        <v>3381</v>
      </c>
      <c r="F9165" s="501" t="s">
        <v>996</v>
      </c>
      <c r="G9165" s="501" t="s">
        <v>997</v>
      </c>
      <c r="H9165" s="501" t="s">
        <v>11968</v>
      </c>
      <c r="I9165" s="501">
        <v>12</v>
      </c>
      <c r="J9165" s="501">
        <v>0</v>
      </c>
      <c r="K9165" s="501">
        <v>0</v>
      </c>
      <c r="L9165" s="501">
        <v>12</v>
      </c>
      <c r="M9165" s="501">
        <v>0</v>
      </c>
      <c r="N9165" s="501">
        <v>0</v>
      </c>
      <c r="O9165" s="506">
        <v>0</v>
      </c>
    </row>
    <row r="9166" spans="1:15" x14ac:dyDescent="0.35">
      <c r="A9166" s="503" t="s">
        <v>1221</v>
      </c>
      <c r="B9166" s="504">
        <v>4728</v>
      </c>
      <c r="C9166" s="504" t="s">
        <v>1089</v>
      </c>
      <c r="D9166" s="504" t="s">
        <v>3392</v>
      </c>
      <c r="E9166" s="504" t="s">
        <v>3381</v>
      </c>
      <c r="F9166" s="504" t="s">
        <v>996</v>
      </c>
      <c r="G9166" s="504" t="s">
        <v>997</v>
      </c>
      <c r="H9166" s="504" t="s">
        <v>10817</v>
      </c>
      <c r="I9166" s="504">
        <v>23</v>
      </c>
      <c r="J9166" s="504">
        <v>0</v>
      </c>
      <c r="K9166" s="504">
        <v>0</v>
      </c>
      <c r="L9166" s="504">
        <v>23</v>
      </c>
      <c r="M9166" s="504">
        <v>0</v>
      </c>
      <c r="N9166" s="504">
        <v>0</v>
      </c>
      <c r="O9166" s="505">
        <v>0</v>
      </c>
    </row>
    <row r="9167" spans="1:15" x14ac:dyDescent="0.35">
      <c r="A9167" s="500" t="s">
        <v>1122</v>
      </c>
      <c r="B9167" s="501" t="s">
        <v>2994</v>
      </c>
      <c r="C9167" s="501" t="s">
        <v>1094</v>
      </c>
      <c r="D9167" s="501" t="s">
        <v>3380</v>
      </c>
      <c r="E9167" s="501" t="s">
        <v>3381</v>
      </c>
      <c r="F9167" s="501" t="s">
        <v>996</v>
      </c>
      <c r="G9167" s="501" t="s">
        <v>997</v>
      </c>
      <c r="H9167" s="501" t="s">
        <v>10818</v>
      </c>
      <c r="I9167" s="501">
        <v>49</v>
      </c>
      <c r="J9167" s="501">
        <v>45</v>
      </c>
      <c r="K9167" s="501">
        <v>0</v>
      </c>
      <c r="L9167" s="501">
        <v>0</v>
      </c>
      <c r="M9167" s="501">
        <v>0</v>
      </c>
      <c r="N9167" s="501">
        <v>0</v>
      </c>
      <c r="O9167" s="506">
        <v>4</v>
      </c>
    </row>
    <row r="9168" spans="1:15" x14ac:dyDescent="0.35">
      <c r="A9168" s="503" t="s">
        <v>1226</v>
      </c>
      <c r="B9168" s="504">
        <v>5084</v>
      </c>
      <c r="C9168" s="504" t="s">
        <v>1094</v>
      </c>
      <c r="D9168" s="504" t="s">
        <v>3380</v>
      </c>
      <c r="E9168" s="504" t="s">
        <v>3381</v>
      </c>
      <c r="F9168" s="504" t="s">
        <v>996</v>
      </c>
      <c r="G9168" s="504" t="s">
        <v>997</v>
      </c>
      <c r="H9168" s="504" t="s">
        <v>10819</v>
      </c>
      <c r="I9168" s="504">
        <v>350</v>
      </c>
      <c r="J9168" s="504">
        <v>241</v>
      </c>
      <c r="K9168" s="504">
        <v>0</v>
      </c>
      <c r="L9168" s="504">
        <v>0</v>
      </c>
      <c r="M9168" s="504">
        <v>0</v>
      </c>
      <c r="N9168" s="504">
        <v>0</v>
      </c>
      <c r="O9168" s="505">
        <v>109</v>
      </c>
    </row>
    <row r="9169" spans="1:15" x14ac:dyDescent="0.35">
      <c r="A9169" s="500" t="s">
        <v>1228</v>
      </c>
      <c r="B9169" s="501" t="s">
        <v>3321</v>
      </c>
      <c r="C9169" s="501" t="s">
        <v>1094</v>
      </c>
      <c r="D9169" s="501" t="s">
        <v>3380</v>
      </c>
      <c r="E9169" s="501" t="s">
        <v>3381</v>
      </c>
      <c r="F9169" s="501" t="s">
        <v>996</v>
      </c>
      <c r="G9169" s="501" t="s">
        <v>997</v>
      </c>
      <c r="H9169" s="501" t="s">
        <v>10820</v>
      </c>
      <c r="I9169" s="501">
        <v>4</v>
      </c>
      <c r="J9169" s="501">
        <v>0</v>
      </c>
      <c r="K9169" s="501">
        <v>0</v>
      </c>
      <c r="L9169" s="501">
        <v>4</v>
      </c>
      <c r="M9169" s="501">
        <v>0</v>
      </c>
      <c r="N9169" s="501">
        <v>0</v>
      </c>
      <c r="O9169" s="506">
        <v>0</v>
      </c>
    </row>
    <row r="9170" spans="1:15" x14ac:dyDescent="0.35">
      <c r="A9170" s="503" t="s">
        <v>1124</v>
      </c>
      <c r="B9170" s="504">
        <v>4745</v>
      </c>
      <c r="C9170" s="504" t="s">
        <v>1094</v>
      </c>
      <c r="D9170" s="504" t="s">
        <v>3380</v>
      </c>
      <c r="E9170" s="504" t="s">
        <v>3381</v>
      </c>
      <c r="F9170" s="504" t="s">
        <v>996</v>
      </c>
      <c r="G9170" s="504" t="s">
        <v>997</v>
      </c>
      <c r="H9170" s="504" t="s">
        <v>15240</v>
      </c>
      <c r="I9170" s="504">
        <v>6</v>
      </c>
      <c r="J9170" s="504">
        <v>0</v>
      </c>
      <c r="K9170" s="504">
        <v>0</v>
      </c>
      <c r="L9170" s="504">
        <v>6</v>
      </c>
      <c r="M9170" s="504">
        <v>0</v>
      </c>
      <c r="N9170" s="504">
        <v>0</v>
      </c>
      <c r="O9170" s="505">
        <v>0</v>
      </c>
    </row>
    <row r="9171" spans="1:15" x14ac:dyDescent="0.35">
      <c r="A9171" s="500" t="s">
        <v>1126</v>
      </c>
      <c r="B9171" s="501" t="s">
        <v>2974</v>
      </c>
      <c r="C9171" s="501" t="s">
        <v>1094</v>
      </c>
      <c r="D9171" s="501" t="s">
        <v>3380</v>
      </c>
      <c r="E9171" s="501" t="s">
        <v>3381</v>
      </c>
      <c r="F9171" s="501" t="s">
        <v>996</v>
      </c>
      <c r="G9171" s="501" t="s">
        <v>997</v>
      </c>
      <c r="H9171" s="501" t="s">
        <v>10821</v>
      </c>
      <c r="I9171" s="501">
        <v>95</v>
      </c>
      <c r="J9171" s="501">
        <v>89</v>
      </c>
      <c r="K9171" s="501">
        <v>0</v>
      </c>
      <c r="L9171" s="501">
        <v>0</v>
      </c>
      <c r="M9171" s="501">
        <v>0</v>
      </c>
      <c r="N9171" s="501">
        <v>0</v>
      </c>
      <c r="O9171" s="506">
        <v>6</v>
      </c>
    </row>
    <row r="9172" spans="1:15" x14ac:dyDescent="0.35">
      <c r="A9172" s="503" t="s">
        <v>1143</v>
      </c>
      <c r="B9172" s="504" t="s">
        <v>3281</v>
      </c>
      <c r="C9172" s="504" t="s">
        <v>1094</v>
      </c>
      <c r="D9172" s="504" t="s">
        <v>3380</v>
      </c>
      <c r="E9172" s="504" t="s">
        <v>3381</v>
      </c>
      <c r="F9172" s="504" t="s">
        <v>14117</v>
      </c>
      <c r="G9172" s="504" t="s">
        <v>14118</v>
      </c>
      <c r="H9172" s="504" t="s">
        <v>15241</v>
      </c>
      <c r="I9172" s="504">
        <v>50</v>
      </c>
      <c r="J9172" s="504">
        <v>50</v>
      </c>
      <c r="K9172" s="504">
        <v>0</v>
      </c>
      <c r="L9172" s="504">
        <v>0</v>
      </c>
      <c r="M9172" s="504">
        <v>0</v>
      </c>
      <c r="N9172" s="504">
        <v>0</v>
      </c>
      <c r="O9172" s="505">
        <v>0</v>
      </c>
    </row>
    <row r="9173" spans="1:15" x14ac:dyDescent="0.35">
      <c r="A9173" s="500" t="s">
        <v>1093</v>
      </c>
      <c r="B9173" s="501" t="s">
        <v>3248</v>
      </c>
      <c r="C9173" s="501" t="s">
        <v>1094</v>
      </c>
      <c r="D9173" s="501" t="s">
        <v>3380</v>
      </c>
      <c r="E9173" s="501" t="s">
        <v>3381</v>
      </c>
      <c r="F9173" s="501" t="s">
        <v>14117</v>
      </c>
      <c r="G9173" s="501" t="s">
        <v>14118</v>
      </c>
      <c r="H9173" s="501" t="s">
        <v>15242</v>
      </c>
      <c r="I9173" s="501">
        <v>18</v>
      </c>
      <c r="J9173" s="501">
        <v>0</v>
      </c>
      <c r="K9173" s="501">
        <v>0</v>
      </c>
      <c r="L9173" s="501">
        <v>8</v>
      </c>
      <c r="M9173" s="501">
        <v>0</v>
      </c>
      <c r="N9173" s="501">
        <v>0</v>
      </c>
      <c r="O9173" s="506">
        <v>10</v>
      </c>
    </row>
    <row r="9174" spans="1:15" x14ac:dyDescent="0.35">
      <c r="A9174" s="503" t="s">
        <v>1096</v>
      </c>
      <c r="B9174" s="504" t="s">
        <v>3326</v>
      </c>
      <c r="C9174" s="504" t="s">
        <v>1094</v>
      </c>
      <c r="D9174" s="504" t="s">
        <v>3380</v>
      </c>
      <c r="E9174" s="504" t="s">
        <v>3381</v>
      </c>
      <c r="F9174" s="504" t="s">
        <v>14117</v>
      </c>
      <c r="G9174" s="504" t="s">
        <v>14118</v>
      </c>
      <c r="H9174" s="504" t="s">
        <v>15243</v>
      </c>
      <c r="I9174" s="504">
        <v>152</v>
      </c>
      <c r="J9174" s="504">
        <v>0</v>
      </c>
      <c r="K9174" s="504">
        <v>0</v>
      </c>
      <c r="L9174" s="504">
        <v>0</v>
      </c>
      <c r="M9174" s="504">
        <v>152</v>
      </c>
      <c r="N9174" s="504">
        <v>0</v>
      </c>
      <c r="O9174" s="505">
        <v>0</v>
      </c>
    </row>
    <row r="9175" spans="1:15" x14ac:dyDescent="0.35">
      <c r="A9175" s="500" t="s">
        <v>1158</v>
      </c>
      <c r="B9175" s="501">
        <v>4819</v>
      </c>
      <c r="C9175" s="501" t="s">
        <v>1094</v>
      </c>
      <c r="D9175" s="501" t="s">
        <v>3380</v>
      </c>
      <c r="E9175" s="501" t="s">
        <v>3381</v>
      </c>
      <c r="F9175" s="501" t="s">
        <v>14117</v>
      </c>
      <c r="G9175" s="501" t="s">
        <v>14118</v>
      </c>
      <c r="H9175" s="501" t="s">
        <v>15244</v>
      </c>
      <c r="I9175" s="501">
        <v>1011</v>
      </c>
      <c r="J9175" s="501">
        <v>788</v>
      </c>
      <c r="K9175" s="501">
        <v>0</v>
      </c>
      <c r="L9175" s="501">
        <v>7</v>
      </c>
      <c r="M9175" s="501">
        <v>0</v>
      </c>
      <c r="N9175" s="501">
        <v>0</v>
      </c>
      <c r="O9175" s="506">
        <v>216</v>
      </c>
    </row>
    <row r="9176" spans="1:15" x14ac:dyDescent="0.35">
      <c r="A9176" s="503" t="s">
        <v>1161</v>
      </c>
      <c r="B9176" s="504" t="s">
        <v>3001</v>
      </c>
      <c r="C9176" s="504" t="s">
        <v>1094</v>
      </c>
      <c r="D9176" s="504" t="s">
        <v>3380</v>
      </c>
      <c r="E9176" s="504" t="s">
        <v>3381</v>
      </c>
      <c r="F9176" s="504" t="s">
        <v>14117</v>
      </c>
      <c r="G9176" s="504" t="s">
        <v>14118</v>
      </c>
      <c r="H9176" s="504" t="s">
        <v>15245</v>
      </c>
      <c r="I9176" s="504">
        <v>75</v>
      </c>
      <c r="J9176" s="504">
        <v>29</v>
      </c>
      <c r="K9176" s="504">
        <v>0</v>
      </c>
      <c r="L9176" s="504">
        <v>0</v>
      </c>
      <c r="M9176" s="504">
        <v>0</v>
      </c>
      <c r="N9176" s="504">
        <v>0</v>
      </c>
      <c r="O9176" s="505">
        <v>46</v>
      </c>
    </row>
    <row r="9177" spans="1:15" x14ac:dyDescent="0.35">
      <c r="A9177" s="500" t="s">
        <v>1100</v>
      </c>
      <c r="B9177" s="501">
        <v>4865</v>
      </c>
      <c r="C9177" s="501" t="s">
        <v>1094</v>
      </c>
      <c r="D9177" s="501" t="s">
        <v>3380</v>
      </c>
      <c r="E9177" s="501" t="s">
        <v>3381</v>
      </c>
      <c r="F9177" s="501" t="s">
        <v>14117</v>
      </c>
      <c r="G9177" s="501" t="s">
        <v>14118</v>
      </c>
      <c r="H9177" s="501" t="s">
        <v>15246</v>
      </c>
      <c r="I9177" s="501">
        <v>33</v>
      </c>
      <c r="J9177" s="501">
        <v>25</v>
      </c>
      <c r="K9177" s="501">
        <v>0</v>
      </c>
      <c r="L9177" s="501">
        <v>0</v>
      </c>
      <c r="M9177" s="501">
        <v>0</v>
      </c>
      <c r="N9177" s="501">
        <v>0</v>
      </c>
      <c r="O9177" s="506">
        <v>8</v>
      </c>
    </row>
    <row r="9178" spans="1:15" x14ac:dyDescent="0.35">
      <c r="A9178" s="503" t="s">
        <v>1171</v>
      </c>
      <c r="B9178" s="504" t="s">
        <v>3003</v>
      </c>
      <c r="C9178" s="504" t="s">
        <v>1094</v>
      </c>
      <c r="D9178" s="504" t="s">
        <v>3380</v>
      </c>
      <c r="E9178" s="504" t="s">
        <v>3381</v>
      </c>
      <c r="F9178" s="504" t="s">
        <v>14117</v>
      </c>
      <c r="G9178" s="504" t="s">
        <v>14118</v>
      </c>
      <c r="H9178" s="504" t="s">
        <v>15247</v>
      </c>
      <c r="I9178" s="504">
        <v>70</v>
      </c>
      <c r="J9178" s="504">
        <v>69</v>
      </c>
      <c r="K9178" s="504">
        <v>0</v>
      </c>
      <c r="L9178" s="504">
        <v>0</v>
      </c>
      <c r="M9178" s="504">
        <v>0</v>
      </c>
      <c r="N9178" s="504">
        <v>0</v>
      </c>
      <c r="O9178" s="505">
        <v>1</v>
      </c>
    </row>
    <row r="9179" spans="1:15" x14ac:dyDescent="0.35">
      <c r="A9179" s="500" t="s">
        <v>1172</v>
      </c>
      <c r="B9179" s="501">
        <v>4648</v>
      </c>
      <c r="C9179" s="501" t="s">
        <v>1089</v>
      </c>
      <c r="D9179" s="501" t="s">
        <v>3392</v>
      </c>
      <c r="E9179" s="501" t="s">
        <v>3381</v>
      </c>
      <c r="F9179" s="501" t="s">
        <v>14117</v>
      </c>
      <c r="G9179" s="501" t="s">
        <v>14118</v>
      </c>
      <c r="H9179" s="501" t="s">
        <v>15248</v>
      </c>
      <c r="I9179" s="501">
        <v>3</v>
      </c>
      <c r="J9179" s="501">
        <v>0</v>
      </c>
      <c r="K9179" s="501">
        <v>0</v>
      </c>
      <c r="L9179" s="501">
        <v>3</v>
      </c>
      <c r="M9179" s="501">
        <v>0</v>
      </c>
      <c r="N9179" s="501">
        <v>0</v>
      </c>
      <c r="O9179" s="506">
        <v>0</v>
      </c>
    </row>
    <row r="9180" spans="1:15" x14ac:dyDescent="0.35">
      <c r="A9180" s="503" t="s">
        <v>1173</v>
      </c>
      <c r="B9180" s="504">
        <v>4775</v>
      </c>
      <c r="C9180" s="504" t="s">
        <v>1094</v>
      </c>
      <c r="D9180" s="504" t="s">
        <v>3380</v>
      </c>
      <c r="E9180" s="504" t="s">
        <v>3381</v>
      </c>
      <c r="F9180" s="504" t="s">
        <v>14117</v>
      </c>
      <c r="G9180" s="504" t="s">
        <v>14118</v>
      </c>
      <c r="H9180" s="504" t="s">
        <v>15249</v>
      </c>
      <c r="I9180" s="504">
        <v>1503</v>
      </c>
      <c r="J9180" s="504">
        <v>1000</v>
      </c>
      <c r="K9180" s="504">
        <v>0</v>
      </c>
      <c r="L9180" s="504">
        <v>22</v>
      </c>
      <c r="M9180" s="504">
        <v>167</v>
      </c>
      <c r="N9180" s="504">
        <v>0</v>
      </c>
      <c r="O9180" s="505">
        <v>314</v>
      </c>
    </row>
    <row r="9181" spans="1:15" x14ac:dyDescent="0.35">
      <c r="A9181" s="500" t="s">
        <v>14190</v>
      </c>
      <c r="B9181" s="501" t="s">
        <v>3204</v>
      </c>
      <c r="C9181" s="501" t="s">
        <v>1094</v>
      </c>
      <c r="D9181" s="501" t="s">
        <v>3380</v>
      </c>
      <c r="E9181" s="501" t="s">
        <v>3381</v>
      </c>
      <c r="F9181" s="501" t="s">
        <v>14117</v>
      </c>
      <c r="G9181" s="501" t="s">
        <v>14118</v>
      </c>
      <c r="H9181" s="501" t="s">
        <v>15250</v>
      </c>
      <c r="I9181" s="501">
        <v>54</v>
      </c>
      <c r="J9181" s="501">
        <v>54</v>
      </c>
      <c r="K9181" s="501">
        <v>0</v>
      </c>
      <c r="L9181" s="501">
        <v>0</v>
      </c>
      <c r="M9181" s="501">
        <v>0</v>
      </c>
      <c r="N9181" s="501">
        <v>0</v>
      </c>
      <c r="O9181" s="506">
        <v>0</v>
      </c>
    </row>
    <row r="9182" spans="1:15" x14ac:dyDescent="0.35">
      <c r="A9182" s="503" t="s">
        <v>1180</v>
      </c>
      <c r="B9182" s="504" t="s">
        <v>3184</v>
      </c>
      <c r="C9182" s="504" t="s">
        <v>1094</v>
      </c>
      <c r="D9182" s="504" t="s">
        <v>3380</v>
      </c>
      <c r="E9182" s="504" t="s">
        <v>3381</v>
      </c>
      <c r="F9182" s="504" t="s">
        <v>14117</v>
      </c>
      <c r="G9182" s="504" t="s">
        <v>14118</v>
      </c>
      <c r="H9182" s="504" t="s">
        <v>15251</v>
      </c>
      <c r="I9182" s="504">
        <v>209</v>
      </c>
      <c r="J9182" s="504">
        <v>132</v>
      </c>
      <c r="K9182" s="504">
        <v>9</v>
      </c>
      <c r="L9182" s="504">
        <v>0</v>
      </c>
      <c r="M9182" s="504">
        <v>0</v>
      </c>
      <c r="N9182" s="504">
        <v>0</v>
      </c>
      <c r="O9182" s="505">
        <v>68</v>
      </c>
    </row>
    <row r="9183" spans="1:15" x14ac:dyDescent="0.35">
      <c r="A9183" s="500" t="s">
        <v>1181</v>
      </c>
      <c r="B9183" s="501" t="s">
        <v>3211</v>
      </c>
      <c r="C9183" s="501" t="s">
        <v>1094</v>
      </c>
      <c r="D9183" s="501" t="s">
        <v>3380</v>
      </c>
      <c r="E9183" s="501" t="s">
        <v>3381</v>
      </c>
      <c r="F9183" s="501" t="s">
        <v>14117</v>
      </c>
      <c r="G9183" s="501" t="s">
        <v>14118</v>
      </c>
      <c r="H9183" s="501" t="s">
        <v>15252</v>
      </c>
      <c r="I9183" s="501">
        <v>3330</v>
      </c>
      <c r="J9183" s="501">
        <v>2288</v>
      </c>
      <c r="K9183" s="501">
        <v>0</v>
      </c>
      <c r="L9183" s="501">
        <v>0</v>
      </c>
      <c r="M9183" s="501">
        <v>886</v>
      </c>
      <c r="N9183" s="501">
        <v>0</v>
      </c>
      <c r="O9183" s="506">
        <v>156</v>
      </c>
    </row>
    <row r="9184" spans="1:15" x14ac:dyDescent="0.35">
      <c r="A9184" s="503" t="s">
        <v>1182</v>
      </c>
      <c r="B9184" s="504">
        <v>5060</v>
      </c>
      <c r="C9184" s="504" t="s">
        <v>1094</v>
      </c>
      <c r="D9184" s="504" t="s">
        <v>3380</v>
      </c>
      <c r="E9184" s="504" t="s">
        <v>3381</v>
      </c>
      <c r="F9184" s="504" t="s">
        <v>14117</v>
      </c>
      <c r="G9184" s="504" t="s">
        <v>14118</v>
      </c>
      <c r="H9184" s="504" t="s">
        <v>15253</v>
      </c>
      <c r="I9184" s="504">
        <v>3535</v>
      </c>
      <c r="J9184" s="504">
        <v>2723</v>
      </c>
      <c r="K9184" s="504">
        <v>0</v>
      </c>
      <c r="L9184" s="504">
        <v>4</v>
      </c>
      <c r="M9184" s="504">
        <v>536</v>
      </c>
      <c r="N9184" s="504">
        <v>1</v>
      </c>
      <c r="O9184" s="505">
        <v>272</v>
      </c>
    </row>
    <row r="9185" spans="1:15" x14ac:dyDescent="0.35">
      <c r="A9185" s="500" t="s">
        <v>1184</v>
      </c>
      <c r="B9185" s="501" t="s">
        <v>3215</v>
      </c>
      <c r="C9185" s="501" t="s">
        <v>1094</v>
      </c>
      <c r="D9185" s="501" t="s">
        <v>3380</v>
      </c>
      <c r="E9185" s="501" t="s">
        <v>3381</v>
      </c>
      <c r="F9185" s="501" t="s">
        <v>14117</v>
      </c>
      <c r="G9185" s="501" t="s">
        <v>14118</v>
      </c>
      <c r="H9185" s="501" t="s">
        <v>15254</v>
      </c>
      <c r="I9185" s="501">
        <v>147</v>
      </c>
      <c r="J9185" s="501">
        <v>115</v>
      </c>
      <c r="K9185" s="501">
        <v>0</v>
      </c>
      <c r="L9185" s="501">
        <v>0</v>
      </c>
      <c r="M9185" s="501">
        <v>0</v>
      </c>
      <c r="N9185" s="501">
        <v>0</v>
      </c>
      <c r="O9185" s="506">
        <v>32</v>
      </c>
    </row>
    <row r="9186" spans="1:15" x14ac:dyDescent="0.35">
      <c r="A9186" s="503" t="s">
        <v>14213</v>
      </c>
      <c r="B9186" s="504" t="s">
        <v>3312</v>
      </c>
      <c r="C9186" s="504" t="s">
        <v>1094</v>
      </c>
      <c r="D9186" s="504" t="s">
        <v>3380</v>
      </c>
      <c r="E9186" s="504" t="s">
        <v>3381</v>
      </c>
      <c r="F9186" s="504" t="s">
        <v>14117</v>
      </c>
      <c r="G9186" s="504" t="s">
        <v>14118</v>
      </c>
      <c r="H9186" s="504" t="s">
        <v>15255</v>
      </c>
      <c r="I9186" s="504">
        <v>25</v>
      </c>
      <c r="J9186" s="504">
        <v>1</v>
      </c>
      <c r="K9186" s="504">
        <v>0</v>
      </c>
      <c r="L9186" s="504">
        <v>0</v>
      </c>
      <c r="M9186" s="504">
        <v>24</v>
      </c>
      <c r="N9186" s="504">
        <v>0</v>
      </c>
      <c r="O9186" s="505">
        <v>0</v>
      </c>
    </row>
    <row r="9187" spans="1:15" x14ac:dyDescent="0.35">
      <c r="A9187" s="500" t="s">
        <v>1105</v>
      </c>
      <c r="B9187" s="501">
        <v>4668</v>
      </c>
      <c r="C9187" s="501" t="s">
        <v>1094</v>
      </c>
      <c r="D9187" s="501" t="s">
        <v>3380</v>
      </c>
      <c r="E9187" s="501" t="s">
        <v>3381</v>
      </c>
      <c r="F9187" s="501" t="s">
        <v>14117</v>
      </c>
      <c r="G9187" s="501" t="s">
        <v>14118</v>
      </c>
      <c r="H9187" s="501" t="s">
        <v>15256</v>
      </c>
      <c r="I9187" s="501">
        <v>81</v>
      </c>
      <c r="J9187" s="501">
        <v>0</v>
      </c>
      <c r="K9187" s="501">
        <v>0</v>
      </c>
      <c r="L9187" s="501">
        <v>0</v>
      </c>
      <c r="M9187" s="501">
        <v>0</v>
      </c>
      <c r="N9187" s="501">
        <v>0</v>
      </c>
      <c r="O9187" s="506">
        <v>81</v>
      </c>
    </row>
    <row r="9188" spans="1:15" x14ac:dyDescent="0.35">
      <c r="A9188" s="503" t="s">
        <v>1109</v>
      </c>
      <c r="B9188" s="504" t="s">
        <v>2959</v>
      </c>
      <c r="C9188" s="504" t="s">
        <v>1094</v>
      </c>
      <c r="D9188" s="504" t="s">
        <v>3380</v>
      </c>
      <c r="E9188" s="504" t="s">
        <v>3381</v>
      </c>
      <c r="F9188" s="504" t="s">
        <v>14117</v>
      </c>
      <c r="G9188" s="504" t="s">
        <v>14118</v>
      </c>
      <c r="H9188" s="504" t="s">
        <v>15257</v>
      </c>
      <c r="I9188" s="504">
        <v>77</v>
      </c>
      <c r="J9188" s="504">
        <v>0</v>
      </c>
      <c r="K9188" s="504">
        <v>0</v>
      </c>
      <c r="L9188" s="504">
        <v>0</v>
      </c>
      <c r="M9188" s="504">
        <v>77</v>
      </c>
      <c r="N9188" s="504">
        <v>0</v>
      </c>
      <c r="O9188" s="505">
        <v>0</v>
      </c>
    </row>
    <row r="9189" spans="1:15" x14ac:dyDescent="0.35">
      <c r="A9189" s="500" t="s">
        <v>1189</v>
      </c>
      <c r="B9189" s="501" t="s">
        <v>3236</v>
      </c>
      <c r="C9189" s="501" t="s">
        <v>1094</v>
      </c>
      <c r="D9189" s="501" t="s">
        <v>3380</v>
      </c>
      <c r="E9189" s="501" t="s">
        <v>3381</v>
      </c>
      <c r="F9189" s="501" t="s">
        <v>14117</v>
      </c>
      <c r="G9189" s="501" t="s">
        <v>14118</v>
      </c>
      <c r="H9189" s="501" t="s">
        <v>15258</v>
      </c>
      <c r="I9189" s="501">
        <v>162</v>
      </c>
      <c r="J9189" s="501">
        <v>82</v>
      </c>
      <c r="K9189" s="501">
        <v>0</v>
      </c>
      <c r="L9189" s="501">
        <v>0</v>
      </c>
      <c r="M9189" s="501">
        <v>72</v>
      </c>
      <c r="N9189" s="501">
        <v>0</v>
      </c>
      <c r="O9189" s="506">
        <v>8</v>
      </c>
    </row>
    <row r="9190" spans="1:15" x14ac:dyDescent="0.35">
      <c r="A9190" s="503" t="s">
        <v>1190</v>
      </c>
      <c r="B9190" s="504">
        <v>4662</v>
      </c>
      <c r="C9190" s="504" t="s">
        <v>1094</v>
      </c>
      <c r="D9190" s="504" t="s">
        <v>3380</v>
      </c>
      <c r="E9190" s="504" t="s">
        <v>3381</v>
      </c>
      <c r="F9190" s="504" t="s">
        <v>14117</v>
      </c>
      <c r="G9190" s="504" t="s">
        <v>14118</v>
      </c>
      <c r="H9190" s="504" t="s">
        <v>15259</v>
      </c>
      <c r="I9190" s="504">
        <v>47</v>
      </c>
      <c r="J9190" s="504">
        <v>0</v>
      </c>
      <c r="K9190" s="504">
        <v>0</v>
      </c>
      <c r="L9190" s="504">
        <v>47</v>
      </c>
      <c r="M9190" s="504">
        <v>0</v>
      </c>
      <c r="N9190" s="504">
        <v>0</v>
      </c>
      <c r="O9190" s="505">
        <v>0</v>
      </c>
    </row>
    <row r="9191" spans="1:15" x14ac:dyDescent="0.35">
      <c r="A9191" s="500" t="s">
        <v>1195</v>
      </c>
      <c r="B9191" s="501">
        <v>4693</v>
      </c>
      <c r="C9191" s="501" t="s">
        <v>1089</v>
      </c>
      <c r="D9191" s="501" t="s">
        <v>3392</v>
      </c>
      <c r="E9191" s="501" t="s">
        <v>3381</v>
      </c>
      <c r="F9191" s="501" t="s">
        <v>14117</v>
      </c>
      <c r="G9191" s="501" t="s">
        <v>14118</v>
      </c>
      <c r="H9191" s="501" t="s">
        <v>15260</v>
      </c>
      <c r="I9191" s="501">
        <v>25</v>
      </c>
      <c r="J9191" s="501">
        <v>0</v>
      </c>
      <c r="K9191" s="501">
        <v>0</v>
      </c>
      <c r="L9191" s="501">
        <v>25</v>
      </c>
      <c r="M9191" s="501">
        <v>0</v>
      </c>
      <c r="N9191" s="501">
        <v>0</v>
      </c>
      <c r="O9191" s="506">
        <v>0</v>
      </c>
    </row>
    <row r="9192" spans="1:15" x14ac:dyDescent="0.35">
      <c r="A9192" s="503" t="s">
        <v>1310</v>
      </c>
      <c r="B9192" s="504">
        <v>5062</v>
      </c>
      <c r="C9192" s="504" t="s">
        <v>1089</v>
      </c>
      <c r="D9192" s="504" t="s">
        <v>3380</v>
      </c>
      <c r="E9192" s="504" t="s">
        <v>3381</v>
      </c>
      <c r="F9192" s="504" t="s">
        <v>14117</v>
      </c>
      <c r="G9192" s="504" t="s">
        <v>14118</v>
      </c>
      <c r="H9192" s="504" t="s">
        <v>15261</v>
      </c>
      <c r="I9192" s="504">
        <v>11</v>
      </c>
      <c r="J9192" s="504">
        <v>8</v>
      </c>
      <c r="K9192" s="504">
        <v>0</v>
      </c>
      <c r="L9192" s="504">
        <v>0</v>
      </c>
      <c r="M9192" s="504">
        <v>0</v>
      </c>
      <c r="N9192" s="504">
        <v>0</v>
      </c>
      <c r="O9192" s="505">
        <v>3</v>
      </c>
    </row>
    <row r="9193" spans="1:15" x14ac:dyDescent="0.35">
      <c r="A9193" s="500" t="s">
        <v>1202</v>
      </c>
      <c r="B9193" s="501" t="s">
        <v>3217</v>
      </c>
      <c r="C9193" s="501" t="s">
        <v>1094</v>
      </c>
      <c r="D9193" s="501" t="s">
        <v>3380</v>
      </c>
      <c r="E9193" s="501" t="s">
        <v>3381</v>
      </c>
      <c r="F9193" s="501" t="s">
        <v>14117</v>
      </c>
      <c r="G9193" s="501" t="s">
        <v>14118</v>
      </c>
      <c r="H9193" s="501" t="s">
        <v>15262</v>
      </c>
      <c r="I9193" s="501">
        <v>1</v>
      </c>
      <c r="J9193" s="501">
        <v>0</v>
      </c>
      <c r="K9193" s="501">
        <v>0</v>
      </c>
      <c r="L9193" s="501">
        <v>0</v>
      </c>
      <c r="M9193" s="501">
        <v>0</v>
      </c>
      <c r="N9193" s="501">
        <v>0</v>
      </c>
      <c r="O9193" s="506">
        <v>1</v>
      </c>
    </row>
    <row r="9194" spans="1:15" x14ac:dyDescent="0.35">
      <c r="A9194" s="503" t="s">
        <v>1203</v>
      </c>
      <c r="B9194" s="504" t="s">
        <v>3170</v>
      </c>
      <c r="C9194" s="504" t="s">
        <v>1094</v>
      </c>
      <c r="D9194" s="504" t="s">
        <v>3380</v>
      </c>
      <c r="E9194" s="504" t="s">
        <v>3381</v>
      </c>
      <c r="F9194" s="504" t="s">
        <v>14117</v>
      </c>
      <c r="G9194" s="504" t="s">
        <v>14118</v>
      </c>
      <c r="H9194" s="504" t="s">
        <v>15263</v>
      </c>
      <c r="I9194" s="504">
        <v>543</v>
      </c>
      <c r="J9194" s="504">
        <v>360</v>
      </c>
      <c r="K9194" s="504">
        <v>0</v>
      </c>
      <c r="L9194" s="504">
        <v>0</v>
      </c>
      <c r="M9194" s="504">
        <v>0</v>
      </c>
      <c r="N9194" s="504">
        <v>0</v>
      </c>
      <c r="O9194" s="505">
        <v>183</v>
      </c>
    </row>
    <row r="9195" spans="1:15" x14ac:dyDescent="0.35">
      <c r="A9195" s="500" t="s">
        <v>1112</v>
      </c>
      <c r="B9195" s="501" t="s">
        <v>3008</v>
      </c>
      <c r="C9195" s="501" t="s">
        <v>1094</v>
      </c>
      <c r="D9195" s="501" t="s">
        <v>3380</v>
      </c>
      <c r="E9195" s="501" t="s">
        <v>3381</v>
      </c>
      <c r="F9195" s="501" t="s">
        <v>14117</v>
      </c>
      <c r="G9195" s="501" t="s">
        <v>14118</v>
      </c>
      <c r="H9195" s="501" t="s">
        <v>15264</v>
      </c>
      <c r="I9195" s="501">
        <v>188</v>
      </c>
      <c r="J9195" s="501">
        <v>91</v>
      </c>
      <c r="K9195" s="501">
        <v>0</v>
      </c>
      <c r="L9195" s="501">
        <v>0</v>
      </c>
      <c r="M9195" s="501">
        <v>0</v>
      </c>
      <c r="N9195" s="501">
        <v>0</v>
      </c>
      <c r="O9195" s="506">
        <v>97</v>
      </c>
    </row>
    <row r="9196" spans="1:15" x14ac:dyDescent="0.35">
      <c r="A9196" s="503" t="s">
        <v>1207</v>
      </c>
      <c r="B9196" s="504" t="s">
        <v>3202</v>
      </c>
      <c r="C9196" s="504" t="s">
        <v>1094</v>
      </c>
      <c r="D9196" s="504" t="s">
        <v>3380</v>
      </c>
      <c r="E9196" s="504" t="s">
        <v>3381</v>
      </c>
      <c r="F9196" s="504" t="s">
        <v>14117</v>
      </c>
      <c r="G9196" s="504" t="s">
        <v>14118</v>
      </c>
      <c r="H9196" s="504" t="s">
        <v>15265</v>
      </c>
      <c r="I9196" s="504">
        <v>460</v>
      </c>
      <c r="J9196" s="504">
        <v>107</v>
      </c>
      <c r="K9196" s="504">
        <v>0</v>
      </c>
      <c r="L9196" s="504">
        <v>95</v>
      </c>
      <c r="M9196" s="504">
        <v>124</v>
      </c>
      <c r="N9196" s="504">
        <v>0</v>
      </c>
      <c r="O9196" s="505">
        <v>134</v>
      </c>
    </row>
    <row r="9197" spans="1:15" x14ac:dyDescent="0.35">
      <c r="A9197" s="500" t="s">
        <v>1208</v>
      </c>
      <c r="B9197" s="501" t="s">
        <v>3096</v>
      </c>
      <c r="C9197" s="501" t="s">
        <v>1094</v>
      </c>
      <c r="D9197" s="501" t="s">
        <v>3380</v>
      </c>
      <c r="E9197" s="501" t="s">
        <v>3381</v>
      </c>
      <c r="F9197" s="501" t="s">
        <v>14117</v>
      </c>
      <c r="G9197" s="501" t="s">
        <v>14118</v>
      </c>
      <c r="H9197" s="501" t="s">
        <v>15266</v>
      </c>
      <c r="I9197" s="501">
        <v>52</v>
      </c>
      <c r="J9197" s="501">
        <v>23</v>
      </c>
      <c r="K9197" s="501">
        <v>0</v>
      </c>
      <c r="L9197" s="501">
        <v>29</v>
      </c>
      <c r="M9197" s="501">
        <v>0</v>
      </c>
      <c r="N9197" s="501">
        <v>0</v>
      </c>
      <c r="O9197" s="506">
        <v>0</v>
      </c>
    </row>
    <row r="9198" spans="1:15" x14ac:dyDescent="0.35">
      <c r="A9198" s="503" t="s">
        <v>1212</v>
      </c>
      <c r="B9198" s="504" t="s">
        <v>3139</v>
      </c>
      <c r="C9198" s="504" t="s">
        <v>1089</v>
      </c>
      <c r="D9198" s="504" t="s">
        <v>3392</v>
      </c>
      <c r="E9198" s="504" t="s">
        <v>3381</v>
      </c>
      <c r="F9198" s="504" t="s">
        <v>14117</v>
      </c>
      <c r="G9198" s="504" t="s">
        <v>14118</v>
      </c>
      <c r="H9198" s="504" t="s">
        <v>15267</v>
      </c>
      <c r="I9198" s="504">
        <v>267</v>
      </c>
      <c r="J9198" s="504">
        <v>267</v>
      </c>
      <c r="K9198" s="504">
        <v>0</v>
      </c>
      <c r="L9198" s="504">
        <v>0</v>
      </c>
      <c r="M9198" s="504">
        <v>0</v>
      </c>
      <c r="N9198" s="504">
        <v>0</v>
      </c>
      <c r="O9198" s="505">
        <v>0</v>
      </c>
    </row>
    <row r="9199" spans="1:15" x14ac:dyDescent="0.35">
      <c r="A9199" s="500" t="s">
        <v>1215</v>
      </c>
      <c r="B9199" s="501">
        <v>4817</v>
      </c>
      <c r="C9199" s="501" t="s">
        <v>1094</v>
      </c>
      <c r="D9199" s="501" t="s">
        <v>3380</v>
      </c>
      <c r="E9199" s="501" t="s">
        <v>3381</v>
      </c>
      <c r="F9199" s="501" t="s">
        <v>14117</v>
      </c>
      <c r="G9199" s="501" t="s">
        <v>14118</v>
      </c>
      <c r="H9199" s="501" t="s">
        <v>15268</v>
      </c>
      <c r="I9199" s="501">
        <v>642</v>
      </c>
      <c r="J9199" s="501">
        <v>514</v>
      </c>
      <c r="K9199" s="501">
        <v>0</v>
      </c>
      <c r="L9199" s="501">
        <v>10</v>
      </c>
      <c r="M9199" s="501">
        <v>0</v>
      </c>
      <c r="N9199" s="501">
        <v>0</v>
      </c>
      <c r="O9199" s="506">
        <v>118</v>
      </c>
    </row>
    <row r="9200" spans="1:15" x14ac:dyDescent="0.35">
      <c r="A9200" s="503" t="s">
        <v>1217</v>
      </c>
      <c r="B9200" s="504">
        <v>4851</v>
      </c>
      <c r="C9200" s="504" t="s">
        <v>1094</v>
      </c>
      <c r="D9200" s="504" t="s">
        <v>3380</v>
      </c>
      <c r="E9200" s="504" t="s">
        <v>3381</v>
      </c>
      <c r="F9200" s="504" t="s">
        <v>14117</v>
      </c>
      <c r="G9200" s="504" t="s">
        <v>14118</v>
      </c>
      <c r="H9200" s="504" t="s">
        <v>15269</v>
      </c>
      <c r="I9200" s="504">
        <v>428</v>
      </c>
      <c r="J9200" s="504">
        <v>342</v>
      </c>
      <c r="K9200" s="504">
        <v>0</v>
      </c>
      <c r="L9200" s="504">
        <v>0</v>
      </c>
      <c r="M9200" s="504">
        <v>0</v>
      </c>
      <c r="N9200" s="504">
        <v>0</v>
      </c>
      <c r="O9200" s="505">
        <v>86</v>
      </c>
    </row>
    <row r="9201" spans="1:15" x14ac:dyDescent="0.35">
      <c r="A9201" s="500" t="s">
        <v>1218</v>
      </c>
      <c r="B9201" s="501" t="s">
        <v>3147</v>
      </c>
      <c r="C9201" s="501" t="s">
        <v>1094</v>
      </c>
      <c r="D9201" s="501" t="s">
        <v>3380</v>
      </c>
      <c r="E9201" s="501" t="s">
        <v>3381</v>
      </c>
      <c r="F9201" s="501" t="s">
        <v>14117</v>
      </c>
      <c r="G9201" s="501" t="s">
        <v>14118</v>
      </c>
      <c r="H9201" s="501" t="s">
        <v>15270</v>
      </c>
      <c r="I9201" s="501">
        <v>318</v>
      </c>
      <c r="J9201" s="501">
        <v>1</v>
      </c>
      <c r="K9201" s="501">
        <v>0</v>
      </c>
      <c r="L9201" s="501">
        <v>0</v>
      </c>
      <c r="M9201" s="501">
        <v>0</v>
      </c>
      <c r="N9201" s="501">
        <v>0</v>
      </c>
      <c r="O9201" s="506">
        <v>317</v>
      </c>
    </row>
    <row r="9202" spans="1:15" x14ac:dyDescent="0.35">
      <c r="A9202" s="503" t="s">
        <v>11367</v>
      </c>
      <c r="B9202" s="504" t="s">
        <v>3143</v>
      </c>
      <c r="C9202" s="504" t="s">
        <v>1094</v>
      </c>
      <c r="D9202" s="504" t="s">
        <v>3380</v>
      </c>
      <c r="E9202" s="504" t="s">
        <v>3381</v>
      </c>
      <c r="F9202" s="504" t="s">
        <v>14117</v>
      </c>
      <c r="G9202" s="504" t="s">
        <v>14118</v>
      </c>
      <c r="H9202" s="504" t="s">
        <v>15271</v>
      </c>
      <c r="I9202" s="504">
        <v>1073</v>
      </c>
      <c r="J9202" s="504">
        <v>958</v>
      </c>
      <c r="K9202" s="504">
        <v>0</v>
      </c>
      <c r="L9202" s="504">
        <v>47</v>
      </c>
      <c r="M9202" s="504">
        <v>68</v>
      </c>
      <c r="N9202" s="504">
        <v>0</v>
      </c>
      <c r="O9202" s="505">
        <v>0</v>
      </c>
    </row>
    <row r="9203" spans="1:15" x14ac:dyDescent="0.35">
      <c r="A9203" s="500" t="s">
        <v>1220</v>
      </c>
      <c r="B9203" s="501">
        <v>4849</v>
      </c>
      <c r="C9203" s="501" t="s">
        <v>1094</v>
      </c>
      <c r="D9203" s="501" t="s">
        <v>3380</v>
      </c>
      <c r="E9203" s="501" t="s">
        <v>3381</v>
      </c>
      <c r="F9203" s="501" t="s">
        <v>14117</v>
      </c>
      <c r="G9203" s="501" t="s">
        <v>14118</v>
      </c>
      <c r="H9203" s="501" t="s">
        <v>15272</v>
      </c>
      <c r="I9203" s="501">
        <v>545</v>
      </c>
      <c r="J9203" s="501">
        <v>435</v>
      </c>
      <c r="K9203" s="501">
        <v>0</v>
      </c>
      <c r="L9203" s="501">
        <v>72</v>
      </c>
      <c r="M9203" s="501">
        <v>9</v>
      </c>
      <c r="N9203" s="501">
        <v>0</v>
      </c>
      <c r="O9203" s="506">
        <v>29</v>
      </c>
    </row>
    <row r="9204" spans="1:15" x14ac:dyDescent="0.35">
      <c r="A9204" s="503" t="s">
        <v>1122</v>
      </c>
      <c r="B9204" s="504" t="s">
        <v>2994</v>
      </c>
      <c r="C9204" s="504" t="s">
        <v>1094</v>
      </c>
      <c r="D9204" s="504" t="s">
        <v>3380</v>
      </c>
      <c r="E9204" s="504" t="s">
        <v>3381</v>
      </c>
      <c r="F9204" s="504" t="s">
        <v>14117</v>
      </c>
      <c r="G9204" s="504" t="s">
        <v>14118</v>
      </c>
      <c r="H9204" s="504" t="s">
        <v>15273</v>
      </c>
      <c r="I9204" s="504">
        <v>93</v>
      </c>
      <c r="J9204" s="504">
        <v>93</v>
      </c>
      <c r="K9204" s="504">
        <v>0</v>
      </c>
      <c r="L9204" s="504">
        <v>0</v>
      </c>
      <c r="M9204" s="504">
        <v>0</v>
      </c>
      <c r="N9204" s="504">
        <v>0</v>
      </c>
      <c r="O9204" s="505">
        <v>0</v>
      </c>
    </row>
    <row r="9205" spans="1:15" x14ac:dyDescent="0.35">
      <c r="A9205" s="500" t="s">
        <v>1225</v>
      </c>
      <c r="B9205" s="501" t="s">
        <v>3315</v>
      </c>
      <c r="C9205" s="501" t="s">
        <v>1094</v>
      </c>
      <c r="D9205" s="501" t="s">
        <v>3380</v>
      </c>
      <c r="E9205" s="501" t="s">
        <v>3381</v>
      </c>
      <c r="F9205" s="501" t="s">
        <v>14117</v>
      </c>
      <c r="G9205" s="501" t="s">
        <v>14118</v>
      </c>
      <c r="H9205" s="501" t="s">
        <v>15274</v>
      </c>
      <c r="I9205" s="501">
        <v>102</v>
      </c>
      <c r="J9205" s="501">
        <v>0</v>
      </c>
      <c r="K9205" s="501">
        <v>0</v>
      </c>
      <c r="L9205" s="501">
        <v>57</v>
      </c>
      <c r="M9205" s="501">
        <v>45</v>
      </c>
      <c r="N9205" s="501">
        <v>0</v>
      </c>
      <c r="O9205" s="506">
        <v>0</v>
      </c>
    </row>
    <row r="9206" spans="1:15" x14ac:dyDescent="0.35">
      <c r="A9206" s="503" t="s">
        <v>1226</v>
      </c>
      <c r="B9206" s="504">
        <v>5084</v>
      </c>
      <c r="C9206" s="504" t="s">
        <v>1094</v>
      </c>
      <c r="D9206" s="504" t="s">
        <v>3380</v>
      </c>
      <c r="E9206" s="504" t="s">
        <v>3381</v>
      </c>
      <c r="F9206" s="504" t="s">
        <v>14117</v>
      </c>
      <c r="G9206" s="504" t="s">
        <v>14118</v>
      </c>
      <c r="H9206" s="504" t="s">
        <v>15275</v>
      </c>
      <c r="I9206" s="504">
        <v>116</v>
      </c>
      <c r="J9206" s="504">
        <v>77</v>
      </c>
      <c r="K9206" s="504">
        <v>0</v>
      </c>
      <c r="L9206" s="504">
        <v>0</v>
      </c>
      <c r="M9206" s="504">
        <v>0</v>
      </c>
      <c r="N9206" s="504">
        <v>0</v>
      </c>
      <c r="O9206" s="505">
        <v>39</v>
      </c>
    </row>
    <row r="9207" spans="1:15" x14ac:dyDescent="0.35">
      <c r="A9207" s="500" t="s">
        <v>1124</v>
      </c>
      <c r="B9207" s="501">
        <v>4745</v>
      </c>
      <c r="C9207" s="501" t="s">
        <v>1094</v>
      </c>
      <c r="D9207" s="501" t="s">
        <v>3380</v>
      </c>
      <c r="E9207" s="501" t="s">
        <v>3381</v>
      </c>
      <c r="F9207" s="501" t="s">
        <v>14117</v>
      </c>
      <c r="G9207" s="501" t="s">
        <v>14118</v>
      </c>
      <c r="H9207" s="501" t="s">
        <v>15276</v>
      </c>
      <c r="I9207" s="501">
        <v>3</v>
      </c>
      <c r="J9207" s="501">
        <v>0</v>
      </c>
      <c r="K9207" s="501">
        <v>0</v>
      </c>
      <c r="L9207" s="501">
        <v>3</v>
      </c>
      <c r="M9207" s="501">
        <v>0</v>
      </c>
      <c r="N9207" s="501">
        <v>0</v>
      </c>
      <c r="O9207" s="506">
        <v>0</v>
      </c>
    </row>
    <row r="9208" spans="1:15" x14ac:dyDescent="0.35">
      <c r="A9208" s="503" t="s">
        <v>1233</v>
      </c>
      <c r="B9208" s="504">
        <v>4636</v>
      </c>
      <c r="C9208" s="504" t="s">
        <v>1094</v>
      </c>
      <c r="D9208" s="504" t="s">
        <v>3380</v>
      </c>
      <c r="E9208" s="504" t="s">
        <v>3381</v>
      </c>
      <c r="F9208" s="504" t="s">
        <v>14117</v>
      </c>
      <c r="G9208" s="504" t="s">
        <v>14118</v>
      </c>
      <c r="H9208" s="504" t="s">
        <v>15277</v>
      </c>
      <c r="I9208" s="504">
        <v>79</v>
      </c>
      <c r="J9208" s="504">
        <v>35</v>
      </c>
      <c r="K9208" s="504">
        <v>0</v>
      </c>
      <c r="L9208" s="504">
        <v>0</v>
      </c>
      <c r="M9208" s="504">
        <v>0</v>
      </c>
      <c r="N9208" s="504">
        <v>0</v>
      </c>
      <c r="O9208" s="505">
        <v>44</v>
      </c>
    </row>
    <row r="9209" spans="1:15" x14ac:dyDescent="0.35">
      <c r="A9209" s="500" t="s">
        <v>11368</v>
      </c>
      <c r="B9209" s="501">
        <v>5083</v>
      </c>
      <c r="C9209" s="501" t="s">
        <v>1094</v>
      </c>
      <c r="D9209" s="501" t="s">
        <v>3380</v>
      </c>
      <c r="E9209" s="501" t="s">
        <v>3381</v>
      </c>
      <c r="F9209" s="501" t="s">
        <v>14117</v>
      </c>
      <c r="G9209" s="501" t="s">
        <v>14118</v>
      </c>
      <c r="H9209" s="501" t="s">
        <v>15278</v>
      </c>
      <c r="I9209" s="501">
        <v>58</v>
      </c>
      <c r="J9209" s="501">
        <v>58</v>
      </c>
      <c r="K9209" s="501">
        <v>0</v>
      </c>
      <c r="L9209" s="501">
        <v>0</v>
      </c>
      <c r="M9209" s="501">
        <v>0</v>
      </c>
      <c r="N9209" s="501">
        <v>0</v>
      </c>
      <c r="O9209" s="506">
        <v>0</v>
      </c>
    </row>
    <row r="9210" spans="1:15" x14ac:dyDescent="0.35">
      <c r="A9210" s="503" t="s">
        <v>1126</v>
      </c>
      <c r="B9210" s="504" t="s">
        <v>2974</v>
      </c>
      <c r="C9210" s="504" t="s">
        <v>1094</v>
      </c>
      <c r="D9210" s="504" t="s">
        <v>3380</v>
      </c>
      <c r="E9210" s="504" t="s">
        <v>3381</v>
      </c>
      <c r="F9210" s="504" t="s">
        <v>14117</v>
      </c>
      <c r="G9210" s="504" t="s">
        <v>14118</v>
      </c>
      <c r="H9210" s="504" t="s">
        <v>15279</v>
      </c>
      <c r="I9210" s="504">
        <v>304</v>
      </c>
      <c r="J9210" s="504">
        <v>304</v>
      </c>
      <c r="K9210" s="504">
        <v>0</v>
      </c>
      <c r="L9210" s="504">
        <v>0</v>
      </c>
      <c r="M9210" s="504">
        <v>0</v>
      </c>
      <c r="N9210" s="504">
        <v>0</v>
      </c>
      <c r="O9210" s="505">
        <v>0</v>
      </c>
    </row>
    <row r="9211" spans="1:15" x14ac:dyDescent="0.35">
      <c r="A9211" s="500" t="s">
        <v>1240</v>
      </c>
      <c r="B9211" s="501" t="s">
        <v>2972</v>
      </c>
      <c r="C9211" s="501" t="s">
        <v>1094</v>
      </c>
      <c r="D9211" s="501" t="s">
        <v>3380</v>
      </c>
      <c r="E9211" s="501" t="s">
        <v>3381</v>
      </c>
      <c r="F9211" s="501" t="s">
        <v>14117</v>
      </c>
      <c r="G9211" s="501" t="s">
        <v>14118</v>
      </c>
      <c r="H9211" s="501" t="s">
        <v>15280</v>
      </c>
      <c r="I9211" s="501">
        <v>79</v>
      </c>
      <c r="J9211" s="501">
        <v>48</v>
      </c>
      <c r="K9211" s="501">
        <v>0</v>
      </c>
      <c r="L9211" s="501">
        <v>0</v>
      </c>
      <c r="M9211" s="501">
        <v>0</v>
      </c>
      <c r="N9211" s="501">
        <v>0</v>
      </c>
      <c r="O9211" s="506">
        <v>31</v>
      </c>
    </row>
    <row r="9212" spans="1:15" x14ac:dyDescent="0.35">
      <c r="A9212" s="503" t="s">
        <v>1134</v>
      </c>
      <c r="B9212" s="504" t="s">
        <v>3066</v>
      </c>
      <c r="C9212" s="504" t="s">
        <v>1094</v>
      </c>
      <c r="D9212" s="504" t="s">
        <v>3380</v>
      </c>
      <c r="E9212" s="504" t="s">
        <v>3381</v>
      </c>
      <c r="F9212" s="504" t="s">
        <v>14117</v>
      </c>
      <c r="G9212" s="504" t="s">
        <v>14118</v>
      </c>
      <c r="H9212" s="504" t="s">
        <v>15281</v>
      </c>
      <c r="I9212" s="504">
        <v>42</v>
      </c>
      <c r="J9212" s="504">
        <v>13</v>
      </c>
      <c r="K9212" s="504">
        <v>0</v>
      </c>
      <c r="L9212" s="504">
        <v>0</v>
      </c>
      <c r="M9212" s="504">
        <v>0</v>
      </c>
      <c r="N9212" s="504">
        <v>0</v>
      </c>
      <c r="O9212" s="505">
        <v>29</v>
      </c>
    </row>
    <row r="9213" spans="1:15" x14ac:dyDescent="0.35">
      <c r="A9213" s="500" t="s">
        <v>1245</v>
      </c>
      <c r="B9213" s="501" t="s">
        <v>2859</v>
      </c>
      <c r="C9213" s="501" t="s">
        <v>1094</v>
      </c>
      <c r="D9213" s="501" t="s">
        <v>3380</v>
      </c>
      <c r="E9213" s="501" t="s">
        <v>3381</v>
      </c>
      <c r="F9213" s="501" t="s">
        <v>14117</v>
      </c>
      <c r="G9213" s="501" t="s">
        <v>14118</v>
      </c>
      <c r="H9213" s="501" t="s">
        <v>15282</v>
      </c>
      <c r="I9213" s="501">
        <v>12</v>
      </c>
      <c r="J9213" s="501">
        <v>0</v>
      </c>
      <c r="K9213" s="501">
        <v>0</v>
      </c>
      <c r="L9213" s="501">
        <v>0</v>
      </c>
      <c r="M9213" s="501">
        <v>12</v>
      </c>
      <c r="N9213" s="501">
        <v>0</v>
      </c>
      <c r="O9213" s="506">
        <v>0</v>
      </c>
    </row>
    <row r="9214" spans="1:15" x14ac:dyDescent="0.35">
      <c r="A9214" s="503" t="s">
        <v>1249</v>
      </c>
      <c r="B9214" s="504">
        <v>4729</v>
      </c>
      <c r="C9214" s="504" t="s">
        <v>1094</v>
      </c>
      <c r="D9214" s="504" t="s">
        <v>3380</v>
      </c>
      <c r="E9214" s="504" t="s">
        <v>3381</v>
      </c>
      <c r="F9214" s="504" t="s">
        <v>14117</v>
      </c>
      <c r="G9214" s="504" t="s">
        <v>14118</v>
      </c>
      <c r="H9214" s="504" t="s">
        <v>15283</v>
      </c>
      <c r="I9214" s="504">
        <v>458</v>
      </c>
      <c r="J9214" s="504">
        <v>313</v>
      </c>
      <c r="K9214" s="504">
        <v>0</v>
      </c>
      <c r="L9214" s="504">
        <v>0</v>
      </c>
      <c r="M9214" s="504">
        <v>0</v>
      </c>
      <c r="N9214" s="504">
        <v>0</v>
      </c>
      <c r="O9214" s="505">
        <v>145</v>
      </c>
    </row>
    <row r="9215" spans="1:15" x14ac:dyDescent="0.35">
      <c r="A9215" s="500" t="s">
        <v>1253</v>
      </c>
      <c r="B9215" s="501" t="s">
        <v>3232</v>
      </c>
      <c r="C9215" s="501" t="s">
        <v>1094</v>
      </c>
      <c r="D9215" s="501" t="s">
        <v>3380</v>
      </c>
      <c r="E9215" s="501" t="s">
        <v>3381</v>
      </c>
      <c r="F9215" s="501" t="s">
        <v>14117</v>
      </c>
      <c r="G9215" s="501" t="s">
        <v>14118</v>
      </c>
      <c r="H9215" s="501" t="s">
        <v>15284</v>
      </c>
      <c r="I9215" s="501">
        <v>27</v>
      </c>
      <c r="J9215" s="501">
        <v>12</v>
      </c>
      <c r="K9215" s="501">
        <v>0</v>
      </c>
      <c r="L9215" s="501">
        <v>0</v>
      </c>
      <c r="M9215" s="501">
        <v>0</v>
      </c>
      <c r="N9215" s="501">
        <v>0</v>
      </c>
      <c r="O9215" s="506">
        <v>15</v>
      </c>
    </row>
    <row r="9216" spans="1:15" x14ac:dyDescent="0.35">
      <c r="A9216" s="503" t="s">
        <v>1260</v>
      </c>
      <c r="B9216" s="504">
        <v>4645</v>
      </c>
      <c r="C9216" s="504" t="s">
        <v>1089</v>
      </c>
      <c r="D9216" s="504" t="s">
        <v>3392</v>
      </c>
      <c r="E9216" s="504" t="s">
        <v>3381</v>
      </c>
      <c r="F9216" s="504" t="s">
        <v>14117</v>
      </c>
      <c r="G9216" s="504" t="s">
        <v>14118</v>
      </c>
      <c r="H9216" s="504" t="s">
        <v>15285</v>
      </c>
      <c r="I9216" s="504">
        <v>4</v>
      </c>
      <c r="J9216" s="504">
        <v>0</v>
      </c>
      <c r="K9216" s="504">
        <v>0</v>
      </c>
      <c r="L9216" s="504">
        <v>4</v>
      </c>
      <c r="M9216" s="504">
        <v>0</v>
      </c>
      <c r="N9216" s="504">
        <v>0</v>
      </c>
      <c r="O9216" s="505">
        <v>0</v>
      </c>
    </row>
    <row r="9217" spans="1:15" x14ac:dyDescent="0.35">
      <c r="A9217" s="500" t="s">
        <v>1262</v>
      </c>
      <c r="B9217" s="501">
        <v>4772</v>
      </c>
      <c r="C9217" s="501" t="s">
        <v>1089</v>
      </c>
      <c r="D9217" s="501" t="s">
        <v>3392</v>
      </c>
      <c r="E9217" s="501" t="s">
        <v>3381</v>
      </c>
      <c r="F9217" s="501" t="s">
        <v>14117</v>
      </c>
      <c r="G9217" s="501" t="s">
        <v>14118</v>
      </c>
      <c r="H9217" s="501" t="s">
        <v>15286</v>
      </c>
      <c r="I9217" s="501">
        <v>3</v>
      </c>
      <c r="J9217" s="501">
        <v>0</v>
      </c>
      <c r="K9217" s="501">
        <v>0</v>
      </c>
      <c r="L9217" s="501">
        <v>3</v>
      </c>
      <c r="M9217" s="501">
        <v>0</v>
      </c>
      <c r="N9217" s="501">
        <v>0</v>
      </c>
      <c r="O9217" s="506">
        <v>0</v>
      </c>
    </row>
    <row r="9218" spans="1:15" x14ac:dyDescent="0.35">
      <c r="A9218" s="503" t="s">
        <v>1156</v>
      </c>
      <c r="B9218" s="504" t="s">
        <v>3310</v>
      </c>
      <c r="C9218" s="504" t="s">
        <v>1094</v>
      </c>
      <c r="D9218" s="504" t="s">
        <v>3380</v>
      </c>
      <c r="E9218" s="504" t="s">
        <v>3381</v>
      </c>
      <c r="F9218" s="504" t="s">
        <v>14117</v>
      </c>
      <c r="G9218" s="504" t="s">
        <v>14118</v>
      </c>
      <c r="H9218" s="504" t="s">
        <v>15287</v>
      </c>
      <c r="I9218" s="504">
        <v>656</v>
      </c>
      <c r="J9218" s="504">
        <v>389</v>
      </c>
      <c r="K9218" s="504">
        <v>0</v>
      </c>
      <c r="L9218" s="504">
        <v>36</v>
      </c>
      <c r="M9218" s="504">
        <v>87</v>
      </c>
      <c r="N9218" s="504">
        <v>0</v>
      </c>
      <c r="O9218" s="505">
        <v>144</v>
      </c>
    </row>
    <row r="9219" spans="1:15" x14ac:dyDescent="0.35">
      <c r="A9219" s="500" t="s">
        <v>1385</v>
      </c>
      <c r="B9219" s="501" t="s">
        <v>3249</v>
      </c>
      <c r="C9219" s="501" t="s">
        <v>1094</v>
      </c>
      <c r="D9219" s="501" t="s">
        <v>3380</v>
      </c>
      <c r="E9219" s="501" t="s">
        <v>3381</v>
      </c>
      <c r="F9219" s="501" t="s">
        <v>998</v>
      </c>
      <c r="G9219" s="501" t="s">
        <v>999</v>
      </c>
      <c r="H9219" s="501" t="s">
        <v>10822</v>
      </c>
      <c r="I9219" s="501">
        <v>147</v>
      </c>
      <c r="J9219" s="501">
        <v>135</v>
      </c>
      <c r="K9219" s="501">
        <v>0</v>
      </c>
      <c r="L9219" s="501">
        <v>6</v>
      </c>
      <c r="M9219" s="501">
        <v>0</v>
      </c>
      <c r="N9219" s="501">
        <v>0</v>
      </c>
      <c r="O9219" s="506">
        <v>6</v>
      </c>
    </row>
    <row r="9220" spans="1:15" x14ac:dyDescent="0.35">
      <c r="A9220" s="503" t="s">
        <v>1093</v>
      </c>
      <c r="B9220" s="504" t="s">
        <v>3248</v>
      </c>
      <c r="C9220" s="504" t="s">
        <v>1094</v>
      </c>
      <c r="D9220" s="504" t="s">
        <v>3380</v>
      </c>
      <c r="E9220" s="504" t="s">
        <v>3381</v>
      </c>
      <c r="F9220" s="504" t="s">
        <v>998</v>
      </c>
      <c r="G9220" s="504" t="s">
        <v>999</v>
      </c>
      <c r="H9220" s="504" t="s">
        <v>10823</v>
      </c>
      <c r="I9220" s="504">
        <v>79</v>
      </c>
      <c r="J9220" s="504">
        <v>0</v>
      </c>
      <c r="K9220" s="504">
        <v>0</v>
      </c>
      <c r="L9220" s="504">
        <v>64</v>
      </c>
      <c r="M9220" s="504">
        <v>0</v>
      </c>
      <c r="N9220" s="504">
        <v>0</v>
      </c>
      <c r="O9220" s="505">
        <v>15</v>
      </c>
    </row>
    <row r="9221" spans="1:15" x14ac:dyDescent="0.35">
      <c r="A9221" s="500" t="s">
        <v>1096</v>
      </c>
      <c r="B9221" s="501" t="s">
        <v>3326</v>
      </c>
      <c r="C9221" s="501" t="s">
        <v>1094</v>
      </c>
      <c r="D9221" s="501" t="s">
        <v>3380</v>
      </c>
      <c r="E9221" s="501" t="s">
        <v>3381</v>
      </c>
      <c r="F9221" s="501" t="s">
        <v>998</v>
      </c>
      <c r="G9221" s="501" t="s">
        <v>999</v>
      </c>
      <c r="H9221" s="501" t="s">
        <v>10824</v>
      </c>
      <c r="I9221" s="501">
        <v>25</v>
      </c>
      <c r="J9221" s="501">
        <v>0</v>
      </c>
      <c r="K9221" s="501">
        <v>0</v>
      </c>
      <c r="L9221" s="501">
        <v>0</v>
      </c>
      <c r="M9221" s="501">
        <v>25</v>
      </c>
      <c r="N9221" s="501">
        <v>0</v>
      </c>
      <c r="O9221" s="506">
        <v>0</v>
      </c>
    </row>
    <row r="9222" spans="1:15" x14ac:dyDescent="0.35">
      <c r="A9222" s="503" t="s">
        <v>1098</v>
      </c>
      <c r="B9222" s="504">
        <v>4691</v>
      </c>
      <c r="C9222" s="504" t="s">
        <v>1094</v>
      </c>
      <c r="D9222" s="504" t="s">
        <v>3380</v>
      </c>
      <c r="E9222" s="504" t="s">
        <v>3381</v>
      </c>
      <c r="F9222" s="504" t="s">
        <v>998</v>
      </c>
      <c r="G9222" s="504" t="s">
        <v>999</v>
      </c>
      <c r="H9222" s="504" t="s">
        <v>10825</v>
      </c>
      <c r="I9222" s="504">
        <v>97</v>
      </c>
      <c r="J9222" s="504">
        <v>59</v>
      </c>
      <c r="K9222" s="504">
        <v>0</v>
      </c>
      <c r="L9222" s="504">
        <v>0</v>
      </c>
      <c r="M9222" s="504">
        <v>0</v>
      </c>
      <c r="N9222" s="504">
        <v>0</v>
      </c>
      <c r="O9222" s="505">
        <v>38</v>
      </c>
    </row>
    <row r="9223" spans="1:15" x14ac:dyDescent="0.35">
      <c r="A9223" s="500" t="s">
        <v>1161</v>
      </c>
      <c r="B9223" s="501" t="s">
        <v>3001</v>
      </c>
      <c r="C9223" s="501" t="s">
        <v>1094</v>
      </c>
      <c r="D9223" s="501" t="s">
        <v>3380</v>
      </c>
      <c r="E9223" s="501" t="s">
        <v>3381</v>
      </c>
      <c r="F9223" s="501" t="s">
        <v>998</v>
      </c>
      <c r="G9223" s="501" t="s">
        <v>999</v>
      </c>
      <c r="H9223" s="501" t="s">
        <v>10826</v>
      </c>
      <c r="I9223" s="501">
        <v>44</v>
      </c>
      <c r="J9223" s="501">
        <v>0</v>
      </c>
      <c r="K9223" s="501">
        <v>0</v>
      </c>
      <c r="L9223" s="501">
        <v>0</v>
      </c>
      <c r="M9223" s="501">
        <v>22</v>
      </c>
      <c r="N9223" s="501">
        <v>0</v>
      </c>
      <c r="O9223" s="506">
        <v>22</v>
      </c>
    </row>
    <row r="9224" spans="1:15" x14ac:dyDescent="0.35">
      <c r="A9224" s="503" t="s">
        <v>1100</v>
      </c>
      <c r="B9224" s="504">
        <v>4865</v>
      </c>
      <c r="C9224" s="504" t="s">
        <v>1094</v>
      </c>
      <c r="D9224" s="504" t="s">
        <v>3380</v>
      </c>
      <c r="E9224" s="504" t="s">
        <v>3381</v>
      </c>
      <c r="F9224" s="504" t="s">
        <v>998</v>
      </c>
      <c r="G9224" s="504" t="s">
        <v>999</v>
      </c>
      <c r="H9224" s="504" t="s">
        <v>10827</v>
      </c>
      <c r="I9224" s="504">
        <v>199</v>
      </c>
      <c r="J9224" s="504">
        <v>133</v>
      </c>
      <c r="K9224" s="504">
        <v>0</v>
      </c>
      <c r="L9224" s="504">
        <v>0</v>
      </c>
      <c r="M9224" s="504">
        <v>0</v>
      </c>
      <c r="N9224" s="504">
        <v>0</v>
      </c>
      <c r="O9224" s="505">
        <v>66</v>
      </c>
    </row>
    <row r="9225" spans="1:15" x14ac:dyDescent="0.35">
      <c r="A9225" s="500" t="s">
        <v>1818</v>
      </c>
      <c r="B9225" s="501">
        <v>5073</v>
      </c>
      <c r="C9225" s="501" t="s">
        <v>1089</v>
      </c>
      <c r="D9225" s="501" t="s">
        <v>3392</v>
      </c>
      <c r="E9225" s="501" t="s">
        <v>3381</v>
      </c>
      <c r="F9225" s="501" t="s">
        <v>998</v>
      </c>
      <c r="G9225" s="501" t="s">
        <v>999</v>
      </c>
      <c r="H9225" s="501" t="s">
        <v>10828</v>
      </c>
      <c r="I9225" s="501">
        <v>32</v>
      </c>
      <c r="J9225" s="501">
        <v>32</v>
      </c>
      <c r="K9225" s="501">
        <v>0</v>
      </c>
      <c r="L9225" s="501">
        <v>0</v>
      </c>
      <c r="M9225" s="501">
        <v>0</v>
      </c>
      <c r="N9225" s="501">
        <v>0</v>
      </c>
      <c r="O9225" s="506">
        <v>0</v>
      </c>
    </row>
    <row r="9226" spans="1:15" x14ac:dyDescent="0.35">
      <c r="A9226" s="503" t="s">
        <v>1819</v>
      </c>
      <c r="B9226" s="504" t="s">
        <v>3175</v>
      </c>
      <c r="C9226" s="504" t="s">
        <v>1094</v>
      </c>
      <c r="D9226" s="504" t="s">
        <v>3380</v>
      </c>
      <c r="E9226" s="504" t="s">
        <v>3381</v>
      </c>
      <c r="F9226" s="504" t="s">
        <v>998</v>
      </c>
      <c r="G9226" s="504" t="s">
        <v>999</v>
      </c>
      <c r="H9226" s="504" t="s">
        <v>10829</v>
      </c>
      <c r="I9226" s="504">
        <v>4100</v>
      </c>
      <c r="J9226" s="504">
        <v>3919</v>
      </c>
      <c r="K9226" s="504">
        <v>0</v>
      </c>
      <c r="L9226" s="504">
        <v>0</v>
      </c>
      <c r="M9226" s="504">
        <v>0</v>
      </c>
      <c r="N9226" s="504">
        <v>2</v>
      </c>
      <c r="O9226" s="505">
        <v>181</v>
      </c>
    </row>
    <row r="9227" spans="1:15" x14ac:dyDescent="0.35">
      <c r="A9227" s="500" t="s">
        <v>1175</v>
      </c>
      <c r="B9227" s="501" t="s">
        <v>3141</v>
      </c>
      <c r="C9227" s="501" t="s">
        <v>1094</v>
      </c>
      <c r="D9227" s="501" t="s">
        <v>3380</v>
      </c>
      <c r="E9227" s="501" t="s">
        <v>3381</v>
      </c>
      <c r="F9227" s="501" t="s">
        <v>998</v>
      </c>
      <c r="G9227" s="501" t="s">
        <v>999</v>
      </c>
      <c r="H9227" s="501" t="s">
        <v>10830</v>
      </c>
      <c r="I9227" s="501">
        <v>13</v>
      </c>
      <c r="J9227" s="501">
        <v>6</v>
      </c>
      <c r="K9227" s="501">
        <v>0</v>
      </c>
      <c r="L9227" s="501">
        <v>0</v>
      </c>
      <c r="M9227" s="501">
        <v>0</v>
      </c>
      <c r="N9227" s="501">
        <v>0</v>
      </c>
      <c r="O9227" s="506">
        <v>7</v>
      </c>
    </row>
    <row r="9228" spans="1:15" x14ac:dyDescent="0.35">
      <c r="A9228" s="503" t="s">
        <v>1182</v>
      </c>
      <c r="B9228" s="504">
        <v>5060</v>
      </c>
      <c r="C9228" s="504" t="s">
        <v>1094</v>
      </c>
      <c r="D9228" s="504" t="s">
        <v>3380</v>
      </c>
      <c r="E9228" s="504" t="s">
        <v>3381</v>
      </c>
      <c r="F9228" s="504" t="s">
        <v>998</v>
      </c>
      <c r="G9228" s="504" t="s">
        <v>999</v>
      </c>
      <c r="H9228" s="504" t="s">
        <v>10831</v>
      </c>
      <c r="I9228" s="504">
        <v>4</v>
      </c>
      <c r="J9228" s="504">
        <v>0</v>
      </c>
      <c r="K9228" s="504">
        <v>0</v>
      </c>
      <c r="L9228" s="504">
        <v>4</v>
      </c>
      <c r="M9228" s="504">
        <v>0</v>
      </c>
      <c r="N9228" s="504">
        <v>0</v>
      </c>
      <c r="O9228" s="505">
        <v>0</v>
      </c>
    </row>
    <row r="9229" spans="1:15" x14ac:dyDescent="0.35">
      <c r="A9229" s="500" t="s">
        <v>14213</v>
      </c>
      <c r="B9229" s="501" t="s">
        <v>3312</v>
      </c>
      <c r="C9229" s="501" t="s">
        <v>1094</v>
      </c>
      <c r="D9229" s="501" t="s">
        <v>3380</v>
      </c>
      <c r="E9229" s="501" t="s">
        <v>3381</v>
      </c>
      <c r="F9229" s="501" t="s">
        <v>998</v>
      </c>
      <c r="G9229" s="501" t="s">
        <v>999</v>
      </c>
      <c r="H9229" s="501" t="s">
        <v>15288</v>
      </c>
      <c r="I9229" s="501">
        <v>836</v>
      </c>
      <c r="J9229" s="501">
        <v>561</v>
      </c>
      <c r="K9229" s="501">
        <v>0</v>
      </c>
      <c r="L9229" s="501">
        <v>41</v>
      </c>
      <c r="M9229" s="501">
        <v>101</v>
      </c>
      <c r="N9229" s="501">
        <v>0</v>
      </c>
      <c r="O9229" s="506">
        <v>133</v>
      </c>
    </row>
    <row r="9230" spans="1:15" x14ac:dyDescent="0.35">
      <c r="A9230" s="503" t="s">
        <v>1105</v>
      </c>
      <c r="B9230" s="504">
        <v>4668</v>
      </c>
      <c r="C9230" s="504" t="s">
        <v>1094</v>
      </c>
      <c r="D9230" s="504" t="s">
        <v>3380</v>
      </c>
      <c r="E9230" s="504" t="s">
        <v>3381</v>
      </c>
      <c r="F9230" s="504" t="s">
        <v>998</v>
      </c>
      <c r="G9230" s="504" t="s">
        <v>999</v>
      </c>
      <c r="H9230" s="504" t="s">
        <v>10832</v>
      </c>
      <c r="I9230" s="504">
        <v>46</v>
      </c>
      <c r="J9230" s="504">
        <v>0</v>
      </c>
      <c r="K9230" s="504">
        <v>0</v>
      </c>
      <c r="L9230" s="504">
        <v>0</v>
      </c>
      <c r="M9230" s="504">
        <v>0</v>
      </c>
      <c r="N9230" s="504">
        <v>0</v>
      </c>
      <c r="O9230" s="505">
        <v>46</v>
      </c>
    </row>
    <row r="9231" spans="1:15" x14ac:dyDescent="0.35">
      <c r="A9231" s="500" t="s">
        <v>1107</v>
      </c>
      <c r="B9231" s="501" t="s">
        <v>3109</v>
      </c>
      <c r="C9231" s="501" t="s">
        <v>1094</v>
      </c>
      <c r="D9231" s="501" t="s">
        <v>3380</v>
      </c>
      <c r="E9231" s="501" t="s">
        <v>3381</v>
      </c>
      <c r="F9231" s="501" t="s">
        <v>998</v>
      </c>
      <c r="G9231" s="501" t="s">
        <v>999</v>
      </c>
      <c r="H9231" s="501" t="s">
        <v>10833</v>
      </c>
      <c r="I9231" s="501">
        <v>13</v>
      </c>
      <c r="J9231" s="501">
        <v>6</v>
      </c>
      <c r="K9231" s="501">
        <v>0</v>
      </c>
      <c r="L9231" s="501">
        <v>6</v>
      </c>
      <c r="M9231" s="501">
        <v>0</v>
      </c>
      <c r="N9231" s="501">
        <v>0</v>
      </c>
      <c r="O9231" s="506">
        <v>1</v>
      </c>
    </row>
    <row r="9232" spans="1:15" x14ac:dyDescent="0.35">
      <c r="A9232" s="503" t="s">
        <v>1109</v>
      </c>
      <c r="B9232" s="504" t="s">
        <v>2959</v>
      </c>
      <c r="C9232" s="504" t="s">
        <v>1094</v>
      </c>
      <c r="D9232" s="504" t="s">
        <v>3380</v>
      </c>
      <c r="E9232" s="504" t="s">
        <v>3381</v>
      </c>
      <c r="F9232" s="504" t="s">
        <v>998</v>
      </c>
      <c r="G9232" s="504" t="s">
        <v>999</v>
      </c>
      <c r="H9232" s="504" t="s">
        <v>15289</v>
      </c>
      <c r="I9232" s="504">
        <v>80</v>
      </c>
      <c r="J9232" s="504">
        <v>0</v>
      </c>
      <c r="K9232" s="504">
        <v>0</v>
      </c>
      <c r="L9232" s="504">
        <v>0</v>
      </c>
      <c r="M9232" s="504">
        <v>60</v>
      </c>
      <c r="N9232" s="504">
        <v>0</v>
      </c>
      <c r="O9232" s="505">
        <v>20</v>
      </c>
    </row>
    <row r="9233" spans="1:15" x14ac:dyDescent="0.35">
      <c r="A9233" s="500" t="s">
        <v>1202</v>
      </c>
      <c r="B9233" s="501" t="s">
        <v>3217</v>
      </c>
      <c r="C9233" s="501" t="s">
        <v>1094</v>
      </c>
      <c r="D9233" s="501" t="s">
        <v>3380</v>
      </c>
      <c r="E9233" s="501" t="s">
        <v>3381</v>
      </c>
      <c r="F9233" s="501" t="s">
        <v>998</v>
      </c>
      <c r="G9233" s="501" t="s">
        <v>999</v>
      </c>
      <c r="H9233" s="501" t="s">
        <v>10834</v>
      </c>
      <c r="I9233" s="501">
        <v>8</v>
      </c>
      <c r="J9233" s="501">
        <v>0</v>
      </c>
      <c r="K9233" s="501">
        <v>0</v>
      </c>
      <c r="L9233" s="501">
        <v>0</v>
      </c>
      <c r="M9233" s="501">
        <v>0</v>
      </c>
      <c r="N9233" s="501">
        <v>0</v>
      </c>
      <c r="O9233" s="506">
        <v>8</v>
      </c>
    </row>
    <row r="9234" spans="1:15" x14ac:dyDescent="0.35">
      <c r="A9234" s="503" t="s">
        <v>1114</v>
      </c>
      <c r="B9234" s="504" t="s">
        <v>2982</v>
      </c>
      <c r="C9234" s="504" t="s">
        <v>1094</v>
      </c>
      <c r="D9234" s="504" t="s">
        <v>3380</v>
      </c>
      <c r="E9234" s="504" t="s">
        <v>3381</v>
      </c>
      <c r="F9234" s="504" t="s">
        <v>998</v>
      </c>
      <c r="G9234" s="504" t="s">
        <v>999</v>
      </c>
      <c r="H9234" s="504" t="s">
        <v>10835</v>
      </c>
      <c r="I9234" s="504">
        <v>2</v>
      </c>
      <c r="J9234" s="504">
        <v>0</v>
      </c>
      <c r="K9234" s="504">
        <v>0</v>
      </c>
      <c r="L9234" s="504">
        <v>0</v>
      </c>
      <c r="M9234" s="504">
        <v>0</v>
      </c>
      <c r="N9234" s="504">
        <v>0</v>
      </c>
      <c r="O9234" s="505">
        <v>2</v>
      </c>
    </row>
    <row r="9235" spans="1:15" x14ac:dyDescent="0.35">
      <c r="A9235" s="500" t="s">
        <v>1226</v>
      </c>
      <c r="B9235" s="501">
        <v>5084</v>
      </c>
      <c r="C9235" s="501" t="s">
        <v>1094</v>
      </c>
      <c r="D9235" s="501" t="s">
        <v>3380</v>
      </c>
      <c r="E9235" s="501" t="s">
        <v>3381</v>
      </c>
      <c r="F9235" s="501" t="s">
        <v>998</v>
      </c>
      <c r="G9235" s="501" t="s">
        <v>999</v>
      </c>
      <c r="H9235" s="501" t="s">
        <v>10836</v>
      </c>
      <c r="I9235" s="501">
        <v>73</v>
      </c>
      <c r="J9235" s="501">
        <v>30</v>
      </c>
      <c r="K9235" s="501">
        <v>0</v>
      </c>
      <c r="L9235" s="501">
        <v>0</v>
      </c>
      <c r="M9235" s="501">
        <v>0</v>
      </c>
      <c r="N9235" s="501">
        <v>0</v>
      </c>
      <c r="O9235" s="506">
        <v>43</v>
      </c>
    </row>
    <row r="9236" spans="1:15" x14ac:dyDescent="0.35">
      <c r="A9236" s="503" t="s">
        <v>1233</v>
      </c>
      <c r="B9236" s="504">
        <v>4636</v>
      </c>
      <c r="C9236" s="504" t="s">
        <v>1094</v>
      </c>
      <c r="D9236" s="504" t="s">
        <v>3380</v>
      </c>
      <c r="E9236" s="504" t="s">
        <v>3381</v>
      </c>
      <c r="F9236" s="504" t="s">
        <v>998</v>
      </c>
      <c r="G9236" s="504" t="s">
        <v>999</v>
      </c>
      <c r="H9236" s="504" t="s">
        <v>10837</v>
      </c>
      <c r="I9236" s="504">
        <v>118</v>
      </c>
      <c r="J9236" s="504">
        <v>21</v>
      </c>
      <c r="K9236" s="504">
        <v>0</v>
      </c>
      <c r="L9236" s="504">
        <v>0</v>
      </c>
      <c r="M9236" s="504">
        <v>0</v>
      </c>
      <c r="N9236" s="504">
        <v>0</v>
      </c>
      <c r="O9236" s="505">
        <v>97</v>
      </c>
    </row>
    <row r="9237" spans="1:15" x14ac:dyDescent="0.35">
      <c r="A9237" s="500" t="s">
        <v>11368</v>
      </c>
      <c r="B9237" s="501">
        <v>5083</v>
      </c>
      <c r="C9237" s="501" t="s">
        <v>1094</v>
      </c>
      <c r="D9237" s="501" t="s">
        <v>3380</v>
      </c>
      <c r="E9237" s="501" t="s">
        <v>3381</v>
      </c>
      <c r="F9237" s="501" t="s">
        <v>998</v>
      </c>
      <c r="G9237" s="501" t="s">
        <v>999</v>
      </c>
      <c r="H9237" s="501" t="s">
        <v>12091</v>
      </c>
      <c r="I9237" s="501">
        <v>174</v>
      </c>
      <c r="J9237" s="501">
        <v>174</v>
      </c>
      <c r="K9237" s="501">
        <v>0</v>
      </c>
      <c r="L9237" s="501">
        <v>0</v>
      </c>
      <c r="M9237" s="501">
        <v>0</v>
      </c>
      <c r="N9237" s="501">
        <v>0</v>
      </c>
      <c r="O9237" s="506">
        <v>0</v>
      </c>
    </row>
    <row r="9238" spans="1:15" x14ac:dyDescent="0.35">
      <c r="A9238" s="503" t="s">
        <v>1126</v>
      </c>
      <c r="B9238" s="504" t="s">
        <v>2974</v>
      </c>
      <c r="C9238" s="504" t="s">
        <v>1094</v>
      </c>
      <c r="D9238" s="504" t="s">
        <v>3380</v>
      </c>
      <c r="E9238" s="504" t="s">
        <v>3381</v>
      </c>
      <c r="F9238" s="504" t="s">
        <v>998</v>
      </c>
      <c r="G9238" s="504" t="s">
        <v>999</v>
      </c>
      <c r="H9238" s="504" t="s">
        <v>10838</v>
      </c>
      <c r="I9238" s="504">
        <v>458</v>
      </c>
      <c r="J9238" s="504">
        <v>451</v>
      </c>
      <c r="K9238" s="504">
        <v>2</v>
      </c>
      <c r="L9238" s="504">
        <v>0</v>
      </c>
      <c r="M9238" s="504">
        <v>0</v>
      </c>
      <c r="N9238" s="504">
        <v>0</v>
      </c>
      <c r="O9238" s="505">
        <v>5</v>
      </c>
    </row>
    <row r="9239" spans="1:15" x14ac:dyDescent="0.35">
      <c r="A9239" s="500" t="s">
        <v>1898</v>
      </c>
      <c r="B9239" s="501" t="s">
        <v>3148</v>
      </c>
      <c r="C9239" s="501" t="s">
        <v>1094</v>
      </c>
      <c r="D9239" s="501" t="s">
        <v>3380</v>
      </c>
      <c r="E9239" s="501" t="s">
        <v>3381</v>
      </c>
      <c r="F9239" s="501" t="s">
        <v>998</v>
      </c>
      <c r="G9239" s="501" t="s">
        <v>999</v>
      </c>
      <c r="H9239" s="501" t="s">
        <v>10839</v>
      </c>
      <c r="I9239" s="501">
        <v>125</v>
      </c>
      <c r="J9239" s="501">
        <v>85</v>
      </c>
      <c r="K9239" s="501">
        <v>0</v>
      </c>
      <c r="L9239" s="501">
        <v>0</v>
      </c>
      <c r="M9239" s="501">
        <v>0</v>
      </c>
      <c r="N9239" s="501">
        <v>0</v>
      </c>
      <c r="O9239" s="506">
        <v>40</v>
      </c>
    </row>
    <row r="9240" spans="1:15" x14ac:dyDescent="0.35">
      <c r="A9240" s="503" t="s">
        <v>1132</v>
      </c>
      <c r="B9240" s="504">
        <v>4837</v>
      </c>
      <c r="C9240" s="504" t="s">
        <v>1094</v>
      </c>
      <c r="D9240" s="504" t="s">
        <v>3380</v>
      </c>
      <c r="E9240" s="504" t="s">
        <v>3381</v>
      </c>
      <c r="F9240" s="504" t="s">
        <v>998</v>
      </c>
      <c r="G9240" s="504" t="s">
        <v>999</v>
      </c>
      <c r="H9240" s="504" t="s">
        <v>10840</v>
      </c>
      <c r="I9240" s="504">
        <v>927</v>
      </c>
      <c r="J9240" s="504">
        <v>638</v>
      </c>
      <c r="K9240" s="504">
        <v>0</v>
      </c>
      <c r="L9240" s="504">
        <v>9</v>
      </c>
      <c r="M9240" s="504">
        <v>0</v>
      </c>
      <c r="N9240" s="504">
        <v>0</v>
      </c>
      <c r="O9240" s="505">
        <v>280</v>
      </c>
    </row>
    <row r="9241" spans="1:15" x14ac:dyDescent="0.35">
      <c r="A9241" s="500" t="s">
        <v>1134</v>
      </c>
      <c r="B9241" s="501" t="s">
        <v>3066</v>
      </c>
      <c r="C9241" s="501" t="s">
        <v>1094</v>
      </c>
      <c r="D9241" s="501" t="s">
        <v>3380</v>
      </c>
      <c r="E9241" s="501" t="s">
        <v>3381</v>
      </c>
      <c r="F9241" s="501" t="s">
        <v>998</v>
      </c>
      <c r="G9241" s="501" t="s">
        <v>999</v>
      </c>
      <c r="H9241" s="501" t="s">
        <v>12180</v>
      </c>
      <c r="I9241" s="501">
        <v>88</v>
      </c>
      <c r="J9241" s="501">
        <v>64</v>
      </c>
      <c r="K9241" s="501">
        <v>0</v>
      </c>
      <c r="L9241" s="501">
        <v>2</v>
      </c>
      <c r="M9241" s="501">
        <v>0</v>
      </c>
      <c r="N9241" s="501">
        <v>0</v>
      </c>
      <c r="O9241" s="506">
        <v>22</v>
      </c>
    </row>
    <row r="9242" spans="1:15" x14ac:dyDescent="0.35">
      <c r="A9242" s="503" t="s">
        <v>1245</v>
      </c>
      <c r="B9242" s="504" t="s">
        <v>2859</v>
      </c>
      <c r="C9242" s="504" t="s">
        <v>1094</v>
      </c>
      <c r="D9242" s="504" t="s">
        <v>3380</v>
      </c>
      <c r="E9242" s="504" t="s">
        <v>3381</v>
      </c>
      <c r="F9242" s="504" t="s">
        <v>998</v>
      </c>
      <c r="G9242" s="504" t="s">
        <v>999</v>
      </c>
      <c r="H9242" s="504" t="s">
        <v>10841</v>
      </c>
      <c r="I9242" s="504">
        <v>11</v>
      </c>
      <c r="J9242" s="504">
        <v>0</v>
      </c>
      <c r="K9242" s="504">
        <v>0</v>
      </c>
      <c r="L9242" s="504">
        <v>0</v>
      </c>
      <c r="M9242" s="504">
        <v>11</v>
      </c>
      <c r="N9242" s="504">
        <v>0</v>
      </c>
      <c r="O9242" s="505">
        <v>0</v>
      </c>
    </row>
    <row r="9243" spans="1:15" x14ac:dyDescent="0.35">
      <c r="A9243" s="500" t="s">
        <v>1096</v>
      </c>
      <c r="B9243" s="501" t="s">
        <v>3326</v>
      </c>
      <c r="C9243" s="501" t="s">
        <v>1094</v>
      </c>
      <c r="D9243" s="501" t="s">
        <v>3380</v>
      </c>
      <c r="E9243" s="501" t="s">
        <v>3381</v>
      </c>
      <c r="F9243" s="501" t="s">
        <v>1000</v>
      </c>
      <c r="G9243" s="501" t="s">
        <v>1001</v>
      </c>
      <c r="H9243" s="501" t="s">
        <v>10842</v>
      </c>
      <c r="I9243" s="501">
        <v>176</v>
      </c>
      <c r="J9243" s="501">
        <v>0</v>
      </c>
      <c r="K9243" s="501">
        <v>0</v>
      </c>
      <c r="L9243" s="501">
        <v>0</v>
      </c>
      <c r="M9243" s="501">
        <v>176</v>
      </c>
      <c r="N9243" s="501">
        <v>0</v>
      </c>
      <c r="O9243" s="506">
        <v>0</v>
      </c>
    </row>
    <row r="9244" spans="1:15" x14ac:dyDescent="0.35">
      <c r="A9244" s="503" t="s">
        <v>14148</v>
      </c>
      <c r="B9244" s="504" t="s">
        <v>14147</v>
      </c>
      <c r="C9244" s="504" t="s">
        <v>1089</v>
      </c>
      <c r="D9244" s="504" t="s">
        <v>3392</v>
      </c>
      <c r="E9244" s="504" t="s">
        <v>3381</v>
      </c>
      <c r="F9244" s="504" t="s">
        <v>1000</v>
      </c>
      <c r="G9244" s="504" t="s">
        <v>1001</v>
      </c>
      <c r="H9244" s="504" t="s">
        <v>15290</v>
      </c>
      <c r="I9244" s="504">
        <v>7</v>
      </c>
      <c r="J9244" s="504">
        <v>0</v>
      </c>
      <c r="K9244" s="504">
        <v>0</v>
      </c>
      <c r="L9244" s="504">
        <v>0</v>
      </c>
      <c r="M9244" s="504">
        <v>7</v>
      </c>
      <c r="N9244" s="504">
        <v>0</v>
      </c>
      <c r="O9244" s="505">
        <v>0</v>
      </c>
    </row>
    <row r="9245" spans="1:15" x14ac:dyDescent="0.35">
      <c r="A9245" s="500" t="s">
        <v>1282</v>
      </c>
      <c r="B9245" s="501" t="s">
        <v>2953</v>
      </c>
      <c r="C9245" s="501" t="s">
        <v>1094</v>
      </c>
      <c r="D9245" s="501" t="s">
        <v>3380</v>
      </c>
      <c r="E9245" s="501" t="s">
        <v>3381</v>
      </c>
      <c r="F9245" s="501" t="s">
        <v>1000</v>
      </c>
      <c r="G9245" s="501" t="s">
        <v>1001</v>
      </c>
      <c r="H9245" s="501" t="s">
        <v>10844</v>
      </c>
      <c r="I9245" s="501">
        <v>91</v>
      </c>
      <c r="J9245" s="501">
        <v>91</v>
      </c>
      <c r="K9245" s="501">
        <v>0</v>
      </c>
      <c r="L9245" s="501">
        <v>0</v>
      </c>
      <c r="M9245" s="501">
        <v>0</v>
      </c>
      <c r="N9245" s="501">
        <v>0</v>
      </c>
      <c r="O9245" s="506">
        <v>0</v>
      </c>
    </row>
    <row r="9246" spans="1:15" x14ac:dyDescent="0.35">
      <c r="A9246" s="503" t="s">
        <v>1161</v>
      </c>
      <c r="B9246" s="504" t="s">
        <v>3001</v>
      </c>
      <c r="C9246" s="504" t="s">
        <v>1094</v>
      </c>
      <c r="D9246" s="504" t="s">
        <v>3380</v>
      </c>
      <c r="E9246" s="504" t="s">
        <v>3381</v>
      </c>
      <c r="F9246" s="504" t="s">
        <v>1000</v>
      </c>
      <c r="G9246" s="504" t="s">
        <v>1001</v>
      </c>
      <c r="H9246" s="504" t="s">
        <v>10845</v>
      </c>
      <c r="I9246" s="504">
        <v>1</v>
      </c>
      <c r="J9246" s="504">
        <v>0</v>
      </c>
      <c r="K9246" s="504">
        <v>0</v>
      </c>
      <c r="L9246" s="504">
        <v>0</v>
      </c>
      <c r="M9246" s="504">
        <v>0</v>
      </c>
      <c r="N9246" s="504">
        <v>0</v>
      </c>
      <c r="O9246" s="505">
        <v>1</v>
      </c>
    </row>
    <row r="9247" spans="1:15" x14ac:dyDescent="0.35">
      <c r="A9247" s="500" t="s">
        <v>1100</v>
      </c>
      <c r="B9247" s="501">
        <v>4865</v>
      </c>
      <c r="C9247" s="501" t="s">
        <v>1094</v>
      </c>
      <c r="D9247" s="501" t="s">
        <v>3380</v>
      </c>
      <c r="E9247" s="501" t="s">
        <v>3381</v>
      </c>
      <c r="F9247" s="501" t="s">
        <v>1000</v>
      </c>
      <c r="G9247" s="501" t="s">
        <v>1001</v>
      </c>
      <c r="H9247" s="501" t="s">
        <v>10846</v>
      </c>
      <c r="I9247" s="501">
        <v>268</v>
      </c>
      <c r="J9247" s="501">
        <v>141</v>
      </c>
      <c r="K9247" s="501">
        <v>0</v>
      </c>
      <c r="L9247" s="501">
        <v>0</v>
      </c>
      <c r="M9247" s="501">
        <v>0</v>
      </c>
      <c r="N9247" s="501">
        <v>0</v>
      </c>
      <c r="O9247" s="506">
        <v>127</v>
      </c>
    </row>
    <row r="9248" spans="1:15" x14ac:dyDescent="0.35">
      <c r="A9248" s="503" t="s">
        <v>1287</v>
      </c>
      <c r="B9248" s="504" t="s">
        <v>2784</v>
      </c>
      <c r="C9248" s="504" t="s">
        <v>1089</v>
      </c>
      <c r="D9248" s="504" t="s">
        <v>3392</v>
      </c>
      <c r="E9248" s="504" t="s">
        <v>3381</v>
      </c>
      <c r="F9248" s="504" t="s">
        <v>1000</v>
      </c>
      <c r="G9248" s="504" t="s">
        <v>1001</v>
      </c>
      <c r="H9248" s="504" t="s">
        <v>10847</v>
      </c>
      <c r="I9248" s="504">
        <v>3</v>
      </c>
      <c r="J9248" s="504">
        <v>3</v>
      </c>
      <c r="K9248" s="504">
        <v>0</v>
      </c>
      <c r="L9248" s="504">
        <v>0</v>
      </c>
      <c r="M9248" s="504">
        <v>0</v>
      </c>
      <c r="N9248" s="504">
        <v>0</v>
      </c>
      <c r="O9248" s="505">
        <v>0</v>
      </c>
    </row>
    <row r="9249" spans="1:15" x14ac:dyDescent="0.35">
      <c r="A9249" s="500" t="s">
        <v>1290</v>
      </c>
      <c r="B9249" s="501" t="s">
        <v>2979</v>
      </c>
      <c r="C9249" s="501" t="s">
        <v>1094</v>
      </c>
      <c r="D9249" s="501" t="s">
        <v>3380</v>
      </c>
      <c r="E9249" s="501" t="s">
        <v>3381</v>
      </c>
      <c r="F9249" s="501" t="s">
        <v>1000</v>
      </c>
      <c r="G9249" s="501" t="s">
        <v>1001</v>
      </c>
      <c r="H9249" s="501" t="s">
        <v>10848</v>
      </c>
      <c r="I9249" s="501">
        <v>54</v>
      </c>
      <c r="J9249" s="501">
        <v>52</v>
      </c>
      <c r="K9249" s="501">
        <v>0</v>
      </c>
      <c r="L9249" s="501">
        <v>0</v>
      </c>
      <c r="M9249" s="501">
        <v>0</v>
      </c>
      <c r="N9249" s="501">
        <v>0</v>
      </c>
      <c r="O9249" s="506">
        <v>2</v>
      </c>
    </row>
    <row r="9250" spans="1:15" x14ac:dyDescent="0.35">
      <c r="A9250" s="503" t="s">
        <v>1294</v>
      </c>
      <c r="B9250" s="504" t="s">
        <v>3114</v>
      </c>
      <c r="C9250" s="504" t="s">
        <v>1094</v>
      </c>
      <c r="D9250" s="504" t="s">
        <v>3380</v>
      </c>
      <c r="E9250" s="504" t="s">
        <v>3381</v>
      </c>
      <c r="F9250" s="504" t="s">
        <v>1000</v>
      </c>
      <c r="G9250" s="504" t="s">
        <v>1001</v>
      </c>
      <c r="H9250" s="504" t="s">
        <v>10849</v>
      </c>
      <c r="I9250" s="504">
        <v>1</v>
      </c>
      <c r="J9250" s="504">
        <v>0</v>
      </c>
      <c r="K9250" s="504">
        <v>0</v>
      </c>
      <c r="L9250" s="504">
        <v>0</v>
      </c>
      <c r="M9250" s="504">
        <v>0</v>
      </c>
      <c r="N9250" s="504">
        <v>0</v>
      </c>
      <c r="O9250" s="505">
        <v>1</v>
      </c>
    </row>
    <row r="9251" spans="1:15" x14ac:dyDescent="0.35">
      <c r="A9251" s="500" t="s">
        <v>1296</v>
      </c>
      <c r="B9251" s="501">
        <v>4651</v>
      </c>
      <c r="C9251" s="501" t="s">
        <v>1094</v>
      </c>
      <c r="D9251" s="501" t="s">
        <v>3380</v>
      </c>
      <c r="E9251" s="501" t="s">
        <v>3381</v>
      </c>
      <c r="F9251" s="501" t="s">
        <v>1000</v>
      </c>
      <c r="G9251" s="501" t="s">
        <v>1001</v>
      </c>
      <c r="H9251" s="501" t="s">
        <v>10850</v>
      </c>
      <c r="I9251" s="501">
        <v>4713</v>
      </c>
      <c r="J9251" s="501">
        <v>3885</v>
      </c>
      <c r="K9251" s="501">
        <v>0</v>
      </c>
      <c r="L9251" s="501">
        <v>82</v>
      </c>
      <c r="M9251" s="501">
        <v>400</v>
      </c>
      <c r="N9251" s="501">
        <v>0</v>
      </c>
      <c r="O9251" s="506">
        <v>346</v>
      </c>
    </row>
    <row r="9252" spans="1:15" x14ac:dyDescent="0.35">
      <c r="A9252" s="503" t="s">
        <v>14208</v>
      </c>
      <c r="B9252" s="504">
        <v>4803</v>
      </c>
      <c r="C9252" s="504" t="s">
        <v>1094</v>
      </c>
      <c r="D9252" s="504" t="s">
        <v>3380</v>
      </c>
      <c r="E9252" s="504" t="s">
        <v>3381</v>
      </c>
      <c r="F9252" s="504" t="s">
        <v>1000</v>
      </c>
      <c r="G9252" s="504" t="s">
        <v>1001</v>
      </c>
      <c r="H9252" s="504" t="s">
        <v>15291</v>
      </c>
      <c r="I9252" s="504">
        <v>6</v>
      </c>
      <c r="J9252" s="504">
        <v>0</v>
      </c>
      <c r="K9252" s="504">
        <v>0</v>
      </c>
      <c r="L9252" s="504">
        <v>6</v>
      </c>
      <c r="M9252" s="504">
        <v>0</v>
      </c>
      <c r="N9252" s="504">
        <v>0</v>
      </c>
      <c r="O9252" s="505">
        <v>0</v>
      </c>
    </row>
    <row r="9253" spans="1:15" x14ac:dyDescent="0.35">
      <c r="A9253" s="500" t="s">
        <v>1187</v>
      </c>
      <c r="B9253" s="501" t="s">
        <v>2951</v>
      </c>
      <c r="C9253" s="501" t="s">
        <v>1094</v>
      </c>
      <c r="D9253" s="501" t="s">
        <v>3380</v>
      </c>
      <c r="E9253" s="501" t="s">
        <v>3381</v>
      </c>
      <c r="F9253" s="501" t="s">
        <v>1000</v>
      </c>
      <c r="G9253" s="501" t="s">
        <v>1001</v>
      </c>
      <c r="H9253" s="501" t="s">
        <v>10851</v>
      </c>
      <c r="I9253" s="501">
        <v>54</v>
      </c>
      <c r="J9253" s="501">
        <v>37</v>
      </c>
      <c r="K9253" s="501">
        <v>0</v>
      </c>
      <c r="L9253" s="501">
        <v>0</v>
      </c>
      <c r="M9253" s="501">
        <v>0</v>
      </c>
      <c r="N9253" s="501">
        <v>0</v>
      </c>
      <c r="O9253" s="506">
        <v>17</v>
      </c>
    </row>
    <row r="9254" spans="1:15" x14ac:dyDescent="0.35">
      <c r="A9254" s="503" t="s">
        <v>1105</v>
      </c>
      <c r="B9254" s="504">
        <v>4668</v>
      </c>
      <c r="C9254" s="504" t="s">
        <v>1094</v>
      </c>
      <c r="D9254" s="504" t="s">
        <v>3380</v>
      </c>
      <c r="E9254" s="504" t="s">
        <v>3381</v>
      </c>
      <c r="F9254" s="504" t="s">
        <v>1000</v>
      </c>
      <c r="G9254" s="504" t="s">
        <v>1001</v>
      </c>
      <c r="H9254" s="504" t="s">
        <v>11743</v>
      </c>
      <c r="I9254" s="504">
        <v>14</v>
      </c>
      <c r="J9254" s="504">
        <v>0</v>
      </c>
      <c r="K9254" s="504">
        <v>0</v>
      </c>
      <c r="L9254" s="504">
        <v>0</v>
      </c>
      <c r="M9254" s="504">
        <v>0</v>
      </c>
      <c r="N9254" s="504">
        <v>0</v>
      </c>
      <c r="O9254" s="505">
        <v>14</v>
      </c>
    </row>
    <row r="9255" spans="1:15" x14ac:dyDescent="0.35">
      <c r="A9255" s="500" t="s">
        <v>1109</v>
      </c>
      <c r="B9255" s="501" t="s">
        <v>2959</v>
      </c>
      <c r="C9255" s="501" t="s">
        <v>1094</v>
      </c>
      <c r="D9255" s="501" t="s">
        <v>3380</v>
      </c>
      <c r="E9255" s="501" t="s">
        <v>3381</v>
      </c>
      <c r="F9255" s="501" t="s">
        <v>1000</v>
      </c>
      <c r="G9255" s="501" t="s">
        <v>1001</v>
      </c>
      <c r="H9255" s="501" t="s">
        <v>10852</v>
      </c>
      <c r="I9255" s="501">
        <v>123</v>
      </c>
      <c r="J9255" s="501">
        <v>0</v>
      </c>
      <c r="K9255" s="501">
        <v>0</v>
      </c>
      <c r="L9255" s="501">
        <v>0</v>
      </c>
      <c r="M9255" s="501">
        <v>123</v>
      </c>
      <c r="N9255" s="501">
        <v>0</v>
      </c>
      <c r="O9255" s="506">
        <v>0</v>
      </c>
    </row>
    <row r="9256" spans="1:15" x14ac:dyDescent="0.35">
      <c r="A9256" s="503" t="s">
        <v>1190</v>
      </c>
      <c r="B9256" s="504">
        <v>4662</v>
      </c>
      <c r="C9256" s="504" t="s">
        <v>1094</v>
      </c>
      <c r="D9256" s="504" t="s">
        <v>3380</v>
      </c>
      <c r="E9256" s="504" t="s">
        <v>3381</v>
      </c>
      <c r="F9256" s="504" t="s">
        <v>1000</v>
      </c>
      <c r="G9256" s="504" t="s">
        <v>1001</v>
      </c>
      <c r="H9256" s="504" t="s">
        <v>15292</v>
      </c>
      <c r="I9256" s="504">
        <v>4</v>
      </c>
      <c r="J9256" s="504">
        <v>0</v>
      </c>
      <c r="K9256" s="504">
        <v>0</v>
      </c>
      <c r="L9256" s="504">
        <v>4</v>
      </c>
      <c r="M9256" s="504">
        <v>0</v>
      </c>
      <c r="N9256" s="504">
        <v>0</v>
      </c>
      <c r="O9256" s="505">
        <v>0</v>
      </c>
    </row>
    <row r="9257" spans="1:15" x14ac:dyDescent="0.35">
      <c r="A9257" s="500" t="s">
        <v>14243</v>
      </c>
      <c r="B9257" s="501">
        <v>5149</v>
      </c>
      <c r="C9257" s="501" t="s">
        <v>1089</v>
      </c>
      <c r="D9257" s="501" t="s">
        <v>3392</v>
      </c>
      <c r="E9257" s="501" t="s">
        <v>3381</v>
      </c>
      <c r="F9257" s="501" t="s">
        <v>1000</v>
      </c>
      <c r="G9257" s="501" t="s">
        <v>1001</v>
      </c>
      <c r="H9257" s="501" t="s">
        <v>15293</v>
      </c>
      <c r="I9257" s="501">
        <v>24</v>
      </c>
      <c r="J9257" s="501">
        <v>24</v>
      </c>
      <c r="K9257" s="501">
        <v>0</v>
      </c>
      <c r="L9257" s="501">
        <v>0</v>
      </c>
      <c r="M9257" s="501">
        <v>0</v>
      </c>
      <c r="N9257" s="501">
        <v>0</v>
      </c>
      <c r="O9257" s="506">
        <v>0</v>
      </c>
    </row>
    <row r="9258" spans="1:15" x14ac:dyDescent="0.35">
      <c r="A9258" s="503" t="s">
        <v>1310</v>
      </c>
      <c r="B9258" s="504">
        <v>5062</v>
      </c>
      <c r="C9258" s="504" t="s">
        <v>1089</v>
      </c>
      <c r="D9258" s="504" t="s">
        <v>3380</v>
      </c>
      <c r="E9258" s="504" t="s">
        <v>3381</v>
      </c>
      <c r="F9258" s="504" t="s">
        <v>1000</v>
      </c>
      <c r="G9258" s="504" t="s">
        <v>1001</v>
      </c>
      <c r="H9258" s="504" t="s">
        <v>11817</v>
      </c>
      <c r="I9258" s="504">
        <v>11</v>
      </c>
      <c r="J9258" s="504">
        <v>4</v>
      </c>
      <c r="K9258" s="504">
        <v>0</v>
      </c>
      <c r="L9258" s="504">
        <v>0</v>
      </c>
      <c r="M9258" s="504">
        <v>0</v>
      </c>
      <c r="N9258" s="504">
        <v>0</v>
      </c>
      <c r="O9258" s="505">
        <v>7</v>
      </c>
    </row>
    <row r="9259" spans="1:15" x14ac:dyDescent="0.35">
      <c r="A9259" s="500" t="s">
        <v>1202</v>
      </c>
      <c r="B9259" s="501" t="s">
        <v>3217</v>
      </c>
      <c r="C9259" s="501" t="s">
        <v>1094</v>
      </c>
      <c r="D9259" s="501" t="s">
        <v>3380</v>
      </c>
      <c r="E9259" s="501" t="s">
        <v>3381</v>
      </c>
      <c r="F9259" s="501" t="s">
        <v>1000</v>
      </c>
      <c r="G9259" s="501" t="s">
        <v>1001</v>
      </c>
      <c r="H9259" s="501" t="s">
        <v>11850</v>
      </c>
      <c r="I9259" s="501">
        <v>1</v>
      </c>
      <c r="J9259" s="501">
        <v>0</v>
      </c>
      <c r="K9259" s="501">
        <v>0</v>
      </c>
      <c r="L9259" s="501">
        <v>0</v>
      </c>
      <c r="M9259" s="501">
        <v>0</v>
      </c>
      <c r="N9259" s="501">
        <v>0</v>
      </c>
      <c r="O9259" s="506">
        <v>1</v>
      </c>
    </row>
    <row r="9260" spans="1:15" x14ac:dyDescent="0.35">
      <c r="A9260" s="503" t="s">
        <v>1112</v>
      </c>
      <c r="B9260" s="504" t="s">
        <v>3008</v>
      </c>
      <c r="C9260" s="504" t="s">
        <v>1094</v>
      </c>
      <c r="D9260" s="504" t="s">
        <v>3380</v>
      </c>
      <c r="E9260" s="504" t="s">
        <v>3381</v>
      </c>
      <c r="F9260" s="504" t="s">
        <v>1000</v>
      </c>
      <c r="G9260" s="504" t="s">
        <v>1001</v>
      </c>
      <c r="H9260" s="504" t="s">
        <v>10853</v>
      </c>
      <c r="I9260" s="504">
        <v>192</v>
      </c>
      <c r="J9260" s="504">
        <v>150</v>
      </c>
      <c r="K9260" s="504">
        <v>0</v>
      </c>
      <c r="L9260" s="504">
        <v>17</v>
      </c>
      <c r="M9260" s="504">
        <v>0</v>
      </c>
      <c r="N9260" s="504">
        <v>0</v>
      </c>
      <c r="O9260" s="505">
        <v>25</v>
      </c>
    </row>
    <row r="9261" spans="1:15" x14ac:dyDescent="0.35">
      <c r="A9261" s="500" t="s">
        <v>1218</v>
      </c>
      <c r="B9261" s="501" t="s">
        <v>3147</v>
      </c>
      <c r="C9261" s="501" t="s">
        <v>1094</v>
      </c>
      <c r="D9261" s="501" t="s">
        <v>3380</v>
      </c>
      <c r="E9261" s="501" t="s">
        <v>3381</v>
      </c>
      <c r="F9261" s="501" t="s">
        <v>1000</v>
      </c>
      <c r="G9261" s="501" t="s">
        <v>1001</v>
      </c>
      <c r="H9261" s="501" t="s">
        <v>10854</v>
      </c>
      <c r="I9261" s="501">
        <v>85</v>
      </c>
      <c r="J9261" s="501">
        <v>0</v>
      </c>
      <c r="K9261" s="501">
        <v>0</v>
      </c>
      <c r="L9261" s="501">
        <v>0</v>
      </c>
      <c r="M9261" s="501">
        <v>0</v>
      </c>
      <c r="N9261" s="501">
        <v>0</v>
      </c>
      <c r="O9261" s="506">
        <v>85</v>
      </c>
    </row>
    <row r="9262" spans="1:15" x14ac:dyDescent="0.35">
      <c r="A9262" s="503" t="s">
        <v>11367</v>
      </c>
      <c r="B9262" s="504" t="s">
        <v>3143</v>
      </c>
      <c r="C9262" s="504" t="s">
        <v>1094</v>
      </c>
      <c r="D9262" s="504" t="s">
        <v>3380</v>
      </c>
      <c r="E9262" s="504" t="s">
        <v>3381</v>
      </c>
      <c r="F9262" s="504" t="s">
        <v>1000</v>
      </c>
      <c r="G9262" s="504" t="s">
        <v>1001</v>
      </c>
      <c r="H9262" s="504" t="s">
        <v>11964</v>
      </c>
      <c r="I9262" s="504">
        <v>435</v>
      </c>
      <c r="J9262" s="504">
        <v>314</v>
      </c>
      <c r="K9262" s="504">
        <v>0</v>
      </c>
      <c r="L9262" s="504">
        <v>41</v>
      </c>
      <c r="M9262" s="504">
        <v>80</v>
      </c>
      <c r="N9262" s="504">
        <v>0</v>
      </c>
      <c r="O9262" s="505">
        <v>0</v>
      </c>
    </row>
    <row r="9263" spans="1:15" x14ac:dyDescent="0.35">
      <c r="A9263" s="500" t="s">
        <v>1326</v>
      </c>
      <c r="B9263" s="501" t="s">
        <v>2954</v>
      </c>
      <c r="C9263" s="501" t="s">
        <v>1094</v>
      </c>
      <c r="D9263" s="501" t="s">
        <v>3380</v>
      </c>
      <c r="E9263" s="501" t="s">
        <v>3381</v>
      </c>
      <c r="F9263" s="501" t="s">
        <v>1000</v>
      </c>
      <c r="G9263" s="501" t="s">
        <v>1001</v>
      </c>
      <c r="H9263" s="501" t="s">
        <v>10855</v>
      </c>
      <c r="I9263" s="501">
        <v>153</v>
      </c>
      <c r="J9263" s="501">
        <v>134</v>
      </c>
      <c r="K9263" s="501">
        <v>0</v>
      </c>
      <c r="L9263" s="501">
        <v>15</v>
      </c>
      <c r="M9263" s="501">
        <v>0</v>
      </c>
      <c r="N9263" s="501">
        <v>0</v>
      </c>
      <c r="O9263" s="506">
        <v>4</v>
      </c>
    </row>
    <row r="9264" spans="1:15" x14ac:dyDescent="0.35">
      <c r="A9264" s="503" t="s">
        <v>1329</v>
      </c>
      <c r="B9264" s="504">
        <v>5056</v>
      </c>
      <c r="C9264" s="504" t="s">
        <v>1089</v>
      </c>
      <c r="D9264" s="504" t="s">
        <v>3392</v>
      </c>
      <c r="E9264" s="504" t="s">
        <v>3381</v>
      </c>
      <c r="F9264" s="504" t="s">
        <v>1000</v>
      </c>
      <c r="G9264" s="504" t="s">
        <v>1001</v>
      </c>
      <c r="H9264" s="504" t="s">
        <v>15294</v>
      </c>
      <c r="I9264" s="504">
        <v>21</v>
      </c>
      <c r="J9264" s="504">
        <v>21</v>
      </c>
      <c r="K9264" s="504">
        <v>0</v>
      </c>
      <c r="L9264" s="504">
        <v>0</v>
      </c>
      <c r="M9264" s="504">
        <v>0</v>
      </c>
      <c r="N9264" s="504">
        <v>0</v>
      </c>
      <c r="O9264" s="505">
        <v>0</v>
      </c>
    </row>
    <row r="9265" spans="1:15" x14ac:dyDescent="0.35">
      <c r="A9265" s="500" t="s">
        <v>1124</v>
      </c>
      <c r="B9265" s="501">
        <v>4745</v>
      </c>
      <c r="C9265" s="501" t="s">
        <v>1094</v>
      </c>
      <c r="D9265" s="501" t="s">
        <v>3380</v>
      </c>
      <c r="E9265" s="501" t="s">
        <v>3381</v>
      </c>
      <c r="F9265" s="501" t="s">
        <v>1000</v>
      </c>
      <c r="G9265" s="501" t="s">
        <v>1001</v>
      </c>
      <c r="H9265" s="501" t="s">
        <v>10856</v>
      </c>
      <c r="I9265" s="501">
        <v>13</v>
      </c>
      <c r="J9265" s="501">
        <v>0</v>
      </c>
      <c r="K9265" s="501">
        <v>0</v>
      </c>
      <c r="L9265" s="501">
        <v>13</v>
      </c>
      <c r="M9265" s="501">
        <v>0</v>
      </c>
      <c r="N9265" s="501">
        <v>0</v>
      </c>
      <c r="O9265" s="506">
        <v>0</v>
      </c>
    </row>
    <row r="9266" spans="1:15" x14ac:dyDescent="0.35">
      <c r="A9266" s="503" t="s">
        <v>1339</v>
      </c>
      <c r="B9266" s="504" t="s">
        <v>3358</v>
      </c>
      <c r="C9266" s="504" t="s">
        <v>1094</v>
      </c>
      <c r="D9266" s="504" t="s">
        <v>3380</v>
      </c>
      <c r="E9266" s="504" t="s">
        <v>3381</v>
      </c>
      <c r="F9266" s="504" t="s">
        <v>1000</v>
      </c>
      <c r="G9266" s="504" t="s">
        <v>1001</v>
      </c>
      <c r="H9266" s="504" t="s">
        <v>10857</v>
      </c>
      <c r="I9266" s="504">
        <v>5</v>
      </c>
      <c r="J9266" s="504">
        <v>0</v>
      </c>
      <c r="K9266" s="504">
        <v>0</v>
      </c>
      <c r="L9266" s="504">
        <v>4</v>
      </c>
      <c r="M9266" s="504">
        <v>0</v>
      </c>
      <c r="N9266" s="504">
        <v>0</v>
      </c>
      <c r="O9266" s="505">
        <v>1</v>
      </c>
    </row>
    <row r="9267" spans="1:15" x14ac:dyDescent="0.35">
      <c r="A9267" s="500" t="s">
        <v>1233</v>
      </c>
      <c r="B9267" s="501">
        <v>4636</v>
      </c>
      <c r="C9267" s="501" t="s">
        <v>1094</v>
      </c>
      <c r="D9267" s="501" t="s">
        <v>3380</v>
      </c>
      <c r="E9267" s="501" t="s">
        <v>3381</v>
      </c>
      <c r="F9267" s="501" t="s">
        <v>1000</v>
      </c>
      <c r="G9267" s="501" t="s">
        <v>1001</v>
      </c>
      <c r="H9267" s="501" t="s">
        <v>10858</v>
      </c>
      <c r="I9267" s="501">
        <v>60</v>
      </c>
      <c r="J9267" s="501">
        <v>16</v>
      </c>
      <c r="K9267" s="501">
        <v>0</v>
      </c>
      <c r="L9267" s="501">
        <v>0</v>
      </c>
      <c r="M9267" s="501">
        <v>0</v>
      </c>
      <c r="N9267" s="501">
        <v>0</v>
      </c>
      <c r="O9267" s="506">
        <v>44</v>
      </c>
    </row>
    <row r="9268" spans="1:15" x14ac:dyDescent="0.35">
      <c r="A9268" s="503" t="s">
        <v>11368</v>
      </c>
      <c r="B9268" s="504">
        <v>5083</v>
      </c>
      <c r="C9268" s="504" t="s">
        <v>1094</v>
      </c>
      <c r="D9268" s="504" t="s">
        <v>3380</v>
      </c>
      <c r="E9268" s="504" t="s">
        <v>3381</v>
      </c>
      <c r="F9268" s="504" t="s">
        <v>1000</v>
      </c>
      <c r="G9268" s="504" t="s">
        <v>1001</v>
      </c>
      <c r="H9268" s="504" t="s">
        <v>12092</v>
      </c>
      <c r="I9268" s="504">
        <v>84</v>
      </c>
      <c r="J9268" s="504">
        <v>84</v>
      </c>
      <c r="K9268" s="504">
        <v>0</v>
      </c>
      <c r="L9268" s="504">
        <v>0</v>
      </c>
      <c r="M9268" s="504">
        <v>0</v>
      </c>
      <c r="N9268" s="504">
        <v>0</v>
      </c>
      <c r="O9268" s="505">
        <v>0</v>
      </c>
    </row>
    <row r="9269" spans="1:15" x14ac:dyDescent="0.35">
      <c r="A9269" s="500" t="s">
        <v>1235</v>
      </c>
      <c r="B9269" s="501">
        <v>4684</v>
      </c>
      <c r="C9269" s="501" t="s">
        <v>1094</v>
      </c>
      <c r="D9269" s="501" t="s">
        <v>3380</v>
      </c>
      <c r="E9269" s="501" t="s">
        <v>3381</v>
      </c>
      <c r="F9269" s="501" t="s">
        <v>1000</v>
      </c>
      <c r="G9269" s="501" t="s">
        <v>1001</v>
      </c>
      <c r="H9269" s="501" t="s">
        <v>10859</v>
      </c>
      <c r="I9269" s="501">
        <v>67</v>
      </c>
      <c r="J9269" s="501">
        <v>0</v>
      </c>
      <c r="K9269" s="501">
        <v>0</v>
      </c>
      <c r="L9269" s="501">
        <v>67</v>
      </c>
      <c r="M9269" s="501">
        <v>0</v>
      </c>
      <c r="N9269" s="501">
        <v>0</v>
      </c>
      <c r="O9269" s="506">
        <v>0</v>
      </c>
    </row>
    <row r="9270" spans="1:15" x14ac:dyDescent="0.35">
      <c r="A9270" s="503" t="s">
        <v>1126</v>
      </c>
      <c r="B9270" s="504" t="s">
        <v>2974</v>
      </c>
      <c r="C9270" s="504" t="s">
        <v>1094</v>
      </c>
      <c r="D9270" s="504" t="s">
        <v>3380</v>
      </c>
      <c r="E9270" s="504" t="s">
        <v>3381</v>
      </c>
      <c r="F9270" s="504" t="s">
        <v>1000</v>
      </c>
      <c r="G9270" s="504" t="s">
        <v>1001</v>
      </c>
      <c r="H9270" s="504" t="s">
        <v>10860</v>
      </c>
      <c r="I9270" s="504">
        <v>277</v>
      </c>
      <c r="J9270" s="504">
        <v>186</v>
      </c>
      <c r="K9270" s="504">
        <v>0</v>
      </c>
      <c r="L9270" s="504">
        <v>17</v>
      </c>
      <c r="M9270" s="504">
        <v>34</v>
      </c>
      <c r="N9270" s="504">
        <v>0</v>
      </c>
      <c r="O9270" s="505">
        <v>40</v>
      </c>
    </row>
    <row r="9271" spans="1:15" x14ac:dyDescent="0.35">
      <c r="A9271" s="500" t="s">
        <v>1130</v>
      </c>
      <c r="B9271" s="501" t="s">
        <v>3234</v>
      </c>
      <c r="C9271" s="501" t="s">
        <v>1094</v>
      </c>
      <c r="D9271" s="501" t="s">
        <v>3380</v>
      </c>
      <c r="E9271" s="501" t="s">
        <v>3381</v>
      </c>
      <c r="F9271" s="501" t="s">
        <v>1000</v>
      </c>
      <c r="G9271" s="501" t="s">
        <v>1001</v>
      </c>
      <c r="H9271" s="501" t="s">
        <v>12127</v>
      </c>
      <c r="I9271" s="501">
        <v>1</v>
      </c>
      <c r="J9271" s="501">
        <v>0</v>
      </c>
      <c r="K9271" s="501">
        <v>0</v>
      </c>
      <c r="L9271" s="501">
        <v>0</v>
      </c>
      <c r="M9271" s="501">
        <v>0</v>
      </c>
      <c r="N9271" s="501">
        <v>0</v>
      </c>
      <c r="O9271" s="506">
        <v>1</v>
      </c>
    </row>
    <row r="9272" spans="1:15" x14ac:dyDescent="0.35">
      <c r="A9272" s="503" t="s">
        <v>1240</v>
      </c>
      <c r="B9272" s="504" t="s">
        <v>2972</v>
      </c>
      <c r="C9272" s="504" t="s">
        <v>1094</v>
      </c>
      <c r="D9272" s="504" t="s">
        <v>3380</v>
      </c>
      <c r="E9272" s="504" t="s">
        <v>3381</v>
      </c>
      <c r="F9272" s="504" t="s">
        <v>1000</v>
      </c>
      <c r="G9272" s="504" t="s">
        <v>1001</v>
      </c>
      <c r="H9272" s="504" t="s">
        <v>10861</v>
      </c>
      <c r="I9272" s="504">
        <v>88</v>
      </c>
      <c r="J9272" s="504">
        <v>81</v>
      </c>
      <c r="K9272" s="504">
        <v>0</v>
      </c>
      <c r="L9272" s="504">
        <v>0</v>
      </c>
      <c r="M9272" s="504">
        <v>0</v>
      </c>
      <c r="N9272" s="504">
        <v>0</v>
      </c>
      <c r="O9272" s="505">
        <v>7</v>
      </c>
    </row>
    <row r="9273" spans="1:15" x14ac:dyDescent="0.35">
      <c r="A9273" s="500" t="s">
        <v>1134</v>
      </c>
      <c r="B9273" s="501" t="s">
        <v>3066</v>
      </c>
      <c r="C9273" s="501" t="s">
        <v>1094</v>
      </c>
      <c r="D9273" s="501" t="s">
        <v>3380</v>
      </c>
      <c r="E9273" s="501" t="s">
        <v>3381</v>
      </c>
      <c r="F9273" s="501" t="s">
        <v>1000</v>
      </c>
      <c r="G9273" s="501" t="s">
        <v>1001</v>
      </c>
      <c r="H9273" s="501" t="s">
        <v>12181</v>
      </c>
      <c r="I9273" s="501">
        <v>145</v>
      </c>
      <c r="J9273" s="501">
        <v>145</v>
      </c>
      <c r="K9273" s="501">
        <v>0</v>
      </c>
      <c r="L9273" s="501">
        <v>0</v>
      </c>
      <c r="M9273" s="501">
        <v>0</v>
      </c>
      <c r="N9273" s="501">
        <v>0</v>
      </c>
      <c r="O9273" s="506">
        <v>0</v>
      </c>
    </row>
    <row r="9274" spans="1:15" x14ac:dyDescent="0.35">
      <c r="A9274" s="503" t="s">
        <v>1356</v>
      </c>
      <c r="B9274" s="504" t="s">
        <v>3026</v>
      </c>
      <c r="C9274" s="504" t="s">
        <v>1094</v>
      </c>
      <c r="D9274" s="504" t="s">
        <v>3380</v>
      </c>
      <c r="E9274" s="504" t="s">
        <v>3381</v>
      </c>
      <c r="F9274" s="504" t="s">
        <v>1000</v>
      </c>
      <c r="G9274" s="504" t="s">
        <v>1001</v>
      </c>
      <c r="H9274" s="504" t="s">
        <v>10862</v>
      </c>
      <c r="I9274" s="504">
        <v>21</v>
      </c>
      <c r="J9274" s="504">
        <v>19</v>
      </c>
      <c r="K9274" s="504">
        <v>0</v>
      </c>
      <c r="L9274" s="504">
        <v>0</v>
      </c>
      <c r="M9274" s="504">
        <v>0</v>
      </c>
      <c r="N9274" s="504">
        <v>0</v>
      </c>
      <c r="O9274" s="505">
        <v>2</v>
      </c>
    </row>
    <row r="9275" spans="1:15" x14ac:dyDescent="0.35">
      <c r="A9275" s="500" t="s">
        <v>1360</v>
      </c>
      <c r="B9275" s="501" t="s">
        <v>3350</v>
      </c>
      <c r="C9275" s="501" t="s">
        <v>1094</v>
      </c>
      <c r="D9275" s="501" t="s">
        <v>3380</v>
      </c>
      <c r="E9275" s="501" t="s">
        <v>3381</v>
      </c>
      <c r="F9275" s="501" t="s">
        <v>1000</v>
      </c>
      <c r="G9275" s="501" t="s">
        <v>1001</v>
      </c>
      <c r="H9275" s="501" t="s">
        <v>10863</v>
      </c>
      <c r="I9275" s="501">
        <v>6281</v>
      </c>
      <c r="J9275" s="501">
        <v>5760</v>
      </c>
      <c r="K9275" s="501">
        <v>0</v>
      </c>
      <c r="L9275" s="501">
        <v>99</v>
      </c>
      <c r="M9275" s="501">
        <v>265</v>
      </c>
      <c r="N9275" s="501">
        <v>0</v>
      </c>
      <c r="O9275" s="506">
        <v>157</v>
      </c>
    </row>
    <row r="9276" spans="1:15" x14ac:dyDescent="0.35">
      <c r="A9276" s="503" t="s">
        <v>1364</v>
      </c>
      <c r="B9276" s="504" t="s">
        <v>3277</v>
      </c>
      <c r="C9276" s="504" t="s">
        <v>1089</v>
      </c>
      <c r="D9276" s="504" t="s">
        <v>3392</v>
      </c>
      <c r="E9276" s="504" t="s">
        <v>3381</v>
      </c>
      <c r="F9276" s="504" t="s">
        <v>1000</v>
      </c>
      <c r="G9276" s="504" t="s">
        <v>1001</v>
      </c>
      <c r="H9276" s="504" t="s">
        <v>10864</v>
      </c>
      <c r="I9276" s="504">
        <v>7</v>
      </c>
      <c r="J9276" s="504">
        <v>1</v>
      </c>
      <c r="K9276" s="504">
        <v>0</v>
      </c>
      <c r="L9276" s="504">
        <v>6</v>
      </c>
      <c r="M9276" s="504">
        <v>0</v>
      </c>
      <c r="N9276" s="504">
        <v>0</v>
      </c>
      <c r="O9276" s="505">
        <v>0</v>
      </c>
    </row>
    <row r="9277" spans="1:15" x14ac:dyDescent="0.35">
      <c r="A9277" s="500" t="s">
        <v>1253</v>
      </c>
      <c r="B9277" s="501" t="s">
        <v>3232</v>
      </c>
      <c r="C9277" s="501" t="s">
        <v>1094</v>
      </c>
      <c r="D9277" s="501" t="s">
        <v>3380</v>
      </c>
      <c r="E9277" s="501" t="s">
        <v>3381</v>
      </c>
      <c r="F9277" s="501" t="s">
        <v>1000</v>
      </c>
      <c r="G9277" s="501" t="s">
        <v>1001</v>
      </c>
      <c r="H9277" s="501" t="s">
        <v>10865</v>
      </c>
      <c r="I9277" s="501">
        <v>73</v>
      </c>
      <c r="J9277" s="501">
        <v>16</v>
      </c>
      <c r="K9277" s="501">
        <v>0</v>
      </c>
      <c r="L9277" s="501">
        <v>57</v>
      </c>
      <c r="M9277" s="501">
        <v>0</v>
      </c>
      <c r="N9277" s="501">
        <v>0</v>
      </c>
      <c r="O9277" s="506">
        <v>0</v>
      </c>
    </row>
    <row r="9278" spans="1:15" x14ac:dyDescent="0.35">
      <c r="A9278" s="503" t="s">
        <v>1156</v>
      </c>
      <c r="B9278" s="504" t="s">
        <v>3310</v>
      </c>
      <c r="C9278" s="504" t="s">
        <v>1094</v>
      </c>
      <c r="D9278" s="504" t="s">
        <v>3380</v>
      </c>
      <c r="E9278" s="504" t="s">
        <v>3381</v>
      </c>
      <c r="F9278" s="504" t="s">
        <v>1000</v>
      </c>
      <c r="G9278" s="504" t="s">
        <v>1001</v>
      </c>
      <c r="H9278" s="504" t="s">
        <v>10843</v>
      </c>
      <c r="I9278" s="504">
        <v>70</v>
      </c>
      <c r="J9278" s="504">
        <v>5</v>
      </c>
      <c r="K9278" s="504">
        <v>0</v>
      </c>
      <c r="L9278" s="504">
        <v>0</v>
      </c>
      <c r="M9278" s="504">
        <v>13</v>
      </c>
      <c r="N9278" s="504">
        <v>0</v>
      </c>
      <c r="O9278" s="505">
        <v>52</v>
      </c>
    </row>
    <row r="9279" spans="1:15" x14ac:dyDescent="0.35">
      <c r="A9279" s="500" t="s">
        <v>1385</v>
      </c>
      <c r="B9279" s="501" t="s">
        <v>3249</v>
      </c>
      <c r="C9279" s="501" t="s">
        <v>1094</v>
      </c>
      <c r="D9279" s="501" t="s">
        <v>3380</v>
      </c>
      <c r="E9279" s="501" t="s">
        <v>3381</v>
      </c>
      <c r="F9279" s="501" t="s">
        <v>1002</v>
      </c>
      <c r="G9279" s="501" t="s">
        <v>1003</v>
      </c>
      <c r="H9279" s="501" t="s">
        <v>10866</v>
      </c>
      <c r="I9279" s="501">
        <v>806</v>
      </c>
      <c r="J9279" s="501">
        <v>659</v>
      </c>
      <c r="K9279" s="501">
        <v>0</v>
      </c>
      <c r="L9279" s="501">
        <v>49</v>
      </c>
      <c r="M9279" s="501">
        <v>0</v>
      </c>
      <c r="N9279" s="501">
        <v>0</v>
      </c>
      <c r="O9279" s="506">
        <v>98</v>
      </c>
    </row>
    <row r="9280" spans="1:15" x14ac:dyDescent="0.35">
      <c r="A9280" s="503" t="s">
        <v>1096</v>
      </c>
      <c r="B9280" s="504" t="s">
        <v>3326</v>
      </c>
      <c r="C9280" s="504" t="s">
        <v>1094</v>
      </c>
      <c r="D9280" s="504" t="s">
        <v>3380</v>
      </c>
      <c r="E9280" s="504" t="s">
        <v>3381</v>
      </c>
      <c r="F9280" s="504" t="s">
        <v>1002</v>
      </c>
      <c r="G9280" s="504" t="s">
        <v>1003</v>
      </c>
      <c r="H9280" s="504" t="s">
        <v>10867</v>
      </c>
      <c r="I9280" s="504">
        <v>49</v>
      </c>
      <c r="J9280" s="504">
        <v>0</v>
      </c>
      <c r="K9280" s="504">
        <v>0</v>
      </c>
      <c r="L9280" s="504">
        <v>0</v>
      </c>
      <c r="M9280" s="504">
        <v>49</v>
      </c>
      <c r="N9280" s="504">
        <v>0</v>
      </c>
      <c r="O9280" s="505">
        <v>0</v>
      </c>
    </row>
    <row r="9281" spans="1:15" x14ac:dyDescent="0.35">
      <c r="A9281" s="500" t="s">
        <v>1270</v>
      </c>
      <c r="B9281" s="501" t="s">
        <v>3304</v>
      </c>
      <c r="C9281" s="501" t="s">
        <v>1089</v>
      </c>
      <c r="D9281" s="501" t="s">
        <v>3392</v>
      </c>
      <c r="E9281" s="501" t="s">
        <v>3381</v>
      </c>
      <c r="F9281" s="501" t="s">
        <v>1002</v>
      </c>
      <c r="G9281" s="501" t="s">
        <v>1003</v>
      </c>
      <c r="H9281" s="501" t="s">
        <v>10868</v>
      </c>
      <c r="I9281" s="501">
        <v>49</v>
      </c>
      <c r="J9281" s="501">
        <v>49</v>
      </c>
      <c r="K9281" s="501">
        <v>0</v>
      </c>
      <c r="L9281" s="501">
        <v>0</v>
      </c>
      <c r="M9281" s="501">
        <v>0</v>
      </c>
      <c r="N9281" s="501">
        <v>0</v>
      </c>
      <c r="O9281" s="506">
        <v>0</v>
      </c>
    </row>
    <row r="9282" spans="1:15" x14ac:dyDescent="0.35">
      <c r="A9282" s="503" t="s">
        <v>1161</v>
      </c>
      <c r="B9282" s="504" t="s">
        <v>3001</v>
      </c>
      <c r="C9282" s="504" t="s">
        <v>1094</v>
      </c>
      <c r="D9282" s="504" t="s">
        <v>3380</v>
      </c>
      <c r="E9282" s="504" t="s">
        <v>3381</v>
      </c>
      <c r="F9282" s="504" t="s">
        <v>1002</v>
      </c>
      <c r="G9282" s="504" t="s">
        <v>1003</v>
      </c>
      <c r="H9282" s="504" t="s">
        <v>10869</v>
      </c>
      <c r="I9282" s="504">
        <v>526</v>
      </c>
      <c r="J9282" s="504">
        <v>171</v>
      </c>
      <c r="K9282" s="504">
        <v>355</v>
      </c>
      <c r="L9282" s="504">
        <v>0</v>
      </c>
      <c r="M9282" s="504">
        <v>0</v>
      </c>
      <c r="N9282" s="504">
        <v>0</v>
      </c>
      <c r="O9282" s="505">
        <v>0</v>
      </c>
    </row>
    <row r="9283" spans="1:15" x14ac:dyDescent="0.35">
      <c r="A9283" s="500" t="s">
        <v>1410</v>
      </c>
      <c r="B9283" s="501" t="s">
        <v>2868</v>
      </c>
      <c r="C9283" s="501" t="s">
        <v>1094</v>
      </c>
      <c r="D9283" s="501" t="s">
        <v>3380</v>
      </c>
      <c r="E9283" s="501" t="s">
        <v>3381</v>
      </c>
      <c r="F9283" s="501" t="s">
        <v>1002</v>
      </c>
      <c r="G9283" s="501" t="s">
        <v>1003</v>
      </c>
      <c r="H9283" s="501" t="s">
        <v>10870</v>
      </c>
      <c r="I9283" s="501">
        <v>272</v>
      </c>
      <c r="J9283" s="501">
        <v>0</v>
      </c>
      <c r="K9283" s="501">
        <v>0</v>
      </c>
      <c r="L9283" s="501">
        <v>0</v>
      </c>
      <c r="M9283" s="501">
        <v>272</v>
      </c>
      <c r="N9283" s="501">
        <v>0</v>
      </c>
      <c r="O9283" s="506">
        <v>0</v>
      </c>
    </row>
    <row r="9284" spans="1:15" x14ac:dyDescent="0.35">
      <c r="A9284" s="503" t="s">
        <v>1411</v>
      </c>
      <c r="B9284" s="504" t="s">
        <v>2873</v>
      </c>
      <c r="C9284" s="504" t="s">
        <v>1089</v>
      </c>
      <c r="D9284" s="504" t="s">
        <v>3392</v>
      </c>
      <c r="E9284" s="504" t="s">
        <v>3381</v>
      </c>
      <c r="F9284" s="504" t="s">
        <v>1002</v>
      </c>
      <c r="G9284" s="504" t="s">
        <v>1003</v>
      </c>
      <c r="H9284" s="504" t="s">
        <v>10871</v>
      </c>
      <c r="I9284" s="504">
        <v>26</v>
      </c>
      <c r="J9284" s="504">
        <v>0</v>
      </c>
      <c r="K9284" s="504">
        <v>0</v>
      </c>
      <c r="L9284" s="504">
        <v>26</v>
      </c>
      <c r="M9284" s="504">
        <v>0</v>
      </c>
      <c r="N9284" s="504">
        <v>0</v>
      </c>
      <c r="O9284" s="505">
        <v>0</v>
      </c>
    </row>
    <row r="9285" spans="1:15" x14ac:dyDescent="0.35">
      <c r="A9285" s="500" t="s">
        <v>1414</v>
      </c>
      <c r="B9285" s="501" t="s">
        <v>2759</v>
      </c>
      <c r="C9285" s="501" t="s">
        <v>1089</v>
      </c>
      <c r="D9285" s="501" t="s">
        <v>3392</v>
      </c>
      <c r="E9285" s="501" t="s">
        <v>3381</v>
      </c>
      <c r="F9285" s="501" t="s">
        <v>1002</v>
      </c>
      <c r="G9285" s="501" t="s">
        <v>1003</v>
      </c>
      <c r="H9285" s="501" t="s">
        <v>10872</v>
      </c>
      <c r="I9285" s="501">
        <v>12</v>
      </c>
      <c r="J9285" s="501">
        <v>12</v>
      </c>
      <c r="K9285" s="501">
        <v>0</v>
      </c>
      <c r="L9285" s="501">
        <v>0</v>
      </c>
      <c r="M9285" s="501">
        <v>0</v>
      </c>
      <c r="N9285" s="501">
        <v>0</v>
      </c>
      <c r="O9285" s="506">
        <v>0</v>
      </c>
    </row>
    <row r="9286" spans="1:15" x14ac:dyDescent="0.35">
      <c r="A9286" s="503" t="s">
        <v>1100</v>
      </c>
      <c r="B9286" s="504">
        <v>4865</v>
      </c>
      <c r="C9286" s="504" t="s">
        <v>1094</v>
      </c>
      <c r="D9286" s="504" t="s">
        <v>3380</v>
      </c>
      <c r="E9286" s="504" t="s">
        <v>3381</v>
      </c>
      <c r="F9286" s="504" t="s">
        <v>1002</v>
      </c>
      <c r="G9286" s="504" t="s">
        <v>1003</v>
      </c>
      <c r="H9286" s="504" t="s">
        <v>10873</v>
      </c>
      <c r="I9286" s="504">
        <v>39</v>
      </c>
      <c r="J9286" s="504">
        <v>36</v>
      </c>
      <c r="K9286" s="504">
        <v>0</v>
      </c>
      <c r="L9286" s="504">
        <v>0</v>
      </c>
      <c r="M9286" s="504">
        <v>0</v>
      </c>
      <c r="N9286" s="504">
        <v>0</v>
      </c>
      <c r="O9286" s="505">
        <v>3</v>
      </c>
    </row>
    <row r="9287" spans="1:15" x14ac:dyDescent="0.35">
      <c r="A9287" s="500" t="s">
        <v>1172</v>
      </c>
      <c r="B9287" s="501">
        <v>4648</v>
      </c>
      <c r="C9287" s="501" t="s">
        <v>1089</v>
      </c>
      <c r="D9287" s="501" t="s">
        <v>3392</v>
      </c>
      <c r="E9287" s="501" t="s">
        <v>3381</v>
      </c>
      <c r="F9287" s="501" t="s">
        <v>1002</v>
      </c>
      <c r="G9287" s="501" t="s">
        <v>1003</v>
      </c>
      <c r="H9287" s="501" t="s">
        <v>10874</v>
      </c>
      <c r="I9287" s="501">
        <v>5</v>
      </c>
      <c r="J9287" s="501">
        <v>0</v>
      </c>
      <c r="K9287" s="501">
        <v>0</v>
      </c>
      <c r="L9287" s="501">
        <v>5</v>
      </c>
      <c r="M9287" s="501">
        <v>0</v>
      </c>
      <c r="N9287" s="501">
        <v>0</v>
      </c>
      <c r="O9287" s="506">
        <v>0</v>
      </c>
    </row>
    <row r="9288" spans="1:15" x14ac:dyDescent="0.35">
      <c r="A9288" s="503" t="s">
        <v>1427</v>
      </c>
      <c r="B9288" s="504">
        <v>4813</v>
      </c>
      <c r="C9288" s="504" t="s">
        <v>1089</v>
      </c>
      <c r="D9288" s="504" t="s">
        <v>3392</v>
      </c>
      <c r="E9288" s="504" t="s">
        <v>3381</v>
      </c>
      <c r="F9288" s="504" t="s">
        <v>1002</v>
      </c>
      <c r="G9288" s="504" t="s">
        <v>1003</v>
      </c>
      <c r="H9288" s="504" t="s">
        <v>10875</v>
      </c>
      <c r="I9288" s="504">
        <v>47</v>
      </c>
      <c r="J9288" s="504">
        <v>47</v>
      </c>
      <c r="K9288" s="504">
        <v>0</v>
      </c>
      <c r="L9288" s="504">
        <v>0</v>
      </c>
      <c r="M9288" s="504">
        <v>0</v>
      </c>
      <c r="N9288" s="504">
        <v>0</v>
      </c>
      <c r="O9288" s="505">
        <v>0</v>
      </c>
    </row>
    <row r="9289" spans="1:15" x14ac:dyDescent="0.35">
      <c r="A9289" s="500" t="s">
        <v>1453</v>
      </c>
      <c r="B9289" s="501" t="s">
        <v>2648</v>
      </c>
      <c r="C9289" s="501" t="s">
        <v>1089</v>
      </c>
      <c r="D9289" s="501" t="s">
        <v>3392</v>
      </c>
      <c r="E9289" s="501" t="s">
        <v>3381</v>
      </c>
      <c r="F9289" s="501" t="s">
        <v>1002</v>
      </c>
      <c r="G9289" s="501" t="s">
        <v>1003</v>
      </c>
      <c r="H9289" s="501" t="s">
        <v>10876</v>
      </c>
      <c r="I9289" s="501">
        <v>12</v>
      </c>
      <c r="J9289" s="501">
        <v>12</v>
      </c>
      <c r="K9289" s="501">
        <v>0</v>
      </c>
      <c r="L9289" s="501">
        <v>0</v>
      </c>
      <c r="M9289" s="501">
        <v>0</v>
      </c>
      <c r="N9289" s="501">
        <v>0</v>
      </c>
      <c r="O9289" s="506">
        <v>0</v>
      </c>
    </row>
    <row r="9290" spans="1:15" x14ac:dyDescent="0.35">
      <c r="A9290" s="503" t="s">
        <v>1469</v>
      </c>
      <c r="B9290" s="504" t="s">
        <v>3023</v>
      </c>
      <c r="C9290" s="504" t="s">
        <v>1089</v>
      </c>
      <c r="D9290" s="504" t="s">
        <v>3392</v>
      </c>
      <c r="E9290" s="504" t="s">
        <v>3381</v>
      </c>
      <c r="F9290" s="504" t="s">
        <v>1002</v>
      </c>
      <c r="G9290" s="504" t="s">
        <v>1003</v>
      </c>
      <c r="H9290" s="504" t="s">
        <v>10877</v>
      </c>
      <c r="I9290" s="504">
        <v>24</v>
      </c>
      <c r="J9290" s="504">
        <v>24</v>
      </c>
      <c r="K9290" s="504">
        <v>0</v>
      </c>
      <c r="L9290" s="504">
        <v>0</v>
      </c>
      <c r="M9290" s="504">
        <v>0</v>
      </c>
      <c r="N9290" s="504">
        <v>7</v>
      </c>
      <c r="O9290" s="505">
        <v>0</v>
      </c>
    </row>
    <row r="9291" spans="1:15" x14ac:dyDescent="0.35">
      <c r="A9291" s="500" t="s">
        <v>1308</v>
      </c>
      <c r="B9291" s="501" t="s">
        <v>3263</v>
      </c>
      <c r="C9291" s="501" t="s">
        <v>1089</v>
      </c>
      <c r="D9291" s="501" t="s">
        <v>3392</v>
      </c>
      <c r="E9291" s="501" t="s">
        <v>3381</v>
      </c>
      <c r="F9291" s="501" t="s">
        <v>1002</v>
      </c>
      <c r="G9291" s="501" t="s">
        <v>1003</v>
      </c>
      <c r="H9291" s="501" t="s">
        <v>10878</v>
      </c>
      <c r="I9291" s="501">
        <v>28</v>
      </c>
      <c r="J9291" s="501">
        <v>0</v>
      </c>
      <c r="K9291" s="501">
        <v>0</v>
      </c>
      <c r="L9291" s="501">
        <v>0</v>
      </c>
      <c r="M9291" s="501">
        <v>28</v>
      </c>
      <c r="N9291" s="501">
        <v>0</v>
      </c>
      <c r="O9291" s="506">
        <v>0</v>
      </c>
    </row>
    <row r="9292" spans="1:15" x14ac:dyDescent="0.35">
      <c r="A9292" s="503" t="s">
        <v>1483</v>
      </c>
      <c r="B9292" s="504">
        <v>4769</v>
      </c>
      <c r="C9292" s="504" t="s">
        <v>1089</v>
      </c>
      <c r="D9292" s="504" t="s">
        <v>3392</v>
      </c>
      <c r="E9292" s="504" t="s">
        <v>3381</v>
      </c>
      <c r="F9292" s="504" t="s">
        <v>1002</v>
      </c>
      <c r="G9292" s="504" t="s">
        <v>1003</v>
      </c>
      <c r="H9292" s="504" t="s">
        <v>10879</v>
      </c>
      <c r="I9292" s="504">
        <v>16</v>
      </c>
      <c r="J9292" s="504">
        <v>16</v>
      </c>
      <c r="K9292" s="504">
        <v>0</v>
      </c>
      <c r="L9292" s="504">
        <v>0</v>
      </c>
      <c r="M9292" s="504">
        <v>0</v>
      </c>
      <c r="N9292" s="504">
        <v>0</v>
      </c>
      <c r="O9292" s="505">
        <v>0</v>
      </c>
    </row>
    <row r="9293" spans="1:15" x14ac:dyDescent="0.35">
      <c r="A9293" s="500" t="s">
        <v>1202</v>
      </c>
      <c r="B9293" s="501" t="s">
        <v>3217</v>
      </c>
      <c r="C9293" s="501" t="s">
        <v>1094</v>
      </c>
      <c r="D9293" s="501" t="s">
        <v>3380</v>
      </c>
      <c r="E9293" s="501" t="s">
        <v>3381</v>
      </c>
      <c r="F9293" s="501" t="s">
        <v>1002</v>
      </c>
      <c r="G9293" s="501" t="s">
        <v>1003</v>
      </c>
      <c r="H9293" s="501" t="s">
        <v>10880</v>
      </c>
      <c r="I9293" s="501">
        <v>743</v>
      </c>
      <c r="J9293" s="501">
        <v>720</v>
      </c>
      <c r="K9293" s="501">
        <v>0</v>
      </c>
      <c r="L9293" s="501">
        <v>6</v>
      </c>
      <c r="M9293" s="501">
        <v>0</v>
      </c>
      <c r="N9293" s="501">
        <v>0</v>
      </c>
      <c r="O9293" s="506">
        <v>17</v>
      </c>
    </row>
    <row r="9294" spans="1:15" x14ac:dyDescent="0.35">
      <c r="A9294" s="503" t="s">
        <v>1494</v>
      </c>
      <c r="B9294" s="504" t="s">
        <v>3235</v>
      </c>
      <c r="C9294" s="504" t="s">
        <v>1094</v>
      </c>
      <c r="D9294" s="504" t="s">
        <v>3380</v>
      </c>
      <c r="E9294" s="504" t="s">
        <v>3381</v>
      </c>
      <c r="F9294" s="504" t="s">
        <v>1002</v>
      </c>
      <c r="G9294" s="504" t="s">
        <v>1003</v>
      </c>
      <c r="H9294" s="504" t="s">
        <v>10881</v>
      </c>
      <c r="I9294" s="504">
        <v>51</v>
      </c>
      <c r="J9294" s="504">
        <v>0</v>
      </c>
      <c r="K9294" s="504">
        <v>0</v>
      </c>
      <c r="L9294" s="504">
        <v>51</v>
      </c>
      <c r="M9294" s="504">
        <v>0</v>
      </c>
      <c r="N9294" s="504">
        <v>5</v>
      </c>
      <c r="O9294" s="505">
        <v>0</v>
      </c>
    </row>
    <row r="9295" spans="1:15" x14ac:dyDescent="0.35">
      <c r="A9295" s="500" t="s">
        <v>1112</v>
      </c>
      <c r="B9295" s="501" t="s">
        <v>3008</v>
      </c>
      <c r="C9295" s="501" t="s">
        <v>1094</v>
      </c>
      <c r="D9295" s="501" t="s">
        <v>3380</v>
      </c>
      <c r="E9295" s="501" t="s">
        <v>3381</v>
      </c>
      <c r="F9295" s="501" t="s">
        <v>1002</v>
      </c>
      <c r="G9295" s="501" t="s">
        <v>1003</v>
      </c>
      <c r="H9295" s="501" t="s">
        <v>10882</v>
      </c>
      <c r="I9295" s="501">
        <v>13</v>
      </c>
      <c r="J9295" s="501">
        <v>6</v>
      </c>
      <c r="K9295" s="501">
        <v>0</v>
      </c>
      <c r="L9295" s="501">
        <v>5</v>
      </c>
      <c r="M9295" s="501">
        <v>0</v>
      </c>
      <c r="N9295" s="501">
        <v>0</v>
      </c>
      <c r="O9295" s="506">
        <v>2</v>
      </c>
    </row>
    <row r="9296" spans="1:15" x14ac:dyDescent="0.35">
      <c r="A9296" s="503" t="s">
        <v>1500</v>
      </c>
      <c r="B9296" s="504" t="s">
        <v>2704</v>
      </c>
      <c r="C9296" s="504" t="s">
        <v>1089</v>
      </c>
      <c r="D9296" s="504" t="s">
        <v>3392</v>
      </c>
      <c r="E9296" s="504" t="s">
        <v>3381</v>
      </c>
      <c r="F9296" s="504" t="s">
        <v>1002</v>
      </c>
      <c r="G9296" s="504" t="s">
        <v>1003</v>
      </c>
      <c r="H9296" s="504" t="s">
        <v>10883</v>
      </c>
      <c r="I9296" s="504">
        <v>5</v>
      </c>
      <c r="J9296" s="504">
        <v>5</v>
      </c>
      <c r="K9296" s="504">
        <v>0</v>
      </c>
      <c r="L9296" s="504">
        <v>0</v>
      </c>
      <c r="M9296" s="504">
        <v>0</v>
      </c>
      <c r="N9296" s="504">
        <v>0</v>
      </c>
      <c r="O9296" s="505">
        <v>0</v>
      </c>
    </row>
    <row r="9297" spans="1:15" x14ac:dyDescent="0.35">
      <c r="A9297" s="500" t="s">
        <v>1315</v>
      </c>
      <c r="B9297" s="501">
        <v>4825</v>
      </c>
      <c r="C9297" s="501" t="s">
        <v>1094</v>
      </c>
      <c r="D9297" s="501" t="s">
        <v>3380</v>
      </c>
      <c r="E9297" s="501" t="s">
        <v>3381</v>
      </c>
      <c r="F9297" s="501" t="s">
        <v>1002</v>
      </c>
      <c r="G9297" s="501" t="s">
        <v>1003</v>
      </c>
      <c r="H9297" s="501" t="s">
        <v>10884</v>
      </c>
      <c r="I9297" s="501">
        <v>1336</v>
      </c>
      <c r="J9297" s="501">
        <v>1105</v>
      </c>
      <c r="K9297" s="501">
        <v>3</v>
      </c>
      <c r="L9297" s="501">
        <v>75</v>
      </c>
      <c r="M9297" s="501">
        <v>60</v>
      </c>
      <c r="N9297" s="501">
        <v>7</v>
      </c>
      <c r="O9297" s="506">
        <v>93</v>
      </c>
    </row>
    <row r="9298" spans="1:15" x14ac:dyDescent="0.35">
      <c r="A9298" s="503" t="s">
        <v>1319</v>
      </c>
      <c r="B9298" s="504">
        <v>4880</v>
      </c>
      <c r="C9298" s="504" t="s">
        <v>1094</v>
      </c>
      <c r="D9298" s="504" t="s">
        <v>3380</v>
      </c>
      <c r="E9298" s="504" t="s">
        <v>3381</v>
      </c>
      <c r="F9298" s="504" t="s">
        <v>1002</v>
      </c>
      <c r="G9298" s="504" t="s">
        <v>1003</v>
      </c>
      <c r="H9298" s="504" t="s">
        <v>10885</v>
      </c>
      <c r="I9298" s="504">
        <v>3046</v>
      </c>
      <c r="J9298" s="504">
        <v>2224</v>
      </c>
      <c r="K9298" s="504">
        <v>462</v>
      </c>
      <c r="L9298" s="504">
        <v>193</v>
      </c>
      <c r="M9298" s="504">
        <v>142</v>
      </c>
      <c r="N9298" s="504">
        <v>29</v>
      </c>
      <c r="O9298" s="505">
        <v>25</v>
      </c>
    </row>
    <row r="9299" spans="1:15" x14ac:dyDescent="0.35">
      <c r="A9299" s="500" t="s">
        <v>1120</v>
      </c>
      <c r="B9299" s="501" t="s">
        <v>3362</v>
      </c>
      <c r="C9299" s="501" t="s">
        <v>1094</v>
      </c>
      <c r="D9299" s="501" t="s">
        <v>3380</v>
      </c>
      <c r="E9299" s="501" t="s">
        <v>3381</v>
      </c>
      <c r="F9299" s="501" t="s">
        <v>1002</v>
      </c>
      <c r="G9299" s="501" t="s">
        <v>1003</v>
      </c>
      <c r="H9299" s="501" t="s">
        <v>10886</v>
      </c>
      <c r="I9299" s="501">
        <v>120</v>
      </c>
      <c r="J9299" s="501">
        <v>0</v>
      </c>
      <c r="K9299" s="501">
        <v>0</v>
      </c>
      <c r="L9299" s="501">
        <v>0</v>
      </c>
      <c r="M9299" s="501">
        <v>0</v>
      </c>
      <c r="N9299" s="501">
        <v>0</v>
      </c>
      <c r="O9299" s="506">
        <v>120</v>
      </c>
    </row>
    <row r="9300" spans="1:15" x14ac:dyDescent="0.35">
      <c r="A9300" s="503" t="s">
        <v>1510</v>
      </c>
      <c r="B9300" s="504" t="s">
        <v>3004</v>
      </c>
      <c r="C9300" s="504" t="s">
        <v>1094</v>
      </c>
      <c r="D9300" s="504" t="s">
        <v>3380</v>
      </c>
      <c r="E9300" s="504" t="s">
        <v>3381</v>
      </c>
      <c r="F9300" s="504" t="s">
        <v>1002</v>
      </c>
      <c r="G9300" s="504" t="s">
        <v>1003</v>
      </c>
      <c r="H9300" s="504" t="s">
        <v>10887</v>
      </c>
      <c r="I9300" s="504">
        <v>1962</v>
      </c>
      <c r="J9300" s="504">
        <v>1754</v>
      </c>
      <c r="K9300" s="504">
        <v>0</v>
      </c>
      <c r="L9300" s="504">
        <v>65</v>
      </c>
      <c r="M9300" s="504">
        <v>36</v>
      </c>
      <c r="N9300" s="504">
        <v>0</v>
      </c>
      <c r="O9300" s="505">
        <v>107</v>
      </c>
    </row>
    <row r="9301" spans="1:15" x14ac:dyDescent="0.35">
      <c r="A9301" s="500" t="s">
        <v>1322</v>
      </c>
      <c r="B9301" s="501" t="s">
        <v>3244</v>
      </c>
      <c r="C9301" s="501" t="s">
        <v>1094</v>
      </c>
      <c r="D9301" s="501" t="s">
        <v>3380</v>
      </c>
      <c r="E9301" s="501" t="s">
        <v>3381</v>
      </c>
      <c r="F9301" s="501" t="s">
        <v>1002</v>
      </c>
      <c r="G9301" s="501" t="s">
        <v>1003</v>
      </c>
      <c r="H9301" s="501" t="s">
        <v>10888</v>
      </c>
      <c r="I9301" s="501">
        <v>484</v>
      </c>
      <c r="J9301" s="501">
        <v>349</v>
      </c>
      <c r="K9301" s="501">
        <v>0</v>
      </c>
      <c r="L9301" s="501">
        <v>114</v>
      </c>
      <c r="M9301" s="501">
        <v>0</v>
      </c>
      <c r="N9301" s="501">
        <v>0</v>
      </c>
      <c r="O9301" s="506">
        <v>21</v>
      </c>
    </row>
    <row r="9302" spans="1:15" x14ac:dyDescent="0.35">
      <c r="A9302" s="503" t="s">
        <v>1217</v>
      </c>
      <c r="B9302" s="504">
        <v>4851</v>
      </c>
      <c r="C9302" s="504" t="s">
        <v>1094</v>
      </c>
      <c r="D9302" s="504" t="s">
        <v>3380</v>
      </c>
      <c r="E9302" s="504" t="s">
        <v>3381</v>
      </c>
      <c r="F9302" s="504" t="s">
        <v>1002</v>
      </c>
      <c r="G9302" s="504" t="s">
        <v>1003</v>
      </c>
      <c r="H9302" s="504" t="s">
        <v>10889</v>
      </c>
      <c r="I9302" s="504">
        <v>61</v>
      </c>
      <c r="J9302" s="504">
        <v>29</v>
      </c>
      <c r="K9302" s="504">
        <v>0</v>
      </c>
      <c r="L9302" s="504">
        <v>0</v>
      </c>
      <c r="M9302" s="504">
        <v>32</v>
      </c>
      <c r="N9302" s="504">
        <v>1</v>
      </c>
      <c r="O9302" s="505">
        <v>0</v>
      </c>
    </row>
    <row r="9303" spans="1:15" x14ac:dyDescent="0.35">
      <c r="A9303" s="500" t="s">
        <v>1325</v>
      </c>
      <c r="B9303" s="501" t="s">
        <v>3011</v>
      </c>
      <c r="C9303" s="501" t="s">
        <v>1094</v>
      </c>
      <c r="D9303" s="501" t="s">
        <v>3380</v>
      </c>
      <c r="E9303" s="501" t="s">
        <v>3381</v>
      </c>
      <c r="F9303" s="501" t="s">
        <v>1002</v>
      </c>
      <c r="G9303" s="501" t="s">
        <v>1003</v>
      </c>
      <c r="H9303" s="501" t="s">
        <v>10890</v>
      </c>
      <c r="I9303" s="501">
        <v>1</v>
      </c>
      <c r="J9303" s="501">
        <v>0</v>
      </c>
      <c r="K9303" s="501">
        <v>0</v>
      </c>
      <c r="L9303" s="501">
        <v>0</v>
      </c>
      <c r="M9303" s="501">
        <v>0</v>
      </c>
      <c r="N9303" s="501">
        <v>0</v>
      </c>
      <c r="O9303" s="506">
        <v>1</v>
      </c>
    </row>
    <row r="9304" spans="1:15" x14ac:dyDescent="0.35">
      <c r="A9304" s="503" t="s">
        <v>11389</v>
      </c>
      <c r="B9304" s="504">
        <v>4842</v>
      </c>
      <c r="C9304" s="504" t="s">
        <v>1089</v>
      </c>
      <c r="D9304" s="504" t="s">
        <v>3392</v>
      </c>
      <c r="E9304" s="504" t="s">
        <v>3381</v>
      </c>
      <c r="F9304" s="504" t="s">
        <v>1002</v>
      </c>
      <c r="G9304" s="504" t="s">
        <v>1003</v>
      </c>
      <c r="H9304" s="504" t="s">
        <v>11975</v>
      </c>
      <c r="I9304" s="504">
        <v>60</v>
      </c>
      <c r="J9304" s="504">
        <v>60</v>
      </c>
      <c r="K9304" s="504">
        <v>0</v>
      </c>
      <c r="L9304" s="504">
        <v>0</v>
      </c>
      <c r="M9304" s="504">
        <v>0</v>
      </c>
      <c r="N9304" s="504">
        <v>0</v>
      </c>
      <c r="O9304" s="505">
        <v>0</v>
      </c>
    </row>
    <row r="9305" spans="1:15" x14ac:dyDescent="0.35">
      <c r="A9305" s="500" t="s">
        <v>1332</v>
      </c>
      <c r="B9305" s="501">
        <v>4878</v>
      </c>
      <c r="C9305" s="501" t="s">
        <v>1094</v>
      </c>
      <c r="D9305" s="501" t="s">
        <v>3380</v>
      </c>
      <c r="E9305" s="501" t="s">
        <v>3381</v>
      </c>
      <c r="F9305" s="501" t="s">
        <v>1002</v>
      </c>
      <c r="G9305" s="501" t="s">
        <v>1003</v>
      </c>
      <c r="H9305" s="501" t="s">
        <v>10891</v>
      </c>
      <c r="I9305" s="501">
        <v>3225</v>
      </c>
      <c r="J9305" s="501">
        <v>2858</v>
      </c>
      <c r="K9305" s="501">
        <v>1</v>
      </c>
      <c r="L9305" s="501">
        <v>217</v>
      </c>
      <c r="M9305" s="501">
        <v>78</v>
      </c>
      <c r="N9305" s="501">
        <v>0</v>
      </c>
      <c r="O9305" s="506">
        <v>71</v>
      </c>
    </row>
    <row r="9306" spans="1:15" x14ac:dyDescent="0.35">
      <c r="A9306" s="503" t="s">
        <v>1122</v>
      </c>
      <c r="B9306" s="504" t="s">
        <v>2994</v>
      </c>
      <c r="C9306" s="504" t="s">
        <v>1094</v>
      </c>
      <c r="D9306" s="504" t="s">
        <v>3380</v>
      </c>
      <c r="E9306" s="504" t="s">
        <v>3381</v>
      </c>
      <c r="F9306" s="504" t="s">
        <v>1002</v>
      </c>
      <c r="G9306" s="504" t="s">
        <v>1003</v>
      </c>
      <c r="H9306" s="504" t="s">
        <v>10892</v>
      </c>
      <c r="I9306" s="504">
        <v>12</v>
      </c>
      <c r="J9306" s="504">
        <v>12</v>
      </c>
      <c r="K9306" s="504">
        <v>0</v>
      </c>
      <c r="L9306" s="504">
        <v>0</v>
      </c>
      <c r="M9306" s="504">
        <v>0</v>
      </c>
      <c r="N9306" s="504">
        <v>0</v>
      </c>
      <c r="O9306" s="505">
        <v>0</v>
      </c>
    </row>
    <row r="9307" spans="1:15" x14ac:dyDescent="0.35">
      <c r="A9307" s="500" t="s">
        <v>1529</v>
      </c>
      <c r="B9307" s="501" t="s">
        <v>2870</v>
      </c>
      <c r="C9307" s="501" t="s">
        <v>1089</v>
      </c>
      <c r="D9307" s="501" t="s">
        <v>3392</v>
      </c>
      <c r="E9307" s="501" t="s">
        <v>3381</v>
      </c>
      <c r="F9307" s="501" t="s">
        <v>1002</v>
      </c>
      <c r="G9307" s="501" t="s">
        <v>1003</v>
      </c>
      <c r="H9307" s="501" t="s">
        <v>10893</v>
      </c>
      <c r="I9307" s="501">
        <v>112</v>
      </c>
      <c r="J9307" s="501">
        <v>0</v>
      </c>
      <c r="K9307" s="501">
        <v>0</v>
      </c>
      <c r="L9307" s="501">
        <v>112</v>
      </c>
      <c r="M9307" s="501">
        <v>0</v>
      </c>
      <c r="N9307" s="501">
        <v>0</v>
      </c>
      <c r="O9307" s="506">
        <v>0</v>
      </c>
    </row>
    <row r="9308" spans="1:15" x14ac:dyDescent="0.35">
      <c r="A9308" s="503" t="s">
        <v>1234</v>
      </c>
      <c r="B9308" s="504" t="s">
        <v>3291</v>
      </c>
      <c r="C9308" s="504" t="s">
        <v>1094</v>
      </c>
      <c r="D9308" s="504" t="s">
        <v>3380</v>
      </c>
      <c r="E9308" s="504" t="s">
        <v>3381</v>
      </c>
      <c r="F9308" s="504" t="s">
        <v>1002</v>
      </c>
      <c r="G9308" s="504" t="s">
        <v>1003</v>
      </c>
      <c r="H9308" s="504" t="s">
        <v>10894</v>
      </c>
      <c r="I9308" s="504">
        <v>131</v>
      </c>
      <c r="J9308" s="504">
        <v>15</v>
      </c>
      <c r="K9308" s="504">
        <v>0</v>
      </c>
      <c r="L9308" s="504">
        <v>116</v>
      </c>
      <c r="M9308" s="504">
        <v>0</v>
      </c>
      <c r="N9308" s="504">
        <v>0</v>
      </c>
      <c r="O9308" s="505">
        <v>0</v>
      </c>
    </row>
    <row r="9309" spans="1:15" x14ac:dyDescent="0.35">
      <c r="A9309" s="500" t="s">
        <v>1126</v>
      </c>
      <c r="B9309" s="501" t="s">
        <v>2974</v>
      </c>
      <c r="C9309" s="501" t="s">
        <v>1094</v>
      </c>
      <c r="D9309" s="501" t="s">
        <v>3380</v>
      </c>
      <c r="E9309" s="501" t="s">
        <v>3381</v>
      </c>
      <c r="F9309" s="501" t="s">
        <v>1002</v>
      </c>
      <c r="G9309" s="501" t="s">
        <v>1003</v>
      </c>
      <c r="H9309" s="501" t="s">
        <v>10895</v>
      </c>
      <c r="I9309" s="501">
        <v>640</v>
      </c>
      <c r="J9309" s="501">
        <v>572</v>
      </c>
      <c r="K9309" s="501">
        <v>0</v>
      </c>
      <c r="L9309" s="501">
        <v>18</v>
      </c>
      <c r="M9309" s="501">
        <v>43</v>
      </c>
      <c r="N9309" s="501">
        <v>5</v>
      </c>
      <c r="O9309" s="506">
        <v>7</v>
      </c>
    </row>
    <row r="9310" spans="1:15" x14ac:dyDescent="0.35">
      <c r="A9310" s="503" t="s">
        <v>14309</v>
      </c>
      <c r="B9310" s="504" t="s">
        <v>14308</v>
      </c>
      <c r="C9310" s="504" t="s">
        <v>1089</v>
      </c>
      <c r="D9310" s="504" t="s">
        <v>3392</v>
      </c>
      <c r="E9310" s="504" t="s">
        <v>3381</v>
      </c>
      <c r="F9310" s="504" t="s">
        <v>1002</v>
      </c>
      <c r="G9310" s="504" t="s">
        <v>1003</v>
      </c>
      <c r="H9310" s="504" t="s">
        <v>15295</v>
      </c>
      <c r="I9310" s="504">
        <v>76</v>
      </c>
      <c r="J9310" s="504">
        <v>76</v>
      </c>
      <c r="K9310" s="504">
        <v>0</v>
      </c>
      <c r="L9310" s="504">
        <v>0</v>
      </c>
      <c r="M9310" s="504">
        <v>0</v>
      </c>
      <c r="N9310" s="504">
        <v>0</v>
      </c>
      <c r="O9310" s="505">
        <v>0</v>
      </c>
    </row>
    <row r="9311" spans="1:15" x14ac:dyDescent="0.35">
      <c r="A9311" s="500" t="s">
        <v>1542</v>
      </c>
      <c r="B9311" s="501">
        <v>4848</v>
      </c>
      <c r="C9311" s="501" t="s">
        <v>1089</v>
      </c>
      <c r="D9311" s="501" t="s">
        <v>3392</v>
      </c>
      <c r="E9311" s="501" t="s">
        <v>3381</v>
      </c>
      <c r="F9311" s="501" t="s">
        <v>1002</v>
      </c>
      <c r="G9311" s="501" t="s">
        <v>1003</v>
      </c>
      <c r="H9311" s="501" t="s">
        <v>10896</v>
      </c>
      <c r="I9311" s="501">
        <v>11</v>
      </c>
      <c r="J9311" s="501">
        <v>11</v>
      </c>
      <c r="K9311" s="501">
        <v>0</v>
      </c>
      <c r="L9311" s="501">
        <v>0</v>
      </c>
      <c r="M9311" s="501">
        <v>0</v>
      </c>
      <c r="N9311" s="501">
        <v>0</v>
      </c>
      <c r="O9311" s="506">
        <v>0</v>
      </c>
    </row>
    <row r="9312" spans="1:15" x14ac:dyDescent="0.35">
      <c r="A9312" s="503" t="s">
        <v>1544</v>
      </c>
      <c r="B9312" s="504" t="s">
        <v>3273</v>
      </c>
      <c r="C9312" s="504" t="s">
        <v>1089</v>
      </c>
      <c r="D9312" s="504" t="s">
        <v>3392</v>
      </c>
      <c r="E9312" s="504" t="s">
        <v>3381</v>
      </c>
      <c r="F9312" s="504" t="s">
        <v>1002</v>
      </c>
      <c r="G9312" s="504" t="s">
        <v>1003</v>
      </c>
      <c r="H9312" s="504" t="s">
        <v>10897</v>
      </c>
      <c r="I9312" s="504">
        <v>519</v>
      </c>
      <c r="J9312" s="504">
        <v>500</v>
      </c>
      <c r="K9312" s="504">
        <v>0</v>
      </c>
      <c r="L9312" s="504">
        <v>0</v>
      </c>
      <c r="M9312" s="504">
        <v>19</v>
      </c>
      <c r="N9312" s="504">
        <v>1</v>
      </c>
      <c r="O9312" s="505">
        <v>0</v>
      </c>
    </row>
    <row r="9313" spans="1:15" x14ac:dyDescent="0.35">
      <c r="A9313" s="500" t="s">
        <v>1130</v>
      </c>
      <c r="B9313" s="501" t="s">
        <v>3234</v>
      </c>
      <c r="C9313" s="501" t="s">
        <v>1094</v>
      </c>
      <c r="D9313" s="501" t="s">
        <v>3380</v>
      </c>
      <c r="E9313" s="501" t="s">
        <v>3381</v>
      </c>
      <c r="F9313" s="501" t="s">
        <v>1002</v>
      </c>
      <c r="G9313" s="501" t="s">
        <v>1003</v>
      </c>
      <c r="H9313" s="501" t="s">
        <v>10898</v>
      </c>
      <c r="I9313" s="501">
        <v>1</v>
      </c>
      <c r="J9313" s="501">
        <v>0</v>
      </c>
      <c r="K9313" s="501">
        <v>0</v>
      </c>
      <c r="L9313" s="501">
        <v>0</v>
      </c>
      <c r="M9313" s="501">
        <v>0</v>
      </c>
      <c r="N9313" s="501">
        <v>0</v>
      </c>
      <c r="O9313" s="506">
        <v>1</v>
      </c>
    </row>
    <row r="9314" spans="1:15" x14ac:dyDescent="0.35">
      <c r="A9314" s="503" t="s">
        <v>1345</v>
      </c>
      <c r="B9314" s="504" t="s">
        <v>3247</v>
      </c>
      <c r="C9314" s="504" t="s">
        <v>1094</v>
      </c>
      <c r="D9314" s="504" t="s">
        <v>3380</v>
      </c>
      <c r="E9314" s="504" t="s">
        <v>3381</v>
      </c>
      <c r="F9314" s="504" t="s">
        <v>1002</v>
      </c>
      <c r="G9314" s="504" t="s">
        <v>1003</v>
      </c>
      <c r="H9314" s="504" t="s">
        <v>10899</v>
      </c>
      <c r="I9314" s="504">
        <v>151</v>
      </c>
      <c r="J9314" s="504">
        <v>0</v>
      </c>
      <c r="K9314" s="504">
        <v>0</v>
      </c>
      <c r="L9314" s="504">
        <v>151</v>
      </c>
      <c r="M9314" s="504">
        <v>0</v>
      </c>
      <c r="N9314" s="504">
        <v>0</v>
      </c>
      <c r="O9314" s="505">
        <v>0</v>
      </c>
    </row>
    <row r="9315" spans="1:15" x14ac:dyDescent="0.35">
      <c r="A9315" s="500" t="s">
        <v>1253</v>
      </c>
      <c r="B9315" s="501" t="s">
        <v>3232</v>
      </c>
      <c r="C9315" s="501" t="s">
        <v>1094</v>
      </c>
      <c r="D9315" s="501" t="s">
        <v>3380</v>
      </c>
      <c r="E9315" s="501" t="s">
        <v>3381</v>
      </c>
      <c r="F9315" s="501" t="s">
        <v>1002</v>
      </c>
      <c r="G9315" s="501" t="s">
        <v>1003</v>
      </c>
      <c r="H9315" s="501" t="s">
        <v>10900</v>
      </c>
      <c r="I9315" s="501">
        <v>189</v>
      </c>
      <c r="J9315" s="501">
        <v>45</v>
      </c>
      <c r="K9315" s="501">
        <v>0</v>
      </c>
      <c r="L9315" s="501">
        <v>144</v>
      </c>
      <c r="M9315" s="501">
        <v>0</v>
      </c>
      <c r="N9315" s="501">
        <v>0</v>
      </c>
      <c r="O9315" s="506">
        <v>0</v>
      </c>
    </row>
    <row r="9316" spans="1:15" x14ac:dyDescent="0.35">
      <c r="A9316" s="503" t="s">
        <v>1585</v>
      </c>
      <c r="B9316" s="504" t="s">
        <v>3137</v>
      </c>
      <c r="C9316" s="504" t="s">
        <v>1089</v>
      </c>
      <c r="D9316" s="504" t="s">
        <v>3392</v>
      </c>
      <c r="E9316" s="504" t="s">
        <v>3381</v>
      </c>
      <c r="F9316" s="504" t="s">
        <v>1002</v>
      </c>
      <c r="G9316" s="504" t="s">
        <v>1003</v>
      </c>
      <c r="H9316" s="504" t="s">
        <v>10901</v>
      </c>
      <c r="I9316" s="504">
        <v>501</v>
      </c>
      <c r="J9316" s="504">
        <v>501</v>
      </c>
      <c r="K9316" s="504">
        <v>0</v>
      </c>
      <c r="L9316" s="504">
        <v>0</v>
      </c>
      <c r="M9316" s="504">
        <v>0</v>
      </c>
      <c r="N9316" s="504">
        <v>0</v>
      </c>
      <c r="O9316" s="505">
        <v>0</v>
      </c>
    </row>
    <row r="9317" spans="1:15" x14ac:dyDescent="0.35">
      <c r="A9317" s="500" t="s">
        <v>1595</v>
      </c>
      <c r="B9317" s="501" t="s">
        <v>2669</v>
      </c>
      <c r="C9317" s="501" t="s">
        <v>1089</v>
      </c>
      <c r="D9317" s="501" t="s">
        <v>3392</v>
      </c>
      <c r="E9317" s="501" t="s">
        <v>3381</v>
      </c>
      <c r="F9317" s="501" t="s">
        <v>1002</v>
      </c>
      <c r="G9317" s="501" t="s">
        <v>1003</v>
      </c>
      <c r="H9317" s="501" t="s">
        <v>10902</v>
      </c>
      <c r="I9317" s="501">
        <v>21</v>
      </c>
      <c r="J9317" s="501">
        <v>21</v>
      </c>
      <c r="K9317" s="501">
        <v>0</v>
      </c>
      <c r="L9317" s="501">
        <v>0</v>
      </c>
      <c r="M9317" s="501">
        <v>0</v>
      </c>
      <c r="N9317" s="501">
        <v>0</v>
      </c>
      <c r="O9317" s="506">
        <v>0</v>
      </c>
    </row>
    <row r="9318" spans="1:15" x14ac:dyDescent="0.35">
      <c r="A9318" s="503" t="s">
        <v>1598</v>
      </c>
      <c r="B9318" s="504">
        <v>4638</v>
      </c>
      <c r="C9318" s="504" t="s">
        <v>1089</v>
      </c>
      <c r="D9318" s="504" t="s">
        <v>3392</v>
      </c>
      <c r="E9318" s="504" t="s">
        <v>3381</v>
      </c>
      <c r="F9318" s="504" t="s">
        <v>1002</v>
      </c>
      <c r="G9318" s="504" t="s">
        <v>1003</v>
      </c>
      <c r="H9318" s="504" t="s">
        <v>10903</v>
      </c>
      <c r="I9318" s="504">
        <v>413</v>
      </c>
      <c r="J9318" s="504">
        <v>413</v>
      </c>
      <c r="K9318" s="504">
        <v>0</v>
      </c>
      <c r="L9318" s="504">
        <v>0</v>
      </c>
      <c r="M9318" s="504">
        <v>0</v>
      </c>
      <c r="N9318" s="504">
        <v>0</v>
      </c>
      <c r="O9318" s="505">
        <v>0</v>
      </c>
    </row>
    <row r="9319" spans="1:15" x14ac:dyDescent="0.35">
      <c r="A9319" s="500" t="s">
        <v>1599</v>
      </c>
      <c r="B9319" s="501" t="s">
        <v>3303</v>
      </c>
      <c r="C9319" s="501" t="s">
        <v>1089</v>
      </c>
      <c r="D9319" s="501" t="s">
        <v>3392</v>
      </c>
      <c r="E9319" s="501" t="s">
        <v>3381</v>
      </c>
      <c r="F9319" s="501" t="s">
        <v>1002</v>
      </c>
      <c r="G9319" s="501" t="s">
        <v>1003</v>
      </c>
      <c r="H9319" s="501" t="s">
        <v>10904</v>
      </c>
      <c r="I9319" s="501">
        <v>42</v>
      </c>
      <c r="J9319" s="501">
        <v>42</v>
      </c>
      <c r="K9319" s="501">
        <v>0</v>
      </c>
      <c r="L9319" s="501">
        <v>0</v>
      </c>
      <c r="M9319" s="501">
        <v>0</v>
      </c>
      <c r="N9319" s="501">
        <v>0</v>
      </c>
      <c r="O9319" s="506">
        <v>0</v>
      </c>
    </row>
    <row r="9320" spans="1:15" x14ac:dyDescent="0.35">
      <c r="A9320" s="503" t="s">
        <v>1605</v>
      </c>
      <c r="B9320" s="504" t="s">
        <v>3064</v>
      </c>
      <c r="C9320" s="504" t="s">
        <v>1089</v>
      </c>
      <c r="D9320" s="504" t="s">
        <v>3392</v>
      </c>
      <c r="E9320" s="504" t="s">
        <v>3381</v>
      </c>
      <c r="F9320" s="504" t="s">
        <v>1002</v>
      </c>
      <c r="G9320" s="504" t="s">
        <v>1003</v>
      </c>
      <c r="H9320" s="504" t="s">
        <v>10905</v>
      </c>
      <c r="I9320" s="504">
        <v>18</v>
      </c>
      <c r="J9320" s="504">
        <v>18</v>
      </c>
      <c r="K9320" s="504">
        <v>0</v>
      </c>
      <c r="L9320" s="504">
        <v>0</v>
      </c>
      <c r="M9320" s="504">
        <v>0</v>
      </c>
      <c r="N9320" s="504">
        <v>0</v>
      </c>
      <c r="O9320" s="505">
        <v>0</v>
      </c>
    </row>
    <row r="9321" spans="1:15" x14ac:dyDescent="0.35">
      <c r="A9321" s="500" t="s">
        <v>1096</v>
      </c>
      <c r="B9321" s="501" t="s">
        <v>3326</v>
      </c>
      <c r="C9321" s="501" t="s">
        <v>1094</v>
      </c>
      <c r="D9321" s="501" t="s">
        <v>3380</v>
      </c>
      <c r="E9321" s="501" t="s">
        <v>3381</v>
      </c>
      <c r="F9321" s="501" t="s">
        <v>1004</v>
      </c>
      <c r="G9321" s="501" t="s">
        <v>1005</v>
      </c>
      <c r="H9321" s="501" t="s">
        <v>10906</v>
      </c>
      <c r="I9321" s="501">
        <v>191</v>
      </c>
      <c r="J9321" s="501">
        <v>0</v>
      </c>
      <c r="K9321" s="501">
        <v>0</v>
      </c>
      <c r="L9321" s="501">
        <v>0</v>
      </c>
      <c r="M9321" s="501">
        <v>191</v>
      </c>
      <c r="N9321" s="501">
        <v>0</v>
      </c>
      <c r="O9321" s="506">
        <v>0</v>
      </c>
    </row>
    <row r="9322" spans="1:15" x14ac:dyDescent="0.35">
      <c r="A9322" s="503" t="s">
        <v>11363</v>
      </c>
      <c r="B9322" s="504">
        <v>4718</v>
      </c>
      <c r="C9322" s="504" t="s">
        <v>1094</v>
      </c>
      <c r="D9322" s="504" t="s">
        <v>3380</v>
      </c>
      <c r="E9322" s="504" t="s">
        <v>3381</v>
      </c>
      <c r="F9322" s="504" t="s">
        <v>1004</v>
      </c>
      <c r="G9322" s="504" t="s">
        <v>1005</v>
      </c>
      <c r="H9322" s="504" t="s">
        <v>11604</v>
      </c>
      <c r="I9322" s="504">
        <v>96</v>
      </c>
      <c r="J9322" s="504">
        <v>0</v>
      </c>
      <c r="K9322" s="504">
        <v>0</v>
      </c>
      <c r="L9322" s="504">
        <v>96</v>
      </c>
      <c r="M9322" s="504">
        <v>0</v>
      </c>
      <c r="N9322" s="504">
        <v>0</v>
      </c>
      <c r="O9322" s="505">
        <v>0</v>
      </c>
    </row>
    <row r="9323" spans="1:15" x14ac:dyDescent="0.35">
      <c r="A9323" s="500" t="s">
        <v>1678</v>
      </c>
      <c r="B9323" s="501">
        <v>4568</v>
      </c>
      <c r="C9323" s="501" t="s">
        <v>1094</v>
      </c>
      <c r="D9323" s="501" t="s">
        <v>3380</v>
      </c>
      <c r="E9323" s="501" t="s">
        <v>3381</v>
      </c>
      <c r="F9323" s="501" t="s">
        <v>1004</v>
      </c>
      <c r="G9323" s="501" t="s">
        <v>1005</v>
      </c>
      <c r="H9323" s="501" t="s">
        <v>10907</v>
      </c>
      <c r="I9323" s="501">
        <v>51</v>
      </c>
      <c r="J9323" s="501">
        <v>51</v>
      </c>
      <c r="K9323" s="501">
        <v>0</v>
      </c>
      <c r="L9323" s="501">
        <v>0</v>
      </c>
      <c r="M9323" s="501">
        <v>0</v>
      </c>
      <c r="N9323" s="501">
        <v>0</v>
      </c>
      <c r="O9323" s="506">
        <v>0</v>
      </c>
    </row>
    <row r="9324" spans="1:15" x14ac:dyDescent="0.35">
      <c r="A9324" s="503" t="s">
        <v>1160</v>
      </c>
      <c r="B9324" s="504">
        <v>4672</v>
      </c>
      <c r="C9324" s="504" t="s">
        <v>1089</v>
      </c>
      <c r="D9324" s="504" t="s">
        <v>3392</v>
      </c>
      <c r="E9324" s="504" t="s">
        <v>3381</v>
      </c>
      <c r="F9324" s="504" t="s">
        <v>1004</v>
      </c>
      <c r="G9324" s="504" t="s">
        <v>1005</v>
      </c>
      <c r="H9324" s="504" t="s">
        <v>10908</v>
      </c>
      <c r="I9324" s="504">
        <v>14</v>
      </c>
      <c r="J9324" s="504">
        <v>0</v>
      </c>
      <c r="K9324" s="504">
        <v>0</v>
      </c>
      <c r="L9324" s="504">
        <v>14</v>
      </c>
      <c r="M9324" s="504">
        <v>0</v>
      </c>
      <c r="N9324" s="504">
        <v>0</v>
      </c>
      <c r="O9324" s="505">
        <v>0</v>
      </c>
    </row>
    <row r="9325" spans="1:15" x14ac:dyDescent="0.35">
      <c r="A9325" s="500" t="s">
        <v>1102</v>
      </c>
      <c r="B9325" s="501">
        <v>4663</v>
      </c>
      <c r="C9325" s="501" t="s">
        <v>1089</v>
      </c>
      <c r="D9325" s="501" t="s">
        <v>3392</v>
      </c>
      <c r="E9325" s="501" t="s">
        <v>3381</v>
      </c>
      <c r="F9325" s="501" t="s">
        <v>1004</v>
      </c>
      <c r="G9325" s="501" t="s">
        <v>1005</v>
      </c>
      <c r="H9325" s="501" t="s">
        <v>10909</v>
      </c>
      <c r="I9325" s="501">
        <v>3</v>
      </c>
      <c r="J9325" s="501">
        <v>0</v>
      </c>
      <c r="K9325" s="501">
        <v>0</v>
      </c>
      <c r="L9325" s="501">
        <v>3</v>
      </c>
      <c r="M9325" s="501">
        <v>0</v>
      </c>
      <c r="N9325" s="501">
        <v>0</v>
      </c>
      <c r="O9325" s="506">
        <v>0</v>
      </c>
    </row>
    <row r="9326" spans="1:15" x14ac:dyDescent="0.35">
      <c r="A9326" s="503" t="s">
        <v>1183</v>
      </c>
      <c r="B9326" s="504" t="s">
        <v>3038</v>
      </c>
      <c r="C9326" s="504" t="s">
        <v>1094</v>
      </c>
      <c r="D9326" s="504" t="s">
        <v>3380</v>
      </c>
      <c r="E9326" s="504" t="s">
        <v>3381</v>
      </c>
      <c r="F9326" s="504" t="s">
        <v>1004</v>
      </c>
      <c r="G9326" s="504" t="s">
        <v>1005</v>
      </c>
      <c r="H9326" s="504" t="s">
        <v>10910</v>
      </c>
      <c r="I9326" s="504">
        <v>266</v>
      </c>
      <c r="J9326" s="504">
        <v>192</v>
      </c>
      <c r="K9326" s="504">
        <v>0</v>
      </c>
      <c r="L9326" s="504">
        <v>0</v>
      </c>
      <c r="M9326" s="504">
        <v>0</v>
      </c>
      <c r="N9326" s="504">
        <v>0</v>
      </c>
      <c r="O9326" s="505">
        <v>74</v>
      </c>
    </row>
    <row r="9327" spans="1:15" x14ac:dyDescent="0.35">
      <c r="A9327" s="500" t="s">
        <v>1186</v>
      </c>
      <c r="B9327" s="501">
        <v>4661</v>
      </c>
      <c r="C9327" s="501" t="s">
        <v>1089</v>
      </c>
      <c r="D9327" s="501" t="s">
        <v>3392</v>
      </c>
      <c r="E9327" s="501" t="s">
        <v>3381</v>
      </c>
      <c r="F9327" s="501" t="s">
        <v>1004</v>
      </c>
      <c r="G9327" s="501" t="s">
        <v>1005</v>
      </c>
      <c r="H9327" s="501" t="s">
        <v>10911</v>
      </c>
      <c r="I9327" s="501">
        <v>12</v>
      </c>
      <c r="J9327" s="501">
        <v>0</v>
      </c>
      <c r="K9327" s="501">
        <v>0</v>
      </c>
      <c r="L9327" s="501">
        <v>12</v>
      </c>
      <c r="M9327" s="501">
        <v>0</v>
      </c>
      <c r="N9327" s="501">
        <v>0</v>
      </c>
      <c r="O9327" s="506">
        <v>0</v>
      </c>
    </row>
    <row r="9328" spans="1:15" x14ac:dyDescent="0.35">
      <c r="A9328" s="503" t="s">
        <v>1105</v>
      </c>
      <c r="B9328" s="504">
        <v>4668</v>
      </c>
      <c r="C9328" s="504" t="s">
        <v>1094</v>
      </c>
      <c r="D9328" s="504" t="s">
        <v>3380</v>
      </c>
      <c r="E9328" s="504" t="s">
        <v>3381</v>
      </c>
      <c r="F9328" s="504" t="s">
        <v>1004</v>
      </c>
      <c r="G9328" s="504" t="s">
        <v>1005</v>
      </c>
      <c r="H9328" s="504" t="s">
        <v>10912</v>
      </c>
      <c r="I9328" s="504">
        <v>98</v>
      </c>
      <c r="J9328" s="504">
        <v>0</v>
      </c>
      <c r="K9328" s="504">
        <v>0</v>
      </c>
      <c r="L9328" s="504">
        <v>0</v>
      </c>
      <c r="M9328" s="504">
        <v>0</v>
      </c>
      <c r="N9328" s="504">
        <v>0</v>
      </c>
      <c r="O9328" s="505">
        <v>98</v>
      </c>
    </row>
    <row r="9329" spans="1:15" x14ac:dyDescent="0.35">
      <c r="A9329" s="500" t="s">
        <v>1188</v>
      </c>
      <c r="B9329" s="501">
        <v>4760</v>
      </c>
      <c r="C9329" s="501" t="s">
        <v>1089</v>
      </c>
      <c r="D9329" s="501" t="s">
        <v>3392</v>
      </c>
      <c r="E9329" s="501" t="s">
        <v>3381</v>
      </c>
      <c r="F9329" s="501" t="s">
        <v>1004</v>
      </c>
      <c r="G9329" s="501" t="s">
        <v>1005</v>
      </c>
      <c r="H9329" s="501" t="s">
        <v>10913</v>
      </c>
      <c r="I9329" s="501">
        <v>102</v>
      </c>
      <c r="J9329" s="501">
        <v>0</v>
      </c>
      <c r="K9329" s="501">
        <v>0</v>
      </c>
      <c r="L9329" s="501">
        <v>102</v>
      </c>
      <c r="M9329" s="501">
        <v>0</v>
      </c>
      <c r="N9329" s="501">
        <v>0</v>
      </c>
      <c r="O9329" s="506">
        <v>0</v>
      </c>
    </row>
    <row r="9330" spans="1:15" x14ac:dyDescent="0.35">
      <c r="A9330" s="503" t="s">
        <v>1109</v>
      </c>
      <c r="B9330" s="504" t="s">
        <v>2959</v>
      </c>
      <c r="C9330" s="504" t="s">
        <v>1094</v>
      </c>
      <c r="D9330" s="504" t="s">
        <v>3380</v>
      </c>
      <c r="E9330" s="504" t="s">
        <v>3381</v>
      </c>
      <c r="F9330" s="504" t="s">
        <v>1004</v>
      </c>
      <c r="G9330" s="504" t="s">
        <v>1005</v>
      </c>
      <c r="H9330" s="504" t="s">
        <v>10914</v>
      </c>
      <c r="I9330" s="504">
        <v>262</v>
      </c>
      <c r="J9330" s="504">
        <v>12</v>
      </c>
      <c r="K9330" s="504">
        <v>0</v>
      </c>
      <c r="L9330" s="504">
        <v>0</v>
      </c>
      <c r="M9330" s="504">
        <v>250</v>
      </c>
      <c r="N9330" s="504">
        <v>0</v>
      </c>
      <c r="O9330" s="505">
        <v>0</v>
      </c>
    </row>
    <row r="9331" spans="1:15" x14ac:dyDescent="0.35">
      <c r="A9331" s="500" t="s">
        <v>1190</v>
      </c>
      <c r="B9331" s="501">
        <v>4662</v>
      </c>
      <c r="C9331" s="501" t="s">
        <v>1094</v>
      </c>
      <c r="D9331" s="501" t="s">
        <v>3380</v>
      </c>
      <c r="E9331" s="501" t="s">
        <v>3381</v>
      </c>
      <c r="F9331" s="501" t="s">
        <v>1004</v>
      </c>
      <c r="G9331" s="501" t="s">
        <v>1005</v>
      </c>
      <c r="H9331" s="501" t="s">
        <v>10915</v>
      </c>
      <c r="I9331" s="501">
        <v>26</v>
      </c>
      <c r="J9331" s="501">
        <v>0</v>
      </c>
      <c r="K9331" s="501">
        <v>0</v>
      </c>
      <c r="L9331" s="501">
        <v>26</v>
      </c>
      <c r="M9331" s="501">
        <v>0</v>
      </c>
      <c r="N9331" s="501">
        <v>0</v>
      </c>
      <c r="O9331" s="506">
        <v>0</v>
      </c>
    </row>
    <row r="9332" spans="1:15" x14ac:dyDescent="0.35">
      <c r="A9332" s="503" t="s">
        <v>11401</v>
      </c>
      <c r="B9332" s="504" t="s">
        <v>3241</v>
      </c>
      <c r="C9332" s="504" t="s">
        <v>1094</v>
      </c>
      <c r="D9332" s="504" t="s">
        <v>3380</v>
      </c>
      <c r="E9332" s="504" t="s">
        <v>3381</v>
      </c>
      <c r="F9332" s="504" t="s">
        <v>1004</v>
      </c>
      <c r="G9332" s="504" t="s">
        <v>1005</v>
      </c>
      <c r="H9332" s="504" t="s">
        <v>11794</v>
      </c>
      <c r="I9332" s="504">
        <v>1586</v>
      </c>
      <c r="J9332" s="504">
        <v>1093</v>
      </c>
      <c r="K9332" s="504">
        <v>0</v>
      </c>
      <c r="L9332" s="504">
        <v>117</v>
      </c>
      <c r="M9332" s="504">
        <v>233</v>
      </c>
      <c r="N9332" s="504">
        <v>2</v>
      </c>
      <c r="O9332" s="505">
        <v>143</v>
      </c>
    </row>
    <row r="9333" spans="1:15" x14ac:dyDescent="0.35">
      <c r="A9333" s="500" t="s">
        <v>14243</v>
      </c>
      <c r="B9333" s="501">
        <v>5149</v>
      </c>
      <c r="C9333" s="501" t="s">
        <v>1089</v>
      </c>
      <c r="D9333" s="501" t="s">
        <v>3392</v>
      </c>
      <c r="E9333" s="501" t="s">
        <v>3381</v>
      </c>
      <c r="F9333" s="501" t="s">
        <v>1004</v>
      </c>
      <c r="G9333" s="501" t="s">
        <v>1005</v>
      </c>
      <c r="H9333" s="501" t="s">
        <v>15296</v>
      </c>
      <c r="I9333" s="501">
        <v>6</v>
      </c>
      <c r="J9333" s="501">
        <v>6</v>
      </c>
      <c r="K9333" s="501">
        <v>0</v>
      </c>
      <c r="L9333" s="501">
        <v>0</v>
      </c>
      <c r="M9333" s="501">
        <v>0</v>
      </c>
      <c r="N9333" s="501">
        <v>0</v>
      </c>
      <c r="O9333" s="506">
        <v>0</v>
      </c>
    </row>
    <row r="9334" spans="1:15" x14ac:dyDescent="0.35">
      <c r="A9334" s="503" t="s">
        <v>1310</v>
      </c>
      <c r="B9334" s="504">
        <v>5062</v>
      </c>
      <c r="C9334" s="504" t="s">
        <v>1089</v>
      </c>
      <c r="D9334" s="504" t="s">
        <v>3380</v>
      </c>
      <c r="E9334" s="504" t="s">
        <v>3381</v>
      </c>
      <c r="F9334" s="504" t="s">
        <v>1004</v>
      </c>
      <c r="G9334" s="504" t="s">
        <v>1005</v>
      </c>
      <c r="H9334" s="504" t="s">
        <v>11818</v>
      </c>
      <c r="I9334" s="504">
        <v>72</v>
      </c>
      <c r="J9334" s="504">
        <v>10</v>
      </c>
      <c r="K9334" s="504">
        <v>0</v>
      </c>
      <c r="L9334" s="504">
        <v>0</v>
      </c>
      <c r="M9334" s="504">
        <v>0</v>
      </c>
      <c r="N9334" s="504">
        <v>0</v>
      </c>
      <c r="O9334" s="505">
        <v>62</v>
      </c>
    </row>
    <row r="9335" spans="1:15" x14ac:dyDescent="0.35">
      <c r="A9335" s="500" t="s">
        <v>1197</v>
      </c>
      <c r="B9335" s="501">
        <v>4863</v>
      </c>
      <c r="C9335" s="501" t="s">
        <v>1089</v>
      </c>
      <c r="D9335" s="501" t="s">
        <v>3392</v>
      </c>
      <c r="E9335" s="501" t="s">
        <v>3381</v>
      </c>
      <c r="F9335" s="501" t="s">
        <v>1004</v>
      </c>
      <c r="G9335" s="501" t="s">
        <v>1005</v>
      </c>
      <c r="H9335" s="501" t="s">
        <v>10916</v>
      </c>
      <c r="I9335" s="501">
        <v>1</v>
      </c>
      <c r="J9335" s="501">
        <v>0</v>
      </c>
      <c r="K9335" s="501">
        <v>0</v>
      </c>
      <c r="L9335" s="501">
        <v>1</v>
      </c>
      <c r="M9335" s="501">
        <v>0</v>
      </c>
      <c r="N9335" s="501">
        <v>0</v>
      </c>
      <c r="O9335" s="506">
        <v>0</v>
      </c>
    </row>
    <row r="9336" spans="1:15" x14ac:dyDescent="0.35">
      <c r="A9336" s="503" t="s">
        <v>1209</v>
      </c>
      <c r="B9336" s="504">
        <v>4779</v>
      </c>
      <c r="C9336" s="504" t="s">
        <v>1094</v>
      </c>
      <c r="D9336" s="504" t="s">
        <v>3380</v>
      </c>
      <c r="E9336" s="504" t="s">
        <v>3381</v>
      </c>
      <c r="F9336" s="504" t="s">
        <v>1004</v>
      </c>
      <c r="G9336" s="504" t="s">
        <v>1005</v>
      </c>
      <c r="H9336" s="504" t="s">
        <v>10917</v>
      </c>
      <c r="I9336" s="504">
        <v>176</v>
      </c>
      <c r="J9336" s="504">
        <v>0</v>
      </c>
      <c r="K9336" s="504">
        <v>0</v>
      </c>
      <c r="L9336" s="504">
        <v>176</v>
      </c>
      <c r="M9336" s="504">
        <v>0</v>
      </c>
      <c r="N9336" s="504">
        <v>0</v>
      </c>
      <c r="O9336" s="505">
        <v>0</v>
      </c>
    </row>
    <row r="9337" spans="1:15" x14ac:dyDescent="0.35">
      <c r="A9337" s="500" t="s">
        <v>1503</v>
      </c>
      <c r="B9337" s="501">
        <v>4666</v>
      </c>
      <c r="C9337" s="501" t="s">
        <v>1089</v>
      </c>
      <c r="D9337" s="501" t="s">
        <v>3392</v>
      </c>
      <c r="E9337" s="501" t="s">
        <v>3381</v>
      </c>
      <c r="F9337" s="501" t="s">
        <v>1004</v>
      </c>
      <c r="G9337" s="501" t="s">
        <v>1005</v>
      </c>
      <c r="H9337" s="501" t="s">
        <v>10918</v>
      </c>
      <c r="I9337" s="501">
        <v>19</v>
      </c>
      <c r="J9337" s="501">
        <v>0</v>
      </c>
      <c r="K9337" s="501">
        <v>0</v>
      </c>
      <c r="L9337" s="501">
        <v>19</v>
      </c>
      <c r="M9337" s="501">
        <v>0</v>
      </c>
      <c r="N9337" s="501">
        <v>0</v>
      </c>
      <c r="O9337" s="506">
        <v>0</v>
      </c>
    </row>
    <row r="9338" spans="1:15" x14ac:dyDescent="0.35">
      <c r="A9338" s="503" t="s">
        <v>1223</v>
      </c>
      <c r="B9338" s="504">
        <v>4768</v>
      </c>
      <c r="C9338" s="504" t="s">
        <v>1089</v>
      </c>
      <c r="D9338" s="504" t="s">
        <v>3392</v>
      </c>
      <c r="E9338" s="504" t="s">
        <v>3381</v>
      </c>
      <c r="F9338" s="504" t="s">
        <v>1004</v>
      </c>
      <c r="G9338" s="504" t="s">
        <v>1005</v>
      </c>
      <c r="H9338" s="504" t="s">
        <v>10919</v>
      </c>
      <c r="I9338" s="504">
        <v>36</v>
      </c>
      <c r="J9338" s="504">
        <v>10</v>
      </c>
      <c r="K9338" s="504">
        <v>0</v>
      </c>
      <c r="L9338" s="504">
        <v>26</v>
      </c>
      <c r="M9338" s="504">
        <v>0</v>
      </c>
      <c r="N9338" s="504">
        <v>0</v>
      </c>
      <c r="O9338" s="505">
        <v>0</v>
      </c>
    </row>
    <row r="9339" spans="1:15" x14ac:dyDescent="0.35">
      <c r="A9339" s="500" t="s">
        <v>1122</v>
      </c>
      <c r="B9339" s="501" t="s">
        <v>2994</v>
      </c>
      <c r="C9339" s="501" t="s">
        <v>1094</v>
      </c>
      <c r="D9339" s="501" t="s">
        <v>3380</v>
      </c>
      <c r="E9339" s="501" t="s">
        <v>3381</v>
      </c>
      <c r="F9339" s="501" t="s">
        <v>1004</v>
      </c>
      <c r="G9339" s="501" t="s">
        <v>1005</v>
      </c>
      <c r="H9339" s="501" t="s">
        <v>10920</v>
      </c>
      <c r="I9339" s="501">
        <v>56</v>
      </c>
      <c r="J9339" s="501">
        <v>46</v>
      </c>
      <c r="K9339" s="501">
        <v>0</v>
      </c>
      <c r="L9339" s="501">
        <v>10</v>
      </c>
      <c r="M9339" s="501">
        <v>0</v>
      </c>
      <c r="N9339" s="501">
        <v>0</v>
      </c>
      <c r="O9339" s="506">
        <v>0</v>
      </c>
    </row>
    <row r="9340" spans="1:15" x14ac:dyDescent="0.35">
      <c r="A9340" s="503" t="s">
        <v>1225</v>
      </c>
      <c r="B9340" s="504" t="s">
        <v>3315</v>
      </c>
      <c r="C9340" s="504" t="s">
        <v>1094</v>
      </c>
      <c r="D9340" s="504" t="s">
        <v>3380</v>
      </c>
      <c r="E9340" s="504" t="s">
        <v>3381</v>
      </c>
      <c r="F9340" s="504" t="s">
        <v>1004</v>
      </c>
      <c r="G9340" s="504" t="s">
        <v>1005</v>
      </c>
      <c r="H9340" s="504" t="s">
        <v>15297</v>
      </c>
      <c r="I9340" s="504">
        <v>4</v>
      </c>
      <c r="J9340" s="504">
        <v>0</v>
      </c>
      <c r="K9340" s="504">
        <v>0</v>
      </c>
      <c r="L9340" s="504">
        <v>4</v>
      </c>
      <c r="M9340" s="504">
        <v>0</v>
      </c>
      <c r="N9340" s="504">
        <v>0</v>
      </c>
      <c r="O9340" s="505">
        <v>0</v>
      </c>
    </row>
    <row r="9341" spans="1:15" x14ac:dyDescent="0.35">
      <c r="A9341" s="500" t="s">
        <v>1227</v>
      </c>
      <c r="B9341" s="501">
        <v>4757</v>
      </c>
      <c r="C9341" s="501" t="s">
        <v>1094</v>
      </c>
      <c r="D9341" s="501" t="s">
        <v>3392</v>
      </c>
      <c r="E9341" s="501" t="s">
        <v>3381</v>
      </c>
      <c r="F9341" s="501" t="s">
        <v>1004</v>
      </c>
      <c r="G9341" s="501" t="s">
        <v>1005</v>
      </c>
      <c r="H9341" s="501" t="s">
        <v>10921</v>
      </c>
      <c r="I9341" s="501">
        <v>8</v>
      </c>
      <c r="J9341" s="501">
        <v>8</v>
      </c>
      <c r="K9341" s="501">
        <v>0</v>
      </c>
      <c r="L9341" s="501">
        <v>0</v>
      </c>
      <c r="M9341" s="501">
        <v>0</v>
      </c>
      <c r="N9341" s="501">
        <v>0</v>
      </c>
      <c r="O9341" s="506">
        <v>0</v>
      </c>
    </row>
    <row r="9342" spans="1:15" x14ac:dyDescent="0.35">
      <c r="A9342" s="503" t="s">
        <v>1748</v>
      </c>
      <c r="B9342" s="504" t="s">
        <v>3233</v>
      </c>
      <c r="C9342" s="504" t="s">
        <v>1094</v>
      </c>
      <c r="D9342" s="504" t="s">
        <v>3380</v>
      </c>
      <c r="E9342" s="504" t="s">
        <v>3381</v>
      </c>
      <c r="F9342" s="504" t="s">
        <v>1004</v>
      </c>
      <c r="G9342" s="504" t="s">
        <v>1005</v>
      </c>
      <c r="H9342" s="504" t="s">
        <v>10922</v>
      </c>
      <c r="I9342" s="504">
        <v>1</v>
      </c>
      <c r="J9342" s="504">
        <v>1</v>
      </c>
      <c r="K9342" s="504">
        <v>0</v>
      </c>
      <c r="L9342" s="504">
        <v>0</v>
      </c>
      <c r="M9342" s="504">
        <v>0</v>
      </c>
      <c r="N9342" s="504">
        <v>0</v>
      </c>
      <c r="O9342" s="505">
        <v>0</v>
      </c>
    </row>
    <row r="9343" spans="1:15" x14ac:dyDescent="0.35">
      <c r="A9343" s="500" t="s">
        <v>1228</v>
      </c>
      <c r="B9343" s="501" t="s">
        <v>3321</v>
      </c>
      <c r="C9343" s="501" t="s">
        <v>1094</v>
      </c>
      <c r="D9343" s="501" t="s">
        <v>3380</v>
      </c>
      <c r="E9343" s="501" t="s">
        <v>3381</v>
      </c>
      <c r="F9343" s="501" t="s">
        <v>1004</v>
      </c>
      <c r="G9343" s="501" t="s">
        <v>1005</v>
      </c>
      <c r="H9343" s="501" t="s">
        <v>10923</v>
      </c>
      <c r="I9343" s="501">
        <v>70</v>
      </c>
      <c r="J9343" s="501">
        <v>0</v>
      </c>
      <c r="K9343" s="501">
        <v>0</v>
      </c>
      <c r="L9343" s="501">
        <v>70</v>
      </c>
      <c r="M9343" s="501">
        <v>0</v>
      </c>
      <c r="N9343" s="501">
        <v>0</v>
      </c>
      <c r="O9343" s="506">
        <v>0</v>
      </c>
    </row>
    <row r="9344" spans="1:15" x14ac:dyDescent="0.35">
      <c r="A9344" s="503" t="s">
        <v>1126</v>
      </c>
      <c r="B9344" s="504" t="s">
        <v>2974</v>
      </c>
      <c r="C9344" s="504" t="s">
        <v>1094</v>
      </c>
      <c r="D9344" s="504" t="s">
        <v>3380</v>
      </c>
      <c r="E9344" s="504" t="s">
        <v>3381</v>
      </c>
      <c r="F9344" s="504" t="s">
        <v>1004</v>
      </c>
      <c r="G9344" s="504" t="s">
        <v>1005</v>
      </c>
      <c r="H9344" s="504" t="s">
        <v>10924</v>
      </c>
      <c r="I9344" s="504">
        <v>7</v>
      </c>
      <c r="J9344" s="504">
        <v>6</v>
      </c>
      <c r="K9344" s="504">
        <v>0</v>
      </c>
      <c r="L9344" s="504">
        <v>0</v>
      </c>
      <c r="M9344" s="504">
        <v>0</v>
      </c>
      <c r="N9344" s="504">
        <v>0</v>
      </c>
      <c r="O9344" s="505">
        <v>1</v>
      </c>
    </row>
    <row r="9345" spans="1:15" x14ac:dyDescent="0.35">
      <c r="A9345" s="500" t="s">
        <v>1249</v>
      </c>
      <c r="B9345" s="501">
        <v>4729</v>
      </c>
      <c r="C9345" s="501" t="s">
        <v>1094</v>
      </c>
      <c r="D9345" s="501" t="s">
        <v>3380</v>
      </c>
      <c r="E9345" s="501" t="s">
        <v>3381</v>
      </c>
      <c r="F9345" s="501" t="s">
        <v>1004</v>
      </c>
      <c r="G9345" s="501" t="s">
        <v>1005</v>
      </c>
      <c r="H9345" s="501" t="s">
        <v>10925</v>
      </c>
      <c r="I9345" s="501">
        <v>170</v>
      </c>
      <c r="J9345" s="501">
        <v>98</v>
      </c>
      <c r="K9345" s="501">
        <v>0</v>
      </c>
      <c r="L9345" s="501">
        <v>0</v>
      </c>
      <c r="M9345" s="501">
        <v>30</v>
      </c>
      <c r="N9345" s="501">
        <v>0</v>
      </c>
      <c r="O9345" s="506">
        <v>42</v>
      </c>
    </row>
    <row r="9346" spans="1:15" x14ac:dyDescent="0.35">
      <c r="A9346" s="503" t="s">
        <v>1253</v>
      </c>
      <c r="B9346" s="504" t="s">
        <v>3232</v>
      </c>
      <c r="C9346" s="504" t="s">
        <v>1094</v>
      </c>
      <c r="D9346" s="504" t="s">
        <v>3380</v>
      </c>
      <c r="E9346" s="504" t="s">
        <v>3381</v>
      </c>
      <c r="F9346" s="504" t="s">
        <v>1004</v>
      </c>
      <c r="G9346" s="504" t="s">
        <v>1005</v>
      </c>
      <c r="H9346" s="504" t="s">
        <v>10926</v>
      </c>
      <c r="I9346" s="504">
        <v>490</v>
      </c>
      <c r="J9346" s="504">
        <v>253</v>
      </c>
      <c r="K9346" s="504">
        <v>0</v>
      </c>
      <c r="L9346" s="504">
        <v>103</v>
      </c>
      <c r="M9346" s="504">
        <v>127</v>
      </c>
      <c r="N9346" s="504">
        <v>0</v>
      </c>
      <c r="O9346" s="505">
        <v>7</v>
      </c>
    </row>
    <row r="9347" spans="1:15" x14ac:dyDescent="0.35">
      <c r="A9347" s="500" t="s">
        <v>1257</v>
      </c>
      <c r="B9347" s="501" t="s">
        <v>3151</v>
      </c>
      <c r="C9347" s="501" t="s">
        <v>1094</v>
      </c>
      <c r="D9347" s="501" t="s">
        <v>3380</v>
      </c>
      <c r="E9347" s="501" t="s">
        <v>3381</v>
      </c>
      <c r="F9347" s="501" t="s">
        <v>1004</v>
      </c>
      <c r="G9347" s="501" t="s">
        <v>1005</v>
      </c>
      <c r="H9347" s="501" t="s">
        <v>10927</v>
      </c>
      <c r="I9347" s="501">
        <v>7</v>
      </c>
      <c r="J9347" s="501">
        <v>0</v>
      </c>
      <c r="K9347" s="501">
        <v>0</v>
      </c>
      <c r="L9347" s="501">
        <v>0</v>
      </c>
      <c r="M9347" s="501">
        <v>0</v>
      </c>
      <c r="N9347" s="501">
        <v>0</v>
      </c>
      <c r="O9347" s="506">
        <v>7</v>
      </c>
    </row>
    <row r="9348" spans="1:15" x14ac:dyDescent="0.35">
      <c r="A9348" s="503" t="s">
        <v>1779</v>
      </c>
      <c r="B9348" s="504">
        <v>5065</v>
      </c>
      <c r="C9348" s="504" t="s">
        <v>1094</v>
      </c>
      <c r="D9348" s="504" t="s">
        <v>3380</v>
      </c>
      <c r="E9348" s="504" t="s">
        <v>3381</v>
      </c>
      <c r="F9348" s="504" t="s">
        <v>1004</v>
      </c>
      <c r="G9348" s="504" t="s">
        <v>1005</v>
      </c>
      <c r="H9348" s="504" t="s">
        <v>10928</v>
      </c>
      <c r="I9348" s="504">
        <v>172</v>
      </c>
      <c r="J9348" s="504">
        <v>45</v>
      </c>
      <c r="K9348" s="504">
        <v>0</v>
      </c>
      <c r="L9348" s="504">
        <v>0</v>
      </c>
      <c r="M9348" s="504">
        <v>0</v>
      </c>
      <c r="N9348" s="504">
        <v>0</v>
      </c>
      <c r="O9348" s="505">
        <v>127</v>
      </c>
    </row>
    <row r="9349" spans="1:15" x14ac:dyDescent="0.35">
      <c r="A9349" s="500" t="s">
        <v>1266</v>
      </c>
      <c r="B9349" s="501" t="s">
        <v>3071</v>
      </c>
      <c r="C9349" s="501" t="s">
        <v>1094</v>
      </c>
      <c r="D9349" s="501" t="s">
        <v>3380</v>
      </c>
      <c r="E9349" s="501" t="s">
        <v>3381</v>
      </c>
      <c r="F9349" s="501" t="s">
        <v>1004</v>
      </c>
      <c r="G9349" s="501" t="s">
        <v>1005</v>
      </c>
      <c r="H9349" s="501" t="s">
        <v>10929</v>
      </c>
      <c r="I9349" s="501">
        <v>1051</v>
      </c>
      <c r="J9349" s="501">
        <v>810</v>
      </c>
      <c r="K9349" s="501">
        <v>0</v>
      </c>
      <c r="L9349" s="501">
        <v>153</v>
      </c>
      <c r="M9349" s="501">
        <v>0</v>
      </c>
      <c r="N9349" s="501">
        <v>0</v>
      </c>
      <c r="O9349" s="506">
        <v>88</v>
      </c>
    </row>
    <row r="9350" spans="1:15" x14ac:dyDescent="0.35">
      <c r="A9350" s="503" t="s">
        <v>1386</v>
      </c>
      <c r="B9350" s="504" t="s">
        <v>3331</v>
      </c>
      <c r="C9350" s="504" t="s">
        <v>1094</v>
      </c>
      <c r="D9350" s="504" t="s">
        <v>3380</v>
      </c>
      <c r="E9350" s="504" t="s">
        <v>3381</v>
      </c>
      <c r="F9350" s="504" t="s">
        <v>1006</v>
      </c>
      <c r="G9350" s="504" t="s">
        <v>1007</v>
      </c>
      <c r="H9350" s="504" t="s">
        <v>10930</v>
      </c>
      <c r="I9350" s="504">
        <v>210</v>
      </c>
      <c r="J9350" s="504">
        <v>173</v>
      </c>
      <c r="K9350" s="504">
        <v>0</v>
      </c>
      <c r="L9350" s="504">
        <v>28</v>
      </c>
      <c r="M9350" s="504">
        <v>0</v>
      </c>
      <c r="N9350" s="504">
        <v>0</v>
      </c>
      <c r="O9350" s="505">
        <v>9</v>
      </c>
    </row>
    <row r="9351" spans="1:15" x14ac:dyDescent="0.35">
      <c r="A9351" s="500" t="s">
        <v>14127</v>
      </c>
      <c r="B9351" s="501" t="s">
        <v>14126</v>
      </c>
      <c r="C9351" s="501" t="s">
        <v>1094</v>
      </c>
      <c r="D9351" s="501" t="s">
        <v>3380</v>
      </c>
      <c r="E9351" s="501" t="s">
        <v>3381</v>
      </c>
      <c r="F9351" s="501" t="s">
        <v>1006</v>
      </c>
      <c r="G9351" s="501" t="s">
        <v>1007</v>
      </c>
      <c r="H9351" s="501" t="s">
        <v>15298</v>
      </c>
      <c r="I9351" s="501">
        <v>384</v>
      </c>
      <c r="J9351" s="501">
        <v>351</v>
      </c>
      <c r="K9351" s="501">
        <v>0</v>
      </c>
      <c r="L9351" s="501">
        <v>0</v>
      </c>
      <c r="M9351" s="501">
        <v>0</v>
      </c>
      <c r="N9351" s="501">
        <v>0</v>
      </c>
      <c r="O9351" s="506">
        <v>33</v>
      </c>
    </row>
    <row r="9352" spans="1:15" x14ac:dyDescent="0.35">
      <c r="A9352" s="503" t="s">
        <v>1093</v>
      </c>
      <c r="B9352" s="504" t="s">
        <v>3248</v>
      </c>
      <c r="C9352" s="504" t="s">
        <v>1094</v>
      </c>
      <c r="D9352" s="504" t="s">
        <v>3380</v>
      </c>
      <c r="E9352" s="504" t="s">
        <v>3381</v>
      </c>
      <c r="F9352" s="504" t="s">
        <v>1006</v>
      </c>
      <c r="G9352" s="504" t="s">
        <v>1007</v>
      </c>
      <c r="H9352" s="504" t="s">
        <v>10931</v>
      </c>
      <c r="I9352" s="504">
        <v>45</v>
      </c>
      <c r="J9352" s="504">
        <v>0</v>
      </c>
      <c r="K9352" s="504">
        <v>0</v>
      </c>
      <c r="L9352" s="504">
        <v>18</v>
      </c>
      <c r="M9352" s="504">
        <v>0</v>
      </c>
      <c r="N9352" s="504">
        <v>0</v>
      </c>
      <c r="O9352" s="505">
        <v>27</v>
      </c>
    </row>
    <row r="9353" spans="1:15" x14ac:dyDescent="0.35">
      <c r="A9353" s="500" t="s">
        <v>1096</v>
      </c>
      <c r="B9353" s="501" t="s">
        <v>3326</v>
      </c>
      <c r="C9353" s="501" t="s">
        <v>1094</v>
      </c>
      <c r="D9353" s="501" t="s">
        <v>3380</v>
      </c>
      <c r="E9353" s="501" t="s">
        <v>3381</v>
      </c>
      <c r="F9353" s="501" t="s">
        <v>1006</v>
      </c>
      <c r="G9353" s="501" t="s">
        <v>1007</v>
      </c>
      <c r="H9353" s="501" t="s">
        <v>10932</v>
      </c>
      <c r="I9353" s="501">
        <v>75</v>
      </c>
      <c r="J9353" s="501">
        <v>0</v>
      </c>
      <c r="K9353" s="501">
        <v>0</v>
      </c>
      <c r="L9353" s="501">
        <v>0</v>
      </c>
      <c r="M9353" s="501">
        <v>75</v>
      </c>
      <c r="N9353" s="501">
        <v>0</v>
      </c>
      <c r="O9353" s="506">
        <v>0</v>
      </c>
    </row>
    <row r="9354" spans="1:15" x14ac:dyDescent="0.35">
      <c r="A9354" s="503" t="s">
        <v>1802</v>
      </c>
      <c r="B9354" s="504">
        <v>4872</v>
      </c>
      <c r="C9354" s="504" t="s">
        <v>1089</v>
      </c>
      <c r="D9354" s="504" t="s">
        <v>3380</v>
      </c>
      <c r="E9354" s="504" t="s">
        <v>3381</v>
      </c>
      <c r="F9354" s="504" t="s">
        <v>1006</v>
      </c>
      <c r="G9354" s="504" t="s">
        <v>1007</v>
      </c>
      <c r="H9354" s="504" t="s">
        <v>10933</v>
      </c>
      <c r="I9354" s="504">
        <v>285</v>
      </c>
      <c r="J9354" s="504">
        <v>232</v>
      </c>
      <c r="K9354" s="504">
        <v>0</v>
      </c>
      <c r="L9354" s="504">
        <v>0</v>
      </c>
      <c r="M9354" s="504">
        <v>0</v>
      </c>
      <c r="N9354" s="504">
        <v>0</v>
      </c>
      <c r="O9354" s="505">
        <v>53</v>
      </c>
    </row>
    <row r="9355" spans="1:15" x14ac:dyDescent="0.35">
      <c r="A9355" s="500" t="s">
        <v>1098</v>
      </c>
      <c r="B9355" s="501">
        <v>4691</v>
      </c>
      <c r="C9355" s="501" t="s">
        <v>1094</v>
      </c>
      <c r="D9355" s="501" t="s">
        <v>3380</v>
      </c>
      <c r="E9355" s="501" t="s">
        <v>3381</v>
      </c>
      <c r="F9355" s="501" t="s">
        <v>1006</v>
      </c>
      <c r="G9355" s="501" t="s">
        <v>1007</v>
      </c>
      <c r="H9355" s="501" t="s">
        <v>10934</v>
      </c>
      <c r="I9355" s="501">
        <v>5658</v>
      </c>
      <c r="J9355" s="501">
        <v>4635</v>
      </c>
      <c r="K9355" s="501">
        <v>0</v>
      </c>
      <c r="L9355" s="501">
        <v>89</v>
      </c>
      <c r="M9355" s="501">
        <v>558</v>
      </c>
      <c r="N9355" s="501">
        <v>0</v>
      </c>
      <c r="O9355" s="506">
        <v>376</v>
      </c>
    </row>
    <row r="9356" spans="1:15" x14ac:dyDescent="0.35">
      <c r="A9356" s="503" t="s">
        <v>11363</v>
      </c>
      <c r="B9356" s="504">
        <v>4718</v>
      </c>
      <c r="C9356" s="504" t="s">
        <v>1094</v>
      </c>
      <c r="D9356" s="504" t="s">
        <v>3380</v>
      </c>
      <c r="E9356" s="504" t="s">
        <v>3381</v>
      </c>
      <c r="F9356" s="504" t="s">
        <v>1006</v>
      </c>
      <c r="G9356" s="504" t="s">
        <v>1007</v>
      </c>
      <c r="H9356" s="504" t="s">
        <v>11605</v>
      </c>
      <c r="I9356" s="504">
        <v>2</v>
      </c>
      <c r="J9356" s="504">
        <v>0</v>
      </c>
      <c r="K9356" s="504">
        <v>0</v>
      </c>
      <c r="L9356" s="504">
        <v>2</v>
      </c>
      <c r="M9356" s="504">
        <v>0</v>
      </c>
      <c r="N9356" s="504">
        <v>0</v>
      </c>
      <c r="O9356" s="505">
        <v>0</v>
      </c>
    </row>
    <row r="9357" spans="1:15" x14ac:dyDescent="0.35">
      <c r="A9357" s="500" t="s">
        <v>1808</v>
      </c>
      <c r="B9357" s="501" t="s">
        <v>3242</v>
      </c>
      <c r="C9357" s="501" t="s">
        <v>1094</v>
      </c>
      <c r="D9357" s="501" t="s">
        <v>3380</v>
      </c>
      <c r="E9357" s="501" t="s">
        <v>3381</v>
      </c>
      <c r="F9357" s="501" t="s">
        <v>1006</v>
      </c>
      <c r="G9357" s="501" t="s">
        <v>1007</v>
      </c>
      <c r="H9357" s="501" t="s">
        <v>10935</v>
      </c>
      <c r="I9357" s="501">
        <v>39</v>
      </c>
      <c r="J9357" s="501">
        <v>12</v>
      </c>
      <c r="K9357" s="501">
        <v>0</v>
      </c>
      <c r="L9357" s="501">
        <v>0</v>
      </c>
      <c r="M9357" s="501">
        <v>27</v>
      </c>
      <c r="N9357" s="501">
        <v>0</v>
      </c>
      <c r="O9357" s="506">
        <v>0</v>
      </c>
    </row>
    <row r="9358" spans="1:15" x14ac:dyDescent="0.35">
      <c r="A9358" s="503" t="s">
        <v>11423</v>
      </c>
      <c r="B9358" s="504" t="s">
        <v>3128</v>
      </c>
      <c r="C9358" s="504" t="s">
        <v>1094</v>
      </c>
      <c r="D9358" s="504" t="s">
        <v>3380</v>
      </c>
      <c r="E9358" s="504" t="s">
        <v>3381</v>
      </c>
      <c r="F9358" s="504" t="s">
        <v>1006</v>
      </c>
      <c r="G9358" s="504" t="s">
        <v>1007</v>
      </c>
      <c r="H9358" s="504" t="s">
        <v>15299</v>
      </c>
      <c r="I9358" s="504">
        <v>4</v>
      </c>
      <c r="J9358" s="504">
        <v>4</v>
      </c>
      <c r="K9358" s="504">
        <v>0</v>
      </c>
      <c r="L9358" s="504">
        <v>0</v>
      </c>
      <c r="M9358" s="504">
        <v>0</v>
      </c>
      <c r="N9358" s="504">
        <v>0</v>
      </c>
      <c r="O9358" s="505">
        <v>0</v>
      </c>
    </row>
    <row r="9359" spans="1:15" x14ac:dyDescent="0.35">
      <c r="A9359" s="500" t="s">
        <v>1158</v>
      </c>
      <c r="B9359" s="501">
        <v>4819</v>
      </c>
      <c r="C9359" s="501" t="s">
        <v>1094</v>
      </c>
      <c r="D9359" s="501" t="s">
        <v>3380</v>
      </c>
      <c r="E9359" s="501" t="s">
        <v>3381</v>
      </c>
      <c r="F9359" s="501" t="s">
        <v>1006</v>
      </c>
      <c r="G9359" s="501" t="s">
        <v>1007</v>
      </c>
      <c r="H9359" s="501" t="s">
        <v>10937</v>
      </c>
      <c r="I9359" s="501">
        <v>27</v>
      </c>
      <c r="J9359" s="501">
        <v>10</v>
      </c>
      <c r="K9359" s="501">
        <v>0</v>
      </c>
      <c r="L9359" s="501">
        <v>0</v>
      </c>
      <c r="M9359" s="501">
        <v>0</v>
      </c>
      <c r="N9359" s="501">
        <v>0</v>
      </c>
      <c r="O9359" s="506">
        <v>17</v>
      </c>
    </row>
    <row r="9360" spans="1:15" x14ac:dyDescent="0.35">
      <c r="A9360" s="503" t="s">
        <v>1161</v>
      </c>
      <c r="B9360" s="504" t="s">
        <v>3001</v>
      </c>
      <c r="C9360" s="504" t="s">
        <v>1094</v>
      </c>
      <c r="D9360" s="504" t="s">
        <v>3380</v>
      </c>
      <c r="E9360" s="504" t="s">
        <v>3381</v>
      </c>
      <c r="F9360" s="504" t="s">
        <v>1006</v>
      </c>
      <c r="G9360" s="504" t="s">
        <v>1007</v>
      </c>
      <c r="H9360" s="504" t="s">
        <v>10938</v>
      </c>
      <c r="I9360" s="504">
        <v>1</v>
      </c>
      <c r="J9360" s="504">
        <v>0</v>
      </c>
      <c r="K9360" s="504">
        <v>0</v>
      </c>
      <c r="L9360" s="504">
        <v>0</v>
      </c>
      <c r="M9360" s="504">
        <v>0</v>
      </c>
      <c r="N9360" s="504">
        <v>0</v>
      </c>
      <c r="O9360" s="505">
        <v>1</v>
      </c>
    </row>
    <row r="9361" spans="1:15" x14ac:dyDescent="0.35">
      <c r="A9361" s="500" t="s">
        <v>1960</v>
      </c>
      <c r="B9361" s="501" t="s">
        <v>3053</v>
      </c>
      <c r="C9361" s="501" t="s">
        <v>1089</v>
      </c>
      <c r="D9361" s="501" t="s">
        <v>3392</v>
      </c>
      <c r="E9361" s="501" t="s">
        <v>3381</v>
      </c>
      <c r="F9361" s="501" t="s">
        <v>1006</v>
      </c>
      <c r="G9361" s="501" t="s">
        <v>1007</v>
      </c>
      <c r="H9361" s="501" t="s">
        <v>15300</v>
      </c>
      <c r="I9361" s="501">
        <v>6</v>
      </c>
      <c r="J9361" s="501">
        <v>6</v>
      </c>
      <c r="K9361" s="501">
        <v>0</v>
      </c>
      <c r="L9361" s="501">
        <v>0</v>
      </c>
      <c r="M9361" s="501">
        <v>0</v>
      </c>
      <c r="N9361" s="501">
        <v>0</v>
      </c>
      <c r="O9361" s="506">
        <v>0</v>
      </c>
    </row>
    <row r="9362" spans="1:15" x14ac:dyDescent="0.35">
      <c r="A9362" s="503" t="s">
        <v>1100</v>
      </c>
      <c r="B9362" s="504">
        <v>4865</v>
      </c>
      <c r="C9362" s="504" t="s">
        <v>1094</v>
      </c>
      <c r="D9362" s="504" t="s">
        <v>3380</v>
      </c>
      <c r="E9362" s="504" t="s">
        <v>3381</v>
      </c>
      <c r="F9362" s="504" t="s">
        <v>1006</v>
      </c>
      <c r="G9362" s="504" t="s">
        <v>1007</v>
      </c>
      <c r="H9362" s="504" t="s">
        <v>10939</v>
      </c>
      <c r="I9362" s="504">
        <v>28</v>
      </c>
      <c r="J9362" s="504">
        <v>16</v>
      </c>
      <c r="K9362" s="504">
        <v>0</v>
      </c>
      <c r="L9362" s="504">
        <v>0</v>
      </c>
      <c r="M9362" s="504">
        <v>0</v>
      </c>
      <c r="N9362" s="504">
        <v>0</v>
      </c>
      <c r="O9362" s="505">
        <v>12</v>
      </c>
    </row>
    <row r="9363" spans="1:15" x14ac:dyDescent="0.35">
      <c r="A9363" s="500" t="s">
        <v>1819</v>
      </c>
      <c r="B9363" s="501" t="s">
        <v>3175</v>
      </c>
      <c r="C9363" s="501" t="s">
        <v>1094</v>
      </c>
      <c r="D9363" s="501" t="s">
        <v>3380</v>
      </c>
      <c r="E9363" s="501" t="s">
        <v>3381</v>
      </c>
      <c r="F9363" s="501" t="s">
        <v>1006</v>
      </c>
      <c r="G9363" s="501" t="s">
        <v>1007</v>
      </c>
      <c r="H9363" s="501" t="s">
        <v>10940</v>
      </c>
      <c r="I9363" s="501">
        <v>135</v>
      </c>
      <c r="J9363" s="501">
        <v>100</v>
      </c>
      <c r="K9363" s="501">
        <v>0</v>
      </c>
      <c r="L9363" s="501">
        <v>0</v>
      </c>
      <c r="M9363" s="501">
        <v>0</v>
      </c>
      <c r="N9363" s="501">
        <v>0</v>
      </c>
      <c r="O9363" s="506">
        <v>35</v>
      </c>
    </row>
    <row r="9364" spans="1:15" x14ac:dyDescent="0.35">
      <c r="A9364" s="503" t="s">
        <v>1971</v>
      </c>
      <c r="B9364" s="504" t="s">
        <v>3337</v>
      </c>
      <c r="C9364" s="504" t="s">
        <v>1094</v>
      </c>
      <c r="D9364" s="504" t="s">
        <v>3380</v>
      </c>
      <c r="E9364" s="504" t="s">
        <v>3381</v>
      </c>
      <c r="F9364" s="504" t="s">
        <v>1006</v>
      </c>
      <c r="G9364" s="504" t="s">
        <v>1007</v>
      </c>
      <c r="H9364" s="504" t="s">
        <v>10941</v>
      </c>
      <c r="I9364" s="504">
        <v>554</v>
      </c>
      <c r="J9364" s="504">
        <v>436</v>
      </c>
      <c r="K9364" s="504">
        <v>0</v>
      </c>
      <c r="L9364" s="504">
        <v>6</v>
      </c>
      <c r="M9364" s="504">
        <v>0</v>
      </c>
      <c r="N9364" s="504">
        <v>0</v>
      </c>
      <c r="O9364" s="505">
        <v>112</v>
      </c>
    </row>
    <row r="9365" spans="1:15" x14ac:dyDescent="0.35">
      <c r="A9365" s="500" t="s">
        <v>1972</v>
      </c>
      <c r="B9365" s="501" t="s">
        <v>2559</v>
      </c>
      <c r="C9365" s="501" t="s">
        <v>1089</v>
      </c>
      <c r="D9365" s="501" t="s">
        <v>3392</v>
      </c>
      <c r="E9365" s="501" t="s">
        <v>3381</v>
      </c>
      <c r="F9365" s="501" t="s">
        <v>1006</v>
      </c>
      <c r="G9365" s="501" t="s">
        <v>1007</v>
      </c>
      <c r="H9365" s="501" t="s">
        <v>10942</v>
      </c>
      <c r="I9365" s="501">
        <v>4</v>
      </c>
      <c r="J9365" s="501">
        <v>0</v>
      </c>
      <c r="K9365" s="501">
        <v>0</v>
      </c>
      <c r="L9365" s="501">
        <v>0</v>
      </c>
      <c r="M9365" s="501">
        <v>4</v>
      </c>
      <c r="N9365" s="501">
        <v>0</v>
      </c>
      <c r="O9365" s="506">
        <v>0</v>
      </c>
    </row>
    <row r="9366" spans="1:15" x14ac:dyDescent="0.35">
      <c r="A9366" s="503" t="s">
        <v>1172</v>
      </c>
      <c r="B9366" s="504">
        <v>4648</v>
      </c>
      <c r="C9366" s="504" t="s">
        <v>1089</v>
      </c>
      <c r="D9366" s="504" t="s">
        <v>3392</v>
      </c>
      <c r="E9366" s="504" t="s">
        <v>3381</v>
      </c>
      <c r="F9366" s="504" t="s">
        <v>1006</v>
      </c>
      <c r="G9366" s="504" t="s">
        <v>1007</v>
      </c>
      <c r="H9366" s="504" t="s">
        <v>10943</v>
      </c>
      <c r="I9366" s="504">
        <v>22</v>
      </c>
      <c r="J9366" s="504">
        <v>0</v>
      </c>
      <c r="K9366" s="504">
        <v>0</v>
      </c>
      <c r="L9366" s="504">
        <v>22</v>
      </c>
      <c r="M9366" s="504">
        <v>0</v>
      </c>
      <c r="N9366" s="504">
        <v>0</v>
      </c>
      <c r="O9366" s="505">
        <v>0</v>
      </c>
    </row>
    <row r="9367" spans="1:15" x14ac:dyDescent="0.35">
      <c r="A9367" s="500" t="s">
        <v>1102</v>
      </c>
      <c r="B9367" s="501">
        <v>4663</v>
      </c>
      <c r="C9367" s="501" t="s">
        <v>1089</v>
      </c>
      <c r="D9367" s="501" t="s">
        <v>3392</v>
      </c>
      <c r="E9367" s="501" t="s">
        <v>3381</v>
      </c>
      <c r="F9367" s="501" t="s">
        <v>1006</v>
      </c>
      <c r="G9367" s="501" t="s">
        <v>1007</v>
      </c>
      <c r="H9367" s="501" t="s">
        <v>10944</v>
      </c>
      <c r="I9367" s="501">
        <v>10</v>
      </c>
      <c r="J9367" s="501">
        <v>0</v>
      </c>
      <c r="K9367" s="501">
        <v>0</v>
      </c>
      <c r="L9367" s="501">
        <v>10</v>
      </c>
      <c r="M9367" s="501">
        <v>0</v>
      </c>
      <c r="N9367" s="501">
        <v>0</v>
      </c>
      <c r="O9367" s="506">
        <v>0</v>
      </c>
    </row>
    <row r="9368" spans="1:15" x14ac:dyDescent="0.35">
      <c r="A9368" s="503" t="s">
        <v>1175</v>
      </c>
      <c r="B9368" s="504" t="s">
        <v>3141</v>
      </c>
      <c r="C9368" s="504" t="s">
        <v>1094</v>
      </c>
      <c r="D9368" s="504" t="s">
        <v>3380</v>
      </c>
      <c r="E9368" s="504" t="s">
        <v>3381</v>
      </c>
      <c r="F9368" s="504" t="s">
        <v>1006</v>
      </c>
      <c r="G9368" s="504" t="s">
        <v>1007</v>
      </c>
      <c r="H9368" s="504" t="s">
        <v>10945</v>
      </c>
      <c r="I9368" s="504">
        <v>8</v>
      </c>
      <c r="J9368" s="504">
        <v>6</v>
      </c>
      <c r="K9368" s="504">
        <v>0</v>
      </c>
      <c r="L9368" s="504">
        <v>0</v>
      </c>
      <c r="M9368" s="504">
        <v>0</v>
      </c>
      <c r="N9368" s="504">
        <v>0</v>
      </c>
      <c r="O9368" s="505">
        <v>2</v>
      </c>
    </row>
    <row r="9369" spans="1:15" x14ac:dyDescent="0.35">
      <c r="A9369" s="500" t="s">
        <v>1705</v>
      </c>
      <c r="B9369" s="501" t="s">
        <v>3158</v>
      </c>
      <c r="C9369" s="501" t="s">
        <v>1094</v>
      </c>
      <c r="D9369" s="501" t="s">
        <v>3380</v>
      </c>
      <c r="E9369" s="501" t="s">
        <v>3381</v>
      </c>
      <c r="F9369" s="501" t="s">
        <v>1006</v>
      </c>
      <c r="G9369" s="501" t="s">
        <v>1007</v>
      </c>
      <c r="H9369" s="501" t="s">
        <v>10946</v>
      </c>
      <c r="I9369" s="501">
        <v>6</v>
      </c>
      <c r="J9369" s="501">
        <v>0</v>
      </c>
      <c r="K9369" s="501">
        <v>0</v>
      </c>
      <c r="L9369" s="501">
        <v>0</v>
      </c>
      <c r="M9369" s="501">
        <v>0</v>
      </c>
      <c r="N9369" s="501">
        <v>0</v>
      </c>
      <c r="O9369" s="506">
        <v>6</v>
      </c>
    </row>
    <row r="9370" spans="1:15" x14ac:dyDescent="0.35">
      <c r="A9370" s="503" t="s">
        <v>14208</v>
      </c>
      <c r="B9370" s="504">
        <v>4803</v>
      </c>
      <c r="C9370" s="504" t="s">
        <v>1094</v>
      </c>
      <c r="D9370" s="504" t="s">
        <v>3380</v>
      </c>
      <c r="E9370" s="504" t="s">
        <v>3381</v>
      </c>
      <c r="F9370" s="504" t="s">
        <v>1006</v>
      </c>
      <c r="G9370" s="504" t="s">
        <v>1007</v>
      </c>
      <c r="H9370" s="504" t="s">
        <v>15301</v>
      </c>
      <c r="I9370" s="504">
        <v>37</v>
      </c>
      <c r="J9370" s="504">
        <v>0</v>
      </c>
      <c r="K9370" s="504">
        <v>0</v>
      </c>
      <c r="L9370" s="504">
        <v>37</v>
      </c>
      <c r="M9370" s="504">
        <v>0</v>
      </c>
      <c r="N9370" s="504">
        <v>0</v>
      </c>
      <c r="O9370" s="505">
        <v>0</v>
      </c>
    </row>
    <row r="9371" spans="1:15" x14ac:dyDescent="0.35">
      <c r="A9371" s="500" t="s">
        <v>14213</v>
      </c>
      <c r="B9371" s="501" t="s">
        <v>3312</v>
      </c>
      <c r="C9371" s="501" t="s">
        <v>1094</v>
      </c>
      <c r="D9371" s="501" t="s">
        <v>3380</v>
      </c>
      <c r="E9371" s="501" t="s">
        <v>3381</v>
      </c>
      <c r="F9371" s="501" t="s">
        <v>1006</v>
      </c>
      <c r="G9371" s="501" t="s">
        <v>1007</v>
      </c>
      <c r="H9371" s="501" t="s">
        <v>15302</v>
      </c>
      <c r="I9371" s="501">
        <v>6805</v>
      </c>
      <c r="J9371" s="501">
        <v>6062</v>
      </c>
      <c r="K9371" s="501">
        <v>0</v>
      </c>
      <c r="L9371" s="501">
        <v>148</v>
      </c>
      <c r="M9371" s="501">
        <v>255</v>
      </c>
      <c r="N9371" s="501">
        <v>18</v>
      </c>
      <c r="O9371" s="506">
        <v>340</v>
      </c>
    </row>
    <row r="9372" spans="1:15" x14ac:dyDescent="0.35">
      <c r="A9372" s="503" t="s">
        <v>1986</v>
      </c>
      <c r="B9372" s="504" t="s">
        <v>3103</v>
      </c>
      <c r="C9372" s="504" t="s">
        <v>1089</v>
      </c>
      <c r="D9372" s="504" t="s">
        <v>3392</v>
      </c>
      <c r="E9372" s="504" t="s">
        <v>3381</v>
      </c>
      <c r="F9372" s="504" t="s">
        <v>1006</v>
      </c>
      <c r="G9372" s="504" t="s">
        <v>1007</v>
      </c>
      <c r="H9372" s="504" t="s">
        <v>10947</v>
      </c>
      <c r="I9372" s="504">
        <v>64</v>
      </c>
      <c r="J9372" s="504">
        <v>35</v>
      </c>
      <c r="K9372" s="504">
        <v>0</v>
      </c>
      <c r="L9372" s="504">
        <v>0</v>
      </c>
      <c r="M9372" s="504">
        <v>29</v>
      </c>
      <c r="N9372" s="504">
        <v>0</v>
      </c>
      <c r="O9372" s="505">
        <v>0</v>
      </c>
    </row>
    <row r="9373" spans="1:15" x14ac:dyDescent="0.35">
      <c r="A9373" s="500" t="s">
        <v>1185</v>
      </c>
      <c r="B9373" s="501" t="s">
        <v>3253</v>
      </c>
      <c r="C9373" s="501" t="s">
        <v>1094</v>
      </c>
      <c r="D9373" s="501" t="s">
        <v>3380</v>
      </c>
      <c r="E9373" s="501" t="s">
        <v>3381</v>
      </c>
      <c r="F9373" s="501" t="s">
        <v>1006</v>
      </c>
      <c r="G9373" s="501" t="s">
        <v>1007</v>
      </c>
      <c r="H9373" s="501" t="s">
        <v>10948</v>
      </c>
      <c r="I9373" s="501">
        <v>27</v>
      </c>
      <c r="J9373" s="501">
        <v>15</v>
      </c>
      <c r="K9373" s="501">
        <v>0</v>
      </c>
      <c r="L9373" s="501">
        <v>12</v>
      </c>
      <c r="M9373" s="501">
        <v>0</v>
      </c>
      <c r="N9373" s="501">
        <v>0</v>
      </c>
      <c r="O9373" s="506">
        <v>0</v>
      </c>
    </row>
    <row r="9374" spans="1:15" x14ac:dyDescent="0.35">
      <c r="A9374" s="503" t="s">
        <v>1187</v>
      </c>
      <c r="B9374" s="504" t="s">
        <v>2951</v>
      </c>
      <c r="C9374" s="504" t="s">
        <v>1094</v>
      </c>
      <c r="D9374" s="504" t="s">
        <v>3380</v>
      </c>
      <c r="E9374" s="504" t="s">
        <v>3381</v>
      </c>
      <c r="F9374" s="504" t="s">
        <v>1006</v>
      </c>
      <c r="G9374" s="504" t="s">
        <v>1007</v>
      </c>
      <c r="H9374" s="504" t="s">
        <v>10949</v>
      </c>
      <c r="I9374" s="504">
        <v>66</v>
      </c>
      <c r="J9374" s="504">
        <v>59</v>
      </c>
      <c r="K9374" s="504">
        <v>0</v>
      </c>
      <c r="L9374" s="504">
        <v>0</v>
      </c>
      <c r="M9374" s="504">
        <v>0</v>
      </c>
      <c r="N9374" s="504">
        <v>0</v>
      </c>
      <c r="O9374" s="505">
        <v>7</v>
      </c>
    </row>
    <row r="9375" spans="1:15" x14ac:dyDescent="0.35">
      <c r="A9375" s="500" t="s">
        <v>1105</v>
      </c>
      <c r="B9375" s="501">
        <v>4668</v>
      </c>
      <c r="C9375" s="501" t="s">
        <v>1094</v>
      </c>
      <c r="D9375" s="501" t="s">
        <v>3380</v>
      </c>
      <c r="E9375" s="501" t="s">
        <v>3381</v>
      </c>
      <c r="F9375" s="501" t="s">
        <v>1006</v>
      </c>
      <c r="G9375" s="501" t="s">
        <v>1007</v>
      </c>
      <c r="H9375" s="501" t="s">
        <v>10950</v>
      </c>
      <c r="I9375" s="501">
        <v>91</v>
      </c>
      <c r="J9375" s="501">
        <v>0</v>
      </c>
      <c r="K9375" s="501">
        <v>0</v>
      </c>
      <c r="L9375" s="501">
        <v>0</v>
      </c>
      <c r="M9375" s="501">
        <v>0</v>
      </c>
      <c r="N9375" s="501">
        <v>0</v>
      </c>
      <c r="O9375" s="506">
        <v>91</v>
      </c>
    </row>
    <row r="9376" spans="1:15" x14ac:dyDescent="0.35">
      <c r="A9376" s="503" t="s">
        <v>1107</v>
      </c>
      <c r="B9376" s="504" t="s">
        <v>3109</v>
      </c>
      <c r="C9376" s="504" t="s">
        <v>1094</v>
      </c>
      <c r="D9376" s="504" t="s">
        <v>3380</v>
      </c>
      <c r="E9376" s="504" t="s">
        <v>3381</v>
      </c>
      <c r="F9376" s="504" t="s">
        <v>1006</v>
      </c>
      <c r="G9376" s="504" t="s">
        <v>1007</v>
      </c>
      <c r="H9376" s="504" t="s">
        <v>10951</v>
      </c>
      <c r="I9376" s="504">
        <v>16</v>
      </c>
      <c r="J9376" s="504">
        <v>0</v>
      </c>
      <c r="K9376" s="504">
        <v>0</v>
      </c>
      <c r="L9376" s="504">
        <v>16</v>
      </c>
      <c r="M9376" s="504">
        <v>0</v>
      </c>
      <c r="N9376" s="504">
        <v>0</v>
      </c>
      <c r="O9376" s="505">
        <v>0</v>
      </c>
    </row>
    <row r="9377" spans="1:15" x14ac:dyDescent="0.35">
      <c r="A9377" s="500" t="s">
        <v>1109</v>
      </c>
      <c r="B9377" s="501" t="s">
        <v>2959</v>
      </c>
      <c r="C9377" s="501" t="s">
        <v>1094</v>
      </c>
      <c r="D9377" s="501" t="s">
        <v>3380</v>
      </c>
      <c r="E9377" s="501" t="s">
        <v>3381</v>
      </c>
      <c r="F9377" s="501" t="s">
        <v>1006</v>
      </c>
      <c r="G9377" s="501" t="s">
        <v>1007</v>
      </c>
      <c r="H9377" s="501" t="s">
        <v>10952</v>
      </c>
      <c r="I9377" s="501">
        <v>81</v>
      </c>
      <c r="J9377" s="501">
        <v>0</v>
      </c>
      <c r="K9377" s="501">
        <v>0</v>
      </c>
      <c r="L9377" s="501">
        <v>0</v>
      </c>
      <c r="M9377" s="501">
        <v>81</v>
      </c>
      <c r="N9377" s="501">
        <v>0</v>
      </c>
      <c r="O9377" s="506">
        <v>0</v>
      </c>
    </row>
    <row r="9378" spans="1:15" x14ac:dyDescent="0.35">
      <c r="A9378" s="503" t="s">
        <v>1988</v>
      </c>
      <c r="B9378" s="504" t="s">
        <v>3229</v>
      </c>
      <c r="C9378" s="504" t="s">
        <v>1089</v>
      </c>
      <c r="D9378" s="504" t="s">
        <v>3392</v>
      </c>
      <c r="E9378" s="504" t="s">
        <v>3381</v>
      </c>
      <c r="F9378" s="504" t="s">
        <v>1006</v>
      </c>
      <c r="G9378" s="504" t="s">
        <v>1007</v>
      </c>
      <c r="H9378" s="504" t="s">
        <v>10953</v>
      </c>
      <c r="I9378" s="504">
        <v>4</v>
      </c>
      <c r="J9378" s="504">
        <v>0</v>
      </c>
      <c r="K9378" s="504">
        <v>0</v>
      </c>
      <c r="L9378" s="504">
        <v>4</v>
      </c>
      <c r="M9378" s="504">
        <v>0</v>
      </c>
      <c r="N9378" s="504">
        <v>0</v>
      </c>
      <c r="O9378" s="505">
        <v>0</v>
      </c>
    </row>
    <row r="9379" spans="1:15" x14ac:dyDescent="0.35">
      <c r="A9379" s="500" t="s">
        <v>1111</v>
      </c>
      <c r="B9379" s="501">
        <v>4873</v>
      </c>
      <c r="C9379" s="501" t="s">
        <v>1094</v>
      </c>
      <c r="D9379" s="501" t="s">
        <v>3380</v>
      </c>
      <c r="E9379" s="501" t="s">
        <v>3381</v>
      </c>
      <c r="F9379" s="501" t="s">
        <v>1006</v>
      </c>
      <c r="G9379" s="501" t="s">
        <v>1007</v>
      </c>
      <c r="H9379" s="501" t="s">
        <v>10954</v>
      </c>
      <c r="I9379" s="501">
        <v>81</v>
      </c>
      <c r="J9379" s="501">
        <v>0</v>
      </c>
      <c r="K9379" s="501">
        <v>0</v>
      </c>
      <c r="L9379" s="501">
        <v>0</v>
      </c>
      <c r="M9379" s="501">
        <v>16</v>
      </c>
      <c r="N9379" s="501">
        <v>0</v>
      </c>
      <c r="O9379" s="506">
        <v>65</v>
      </c>
    </row>
    <row r="9380" spans="1:15" x14ac:dyDescent="0.35">
      <c r="A9380" s="503" t="s">
        <v>1202</v>
      </c>
      <c r="B9380" s="504" t="s">
        <v>3217</v>
      </c>
      <c r="C9380" s="504" t="s">
        <v>1094</v>
      </c>
      <c r="D9380" s="504" t="s">
        <v>3380</v>
      </c>
      <c r="E9380" s="504" t="s">
        <v>3381</v>
      </c>
      <c r="F9380" s="504" t="s">
        <v>1006</v>
      </c>
      <c r="G9380" s="504" t="s">
        <v>1007</v>
      </c>
      <c r="H9380" s="504" t="s">
        <v>10955</v>
      </c>
      <c r="I9380" s="504">
        <v>3</v>
      </c>
      <c r="J9380" s="504">
        <v>0</v>
      </c>
      <c r="K9380" s="504">
        <v>0</v>
      </c>
      <c r="L9380" s="504">
        <v>0</v>
      </c>
      <c r="M9380" s="504">
        <v>0</v>
      </c>
      <c r="N9380" s="504">
        <v>0</v>
      </c>
      <c r="O9380" s="505">
        <v>3</v>
      </c>
    </row>
    <row r="9381" spans="1:15" x14ac:dyDescent="0.35">
      <c r="A9381" s="500" t="s">
        <v>1992</v>
      </c>
      <c r="B9381" s="501" t="s">
        <v>3034</v>
      </c>
      <c r="C9381" s="501" t="s">
        <v>1089</v>
      </c>
      <c r="D9381" s="501" t="s">
        <v>3392</v>
      </c>
      <c r="E9381" s="501" t="s">
        <v>3381</v>
      </c>
      <c r="F9381" s="501" t="s">
        <v>1006</v>
      </c>
      <c r="G9381" s="501" t="s">
        <v>1007</v>
      </c>
      <c r="H9381" s="501" t="s">
        <v>10956</v>
      </c>
      <c r="I9381" s="501">
        <v>16</v>
      </c>
      <c r="J9381" s="501">
        <v>0</v>
      </c>
      <c r="K9381" s="501">
        <v>0</v>
      </c>
      <c r="L9381" s="501">
        <v>0</v>
      </c>
      <c r="M9381" s="501">
        <v>16</v>
      </c>
      <c r="N9381" s="501">
        <v>0</v>
      </c>
      <c r="O9381" s="506">
        <v>0</v>
      </c>
    </row>
    <row r="9382" spans="1:15" x14ac:dyDescent="0.35">
      <c r="A9382" s="503" t="s">
        <v>1994</v>
      </c>
      <c r="B9382" s="504" t="s">
        <v>3206</v>
      </c>
      <c r="C9382" s="504" t="s">
        <v>1094</v>
      </c>
      <c r="D9382" s="504" t="s">
        <v>3380</v>
      </c>
      <c r="E9382" s="504" t="s">
        <v>3381</v>
      </c>
      <c r="F9382" s="504" t="s">
        <v>1006</v>
      </c>
      <c r="G9382" s="504" t="s">
        <v>1007</v>
      </c>
      <c r="H9382" s="504" t="s">
        <v>10957</v>
      </c>
      <c r="I9382" s="504">
        <v>54</v>
      </c>
      <c r="J9382" s="504">
        <v>33</v>
      </c>
      <c r="K9382" s="504">
        <v>0</v>
      </c>
      <c r="L9382" s="504">
        <v>0</v>
      </c>
      <c r="M9382" s="504">
        <v>0</v>
      </c>
      <c r="N9382" s="504">
        <v>0</v>
      </c>
      <c r="O9382" s="505">
        <v>21</v>
      </c>
    </row>
    <row r="9383" spans="1:15" x14ac:dyDescent="0.35">
      <c r="A9383" s="500" t="s">
        <v>1114</v>
      </c>
      <c r="B9383" s="501" t="s">
        <v>2982</v>
      </c>
      <c r="C9383" s="501" t="s">
        <v>1094</v>
      </c>
      <c r="D9383" s="501" t="s">
        <v>3380</v>
      </c>
      <c r="E9383" s="501" t="s">
        <v>3381</v>
      </c>
      <c r="F9383" s="501" t="s">
        <v>1006</v>
      </c>
      <c r="G9383" s="501" t="s">
        <v>1007</v>
      </c>
      <c r="H9383" s="501" t="s">
        <v>10958</v>
      </c>
      <c r="I9383" s="501">
        <v>21</v>
      </c>
      <c r="J9383" s="501">
        <v>0</v>
      </c>
      <c r="K9383" s="501">
        <v>0</v>
      </c>
      <c r="L9383" s="501">
        <v>0</v>
      </c>
      <c r="M9383" s="501">
        <v>0</v>
      </c>
      <c r="N9383" s="501">
        <v>0</v>
      </c>
      <c r="O9383" s="506">
        <v>21</v>
      </c>
    </row>
    <row r="9384" spans="1:15" x14ac:dyDescent="0.35">
      <c r="A9384" s="503" t="s">
        <v>1320</v>
      </c>
      <c r="B9384" s="504">
        <v>4720</v>
      </c>
      <c r="C9384" s="504" t="s">
        <v>1089</v>
      </c>
      <c r="D9384" s="504" t="s">
        <v>3392</v>
      </c>
      <c r="E9384" s="504" t="s">
        <v>3381</v>
      </c>
      <c r="F9384" s="504" t="s">
        <v>1006</v>
      </c>
      <c r="G9384" s="504" t="s">
        <v>1007</v>
      </c>
      <c r="H9384" s="504" t="s">
        <v>11889</v>
      </c>
      <c r="I9384" s="504">
        <v>47</v>
      </c>
      <c r="J9384" s="504">
        <v>47</v>
      </c>
      <c r="K9384" s="504">
        <v>0</v>
      </c>
      <c r="L9384" s="504">
        <v>0</v>
      </c>
      <c r="M9384" s="504">
        <v>0</v>
      </c>
      <c r="N9384" s="504">
        <v>0</v>
      </c>
      <c r="O9384" s="505">
        <v>0</v>
      </c>
    </row>
    <row r="9385" spans="1:15" x14ac:dyDescent="0.35">
      <c r="A9385" s="500" t="s">
        <v>1122</v>
      </c>
      <c r="B9385" s="501" t="s">
        <v>2994</v>
      </c>
      <c r="C9385" s="501" t="s">
        <v>1094</v>
      </c>
      <c r="D9385" s="501" t="s">
        <v>3380</v>
      </c>
      <c r="E9385" s="501" t="s">
        <v>3381</v>
      </c>
      <c r="F9385" s="501" t="s">
        <v>1006</v>
      </c>
      <c r="G9385" s="501" t="s">
        <v>1007</v>
      </c>
      <c r="H9385" s="501" t="s">
        <v>10959</v>
      </c>
      <c r="I9385" s="501">
        <v>78</v>
      </c>
      <c r="J9385" s="501">
        <v>78</v>
      </c>
      <c r="K9385" s="501">
        <v>0</v>
      </c>
      <c r="L9385" s="501">
        <v>0</v>
      </c>
      <c r="M9385" s="501">
        <v>0</v>
      </c>
      <c r="N9385" s="501">
        <v>0</v>
      </c>
      <c r="O9385" s="506">
        <v>0</v>
      </c>
    </row>
    <row r="9386" spans="1:15" x14ac:dyDescent="0.35">
      <c r="A9386" s="503" t="s">
        <v>1225</v>
      </c>
      <c r="B9386" s="504" t="s">
        <v>3315</v>
      </c>
      <c r="C9386" s="504" t="s">
        <v>1094</v>
      </c>
      <c r="D9386" s="504" t="s">
        <v>3380</v>
      </c>
      <c r="E9386" s="504" t="s">
        <v>3381</v>
      </c>
      <c r="F9386" s="504" t="s">
        <v>1006</v>
      </c>
      <c r="G9386" s="504" t="s">
        <v>1007</v>
      </c>
      <c r="H9386" s="504" t="s">
        <v>10960</v>
      </c>
      <c r="I9386" s="504">
        <v>21</v>
      </c>
      <c r="J9386" s="504">
        <v>2</v>
      </c>
      <c r="K9386" s="504">
        <v>0</v>
      </c>
      <c r="L9386" s="504">
        <v>19</v>
      </c>
      <c r="M9386" s="504">
        <v>0</v>
      </c>
      <c r="N9386" s="504">
        <v>0</v>
      </c>
      <c r="O9386" s="505">
        <v>0</v>
      </c>
    </row>
    <row r="9387" spans="1:15" x14ac:dyDescent="0.35">
      <c r="A9387" s="500" t="s">
        <v>1233</v>
      </c>
      <c r="B9387" s="501">
        <v>4636</v>
      </c>
      <c r="C9387" s="501" t="s">
        <v>1094</v>
      </c>
      <c r="D9387" s="501" t="s">
        <v>3380</v>
      </c>
      <c r="E9387" s="501" t="s">
        <v>3381</v>
      </c>
      <c r="F9387" s="501" t="s">
        <v>1006</v>
      </c>
      <c r="G9387" s="501" t="s">
        <v>1007</v>
      </c>
      <c r="H9387" s="501" t="s">
        <v>10961</v>
      </c>
      <c r="I9387" s="501">
        <v>39</v>
      </c>
      <c r="J9387" s="501">
        <v>0</v>
      </c>
      <c r="K9387" s="501">
        <v>0</v>
      </c>
      <c r="L9387" s="501">
        <v>0</v>
      </c>
      <c r="M9387" s="501">
        <v>0</v>
      </c>
      <c r="N9387" s="501">
        <v>0</v>
      </c>
      <c r="O9387" s="506">
        <v>39</v>
      </c>
    </row>
    <row r="9388" spans="1:15" x14ac:dyDescent="0.35">
      <c r="A9388" s="503" t="s">
        <v>11368</v>
      </c>
      <c r="B9388" s="504">
        <v>5083</v>
      </c>
      <c r="C9388" s="504" t="s">
        <v>1094</v>
      </c>
      <c r="D9388" s="504" t="s">
        <v>3380</v>
      </c>
      <c r="E9388" s="504" t="s">
        <v>3381</v>
      </c>
      <c r="F9388" s="504" t="s">
        <v>1006</v>
      </c>
      <c r="G9388" s="504" t="s">
        <v>1007</v>
      </c>
      <c r="H9388" s="504" t="s">
        <v>12093</v>
      </c>
      <c r="I9388" s="504">
        <v>56</v>
      </c>
      <c r="J9388" s="504">
        <v>56</v>
      </c>
      <c r="K9388" s="504">
        <v>0</v>
      </c>
      <c r="L9388" s="504">
        <v>0</v>
      </c>
      <c r="M9388" s="504">
        <v>0</v>
      </c>
      <c r="N9388" s="504">
        <v>0</v>
      </c>
      <c r="O9388" s="505">
        <v>0</v>
      </c>
    </row>
    <row r="9389" spans="1:15" x14ac:dyDescent="0.35">
      <c r="A9389" s="500" t="s">
        <v>2009</v>
      </c>
      <c r="B9389" s="501" t="s">
        <v>2431</v>
      </c>
      <c r="C9389" s="501" t="s">
        <v>1089</v>
      </c>
      <c r="D9389" s="501" t="s">
        <v>3392</v>
      </c>
      <c r="E9389" s="501" t="s">
        <v>3381</v>
      </c>
      <c r="F9389" s="501" t="s">
        <v>1006</v>
      </c>
      <c r="G9389" s="501" t="s">
        <v>1007</v>
      </c>
      <c r="H9389" s="501" t="s">
        <v>10962</v>
      </c>
      <c r="I9389" s="501">
        <v>226</v>
      </c>
      <c r="J9389" s="501">
        <v>35</v>
      </c>
      <c r="K9389" s="501">
        <v>0</v>
      </c>
      <c r="L9389" s="501">
        <v>0</v>
      </c>
      <c r="M9389" s="501">
        <v>191</v>
      </c>
      <c r="N9389" s="501">
        <v>0</v>
      </c>
      <c r="O9389" s="506">
        <v>0</v>
      </c>
    </row>
    <row r="9390" spans="1:15" x14ac:dyDescent="0.35">
      <c r="A9390" s="503" t="s">
        <v>1234</v>
      </c>
      <c r="B9390" s="504" t="s">
        <v>3291</v>
      </c>
      <c r="C9390" s="504" t="s">
        <v>1094</v>
      </c>
      <c r="D9390" s="504" t="s">
        <v>3380</v>
      </c>
      <c r="E9390" s="504" t="s">
        <v>3381</v>
      </c>
      <c r="F9390" s="504" t="s">
        <v>1006</v>
      </c>
      <c r="G9390" s="504" t="s">
        <v>1007</v>
      </c>
      <c r="H9390" s="504" t="s">
        <v>10963</v>
      </c>
      <c r="I9390" s="504">
        <v>18</v>
      </c>
      <c r="J9390" s="504">
        <v>18</v>
      </c>
      <c r="K9390" s="504">
        <v>0</v>
      </c>
      <c r="L9390" s="504">
        <v>0</v>
      </c>
      <c r="M9390" s="504">
        <v>0</v>
      </c>
      <c r="N9390" s="504">
        <v>0</v>
      </c>
      <c r="O9390" s="505">
        <v>0</v>
      </c>
    </row>
    <row r="9391" spans="1:15" x14ac:dyDescent="0.35">
      <c r="A9391" s="500" t="s">
        <v>1126</v>
      </c>
      <c r="B9391" s="501" t="s">
        <v>2974</v>
      </c>
      <c r="C9391" s="501" t="s">
        <v>1094</v>
      </c>
      <c r="D9391" s="501" t="s">
        <v>3380</v>
      </c>
      <c r="E9391" s="501" t="s">
        <v>3381</v>
      </c>
      <c r="F9391" s="501" t="s">
        <v>1006</v>
      </c>
      <c r="G9391" s="501" t="s">
        <v>1007</v>
      </c>
      <c r="H9391" s="501" t="s">
        <v>10964</v>
      </c>
      <c r="I9391" s="501">
        <v>757</v>
      </c>
      <c r="J9391" s="501">
        <v>685</v>
      </c>
      <c r="K9391" s="501">
        <v>0</v>
      </c>
      <c r="L9391" s="501">
        <v>59</v>
      </c>
      <c r="M9391" s="501">
        <v>0</v>
      </c>
      <c r="N9391" s="501">
        <v>0</v>
      </c>
      <c r="O9391" s="506">
        <v>13</v>
      </c>
    </row>
    <row r="9392" spans="1:15" x14ac:dyDescent="0.35">
      <c r="A9392" s="503" t="s">
        <v>2010</v>
      </c>
      <c r="B9392" s="504" t="s">
        <v>3327</v>
      </c>
      <c r="C9392" s="504" t="s">
        <v>1094</v>
      </c>
      <c r="D9392" s="504" t="s">
        <v>3380</v>
      </c>
      <c r="E9392" s="504" t="s">
        <v>3381</v>
      </c>
      <c r="F9392" s="504" t="s">
        <v>1006</v>
      </c>
      <c r="G9392" s="504" t="s">
        <v>1007</v>
      </c>
      <c r="H9392" s="504" t="s">
        <v>10965</v>
      </c>
      <c r="I9392" s="504">
        <v>6333</v>
      </c>
      <c r="J9392" s="504">
        <v>4637</v>
      </c>
      <c r="K9392" s="504">
        <v>0</v>
      </c>
      <c r="L9392" s="504">
        <v>82</v>
      </c>
      <c r="M9392" s="504">
        <v>1415</v>
      </c>
      <c r="N9392" s="504">
        <v>3</v>
      </c>
      <c r="O9392" s="505">
        <v>199</v>
      </c>
    </row>
    <row r="9393" spans="1:15" x14ac:dyDescent="0.35">
      <c r="A9393" s="500" t="s">
        <v>1898</v>
      </c>
      <c r="B9393" s="501" t="s">
        <v>3148</v>
      </c>
      <c r="C9393" s="501" t="s">
        <v>1094</v>
      </c>
      <c r="D9393" s="501" t="s">
        <v>3380</v>
      </c>
      <c r="E9393" s="501" t="s">
        <v>3381</v>
      </c>
      <c r="F9393" s="501" t="s">
        <v>1006</v>
      </c>
      <c r="G9393" s="501" t="s">
        <v>1007</v>
      </c>
      <c r="H9393" s="501" t="s">
        <v>10966</v>
      </c>
      <c r="I9393" s="501">
        <v>117</v>
      </c>
      <c r="J9393" s="501">
        <v>99</v>
      </c>
      <c r="K9393" s="501">
        <v>0</v>
      </c>
      <c r="L9393" s="501">
        <v>0</v>
      </c>
      <c r="M9393" s="501">
        <v>0</v>
      </c>
      <c r="N9393" s="501">
        <v>0</v>
      </c>
      <c r="O9393" s="506">
        <v>18</v>
      </c>
    </row>
    <row r="9394" spans="1:15" x14ac:dyDescent="0.35">
      <c r="A9394" s="503" t="s">
        <v>2017</v>
      </c>
      <c r="B9394" s="504" t="s">
        <v>3101</v>
      </c>
      <c r="C9394" s="504" t="s">
        <v>1089</v>
      </c>
      <c r="D9394" s="504" t="s">
        <v>3392</v>
      </c>
      <c r="E9394" s="504" t="s">
        <v>3381</v>
      </c>
      <c r="F9394" s="504" t="s">
        <v>1006</v>
      </c>
      <c r="G9394" s="504" t="s">
        <v>1007</v>
      </c>
      <c r="H9394" s="504" t="s">
        <v>10967</v>
      </c>
      <c r="I9394" s="504">
        <v>20</v>
      </c>
      <c r="J9394" s="504">
        <v>20</v>
      </c>
      <c r="K9394" s="504">
        <v>0</v>
      </c>
      <c r="L9394" s="504">
        <v>0</v>
      </c>
      <c r="M9394" s="504">
        <v>0</v>
      </c>
      <c r="N9394" s="504">
        <v>0</v>
      </c>
      <c r="O9394" s="505">
        <v>0</v>
      </c>
    </row>
    <row r="9395" spans="1:15" x14ac:dyDescent="0.35">
      <c r="A9395" s="500" t="s">
        <v>1132</v>
      </c>
      <c r="B9395" s="501">
        <v>4837</v>
      </c>
      <c r="C9395" s="501" t="s">
        <v>1094</v>
      </c>
      <c r="D9395" s="501" t="s">
        <v>3380</v>
      </c>
      <c r="E9395" s="501" t="s">
        <v>3381</v>
      </c>
      <c r="F9395" s="501" t="s">
        <v>1006</v>
      </c>
      <c r="G9395" s="501" t="s">
        <v>1007</v>
      </c>
      <c r="H9395" s="501" t="s">
        <v>10968</v>
      </c>
      <c r="I9395" s="501">
        <v>2171</v>
      </c>
      <c r="J9395" s="501">
        <v>1751</v>
      </c>
      <c r="K9395" s="501">
        <v>0</v>
      </c>
      <c r="L9395" s="501">
        <v>29</v>
      </c>
      <c r="M9395" s="501">
        <v>0</v>
      </c>
      <c r="N9395" s="501">
        <v>0</v>
      </c>
      <c r="O9395" s="506">
        <v>391</v>
      </c>
    </row>
    <row r="9396" spans="1:15" x14ac:dyDescent="0.35">
      <c r="A9396" s="503" t="s">
        <v>1240</v>
      </c>
      <c r="B9396" s="504" t="s">
        <v>2972</v>
      </c>
      <c r="C9396" s="504" t="s">
        <v>1094</v>
      </c>
      <c r="D9396" s="504" t="s">
        <v>3380</v>
      </c>
      <c r="E9396" s="504" t="s">
        <v>3381</v>
      </c>
      <c r="F9396" s="504" t="s">
        <v>1006</v>
      </c>
      <c r="G9396" s="504" t="s">
        <v>1007</v>
      </c>
      <c r="H9396" s="504" t="s">
        <v>10969</v>
      </c>
      <c r="I9396" s="504">
        <v>455</v>
      </c>
      <c r="J9396" s="504">
        <v>403</v>
      </c>
      <c r="K9396" s="504">
        <v>0</v>
      </c>
      <c r="L9396" s="504">
        <v>0</v>
      </c>
      <c r="M9396" s="504">
        <v>30</v>
      </c>
      <c r="N9396" s="504">
        <v>0</v>
      </c>
      <c r="O9396" s="505">
        <v>22</v>
      </c>
    </row>
    <row r="9397" spans="1:15" x14ac:dyDescent="0.35">
      <c r="A9397" s="500" t="s">
        <v>1241</v>
      </c>
      <c r="B9397" s="501">
        <v>4717</v>
      </c>
      <c r="C9397" s="501" t="s">
        <v>1094</v>
      </c>
      <c r="D9397" s="501" t="s">
        <v>3380</v>
      </c>
      <c r="E9397" s="501" t="s">
        <v>3381</v>
      </c>
      <c r="F9397" s="501" t="s">
        <v>1006</v>
      </c>
      <c r="G9397" s="501" t="s">
        <v>1007</v>
      </c>
      <c r="H9397" s="501" t="s">
        <v>10970</v>
      </c>
      <c r="I9397" s="501">
        <v>358</v>
      </c>
      <c r="J9397" s="501">
        <v>334</v>
      </c>
      <c r="K9397" s="501">
        <v>0</v>
      </c>
      <c r="L9397" s="501">
        <v>8</v>
      </c>
      <c r="M9397" s="501">
        <v>0</v>
      </c>
      <c r="N9397" s="501">
        <v>0</v>
      </c>
      <c r="O9397" s="506">
        <v>16</v>
      </c>
    </row>
    <row r="9398" spans="1:15" x14ac:dyDescent="0.35">
      <c r="A9398" s="503" t="s">
        <v>1134</v>
      </c>
      <c r="B9398" s="504" t="s">
        <v>3066</v>
      </c>
      <c r="C9398" s="504" t="s">
        <v>1094</v>
      </c>
      <c r="D9398" s="504" t="s">
        <v>3380</v>
      </c>
      <c r="E9398" s="504" t="s">
        <v>3381</v>
      </c>
      <c r="F9398" s="504" t="s">
        <v>1006</v>
      </c>
      <c r="G9398" s="504" t="s">
        <v>1007</v>
      </c>
      <c r="H9398" s="504" t="s">
        <v>10971</v>
      </c>
      <c r="I9398" s="504">
        <v>711</v>
      </c>
      <c r="J9398" s="504">
        <v>582</v>
      </c>
      <c r="K9398" s="504">
        <v>0</v>
      </c>
      <c r="L9398" s="504">
        <v>23</v>
      </c>
      <c r="M9398" s="504">
        <v>73</v>
      </c>
      <c r="N9398" s="504">
        <v>0</v>
      </c>
      <c r="O9398" s="505">
        <v>33</v>
      </c>
    </row>
    <row r="9399" spans="1:15" x14ac:dyDescent="0.35">
      <c r="A9399" s="500" t="s">
        <v>1136</v>
      </c>
      <c r="B9399" s="501">
        <v>4680</v>
      </c>
      <c r="C9399" s="501" t="s">
        <v>1094</v>
      </c>
      <c r="D9399" s="501" t="s">
        <v>3380</v>
      </c>
      <c r="E9399" s="501" t="s">
        <v>3381</v>
      </c>
      <c r="F9399" s="501" t="s">
        <v>1006</v>
      </c>
      <c r="G9399" s="501" t="s">
        <v>1007</v>
      </c>
      <c r="H9399" s="501" t="s">
        <v>10972</v>
      </c>
      <c r="I9399" s="501">
        <v>360</v>
      </c>
      <c r="J9399" s="501">
        <v>274</v>
      </c>
      <c r="K9399" s="501">
        <v>0</v>
      </c>
      <c r="L9399" s="501">
        <v>0</v>
      </c>
      <c r="M9399" s="501">
        <v>0</v>
      </c>
      <c r="N9399" s="501">
        <v>0</v>
      </c>
      <c r="O9399" s="506">
        <v>86</v>
      </c>
    </row>
    <row r="9400" spans="1:15" x14ac:dyDescent="0.35">
      <c r="A9400" s="503" t="s">
        <v>2027</v>
      </c>
      <c r="B9400" s="504" t="s">
        <v>2902</v>
      </c>
      <c r="C9400" s="504" t="s">
        <v>1089</v>
      </c>
      <c r="D9400" s="504" t="s">
        <v>3392</v>
      </c>
      <c r="E9400" s="504" t="s">
        <v>3381</v>
      </c>
      <c r="F9400" s="504" t="s">
        <v>1006</v>
      </c>
      <c r="G9400" s="504" t="s">
        <v>1007</v>
      </c>
      <c r="H9400" s="504" t="s">
        <v>10973</v>
      </c>
      <c r="I9400" s="504">
        <v>12</v>
      </c>
      <c r="J9400" s="504">
        <v>0</v>
      </c>
      <c r="K9400" s="504">
        <v>0</v>
      </c>
      <c r="L9400" s="504">
        <v>0</v>
      </c>
      <c r="M9400" s="504">
        <v>12</v>
      </c>
      <c r="N9400" s="504">
        <v>0</v>
      </c>
      <c r="O9400" s="505">
        <v>0</v>
      </c>
    </row>
    <row r="9401" spans="1:15" x14ac:dyDescent="0.35">
      <c r="A9401" s="500" t="s">
        <v>1245</v>
      </c>
      <c r="B9401" s="501" t="s">
        <v>2859</v>
      </c>
      <c r="C9401" s="501" t="s">
        <v>1094</v>
      </c>
      <c r="D9401" s="501" t="s">
        <v>3380</v>
      </c>
      <c r="E9401" s="501" t="s">
        <v>3381</v>
      </c>
      <c r="F9401" s="501" t="s">
        <v>1006</v>
      </c>
      <c r="G9401" s="501" t="s">
        <v>1007</v>
      </c>
      <c r="H9401" s="501" t="s">
        <v>10974</v>
      </c>
      <c r="I9401" s="501">
        <v>69</v>
      </c>
      <c r="J9401" s="501">
        <v>0</v>
      </c>
      <c r="K9401" s="501">
        <v>0</v>
      </c>
      <c r="L9401" s="501">
        <v>0</v>
      </c>
      <c r="M9401" s="501">
        <v>69</v>
      </c>
      <c r="N9401" s="501">
        <v>0</v>
      </c>
      <c r="O9401" s="506">
        <v>0</v>
      </c>
    </row>
    <row r="9402" spans="1:15" x14ac:dyDescent="0.35">
      <c r="A9402" s="503" t="s">
        <v>2039</v>
      </c>
      <c r="B9402" s="504" t="s">
        <v>2561</v>
      </c>
      <c r="C9402" s="504" t="s">
        <v>1089</v>
      </c>
      <c r="D9402" s="504" t="s">
        <v>3392</v>
      </c>
      <c r="E9402" s="504" t="s">
        <v>3381</v>
      </c>
      <c r="F9402" s="504" t="s">
        <v>1006</v>
      </c>
      <c r="G9402" s="504" t="s">
        <v>1007</v>
      </c>
      <c r="H9402" s="504" t="s">
        <v>10975</v>
      </c>
      <c r="I9402" s="504">
        <v>49</v>
      </c>
      <c r="J9402" s="504">
        <v>0</v>
      </c>
      <c r="K9402" s="504">
        <v>0</v>
      </c>
      <c r="L9402" s="504">
        <v>0</v>
      </c>
      <c r="M9402" s="504">
        <v>49</v>
      </c>
      <c r="N9402" s="504">
        <v>0</v>
      </c>
      <c r="O9402" s="505">
        <v>0</v>
      </c>
    </row>
    <row r="9403" spans="1:15" x14ac:dyDescent="0.35">
      <c r="A9403" s="500" t="s">
        <v>2040</v>
      </c>
      <c r="B9403" s="501" t="s">
        <v>2626</v>
      </c>
      <c r="C9403" s="501" t="s">
        <v>1089</v>
      </c>
      <c r="D9403" s="501" t="s">
        <v>3392</v>
      </c>
      <c r="E9403" s="501" t="s">
        <v>3381</v>
      </c>
      <c r="F9403" s="501" t="s">
        <v>1006</v>
      </c>
      <c r="G9403" s="501" t="s">
        <v>1007</v>
      </c>
      <c r="H9403" s="501" t="s">
        <v>10976</v>
      </c>
      <c r="I9403" s="501">
        <v>12</v>
      </c>
      <c r="J9403" s="501">
        <v>12</v>
      </c>
      <c r="K9403" s="501">
        <v>0</v>
      </c>
      <c r="L9403" s="501">
        <v>0</v>
      </c>
      <c r="M9403" s="501">
        <v>0</v>
      </c>
      <c r="N9403" s="501">
        <v>0</v>
      </c>
      <c r="O9403" s="506">
        <v>0</v>
      </c>
    </row>
    <row r="9404" spans="1:15" x14ac:dyDescent="0.35">
      <c r="A9404" s="503" t="s">
        <v>1249</v>
      </c>
      <c r="B9404" s="504">
        <v>4729</v>
      </c>
      <c r="C9404" s="504" t="s">
        <v>1094</v>
      </c>
      <c r="D9404" s="504" t="s">
        <v>3380</v>
      </c>
      <c r="E9404" s="504" t="s">
        <v>3381</v>
      </c>
      <c r="F9404" s="504" t="s">
        <v>1006</v>
      </c>
      <c r="G9404" s="504" t="s">
        <v>1007</v>
      </c>
      <c r="H9404" s="504" t="s">
        <v>10977</v>
      </c>
      <c r="I9404" s="504">
        <v>846</v>
      </c>
      <c r="J9404" s="504">
        <v>767</v>
      </c>
      <c r="K9404" s="504">
        <v>0</v>
      </c>
      <c r="L9404" s="504">
        <v>1</v>
      </c>
      <c r="M9404" s="504">
        <v>37</v>
      </c>
      <c r="N9404" s="504">
        <v>0</v>
      </c>
      <c r="O9404" s="505">
        <v>41</v>
      </c>
    </row>
    <row r="9405" spans="1:15" x14ac:dyDescent="0.35">
      <c r="A9405" s="500" t="s">
        <v>1138</v>
      </c>
      <c r="B9405" s="501" t="s">
        <v>2998</v>
      </c>
      <c r="C9405" s="501" t="s">
        <v>1094</v>
      </c>
      <c r="D9405" s="501" t="s">
        <v>3380</v>
      </c>
      <c r="E9405" s="501" t="s">
        <v>3381</v>
      </c>
      <c r="F9405" s="501" t="s">
        <v>1006</v>
      </c>
      <c r="G9405" s="501" t="s">
        <v>1007</v>
      </c>
      <c r="H9405" s="501" t="s">
        <v>10978</v>
      </c>
      <c r="I9405" s="501">
        <v>873</v>
      </c>
      <c r="J9405" s="501">
        <v>559</v>
      </c>
      <c r="K9405" s="501">
        <v>0</v>
      </c>
      <c r="L9405" s="501">
        <v>4</v>
      </c>
      <c r="M9405" s="501">
        <v>0</v>
      </c>
      <c r="N9405" s="501">
        <v>0</v>
      </c>
      <c r="O9405" s="506">
        <v>310</v>
      </c>
    </row>
    <row r="9406" spans="1:15" x14ac:dyDescent="0.35">
      <c r="A9406" s="503" t="s">
        <v>1371</v>
      </c>
      <c r="B9406" s="504" t="s">
        <v>2891</v>
      </c>
      <c r="C9406" s="504" t="s">
        <v>1089</v>
      </c>
      <c r="D9406" s="504" t="s">
        <v>3392</v>
      </c>
      <c r="E9406" s="504" t="s">
        <v>3381</v>
      </c>
      <c r="F9406" s="504" t="s">
        <v>1006</v>
      </c>
      <c r="G9406" s="504" t="s">
        <v>1007</v>
      </c>
      <c r="H9406" s="504" t="s">
        <v>10979</v>
      </c>
      <c r="I9406" s="504">
        <v>10</v>
      </c>
      <c r="J9406" s="504">
        <v>0</v>
      </c>
      <c r="K9406" s="504">
        <v>0</v>
      </c>
      <c r="L9406" s="504">
        <v>10</v>
      </c>
      <c r="M9406" s="504">
        <v>0</v>
      </c>
      <c r="N9406" s="504">
        <v>0</v>
      </c>
      <c r="O9406" s="505">
        <v>0</v>
      </c>
    </row>
    <row r="9407" spans="1:15" x14ac:dyDescent="0.35">
      <c r="A9407" s="500" t="s">
        <v>1140</v>
      </c>
      <c r="B9407" s="501">
        <v>4850</v>
      </c>
      <c r="C9407" s="501" t="s">
        <v>1094</v>
      </c>
      <c r="D9407" s="501" t="s">
        <v>3380</v>
      </c>
      <c r="E9407" s="501" t="s">
        <v>3381</v>
      </c>
      <c r="F9407" s="501" t="s">
        <v>1006</v>
      </c>
      <c r="G9407" s="501" t="s">
        <v>1007</v>
      </c>
      <c r="H9407" s="501" t="s">
        <v>15303</v>
      </c>
      <c r="I9407" s="501">
        <v>18</v>
      </c>
      <c r="J9407" s="501">
        <v>10</v>
      </c>
      <c r="K9407" s="501">
        <v>0</v>
      </c>
      <c r="L9407" s="501">
        <v>0</v>
      </c>
      <c r="M9407" s="501">
        <v>0</v>
      </c>
      <c r="N9407" s="501">
        <v>0</v>
      </c>
      <c r="O9407" s="506">
        <v>8</v>
      </c>
    </row>
    <row r="9408" spans="1:15" x14ac:dyDescent="0.35">
      <c r="A9408" s="503" t="s">
        <v>2050</v>
      </c>
      <c r="B9408" s="504">
        <v>4826</v>
      </c>
      <c r="C9408" s="504" t="s">
        <v>1094</v>
      </c>
      <c r="D9408" s="504" t="s">
        <v>3380</v>
      </c>
      <c r="E9408" s="504" t="s">
        <v>3381</v>
      </c>
      <c r="F9408" s="504" t="s">
        <v>1006</v>
      </c>
      <c r="G9408" s="504" t="s">
        <v>1007</v>
      </c>
      <c r="H9408" s="504" t="s">
        <v>10980</v>
      </c>
      <c r="I9408" s="504">
        <v>5</v>
      </c>
      <c r="J9408" s="504">
        <v>5</v>
      </c>
      <c r="K9408" s="504">
        <v>0</v>
      </c>
      <c r="L9408" s="504">
        <v>0</v>
      </c>
      <c r="M9408" s="504">
        <v>0</v>
      </c>
      <c r="N9408" s="504">
        <v>0</v>
      </c>
      <c r="O9408" s="505">
        <v>0</v>
      </c>
    </row>
    <row r="9409" spans="1:15" x14ac:dyDescent="0.35">
      <c r="A9409" s="500" t="s">
        <v>2051</v>
      </c>
      <c r="B9409" s="501" t="s">
        <v>3115</v>
      </c>
      <c r="C9409" s="501" t="s">
        <v>1089</v>
      </c>
      <c r="D9409" s="501" t="s">
        <v>3392</v>
      </c>
      <c r="E9409" s="501" t="s">
        <v>3381</v>
      </c>
      <c r="F9409" s="501" t="s">
        <v>1006</v>
      </c>
      <c r="G9409" s="501" t="s">
        <v>1007</v>
      </c>
      <c r="H9409" s="501" t="s">
        <v>10981</v>
      </c>
      <c r="I9409" s="501">
        <v>238</v>
      </c>
      <c r="J9409" s="501">
        <v>238</v>
      </c>
      <c r="K9409" s="501">
        <v>0</v>
      </c>
      <c r="L9409" s="501">
        <v>0</v>
      </c>
      <c r="M9409" s="501">
        <v>0</v>
      </c>
      <c r="N9409" s="501">
        <v>0</v>
      </c>
      <c r="O9409" s="506">
        <v>0</v>
      </c>
    </row>
    <row r="9410" spans="1:15" x14ac:dyDescent="0.35">
      <c r="A9410" s="503" t="s">
        <v>1156</v>
      </c>
      <c r="B9410" s="504" t="s">
        <v>3310</v>
      </c>
      <c r="C9410" s="504" t="s">
        <v>1094</v>
      </c>
      <c r="D9410" s="504" t="s">
        <v>3380</v>
      </c>
      <c r="E9410" s="504" t="s">
        <v>3381</v>
      </c>
      <c r="F9410" s="504" t="s">
        <v>1006</v>
      </c>
      <c r="G9410" s="504" t="s">
        <v>1007</v>
      </c>
      <c r="H9410" s="504" t="s">
        <v>10936</v>
      </c>
      <c r="I9410" s="504">
        <v>44</v>
      </c>
      <c r="J9410" s="504">
        <v>0</v>
      </c>
      <c r="K9410" s="504">
        <v>0</v>
      </c>
      <c r="L9410" s="504">
        <v>0</v>
      </c>
      <c r="M9410" s="504">
        <v>24</v>
      </c>
      <c r="N9410" s="504">
        <v>0</v>
      </c>
      <c r="O9410" s="505">
        <v>20</v>
      </c>
    </row>
    <row r="9411" spans="1:15" x14ac:dyDescent="0.35">
      <c r="A9411" s="500" t="s">
        <v>1791</v>
      </c>
      <c r="B9411" s="501" t="s">
        <v>3367</v>
      </c>
      <c r="C9411" s="501" t="s">
        <v>1089</v>
      </c>
      <c r="D9411" s="501" t="s">
        <v>3392</v>
      </c>
      <c r="E9411" s="501" t="s">
        <v>3381</v>
      </c>
      <c r="F9411" s="501" t="s">
        <v>1008</v>
      </c>
      <c r="G9411" s="501" t="s">
        <v>1009</v>
      </c>
      <c r="H9411" s="501" t="s">
        <v>10982</v>
      </c>
      <c r="I9411" s="501">
        <v>8</v>
      </c>
      <c r="J9411" s="501">
        <v>0</v>
      </c>
      <c r="K9411" s="501">
        <v>8</v>
      </c>
      <c r="L9411" s="501">
        <v>0</v>
      </c>
      <c r="M9411" s="501">
        <v>0</v>
      </c>
      <c r="N9411" s="501">
        <v>0</v>
      </c>
      <c r="O9411" s="506">
        <v>0</v>
      </c>
    </row>
    <row r="9412" spans="1:15" x14ac:dyDescent="0.35">
      <c r="A9412" s="503" t="s">
        <v>1386</v>
      </c>
      <c r="B9412" s="504" t="s">
        <v>3331</v>
      </c>
      <c r="C9412" s="504" t="s">
        <v>1094</v>
      </c>
      <c r="D9412" s="504" t="s">
        <v>3380</v>
      </c>
      <c r="E9412" s="504" t="s">
        <v>3381</v>
      </c>
      <c r="F9412" s="504" t="s">
        <v>1008</v>
      </c>
      <c r="G9412" s="504" t="s">
        <v>1009</v>
      </c>
      <c r="H9412" s="504" t="s">
        <v>10983</v>
      </c>
      <c r="I9412" s="504">
        <v>1006</v>
      </c>
      <c r="J9412" s="504">
        <v>879</v>
      </c>
      <c r="K9412" s="504">
        <v>0</v>
      </c>
      <c r="L9412" s="504">
        <v>89</v>
      </c>
      <c r="M9412" s="504">
        <v>0</v>
      </c>
      <c r="N9412" s="504">
        <v>1</v>
      </c>
      <c r="O9412" s="505">
        <v>38</v>
      </c>
    </row>
    <row r="9413" spans="1:15" x14ac:dyDescent="0.35">
      <c r="A9413" s="500" t="s">
        <v>1091</v>
      </c>
      <c r="B9413" s="501" t="s">
        <v>3288</v>
      </c>
      <c r="C9413" s="501" t="s">
        <v>1089</v>
      </c>
      <c r="D9413" s="501" t="s">
        <v>3392</v>
      </c>
      <c r="E9413" s="501" t="s">
        <v>3381</v>
      </c>
      <c r="F9413" s="501" t="s">
        <v>1008</v>
      </c>
      <c r="G9413" s="501" t="s">
        <v>1009</v>
      </c>
      <c r="H9413" s="501" t="s">
        <v>10984</v>
      </c>
      <c r="I9413" s="501">
        <v>2</v>
      </c>
      <c r="J9413" s="501">
        <v>0</v>
      </c>
      <c r="K9413" s="501">
        <v>0</v>
      </c>
      <c r="L9413" s="501">
        <v>2</v>
      </c>
      <c r="M9413" s="501">
        <v>0</v>
      </c>
      <c r="N9413" s="501">
        <v>0</v>
      </c>
      <c r="O9413" s="506">
        <v>0</v>
      </c>
    </row>
    <row r="9414" spans="1:15" x14ac:dyDescent="0.35">
      <c r="A9414" s="503" t="s">
        <v>14127</v>
      </c>
      <c r="B9414" s="504" t="s">
        <v>14126</v>
      </c>
      <c r="C9414" s="504" t="s">
        <v>1094</v>
      </c>
      <c r="D9414" s="504" t="s">
        <v>3380</v>
      </c>
      <c r="E9414" s="504" t="s">
        <v>3381</v>
      </c>
      <c r="F9414" s="504" t="s">
        <v>1008</v>
      </c>
      <c r="G9414" s="504" t="s">
        <v>1009</v>
      </c>
      <c r="H9414" s="504" t="s">
        <v>15304</v>
      </c>
      <c r="I9414" s="504">
        <v>154</v>
      </c>
      <c r="J9414" s="504">
        <v>150</v>
      </c>
      <c r="K9414" s="504">
        <v>0</v>
      </c>
      <c r="L9414" s="504">
        <v>0</v>
      </c>
      <c r="M9414" s="504">
        <v>0</v>
      </c>
      <c r="N9414" s="504">
        <v>0</v>
      </c>
      <c r="O9414" s="505">
        <v>4</v>
      </c>
    </row>
    <row r="9415" spans="1:15" x14ac:dyDescent="0.35">
      <c r="A9415" s="500" t="s">
        <v>1093</v>
      </c>
      <c r="B9415" s="501" t="s">
        <v>3248</v>
      </c>
      <c r="C9415" s="501" t="s">
        <v>1094</v>
      </c>
      <c r="D9415" s="501" t="s">
        <v>3380</v>
      </c>
      <c r="E9415" s="501" t="s">
        <v>3381</v>
      </c>
      <c r="F9415" s="501" t="s">
        <v>1008</v>
      </c>
      <c r="G9415" s="501" t="s">
        <v>1009</v>
      </c>
      <c r="H9415" s="501" t="s">
        <v>10985</v>
      </c>
      <c r="I9415" s="501">
        <v>9</v>
      </c>
      <c r="J9415" s="501">
        <v>0</v>
      </c>
      <c r="K9415" s="501">
        <v>0</v>
      </c>
      <c r="L9415" s="501">
        <v>5</v>
      </c>
      <c r="M9415" s="501">
        <v>0</v>
      </c>
      <c r="N9415" s="501">
        <v>0</v>
      </c>
      <c r="O9415" s="506">
        <v>4</v>
      </c>
    </row>
    <row r="9416" spans="1:15" x14ac:dyDescent="0.35">
      <c r="A9416" s="503" t="s">
        <v>1096</v>
      </c>
      <c r="B9416" s="504" t="s">
        <v>3326</v>
      </c>
      <c r="C9416" s="504" t="s">
        <v>1094</v>
      </c>
      <c r="D9416" s="504" t="s">
        <v>3380</v>
      </c>
      <c r="E9416" s="504" t="s">
        <v>3381</v>
      </c>
      <c r="F9416" s="504" t="s">
        <v>1008</v>
      </c>
      <c r="G9416" s="504" t="s">
        <v>1009</v>
      </c>
      <c r="H9416" s="504" t="s">
        <v>10986</v>
      </c>
      <c r="I9416" s="504">
        <v>87</v>
      </c>
      <c r="J9416" s="504">
        <v>0</v>
      </c>
      <c r="K9416" s="504">
        <v>0</v>
      </c>
      <c r="L9416" s="504">
        <v>0</v>
      </c>
      <c r="M9416" s="504">
        <v>87</v>
      </c>
      <c r="N9416" s="504">
        <v>0</v>
      </c>
      <c r="O9416" s="505">
        <v>0</v>
      </c>
    </row>
    <row r="9417" spans="1:15" x14ac:dyDescent="0.35">
      <c r="A9417" s="500" t="s">
        <v>1098</v>
      </c>
      <c r="B9417" s="501">
        <v>4691</v>
      </c>
      <c r="C9417" s="501" t="s">
        <v>1094</v>
      </c>
      <c r="D9417" s="501" t="s">
        <v>3380</v>
      </c>
      <c r="E9417" s="501" t="s">
        <v>3381</v>
      </c>
      <c r="F9417" s="501" t="s">
        <v>1008</v>
      </c>
      <c r="G9417" s="501" t="s">
        <v>1009</v>
      </c>
      <c r="H9417" s="501" t="s">
        <v>15305</v>
      </c>
      <c r="I9417" s="501">
        <v>13</v>
      </c>
      <c r="J9417" s="501">
        <v>8</v>
      </c>
      <c r="K9417" s="501">
        <v>0</v>
      </c>
      <c r="L9417" s="501">
        <v>0</v>
      </c>
      <c r="M9417" s="501">
        <v>0</v>
      </c>
      <c r="N9417" s="501">
        <v>0</v>
      </c>
      <c r="O9417" s="506">
        <v>5</v>
      </c>
    </row>
    <row r="9418" spans="1:15" x14ac:dyDescent="0.35">
      <c r="A9418" s="503" t="s">
        <v>11363</v>
      </c>
      <c r="B9418" s="504">
        <v>4718</v>
      </c>
      <c r="C9418" s="504" t="s">
        <v>1094</v>
      </c>
      <c r="D9418" s="504" t="s">
        <v>3380</v>
      </c>
      <c r="E9418" s="504" t="s">
        <v>3381</v>
      </c>
      <c r="F9418" s="504" t="s">
        <v>1008</v>
      </c>
      <c r="G9418" s="504" t="s">
        <v>1009</v>
      </c>
      <c r="H9418" s="504" t="s">
        <v>15306</v>
      </c>
      <c r="I9418" s="504">
        <v>2</v>
      </c>
      <c r="J9418" s="504">
        <v>0</v>
      </c>
      <c r="K9418" s="504">
        <v>0</v>
      </c>
      <c r="L9418" s="504">
        <v>2</v>
      </c>
      <c r="M9418" s="504">
        <v>0</v>
      </c>
      <c r="N9418" s="504">
        <v>0</v>
      </c>
      <c r="O9418" s="505">
        <v>0</v>
      </c>
    </row>
    <row r="9419" spans="1:15" x14ac:dyDescent="0.35">
      <c r="A9419" s="500" t="s">
        <v>1808</v>
      </c>
      <c r="B9419" s="501" t="s">
        <v>3242</v>
      </c>
      <c r="C9419" s="501" t="s">
        <v>1094</v>
      </c>
      <c r="D9419" s="501" t="s">
        <v>3380</v>
      </c>
      <c r="E9419" s="501" t="s">
        <v>3381</v>
      </c>
      <c r="F9419" s="501" t="s">
        <v>1008</v>
      </c>
      <c r="G9419" s="501" t="s">
        <v>1009</v>
      </c>
      <c r="H9419" s="501" t="s">
        <v>10987</v>
      </c>
      <c r="I9419" s="501">
        <v>8</v>
      </c>
      <c r="J9419" s="501">
        <v>8</v>
      </c>
      <c r="K9419" s="501">
        <v>0</v>
      </c>
      <c r="L9419" s="501">
        <v>0</v>
      </c>
      <c r="M9419" s="501">
        <v>0</v>
      </c>
      <c r="N9419" s="501">
        <v>0</v>
      </c>
      <c r="O9419" s="506">
        <v>0</v>
      </c>
    </row>
    <row r="9420" spans="1:15" x14ac:dyDescent="0.35">
      <c r="A9420" s="503" t="s">
        <v>1100</v>
      </c>
      <c r="B9420" s="504">
        <v>4865</v>
      </c>
      <c r="C9420" s="504" t="s">
        <v>1094</v>
      </c>
      <c r="D9420" s="504" t="s">
        <v>3380</v>
      </c>
      <c r="E9420" s="504" t="s">
        <v>3381</v>
      </c>
      <c r="F9420" s="504" t="s">
        <v>1008</v>
      </c>
      <c r="G9420" s="504" t="s">
        <v>1009</v>
      </c>
      <c r="H9420" s="504" t="s">
        <v>10988</v>
      </c>
      <c r="I9420" s="504">
        <v>32</v>
      </c>
      <c r="J9420" s="504">
        <v>22</v>
      </c>
      <c r="K9420" s="504">
        <v>0</v>
      </c>
      <c r="L9420" s="504">
        <v>10</v>
      </c>
      <c r="M9420" s="504">
        <v>0</v>
      </c>
      <c r="N9420" s="504">
        <v>0</v>
      </c>
      <c r="O9420" s="505">
        <v>0</v>
      </c>
    </row>
    <row r="9421" spans="1:15" x14ac:dyDescent="0.35">
      <c r="A9421" s="500" t="s">
        <v>14208</v>
      </c>
      <c r="B9421" s="501">
        <v>4803</v>
      </c>
      <c r="C9421" s="501" t="s">
        <v>1094</v>
      </c>
      <c r="D9421" s="501" t="s">
        <v>3380</v>
      </c>
      <c r="E9421" s="501" t="s">
        <v>3381</v>
      </c>
      <c r="F9421" s="501" t="s">
        <v>1008</v>
      </c>
      <c r="G9421" s="501" t="s">
        <v>1009</v>
      </c>
      <c r="H9421" s="501" t="s">
        <v>15307</v>
      </c>
      <c r="I9421" s="501">
        <v>8</v>
      </c>
      <c r="J9421" s="501">
        <v>0</v>
      </c>
      <c r="K9421" s="501">
        <v>0</v>
      </c>
      <c r="L9421" s="501">
        <v>8</v>
      </c>
      <c r="M9421" s="501">
        <v>0</v>
      </c>
      <c r="N9421" s="501">
        <v>0</v>
      </c>
      <c r="O9421" s="506">
        <v>0</v>
      </c>
    </row>
    <row r="9422" spans="1:15" x14ac:dyDescent="0.35">
      <c r="A9422" s="503" t="s">
        <v>1444</v>
      </c>
      <c r="B9422" s="504">
        <v>4743</v>
      </c>
      <c r="C9422" s="504" t="s">
        <v>1089</v>
      </c>
      <c r="D9422" s="504" t="s">
        <v>3392</v>
      </c>
      <c r="E9422" s="504" t="s">
        <v>3381</v>
      </c>
      <c r="F9422" s="504" t="s">
        <v>1008</v>
      </c>
      <c r="G9422" s="504" t="s">
        <v>1009</v>
      </c>
      <c r="H9422" s="504" t="s">
        <v>10989</v>
      </c>
      <c r="I9422" s="504">
        <v>133</v>
      </c>
      <c r="J9422" s="504">
        <v>133</v>
      </c>
      <c r="K9422" s="504">
        <v>0</v>
      </c>
      <c r="L9422" s="504">
        <v>0</v>
      </c>
      <c r="M9422" s="504">
        <v>0</v>
      </c>
      <c r="N9422" s="504">
        <v>0</v>
      </c>
      <c r="O9422" s="505">
        <v>0</v>
      </c>
    </row>
    <row r="9423" spans="1:15" x14ac:dyDescent="0.35">
      <c r="A9423" s="500" t="s">
        <v>1105</v>
      </c>
      <c r="B9423" s="501">
        <v>4668</v>
      </c>
      <c r="C9423" s="501" t="s">
        <v>1094</v>
      </c>
      <c r="D9423" s="501" t="s">
        <v>3380</v>
      </c>
      <c r="E9423" s="501" t="s">
        <v>3381</v>
      </c>
      <c r="F9423" s="501" t="s">
        <v>1008</v>
      </c>
      <c r="G9423" s="501" t="s">
        <v>1009</v>
      </c>
      <c r="H9423" s="501" t="s">
        <v>10990</v>
      </c>
      <c r="I9423" s="501">
        <v>15</v>
      </c>
      <c r="J9423" s="501">
        <v>0</v>
      </c>
      <c r="K9423" s="501">
        <v>0</v>
      </c>
      <c r="L9423" s="501">
        <v>0</v>
      </c>
      <c r="M9423" s="501">
        <v>0</v>
      </c>
      <c r="N9423" s="501">
        <v>0</v>
      </c>
      <c r="O9423" s="506">
        <v>15</v>
      </c>
    </row>
    <row r="9424" spans="1:15" x14ac:dyDescent="0.35">
      <c r="A9424" s="503" t="s">
        <v>1107</v>
      </c>
      <c r="B9424" s="504" t="s">
        <v>3109</v>
      </c>
      <c r="C9424" s="504" t="s">
        <v>1094</v>
      </c>
      <c r="D9424" s="504" t="s">
        <v>3380</v>
      </c>
      <c r="E9424" s="504" t="s">
        <v>3381</v>
      </c>
      <c r="F9424" s="504" t="s">
        <v>1008</v>
      </c>
      <c r="G9424" s="504" t="s">
        <v>1009</v>
      </c>
      <c r="H9424" s="504" t="s">
        <v>10991</v>
      </c>
      <c r="I9424" s="504">
        <v>86</v>
      </c>
      <c r="J9424" s="504">
        <v>27</v>
      </c>
      <c r="K9424" s="504">
        <v>0</v>
      </c>
      <c r="L9424" s="504">
        <v>42</v>
      </c>
      <c r="M9424" s="504">
        <v>0</v>
      </c>
      <c r="N9424" s="504">
        <v>0</v>
      </c>
      <c r="O9424" s="505">
        <v>17</v>
      </c>
    </row>
    <row r="9425" spans="1:15" x14ac:dyDescent="0.35">
      <c r="A9425" s="500" t="s">
        <v>1109</v>
      </c>
      <c r="B9425" s="501" t="s">
        <v>2959</v>
      </c>
      <c r="C9425" s="501" t="s">
        <v>1094</v>
      </c>
      <c r="D9425" s="501" t="s">
        <v>3380</v>
      </c>
      <c r="E9425" s="501" t="s">
        <v>3381</v>
      </c>
      <c r="F9425" s="501" t="s">
        <v>1008</v>
      </c>
      <c r="G9425" s="501" t="s">
        <v>1009</v>
      </c>
      <c r="H9425" s="501" t="s">
        <v>10992</v>
      </c>
      <c r="I9425" s="501">
        <v>135</v>
      </c>
      <c r="J9425" s="501">
        <v>0</v>
      </c>
      <c r="K9425" s="501">
        <v>0</v>
      </c>
      <c r="L9425" s="501">
        <v>0</v>
      </c>
      <c r="M9425" s="501">
        <v>135</v>
      </c>
      <c r="N9425" s="501">
        <v>0</v>
      </c>
      <c r="O9425" s="506">
        <v>0</v>
      </c>
    </row>
    <row r="9426" spans="1:15" x14ac:dyDescent="0.35">
      <c r="A9426" s="503" t="s">
        <v>1189</v>
      </c>
      <c r="B9426" s="504" t="s">
        <v>3236</v>
      </c>
      <c r="C9426" s="504" t="s">
        <v>1094</v>
      </c>
      <c r="D9426" s="504" t="s">
        <v>3380</v>
      </c>
      <c r="E9426" s="504" t="s">
        <v>3381</v>
      </c>
      <c r="F9426" s="504" t="s">
        <v>1008</v>
      </c>
      <c r="G9426" s="504" t="s">
        <v>1009</v>
      </c>
      <c r="H9426" s="504" t="s">
        <v>10993</v>
      </c>
      <c r="I9426" s="504">
        <v>162</v>
      </c>
      <c r="J9426" s="504">
        <v>122</v>
      </c>
      <c r="K9426" s="504">
        <v>0</v>
      </c>
      <c r="L9426" s="504">
        <v>16</v>
      </c>
      <c r="M9426" s="504">
        <v>0</v>
      </c>
      <c r="N9426" s="504">
        <v>0</v>
      </c>
      <c r="O9426" s="505">
        <v>24</v>
      </c>
    </row>
    <row r="9427" spans="1:15" x14ac:dyDescent="0.35">
      <c r="A9427" s="500" t="s">
        <v>1863</v>
      </c>
      <c r="B9427" s="501" t="s">
        <v>3173</v>
      </c>
      <c r="C9427" s="501" t="s">
        <v>1094</v>
      </c>
      <c r="D9427" s="501" t="s">
        <v>3380</v>
      </c>
      <c r="E9427" s="501" t="s">
        <v>3381</v>
      </c>
      <c r="F9427" s="501" t="s">
        <v>1008</v>
      </c>
      <c r="G9427" s="501" t="s">
        <v>1009</v>
      </c>
      <c r="H9427" s="501" t="s">
        <v>10994</v>
      </c>
      <c r="I9427" s="501">
        <v>85</v>
      </c>
      <c r="J9427" s="501">
        <v>60</v>
      </c>
      <c r="K9427" s="501">
        <v>0</v>
      </c>
      <c r="L9427" s="501">
        <v>0</v>
      </c>
      <c r="M9427" s="501">
        <v>0</v>
      </c>
      <c r="N9427" s="501">
        <v>0</v>
      </c>
      <c r="O9427" s="506">
        <v>25</v>
      </c>
    </row>
    <row r="9428" spans="1:15" x14ac:dyDescent="0.35">
      <c r="A9428" s="503" t="s">
        <v>1112</v>
      </c>
      <c r="B9428" s="504" t="s">
        <v>3008</v>
      </c>
      <c r="C9428" s="504" t="s">
        <v>1094</v>
      </c>
      <c r="D9428" s="504" t="s">
        <v>3380</v>
      </c>
      <c r="E9428" s="504" t="s">
        <v>3381</v>
      </c>
      <c r="F9428" s="504" t="s">
        <v>1008</v>
      </c>
      <c r="G9428" s="504" t="s">
        <v>1009</v>
      </c>
      <c r="H9428" s="504" t="s">
        <v>10995</v>
      </c>
      <c r="I9428" s="504">
        <v>50</v>
      </c>
      <c r="J9428" s="504">
        <v>27</v>
      </c>
      <c r="K9428" s="504">
        <v>0</v>
      </c>
      <c r="L9428" s="504">
        <v>0</v>
      </c>
      <c r="M9428" s="504">
        <v>0</v>
      </c>
      <c r="N9428" s="504">
        <v>0</v>
      </c>
      <c r="O9428" s="505">
        <v>23</v>
      </c>
    </row>
    <row r="9429" spans="1:15" x14ac:dyDescent="0.35">
      <c r="A9429" s="500" t="s">
        <v>1126</v>
      </c>
      <c r="B9429" s="501" t="s">
        <v>2974</v>
      </c>
      <c r="C9429" s="501" t="s">
        <v>1094</v>
      </c>
      <c r="D9429" s="501" t="s">
        <v>3380</v>
      </c>
      <c r="E9429" s="501" t="s">
        <v>3381</v>
      </c>
      <c r="F9429" s="501" t="s">
        <v>1008</v>
      </c>
      <c r="G9429" s="501" t="s">
        <v>1009</v>
      </c>
      <c r="H9429" s="501" t="s">
        <v>10996</v>
      </c>
      <c r="I9429" s="501">
        <v>15</v>
      </c>
      <c r="J9429" s="501">
        <v>0</v>
      </c>
      <c r="K9429" s="501">
        <v>0</v>
      </c>
      <c r="L9429" s="501">
        <v>15</v>
      </c>
      <c r="M9429" s="501">
        <v>0</v>
      </c>
      <c r="N9429" s="501">
        <v>0</v>
      </c>
      <c r="O9429" s="506">
        <v>0</v>
      </c>
    </row>
    <row r="9430" spans="1:15" x14ac:dyDescent="0.35">
      <c r="A9430" s="503" t="s">
        <v>1132</v>
      </c>
      <c r="B9430" s="504">
        <v>4837</v>
      </c>
      <c r="C9430" s="504" t="s">
        <v>1094</v>
      </c>
      <c r="D9430" s="504" t="s">
        <v>3380</v>
      </c>
      <c r="E9430" s="504" t="s">
        <v>3381</v>
      </c>
      <c r="F9430" s="504" t="s">
        <v>1008</v>
      </c>
      <c r="G9430" s="504" t="s">
        <v>1009</v>
      </c>
      <c r="H9430" s="504" t="s">
        <v>10997</v>
      </c>
      <c r="I9430" s="504">
        <v>477</v>
      </c>
      <c r="J9430" s="504">
        <v>339</v>
      </c>
      <c r="K9430" s="504">
        <v>0</v>
      </c>
      <c r="L9430" s="504">
        <v>10</v>
      </c>
      <c r="M9430" s="504">
        <v>0</v>
      </c>
      <c r="N9430" s="504">
        <v>0</v>
      </c>
      <c r="O9430" s="505">
        <v>128</v>
      </c>
    </row>
    <row r="9431" spans="1:15" x14ac:dyDescent="0.35">
      <c r="A9431" s="500" t="s">
        <v>1240</v>
      </c>
      <c r="B9431" s="501" t="s">
        <v>2972</v>
      </c>
      <c r="C9431" s="501" t="s">
        <v>1094</v>
      </c>
      <c r="D9431" s="501" t="s">
        <v>3380</v>
      </c>
      <c r="E9431" s="501" t="s">
        <v>3381</v>
      </c>
      <c r="F9431" s="501" t="s">
        <v>1008</v>
      </c>
      <c r="G9431" s="501" t="s">
        <v>1009</v>
      </c>
      <c r="H9431" s="501" t="s">
        <v>15308</v>
      </c>
      <c r="I9431" s="501">
        <v>6</v>
      </c>
      <c r="J9431" s="501">
        <v>0</v>
      </c>
      <c r="K9431" s="501">
        <v>0</v>
      </c>
      <c r="L9431" s="501">
        <v>0</v>
      </c>
      <c r="M9431" s="501">
        <v>0</v>
      </c>
      <c r="N9431" s="501">
        <v>0</v>
      </c>
      <c r="O9431" s="506">
        <v>6</v>
      </c>
    </row>
    <row r="9432" spans="1:15" x14ac:dyDescent="0.35">
      <c r="A9432" s="503" t="s">
        <v>1241</v>
      </c>
      <c r="B9432" s="504">
        <v>4717</v>
      </c>
      <c r="C9432" s="504" t="s">
        <v>1094</v>
      </c>
      <c r="D9432" s="504" t="s">
        <v>3380</v>
      </c>
      <c r="E9432" s="504" t="s">
        <v>3381</v>
      </c>
      <c r="F9432" s="504" t="s">
        <v>1008</v>
      </c>
      <c r="G9432" s="504" t="s">
        <v>1009</v>
      </c>
      <c r="H9432" s="504" t="s">
        <v>10998</v>
      </c>
      <c r="I9432" s="504">
        <v>54</v>
      </c>
      <c r="J9432" s="504">
        <v>54</v>
      </c>
      <c r="K9432" s="504">
        <v>0</v>
      </c>
      <c r="L9432" s="504">
        <v>0</v>
      </c>
      <c r="M9432" s="504">
        <v>0</v>
      </c>
      <c r="N9432" s="504">
        <v>0</v>
      </c>
      <c r="O9432" s="505">
        <v>0</v>
      </c>
    </row>
    <row r="9433" spans="1:15" x14ac:dyDescent="0.35">
      <c r="A9433" s="500" t="s">
        <v>1134</v>
      </c>
      <c r="B9433" s="501" t="s">
        <v>3066</v>
      </c>
      <c r="C9433" s="501" t="s">
        <v>1094</v>
      </c>
      <c r="D9433" s="501" t="s">
        <v>3380</v>
      </c>
      <c r="E9433" s="501" t="s">
        <v>3381</v>
      </c>
      <c r="F9433" s="501" t="s">
        <v>1008</v>
      </c>
      <c r="G9433" s="501" t="s">
        <v>1009</v>
      </c>
      <c r="H9433" s="501" t="s">
        <v>10999</v>
      </c>
      <c r="I9433" s="501">
        <v>8</v>
      </c>
      <c r="J9433" s="501">
        <v>8</v>
      </c>
      <c r="K9433" s="501">
        <v>0</v>
      </c>
      <c r="L9433" s="501">
        <v>0</v>
      </c>
      <c r="M9433" s="501">
        <v>0</v>
      </c>
      <c r="N9433" s="501">
        <v>0</v>
      </c>
      <c r="O9433" s="506">
        <v>0</v>
      </c>
    </row>
    <row r="9434" spans="1:15" x14ac:dyDescent="0.35">
      <c r="A9434" s="503" t="s">
        <v>1136</v>
      </c>
      <c r="B9434" s="504">
        <v>4680</v>
      </c>
      <c r="C9434" s="504" t="s">
        <v>1094</v>
      </c>
      <c r="D9434" s="504" t="s">
        <v>3380</v>
      </c>
      <c r="E9434" s="504" t="s">
        <v>3381</v>
      </c>
      <c r="F9434" s="504" t="s">
        <v>1008</v>
      </c>
      <c r="G9434" s="504" t="s">
        <v>1009</v>
      </c>
      <c r="H9434" s="504" t="s">
        <v>11000</v>
      </c>
      <c r="I9434" s="504">
        <v>68</v>
      </c>
      <c r="J9434" s="504">
        <v>47</v>
      </c>
      <c r="K9434" s="504">
        <v>0</v>
      </c>
      <c r="L9434" s="504">
        <v>0</v>
      </c>
      <c r="M9434" s="504">
        <v>0</v>
      </c>
      <c r="N9434" s="504">
        <v>0</v>
      </c>
      <c r="O9434" s="505">
        <v>21</v>
      </c>
    </row>
    <row r="9435" spans="1:15" x14ac:dyDescent="0.35">
      <c r="A9435" s="500" t="s">
        <v>1908</v>
      </c>
      <c r="B9435" s="501" t="s">
        <v>2916</v>
      </c>
      <c r="C9435" s="501" t="s">
        <v>1089</v>
      </c>
      <c r="D9435" s="501" t="s">
        <v>3392</v>
      </c>
      <c r="E9435" s="501" t="s">
        <v>3381</v>
      </c>
      <c r="F9435" s="501" t="s">
        <v>1008</v>
      </c>
      <c r="G9435" s="501" t="s">
        <v>1009</v>
      </c>
      <c r="H9435" s="501" t="s">
        <v>11001</v>
      </c>
      <c r="I9435" s="501">
        <v>10</v>
      </c>
      <c r="J9435" s="501">
        <v>0</v>
      </c>
      <c r="K9435" s="501">
        <v>0</v>
      </c>
      <c r="L9435" s="501">
        <v>0</v>
      </c>
      <c r="M9435" s="501">
        <v>10</v>
      </c>
      <c r="N9435" s="501">
        <v>0</v>
      </c>
      <c r="O9435" s="506">
        <v>0</v>
      </c>
    </row>
    <row r="9436" spans="1:15" x14ac:dyDescent="0.35">
      <c r="A9436" s="503" t="s">
        <v>1249</v>
      </c>
      <c r="B9436" s="504">
        <v>4729</v>
      </c>
      <c r="C9436" s="504" t="s">
        <v>1094</v>
      </c>
      <c r="D9436" s="504" t="s">
        <v>3380</v>
      </c>
      <c r="E9436" s="504" t="s">
        <v>3381</v>
      </c>
      <c r="F9436" s="504" t="s">
        <v>1008</v>
      </c>
      <c r="G9436" s="504" t="s">
        <v>1009</v>
      </c>
      <c r="H9436" s="504" t="s">
        <v>11002</v>
      </c>
      <c r="I9436" s="504">
        <v>51</v>
      </c>
      <c r="J9436" s="504">
        <v>49</v>
      </c>
      <c r="K9436" s="504">
        <v>0</v>
      </c>
      <c r="L9436" s="504">
        <v>0</v>
      </c>
      <c r="M9436" s="504">
        <v>0</v>
      </c>
      <c r="N9436" s="504">
        <v>0</v>
      </c>
      <c r="O9436" s="505">
        <v>2</v>
      </c>
    </row>
    <row r="9437" spans="1:15" x14ac:dyDescent="0.35">
      <c r="A9437" s="500" t="s">
        <v>1138</v>
      </c>
      <c r="B9437" s="501" t="s">
        <v>2998</v>
      </c>
      <c r="C9437" s="501" t="s">
        <v>1094</v>
      </c>
      <c r="D9437" s="501" t="s">
        <v>3380</v>
      </c>
      <c r="E9437" s="501" t="s">
        <v>3381</v>
      </c>
      <c r="F9437" s="501" t="s">
        <v>1008</v>
      </c>
      <c r="G9437" s="501" t="s">
        <v>1009</v>
      </c>
      <c r="H9437" s="501" t="s">
        <v>11003</v>
      </c>
      <c r="I9437" s="501">
        <v>351</v>
      </c>
      <c r="J9437" s="501">
        <v>267</v>
      </c>
      <c r="K9437" s="501">
        <v>0</v>
      </c>
      <c r="L9437" s="501">
        <v>0</v>
      </c>
      <c r="M9437" s="501">
        <v>0</v>
      </c>
      <c r="N9437" s="501">
        <v>0</v>
      </c>
      <c r="O9437" s="506">
        <v>84</v>
      </c>
    </row>
    <row r="9438" spans="1:15" x14ac:dyDescent="0.35">
      <c r="A9438" s="503" t="s">
        <v>1930</v>
      </c>
      <c r="B9438" s="504" t="s">
        <v>3313</v>
      </c>
      <c r="C9438" s="504" t="s">
        <v>1089</v>
      </c>
      <c r="D9438" s="504" t="s">
        <v>3392</v>
      </c>
      <c r="E9438" s="504" t="s">
        <v>3381</v>
      </c>
      <c r="F9438" s="504" t="s">
        <v>1008</v>
      </c>
      <c r="G9438" s="504" t="s">
        <v>1009</v>
      </c>
      <c r="H9438" s="504" t="s">
        <v>11004</v>
      </c>
      <c r="I9438" s="504">
        <v>41</v>
      </c>
      <c r="J9438" s="504">
        <v>0</v>
      </c>
      <c r="K9438" s="504">
        <v>0</v>
      </c>
      <c r="L9438" s="504">
        <v>41</v>
      </c>
      <c r="M9438" s="504">
        <v>0</v>
      </c>
      <c r="N9438" s="504">
        <v>0</v>
      </c>
      <c r="O9438" s="505">
        <v>0</v>
      </c>
    </row>
    <row r="9439" spans="1:15" x14ac:dyDescent="0.35">
      <c r="A9439" s="500" t="s">
        <v>1140</v>
      </c>
      <c r="B9439" s="501">
        <v>4850</v>
      </c>
      <c r="C9439" s="501" t="s">
        <v>1094</v>
      </c>
      <c r="D9439" s="501" t="s">
        <v>3380</v>
      </c>
      <c r="E9439" s="501" t="s">
        <v>3381</v>
      </c>
      <c r="F9439" s="501" t="s">
        <v>1008</v>
      </c>
      <c r="G9439" s="501" t="s">
        <v>1009</v>
      </c>
      <c r="H9439" s="501" t="s">
        <v>11005</v>
      </c>
      <c r="I9439" s="501">
        <v>791</v>
      </c>
      <c r="J9439" s="501">
        <v>478</v>
      </c>
      <c r="K9439" s="501">
        <v>0</v>
      </c>
      <c r="L9439" s="501">
        <v>0</v>
      </c>
      <c r="M9439" s="501">
        <v>12</v>
      </c>
      <c r="N9439" s="501">
        <v>0</v>
      </c>
      <c r="O9439" s="506">
        <v>301</v>
      </c>
    </row>
    <row r="9440" spans="1:15" x14ac:dyDescent="0.35">
      <c r="A9440" s="503" t="s">
        <v>1939</v>
      </c>
      <c r="B9440" s="504">
        <v>4692</v>
      </c>
      <c r="C9440" s="504" t="s">
        <v>1089</v>
      </c>
      <c r="D9440" s="504" t="s">
        <v>3392</v>
      </c>
      <c r="E9440" s="504" t="s">
        <v>3381</v>
      </c>
      <c r="F9440" s="504" t="s">
        <v>1008</v>
      </c>
      <c r="G9440" s="504" t="s">
        <v>1009</v>
      </c>
      <c r="H9440" s="504" t="s">
        <v>11006</v>
      </c>
      <c r="I9440" s="504">
        <v>4</v>
      </c>
      <c r="J9440" s="504">
        <v>4</v>
      </c>
      <c r="K9440" s="504">
        <v>0</v>
      </c>
      <c r="L9440" s="504">
        <v>0</v>
      </c>
      <c r="M9440" s="504">
        <v>0</v>
      </c>
      <c r="N9440" s="504">
        <v>0</v>
      </c>
      <c r="O9440" s="505">
        <v>0</v>
      </c>
    </row>
    <row r="9441" spans="1:15" x14ac:dyDescent="0.35">
      <c r="A9441" s="500" t="s">
        <v>1940</v>
      </c>
      <c r="B9441" s="501" t="s">
        <v>3106</v>
      </c>
      <c r="C9441" s="501" t="s">
        <v>1089</v>
      </c>
      <c r="D9441" s="501" t="s">
        <v>3392</v>
      </c>
      <c r="E9441" s="501" t="s">
        <v>3381</v>
      </c>
      <c r="F9441" s="501" t="s">
        <v>1008</v>
      </c>
      <c r="G9441" s="501" t="s">
        <v>1009</v>
      </c>
      <c r="H9441" s="501" t="s">
        <v>11007</v>
      </c>
      <c r="I9441" s="501">
        <v>92</v>
      </c>
      <c r="J9441" s="501">
        <v>92</v>
      </c>
      <c r="K9441" s="501">
        <v>0</v>
      </c>
      <c r="L9441" s="501">
        <v>0</v>
      </c>
      <c r="M9441" s="501">
        <v>0</v>
      </c>
      <c r="N9441" s="501">
        <v>0</v>
      </c>
      <c r="O9441" s="506">
        <v>0</v>
      </c>
    </row>
    <row r="9442" spans="1:15" x14ac:dyDescent="0.35">
      <c r="A9442" s="503" t="s">
        <v>1386</v>
      </c>
      <c r="B9442" s="504" t="s">
        <v>3331</v>
      </c>
      <c r="C9442" s="504" t="s">
        <v>1094</v>
      </c>
      <c r="D9442" s="504" t="s">
        <v>3380</v>
      </c>
      <c r="E9442" s="504" t="s">
        <v>3381</v>
      </c>
      <c r="F9442" s="504" t="s">
        <v>1010</v>
      </c>
      <c r="G9442" s="504" t="s">
        <v>1011</v>
      </c>
      <c r="H9442" s="504" t="s">
        <v>11008</v>
      </c>
      <c r="I9442" s="504">
        <v>291</v>
      </c>
      <c r="J9442" s="504">
        <v>245</v>
      </c>
      <c r="K9442" s="504">
        <v>0</v>
      </c>
      <c r="L9442" s="504">
        <v>0</v>
      </c>
      <c r="M9442" s="504">
        <v>46</v>
      </c>
      <c r="N9442" s="504">
        <v>0</v>
      </c>
      <c r="O9442" s="505">
        <v>0</v>
      </c>
    </row>
    <row r="9443" spans="1:15" x14ac:dyDescent="0.35">
      <c r="A9443" s="500" t="s">
        <v>14127</v>
      </c>
      <c r="B9443" s="501" t="s">
        <v>14126</v>
      </c>
      <c r="C9443" s="501" t="s">
        <v>1094</v>
      </c>
      <c r="D9443" s="501" t="s">
        <v>3380</v>
      </c>
      <c r="E9443" s="501" t="s">
        <v>3381</v>
      </c>
      <c r="F9443" s="501" t="s">
        <v>1010</v>
      </c>
      <c r="G9443" s="501" t="s">
        <v>1011</v>
      </c>
      <c r="H9443" s="501" t="s">
        <v>15309</v>
      </c>
      <c r="I9443" s="501">
        <v>3252</v>
      </c>
      <c r="J9443" s="501">
        <v>2789</v>
      </c>
      <c r="K9443" s="501">
        <v>16</v>
      </c>
      <c r="L9443" s="501">
        <v>25</v>
      </c>
      <c r="M9443" s="501">
        <v>399</v>
      </c>
      <c r="N9443" s="501">
        <v>0</v>
      </c>
      <c r="O9443" s="506">
        <v>23</v>
      </c>
    </row>
    <row r="9444" spans="1:15" x14ac:dyDescent="0.35">
      <c r="A9444" s="503" t="s">
        <v>1093</v>
      </c>
      <c r="B9444" s="504" t="s">
        <v>3248</v>
      </c>
      <c r="C9444" s="504" t="s">
        <v>1094</v>
      </c>
      <c r="D9444" s="504" t="s">
        <v>3380</v>
      </c>
      <c r="E9444" s="504" t="s">
        <v>3381</v>
      </c>
      <c r="F9444" s="504" t="s">
        <v>1010</v>
      </c>
      <c r="G9444" s="504" t="s">
        <v>1011</v>
      </c>
      <c r="H9444" s="504" t="s">
        <v>11009</v>
      </c>
      <c r="I9444" s="504">
        <v>16</v>
      </c>
      <c r="J9444" s="504">
        <v>0</v>
      </c>
      <c r="K9444" s="504">
        <v>0</v>
      </c>
      <c r="L9444" s="504">
        <v>16</v>
      </c>
      <c r="M9444" s="504">
        <v>0</v>
      </c>
      <c r="N9444" s="504">
        <v>0</v>
      </c>
      <c r="O9444" s="505">
        <v>0</v>
      </c>
    </row>
    <row r="9445" spans="1:15" x14ac:dyDescent="0.35">
      <c r="A9445" s="500" t="s">
        <v>1096</v>
      </c>
      <c r="B9445" s="501" t="s">
        <v>3326</v>
      </c>
      <c r="C9445" s="501" t="s">
        <v>1094</v>
      </c>
      <c r="D9445" s="501" t="s">
        <v>3380</v>
      </c>
      <c r="E9445" s="501" t="s">
        <v>3381</v>
      </c>
      <c r="F9445" s="501" t="s">
        <v>1010</v>
      </c>
      <c r="G9445" s="501" t="s">
        <v>1011</v>
      </c>
      <c r="H9445" s="501" t="s">
        <v>11010</v>
      </c>
      <c r="I9445" s="501">
        <v>145</v>
      </c>
      <c r="J9445" s="501">
        <v>0</v>
      </c>
      <c r="K9445" s="501">
        <v>0</v>
      </c>
      <c r="L9445" s="501">
        <v>0</v>
      </c>
      <c r="M9445" s="501">
        <v>145</v>
      </c>
      <c r="N9445" s="501">
        <v>0</v>
      </c>
      <c r="O9445" s="506">
        <v>0</v>
      </c>
    </row>
    <row r="9446" spans="1:15" x14ac:dyDescent="0.35">
      <c r="A9446" s="503" t="s">
        <v>1277</v>
      </c>
      <c r="B9446" s="504" t="s">
        <v>3056</v>
      </c>
      <c r="C9446" s="504" t="s">
        <v>1089</v>
      </c>
      <c r="D9446" s="504" t="s">
        <v>3392</v>
      </c>
      <c r="E9446" s="504" t="s">
        <v>3381</v>
      </c>
      <c r="F9446" s="504" t="s">
        <v>1010</v>
      </c>
      <c r="G9446" s="504" t="s">
        <v>1011</v>
      </c>
      <c r="H9446" s="504" t="s">
        <v>11011</v>
      </c>
      <c r="I9446" s="504">
        <v>3</v>
      </c>
      <c r="J9446" s="504">
        <v>0</v>
      </c>
      <c r="K9446" s="504">
        <v>0</v>
      </c>
      <c r="L9446" s="504">
        <v>3</v>
      </c>
      <c r="M9446" s="504">
        <v>0</v>
      </c>
      <c r="N9446" s="504">
        <v>0</v>
      </c>
      <c r="O9446" s="505">
        <v>0</v>
      </c>
    </row>
    <row r="9447" spans="1:15" x14ac:dyDescent="0.35">
      <c r="A9447" s="500" t="s">
        <v>1161</v>
      </c>
      <c r="B9447" s="501" t="s">
        <v>3001</v>
      </c>
      <c r="C9447" s="501" t="s">
        <v>1094</v>
      </c>
      <c r="D9447" s="501" t="s">
        <v>3380</v>
      </c>
      <c r="E9447" s="501" t="s">
        <v>3381</v>
      </c>
      <c r="F9447" s="501" t="s">
        <v>1010</v>
      </c>
      <c r="G9447" s="501" t="s">
        <v>1011</v>
      </c>
      <c r="H9447" s="501" t="s">
        <v>11012</v>
      </c>
      <c r="I9447" s="501">
        <v>4</v>
      </c>
      <c r="J9447" s="501">
        <v>2</v>
      </c>
      <c r="K9447" s="501">
        <v>0</v>
      </c>
      <c r="L9447" s="501">
        <v>0</v>
      </c>
      <c r="M9447" s="501">
        <v>0</v>
      </c>
      <c r="N9447" s="501">
        <v>0</v>
      </c>
      <c r="O9447" s="506">
        <v>2</v>
      </c>
    </row>
    <row r="9448" spans="1:15" x14ac:dyDescent="0.35">
      <c r="A9448" s="503" t="s">
        <v>1107</v>
      </c>
      <c r="B9448" s="504" t="s">
        <v>3109</v>
      </c>
      <c r="C9448" s="504" t="s">
        <v>1094</v>
      </c>
      <c r="D9448" s="504" t="s">
        <v>3380</v>
      </c>
      <c r="E9448" s="504" t="s">
        <v>3381</v>
      </c>
      <c r="F9448" s="504" t="s">
        <v>1010</v>
      </c>
      <c r="G9448" s="504" t="s">
        <v>1011</v>
      </c>
      <c r="H9448" s="504" t="s">
        <v>11013</v>
      </c>
      <c r="I9448" s="504">
        <v>9</v>
      </c>
      <c r="J9448" s="504">
        <v>9</v>
      </c>
      <c r="K9448" s="504">
        <v>0</v>
      </c>
      <c r="L9448" s="504">
        <v>0</v>
      </c>
      <c r="M9448" s="504">
        <v>0</v>
      </c>
      <c r="N9448" s="504">
        <v>0</v>
      </c>
      <c r="O9448" s="505">
        <v>0</v>
      </c>
    </row>
    <row r="9449" spans="1:15" x14ac:dyDescent="0.35">
      <c r="A9449" s="500" t="s">
        <v>1305</v>
      </c>
      <c r="B9449" s="501" t="s">
        <v>3144</v>
      </c>
      <c r="C9449" s="501" t="s">
        <v>1094</v>
      </c>
      <c r="D9449" s="501" t="s">
        <v>3380</v>
      </c>
      <c r="E9449" s="501" t="s">
        <v>3381</v>
      </c>
      <c r="F9449" s="501" t="s">
        <v>1010</v>
      </c>
      <c r="G9449" s="501" t="s">
        <v>1011</v>
      </c>
      <c r="H9449" s="501" t="s">
        <v>11014</v>
      </c>
      <c r="I9449" s="501">
        <v>3561</v>
      </c>
      <c r="J9449" s="501">
        <v>3012</v>
      </c>
      <c r="K9449" s="501">
        <v>0</v>
      </c>
      <c r="L9449" s="501">
        <v>101</v>
      </c>
      <c r="M9449" s="501">
        <v>270</v>
      </c>
      <c r="N9449" s="501">
        <v>0</v>
      </c>
      <c r="O9449" s="506">
        <v>178</v>
      </c>
    </row>
    <row r="9450" spans="1:15" x14ac:dyDescent="0.35">
      <c r="A9450" s="503" t="s">
        <v>14237</v>
      </c>
      <c r="B9450" s="504" t="s">
        <v>14236</v>
      </c>
      <c r="C9450" s="504" t="s">
        <v>1089</v>
      </c>
      <c r="D9450" s="504" t="s">
        <v>3392</v>
      </c>
      <c r="E9450" s="504" t="s">
        <v>3381</v>
      </c>
      <c r="F9450" s="504" t="s">
        <v>1010</v>
      </c>
      <c r="G9450" s="504" t="s">
        <v>1011</v>
      </c>
      <c r="H9450" s="504" t="s">
        <v>15310</v>
      </c>
      <c r="I9450" s="504">
        <v>4</v>
      </c>
      <c r="J9450" s="504">
        <v>4</v>
      </c>
      <c r="K9450" s="504">
        <v>0</v>
      </c>
      <c r="L9450" s="504">
        <v>0</v>
      </c>
      <c r="M9450" s="504">
        <v>0</v>
      </c>
      <c r="N9450" s="504">
        <v>0</v>
      </c>
      <c r="O9450" s="505">
        <v>0</v>
      </c>
    </row>
    <row r="9451" spans="1:15" x14ac:dyDescent="0.35">
      <c r="A9451" s="500" t="s">
        <v>1202</v>
      </c>
      <c r="B9451" s="501" t="s">
        <v>3217</v>
      </c>
      <c r="C9451" s="501" t="s">
        <v>1094</v>
      </c>
      <c r="D9451" s="501" t="s">
        <v>3380</v>
      </c>
      <c r="E9451" s="501" t="s">
        <v>3381</v>
      </c>
      <c r="F9451" s="501" t="s">
        <v>1010</v>
      </c>
      <c r="G9451" s="501" t="s">
        <v>1011</v>
      </c>
      <c r="H9451" s="501" t="s">
        <v>11015</v>
      </c>
      <c r="I9451" s="501">
        <v>17</v>
      </c>
      <c r="J9451" s="501">
        <v>16</v>
      </c>
      <c r="K9451" s="501">
        <v>0</v>
      </c>
      <c r="L9451" s="501">
        <v>0</v>
      </c>
      <c r="M9451" s="501">
        <v>0</v>
      </c>
      <c r="N9451" s="501">
        <v>0</v>
      </c>
      <c r="O9451" s="506">
        <v>1</v>
      </c>
    </row>
    <row r="9452" spans="1:15" x14ac:dyDescent="0.35">
      <c r="A9452" s="503" t="s">
        <v>1494</v>
      </c>
      <c r="B9452" s="504" t="s">
        <v>3235</v>
      </c>
      <c r="C9452" s="504" t="s">
        <v>1094</v>
      </c>
      <c r="D9452" s="504" t="s">
        <v>3380</v>
      </c>
      <c r="E9452" s="504" t="s">
        <v>3381</v>
      </c>
      <c r="F9452" s="504" t="s">
        <v>1010</v>
      </c>
      <c r="G9452" s="504" t="s">
        <v>1011</v>
      </c>
      <c r="H9452" s="504" t="s">
        <v>11016</v>
      </c>
      <c r="I9452" s="504">
        <v>42</v>
      </c>
      <c r="J9452" s="504">
        <v>0</v>
      </c>
      <c r="K9452" s="504">
        <v>0</v>
      </c>
      <c r="L9452" s="504">
        <v>42</v>
      </c>
      <c r="M9452" s="504">
        <v>0</v>
      </c>
      <c r="N9452" s="504">
        <v>0</v>
      </c>
      <c r="O9452" s="505">
        <v>0</v>
      </c>
    </row>
    <row r="9453" spans="1:15" x14ac:dyDescent="0.35">
      <c r="A9453" s="500" t="s">
        <v>1112</v>
      </c>
      <c r="B9453" s="501" t="s">
        <v>3008</v>
      </c>
      <c r="C9453" s="501" t="s">
        <v>1094</v>
      </c>
      <c r="D9453" s="501" t="s">
        <v>3380</v>
      </c>
      <c r="E9453" s="501" t="s">
        <v>3381</v>
      </c>
      <c r="F9453" s="501" t="s">
        <v>1010</v>
      </c>
      <c r="G9453" s="501" t="s">
        <v>1011</v>
      </c>
      <c r="H9453" s="501" t="s">
        <v>11017</v>
      </c>
      <c r="I9453" s="501">
        <v>329</v>
      </c>
      <c r="J9453" s="501">
        <v>223</v>
      </c>
      <c r="K9453" s="501">
        <v>0</v>
      </c>
      <c r="L9453" s="501">
        <v>0</v>
      </c>
      <c r="M9453" s="501">
        <v>0</v>
      </c>
      <c r="N9453" s="501">
        <v>0</v>
      </c>
      <c r="O9453" s="506">
        <v>106</v>
      </c>
    </row>
    <row r="9454" spans="1:15" x14ac:dyDescent="0.35">
      <c r="A9454" s="503" t="s">
        <v>1114</v>
      </c>
      <c r="B9454" s="504" t="s">
        <v>2982</v>
      </c>
      <c r="C9454" s="504" t="s">
        <v>1094</v>
      </c>
      <c r="D9454" s="504" t="s">
        <v>3380</v>
      </c>
      <c r="E9454" s="504" t="s">
        <v>3381</v>
      </c>
      <c r="F9454" s="504" t="s">
        <v>1010</v>
      </c>
      <c r="G9454" s="504" t="s">
        <v>1011</v>
      </c>
      <c r="H9454" s="504" t="s">
        <v>11018</v>
      </c>
      <c r="I9454" s="504">
        <v>4</v>
      </c>
      <c r="J9454" s="504">
        <v>0</v>
      </c>
      <c r="K9454" s="504">
        <v>0</v>
      </c>
      <c r="L9454" s="504">
        <v>0</v>
      </c>
      <c r="M9454" s="504">
        <v>0</v>
      </c>
      <c r="N9454" s="504">
        <v>0</v>
      </c>
      <c r="O9454" s="505">
        <v>4</v>
      </c>
    </row>
    <row r="9455" spans="1:15" x14ac:dyDescent="0.35">
      <c r="A9455" s="500" t="s">
        <v>1120</v>
      </c>
      <c r="B9455" s="501" t="s">
        <v>3362</v>
      </c>
      <c r="C9455" s="501" t="s">
        <v>1094</v>
      </c>
      <c r="D9455" s="501" t="s">
        <v>3380</v>
      </c>
      <c r="E9455" s="501" t="s">
        <v>3381</v>
      </c>
      <c r="F9455" s="501" t="s">
        <v>1010</v>
      </c>
      <c r="G9455" s="501" t="s">
        <v>1011</v>
      </c>
      <c r="H9455" s="501" t="s">
        <v>11019</v>
      </c>
      <c r="I9455" s="501">
        <v>1</v>
      </c>
      <c r="J9455" s="501">
        <v>0</v>
      </c>
      <c r="K9455" s="501">
        <v>0</v>
      </c>
      <c r="L9455" s="501">
        <v>0</v>
      </c>
      <c r="M9455" s="501">
        <v>0</v>
      </c>
      <c r="N9455" s="501">
        <v>0</v>
      </c>
      <c r="O9455" s="506">
        <v>1</v>
      </c>
    </row>
    <row r="9456" spans="1:15" x14ac:dyDescent="0.35">
      <c r="A9456" s="503" t="s">
        <v>11387</v>
      </c>
      <c r="B9456" s="504" t="s">
        <v>3087</v>
      </c>
      <c r="C9456" s="504" t="s">
        <v>1089</v>
      </c>
      <c r="D9456" s="504" t="s">
        <v>3392</v>
      </c>
      <c r="E9456" s="504" t="s">
        <v>3381</v>
      </c>
      <c r="F9456" s="504" t="s">
        <v>1010</v>
      </c>
      <c r="G9456" s="504" t="s">
        <v>1011</v>
      </c>
      <c r="H9456" s="504" t="s">
        <v>11894</v>
      </c>
      <c r="I9456" s="504">
        <v>2</v>
      </c>
      <c r="J9456" s="504">
        <v>2</v>
      </c>
      <c r="K9456" s="504">
        <v>0</v>
      </c>
      <c r="L9456" s="504">
        <v>0</v>
      </c>
      <c r="M9456" s="504">
        <v>0</v>
      </c>
      <c r="N9456" s="504">
        <v>0</v>
      </c>
      <c r="O9456" s="505">
        <v>0</v>
      </c>
    </row>
    <row r="9457" spans="1:15" x14ac:dyDescent="0.35">
      <c r="A9457" s="500" t="s">
        <v>1322</v>
      </c>
      <c r="B9457" s="501" t="s">
        <v>3244</v>
      </c>
      <c r="C9457" s="501" t="s">
        <v>1094</v>
      </c>
      <c r="D9457" s="501" t="s">
        <v>3380</v>
      </c>
      <c r="E9457" s="501" t="s">
        <v>3381</v>
      </c>
      <c r="F9457" s="501" t="s">
        <v>1010</v>
      </c>
      <c r="G9457" s="501" t="s">
        <v>1011</v>
      </c>
      <c r="H9457" s="501" t="s">
        <v>11020</v>
      </c>
      <c r="I9457" s="501">
        <v>477</v>
      </c>
      <c r="J9457" s="501">
        <v>423</v>
      </c>
      <c r="K9457" s="501">
        <v>0</v>
      </c>
      <c r="L9457" s="501">
        <v>0</v>
      </c>
      <c r="M9457" s="501">
        <v>0</v>
      </c>
      <c r="N9457" s="501">
        <v>0</v>
      </c>
      <c r="O9457" s="506">
        <v>54</v>
      </c>
    </row>
    <row r="9458" spans="1:15" x14ac:dyDescent="0.35">
      <c r="A9458" s="503" t="s">
        <v>1327</v>
      </c>
      <c r="B9458" s="504" t="s">
        <v>3330</v>
      </c>
      <c r="C9458" s="504" t="s">
        <v>1094</v>
      </c>
      <c r="D9458" s="504" t="s">
        <v>3380</v>
      </c>
      <c r="E9458" s="504" t="s">
        <v>3381</v>
      </c>
      <c r="F9458" s="504" t="s">
        <v>1010</v>
      </c>
      <c r="G9458" s="504" t="s">
        <v>1011</v>
      </c>
      <c r="H9458" s="504" t="s">
        <v>11021</v>
      </c>
      <c r="I9458" s="504">
        <v>8</v>
      </c>
      <c r="J9458" s="504">
        <v>8</v>
      </c>
      <c r="K9458" s="504">
        <v>0</v>
      </c>
      <c r="L9458" s="504">
        <v>0</v>
      </c>
      <c r="M9458" s="504">
        <v>0</v>
      </c>
      <c r="N9458" s="504">
        <v>0</v>
      </c>
      <c r="O9458" s="505">
        <v>0</v>
      </c>
    </row>
    <row r="9459" spans="1:15" x14ac:dyDescent="0.35">
      <c r="A9459" s="500" t="s">
        <v>1122</v>
      </c>
      <c r="B9459" s="501" t="s">
        <v>2994</v>
      </c>
      <c r="C9459" s="501" t="s">
        <v>1094</v>
      </c>
      <c r="D9459" s="501" t="s">
        <v>3380</v>
      </c>
      <c r="E9459" s="501" t="s">
        <v>3381</v>
      </c>
      <c r="F9459" s="501" t="s">
        <v>1010</v>
      </c>
      <c r="G9459" s="501" t="s">
        <v>1011</v>
      </c>
      <c r="H9459" s="501" t="s">
        <v>11022</v>
      </c>
      <c r="I9459" s="501">
        <v>1</v>
      </c>
      <c r="J9459" s="501">
        <v>1</v>
      </c>
      <c r="K9459" s="501">
        <v>0</v>
      </c>
      <c r="L9459" s="501">
        <v>0</v>
      </c>
      <c r="M9459" s="501">
        <v>0</v>
      </c>
      <c r="N9459" s="501">
        <v>0</v>
      </c>
      <c r="O9459" s="506">
        <v>0</v>
      </c>
    </row>
    <row r="9460" spans="1:15" x14ac:dyDescent="0.35">
      <c r="A9460" s="503" t="s">
        <v>1233</v>
      </c>
      <c r="B9460" s="504">
        <v>4636</v>
      </c>
      <c r="C9460" s="504" t="s">
        <v>1094</v>
      </c>
      <c r="D9460" s="504" t="s">
        <v>3380</v>
      </c>
      <c r="E9460" s="504" t="s">
        <v>3381</v>
      </c>
      <c r="F9460" s="504" t="s">
        <v>1010</v>
      </c>
      <c r="G9460" s="504" t="s">
        <v>1011</v>
      </c>
      <c r="H9460" s="504" t="s">
        <v>15311</v>
      </c>
      <c r="I9460" s="504">
        <v>6</v>
      </c>
      <c r="J9460" s="504">
        <v>0</v>
      </c>
      <c r="K9460" s="504">
        <v>0</v>
      </c>
      <c r="L9460" s="504">
        <v>0</v>
      </c>
      <c r="M9460" s="504">
        <v>0</v>
      </c>
      <c r="N9460" s="504">
        <v>0</v>
      </c>
      <c r="O9460" s="505">
        <v>6</v>
      </c>
    </row>
    <row r="9461" spans="1:15" x14ac:dyDescent="0.35">
      <c r="A9461" s="500" t="s">
        <v>1130</v>
      </c>
      <c r="B9461" s="501" t="s">
        <v>3234</v>
      </c>
      <c r="C9461" s="501" t="s">
        <v>1094</v>
      </c>
      <c r="D9461" s="501" t="s">
        <v>3380</v>
      </c>
      <c r="E9461" s="501" t="s">
        <v>3381</v>
      </c>
      <c r="F9461" s="501" t="s">
        <v>1010</v>
      </c>
      <c r="G9461" s="501" t="s">
        <v>1011</v>
      </c>
      <c r="H9461" s="501" t="s">
        <v>11023</v>
      </c>
      <c r="I9461" s="501">
        <v>1</v>
      </c>
      <c r="J9461" s="501">
        <v>0</v>
      </c>
      <c r="K9461" s="501">
        <v>0</v>
      </c>
      <c r="L9461" s="501">
        <v>0</v>
      </c>
      <c r="M9461" s="501">
        <v>0</v>
      </c>
      <c r="N9461" s="501">
        <v>0</v>
      </c>
      <c r="O9461" s="506">
        <v>1</v>
      </c>
    </row>
    <row r="9462" spans="1:15" x14ac:dyDescent="0.35">
      <c r="A9462" s="503" t="s">
        <v>1132</v>
      </c>
      <c r="B9462" s="504">
        <v>4837</v>
      </c>
      <c r="C9462" s="504" t="s">
        <v>1094</v>
      </c>
      <c r="D9462" s="504" t="s">
        <v>3380</v>
      </c>
      <c r="E9462" s="504" t="s">
        <v>3381</v>
      </c>
      <c r="F9462" s="504" t="s">
        <v>1010</v>
      </c>
      <c r="G9462" s="504" t="s">
        <v>1011</v>
      </c>
      <c r="H9462" s="504" t="s">
        <v>11024</v>
      </c>
      <c r="I9462" s="504">
        <v>18</v>
      </c>
      <c r="J9462" s="504">
        <v>18</v>
      </c>
      <c r="K9462" s="504">
        <v>0</v>
      </c>
      <c r="L9462" s="504">
        <v>0</v>
      </c>
      <c r="M9462" s="504">
        <v>0</v>
      </c>
      <c r="N9462" s="504">
        <v>0</v>
      </c>
      <c r="O9462" s="505">
        <v>0</v>
      </c>
    </row>
    <row r="9463" spans="1:15" x14ac:dyDescent="0.35">
      <c r="A9463" s="500" t="s">
        <v>1929</v>
      </c>
      <c r="B9463" s="501" t="s">
        <v>3364</v>
      </c>
      <c r="C9463" s="501" t="s">
        <v>1089</v>
      </c>
      <c r="D9463" s="501" t="s">
        <v>3392</v>
      </c>
      <c r="E9463" s="501" t="s">
        <v>3381</v>
      </c>
      <c r="F9463" s="501" t="s">
        <v>1010</v>
      </c>
      <c r="G9463" s="501" t="s">
        <v>1011</v>
      </c>
      <c r="H9463" s="501" t="s">
        <v>11026</v>
      </c>
      <c r="I9463" s="501">
        <v>1</v>
      </c>
      <c r="J9463" s="501">
        <v>1</v>
      </c>
      <c r="K9463" s="501">
        <v>0</v>
      </c>
      <c r="L9463" s="501">
        <v>0</v>
      </c>
      <c r="M9463" s="501">
        <v>0</v>
      </c>
      <c r="N9463" s="501">
        <v>0</v>
      </c>
      <c r="O9463" s="506">
        <v>0</v>
      </c>
    </row>
    <row r="9464" spans="1:15" x14ac:dyDescent="0.35">
      <c r="A9464" s="503" t="s">
        <v>1138</v>
      </c>
      <c r="B9464" s="504" t="s">
        <v>2998</v>
      </c>
      <c r="C9464" s="504" t="s">
        <v>1094</v>
      </c>
      <c r="D9464" s="504" t="s">
        <v>3380</v>
      </c>
      <c r="E9464" s="504" t="s">
        <v>3381</v>
      </c>
      <c r="F9464" s="504" t="s">
        <v>1010</v>
      </c>
      <c r="G9464" s="504" t="s">
        <v>1011</v>
      </c>
      <c r="H9464" s="504" t="s">
        <v>11025</v>
      </c>
      <c r="I9464" s="504">
        <v>56</v>
      </c>
      <c r="J9464" s="504">
        <v>44</v>
      </c>
      <c r="K9464" s="504">
        <v>0</v>
      </c>
      <c r="L9464" s="504">
        <v>0</v>
      </c>
      <c r="M9464" s="504">
        <v>0</v>
      </c>
      <c r="N9464" s="504">
        <v>0</v>
      </c>
      <c r="O9464" s="505">
        <v>12</v>
      </c>
    </row>
    <row r="9465" spans="1:15" x14ac:dyDescent="0.35">
      <c r="A9465" s="500" t="s">
        <v>1668</v>
      </c>
      <c r="B9465" s="501" t="s">
        <v>3035</v>
      </c>
      <c r="C9465" s="501" t="s">
        <v>1089</v>
      </c>
      <c r="D9465" s="501" t="s">
        <v>3392</v>
      </c>
      <c r="E9465" s="501" t="s">
        <v>3381</v>
      </c>
      <c r="F9465" s="501" t="s">
        <v>1012</v>
      </c>
      <c r="G9465" s="501" t="s">
        <v>1013</v>
      </c>
      <c r="H9465" s="501" t="s">
        <v>11027</v>
      </c>
      <c r="I9465" s="501">
        <v>531</v>
      </c>
      <c r="J9465" s="501">
        <v>0</v>
      </c>
      <c r="K9465" s="501">
        <v>0</v>
      </c>
      <c r="L9465" s="501">
        <v>0</v>
      </c>
      <c r="M9465" s="501">
        <v>531</v>
      </c>
      <c r="N9465" s="501">
        <v>0</v>
      </c>
      <c r="O9465" s="506">
        <v>0</v>
      </c>
    </row>
    <row r="9466" spans="1:15" x14ac:dyDescent="0.35">
      <c r="A9466" s="503" t="s">
        <v>1096</v>
      </c>
      <c r="B9466" s="504" t="s">
        <v>3326</v>
      </c>
      <c r="C9466" s="504" t="s">
        <v>1094</v>
      </c>
      <c r="D9466" s="504" t="s">
        <v>3380</v>
      </c>
      <c r="E9466" s="504" t="s">
        <v>3381</v>
      </c>
      <c r="F9466" s="504" t="s">
        <v>1012</v>
      </c>
      <c r="G9466" s="504" t="s">
        <v>1013</v>
      </c>
      <c r="H9466" s="504" t="s">
        <v>11028</v>
      </c>
      <c r="I9466" s="504">
        <v>250</v>
      </c>
      <c r="J9466" s="504">
        <v>0</v>
      </c>
      <c r="K9466" s="504">
        <v>0</v>
      </c>
      <c r="L9466" s="504">
        <v>0</v>
      </c>
      <c r="M9466" s="504">
        <v>226</v>
      </c>
      <c r="N9466" s="504">
        <v>0</v>
      </c>
      <c r="O9466" s="505">
        <v>24</v>
      </c>
    </row>
    <row r="9467" spans="1:15" x14ac:dyDescent="0.35">
      <c r="A9467" s="500" t="s">
        <v>11363</v>
      </c>
      <c r="B9467" s="501">
        <v>4718</v>
      </c>
      <c r="C9467" s="501" t="s">
        <v>1094</v>
      </c>
      <c r="D9467" s="501" t="s">
        <v>3380</v>
      </c>
      <c r="E9467" s="501" t="s">
        <v>3381</v>
      </c>
      <c r="F9467" s="501" t="s">
        <v>1012</v>
      </c>
      <c r="G9467" s="501" t="s">
        <v>1013</v>
      </c>
      <c r="H9467" s="501" t="s">
        <v>11606</v>
      </c>
      <c r="I9467" s="501">
        <v>73</v>
      </c>
      <c r="J9467" s="501">
        <v>0</v>
      </c>
      <c r="K9467" s="501">
        <v>0</v>
      </c>
      <c r="L9467" s="501">
        <v>73</v>
      </c>
      <c r="M9467" s="501">
        <v>0</v>
      </c>
      <c r="N9467" s="501">
        <v>0</v>
      </c>
      <c r="O9467" s="506">
        <v>0</v>
      </c>
    </row>
    <row r="9468" spans="1:15" x14ac:dyDescent="0.35">
      <c r="A9468" s="503" t="s">
        <v>1676</v>
      </c>
      <c r="B9468" s="504" t="s">
        <v>3046</v>
      </c>
      <c r="C9468" s="504" t="s">
        <v>1089</v>
      </c>
      <c r="D9468" s="504" t="s">
        <v>3392</v>
      </c>
      <c r="E9468" s="504" t="s">
        <v>3381</v>
      </c>
      <c r="F9468" s="504" t="s">
        <v>1012</v>
      </c>
      <c r="G9468" s="504" t="s">
        <v>1013</v>
      </c>
      <c r="H9468" s="504" t="s">
        <v>11029</v>
      </c>
      <c r="I9468" s="504">
        <v>234</v>
      </c>
      <c r="J9468" s="504">
        <v>0</v>
      </c>
      <c r="K9468" s="504">
        <v>0</v>
      </c>
      <c r="L9468" s="504">
        <v>234</v>
      </c>
      <c r="M9468" s="504">
        <v>0</v>
      </c>
      <c r="N9468" s="504">
        <v>0</v>
      </c>
      <c r="O9468" s="505">
        <v>0</v>
      </c>
    </row>
    <row r="9469" spans="1:15" x14ac:dyDescent="0.35">
      <c r="A9469" s="500" t="s">
        <v>1164</v>
      </c>
      <c r="B9469" s="501">
        <v>4751</v>
      </c>
      <c r="C9469" s="501" t="s">
        <v>1089</v>
      </c>
      <c r="D9469" s="501" t="s">
        <v>3392</v>
      </c>
      <c r="E9469" s="501" t="s">
        <v>3381</v>
      </c>
      <c r="F9469" s="501" t="s">
        <v>1012</v>
      </c>
      <c r="G9469" s="501" t="s">
        <v>1013</v>
      </c>
      <c r="H9469" s="501" t="s">
        <v>11030</v>
      </c>
      <c r="I9469" s="501">
        <v>20</v>
      </c>
      <c r="J9469" s="501">
        <v>0</v>
      </c>
      <c r="K9469" s="501">
        <v>0</v>
      </c>
      <c r="L9469" s="501">
        <v>20</v>
      </c>
      <c r="M9469" s="501">
        <v>0</v>
      </c>
      <c r="N9469" s="501">
        <v>0</v>
      </c>
      <c r="O9469" s="506">
        <v>0</v>
      </c>
    </row>
    <row r="9470" spans="1:15" x14ac:dyDescent="0.35">
      <c r="A9470" s="503" t="s">
        <v>1174</v>
      </c>
      <c r="B9470" s="504">
        <v>4784</v>
      </c>
      <c r="C9470" s="504" t="s">
        <v>1089</v>
      </c>
      <c r="D9470" s="504" t="s">
        <v>3392</v>
      </c>
      <c r="E9470" s="504" t="s">
        <v>3381</v>
      </c>
      <c r="F9470" s="504" t="s">
        <v>1012</v>
      </c>
      <c r="G9470" s="504" t="s">
        <v>1013</v>
      </c>
      <c r="H9470" s="504" t="s">
        <v>11031</v>
      </c>
      <c r="I9470" s="504">
        <v>21</v>
      </c>
      <c r="J9470" s="504">
        <v>0</v>
      </c>
      <c r="K9470" s="504">
        <v>0</v>
      </c>
      <c r="L9470" s="504">
        <v>21</v>
      </c>
      <c r="M9470" s="504">
        <v>0</v>
      </c>
      <c r="N9470" s="504">
        <v>0</v>
      </c>
      <c r="O9470" s="505">
        <v>0</v>
      </c>
    </row>
    <row r="9471" spans="1:15" x14ac:dyDescent="0.35">
      <c r="A9471" s="500" t="s">
        <v>1699</v>
      </c>
      <c r="B9471" s="501">
        <v>4794</v>
      </c>
      <c r="C9471" s="501" t="s">
        <v>1089</v>
      </c>
      <c r="D9471" s="501" t="s">
        <v>3392</v>
      </c>
      <c r="E9471" s="501" t="s">
        <v>3381</v>
      </c>
      <c r="F9471" s="501" t="s">
        <v>1012</v>
      </c>
      <c r="G9471" s="501" t="s">
        <v>1013</v>
      </c>
      <c r="H9471" s="501" t="s">
        <v>11032</v>
      </c>
      <c r="I9471" s="501">
        <v>36</v>
      </c>
      <c r="J9471" s="501">
        <v>0</v>
      </c>
      <c r="K9471" s="501">
        <v>0</v>
      </c>
      <c r="L9471" s="501">
        <v>36</v>
      </c>
      <c r="M9471" s="501">
        <v>0</v>
      </c>
      <c r="N9471" s="501">
        <v>0</v>
      </c>
      <c r="O9471" s="506">
        <v>0</v>
      </c>
    </row>
    <row r="9472" spans="1:15" x14ac:dyDescent="0.35">
      <c r="A9472" s="503" t="s">
        <v>1701</v>
      </c>
      <c r="B9472" s="504" t="s">
        <v>3040</v>
      </c>
      <c r="C9472" s="504" t="s">
        <v>1089</v>
      </c>
      <c r="D9472" s="504" t="s">
        <v>3392</v>
      </c>
      <c r="E9472" s="504" t="s">
        <v>3381</v>
      </c>
      <c r="F9472" s="504" t="s">
        <v>1012</v>
      </c>
      <c r="G9472" s="504" t="s">
        <v>1013</v>
      </c>
      <c r="H9472" s="504" t="s">
        <v>11033</v>
      </c>
      <c r="I9472" s="504">
        <v>387</v>
      </c>
      <c r="J9472" s="504">
        <v>330</v>
      </c>
      <c r="K9472" s="504">
        <v>0</v>
      </c>
      <c r="L9472" s="504">
        <v>0</v>
      </c>
      <c r="M9472" s="504">
        <v>57</v>
      </c>
      <c r="N9472" s="504">
        <v>0</v>
      </c>
      <c r="O9472" s="505">
        <v>0</v>
      </c>
    </row>
    <row r="9473" spans="1:15" x14ac:dyDescent="0.35">
      <c r="A9473" s="500" t="s">
        <v>1177</v>
      </c>
      <c r="B9473" s="501">
        <v>4702</v>
      </c>
      <c r="C9473" s="501" t="s">
        <v>1089</v>
      </c>
      <c r="D9473" s="501" t="s">
        <v>3392</v>
      </c>
      <c r="E9473" s="501" t="s">
        <v>3381</v>
      </c>
      <c r="F9473" s="501" t="s">
        <v>1012</v>
      </c>
      <c r="G9473" s="501" t="s">
        <v>1013</v>
      </c>
      <c r="H9473" s="501" t="s">
        <v>11034</v>
      </c>
      <c r="I9473" s="501">
        <v>4</v>
      </c>
      <c r="J9473" s="501">
        <v>0</v>
      </c>
      <c r="K9473" s="501">
        <v>0</v>
      </c>
      <c r="L9473" s="501">
        <v>4</v>
      </c>
      <c r="M9473" s="501">
        <v>0</v>
      </c>
      <c r="N9473" s="501">
        <v>0</v>
      </c>
      <c r="O9473" s="506">
        <v>0</v>
      </c>
    </row>
    <row r="9474" spans="1:15" x14ac:dyDescent="0.35">
      <c r="A9474" s="503" t="s">
        <v>14208</v>
      </c>
      <c r="B9474" s="504">
        <v>4803</v>
      </c>
      <c r="C9474" s="504" t="s">
        <v>1094</v>
      </c>
      <c r="D9474" s="504" t="s">
        <v>3380</v>
      </c>
      <c r="E9474" s="504" t="s">
        <v>3381</v>
      </c>
      <c r="F9474" s="504" t="s">
        <v>1012</v>
      </c>
      <c r="G9474" s="504" t="s">
        <v>1013</v>
      </c>
      <c r="H9474" s="504" t="s">
        <v>15312</v>
      </c>
      <c r="I9474" s="504">
        <v>15</v>
      </c>
      <c r="J9474" s="504">
        <v>0</v>
      </c>
      <c r="K9474" s="504">
        <v>0</v>
      </c>
      <c r="L9474" s="504">
        <v>15</v>
      </c>
      <c r="M9474" s="504">
        <v>0</v>
      </c>
      <c r="N9474" s="504">
        <v>0</v>
      </c>
      <c r="O9474" s="505">
        <v>0</v>
      </c>
    </row>
    <row r="9475" spans="1:15" x14ac:dyDescent="0.35">
      <c r="A9475" s="500" t="s">
        <v>1183</v>
      </c>
      <c r="B9475" s="501" t="s">
        <v>3038</v>
      </c>
      <c r="C9475" s="501" t="s">
        <v>1094</v>
      </c>
      <c r="D9475" s="501" t="s">
        <v>3380</v>
      </c>
      <c r="E9475" s="501" t="s">
        <v>3381</v>
      </c>
      <c r="F9475" s="501" t="s">
        <v>1012</v>
      </c>
      <c r="G9475" s="501" t="s">
        <v>1013</v>
      </c>
      <c r="H9475" s="501" t="s">
        <v>11720</v>
      </c>
      <c r="I9475" s="501">
        <v>34</v>
      </c>
      <c r="J9475" s="501">
        <v>0</v>
      </c>
      <c r="K9475" s="501">
        <v>0</v>
      </c>
      <c r="L9475" s="501">
        <v>0</v>
      </c>
      <c r="M9475" s="501">
        <v>0</v>
      </c>
      <c r="N9475" s="501">
        <v>0</v>
      </c>
      <c r="O9475" s="506">
        <v>34</v>
      </c>
    </row>
    <row r="9476" spans="1:15" x14ac:dyDescent="0.35">
      <c r="A9476" s="503" t="s">
        <v>1186</v>
      </c>
      <c r="B9476" s="504">
        <v>4661</v>
      </c>
      <c r="C9476" s="504" t="s">
        <v>1089</v>
      </c>
      <c r="D9476" s="504" t="s">
        <v>3392</v>
      </c>
      <c r="E9476" s="504" t="s">
        <v>3381</v>
      </c>
      <c r="F9476" s="504" t="s">
        <v>1012</v>
      </c>
      <c r="G9476" s="504" t="s">
        <v>1013</v>
      </c>
      <c r="H9476" s="504" t="s">
        <v>11035</v>
      </c>
      <c r="I9476" s="504">
        <v>40</v>
      </c>
      <c r="J9476" s="504">
        <v>0</v>
      </c>
      <c r="K9476" s="504">
        <v>0</v>
      </c>
      <c r="L9476" s="504">
        <v>40</v>
      </c>
      <c r="M9476" s="504">
        <v>0</v>
      </c>
      <c r="N9476" s="504">
        <v>0</v>
      </c>
      <c r="O9476" s="505">
        <v>0</v>
      </c>
    </row>
    <row r="9477" spans="1:15" x14ac:dyDescent="0.35">
      <c r="A9477" s="500" t="s">
        <v>1709</v>
      </c>
      <c r="B9477" s="501">
        <v>4791</v>
      </c>
      <c r="C9477" s="501" t="s">
        <v>1089</v>
      </c>
      <c r="D9477" s="501" t="s">
        <v>3392</v>
      </c>
      <c r="E9477" s="501" t="s">
        <v>3381</v>
      </c>
      <c r="F9477" s="501" t="s">
        <v>1012</v>
      </c>
      <c r="G9477" s="501" t="s">
        <v>1013</v>
      </c>
      <c r="H9477" s="501" t="s">
        <v>11036</v>
      </c>
      <c r="I9477" s="501">
        <v>33</v>
      </c>
      <c r="J9477" s="501">
        <v>0</v>
      </c>
      <c r="K9477" s="501">
        <v>0</v>
      </c>
      <c r="L9477" s="501">
        <v>33</v>
      </c>
      <c r="M9477" s="501">
        <v>0</v>
      </c>
      <c r="N9477" s="501">
        <v>0</v>
      </c>
      <c r="O9477" s="506">
        <v>0</v>
      </c>
    </row>
    <row r="9478" spans="1:15" x14ac:dyDescent="0.35">
      <c r="A9478" s="503" t="s">
        <v>1105</v>
      </c>
      <c r="B9478" s="504">
        <v>4668</v>
      </c>
      <c r="C9478" s="504" t="s">
        <v>1094</v>
      </c>
      <c r="D9478" s="504" t="s">
        <v>3380</v>
      </c>
      <c r="E9478" s="504" t="s">
        <v>3381</v>
      </c>
      <c r="F9478" s="504" t="s">
        <v>1012</v>
      </c>
      <c r="G9478" s="504" t="s">
        <v>1013</v>
      </c>
      <c r="H9478" s="504" t="s">
        <v>11037</v>
      </c>
      <c r="I9478" s="504">
        <v>22</v>
      </c>
      <c r="J9478" s="504">
        <v>0</v>
      </c>
      <c r="K9478" s="504">
        <v>0</v>
      </c>
      <c r="L9478" s="504">
        <v>0</v>
      </c>
      <c r="M9478" s="504">
        <v>0</v>
      </c>
      <c r="N9478" s="504">
        <v>0</v>
      </c>
      <c r="O9478" s="505">
        <v>22</v>
      </c>
    </row>
    <row r="9479" spans="1:15" x14ac:dyDescent="0.35">
      <c r="A9479" s="500" t="s">
        <v>1188</v>
      </c>
      <c r="B9479" s="501">
        <v>4760</v>
      </c>
      <c r="C9479" s="501" t="s">
        <v>1089</v>
      </c>
      <c r="D9479" s="501" t="s">
        <v>3392</v>
      </c>
      <c r="E9479" s="501" t="s">
        <v>3381</v>
      </c>
      <c r="F9479" s="501" t="s">
        <v>1012</v>
      </c>
      <c r="G9479" s="501" t="s">
        <v>1013</v>
      </c>
      <c r="H9479" s="501" t="s">
        <v>11038</v>
      </c>
      <c r="I9479" s="501">
        <v>13</v>
      </c>
      <c r="J9479" s="501">
        <v>0</v>
      </c>
      <c r="K9479" s="501">
        <v>0</v>
      </c>
      <c r="L9479" s="501">
        <v>13</v>
      </c>
      <c r="M9479" s="501">
        <v>0</v>
      </c>
      <c r="N9479" s="501">
        <v>0</v>
      </c>
      <c r="O9479" s="506">
        <v>0</v>
      </c>
    </row>
    <row r="9480" spans="1:15" x14ac:dyDescent="0.35">
      <c r="A9480" s="503" t="s">
        <v>1109</v>
      </c>
      <c r="B9480" s="504" t="s">
        <v>2959</v>
      </c>
      <c r="C9480" s="504" t="s">
        <v>1094</v>
      </c>
      <c r="D9480" s="504" t="s">
        <v>3380</v>
      </c>
      <c r="E9480" s="504" t="s">
        <v>3381</v>
      </c>
      <c r="F9480" s="504" t="s">
        <v>1012</v>
      </c>
      <c r="G9480" s="504" t="s">
        <v>1013</v>
      </c>
      <c r="H9480" s="504" t="s">
        <v>11039</v>
      </c>
      <c r="I9480" s="504">
        <v>296</v>
      </c>
      <c r="J9480" s="504">
        <v>0</v>
      </c>
      <c r="K9480" s="504">
        <v>0</v>
      </c>
      <c r="L9480" s="504">
        <v>0</v>
      </c>
      <c r="M9480" s="504">
        <v>243</v>
      </c>
      <c r="N9480" s="504">
        <v>0</v>
      </c>
      <c r="O9480" s="505">
        <v>53</v>
      </c>
    </row>
    <row r="9481" spans="1:15" x14ac:dyDescent="0.35">
      <c r="A9481" s="500" t="s">
        <v>1190</v>
      </c>
      <c r="B9481" s="501">
        <v>4662</v>
      </c>
      <c r="C9481" s="501" t="s">
        <v>1094</v>
      </c>
      <c r="D9481" s="501" t="s">
        <v>3380</v>
      </c>
      <c r="E9481" s="501" t="s">
        <v>3381</v>
      </c>
      <c r="F9481" s="501" t="s">
        <v>1012</v>
      </c>
      <c r="G9481" s="501" t="s">
        <v>1013</v>
      </c>
      <c r="H9481" s="501" t="s">
        <v>11040</v>
      </c>
      <c r="I9481" s="501">
        <v>65</v>
      </c>
      <c r="J9481" s="501">
        <v>0</v>
      </c>
      <c r="K9481" s="501">
        <v>0</v>
      </c>
      <c r="L9481" s="501">
        <v>38</v>
      </c>
      <c r="M9481" s="501">
        <v>27</v>
      </c>
      <c r="N9481" s="501">
        <v>0</v>
      </c>
      <c r="O9481" s="506">
        <v>0</v>
      </c>
    </row>
    <row r="9482" spans="1:15" x14ac:dyDescent="0.35">
      <c r="A9482" s="503" t="s">
        <v>11401</v>
      </c>
      <c r="B9482" s="504" t="s">
        <v>3241</v>
      </c>
      <c r="C9482" s="504" t="s">
        <v>1094</v>
      </c>
      <c r="D9482" s="504" t="s">
        <v>3380</v>
      </c>
      <c r="E9482" s="504" t="s">
        <v>3381</v>
      </c>
      <c r="F9482" s="504" t="s">
        <v>1012</v>
      </c>
      <c r="G9482" s="504" t="s">
        <v>1013</v>
      </c>
      <c r="H9482" s="504" t="s">
        <v>11795</v>
      </c>
      <c r="I9482" s="504">
        <v>39</v>
      </c>
      <c r="J9482" s="504">
        <v>39</v>
      </c>
      <c r="K9482" s="504">
        <v>0</v>
      </c>
      <c r="L9482" s="504">
        <v>0</v>
      </c>
      <c r="M9482" s="504">
        <v>0</v>
      </c>
      <c r="N9482" s="504">
        <v>0</v>
      </c>
      <c r="O9482" s="505">
        <v>0</v>
      </c>
    </row>
    <row r="9483" spans="1:15" x14ac:dyDescent="0.35">
      <c r="A9483" s="500" t="s">
        <v>1725</v>
      </c>
      <c r="B9483" s="501" t="s">
        <v>3156</v>
      </c>
      <c r="C9483" s="501" t="s">
        <v>1089</v>
      </c>
      <c r="D9483" s="501" t="s">
        <v>3392</v>
      </c>
      <c r="E9483" s="501" t="s">
        <v>3381</v>
      </c>
      <c r="F9483" s="501" t="s">
        <v>1012</v>
      </c>
      <c r="G9483" s="501" t="s">
        <v>1013</v>
      </c>
      <c r="H9483" s="501" t="s">
        <v>11041</v>
      </c>
      <c r="I9483" s="501">
        <v>940</v>
      </c>
      <c r="J9483" s="501">
        <v>940</v>
      </c>
      <c r="K9483" s="501">
        <v>0</v>
      </c>
      <c r="L9483" s="501">
        <v>0</v>
      </c>
      <c r="M9483" s="501">
        <v>0</v>
      </c>
      <c r="N9483" s="501">
        <v>0</v>
      </c>
      <c r="O9483" s="506">
        <v>0</v>
      </c>
    </row>
    <row r="9484" spans="1:15" x14ac:dyDescent="0.35">
      <c r="A9484" s="503" t="s">
        <v>11403</v>
      </c>
      <c r="B9484" s="504" t="s">
        <v>2731</v>
      </c>
      <c r="C9484" s="504" t="s">
        <v>1089</v>
      </c>
      <c r="D9484" s="504" t="s">
        <v>3392</v>
      </c>
      <c r="E9484" s="504" t="s">
        <v>3381</v>
      </c>
      <c r="F9484" s="504" t="s">
        <v>1012</v>
      </c>
      <c r="G9484" s="504" t="s">
        <v>1013</v>
      </c>
      <c r="H9484" s="504" t="s">
        <v>11821</v>
      </c>
      <c r="I9484" s="504">
        <v>40</v>
      </c>
      <c r="J9484" s="504">
        <v>40</v>
      </c>
      <c r="K9484" s="504">
        <v>0</v>
      </c>
      <c r="L9484" s="504">
        <v>0</v>
      </c>
      <c r="M9484" s="504">
        <v>0</v>
      </c>
      <c r="N9484" s="504">
        <v>0</v>
      </c>
      <c r="O9484" s="505">
        <v>0</v>
      </c>
    </row>
    <row r="9485" spans="1:15" x14ac:dyDescent="0.35">
      <c r="A9485" s="500" t="s">
        <v>1734</v>
      </c>
      <c r="B9485" s="501" t="s">
        <v>3191</v>
      </c>
      <c r="C9485" s="501" t="s">
        <v>1094</v>
      </c>
      <c r="D9485" s="501" t="s">
        <v>3380</v>
      </c>
      <c r="E9485" s="501" t="s">
        <v>3381</v>
      </c>
      <c r="F9485" s="501" t="s">
        <v>1012</v>
      </c>
      <c r="G9485" s="501" t="s">
        <v>1013</v>
      </c>
      <c r="H9485" s="501" t="s">
        <v>11042</v>
      </c>
      <c r="I9485" s="501">
        <v>12423</v>
      </c>
      <c r="J9485" s="501">
        <v>10714</v>
      </c>
      <c r="K9485" s="501">
        <v>0</v>
      </c>
      <c r="L9485" s="501">
        <v>37</v>
      </c>
      <c r="M9485" s="501">
        <v>1660</v>
      </c>
      <c r="N9485" s="501">
        <v>0</v>
      </c>
      <c r="O9485" s="506">
        <v>12</v>
      </c>
    </row>
    <row r="9486" spans="1:15" x14ac:dyDescent="0.35">
      <c r="A9486" s="503" t="s">
        <v>1497</v>
      </c>
      <c r="B9486" s="504" t="s">
        <v>3290</v>
      </c>
      <c r="C9486" s="504" t="s">
        <v>1089</v>
      </c>
      <c r="D9486" s="504" t="s">
        <v>3392</v>
      </c>
      <c r="E9486" s="504" t="s">
        <v>3381</v>
      </c>
      <c r="F9486" s="504" t="s">
        <v>1012</v>
      </c>
      <c r="G9486" s="504" t="s">
        <v>1013</v>
      </c>
      <c r="H9486" s="504" t="s">
        <v>11857</v>
      </c>
      <c r="I9486" s="504">
        <v>62</v>
      </c>
      <c r="J9486" s="504">
        <v>0</v>
      </c>
      <c r="K9486" s="504">
        <v>0</v>
      </c>
      <c r="L9486" s="504">
        <v>0</v>
      </c>
      <c r="M9486" s="504">
        <v>62</v>
      </c>
      <c r="N9486" s="504">
        <v>0</v>
      </c>
      <c r="O9486" s="505">
        <v>0</v>
      </c>
    </row>
    <row r="9487" spans="1:15" x14ac:dyDescent="0.35">
      <c r="A9487" s="500" t="s">
        <v>1209</v>
      </c>
      <c r="B9487" s="501">
        <v>4779</v>
      </c>
      <c r="C9487" s="501" t="s">
        <v>1094</v>
      </c>
      <c r="D9487" s="501" t="s">
        <v>3380</v>
      </c>
      <c r="E9487" s="501" t="s">
        <v>3381</v>
      </c>
      <c r="F9487" s="501" t="s">
        <v>1012</v>
      </c>
      <c r="G9487" s="501" t="s">
        <v>1013</v>
      </c>
      <c r="H9487" s="501" t="s">
        <v>11043</v>
      </c>
      <c r="I9487" s="501">
        <v>35</v>
      </c>
      <c r="J9487" s="501">
        <v>0</v>
      </c>
      <c r="K9487" s="501">
        <v>0</v>
      </c>
      <c r="L9487" s="501">
        <v>35</v>
      </c>
      <c r="M9487" s="501">
        <v>0</v>
      </c>
      <c r="N9487" s="501">
        <v>0</v>
      </c>
      <c r="O9487" s="506">
        <v>0</v>
      </c>
    </row>
    <row r="9488" spans="1:15" x14ac:dyDescent="0.35">
      <c r="A9488" s="503" t="s">
        <v>1743</v>
      </c>
      <c r="B9488" s="504">
        <v>4804</v>
      </c>
      <c r="C9488" s="504" t="s">
        <v>1094</v>
      </c>
      <c r="D9488" s="504" t="s">
        <v>3380</v>
      </c>
      <c r="E9488" s="504" t="s">
        <v>3381</v>
      </c>
      <c r="F9488" s="504" t="s">
        <v>1012</v>
      </c>
      <c r="G9488" s="504" t="s">
        <v>1013</v>
      </c>
      <c r="H9488" s="504" t="s">
        <v>11044</v>
      </c>
      <c r="I9488" s="504">
        <v>655</v>
      </c>
      <c r="J9488" s="504">
        <v>566</v>
      </c>
      <c r="K9488" s="504">
        <v>0</v>
      </c>
      <c r="L9488" s="504">
        <v>81</v>
      </c>
      <c r="M9488" s="504">
        <v>0</v>
      </c>
      <c r="N9488" s="504">
        <v>0</v>
      </c>
      <c r="O9488" s="505">
        <v>8</v>
      </c>
    </row>
    <row r="9489" spans="1:15" x14ac:dyDescent="0.35">
      <c r="A9489" s="500" t="s">
        <v>1744</v>
      </c>
      <c r="B9489" s="501" t="s">
        <v>3245</v>
      </c>
      <c r="C9489" s="501" t="s">
        <v>1094</v>
      </c>
      <c r="D9489" s="501" t="s">
        <v>3380</v>
      </c>
      <c r="E9489" s="501" t="s">
        <v>3381</v>
      </c>
      <c r="F9489" s="501" t="s">
        <v>1012</v>
      </c>
      <c r="G9489" s="501" t="s">
        <v>1013</v>
      </c>
      <c r="H9489" s="501" t="s">
        <v>11045</v>
      </c>
      <c r="I9489" s="501">
        <v>1585</v>
      </c>
      <c r="J9489" s="501">
        <v>1099</v>
      </c>
      <c r="K9489" s="501">
        <v>0</v>
      </c>
      <c r="L9489" s="501">
        <v>230</v>
      </c>
      <c r="M9489" s="501">
        <v>164</v>
      </c>
      <c r="N9489" s="501">
        <v>14</v>
      </c>
      <c r="O9489" s="506">
        <v>92</v>
      </c>
    </row>
    <row r="9490" spans="1:15" x14ac:dyDescent="0.35">
      <c r="A9490" s="503" t="s">
        <v>1747</v>
      </c>
      <c r="B9490" s="504" t="s">
        <v>3121</v>
      </c>
      <c r="C9490" s="504" t="s">
        <v>1089</v>
      </c>
      <c r="D9490" s="504" t="s">
        <v>3392</v>
      </c>
      <c r="E9490" s="504" t="s">
        <v>3381</v>
      </c>
      <c r="F9490" s="504" t="s">
        <v>1012</v>
      </c>
      <c r="G9490" s="504" t="s">
        <v>1013</v>
      </c>
      <c r="H9490" s="504" t="s">
        <v>11046</v>
      </c>
      <c r="I9490" s="504">
        <v>131</v>
      </c>
      <c r="J9490" s="504">
        <v>131</v>
      </c>
      <c r="K9490" s="504">
        <v>0</v>
      </c>
      <c r="L9490" s="504">
        <v>0</v>
      </c>
      <c r="M9490" s="504">
        <v>0</v>
      </c>
      <c r="N9490" s="504">
        <v>0</v>
      </c>
      <c r="O9490" s="505">
        <v>0</v>
      </c>
    </row>
    <row r="9491" spans="1:15" x14ac:dyDescent="0.35">
      <c r="A9491" s="500" t="s">
        <v>1748</v>
      </c>
      <c r="B9491" s="501" t="s">
        <v>3233</v>
      </c>
      <c r="C9491" s="501" t="s">
        <v>1094</v>
      </c>
      <c r="D9491" s="501" t="s">
        <v>3380</v>
      </c>
      <c r="E9491" s="501" t="s">
        <v>3381</v>
      </c>
      <c r="F9491" s="501" t="s">
        <v>1012</v>
      </c>
      <c r="G9491" s="501" t="s">
        <v>1013</v>
      </c>
      <c r="H9491" s="501" t="s">
        <v>11047</v>
      </c>
      <c r="I9491" s="501">
        <v>203</v>
      </c>
      <c r="J9491" s="501">
        <v>203</v>
      </c>
      <c r="K9491" s="501">
        <v>0</v>
      </c>
      <c r="L9491" s="501">
        <v>0</v>
      </c>
      <c r="M9491" s="501">
        <v>0</v>
      </c>
      <c r="N9491" s="501">
        <v>0</v>
      </c>
      <c r="O9491" s="506">
        <v>0</v>
      </c>
    </row>
    <row r="9492" spans="1:15" x14ac:dyDescent="0.35">
      <c r="A9492" s="503" t="s">
        <v>14287</v>
      </c>
      <c r="B9492" s="504" t="s">
        <v>3028</v>
      </c>
      <c r="C9492" s="504" t="s">
        <v>1094</v>
      </c>
      <c r="D9492" s="504" t="s">
        <v>3380</v>
      </c>
      <c r="E9492" s="504" t="s">
        <v>3381</v>
      </c>
      <c r="F9492" s="504" t="s">
        <v>1012</v>
      </c>
      <c r="G9492" s="504" t="s">
        <v>1013</v>
      </c>
      <c r="H9492" s="504" t="s">
        <v>15313</v>
      </c>
      <c r="I9492" s="504">
        <v>136</v>
      </c>
      <c r="J9492" s="504">
        <v>113</v>
      </c>
      <c r="K9492" s="504">
        <v>0</v>
      </c>
      <c r="L9492" s="504">
        <v>10</v>
      </c>
      <c r="M9492" s="504">
        <v>0</v>
      </c>
      <c r="N9492" s="504">
        <v>0</v>
      </c>
      <c r="O9492" s="505">
        <v>13</v>
      </c>
    </row>
    <row r="9493" spans="1:15" x14ac:dyDescent="0.35">
      <c r="A9493" s="500" t="s">
        <v>1751</v>
      </c>
      <c r="B9493" s="501" t="s">
        <v>3012</v>
      </c>
      <c r="C9493" s="501" t="s">
        <v>1094</v>
      </c>
      <c r="D9493" s="501" t="s">
        <v>3392</v>
      </c>
      <c r="E9493" s="501" t="s">
        <v>3381</v>
      </c>
      <c r="F9493" s="501" t="s">
        <v>1012</v>
      </c>
      <c r="G9493" s="501" t="s">
        <v>1013</v>
      </c>
      <c r="H9493" s="501" t="s">
        <v>11048</v>
      </c>
      <c r="I9493" s="501">
        <v>10</v>
      </c>
      <c r="J9493" s="501">
        <v>10</v>
      </c>
      <c r="K9493" s="501">
        <v>0</v>
      </c>
      <c r="L9493" s="501">
        <v>0</v>
      </c>
      <c r="M9493" s="501">
        <v>0</v>
      </c>
      <c r="N9493" s="501">
        <v>0</v>
      </c>
      <c r="O9493" s="506">
        <v>0</v>
      </c>
    </row>
    <row r="9494" spans="1:15" x14ac:dyDescent="0.35">
      <c r="A9494" s="503" t="s">
        <v>1752</v>
      </c>
      <c r="B9494" s="504">
        <v>4653</v>
      </c>
      <c r="C9494" s="504" t="s">
        <v>1094</v>
      </c>
      <c r="D9494" s="504" t="s">
        <v>3380</v>
      </c>
      <c r="E9494" s="504" t="s">
        <v>3381</v>
      </c>
      <c r="F9494" s="504" t="s">
        <v>1012</v>
      </c>
      <c r="G9494" s="504" t="s">
        <v>1013</v>
      </c>
      <c r="H9494" s="504" t="s">
        <v>11049</v>
      </c>
      <c r="I9494" s="504">
        <v>1579</v>
      </c>
      <c r="J9494" s="504">
        <v>1273</v>
      </c>
      <c r="K9494" s="504">
        <v>0</v>
      </c>
      <c r="L9494" s="504">
        <v>13</v>
      </c>
      <c r="M9494" s="504">
        <v>232</v>
      </c>
      <c r="N9494" s="504">
        <v>0</v>
      </c>
      <c r="O9494" s="505">
        <v>61</v>
      </c>
    </row>
    <row r="9495" spans="1:15" x14ac:dyDescent="0.35">
      <c r="A9495" s="500" t="s">
        <v>1124</v>
      </c>
      <c r="B9495" s="501">
        <v>4745</v>
      </c>
      <c r="C9495" s="501" t="s">
        <v>1094</v>
      </c>
      <c r="D9495" s="501" t="s">
        <v>3380</v>
      </c>
      <c r="E9495" s="501" t="s">
        <v>3381</v>
      </c>
      <c r="F9495" s="501" t="s">
        <v>1012</v>
      </c>
      <c r="G9495" s="501" t="s">
        <v>1013</v>
      </c>
      <c r="H9495" s="501" t="s">
        <v>11050</v>
      </c>
      <c r="I9495" s="501">
        <v>87</v>
      </c>
      <c r="J9495" s="501">
        <v>0</v>
      </c>
      <c r="K9495" s="501">
        <v>0</v>
      </c>
      <c r="L9495" s="501">
        <v>87</v>
      </c>
      <c r="M9495" s="501">
        <v>0</v>
      </c>
      <c r="N9495" s="501">
        <v>5</v>
      </c>
      <c r="O9495" s="506">
        <v>0</v>
      </c>
    </row>
    <row r="9496" spans="1:15" x14ac:dyDescent="0.35">
      <c r="A9496" s="503" t="s">
        <v>1235</v>
      </c>
      <c r="B9496" s="504">
        <v>4684</v>
      </c>
      <c r="C9496" s="504" t="s">
        <v>1094</v>
      </c>
      <c r="D9496" s="504" t="s">
        <v>3380</v>
      </c>
      <c r="E9496" s="504" t="s">
        <v>3381</v>
      </c>
      <c r="F9496" s="504" t="s">
        <v>1012</v>
      </c>
      <c r="G9496" s="504" t="s">
        <v>1013</v>
      </c>
      <c r="H9496" s="504" t="s">
        <v>11051</v>
      </c>
      <c r="I9496" s="504">
        <v>58</v>
      </c>
      <c r="J9496" s="504">
        <v>58</v>
      </c>
      <c r="K9496" s="504">
        <v>0</v>
      </c>
      <c r="L9496" s="504">
        <v>0</v>
      </c>
      <c r="M9496" s="504">
        <v>0</v>
      </c>
      <c r="N9496" s="504">
        <v>0</v>
      </c>
      <c r="O9496" s="505">
        <v>0</v>
      </c>
    </row>
    <row r="9497" spans="1:15" x14ac:dyDescent="0.35">
      <c r="A9497" s="500" t="s">
        <v>1126</v>
      </c>
      <c r="B9497" s="501" t="s">
        <v>2974</v>
      </c>
      <c r="C9497" s="501" t="s">
        <v>1094</v>
      </c>
      <c r="D9497" s="501" t="s">
        <v>3380</v>
      </c>
      <c r="E9497" s="501" t="s">
        <v>3381</v>
      </c>
      <c r="F9497" s="501" t="s">
        <v>1012</v>
      </c>
      <c r="G9497" s="501" t="s">
        <v>1013</v>
      </c>
      <c r="H9497" s="501" t="s">
        <v>11052</v>
      </c>
      <c r="I9497" s="501">
        <v>541</v>
      </c>
      <c r="J9497" s="501">
        <v>269</v>
      </c>
      <c r="K9497" s="501">
        <v>0</v>
      </c>
      <c r="L9497" s="501">
        <v>56</v>
      </c>
      <c r="M9497" s="501">
        <v>187</v>
      </c>
      <c r="N9497" s="501">
        <v>0</v>
      </c>
      <c r="O9497" s="506">
        <v>29</v>
      </c>
    </row>
    <row r="9498" spans="1:15" x14ac:dyDescent="0.35">
      <c r="A9498" s="503" t="s">
        <v>1253</v>
      </c>
      <c r="B9498" s="504" t="s">
        <v>3232</v>
      </c>
      <c r="C9498" s="504" t="s">
        <v>1094</v>
      </c>
      <c r="D9498" s="504" t="s">
        <v>3380</v>
      </c>
      <c r="E9498" s="504" t="s">
        <v>3381</v>
      </c>
      <c r="F9498" s="504" t="s">
        <v>1012</v>
      </c>
      <c r="G9498" s="504" t="s">
        <v>1013</v>
      </c>
      <c r="H9498" s="504" t="s">
        <v>11053</v>
      </c>
      <c r="I9498" s="504">
        <v>2277</v>
      </c>
      <c r="J9498" s="504">
        <v>1577</v>
      </c>
      <c r="K9498" s="504">
        <v>0</v>
      </c>
      <c r="L9498" s="504">
        <v>166</v>
      </c>
      <c r="M9498" s="504">
        <v>333</v>
      </c>
      <c r="N9498" s="504">
        <v>0</v>
      </c>
      <c r="O9498" s="505">
        <v>201</v>
      </c>
    </row>
    <row r="9499" spans="1:15" x14ac:dyDescent="0.35">
      <c r="A9499" s="500" t="s">
        <v>1779</v>
      </c>
      <c r="B9499" s="501">
        <v>5065</v>
      </c>
      <c r="C9499" s="501" t="s">
        <v>1094</v>
      </c>
      <c r="D9499" s="501" t="s">
        <v>3380</v>
      </c>
      <c r="E9499" s="501" t="s">
        <v>3381</v>
      </c>
      <c r="F9499" s="501" t="s">
        <v>1012</v>
      </c>
      <c r="G9499" s="501" t="s">
        <v>1013</v>
      </c>
      <c r="H9499" s="501" t="s">
        <v>11054</v>
      </c>
      <c r="I9499" s="501">
        <v>176</v>
      </c>
      <c r="J9499" s="501">
        <v>115</v>
      </c>
      <c r="K9499" s="501">
        <v>0</v>
      </c>
      <c r="L9499" s="501">
        <v>0</v>
      </c>
      <c r="M9499" s="501">
        <v>0</v>
      </c>
      <c r="N9499" s="501">
        <v>0</v>
      </c>
      <c r="O9499" s="506">
        <v>61</v>
      </c>
    </row>
    <row r="9500" spans="1:15" x14ac:dyDescent="0.35">
      <c r="A9500" s="503" t="s">
        <v>1260</v>
      </c>
      <c r="B9500" s="504">
        <v>4645</v>
      </c>
      <c r="C9500" s="504" t="s">
        <v>1089</v>
      </c>
      <c r="D9500" s="504" t="s">
        <v>3392</v>
      </c>
      <c r="E9500" s="504" t="s">
        <v>3381</v>
      </c>
      <c r="F9500" s="504" t="s">
        <v>1012</v>
      </c>
      <c r="G9500" s="504" t="s">
        <v>1013</v>
      </c>
      <c r="H9500" s="504" t="s">
        <v>11055</v>
      </c>
      <c r="I9500" s="504">
        <v>10</v>
      </c>
      <c r="J9500" s="504">
        <v>0</v>
      </c>
      <c r="K9500" s="504">
        <v>0</v>
      </c>
      <c r="L9500" s="504">
        <v>10</v>
      </c>
      <c r="M9500" s="504">
        <v>0</v>
      </c>
      <c r="N9500" s="504">
        <v>0</v>
      </c>
      <c r="O9500" s="505">
        <v>0</v>
      </c>
    </row>
    <row r="9501" spans="1:15" x14ac:dyDescent="0.35">
      <c r="A9501" s="500" t="s">
        <v>1787</v>
      </c>
      <c r="B9501" s="501" t="s">
        <v>3009</v>
      </c>
      <c r="C9501" s="501" t="s">
        <v>1089</v>
      </c>
      <c r="D9501" s="501" t="s">
        <v>3392</v>
      </c>
      <c r="E9501" s="501" t="s">
        <v>3381</v>
      </c>
      <c r="F9501" s="501" t="s">
        <v>1012</v>
      </c>
      <c r="G9501" s="501" t="s">
        <v>1013</v>
      </c>
      <c r="H9501" s="501" t="s">
        <v>11056</v>
      </c>
      <c r="I9501" s="501">
        <v>793</v>
      </c>
      <c r="J9501" s="501">
        <v>581</v>
      </c>
      <c r="K9501" s="501">
        <v>0</v>
      </c>
      <c r="L9501" s="501">
        <v>99</v>
      </c>
      <c r="M9501" s="501">
        <v>113</v>
      </c>
      <c r="N9501" s="501">
        <v>0</v>
      </c>
      <c r="O9501" s="506">
        <v>0</v>
      </c>
    </row>
    <row r="9502" spans="1:15" x14ac:dyDescent="0.35">
      <c r="A9502" s="503" t="s">
        <v>1386</v>
      </c>
      <c r="B9502" s="504" t="s">
        <v>3331</v>
      </c>
      <c r="C9502" s="504" t="s">
        <v>1094</v>
      </c>
      <c r="D9502" s="504" t="s">
        <v>3380</v>
      </c>
      <c r="E9502" s="504" t="s">
        <v>3381</v>
      </c>
      <c r="F9502" s="504" t="s">
        <v>1014</v>
      </c>
      <c r="G9502" s="504" t="s">
        <v>1015</v>
      </c>
      <c r="H9502" s="504" t="s">
        <v>11057</v>
      </c>
      <c r="I9502" s="504">
        <v>10</v>
      </c>
      <c r="J9502" s="504">
        <v>0</v>
      </c>
      <c r="K9502" s="504">
        <v>0</v>
      </c>
      <c r="L9502" s="504">
        <v>10</v>
      </c>
      <c r="M9502" s="504">
        <v>0</v>
      </c>
      <c r="N9502" s="504">
        <v>0</v>
      </c>
      <c r="O9502" s="505">
        <v>0</v>
      </c>
    </row>
    <row r="9503" spans="1:15" x14ac:dyDescent="0.35">
      <c r="A9503" s="500" t="s">
        <v>1091</v>
      </c>
      <c r="B9503" s="501" t="s">
        <v>3288</v>
      </c>
      <c r="C9503" s="501" t="s">
        <v>1089</v>
      </c>
      <c r="D9503" s="501" t="s">
        <v>3392</v>
      </c>
      <c r="E9503" s="501" t="s">
        <v>3381</v>
      </c>
      <c r="F9503" s="501" t="s">
        <v>1014</v>
      </c>
      <c r="G9503" s="501" t="s">
        <v>1015</v>
      </c>
      <c r="H9503" s="501" t="s">
        <v>11058</v>
      </c>
      <c r="I9503" s="501">
        <v>21</v>
      </c>
      <c r="J9503" s="501">
        <v>0</v>
      </c>
      <c r="K9503" s="501">
        <v>0</v>
      </c>
      <c r="L9503" s="501">
        <v>21</v>
      </c>
      <c r="M9503" s="501">
        <v>0</v>
      </c>
      <c r="N9503" s="501">
        <v>0</v>
      </c>
      <c r="O9503" s="506">
        <v>0</v>
      </c>
    </row>
    <row r="9504" spans="1:15" x14ac:dyDescent="0.35">
      <c r="A9504" s="503" t="s">
        <v>14127</v>
      </c>
      <c r="B9504" s="504" t="s">
        <v>14126</v>
      </c>
      <c r="C9504" s="504" t="s">
        <v>1094</v>
      </c>
      <c r="D9504" s="504" t="s">
        <v>3380</v>
      </c>
      <c r="E9504" s="504" t="s">
        <v>3381</v>
      </c>
      <c r="F9504" s="504" t="s">
        <v>1014</v>
      </c>
      <c r="G9504" s="504" t="s">
        <v>1015</v>
      </c>
      <c r="H9504" s="504" t="s">
        <v>15314</v>
      </c>
      <c r="I9504" s="504">
        <v>5</v>
      </c>
      <c r="J9504" s="504">
        <v>0</v>
      </c>
      <c r="K9504" s="504">
        <v>0</v>
      </c>
      <c r="L9504" s="504">
        <v>5</v>
      </c>
      <c r="M9504" s="504">
        <v>0</v>
      </c>
      <c r="N9504" s="504">
        <v>0</v>
      </c>
      <c r="O9504" s="505">
        <v>0</v>
      </c>
    </row>
    <row r="9505" spans="1:15" x14ac:dyDescent="0.35">
      <c r="A9505" s="500" t="s">
        <v>1143</v>
      </c>
      <c r="B9505" s="501" t="s">
        <v>3281</v>
      </c>
      <c r="C9505" s="501" t="s">
        <v>1094</v>
      </c>
      <c r="D9505" s="501" t="s">
        <v>3380</v>
      </c>
      <c r="E9505" s="501" t="s">
        <v>3381</v>
      </c>
      <c r="F9505" s="501" t="s">
        <v>1014</v>
      </c>
      <c r="G9505" s="501" t="s">
        <v>1015</v>
      </c>
      <c r="H9505" s="501" t="s">
        <v>11059</v>
      </c>
      <c r="I9505" s="501">
        <v>47</v>
      </c>
      <c r="J9505" s="501">
        <v>47</v>
      </c>
      <c r="K9505" s="501">
        <v>0</v>
      </c>
      <c r="L9505" s="501">
        <v>0</v>
      </c>
      <c r="M9505" s="501">
        <v>0</v>
      </c>
      <c r="N9505" s="501">
        <v>0</v>
      </c>
      <c r="O9505" s="506">
        <v>0</v>
      </c>
    </row>
    <row r="9506" spans="1:15" x14ac:dyDescent="0.35">
      <c r="A9506" s="503" t="s">
        <v>1093</v>
      </c>
      <c r="B9506" s="504" t="s">
        <v>3248</v>
      </c>
      <c r="C9506" s="504" t="s">
        <v>1094</v>
      </c>
      <c r="D9506" s="504" t="s">
        <v>3380</v>
      </c>
      <c r="E9506" s="504" t="s">
        <v>3381</v>
      </c>
      <c r="F9506" s="504" t="s">
        <v>1014</v>
      </c>
      <c r="G9506" s="504" t="s">
        <v>1015</v>
      </c>
      <c r="H9506" s="504" t="s">
        <v>11060</v>
      </c>
      <c r="I9506" s="504">
        <v>2</v>
      </c>
      <c r="J9506" s="504">
        <v>0</v>
      </c>
      <c r="K9506" s="504">
        <v>0</v>
      </c>
      <c r="L9506" s="504">
        <v>0</v>
      </c>
      <c r="M9506" s="504">
        <v>0</v>
      </c>
      <c r="N9506" s="504">
        <v>0</v>
      </c>
      <c r="O9506" s="505">
        <v>2</v>
      </c>
    </row>
    <row r="9507" spans="1:15" x14ac:dyDescent="0.35">
      <c r="A9507" s="500" t="s">
        <v>1096</v>
      </c>
      <c r="B9507" s="501" t="s">
        <v>3326</v>
      </c>
      <c r="C9507" s="501" t="s">
        <v>1094</v>
      </c>
      <c r="D9507" s="501" t="s">
        <v>3380</v>
      </c>
      <c r="E9507" s="501" t="s">
        <v>3381</v>
      </c>
      <c r="F9507" s="501" t="s">
        <v>1014</v>
      </c>
      <c r="G9507" s="501" t="s">
        <v>1015</v>
      </c>
      <c r="H9507" s="501" t="s">
        <v>11061</v>
      </c>
      <c r="I9507" s="501">
        <v>57</v>
      </c>
      <c r="J9507" s="501">
        <v>0</v>
      </c>
      <c r="K9507" s="501">
        <v>0</v>
      </c>
      <c r="L9507" s="501">
        <v>0</v>
      </c>
      <c r="M9507" s="501">
        <v>33</v>
      </c>
      <c r="N9507" s="501">
        <v>8</v>
      </c>
      <c r="O9507" s="506">
        <v>24</v>
      </c>
    </row>
    <row r="9508" spans="1:15" x14ac:dyDescent="0.35">
      <c r="A9508" s="503" t="s">
        <v>1100</v>
      </c>
      <c r="B9508" s="504">
        <v>4865</v>
      </c>
      <c r="C9508" s="504" t="s">
        <v>1094</v>
      </c>
      <c r="D9508" s="504" t="s">
        <v>3380</v>
      </c>
      <c r="E9508" s="504" t="s">
        <v>3381</v>
      </c>
      <c r="F9508" s="504" t="s">
        <v>1014</v>
      </c>
      <c r="G9508" s="504" t="s">
        <v>1015</v>
      </c>
      <c r="H9508" s="504" t="s">
        <v>11062</v>
      </c>
      <c r="I9508" s="504">
        <v>7</v>
      </c>
      <c r="J9508" s="504">
        <v>7</v>
      </c>
      <c r="K9508" s="504">
        <v>0</v>
      </c>
      <c r="L9508" s="504">
        <v>0</v>
      </c>
      <c r="M9508" s="504">
        <v>0</v>
      </c>
      <c r="N9508" s="504">
        <v>0</v>
      </c>
      <c r="O9508" s="505">
        <v>0</v>
      </c>
    </row>
    <row r="9509" spans="1:15" x14ac:dyDescent="0.35">
      <c r="A9509" s="500" t="s">
        <v>1174</v>
      </c>
      <c r="B9509" s="501">
        <v>4784</v>
      </c>
      <c r="C9509" s="501" t="s">
        <v>1089</v>
      </c>
      <c r="D9509" s="501" t="s">
        <v>3392</v>
      </c>
      <c r="E9509" s="501" t="s">
        <v>3381</v>
      </c>
      <c r="F9509" s="501" t="s">
        <v>1014</v>
      </c>
      <c r="G9509" s="501" t="s">
        <v>1015</v>
      </c>
      <c r="H9509" s="501" t="s">
        <v>11063</v>
      </c>
      <c r="I9509" s="501">
        <v>6</v>
      </c>
      <c r="J9509" s="501">
        <v>0</v>
      </c>
      <c r="K9509" s="501">
        <v>0</v>
      </c>
      <c r="L9509" s="501">
        <v>6</v>
      </c>
      <c r="M9509" s="501">
        <v>0</v>
      </c>
      <c r="N9509" s="501">
        <v>0</v>
      </c>
      <c r="O9509" s="506">
        <v>0</v>
      </c>
    </row>
    <row r="9510" spans="1:15" x14ac:dyDescent="0.35">
      <c r="A9510" s="503" t="s">
        <v>1177</v>
      </c>
      <c r="B9510" s="504">
        <v>4702</v>
      </c>
      <c r="C9510" s="504" t="s">
        <v>1089</v>
      </c>
      <c r="D9510" s="504" t="s">
        <v>3392</v>
      </c>
      <c r="E9510" s="504" t="s">
        <v>3381</v>
      </c>
      <c r="F9510" s="504" t="s">
        <v>1014</v>
      </c>
      <c r="G9510" s="504" t="s">
        <v>1015</v>
      </c>
      <c r="H9510" s="504" t="s">
        <v>11064</v>
      </c>
      <c r="I9510" s="504">
        <v>3</v>
      </c>
      <c r="J9510" s="504">
        <v>0</v>
      </c>
      <c r="K9510" s="504">
        <v>0</v>
      </c>
      <c r="L9510" s="504">
        <v>3</v>
      </c>
      <c r="M9510" s="504">
        <v>0</v>
      </c>
      <c r="N9510" s="504">
        <v>0</v>
      </c>
      <c r="O9510" s="505">
        <v>0</v>
      </c>
    </row>
    <row r="9511" spans="1:15" x14ac:dyDescent="0.35">
      <c r="A9511" s="500" t="s">
        <v>14208</v>
      </c>
      <c r="B9511" s="501">
        <v>4803</v>
      </c>
      <c r="C9511" s="501" t="s">
        <v>1094</v>
      </c>
      <c r="D9511" s="501" t="s">
        <v>3380</v>
      </c>
      <c r="E9511" s="501" t="s">
        <v>3381</v>
      </c>
      <c r="F9511" s="501" t="s">
        <v>1014</v>
      </c>
      <c r="G9511" s="501" t="s">
        <v>1015</v>
      </c>
      <c r="H9511" s="501" t="s">
        <v>15315</v>
      </c>
      <c r="I9511" s="501">
        <v>5</v>
      </c>
      <c r="J9511" s="501">
        <v>0</v>
      </c>
      <c r="K9511" s="501">
        <v>0</v>
      </c>
      <c r="L9511" s="501">
        <v>5</v>
      </c>
      <c r="M9511" s="501">
        <v>0</v>
      </c>
      <c r="N9511" s="501">
        <v>0</v>
      </c>
      <c r="O9511" s="506">
        <v>0</v>
      </c>
    </row>
    <row r="9512" spans="1:15" x14ac:dyDescent="0.35">
      <c r="A9512" s="503" t="s">
        <v>1839</v>
      </c>
      <c r="B9512" s="504" t="s">
        <v>3050</v>
      </c>
      <c r="C9512" s="504" t="s">
        <v>1089</v>
      </c>
      <c r="D9512" s="504" t="s">
        <v>3392</v>
      </c>
      <c r="E9512" s="504" t="s">
        <v>3381</v>
      </c>
      <c r="F9512" s="504" t="s">
        <v>1014</v>
      </c>
      <c r="G9512" s="504" t="s">
        <v>1015</v>
      </c>
      <c r="H9512" s="504" t="s">
        <v>11065</v>
      </c>
      <c r="I9512" s="504">
        <v>228</v>
      </c>
      <c r="J9512" s="504">
        <v>94</v>
      </c>
      <c r="K9512" s="504">
        <v>0</v>
      </c>
      <c r="L9512" s="504">
        <v>0</v>
      </c>
      <c r="M9512" s="504">
        <v>134</v>
      </c>
      <c r="N9512" s="504">
        <v>0</v>
      </c>
      <c r="O9512" s="505">
        <v>0</v>
      </c>
    </row>
    <row r="9513" spans="1:15" x14ac:dyDescent="0.35">
      <c r="A9513" s="500" t="s">
        <v>1107</v>
      </c>
      <c r="B9513" s="501" t="s">
        <v>3109</v>
      </c>
      <c r="C9513" s="501" t="s">
        <v>1094</v>
      </c>
      <c r="D9513" s="501" t="s">
        <v>3380</v>
      </c>
      <c r="E9513" s="501" t="s">
        <v>3381</v>
      </c>
      <c r="F9513" s="501" t="s">
        <v>1014</v>
      </c>
      <c r="G9513" s="501" t="s">
        <v>1015</v>
      </c>
      <c r="H9513" s="501" t="s">
        <v>11066</v>
      </c>
      <c r="I9513" s="501">
        <v>6</v>
      </c>
      <c r="J9513" s="501">
        <v>0</v>
      </c>
      <c r="K9513" s="501">
        <v>0</v>
      </c>
      <c r="L9513" s="501">
        <v>6</v>
      </c>
      <c r="M9513" s="501">
        <v>0</v>
      </c>
      <c r="N9513" s="501">
        <v>0</v>
      </c>
      <c r="O9513" s="506">
        <v>0</v>
      </c>
    </row>
    <row r="9514" spans="1:15" x14ac:dyDescent="0.35">
      <c r="A9514" s="503" t="s">
        <v>1109</v>
      </c>
      <c r="B9514" s="504" t="s">
        <v>2959</v>
      </c>
      <c r="C9514" s="504" t="s">
        <v>1094</v>
      </c>
      <c r="D9514" s="504" t="s">
        <v>3380</v>
      </c>
      <c r="E9514" s="504" t="s">
        <v>3381</v>
      </c>
      <c r="F9514" s="504" t="s">
        <v>1014</v>
      </c>
      <c r="G9514" s="504" t="s">
        <v>1015</v>
      </c>
      <c r="H9514" s="504" t="s">
        <v>11067</v>
      </c>
      <c r="I9514" s="504">
        <v>44</v>
      </c>
      <c r="J9514" s="504">
        <v>0</v>
      </c>
      <c r="K9514" s="504">
        <v>0</v>
      </c>
      <c r="L9514" s="504">
        <v>0</v>
      </c>
      <c r="M9514" s="504">
        <v>44</v>
      </c>
      <c r="N9514" s="504">
        <v>0</v>
      </c>
      <c r="O9514" s="505">
        <v>0</v>
      </c>
    </row>
    <row r="9515" spans="1:15" x14ac:dyDescent="0.35">
      <c r="A9515" s="500" t="s">
        <v>1189</v>
      </c>
      <c r="B9515" s="501" t="s">
        <v>3236</v>
      </c>
      <c r="C9515" s="501" t="s">
        <v>1094</v>
      </c>
      <c r="D9515" s="501" t="s">
        <v>3380</v>
      </c>
      <c r="E9515" s="501" t="s">
        <v>3381</v>
      </c>
      <c r="F9515" s="501" t="s">
        <v>1014</v>
      </c>
      <c r="G9515" s="501" t="s">
        <v>1015</v>
      </c>
      <c r="H9515" s="501" t="s">
        <v>11068</v>
      </c>
      <c r="I9515" s="501">
        <v>10</v>
      </c>
      <c r="J9515" s="501">
        <v>10</v>
      </c>
      <c r="K9515" s="501">
        <v>0</v>
      </c>
      <c r="L9515" s="501">
        <v>0</v>
      </c>
      <c r="M9515" s="501">
        <v>0</v>
      </c>
      <c r="N9515" s="501">
        <v>0</v>
      </c>
      <c r="O9515" s="506">
        <v>0</v>
      </c>
    </row>
    <row r="9516" spans="1:15" x14ac:dyDescent="0.35">
      <c r="A9516" s="503" t="s">
        <v>1202</v>
      </c>
      <c r="B9516" s="504" t="s">
        <v>3217</v>
      </c>
      <c r="C9516" s="504" t="s">
        <v>1094</v>
      </c>
      <c r="D9516" s="504" t="s">
        <v>3380</v>
      </c>
      <c r="E9516" s="504" t="s">
        <v>3381</v>
      </c>
      <c r="F9516" s="504" t="s">
        <v>1014</v>
      </c>
      <c r="G9516" s="504" t="s">
        <v>1015</v>
      </c>
      <c r="H9516" s="504" t="s">
        <v>11069</v>
      </c>
      <c r="I9516" s="504">
        <v>54</v>
      </c>
      <c r="J9516" s="504">
        <v>36</v>
      </c>
      <c r="K9516" s="504">
        <v>0</v>
      </c>
      <c r="L9516" s="504">
        <v>0</v>
      </c>
      <c r="M9516" s="504">
        <v>0</v>
      </c>
      <c r="N9516" s="504">
        <v>0</v>
      </c>
      <c r="O9516" s="505">
        <v>18</v>
      </c>
    </row>
    <row r="9517" spans="1:15" x14ac:dyDescent="0.35">
      <c r="A9517" s="500" t="s">
        <v>1112</v>
      </c>
      <c r="B9517" s="501" t="s">
        <v>3008</v>
      </c>
      <c r="C9517" s="501" t="s">
        <v>1094</v>
      </c>
      <c r="D9517" s="501" t="s">
        <v>3380</v>
      </c>
      <c r="E9517" s="501" t="s">
        <v>3381</v>
      </c>
      <c r="F9517" s="501" t="s">
        <v>1014</v>
      </c>
      <c r="G9517" s="501" t="s">
        <v>1015</v>
      </c>
      <c r="H9517" s="501" t="s">
        <v>11070</v>
      </c>
      <c r="I9517" s="501">
        <v>252</v>
      </c>
      <c r="J9517" s="501">
        <v>159</v>
      </c>
      <c r="K9517" s="501">
        <v>0</v>
      </c>
      <c r="L9517" s="501">
        <v>0</v>
      </c>
      <c r="M9517" s="501">
        <v>0</v>
      </c>
      <c r="N9517" s="501">
        <v>1</v>
      </c>
      <c r="O9517" s="506">
        <v>93</v>
      </c>
    </row>
    <row r="9518" spans="1:15" x14ac:dyDescent="0.35">
      <c r="A9518" s="503" t="s">
        <v>1114</v>
      </c>
      <c r="B9518" s="504" t="s">
        <v>2982</v>
      </c>
      <c r="C9518" s="504" t="s">
        <v>1094</v>
      </c>
      <c r="D9518" s="504" t="s">
        <v>3380</v>
      </c>
      <c r="E9518" s="504" t="s">
        <v>3381</v>
      </c>
      <c r="F9518" s="504" t="s">
        <v>1014</v>
      </c>
      <c r="G9518" s="504" t="s">
        <v>1015</v>
      </c>
      <c r="H9518" s="504" t="s">
        <v>11071</v>
      </c>
      <c r="I9518" s="504">
        <v>2</v>
      </c>
      <c r="J9518" s="504">
        <v>0</v>
      </c>
      <c r="K9518" s="504">
        <v>0</v>
      </c>
      <c r="L9518" s="504">
        <v>0</v>
      </c>
      <c r="M9518" s="504">
        <v>0</v>
      </c>
      <c r="N9518" s="504">
        <v>0</v>
      </c>
      <c r="O9518" s="505">
        <v>2</v>
      </c>
    </row>
    <row r="9519" spans="1:15" x14ac:dyDescent="0.35">
      <c r="A9519" s="500" t="s">
        <v>1501</v>
      </c>
      <c r="B9519" s="501" t="s">
        <v>2956</v>
      </c>
      <c r="C9519" s="501" t="s">
        <v>1094</v>
      </c>
      <c r="D9519" s="501" t="s">
        <v>3380</v>
      </c>
      <c r="E9519" s="501" t="s">
        <v>3381</v>
      </c>
      <c r="F9519" s="501" t="s">
        <v>1014</v>
      </c>
      <c r="G9519" s="501" t="s">
        <v>1015</v>
      </c>
      <c r="H9519" s="501" t="s">
        <v>11072</v>
      </c>
      <c r="I9519" s="501">
        <v>139</v>
      </c>
      <c r="J9519" s="501">
        <v>103</v>
      </c>
      <c r="K9519" s="501">
        <v>0</v>
      </c>
      <c r="L9519" s="501">
        <v>0</v>
      </c>
      <c r="M9519" s="501">
        <v>36</v>
      </c>
      <c r="N9519" s="501">
        <v>0</v>
      </c>
      <c r="O9519" s="506">
        <v>0</v>
      </c>
    </row>
    <row r="9520" spans="1:15" x14ac:dyDescent="0.35">
      <c r="A9520" s="503" t="s">
        <v>1220</v>
      </c>
      <c r="B9520" s="504">
        <v>4849</v>
      </c>
      <c r="C9520" s="504" t="s">
        <v>1094</v>
      </c>
      <c r="D9520" s="504" t="s">
        <v>3380</v>
      </c>
      <c r="E9520" s="504" t="s">
        <v>3381</v>
      </c>
      <c r="F9520" s="504" t="s">
        <v>1014</v>
      </c>
      <c r="G9520" s="504" t="s">
        <v>1015</v>
      </c>
      <c r="H9520" s="504" t="s">
        <v>11073</v>
      </c>
      <c r="I9520" s="504">
        <v>146</v>
      </c>
      <c r="J9520" s="504">
        <v>50</v>
      </c>
      <c r="K9520" s="504">
        <v>0</v>
      </c>
      <c r="L9520" s="504">
        <v>0</v>
      </c>
      <c r="M9520" s="504">
        <v>25</v>
      </c>
      <c r="N9520" s="504">
        <v>0</v>
      </c>
      <c r="O9520" s="505">
        <v>71</v>
      </c>
    </row>
    <row r="9521" spans="1:15" x14ac:dyDescent="0.35">
      <c r="A9521" s="500" t="s">
        <v>1536</v>
      </c>
      <c r="B9521" s="501" t="s">
        <v>3178</v>
      </c>
      <c r="C9521" s="501" t="s">
        <v>1094</v>
      </c>
      <c r="D9521" s="501" t="s">
        <v>3380</v>
      </c>
      <c r="E9521" s="501" t="s">
        <v>3381</v>
      </c>
      <c r="F9521" s="501" t="s">
        <v>1014</v>
      </c>
      <c r="G9521" s="501" t="s">
        <v>1015</v>
      </c>
      <c r="H9521" s="501" t="s">
        <v>11074</v>
      </c>
      <c r="I9521" s="501">
        <v>21</v>
      </c>
      <c r="J9521" s="501">
        <v>0</v>
      </c>
      <c r="K9521" s="501">
        <v>0</v>
      </c>
      <c r="L9521" s="501">
        <v>0</v>
      </c>
      <c r="M9521" s="501">
        <v>21</v>
      </c>
      <c r="N9521" s="501">
        <v>0</v>
      </c>
      <c r="O9521" s="506">
        <v>0</v>
      </c>
    </row>
    <row r="9522" spans="1:15" x14ac:dyDescent="0.35">
      <c r="A9522" s="503" t="s">
        <v>1126</v>
      </c>
      <c r="B9522" s="504" t="s">
        <v>2974</v>
      </c>
      <c r="C9522" s="504" t="s">
        <v>1094</v>
      </c>
      <c r="D9522" s="504" t="s">
        <v>3380</v>
      </c>
      <c r="E9522" s="504" t="s">
        <v>3381</v>
      </c>
      <c r="F9522" s="504" t="s">
        <v>1014</v>
      </c>
      <c r="G9522" s="504" t="s">
        <v>1015</v>
      </c>
      <c r="H9522" s="504" t="s">
        <v>11075</v>
      </c>
      <c r="I9522" s="504">
        <v>8</v>
      </c>
      <c r="J9522" s="504">
        <v>0</v>
      </c>
      <c r="K9522" s="504">
        <v>0</v>
      </c>
      <c r="L9522" s="504">
        <v>8</v>
      </c>
      <c r="M9522" s="504">
        <v>0</v>
      </c>
      <c r="N9522" s="504">
        <v>0</v>
      </c>
      <c r="O9522" s="505">
        <v>0</v>
      </c>
    </row>
    <row r="9523" spans="1:15" x14ac:dyDescent="0.35">
      <c r="A9523" s="500" t="s">
        <v>1342</v>
      </c>
      <c r="B9523" s="501" t="s">
        <v>3237</v>
      </c>
      <c r="C9523" s="501" t="s">
        <v>1094</v>
      </c>
      <c r="D9523" s="501" t="s">
        <v>3380</v>
      </c>
      <c r="E9523" s="501" t="s">
        <v>3381</v>
      </c>
      <c r="F9523" s="501" t="s">
        <v>1014</v>
      </c>
      <c r="G9523" s="501" t="s">
        <v>1015</v>
      </c>
      <c r="H9523" s="501" t="s">
        <v>11076</v>
      </c>
      <c r="I9523" s="501">
        <v>1</v>
      </c>
      <c r="J9523" s="501">
        <v>0</v>
      </c>
      <c r="K9523" s="501">
        <v>0</v>
      </c>
      <c r="L9523" s="501">
        <v>0</v>
      </c>
      <c r="M9523" s="501">
        <v>0</v>
      </c>
      <c r="N9523" s="501">
        <v>0</v>
      </c>
      <c r="O9523" s="506">
        <v>1</v>
      </c>
    </row>
    <row r="9524" spans="1:15" x14ac:dyDescent="0.35">
      <c r="A9524" s="503" t="s">
        <v>1130</v>
      </c>
      <c r="B9524" s="504" t="s">
        <v>3234</v>
      </c>
      <c r="C9524" s="504" t="s">
        <v>1094</v>
      </c>
      <c r="D9524" s="504" t="s">
        <v>3380</v>
      </c>
      <c r="E9524" s="504" t="s">
        <v>3381</v>
      </c>
      <c r="F9524" s="504" t="s">
        <v>1014</v>
      </c>
      <c r="G9524" s="504" t="s">
        <v>1015</v>
      </c>
      <c r="H9524" s="504" t="s">
        <v>11077</v>
      </c>
      <c r="I9524" s="504">
        <v>214</v>
      </c>
      <c r="J9524" s="504">
        <v>159</v>
      </c>
      <c r="K9524" s="504">
        <v>4</v>
      </c>
      <c r="L9524" s="504">
        <v>12</v>
      </c>
      <c r="M9524" s="504">
        <v>0</v>
      </c>
      <c r="N9524" s="504">
        <v>2</v>
      </c>
      <c r="O9524" s="505">
        <v>39</v>
      </c>
    </row>
    <row r="9525" spans="1:15" x14ac:dyDescent="0.35">
      <c r="A9525" s="500" t="s">
        <v>1134</v>
      </c>
      <c r="B9525" s="501" t="s">
        <v>3066</v>
      </c>
      <c r="C9525" s="501" t="s">
        <v>1094</v>
      </c>
      <c r="D9525" s="501" t="s">
        <v>3380</v>
      </c>
      <c r="E9525" s="501" t="s">
        <v>3381</v>
      </c>
      <c r="F9525" s="501" t="s">
        <v>1014</v>
      </c>
      <c r="G9525" s="501" t="s">
        <v>1015</v>
      </c>
      <c r="H9525" s="501" t="s">
        <v>11078</v>
      </c>
      <c r="I9525" s="501">
        <v>54</v>
      </c>
      <c r="J9525" s="501">
        <v>54</v>
      </c>
      <c r="K9525" s="501">
        <v>0</v>
      </c>
      <c r="L9525" s="501">
        <v>0</v>
      </c>
      <c r="M9525" s="501">
        <v>0</v>
      </c>
      <c r="N9525" s="501">
        <v>0</v>
      </c>
      <c r="O9525" s="506">
        <v>0</v>
      </c>
    </row>
    <row r="9526" spans="1:15" x14ac:dyDescent="0.35">
      <c r="A9526" s="503" t="s">
        <v>1560</v>
      </c>
      <c r="B9526" s="504" t="s">
        <v>2990</v>
      </c>
      <c r="C9526" s="504" t="s">
        <v>1094</v>
      </c>
      <c r="D9526" s="504" t="s">
        <v>3380</v>
      </c>
      <c r="E9526" s="504" t="s">
        <v>3381</v>
      </c>
      <c r="F9526" s="504" t="s">
        <v>1014</v>
      </c>
      <c r="G9526" s="504" t="s">
        <v>1015</v>
      </c>
      <c r="H9526" s="504" t="s">
        <v>11079</v>
      </c>
      <c r="I9526" s="504">
        <v>224</v>
      </c>
      <c r="J9526" s="504">
        <v>224</v>
      </c>
      <c r="K9526" s="504">
        <v>0</v>
      </c>
      <c r="L9526" s="504">
        <v>0</v>
      </c>
      <c r="M9526" s="504">
        <v>0</v>
      </c>
      <c r="N9526" s="504">
        <v>0</v>
      </c>
      <c r="O9526" s="505">
        <v>0</v>
      </c>
    </row>
    <row r="9527" spans="1:15" x14ac:dyDescent="0.35">
      <c r="A9527" s="500" t="s">
        <v>1919</v>
      </c>
      <c r="B9527" s="501" t="s">
        <v>3076</v>
      </c>
      <c r="C9527" s="501" t="s">
        <v>1089</v>
      </c>
      <c r="D9527" s="501" t="s">
        <v>3392</v>
      </c>
      <c r="E9527" s="501" t="s">
        <v>3381</v>
      </c>
      <c r="F9527" s="501" t="s">
        <v>1014</v>
      </c>
      <c r="G9527" s="501" t="s">
        <v>1015</v>
      </c>
      <c r="H9527" s="501" t="s">
        <v>11080</v>
      </c>
      <c r="I9527" s="501">
        <v>16</v>
      </c>
      <c r="J9527" s="501">
        <v>16</v>
      </c>
      <c r="K9527" s="501">
        <v>0</v>
      </c>
      <c r="L9527" s="501">
        <v>0</v>
      </c>
      <c r="M9527" s="501">
        <v>0</v>
      </c>
      <c r="N9527" s="501">
        <v>0</v>
      </c>
      <c r="O9527" s="506">
        <v>0</v>
      </c>
    </row>
    <row r="9528" spans="1:15" x14ac:dyDescent="0.35">
      <c r="A9528" s="503" t="s">
        <v>1249</v>
      </c>
      <c r="B9528" s="504">
        <v>4729</v>
      </c>
      <c r="C9528" s="504" t="s">
        <v>1094</v>
      </c>
      <c r="D9528" s="504" t="s">
        <v>3380</v>
      </c>
      <c r="E9528" s="504" t="s">
        <v>3381</v>
      </c>
      <c r="F9528" s="504" t="s">
        <v>1014</v>
      </c>
      <c r="G9528" s="504" t="s">
        <v>1015</v>
      </c>
      <c r="H9528" s="504" t="s">
        <v>11081</v>
      </c>
      <c r="I9528" s="504">
        <v>225</v>
      </c>
      <c r="J9528" s="504">
        <v>176</v>
      </c>
      <c r="K9528" s="504">
        <v>0</v>
      </c>
      <c r="L9528" s="504">
        <v>0</v>
      </c>
      <c r="M9528" s="504">
        <v>49</v>
      </c>
      <c r="N9528" s="504">
        <v>0</v>
      </c>
      <c r="O9528" s="505">
        <v>0</v>
      </c>
    </row>
    <row r="9529" spans="1:15" x14ac:dyDescent="0.35">
      <c r="A9529" s="500" t="s">
        <v>1253</v>
      </c>
      <c r="B9529" s="501" t="s">
        <v>3232</v>
      </c>
      <c r="C9529" s="501" t="s">
        <v>1094</v>
      </c>
      <c r="D9529" s="501" t="s">
        <v>3380</v>
      </c>
      <c r="E9529" s="501" t="s">
        <v>3381</v>
      </c>
      <c r="F9529" s="501" t="s">
        <v>1014</v>
      </c>
      <c r="G9529" s="501" t="s">
        <v>1015</v>
      </c>
      <c r="H9529" s="501" t="s">
        <v>11082</v>
      </c>
      <c r="I9529" s="501">
        <v>15</v>
      </c>
      <c r="J9529" s="501">
        <v>0</v>
      </c>
      <c r="K9529" s="501">
        <v>0</v>
      </c>
      <c r="L9529" s="501">
        <v>15</v>
      </c>
      <c r="M9529" s="501">
        <v>0</v>
      </c>
      <c r="N9529" s="501">
        <v>0</v>
      </c>
      <c r="O9529" s="506">
        <v>0</v>
      </c>
    </row>
    <row r="9530" spans="1:15" x14ac:dyDescent="0.35">
      <c r="A9530" s="503" t="s">
        <v>1581</v>
      </c>
      <c r="B9530" s="504" t="s">
        <v>2888</v>
      </c>
      <c r="C9530" s="504" t="s">
        <v>1089</v>
      </c>
      <c r="D9530" s="504" t="s">
        <v>3392</v>
      </c>
      <c r="E9530" s="504" t="s">
        <v>3381</v>
      </c>
      <c r="F9530" s="504" t="s">
        <v>1014</v>
      </c>
      <c r="G9530" s="504" t="s">
        <v>1015</v>
      </c>
      <c r="H9530" s="504" t="s">
        <v>11083</v>
      </c>
      <c r="I9530" s="504">
        <v>70</v>
      </c>
      <c r="J9530" s="504">
        <v>0</v>
      </c>
      <c r="K9530" s="504">
        <v>0</v>
      </c>
      <c r="L9530" s="504">
        <v>70</v>
      </c>
      <c r="M9530" s="504">
        <v>0</v>
      </c>
      <c r="N9530" s="504">
        <v>0</v>
      </c>
      <c r="O9530" s="505">
        <v>0</v>
      </c>
    </row>
    <row r="9531" spans="1:15" x14ac:dyDescent="0.35">
      <c r="A9531" s="500" t="s">
        <v>1260</v>
      </c>
      <c r="B9531" s="501">
        <v>4645</v>
      </c>
      <c r="C9531" s="501" t="s">
        <v>1089</v>
      </c>
      <c r="D9531" s="501" t="s">
        <v>3392</v>
      </c>
      <c r="E9531" s="501" t="s">
        <v>3381</v>
      </c>
      <c r="F9531" s="501" t="s">
        <v>1014</v>
      </c>
      <c r="G9531" s="501" t="s">
        <v>1015</v>
      </c>
      <c r="H9531" s="501" t="s">
        <v>11084</v>
      </c>
      <c r="I9531" s="501">
        <v>12</v>
      </c>
      <c r="J9531" s="501">
        <v>0</v>
      </c>
      <c r="K9531" s="501">
        <v>0</v>
      </c>
      <c r="L9531" s="501">
        <v>12</v>
      </c>
      <c r="M9531" s="501">
        <v>0</v>
      </c>
      <c r="N9531" s="501">
        <v>0</v>
      </c>
      <c r="O9531" s="506">
        <v>0</v>
      </c>
    </row>
    <row r="9532" spans="1:15" x14ac:dyDescent="0.35">
      <c r="A9532" s="503" t="s">
        <v>1385</v>
      </c>
      <c r="B9532" s="504" t="s">
        <v>3249</v>
      </c>
      <c r="C9532" s="504" t="s">
        <v>1094</v>
      </c>
      <c r="D9532" s="504" t="s">
        <v>3380</v>
      </c>
      <c r="E9532" s="504" t="s">
        <v>3381</v>
      </c>
      <c r="F9532" s="504" t="s">
        <v>1016</v>
      </c>
      <c r="G9532" s="504" t="s">
        <v>1017</v>
      </c>
      <c r="H9532" s="504" t="s">
        <v>11085</v>
      </c>
      <c r="I9532" s="504">
        <v>14</v>
      </c>
      <c r="J9532" s="504">
        <v>0</v>
      </c>
      <c r="K9532" s="504">
        <v>0</v>
      </c>
      <c r="L9532" s="504">
        <v>14</v>
      </c>
      <c r="M9532" s="504">
        <v>0</v>
      </c>
      <c r="N9532" s="504">
        <v>0</v>
      </c>
      <c r="O9532" s="505">
        <v>0</v>
      </c>
    </row>
    <row r="9533" spans="1:15" x14ac:dyDescent="0.35">
      <c r="A9533" s="500" t="s">
        <v>1386</v>
      </c>
      <c r="B9533" s="501" t="s">
        <v>3331</v>
      </c>
      <c r="C9533" s="501" t="s">
        <v>1094</v>
      </c>
      <c r="D9533" s="501" t="s">
        <v>3380</v>
      </c>
      <c r="E9533" s="501" t="s">
        <v>3381</v>
      </c>
      <c r="F9533" s="501" t="s">
        <v>1016</v>
      </c>
      <c r="G9533" s="501" t="s">
        <v>1017</v>
      </c>
      <c r="H9533" s="501" t="s">
        <v>11086</v>
      </c>
      <c r="I9533" s="501">
        <v>85</v>
      </c>
      <c r="J9533" s="501">
        <v>49</v>
      </c>
      <c r="K9533" s="501">
        <v>0</v>
      </c>
      <c r="L9533" s="501">
        <v>0</v>
      </c>
      <c r="M9533" s="501">
        <v>33</v>
      </c>
      <c r="N9533" s="501">
        <v>0</v>
      </c>
      <c r="O9533" s="506">
        <v>3</v>
      </c>
    </row>
    <row r="9534" spans="1:15" x14ac:dyDescent="0.35">
      <c r="A9534" s="503" t="s">
        <v>1091</v>
      </c>
      <c r="B9534" s="504" t="s">
        <v>3288</v>
      </c>
      <c r="C9534" s="504" t="s">
        <v>1089</v>
      </c>
      <c r="D9534" s="504" t="s">
        <v>3392</v>
      </c>
      <c r="E9534" s="504" t="s">
        <v>3381</v>
      </c>
      <c r="F9534" s="504" t="s">
        <v>1016</v>
      </c>
      <c r="G9534" s="504" t="s">
        <v>1017</v>
      </c>
      <c r="H9534" s="504" t="s">
        <v>11087</v>
      </c>
      <c r="I9534" s="504">
        <v>9</v>
      </c>
      <c r="J9534" s="504">
        <v>0</v>
      </c>
      <c r="K9534" s="504">
        <v>0</v>
      </c>
      <c r="L9534" s="504">
        <v>9</v>
      </c>
      <c r="M9534" s="504">
        <v>0</v>
      </c>
      <c r="N9534" s="504">
        <v>0</v>
      </c>
      <c r="O9534" s="505">
        <v>0</v>
      </c>
    </row>
    <row r="9535" spans="1:15" x14ac:dyDescent="0.35">
      <c r="A9535" s="500" t="s">
        <v>14127</v>
      </c>
      <c r="B9535" s="501" t="s">
        <v>14126</v>
      </c>
      <c r="C9535" s="501" t="s">
        <v>1094</v>
      </c>
      <c r="D9535" s="501" t="s">
        <v>3380</v>
      </c>
      <c r="E9535" s="501" t="s">
        <v>3381</v>
      </c>
      <c r="F9535" s="501" t="s">
        <v>1016</v>
      </c>
      <c r="G9535" s="501" t="s">
        <v>1017</v>
      </c>
      <c r="H9535" s="501" t="s">
        <v>15316</v>
      </c>
      <c r="I9535" s="501">
        <v>14</v>
      </c>
      <c r="J9535" s="501">
        <v>10</v>
      </c>
      <c r="K9535" s="501">
        <v>0</v>
      </c>
      <c r="L9535" s="501">
        <v>4</v>
      </c>
      <c r="M9535" s="501">
        <v>0</v>
      </c>
      <c r="N9535" s="501">
        <v>0</v>
      </c>
      <c r="O9535" s="506">
        <v>0</v>
      </c>
    </row>
    <row r="9536" spans="1:15" x14ac:dyDescent="0.35">
      <c r="A9536" s="503" t="s">
        <v>1093</v>
      </c>
      <c r="B9536" s="504" t="s">
        <v>3248</v>
      </c>
      <c r="C9536" s="504" t="s">
        <v>1094</v>
      </c>
      <c r="D9536" s="504" t="s">
        <v>3380</v>
      </c>
      <c r="E9536" s="504" t="s">
        <v>3381</v>
      </c>
      <c r="F9536" s="504" t="s">
        <v>1016</v>
      </c>
      <c r="G9536" s="504" t="s">
        <v>1017</v>
      </c>
      <c r="H9536" s="504" t="s">
        <v>11088</v>
      </c>
      <c r="I9536" s="504">
        <v>10</v>
      </c>
      <c r="J9536" s="504">
        <v>0</v>
      </c>
      <c r="K9536" s="504">
        <v>0</v>
      </c>
      <c r="L9536" s="504">
        <v>4</v>
      </c>
      <c r="M9536" s="504">
        <v>0</v>
      </c>
      <c r="N9536" s="504">
        <v>0</v>
      </c>
      <c r="O9536" s="505">
        <v>6</v>
      </c>
    </row>
    <row r="9537" spans="1:15" x14ac:dyDescent="0.35">
      <c r="A9537" s="500" t="s">
        <v>1096</v>
      </c>
      <c r="B9537" s="501" t="s">
        <v>3326</v>
      </c>
      <c r="C9537" s="501" t="s">
        <v>1094</v>
      </c>
      <c r="D9537" s="501" t="s">
        <v>3380</v>
      </c>
      <c r="E9537" s="501" t="s">
        <v>3381</v>
      </c>
      <c r="F9537" s="501" t="s">
        <v>1016</v>
      </c>
      <c r="G9537" s="501" t="s">
        <v>1017</v>
      </c>
      <c r="H9537" s="501" t="s">
        <v>11089</v>
      </c>
      <c r="I9537" s="501">
        <v>15</v>
      </c>
      <c r="J9537" s="501">
        <v>0</v>
      </c>
      <c r="K9537" s="501">
        <v>0</v>
      </c>
      <c r="L9537" s="501">
        <v>0</v>
      </c>
      <c r="M9537" s="501">
        <v>15</v>
      </c>
      <c r="N9537" s="501">
        <v>0</v>
      </c>
      <c r="O9537" s="506">
        <v>0</v>
      </c>
    </row>
    <row r="9538" spans="1:15" x14ac:dyDescent="0.35">
      <c r="A9538" s="503" t="s">
        <v>1161</v>
      </c>
      <c r="B9538" s="504" t="s">
        <v>3001</v>
      </c>
      <c r="C9538" s="504" t="s">
        <v>1094</v>
      </c>
      <c r="D9538" s="504" t="s">
        <v>3380</v>
      </c>
      <c r="E9538" s="504" t="s">
        <v>3381</v>
      </c>
      <c r="F9538" s="504" t="s">
        <v>1016</v>
      </c>
      <c r="G9538" s="504" t="s">
        <v>1017</v>
      </c>
      <c r="H9538" s="504" t="s">
        <v>11090</v>
      </c>
      <c r="I9538" s="504">
        <v>204</v>
      </c>
      <c r="J9538" s="504">
        <v>111</v>
      </c>
      <c r="K9538" s="504">
        <v>0</v>
      </c>
      <c r="L9538" s="504">
        <v>0</v>
      </c>
      <c r="M9538" s="504">
        <v>0</v>
      </c>
      <c r="N9538" s="504">
        <v>0</v>
      </c>
      <c r="O9538" s="505">
        <v>93</v>
      </c>
    </row>
    <row r="9539" spans="1:15" x14ac:dyDescent="0.35">
      <c r="A9539" s="500" t="s">
        <v>1410</v>
      </c>
      <c r="B9539" s="501" t="s">
        <v>2868</v>
      </c>
      <c r="C9539" s="501" t="s">
        <v>1094</v>
      </c>
      <c r="D9539" s="501" t="s">
        <v>3380</v>
      </c>
      <c r="E9539" s="501" t="s">
        <v>3381</v>
      </c>
      <c r="F9539" s="501" t="s">
        <v>1016</v>
      </c>
      <c r="G9539" s="501" t="s">
        <v>1017</v>
      </c>
      <c r="H9539" s="501" t="s">
        <v>11091</v>
      </c>
      <c r="I9539" s="501">
        <v>50</v>
      </c>
      <c r="J9539" s="501">
        <v>0</v>
      </c>
      <c r="K9539" s="501">
        <v>0</v>
      </c>
      <c r="L9539" s="501">
        <v>0</v>
      </c>
      <c r="M9539" s="501">
        <v>50</v>
      </c>
      <c r="N9539" s="501">
        <v>0</v>
      </c>
      <c r="O9539" s="506">
        <v>0</v>
      </c>
    </row>
    <row r="9540" spans="1:15" x14ac:dyDescent="0.35">
      <c r="A9540" s="503" t="s">
        <v>1174</v>
      </c>
      <c r="B9540" s="504">
        <v>4784</v>
      </c>
      <c r="C9540" s="504" t="s">
        <v>1089</v>
      </c>
      <c r="D9540" s="504" t="s">
        <v>3392</v>
      </c>
      <c r="E9540" s="504" t="s">
        <v>3381</v>
      </c>
      <c r="F9540" s="504" t="s">
        <v>1016</v>
      </c>
      <c r="G9540" s="504" t="s">
        <v>1017</v>
      </c>
      <c r="H9540" s="504" t="s">
        <v>11092</v>
      </c>
      <c r="I9540" s="504">
        <v>6</v>
      </c>
      <c r="J9540" s="504">
        <v>0</v>
      </c>
      <c r="K9540" s="504">
        <v>0</v>
      </c>
      <c r="L9540" s="504">
        <v>6</v>
      </c>
      <c r="M9540" s="504">
        <v>0</v>
      </c>
      <c r="N9540" s="504">
        <v>0</v>
      </c>
      <c r="O9540" s="505">
        <v>0</v>
      </c>
    </row>
    <row r="9541" spans="1:15" x14ac:dyDescent="0.35">
      <c r="A9541" s="500" t="s">
        <v>1832</v>
      </c>
      <c r="B9541" s="501">
        <v>4797</v>
      </c>
      <c r="C9541" s="501" t="s">
        <v>1089</v>
      </c>
      <c r="D9541" s="501" t="s">
        <v>3392</v>
      </c>
      <c r="E9541" s="501" t="s">
        <v>3381</v>
      </c>
      <c r="F9541" s="501" t="s">
        <v>1016</v>
      </c>
      <c r="G9541" s="501" t="s">
        <v>1017</v>
      </c>
      <c r="H9541" s="501" t="s">
        <v>11093</v>
      </c>
      <c r="I9541" s="501">
        <v>4</v>
      </c>
      <c r="J9541" s="501">
        <v>0</v>
      </c>
      <c r="K9541" s="501">
        <v>0</v>
      </c>
      <c r="L9541" s="501">
        <v>4</v>
      </c>
      <c r="M9541" s="501">
        <v>0</v>
      </c>
      <c r="N9541" s="501">
        <v>0</v>
      </c>
      <c r="O9541" s="506">
        <v>0</v>
      </c>
    </row>
    <row r="9542" spans="1:15" x14ac:dyDescent="0.35">
      <c r="A9542" s="503" t="s">
        <v>1705</v>
      </c>
      <c r="B9542" s="504" t="s">
        <v>3158</v>
      </c>
      <c r="C9542" s="504" t="s">
        <v>1094</v>
      </c>
      <c r="D9542" s="504" t="s">
        <v>3380</v>
      </c>
      <c r="E9542" s="504" t="s">
        <v>3381</v>
      </c>
      <c r="F9542" s="504" t="s">
        <v>1016</v>
      </c>
      <c r="G9542" s="504" t="s">
        <v>1017</v>
      </c>
      <c r="H9542" s="504" t="s">
        <v>11094</v>
      </c>
      <c r="I9542" s="504">
        <v>11</v>
      </c>
      <c r="J9542" s="504">
        <v>0</v>
      </c>
      <c r="K9542" s="504">
        <v>0</v>
      </c>
      <c r="L9542" s="504">
        <v>0</v>
      </c>
      <c r="M9542" s="504">
        <v>0</v>
      </c>
      <c r="N9542" s="504">
        <v>0</v>
      </c>
      <c r="O9542" s="505">
        <v>11</v>
      </c>
    </row>
    <row r="9543" spans="1:15" x14ac:dyDescent="0.35">
      <c r="A9543" s="500" t="s">
        <v>1187</v>
      </c>
      <c r="B9543" s="501" t="s">
        <v>2951</v>
      </c>
      <c r="C9543" s="501" t="s">
        <v>1094</v>
      </c>
      <c r="D9543" s="501" t="s">
        <v>3380</v>
      </c>
      <c r="E9543" s="501" t="s">
        <v>3381</v>
      </c>
      <c r="F9543" s="501" t="s">
        <v>1016</v>
      </c>
      <c r="G9543" s="501" t="s">
        <v>1017</v>
      </c>
      <c r="H9543" s="501" t="s">
        <v>11095</v>
      </c>
      <c r="I9543" s="501">
        <v>17</v>
      </c>
      <c r="J9543" s="501">
        <v>17</v>
      </c>
      <c r="K9543" s="501">
        <v>0</v>
      </c>
      <c r="L9543" s="501">
        <v>0</v>
      </c>
      <c r="M9543" s="501">
        <v>0</v>
      </c>
      <c r="N9543" s="501">
        <v>0</v>
      </c>
      <c r="O9543" s="506">
        <v>0</v>
      </c>
    </row>
    <row r="9544" spans="1:15" x14ac:dyDescent="0.35">
      <c r="A9544" s="503" t="s">
        <v>1105</v>
      </c>
      <c r="B9544" s="504">
        <v>4668</v>
      </c>
      <c r="C9544" s="504" t="s">
        <v>1094</v>
      </c>
      <c r="D9544" s="504" t="s">
        <v>3380</v>
      </c>
      <c r="E9544" s="504" t="s">
        <v>3381</v>
      </c>
      <c r="F9544" s="504" t="s">
        <v>1016</v>
      </c>
      <c r="G9544" s="504" t="s">
        <v>1017</v>
      </c>
      <c r="H9544" s="504" t="s">
        <v>11096</v>
      </c>
      <c r="I9544" s="504">
        <v>60</v>
      </c>
      <c r="J9544" s="504">
        <v>0</v>
      </c>
      <c r="K9544" s="504">
        <v>0</v>
      </c>
      <c r="L9544" s="504">
        <v>0</v>
      </c>
      <c r="M9544" s="504">
        <v>0</v>
      </c>
      <c r="N9544" s="504">
        <v>0</v>
      </c>
      <c r="O9544" s="505">
        <v>60</v>
      </c>
    </row>
    <row r="9545" spans="1:15" x14ac:dyDescent="0.35">
      <c r="A9545" s="500" t="s">
        <v>1107</v>
      </c>
      <c r="B9545" s="501" t="s">
        <v>3109</v>
      </c>
      <c r="C9545" s="501" t="s">
        <v>1094</v>
      </c>
      <c r="D9545" s="501" t="s">
        <v>3380</v>
      </c>
      <c r="E9545" s="501" t="s">
        <v>3381</v>
      </c>
      <c r="F9545" s="501" t="s">
        <v>1016</v>
      </c>
      <c r="G9545" s="501" t="s">
        <v>1017</v>
      </c>
      <c r="H9545" s="501" t="s">
        <v>11097</v>
      </c>
      <c r="I9545" s="501">
        <v>311</v>
      </c>
      <c r="J9545" s="501">
        <v>221</v>
      </c>
      <c r="K9545" s="501">
        <v>0</v>
      </c>
      <c r="L9545" s="501">
        <v>8</v>
      </c>
      <c r="M9545" s="501">
        <v>0</v>
      </c>
      <c r="N9545" s="501">
        <v>0</v>
      </c>
      <c r="O9545" s="506">
        <v>82</v>
      </c>
    </row>
    <row r="9546" spans="1:15" x14ac:dyDescent="0.35">
      <c r="A9546" s="503" t="s">
        <v>1109</v>
      </c>
      <c r="B9546" s="504" t="s">
        <v>2959</v>
      </c>
      <c r="C9546" s="504" t="s">
        <v>1094</v>
      </c>
      <c r="D9546" s="504" t="s">
        <v>3380</v>
      </c>
      <c r="E9546" s="504" t="s">
        <v>3381</v>
      </c>
      <c r="F9546" s="504" t="s">
        <v>1016</v>
      </c>
      <c r="G9546" s="504" t="s">
        <v>1017</v>
      </c>
      <c r="H9546" s="504" t="s">
        <v>11098</v>
      </c>
      <c r="I9546" s="504">
        <v>26</v>
      </c>
      <c r="J9546" s="504">
        <v>0</v>
      </c>
      <c r="K9546" s="504">
        <v>0</v>
      </c>
      <c r="L9546" s="504">
        <v>26</v>
      </c>
      <c r="M9546" s="504">
        <v>0</v>
      </c>
      <c r="N9546" s="504">
        <v>0</v>
      </c>
      <c r="O9546" s="505">
        <v>0</v>
      </c>
    </row>
    <row r="9547" spans="1:15" x14ac:dyDescent="0.35">
      <c r="A9547" s="500" t="s">
        <v>1305</v>
      </c>
      <c r="B9547" s="501" t="s">
        <v>3144</v>
      </c>
      <c r="C9547" s="501" t="s">
        <v>1094</v>
      </c>
      <c r="D9547" s="501" t="s">
        <v>3380</v>
      </c>
      <c r="E9547" s="501" t="s">
        <v>3381</v>
      </c>
      <c r="F9547" s="501" t="s">
        <v>1016</v>
      </c>
      <c r="G9547" s="501" t="s">
        <v>1017</v>
      </c>
      <c r="H9547" s="501" t="s">
        <v>11099</v>
      </c>
      <c r="I9547" s="501">
        <v>620</v>
      </c>
      <c r="J9547" s="501">
        <v>404</v>
      </c>
      <c r="K9547" s="501">
        <v>0</v>
      </c>
      <c r="L9547" s="501">
        <v>25</v>
      </c>
      <c r="M9547" s="501">
        <v>30</v>
      </c>
      <c r="N9547" s="501">
        <v>0</v>
      </c>
      <c r="O9547" s="506">
        <v>161</v>
      </c>
    </row>
    <row r="9548" spans="1:15" x14ac:dyDescent="0.35">
      <c r="A9548" s="503" t="s">
        <v>1859</v>
      </c>
      <c r="B9548" s="504">
        <v>4827</v>
      </c>
      <c r="C9548" s="504" t="s">
        <v>1089</v>
      </c>
      <c r="D9548" s="504" t="s">
        <v>3392</v>
      </c>
      <c r="E9548" s="504" t="s">
        <v>3381</v>
      </c>
      <c r="F9548" s="504" t="s">
        <v>1016</v>
      </c>
      <c r="G9548" s="504" t="s">
        <v>1017</v>
      </c>
      <c r="H9548" s="504" t="s">
        <v>11100</v>
      </c>
      <c r="I9548" s="504">
        <v>101</v>
      </c>
      <c r="J9548" s="504">
        <v>38</v>
      </c>
      <c r="K9548" s="504">
        <v>0</v>
      </c>
      <c r="L9548" s="504">
        <v>63</v>
      </c>
      <c r="M9548" s="504">
        <v>0</v>
      </c>
      <c r="N9548" s="504">
        <v>0</v>
      </c>
      <c r="O9548" s="505">
        <v>0</v>
      </c>
    </row>
    <row r="9549" spans="1:15" x14ac:dyDescent="0.35">
      <c r="A9549" s="500" t="s">
        <v>1202</v>
      </c>
      <c r="B9549" s="501" t="s">
        <v>3217</v>
      </c>
      <c r="C9549" s="501" t="s">
        <v>1094</v>
      </c>
      <c r="D9549" s="501" t="s">
        <v>3380</v>
      </c>
      <c r="E9549" s="501" t="s">
        <v>3381</v>
      </c>
      <c r="F9549" s="501" t="s">
        <v>1016</v>
      </c>
      <c r="G9549" s="501" t="s">
        <v>1017</v>
      </c>
      <c r="H9549" s="501" t="s">
        <v>11101</v>
      </c>
      <c r="I9549" s="501">
        <v>149</v>
      </c>
      <c r="J9549" s="501">
        <v>131</v>
      </c>
      <c r="K9549" s="501">
        <v>0</v>
      </c>
      <c r="L9549" s="501">
        <v>10</v>
      </c>
      <c r="M9549" s="501">
        <v>0</v>
      </c>
      <c r="N9549" s="501">
        <v>1</v>
      </c>
      <c r="O9549" s="506">
        <v>8</v>
      </c>
    </row>
    <row r="9550" spans="1:15" x14ac:dyDescent="0.35">
      <c r="A9550" s="503" t="s">
        <v>1112</v>
      </c>
      <c r="B9550" s="504" t="s">
        <v>3008</v>
      </c>
      <c r="C9550" s="504" t="s">
        <v>1094</v>
      </c>
      <c r="D9550" s="504" t="s">
        <v>3380</v>
      </c>
      <c r="E9550" s="504" t="s">
        <v>3381</v>
      </c>
      <c r="F9550" s="504" t="s">
        <v>1016</v>
      </c>
      <c r="G9550" s="504" t="s">
        <v>1017</v>
      </c>
      <c r="H9550" s="504" t="s">
        <v>11102</v>
      </c>
      <c r="I9550" s="504">
        <v>786</v>
      </c>
      <c r="J9550" s="504">
        <v>326</v>
      </c>
      <c r="K9550" s="504">
        <v>0</v>
      </c>
      <c r="L9550" s="504">
        <v>0</v>
      </c>
      <c r="M9550" s="504">
        <v>0</v>
      </c>
      <c r="N9550" s="504">
        <v>0</v>
      </c>
      <c r="O9550" s="505">
        <v>460</v>
      </c>
    </row>
    <row r="9551" spans="1:15" x14ac:dyDescent="0.35">
      <c r="A9551" s="500" t="s">
        <v>1114</v>
      </c>
      <c r="B9551" s="501" t="s">
        <v>2982</v>
      </c>
      <c r="C9551" s="501" t="s">
        <v>1094</v>
      </c>
      <c r="D9551" s="501" t="s">
        <v>3380</v>
      </c>
      <c r="E9551" s="501" t="s">
        <v>3381</v>
      </c>
      <c r="F9551" s="501" t="s">
        <v>1016</v>
      </c>
      <c r="G9551" s="501" t="s">
        <v>1017</v>
      </c>
      <c r="H9551" s="501" t="s">
        <v>11103</v>
      </c>
      <c r="I9551" s="501">
        <v>1</v>
      </c>
      <c r="J9551" s="501">
        <v>0</v>
      </c>
      <c r="K9551" s="501">
        <v>0</v>
      </c>
      <c r="L9551" s="501">
        <v>0</v>
      </c>
      <c r="M9551" s="501">
        <v>0</v>
      </c>
      <c r="N9551" s="501">
        <v>0</v>
      </c>
      <c r="O9551" s="506">
        <v>1</v>
      </c>
    </row>
    <row r="9552" spans="1:15" x14ac:dyDescent="0.35">
      <c r="A9552" s="503" t="s">
        <v>1208</v>
      </c>
      <c r="B9552" s="504" t="s">
        <v>3096</v>
      </c>
      <c r="C9552" s="504" t="s">
        <v>1094</v>
      </c>
      <c r="D9552" s="504" t="s">
        <v>3380</v>
      </c>
      <c r="E9552" s="504" t="s">
        <v>3381</v>
      </c>
      <c r="F9552" s="504" t="s">
        <v>1016</v>
      </c>
      <c r="G9552" s="504" t="s">
        <v>1017</v>
      </c>
      <c r="H9552" s="504" t="s">
        <v>11104</v>
      </c>
      <c r="I9552" s="504">
        <v>11</v>
      </c>
      <c r="J9552" s="504">
        <v>11</v>
      </c>
      <c r="K9552" s="504">
        <v>0</v>
      </c>
      <c r="L9552" s="504">
        <v>0</v>
      </c>
      <c r="M9552" s="504">
        <v>0</v>
      </c>
      <c r="N9552" s="504">
        <v>0</v>
      </c>
      <c r="O9552" s="505">
        <v>0</v>
      </c>
    </row>
    <row r="9553" spans="1:15" x14ac:dyDescent="0.35">
      <c r="A9553" s="500" t="s">
        <v>1322</v>
      </c>
      <c r="B9553" s="501" t="s">
        <v>3244</v>
      </c>
      <c r="C9553" s="501" t="s">
        <v>1094</v>
      </c>
      <c r="D9553" s="501" t="s">
        <v>3380</v>
      </c>
      <c r="E9553" s="501" t="s">
        <v>3381</v>
      </c>
      <c r="F9553" s="501" t="s">
        <v>1016</v>
      </c>
      <c r="G9553" s="501" t="s">
        <v>1017</v>
      </c>
      <c r="H9553" s="501" t="s">
        <v>11105</v>
      </c>
      <c r="I9553" s="501">
        <v>89</v>
      </c>
      <c r="J9553" s="501">
        <v>79</v>
      </c>
      <c r="K9553" s="501">
        <v>0</v>
      </c>
      <c r="L9553" s="501">
        <v>1</v>
      </c>
      <c r="M9553" s="501">
        <v>0</v>
      </c>
      <c r="N9553" s="501">
        <v>0</v>
      </c>
      <c r="O9553" s="506">
        <v>9</v>
      </c>
    </row>
    <row r="9554" spans="1:15" x14ac:dyDescent="0.35">
      <c r="A9554" s="503" t="s">
        <v>1122</v>
      </c>
      <c r="B9554" s="504" t="s">
        <v>2994</v>
      </c>
      <c r="C9554" s="504" t="s">
        <v>1094</v>
      </c>
      <c r="D9554" s="504" t="s">
        <v>3380</v>
      </c>
      <c r="E9554" s="504" t="s">
        <v>3381</v>
      </c>
      <c r="F9554" s="504" t="s">
        <v>1016</v>
      </c>
      <c r="G9554" s="504" t="s">
        <v>1017</v>
      </c>
      <c r="H9554" s="504" t="s">
        <v>11106</v>
      </c>
      <c r="I9554" s="504">
        <v>160</v>
      </c>
      <c r="J9554" s="504">
        <v>136</v>
      </c>
      <c r="K9554" s="504">
        <v>0</v>
      </c>
      <c r="L9554" s="504">
        <v>0</v>
      </c>
      <c r="M9554" s="504">
        <v>0</v>
      </c>
      <c r="N9554" s="504">
        <v>0</v>
      </c>
      <c r="O9554" s="505">
        <v>24</v>
      </c>
    </row>
    <row r="9555" spans="1:15" x14ac:dyDescent="0.35">
      <c r="A9555" s="500" t="s">
        <v>1233</v>
      </c>
      <c r="B9555" s="501">
        <v>4636</v>
      </c>
      <c r="C9555" s="501" t="s">
        <v>1094</v>
      </c>
      <c r="D9555" s="501" t="s">
        <v>3380</v>
      </c>
      <c r="E9555" s="501" t="s">
        <v>3381</v>
      </c>
      <c r="F9555" s="501" t="s">
        <v>1016</v>
      </c>
      <c r="G9555" s="501" t="s">
        <v>1017</v>
      </c>
      <c r="H9555" s="501" t="s">
        <v>12029</v>
      </c>
      <c r="I9555" s="501">
        <v>48</v>
      </c>
      <c r="J9555" s="501">
        <v>16</v>
      </c>
      <c r="K9555" s="501">
        <v>0</v>
      </c>
      <c r="L9555" s="501">
        <v>0</v>
      </c>
      <c r="M9555" s="501">
        <v>0</v>
      </c>
      <c r="N9555" s="501">
        <v>0</v>
      </c>
      <c r="O9555" s="506">
        <v>32</v>
      </c>
    </row>
    <row r="9556" spans="1:15" x14ac:dyDescent="0.35">
      <c r="A9556" s="503" t="s">
        <v>11368</v>
      </c>
      <c r="B9556" s="504">
        <v>5083</v>
      </c>
      <c r="C9556" s="504" t="s">
        <v>1094</v>
      </c>
      <c r="D9556" s="504" t="s">
        <v>3380</v>
      </c>
      <c r="E9556" s="504" t="s">
        <v>3381</v>
      </c>
      <c r="F9556" s="504" t="s">
        <v>1016</v>
      </c>
      <c r="G9556" s="504" t="s">
        <v>1017</v>
      </c>
      <c r="H9556" s="504" t="s">
        <v>15317</v>
      </c>
      <c r="I9556" s="504">
        <v>24</v>
      </c>
      <c r="J9556" s="504">
        <v>24</v>
      </c>
      <c r="K9556" s="504">
        <v>0</v>
      </c>
      <c r="L9556" s="504">
        <v>0</v>
      </c>
      <c r="M9556" s="504">
        <v>0</v>
      </c>
      <c r="N9556" s="504">
        <v>0</v>
      </c>
      <c r="O9556" s="505">
        <v>0</v>
      </c>
    </row>
    <row r="9557" spans="1:15" x14ac:dyDescent="0.35">
      <c r="A9557" s="500" t="s">
        <v>1126</v>
      </c>
      <c r="B9557" s="501" t="s">
        <v>2974</v>
      </c>
      <c r="C9557" s="501" t="s">
        <v>1094</v>
      </c>
      <c r="D9557" s="501" t="s">
        <v>3380</v>
      </c>
      <c r="E9557" s="501" t="s">
        <v>3381</v>
      </c>
      <c r="F9557" s="501" t="s">
        <v>1016</v>
      </c>
      <c r="G9557" s="501" t="s">
        <v>1017</v>
      </c>
      <c r="H9557" s="501" t="s">
        <v>11107</v>
      </c>
      <c r="I9557" s="501">
        <v>66</v>
      </c>
      <c r="J9557" s="501">
        <v>59</v>
      </c>
      <c r="K9557" s="501">
        <v>0</v>
      </c>
      <c r="L9557" s="501">
        <v>0</v>
      </c>
      <c r="M9557" s="501">
        <v>0</v>
      </c>
      <c r="N9557" s="501">
        <v>0</v>
      </c>
      <c r="O9557" s="506">
        <v>7</v>
      </c>
    </row>
    <row r="9558" spans="1:15" x14ac:dyDescent="0.35">
      <c r="A9558" s="503" t="s">
        <v>1896</v>
      </c>
      <c r="B9558" s="504" t="s">
        <v>3216</v>
      </c>
      <c r="C9558" s="504" t="s">
        <v>1094</v>
      </c>
      <c r="D9558" s="504" t="s">
        <v>3380</v>
      </c>
      <c r="E9558" s="504" t="s">
        <v>3381</v>
      </c>
      <c r="F9558" s="504" t="s">
        <v>1016</v>
      </c>
      <c r="G9558" s="504" t="s">
        <v>1017</v>
      </c>
      <c r="H9558" s="504" t="s">
        <v>11108</v>
      </c>
      <c r="I9558" s="504">
        <v>61</v>
      </c>
      <c r="J9558" s="504">
        <v>23</v>
      </c>
      <c r="K9558" s="504">
        <v>0</v>
      </c>
      <c r="L9558" s="504">
        <v>0</v>
      </c>
      <c r="M9558" s="504">
        <v>0</v>
      </c>
      <c r="N9558" s="504">
        <v>0</v>
      </c>
      <c r="O9558" s="505">
        <v>38</v>
      </c>
    </row>
    <row r="9559" spans="1:15" x14ac:dyDescent="0.35">
      <c r="A9559" s="500" t="s">
        <v>1130</v>
      </c>
      <c r="B9559" s="501" t="s">
        <v>3234</v>
      </c>
      <c r="C9559" s="501" t="s">
        <v>1094</v>
      </c>
      <c r="D9559" s="501" t="s">
        <v>3380</v>
      </c>
      <c r="E9559" s="501" t="s">
        <v>3381</v>
      </c>
      <c r="F9559" s="501" t="s">
        <v>1016</v>
      </c>
      <c r="G9559" s="501" t="s">
        <v>1017</v>
      </c>
      <c r="H9559" s="501" t="s">
        <v>11109</v>
      </c>
      <c r="I9559" s="501">
        <v>117</v>
      </c>
      <c r="J9559" s="501">
        <v>56</v>
      </c>
      <c r="K9559" s="501">
        <v>0</v>
      </c>
      <c r="L9559" s="501">
        <v>0</v>
      </c>
      <c r="M9559" s="501">
        <v>45</v>
      </c>
      <c r="N9559" s="501">
        <v>0</v>
      </c>
      <c r="O9559" s="506">
        <v>16</v>
      </c>
    </row>
    <row r="9560" spans="1:15" x14ac:dyDescent="0.35">
      <c r="A9560" s="503" t="s">
        <v>1132</v>
      </c>
      <c r="B9560" s="504">
        <v>4837</v>
      </c>
      <c r="C9560" s="504" t="s">
        <v>1094</v>
      </c>
      <c r="D9560" s="504" t="s">
        <v>3380</v>
      </c>
      <c r="E9560" s="504" t="s">
        <v>3381</v>
      </c>
      <c r="F9560" s="504" t="s">
        <v>1016</v>
      </c>
      <c r="G9560" s="504" t="s">
        <v>1017</v>
      </c>
      <c r="H9560" s="504" t="s">
        <v>11110</v>
      </c>
      <c r="I9560" s="504">
        <v>540</v>
      </c>
      <c r="J9560" s="504">
        <v>296</v>
      </c>
      <c r="K9560" s="504">
        <v>0</v>
      </c>
      <c r="L9560" s="504">
        <v>18</v>
      </c>
      <c r="M9560" s="504">
        <v>0</v>
      </c>
      <c r="N9560" s="504">
        <v>0</v>
      </c>
      <c r="O9560" s="505">
        <v>226</v>
      </c>
    </row>
    <row r="9561" spans="1:15" x14ac:dyDescent="0.35">
      <c r="A9561" s="500" t="s">
        <v>1240</v>
      </c>
      <c r="B9561" s="501" t="s">
        <v>2972</v>
      </c>
      <c r="C9561" s="501" t="s">
        <v>1094</v>
      </c>
      <c r="D9561" s="501" t="s">
        <v>3380</v>
      </c>
      <c r="E9561" s="501" t="s">
        <v>3381</v>
      </c>
      <c r="F9561" s="501" t="s">
        <v>1016</v>
      </c>
      <c r="G9561" s="501" t="s">
        <v>1017</v>
      </c>
      <c r="H9561" s="501" t="s">
        <v>11111</v>
      </c>
      <c r="I9561" s="501">
        <v>4</v>
      </c>
      <c r="J9561" s="501">
        <v>4</v>
      </c>
      <c r="K9561" s="501">
        <v>0</v>
      </c>
      <c r="L9561" s="501">
        <v>0</v>
      </c>
      <c r="M9561" s="501">
        <v>0</v>
      </c>
      <c r="N9561" s="501">
        <v>0</v>
      </c>
      <c r="O9561" s="506">
        <v>0</v>
      </c>
    </row>
    <row r="9562" spans="1:15" x14ac:dyDescent="0.35">
      <c r="A9562" s="503" t="s">
        <v>1134</v>
      </c>
      <c r="B9562" s="504" t="s">
        <v>3066</v>
      </c>
      <c r="C9562" s="504" t="s">
        <v>1094</v>
      </c>
      <c r="D9562" s="504" t="s">
        <v>3380</v>
      </c>
      <c r="E9562" s="504" t="s">
        <v>3381</v>
      </c>
      <c r="F9562" s="504" t="s">
        <v>1016</v>
      </c>
      <c r="G9562" s="504" t="s">
        <v>1017</v>
      </c>
      <c r="H9562" s="504" t="s">
        <v>12182</v>
      </c>
      <c r="I9562" s="504">
        <v>1</v>
      </c>
      <c r="J9562" s="504">
        <v>0</v>
      </c>
      <c r="K9562" s="504">
        <v>0</v>
      </c>
      <c r="L9562" s="504">
        <v>0</v>
      </c>
      <c r="M9562" s="504">
        <v>0</v>
      </c>
      <c r="N9562" s="504">
        <v>0</v>
      </c>
      <c r="O9562" s="505">
        <v>1</v>
      </c>
    </row>
    <row r="9563" spans="1:15" x14ac:dyDescent="0.35">
      <c r="A9563" s="500" t="s">
        <v>1138</v>
      </c>
      <c r="B9563" s="501" t="s">
        <v>2998</v>
      </c>
      <c r="C9563" s="501" t="s">
        <v>1094</v>
      </c>
      <c r="D9563" s="501" t="s">
        <v>3380</v>
      </c>
      <c r="E9563" s="501" t="s">
        <v>3381</v>
      </c>
      <c r="F9563" s="501" t="s">
        <v>1016</v>
      </c>
      <c r="G9563" s="501" t="s">
        <v>1017</v>
      </c>
      <c r="H9563" s="501" t="s">
        <v>11112</v>
      </c>
      <c r="I9563" s="501">
        <v>2</v>
      </c>
      <c r="J9563" s="501">
        <v>2</v>
      </c>
      <c r="K9563" s="501">
        <v>0</v>
      </c>
      <c r="L9563" s="501">
        <v>0</v>
      </c>
      <c r="M9563" s="501">
        <v>0</v>
      </c>
      <c r="N9563" s="501">
        <v>0</v>
      </c>
      <c r="O9563" s="506">
        <v>0</v>
      </c>
    </row>
    <row r="9564" spans="1:15" x14ac:dyDescent="0.35">
      <c r="A9564" s="503" t="s">
        <v>1140</v>
      </c>
      <c r="B9564" s="504">
        <v>4850</v>
      </c>
      <c r="C9564" s="504" t="s">
        <v>1094</v>
      </c>
      <c r="D9564" s="504" t="s">
        <v>3380</v>
      </c>
      <c r="E9564" s="504" t="s">
        <v>3381</v>
      </c>
      <c r="F9564" s="504" t="s">
        <v>1016</v>
      </c>
      <c r="G9564" s="504" t="s">
        <v>1017</v>
      </c>
      <c r="H9564" s="504" t="s">
        <v>11113</v>
      </c>
      <c r="I9564" s="504">
        <v>362</v>
      </c>
      <c r="J9564" s="504">
        <v>191</v>
      </c>
      <c r="K9564" s="504">
        <v>0</v>
      </c>
      <c r="L9564" s="504">
        <v>0</v>
      </c>
      <c r="M9564" s="504">
        <v>0</v>
      </c>
      <c r="N9564" s="504">
        <v>0</v>
      </c>
      <c r="O9564" s="505">
        <v>171</v>
      </c>
    </row>
    <row r="9565" spans="1:15" x14ac:dyDescent="0.35">
      <c r="A9565" s="500" t="s">
        <v>1933</v>
      </c>
      <c r="B9565" s="501" t="s">
        <v>2958</v>
      </c>
      <c r="C9565" s="501" t="s">
        <v>1089</v>
      </c>
      <c r="D9565" s="501" t="s">
        <v>3392</v>
      </c>
      <c r="E9565" s="501" t="s">
        <v>3381</v>
      </c>
      <c r="F9565" s="501" t="s">
        <v>1016</v>
      </c>
      <c r="G9565" s="501" t="s">
        <v>1017</v>
      </c>
      <c r="H9565" s="501" t="s">
        <v>11114</v>
      </c>
      <c r="I9565" s="501">
        <v>46</v>
      </c>
      <c r="J9565" s="501">
        <v>0</v>
      </c>
      <c r="K9565" s="501">
        <v>0</v>
      </c>
      <c r="L9565" s="501">
        <v>0</v>
      </c>
      <c r="M9565" s="501">
        <v>46</v>
      </c>
      <c r="N9565" s="501">
        <v>0</v>
      </c>
      <c r="O9565" s="506">
        <v>0</v>
      </c>
    </row>
    <row r="9566" spans="1:15" x14ac:dyDescent="0.35">
      <c r="A9566" s="503" t="s">
        <v>1941</v>
      </c>
      <c r="B9566" s="504" t="s">
        <v>2518</v>
      </c>
      <c r="C9566" s="504" t="s">
        <v>1089</v>
      </c>
      <c r="D9566" s="504" t="s">
        <v>3392</v>
      </c>
      <c r="E9566" s="504" t="s">
        <v>3381</v>
      </c>
      <c r="F9566" s="504" t="s">
        <v>1016</v>
      </c>
      <c r="G9566" s="504" t="s">
        <v>1017</v>
      </c>
      <c r="H9566" s="504" t="s">
        <v>11115</v>
      </c>
      <c r="I9566" s="504">
        <v>18</v>
      </c>
      <c r="J9566" s="504">
        <v>18</v>
      </c>
      <c r="K9566" s="504">
        <v>0</v>
      </c>
      <c r="L9566" s="504">
        <v>0</v>
      </c>
      <c r="M9566" s="504">
        <v>0</v>
      </c>
      <c r="N9566" s="504">
        <v>0</v>
      </c>
      <c r="O9566" s="505">
        <v>0</v>
      </c>
    </row>
    <row r="9567" spans="1:15" x14ac:dyDescent="0.35">
      <c r="A9567" s="500" t="s">
        <v>1096</v>
      </c>
      <c r="B9567" s="501" t="s">
        <v>3326</v>
      </c>
      <c r="C9567" s="501" t="s">
        <v>1094</v>
      </c>
      <c r="D9567" s="501" t="s">
        <v>3380</v>
      </c>
      <c r="E9567" s="501" t="s">
        <v>3381</v>
      </c>
      <c r="F9567" s="501" t="s">
        <v>1018</v>
      </c>
      <c r="G9567" s="501" t="s">
        <v>1019</v>
      </c>
      <c r="H9567" s="501" t="s">
        <v>11116</v>
      </c>
      <c r="I9567" s="501">
        <v>254</v>
      </c>
      <c r="J9567" s="501">
        <v>0</v>
      </c>
      <c r="K9567" s="501">
        <v>0</v>
      </c>
      <c r="L9567" s="501">
        <v>0</v>
      </c>
      <c r="M9567" s="501">
        <v>224</v>
      </c>
      <c r="N9567" s="501">
        <v>0</v>
      </c>
      <c r="O9567" s="506">
        <v>30</v>
      </c>
    </row>
    <row r="9568" spans="1:15" x14ac:dyDescent="0.35">
      <c r="A9568" s="503" t="s">
        <v>1948</v>
      </c>
      <c r="B9568" s="504">
        <v>4716</v>
      </c>
      <c r="C9568" s="504" t="s">
        <v>1089</v>
      </c>
      <c r="D9568" s="504" t="s">
        <v>3392</v>
      </c>
      <c r="E9568" s="504" t="s">
        <v>3381</v>
      </c>
      <c r="F9568" s="504" t="s">
        <v>1018</v>
      </c>
      <c r="G9568" s="504" t="s">
        <v>1019</v>
      </c>
      <c r="H9568" s="504" t="s">
        <v>11117</v>
      </c>
      <c r="I9568" s="504">
        <v>65</v>
      </c>
      <c r="J9568" s="504">
        <v>0</v>
      </c>
      <c r="K9568" s="504">
        <v>0</v>
      </c>
      <c r="L9568" s="504">
        <v>65</v>
      </c>
      <c r="M9568" s="504">
        <v>0</v>
      </c>
      <c r="N9568" s="504">
        <v>0</v>
      </c>
      <c r="O9568" s="505">
        <v>0</v>
      </c>
    </row>
    <row r="9569" spans="1:15" x14ac:dyDescent="0.35">
      <c r="A9569" s="500" t="s">
        <v>11363</v>
      </c>
      <c r="B9569" s="501">
        <v>4718</v>
      </c>
      <c r="C9569" s="501" t="s">
        <v>1094</v>
      </c>
      <c r="D9569" s="501" t="s">
        <v>3380</v>
      </c>
      <c r="E9569" s="501" t="s">
        <v>3381</v>
      </c>
      <c r="F9569" s="501" t="s">
        <v>1018</v>
      </c>
      <c r="G9569" s="501" t="s">
        <v>1019</v>
      </c>
      <c r="H9569" s="501" t="s">
        <v>11607</v>
      </c>
      <c r="I9569" s="501">
        <v>41</v>
      </c>
      <c r="J9569" s="501">
        <v>0</v>
      </c>
      <c r="K9569" s="501">
        <v>0</v>
      </c>
      <c r="L9569" s="501">
        <v>41</v>
      </c>
      <c r="M9569" s="501">
        <v>0</v>
      </c>
      <c r="N9569" s="501">
        <v>0</v>
      </c>
      <c r="O9569" s="506">
        <v>0</v>
      </c>
    </row>
    <row r="9570" spans="1:15" x14ac:dyDescent="0.35">
      <c r="A9570" s="503" t="s">
        <v>2060</v>
      </c>
      <c r="B9570" s="504" t="s">
        <v>3068</v>
      </c>
      <c r="C9570" s="504" t="s">
        <v>1094</v>
      </c>
      <c r="D9570" s="504" t="s">
        <v>3380</v>
      </c>
      <c r="E9570" s="504" t="s">
        <v>3381</v>
      </c>
      <c r="F9570" s="504" t="s">
        <v>1018</v>
      </c>
      <c r="G9570" s="504" t="s">
        <v>1019</v>
      </c>
      <c r="H9570" s="504" t="s">
        <v>11118</v>
      </c>
      <c r="I9570" s="504">
        <v>39</v>
      </c>
      <c r="J9570" s="504">
        <v>34</v>
      </c>
      <c r="K9570" s="504">
        <v>0</v>
      </c>
      <c r="L9570" s="504">
        <v>0</v>
      </c>
      <c r="M9570" s="504">
        <v>0</v>
      </c>
      <c r="N9570" s="504">
        <v>0</v>
      </c>
      <c r="O9570" s="505">
        <v>5</v>
      </c>
    </row>
    <row r="9571" spans="1:15" x14ac:dyDescent="0.35">
      <c r="A9571" s="500" t="s">
        <v>1158</v>
      </c>
      <c r="B9571" s="501">
        <v>4819</v>
      </c>
      <c r="C9571" s="501" t="s">
        <v>1094</v>
      </c>
      <c r="D9571" s="501" t="s">
        <v>3380</v>
      </c>
      <c r="E9571" s="501" t="s">
        <v>3381</v>
      </c>
      <c r="F9571" s="501" t="s">
        <v>1018</v>
      </c>
      <c r="G9571" s="501" t="s">
        <v>1019</v>
      </c>
      <c r="H9571" s="501" t="s">
        <v>11119</v>
      </c>
      <c r="I9571" s="501">
        <v>1505</v>
      </c>
      <c r="J9571" s="501">
        <v>1189</v>
      </c>
      <c r="K9571" s="501">
        <v>0</v>
      </c>
      <c r="L9571" s="501">
        <v>58</v>
      </c>
      <c r="M9571" s="501">
        <v>124</v>
      </c>
      <c r="N9571" s="501">
        <v>0</v>
      </c>
      <c r="O9571" s="506">
        <v>134</v>
      </c>
    </row>
    <row r="9572" spans="1:15" x14ac:dyDescent="0.35">
      <c r="A9572" s="503" t="s">
        <v>1164</v>
      </c>
      <c r="B9572" s="504">
        <v>4751</v>
      </c>
      <c r="C9572" s="504" t="s">
        <v>1089</v>
      </c>
      <c r="D9572" s="504" t="s">
        <v>3392</v>
      </c>
      <c r="E9572" s="504" t="s">
        <v>3381</v>
      </c>
      <c r="F9572" s="504" t="s">
        <v>1018</v>
      </c>
      <c r="G9572" s="504" t="s">
        <v>1019</v>
      </c>
      <c r="H9572" s="504" t="s">
        <v>11120</v>
      </c>
      <c r="I9572" s="504">
        <v>11</v>
      </c>
      <c r="J9572" s="504">
        <v>0</v>
      </c>
      <c r="K9572" s="504">
        <v>0</v>
      </c>
      <c r="L9572" s="504">
        <v>11</v>
      </c>
      <c r="M9572" s="504">
        <v>0</v>
      </c>
      <c r="N9572" s="504">
        <v>0</v>
      </c>
      <c r="O9572" s="505">
        <v>0</v>
      </c>
    </row>
    <row r="9573" spans="1:15" x14ac:dyDescent="0.35">
      <c r="A9573" s="500" t="s">
        <v>1961</v>
      </c>
      <c r="B9573" s="501">
        <v>5075</v>
      </c>
      <c r="C9573" s="501" t="s">
        <v>1094</v>
      </c>
      <c r="D9573" s="501" t="s">
        <v>3380</v>
      </c>
      <c r="E9573" s="501" t="s">
        <v>3381</v>
      </c>
      <c r="F9573" s="501" t="s">
        <v>1018</v>
      </c>
      <c r="G9573" s="501" t="s">
        <v>1019</v>
      </c>
      <c r="H9573" s="501" t="s">
        <v>11121</v>
      </c>
      <c r="I9573" s="501">
        <v>3</v>
      </c>
      <c r="J9573" s="501">
        <v>3</v>
      </c>
      <c r="K9573" s="501">
        <v>0</v>
      </c>
      <c r="L9573" s="501">
        <v>0</v>
      </c>
      <c r="M9573" s="501">
        <v>0</v>
      </c>
      <c r="N9573" s="501">
        <v>0</v>
      </c>
      <c r="O9573" s="506">
        <v>0</v>
      </c>
    </row>
    <row r="9574" spans="1:15" x14ac:dyDescent="0.35">
      <c r="A9574" s="503" t="s">
        <v>1100</v>
      </c>
      <c r="B9574" s="504">
        <v>4865</v>
      </c>
      <c r="C9574" s="504" t="s">
        <v>1094</v>
      </c>
      <c r="D9574" s="504" t="s">
        <v>3380</v>
      </c>
      <c r="E9574" s="504" t="s">
        <v>3381</v>
      </c>
      <c r="F9574" s="504" t="s">
        <v>1018</v>
      </c>
      <c r="G9574" s="504" t="s">
        <v>1019</v>
      </c>
      <c r="H9574" s="504" t="s">
        <v>11122</v>
      </c>
      <c r="I9574" s="504">
        <v>8</v>
      </c>
      <c r="J9574" s="504">
        <v>3</v>
      </c>
      <c r="K9574" s="504">
        <v>0</v>
      </c>
      <c r="L9574" s="504">
        <v>0</v>
      </c>
      <c r="M9574" s="504">
        <v>0</v>
      </c>
      <c r="N9574" s="504">
        <v>0</v>
      </c>
      <c r="O9574" s="505">
        <v>5</v>
      </c>
    </row>
    <row r="9575" spans="1:15" x14ac:dyDescent="0.35">
      <c r="A9575" s="500" t="s">
        <v>14208</v>
      </c>
      <c r="B9575" s="501">
        <v>4803</v>
      </c>
      <c r="C9575" s="501" t="s">
        <v>1094</v>
      </c>
      <c r="D9575" s="501" t="s">
        <v>3380</v>
      </c>
      <c r="E9575" s="501" t="s">
        <v>3381</v>
      </c>
      <c r="F9575" s="501" t="s">
        <v>1018</v>
      </c>
      <c r="G9575" s="501" t="s">
        <v>1019</v>
      </c>
      <c r="H9575" s="501" t="s">
        <v>15318</v>
      </c>
      <c r="I9575" s="501">
        <v>9</v>
      </c>
      <c r="J9575" s="501">
        <v>0</v>
      </c>
      <c r="K9575" s="501">
        <v>0</v>
      </c>
      <c r="L9575" s="501">
        <v>9</v>
      </c>
      <c r="M9575" s="501">
        <v>0</v>
      </c>
      <c r="N9575" s="501">
        <v>0</v>
      </c>
      <c r="O9575" s="506">
        <v>0</v>
      </c>
    </row>
    <row r="9576" spans="1:15" x14ac:dyDescent="0.35">
      <c r="A9576" s="503" t="s">
        <v>14213</v>
      </c>
      <c r="B9576" s="504" t="s">
        <v>3312</v>
      </c>
      <c r="C9576" s="504" t="s">
        <v>1094</v>
      </c>
      <c r="D9576" s="504" t="s">
        <v>3380</v>
      </c>
      <c r="E9576" s="504" t="s">
        <v>3381</v>
      </c>
      <c r="F9576" s="504" t="s">
        <v>1018</v>
      </c>
      <c r="G9576" s="504" t="s">
        <v>1019</v>
      </c>
      <c r="H9576" s="504" t="s">
        <v>15319</v>
      </c>
      <c r="I9576" s="504">
        <v>1612</v>
      </c>
      <c r="J9576" s="504">
        <v>1218</v>
      </c>
      <c r="K9576" s="504">
        <v>7</v>
      </c>
      <c r="L9576" s="504">
        <v>99</v>
      </c>
      <c r="M9576" s="504">
        <v>239</v>
      </c>
      <c r="N9576" s="504">
        <v>9</v>
      </c>
      <c r="O9576" s="505">
        <v>49</v>
      </c>
    </row>
    <row r="9577" spans="1:15" x14ac:dyDescent="0.35">
      <c r="A9577" s="500" t="s">
        <v>1186</v>
      </c>
      <c r="B9577" s="501">
        <v>4661</v>
      </c>
      <c r="C9577" s="501" t="s">
        <v>1089</v>
      </c>
      <c r="D9577" s="501" t="s">
        <v>3392</v>
      </c>
      <c r="E9577" s="501" t="s">
        <v>3381</v>
      </c>
      <c r="F9577" s="501" t="s">
        <v>1018</v>
      </c>
      <c r="G9577" s="501" t="s">
        <v>1019</v>
      </c>
      <c r="H9577" s="501" t="s">
        <v>11123</v>
      </c>
      <c r="I9577" s="501">
        <v>4</v>
      </c>
      <c r="J9577" s="501">
        <v>0</v>
      </c>
      <c r="K9577" s="501">
        <v>0</v>
      </c>
      <c r="L9577" s="501">
        <v>4</v>
      </c>
      <c r="M9577" s="501">
        <v>0</v>
      </c>
      <c r="N9577" s="501">
        <v>0</v>
      </c>
      <c r="O9577" s="506">
        <v>0</v>
      </c>
    </row>
    <row r="9578" spans="1:15" x14ac:dyDescent="0.35">
      <c r="A9578" s="503" t="s">
        <v>1105</v>
      </c>
      <c r="B9578" s="504">
        <v>4668</v>
      </c>
      <c r="C9578" s="504" t="s">
        <v>1094</v>
      </c>
      <c r="D9578" s="504" t="s">
        <v>3380</v>
      </c>
      <c r="E9578" s="504" t="s">
        <v>3381</v>
      </c>
      <c r="F9578" s="504" t="s">
        <v>1018</v>
      </c>
      <c r="G9578" s="504" t="s">
        <v>1019</v>
      </c>
      <c r="H9578" s="504" t="s">
        <v>11124</v>
      </c>
      <c r="I9578" s="504">
        <v>9</v>
      </c>
      <c r="J9578" s="504">
        <v>0</v>
      </c>
      <c r="K9578" s="504">
        <v>0</v>
      </c>
      <c r="L9578" s="504">
        <v>0</v>
      </c>
      <c r="M9578" s="504">
        <v>0</v>
      </c>
      <c r="N9578" s="504">
        <v>0</v>
      </c>
      <c r="O9578" s="505">
        <v>9</v>
      </c>
    </row>
    <row r="9579" spans="1:15" x14ac:dyDescent="0.35">
      <c r="A9579" s="500" t="s">
        <v>2085</v>
      </c>
      <c r="B9579" s="501" t="s">
        <v>2925</v>
      </c>
      <c r="C9579" s="501" t="s">
        <v>1089</v>
      </c>
      <c r="D9579" s="501" t="s">
        <v>3392</v>
      </c>
      <c r="E9579" s="501" t="s">
        <v>3381</v>
      </c>
      <c r="F9579" s="501" t="s">
        <v>1018</v>
      </c>
      <c r="G9579" s="501" t="s">
        <v>1019</v>
      </c>
      <c r="H9579" s="501" t="s">
        <v>11125</v>
      </c>
      <c r="I9579" s="501">
        <v>12</v>
      </c>
      <c r="J9579" s="501">
        <v>0</v>
      </c>
      <c r="K9579" s="501">
        <v>0</v>
      </c>
      <c r="L9579" s="501">
        <v>12</v>
      </c>
      <c r="M9579" s="501">
        <v>0</v>
      </c>
      <c r="N9579" s="501">
        <v>0</v>
      </c>
      <c r="O9579" s="506">
        <v>0</v>
      </c>
    </row>
    <row r="9580" spans="1:15" x14ac:dyDescent="0.35">
      <c r="A9580" s="503" t="s">
        <v>1107</v>
      </c>
      <c r="B9580" s="504" t="s">
        <v>3109</v>
      </c>
      <c r="C9580" s="504" t="s">
        <v>1094</v>
      </c>
      <c r="D9580" s="504" t="s">
        <v>3380</v>
      </c>
      <c r="E9580" s="504" t="s">
        <v>3381</v>
      </c>
      <c r="F9580" s="504" t="s">
        <v>1018</v>
      </c>
      <c r="G9580" s="504" t="s">
        <v>1019</v>
      </c>
      <c r="H9580" s="504" t="s">
        <v>11126</v>
      </c>
      <c r="I9580" s="504">
        <v>22</v>
      </c>
      <c r="J9580" s="504">
        <v>0</v>
      </c>
      <c r="K9580" s="504">
        <v>0</v>
      </c>
      <c r="L9580" s="504">
        <v>22</v>
      </c>
      <c r="M9580" s="504">
        <v>0</v>
      </c>
      <c r="N9580" s="504">
        <v>0</v>
      </c>
      <c r="O9580" s="505">
        <v>0</v>
      </c>
    </row>
    <row r="9581" spans="1:15" x14ac:dyDescent="0.35">
      <c r="A9581" s="500" t="s">
        <v>1109</v>
      </c>
      <c r="B9581" s="501" t="s">
        <v>2959</v>
      </c>
      <c r="C9581" s="501" t="s">
        <v>1094</v>
      </c>
      <c r="D9581" s="501" t="s">
        <v>3380</v>
      </c>
      <c r="E9581" s="501" t="s">
        <v>3381</v>
      </c>
      <c r="F9581" s="501" t="s">
        <v>1018</v>
      </c>
      <c r="G9581" s="501" t="s">
        <v>1019</v>
      </c>
      <c r="H9581" s="501" t="s">
        <v>11127</v>
      </c>
      <c r="I9581" s="501">
        <v>20</v>
      </c>
      <c r="J9581" s="501">
        <v>0</v>
      </c>
      <c r="K9581" s="501">
        <v>0</v>
      </c>
      <c r="L9581" s="501">
        <v>0</v>
      </c>
      <c r="M9581" s="501">
        <v>20</v>
      </c>
      <c r="N9581" s="501">
        <v>0</v>
      </c>
      <c r="O9581" s="506">
        <v>0</v>
      </c>
    </row>
    <row r="9582" spans="1:15" x14ac:dyDescent="0.35">
      <c r="A9582" s="503" t="s">
        <v>1190</v>
      </c>
      <c r="B9582" s="504">
        <v>4662</v>
      </c>
      <c r="C9582" s="504" t="s">
        <v>1094</v>
      </c>
      <c r="D9582" s="504" t="s">
        <v>3380</v>
      </c>
      <c r="E9582" s="504" t="s">
        <v>3381</v>
      </c>
      <c r="F9582" s="504" t="s">
        <v>1018</v>
      </c>
      <c r="G9582" s="504" t="s">
        <v>1019</v>
      </c>
      <c r="H9582" s="504" t="s">
        <v>11128</v>
      </c>
      <c r="I9582" s="504">
        <v>44</v>
      </c>
      <c r="J9582" s="504">
        <v>0</v>
      </c>
      <c r="K9582" s="504">
        <v>0</v>
      </c>
      <c r="L9582" s="504">
        <v>44</v>
      </c>
      <c r="M9582" s="504">
        <v>0</v>
      </c>
      <c r="N9582" s="504">
        <v>0</v>
      </c>
      <c r="O9582" s="505">
        <v>0</v>
      </c>
    </row>
    <row r="9583" spans="1:15" x14ac:dyDescent="0.35">
      <c r="A9583" s="500" t="s">
        <v>1310</v>
      </c>
      <c r="B9583" s="501">
        <v>5062</v>
      </c>
      <c r="C9583" s="501" t="s">
        <v>1089</v>
      </c>
      <c r="D9583" s="501" t="s">
        <v>3380</v>
      </c>
      <c r="E9583" s="501" t="s">
        <v>3381</v>
      </c>
      <c r="F9583" s="501" t="s">
        <v>1018</v>
      </c>
      <c r="G9583" s="501" t="s">
        <v>1019</v>
      </c>
      <c r="H9583" s="501" t="s">
        <v>11819</v>
      </c>
      <c r="I9583" s="501">
        <v>13</v>
      </c>
      <c r="J9583" s="501">
        <v>13</v>
      </c>
      <c r="K9583" s="501">
        <v>0</v>
      </c>
      <c r="L9583" s="501">
        <v>0</v>
      </c>
      <c r="M9583" s="501">
        <v>0</v>
      </c>
      <c r="N9583" s="501">
        <v>0</v>
      </c>
      <c r="O9583" s="506">
        <v>0</v>
      </c>
    </row>
    <row r="9584" spans="1:15" x14ac:dyDescent="0.35">
      <c r="A9584" s="503" t="s">
        <v>1497</v>
      </c>
      <c r="B9584" s="504" t="s">
        <v>3290</v>
      </c>
      <c r="C9584" s="504" t="s">
        <v>1089</v>
      </c>
      <c r="D9584" s="504" t="s">
        <v>3392</v>
      </c>
      <c r="E9584" s="504" t="s">
        <v>3381</v>
      </c>
      <c r="F9584" s="504" t="s">
        <v>1018</v>
      </c>
      <c r="G9584" s="504" t="s">
        <v>1019</v>
      </c>
      <c r="H9584" s="504" t="s">
        <v>11129</v>
      </c>
      <c r="I9584" s="504">
        <v>40</v>
      </c>
      <c r="J9584" s="504">
        <v>0</v>
      </c>
      <c r="K9584" s="504">
        <v>0</v>
      </c>
      <c r="L9584" s="504">
        <v>0</v>
      </c>
      <c r="M9584" s="504">
        <v>40</v>
      </c>
      <c r="N9584" s="504">
        <v>0</v>
      </c>
      <c r="O9584" s="505">
        <v>0</v>
      </c>
    </row>
    <row r="9585" spans="1:15" x14ac:dyDescent="0.35">
      <c r="A9585" s="500" t="s">
        <v>1207</v>
      </c>
      <c r="B9585" s="501" t="s">
        <v>3202</v>
      </c>
      <c r="C9585" s="501" t="s">
        <v>1094</v>
      </c>
      <c r="D9585" s="501" t="s">
        <v>3380</v>
      </c>
      <c r="E9585" s="501" t="s">
        <v>3381</v>
      </c>
      <c r="F9585" s="501" t="s">
        <v>1018</v>
      </c>
      <c r="G9585" s="501" t="s">
        <v>1019</v>
      </c>
      <c r="H9585" s="501" t="s">
        <v>11130</v>
      </c>
      <c r="I9585" s="501">
        <v>2452</v>
      </c>
      <c r="J9585" s="501">
        <v>1770</v>
      </c>
      <c r="K9585" s="501">
        <v>0</v>
      </c>
      <c r="L9585" s="501">
        <v>92</v>
      </c>
      <c r="M9585" s="501">
        <v>535</v>
      </c>
      <c r="N9585" s="501">
        <v>6</v>
      </c>
      <c r="O9585" s="506">
        <v>55</v>
      </c>
    </row>
    <row r="9586" spans="1:15" x14ac:dyDescent="0.35">
      <c r="A9586" s="503" t="s">
        <v>2090</v>
      </c>
      <c r="B9586" s="504" t="s">
        <v>3131</v>
      </c>
      <c r="C9586" s="504" t="s">
        <v>1094</v>
      </c>
      <c r="D9586" s="504" t="s">
        <v>3380</v>
      </c>
      <c r="E9586" s="504" t="s">
        <v>3381</v>
      </c>
      <c r="F9586" s="504" t="s">
        <v>1018</v>
      </c>
      <c r="G9586" s="504" t="s">
        <v>1019</v>
      </c>
      <c r="H9586" s="504" t="s">
        <v>11131</v>
      </c>
      <c r="I9586" s="504">
        <v>411</v>
      </c>
      <c r="J9586" s="504">
        <v>334</v>
      </c>
      <c r="K9586" s="504">
        <v>0</v>
      </c>
      <c r="L9586" s="504">
        <v>10</v>
      </c>
      <c r="M9586" s="504">
        <v>67</v>
      </c>
      <c r="N9586" s="504">
        <v>0</v>
      </c>
      <c r="O9586" s="505">
        <v>0</v>
      </c>
    </row>
    <row r="9587" spans="1:15" x14ac:dyDescent="0.35">
      <c r="A9587" s="500" t="s">
        <v>1218</v>
      </c>
      <c r="B9587" s="501" t="s">
        <v>3147</v>
      </c>
      <c r="C9587" s="501" t="s">
        <v>1094</v>
      </c>
      <c r="D9587" s="501" t="s">
        <v>3380</v>
      </c>
      <c r="E9587" s="501" t="s">
        <v>3381</v>
      </c>
      <c r="F9587" s="501" t="s">
        <v>1018</v>
      </c>
      <c r="G9587" s="501" t="s">
        <v>1019</v>
      </c>
      <c r="H9587" s="501" t="s">
        <v>11132</v>
      </c>
      <c r="I9587" s="501">
        <v>3</v>
      </c>
      <c r="J9587" s="501">
        <v>3</v>
      </c>
      <c r="K9587" s="501">
        <v>0</v>
      </c>
      <c r="L9587" s="501">
        <v>0</v>
      </c>
      <c r="M9587" s="501">
        <v>0</v>
      </c>
      <c r="N9587" s="501">
        <v>0</v>
      </c>
      <c r="O9587" s="506">
        <v>0</v>
      </c>
    </row>
    <row r="9588" spans="1:15" x14ac:dyDescent="0.35">
      <c r="A9588" s="503" t="s">
        <v>1219</v>
      </c>
      <c r="B9588" s="504">
        <v>4876</v>
      </c>
      <c r="C9588" s="504" t="s">
        <v>1089</v>
      </c>
      <c r="D9588" s="504" t="s">
        <v>3392</v>
      </c>
      <c r="E9588" s="504" t="s">
        <v>3381</v>
      </c>
      <c r="F9588" s="504" t="s">
        <v>1018</v>
      </c>
      <c r="G9588" s="504" t="s">
        <v>1019</v>
      </c>
      <c r="H9588" s="504" t="s">
        <v>11133</v>
      </c>
      <c r="I9588" s="504">
        <v>35</v>
      </c>
      <c r="J9588" s="504">
        <v>0</v>
      </c>
      <c r="K9588" s="504">
        <v>0</v>
      </c>
      <c r="L9588" s="504">
        <v>35</v>
      </c>
      <c r="M9588" s="504">
        <v>0</v>
      </c>
      <c r="N9588" s="504">
        <v>0</v>
      </c>
      <c r="O9588" s="505">
        <v>0</v>
      </c>
    </row>
    <row r="9589" spans="1:15" x14ac:dyDescent="0.35">
      <c r="A9589" s="500" t="s">
        <v>1221</v>
      </c>
      <c r="B9589" s="501">
        <v>4728</v>
      </c>
      <c r="C9589" s="501" t="s">
        <v>1089</v>
      </c>
      <c r="D9589" s="501" t="s">
        <v>3392</v>
      </c>
      <c r="E9589" s="501" t="s">
        <v>3381</v>
      </c>
      <c r="F9589" s="501" t="s">
        <v>1018</v>
      </c>
      <c r="G9589" s="501" t="s">
        <v>1019</v>
      </c>
      <c r="H9589" s="501" t="s">
        <v>11134</v>
      </c>
      <c r="I9589" s="501">
        <v>10</v>
      </c>
      <c r="J9589" s="501">
        <v>0</v>
      </c>
      <c r="K9589" s="501">
        <v>0</v>
      </c>
      <c r="L9589" s="501">
        <v>10</v>
      </c>
      <c r="M9589" s="501">
        <v>0</v>
      </c>
      <c r="N9589" s="501">
        <v>0</v>
      </c>
      <c r="O9589" s="506">
        <v>0</v>
      </c>
    </row>
    <row r="9590" spans="1:15" x14ac:dyDescent="0.35">
      <c r="A9590" s="503" t="s">
        <v>1226</v>
      </c>
      <c r="B9590" s="504">
        <v>5084</v>
      </c>
      <c r="C9590" s="504" t="s">
        <v>1094</v>
      </c>
      <c r="D9590" s="504" t="s">
        <v>3380</v>
      </c>
      <c r="E9590" s="504" t="s">
        <v>3381</v>
      </c>
      <c r="F9590" s="504" t="s">
        <v>1018</v>
      </c>
      <c r="G9590" s="504" t="s">
        <v>1019</v>
      </c>
      <c r="H9590" s="504" t="s">
        <v>11990</v>
      </c>
      <c r="I9590" s="504">
        <v>13</v>
      </c>
      <c r="J9590" s="504">
        <v>6</v>
      </c>
      <c r="K9590" s="504">
        <v>0</v>
      </c>
      <c r="L9590" s="504">
        <v>0</v>
      </c>
      <c r="M9590" s="504">
        <v>0</v>
      </c>
      <c r="N9590" s="504">
        <v>0</v>
      </c>
      <c r="O9590" s="505">
        <v>7</v>
      </c>
    </row>
    <row r="9591" spans="1:15" x14ac:dyDescent="0.35">
      <c r="A9591" s="500" t="s">
        <v>1124</v>
      </c>
      <c r="B9591" s="501">
        <v>4745</v>
      </c>
      <c r="C9591" s="501" t="s">
        <v>1094</v>
      </c>
      <c r="D9591" s="501" t="s">
        <v>3380</v>
      </c>
      <c r="E9591" s="501" t="s">
        <v>3381</v>
      </c>
      <c r="F9591" s="501" t="s">
        <v>1018</v>
      </c>
      <c r="G9591" s="501" t="s">
        <v>1019</v>
      </c>
      <c r="H9591" s="501" t="s">
        <v>11135</v>
      </c>
      <c r="I9591" s="501">
        <v>2</v>
      </c>
      <c r="J9591" s="501">
        <v>0</v>
      </c>
      <c r="K9591" s="501">
        <v>0</v>
      </c>
      <c r="L9591" s="501">
        <v>2</v>
      </c>
      <c r="M9591" s="501">
        <v>0</v>
      </c>
      <c r="N9591" s="501">
        <v>0</v>
      </c>
      <c r="O9591" s="506">
        <v>0</v>
      </c>
    </row>
    <row r="9592" spans="1:15" x14ac:dyDescent="0.35">
      <c r="A9592" s="503" t="s">
        <v>1126</v>
      </c>
      <c r="B9592" s="504" t="s">
        <v>2974</v>
      </c>
      <c r="C9592" s="504" t="s">
        <v>1094</v>
      </c>
      <c r="D9592" s="504" t="s">
        <v>3380</v>
      </c>
      <c r="E9592" s="504" t="s">
        <v>3381</v>
      </c>
      <c r="F9592" s="504" t="s">
        <v>1018</v>
      </c>
      <c r="G9592" s="504" t="s">
        <v>1019</v>
      </c>
      <c r="H9592" s="504" t="s">
        <v>11136</v>
      </c>
      <c r="I9592" s="504">
        <v>131</v>
      </c>
      <c r="J9592" s="504">
        <v>129</v>
      </c>
      <c r="K9592" s="504">
        <v>0</v>
      </c>
      <c r="L9592" s="504">
        <v>0</v>
      </c>
      <c r="M9592" s="504">
        <v>0</v>
      </c>
      <c r="N9592" s="504">
        <v>0</v>
      </c>
      <c r="O9592" s="505">
        <v>2</v>
      </c>
    </row>
    <row r="9593" spans="1:15" x14ac:dyDescent="0.35">
      <c r="A9593" s="500" t="s">
        <v>1245</v>
      </c>
      <c r="B9593" s="501" t="s">
        <v>2859</v>
      </c>
      <c r="C9593" s="501" t="s">
        <v>1094</v>
      </c>
      <c r="D9593" s="501" t="s">
        <v>3380</v>
      </c>
      <c r="E9593" s="501" t="s">
        <v>3381</v>
      </c>
      <c r="F9593" s="501" t="s">
        <v>1018</v>
      </c>
      <c r="G9593" s="501" t="s">
        <v>1019</v>
      </c>
      <c r="H9593" s="501" t="s">
        <v>11137</v>
      </c>
      <c r="I9593" s="501">
        <v>32</v>
      </c>
      <c r="J9593" s="501">
        <v>0</v>
      </c>
      <c r="K9593" s="501">
        <v>0</v>
      </c>
      <c r="L9593" s="501">
        <v>0</v>
      </c>
      <c r="M9593" s="501">
        <v>32</v>
      </c>
      <c r="N9593" s="501">
        <v>0</v>
      </c>
      <c r="O9593" s="506">
        <v>0</v>
      </c>
    </row>
    <row r="9594" spans="1:15" x14ac:dyDescent="0.35">
      <c r="A9594" s="503" t="s">
        <v>2123</v>
      </c>
      <c r="B9594" s="504" t="s">
        <v>3338</v>
      </c>
      <c r="C9594" s="504" t="s">
        <v>1094</v>
      </c>
      <c r="D9594" s="504" t="s">
        <v>3380</v>
      </c>
      <c r="E9594" s="504" t="s">
        <v>3381</v>
      </c>
      <c r="F9594" s="504" t="s">
        <v>1018</v>
      </c>
      <c r="G9594" s="504" t="s">
        <v>1019</v>
      </c>
      <c r="H9594" s="504" t="s">
        <v>11138</v>
      </c>
      <c r="I9594" s="504">
        <v>149</v>
      </c>
      <c r="J9594" s="504">
        <v>142</v>
      </c>
      <c r="K9594" s="504">
        <v>0</v>
      </c>
      <c r="L9594" s="504">
        <v>0</v>
      </c>
      <c r="M9594" s="504">
        <v>0</v>
      </c>
      <c r="N9594" s="504">
        <v>0</v>
      </c>
      <c r="O9594" s="505">
        <v>7</v>
      </c>
    </row>
    <row r="9595" spans="1:15" x14ac:dyDescent="0.35">
      <c r="A9595" s="500" t="s">
        <v>2127</v>
      </c>
      <c r="B9595" s="501" t="s">
        <v>3188</v>
      </c>
      <c r="C9595" s="501" t="s">
        <v>1094</v>
      </c>
      <c r="D9595" s="501" t="s">
        <v>3380</v>
      </c>
      <c r="E9595" s="501" t="s">
        <v>3381</v>
      </c>
      <c r="F9595" s="501" t="s">
        <v>1018</v>
      </c>
      <c r="G9595" s="501" t="s">
        <v>1019</v>
      </c>
      <c r="H9595" s="501" t="s">
        <v>11139</v>
      </c>
      <c r="I9595" s="501">
        <v>275</v>
      </c>
      <c r="J9595" s="501">
        <v>241</v>
      </c>
      <c r="K9595" s="501">
        <v>0</v>
      </c>
      <c r="L9595" s="501">
        <v>0</v>
      </c>
      <c r="M9595" s="501">
        <v>0</v>
      </c>
      <c r="N9595" s="501">
        <v>0</v>
      </c>
      <c r="O9595" s="506">
        <v>34</v>
      </c>
    </row>
    <row r="9596" spans="1:15" x14ac:dyDescent="0.35">
      <c r="A9596" s="503" t="s">
        <v>11436</v>
      </c>
      <c r="B9596" s="504" t="s">
        <v>2865</v>
      </c>
      <c r="C9596" s="504" t="s">
        <v>1089</v>
      </c>
      <c r="D9596" s="504" t="s">
        <v>3392</v>
      </c>
      <c r="E9596" s="504" t="s">
        <v>3381</v>
      </c>
      <c r="F9596" s="504" t="s">
        <v>1018</v>
      </c>
      <c r="G9596" s="504" t="s">
        <v>1019</v>
      </c>
      <c r="H9596" s="504" t="s">
        <v>12253</v>
      </c>
      <c r="I9596" s="504">
        <v>25</v>
      </c>
      <c r="J9596" s="504">
        <v>0</v>
      </c>
      <c r="K9596" s="504">
        <v>0</v>
      </c>
      <c r="L9596" s="504">
        <v>25</v>
      </c>
      <c r="M9596" s="504">
        <v>0</v>
      </c>
      <c r="N9596" s="504">
        <v>0</v>
      </c>
      <c r="O9596" s="505">
        <v>0</v>
      </c>
    </row>
    <row r="9597" spans="1:15" x14ac:dyDescent="0.35">
      <c r="A9597" s="500" t="s">
        <v>2133</v>
      </c>
      <c r="B9597" s="501" t="s">
        <v>3230</v>
      </c>
      <c r="C9597" s="501" t="s">
        <v>1089</v>
      </c>
      <c r="D9597" s="501" t="s">
        <v>3392</v>
      </c>
      <c r="E9597" s="501" t="s">
        <v>3381</v>
      </c>
      <c r="F9597" s="501" t="s">
        <v>1018</v>
      </c>
      <c r="G9597" s="501" t="s">
        <v>1019</v>
      </c>
      <c r="H9597" s="501" t="s">
        <v>15320</v>
      </c>
      <c r="I9597" s="501">
        <v>63</v>
      </c>
      <c r="J9597" s="501">
        <v>36</v>
      </c>
      <c r="K9597" s="501">
        <v>27</v>
      </c>
      <c r="L9597" s="501">
        <v>0</v>
      </c>
      <c r="M9597" s="501">
        <v>0</v>
      </c>
      <c r="N9597" s="501">
        <v>0</v>
      </c>
      <c r="O9597" s="506">
        <v>0</v>
      </c>
    </row>
    <row r="9598" spans="1:15" x14ac:dyDescent="0.35">
      <c r="A9598" s="503" t="s">
        <v>1093</v>
      </c>
      <c r="B9598" s="504" t="s">
        <v>3248</v>
      </c>
      <c r="C9598" s="504" t="s">
        <v>1094</v>
      </c>
      <c r="D9598" s="504" t="s">
        <v>3380</v>
      </c>
      <c r="E9598" s="504" t="s">
        <v>3381</v>
      </c>
      <c r="F9598" s="504" t="s">
        <v>1020</v>
      </c>
      <c r="G9598" s="504" t="s">
        <v>1021</v>
      </c>
      <c r="H9598" s="504" t="s">
        <v>11140</v>
      </c>
      <c r="I9598" s="504">
        <v>11</v>
      </c>
      <c r="J9598" s="504">
        <v>0</v>
      </c>
      <c r="K9598" s="504">
        <v>0</v>
      </c>
      <c r="L9598" s="504">
        <v>7</v>
      </c>
      <c r="M9598" s="504">
        <v>0</v>
      </c>
      <c r="N9598" s="504">
        <v>0</v>
      </c>
      <c r="O9598" s="505">
        <v>4</v>
      </c>
    </row>
    <row r="9599" spans="1:15" x14ac:dyDescent="0.35">
      <c r="A9599" s="500" t="s">
        <v>1096</v>
      </c>
      <c r="B9599" s="501" t="s">
        <v>3326</v>
      </c>
      <c r="C9599" s="501" t="s">
        <v>1094</v>
      </c>
      <c r="D9599" s="501" t="s">
        <v>3380</v>
      </c>
      <c r="E9599" s="501" t="s">
        <v>3381</v>
      </c>
      <c r="F9599" s="501" t="s">
        <v>1020</v>
      </c>
      <c r="G9599" s="501" t="s">
        <v>1021</v>
      </c>
      <c r="H9599" s="501" t="s">
        <v>11141</v>
      </c>
      <c r="I9599" s="501">
        <v>32</v>
      </c>
      <c r="J9599" s="501">
        <v>0</v>
      </c>
      <c r="K9599" s="501">
        <v>0</v>
      </c>
      <c r="L9599" s="501">
        <v>0</v>
      </c>
      <c r="M9599" s="501">
        <v>32</v>
      </c>
      <c r="N9599" s="501">
        <v>0</v>
      </c>
      <c r="O9599" s="506">
        <v>0</v>
      </c>
    </row>
    <row r="9600" spans="1:15" x14ac:dyDescent="0.35">
      <c r="A9600" s="503" t="s">
        <v>1403</v>
      </c>
      <c r="B9600" s="504">
        <v>4733</v>
      </c>
      <c r="C9600" s="504" t="s">
        <v>1089</v>
      </c>
      <c r="D9600" s="504" t="s">
        <v>3392</v>
      </c>
      <c r="E9600" s="504" t="s">
        <v>3381</v>
      </c>
      <c r="F9600" s="504" t="s">
        <v>1020</v>
      </c>
      <c r="G9600" s="504" t="s">
        <v>1021</v>
      </c>
      <c r="H9600" s="504" t="s">
        <v>11142</v>
      </c>
      <c r="I9600" s="504">
        <v>4</v>
      </c>
      <c r="J9600" s="504">
        <v>0</v>
      </c>
      <c r="K9600" s="504">
        <v>0</v>
      </c>
      <c r="L9600" s="504">
        <v>4</v>
      </c>
      <c r="M9600" s="504">
        <v>0</v>
      </c>
      <c r="N9600" s="504">
        <v>0</v>
      </c>
      <c r="O9600" s="505">
        <v>0</v>
      </c>
    </row>
    <row r="9601" spans="1:15" x14ac:dyDescent="0.35">
      <c r="A9601" s="500" t="s">
        <v>1158</v>
      </c>
      <c r="B9601" s="501">
        <v>4819</v>
      </c>
      <c r="C9601" s="501" t="s">
        <v>1094</v>
      </c>
      <c r="D9601" s="501" t="s">
        <v>3380</v>
      </c>
      <c r="E9601" s="501" t="s">
        <v>3381</v>
      </c>
      <c r="F9601" s="501" t="s">
        <v>1020</v>
      </c>
      <c r="G9601" s="501" t="s">
        <v>1021</v>
      </c>
      <c r="H9601" s="501" t="s">
        <v>11143</v>
      </c>
      <c r="I9601" s="501">
        <v>212</v>
      </c>
      <c r="J9601" s="501">
        <v>194</v>
      </c>
      <c r="K9601" s="501">
        <v>0</v>
      </c>
      <c r="L9601" s="501">
        <v>4</v>
      </c>
      <c r="M9601" s="501">
        <v>0</v>
      </c>
      <c r="N9601" s="501">
        <v>0</v>
      </c>
      <c r="O9601" s="506">
        <v>14</v>
      </c>
    </row>
    <row r="9602" spans="1:15" x14ac:dyDescent="0.35">
      <c r="A9602" s="503" t="s">
        <v>1961</v>
      </c>
      <c r="B9602" s="504">
        <v>5075</v>
      </c>
      <c r="C9602" s="504" t="s">
        <v>1094</v>
      </c>
      <c r="D9602" s="504" t="s">
        <v>3380</v>
      </c>
      <c r="E9602" s="504" t="s">
        <v>3381</v>
      </c>
      <c r="F9602" s="504" t="s">
        <v>1020</v>
      </c>
      <c r="G9602" s="504" t="s">
        <v>1021</v>
      </c>
      <c r="H9602" s="504" t="s">
        <v>11144</v>
      </c>
      <c r="I9602" s="504">
        <v>1249</v>
      </c>
      <c r="J9602" s="504">
        <v>1139</v>
      </c>
      <c r="K9602" s="504">
        <v>0</v>
      </c>
      <c r="L9602" s="504">
        <v>46</v>
      </c>
      <c r="M9602" s="504">
        <v>26</v>
      </c>
      <c r="N9602" s="504">
        <v>0</v>
      </c>
      <c r="O9602" s="505">
        <v>38</v>
      </c>
    </row>
    <row r="9603" spans="1:15" x14ac:dyDescent="0.35">
      <c r="A9603" s="500" t="s">
        <v>1100</v>
      </c>
      <c r="B9603" s="501">
        <v>4865</v>
      </c>
      <c r="C9603" s="501" t="s">
        <v>1094</v>
      </c>
      <c r="D9603" s="501" t="s">
        <v>3380</v>
      </c>
      <c r="E9603" s="501" t="s">
        <v>3381</v>
      </c>
      <c r="F9603" s="501" t="s">
        <v>1020</v>
      </c>
      <c r="G9603" s="501" t="s">
        <v>1021</v>
      </c>
      <c r="H9603" s="501" t="s">
        <v>11145</v>
      </c>
      <c r="I9603" s="501">
        <v>8</v>
      </c>
      <c r="J9603" s="501">
        <v>0</v>
      </c>
      <c r="K9603" s="501">
        <v>0</v>
      </c>
      <c r="L9603" s="501">
        <v>0</v>
      </c>
      <c r="M9603" s="501">
        <v>0</v>
      </c>
      <c r="N9603" s="501">
        <v>0</v>
      </c>
      <c r="O9603" s="506">
        <v>8</v>
      </c>
    </row>
    <row r="9604" spans="1:15" x14ac:dyDescent="0.35">
      <c r="A9604" s="503" t="s">
        <v>1172</v>
      </c>
      <c r="B9604" s="504">
        <v>4648</v>
      </c>
      <c r="C9604" s="504" t="s">
        <v>1089</v>
      </c>
      <c r="D9604" s="504" t="s">
        <v>3392</v>
      </c>
      <c r="E9604" s="504" t="s">
        <v>3381</v>
      </c>
      <c r="F9604" s="504" t="s">
        <v>1020</v>
      </c>
      <c r="G9604" s="504" t="s">
        <v>1021</v>
      </c>
      <c r="H9604" s="504" t="s">
        <v>11146</v>
      </c>
      <c r="I9604" s="504">
        <v>32</v>
      </c>
      <c r="J9604" s="504">
        <v>0</v>
      </c>
      <c r="K9604" s="504">
        <v>0</v>
      </c>
      <c r="L9604" s="504">
        <v>32</v>
      </c>
      <c r="M9604" s="504">
        <v>0</v>
      </c>
      <c r="N9604" s="504">
        <v>0</v>
      </c>
      <c r="O9604" s="505">
        <v>0</v>
      </c>
    </row>
    <row r="9605" spans="1:15" x14ac:dyDescent="0.35">
      <c r="A9605" s="500" t="s">
        <v>1173</v>
      </c>
      <c r="B9605" s="501">
        <v>4775</v>
      </c>
      <c r="C9605" s="501" t="s">
        <v>1094</v>
      </c>
      <c r="D9605" s="501" t="s">
        <v>3380</v>
      </c>
      <c r="E9605" s="501" t="s">
        <v>3381</v>
      </c>
      <c r="F9605" s="501" t="s">
        <v>1020</v>
      </c>
      <c r="G9605" s="501" t="s">
        <v>1021</v>
      </c>
      <c r="H9605" s="501" t="s">
        <v>11147</v>
      </c>
      <c r="I9605" s="501">
        <v>1</v>
      </c>
      <c r="J9605" s="501">
        <v>0</v>
      </c>
      <c r="K9605" s="501">
        <v>0</v>
      </c>
      <c r="L9605" s="501">
        <v>0</v>
      </c>
      <c r="M9605" s="501">
        <v>0</v>
      </c>
      <c r="N9605" s="501">
        <v>0</v>
      </c>
      <c r="O9605" s="506">
        <v>1</v>
      </c>
    </row>
    <row r="9606" spans="1:15" x14ac:dyDescent="0.35">
      <c r="A9606" s="503" t="s">
        <v>1705</v>
      </c>
      <c r="B9606" s="504" t="s">
        <v>3158</v>
      </c>
      <c r="C9606" s="504" t="s">
        <v>1094</v>
      </c>
      <c r="D9606" s="504" t="s">
        <v>3380</v>
      </c>
      <c r="E9606" s="504" t="s">
        <v>3381</v>
      </c>
      <c r="F9606" s="504" t="s">
        <v>1020</v>
      </c>
      <c r="G9606" s="504" t="s">
        <v>1021</v>
      </c>
      <c r="H9606" s="504" t="s">
        <v>11148</v>
      </c>
      <c r="I9606" s="504">
        <v>1</v>
      </c>
      <c r="J9606" s="504">
        <v>0</v>
      </c>
      <c r="K9606" s="504">
        <v>0</v>
      </c>
      <c r="L9606" s="504">
        <v>0</v>
      </c>
      <c r="M9606" s="504">
        <v>0</v>
      </c>
      <c r="N9606" s="504">
        <v>0</v>
      </c>
      <c r="O9606" s="505">
        <v>1</v>
      </c>
    </row>
    <row r="9607" spans="1:15" x14ac:dyDescent="0.35">
      <c r="A9607" s="500" t="s">
        <v>14208</v>
      </c>
      <c r="B9607" s="501">
        <v>4803</v>
      </c>
      <c r="C9607" s="501" t="s">
        <v>1094</v>
      </c>
      <c r="D9607" s="501" t="s">
        <v>3380</v>
      </c>
      <c r="E9607" s="501" t="s">
        <v>3381</v>
      </c>
      <c r="F9607" s="501" t="s">
        <v>1020</v>
      </c>
      <c r="G9607" s="501" t="s">
        <v>1021</v>
      </c>
      <c r="H9607" s="501" t="s">
        <v>15321</v>
      </c>
      <c r="I9607" s="501">
        <v>6</v>
      </c>
      <c r="J9607" s="501">
        <v>0</v>
      </c>
      <c r="K9607" s="501">
        <v>0</v>
      </c>
      <c r="L9607" s="501">
        <v>6</v>
      </c>
      <c r="M9607" s="501">
        <v>0</v>
      </c>
      <c r="N9607" s="501">
        <v>0</v>
      </c>
      <c r="O9607" s="506">
        <v>0</v>
      </c>
    </row>
    <row r="9608" spans="1:15" x14ac:dyDescent="0.35">
      <c r="A9608" s="503" t="s">
        <v>14213</v>
      </c>
      <c r="B9608" s="504" t="s">
        <v>3312</v>
      </c>
      <c r="C9608" s="504" t="s">
        <v>1094</v>
      </c>
      <c r="D9608" s="504" t="s">
        <v>3380</v>
      </c>
      <c r="E9608" s="504" t="s">
        <v>3381</v>
      </c>
      <c r="F9608" s="504" t="s">
        <v>1020</v>
      </c>
      <c r="G9608" s="504" t="s">
        <v>1021</v>
      </c>
      <c r="H9608" s="504" t="s">
        <v>15322</v>
      </c>
      <c r="I9608" s="504">
        <v>38</v>
      </c>
      <c r="J9608" s="504">
        <v>0</v>
      </c>
      <c r="K9608" s="504">
        <v>0</v>
      </c>
      <c r="L9608" s="504">
        <v>0</v>
      </c>
      <c r="M9608" s="504">
        <v>0</v>
      </c>
      <c r="N9608" s="504">
        <v>0</v>
      </c>
      <c r="O9608" s="505">
        <v>38</v>
      </c>
    </row>
    <row r="9609" spans="1:15" x14ac:dyDescent="0.35">
      <c r="A9609" s="500" t="s">
        <v>1105</v>
      </c>
      <c r="B9609" s="501">
        <v>4668</v>
      </c>
      <c r="C9609" s="501" t="s">
        <v>1094</v>
      </c>
      <c r="D9609" s="501" t="s">
        <v>3380</v>
      </c>
      <c r="E9609" s="501" t="s">
        <v>3381</v>
      </c>
      <c r="F9609" s="501" t="s">
        <v>1020</v>
      </c>
      <c r="G9609" s="501" t="s">
        <v>1021</v>
      </c>
      <c r="H9609" s="501" t="s">
        <v>11149</v>
      </c>
      <c r="I9609" s="501">
        <v>5</v>
      </c>
      <c r="J9609" s="501">
        <v>0</v>
      </c>
      <c r="K9609" s="501">
        <v>0</v>
      </c>
      <c r="L9609" s="501">
        <v>0</v>
      </c>
      <c r="M9609" s="501">
        <v>0</v>
      </c>
      <c r="N9609" s="501">
        <v>0</v>
      </c>
      <c r="O9609" s="506">
        <v>5</v>
      </c>
    </row>
    <row r="9610" spans="1:15" x14ac:dyDescent="0.35">
      <c r="A9610" s="503" t="s">
        <v>1107</v>
      </c>
      <c r="B9610" s="504" t="s">
        <v>3109</v>
      </c>
      <c r="C9610" s="504" t="s">
        <v>1094</v>
      </c>
      <c r="D9610" s="504" t="s">
        <v>3380</v>
      </c>
      <c r="E9610" s="504" t="s">
        <v>3381</v>
      </c>
      <c r="F9610" s="504" t="s">
        <v>1020</v>
      </c>
      <c r="G9610" s="504" t="s">
        <v>1021</v>
      </c>
      <c r="H9610" s="504" t="s">
        <v>11150</v>
      </c>
      <c r="I9610" s="504">
        <v>22</v>
      </c>
      <c r="J9610" s="504">
        <v>0</v>
      </c>
      <c r="K9610" s="504">
        <v>0</v>
      </c>
      <c r="L9610" s="504">
        <v>22</v>
      </c>
      <c r="M9610" s="504">
        <v>0</v>
      </c>
      <c r="N9610" s="504">
        <v>0</v>
      </c>
      <c r="O9610" s="505">
        <v>0</v>
      </c>
    </row>
    <row r="9611" spans="1:15" x14ac:dyDescent="0.35">
      <c r="A9611" s="500" t="s">
        <v>1109</v>
      </c>
      <c r="B9611" s="501" t="s">
        <v>2959</v>
      </c>
      <c r="C9611" s="501" t="s">
        <v>1094</v>
      </c>
      <c r="D9611" s="501" t="s">
        <v>3380</v>
      </c>
      <c r="E9611" s="501" t="s">
        <v>3381</v>
      </c>
      <c r="F9611" s="501" t="s">
        <v>1020</v>
      </c>
      <c r="G9611" s="501" t="s">
        <v>1021</v>
      </c>
      <c r="H9611" s="501" t="s">
        <v>15323</v>
      </c>
      <c r="I9611" s="501">
        <v>71</v>
      </c>
      <c r="J9611" s="501">
        <v>0</v>
      </c>
      <c r="K9611" s="501">
        <v>0</v>
      </c>
      <c r="L9611" s="501">
        <v>0</v>
      </c>
      <c r="M9611" s="501">
        <v>33</v>
      </c>
      <c r="N9611" s="501">
        <v>0</v>
      </c>
      <c r="O9611" s="506">
        <v>38</v>
      </c>
    </row>
    <row r="9612" spans="1:15" x14ac:dyDescent="0.35">
      <c r="A9612" s="503" t="s">
        <v>1634</v>
      </c>
      <c r="B9612" s="504">
        <v>4822</v>
      </c>
      <c r="C9612" s="504" t="s">
        <v>1089</v>
      </c>
      <c r="D9612" s="504" t="s">
        <v>3392</v>
      </c>
      <c r="E9612" s="504" t="s">
        <v>3381</v>
      </c>
      <c r="F9612" s="504" t="s">
        <v>1020</v>
      </c>
      <c r="G9612" s="504" t="s">
        <v>1021</v>
      </c>
      <c r="H9612" s="504" t="s">
        <v>11151</v>
      </c>
      <c r="I9612" s="504">
        <v>12</v>
      </c>
      <c r="J9612" s="504">
        <v>0</v>
      </c>
      <c r="K9612" s="504">
        <v>0</v>
      </c>
      <c r="L9612" s="504">
        <v>12</v>
      </c>
      <c r="M9612" s="504">
        <v>0</v>
      </c>
      <c r="N9612" s="504">
        <v>0</v>
      </c>
      <c r="O9612" s="505">
        <v>0</v>
      </c>
    </row>
    <row r="9613" spans="1:15" x14ac:dyDescent="0.35">
      <c r="A9613" s="500" t="s">
        <v>1190</v>
      </c>
      <c r="B9613" s="501">
        <v>4662</v>
      </c>
      <c r="C9613" s="501" t="s">
        <v>1094</v>
      </c>
      <c r="D9613" s="501" t="s">
        <v>3380</v>
      </c>
      <c r="E9613" s="501" t="s">
        <v>3381</v>
      </c>
      <c r="F9613" s="501" t="s">
        <v>1020</v>
      </c>
      <c r="G9613" s="501" t="s">
        <v>1021</v>
      </c>
      <c r="H9613" s="501" t="s">
        <v>11152</v>
      </c>
      <c r="I9613" s="501">
        <v>40</v>
      </c>
      <c r="J9613" s="501">
        <v>0</v>
      </c>
      <c r="K9613" s="501">
        <v>0</v>
      </c>
      <c r="L9613" s="501">
        <v>40</v>
      </c>
      <c r="M9613" s="501">
        <v>0</v>
      </c>
      <c r="N9613" s="501">
        <v>0</v>
      </c>
      <c r="O9613" s="506">
        <v>0</v>
      </c>
    </row>
    <row r="9614" spans="1:15" x14ac:dyDescent="0.35">
      <c r="A9614" s="503" t="s">
        <v>1207</v>
      </c>
      <c r="B9614" s="504" t="s">
        <v>3202</v>
      </c>
      <c r="C9614" s="504" t="s">
        <v>1094</v>
      </c>
      <c r="D9614" s="504" t="s">
        <v>3380</v>
      </c>
      <c r="E9614" s="504" t="s">
        <v>3381</v>
      </c>
      <c r="F9614" s="504" t="s">
        <v>1020</v>
      </c>
      <c r="G9614" s="504" t="s">
        <v>1021</v>
      </c>
      <c r="H9614" s="504" t="s">
        <v>11153</v>
      </c>
      <c r="I9614" s="504">
        <v>1</v>
      </c>
      <c r="J9614" s="504">
        <v>0</v>
      </c>
      <c r="K9614" s="504">
        <v>0</v>
      </c>
      <c r="L9614" s="504">
        <v>0</v>
      </c>
      <c r="M9614" s="504">
        <v>0</v>
      </c>
      <c r="N9614" s="504">
        <v>0</v>
      </c>
      <c r="O9614" s="505">
        <v>1</v>
      </c>
    </row>
    <row r="9615" spans="1:15" x14ac:dyDescent="0.35">
      <c r="A9615" s="500" t="s">
        <v>1208</v>
      </c>
      <c r="B9615" s="501" t="s">
        <v>3096</v>
      </c>
      <c r="C9615" s="501" t="s">
        <v>1094</v>
      </c>
      <c r="D9615" s="501" t="s">
        <v>3380</v>
      </c>
      <c r="E9615" s="501" t="s">
        <v>3381</v>
      </c>
      <c r="F9615" s="501" t="s">
        <v>1020</v>
      </c>
      <c r="G9615" s="501" t="s">
        <v>1021</v>
      </c>
      <c r="H9615" s="501" t="s">
        <v>11154</v>
      </c>
      <c r="I9615" s="501">
        <v>43</v>
      </c>
      <c r="J9615" s="501">
        <v>43</v>
      </c>
      <c r="K9615" s="501">
        <v>0</v>
      </c>
      <c r="L9615" s="501">
        <v>0</v>
      </c>
      <c r="M9615" s="501">
        <v>0</v>
      </c>
      <c r="N9615" s="501">
        <v>0</v>
      </c>
      <c r="O9615" s="506">
        <v>0</v>
      </c>
    </row>
    <row r="9616" spans="1:15" x14ac:dyDescent="0.35">
      <c r="A9616" s="503" t="s">
        <v>1218</v>
      </c>
      <c r="B9616" s="504" t="s">
        <v>3147</v>
      </c>
      <c r="C9616" s="504" t="s">
        <v>1094</v>
      </c>
      <c r="D9616" s="504" t="s">
        <v>3380</v>
      </c>
      <c r="E9616" s="504" t="s">
        <v>3381</v>
      </c>
      <c r="F9616" s="504" t="s">
        <v>1020</v>
      </c>
      <c r="G9616" s="504" t="s">
        <v>1021</v>
      </c>
      <c r="H9616" s="504" t="s">
        <v>11155</v>
      </c>
      <c r="I9616" s="504">
        <v>3</v>
      </c>
      <c r="J9616" s="504">
        <v>3</v>
      </c>
      <c r="K9616" s="504">
        <v>0</v>
      </c>
      <c r="L9616" s="504">
        <v>0</v>
      </c>
      <c r="M9616" s="504">
        <v>0</v>
      </c>
      <c r="N9616" s="504">
        <v>0</v>
      </c>
      <c r="O9616" s="505">
        <v>0</v>
      </c>
    </row>
    <row r="9617" spans="1:15" x14ac:dyDescent="0.35">
      <c r="A9617" s="500" t="s">
        <v>11367</v>
      </c>
      <c r="B9617" s="501" t="s">
        <v>3143</v>
      </c>
      <c r="C9617" s="501" t="s">
        <v>1094</v>
      </c>
      <c r="D9617" s="501" t="s">
        <v>3380</v>
      </c>
      <c r="E9617" s="501" t="s">
        <v>3381</v>
      </c>
      <c r="F9617" s="501" t="s">
        <v>1020</v>
      </c>
      <c r="G9617" s="501" t="s">
        <v>1021</v>
      </c>
      <c r="H9617" s="501" t="s">
        <v>11965</v>
      </c>
      <c r="I9617" s="501">
        <v>41</v>
      </c>
      <c r="J9617" s="501">
        <v>41</v>
      </c>
      <c r="K9617" s="501">
        <v>0</v>
      </c>
      <c r="L9617" s="501">
        <v>0</v>
      </c>
      <c r="M9617" s="501">
        <v>0</v>
      </c>
      <c r="N9617" s="501">
        <v>0</v>
      </c>
      <c r="O9617" s="506">
        <v>0</v>
      </c>
    </row>
    <row r="9618" spans="1:15" x14ac:dyDescent="0.35">
      <c r="A9618" s="503" t="s">
        <v>2093</v>
      </c>
      <c r="B9618" s="504">
        <v>4789</v>
      </c>
      <c r="C9618" s="504" t="s">
        <v>1094</v>
      </c>
      <c r="D9618" s="504" t="s">
        <v>3392</v>
      </c>
      <c r="E9618" s="504" t="s">
        <v>3381</v>
      </c>
      <c r="F9618" s="504" t="s">
        <v>1020</v>
      </c>
      <c r="G9618" s="504" t="s">
        <v>1021</v>
      </c>
      <c r="H9618" s="504" t="s">
        <v>11156</v>
      </c>
      <c r="I9618" s="504">
        <v>1</v>
      </c>
      <c r="J9618" s="504">
        <v>1</v>
      </c>
      <c r="K9618" s="504">
        <v>0</v>
      </c>
      <c r="L9618" s="504">
        <v>0</v>
      </c>
      <c r="M9618" s="504">
        <v>0</v>
      </c>
      <c r="N9618" s="504">
        <v>0</v>
      </c>
      <c r="O9618" s="505">
        <v>0</v>
      </c>
    </row>
    <row r="9619" spans="1:15" x14ac:dyDescent="0.35">
      <c r="A9619" s="500" t="s">
        <v>1226</v>
      </c>
      <c r="B9619" s="501">
        <v>5084</v>
      </c>
      <c r="C9619" s="501" t="s">
        <v>1094</v>
      </c>
      <c r="D9619" s="501" t="s">
        <v>3380</v>
      </c>
      <c r="E9619" s="501" t="s">
        <v>3381</v>
      </c>
      <c r="F9619" s="501" t="s">
        <v>1020</v>
      </c>
      <c r="G9619" s="501" t="s">
        <v>1021</v>
      </c>
      <c r="H9619" s="501" t="s">
        <v>11157</v>
      </c>
      <c r="I9619" s="501">
        <v>5546</v>
      </c>
      <c r="J9619" s="501">
        <v>4513</v>
      </c>
      <c r="K9619" s="501">
        <v>0</v>
      </c>
      <c r="L9619" s="501">
        <v>112</v>
      </c>
      <c r="M9619" s="501">
        <v>699</v>
      </c>
      <c r="N9619" s="501">
        <v>0</v>
      </c>
      <c r="O9619" s="506">
        <v>222</v>
      </c>
    </row>
    <row r="9620" spans="1:15" x14ac:dyDescent="0.35">
      <c r="A9620" s="503" t="s">
        <v>2008</v>
      </c>
      <c r="B9620" s="504" t="s">
        <v>3323</v>
      </c>
      <c r="C9620" s="504" t="s">
        <v>1094</v>
      </c>
      <c r="D9620" s="504" t="s">
        <v>3380</v>
      </c>
      <c r="E9620" s="504" t="s">
        <v>3381</v>
      </c>
      <c r="F9620" s="504" t="s">
        <v>1020</v>
      </c>
      <c r="G9620" s="504" t="s">
        <v>1021</v>
      </c>
      <c r="H9620" s="504" t="s">
        <v>11158</v>
      </c>
      <c r="I9620" s="504">
        <v>122</v>
      </c>
      <c r="J9620" s="504">
        <v>75</v>
      </c>
      <c r="K9620" s="504">
        <v>41</v>
      </c>
      <c r="L9620" s="504">
        <v>6</v>
      </c>
      <c r="M9620" s="504">
        <v>0</v>
      </c>
      <c r="N9620" s="504">
        <v>0</v>
      </c>
      <c r="O9620" s="505">
        <v>0</v>
      </c>
    </row>
    <row r="9621" spans="1:15" x14ac:dyDescent="0.35">
      <c r="A9621" s="500" t="s">
        <v>1235</v>
      </c>
      <c r="B9621" s="501">
        <v>4684</v>
      </c>
      <c r="C9621" s="501" t="s">
        <v>1094</v>
      </c>
      <c r="D9621" s="501" t="s">
        <v>3380</v>
      </c>
      <c r="E9621" s="501" t="s">
        <v>3381</v>
      </c>
      <c r="F9621" s="501" t="s">
        <v>1020</v>
      </c>
      <c r="G9621" s="501" t="s">
        <v>1021</v>
      </c>
      <c r="H9621" s="501" t="s">
        <v>11159</v>
      </c>
      <c r="I9621" s="501">
        <v>132</v>
      </c>
      <c r="J9621" s="501">
        <v>34</v>
      </c>
      <c r="K9621" s="501">
        <v>0</v>
      </c>
      <c r="L9621" s="501">
        <v>14</v>
      </c>
      <c r="M9621" s="501">
        <v>70</v>
      </c>
      <c r="N9621" s="501">
        <v>0</v>
      </c>
      <c r="O9621" s="506">
        <v>14</v>
      </c>
    </row>
    <row r="9622" spans="1:15" x14ac:dyDescent="0.35">
      <c r="A9622" s="503" t="s">
        <v>1126</v>
      </c>
      <c r="B9622" s="504" t="s">
        <v>2974</v>
      </c>
      <c r="C9622" s="504" t="s">
        <v>1094</v>
      </c>
      <c r="D9622" s="504" t="s">
        <v>3380</v>
      </c>
      <c r="E9622" s="504" t="s">
        <v>3381</v>
      </c>
      <c r="F9622" s="504" t="s">
        <v>1020</v>
      </c>
      <c r="G9622" s="504" t="s">
        <v>1021</v>
      </c>
      <c r="H9622" s="504" t="s">
        <v>11160</v>
      </c>
      <c r="I9622" s="504">
        <v>335</v>
      </c>
      <c r="J9622" s="504">
        <v>163</v>
      </c>
      <c r="K9622" s="504">
        <v>0</v>
      </c>
      <c r="L9622" s="504">
        <v>13</v>
      </c>
      <c r="M9622" s="504">
        <v>122</v>
      </c>
      <c r="N9622" s="504">
        <v>1</v>
      </c>
      <c r="O9622" s="505">
        <v>37</v>
      </c>
    </row>
    <row r="9623" spans="1:15" x14ac:dyDescent="0.35">
      <c r="A9623" s="500" t="s">
        <v>2109</v>
      </c>
      <c r="B9623" s="501" t="s">
        <v>2931</v>
      </c>
      <c r="C9623" s="501" t="s">
        <v>1089</v>
      </c>
      <c r="D9623" s="501" t="s">
        <v>3392</v>
      </c>
      <c r="E9623" s="501" t="s">
        <v>3381</v>
      </c>
      <c r="F9623" s="501" t="s">
        <v>1020</v>
      </c>
      <c r="G9623" s="501" t="s">
        <v>1021</v>
      </c>
      <c r="H9623" s="501" t="s">
        <v>15324</v>
      </c>
      <c r="I9623" s="501">
        <v>10</v>
      </c>
      <c r="J9623" s="501">
        <v>0</v>
      </c>
      <c r="K9623" s="501">
        <v>0</v>
      </c>
      <c r="L9623" s="501">
        <v>10</v>
      </c>
      <c r="M9623" s="501">
        <v>0</v>
      </c>
      <c r="N9623" s="501">
        <v>0</v>
      </c>
      <c r="O9623" s="506">
        <v>0</v>
      </c>
    </row>
    <row r="9624" spans="1:15" x14ac:dyDescent="0.35">
      <c r="A9624" s="503" t="s">
        <v>2114</v>
      </c>
      <c r="B9624" s="504" t="s">
        <v>2900</v>
      </c>
      <c r="C9624" s="504" t="s">
        <v>1089</v>
      </c>
      <c r="D9624" s="504" t="s">
        <v>3392</v>
      </c>
      <c r="E9624" s="504" t="s">
        <v>3381</v>
      </c>
      <c r="F9624" s="504" t="s">
        <v>1020</v>
      </c>
      <c r="G9624" s="504" t="s">
        <v>1021</v>
      </c>
      <c r="H9624" s="504" t="s">
        <v>15325</v>
      </c>
      <c r="I9624" s="504">
        <v>11</v>
      </c>
      <c r="J9624" s="504">
        <v>0</v>
      </c>
      <c r="K9624" s="504">
        <v>0</v>
      </c>
      <c r="L9624" s="504">
        <v>0</v>
      </c>
      <c r="M9624" s="504">
        <v>11</v>
      </c>
      <c r="N9624" s="504">
        <v>0</v>
      </c>
      <c r="O9624" s="505">
        <v>0</v>
      </c>
    </row>
    <row r="9625" spans="1:15" x14ac:dyDescent="0.35">
      <c r="A9625" s="500" t="s">
        <v>2118</v>
      </c>
      <c r="B9625" s="501" t="s">
        <v>3343</v>
      </c>
      <c r="C9625" s="501" t="s">
        <v>1094</v>
      </c>
      <c r="D9625" s="501" t="s">
        <v>3380</v>
      </c>
      <c r="E9625" s="501" t="s">
        <v>3381</v>
      </c>
      <c r="F9625" s="501" t="s">
        <v>1020</v>
      </c>
      <c r="G9625" s="501" t="s">
        <v>1021</v>
      </c>
      <c r="H9625" s="501" t="s">
        <v>15326</v>
      </c>
      <c r="I9625" s="501">
        <v>5</v>
      </c>
      <c r="J9625" s="501">
        <v>5</v>
      </c>
      <c r="K9625" s="501">
        <v>0</v>
      </c>
      <c r="L9625" s="501">
        <v>0</v>
      </c>
      <c r="M9625" s="501">
        <v>0</v>
      </c>
      <c r="N9625" s="501">
        <v>0</v>
      </c>
      <c r="O9625" s="506">
        <v>0</v>
      </c>
    </row>
    <row r="9626" spans="1:15" x14ac:dyDescent="0.35">
      <c r="A9626" s="503" t="s">
        <v>1247</v>
      </c>
      <c r="B9626" s="504">
        <v>4838</v>
      </c>
      <c r="C9626" s="504" t="s">
        <v>1089</v>
      </c>
      <c r="D9626" s="504" t="s">
        <v>3392</v>
      </c>
      <c r="E9626" s="504" t="s">
        <v>3381</v>
      </c>
      <c r="F9626" s="504" t="s">
        <v>1020</v>
      </c>
      <c r="G9626" s="504" t="s">
        <v>1021</v>
      </c>
      <c r="H9626" s="504" t="s">
        <v>11161</v>
      </c>
      <c r="I9626" s="504">
        <v>9</v>
      </c>
      <c r="J9626" s="504">
        <v>0</v>
      </c>
      <c r="K9626" s="504">
        <v>0</v>
      </c>
      <c r="L9626" s="504">
        <v>9</v>
      </c>
      <c r="M9626" s="504">
        <v>0</v>
      </c>
      <c r="N9626" s="504">
        <v>0</v>
      </c>
      <c r="O9626" s="505">
        <v>0</v>
      </c>
    </row>
    <row r="9627" spans="1:15" x14ac:dyDescent="0.35">
      <c r="A9627" s="500" t="s">
        <v>1260</v>
      </c>
      <c r="B9627" s="501">
        <v>4645</v>
      </c>
      <c r="C9627" s="501" t="s">
        <v>1089</v>
      </c>
      <c r="D9627" s="501" t="s">
        <v>3392</v>
      </c>
      <c r="E9627" s="501" t="s">
        <v>3381</v>
      </c>
      <c r="F9627" s="501" t="s">
        <v>1020</v>
      </c>
      <c r="G9627" s="501" t="s">
        <v>1021</v>
      </c>
      <c r="H9627" s="501" t="s">
        <v>11162</v>
      </c>
      <c r="I9627" s="501">
        <v>12</v>
      </c>
      <c r="J9627" s="501">
        <v>0</v>
      </c>
      <c r="K9627" s="501">
        <v>0</v>
      </c>
      <c r="L9627" s="501">
        <v>12</v>
      </c>
      <c r="M9627" s="501">
        <v>0</v>
      </c>
      <c r="N9627" s="501">
        <v>0</v>
      </c>
      <c r="O9627" s="506">
        <v>0</v>
      </c>
    </row>
    <row r="9628" spans="1:15" x14ac:dyDescent="0.35">
      <c r="A9628" s="503" t="s">
        <v>2127</v>
      </c>
      <c r="B9628" s="504" t="s">
        <v>3188</v>
      </c>
      <c r="C9628" s="504" t="s">
        <v>1094</v>
      </c>
      <c r="D9628" s="504" t="s">
        <v>3380</v>
      </c>
      <c r="E9628" s="504" t="s">
        <v>3381</v>
      </c>
      <c r="F9628" s="504" t="s">
        <v>1020</v>
      </c>
      <c r="G9628" s="504" t="s">
        <v>1021</v>
      </c>
      <c r="H9628" s="504" t="s">
        <v>11163</v>
      </c>
      <c r="I9628" s="504">
        <v>68</v>
      </c>
      <c r="J9628" s="504">
        <v>47</v>
      </c>
      <c r="K9628" s="504">
        <v>0</v>
      </c>
      <c r="L9628" s="504">
        <v>0</v>
      </c>
      <c r="M9628" s="504">
        <v>0</v>
      </c>
      <c r="N9628" s="504">
        <v>0</v>
      </c>
      <c r="O9628" s="505">
        <v>21</v>
      </c>
    </row>
    <row r="9629" spans="1:15" x14ac:dyDescent="0.35">
      <c r="A9629" s="500" t="s">
        <v>1262</v>
      </c>
      <c r="B9629" s="501">
        <v>4772</v>
      </c>
      <c r="C9629" s="501" t="s">
        <v>1089</v>
      </c>
      <c r="D9629" s="501" t="s">
        <v>3392</v>
      </c>
      <c r="E9629" s="501" t="s">
        <v>3381</v>
      </c>
      <c r="F9629" s="501" t="s">
        <v>1020</v>
      </c>
      <c r="G9629" s="501" t="s">
        <v>1021</v>
      </c>
      <c r="H9629" s="501" t="s">
        <v>11164</v>
      </c>
      <c r="I9629" s="501">
        <v>14</v>
      </c>
      <c r="J9629" s="501">
        <v>0</v>
      </c>
      <c r="K9629" s="501">
        <v>0</v>
      </c>
      <c r="L9629" s="501">
        <v>14</v>
      </c>
      <c r="M9629" s="501">
        <v>0</v>
      </c>
      <c r="N9629" s="501">
        <v>14</v>
      </c>
      <c r="O9629" s="506">
        <v>0</v>
      </c>
    </row>
    <row r="9630" spans="1:15" x14ac:dyDescent="0.35">
      <c r="A9630" s="503" t="s">
        <v>2130</v>
      </c>
      <c r="B9630" s="504">
        <v>4855</v>
      </c>
      <c r="C9630" s="504" t="s">
        <v>1089</v>
      </c>
      <c r="D9630" s="504" t="s">
        <v>3392</v>
      </c>
      <c r="E9630" s="504" t="s">
        <v>3381</v>
      </c>
      <c r="F9630" s="504" t="s">
        <v>1020</v>
      </c>
      <c r="G9630" s="504" t="s">
        <v>1021</v>
      </c>
      <c r="H9630" s="504" t="s">
        <v>11165</v>
      </c>
      <c r="I9630" s="504">
        <v>96</v>
      </c>
      <c r="J9630" s="504">
        <v>64</v>
      </c>
      <c r="K9630" s="504">
        <v>0</v>
      </c>
      <c r="L9630" s="504">
        <v>32</v>
      </c>
      <c r="M9630" s="504">
        <v>0</v>
      </c>
      <c r="N9630" s="504">
        <v>0</v>
      </c>
      <c r="O9630" s="505">
        <v>0</v>
      </c>
    </row>
    <row r="9631" spans="1:15" x14ac:dyDescent="0.35">
      <c r="A9631" s="500" t="s">
        <v>2131</v>
      </c>
      <c r="B9631" s="501" t="s">
        <v>3299</v>
      </c>
      <c r="C9631" s="501" t="s">
        <v>1089</v>
      </c>
      <c r="D9631" s="501" t="s">
        <v>3392</v>
      </c>
      <c r="E9631" s="501" t="s">
        <v>3381</v>
      </c>
      <c r="F9631" s="501" t="s">
        <v>1020</v>
      </c>
      <c r="G9631" s="501" t="s">
        <v>1021</v>
      </c>
      <c r="H9631" s="501" t="s">
        <v>11166</v>
      </c>
      <c r="I9631" s="501">
        <v>76</v>
      </c>
      <c r="J9631" s="501">
        <v>9</v>
      </c>
      <c r="K9631" s="501">
        <v>5</v>
      </c>
      <c r="L9631" s="501">
        <v>62</v>
      </c>
      <c r="M9631" s="501">
        <v>0</v>
      </c>
      <c r="N9631" s="501">
        <v>0</v>
      </c>
      <c r="O9631" s="506">
        <v>0</v>
      </c>
    </row>
    <row r="9632" spans="1:15" x14ac:dyDescent="0.35">
      <c r="A9632" s="503" t="s">
        <v>1091</v>
      </c>
      <c r="B9632" s="504" t="s">
        <v>3288</v>
      </c>
      <c r="C9632" s="504" t="s">
        <v>1089</v>
      </c>
      <c r="D9632" s="504" t="s">
        <v>3392</v>
      </c>
      <c r="E9632" s="504" t="s">
        <v>3381</v>
      </c>
      <c r="F9632" s="504" t="s">
        <v>1022</v>
      </c>
      <c r="G9632" s="504" t="s">
        <v>1023</v>
      </c>
      <c r="H9632" s="504" t="s">
        <v>11167</v>
      </c>
      <c r="I9632" s="504">
        <v>17</v>
      </c>
      <c r="J9632" s="504">
        <v>0</v>
      </c>
      <c r="K9632" s="504">
        <v>0</v>
      </c>
      <c r="L9632" s="504">
        <v>17</v>
      </c>
      <c r="M9632" s="504">
        <v>0</v>
      </c>
      <c r="N9632" s="504">
        <v>0</v>
      </c>
      <c r="O9632" s="505">
        <v>0</v>
      </c>
    </row>
    <row r="9633" spans="1:15" x14ac:dyDescent="0.35">
      <c r="A9633" s="500" t="s">
        <v>1096</v>
      </c>
      <c r="B9633" s="501" t="s">
        <v>3326</v>
      </c>
      <c r="C9633" s="501" t="s">
        <v>1094</v>
      </c>
      <c r="D9633" s="501" t="s">
        <v>3380</v>
      </c>
      <c r="E9633" s="501" t="s">
        <v>3381</v>
      </c>
      <c r="F9633" s="501" t="s">
        <v>1022</v>
      </c>
      <c r="G9633" s="501" t="s">
        <v>1023</v>
      </c>
      <c r="H9633" s="501" t="s">
        <v>11168</v>
      </c>
      <c r="I9633" s="501">
        <v>65</v>
      </c>
      <c r="J9633" s="501">
        <v>1</v>
      </c>
      <c r="K9633" s="501">
        <v>0</v>
      </c>
      <c r="L9633" s="501">
        <v>0</v>
      </c>
      <c r="M9633" s="501">
        <v>49</v>
      </c>
      <c r="N9633" s="501">
        <v>0</v>
      </c>
      <c r="O9633" s="506">
        <v>15</v>
      </c>
    </row>
    <row r="9634" spans="1:15" x14ac:dyDescent="0.35">
      <c r="A9634" s="503" t="s">
        <v>1100</v>
      </c>
      <c r="B9634" s="504">
        <v>4865</v>
      </c>
      <c r="C9634" s="504" t="s">
        <v>1094</v>
      </c>
      <c r="D9634" s="504" t="s">
        <v>3380</v>
      </c>
      <c r="E9634" s="504" t="s">
        <v>3381</v>
      </c>
      <c r="F9634" s="504" t="s">
        <v>1022</v>
      </c>
      <c r="G9634" s="504" t="s">
        <v>1023</v>
      </c>
      <c r="H9634" s="504" t="s">
        <v>11169</v>
      </c>
      <c r="I9634" s="504">
        <v>205</v>
      </c>
      <c r="J9634" s="504">
        <v>159</v>
      </c>
      <c r="K9634" s="504">
        <v>0</v>
      </c>
      <c r="L9634" s="504">
        <v>15</v>
      </c>
      <c r="M9634" s="504">
        <v>0</v>
      </c>
      <c r="N9634" s="504">
        <v>0</v>
      </c>
      <c r="O9634" s="505">
        <v>31</v>
      </c>
    </row>
    <row r="9635" spans="1:15" x14ac:dyDescent="0.35">
      <c r="A9635" s="500" t="s">
        <v>14208</v>
      </c>
      <c r="B9635" s="501">
        <v>4803</v>
      </c>
      <c r="C9635" s="501" t="s">
        <v>1094</v>
      </c>
      <c r="D9635" s="501" t="s">
        <v>3380</v>
      </c>
      <c r="E9635" s="501" t="s">
        <v>3381</v>
      </c>
      <c r="F9635" s="501" t="s">
        <v>1022</v>
      </c>
      <c r="G9635" s="501" t="s">
        <v>1023</v>
      </c>
      <c r="H9635" s="501" t="s">
        <v>15327</v>
      </c>
      <c r="I9635" s="501">
        <v>7</v>
      </c>
      <c r="J9635" s="501">
        <v>0</v>
      </c>
      <c r="K9635" s="501">
        <v>0</v>
      </c>
      <c r="L9635" s="501">
        <v>7</v>
      </c>
      <c r="M9635" s="501">
        <v>0</v>
      </c>
      <c r="N9635" s="501">
        <v>0</v>
      </c>
      <c r="O9635" s="506">
        <v>0</v>
      </c>
    </row>
    <row r="9636" spans="1:15" x14ac:dyDescent="0.35">
      <c r="A9636" s="503" t="s">
        <v>1841</v>
      </c>
      <c r="B9636" s="504" t="s">
        <v>3328</v>
      </c>
      <c r="C9636" s="504" t="s">
        <v>1089</v>
      </c>
      <c r="D9636" s="504" t="s">
        <v>3392</v>
      </c>
      <c r="E9636" s="504" t="s">
        <v>3381</v>
      </c>
      <c r="F9636" s="504" t="s">
        <v>1022</v>
      </c>
      <c r="G9636" s="504" t="s">
        <v>1023</v>
      </c>
      <c r="H9636" s="504" t="s">
        <v>11170</v>
      </c>
      <c r="I9636" s="504">
        <v>42</v>
      </c>
      <c r="J9636" s="504">
        <v>0</v>
      </c>
      <c r="K9636" s="504">
        <v>0</v>
      </c>
      <c r="L9636" s="504">
        <v>10</v>
      </c>
      <c r="M9636" s="504">
        <v>32</v>
      </c>
      <c r="N9636" s="504">
        <v>0</v>
      </c>
      <c r="O9636" s="505">
        <v>0</v>
      </c>
    </row>
    <row r="9637" spans="1:15" x14ac:dyDescent="0.35">
      <c r="A9637" s="500" t="s">
        <v>1107</v>
      </c>
      <c r="B9637" s="501" t="s">
        <v>3109</v>
      </c>
      <c r="C9637" s="501" t="s">
        <v>1094</v>
      </c>
      <c r="D9637" s="501" t="s">
        <v>3380</v>
      </c>
      <c r="E9637" s="501" t="s">
        <v>3381</v>
      </c>
      <c r="F9637" s="501" t="s">
        <v>1022</v>
      </c>
      <c r="G9637" s="501" t="s">
        <v>1023</v>
      </c>
      <c r="H9637" s="501" t="s">
        <v>11171</v>
      </c>
      <c r="I9637" s="501">
        <v>55</v>
      </c>
      <c r="J9637" s="501">
        <v>35</v>
      </c>
      <c r="K9637" s="501">
        <v>0</v>
      </c>
      <c r="L9637" s="501">
        <v>20</v>
      </c>
      <c r="M9637" s="501">
        <v>0</v>
      </c>
      <c r="N9637" s="501">
        <v>0</v>
      </c>
      <c r="O9637" s="506">
        <v>0</v>
      </c>
    </row>
    <row r="9638" spans="1:15" x14ac:dyDescent="0.35">
      <c r="A9638" s="503" t="s">
        <v>1109</v>
      </c>
      <c r="B9638" s="504" t="s">
        <v>2959</v>
      </c>
      <c r="C9638" s="504" t="s">
        <v>1094</v>
      </c>
      <c r="D9638" s="504" t="s">
        <v>3380</v>
      </c>
      <c r="E9638" s="504" t="s">
        <v>3381</v>
      </c>
      <c r="F9638" s="504" t="s">
        <v>1022</v>
      </c>
      <c r="G9638" s="504" t="s">
        <v>1023</v>
      </c>
      <c r="H9638" s="504" t="s">
        <v>11172</v>
      </c>
      <c r="I9638" s="504">
        <v>44</v>
      </c>
      <c r="J9638" s="504">
        <v>0</v>
      </c>
      <c r="K9638" s="504">
        <v>0</v>
      </c>
      <c r="L9638" s="504">
        <v>0</v>
      </c>
      <c r="M9638" s="504">
        <v>44</v>
      </c>
      <c r="N9638" s="504">
        <v>0</v>
      </c>
      <c r="O9638" s="505">
        <v>0</v>
      </c>
    </row>
    <row r="9639" spans="1:15" x14ac:dyDescent="0.35">
      <c r="A9639" s="500" t="s">
        <v>1189</v>
      </c>
      <c r="B9639" s="501" t="s">
        <v>3236</v>
      </c>
      <c r="C9639" s="501" t="s">
        <v>1094</v>
      </c>
      <c r="D9639" s="501" t="s">
        <v>3380</v>
      </c>
      <c r="E9639" s="501" t="s">
        <v>3381</v>
      </c>
      <c r="F9639" s="501" t="s">
        <v>1022</v>
      </c>
      <c r="G9639" s="501" t="s">
        <v>1023</v>
      </c>
      <c r="H9639" s="501" t="s">
        <v>11173</v>
      </c>
      <c r="I9639" s="501">
        <v>76</v>
      </c>
      <c r="J9639" s="501">
        <v>60</v>
      </c>
      <c r="K9639" s="501">
        <v>0</v>
      </c>
      <c r="L9639" s="501">
        <v>5</v>
      </c>
      <c r="M9639" s="501">
        <v>0</v>
      </c>
      <c r="N9639" s="501">
        <v>1</v>
      </c>
      <c r="O9639" s="506">
        <v>11</v>
      </c>
    </row>
    <row r="9640" spans="1:15" x14ac:dyDescent="0.35">
      <c r="A9640" s="503" t="s">
        <v>1202</v>
      </c>
      <c r="B9640" s="504" t="s">
        <v>3217</v>
      </c>
      <c r="C9640" s="504" t="s">
        <v>1094</v>
      </c>
      <c r="D9640" s="504" t="s">
        <v>3380</v>
      </c>
      <c r="E9640" s="504" t="s">
        <v>3381</v>
      </c>
      <c r="F9640" s="504" t="s">
        <v>1022</v>
      </c>
      <c r="G9640" s="504" t="s">
        <v>1023</v>
      </c>
      <c r="H9640" s="504" t="s">
        <v>11851</v>
      </c>
      <c r="I9640" s="504">
        <v>2</v>
      </c>
      <c r="J9640" s="504">
        <v>0</v>
      </c>
      <c r="K9640" s="504">
        <v>0</v>
      </c>
      <c r="L9640" s="504">
        <v>0</v>
      </c>
      <c r="M9640" s="504">
        <v>0</v>
      </c>
      <c r="N9640" s="504">
        <v>0</v>
      </c>
      <c r="O9640" s="505">
        <v>2</v>
      </c>
    </row>
    <row r="9641" spans="1:15" x14ac:dyDescent="0.35">
      <c r="A9641" s="500" t="s">
        <v>1114</v>
      </c>
      <c r="B9641" s="501" t="s">
        <v>2982</v>
      </c>
      <c r="C9641" s="501" t="s">
        <v>1094</v>
      </c>
      <c r="D9641" s="501" t="s">
        <v>3380</v>
      </c>
      <c r="E9641" s="501" t="s">
        <v>3381</v>
      </c>
      <c r="F9641" s="501" t="s">
        <v>1022</v>
      </c>
      <c r="G9641" s="501" t="s">
        <v>1023</v>
      </c>
      <c r="H9641" s="501" t="s">
        <v>11174</v>
      </c>
      <c r="I9641" s="501">
        <v>3</v>
      </c>
      <c r="J9641" s="501">
        <v>3</v>
      </c>
      <c r="K9641" s="501">
        <v>0</v>
      </c>
      <c r="L9641" s="501">
        <v>0</v>
      </c>
      <c r="M9641" s="501">
        <v>0</v>
      </c>
      <c r="N9641" s="501">
        <v>0</v>
      </c>
      <c r="O9641" s="506">
        <v>0</v>
      </c>
    </row>
    <row r="9642" spans="1:15" x14ac:dyDescent="0.35">
      <c r="A9642" s="503" t="s">
        <v>1217</v>
      </c>
      <c r="B9642" s="504">
        <v>4851</v>
      </c>
      <c r="C9642" s="504" t="s">
        <v>1094</v>
      </c>
      <c r="D9642" s="504" t="s">
        <v>3380</v>
      </c>
      <c r="E9642" s="504" t="s">
        <v>3381</v>
      </c>
      <c r="F9642" s="504" t="s">
        <v>1022</v>
      </c>
      <c r="G9642" s="504" t="s">
        <v>1023</v>
      </c>
      <c r="H9642" s="504" t="s">
        <v>11175</v>
      </c>
      <c r="I9642" s="504">
        <v>295</v>
      </c>
      <c r="J9642" s="504">
        <v>288</v>
      </c>
      <c r="K9642" s="504">
        <v>0</v>
      </c>
      <c r="L9642" s="504">
        <v>0</v>
      </c>
      <c r="M9642" s="504">
        <v>0</v>
      </c>
      <c r="N9642" s="504">
        <v>1</v>
      </c>
      <c r="O9642" s="505">
        <v>7</v>
      </c>
    </row>
    <row r="9643" spans="1:15" x14ac:dyDescent="0.35">
      <c r="A9643" s="500" t="s">
        <v>1876</v>
      </c>
      <c r="B9643" s="501" t="s">
        <v>2488</v>
      </c>
      <c r="C9643" s="501" t="s">
        <v>1089</v>
      </c>
      <c r="D9643" s="501" t="s">
        <v>3392</v>
      </c>
      <c r="E9643" s="501" t="s">
        <v>3381</v>
      </c>
      <c r="F9643" s="501" t="s">
        <v>1022</v>
      </c>
      <c r="G9643" s="501" t="s">
        <v>1023</v>
      </c>
      <c r="H9643" s="501" t="s">
        <v>11176</v>
      </c>
      <c r="I9643" s="501">
        <v>74</v>
      </c>
      <c r="J9643" s="501">
        <v>10</v>
      </c>
      <c r="K9643" s="501">
        <v>0</v>
      </c>
      <c r="L9643" s="501">
        <v>0</v>
      </c>
      <c r="M9643" s="501">
        <v>64</v>
      </c>
      <c r="N9643" s="501">
        <v>0</v>
      </c>
      <c r="O9643" s="506">
        <v>0</v>
      </c>
    </row>
    <row r="9644" spans="1:15" x14ac:dyDescent="0.35">
      <c r="A9644" s="503" t="s">
        <v>1122</v>
      </c>
      <c r="B9644" s="504" t="s">
        <v>2994</v>
      </c>
      <c r="C9644" s="504" t="s">
        <v>1094</v>
      </c>
      <c r="D9644" s="504" t="s">
        <v>3380</v>
      </c>
      <c r="E9644" s="504" t="s">
        <v>3381</v>
      </c>
      <c r="F9644" s="504" t="s">
        <v>1022</v>
      </c>
      <c r="G9644" s="504" t="s">
        <v>1023</v>
      </c>
      <c r="H9644" s="504" t="s">
        <v>11177</v>
      </c>
      <c r="I9644" s="504">
        <v>134</v>
      </c>
      <c r="J9644" s="504">
        <v>134</v>
      </c>
      <c r="K9644" s="504">
        <v>0</v>
      </c>
      <c r="L9644" s="504">
        <v>0</v>
      </c>
      <c r="M9644" s="504">
        <v>0</v>
      </c>
      <c r="N9644" s="504">
        <v>0</v>
      </c>
      <c r="O9644" s="505">
        <v>0</v>
      </c>
    </row>
    <row r="9645" spans="1:15" x14ac:dyDescent="0.35">
      <c r="A9645" s="500" t="s">
        <v>1126</v>
      </c>
      <c r="B9645" s="501" t="s">
        <v>2974</v>
      </c>
      <c r="C9645" s="501" t="s">
        <v>1094</v>
      </c>
      <c r="D9645" s="501" t="s">
        <v>3380</v>
      </c>
      <c r="E9645" s="501" t="s">
        <v>3381</v>
      </c>
      <c r="F9645" s="501" t="s">
        <v>1022</v>
      </c>
      <c r="G9645" s="501" t="s">
        <v>1023</v>
      </c>
      <c r="H9645" s="501" t="s">
        <v>11178</v>
      </c>
      <c r="I9645" s="501">
        <v>163</v>
      </c>
      <c r="J9645" s="501">
        <v>146</v>
      </c>
      <c r="K9645" s="501">
        <v>0</v>
      </c>
      <c r="L9645" s="501">
        <v>17</v>
      </c>
      <c r="M9645" s="501">
        <v>0</v>
      </c>
      <c r="N9645" s="501">
        <v>0</v>
      </c>
      <c r="O9645" s="506">
        <v>0</v>
      </c>
    </row>
    <row r="9646" spans="1:15" x14ac:dyDescent="0.35">
      <c r="A9646" s="503" t="s">
        <v>1892</v>
      </c>
      <c r="B9646" s="504" t="s">
        <v>3172</v>
      </c>
      <c r="C9646" s="504" t="s">
        <v>1094</v>
      </c>
      <c r="D9646" s="504" t="s">
        <v>3380</v>
      </c>
      <c r="E9646" s="504" t="s">
        <v>3381</v>
      </c>
      <c r="F9646" s="504" t="s">
        <v>1022</v>
      </c>
      <c r="G9646" s="504" t="s">
        <v>1023</v>
      </c>
      <c r="H9646" s="504" t="s">
        <v>11179</v>
      </c>
      <c r="I9646" s="504">
        <v>101</v>
      </c>
      <c r="J9646" s="504">
        <v>17</v>
      </c>
      <c r="K9646" s="504">
        <v>0</v>
      </c>
      <c r="L9646" s="504">
        <v>0</v>
      </c>
      <c r="M9646" s="504">
        <v>61</v>
      </c>
      <c r="N9646" s="504">
        <v>0</v>
      </c>
      <c r="O9646" s="505">
        <v>23</v>
      </c>
    </row>
    <row r="9647" spans="1:15" x14ac:dyDescent="0.35">
      <c r="A9647" s="500" t="s">
        <v>1899</v>
      </c>
      <c r="B9647" s="501" t="s">
        <v>3078</v>
      </c>
      <c r="C9647" s="501" t="s">
        <v>1089</v>
      </c>
      <c r="D9647" s="501" t="s">
        <v>3392</v>
      </c>
      <c r="E9647" s="501" t="s">
        <v>3381</v>
      </c>
      <c r="F9647" s="501" t="s">
        <v>1022</v>
      </c>
      <c r="G9647" s="501" t="s">
        <v>1023</v>
      </c>
      <c r="H9647" s="501" t="s">
        <v>11180</v>
      </c>
      <c r="I9647" s="501">
        <v>39</v>
      </c>
      <c r="J9647" s="501">
        <v>0</v>
      </c>
      <c r="K9647" s="501">
        <v>0</v>
      </c>
      <c r="L9647" s="501">
        <v>39</v>
      </c>
      <c r="M9647" s="501">
        <v>0</v>
      </c>
      <c r="N9647" s="501">
        <v>0</v>
      </c>
      <c r="O9647" s="506">
        <v>0</v>
      </c>
    </row>
    <row r="9648" spans="1:15" x14ac:dyDescent="0.35">
      <c r="A9648" s="503" t="s">
        <v>1130</v>
      </c>
      <c r="B9648" s="504" t="s">
        <v>3234</v>
      </c>
      <c r="C9648" s="504" t="s">
        <v>1094</v>
      </c>
      <c r="D9648" s="504" t="s">
        <v>3380</v>
      </c>
      <c r="E9648" s="504" t="s">
        <v>3381</v>
      </c>
      <c r="F9648" s="504" t="s">
        <v>1022</v>
      </c>
      <c r="G9648" s="504" t="s">
        <v>1023</v>
      </c>
      <c r="H9648" s="504" t="s">
        <v>11181</v>
      </c>
      <c r="I9648" s="504">
        <v>596</v>
      </c>
      <c r="J9648" s="504">
        <v>504</v>
      </c>
      <c r="K9648" s="504">
        <v>0</v>
      </c>
      <c r="L9648" s="504">
        <v>0</v>
      </c>
      <c r="M9648" s="504">
        <v>66</v>
      </c>
      <c r="N9648" s="504">
        <v>33</v>
      </c>
      <c r="O9648" s="505">
        <v>26</v>
      </c>
    </row>
    <row r="9649" spans="1:15" x14ac:dyDescent="0.35">
      <c r="A9649" s="500" t="s">
        <v>1134</v>
      </c>
      <c r="B9649" s="501" t="s">
        <v>3066</v>
      </c>
      <c r="C9649" s="501" t="s">
        <v>1094</v>
      </c>
      <c r="D9649" s="501" t="s">
        <v>3380</v>
      </c>
      <c r="E9649" s="501" t="s">
        <v>3381</v>
      </c>
      <c r="F9649" s="501" t="s">
        <v>1022</v>
      </c>
      <c r="G9649" s="501" t="s">
        <v>1023</v>
      </c>
      <c r="H9649" s="501" t="s">
        <v>11182</v>
      </c>
      <c r="I9649" s="501">
        <v>117</v>
      </c>
      <c r="J9649" s="501">
        <v>83</v>
      </c>
      <c r="K9649" s="501">
        <v>0</v>
      </c>
      <c r="L9649" s="501">
        <v>0</v>
      </c>
      <c r="M9649" s="501">
        <v>25</v>
      </c>
      <c r="N9649" s="501">
        <v>0</v>
      </c>
      <c r="O9649" s="506">
        <v>9</v>
      </c>
    </row>
    <row r="9650" spans="1:15" x14ac:dyDescent="0.35">
      <c r="A9650" s="503" t="s">
        <v>1919</v>
      </c>
      <c r="B9650" s="504" t="s">
        <v>3076</v>
      </c>
      <c r="C9650" s="504" t="s">
        <v>1089</v>
      </c>
      <c r="D9650" s="504" t="s">
        <v>3392</v>
      </c>
      <c r="E9650" s="504" t="s">
        <v>3381</v>
      </c>
      <c r="F9650" s="504" t="s">
        <v>1022</v>
      </c>
      <c r="G9650" s="504" t="s">
        <v>1023</v>
      </c>
      <c r="H9650" s="504" t="s">
        <v>11183</v>
      </c>
      <c r="I9650" s="504">
        <v>6</v>
      </c>
      <c r="J9650" s="504">
        <v>6</v>
      </c>
      <c r="K9650" s="504">
        <v>0</v>
      </c>
      <c r="L9650" s="504">
        <v>0</v>
      </c>
      <c r="M9650" s="504">
        <v>0</v>
      </c>
      <c r="N9650" s="504">
        <v>0</v>
      </c>
      <c r="O9650" s="505">
        <v>0</v>
      </c>
    </row>
    <row r="9651" spans="1:15" x14ac:dyDescent="0.35">
      <c r="A9651" s="500" t="s">
        <v>1249</v>
      </c>
      <c r="B9651" s="501">
        <v>4729</v>
      </c>
      <c r="C9651" s="501" t="s">
        <v>1094</v>
      </c>
      <c r="D9651" s="501" t="s">
        <v>3380</v>
      </c>
      <c r="E9651" s="501" t="s">
        <v>3381</v>
      </c>
      <c r="F9651" s="501" t="s">
        <v>1022</v>
      </c>
      <c r="G9651" s="501" t="s">
        <v>1023</v>
      </c>
      <c r="H9651" s="501" t="s">
        <v>11184</v>
      </c>
      <c r="I9651" s="501">
        <v>14</v>
      </c>
      <c r="J9651" s="501">
        <v>14</v>
      </c>
      <c r="K9651" s="501">
        <v>0</v>
      </c>
      <c r="L9651" s="501">
        <v>0</v>
      </c>
      <c r="M9651" s="501">
        <v>0</v>
      </c>
      <c r="N9651" s="501">
        <v>0</v>
      </c>
      <c r="O9651" s="506">
        <v>0</v>
      </c>
    </row>
    <row r="9652" spans="1:15" x14ac:dyDescent="0.35">
      <c r="A9652" s="503" t="s">
        <v>1930</v>
      </c>
      <c r="B9652" s="504" t="s">
        <v>3313</v>
      </c>
      <c r="C9652" s="504" t="s">
        <v>1089</v>
      </c>
      <c r="D9652" s="504" t="s">
        <v>3392</v>
      </c>
      <c r="E9652" s="504" t="s">
        <v>3381</v>
      </c>
      <c r="F9652" s="504" t="s">
        <v>1022</v>
      </c>
      <c r="G9652" s="504" t="s">
        <v>1023</v>
      </c>
      <c r="H9652" s="504" t="s">
        <v>11185</v>
      </c>
      <c r="I9652" s="504">
        <v>9</v>
      </c>
      <c r="J9652" s="504">
        <v>0</v>
      </c>
      <c r="K9652" s="504">
        <v>0</v>
      </c>
      <c r="L9652" s="504">
        <v>9</v>
      </c>
      <c r="M9652" s="504">
        <v>0</v>
      </c>
      <c r="N9652" s="504">
        <v>0</v>
      </c>
      <c r="O9652" s="505">
        <v>0</v>
      </c>
    </row>
    <row r="9653" spans="1:15" x14ac:dyDescent="0.35">
      <c r="A9653" s="500" t="s">
        <v>1942</v>
      </c>
      <c r="B9653" s="501" t="s">
        <v>3336</v>
      </c>
      <c r="C9653" s="501" t="s">
        <v>1094</v>
      </c>
      <c r="D9653" s="501" t="s">
        <v>3380</v>
      </c>
      <c r="E9653" s="501" t="s">
        <v>3381</v>
      </c>
      <c r="F9653" s="501" t="s">
        <v>1022</v>
      </c>
      <c r="G9653" s="501" t="s">
        <v>1023</v>
      </c>
      <c r="H9653" s="501" t="s">
        <v>11186</v>
      </c>
      <c r="I9653" s="501">
        <v>2958</v>
      </c>
      <c r="J9653" s="501">
        <v>2659</v>
      </c>
      <c r="K9653" s="501">
        <v>0</v>
      </c>
      <c r="L9653" s="501">
        <v>5</v>
      </c>
      <c r="M9653" s="501">
        <v>215</v>
      </c>
      <c r="N9653" s="501">
        <v>0</v>
      </c>
      <c r="O9653" s="506">
        <v>79</v>
      </c>
    </row>
    <row r="9654" spans="1:15" x14ac:dyDescent="0.35">
      <c r="A9654" s="503" t="s">
        <v>1944</v>
      </c>
      <c r="B9654" s="504">
        <v>4644</v>
      </c>
      <c r="C9654" s="504" t="s">
        <v>1089</v>
      </c>
      <c r="D9654" s="504" t="s">
        <v>3392</v>
      </c>
      <c r="E9654" s="504" t="s">
        <v>3381</v>
      </c>
      <c r="F9654" s="504" t="s">
        <v>1022</v>
      </c>
      <c r="G9654" s="504" t="s">
        <v>1023</v>
      </c>
      <c r="H9654" s="504" t="s">
        <v>11187</v>
      </c>
      <c r="I9654" s="504">
        <v>29</v>
      </c>
      <c r="J9654" s="504">
        <v>0</v>
      </c>
      <c r="K9654" s="504">
        <v>0</v>
      </c>
      <c r="L9654" s="504">
        <v>29</v>
      </c>
      <c r="M9654" s="504">
        <v>0</v>
      </c>
      <c r="N9654" s="504">
        <v>0</v>
      </c>
      <c r="O9654" s="505">
        <v>0</v>
      </c>
    </row>
    <row r="9655" spans="1:15" x14ac:dyDescent="0.35">
      <c r="A9655" s="500" t="s">
        <v>1093</v>
      </c>
      <c r="B9655" s="501" t="s">
        <v>3248</v>
      </c>
      <c r="C9655" s="501" t="s">
        <v>1094</v>
      </c>
      <c r="D9655" s="501" t="s">
        <v>3380</v>
      </c>
      <c r="E9655" s="501" t="s">
        <v>3381</v>
      </c>
      <c r="F9655" s="501" t="s">
        <v>1024</v>
      </c>
      <c r="G9655" s="501" t="s">
        <v>1025</v>
      </c>
      <c r="H9655" s="501" t="s">
        <v>11188</v>
      </c>
      <c r="I9655" s="501">
        <v>3</v>
      </c>
      <c r="J9655" s="501">
        <v>0</v>
      </c>
      <c r="K9655" s="501">
        <v>0</v>
      </c>
      <c r="L9655" s="501">
        <v>1</v>
      </c>
      <c r="M9655" s="501">
        <v>0</v>
      </c>
      <c r="N9655" s="501">
        <v>0</v>
      </c>
      <c r="O9655" s="506">
        <v>2</v>
      </c>
    </row>
    <row r="9656" spans="1:15" x14ac:dyDescent="0.35">
      <c r="A9656" s="503" t="s">
        <v>1096</v>
      </c>
      <c r="B9656" s="504" t="s">
        <v>3326</v>
      </c>
      <c r="C9656" s="504" t="s">
        <v>1094</v>
      </c>
      <c r="D9656" s="504" t="s">
        <v>3380</v>
      </c>
      <c r="E9656" s="504" t="s">
        <v>3381</v>
      </c>
      <c r="F9656" s="504" t="s">
        <v>1024</v>
      </c>
      <c r="G9656" s="504" t="s">
        <v>1025</v>
      </c>
      <c r="H9656" s="504" t="s">
        <v>15328</v>
      </c>
      <c r="I9656" s="504">
        <v>24</v>
      </c>
      <c r="J9656" s="504">
        <v>0</v>
      </c>
      <c r="K9656" s="504">
        <v>0</v>
      </c>
      <c r="L9656" s="504">
        <v>0</v>
      </c>
      <c r="M9656" s="504">
        <v>0</v>
      </c>
      <c r="N9656" s="504">
        <v>0</v>
      </c>
      <c r="O9656" s="505">
        <v>24</v>
      </c>
    </row>
    <row r="9657" spans="1:15" x14ac:dyDescent="0.35">
      <c r="A9657" s="500" t="s">
        <v>1157</v>
      </c>
      <c r="B9657" s="501" t="s">
        <v>3196</v>
      </c>
      <c r="C9657" s="501" t="s">
        <v>1089</v>
      </c>
      <c r="D9657" s="501" t="s">
        <v>3392</v>
      </c>
      <c r="E9657" s="501" t="s">
        <v>3381</v>
      </c>
      <c r="F9657" s="501" t="s">
        <v>1024</v>
      </c>
      <c r="G9657" s="501" t="s">
        <v>1025</v>
      </c>
      <c r="H9657" s="501" t="s">
        <v>11189</v>
      </c>
      <c r="I9657" s="501">
        <v>10</v>
      </c>
      <c r="J9657" s="501">
        <v>10</v>
      </c>
      <c r="K9657" s="501">
        <v>0</v>
      </c>
      <c r="L9657" s="501">
        <v>0</v>
      </c>
      <c r="M9657" s="501">
        <v>0</v>
      </c>
      <c r="N9657" s="501">
        <v>0</v>
      </c>
      <c r="O9657" s="506">
        <v>0</v>
      </c>
    </row>
    <row r="9658" spans="1:15" x14ac:dyDescent="0.35">
      <c r="A9658" s="503" t="s">
        <v>1158</v>
      </c>
      <c r="B9658" s="504">
        <v>4819</v>
      </c>
      <c r="C9658" s="504" t="s">
        <v>1094</v>
      </c>
      <c r="D9658" s="504" t="s">
        <v>3380</v>
      </c>
      <c r="E9658" s="504" t="s">
        <v>3381</v>
      </c>
      <c r="F9658" s="504" t="s">
        <v>1024</v>
      </c>
      <c r="G9658" s="504" t="s">
        <v>1025</v>
      </c>
      <c r="H9658" s="504" t="s">
        <v>11190</v>
      </c>
      <c r="I9658" s="504">
        <v>253</v>
      </c>
      <c r="J9658" s="504">
        <v>228</v>
      </c>
      <c r="K9658" s="504">
        <v>0</v>
      </c>
      <c r="L9658" s="504">
        <v>0</v>
      </c>
      <c r="M9658" s="504">
        <v>0</v>
      </c>
      <c r="N9658" s="504">
        <v>0</v>
      </c>
      <c r="O9658" s="505">
        <v>25</v>
      </c>
    </row>
    <row r="9659" spans="1:15" x14ac:dyDescent="0.35">
      <c r="A9659" s="500" t="s">
        <v>2066</v>
      </c>
      <c r="B9659" s="501" t="s">
        <v>3359</v>
      </c>
      <c r="C9659" s="501" t="s">
        <v>1094</v>
      </c>
      <c r="D9659" s="501" t="s">
        <v>3380</v>
      </c>
      <c r="E9659" s="501" t="s">
        <v>3381</v>
      </c>
      <c r="F9659" s="501" t="s">
        <v>1024</v>
      </c>
      <c r="G9659" s="501" t="s">
        <v>1025</v>
      </c>
      <c r="H9659" s="501" t="s">
        <v>11191</v>
      </c>
      <c r="I9659" s="501">
        <v>65</v>
      </c>
      <c r="J9659" s="501">
        <v>58</v>
      </c>
      <c r="K9659" s="501">
        <v>0</v>
      </c>
      <c r="L9659" s="501">
        <v>0</v>
      </c>
      <c r="M9659" s="501">
        <v>0</v>
      </c>
      <c r="N9659" s="501">
        <v>0</v>
      </c>
      <c r="O9659" s="506">
        <v>7</v>
      </c>
    </row>
    <row r="9660" spans="1:15" x14ac:dyDescent="0.35">
      <c r="A9660" s="503" t="s">
        <v>1961</v>
      </c>
      <c r="B9660" s="504">
        <v>5075</v>
      </c>
      <c r="C9660" s="504" t="s">
        <v>1094</v>
      </c>
      <c r="D9660" s="504" t="s">
        <v>3380</v>
      </c>
      <c r="E9660" s="504" t="s">
        <v>3381</v>
      </c>
      <c r="F9660" s="504" t="s">
        <v>1024</v>
      </c>
      <c r="G9660" s="504" t="s">
        <v>1025</v>
      </c>
      <c r="H9660" s="504" t="s">
        <v>11192</v>
      </c>
      <c r="I9660" s="504">
        <v>425</v>
      </c>
      <c r="J9660" s="504">
        <v>354</v>
      </c>
      <c r="K9660" s="504">
        <v>0</v>
      </c>
      <c r="L9660" s="504">
        <v>14</v>
      </c>
      <c r="M9660" s="504">
        <v>41</v>
      </c>
      <c r="N9660" s="504">
        <v>0</v>
      </c>
      <c r="O9660" s="505">
        <v>16</v>
      </c>
    </row>
    <row r="9661" spans="1:15" x14ac:dyDescent="0.35">
      <c r="A9661" s="500" t="s">
        <v>1819</v>
      </c>
      <c r="B9661" s="501" t="s">
        <v>3175</v>
      </c>
      <c r="C9661" s="501" t="s">
        <v>1094</v>
      </c>
      <c r="D9661" s="501" t="s">
        <v>3380</v>
      </c>
      <c r="E9661" s="501" t="s">
        <v>3381</v>
      </c>
      <c r="F9661" s="501" t="s">
        <v>1024</v>
      </c>
      <c r="G9661" s="501" t="s">
        <v>1025</v>
      </c>
      <c r="H9661" s="501" t="s">
        <v>11193</v>
      </c>
      <c r="I9661" s="501">
        <v>88</v>
      </c>
      <c r="J9661" s="501">
        <v>67</v>
      </c>
      <c r="K9661" s="501">
        <v>0</v>
      </c>
      <c r="L9661" s="501">
        <v>0</v>
      </c>
      <c r="M9661" s="501">
        <v>0</v>
      </c>
      <c r="N9661" s="501">
        <v>0</v>
      </c>
      <c r="O9661" s="506">
        <v>21</v>
      </c>
    </row>
    <row r="9662" spans="1:15" x14ac:dyDescent="0.35">
      <c r="A9662" s="503" t="s">
        <v>1105</v>
      </c>
      <c r="B9662" s="504">
        <v>4668</v>
      </c>
      <c r="C9662" s="504" t="s">
        <v>1094</v>
      </c>
      <c r="D9662" s="504" t="s">
        <v>3380</v>
      </c>
      <c r="E9662" s="504" t="s">
        <v>3381</v>
      </c>
      <c r="F9662" s="504" t="s">
        <v>1024</v>
      </c>
      <c r="G9662" s="504" t="s">
        <v>1025</v>
      </c>
      <c r="H9662" s="504" t="s">
        <v>11194</v>
      </c>
      <c r="I9662" s="504">
        <v>27</v>
      </c>
      <c r="J9662" s="504">
        <v>0</v>
      </c>
      <c r="K9662" s="504">
        <v>0</v>
      </c>
      <c r="L9662" s="504">
        <v>0</v>
      </c>
      <c r="M9662" s="504">
        <v>0</v>
      </c>
      <c r="N9662" s="504">
        <v>0</v>
      </c>
      <c r="O9662" s="505">
        <v>27</v>
      </c>
    </row>
    <row r="9663" spans="1:15" x14ac:dyDescent="0.35">
      <c r="A9663" s="500" t="s">
        <v>1109</v>
      </c>
      <c r="B9663" s="501" t="s">
        <v>2959</v>
      </c>
      <c r="C9663" s="501" t="s">
        <v>1094</v>
      </c>
      <c r="D9663" s="501" t="s">
        <v>3380</v>
      </c>
      <c r="E9663" s="501" t="s">
        <v>3381</v>
      </c>
      <c r="F9663" s="501" t="s">
        <v>1024</v>
      </c>
      <c r="G9663" s="501" t="s">
        <v>1025</v>
      </c>
      <c r="H9663" s="501" t="s">
        <v>11195</v>
      </c>
      <c r="I9663" s="501">
        <v>52</v>
      </c>
      <c r="J9663" s="501">
        <v>0</v>
      </c>
      <c r="K9663" s="501">
        <v>0</v>
      </c>
      <c r="L9663" s="501">
        <v>0</v>
      </c>
      <c r="M9663" s="501">
        <v>52</v>
      </c>
      <c r="N9663" s="501">
        <v>0</v>
      </c>
      <c r="O9663" s="506">
        <v>0</v>
      </c>
    </row>
    <row r="9664" spans="1:15" x14ac:dyDescent="0.35">
      <c r="A9664" s="503" t="s">
        <v>1190</v>
      </c>
      <c r="B9664" s="504">
        <v>4662</v>
      </c>
      <c r="C9664" s="504" t="s">
        <v>1094</v>
      </c>
      <c r="D9664" s="504" t="s">
        <v>3380</v>
      </c>
      <c r="E9664" s="504" t="s">
        <v>3381</v>
      </c>
      <c r="F9664" s="504" t="s">
        <v>1024</v>
      </c>
      <c r="G9664" s="504" t="s">
        <v>1025</v>
      </c>
      <c r="H9664" s="504" t="s">
        <v>15329</v>
      </c>
      <c r="I9664" s="504">
        <v>12</v>
      </c>
      <c r="J9664" s="504">
        <v>0</v>
      </c>
      <c r="K9664" s="504">
        <v>0</v>
      </c>
      <c r="L9664" s="504">
        <v>12</v>
      </c>
      <c r="M9664" s="504">
        <v>0</v>
      </c>
      <c r="N9664" s="504">
        <v>0</v>
      </c>
      <c r="O9664" s="505">
        <v>0</v>
      </c>
    </row>
    <row r="9665" spans="1:15" x14ac:dyDescent="0.35">
      <c r="A9665" s="500" t="s">
        <v>1994</v>
      </c>
      <c r="B9665" s="501" t="s">
        <v>3206</v>
      </c>
      <c r="C9665" s="501" t="s">
        <v>1094</v>
      </c>
      <c r="D9665" s="501" t="s">
        <v>3380</v>
      </c>
      <c r="E9665" s="501" t="s">
        <v>3381</v>
      </c>
      <c r="F9665" s="501" t="s">
        <v>1024</v>
      </c>
      <c r="G9665" s="501" t="s">
        <v>1025</v>
      </c>
      <c r="H9665" s="501" t="s">
        <v>11196</v>
      </c>
      <c r="I9665" s="501">
        <v>10</v>
      </c>
      <c r="J9665" s="501">
        <v>8</v>
      </c>
      <c r="K9665" s="501">
        <v>0</v>
      </c>
      <c r="L9665" s="501">
        <v>0</v>
      </c>
      <c r="M9665" s="501">
        <v>0</v>
      </c>
      <c r="N9665" s="501">
        <v>0</v>
      </c>
      <c r="O9665" s="506">
        <v>2</v>
      </c>
    </row>
    <row r="9666" spans="1:15" x14ac:dyDescent="0.35">
      <c r="A9666" s="503" t="s">
        <v>1207</v>
      </c>
      <c r="B9666" s="504" t="s">
        <v>3202</v>
      </c>
      <c r="C9666" s="504" t="s">
        <v>1094</v>
      </c>
      <c r="D9666" s="504" t="s">
        <v>3380</v>
      </c>
      <c r="E9666" s="504" t="s">
        <v>3381</v>
      </c>
      <c r="F9666" s="504" t="s">
        <v>1024</v>
      </c>
      <c r="G9666" s="504" t="s">
        <v>1025</v>
      </c>
      <c r="H9666" s="504" t="s">
        <v>11197</v>
      </c>
      <c r="I9666" s="504">
        <v>2</v>
      </c>
      <c r="J9666" s="504">
        <v>0</v>
      </c>
      <c r="K9666" s="504">
        <v>0</v>
      </c>
      <c r="L9666" s="504">
        <v>0</v>
      </c>
      <c r="M9666" s="504">
        <v>2</v>
      </c>
      <c r="N9666" s="504">
        <v>0</v>
      </c>
      <c r="O9666" s="505">
        <v>0</v>
      </c>
    </row>
    <row r="9667" spans="1:15" x14ac:dyDescent="0.35">
      <c r="A9667" s="500" t="s">
        <v>1226</v>
      </c>
      <c r="B9667" s="501">
        <v>5084</v>
      </c>
      <c r="C9667" s="501" t="s">
        <v>1094</v>
      </c>
      <c r="D9667" s="501" t="s">
        <v>3380</v>
      </c>
      <c r="E9667" s="501" t="s">
        <v>3381</v>
      </c>
      <c r="F9667" s="501" t="s">
        <v>1024</v>
      </c>
      <c r="G9667" s="501" t="s">
        <v>1025</v>
      </c>
      <c r="H9667" s="501" t="s">
        <v>11198</v>
      </c>
      <c r="I9667" s="501">
        <v>4105</v>
      </c>
      <c r="J9667" s="501">
        <v>3362</v>
      </c>
      <c r="K9667" s="501">
        <v>0</v>
      </c>
      <c r="L9667" s="501">
        <v>16</v>
      </c>
      <c r="M9667" s="501">
        <v>389</v>
      </c>
      <c r="N9667" s="501">
        <v>0</v>
      </c>
      <c r="O9667" s="506">
        <v>338</v>
      </c>
    </row>
    <row r="9668" spans="1:15" x14ac:dyDescent="0.35">
      <c r="A9668" s="503" t="s">
        <v>2008</v>
      </c>
      <c r="B9668" s="504" t="s">
        <v>3323</v>
      </c>
      <c r="C9668" s="504" t="s">
        <v>1094</v>
      </c>
      <c r="D9668" s="504" t="s">
        <v>3380</v>
      </c>
      <c r="E9668" s="504" t="s">
        <v>3381</v>
      </c>
      <c r="F9668" s="504" t="s">
        <v>1024</v>
      </c>
      <c r="G9668" s="504" t="s">
        <v>1025</v>
      </c>
      <c r="H9668" s="504" t="s">
        <v>11199</v>
      </c>
      <c r="I9668" s="504">
        <v>4602</v>
      </c>
      <c r="J9668" s="504">
        <v>3994</v>
      </c>
      <c r="K9668" s="504">
        <v>0</v>
      </c>
      <c r="L9668" s="504">
        <v>18</v>
      </c>
      <c r="M9668" s="504">
        <v>422</v>
      </c>
      <c r="N9668" s="504">
        <v>36</v>
      </c>
      <c r="O9668" s="505">
        <v>168</v>
      </c>
    </row>
    <row r="9669" spans="1:15" x14ac:dyDescent="0.35">
      <c r="A9669" s="500" t="s">
        <v>1235</v>
      </c>
      <c r="B9669" s="501">
        <v>4684</v>
      </c>
      <c r="C9669" s="501" t="s">
        <v>1094</v>
      </c>
      <c r="D9669" s="501" t="s">
        <v>3380</v>
      </c>
      <c r="E9669" s="501" t="s">
        <v>3381</v>
      </c>
      <c r="F9669" s="501" t="s">
        <v>1024</v>
      </c>
      <c r="G9669" s="501" t="s">
        <v>1025</v>
      </c>
      <c r="H9669" s="501" t="s">
        <v>11200</v>
      </c>
      <c r="I9669" s="501">
        <v>20</v>
      </c>
      <c r="J9669" s="501">
        <v>11</v>
      </c>
      <c r="K9669" s="501">
        <v>0</v>
      </c>
      <c r="L9669" s="501">
        <v>0</v>
      </c>
      <c r="M9669" s="501">
        <v>0</v>
      </c>
      <c r="N9669" s="501">
        <v>0</v>
      </c>
      <c r="O9669" s="506">
        <v>9</v>
      </c>
    </row>
    <row r="9670" spans="1:15" x14ac:dyDescent="0.35">
      <c r="A9670" s="503" t="s">
        <v>1126</v>
      </c>
      <c r="B9670" s="504" t="s">
        <v>2974</v>
      </c>
      <c r="C9670" s="504" t="s">
        <v>1094</v>
      </c>
      <c r="D9670" s="504" t="s">
        <v>3380</v>
      </c>
      <c r="E9670" s="504" t="s">
        <v>3381</v>
      </c>
      <c r="F9670" s="504" t="s">
        <v>1024</v>
      </c>
      <c r="G9670" s="504" t="s">
        <v>1025</v>
      </c>
      <c r="H9670" s="504" t="s">
        <v>11201</v>
      </c>
      <c r="I9670" s="504">
        <v>65</v>
      </c>
      <c r="J9670" s="504">
        <v>53</v>
      </c>
      <c r="K9670" s="504">
        <v>0</v>
      </c>
      <c r="L9670" s="504">
        <v>0</v>
      </c>
      <c r="M9670" s="504">
        <v>0</v>
      </c>
      <c r="N9670" s="504">
        <v>0</v>
      </c>
      <c r="O9670" s="505">
        <v>12</v>
      </c>
    </row>
    <row r="9671" spans="1:15" x14ac:dyDescent="0.35">
      <c r="A9671" s="500" t="s">
        <v>1134</v>
      </c>
      <c r="B9671" s="501" t="s">
        <v>3066</v>
      </c>
      <c r="C9671" s="501" t="s">
        <v>1094</v>
      </c>
      <c r="D9671" s="501" t="s">
        <v>3380</v>
      </c>
      <c r="E9671" s="501" t="s">
        <v>3381</v>
      </c>
      <c r="F9671" s="501" t="s">
        <v>1024</v>
      </c>
      <c r="G9671" s="501" t="s">
        <v>1025</v>
      </c>
      <c r="H9671" s="501" t="s">
        <v>12183</v>
      </c>
      <c r="I9671" s="501">
        <v>22</v>
      </c>
      <c r="J9671" s="501">
        <v>18</v>
      </c>
      <c r="K9671" s="501">
        <v>0</v>
      </c>
      <c r="L9671" s="501">
        <v>0</v>
      </c>
      <c r="M9671" s="501">
        <v>0</v>
      </c>
      <c r="N9671" s="501">
        <v>0</v>
      </c>
      <c r="O9671" s="506">
        <v>4</v>
      </c>
    </row>
    <row r="9672" spans="1:15" x14ac:dyDescent="0.35">
      <c r="A9672" s="503" t="s">
        <v>1249</v>
      </c>
      <c r="B9672" s="504">
        <v>4729</v>
      </c>
      <c r="C9672" s="504" t="s">
        <v>1094</v>
      </c>
      <c r="D9672" s="504" t="s">
        <v>3380</v>
      </c>
      <c r="E9672" s="504" t="s">
        <v>3381</v>
      </c>
      <c r="F9672" s="504" t="s">
        <v>1024</v>
      </c>
      <c r="G9672" s="504" t="s">
        <v>1025</v>
      </c>
      <c r="H9672" s="504" t="s">
        <v>11202</v>
      </c>
      <c r="I9672" s="504">
        <v>1</v>
      </c>
      <c r="J9672" s="504">
        <v>0</v>
      </c>
      <c r="K9672" s="504">
        <v>0</v>
      </c>
      <c r="L9672" s="504">
        <v>0</v>
      </c>
      <c r="M9672" s="504">
        <v>0</v>
      </c>
      <c r="N9672" s="504">
        <v>0</v>
      </c>
      <c r="O9672" s="505">
        <v>1</v>
      </c>
    </row>
    <row r="9673" spans="1:15" x14ac:dyDescent="0.35">
      <c r="A9673" s="500" t="s">
        <v>1260</v>
      </c>
      <c r="B9673" s="501">
        <v>4645</v>
      </c>
      <c r="C9673" s="501" t="s">
        <v>1089</v>
      </c>
      <c r="D9673" s="501" t="s">
        <v>3392</v>
      </c>
      <c r="E9673" s="501" t="s">
        <v>3381</v>
      </c>
      <c r="F9673" s="501" t="s">
        <v>1024</v>
      </c>
      <c r="G9673" s="501" t="s">
        <v>1025</v>
      </c>
      <c r="H9673" s="501" t="s">
        <v>11203</v>
      </c>
      <c r="I9673" s="501">
        <v>57</v>
      </c>
      <c r="J9673" s="501">
        <v>0</v>
      </c>
      <c r="K9673" s="501">
        <v>0</v>
      </c>
      <c r="L9673" s="501">
        <v>57</v>
      </c>
      <c r="M9673" s="501">
        <v>0</v>
      </c>
      <c r="N9673" s="501">
        <v>0</v>
      </c>
      <c r="O9673" s="506">
        <v>0</v>
      </c>
    </row>
    <row r="9674" spans="1:15" x14ac:dyDescent="0.35">
      <c r="A9674" s="503" t="s">
        <v>2127</v>
      </c>
      <c r="B9674" s="504" t="s">
        <v>3188</v>
      </c>
      <c r="C9674" s="504" t="s">
        <v>1094</v>
      </c>
      <c r="D9674" s="504" t="s">
        <v>3380</v>
      </c>
      <c r="E9674" s="504" t="s">
        <v>3381</v>
      </c>
      <c r="F9674" s="504" t="s">
        <v>1024</v>
      </c>
      <c r="G9674" s="504" t="s">
        <v>1025</v>
      </c>
      <c r="H9674" s="504" t="s">
        <v>11204</v>
      </c>
      <c r="I9674" s="504">
        <v>178</v>
      </c>
      <c r="J9674" s="504">
        <v>129</v>
      </c>
      <c r="K9674" s="504">
        <v>0</v>
      </c>
      <c r="L9674" s="504">
        <v>0</v>
      </c>
      <c r="M9674" s="504">
        <v>0</v>
      </c>
      <c r="N9674" s="504">
        <v>0</v>
      </c>
      <c r="O9674" s="505">
        <v>49</v>
      </c>
    </row>
    <row r="9675" spans="1:15" x14ac:dyDescent="0.35">
      <c r="A9675" s="500" t="s">
        <v>1262</v>
      </c>
      <c r="B9675" s="501">
        <v>4772</v>
      </c>
      <c r="C9675" s="501" t="s">
        <v>1089</v>
      </c>
      <c r="D9675" s="501" t="s">
        <v>3392</v>
      </c>
      <c r="E9675" s="501" t="s">
        <v>3381</v>
      </c>
      <c r="F9675" s="501" t="s">
        <v>1024</v>
      </c>
      <c r="G9675" s="501" t="s">
        <v>1025</v>
      </c>
      <c r="H9675" s="501" t="s">
        <v>11205</v>
      </c>
      <c r="I9675" s="501">
        <v>3</v>
      </c>
      <c r="J9675" s="501">
        <v>0</v>
      </c>
      <c r="K9675" s="501">
        <v>0</v>
      </c>
      <c r="L9675" s="501">
        <v>3</v>
      </c>
      <c r="M9675" s="501">
        <v>0</v>
      </c>
      <c r="N9675" s="501">
        <v>0</v>
      </c>
      <c r="O9675" s="506">
        <v>0</v>
      </c>
    </row>
    <row r="9676" spans="1:15" x14ac:dyDescent="0.35">
      <c r="A9676" s="503" t="s">
        <v>1093</v>
      </c>
      <c r="B9676" s="504" t="s">
        <v>3248</v>
      </c>
      <c r="C9676" s="504" t="s">
        <v>1094</v>
      </c>
      <c r="D9676" s="504" t="s">
        <v>3380</v>
      </c>
      <c r="E9676" s="504" t="s">
        <v>3381</v>
      </c>
      <c r="F9676" s="504" t="s">
        <v>1028</v>
      </c>
      <c r="G9676" s="504" t="s">
        <v>1029</v>
      </c>
      <c r="H9676" s="504" t="s">
        <v>11228</v>
      </c>
      <c r="I9676" s="504">
        <v>1</v>
      </c>
      <c r="J9676" s="504">
        <v>0</v>
      </c>
      <c r="K9676" s="504">
        <v>0</v>
      </c>
      <c r="L9676" s="504">
        <v>0</v>
      </c>
      <c r="M9676" s="504">
        <v>0</v>
      </c>
      <c r="N9676" s="504">
        <v>0</v>
      </c>
      <c r="O9676" s="505">
        <v>1</v>
      </c>
    </row>
    <row r="9677" spans="1:15" x14ac:dyDescent="0.35">
      <c r="A9677" s="500" t="s">
        <v>1158</v>
      </c>
      <c r="B9677" s="501">
        <v>4819</v>
      </c>
      <c r="C9677" s="501" t="s">
        <v>1094</v>
      </c>
      <c r="D9677" s="501" t="s">
        <v>3380</v>
      </c>
      <c r="E9677" s="501" t="s">
        <v>3381</v>
      </c>
      <c r="F9677" s="501" t="s">
        <v>1028</v>
      </c>
      <c r="G9677" s="501" t="s">
        <v>1029</v>
      </c>
      <c r="H9677" s="501" t="s">
        <v>11229</v>
      </c>
      <c r="I9677" s="501">
        <v>162</v>
      </c>
      <c r="J9677" s="501">
        <v>93</v>
      </c>
      <c r="K9677" s="501">
        <v>0</v>
      </c>
      <c r="L9677" s="501">
        <v>0</v>
      </c>
      <c r="M9677" s="501">
        <v>11</v>
      </c>
      <c r="N9677" s="501">
        <v>0</v>
      </c>
      <c r="O9677" s="506">
        <v>58</v>
      </c>
    </row>
    <row r="9678" spans="1:15" x14ac:dyDescent="0.35">
      <c r="A9678" s="503" t="s">
        <v>2066</v>
      </c>
      <c r="B9678" s="504" t="s">
        <v>3359</v>
      </c>
      <c r="C9678" s="504" t="s">
        <v>1094</v>
      </c>
      <c r="D9678" s="504" t="s">
        <v>3380</v>
      </c>
      <c r="E9678" s="504" t="s">
        <v>3381</v>
      </c>
      <c r="F9678" s="504" t="s">
        <v>1028</v>
      </c>
      <c r="G9678" s="504" t="s">
        <v>1029</v>
      </c>
      <c r="H9678" s="504" t="s">
        <v>15330</v>
      </c>
      <c r="I9678" s="504">
        <v>18</v>
      </c>
      <c r="J9678" s="504">
        <v>15</v>
      </c>
      <c r="K9678" s="504">
        <v>0</v>
      </c>
      <c r="L9678" s="504">
        <v>0</v>
      </c>
      <c r="M9678" s="504">
        <v>0</v>
      </c>
      <c r="N9678" s="504">
        <v>0</v>
      </c>
      <c r="O9678" s="505">
        <v>3</v>
      </c>
    </row>
    <row r="9679" spans="1:15" x14ac:dyDescent="0.35">
      <c r="A9679" s="500" t="s">
        <v>1961</v>
      </c>
      <c r="B9679" s="501">
        <v>5075</v>
      </c>
      <c r="C9679" s="501" t="s">
        <v>1094</v>
      </c>
      <c r="D9679" s="501" t="s">
        <v>3380</v>
      </c>
      <c r="E9679" s="501" t="s">
        <v>3381</v>
      </c>
      <c r="F9679" s="501" t="s">
        <v>1028</v>
      </c>
      <c r="G9679" s="501" t="s">
        <v>1029</v>
      </c>
      <c r="H9679" s="501" t="s">
        <v>11230</v>
      </c>
      <c r="I9679" s="501">
        <v>462</v>
      </c>
      <c r="J9679" s="501">
        <v>367</v>
      </c>
      <c r="K9679" s="501">
        <v>0</v>
      </c>
      <c r="L9679" s="501">
        <v>47</v>
      </c>
      <c r="M9679" s="501">
        <v>30</v>
      </c>
      <c r="N9679" s="501">
        <v>0</v>
      </c>
      <c r="O9679" s="506">
        <v>18</v>
      </c>
    </row>
    <row r="9680" spans="1:15" x14ac:dyDescent="0.35">
      <c r="A9680" s="503" t="s">
        <v>1102</v>
      </c>
      <c r="B9680" s="504">
        <v>4663</v>
      </c>
      <c r="C9680" s="504" t="s">
        <v>1089</v>
      </c>
      <c r="D9680" s="504" t="s">
        <v>3392</v>
      </c>
      <c r="E9680" s="504" t="s">
        <v>3381</v>
      </c>
      <c r="F9680" s="504" t="s">
        <v>1028</v>
      </c>
      <c r="G9680" s="504" t="s">
        <v>1029</v>
      </c>
      <c r="H9680" s="504" t="s">
        <v>11231</v>
      </c>
      <c r="I9680" s="504">
        <v>4</v>
      </c>
      <c r="J9680" s="504">
        <v>0</v>
      </c>
      <c r="K9680" s="504">
        <v>0</v>
      </c>
      <c r="L9680" s="504">
        <v>4</v>
      </c>
      <c r="M9680" s="504">
        <v>0</v>
      </c>
      <c r="N9680" s="504">
        <v>0</v>
      </c>
      <c r="O9680" s="505">
        <v>0</v>
      </c>
    </row>
    <row r="9681" spans="1:15" x14ac:dyDescent="0.35">
      <c r="A9681" s="500" t="s">
        <v>14213</v>
      </c>
      <c r="B9681" s="501" t="s">
        <v>3312</v>
      </c>
      <c r="C9681" s="501" t="s">
        <v>1094</v>
      </c>
      <c r="D9681" s="501" t="s">
        <v>3380</v>
      </c>
      <c r="E9681" s="501" t="s">
        <v>3381</v>
      </c>
      <c r="F9681" s="501" t="s">
        <v>1028</v>
      </c>
      <c r="G9681" s="501" t="s">
        <v>1029</v>
      </c>
      <c r="H9681" s="501" t="s">
        <v>15331</v>
      </c>
      <c r="I9681" s="501">
        <v>58</v>
      </c>
      <c r="J9681" s="501">
        <v>0</v>
      </c>
      <c r="K9681" s="501">
        <v>0</v>
      </c>
      <c r="L9681" s="501">
        <v>0</v>
      </c>
      <c r="M9681" s="501">
        <v>0</v>
      </c>
      <c r="N9681" s="501">
        <v>0</v>
      </c>
      <c r="O9681" s="506">
        <v>58</v>
      </c>
    </row>
    <row r="9682" spans="1:15" x14ac:dyDescent="0.35">
      <c r="A9682" s="503" t="s">
        <v>1107</v>
      </c>
      <c r="B9682" s="504" t="s">
        <v>3109</v>
      </c>
      <c r="C9682" s="504" t="s">
        <v>1094</v>
      </c>
      <c r="D9682" s="504" t="s">
        <v>3380</v>
      </c>
      <c r="E9682" s="504" t="s">
        <v>3381</v>
      </c>
      <c r="F9682" s="504" t="s">
        <v>1028</v>
      </c>
      <c r="G9682" s="504" t="s">
        <v>1029</v>
      </c>
      <c r="H9682" s="504" t="s">
        <v>11232</v>
      </c>
      <c r="I9682" s="504">
        <v>14</v>
      </c>
      <c r="J9682" s="504">
        <v>0</v>
      </c>
      <c r="K9682" s="504">
        <v>0</v>
      </c>
      <c r="L9682" s="504">
        <v>14</v>
      </c>
      <c r="M9682" s="504">
        <v>0</v>
      </c>
      <c r="N9682" s="504">
        <v>0</v>
      </c>
      <c r="O9682" s="505">
        <v>0</v>
      </c>
    </row>
    <row r="9683" spans="1:15" x14ac:dyDescent="0.35">
      <c r="A9683" s="500" t="s">
        <v>1190</v>
      </c>
      <c r="B9683" s="501">
        <v>4662</v>
      </c>
      <c r="C9683" s="501" t="s">
        <v>1094</v>
      </c>
      <c r="D9683" s="501" t="s">
        <v>3380</v>
      </c>
      <c r="E9683" s="501" t="s">
        <v>3381</v>
      </c>
      <c r="F9683" s="501" t="s">
        <v>1028</v>
      </c>
      <c r="G9683" s="501" t="s">
        <v>1029</v>
      </c>
      <c r="H9683" s="501" t="s">
        <v>15332</v>
      </c>
      <c r="I9683" s="501">
        <v>19</v>
      </c>
      <c r="J9683" s="501">
        <v>0</v>
      </c>
      <c r="K9683" s="501">
        <v>0</v>
      </c>
      <c r="L9683" s="501">
        <v>19</v>
      </c>
      <c r="M9683" s="501">
        <v>0</v>
      </c>
      <c r="N9683" s="501">
        <v>0</v>
      </c>
      <c r="O9683" s="506">
        <v>0</v>
      </c>
    </row>
    <row r="9684" spans="1:15" x14ac:dyDescent="0.35">
      <c r="A9684" s="503" t="s">
        <v>1207</v>
      </c>
      <c r="B9684" s="504" t="s">
        <v>3202</v>
      </c>
      <c r="C9684" s="504" t="s">
        <v>1094</v>
      </c>
      <c r="D9684" s="504" t="s">
        <v>3380</v>
      </c>
      <c r="E9684" s="504" t="s">
        <v>3381</v>
      </c>
      <c r="F9684" s="504" t="s">
        <v>1028</v>
      </c>
      <c r="G9684" s="504" t="s">
        <v>1029</v>
      </c>
      <c r="H9684" s="504" t="s">
        <v>11233</v>
      </c>
      <c r="I9684" s="504">
        <v>1</v>
      </c>
      <c r="J9684" s="504">
        <v>0</v>
      </c>
      <c r="K9684" s="504">
        <v>0</v>
      </c>
      <c r="L9684" s="504">
        <v>0</v>
      </c>
      <c r="M9684" s="504">
        <v>0</v>
      </c>
      <c r="N9684" s="504">
        <v>0</v>
      </c>
      <c r="O9684" s="505">
        <v>1</v>
      </c>
    </row>
    <row r="9685" spans="1:15" x14ac:dyDescent="0.35">
      <c r="A9685" s="500" t="s">
        <v>1226</v>
      </c>
      <c r="B9685" s="501">
        <v>5084</v>
      </c>
      <c r="C9685" s="501" t="s">
        <v>1094</v>
      </c>
      <c r="D9685" s="501" t="s">
        <v>3380</v>
      </c>
      <c r="E9685" s="501" t="s">
        <v>3381</v>
      </c>
      <c r="F9685" s="501" t="s">
        <v>1028</v>
      </c>
      <c r="G9685" s="501" t="s">
        <v>1029</v>
      </c>
      <c r="H9685" s="501" t="s">
        <v>11234</v>
      </c>
      <c r="I9685" s="501">
        <v>401</v>
      </c>
      <c r="J9685" s="501">
        <v>323</v>
      </c>
      <c r="K9685" s="501">
        <v>0</v>
      </c>
      <c r="L9685" s="501">
        <v>0</v>
      </c>
      <c r="M9685" s="501">
        <v>28</v>
      </c>
      <c r="N9685" s="501">
        <v>0</v>
      </c>
      <c r="O9685" s="506">
        <v>50</v>
      </c>
    </row>
    <row r="9686" spans="1:15" x14ac:dyDescent="0.35">
      <c r="A9686" s="503" t="s">
        <v>2008</v>
      </c>
      <c r="B9686" s="504" t="s">
        <v>3323</v>
      </c>
      <c r="C9686" s="504" t="s">
        <v>1094</v>
      </c>
      <c r="D9686" s="504" t="s">
        <v>3380</v>
      </c>
      <c r="E9686" s="504" t="s">
        <v>3381</v>
      </c>
      <c r="F9686" s="504" t="s">
        <v>1028</v>
      </c>
      <c r="G9686" s="504" t="s">
        <v>1029</v>
      </c>
      <c r="H9686" s="504" t="s">
        <v>11235</v>
      </c>
      <c r="I9686" s="504">
        <v>31</v>
      </c>
      <c r="J9686" s="504">
        <v>31</v>
      </c>
      <c r="K9686" s="504">
        <v>0</v>
      </c>
      <c r="L9686" s="504">
        <v>0</v>
      </c>
      <c r="M9686" s="504">
        <v>0</v>
      </c>
      <c r="N9686" s="504">
        <v>0</v>
      </c>
      <c r="O9686" s="505">
        <v>0</v>
      </c>
    </row>
    <row r="9687" spans="1:15" x14ac:dyDescent="0.35">
      <c r="A9687" s="500" t="s">
        <v>1126</v>
      </c>
      <c r="B9687" s="501" t="s">
        <v>2974</v>
      </c>
      <c r="C9687" s="501" t="s">
        <v>1094</v>
      </c>
      <c r="D9687" s="501" t="s">
        <v>3380</v>
      </c>
      <c r="E9687" s="501" t="s">
        <v>3381</v>
      </c>
      <c r="F9687" s="501" t="s">
        <v>1028</v>
      </c>
      <c r="G9687" s="501" t="s">
        <v>1029</v>
      </c>
      <c r="H9687" s="501" t="s">
        <v>11236</v>
      </c>
      <c r="I9687" s="501">
        <v>8</v>
      </c>
      <c r="J9687" s="501">
        <v>0</v>
      </c>
      <c r="K9687" s="501">
        <v>0</v>
      </c>
      <c r="L9687" s="501">
        <v>8</v>
      </c>
      <c r="M9687" s="501">
        <v>0</v>
      </c>
      <c r="N9687" s="501">
        <v>0</v>
      </c>
      <c r="O9687" s="506">
        <v>0</v>
      </c>
    </row>
    <row r="9688" spans="1:15" x14ac:dyDescent="0.35">
      <c r="A9688" s="503" t="s">
        <v>1240</v>
      </c>
      <c r="B9688" s="504" t="s">
        <v>2972</v>
      </c>
      <c r="C9688" s="504" t="s">
        <v>1094</v>
      </c>
      <c r="D9688" s="504" t="s">
        <v>3380</v>
      </c>
      <c r="E9688" s="504" t="s">
        <v>3381</v>
      </c>
      <c r="F9688" s="504" t="s">
        <v>1028</v>
      </c>
      <c r="G9688" s="504" t="s">
        <v>1029</v>
      </c>
      <c r="H9688" s="504" t="s">
        <v>11237</v>
      </c>
      <c r="I9688" s="504">
        <v>74</v>
      </c>
      <c r="J9688" s="504">
        <v>60</v>
      </c>
      <c r="K9688" s="504">
        <v>0</v>
      </c>
      <c r="L9688" s="504">
        <v>0</v>
      </c>
      <c r="M9688" s="504">
        <v>0</v>
      </c>
      <c r="N9688" s="504">
        <v>0</v>
      </c>
      <c r="O9688" s="505">
        <v>14</v>
      </c>
    </row>
    <row r="9689" spans="1:15" x14ac:dyDescent="0.35">
      <c r="A9689" s="500" t="s">
        <v>1134</v>
      </c>
      <c r="B9689" s="501" t="s">
        <v>3066</v>
      </c>
      <c r="C9689" s="501" t="s">
        <v>1094</v>
      </c>
      <c r="D9689" s="501" t="s">
        <v>3380</v>
      </c>
      <c r="E9689" s="501" t="s">
        <v>3381</v>
      </c>
      <c r="F9689" s="501" t="s">
        <v>1028</v>
      </c>
      <c r="G9689" s="501" t="s">
        <v>1029</v>
      </c>
      <c r="H9689" s="501" t="s">
        <v>12184</v>
      </c>
      <c r="I9689" s="501">
        <v>70</v>
      </c>
      <c r="J9689" s="501">
        <v>52</v>
      </c>
      <c r="K9689" s="501">
        <v>0</v>
      </c>
      <c r="L9689" s="501">
        <v>0</v>
      </c>
      <c r="M9689" s="501">
        <v>0</v>
      </c>
      <c r="N9689" s="501">
        <v>0</v>
      </c>
      <c r="O9689" s="506">
        <v>18</v>
      </c>
    </row>
    <row r="9690" spans="1:15" x14ac:dyDescent="0.35">
      <c r="A9690" s="503" t="s">
        <v>2118</v>
      </c>
      <c r="B9690" s="504" t="s">
        <v>3343</v>
      </c>
      <c r="C9690" s="504" t="s">
        <v>1094</v>
      </c>
      <c r="D9690" s="504" t="s">
        <v>3380</v>
      </c>
      <c r="E9690" s="504" t="s">
        <v>3381</v>
      </c>
      <c r="F9690" s="504" t="s">
        <v>1028</v>
      </c>
      <c r="G9690" s="504" t="s">
        <v>1029</v>
      </c>
      <c r="H9690" s="504" t="s">
        <v>11238</v>
      </c>
      <c r="I9690" s="504">
        <v>5935</v>
      </c>
      <c r="J9690" s="504">
        <v>3565</v>
      </c>
      <c r="K9690" s="504">
        <v>0</v>
      </c>
      <c r="L9690" s="504">
        <v>2059</v>
      </c>
      <c r="M9690" s="504">
        <v>0</v>
      </c>
      <c r="N9690" s="504">
        <v>44</v>
      </c>
      <c r="O9690" s="505">
        <v>311</v>
      </c>
    </row>
    <row r="9691" spans="1:15" x14ac:dyDescent="0.35">
      <c r="A9691" s="500" t="s">
        <v>1262</v>
      </c>
      <c r="B9691" s="501">
        <v>4772</v>
      </c>
      <c r="C9691" s="501" t="s">
        <v>1089</v>
      </c>
      <c r="D9691" s="501" t="s">
        <v>3392</v>
      </c>
      <c r="E9691" s="501" t="s">
        <v>3381</v>
      </c>
      <c r="F9691" s="501" t="s">
        <v>1028</v>
      </c>
      <c r="G9691" s="501" t="s">
        <v>1029</v>
      </c>
      <c r="H9691" s="501" t="s">
        <v>11239</v>
      </c>
      <c r="I9691" s="501">
        <v>3</v>
      </c>
      <c r="J9691" s="501">
        <v>0</v>
      </c>
      <c r="K9691" s="501">
        <v>0</v>
      </c>
      <c r="L9691" s="501">
        <v>3</v>
      </c>
      <c r="M9691" s="501">
        <v>0</v>
      </c>
      <c r="N9691" s="501">
        <v>0</v>
      </c>
      <c r="O9691" s="506">
        <v>0</v>
      </c>
    </row>
    <row r="9692" spans="1:15" x14ac:dyDescent="0.35">
      <c r="A9692" s="503" t="s">
        <v>1143</v>
      </c>
      <c r="B9692" s="504" t="s">
        <v>3281</v>
      </c>
      <c r="C9692" s="504" t="s">
        <v>1094</v>
      </c>
      <c r="D9692" s="504" t="s">
        <v>3380</v>
      </c>
      <c r="E9692" s="504" t="s">
        <v>3381</v>
      </c>
      <c r="F9692" s="504" t="s">
        <v>1026</v>
      </c>
      <c r="G9692" s="504" t="s">
        <v>1027</v>
      </c>
      <c r="H9692" s="504" t="s">
        <v>11206</v>
      </c>
      <c r="I9692" s="504">
        <v>8</v>
      </c>
      <c r="J9692" s="504">
        <v>8</v>
      </c>
      <c r="K9692" s="504">
        <v>0</v>
      </c>
      <c r="L9692" s="504">
        <v>0</v>
      </c>
      <c r="M9692" s="504">
        <v>0</v>
      </c>
      <c r="N9692" s="504">
        <v>0</v>
      </c>
      <c r="O9692" s="505">
        <v>0</v>
      </c>
    </row>
    <row r="9693" spans="1:15" x14ac:dyDescent="0.35">
      <c r="A9693" s="500" t="s">
        <v>1151</v>
      </c>
      <c r="B9693" s="501">
        <v>4726</v>
      </c>
      <c r="C9693" s="501" t="s">
        <v>1089</v>
      </c>
      <c r="D9693" s="501" t="s">
        <v>3392</v>
      </c>
      <c r="E9693" s="501" t="s">
        <v>3381</v>
      </c>
      <c r="F9693" s="501" t="s">
        <v>1026</v>
      </c>
      <c r="G9693" s="501" t="s">
        <v>1027</v>
      </c>
      <c r="H9693" s="501" t="s">
        <v>11207</v>
      </c>
      <c r="I9693" s="501">
        <v>4</v>
      </c>
      <c r="J9693" s="501">
        <v>4</v>
      </c>
      <c r="K9693" s="501">
        <v>0</v>
      </c>
      <c r="L9693" s="501">
        <v>0</v>
      </c>
      <c r="M9693" s="501">
        <v>0</v>
      </c>
      <c r="N9693" s="501">
        <v>0</v>
      </c>
      <c r="O9693" s="506">
        <v>0</v>
      </c>
    </row>
    <row r="9694" spans="1:15" x14ac:dyDescent="0.35">
      <c r="A9694" s="503" t="s">
        <v>1673</v>
      </c>
      <c r="B9694" s="504">
        <v>4731</v>
      </c>
      <c r="C9694" s="504" t="s">
        <v>1089</v>
      </c>
      <c r="D9694" s="504" t="s">
        <v>3392</v>
      </c>
      <c r="E9694" s="504" t="s">
        <v>3381</v>
      </c>
      <c r="F9694" s="504" t="s">
        <v>1026</v>
      </c>
      <c r="G9694" s="504" t="s">
        <v>1027</v>
      </c>
      <c r="H9694" s="504" t="s">
        <v>11500</v>
      </c>
      <c r="I9694" s="504">
        <v>4</v>
      </c>
      <c r="J9694" s="504">
        <v>0</v>
      </c>
      <c r="K9694" s="504">
        <v>0</v>
      </c>
      <c r="L9694" s="504">
        <v>4</v>
      </c>
      <c r="M9694" s="504">
        <v>0</v>
      </c>
      <c r="N9694" s="504">
        <v>0</v>
      </c>
      <c r="O9694" s="505">
        <v>0</v>
      </c>
    </row>
    <row r="9695" spans="1:15" x14ac:dyDescent="0.35">
      <c r="A9695" s="500" t="s">
        <v>1674</v>
      </c>
      <c r="B9695" s="501">
        <v>4765</v>
      </c>
      <c r="C9695" s="501" t="s">
        <v>1089</v>
      </c>
      <c r="D9695" s="501" t="s">
        <v>3392</v>
      </c>
      <c r="E9695" s="501" t="s">
        <v>3381</v>
      </c>
      <c r="F9695" s="501" t="s">
        <v>1026</v>
      </c>
      <c r="G9695" s="501" t="s">
        <v>1027</v>
      </c>
      <c r="H9695" s="501" t="s">
        <v>11208</v>
      </c>
      <c r="I9695" s="501">
        <v>6</v>
      </c>
      <c r="J9695" s="501">
        <v>6</v>
      </c>
      <c r="K9695" s="501">
        <v>0</v>
      </c>
      <c r="L9695" s="501">
        <v>0</v>
      </c>
      <c r="M9695" s="501">
        <v>0</v>
      </c>
      <c r="N9695" s="501">
        <v>0</v>
      </c>
      <c r="O9695" s="506">
        <v>0</v>
      </c>
    </row>
    <row r="9696" spans="1:15" x14ac:dyDescent="0.35">
      <c r="A9696" s="503" t="s">
        <v>11363</v>
      </c>
      <c r="B9696" s="504">
        <v>4718</v>
      </c>
      <c r="C9696" s="504" t="s">
        <v>1094</v>
      </c>
      <c r="D9696" s="504" t="s">
        <v>3380</v>
      </c>
      <c r="E9696" s="504" t="s">
        <v>3381</v>
      </c>
      <c r="F9696" s="504" t="s">
        <v>1026</v>
      </c>
      <c r="G9696" s="504" t="s">
        <v>1027</v>
      </c>
      <c r="H9696" s="504" t="s">
        <v>11608</v>
      </c>
      <c r="I9696" s="504">
        <v>5</v>
      </c>
      <c r="J9696" s="504">
        <v>0</v>
      </c>
      <c r="K9696" s="504">
        <v>0</v>
      </c>
      <c r="L9696" s="504">
        <v>5</v>
      </c>
      <c r="M9696" s="504">
        <v>0</v>
      </c>
      <c r="N9696" s="504">
        <v>0</v>
      </c>
      <c r="O9696" s="505">
        <v>0</v>
      </c>
    </row>
    <row r="9697" spans="1:15" x14ac:dyDescent="0.35">
      <c r="A9697" s="500" t="s">
        <v>1278</v>
      </c>
      <c r="B9697" s="501">
        <v>4639</v>
      </c>
      <c r="C9697" s="501" t="s">
        <v>1089</v>
      </c>
      <c r="D9697" s="501" t="s">
        <v>3392</v>
      </c>
      <c r="E9697" s="501" t="s">
        <v>3381</v>
      </c>
      <c r="F9697" s="501" t="s">
        <v>1026</v>
      </c>
      <c r="G9697" s="501" t="s">
        <v>1027</v>
      </c>
      <c r="H9697" s="501" t="s">
        <v>11209</v>
      </c>
      <c r="I9697" s="501">
        <v>24</v>
      </c>
      <c r="J9697" s="501">
        <v>0</v>
      </c>
      <c r="K9697" s="501">
        <v>0</v>
      </c>
      <c r="L9697" s="501">
        <v>24</v>
      </c>
      <c r="M9697" s="501">
        <v>0</v>
      </c>
      <c r="N9697" s="501">
        <v>0</v>
      </c>
      <c r="O9697" s="506">
        <v>0</v>
      </c>
    </row>
    <row r="9698" spans="1:15" x14ac:dyDescent="0.35">
      <c r="A9698" s="503" t="s">
        <v>1160</v>
      </c>
      <c r="B9698" s="504">
        <v>4672</v>
      </c>
      <c r="C9698" s="504" t="s">
        <v>1089</v>
      </c>
      <c r="D9698" s="504" t="s">
        <v>3392</v>
      </c>
      <c r="E9698" s="504" t="s">
        <v>3381</v>
      </c>
      <c r="F9698" s="504" t="s">
        <v>1026</v>
      </c>
      <c r="G9698" s="504" t="s">
        <v>1027</v>
      </c>
      <c r="H9698" s="504" t="s">
        <v>11210</v>
      </c>
      <c r="I9698" s="504">
        <v>3</v>
      </c>
      <c r="J9698" s="504">
        <v>0</v>
      </c>
      <c r="K9698" s="504">
        <v>0</v>
      </c>
      <c r="L9698" s="504">
        <v>3</v>
      </c>
      <c r="M9698" s="504">
        <v>0</v>
      </c>
      <c r="N9698" s="504">
        <v>0</v>
      </c>
      <c r="O9698" s="505">
        <v>0</v>
      </c>
    </row>
    <row r="9699" spans="1:15" x14ac:dyDescent="0.35">
      <c r="A9699" s="500" t="s">
        <v>1623</v>
      </c>
      <c r="B9699" s="501">
        <v>4858</v>
      </c>
      <c r="C9699" s="501" t="s">
        <v>1094</v>
      </c>
      <c r="D9699" s="501" t="s">
        <v>3380</v>
      </c>
      <c r="E9699" s="501" t="s">
        <v>3381</v>
      </c>
      <c r="F9699" s="501" t="s">
        <v>1026</v>
      </c>
      <c r="G9699" s="501" t="s">
        <v>1027</v>
      </c>
      <c r="H9699" s="501" t="s">
        <v>11211</v>
      </c>
      <c r="I9699" s="501">
        <v>1</v>
      </c>
      <c r="J9699" s="501">
        <v>1</v>
      </c>
      <c r="K9699" s="501">
        <v>0</v>
      </c>
      <c r="L9699" s="501">
        <v>0</v>
      </c>
      <c r="M9699" s="501">
        <v>0</v>
      </c>
      <c r="N9699" s="501">
        <v>0</v>
      </c>
      <c r="O9699" s="506">
        <v>0</v>
      </c>
    </row>
    <row r="9700" spans="1:15" x14ac:dyDescent="0.35">
      <c r="A9700" s="503" t="s">
        <v>1167</v>
      </c>
      <c r="B9700" s="504">
        <v>4689</v>
      </c>
      <c r="C9700" s="504" t="s">
        <v>1089</v>
      </c>
      <c r="D9700" s="504" t="s">
        <v>3392</v>
      </c>
      <c r="E9700" s="504" t="s">
        <v>3381</v>
      </c>
      <c r="F9700" s="504" t="s">
        <v>1026</v>
      </c>
      <c r="G9700" s="504" t="s">
        <v>1027</v>
      </c>
      <c r="H9700" s="504" t="s">
        <v>11212</v>
      </c>
      <c r="I9700" s="504">
        <v>16</v>
      </c>
      <c r="J9700" s="504">
        <v>0</v>
      </c>
      <c r="K9700" s="504">
        <v>0</v>
      </c>
      <c r="L9700" s="504">
        <v>16</v>
      </c>
      <c r="M9700" s="504">
        <v>0</v>
      </c>
      <c r="N9700" s="504">
        <v>0</v>
      </c>
      <c r="O9700" s="505">
        <v>0</v>
      </c>
    </row>
    <row r="9701" spans="1:15" x14ac:dyDescent="0.35">
      <c r="A9701" s="500" t="s">
        <v>1102</v>
      </c>
      <c r="B9701" s="501">
        <v>4663</v>
      </c>
      <c r="C9701" s="501" t="s">
        <v>1089</v>
      </c>
      <c r="D9701" s="501" t="s">
        <v>3392</v>
      </c>
      <c r="E9701" s="501" t="s">
        <v>3381</v>
      </c>
      <c r="F9701" s="501" t="s">
        <v>1026</v>
      </c>
      <c r="G9701" s="501" t="s">
        <v>1027</v>
      </c>
      <c r="H9701" s="501" t="s">
        <v>11213</v>
      </c>
      <c r="I9701" s="501">
        <v>7</v>
      </c>
      <c r="J9701" s="501">
        <v>0</v>
      </c>
      <c r="K9701" s="501">
        <v>0</v>
      </c>
      <c r="L9701" s="501">
        <v>7</v>
      </c>
      <c r="M9701" s="501">
        <v>0</v>
      </c>
      <c r="N9701" s="501">
        <v>0</v>
      </c>
      <c r="O9701" s="506">
        <v>0</v>
      </c>
    </row>
    <row r="9702" spans="1:15" x14ac:dyDescent="0.35">
      <c r="A9702" s="503" t="s">
        <v>1183</v>
      </c>
      <c r="B9702" s="504" t="s">
        <v>3038</v>
      </c>
      <c r="C9702" s="504" t="s">
        <v>1094</v>
      </c>
      <c r="D9702" s="504" t="s">
        <v>3380</v>
      </c>
      <c r="E9702" s="504" t="s">
        <v>3381</v>
      </c>
      <c r="F9702" s="504" t="s">
        <v>1026</v>
      </c>
      <c r="G9702" s="504" t="s">
        <v>1027</v>
      </c>
      <c r="H9702" s="504" t="s">
        <v>11214</v>
      </c>
      <c r="I9702" s="504">
        <v>432</v>
      </c>
      <c r="J9702" s="504">
        <v>290</v>
      </c>
      <c r="K9702" s="504">
        <v>0</v>
      </c>
      <c r="L9702" s="504">
        <v>22</v>
      </c>
      <c r="M9702" s="504">
        <v>32</v>
      </c>
      <c r="N9702" s="504">
        <v>0</v>
      </c>
      <c r="O9702" s="505">
        <v>88</v>
      </c>
    </row>
    <row r="9703" spans="1:15" x14ac:dyDescent="0.35">
      <c r="A9703" s="500" t="s">
        <v>1186</v>
      </c>
      <c r="B9703" s="501">
        <v>4661</v>
      </c>
      <c r="C9703" s="501" t="s">
        <v>1089</v>
      </c>
      <c r="D9703" s="501" t="s">
        <v>3392</v>
      </c>
      <c r="E9703" s="501" t="s">
        <v>3381</v>
      </c>
      <c r="F9703" s="501" t="s">
        <v>1026</v>
      </c>
      <c r="G9703" s="501" t="s">
        <v>1027</v>
      </c>
      <c r="H9703" s="501" t="s">
        <v>11215</v>
      </c>
      <c r="I9703" s="501">
        <v>3</v>
      </c>
      <c r="J9703" s="501">
        <v>0</v>
      </c>
      <c r="K9703" s="501">
        <v>0</v>
      </c>
      <c r="L9703" s="501">
        <v>3</v>
      </c>
      <c r="M9703" s="501">
        <v>0</v>
      </c>
      <c r="N9703" s="501">
        <v>0</v>
      </c>
      <c r="O9703" s="506">
        <v>0</v>
      </c>
    </row>
    <row r="9704" spans="1:15" x14ac:dyDescent="0.35">
      <c r="A9704" s="503" t="s">
        <v>1105</v>
      </c>
      <c r="B9704" s="504">
        <v>4668</v>
      </c>
      <c r="C9704" s="504" t="s">
        <v>1094</v>
      </c>
      <c r="D9704" s="504" t="s">
        <v>3380</v>
      </c>
      <c r="E9704" s="504" t="s">
        <v>3381</v>
      </c>
      <c r="F9704" s="504" t="s">
        <v>1026</v>
      </c>
      <c r="G9704" s="504" t="s">
        <v>1027</v>
      </c>
      <c r="H9704" s="504" t="s">
        <v>11216</v>
      </c>
      <c r="I9704" s="504">
        <v>42</v>
      </c>
      <c r="J9704" s="504">
        <v>0</v>
      </c>
      <c r="K9704" s="504">
        <v>0</v>
      </c>
      <c r="L9704" s="504">
        <v>0</v>
      </c>
      <c r="M9704" s="504">
        <v>0</v>
      </c>
      <c r="N9704" s="504">
        <v>0</v>
      </c>
      <c r="O9704" s="505">
        <v>42</v>
      </c>
    </row>
    <row r="9705" spans="1:15" x14ac:dyDescent="0.35">
      <c r="A9705" s="500" t="s">
        <v>1190</v>
      </c>
      <c r="B9705" s="501">
        <v>4662</v>
      </c>
      <c r="C9705" s="501" t="s">
        <v>1094</v>
      </c>
      <c r="D9705" s="501" t="s">
        <v>3380</v>
      </c>
      <c r="E9705" s="501" t="s">
        <v>3381</v>
      </c>
      <c r="F9705" s="501" t="s">
        <v>1026</v>
      </c>
      <c r="G9705" s="501" t="s">
        <v>1027</v>
      </c>
      <c r="H9705" s="501" t="s">
        <v>11217</v>
      </c>
      <c r="I9705" s="501">
        <v>3</v>
      </c>
      <c r="J9705" s="501">
        <v>0</v>
      </c>
      <c r="K9705" s="501">
        <v>0</v>
      </c>
      <c r="L9705" s="501">
        <v>3</v>
      </c>
      <c r="M9705" s="501">
        <v>0</v>
      </c>
      <c r="N9705" s="501">
        <v>0</v>
      </c>
      <c r="O9705" s="506">
        <v>0</v>
      </c>
    </row>
    <row r="9706" spans="1:15" x14ac:dyDescent="0.35">
      <c r="A9706" s="503" t="s">
        <v>11401</v>
      </c>
      <c r="B9706" s="504" t="s">
        <v>3241</v>
      </c>
      <c r="C9706" s="504" t="s">
        <v>1094</v>
      </c>
      <c r="D9706" s="504" t="s">
        <v>3380</v>
      </c>
      <c r="E9706" s="504" t="s">
        <v>3381</v>
      </c>
      <c r="F9706" s="504" t="s">
        <v>1026</v>
      </c>
      <c r="G9706" s="504" t="s">
        <v>1027</v>
      </c>
      <c r="H9706" s="504" t="s">
        <v>11796</v>
      </c>
      <c r="I9706" s="504">
        <v>207</v>
      </c>
      <c r="J9706" s="504">
        <v>167</v>
      </c>
      <c r="K9706" s="504">
        <v>0</v>
      </c>
      <c r="L9706" s="504">
        <v>0</v>
      </c>
      <c r="M9706" s="504">
        <v>0</v>
      </c>
      <c r="N9706" s="504">
        <v>0</v>
      </c>
      <c r="O9706" s="505">
        <v>40</v>
      </c>
    </row>
    <row r="9707" spans="1:15" x14ac:dyDescent="0.35">
      <c r="A9707" s="500" t="s">
        <v>1195</v>
      </c>
      <c r="B9707" s="501">
        <v>4693</v>
      </c>
      <c r="C9707" s="501" t="s">
        <v>1089</v>
      </c>
      <c r="D9707" s="501" t="s">
        <v>3392</v>
      </c>
      <c r="E9707" s="501" t="s">
        <v>3381</v>
      </c>
      <c r="F9707" s="501" t="s">
        <v>1026</v>
      </c>
      <c r="G9707" s="501" t="s">
        <v>1027</v>
      </c>
      <c r="H9707" s="501" t="s">
        <v>11218</v>
      </c>
      <c r="I9707" s="501">
        <v>14</v>
      </c>
      <c r="J9707" s="501">
        <v>0</v>
      </c>
      <c r="K9707" s="501">
        <v>0</v>
      </c>
      <c r="L9707" s="501">
        <v>14</v>
      </c>
      <c r="M9707" s="501">
        <v>0</v>
      </c>
      <c r="N9707" s="501">
        <v>0</v>
      </c>
      <c r="O9707" s="506">
        <v>0</v>
      </c>
    </row>
    <row r="9708" spans="1:15" x14ac:dyDescent="0.35">
      <c r="A9708" s="503" t="s">
        <v>14243</v>
      </c>
      <c r="B9708" s="504">
        <v>5149</v>
      </c>
      <c r="C9708" s="504" t="s">
        <v>1089</v>
      </c>
      <c r="D9708" s="504" t="s">
        <v>3392</v>
      </c>
      <c r="E9708" s="504" t="s">
        <v>3381</v>
      </c>
      <c r="F9708" s="504" t="s">
        <v>1026</v>
      </c>
      <c r="G9708" s="504" t="s">
        <v>1027</v>
      </c>
      <c r="H9708" s="504" t="s">
        <v>15333</v>
      </c>
      <c r="I9708" s="504">
        <v>7</v>
      </c>
      <c r="J9708" s="504">
        <v>7</v>
      </c>
      <c r="K9708" s="504">
        <v>0</v>
      </c>
      <c r="L9708" s="504">
        <v>0</v>
      </c>
      <c r="M9708" s="504">
        <v>0</v>
      </c>
      <c r="N9708" s="504">
        <v>0</v>
      </c>
      <c r="O9708" s="505">
        <v>0</v>
      </c>
    </row>
    <row r="9709" spans="1:15" x14ac:dyDescent="0.35">
      <c r="A9709" s="500" t="s">
        <v>1310</v>
      </c>
      <c r="B9709" s="501">
        <v>5062</v>
      </c>
      <c r="C9709" s="501" t="s">
        <v>1089</v>
      </c>
      <c r="D9709" s="501" t="s">
        <v>3380</v>
      </c>
      <c r="E9709" s="501" t="s">
        <v>3381</v>
      </c>
      <c r="F9709" s="501" t="s">
        <v>1026</v>
      </c>
      <c r="G9709" s="501" t="s">
        <v>1027</v>
      </c>
      <c r="H9709" s="501" t="s">
        <v>15334</v>
      </c>
      <c r="I9709" s="501">
        <v>10</v>
      </c>
      <c r="J9709" s="501">
        <v>0</v>
      </c>
      <c r="K9709" s="501">
        <v>0</v>
      </c>
      <c r="L9709" s="501">
        <v>0</v>
      </c>
      <c r="M9709" s="501">
        <v>0</v>
      </c>
      <c r="N9709" s="501">
        <v>0</v>
      </c>
      <c r="O9709" s="506">
        <v>10</v>
      </c>
    </row>
    <row r="9710" spans="1:15" x14ac:dyDescent="0.35">
      <c r="A9710" s="503" t="s">
        <v>1732</v>
      </c>
      <c r="B9710" s="504" t="s">
        <v>3132</v>
      </c>
      <c r="C9710" s="504" t="s">
        <v>1089</v>
      </c>
      <c r="D9710" s="504" t="s">
        <v>3392</v>
      </c>
      <c r="E9710" s="504" t="s">
        <v>3381</v>
      </c>
      <c r="F9710" s="504" t="s">
        <v>1026</v>
      </c>
      <c r="G9710" s="504" t="s">
        <v>1027</v>
      </c>
      <c r="H9710" s="504" t="s">
        <v>11219</v>
      </c>
      <c r="I9710" s="504">
        <v>31</v>
      </c>
      <c r="J9710" s="504">
        <v>31</v>
      </c>
      <c r="K9710" s="504">
        <v>0</v>
      </c>
      <c r="L9710" s="504">
        <v>0</v>
      </c>
      <c r="M9710" s="504">
        <v>0</v>
      </c>
      <c r="N9710" s="504">
        <v>0</v>
      </c>
      <c r="O9710" s="505">
        <v>0</v>
      </c>
    </row>
    <row r="9711" spans="1:15" x14ac:dyDescent="0.35">
      <c r="A9711" s="500" t="s">
        <v>1208</v>
      </c>
      <c r="B9711" s="501" t="s">
        <v>3096</v>
      </c>
      <c r="C9711" s="501" t="s">
        <v>1094</v>
      </c>
      <c r="D9711" s="501" t="s">
        <v>3380</v>
      </c>
      <c r="E9711" s="501" t="s">
        <v>3381</v>
      </c>
      <c r="F9711" s="501" t="s">
        <v>1026</v>
      </c>
      <c r="G9711" s="501" t="s">
        <v>1027</v>
      </c>
      <c r="H9711" s="501" t="s">
        <v>11220</v>
      </c>
      <c r="I9711" s="501">
        <v>7</v>
      </c>
      <c r="J9711" s="501">
        <v>7</v>
      </c>
      <c r="K9711" s="501">
        <v>0</v>
      </c>
      <c r="L9711" s="501">
        <v>0</v>
      </c>
      <c r="M9711" s="501">
        <v>0</v>
      </c>
      <c r="N9711" s="501">
        <v>0</v>
      </c>
      <c r="O9711" s="506">
        <v>0</v>
      </c>
    </row>
    <row r="9712" spans="1:15" x14ac:dyDescent="0.35">
      <c r="A9712" s="503" t="s">
        <v>1221</v>
      </c>
      <c r="B9712" s="504">
        <v>4728</v>
      </c>
      <c r="C9712" s="504" t="s">
        <v>1089</v>
      </c>
      <c r="D9712" s="504" t="s">
        <v>3392</v>
      </c>
      <c r="E9712" s="504" t="s">
        <v>3381</v>
      </c>
      <c r="F9712" s="504" t="s">
        <v>1026</v>
      </c>
      <c r="G9712" s="504" t="s">
        <v>1027</v>
      </c>
      <c r="H9712" s="504" t="s">
        <v>11973</v>
      </c>
      <c r="I9712" s="504">
        <v>11</v>
      </c>
      <c r="J9712" s="504">
        <v>0</v>
      </c>
      <c r="K9712" s="504">
        <v>0</v>
      </c>
      <c r="L9712" s="504">
        <v>11</v>
      </c>
      <c r="M9712" s="504">
        <v>0</v>
      </c>
      <c r="N9712" s="504">
        <v>0</v>
      </c>
      <c r="O9712" s="505">
        <v>0</v>
      </c>
    </row>
    <row r="9713" spans="1:15" x14ac:dyDescent="0.35">
      <c r="A9713" s="500" t="s">
        <v>1122</v>
      </c>
      <c r="B9713" s="501" t="s">
        <v>2994</v>
      </c>
      <c r="C9713" s="501" t="s">
        <v>1094</v>
      </c>
      <c r="D9713" s="501" t="s">
        <v>3380</v>
      </c>
      <c r="E9713" s="501" t="s">
        <v>3381</v>
      </c>
      <c r="F9713" s="501" t="s">
        <v>1026</v>
      </c>
      <c r="G9713" s="501" t="s">
        <v>1027</v>
      </c>
      <c r="H9713" s="501" t="s">
        <v>11221</v>
      </c>
      <c r="I9713" s="501">
        <v>405</v>
      </c>
      <c r="J9713" s="501">
        <v>367</v>
      </c>
      <c r="K9713" s="501">
        <v>0</v>
      </c>
      <c r="L9713" s="501">
        <v>0</v>
      </c>
      <c r="M9713" s="501">
        <v>0</v>
      </c>
      <c r="N9713" s="501">
        <v>0</v>
      </c>
      <c r="O9713" s="506">
        <v>38</v>
      </c>
    </row>
    <row r="9714" spans="1:15" x14ac:dyDescent="0.35">
      <c r="A9714" s="503" t="s">
        <v>1228</v>
      </c>
      <c r="B9714" s="504" t="s">
        <v>3321</v>
      </c>
      <c r="C9714" s="504" t="s">
        <v>1094</v>
      </c>
      <c r="D9714" s="504" t="s">
        <v>3380</v>
      </c>
      <c r="E9714" s="504" t="s">
        <v>3381</v>
      </c>
      <c r="F9714" s="504" t="s">
        <v>1026</v>
      </c>
      <c r="G9714" s="504" t="s">
        <v>1027</v>
      </c>
      <c r="H9714" s="504" t="s">
        <v>11222</v>
      </c>
      <c r="I9714" s="504">
        <v>243</v>
      </c>
      <c r="J9714" s="504">
        <v>118</v>
      </c>
      <c r="K9714" s="504">
        <v>0</v>
      </c>
      <c r="L9714" s="504">
        <v>87</v>
      </c>
      <c r="M9714" s="504">
        <v>0</v>
      </c>
      <c r="N9714" s="504">
        <v>0</v>
      </c>
      <c r="O9714" s="505">
        <v>38</v>
      </c>
    </row>
    <row r="9715" spans="1:15" x14ac:dyDescent="0.35">
      <c r="A9715" s="500" t="s">
        <v>1752</v>
      </c>
      <c r="B9715" s="501">
        <v>4653</v>
      </c>
      <c r="C9715" s="501" t="s">
        <v>1094</v>
      </c>
      <c r="D9715" s="501" t="s">
        <v>3380</v>
      </c>
      <c r="E9715" s="501" t="s">
        <v>3381</v>
      </c>
      <c r="F9715" s="501" t="s">
        <v>1026</v>
      </c>
      <c r="G9715" s="501" t="s">
        <v>1027</v>
      </c>
      <c r="H9715" s="501" t="s">
        <v>11223</v>
      </c>
      <c r="I9715" s="501">
        <v>2874</v>
      </c>
      <c r="J9715" s="501">
        <v>2374</v>
      </c>
      <c r="K9715" s="501">
        <v>0</v>
      </c>
      <c r="L9715" s="501">
        <v>43</v>
      </c>
      <c r="M9715" s="501">
        <v>431</v>
      </c>
      <c r="N9715" s="501">
        <v>49</v>
      </c>
      <c r="O9715" s="506">
        <v>26</v>
      </c>
    </row>
    <row r="9716" spans="1:15" x14ac:dyDescent="0.35">
      <c r="A9716" s="503" t="s">
        <v>1233</v>
      </c>
      <c r="B9716" s="504">
        <v>4636</v>
      </c>
      <c r="C9716" s="504" t="s">
        <v>1094</v>
      </c>
      <c r="D9716" s="504" t="s">
        <v>3380</v>
      </c>
      <c r="E9716" s="504" t="s">
        <v>3381</v>
      </c>
      <c r="F9716" s="504" t="s">
        <v>1026</v>
      </c>
      <c r="G9716" s="504" t="s">
        <v>1027</v>
      </c>
      <c r="H9716" s="504" t="s">
        <v>11224</v>
      </c>
      <c r="I9716" s="504">
        <v>16</v>
      </c>
      <c r="J9716" s="504">
        <v>0</v>
      </c>
      <c r="K9716" s="504">
        <v>0</v>
      </c>
      <c r="L9716" s="504">
        <v>0</v>
      </c>
      <c r="M9716" s="504">
        <v>0</v>
      </c>
      <c r="N9716" s="504">
        <v>0</v>
      </c>
      <c r="O9716" s="505">
        <v>16</v>
      </c>
    </row>
    <row r="9717" spans="1:15" x14ac:dyDescent="0.35">
      <c r="A9717" s="500" t="s">
        <v>1245</v>
      </c>
      <c r="B9717" s="501" t="s">
        <v>2859</v>
      </c>
      <c r="C9717" s="501" t="s">
        <v>1094</v>
      </c>
      <c r="D9717" s="501" t="s">
        <v>3380</v>
      </c>
      <c r="E9717" s="501" t="s">
        <v>3381</v>
      </c>
      <c r="F9717" s="501" t="s">
        <v>1026</v>
      </c>
      <c r="G9717" s="501" t="s">
        <v>1027</v>
      </c>
      <c r="H9717" s="501" t="s">
        <v>11225</v>
      </c>
      <c r="I9717" s="501">
        <v>12</v>
      </c>
      <c r="J9717" s="501">
        <v>0</v>
      </c>
      <c r="K9717" s="501">
        <v>0</v>
      </c>
      <c r="L9717" s="501">
        <v>0</v>
      </c>
      <c r="M9717" s="501">
        <v>12</v>
      </c>
      <c r="N9717" s="501">
        <v>0</v>
      </c>
      <c r="O9717" s="506">
        <v>0</v>
      </c>
    </row>
    <row r="9718" spans="1:15" x14ac:dyDescent="0.35">
      <c r="A9718" s="503" t="s">
        <v>1249</v>
      </c>
      <c r="B9718" s="504">
        <v>4729</v>
      </c>
      <c r="C9718" s="504" t="s">
        <v>1094</v>
      </c>
      <c r="D9718" s="504" t="s">
        <v>3380</v>
      </c>
      <c r="E9718" s="504" t="s">
        <v>3381</v>
      </c>
      <c r="F9718" s="504" t="s">
        <v>1026</v>
      </c>
      <c r="G9718" s="504" t="s">
        <v>1027</v>
      </c>
      <c r="H9718" s="504" t="s">
        <v>11226</v>
      </c>
      <c r="I9718" s="504">
        <v>1</v>
      </c>
      <c r="J9718" s="504">
        <v>0</v>
      </c>
      <c r="K9718" s="504">
        <v>0</v>
      </c>
      <c r="L9718" s="504">
        <v>0</v>
      </c>
      <c r="M9718" s="504">
        <v>0</v>
      </c>
      <c r="N9718" s="504">
        <v>0</v>
      </c>
      <c r="O9718" s="505">
        <v>1</v>
      </c>
    </row>
    <row r="9719" spans="1:15" x14ac:dyDescent="0.35">
      <c r="A9719" s="500" t="s">
        <v>1780</v>
      </c>
      <c r="B9719" s="501" t="s">
        <v>3192</v>
      </c>
      <c r="C9719" s="501" t="s">
        <v>1094</v>
      </c>
      <c r="D9719" s="501" t="s">
        <v>3380</v>
      </c>
      <c r="E9719" s="501" t="s">
        <v>3381</v>
      </c>
      <c r="F9719" s="501" t="s">
        <v>1026</v>
      </c>
      <c r="G9719" s="501" t="s">
        <v>1027</v>
      </c>
      <c r="H9719" s="501" t="s">
        <v>15335</v>
      </c>
      <c r="I9719" s="501">
        <v>9</v>
      </c>
      <c r="J9719" s="501">
        <v>9</v>
      </c>
      <c r="K9719" s="501">
        <v>0</v>
      </c>
      <c r="L9719" s="501">
        <v>0</v>
      </c>
      <c r="M9719" s="501">
        <v>0</v>
      </c>
      <c r="N9719" s="501">
        <v>0</v>
      </c>
      <c r="O9719" s="506">
        <v>0</v>
      </c>
    </row>
    <row r="9720" spans="1:15" x14ac:dyDescent="0.35">
      <c r="A9720" s="503" t="s">
        <v>1266</v>
      </c>
      <c r="B9720" s="504" t="s">
        <v>3071</v>
      </c>
      <c r="C9720" s="504" t="s">
        <v>1094</v>
      </c>
      <c r="D9720" s="504" t="s">
        <v>3380</v>
      </c>
      <c r="E9720" s="504" t="s">
        <v>3381</v>
      </c>
      <c r="F9720" s="504" t="s">
        <v>1026</v>
      </c>
      <c r="G9720" s="504" t="s">
        <v>1027</v>
      </c>
      <c r="H9720" s="504" t="s">
        <v>11227</v>
      </c>
      <c r="I9720" s="504">
        <v>38</v>
      </c>
      <c r="J9720" s="504">
        <v>0</v>
      </c>
      <c r="K9720" s="504">
        <v>0</v>
      </c>
      <c r="L9720" s="504">
        <v>10</v>
      </c>
      <c r="M9720" s="504">
        <v>0</v>
      </c>
      <c r="N9720" s="504">
        <v>0</v>
      </c>
      <c r="O9720" s="505">
        <v>28</v>
      </c>
    </row>
    <row r="9721" spans="1:15" x14ac:dyDescent="0.35">
      <c r="A9721" s="500" t="s">
        <v>1143</v>
      </c>
      <c r="B9721" s="501" t="s">
        <v>3281</v>
      </c>
      <c r="C9721" s="501" t="s">
        <v>1094</v>
      </c>
      <c r="D9721" s="501" t="s">
        <v>3380</v>
      </c>
      <c r="E9721" s="501" t="s">
        <v>3381</v>
      </c>
      <c r="F9721" s="501" t="s">
        <v>1030</v>
      </c>
      <c r="G9721" s="501" t="s">
        <v>1031</v>
      </c>
      <c r="H9721" s="501" t="s">
        <v>11240</v>
      </c>
      <c r="I9721" s="501">
        <v>164</v>
      </c>
      <c r="J9721" s="501">
        <v>128</v>
      </c>
      <c r="K9721" s="501">
        <v>0</v>
      </c>
      <c r="L9721" s="501">
        <v>0</v>
      </c>
      <c r="M9721" s="501">
        <v>0</v>
      </c>
      <c r="N9721" s="501">
        <v>0</v>
      </c>
      <c r="O9721" s="506">
        <v>36</v>
      </c>
    </row>
    <row r="9722" spans="1:15" x14ac:dyDescent="0.35">
      <c r="A9722" s="503" t="s">
        <v>1093</v>
      </c>
      <c r="B9722" s="504" t="s">
        <v>3248</v>
      </c>
      <c r="C9722" s="504" t="s">
        <v>1094</v>
      </c>
      <c r="D9722" s="504" t="s">
        <v>3380</v>
      </c>
      <c r="E9722" s="504" t="s">
        <v>3381</v>
      </c>
      <c r="F9722" s="504" t="s">
        <v>1030</v>
      </c>
      <c r="G9722" s="504" t="s">
        <v>1031</v>
      </c>
      <c r="H9722" s="504" t="s">
        <v>11241</v>
      </c>
      <c r="I9722" s="504">
        <v>1</v>
      </c>
      <c r="J9722" s="504">
        <v>0</v>
      </c>
      <c r="K9722" s="504">
        <v>0</v>
      </c>
      <c r="L9722" s="504">
        <v>0</v>
      </c>
      <c r="M9722" s="504">
        <v>0</v>
      </c>
      <c r="N9722" s="504">
        <v>0</v>
      </c>
      <c r="O9722" s="505">
        <v>1</v>
      </c>
    </row>
    <row r="9723" spans="1:15" x14ac:dyDescent="0.35">
      <c r="A9723" s="500" t="s">
        <v>1096</v>
      </c>
      <c r="B9723" s="501" t="s">
        <v>3326</v>
      </c>
      <c r="C9723" s="501" t="s">
        <v>1094</v>
      </c>
      <c r="D9723" s="501" t="s">
        <v>3380</v>
      </c>
      <c r="E9723" s="501" t="s">
        <v>3381</v>
      </c>
      <c r="F9723" s="501" t="s">
        <v>1030</v>
      </c>
      <c r="G9723" s="501" t="s">
        <v>1031</v>
      </c>
      <c r="H9723" s="501" t="s">
        <v>11242</v>
      </c>
      <c r="I9723" s="501">
        <v>166</v>
      </c>
      <c r="J9723" s="501">
        <v>0</v>
      </c>
      <c r="K9723" s="501">
        <v>0</v>
      </c>
      <c r="L9723" s="501">
        <v>0</v>
      </c>
      <c r="M9723" s="501">
        <v>166</v>
      </c>
      <c r="N9723" s="501">
        <v>0</v>
      </c>
      <c r="O9723" s="506">
        <v>0</v>
      </c>
    </row>
    <row r="9724" spans="1:15" x14ac:dyDescent="0.35">
      <c r="A9724" s="503" t="s">
        <v>11363</v>
      </c>
      <c r="B9724" s="504">
        <v>4718</v>
      </c>
      <c r="C9724" s="504" t="s">
        <v>1094</v>
      </c>
      <c r="D9724" s="504" t="s">
        <v>3380</v>
      </c>
      <c r="E9724" s="504" t="s">
        <v>3381</v>
      </c>
      <c r="F9724" s="504" t="s">
        <v>1030</v>
      </c>
      <c r="G9724" s="504" t="s">
        <v>1031</v>
      </c>
      <c r="H9724" s="504" t="s">
        <v>11609</v>
      </c>
      <c r="I9724" s="504">
        <v>4</v>
      </c>
      <c r="J9724" s="504">
        <v>0</v>
      </c>
      <c r="K9724" s="504">
        <v>0</v>
      </c>
      <c r="L9724" s="504">
        <v>4</v>
      </c>
      <c r="M9724" s="504">
        <v>0</v>
      </c>
      <c r="N9724" s="504">
        <v>0</v>
      </c>
      <c r="O9724" s="505">
        <v>0</v>
      </c>
    </row>
    <row r="9725" spans="1:15" x14ac:dyDescent="0.35">
      <c r="A9725" s="500" t="s">
        <v>1403</v>
      </c>
      <c r="B9725" s="501">
        <v>4733</v>
      </c>
      <c r="C9725" s="501" t="s">
        <v>1089</v>
      </c>
      <c r="D9725" s="501" t="s">
        <v>3392</v>
      </c>
      <c r="E9725" s="501" t="s">
        <v>3381</v>
      </c>
      <c r="F9725" s="501" t="s">
        <v>1030</v>
      </c>
      <c r="G9725" s="501" t="s">
        <v>1031</v>
      </c>
      <c r="H9725" s="501" t="s">
        <v>11618</v>
      </c>
      <c r="I9725" s="501">
        <v>11</v>
      </c>
      <c r="J9725" s="501">
        <v>0</v>
      </c>
      <c r="K9725" s="501">
        <v>0</v>
      </c>
      <c r="L9725" s="501">
        <v>11</v>
      </c>
      <c r="M9725" s="501">
        <v>0</v>
      </c>
      <c r="N9725" s="501">
        <v>0</v>
      </c>
      <c r="O9725" s="506">
        <v>0</v>
      </c>
    </row>
    <row r="9726" spans="1:15" x14ac:dyDescent="0.35">
      <c r="A9726" s="503" t="s">
        <v>1621</v>
      </c>
      <c r="B9726" s="504" t="s">
        <v>3319</v>
      </c>
      <c r="C9726" s="504" t="s">
        <v>1094</v>
      </c>
      <c r="D9726" s="504" t="s">
        <v>3380</v>
      </c>
      <c r="E9726" s="504" t="s">
        <v>3381</v>
      </c>
      <c r="F9726" s="504" t="s">
        <v>1030</v>
      </c>
      <c r="G9726" s="504" t="s">
        <v>1031</v>
      </c>
      <c r="H9726" s="504" t="s">
        <v>11243</v>
      </c>
      <c r="I9726" s="504">
        <v>68</v>
      </c>
      <c r="J9726" s="504">
        <v>65</v>
      </c>
      <c r="K9726" s="504">
        <v>0</v>
      </c>
      <c r="L9726" s="504">
        <v>0</v>
      </c>
      <c r="M9726" s="504">
        <v>0</v>
      </c>
      <c r="N9726" s="504">
        <v>0</v>
      </c>
      <c r="O9726" s="505">
        <v>3</v>
      </c>
    </row>
    <row r="9727" spans="1:15" x14ac:dyDescent="0.35">
      <c r="A9727" s="500" t="s">
        <v>1172</v>
      </c>
      <c r="B9727" s="501">
        <v>4648</v>
      </c>
      <c r="C9727" s="501" t="s">
        <v>1089</v>
      </c>
      <c r="D9727" s="501" t="s">
        <v>3392</v>
      </c>
      <c r="E9727" s="501" t="s">
        <v>3381</v>
      </c>
      <c r="F9727" s="501" t="s">
        <v>1030</v>
      </c>
      <c r="G9727" s="501" t="s">
        <v>1031</v>
      </c>
      <c r="H9727" s="501" t="s">
        <v>11244</v>
      </c>
      <c r="I9727" s="501">
        <v>6</v>
      </c>
      <c r="J9727" s="501">
        <v>0</v>
      </c>
      <c r="K9727" s="501">
        <v>0</v>
      </c>
      <c r="L9727" s="501">
        <v>6</v>
      </c>
      <c r="M9727" s="501">
        <v>0</v>
      </c>
      <c r="N9727" s="501">
        <v>0</v>
      </c>
      <c r="O9727" s="506">
        <v>0</v>
      </c>
    </row>
    <row r="9728" spans="1:15" x14ac:dyDescent="0.35">
      <c r="A9728" s="503" t="s">
        <v>14208</v>
      </c>
      <c r="B9728" s="504">
        <v>4803</v>
      </c>
      <c r="C9728" s="504" t="s">
        <v>1094</v>
      </c>
      <c r="D9728" s="504" t="s">
        <v>3380</v>
      </c>
      <c r="E9728" s="504" t="s">
        <v>3381</v>
      </c>
      <c r="F9728" s="504" t="s">
        <v>1030</v>
      </c>
      <c r="G9728" s="504" t="s">
        <v>1031</v>
      </c>
      <c r="H9728" s="504" t="s">
        <v>15336</v>
      </c>
      <c r="I9728" s="504">
        <v>5</v>
      </c>
      <c r="J9728" s="504">
        <v>0</v>
      </c>
      <c r="K9728" s="504">
        <v>0</v>
      </c>
      <c r="L9728" s="504">
        <v>5</v>
      </c>
      <c r="M9728" s="504">
        <v>0</v>
      </c>
      <c r="N9728" s="504">
        <v>0</v>
      </c>
      <c r="O9728" s="505">
        <v>0</v>
      </c>
    </row>
    <row r="9729" spans="1:15" x14ac:dyDescent="0.35">
      <c r="A9729" s="500" t="s">
        <v>1185</v>
      </c>
      <c r="B9729" s="501" t="s">
        <v>3253</v>
      </c>
      <c r="C9729" s="501" t="s">
        <v>1094</v>
      </c>
      <c r="D9729" s="501" t="s">
        <v>3380</v>
      </c>
      <c r="E9729" s="501" t="s">
        <v>3381</v>
      </c>
      <c r="F9729" s="501" t="s">
        <v>1030</v>
      </c>
      <c r="G9729" s="501" t="s">
        <v>1031</v>
      </c>
      <c r="H9729" s="501" t="s">
        <v>11245</v>
      </c>
      <c r="I9729" s="501">
        <v>12</v>
      </c>
      <c r="J9729" s="501">
        <v>7</v>
      </c>
      <c r="K9729" s="501">
        <v>0</v>
      </c>
      <c r="L9729" s="501">
        <v>3</v>
      </c>
      <c r="M9729" s="501">
        <v>2</v>
      </c>
      <c r="N9729" s="501">
        <v>0</v>
      </c>
      <c r="O9729" s="506">
        <v>0</v>
      </c>
    </row>
    <row r="9730" spans="1:15" x14ac:dyDescent="0.35">
      <c r="A9730" s="503" t="s">
        <v>1107</v>
      </c>
      <c r="B9730" s="504" t="s">
        <v>3109</v>
      </c>
      <c r="C9730" s="504" t="s">
        <v>1094</v>
      </c>
      <c r="D9730" s="504" t="s">
        <v>3380</v>
      </c>
      <c r="E9730" s="504" t="s">
        <v>3381</v>
      </c>
      <c r="F9730" s="504" t="s">
        <v>1030</v>
      </c>
      <c r="G9730" s="504" t="s">
        <v>1031</v>
      </c>
      <c r="H9730" s="504" t="s">
        <v>11246</v>
      </c>
      <c r="I9730" s="504">
        <v>617</v>
      </c>
      <c r="J9730" s="504">
        <v>576</v>
      </c>
      <c r="K9730" s="504">
        <v>0</v>
      </c>
      <c r="L9730" s="504">
        <v>5</v>
      </c>
      <c r="M9730" s="504">
        <v>0</v>
      </c>
      <c r="N9730" s="504">
        <v>3</v>
      </c>
      <c r="O9730" s="505">
        <v>36</v>
      </c>
    </row>
    <row r="9731" spans="1:15" x14ac:dyDescent="0.35">
      <c r="A9731" s="500" t="s">
        <v>1109</v>
      </c>
      <c r="B9731" s="501" t="s">
        <v>2959</v>
      </c>
      <c r="C9731" s="501" t="s">
        <v>1094</v>
      </c>
      <c r="D9731" s="501" t="s">
        <v>3380</v>
      </c>
      <c r="E9731" s="501" t="s">
        <v>3381</v>
      </c>
      <c r="F9731" s="501" t="s">
        <v>1030</v>
      </c>
      <c r="G9731" s="501" t="s">
        <v>1031</v>
      </c>
      <c r="H9731" s="501" t="s">
        <v>11247</v>
      </c>
      <c r="I9731" s="501">
        <v>32</v>
      </c>
      <c r="J9731" s="501">
        <v>0</v>
      </c>
      <c r="K9731" s="501">
        <v>0</v>
      </c>
      <c r="L9731" s="501">
        <v>0</v>
      </c>
      <c r="M9731" s="501">
        <v>32</v>
      </c>
      <c r="N9731" s="501">
        <v>0</v>
      </c>
      <c r="O9731" s="506">
        <v>0</v>
      </c>
    </row>
    <row r="9732" spans="1:15" x14ac:dyDescent="0.35">
      <c r="A9732" s="503" t="s">
        <v>1190</v>
      </c>
      <c r="B9732" s="504">
        <v>4662</v>
      </c>
      <c r="C9732" s="504" t="s">
        <v>1094</v>
      </c>
      <c r="D9732" s="504" t="s">
        <v>3380</v>
      </c>
      <c r="E9732" s="504" t="s">
        <v>3381</v>
      </c>
      <c r="F9732" s="504" t="s">
        <v>1030</v>
      </c>
      <c r="G9732" s="504" t="s">
        <v>1031</v>
      </c>
      <c r="H9732" s="504" t="s">
        <v>11248</v>
      </c>
      <c r="I9732" s="504">
        <v>9</v>
      </c>
      <c r="J9732" s="504">
        <v>0</v>
      </c>
      <c r="K9732" s="504">
        <v>0</v>
      </c>
      <c r="L9732" s="504">
        <v>9</v>
      </c>
      <c r="M9732" s="504">
        <v>0</v>
      </c>
      <c r="N9732" s="504">
        <v>0</v>
      </c>
      <c r="O9732" s="505">
        <v>0</v>
      </c>
    </row>
    <row r="9733" spans="1:15" x14ac:dyDescent="0.35">
      <c r="A9733" s="500" t="s">
        <v>1638</v>
      </c>
      <c r="B9733" s="501">
        <v>5079</v>
      </c>
      <c r="C9733" s="501" t="s">
        <v>1094</v>
      </c>
      <c r="D9733" s="501" t="s">
        <v>3380</v>
      </c>
      <c r="E9733" s="501" t="s">
        <v>3381</v>
      </c>
      <c r="F9733" s="501" t="s">
        <v>1030</v>
      </c>
      <c r="G9733" s="501" t="s">
        <v>1031</v>
      </c>
      <c r="H9733" s="501" t="s">
        <v>11249</v>
      </c>
      <c r="I9733" s="501">
        <v>1761</v>
      </c>
      <c r="J9733" s="501">
        <v>1218</v>
      </c>
      <c r="K9733" s="501">
        <v>0</v>
      </c>
      <c r="L9733" s="501">
        <v>33</v>
      </c>
      <c r="M9733" s="501">
        <v>125</v>
      </c>
      <c r="N9733" s="501">
        <v>0</v>
      </c>
      <c r="O9733" s="506">
        <v>385</v>
      </c>
    </row>
    <row r="9734" spans="1:15" x14ac:dyDescent="0.35">
      <c r="A9734" s="503" t="s">
        <v>1639</v>
      </c>
      <c r="B9734" s="504">
        <v>4846</v>
      </c>
      <c r="C9734" s="504" t="s">
        <v>1094</v>
      </c>
      <c r="D9734" s="504" t="s">
        <v>3380</v>
      </c>
      <c r="E9734" s="504" t="s">
        <v>3381</v>
      </c>
      <c r="F9734" s="504" t="s">
        <v>1030</v>
      </c>
      <c r="G9734" s="504" t="s">
        <v>1031</v>
      </c>
      <c r="H9734" s="504" t="s">
        <v>11250</v>
      </c>
      <c r="I9734" s="504">
        <v>62</v>
      </c>
      <c r="J9734" s="504">
        <v>62</v>
      </c>
      <c r="K9734" s="504">
        <v>0</v>
      </c>
      <c r="L9734" s="504">
        <v>0</v>
      </c>
      <c r="M9734" s="504">
        <v>0</v>
      </c>
      <c r="N9734" s="504">
        <v>0</v>
      </c>
      <c r="O9734" s="505">
        <v>0</v>
      </c>
    </row>
    <row r="9735" spans="1:15" x14ac:dyDescent="0.35">
      <c r="A9735" s="500" t="s">
        <v>1497</v>
      </c>
      <c r="B9735" s="501" t="s">
        <v>3290</v>
      </c>
      <c r="C9735" s="501" t="s">
        <v>1089</v>
      </c>
      <c r="D9735" s="501" t="s">
        <v>3392</v>
      </c>
      <c r="E9735" s="501" t="s">
        <v>3381</v>
      </c>
      <c r="F9735" s="501" t="s">
        <v>1030</v>
      </c>
      <c r="G9735" s="501" t="s">
        <v>1031</v>
      </c>
      <c r="H9735" s="501" t="s">
        <v>11251</v>
      </c>
      <c r="I9735" s="501">
        <v>30</v>
      </c>
      <c r="J9735" s="501">
        <v>0</v>
      </c>
      <c r="K9735" s="501">
        <v>0</v>
      </c>
      <c r="L9735" s="501">
        <v>0</v>
      </c>
      <c r="M9735" s="501">
        <v>30</v>
      </c>
      <c r="N9735" s="501">
        <v>0</v>
      </c>
      <c r="O9735" s="506">
        <v>0</v>
      </c>
    </row>
    <row r="9736" spans="1:15" x14ac:dyDescent="0.35">
      <c r="A9736" s="503" t="s">
        <v>1122</v>
      </c>
      <c r="B9736" s="504" t="s">
        <v>2994</v>
      </c>
      <c r="C9736" s="504" t="s">
        <v>1094</v>
      </c>
      <c r="D9736" s="504" t="s">
        <v>3380</v>
      </c>
      <c r="E9736" s="504" t="s">
        <v>3381</v>
      </c>
      <c r="F9736" s="504" t="s">
        <v>1030</v>
      </c>
      <c r="G9736" s="504" t="s">
        <v>1031</v>
      </c>
      <c r="H9736" s="504" t="s">
        <v>11252</v>
      </c>
      <c r="I9736" s="504">
        <v>2</v>
      </c>
      <c r="J9736" s="504">
        <v>0</v>
      </c>
      <c r="K9736" s="504">
        <v>0</v>
      </c>
      <c r="L9736" s="504">
        <v>0</v>
      </c>
      <c r="M9736" s="504">
        <v>0</v>
      </c>
      <c r="N9736" s="504">
        <v>0</v>
      </c>
      <c r="O9736" s="505">
        <v>2</v>
      </c>
    </row>
    <row r="9737" spans="1:15" x14ac:dyDescent="0.35">
      <c r="A9737" s="500" t="s">
        <v>1228</v>
      </c>
      <c r="B9737" s="501" t="s">
        <v>3321</v>
      </c>
      <c r="C9737" s="501" t="s">
        <v>1094</v>
      </c>
      <c r="D9737" s="501" t="s">
        <v>3380</v>
      </c>
      <c r="E9737" s="501" t="s">
        <v>3381</v>
      </c>
      <c r="F9737" s="501" t="s">
        <v>1030</v>
      </c>
      <c r="G9737" s="501" t="s">
        <v>1031</v>
      </c>
      <c r="H9737" s="501" t="s">
        <v>11253</v>
      </c>
      <c r="I9737" s="501">
        <v>27</v>
      </c>
      <c r="J9737" s="501">
        <v>0</v>
      </c>
      <c r="K9737" s="501">
        <v>0</v>
      </c>
      <c r="L9737" s="501">
        <v>27</v>
      </c>
      <c r="M9737" s="501">
        <v>0</v>
      </c>
      <c r="N9737" s="501">
        <v>0</v>
      </c>
      <c r="O9737" s="506">
        <v>0</v>
      </c>
    </row>
    <row r="9738" spans="1:15" x14ac:dyDescent="0.35">
      <c r="A9738" s="503" t="s">
        <v>1648</v>
      </c>
      <c r="B9738" s="504" t="s">
        <v>2496</v>
      </c>
      <c r="C9738" s="504" t="s">
        <v>1094</v>
      </c>
      <c r="D9738" s="504" t="s">
        <v>3380</v>
      </c>
      <c r="E9738" s="504" t="s">
        <v>3381</v>
      </c>
      <c r="F9738" s="504" t="s">
        <v>1030</v>
      </c>
      <c r="G9738" s="504" t="s">
        <v>1031</v>
      </c>
      <c r="H9738" s="504" t="s">
        <v>11254</v>
      </c>
      <c r="I9738" s="504">
        <v>195</v>
      </c>
      <c r="J9738" s="504">
        <v>57</v>
      </c>
      <c r="K9738" s="504">
        <v>0</v>
      </c>
      <c r="L9738" s="504">
        <v>60</v>
      </c>
      <c r="M9738" s="504">
        <v>76</v>
      </c>
      <c r="N9738" s="504">
        <v>0</v>
      </c>
      <c r="O9738" s="505">
        <v>2</v>
      </c>
    </row>
    <row r="9739" spans="1:15" x14ac:dyDescent="0.35">
      <c r="A9739" s="500" t="s">
        <v>1656</v>
      </c>
      <c r="B9739" s="501">
        <v>4756</v>
      </c>
      <c r="C9739" s="501" t="s">
        <v>1089</v>
      </c>
      <c r="D9739" s="501" t="s">
        <v>3392</v>
      </c>
      <c r="E9739" s="501" t="s">
        <v>3381</v>
      </c>
      <c r="F9739" s="501" t="s">
        <v>1030</v>
      </c>
      <c r="G9739" s="501" t="s">
        <v>1031</v>
      </c>
      <c r="H9739" s="501" t="s">
        <v>11255</v>
      </c>
      <c r="I9739" s="501">
        <v>2</v>
      </c>
      <c r="J9739" s="501">
        <v>0</v>
      </c>
      <c r="K9739" s="501">
        <v>0</v>
      </c>
      <c r="L9739" s="501">
        <v>2</v>
      </c>
      <c r="M9739" s="501">
        <v>0</v>
      </c>
      <c r="N9739" s="501">
        <v>0</v>
      </c>
      <c r="O9739" s="506">
        <v>0</v>
      </c>
    </row>
    <row r="9740" spans="1:15" x14ac:dyDescent="0.35">
      <c r="A9740" s="503" t="s">
        <v>2179</v>
      </c>
      <c r="B9740" s="504" t="s">
        <v>2876</v>
      </c>
      <c r="C9740" s="504" t="s">
        <v>1089</v>
      </c>
      <c r="D9740" s="504" t="s">
        <v>3392</v>
      </c>
      <c r="E9740" s="504" t="s">
        <v>3381</v>
      </c>
      <c r="F9740" s="504" t="s">
        <v>1030</v>
      </c>
      <c r="G9740" s="504" t="s">
        <v>1031</v>
      </c>
      <c r="H9740" s="504" t="s">
        <v>11256</v>
      </c>
      <c r="I9740" s="504">
        <v>31</v>
      </c>
      <c r="J9740" s="504">
        <v>0</v>
      </c>
      <c r="K9740" s="504">
        <v>0</v>
      </c>
      <c r="L9740" s="504">
        <v>0</v>
      </c>
      <c r="M9740" s="504">
        <v>31</v>
      </c>
      <c r="N9740" s="504">
        <v>0</v>
      </c>
      <c r="O9740" s="505">
        <v>0</v>
      </c>
    </row>
    <row r="9741" spans="1:15" x14ac:dyDescent="0.35">
      <c r="A9741" s="500" t="s">
        <v>1249</v>
      </c>
      <c r="B9741" s="501">
        <v>4729</v>
      </c>
      <c r="C9741" s="501" t="s">
        <v>1094</v>
      </c>
      <c r="D9741" s="501" t="s">
        <v>3380</v>
      </c>
      <c r="E9741" s="501" t="s">
        <v>3381</v>
      </c>
      <c r="F9741" s="501" t="s">
        <v>1030</v>
      </c>
      <c r="G9741" s="501" t="s">
        <v>1031</v>
      </c>
      <c r="H9741" s="501" t="s">
        <v>11257</v>
      </c>
      <c r="I9741" s="501">
        <v>1</v>
      </c>
      <c r="J9741" s="501">
        <v>0</v>
      </c>
      <c r="K9741" s="501">
        <v>0</v>
      </c>
      <c r="L9741" s="501">
        <v>0</v>
      </c>
      <c r="M9741" s="501">
        <v>0</v>
      </c>
      <c r="N9741" s="501">
        <v>0</v>
      </c>
      <c r="O9741" s="506">
        <v>1</v>
      </c>
    </row>
    <row r="9742" spans="1:15" x14ac:dyDescent="0.35">
      <c r="A9742" s="503" t="s">
        <v>1253</v>
      </c>
      <c r="B9742" s="504" t="s">
        <v>3232</v>
      </c>
      <c r="C9742" s="504" t="s">
        <v>1094</v>
      </c>
      <c r="D9742" s="504" t="s">
        <v>3380</v>
      </c>
      <c r="E9742" s="504" t="s">
        <v>3381</v>
      </c>
      <c r="F9742" s="504" t="s">
        <v>1030</v>
      </c>
      <c r="G9742" s="504" t="s">
        <v>1031</v>
      </c>
      <c r="H9742" s="504" t="s">
        <v>11258</v>
      </c>
      <c r="I9742" s="504">
        <v>101</v>
      </c>
      <c r="J9742" s="504">
        <v>68</v>
      </c>
      <c r="K9742" s="504">
        <v>0</v>
      </c>
      <c r="L9742" s="504">
        <v>0</v>
      </c>
      <c r="M9742" s="504">
        <v>33</v>
      </c>
      <c r="N9742" s="504">
        <v>0</v>
      </c>
      <c r="O9742" s="505">
        <v>0</v>
      </c>
    </row>
    <row r="9743" spans="1:15" x14ac:dyDescent="0.35">
      <c r="A9743" s="500" t="s">
        <v>2185</v>
      </c>
      <c r="B9743" s="501" t="s">
        <v>2483</v>
      </c>
      <c r="C9743" s="501" t="s">
        <v>1089</v>
      </c>
      <c r="D9743" s="501" t="s">
        <v>3392</v>
      </c>
      <c r="E9743" s="501" t="s">
        <v>3381</v>
      </c>
      <c r="F9743" s="501" t="s">
        <v>1030</v>
      </c>
      <c r="G9743" s="501" t="s">
        <v>1031</v>
      </c>
      <c r="H9743" s="501" t="s">
        <v>11259</v>
      </c>
      <c r="I9743" s="501">
        <v>19</v>
      </c>
      <c r="J9743" s="501">
        <v>19</v>
      </c>
      <c r="K9743" s="501">
        <v>0</v>
      </c>
      <c r="L9743" s="501">
        <v>0</v>
      </c>
      <c r="M9743" s="501">
        <v>0</v>
      </c>
      <c r="N9743" s="501">
        <v>0</v>
      </c>
      <c r="O9743" s="506">
        <v>0</v>
      </c>
    </row>
    <row r="9744" spans="1:15" x14ac:dyDescent="0.35">
      <c r="A9744" s="503" t="s">
        <v>1368</v>
      </c>
      <c r="B9744" s="504" t="s">
        <v>3220</v>
      </c>
      <c r="C9744" s="504" t="s">
        <v>1094</v>
      </c>
      <c r="D9744" s="504" t="s">
        <v>3380</v>
      </c>
      <c r="E9744" s="504" t="s">
        <v>3381</v>
      </c>
      <c r="F9744" s="504" t="s">
        <v>1030</v>
      </c>
      <c r="G9744" s="504" t="s">
        <v>1031</v>
      </c>
      <c r="H9744" s="504" t="s">
        <v>11260</v>
      </c>
      <c r="I9744" s="504">
        <v>308</v>
      </c>
      <c r="J9744" s="504">
        <v>271</v>
      </c>
      <c r="K9744" s="504">
        <v>0</v>
      </c>
      <c r="L9744" s="504">
        <v>0</v>
      </c>
      <c r="M9744" s="504">
        <v>0</v>
      </c>
      <c r="N9744" s="504">
        <v>0</v>
      </c>
      <c r="O9744" s="505">
        <v>37</v>
      </c>
    </row>
    <row r="9745" spans="1:15" x14ac:dyDescent="0.35">
      <c r="A9745" s="500" t="s">
        <v>1257</v>
      </c>
      <c r="B9745" s="501" t="s">
        <v>3151</v>
      </c>
      <c r="C9745" s="501" t="s">
        <v>1094</v>
      </c>
      <c r="D9745" s="501" t="s">
        <v>3380</v>
      </c>
      <c r="E9745" s="501" t="s">
        <v>3381</v>
      </c>
      <c r="F9745" s="501" t="s">
        <v>1030</v>
      </c>
      <c r="G9745" s="501" t="s">
        <v>1031</v>
      </c>
      <c r="H9745" s="501" t="s">
        <v>11261</v>
      </c>
      <c r="I9745" s="501">
        <v>21</v>
      </c>
      <c r="J9745" s="501">
        <v>12</v>
      </c>
      <c r="K9745" s="501">
        <v>0</v>
      </c>
      <c r="L9745" s="501">
        <v>0</v>
      </c>
      <c r="M9745" s="501">
        <v>0</v>
      </c>
      <c r="N9745" s="501">
        <v>0</v>
      </c>
      <c r="O9745" s="506">
        <v>9</v>
      </c>
    </row>
    <row r="9746" spans="1:15" x14ac:dyDescent="0.35">
      <c r="A9746" s="503" t="s">
        <v>2187</v>
      </c>
      <c r="B9746" s="504" t="s">
        <v>3193</v>
      </c>
      <c r="C9746" s="504" t="s">
        <v>1094</v>
      </c>
      <c r="D9746" s="504" t="s">
        <v>3380</v>
      </c>
      <c r="E9746" s="504" t="s">
        <v>3381</v>
      </c>
      <c r="F9746" s="504" t="s">
        <v>1030</v>
      </c>
      <c r="G9746" s="504" t="s">
        <v>1031</v>
      </c>
      <c r="H9746" s="504" t="s">
        <v>12246</v>
      </c>
      <c r="I9746" s="504">
        <v>2</v>
      </c>
      <c r="J9746" s="504">
        <v>2</v>
      </c>
      <c r="K9746" s="504">
        <v>0</v>
      </c>
      <c r="L9746" s="504">
        <v>0</v>
      </c>
      <c r="M9746" s="504">
        <v>0</v>
      </c>
      <c r="N9746" s="504">
        <v>0</v>
      </c>
      <c r="O9746" s="505">
        <v>0</v>
      </c>
    </row>
    <row r="9747" spans="1:15" x14ac:dyDescent="0.35">
      <c r="A9747" s="500" t="s">
        <v>2191</v>
      </c>
      <c r="B9747" s="501" t="s">
        <v>3033</v>
      </c>
      <c r="C9747" s="501" t="s">
        <v>1089</v>
      </c>
      <c r="D9747" s="501" t="s">
        <v>3392</v>
      </c>
      <c r="E9747" s="501" t="s">
        <v>3381</v>
      </c>
      <c r="F9747" s="501" t="s">
        <v>1030</v>
      </c>
      <c r="G9747" s="501" t="s">
        <v>1031</v>
      </c>
      <c r="H9747" s="501" t="s">
        <v>11262</v>
      </c>
      <c r="I9747" s="501">
        <v>549</v>
      </c>
      <c r="J9747" s="501">
        <v>338</v>
      </c>
      <c r="K9747" s="501">
        <v>6</v>
      </c>
      <c r="L9747" s="501">
        <v>107</v>
      </c>
      <c r="M9747" s="501">
        <v>98</v>
      </c>
      <c r="N9747" s="501">
        <v>0</v>
      </c>
      <c r="O9747" s="506">
        <v>0</v>
      </c>
    </row>
    <row r="9748" spans="1:15" x14ac:dyDescent="0.35">
      <c r="A9748" s="503" t="s">
        <v>1789</v>
      </c>
      <c r="B9748" s="504" t="s">
        <v>3219</v>
      </c>
      <c r="C9748" s="504" t="s">
        <v>1094</v>
      </c>
      <c r="D9748" s="504" t="s">
        <v>3380</v>
      </c>
      <c r="E9748" s="504" t="s">
        <v>3381</v>
      </c>
      <c r="F9748" s="504" t="s">
        <v>1030</v>
      </c>
      <c r="G9748" s="504" t="s">
        <v>1031</v>
      </c>
      <c r="H9748" s="504" t="s">
        <v>11263</v>
      </c>
      <c r="I9748" s="504">
        <v>1437</v>
      </c>
      <c r="J9748" s="504">
        <v>1257</v>
      </c>
      <c r="K9748" s="504">
        <v>0</v>
      </c>
      <c r="L9748" s="504">
        <v>18</v>
      </c>
      <c r="M9748" s="504">
        <v>120</v>
      </c>
      <c r="N9748" s="504">
        <v>1</v>
      </c>
      <c r="O9748" s="505">
        <v>42</v>
      </c>
    </row>
    <row r="9749" spans="1:15" x14ac:dyDescent="0.35">
      <c r="A9749" s="500" t="s">
        <v>1193</v>
      </c>
      <c r="B9749" s="501" t="s">
        <v>3039</v>
      </c>
      <c r="C9749" s="501" t="s">
        <v>1094</v>
      </c>
      <c r="D9749" s="501" t="s">
        <v>3380</v>
      </c>
      <c r="E9749" s="501" t="s">
        <v>3381</v>
      </c>
      <c r="F9749" s="501" t="s">
        <v>415</v>
      </c>
      <c r="G9749" s="501" t="s">
        <v>3368</v>
      </c>
      <c r="H9749" s="501" t="s">
        <v>12263</v>
      </c>
      <c r="I9749" s="501">
        <v>49</v>
      </c>
      <c r="J9749" s="501">
        <v>0</v>
      </c>
      <c r="K9749" s="501">
        <v>0</v>
      </c>
      <c r="L9749" s="501">
        <v>0</v>
      </c>
      <c r="M9749" s="501">
        <v>49</v>
      </c>
      <c r="N9749" s="501">
        <v>0</v>
      </c>
      <c r="O9749" s="506">
        <v>0</v>
      </c>
    </row>
    <row r="9750" spans="1:15" x14ac:dyDescent="0.35">
      <c r="A9750" s="503" t="s">
        <v>1193</v>
      </c>
      <c r="B9750" s="504" t="s">
        <v>3039</v>
      </c>
      <c r="C9750" s="504" t="s">
        <v>1094</v>
      </c>
      <c r="D9750" s="504" t="s">
        <v>3380</v>
      </c>
      <c r="E9750" s="504" t="s">
        <v>3381</v>
      </c>
      <c r="F9750" s="504" t="s">
        <v>1048</v>
      </c>
      <c r="G9750" s="504" t="s">
        <v>3368</v>
      </c>
      <c r="H9750" s="504" t="s">
        <v>13940</v>
      </c>
      <c r="I9750" s="504">
        <v>1203</v>
      </c>
      <c r="J9750" s="504">
        <v>505</v>
      </c>
      <c r="K9750" s="504">
        <v>0</v>
      </c>
      <c r="L9750" s="504">
        <v>13</v>
      </c>
      <c r="M9750" s="504">
        <v>486</v>
      </c>
      <c r="N9750" s="504">
        <v>0</v>
      </c>
      <c r="O9750" s="505">
        <v>199</v>
      </c>
    </row>
    <row r="9751" spans="1:15" x14ac:dyDescent="0.35">
      <c r="A9751" s="500" t="s">
        <v>1193</v>
      </c>
      <c r="B9751" s="501" t="s">
        <v>3039</v>
      </c>
      <c r="C9751" s="501" t="s">
        <v>1094</v>
      </c>
      <c r="D9751" s="501" t="s">
        <v>3380</v>
      </c>
      <c r="E9751" s="501" t="s">
        <v>3381</v>
      </c>
      <c r="F9751" s="501" t="s">
        <v>418</v>
      </c>
      <c r="G9751" s="501" t="s">
        <v>3368</v>
      </c>
      <c r="H9751" s="501" t="s">
        <v>12265</v>
      </c>
      <c r="I9751" s="501">
        <v>2234</v>
      </c>
      <c r="J9751" s="501">
        <v>424</v>
      </c>
      <c r="K9751" s="501">
        <v>0</v>
      </c>
      <c r="L9751" s="501">
        <v>25</v>
      </c>
      <c r="M9751" s="501">
        <v>1400</v>
      </c>
      <c r="N9751" s="501">
        <v>0</v>
      </c>
      <c r="O9751" s="506">
        <v>385</v>
      </c>
    </row>
    <row r="9752" spans="1:15" x14ac:dyDescent="0.35">
      <c r="A9752" s="503" t="s">
        <v>1193</v>
      </c>
      <c r="B9752" s="504" t="s">
        <v>3039</v>
      </c>
      <c r="C9752" s="504" t="s">
        <v>1094</v>
      </c>
      <c r="D9752" s="504" t="s">
        <v>3380</v>
      </c>
      <c r="E9752" s="504" t="s">
        <v>3381</v>
      </c>
      <c r="F9752" s="504" t="s">
        <v>414</v>
      </c>
      <c r="G9752" s="504" t="s">
        <v>3368</v>
      </c>
      <c r="H9752" s="504" t="s">
        <v>12266</v>
      </c>
      <c r="I9752" s="504">
        <v>342</v>
      </c>
      <c r="J9752" s="504">
        <v>140</v>
      </c>
      <c r="K9752" s="504">
        <v>0</v>
      </c>
      <c r="L9752" s="504">
        <v>0</v>
      </c>
      <c r="M9752" s="504">
        <v>182</v>
      </c>
      <c r="N9752" s="504">
        <v>0</v>
      </c>
      <c r="O9752" s="505">
        <v>20</v>
      </c>
    </row>
    <row r="9753" spans="1:15" x14ac:dyDescent="0.35">
      <c r="A9753" s="500" t="s">
        <v>1193</v>
      </c>
      <c r="B9753" s="501" t="s">
        <v>3039</v>
      </c>
      <c r="C9753" s="501" t="s">
        <v>1094</v>
      </c>
      <c r="D9753" s="501" t="s">
        <v>3380</v>
      </c>
      <c r="E9753" s="501" t="s">
        <v>3381</v>
      </c>
      <c r="F9753" s="501" t="s">
        <v>417</v>
      </c>
      <c r="G9753" s="501" t="s">
        <v>3368</v>
      </c>
      <c r="H9753" s="501" t="s">
        <v>12264</v>
      </c>
      <c r="I9753" s="501">
        <v>1091</v>
      </c>
      <c r="J9753" s="501">
        <v>620</v>
      </c>
      <c r="K9753" s="501">
        <v>0</v>
      </c>
      <c r="L9753" s="501">
        <v>55</v>
      </c>
      <c r="M9753" s="501">
        <v>359</v>
      </c>
      <c r="N9753" s="501">
        <v>0</v>
      </c>
      <c r="O9753" s="506">
        <v>57</v>
      </c>
    </row>
    <row r="9754" spans="1:15" x14ac:dyDescent="0.35">
      <c r="A9754" s="503" t="s">
        <v>2054</v>
      </c>
      <c r="B9754" s="504" t="s">
        <v>2758</v>
      </c>
      <c r="C9754" s="504" t="s">
        <v>1089</v>
      </c>
      <c r="D9754" s="504" t="s">
        <v>3392</v>
      </c>
      <c r="E9754" s="504" t="s">
        <v>3381</v>
      </c>
      <c r="F9754" s="504" t="s">
        <v>420</v>
      </c>
      <c r="G9754" s="504" t="s">
        <v>3368</v>
      </c>
      <c r="H9754" s="504" t="s">
        <v>12267</v>
      </c>
      <c r="I9754" s="504">
        <v>49</v>
      </c>
      <c r="J9754" s="504">
        <v>49</v>
      </c>
      <c r="K9754" s="504">
        <v>0</v>
      </c>
      <c r="L9754" s="504">
        <v>0</v>
      </c>
      <c r="M9754" s="504">
        <v>0</v>
      </c>
      <c r="N9754" s="504">
        <v>0</v>
      </c>
      <c r="O9754" s="505">
        <v>0</v>
      </c>
    </row>
    <row r="9755" spans="1:15" x14ac:dyDescent="0.35">
      <c r="A9755" s="500" t="s">
        <v>1609</v>
      </c>
      <c r="B9755" s="501">
        <v>4758</v>
      </c>
      <c r="C9755" s="501" t="s">
        <v>1089</v>
      </c>
      <c r="D9755" s="501" t="s">
        <v>3392</v>
      </c>
      <c r="E9755" s="501" t="s">
        <v>3381</v>
      </c>
      <c r="F9755" s="501" t="s">
        <v>417</v>
      </c>
      <c r="G9755" s="501" t="s">
        <v>3368</v>
      </c>
      <c r="H9755" s="501" t="s">
        <v>12269</v>
      </c>
      <c r="I9755" s="501">
        <v>53</v>
      </c>
      <c r="J9755" s="501">
        <v>0</v>
      </c>
      <c r="K9755" s="501">
        <v>0</v>
      </c>
      <c r="L9755" s="501">
        <v>53</v>
      </c>
      <c r="M9755" s="501">
        <v>0</v>
      </c>
      <c r="N9755" s="501">
        <v>0</v>
      </c>
      <c r="O9755" s="506">
        <v>0</v>
      </c>
    </row>
    <row r="9756" spans="1:15" x14ac:dyDescent="0.35">
      <c r="A9756" s="503" t="s">
        <v>1609</v>
      </c>
      <c r="B9756" s="504">
        <v>4758</v>
      </c>
      <c r="C9756" s="504" t="s">
        <v>1089</v>
      </c>
      <c r="D9756" s="504" t="s">
        <v>3392</v>
      </c>
      <c r="E9756" s="504" t="s">
        <v>3381</v>
      </c>
      <c r="F9756" s="504" t="s">
        <v>2</v>
      </c>
      <c r="G9756" s="504" t="s">
        <v>3368</v>
      </c>
      <c r="H9756" s="504" t="s">
        <v>12270</v>
      </c>
      <c r="I9756" s="504">
        <v>7</v>
      </c>
      <c r="J9756" s="504">
        <v>7</v>
      </c>
      <c r="K9756" s="504">
        <v>0</v>
      </c>
      <c r="L9756" s="504">
        <v>0</v>
      </c>
      <c r="M9756" s="504">
        <v>0</v>
      </c>
      <c r="N9756" s="504">
        <v>0</v>
      </c>
      <c r="O9756" s="505">
        <v>0</v>
      </c>
    </row>
    <row r="9757" spans="1:15" x14ac:dyDescent="0.35">
      <c r="A9757" s="500" t="s">
        <v>1609</v>
      </c>
      <c r="B9757" s="501">
        <v>4758</v>
      </c>
      <c r="C9757" s="501" t="s">
        <v>1089</v>
      </c>
      <c r="D9757" s="501" t="s">
        <v>3392</v>
      </c>
      <c r="E9757" s="501" t="s">
        <v>3381</v>
      </c>
      <c r="F9757" s="501" t="s">
        <v>415</v>
      </c>
      <c r="G9757" s="501" t="s">
        <v>3368</v>
      </c>
      <c r="H9757" s="501" t="s">
        <v>15337</v>
      </c>
      <c r="I9757" s="501">
        <v>29</v>
      </c>
      <c r="J9757" s="501">
        <v>0</v>
      </c>
      <c r="K9757" s="501">
        <v>0</v>
      </c>
      <c r="L9757" s="501">
        <v>29</v>
      </c>
      <c r="M9757" s="501">
        <v>0</v>
      </c>
      <c r="N9757" s="501">
        <v>0</v>
      </c>
      <c r="O9757" s="506">
        <v>0</v>
      </c>
    </row>
    <row r="9758" spans="1:15" x14ac:dyDescent="0.35">
      <c r="A9758" s="503" t="s">
        <v>1609</v>
      </c>
      <c r="B9758" s="504">
        <v>4758</v>
      </c>
      <c r="C9758" s="504" t="s">
        <v>1089</v>
      </c>
      <c r="D9758" s="504" t="s">
        <v>3392</v>
      </c>
      <c r="E9758" s="504" t="s">
        <v>3381</v>
      </c>
      <c r="F9758" s="504" t="s">
        <v>420</v>
      </c>
      <c r="G9758" s="504" t="s">
        <v>3368</v>
      </c>
      <c r="H9758" s="504" t="s">
        <v>12268</v>
      </c>
      <c r="I9758" s="504">
        <v>644</v>
      </c>
      <c r="J9758" s="504">
        <v>0</v>
      </c>
      <c r="K9758" s="504">
        <v>0</v>
      </c>
      <c r="L9758" s="504">
        <v>644</v>
      </c>
      <c r="M9758" s="504">
        <v>0</v>
      </c>
      <c r="N9758" s="504">
        <v>0</v>
      </c>
      <c r="O9758" s="505">
        <v>0</v>
      </c>
    </row>
    <row r="9759" spans="1:15" x14ac:dyDescent="0.35">
      <c r="A9759" s="500" t="s">
        <v>1610</v>
      </c>
      <c r="B9759" s="501">
        <v>4811</v>
      </c>
      <c r="C9759" s="501" t="s">
        <v>1089</v>
      </c>
      <c r="D9759" s="501" t="s">
        <v>3392</v>
      </c>
      <c r="E9759" s="501" t="s">
        <v>3381</v>
      </c>
      <c r="F9759" s="501" t="s">
        <v>417</v>
      </c>
      <c r="G9759" s="501" t="s">
        <v>3368</v>
      </c>
      <c r="H9759" s="501" t="s">
        <v>12271</v>
      </c>
      <c r="I9759" s="501">
        <v>45</v>
      </c>
      <c r="J9759" s="501">
        <v>0</v>
      </c>
      <c r="K9759" s="501">
        <v>0</v>
      </c>
      <c r="L9759" s="501">
        <v>45</v>
      </c>
      <c r="M9759" s="501">
        <v>0</v>
      </c>
      <c r="N9759" s="501">
        <v>0</v>
      </c>
      <c r="O9759" s="506">
        <v>0</v>
      </c>
    </row>
    <row r="9760" spans="1:15" x14ac:dyDescent="0.35">
      <c r="A9760" s="503" t="s">
        <v>1385</v>
      </c>
      <c r="B9760" s="504" t="s">
        <v>3249</v>
      </c>
      <c r="C9760" s="504" t="s">
        <v>1094</v>
      </c>
      <c r="D9760" s="504" t="s">
        <v>3380</v>
      </c>
      <c r="E9760" s="504" t="s">
        <v>3381</v>
      </c>
      <c r="F9760" s="504" t="s">
        <v>416</v>
      </c>
      <c r="G9760" s="504" t="s">
        <v>3368</v>
      </c>
      <c r="H9760" s="504" t="s">
        <v>12272</v>
      </c>
      <c r="I9760" s="504">
        <v>10017</v>
      </c>
      <c r="J9760" s="504">
        <v>7442</v>
      </c>
      <c r="K9760" s="504">
        <v>12</v>
      </c>
      <c r="L9760" s="504">
        <v>546</v>
      </c>
      <c r="M9760" s="504">
        <v>308</v>
      </c>
      <c r="N9760" s="504">
        <v>6</v>
      </c>
      <c r="O9760" s="505">
        <v>1709</v>
      </c>
    </row>
    <row r="9761" spans="1:15" x14ac:dyDescent="0.35">
      <c r="A9761" s="500" t="s">
        <v>1385</v>
      </c>
      <c r="B9761" s="501" t="s">
        <v>3249</v>
      </c>
      <c r="C9761" s="501" t="s">
        <v>1094</v>
      </c>
      <c r="D9761" s="501" t="s">
        <v>3380</v>
      </c>
      <c r="E9761" s="501" t="s">
        <v>3381</v>
      </c>
      <c r="F9761" s="501" t="s">
        <v>2</v>
      </c>
      <c r="G9761" s="501" t="s">
        <v>3368</v>
      </c>
      <c r="H9761" s="501" t="s">
        <v>12274</v>
      </c>
      <c r="I9761" s="501">
        <v>2355</v>
      </c>
      <c r="J9761" s="501">
        <v>1880</v>
      </c>
      <c r="K9761" s="501">
        <v>2</v>
      </c>
      <c r="L9761" s="501">
        <v>264</v>
      </c>
      <c r="M9761" s="501">
        <v>0</v>
      </c>
      <c r="N9761" s="501">
        <v>0</v>
      </c>
      <c r="O9761" s="506">
        <v>209</v>
      </c>
    </row>
    <row r="9762" spans="1:15" x14ac:dyDescent="0.35">
      <c r="A9762" s="503" t="s">
        <v>1385</v>
      </c>
      <c r="B9762" s="504" t="s">
        <v>3249</v>
      </c>
      <c r="C9762" s="504" t="s">
        <v>1094</v>
      </c>
      <c r="D9762" s="504" t="s">
        <v>3380</v>
      </c>
      <c r="E9762" s="504" t="s">
        <v>3381</v>
      </c>
      <c r="F9762" s="504" t="s">
        <v>419</v>
      </c>
      <c r="G9762" s="504" t="s">
        <v>3368</v>
      </c>
      <c r="H9762" s="504" t="s">
        <v>12273</v>
      </c>
      <c r="I9762" s="504">
        <v>38</v>
      </c>
      <c r="J9762" s="504">
        <v>35</v>
      </c>
      <c r="K9762" s="504">
        <v>0</v>
      </c>
      <c r="L9762" s="504">
        <v>0</v>
      </c>
      <c r="M9762" s="504">
        <v>0</v>
      </c>
      <c r="N9762" s="504">
        <v>0</v>
      </c>
      <c r="O9762" s="505">
        <v>3</v>
      </c>
    </row>
    <row r="9763" spans="1:15" x14ac:dyDescent="0.35">
      <c r="A9763" s="500" t="s">
        <v>1791</v>
      </c>
      <c r="B9763" s="501" t="s">
        <v>3367</v>
      </c>
      <c r="C9763" s="501" t="s">
        <v>1089</v>
      </c>
      <c r="D9763" s="501" t="s">
        <v>3392</v>
      </c>
      <c r="E9763" s="501" t="s">
        <v>3381</v>
      </c>
      <c r="F9763" s="501" t="s">
        <v>2</v>
      </c>
      <c r="G9763" s="501" t="s">
        <v>3368</v>
      </c>
      <c r="H9763" s="501" t="s">
        <v>12275</v>
      </c>
      <c r="I9763" s="501">
        <v>29</v>
      </c>
      <c r="J9763" s="501">
        <v>0</v>
      </c>
      <c r="K9763" s="501">
        <v>29</v>
      </c>
      <c r="L9763" s="501">
        <v>0</v>
      </c>
      <c r="M9763" s="501">
        <v>0</v>
      </c>
      <c r="N9763" s="501">
        <v>0</v>
      </c>
      <c r="O9763" s="506">
        <v>0</v>
      </c>
    </row>
    <row r="9764" spans="1:15" x14ac:dyDescent="0.35">
      <c r="A9764" s="503" t="s">
        <v>1386</v>
      </c>
      <c r="B9764" s="504" t="s">
        <v>3331</v>
      </c>
      <c r="C9764" s="504" t="s">
        <v>1094</v>
      </c>
      <c r="D9764" s="504" t="s">
        <v>3380</v>
      </c>
      <c r="E9764" s="504" t="s">
        <v>3381</v>
      </c>
      <c r="F9764" s="504" t="s">
        <v>416</v>
      </c>
      <c r="G9764" s="504" t="s">
        <v>3368</v>
      </c>
      <c r="H9764" s="504" t="s">
        <v>12278</v>
      </c>
      <c r="I9764" s="504">
        <v>1759</v>
      </c>
      <c r="J9764" s="504">
        <v>1474</v>
      </c>
      <c r="K9764" s="504">
        <v>0</v>
      </c>
      <c r="L9764" s="504">
        <v>0</v>
      </c>
      <c r="M9764" s="504">
        <v>0</v>
      </c>
      <c r="N9764" s="504">
        <v>0</v>
      </c>
      <c r="O9764" s="505">
        <v>285</v>
      </c>
    </row>
    <row r="9765" spans="1:15" x14ac:dyDescent="0.35">
      <c r="A9765" s="500" t="s">
        <v>1386</v>
      </c>
      <c r="B9765" s="501" t="s">
        <v>3331</v>
      </c>
      <c r="C9765" s="501" t="s">
        <v>1094</v>
      </c>
      <c r="D9765" s="501" t="s">
        <v>3380</v>
      </c>
      <c r="E9765" s="501" t="s">
        <v>3381</v>
      </c>
      <c r="F9765" s="501" t="s">
        <v>419</v>
      </c>
      <c r="G9765" s="501" t="s">
        <v>3368</v>
      </c>
      <c r="H9765" s="501" t="s">
        <v>12277</v>
      </c>
      <c r="I9765" s="501">
        <v>210</v>
      </c>
      <c r="J9765" s="501">
        <v>173</v>
      </c>
      <c r="K9765" s="501">
        <v>0</v>
      </c>
      <c r="L9765" s="501">
        <v>28</v>
      </c>
      <c r="M9765" s="501">
        <v>0</v>
      </c>
      <c r="N9765" s="501">
        <v>0</v>
      </c>
      <c r="O9765" s="506">
        <v>9</v>
      </c>
    </row>
    <row r="9766" spans="1:15" x14ac:dyDescent="0.35">
      <c r="A9766" s="503" t="s">
        <v>1386</v>
      </c>
      <c r="B9766" s="504" t="s">
        <v>3331</v>
      </c>
      <c r="C9766" s="504" t="s">
        <v>1094</v>
      </c>
      <c r="D9766" s="504" t="s">
        <v>3380</v>
      </c>
      <c r="E9766" s="504" t="s">
        <v>3381</v>
      </c>
      <c r="F9766" s="504" t="s">
        <v>2</v>
      </c>
      <c r="G9766" s="504" t="s">
        <v>3368</v>
      </c>
      <c r="H9766" s="504" t="s">
        <v>12276</v>
      </c>
      <c r="I9766" s="504">
        <v>10017</v>
      </c>
      <c r="J9766" s="504">
        <v>8375</v>
      </c>
      <c r="K9766" s="504">
        <v>0</v>
      </c>
      <c r="L9766" s="504">
        <v>273</v>
      </c>
      <c r="M9766" s="504">
        <v>620</v>
      </c>
      <c r="N9766" s="504">
        <v>11</v>
      </c>
      <c r="O9766" s="505">
        <v>749</v>
      </c>
    </row>
    <row r="9767" spans="1:15" x14ac:dyDescent="0.35">
      <c r="A9767" s="500" t="s">
        <v>14139</v>
      </c>
      <c r="B9767" s="501">
        <v>5153</v>
      </c>
      <c r="C9767" s="501" t="s">
        <v>1089</v>
      </c>
      <c r="D9767" s="501" t="s">
        <v>3392</v>
      </c>
      <c r="E9767" s="501" t="s">
        <v>3381</v>
      </c>
      <c r="F9767" s="501" t="s">
        <v>416</v>
      </c>
      <c r="G9767" s="501" t="s">
        <v>3368</v>
      </c>
      <c r="H9767" s="501" t="s">
        <v>15338</v>
      </c>
      <c r="I9767" s="501">
        <v>57</v>
      </c>
      <c r="J9767" s="501">
        <v>57</v>
      </c>
      <c r="K9767" s="501">
        <v>0</v>
      </c>
      <c r="L9767" s="501">
        <v>0</v>
      </c>
      <c r="M9767" s="501">
        <v>0</v>
      </c>
      <c r="N9767" s="501">
        <v>0</v>
      </c>
      <c r="O9767" s="506">
        <v>0</v>
      </c>
    </row>
    <row r="9768" spans="1:15" x14ac:dyDescent="0.35">
      <c r="A9768" s="503" t="s">
        <v>1267</v>
      </c>
      <c r="B9768" s="504" t="s">
        <v>2842</v>
      </c>
      <c r="C9768" s="504" t="s">
        <v>1089</v>
      </c>
      <c r="D9768" s="504" t="s">
        <v>3392</v>
      </c>
      <c r="E9768" s="504" t="s">
        <v>3381</v>
      </c>
      <c r="F9768" s="504" t="s">
        <v>415</v>
      </c>
      <c r="G9768" s="504" t="s">
        <v>3368</v>
      </c>
      <c r="H9768" s="504" t="s">
        <v>12279</v>
      </c>
      <c r="I9768" s="504">
        <v>103</v>
      </c>
      <c r="J9768" s="504">
        <v>0</v>
      </c>
      <c r="K9768" s="504">
        <v>0</v>
      </c>
      <c r="L9768" s="504">
        <v>0</v>
      </c>
      <c r="M9768" s="504">
        <v>103</v>
      </c>
      <c r="N9768" s="504">
        <v>0</v>
      </c>
      <c r="O9768" s="505">
        <v>0</v>
      </c>
    </row>
    <row r="9769" spans="1:15" x14ac:dyDescent="0.35">
      <c r="A9769" s="500" t="s">
        <v>1947</v>
      </c>
      <c r="B9769" s="501" t="s">
        <v>2840</v>
      </c>
      <c r="C9769" s="501" t="s">
        <v>1089</v>
      </c>
      <c r="D9769" s="501" t="s">
        <v>3392</v>
      </c>
      <c r="E9769" s="501" t="s">
        <v>3381</v>
      </c>
      <c r="F9769" s="501" t="s">
        <v>419</v>
      </c>
      <c r="G9769" s="501" t="s">
        <v>3368</v>
      </c>
      <c r="H9769" s="501" t="s">
        <v>12280</v>
      </c>
      <c r="I9769" s="501">
        <v>89</v>
      </c>
      <c r="J9769" s="501">
        <v>0</v>
      </c>
      <c r="K9769" s="501">
        <v>0</v>
      </c>
      <c r="L9769" s="501">
        <v>0</v>
      </c>
      <c r="M9769" s="501">
        <v>89</v>
      </c>
      <c r="N9769" s="501">
        <v>0</v>
      </c>
      <c r="O9769" s="506">
        <v>0</v>
      </c>
    </row>
    <row r="9770" spans="1:15" x14ac:dyDescent="0.35">
      <c r="A9770" s="503" t="s">
        <v>11411</v>
      </c>
      <c r="B9770" s="504" t="s">
        <v>2906</v>
      </c>
      <c r="C9770" s="504" t="s">
        <v>1089</v>
      </c>
      <c r="D9770" s="504" t="s">
        <v>3392</v>
      </c>
      <c r="E9770" s="504" t="s">
        <v>3381</v>
      </c>
      <c r="F9770" s="504" t="s">
        <v>2</v>
      </c>
      <c r="G9770" s="504" t="s">
        <v>3368</v>
      </c>
      <c r="H9770" s="504" t="s">
        <v>12281</v>
      </c>
      <c r="I9770" s="504">
        <v>11</v>
      </c>
      <c r="J9770" s="504">
        <v>0</v>
      </c>
      <c r="K9770" s="504">
        <v>0</v>
      </c>
      <c r="L9770" s="504">
        <v>0</v>
      </c>
      <c r="M9770" s="504">
        <v>11</v>
      </c>
      <c r="N9770" s="504">
        <v>0</v>
      </c>
      <c r="O9770" s="505">
        <v>0</v>
      </c>
    </row>
    <row r="9771" spans="1:15" x14ac:dyDescent="0.35">
      <c r="A9771" s="500" t="s">
        <v>11421</v>
      </c>
      <c r="B9771" s="501" t="s">
        <v>2908</v>
      </c>
      <c r="C9771" s="501" t="s">
        <v>1089</v>
      </c>
      <c r="D9771" s="501" t="s">
        <v>3392</v>
      </c>
      <c r="E9771" s="501" t="s">
        <v>3381</v>
      </c>
      <c r="F9771" s="501" t="s">
        <v>419</v>
      </c>
      <c r="G9771" s="501" t="s">
        <v>3368</v>
      </c>
      <c r="H9771" s="501" t="s">
        <v>12282</v>
      </c>
      <c r="I9771" s="501">
        <v>8</v>
      </c>
      <c r="J9771" s="501">
        <v>0</v>
      </c>
      <c r="K9771" s="501">
        <v>0</v>
      </c>
      <c r="L9771" s="501">
        <v>0</v>
      </c>
      <c r="M9771" s="501">
        <v>8</v>
      </c>
      <c r="N9771" s="501">
        <v>0</v>
      </c>
      <c r="O9771" s="506">
        <v>0</v>
      </c>
    </row>
    <row r="9772" spans="1:15" x14ac:dyDescent="0.35">
      <c r="A9772" s="503" t="s">
        <v>1792</v>
      </c>
      <c r="B9772" s="504" t="s">
        <v>2845</v>
      </c>
      <c r="C9772" s="504" t="s">
        <v>1089</v>
      </c>
      <c r="D9772" s="504" t="s">
        <v>3392</v>
      </c>
      <c r="E9772" s="504" t="s">
        <v>3381</v>
      </c>
      <c r="F9772" s="504" t="s">
        <v>2</v>
      </c>
      <c r="G9772" s="504" t="s">
        <v>3368</v>
      </c>
      <c r="H9772" s="504" t="s">
        <v>12283</v>
      </c>
      <c r="I9772" s="504">
        <v>58</v>
      </c>
      <c r="J9772" s="504">
        <v>0</v>
      </c>
      <c r="K9772" s="504">
        <v>0</v>
      </c>
      <c r="L9772" s="504">
        <v>58</v>
      </c>
      <c r="M9772" s="504">
        <v>0</v>
      </c>
      <c r="N9772" s="504">
        <v>0</v>
      </c>
      <c r="O9772" s="505">
        <v>0</v>
      </c>
    </row>
    <row r="9773" spans="1:15" x14ac:dyDescent="0.35">
      <c r="A9773" s="500" t="s">
        <v>1387</v>
      </c>
      <c r="B9773" s="501" t="s">
        <v>2861</v>
      </c>
      <c r="C9773" s="501" t="s">
        <v>1089</v>
      </c>
      <c r="D9773" s="501" t="s">
        <v>3392</v>
      </c>
      <c r="E9773" s="501" t="s">
        <v>3381</v>
      </c>
      <c r="F9773" s="501" t="s">
        <v>2</v>
      </c>
      <c r="G9773" s="501" t="s">
        <v>3368</v>
      </c>
      <c r="H9773" s="501" t="s">
        <v>12284</v>
      </c>
      <c r="I9773" s="501">
        <v>34</v>
      </c>
      <c r="J9773" s="501">
        <v>0</v>
      </c>
      <c r="K9773" s="501">
        <v>0</v>
      </c>
      <c r="L9773" s="501">
        <v>0</v>
      </c>
      <c r="M9773" s="501">
        <v>34</v>
      </c>
      <c r="N9773" s="501">
        <v>0</v>
      </c>
      <c r="O9773" s="506">
        <v>0</v>
      </c>
    </row>
    <row r="9774" spans="1:15" x14ac:dyDescent="0.35">
      <c r="A9774" s="503" t="s">
        <v>1387</v>
      </c>
      <c r="B9774" s="504" t="s">
        <v>2861</v>
      </c>
      <c r="C9774" s="504" t="s">
        <v>1089</v>
      </c>
      <c r="D9774" s="504" t="s">
        <v>3392</v>
      </c>
      <c r="E9774" s="504" t="s">
        <v>3381</v>
      </c>
      <c r="F9774" s="504" t="s">
        <v>416</v>
      </c>
      <c r="G9774" s="504" t="s">
        <v>3368</v>
      </c>
      <c r="H9774" s="504" t="s">
        <v>12285</v>
      </c>
      <c r="I9774" s="504">
        <v>26</v>
      </c>
      <c r="J9774" s="504">
        <v>0</v>
      </c>
      <c r="K9774" s="504">
        <v>0</v>
      </c>
      <c r="L9774" s="504">
        <v>0</v>
      </c>
      <c r="M9774" s="504">
        <v>26</v>
      </c>
      <c r="N9774" s="504">
        <v>0</v>
      </c>
      <c r="O9774" s="505">
        <v>0</v>
      </c>
    </row>
    <row r="9775" spans="1:15" x14ac:dyDescent="0.35">
      <c r="A9775" s="500" t="s">
        <v>2134</v>
      </c>
      <c r="B9775" s="501">
        <v>5066</v>
      </c>
      <c r="C9775" s="501" t="s">
        <v>1089</v>
      </c>
      <c r="D9775" s="501" t="s">
        <v>3392</v>
      </c>
      <c r="E9775" s="501" t="s">
        <v>3381</v>
      </c>
      <c r="F9775" s="501" t="s">
        <v>1048</v>
      </c>
      <c r="G9775" s="501" t="s">
        <v>3368</v>
      </c>
      <c r="H9775" s="501" t="s">
        <v>13941</v>
      </c>
      <c r="I9775" s="501">
        <v>149</v>
      </c>
      <c r="J9775" s="501">
        <v>0</v>
      </c>
      <c r="K9775" s="501">
        <v>0</v>
      </c>
      <c r="L9775" s="501">
        <v>131</v>
      </c>
      <c r="M9775" s="501">
        <v>18</v>
      </c>
      <c r="N9775" s="501">
        <v>0</v>
      </c>
      <c r="O9775" s="506">
        <v>0</v>
      </c>
    </row>
    <row r="9776" spans="1:15" x14ac:dyDescent="0.35">
      <c r="A9776" s="503" t="s">
        <v>1088</v>
      </c>
      <c r="B9776" s="504" t="s">
        <v>2879</v>
      </c>
      <c r="C9776" s="504" t="s">
        <v>1089</v>
      </c>
      <c r="D9776" s="504" t="s">
        <v>3392</v>
      </c>
      <c r="E9776" s="504" t="s">
        <v>3381</v>
      </c>
      <c r="F9776" s="504" t="s">
        <v>2</v>
      </c>
      <c r="G9776" s="504" t="s">
        <v>3368</v>
      </c>
      <c r="H9776" s="504" t="s">
        <v>12287</v>
      </c>
      <c r="I9776" s="504">
        <v>22</v>
      </c>
      <c r="J9776" s="504">
        <v>0</v>
      </c>
      <c r="K9776" s="504">
        <v>0</v>
      </c>
      <c r="L9776" s="504">
        <v>0</v>
      </c>
      <c r="M9776" s="504">
        <v>22</v>
      </c>
      <c r="N9776" s="504">
        <v>0</v>
      </c>
      <c r="O9776" s="505">
        <v>0</v>
      </c>
    </row>
    <row r="9777" spans="1:15" x14ac:dyDescent="0.35">
      <c r="A9777" s="500" t="s">
        <v>1088</v>
      </c>
      <c r="B9777" s="501" t="s">
        <v>2879</v>
      </c>
      <c r="C9777" s="501" t="s">
        <v>1089</v>
      </c>
      <c r="D9777" s="501" t="s">
        <v>3392</v>
      </c>
      <c r="E9777" s="501" t="s">
        <v>3381</v>
      </c>
      <c r="F9777" s="501" t="s">
        <v>419</v>
      </c>
      <c r="G9777" s="501" t="s">
        <v>3368</v>
      </c>
      <c r="H9777" s="501" t="s">
        <v>12286</v>
      </c>
      <c r="I9777" s="501">
        <v>59</v>
      </c>
      <c r="J9777" s="501">
        <v>0</v>
      </c>
      <c r="K9777" s="501">
        <v>0</v>
      </c>
      <c r="L9777" s="501">
        <v>0</v>
      </c>
      <c r="M9777" s="501">
        <v>59</v>
      </c>
      <c r="N9777" s="501">
        <v>0</v>
      </c>
      <c r="O9777" s="506">
        <v>0</v>
      </c>
    </row>
    <row r="9778" spans="1:15" x14ac:dyDescent="0.35">
      <c r="A9778" s="503" t="s">
        <v>1793</v>
      </c>
      <c r="B9778" s="504" t="s">
        <v>2911</v>
      </c>
      <c r="C9778" s="504" t="s">
        <v>1089</v>
      </c>
      <c r="D9778" s="504" t="s">
        <v>3392</v>
      </c>
      <c r="E9778" s="504" t="s">
        <v>3381</v>
      </c>
      <c r="F9778" s="504" t="s">
        <v>2</v>
      </c>
      <c r="G9778" s="504" t="s">
        <v>3368</v>
      </c>
      <c r="H9778" s="504" t="s">
        <v>12288</v>
      </c>
      <c r="I9778" s="504">
        <v>17</v>
      </c>
      <c r="J9778" s="504">
        <v>0</v>
      </c>
      <c r="K9778" s="504">
        <v>0</v>
      </c>
      <c r="L9778" s="504">
        <v>0</v>
      </c>
      <c r="M9778" s="504">
        <v>17</v>
      </c>
      <c r="N9778" s="504">
        <v>0</v>
      </c>
      <c r="O9778" s="505">
        <v>0</v>
      </c>
    </row>
    <row r="9779" spans="1:15" x14ac:dyDescent="0.35">
      <c r="A9779" s="500" t="s">
        <v>1388</v>
      </c>
      <c r="B9779" s="501" t="s">
        <v>2756</v>
      </c>
      <c r="C9779" s="501" t="s">
        <v>1089</v>
      </c>
      <c r="D9779" s="501" t="s">
        <v>3392</v>
      </c>
      <c r="E9779" s="501" t="s">
        <v>3381</v>
      </c>
      <c r="F9779" s="501" t="s">
        <v>416</v>
      </c>
      <c r="G9779" s="501" t="s">
        <v>3368</v>
      </c>
      <c r="H9779" s="501" t="s">
        <v>12289</v>
      </c>
      <c r="I9779" s="501">
        <v>44</v>
      </c>
      <c r="J9779" s="501">
        <v>44</v>
      </c>
      <c r="K9779" s="501">
        <v>0</v>
      </c>
      <c r="L9779" s="501">
        <v>0</v>
      </c>
      <c r="M9779" s="501">
        <v>0</v>
      </c>
      <c r="N9779" s="501">
        <v>0</v>
      </c>
      <c r="O9779" s="506">
        <v>0</v>
      </c>
    </row>
    <row r="9780" spans="1:15" x14ac:dyDescent="0.35">
      <c r="A9780" s="503" t="s">
        <v>1091</v>
      </c>
      <c r="B9780" s="504" t="s">
        <v>3288</v>
      </c>
      <c r="C9780" s="504" t="s">
        <v>1089</v>
      </c>
      <c r="D9780" s="504" t="s">
        <v>3392</v>
      </c>
      <c r="E9780" s="504" t="s">
        <v>3381</v>
      </c>
      <c r="F9780" s="504" t="s">
        <v>415</v>
      </c>
      <c r="G9780" s="504" t="s">
        <v>3368</v>
      </c>
      <c r="H9780" s="504" t="s">
        <v>12291</v>
      </c>
      <c r="I9780" s="504">
        <v>24</v>
      </c>
      <c r="J9780" s="504">
        <v>0</v>
      </c>
      <c r="K9780" s="504">
        <v>0</v>
      </c>
      <c r="L9780" s="504">
        <v>24</v>
      </c>
      <c r="M9780" s="504">
        <v>0</v>
      </c>
      <c r="N9780" s="504">
        <v>0</v>
      </c>
      <c r="O9780" s="505">
        <v>0</v>
      </c>
    </row>
    <row r="9781" spans="1:15" x14ac:dyDescent="0.35">
      <c r="A9781" s="500" t="s">
        <v>1091</v>
      </c>
      <c r="B9781" s="501" t="s">
        <v>3288</v>
      </c>
      <c r="C9781" s="501" t="s">
        <v>1089</v>
      </c>
      <c r="D9781" s="501" t="s">
        <v>3392</v>
      </c>
      <c r="E9781" s="501" t="s">
        <v>3381</v>
      </c>
      <c r="F9781" s="501" t="s">
        <v>416</v>
      </c>
      <c r="G9781" s="501" t="s">
        <v>3368</v>
      </c>
      <c r="H9781" s="501" t="s">
        <v>12292</v>
      </c>
      <c r="I9781" s="501">
        <v>136</v>
      </c>
      <c r="J9781" s="501">
        <v>11</v>
      </c>
      <c r="K9781" s="501">
        <v>0</v>
      </c>
      <c r="L9781" s="501">
        <v>125</v>
      </c>
      <c r="M9781" s="501">
        <v>0</v>
      </c>
      <c r="N9781" s="501">
        <v>0</v>
      </c>
      <c r="O9781" s="506">
        <v>0</v>
      </c>
    </row>
    <row r="9782" spans="1:15" x14ac:dyDescent="0.35">
      <c r="A9782" s="503" t="s">
        <v>1091</v>
      </c>
      <c r="B9782" s="504" t="s">
        <v>3288</v>
      </c>
      <c r="C9782" s="504" t="s">
        <v>1089</v>
      </c>
      <c r="D9782" s="504" t="s">
        <v>3392</v>
      </c>
      <c r="E9782" s="504" t="s">
        <v>3381</v>
      </c>
      <c r="F9782" s="504" t="s">
        <v>2</v>
      </c>
      <c r="G9782" s="504" t="s">
        <v>3368</v>
      </c>
      <c r="H9782" s="504" t="s">
        <v>12290</v>
      </c>
      <c r="I9782" s="504">
        <v>375</v>
      </c>
      <c r="J9782" s="504">
        <v>23</v>
      </c>
      <c r="K9782" s="504">
        <v>0</v>
      </c>
      <c r="L9782" s="504">
        <v>352</v>
      </c>
      <c r="M9782" s="504">
        <v>0</v>
      </c>
      <c r="N9782" s="504">
        <v>0</v>
      </c>
      <c r="O9782" s="505">
        <v>0</v>
      </c>
    </row>
    <row r="9783" spans="1:15" x14ac:dyDescent="0.35">
      <c r="A9783" s="500" t="s">
        <v>1091</v>
      </c>
      <c r="B9783" s="501" t="s">
        <v>3288</v>
      </c>
      <c r="C9783" s="501" t="s">
        <v>1089</v>
      </c>
      <c r="D9783" s="501" t="s">
        <v>3392</v>
      </c>
      <c r="E9783" s="501" t="s">
        <v>3381</v>
      </c>
      <c r="F9783" s="501" t="s">
        <v>419</v>
      </c>
      <c r="G9783" s="501" t="s">
        <v>3368</v>
      </c>
      <c r="H9783" s="501" t="s">
        <v>12293</v>
      </c>
      <c r="I9783" s="501">
        <v>124</v>
      </c>
      <c r="J9783" s="501">
        <v>79</v>
      </c>
      <c r="K9783" s="501">
        <v>0</v>
      </c>
      <c r="L9783" s="501">
        <v>45</v>
      </c>
      <c r="M9783" s="501">
        <v>0</v>
      </c>
      <c r="N9783" s="501">
        <v>0</v>
      </c>
      <c r="O9783" s="506">
        <v>0</v>
      </c>
    </row>
    <row r="9784" spans="1:15" x14ac:dyDescent="0.35">
      <c r="A9784" s="503" t="s">
        <v>14127</v>
      </c>
      <c r="B9784" s="504" t="s">
        <v>14126</v>
      </c>
      <c r="C9784" s="504" t="s">
        <v>1094</v>
      </c>
      <c r="D9784" s="504" t="s">
        <v>3380</v>
      </c>
      <c r="E9784" s="504" t="s">
        <v>3381</v>
      </c>
      <c r="F9784" s="504" t="s">
        <v>419</v>
      </c>
      <c r="G9784" s="504" t="s">
        <v>3368</v>
      </c>
      <c r="H9784" s="504" t="s">
        <v>15339</v>
      </c>
      <c r="I9784" s="504">
        <v>11326</v>
      </c>
      <c r="J9784" s="504">
        <v>8588</v>
      </c>
      <c r="K9784" s="504">
        <v>63</v>
      </c>
      <c r="L9784" s="504">
        <v>26</v>
      </c>
      <c r="M9784" s="504">
        <v>1681</v>
      </c>
      <c r="N9784" s="504">
        <v>1</v>
      </c>
      <c r="O9784" s="505">
        <v>968</v>
      </c>
    </row>
    <row r="9785" spans="1:15" x14ac:dyDescent="0.35">
      <c r="A9785" s="500" t="s">
        <v>14127</v>
      </c>
      <c r="B9785" s="501" t="s">
        <v>14126</v>
      </c>
      <c r="C9785" s="501" t="s">
        <v>1094</v>
      </c>
      <c r="D9785" s="501" t="s">
        <v>3380</v>
      </c>
      <c r="E9785" s="501" t="s">
        <v>3381</v>
      </c>
      <c r="F9785" s="501" t="s">
        <v>2</v>
      </c>
      <c r="G9785" s="501" t="s">
        <v>3368</v>
      </c>
      <c r="H9785" s="501" t="s">
        <v>15340</v>
      </c>
      <c r="I9785" s="501">
        <v>12988</v>
      </c>
      <c r="J9785" s="501">
        <v>11207</v>
      </c>
      <c r="K9785" s="501">
        <v>16</v>
      </c>
      <c r="L9785" s="501">
        <v>123</v>
      </c>
      <c r="M9785" s="501">
        <v>1067</v>
      </c>
      <c r="N9785" s="501">
        <v>0</v>
      </c>
      <c r="O9785" s="506">
        <v>575</v>
      </c>
    </row>
    <row r="9786" spans="1:15" x14ac:dyDescent="0.35">
      <c r="A9786" s="503" t="s">
        <v>1143</v>
      </c>
      <c r="B9786" s="504" t="s">
        <v>3281</v>
      </c>
      <c r="C9786" s="504" t="s">
        <v>1094</v>
      </c>
      <c r="D9786" s="504" t="s">
        <v>3380</v>
      </c>
      <c r="E9786" s="504" t="s">
        <v>3381</v>
      </c>
      <c r="F9786" s="504" t="s">
        <v>418</v>
      </c>
      <c r="G9786" s="504" t="s">
        <v>3368</v>
      </c>
      <c r="H9786" s="504" t="s">
        <v>12295</v>
      </c>
      <c r="I9786" s="504">
        <v>4025</v>
      </c>
      <c r="J9786" s="504">
        <v>3499</v>
      </c>
      <c r="K9786" s="504">
        <v>0</v>
      </c>
      <c r="L9786" s="504">
        <v>12</v>
      </c>
      <c r="M9786" s="504">
        <v>422</v>
      </c>
      <c r="N9786" s="504">
        <v>23</v>
      </c>
      <c r="O9786" s="505">
        <v>92</v>
      </c>
    </row>
    <row r="9787" spans="1:15" x14ac:dyDescent="0.35">
      <c r="A9787" s="500" t="s">
        <v>1143</v>
      </c>
      <c r="B9787" s="501" t="s">
        <v>3281</v>
      </c>
      <c r="C9787" s="501" t="s">
        <v>1094</v>
      </c>
      <c r="D9787" s="501" t="s">
        <v>3380</v>
      </c>
      <c r="E9787" s="501" t="s">
        <v>3381</v>
      </c>
      <c r="F9787" s="501" t="s">
        <v>414</v>
      </c>
      <c r="G9787" s="501" t="s">
        <v>3368</v>
      </c>
      <c r="H9787" s="501" t="s">
        <v>12298</v>
      </c>
      <c r="I9787" s="501">
        <v>1095</v>
      </c>
      <c r="J9787" s="501">
        <v>812</v>
      </c>
      <c r="K9787" s="501">
        <v>0</v>
      </c>
      <c r="L9787" s="501">
        <v>0</v>
      </c>
      <c r="M9787" s="501">
        <v>193</v>
      </c>
      <c r="N9787" s="501">
        <v>0</v>
      </c>
      <c r="O9787" s="506">
        <v>90</v>
      </c>
    </row>
    <row r="9788" spans="1:15" x14ac:dyDescent="0.35">
      <c r="A9788" s="503" t="s">
        <v>1143</v>
      </c>
      <c r="B9788" s="504" t="s">
        <v>3281</v>
      </c>
      <c r="C9788" s="504" t="s">
        <v>1094</v>
      </c>
      <c r="D9788" s="504" t="s">
        <v>3380</v>
      </c>
      <c r="E9788" s="504" t="s">
        <v>3381</v>
      </c>
      <c r="F9788" s="504" t="s">
        <v>1048</v>
      </c>
      <c r="G9788" s="504" t="s">
        <v>3368</v>
      </c>
      <c r="H9788" s="504" t="s">
        <v>13942</v>
      </c>
      <c r="I9788" s="504">
        <v>4325</v>
      </c>
      <c r="J9788" s="504">
        <v>3556</v>
      </c>
      <c r="K9788" s="504">
        <v>0</v>
      </c>
      <c r="L9788" s="504">
        <v>8</v>
      </c>
      <c r="M9788" s="504">
        <v>354</v>
      </c>
      <c r="N9788" s="504">
        <v>34</v>
      </c>
      <c r="O9788" s="505">
        <v>407</v>
      </c>
    </row>
    <row r="9789" spans="1:15" x14ac:dyDescent="0.35">
      <c r="A9789" s="500" t="s">
        <v>1143</v>
      </c>
      <c r="B9789" s="501" t="s">
        <v>3281</v>
      </c>
      <c r="C9789" s="501" t="s">
        <v>1094</v>
      </c>
      <c r="D9789" s="501" t="s">
        <v>3380</v>
      </c>
      <c r="E9789" s="501" t="s">
        <v>3381</v>
      </c>
      <c r="F9789" s="501" t="s">
        <v>417</v>
      </c>
      <c r="G9789" s="501" t="s">
        <v>3368</v>
      </c>
      <c r="H9789" s="501" t="s">
        <v>12299</v>
      </c>
      <c r="I9789" s="501">
        <v>2596</v>
      </c>
      <c r="J9789" s="501">
        <v>2250</v>
      </c>
      <c r="K9789" s="501">
        <v>0</v>
      </c>
      <c r="L9789" s="501">
        <v>0</v>
      </c>
      <c r="M9789" s="501">
        <v>313</v>
      </c>
      <c r="N9789" s="501">
        <v>39</v>
      </c>
      <c r="O9789" s="506">
        <v>33</v>
      </c>
    </row>
    <row r="9790" spans="1:15" x14ac:dyDescent="0.35">
      <c r="A9790" s="503" t="s">
        <v>1143</v>
      </c>
      <c r="B9790" s="504" t="s">
        <v>3281</v>
      </c>
      <c r="C9790" s="504" t="s">
        <v>1094</v>
      </c>
      <c r="D9790" s="504" t="s">
        <v>3380</v>
      </c>
      <c r="E9790" s="504" t="s">
        <v>3381</v>
      </c>
      <c r="F9790" s="504" t="s">
        <v>415</v>
      </c>
      <c r="G9790" s="504" t="s">
        <v>3368</v>
      </c>
      <c r="H9790" s="504" t="s">
        <v>12297</v>
      </c>
      <c r="I9790" s="504">
        <v>3030</v>
      </c>
      <c r="J9790" s="504">
        <v>2371</v>
      </c>
      <c r="K9790" s="504">
        <v>0</v>
      </c>
      <c r="L9790" s="504">
        <v>0</v>
      </c>
      <c r="M9790" s="504">
        <v>350</v>
      </c>
      <c r="N9790" s="504">
        <v>5</v>
      </c>
      <c r="O9790" s="505">
        <v>309</v>
      </c>
    </row>
    <row r="9791" spans="1:15" x14ac:dyDescent="0.35">
      <c r="A9791" s="500" t="s">
        <v>1143</v>
      </c>
      <c r="B9791" s="501" t="s">
        <v>3281</v>
      </c>
      <c r="C9791" s="501" t="s">
        <v>1094</v>
      </c>
      <c r="D9791" s="501" t="s">
        <v>3380</v>
      </c>
      <c r="E9791" s="501" t="s">
        <v>3381</v>
      </c>
      <c r="F9791" s="501" t="s">
        <v>2</v>
      </c>
      <c r="G9791" s="501" t="s">
        <v>3368</v>
      </c>
      <c r="H9791" s="501" t="s">
        <v>12294</v>
      </c>
      <c r="I9791" s="501">
        <v>3882</v>
      </c>
      <c r="J9791" s="501">
        <v>3380</v>
      </c>
      <c r="K9791" s="501">
        <v>44</v>
      </c>
      <c r="L9791" s="501">
        <v>0</v>
      </c>
      <c r="M9791" s="501">
        <v>228</v>
      </c>
      <c r="N9791" s="501">
        <v>4</v>
      </c>
      <c r="O9791" s="506">
        <v>230</v>
      </c>
    </row>
    <row r="9792" spans="1:15" x14ac:dyDescent="0.35">
      <c r="A9792" s="503" t="s">
        <v>1143</v>
      </c>
      <c r="B9792" s="504" t="s">
        <v>3281</v>
      </c>
      <c r="C9792" s="504" t="s">
        <v>1094</v>
      </c>
      <c r="D9792" s="504" t="s">
        <v>3380</v>
      </c>
      <c r="E9792" s="504" t="s">
        <v>3381</v>
      </c>
      <c r="F9792" s="504" t="s">
        <v>416</v>
      </c>
      <c r="G9792" s="504" t="s">
        <v>3368</v>
      </c>
      <c r="H9792" s="504" t="s">
        <v>12296</v>
      </c>
      <c r="I9792" s="504">
        <v>39</v>
      </c>
      <c r="J9792" s="504">
        <v>0</v>
      </c>
      <c r="K9792" s="504">
        <v>0</v>
      </c>
      <c r="L9792" s="504">
        <v>0</v>
      </c>
      <c r="M9792" s="504">
        <v>0</v>
      </c>
      <c r="N9792" s="504">
        <v>0</v>
      </c>
      <c r="O9792" s="505">
        <v>39</v>
      </c>
    </row>
    <row r="9793" spans="1:15" x14ac:dyDescent="0.35">
      <c r="A9793" s="500" t="s">
        <v>1389</v>
      </c>
      <c r="B9793" s="501" t="s">
        <v>3366</v>
      </c>
      <c r="C9793" s="501" t="s">
        <v>1089</v>
      </c>
      <c r="D9793" s="501" t="s">
        <v>3392</v>
      </c>
      <c r="E9793" s="501" t="s">
        <v>3381</v>
      </c>
      <c r="F9793" s="501" t="s">
        <v>416</v>
      </c>
      <c r="G9793" s="501" t="s">
        <v>3368</v>
      </c>
      <c r="H9793" s="501" t="s">
        <v>12300</v>
      </c>
      <c r="I9793" s="501">
        <v>33</v>
      </c>
      <c r="J9793" s="501">
        <v>33</v>
      </c>
      <c r="K9793" s="501">
        <v>0</v>
      </c>
      <c r="L9793" s="501">
        <v>0</v>
      </c>
      <c r="M9793" s="501">
        <v>0</v>
      </c>
      <c r="N9793" s="501">
        <v>0</v>
      </c>
      <c r="O9793" s="506">
        <v>0</v>
      </c>
    </row>
    <row r="9794" spans="1:15" x14ac:dyDescent="0.35">
      <c r="A9794" s="503" t="s">
        <v>1794</v>
      </c>
      <c r="B9794" s="504">
        <v>4810</v>
      </c>
      <c r="C9794" s="504" t="s">
        <v>1089</v>
      </c>
      <c r="D9794" s="504" t="s">
        <v>3392</v>
      </c>
      <c r="E9794" s="504" t="s">
        <v>3381</v>
      </c>
      <c r="F9794" s="504" t="s">
        <v>2</v>
      </c>
      <c r="G9794" s="504" t="s">
        <v>3368</v>
      </c>
      <c r="H9794" s="504" t="s">
        <v>12301</v>
      </c>
      <c r="I9794" s="504">
        <v>100</v>
      </c>
      <c r="J9794" s="504">
        <v>0</v>
      </c>
      <c r="K9794" s="504">
        <v>0</v>
      </c>
      <c r="L9794" s="504">
        <v>100</v>
      </c>
      <c r="M9794" s="504">
        <v>0</v>
      </c>
      <c r="N9794" s="504">
        <v>0</v>
      </c>
      <c r="O9794" s="505">
        <v>0</v>
      </c>
    </row>
    <row r="9795" spans="1:15" x14ac:dyDescent="0.35">
      <c r="A9795" s="500" t="s">
        <v>1145</v>
      </c>
      <c r="B9795" s="501" t="s">
        <v>3164</v>
      </c>
      <c r="C9795" s="501" t="s">
        <v>1094</v>
      </c>
      <c r="D9795" s="501" t="s">
        <v>3380</v>
      </c>
      <c r="E9795" s="501" t="s">
        <v>3381</v>
      </c>
      <c r="F9795" s="501" t="s">
        <v>1048</v>
      </c>
      <c r="G9795" s="501" t="s">
        <v>3368</v>
      </c>
      <c r="H9795" s="501" t="s">
        <v>13943</v>
      </c>
      <c r="I9795" s="501">
        <v>1519</v>
      </c>
      <c r="J9795" s="501">
        <v>1409</v>
      </c>
      <c r="K9795" s="501">
        <v>0</v>
      </c>
      <c r="L9795" s="501">
        <v>0</v>
      </c>
      <c r="M9795" s="501">
        <v>0</v>
      </c>
      <c r="N9795" s="501">
        <v>0</v>
      </c>
      <c r="O9795" s="506">
        <v>110</v>
      </c>
    </row>
    <row r="9796" spans="1:15" x14ac:dyDescent="0.35">
      <c r="A9796" s="503" t="s">
        <v>1145</v>
      </c>
      <c r="B9796" s="504" t="s">
        <v>3164</v>
      </c>
      <c r="C9796" s="504" t="s">
        <v>1094</v>
      </c>
      <c r="D9796" s="504" t="s">
        <v>3380</v>
      </c>
      <c r="E9796" s="504" t="s">
        <v>3381</v>
      </c>
      <c r="F9796" s="504" t="s">
        <v>414</v>
      </c>
      <c r="G9796" s="504" t="s">
        <v>3368</v>
      </c>
      <c r="H9796" s="504" t="s">
        <v>12302</v>
      </c>
      <c r="I9796" s="504">
        <v>5025</v>
      </c>
      <c r="J9796" s="504">
        <v>4340</v>
      </c>
      <c r="K9796" s="504">
        <v>1</v>
      </c>
      <c r="L9796" s="504">
        <v>7</v>
      </c>
      <c r="M9796" s="504">
        <v>251</v>
      </c>
      <c r="N9796" s="504">
        <v>0</v>
      </c>
      <c r="O9796" s="505">
        <v>426</v>
      </c>
    </row>
    <row r="9797" spans="1:15" x14ac:dyDescent="0.35">
      <c r="A9797" s="500" t="s">
        <v>1146</v>
      </c>
      <c r="B9797" s="501">
        <v>4660</v>
      </c>
      <c r="C9797" s="501" t="s">
        <v>1089</v>
      </c>
      <c r="D9797" s="501" t="s">
        <v>3392</v>
      </c>
      <c r="E9797" s="501" t="s">
        <v>3381</v>
      </c>
      <c r="F9797" s="501" t="s">
        <v>1048</v>
      </c>
      <c r="G9797" s="501" t="s">
        <v>3368</v>
      </c>
      <c r="H9797" s="501" t="s">
        <v>13944</v>
      </c>
      <c r="I9797" s="501">
        <v>71</v>
      </c>
      <c r="J9797" s="501">
        <v>41</v>
      </c>
      <c r="K9797" s="501">
        <v>3</v>
      </c>
      <c r="L9797" s="501">
        <v>27</v>
      </c>
      <c r="M9797" s="501">
        <v>0</v>
      </c>
      <c r="N9797" s="501">
        <v>0</v>
      </c>
      <c r="O9797" s="506">
        <v>0</v>
      </c>
    </row>
    <row r="9798" spans="1:15" x14ac:dyDescent="0.35">
      <c r="A9798" s="503" t="s">
        <v>1146</v>
      </c>
      <c r="B9798" s="504">
        <v>4660</v>
      </c>
      <c r="C9798" s="504" t="s">
        <v>1089</v>
      </c>
      <c r="D9798" s="504" t="s">
        <v>3392</v>
      </c>
      <c r="E9798" s="504" t="s">
        <v>3381</v>
      </c>
      <c r="F9798" s="504" t="s">
        <v>414</v>
      </c>
      <c r="G9798" s="504" t="s">
        <v>3368</v>
      </c>
      <c r="H9798" s="504" t="s">
        <v>12303</v>
      </c>
      <c r="I9798" s="504">
        <v>142</v>
      </c>
      <c r="J9798" s="504">
        <v>95</v>
      </c>
      <c r="K9798" s="504">
        <v>0</v>
      </c>
      <c r="L9798" s="504">
        <v>47</v>
      </c>
      <c r="M9798" s="504">
        <v>0</v>
      </c>
      <c r="N9798" s="504">
        <v>0</v>
      </c>
      <c r="O9798" s="505">
        <v>0</v>
      </c>
    </row>
    <row r="9799" spans="1:15" x14ac:dyDescent="0.35">
      <c r="A9799" s="500" t="s">
        <v>1390</v>
      </c>
      <c r="B9799" s="501" t="s">
        <v>3294</v>
      </c>
      <c r="C9799" s="501" t="s">
        <v>1089</v>
      </c>
      <c r="D9799" s="501" t="s">
        <v>3392</v>
      </c>
      <c r="E9799" s="501" t="s">
        <v>3381</v>
      </c>
      <c r="F9799" s="501" t="s">
        <v>416</v>
      </c>
      <c r="G9799" s="501" t="s">
        <v>3368</v>
      </c>
      <c r="H9799" s="501" t="s">
        <v>12304</v>
      </c>
      <c r="I9799" s="501">
        <v>15</v>
      </c>
      <c r="J9799" s="501">
        <v>15</v>
      </c>
      <c r="K9799" s="501">
        <v>0</v>
      </c>
      <c r="L9799" s="501">
        <v>0</v>
      </c>
      <c r="M9799" s="501">
        <v>0</v>
      </c>
      <c r="N9799" s="501">
        <v>0</v>
      </c>
      <c r="O9799" s="506">
        <v>0</v>
      </c>
    </row>
    <row r="9800" spans="1:15" x14ac:dyDescent="0.35">
      <c r="A9800" s="503" t="s">
        <v>1611</v>
      </c>
      <c r="B9800" s="504">
        <v>4788</v>
      </c>
      <c r="C9800" s="504" t="s">
        <v>1089</v>
      </c>
      <c r="D9800" s="504" t="s">
        <v>3392</v>
      </c>
      <c r="E9800" s="504" t="s">
        <v>3381</v>
      </c>
      <c r="F9800" s="504" t="s">
        <v>417</v>
      </c>
      <c r="G9800" s="504" t="s">
        <v>3368</v>
      </c>
      <c r="H9800" s="504" t="s">
        <v>12305</v>
      </c>
      <c r="I9800" s="504">
        <v>12</v>
      </c>
      <c r="J9800" s="504">
        <v>12</v>
      </c>
      <c r="K9800" s="504">
        <v>0</v>
      </c>
      <c r="L9800" s="504">
        <v>0</v>
      </c>
      <c r="M9800" s="504">
        <v>0</v>
      </c>
      <c r="N9800" s="504">
        <v>0</v>
      </c>
      <c r="O9800" s="505">
        <v>0</v>
      </c>
    </row>
    <row r="9801" spans="1:15" x14ac:dyDescent="0.35">
      <c r="A9801" s="500" t="s">
        <v>1147</v>
      </c>
      <c r="B9801" s="501" t="s">
        <v>3274</v>
      </c>
      <c r="C9801" s="501" t="s">
        <v>1089</v>
      </c>
      <c r="D9801" s="501" t="s">
        <v>3392</v>
      </c>
      <c r="E9801" s="501" t="s">
        <v>3381</v>
      </c>
      <c r="F9801" s="501" t="s">
        <v>418</v>
      </c>
      <c r="G9801" s="501" t="s">
        <v>3368</v>
      </c>
      <c r="H9801" s="501" t="s">
        <v>12307</v>
      </c>
      <c r="I9801" s="501">
        <v>150</v>
      </c>
      <c r="J9801" s="501">
        <v>0</v>
      </c>
      <c r="K9801" s="501">
        <v>10</v>
      </c>
      <c r="L9801" s="501">
        <v>140</v>
      </c>
      <c r="M9801" s="501">
        <v>0</v>
      </c>
      <c r="N9801" s="501">
        <v>0</v>
      </c>
      <c r="O9801" s="506">
        <v>0</v>
      </c>
    </row>
    <row r="9802" spans="1:15" x14ac:dyDescent="0.35">
      <c r="A9802" s="503" t="s">
        <v>1147</v>
      </c>
      <c r="B9802" s="504" t="s">
        <v>3274</v>
      </c>
      <c r="C9802" s="504" t="s">
        <v>1089</v>
      </c>
      <c r="D9802" s="504" t="s">
        <v>3392</v>
      </c>
      <c r="E9802" s="504" t="s">
        <v>3381</v>
      </c>
      <c r="F9802" s="504" t="s">
        <v>414</v>
      </c>
      <c r="G9802" s="504" t="s">
        <v>3368</v>
      </c>
      <c r="H9802" s="504" t="s">
        <v>12308</v>
      </c>
      <c r="I9802" s="504">
        <v>115</v>
      </c>
      <c r="J9802" s="504">
        <v>0</v>
      </c>
      <c r="K9802" s="504">
        <v>13</v>
      </c>
      <c r="L9802" s="504">
        <v>102</v>
      </c>
      <c r="M9802" s="504">
        <v>0</v>
      </c>
      <c r="N9802" s="504">
        <v>0</v>
      </c>
      <c r="O9802" s="505">
        <v>0</v>
      </c>
    </row>
    <row r="9803" spans="1:15" x14ac:dyDescent="0.35">
      <c r="A9803" s="500" t="s">
        <v>1147</v>
      </c>
      <c r="B9803" s="501" t="s">
        <v>3274</v>
      </c>
      <c r="C9803" s="501" t="s">
        <v>1089</v>
      </c>
      <c r="D9803" s="501" t="s">
        <v>3392</v>
      </c>
      <c r="E9803" s="501" t="s">
        <v>3381</v>
      </c>
      <c r="F9803" s="501" t="s">
        <v>420</v>
      </c>
      <c r="G9803" s="501" t="s">
        <v>3368</v>
      </c>
      <c r="H9803" s="501" t="s">
        <v>12306</v>
      </c>
      <c r="I9803" s="501">
        <v>283</v>
      </c>
      <c r="J9803" s="501">
        <v>0</v>
      </c>
      <c r="K9803" s="501">
        <v>5</v>
      </c>
      <c r="L9803" s="501">
        <v>278</v>
      </c>
      <c r="M9803" s="501">
        <v>0</v>
      </c>
      <c r="N9803" s="501">
        <v>0</v>
      </c>
      <c r="O9803" s="506">
        <v>0</v>
      </c>
    </row>
    <row r="9804" spans="1:15" x14ac:dyDescent="0.35">
      <c r="A9804" s="503" t="s">
        <v>1093</v>
      </c>
      <c r="B9804" s="504" t="s">
        <v>3248</v>
      </c>
      <c r="C9804" s="504" t="s">
        <v>1094</v>
      </c>
      <c r="D9804" s="504" t="s">
        <v>3380</v>
      </c>
      <c r="E9804" s="504" t="s">
        <v>3381</v>
      </c>
      <c r="F9804" s="504" t="s">
        <v>418</v>
      </c>
      <c r="G9804" s="504" t="s">
        <v>3368</v>
      </c>
      <c r="H9804" s="504" t="s">
        <v>12313</v>
      </c>
      <c r="I9804" s="504">
        <v>1</v>
      </c>
      <c r="J9804" s="504">
        <v>0</v>
      </c>
      <c r="K9804" s="504">
        <v>0</v>
      </c>
      <c r="L9804" s="504">
        <v>0</v>
      </c>
      <c r="M9804" s="504">
        <v>0</v>
      </c>
      <c r="N9804" s="504">
        <v>0</v>
      </c>
      <c r="O9804" s="505">
        <v>1</v>
      </c>
    </row>
    <row r="9805" spans="1:15" x14ac:dyDescent="0.35">
      <c r="A9805" s="500" t="s">
        <v>1093</v>
      </c>
      <c r="B9805" s="501" t="s">
        <v>3248</v>
      </c>
      <c r="C9805" s="501" t="s">
        <v>1094</v>
      </c>
      <c r="D9805" s="501" t="s">
        <v>3380</v>
      </c>
      <c r="E9805" s="501" t="s">
        <v>3381</v>
      </c>
      <c r="F9805" s="501" t="s">
        <v>414</v>
      </c>
      <c r="G9805" s="501" t="s">
        <v>3368</v>
      </c>
      <c r="H9805" s="501" t="s">
        <v>12316</v>
      </c>
      <c r="I9805" s="501">
        <v>538</v>
      </c>
      <c r="J9805" s="501">
        <v>0</v>
      </c>
      <c r="K9805" s="501">
        <v>0</v>
      </c>
      <c r="L9805" s="501">
        <v>429</v>
      </c>
      <c r="M9805" s="501">
        <v>0</v>
      </c>
      <c r="N9805" s="501">
        <v>0</v>
      </c>
      <c r="O9805" s="506">
        <v>109</v>
      </c>
    </row>
    <row r="9806" spans="1:15" x14ac:dyDescent="0.35">
      <c r="A9806" s="503" t="s">
        <v>1093</v>
      </c>
      <c r="B9806" s="504" t="s">
        <v>3248</v>
      </c>
      <c r="C9806" s="504" t="s">
        <v>1094</v>
      </c>
      <c r="D9806" s="504" t="s">
        <v>3380</v>
      </c>
      <c r="E9806" s="504" t="s">
        <v>3381</v>
      </c>
      <c r="F9806" s="504" t="s">
        <v>416</v>
      </c>
      <c r="G9806" s="504" t="s">
        <v>3368</v>
      </c>
      <c r="H9806" s="504" t="s">
        <v>12314</v>
      </c>
      <c r="I9806" s="504">
        <v>64</v>
      </c>
      <c r="J9806" s="504">
        <v>1</v>
      </c>
      <c r="K9806" s="504">
        <v>0</v>
      </c>
      <c r="L9806" s="504">
        <v>62</v>
      </c>
      <c r="M9806" s="504">
        <v>0</v>
      </c>
      <c r="N9806" s="504">
        <v>0</v>
      </c>
      <c r="O9806" s="505">
        <v>1</v>
      </c>
    </row>
    <row r="9807" spans="1:15" x14ac:dyDescent="0.35">
      <c r="A9807" s="500" t="s">
        <v>1093</v>
      </c>
      <c r="B9807" s="501" t="s">
        <v>3248</v>
      </c>
      <c r="C9807" s="501" t="s">
        <v>1094</v>
      </c>
      <c r="D9807" s="501" t="s">
        <v>3380</v>
      </c>
      <c r="E9807" s="501" t="s">
        <v>3381</v>
      </c>
      <c r="F9807" s="501" t="s">
        <v>419</v>
      </c>
      <c r="G9807" s="501" t="s">
        <v>3368</v>
      </c>
      <c r="H9807" s="501" t="s">
        <v>12310</v>
      </c>
      <c r="I9807" s="501">
        <v>691</v>
      </c>
      <c r="J9807" s="501">
        <v>0</v>
      </c>
      <c r="K9807" s="501">
        <v>0</v>
      </c>
      <c r="L9807" s="501">
        <v>413</v>
      </c>
      <c r="M9807" s="501">
        <v>0</v>
      </c>
      <c r="N9807" s="501">
        <v>0</v>
      </c>
      <c r="O9807" s="506">
        <v>278</v>
      </c>
    </row>
    <row r="9808" spans="1:15" x14ac:dyDescent="0.35">
      <c r="A9808" s="503" t="s">
        <v>1093</v>
      </c>
      <c r="B9808" s="504" t="s">
        <v>3248</v>
      </c>
      <c r="C9808" s="504" t="s">
        <v>1094</v>
      </c>
      <c r="D9808" s="504" t="s">
        <v>3380</v>
      </c>
      <c r="E9808" s="504" t="s">
        <v>3381</v>
      </c>
      <c r="F9808" s="504" t="s">
        <v>2</v>
      </c>
      <c r="G9808" s="504" t="s">
        <v>3368</v>
      </c>
      <c r="H9808" s="504" t="s">
        <v>12309</v>
      </c>
      <c r="I9808" s="504">
        <v>604</v>
      </c>
      <c r="J9808" s="504">
        <v>3</v>
      </c>
      <c r="K9808" s="504">
        <v>0</v>
      </c>
      <c r="L9808" s="504">
        <v>419</v>
      </c>
      <c r="M9808" s="504">
        <v>0</v>
      </c>
      <c r="N9808" s="504">
        <v>0</v>
      </c>
      <c r="O9808" s="505">
        <v>182</v>
      </c>
    </row>
    <row r="9809" spans="1:15" x14ac:dyDescent="0.35">
      <c r="A9809" s="500" t="s">
        <v>1093</v>
      </c>
      <c r="B9809" s="501" t="s">
        <v>3248</v>
      </c>
      <c r="C9809" s="501" t="s">
        <v>1094</v>
      </c>
      <c r="D9809" s="501" t="s">
        <v>3380</v>
      </c>
      <c r="E9809" s="501" t="s">
        <v>3381</v>
      </c>
      <c r="F9809" s="501" t="s">
        <v>415</v>
      </c>
      <c r="G9809" s="501" t="s">
        <v>3368</v>
      </c>
      <c r="H9809" s="501" t="s">
        <v>12315</v>
      </c>
      <c r="I9809" s="501">
        <v>66</v>
      </c>
      <c r="J9809" s="501">
        <v>0</v>
      </c>
      <c r="K9809" s="501">
        <v>0</v>
      </c>
      <c r="L9809" s="501">
        <v>47</v>
      </c>
      <c r="M9809" s="501">
        <v>0</v>
      </c>
      <c r="N9809" s="501">
        <v>0</v>
      </c>
      <c r="O9809" s="506">
        <v>19</v>
      </c>
    </row>
    <row r="9810" spans="1:15" x14ac:dyDescent="0.35">
      <c r="A9810" s="503" t="s">
        <v>1093</v>
      </c>
      <c r="B9810" s="504" t="s">
        <v>3248</v>
      </c>
      <c r="C9810" s="504" t="s">
        <v>1094</v>
      </c>
      <c r="D9810" s="504" t="s">
        <v>3380</v>
      </c>
      <c r="E9810" s="504" t="s">
        <v>3381</v>
      </c>
      <c r="F9810" s="504" t="s">
        <v>420</v>
      </c>
      <c r="G9810" s="504" t="s">
        <v>3368</v>
      </c>
      <c r="H9810" s="504" t="s">
        <v>12311</v>
      </c>
      <c r="I9810" s="504">
        <v>188</v>
      </c>
      <c r="J9810" s="504">
        <v>0</v>
      </c>
      <c r="K9810" s="504">
        <v>0</v>
      </c>
      <c r="L9810" s="504">
        <v>97</v>
      </c>
      <c r="M9810" s="504">
        <v>0</v>
      </c>
      <c r="N9810" s="504">
        <v>0</v>
      </c>
      <c r="O9810" s="505">
        <v>91</v>
      </c>
    </row>
    <row r="9811" spans="1:15" x14ac:dyDescent="0.35">
      <c r="A9811" s="500" t="s">
        <v>1093</v>
      </c>
      <c r="B9811" s="501" t="s">
        <v>3248</v>
      </c>
      <c r="C9811" s="501" t="s">
        <v>1094</v>
      </c>
      <c r="D9811" s="501" t="s">
        <v>3380</v>
      </c>
      <c r="E9811" s="501" t="s">
        <v>3381</v>
      </c>
      <c r="F9811" s="501" t="s">
        <v>1048</v>
      </c>
      <c r="G9811" s="501" t="s">
        <v>3368</v>
      </c>
      <c r="H9811" s="501" t="s">
        <v>13945</v>
      </c>
      <c r="I9811" s="501">
        <v>3</v>
      </c>
      <c r="J9811" s="501">
        <v>0</v>
      </c>
      <c r="K9811" s="501">
        <v>0</v>
      </c>
      <c r="L9811" s="501">
        <v>0</v>
      </c>
      <c r="M9811" s="501">
        <v>0</v>
      </c>
      <c r="N9811" s="501">
        <v>0</v>
      </c>
      <c r="O9811" s="506">
        <v>3</v>
      </c>
    </row>
    <row r="9812" spans="1:15" x14ac:dyDescent="0.35">
      <c r="A9812" s="503" t="s">
        <v>1093</v>
      </c>
      <c r="B9812" s="504" t="s">
        <v>3248</v>
      </c>
      <c r="C9812" s="504" t="s">
        <v>1094</v>
      </c>
      <c r="D9812" s="504" t="s">
        <v>3380</v>
      </c>
      <c r="E9812" s="504" t="s">
        <v>3381</v>
      </c>
      <c r="F9812" s="504" t="s">
        <v>417</v>
      </c>
      <c r="G9812" s="504" t="s">
        <v>3368</v>
      </c>
      <c r="H9812" s="504" t="s">
        <v>12312</v>
      </c>
      <c r="I9812" s="504">
        <v>1</v>
      </c>
      <c r="J9812" s="504">
        <v>0</v>
      </c>
      <c r="K9812" s="504">
        <v>0</v>
      </c>
      <c r="L9812" s="504">
        <v>0</v>
      </c>
      <c r="M9812" s="504">
        <v>0</v>
      </c>
      <c r="N9812" s="504">
        <v>0</v>
      </c>
      <c r="O9812" s="505">
        <v>1</v>
      </c>
    </row>
    <row r="9813" spans="1:15" x14ac:dyDescent="0.35">
      <c r="A9813" s="500" t="s">
        <v>1795</v>
      </c>
      <c r="B9813" s="501" t="s">
        <v>3018</v>
      </c>
      <c r="C9813" s="501" t="s">
        <v>1089</v>
      </c>
      <c r="D9813" s="501" t="s">
        <v>3392</v>
      </c>
      <c r="E9813" s="501" t="s">
        <v>3381</v>
      </c>
      <c r="F9813" s="501" t="s">
        <v>2</v>
      </c>
      <c r="G9813" s="501" t="s">
        <v>3368</v>
      </c>
      <c r="H9813" s="501" t="s">
        <v>12317</v>
      </c>
      <c r="I9813" s="501">
        <v>241</v>
      </c>
      <c r="J9813" s="501">
        <v>0</v>
      </c>
      <c r="K9813" s="501">
        <v>0</v>
      </c>
      <c r="L9813" s="501">
        <v>0</v>
      </c>
      <c r="M9813" s="501">
        <v>241</v>
      </c>
      <c r="N9813" s="501">
        <v>37</v>
      </c>
      <c r="O9813" s="506">
        <v>0</v>
      </c>
    </row>
    <row r="9814" spans="1:15" x14ac:dyDescent="0.35">
      <c r="A9814" s="503" t="s">
        <v>1612</v>
      </c>
      <c r="B9814" s="504" t="s">
        <v>2493</v>
      </c>
      <c r="C9814" s="504" t="s">
        <v>1089</v>
      </c>
      <c r="D9814" s="504" t="s">
        <v>3392</v>
      </c>
      <c r="E9814" s="504" t="s">
        <v>3381</v>
      </c>
      <c r="F9814" s="504" t="s">
        <v>417</v>
      </c>
      <c r="G9814" s="504" t="s">
        <v>3368</v>
      </c>
      <c r="H9814" s="504" t="s">
        <v>12318</v>
      </c>
      <c r="I9814" s="504">
        <v>31</v>
      </c>
      <c r="J9814" s="504">
        <v>31</v>
      </c>
      <c r="K9814" s="504">
        <v>0</v>
      </c>
      <c r="L9814" s="504">
        <v>0</v>
      </c>
      <c r="M9814" s="504">
        <v>0</v>
      </c>
      <c r="N9814" s="504">
        <v>3</v>
      </c>
      <c r="O9814" s="505">
        <v>0</v>
      </c>
    </row>
    <row r="9815" spans="1:15" x14ac:dyDescent="0.35">
      <c r="A9815" s="500" t="s">
        <v>1391</v>
      </c>
      <c r="B9815" s="501" t="s">
        <v>3297</v>
      </c>
      <c r="C9815" s="501" t="s">
        <v>1089</v>
      </c>
      <c r="D9815" s="501" t="s">
        <v>3392</v>
      </c>
      <c r="E9815" s="501" t="s">
        <v>3381</v>
      </c>
      <c r="F9815" s="501" t="s">
        <v>416</v>
      </c>
      <c r="G9815" s="501" t="s">
        <v>3368</v>
      </c>
      <c r="H9815" s="501" t="s">
        <v>12319</v>
      </c>
      <c r="I9815" s="501">
        <v>567</v>
      </c>
      <c r="J9815" s="501">
        <v>490</v>
      </c>
      <c r="K9815" s="501">
        <v>2</v>
      </c>
      <c r="L9815" s="501">
        <v>34</v>
      </c>
      <c r="M9815" s="501">
        <v>41</v>
      </c>
      <c r="N9815" s="501">
        <v>0</v>
      </c>
      <c r="O9815" s="506">
        <v>0</v>
      </c>
    </row>
    <row r="9816" spans="1:15" x14ac:dyDescent="0.35">
      <c r="A9816" s="503" t="s">
        <v>1391</v>
      </c>
      <c r="B9816" s="504" t="s">
        <v>3297</v>
      </c>
      <c r="C9816" s="504" t="s">
        <v>1089</v>
      </c>
      <c r="D9816" s="504" t="s">
        <v>3392</v>
      </c>
      <c r="E9816" s="504" t="s">
        <v>3381</v>
      </c>
      <c r="F9816" s="504" t="s">
        <v>418</v>
      </c>
      <c r="G9816" s="504" t="s">
        <v>3368</v>
      </c>
      <c r="H9816" s="504" t="s">
        <v>12320</v>
      </c>
      <c r="I9816" s="504">
        <v>66</v>
      </c>
      <c r="J9816" s="504">
        <v>59</v>
      </c>
      <c r="K9816" s="504">
        <v>0</v>
      </c>
      <c r="L9816" s="504">
        <v>0</v>
      </c>
      <c r="M9816" s="504">
        <v>7</v>
      </c>
      <c r="N9816" s="504">
        <v>0</v>
      </c>
      <c r="O9816" s="505">
        <v>0</v>
      </c>
    </row>
    <row r="9817" spans="1:15" x14ac:dyDescent="0.35">
      <c r="A9817" s="500" t="s">
        <v>1613</v>
      </c>
      <c r="B9817" s="501" t="s">
        <v>2791</v>
      </c>
      <c r="C9817" s="501" t="s">
        <v>1089</v>
      </c>
      <c r="D9817" s="501" t="s">
        <v>3392</v>
      </c>
      <c r="E9817" s="501" t="s">
        <v>3381</v>
      </c>
      <c r="F9817" s="501" t="s">
        <v>417</v>
      </c>
      <c r="G9817" s="501" t="s">
        <v>3368</v>
      </c>
      <c r="H9817" s="501" t="s">
        <v>12321</v>
      </c>
      <c r="I9817" s="501">
        <v>12</v>
      </c>
      <c r="J9817" s="501">
        <v>12</v>
      </c>
      <c r="K9817" s="501">
        <v>0</v>
      </c>
      <c r="L9817" s="501">
        <v>0</v>
      </c>
      <c r="M9817" s="501">
        <v>0</v>
      </c>
      <c r="N9817" s="501">
        <v>0</v>
      </c>
      <c r="O9817" s="506">
        <v>0</v>
      </c>
    </row>
    <row r="9818" spans="1:15" x14ac:dyDescent="0.35">
      <c r="A9818" s="503" t="s">
        <v>1268</v>
      </c>
      <c r="B9818" s="504" t="s">
        <v>2442</v>
      </c>
      <c r="C9818" s="504" t="s">
        <v>1089</v>
      </c>
      <c r="D9818" s="504" t="s">
        <v>3392</v>
      </c>
      <c r="E9818" s="504" t="s">
        <v>3381</v>
      </c>
      <c r="F9818" s="504" t="s">
        <v>415</v>
      </c>
      <c r="G9818" s="504" t="s">
        <v>3368</v>
      </c>
      <c r="H9818" s="504" t="s">
        <v>12322</v>
      </c>
      <c r="I9818" s="504">
        <v>14</v>
      </c>
      <c r="J9818" s="504">
        <v>14</v>
      </c>
      <c r="K9818" s="504">
        <v>0</v>
      </c>
      <c r="L9818" s="504">
        <v>0</v>
      </c>
      <c r="M9818" s="504">
        <v>0</v>
      </c>
      <c r="N9818" s="504">
        <v>0</v>
      </c>
      <c r="O9818" s="505">
        <v>0</v>
      </c>
    </row>
    <row r="9819" spans="1:15" x14ac:dyDescent="0.35">
      <c r="A9819" s="500" t="s">
        <v>1148</v>
      </c>
      <c r="B9819" s="501">
        <v>4741</v>
      </c>
      <c r="C9819" s="501" t="s">
        <v>1089</v>
      </c>
      <c r="D9819" s="501" t="s">
        <v>3392</v>
      </c>
      <c r="E9819" s="501" t="s">
        <v>3381</v>
      </c>
      <c r="F9819" s="501" t="s">
        <v>1048</v>
      </c>
      <c r="G9819" s="501" t="s">
        <v>3368</v>
      </c>
      <c r="H9819" s="501" t="s">
        <v>13946</v>
      </c>
      <c r="I9819" s="501">
        <v>129</v>
      </c>
      <c r="J9819" s="501">
        <v>129</v>
      </c>
      <c r="K9819" s="501">
        <v>0</v>
      </c>
      <c r="L9819" s="501">
        <v>0</v>
      </c>
      <c r="M9819" s="501">
        <v>0</v>
      </c>
      <c r="N9819" s="501">
        <v>0</v>
      </c>
      <c r="O9819" s="506">
        <v>0</v>
      </c>
    </row>
    <row r="9820" spans="1:15" x14ac:dyDescent="0.35">
      <c r="A9820" s="503" t="s">
        <v>1148</v>
      </c>
      <c r="B9820" s="504">
        <v>4741</v>
      </c>
      <c r="C9820" s="504" t="s">
        <v>1089</v>
      </c>
      <c r="D9820" s="504" t="s">
        <v>3392</v>
      </c>
      <c r="E9820" s="504" t="s">
        <v>3381</v>
      </c>
      <c r="F9820" s="504" t="s">
        <v>414</v>
      </c>
      <c r="G9820" s="504" t="s">
        <v>3368</v>
      </c>
      <c r="H9820" s="504" t="s">
        <v>12323</v>
      </c>
      <c r="I9820" s="504">
        <v>93</v>
      </c>
      <c r="J9820" s="504">
        <v>93</v>
      </c>
      <c r="K9820" s="504">
        <v>0</v>
      </c>
      <c r="L9820" s="504">
        <v>0</v>
      </c>
      <c r="M9820" s="504">
        <v>0</v>
      </c>
      <c r="N9820" s="504">
        <v>0</v>
      </c>
      <c r="O9820" s="505">
        <v>0</v>
      </c>
    </row>
    <row r="9821" spans="1:15" x14ac:dyDescent="0.35">
      <c r="A9821" s="500" t="s">
        <v>1796</v>
      </c>
      <c r="B9821" s="501" t="s">
        <v>2824</v>
      </c>
      <c r="C9821" s="501" t="s">
        <v>1089</v>
      </c>
      <c r="D9821" s="501" t="s">
        <v>3392</v>
      </c>
      <c r="E9821" s="501" t="s">
        <v>3381</v>
      </c>
      <c r="F9821" s="501" t="s">
        <v>2</v>
      </c>
      <c r="G9821" s="501" t="s">
        <v>3368</v>
      </c>
      <c r="H9821" s="501" t="s">
        <v>12324</v>
      </c>
      <c r="I9821" s="501">
        <v>46</v>
      </c>
      <c r="J9821" s="501">
        <v>46</v>
      </c>
      <c r="K9821" s="501">
        <v>0</v>
      </c>
      <c r="L9821" s="501">
        <v>0</v>
      </c>
      <c r="M9821" s="501">
        <v>0</v>
      </c>
      <c r="N9821" s="501">
        <v>0</v>
      </c>
      <c r="O9821" s="506">
        <v>0</v>
      </c>
    </row>
    <row r="9822" spans="1:15" x14ac:dyDescent="0.35">
      <c r="A9822" s="503" t="s">
        <v>1797</v>
      </c>
      <c r="B9822" s="504" t="s">
        <v>2599</v>
      </c>
      <c r="C9822" s="504" t="s">
        <v>1089</v>
      </c>
      <c r="D9822" s="504" t="s">
        <v>3392</v>
      </c>
      <c r="E9822" s="504" t="s">
        <v>3381</v>
      </c>
      <c r="F9822" s="504" t="s">
        <v>2</v>
      </c>
      <c r="G9822" s="504" t="s">
        <v>3368</v>
      </c>
      <c r="H9822" s="504" t="s">
        <v>12325</v>
      </c>
      <c r="I9822" s="504">
        <v>10</v>
      </c>
      <c r="J9822" s="504">
        <v>0</v>
      </c>
      <c r="K9822" s="504">
        <v>0</v>
      </c>
      <c r="L9822" s="504">
        <v>0</v>
      </c>
      <c r="M9822" s="504">
        <v>10</v>
      </c>
      <c r="N9822" s="504">
        <v>0</v>
      </c>
      <c r="O9822" s="505">
        <v>0</v>
      </c>
    </row>
    <row r="9823" spans="1:15" x14ac:dyDescent="0.35">
      <c r="A9823" s="500" t="s">
        <v>2135</v>
      </c>
      <c r="B9823" s="501" t="s">
        <v>2563</v>
      </c>
      <c r="C9823" s="501" t="s">
        <v>1089</v>
      </c>
      <c r="D9823" s="501" t="s">
        <v>3392</v>
      </c>
      <c r="E9823" s="501" t="s">
        <v>3381</v>
      </c>
      <c r="F9823" s="501" t="s">
        <v>1048</v>
      </c>
      <c r="G9823" s="501" t="s">
        <v>3368</v>
      </c>
      <c r="H9823" s="501" t="s">
        <v>13947</v>
      </c>
      <c r="I9823" s="501">
        <v>6</v>
      </c>
      <c r="J9823" s="501">
        <v>6</v>
      </c>
      <c r="K9823" s="501">
        <v>0</v>
      </c>
      <c r="L9823" s="501">
        <v>0</v>
      </c>
      <c r="M9823" s="501">
        <v>0</v>
      </c>
      <c r="N9823" s="501">
        <v>0</v>
      </c>
      <c r="O9823" s="506">
        <v>0</v>
      </c>
    </row>
    <row r="9824" spans="1:15" x14ac:dyDescent="0.35">
      <c r="A9824" s="503" t="s">
        <v>1392</v>
      </c>
      <c r="B9824" s="504" t="s">
        <v>2477</v>
      </c>
      <c r="C9824" s="504" t="s">
        <v>1089</v>
      </c>
      <c r="D9824" s="504" t="s">
        <v>3392</v>
      </c>
      <c r="E9824" s="504" t="s">
        <v>3381</v>
      </c>
      <c r="F9824" s="504" t="s">
        <v>416</v>
      </c>
      <c r="G9824" s="504" t="s">
        <v>3368</v>
      </c>
      <c r="H9824" s="504" t="s">
        <v>12326</v>
      </c>
      <c r="I9824" s="504">
        <v>12</v>
      </c>
      <c r="J9824" s="504">
        <v>0</v>
      </c>
      <c r="K9824" s="504">
        <v>0</v>
      </c>
      <c r="L9824" s="504">
        <v>0</v>
      </c>
      <c r="M9824" s="504">
        <v>12</v>
      </c>
      <c r="N9824" s="504">
        <v>0</v>
      </c>
      <c r="O9824" s="505">
        <v>0</v>
      </c>
    </row>
    <row r="9825" spans="1:15" x14ac:dyDescent="0.35">
      <c r="A9825" s="500" t="s">
        <v>14135</v>
      </c>
      <c r="B9825" s="501" t="s">
        <v>14134</v>
      </c>
      <c r="C9825" s="501" t="s">
        <v>1089</v>
      </c>
      <c r="D9825" s="501" t="s">
        <v>3392</v>
      </c>
      <c r="E9825" s="501" t="s">
        <v>3381</v>
      </c>
      <c r="F9825" s="501" t="s">
        <v>419</v>
      </c>
      <c r="G9825" s="501" t="s">
        <v>3368</v>
      </c>
      <c r="H9825" s="501" t="s">
        <v>15341</v>
      </c>
      <c r="I9825" s="501">
        <v>17</v>
      </c>
      <c r="J9825" s="501">
        <v>0</v>
      </c>
      <c r="K9825" s="501">
        <v>0</v>
      </c>
      <c r="L9825" s="501">
        <v>0</v>
      </c>
      <c r="M9825" s="501">
        <v>17</v>
      </c>
      <c r="N9825" s="501">
        <v>0</v>
      </c>
      <c r="O9825" s="506">
        <v>0</v>
      </c>
    </row>
    <row r="9826" spans="1:15" x14ac:dyDescent="0.35">
      <c r="A9826" s="503" t="s">
        <v>1798</v>
      </c>
      <c r="B9826" s="504" t="s">
        <v>2554</v>
      </c>
      <c r="C9826" s="504" t="s">
        <v>1089</v>
      </c>
      <c r="D9826" s="504" t="s">
        <v>3392</v>
      </c>
      <c r="E9826" s="504" t="s">
        <v>3381</v>
      </c>
      <c r="F9826" s="504" t="s">
        <v>2</v>
      </c>
      <c r="G9826" s="504" t="s">
        <v>3368</v>
      </c>
      <c r="H9826" s="504" t="s">
        <v>12327</v>
      </c>
      <c r="I9826" s="504">
        <v>12</v>
      </c>
      <c r="J9826" s="504">
        <v>12</v>
      </c>
      <c r="K9826" s="504">
        <v>0</v>
      </c>
      <c r="L9826" s="504">
        <v>0</v>
      </c>
      <c r="M9826" s="504">
        <v>0</v>
      </c>
      <c r="N9826" s="504">
        <v>0</v>
      </c>
      <c r="O9826" s="505">
        <v>0</v>
      </c>
    </row>
    <row r="9827" spans="1:15" x14ac:dyDescent="0.35">
      <c r="A9827" s="500" t="s">
        <v>1668</v>
      </c>
      <c r="B9827" s="501" t="s">
        <v>3035</v>
      </c>
      <c r="C9827" s="501" t="s">
        <v>1089</v>
      </c>
      <c r="D9827" s="501" t="s">
        <v>3392</v>
      </c>
      <c r="E9827" s="501" t="s">
        <v>3381</v>
      </c>
      <c r="F9827" s="501" t="s">
        <v>1048</v>
      </c>
      <c r="G9827" s="501" t="s">
        <v>3368</v>
      </c>
      <c r="H9827" s="501" t="s">
        <v>13948</v>
      </c>
      <c r="I9827" s="501">
        <v>140</v>
      </c>
      <c r="J9827" s="501">
        <v>0</v>
      </c>
      <c r="K9827" s="501">
        <v>0</v>
      </c>
      <c r="L9827" s="501">
        <v>0</v>
      </c>
      <c r="M9827" s="501">
        <v>140</v>
      </c>
      <c r="N9827" s="501">
        <v>0</v>
      </c>
      <c r="O9827" s="506">
        <v>0</v>
      </c>
    </row>
    <row r="9828" spans="1:15" x14ac:dyDescent="0.35">
      <c r="A9828" s="503" t="s">
        <v>1668</v>
      </c>
      <c r="B9828" s="504" t="s">
        <v>3035</v>
      </c>
      <c r="C9828" s="504" t="s">
        <v>1089</v>
      </c>
      <c r="D9828" s="504" t="s">
        <v>3392</v>
      </c>
      <c r="E9828" s="504" t="s">
        <v>3381</v>
      </c>
      <c r="F9828" s="504" t="s">
        <v>418</v>
      </c>
      <c r="G9828" s="504" t="s">
        <v>3368</v>
      </c>
      <c r="H9828" s="504" t="s">
        <v>12329</v>
      </c>
      <c r="I9828" s="504">
        <v>706</v>
      </c>
      <c r="J9828" s="504">
        <v>0</v>
      </c>
      <c r="K9828" s="504">
        <v>0</v>
      </c>
      <c r="L9828" s="504">
        <v>0</v>
      </c>
      <c r="M9828" s="504">
        <v>706</v>
      </c>
      <c r="N9828" s="504">
        <v>0</v>
      </c>
      <c r="O9828" s="505">
        <v>0</v>
      </c>
    </row>
    <row r="9829" spans="1:15" x14ac:dyDescent="0.35">
      <c r="A9829" s="500" t="s">
        <v>1668</v>
      </c>
      <c r="B9829" s="501" t="s">
        <v>3035</v>
      </c>
      <c r="C9829" s="501" t="s">
        <v>1089</v>
      </c>
      <c r="D9829" s="501" t="s">
        <v>3392</v>
      </c>
      <c r="E9829" s="501" t="s">
        <v>3381</v>
      </c>
      <c r="F9829" s="501" t="s">
        <v>420</v>
      </c>
      <c r="G9829" s="501" t="s">
        <v>3368</v>
      </c>
      <c r="H9829" s="501" t="s">
        <v>12328</v>
      </c>
      <c r="I9829" s="501">
        <v>114</v>
      </c>
      <c r="J9829" s="501">
        <v>0</v>
      </c>
      <c r="K9829" s="501">
        <v>0</v>
      </c>
      <c r="L9829" s="501">
        <v>0</v>
      </c>
      <c r="M9829" s="501">
        <v>114</v>
      </c>
      <c r="N9829" s="501">
        <v>0</v>
      </c>
      <c r="O9829" s="506">
        <v>0</v>
      </c>
    </row>
    <row r="9830" spans="1:15" x14ac:dyDescent="0.35">
      <c r="A9830" s="503" t="s">
        <v>2055</v>
      </c>
      <c r="B9830" s="504" t="s">
        <v>2729</v>
      </c>
      <c r="C9830" s="504" t="s">
        <v>1089</v>
      </c>
      <c r="D9830" s="504" t="s">
        <v>3392</v>
      </c>
      <c r="E9830" s="504" t="s">
        <v>3381</v>
      </c>
      <c r="F9830" s="504" t="s">
        <v>420</v>
      </c>
      <c r="G9830" s="504" t="s">
        <v>3368</v>
      </c>
      <c r="H9830" s="504" t="s">
        <v>12330</v>
      </c>
      <c r="I9830" s="504">
        <v>33</v>
      </c>
      <c r="J9830" s="504">
        <v>33</v>
      </c>
      <c r="K9830" s="504">
        <v>0</v>
      </c>
      <c r="L9830" s="504">
        <v>0</v>
      </c>
      <c r="M9830" s="504">
        <v>0</v>
      </c>
      <c r="N9830" s="504">
        <v>0</v>
      </c>
      <c r="O9830" s="505">
        <v>0</v>
      </c>
    </row>
    <row r="9831" spans="1:15" x14ac:dyDescent="0.35">
      <c r="A9831" s="500" t="s">
        <v>1669</v>
      </c>
      <c r="B9831" s="501" t="s">
        <v>2674</v>
      </c>
      <c r="C9831" s="501" t="s">
        <v>1089</v>
      </c>
      <c r="D9831" s="501" t="s">
        <v>3392</v>
      </c>
      <c r="E9831" s="501" t="s">
        <v>3381</v>
      </c>
      <c r="F9831" s="501" t="s">
        <v>418</v>
      </c>
      <c r="G9831" s="501" t="s">
        <v>3368</v>
      </c>
      <c r="H9831" s="501" t="s">
        <v>12331</v>
      </c>
      <c r="I9831" s="501">
        <v>138</v>
      </c>
      <c r="J9831" s="501">
        <v>138</v>
      </c>
      <c r="K9831" s="501">
        <v>0</v>
      </c>
      <c r="L9831" s="501">
        <v>0</v>
      </c>
      <c r="M9831" s="501">
        <v>0</v>
      </c>
      <c r="N9831" s="501">
        <v>0</v>
      </c>
      <c r="O9831" s="506">
        <v>0</v>
      </c>
    </row>
    <row r="9832" spans="1:15" x14ac:dyDescent="0.35">
      <c r="A9832" s="503" t="s">
        <v>11380</v>
      </c>
      <c r="B9832" s="504" t="s">
        <v>11447</v>
      </c>
      <c r="C9832" s="504" t="s">
        <v>1089</v>
      </c>
      <c r="D9832" s="504" t="s">
        <v>3392</v>
      </c>
      <c r="E9832" s="504" t="s">
        <v>3381</v>
      </c>
      <c r="F9832" s="504" t="s">
        <v>416</v>
      </c>
      <c r="G9832" s="504" t="s">
        <v>3368</v>
      </c>
      <c r="H9832" s="504" t="s">
        <v>12332</v>
      </c>
      <c r="I9832" s="504">
        <v>1</v>
      </c>
      <c r="J9832" s="504">
        <v>1</v>
      </c>
      <c r="K9832" s="504">
        <v>0</v>
      </c>
      <c r="L9832" s="504">
        <v>0</v>
      </c>
      <c r="M9832" s="504">
        <v>0</v>
      </c>
      <c r="N9832" s="504">
        <v>0</v>
      </c>
      <c r="O9832" s="505">
        <v>0</v>
      </c>
    </row>
    <row r="9833" spans="1:15" x14ac:dyDescent="0.35">
      <c r="A9833" s="500" t="s">
        <v>1096</v>
      </c>
      <c r="B9833" s="501" t="s">
        <v>3326</v>
      </c>
      <c r="C9833" s="501" t="s">
        <v>1094</v>
      </c>
      <c r="D9833" s="501" t="s">
        <v>3380</v>
      </c>
      <c r="E9833" s="501" t="s">
        <v>3381</v>
      </c>
      <c r="F9833" s="501" t="s">
        <v>1048</v>
      </c>
      <c r="G9833" s="501" t="s">
        <v>3368</v>
      </c>
      <c r="H9833" s="501" t="s">
        <v>13949</v>
      </c>
      <c r="I9833" s="501">
        <v>5006</v>
      </c>
      <c r="J9833" s="501">
        <v>8</v>
      </c>
      <c r="K9833" s="501">
        <v>0</v>
      </c>
      <c r="L9833" s="501">
        <v>0</v>
      </c>
      <c r="M9833" s="501">
        <v>4800</v>
      </c>
      <c r="N9833" s="501">
        <v>37</v>
      </c>
      <c r="O9833" s="506">
        <v>198</v>
      </c>
    </row>
    <row r="9834" spans="1:15" x14ac:dyDescent="0.35">
      <c r="A9834" s="503" t="s">
        <v>1096</v>
      </c>
      <c r="B9834" s="504" t="s">
        <v>3326</v>
      </c>
      <c r="C9834" s="504" t="s">
        <v>1094</v>
      </c>
      <c r="D9834" s="504" t="s">
        <v>3380</v>
      </c>
      <c r="E9834" s="504" t="s">
        <v>3381</v>
      </c>
      <c r="F9834" s="504" t="s">
        <v>418</v>
      </c>
      <c r="G9834" s="504" t="s">
        <v>3368</v>
      </c>
      <c r="H9834" s="504" t="s">
        <v>12338</v>
      </c>
      <c r="I9834" s="504">
        <v>6477</v>
      </c>
      <c r="J9834" s="504">
        <v>62</v>
      </c>
      <c r="K9834" s="504">
        <v>0</v>
      </c>
      <c r="L9834" s="504">
        <v>0</v>
      </c>
      <c r="M9834" s="504">
        <v>6175</v>
      </c>
      <c r="N9834" s="504">
        <v>0</v>
      </c>
      <c r="O9834" s="505">
        <v>240</v>
      </c>
    </row>
    <row r="9835" spans="1:15" x14ac:dyDescent="0.35">
      <c r="A9835" s="500" t="s">
        <v>1096</v>
      </c>
      <c r="B9835" s="501" t="s">
        <v>3326</v>
      </c>
      <c r="C9835" s="501" t="s">
        <v>1094</v>
      </c>
      <c r="D9835" s="501" t="s">
        <v>3380</v>
      </c>
      <c r="E9835" s="501" t="s">
        <v>3381</v>
      </c>
      <c r="F9835" s="501" t="s">
        <v>414</v>
      </c>
      <c r="G9835" s="501" t="s">
        <v>3368</v>
      </c>
      <c r="H9835" s="501" t="s">
        <v>12337</v>
      </c>
      <c r="I9835" s="501">
        <v>2118</v>
      </c>
      <c r="J9835" s="501">
        <v>18</v>
      </c>
      <c r="K9835" s="501">
        <v>0</v>
      </c>
      <c r="L9835" s="501">
        <v>0</v>
      </c>
      <c r="M9835" s="501">
        <v>2088</v>
      </c>
      <c r="N9835" s="501">
        <v>4</v>
      </c>
      <c r="O9835" s="506">
        <v>12</v>
      </c>
    </row>
    <row r="9836" spans="1:15" x14ac:dyDescent="0.35">
      <c r="A9836" s="503" t="s">
        <v>1096</v>
      </c>
      <c r="B9836" s="504" t="s">
        <v>3326</v>
      </c>
      <c r="C9836" s="504" t="s">
        <v>1094</v>
      </c>
      <c r="D9836" s="504" t="s">
        <v>3380</v>
      </c>
      <c r="E9836" s="504" t="s">
        <v>3381</v>
      </c>
      <c r="F9836" s="504" t="s">
        <v>419</v>
      </c>
      <c r="G9836" s="504" t="s">
        <v>3368</v>
      </c>
      <c r="H9836" s="504" t="s">
        <v>12333</v>
      </c>
      <c r="I9836" s="504">
        <v>2812</v>
      </c>
      <c r="J9836" s="504">
        <v>14</v>
      </c>
      <c r="K9836" s="504">
        <v>0</v>
      </c>
      <c r="L9836" s="504">
        <v>0</v>
      </c>
      <c r="M9836" s="504">
        <v>2598</v>
      </c>
      <c r="N9836" s="504">
        <v>0</v>
      </c>
      <c r="O9836" s="505">
        <v>200</v>
      </c>
    </row>
    <row r="9837" spans="1:15" x14ac:dyDescent="0.35">
      <c r="A9837" s="500" t="s">
        <v>1096</v>
      </c>
      <c r="B9837" s="501" t="s">
        <v>3326</v>
      </c>
      <c r="C9837" s="501" t="s">
        <v>1094</v>
      </c>
      <c r="D9837" s="501" t="s">
        <v>3380</v>
      </c>
      <c r="E9837" s="501" t="s">
        <v>3381</v>
      </c>
      <c r="F9837" s="501" t="s">
        <v>420</v>
      </c>
      <c r="G9837" s="501" t="s">
        <v>3368</v>
      </c>
      <c r="H9837" s="501" t="s">
        <v>12340</v>
      </c>
      <c r="I9837" s="501">
        <v>2647</v>
      </c>
      <c r="J9837" s="501">
        <v>3</v>
      </c>
      <c r="K9837" s="501">
        <v>0</v>
      </c>
      <c r="L9837" s="501">
        <v>0</v>
      </c>
      <c r="M9837" s="501">
        <v>2419</v>
      </c>
      <c r="N9837" s="501">
        <v>22</v>
      </c>
      <c r="O9837" s="506">
        <v>225</v>
      </c>
    </row>
    <row r="9838" spans="1:15" x14ac:dyDescent="0.35">
      <c r="A9838" s="503" t="s">
        <v>1096</v>
      </c>
      <c r="B9838" s="504" t="s">
        <v>3326</v>
      </c>
      <c r="C9838" s="504" t="s">
        <v>1094</v>
      </c>
      <c r="D9838" s="504" t="s">
        <v>3380</v>
      </c>
      <c r="E9838" s="504" t="s">
        <v>3381</v>
      </c>
      <c r="F9838" s="504" t="s">
        <v>417</v>
      </c>
      <c r="G9838" s="504" t="s">
        <v>3368</v>
      </c>
      <c r="H9838" s="504" t="s">
        <v>12339</v>
      </c>
      <c r="I9838" s="504">
        <v>4737</v>
      </c>
      <c r="J9838" s="504">
        <v>0</v>
      </c>
      <c r="K9838" s="504">
        <v>0</v>
      </c>
      <c r="L9838" s="504">
        <v>0</v>
      </c>
      <c r="M9838" s="504">
        <v>4617</v>
      </c>
      <c r="N9838" s="504">
        <v>28</v>
      </c>
      <c r="O9838" s="505">
        <v>120</v>
      </c>
    </row>
    <row r="9839" spans="1:15" x14ac:dyDescent="0.35">
      <c r="A9839" s="500" t="s">
        <v>1096</v>
      </c>
      <c r="B9839" s="501" t="s">
        <v>3326</v>
      </c>
      <c r="C9839" s="501" t="s">
        <v>1094</v>
      </c>
      <c r="D9839" s="501" t="s">
        <v>3380</v>
      </c>
      <c r="E9839" s="501" t="s">
        <v>3381</v>
      </c>
      <c r="F9839" s="501" t="s">
        <v>415</v>
      </c>
      <c r="G9839" s="501" t="s">
        <v>3368</v>
      </c>
      <c r="H9839" s="501" t="s">
        <v>12336</v>
      </c>
      <c r="I9839" s="501">
        <v>3591</v>
      </c>
      <c r="J9839" s="501">
        <v>102</v>
      </c>
      <c r="K9839" s="501">
        <v>0</v>
      </c>
      <c r="L9839" s="501">
        <v>0</v>
      </c>
      <c r="M9839" s="501">
        <v>3471</v>
      </c>
      <c r="N9839" s="501">
        <v>25</v>
      </c>
      <c r="O9839" s="506">
        <v>18</v>
      </c>
    </row>
    <row r="9840" spans="1:15" x14ac:dyDescent="0.35">
      <c r="A9840" s="503" t="s">
        <v>1096</v>
      </c>
      <c r="B9840" s="504" t="s">
        <v>3326</v>
      </c>
      <c r="C9840" s="504" t="s">
        <v>1094</v>
      </c>
      <c r="D9840" s="504" t="s">
        <v>3380</v>
      </c>
      <c r="E9840" s="504" t="s">
        <v>3381</v>
      </c>
      <c r="F9840" s="504" t="s">
        <v>416</v>
      </c>
      <c r="G9840" s="504" t="s">
        <v>3368</v>
      </c>
      <c r="H9840" s="504" t="s">
        <v>12334</v>
      </c>
      <c r="I9840" s="504">
        <v>4451</v>
      </c>
      <c r="J9840" s="504">
        <v>11</v>
      </c>
      <c r="K9840" s="504">
        <v>0</v>
      </c>
      <c r="L9840" s="504">
        <v>0</v>
      </c>
      <c r="M9840" s="504">
        <v>4302</v>
      </c>
      <c r="N9840" s="504">
        <v>0</v>
      </c>
      <c r="O9840" s="505">
        <v>138</v>
      </c>
    </row>
    <row r="9841" spans="1:15" x14ac:dyDescent="0.35">
      <c r="A9841" s="500" t="s">
        <v>1096</v>
      </c>
      <c r="B9841" s="501" t="s">
        <v>3326</v>
      </c>
      <c r="C9841" s="501" t="s">
        <v>1094</v>
      </c>
      <c r="D9841" s="501" t="s">
        <v>3380</v>
      </c>
      <c r="E9841" s="501" t="s">
        <v>3381</v>
      </c>
      <c r="F9841" s="501" t="s">
        <v>2</v>
      </c>
      <c r="G9841" s="501" t="s">
        <v>3368</v>
      </c>
      <c r="H9841" s="501" t="s">
        <v>12335</v>
      </c>
      <c r="I9841" s="501">
        <v>5183</v>
      </c>
      <c r="J9841" s="501">
        <v>16</v>
      </c>
      <c r="K9841" s="501">
        <v>0</v>
      </c>
      <c r="L9841" s="501">
        <v>0</v>
      </c>
      <c r="M9841" s="501">
        <v>4915</v>
      </c>
      <c r="N9841" s="501">
        <v>8</v>
      </c>
      <c r="O9841" s="506">
        <v>252</v>
      </c>
    </row>
    <row r="9842" spans="1:15" x14ac:dyDescent="0.35">
      <c r="A9842" s="503" t="s">
        <v>1799</v>
      </c>
      <c r="B9842" s="504">
        <v>4722</v>
      </c>
      <c r="C9842" s="504" t="s">
        <v>1089</v>
      </c>
      <c r="D9842" s="504" t="s">
        <v>3392</v>
      </c>
      <c r="E9842" s="504" t="s">
        <v>3381</v>
      </c>
      <c r="F9842" s="504" t="s">
        <v>2</v>
      </c>
      <c r="G9842" s="504" t="s">
        <v>3368</v>
      </c>
      <c r="H9842" s="504" t="s">
        <v>12341</v>
      </c>
      <c r="I9842" s="504">
        <v>97</v>
      </c>
      <c r="J9842" s="504">
        <v>0</v>
      </c>
      <c r="K9842" s="504">
        <v>0</v>
      </c>
      <c r="L9842" s="504">
        <v>97</v>
      </c>
      <c r="M9842" s="504">
        <v>0</v>
      </c>
      <c r="N9842" s="504">
        <v>0</v>
      </c>
      <c r="O9842" s="505">
        <v>0</v>
      </c>
    </row>
    <row r="9843" spans="1:15" x14ac:dyDescent="0.35">
      <c r="A9843" s="500" t="s">
        <v>11448</v>
      </c>
      <c r="B9843" s="501" t="s">
        <v>2682</v>
      </c>
      <c r="C9843" s="501" t="s">
        <v>1089</v>
      </c>
      <c r="D9843" s="501" t="s">
        <v>3392</v>
      </c>
      <c r="E9843" s="501" t="s">
        <v>3381</v>
      </c>
      <c r="F9843" s="501" t="s">
        <v>416</v>
      </c>
      <c r="G9843" s="501" t="s">
        <v>3368</v>
      </c>
      <c r="H9843" s="501" t="s">
        <v>12342</v>
      </c>
      <c r="I9843" s="501">
        <v>49</v>
      </c>
      <c r="J9843" s="501">
        <v>49</v>
      </c>
      <c r="K9843" s="501">
        <v>0</v>
      </c>
      <c r="L9843" s="501">
        <v>0</v>
      </c>
      <c r="M9843" s="501">
        <v>0</v>
      </c>
      <c r="N9843" s="501">
        <v>0</v>
      </c>
      <c r="O9843" s="506">
        <v>0</v>
      </c>
    </row>
    <row r="9844" spans="1:15" x14ac:dyDescent="0.35">
      <c r="A9844" s="503" t="s">
        <v>1800</v>
      </c>
      <c r="B9844" s="504" t="s">
        <v>2524</v>
      </c>
      <c r="C9844" s="504" t="s">
        <v>1089</v>
      </c>
      <c r="D9844" s="504" t="s">
        <v>3392</v>
      </c>
      <c r="E9844" s="504" t="s">
        <v>3381</v>
      </c>
      <c r="F9844" s="504" t="s">
        <v>2</v>
      </c>
      <c r="G9844" s="504" t="s">
        <v>3368</v>
      </c>
      <c r="H9844" s="504" t="s">
        <v>12343</v>
      </c>
      <c r="I9844" s="504">
        <v>6</v>
      </c>
      <c r="J9844" s="504">
        <v>0</v>
      </c>
      <c r="K9844" s="504">
        <v>0</v>
      </c>
      <c r="L9844" s="504">
        <v>0</v>
      </c>
      <c r="M9844" s="504">
        <v>6</v>
      </c>
      <c r="N9844" s="504">
        <v>0</v>
      </c>
      <c r="O9844" s="505">
        <v>0</v>
      </c>
    </row>
    <row r="9845" spans="1:15" x14ac:dyDescent="0.35">
      <c r="A9845" s="500" t="s">
        <v>11361</v>
      </c>
      <c r="B9845" s="501" t="s">
        <v>2603</v>
      </c>
      <c r="C9845" s="501" t="s">
        <v>1089</v>
      </c>
      <c r="D9845" s="501" t="s">
        <v>3392</v>
      </c>
      <c r="E9845" s="501" t="s">
        <v>3381</v>
      </c>
      <c r="F9845" s="501" t="s">
        <v>414</v>
      </c>
      <c r="G9845" s="501" t="s">
        <v>3368</v>
      </c>
      <c r="H9845" s="501" t="s">
        <v>12344</v>
      </c>
      <c r="I9845" s="501">
        <v>33</v>
      </c>
      <c r="J9845" s="501">
        <v>33</v>
      </c>
      <c r="K9845" s="501">
        <v>0</v>
      </c>
      <c r="L9845" s="501">
        <v>0</v>
      </c>
      <c r="M9845" s="501">
        <v>0</v>
      </c>
      <c r="N9845" s="501">
        <v>0</v>
      </c>
      <c r="O9845" s="506">
        <v>0</v>
      </c>
    </row>
    <row r="9846" spans="1:15" x14ac:dyDescent="0.35">
      <c r="A9846" s="503" t="s">
        <v>1393</v>
      </c>
      <c r="B9846" s="504" t="s">
        <v>3194</v>
      </c>
      <c r="C9846" s="504" t="s">
        <v>1089</v>
      </c>
      <c r="D9846" s="504" t="s">
        <v>3392</v>
      </c>
      <c r="E9846" s="504" t="s">
        <v>3381</v>
      </c>
      <c r="F9846" s="504" t="s">
        <v>416</v>
      </c>
      <c r="G9846" s="504" t="s">
        <v>3368</v>
      </c>
      <c r="H9846" s="504" t="s">
        <v>12345</v>
      </c>
      <c r="I9846" s="504">
        <v>115</v>
      </c>
      <c r="J9846" s="504">
        <v>115</v>
      </c>
      <c r="K9846" s="504">
        <v>0</v>
      </c>
      <c r="L9846" s="504">
        <v>0</v>
      </c>
      <c r="M9846" s="504">
        <v>0</v>
      </c>
      <c r="N9846" s="504">
        <v>0</v>
      </c>
      <c r="O9846" s="505">
        <v>0</v>
      </c>
    </row>
    <row r="9847" spans="1:15" x14ac:dyDescent="0.35">
      <c r="A9847" s="500" t="s">
        <v>1670</v>
      </c>
      <c r="B9847" s="501" t="s">
        <v>3125</v>
      </c>
      <c r="C9847" s="501" t="s">
        <v>1094</v>
      </c>
      <c r="D9847" s="501" t="s">
        <v>3380</v>
      </c>
      <c r="E9847" s="501" t="s">
        <v>3381</v>
      </c>
      <c r="F9847" s="501" t="s">
        <v>418</v>
      </c>
      <c r="G9847" s="501" t="s">
        <v>3368</v>
      </c>
      <c r="H9847" s="501" t="s">
        <v>12346</v>
      </c>
      <c r="I9847" s="501">
        <v>1098</v>
      </c>
      <c r="J9847" s="501">
        <v>945</v>
      </c>
      <c r="K9847" s="501">
        <v>0</v>
      </c>
      <c r="L9847" s="501">
        <v>0</v>
      </c>
      <c r="M9847" s="501">
        <v>147</v>
      </c>
      <c r="N9847" s="501">
        <v>0</v>
      </c>
      <c r="O9847" s="506">
        <v>6</v>
      </c>
    </row>
    <row r="9848" spans="1:15" x14ac:dyDescent="0.35">
      <c r="A9848" s="503" t="s">
        <v>1149</v>
      </c>
      <c r="B9848" s="504" t="s">
        <v>3261</v>
      </c>
      <c r="C9848" s="504" t="s">
        <v>1094</v>
      </c>
      <c r="D9848" s="504" t="s">
        <v>3380</v>
      </c>
      <c r="E9848" s="504" t="s">
        <v>3381</v>
      </c>
      <c r="F9848" s="504" t="s">
        <v>1048</v>
      </c>
      <c r="G9848" s="504" t="s">
        <v>3368</v>
      </c>
      <c r="H9848" s="504" t="s">
        <v>13950</v>
      </c>
      <c r="I9848" s="504">
        <v>1291</v>
      </c>
      <c r="J9848" s="504">
        <v>1142</v>
      </c>
      <c r="K9848" s="504">
        <v>0</v>
      </c>
      <c r="L9848" s="504">
        <v>48</v>
      </c>
      <c r="M9848" s="504">
        <v>0</v>
      </c>
      <c r="N9848" s="504">
        <v>0</v>
      </c>
      <c r="O9848" s="505">
        <v>101</v>
      </c>
    </row>
    <row r="9849" spans="1:15" x14ac:dyDescent="0.35">
      <c r="A9849" s="500" t="s">
        <v>1149</v>
      </c>
      <c r="B9849" s="501" t="s">
        <v>3261</v>
      </c>
      <c r="C9849" s="501" t="s">
        <v>1094</v>
      </c>
      <c r="D9849" s="501" t="s">
        <v>3380</v>
      </c>
      <c r="E9849" s="501" t="s">
        <v>3381</v>
      </c>
      <c r="F9849" s="501" t="s">
        <v>414</v>
      </c>
      <c r="G9849" s="501" t="s">
        <v>3368</v>
      </c>
      <c r="H9849" s="501" t="s">
        <v>12347</v>
      </c>
      <c r="I9849" s="501">
        <v>9</v>
      </c>
      <c r="J9849" s="501">
        <v>0</v>
      </c>
      <c r="K9849" s="501">
        <v>0</v>
      </c>
      <c r="L9849" s="501">
        <v>0</v>
      </c>
      <c r="M9849" s="501">
        <v>0</v>
      </c>
      <c r="N9849" s="501">
        <v>0</v>
      </c>
      <c r="O9849" s="506">
        <v>9</v>
      </c>
    </row>
    <row r="9850" spans="1:15" x14ac:dyDescent="0.35">
      <c r="A9850" s="503" t="s">
        <v>1150</v>
      </c>
      <c r="B9850" s="504" t="s">
        <v>2975</v>
      </c>
      <c r="C9850" s="504" t="s">
        <v>1094</v>
      </c>
      <c r="D9850" s="504" t="s">
        <v>3380</v>
      </c>
      <c r="E9850" s="504" t="s">
        <v>3381</v>
      </c>
      <c r="F9850" s="504" t="s">
        <v>418</v>
      </c>
      <c r="G9850" s="504" t="s">
        <v>3368</v>
      </c>
      <c r="H9850" s="504" t="s">
        <v>12349</v>
      </c>
      <c r="I9850" s="504">
        <v>1163</v>
      </c>
      <c r="J9850" s="504">
        <v>1094</v>
      </c>
      <c r="K9850" s="504">
        <v>0</v>
      </c>
      <c r="L9850" s="504">
        <v>0</v>
      </c>
      <c r="M9850" s="504">
        <v>0</v>
      </c>
      <c r="N9850" s="504">
        <v>0</v>
      </c>
      <c r="O9850" s="505">
        <v>69</v>
      </c>
    </row>
    <row r="9851" spans="1:15" x14ac:dyDescent="0.35">
      <c r="A9851" s="500" t="s">
        <v>1150</v>
      </c>
      <c r="B9851" s="501" t="s">
        <v>2975</v>
      </c>
      <c r="C9851" s="501" t="s">
        <v>1094</v>
      </c>
      <c r="D9851" s="501" t="s">
        <v>3380</v>
      </c>
      <c r="E9851" s="501" t="s">
        <v>3381</v>
      </c>
      <c r="F9851" s="501" t="s">
        <v>414</v>
      </c>
      <c r="G9851" s="501" t="s">
        <v>3368</v>
      </c>
      <c r="H9851" s="501" t="s">
        <v>12348</v>
      </c>
      <c r="I9851" s="501">
        <v>24</v>
      </c>
      <c r="J9851" s="501">
        <v>21</v>
      </c>
      <c r="K9851" s="501">
        <v>0</v>
      </c>
      <c r="L9851" s="501">
        <v>0</v>
      </c>
      <c r="M9851" s="501">
        <v>0</v>
      </c>
      <c r="N9851" s="501">
        <v>0</v>
      </c>
      <c r="O9851" s="506">
        <v>3</v>
      </c>
    </row>
    <row r="9852" spans="1:15" x14ac:dyDescent="0.35">
      <c r="A9852" s="503" t="s">
        <v>1269</v>
      </c>
      <c r="B9852" s="504" t="s">
        <v>2662</v>
      </c>
      <c r="C9852" s="504" t="s">
        <v>1089</v>
      </c>
      <c r="D9852" s="504" t="s">
        <v>3392</v>
      </c>
      <c r="E9852" s="504" t="s">
        <v>3381</v>
      </c>
      <c r="F9852" s="504" t="s">
        <v>415</v>
      </c>
      <c r="G9852" s="504" t="s">
        <v>3368</v>
      </c>
      <c r="H9852" s="504" t="s">
        <v>12350</v>
      </c>
      <c r="I9852" s="504">
        <v>84</v>
      </c>
      <c r="J9852" s="504">
        <v>9</v>
      </c>
      <c r="K9852" s="504">
        <v>75</v>
      </c>
      <c r="L9852" s="504">
        <v>0</v>
      </c>
      <c r="M9852" s="504">
        <v>0</v>
      </c>
      <c r="N9852" s="504">
        <v>0</v>
      </c>
      <c r="O9852" s="505">
        <v>0</v>
      </c>
    </row>
    <row r="9853" spans="1:15" x14ac:dyDescent="0.35">
      <c r="A9853" s="500" t="s">
        <v>1270</v>
      </c>
      <c r="B9853" s="501" t="s">
        <v>3304</v>
      </c>
      <c r="C9853" s="501" t="s">
        <v>1089</v>
      </c>
      <c r="D9853" s="501" t="s">
        <v>3392</v>
      </c>
      <c r="E9853" s="501" t="s">
        <v>3381</v>
      </c>
      <c r="F9853" s="501" t="s">
        <v>416</v>
      </c>
      <c r="G9853" s="501" t="s">
        <v>3368</v>
      </c>
      <c r="H9853" s="501" t="s">
        <v>12352</v>
      </c>
      <c r="I9853" s="501">
        <v>873</v>
      </c>
      <c r="J9853" s="501">
        <v>850</v>
      </c>
      <c r="K9853" s="501">
        <v>0</v>
      </c>
      <c r="L9853" s="501">
        <v>23</v>
      </c>
      <c r="M9853" s="501">
        <v>0</v>
      </c>
      <c r="N9853" s="501">
        <v>0</v>
      </c>
      <c r="O9853" s="506">
        <v>0</v>
      </c>
    </row>
    <row r="9854" spans="1:15" x14ac:dyDescent="0.35">
      <c r="A9854" s="503" t="s">
        <v>1270</v>
      </c>
      <c r="B9854" s="504" t="s">
        <v>3304</v>
      </c>
      <c r="C9854" s="504" t="s">
        <v>1089</v>
      </c>
      <c r="D9854" s="504" t="s">
        <v>3392</v>
      </c>
      <c r="E9854" s="504" t="s">
        <v>3381</v>
      </c>
      <c r="F9854" s="504" t="s">
        <v>415</v>
      </c>
      <c r="G9854" s="504" t="s">
        <v>3368</v>
      </c>
      <c r="H9854" s="504" t="s">
        <v>12351</v>
      </c>
      <c r="I9854" s="504">
        <v>17</v>
      </c>
      <c r="J9854" s="504">
        <v>17</v>
      </c>
      <c r="K9854" s="504">
        <v>0</v>
      </c>
      <c r="L9854" s="504">
        <v>0</v>
      </c>
      <c r="M9854" s="504">
        <v>0</v>
      </c>
      <c r="N9854" s="504">
        <v>0</v>
      </c>
      <c r="O9854" s="505">
        <v>0</v>
      </c>
    </row>
    <row r="9855" spans="1:15" x14ac:dyDescent="0.35">
      <c r="A9855" s="500" t="s">
        <v>11381</v>
      </c>
      <c r="B9855" s="501" t="s">
        <v>11449</v>
      </c>
      <c r="C9855" s="501" t="s">
        <v>1089</v>
      </c>
      <c r="D9855" s="501" t="s">
        <v>3392</v>
      </c>
      <c r="E9855" s="501" t="s">
        <v>3381</v>
      </c>
      <c r="F9855" s="501" t="s">
        <v>416</v>
      </c>
      <c r="G9855" s="501" t="s">
        <v>3368</v>
      </c>
      <c r="H9855" s="501" t="s">
        <v>12353</v>
      </c>
      <c r="I9855" s="501">
        <v>65</v>
      </c>
      <c r="J9855" s="501">
        <v>61</v>
      </c>
      <c r="K9855" s="501">
        <v>4</v>
      </c>
      <c r="L9855" s="501">
        <v>0</v>
      </c>
      <c r="M9855" s="501">
        <v>0</v>
      </c>
      <c r="N9855" s="501">
        <v>0</v>
      </c>
      <c r="O9855" s="506">
        <v>0</v>
      </c>
    </row>
    <row r="9856" spans="1:15" x14ac:dyDescent="0.35">
      <c r="A9856" s="503" t="s">
        <v>1151</v>
      </c>
      <c r="B9856" s="504">
        <v>4726</v>
      </c>
      <c r="C9856" s="504" t="s">
        <v>1089</v>
      </c>
      <c r="D9856" s="504" t="s">
        <v>3392</v>
      </c>
      <c r="E9856" s="504" t="s">
        <v>3381</v>
      </c>
      <c r="F9856" s="504" t="s">
        <v>417</v>
      </c>
      <c r="G9856" s="504" t="s">
        <v>3368</v>
      </c>
      <c r="H9856" s="504" t="s">
        <v>12356</v>
      </c>
      <c r="I9856" s="504">
        <v>8</v>
      </c>
      <c r="J9856" s="504">
        <v>8</v>
      </c>
      <c r="K9856" s="504">
        <v>0</v>
      </c>
      <c r="L9856" s="504">
        <v>0</v>
      </c>
      <c r="M9856" s="504">
        <v>0</v>
      </c>
      <c r="N9856" s="504">
        <v>0</v>
      </c>
      <c r="O9856" s="505">
        <v>0</v>
      </c>
    </row>
    <row r="9857" spans="1:15" x14ac:dyDescent="0.35">
      <c r="A9857" s="500" t="s">
        <v>1151</v>
      </c>
      <c r="B9857" s="501">
        <v>4726</v>
      </c>
      <c r="C9857" s="501" t="s">
        <v>1089</v>
      </c>
      <c r="D9857" s="501" t="s">
        <v>3392</v>
      </c>
      <c r="E9857" s="501" t="s">
        <v>3381</v>
      </c>
      <c r="F9857" s="501" t="s">
        <v>2</v>
      </c>
      <c r="G9857" s="501" t="s">
        <v>3368</v>
      </c>
      <c r="H9857" s="501" t="s">
        <v>12354</v>
      </c>
      <c r="I9857" s="501">
        <v>1</v>
      </c>
      <c r="J9857" s="501">
        <v>1</v>
      </c>
      <c r="K9857" s="501">
        <v>0</v>
      </c>
      <c r="L9857" s="501">
        <v>0</v>
      </c>
      <c r="M9857" s="501">
        <v>0</v>
      </c>
      <c r="N9857" s="501">
        <v>0</v>
      </c>
      <c r="O9857" s="506">
        <v>0</v>
      </c>
    </row>
    <row r="9858" spans="1:15" x14ac:dyDescent="0.35">
      <c r="A9858" s="503" t="s">
        <v>1151</v>
      </c>
      <c r="B9858" s="504">
        <v>4726</v>
      </c>
      <c r="C9858" s="504" t="s">
        <v>1089</v>
      </c>
      <c r="D9858" s="504" t="s">
        <v>3392</v>
      </c>
      <c r="E9858" s="504" t="s">
        <v>3381</v>
      </c>
      <c r="F9858" s="504" t="s">
        <v>419</v>
      </c>
      <c r="G9858" s="504" t="s">
        <v>3368</v>
      </c>
      <c r="H9858" s="504" t="s">
        <v>15342</v>
      </c>
      <c r="I9858" s="504">
        <v>2</v>
      </c>
      <c r="J9858" s="504">
        <v>0</v>
      </c>
      <c r="K9858" s="504">
        <v>0</v>
      </c>
      <c r="L9858" s="504">
        <v>2</v>
      </c>
      <c r="M9858" s="504">
        <v>0</v>
      </c>
      <c r="N9858" s="504">
        <v>0</v>
      </c>
      <c r="O9858" s="505">
        <v>0</v>
      </c>
    </row>
    <row r="9859" spans="1:15" x14ac:dyDescent="0.35">
      <c r="A9859" s="500" t="s">
        <v>1151</v>
      </c>
      <c r="B9859" s="501">
        <v>4726</v>
      </c>
      <c r="C9859" s="501" t="s">
        <v>1089</v>
      </c>
      <c r="D9859" s="501" t="s">
        <v>3392</v>
      </c>
      <c r="E9859" s="501" t="s">
        <v>3381</v>
      </c>
      <c r="F9859" s="501" t="s">
        <v>416</v>
      </c>
      <c r="G9859" s="501" t="s">
        <v>3368</v>
      </c>
      <c r="H9859" s="501" t="s">
        <v>15343</v>
      </c>
      <c r="I9859" s="501">
        <v>34</v>
      </c>
      <c r="J9859" s="501">
        <v>0</v>
      </c>
      <c r="K9859" s="501">
        <v>0</v>
      </c>
      <c r="L9859" s="501">
        <v>34</v>
      </c>
      <c r="M9859" s="501">
        <v>0</v>
      </c>
      <c r="N9859" s="501">
        <v>0</v>
      </c>
      <c r="O9859" s="506">
        <v>0</v>
      </c>
    </row>
    <row r="9860" spans="1:15" x14ac:dyDescent="0.35">
      <c r="A9860" s="503" t="s">
        <v>1151</v>
      </c>
      <c r="B9860" s="504">
        <v>4726</v>
      </c>
      <c r="C9860" s="504" t="s">
        <v>1089</v>
      </c>
      <c r="D9860" s="504" t="s">
        <v>3392</v>
      </c>
      <c r="E9860" s="504" t="s">
        <v>3381</v>
      </c>
      <c r="F9860" s="504" t="s">
        <v>420</v>
      </c>
      <c r="G9860" s="504" t="s">
        <v>3368</v>
      </c>
      <c r="H9860" s="504" t="s">
        <v>15344</v>
      </c>
      <c r="I9860" s="504">
        <v>64</v>
      </c>
      <c r="J9860" s="504">
        <v>0</v>
      </c>
      <c r="K9860" s="504">
        <v>0</v>
      </c>
      <c r="L9860" s="504">
        <v>64</v>
      </c>
      <c r="M9860" s="504">
        <v>0</v>
      </c>
      <c r="N9860" s="504">
        <v>0</v>
      </c>
      <c r="O9860" s="505">
        <v>0</v>
      </c>
    </row>
    <row r="9861" spans="1:15" x14ac:dyDescent="0.35">
      <c r="A9861" s="500" t="s">
        <v>1151</v>
      </c>
      <c r="B9861" s="501">
        <v>4726</v>
      </c>
      <c r="C9861" s="501" t="s">
        <v>1089</v>
      </c>
      <c r="D9861" s="501" t="s">
        <v>3392</v>
      </c>
      <c r="E9861" s="501" t="s">
        <v>3381</v>
      </c>
      <c r="F9861" s="501" t="s">
        <v>418</v>
      </c>
      <c r="G9861" s="501" t="s">
        <v>3368</v>
      </c>
      <c r="H9861" s="501" t="s">
        <v>12357</v>
      </c>
      <c r="I9861" s="501">
        <v>64</v>
      </c>
      <c r="J9861" s="501">
        <v>64</v>
      </c>
      <c r="K9861" s="501">
        <v>0</v>
      </c>
      <c r="L9861" s="501">
        <v>0</v>
      </c>
      <c r="M9861" s="501">
        <v>0</v>
      </c>
      <c r="N9861" s="501">
        <v>0</v>
      </c>
      <c r="O9861" s="506">
        <v>0</v>
      </c>
    </row>
    <row r="9862" spans="1:15" x14ac:dyDescent="0.35">
      <c r="A9862" s="503" t="s">
        <v>1151</v>
      </c>
      <c r="B9862" s="504">
        <v>4726</v>
      </c>
      <c r="C9862" s="504" t="s">
        <v>1089</v>
      </c>
      <c r="D9862" s="504" t="s">
        <v>3392</v>
      </c>
      <c r="E9862" s="504" t="s">
        <v>3381</v>
      </c>
      <c r="F9862" s="504" t="s">
        <v>415</v>
      </c>
      <c r="G9862" s="504" t="s">
        <v>3368</v>
      </c>
      <c r="H9862" s="504" t="s">
        <v>15345</v>
      </c>
      <c r="I9862" s="504">
        <v>6</v>
      </c>
      <c r="J9862" s="504">
        <v>0</v>
      </c>
      <c r="K9862" s="504">
        <v>0</v>
      </c>
      <c r="L9862" s="504">
        <v>6</v>
      </c>
      <c r="M9862" s="504">
        <v>0</v>
      </c>
      <c r="N9862" s="504">
        <v>0</v>
      </c>
      <c r="O9862" s="505">
        <v>0</v>
      </c>
    </row>
    <row r="9863" spans="1:15" x14ac:dyDescent="0.35">
      <c r="A9863" s="500" t="s">
        <v>1151</v>
      </c>
      <c r="B9863" s="501">
        <v>4726</v>
      </c>
      <c r="C9863" s="501" t="s">
        <v>1089</v>
      </c>
      <c r="D9863" s="501" t="s">
        <v>3392</v>
      </c>
      <c r="E9863" s="501" t="s">
        <v>3381</v>
      </c>
      <c r="F9863" s="501" t="s">
        <v>1048</v>
      </c>
      <c r="G9863" s="501" t="s">
        <v>3368</v>
      </c>
      <c r="H9863" s="501" t="s">
        <v>13951</v>
      </c>
      <c r="I9863" s="501">
        <v>25</v>
      </c>
      <c r="J9863" s="501">
        <v>25</v>
      </c>
      <c r="K9863" s="501">
        <v>0</v>
      </c>
      <c r="L9863" s="501">
        <v>0</v>
      </c>
      <c r="M9863" s="501">
        <v>0</v>
      </c>
      <c r="N9863" s="501">
        <v>0</v>
      </c>
      <c r="O9863" s="506">
        <v>0</v>
      </c>
    </row>
    <row r="9864" spans="1:15" x14ac:dyDescent="0.35">
      <c r="A9864" s="503" t="s">
        <v>1151</v>
      </c>
      <c r="B9864" s="504">
        <v>4726</v>
      </c>
      <c r="C9864" s="504" t="s">
        <v>1089</v>
      </c>
      <c r="D9864" s="504" t="s">
        <v>3392</v>
      </c>
      <c r="E9864" s="504" t="s">
        <v>3381</v>
      </c>
      <c r="F9864" s="504" t="s">
        <v>414</v>
      </c>
      <c r="G9864" s="504" t="s">
        <v>3368</v>
      </c>
      <c r="H9864" s="504" t="s">
        <v>12355</v>
      </c>
      <c r="I9864" s="504">
        <v>1</v>
      </c>
      <c r="J9864" s="504">
        <v>1</v>
      </c>
      <c r="K9864" s="504">
        <v>0</v>
      </c>
      <c r="L9864" s="504">
        <v>0</v>
      </c>
      <c r="M9864" s="504">
        <v>0</v>
      </c>
      <c r="N9864" s="504">
        <v>0</v>
      </c>
      <c r="O9864" s="505">
        <v>0</v>
      </c>
    </row>
    <row r="9865" spans="1:15" x14ac:dyDescent="0.35">
      <c r="A9865" s="500" t="s">
        <v>1394</v>
      </c>
      <c r="B9865" s="501" t="s">
        <v>2749</v>
      </c>
      <c r="C9865" s="501" t="s">
        <v>1089</v>
      </c>
      <c r="D9865" s="501" t="s">
        <v>3392</v>
      </c>
      <c r="E9865" s="501" t="s">
        <v>3381</v>
      </c>
      <c r="F9865" s="501" t="s">
        <v>416</v>
      </c>
      <c r="G9865" s="501" t="s">
        <v>3368</v>
      </c>
      <c r="H9865" s="501" t="s">
        <v>12358</v>
      </c>
      <c r="I9865" s="501">
        <v>23</v>
      </c>
      <c r="J9865" s="501">
        <v>23</v>
      </c>
      <c r="K9865" s="501">
        <v>0</v>
      </c>
      <c r="L9865" s="501">
        <v>0</v>
      </c>
      <c r="M9865" s="501">
        <v>0</v>
      </c>
      <c r="N9865" s="501">
        <v>0</v>
      </c>
      <c r="O9865" s="506">
        <v>0</v>
      </c>
    </row>
    <row r="9866" spans="1:15" x14ac:dyDescent="0.35">
      <c r="A9866" s="503" t="s">
        <v>1271</v>
      </c>
      <c r="B9866" s="504">
        <v>4856</v>
      </c>
      <c r="C9866" s="504" t="s">
        <v>1089</v>
      </c>
      <c r="D9866" s="504" t="s">
        <v>3392</v>
      </c>
      <c r="E9866" s="504" t="s">
        <v>3381</v>
      </c>
      <c r="F9866" s="504" t="s">
        <v>415</v>
      </c>
      <c r="G9866" s="504" t="s">
        <v>3368</v>
      </c>
      <c r="H9866" s="504" t="s">
        <v>12359</v>
      </c>
      <c r="I9866" s="504">
        <v>6</v>
      </c>
      <c r="J9866" s="504">
        <v>6</v>
      </c>
      <c r="K9866" s="504">
        <v>0</v>
      </c>
      <c r="L9866" s="504">
        <v>0</v>
      </c>
      <c r="M9866" s="504">
        <v>0</v>
      </c>
      <c r="N9866" s="504">
        <v>0</v>
      </c>
      <c r="O9866" s="505">
        <v>0</v>
      </c>
    </row>
    <row r="9867" spans="1:15" x14ac:dyDescent="0.35">
      <c r="A9867" s="500" t="s">
        <v>1395</v>
      </c>
      <c r="B9867" s="501" t="s">
        <v>2806</v>
      </c>
      <c r="C9867" s="501" t="s">
        <v>1089</v>
      </c>
      <c r="D9867" s="501" t="s">
        <v>3392</v>
      </c>
      <c r="E9867" s="501" t="s">
        <v>3381</v>
      </c>
      <c r="F9867" s="501" t="s">
        <v>416</v>
      </c>
      <c r="G9867" s="501" t="s">
        <v>3368</v>
      </c>
      <c r="H9867" s="501" t="s">
        <v>12360</v>
      </c>
      <c r="I9867" s="501">
        <v>150</v>
      </c>
      <c r="J9867" s="501">
        <v>150</v>
      </c>
      <c r="K9867" s="501">
        <v>0</v>
      </c>
      <c r="L9867" s="501">
        <v>0</v>
      </c>
      <c r="M9867" s="501">
        <v>0</v>
      </c>
      <c r="N9867" s="501">
        <v>0</v>
      </c>
      <c r="O9867" s="506">
        <v>0</v>
      </c>
    </row>
    <row r="9868" spans="1:15" x14ac:dyDescent="0.35">
      <c r="A9868" s="503" t="s">
        <v>1152</v>
      </c>
      <c r="B9868" s="504" t="s">
        <v>2565</v>
      </c>
      <c r="C9868" s="504" t="s">
        <v>1089</v>
      </c>
      <c r="D9868" s="504" t="s">
        <v>3392</v>
      </c>
      <c r="E9868" s="504" t="s">
        <v>3381</v>
      </c>
      <c r="F9868" s="504" t="s">
        <v>414</v>
      </c>
      <c r="G9868" s="504" t="s">
        <v>3368</v>
      </c>
      <c r="H9868" s="504" t="s">
        <v>12361</v>
      </c>
      <c r="I9868" s="504">
        <v>46</v>
      </c>
      <c r="J9868" s="504">
        <v>46</v>
      </c>
      <c r="K9868" s="504">
        <v>0</v>
      </c>
      <c r="L9868" s="504">
        <v>0</v>
      </c>
      <c r="M9868" s="504">
        <v>0</v>
      </c>
      <c r="N9868" s="504">
        <v>0</v>
      </c>
      <c r="O9868" s="505">
        <v>0</v>
      </c>
    </row>
    <row r="9869" spans="1:15" x14ac:dyDescent="0.35">
      <c r="A9869" s="500" t="s">
        <v>1801</v>
      </c>
      <c r="B9869" s="501" t="s">
        <v>2828</v>
      </c>
      <c r="C9869" s="501" t="s">
        <v>1089</v>
      </c>
      <c r="D9869" s="501" t="s">
        <v>3392</v>
      </c>
      <c r="E9869" s="501" t="s">
        <v>3381</v>
      </c>
      <c r="F9869" s="501" t="s">
        <v>2</v>
      </c>
      <c r="G9869" s="501" t="s">
        <v>3368</v>
      </c>
      <c r="H9869" s="501" t="s">
        <v>12362</v>
      </c>
      <c r="I9869" s="501">
        <v>40</v>
      </c>
      <c r="J9869" s="501">
        <v>40</v>
      </c>
      <c r="K9869" s="501">
        <v>0</v>
      </c>
      <c r="L9869" s="501">
        <v>0</v>
      </c>
      <c r="M9869" s="501">
        <v>0</v>
      </c>
      <c r="N9869" s="501">
        <v>0</v>
      </c>
      <c r="O9869" s="506">
        <v>0</v>
      </c>
    </row>
    <row r="9870" spans="1:15" x14ac:dyDescent="0.35">
      <c r="A9870" s="503" t="s">
        <v>1948</v>
      </c>
      <c r="B9870" s="504">
        <v>4716</v>
      </c>
      <c r="C9870" s="504" t="s">
        <v>1089</v>
      </c>
      <c r="D9870" s="504" t="s">
        <v>3392</v>
      </c>
      <c r="E9870" s="504" t="s">
        <v>3381</v>
      </c>
      <c r="F9870" s="504" t="s">
        <v>420</v>
      </c>
      <c r="G9870" s="504" t="s">
        <v>3368</v>
      </c>
      <c r="H9870" s="504" t="s">
        <v>12363</v>
      </c>
      <c r="I9870" s="504">
        <v>374</v>
      </c>
      <c r="J9870" s="504">
        <v>0</v>
      </c>
      <c r="K9870" s="504">
        <v>0</v>
      </c>
      <c r="L9870" s="504">
        <v>374</v>
      </c>
      <c r="M9870" s="504">
        <v>0</v>
      </c>
      <c r="N9870" s="504">
        <v>0</v>
      </c>
      <c r="O9870" s="505">
        <v>0</v>
      </c>
    </row>
    <row r="9871" spans="1:15" x14ac:dyDescent="0.35">
      <c r="A9871" s="500" t="s">
        <v>1948</v>
      </c>
      <c r="B9871" s="501">
        <v>4716</v>
      </c>
      <c r="C9871" s="501" t="s">
        <v>1089</v>
      </c>
      <c r="D9871" s="501" t="s">
        <v>3392</v>
      </c>
      <c r="E9871" s="501" t="s">
        <v>3381</v>
      </c>
      <c r="F9871" s="501" t="s">
        <v>419</v>
      </c>
      <c r="G9871" s="501" t="s">
        <v>3368</v>
      </c>
      <c r="H9871" s="501" t="s">
        <v>12364</v>
      </c>
      <c r="I9871" s="501">
        <v>130</v>
      </c>
      <c r="J9871" s="501">
        <v>12</v>
      </c>
      <c r="K9871" s="501">
        <v>0</v>
      </c>
      <c r="L9871" s="501">
        <v>118</v>
      </c>
      <c r="M9871" s="501">
        <v>0</v>
      </c>
      <c r="N9871" s="501">
        <v>0</v>
      </c>
      <c r="O9871" s="506">
        <v>0</v>
      </c>
    </row>
    <row r="9872" spans="1:15" x14ac:dyDescent="0.35">
      <c r="A9872" s="503" t="s">
        <v>1671</v>
      </c>
      <c r="B9872" s="504" t="s">
        <v>3157</v>
      </c>
      <c r="C9872" s="504" t="s">
        <v>1089</v>
      </c>
      <c r="D9872" s="504" t="s">
        <v>3392</v>
      </c>
      <c r="E9872" s="504" t="s">
        <v>3381</v>
      </c>
      <c r="F9872" s="504" t="s">
        <v>418</v>
      </c>
      <c r="G9872" s="504" t="s">
        <v>3368</v>
      </c>
      <c r="H9872" s="504" t="s">
        <v>12365</v>
      </c>
      <c r="I9872" s="504">
        <v>954</v>
      </c>
      <c r="J9872" s="504">
        <v>954</v>
      </c>
      <c r="K9872" s="504">
        <v>0</v>
      </c>
      <c r="L9872" s="504">
        <v>0</v>
      </c>
      <c r="M9872" s="504">
        <v>0</v>
      </c>
      <c r="N9872" s="504">
        <v>0</v>
      </c>
      <c r="O9872" s="505">
        <v>0</v>
      </c>
    </row>
    <row r="9873" spans="1:15" x14ac:dyDescent="0.35">
      <c r="A9873" s="500" t="s">
        <v>1672</v>
      </c>
      <c r="B9873" s="501" t="s">
        <v>3166</v>
      </c>
      <c r="C9873" s="501" t="s">
        <v>1094</v>
      </c>
      <c r="D9873" s="501" t="s">
        <v>3380</v>
      </c>
      <c r="E9873" s="501" t="s">
        <v>3381</v>
      </c>
      <c r="F9873" s="501" t="s">
        <v>418</v>
      </c>
      <c r="G9873" s="501" t="s">
        <v>3368</v>
      </c>
      <c r="H9873" s="501" t="s">
        <v>12366</v>
      </c>
      <c r="I9873" s="501">
        <v>847</v>
      </c>
      <c r="J9873" s="501">
        <v>556</v>
      </c>
      <c r="K9873" s="501">
        <v>0</v>
      </c>
      <c r="L9873" s="501">
        <v>0</v>
      </c>
      <c r="M9873" s="501">
        <v>0</v>
      </c>
      <c r="N9873" s="501">
        <v>0</v>
      </c>
      <c r="O9873" s="506">
        <v>291</v>
      </c>
    </row>
    <row r="9874" spans="1:15" x14ac:dyDescent="0.35">
      <c r="A9874" s="503" t="s">
        <v>1672</v>
      </c>
      <c r="B9874" s="504" t="s">
        <v>3166</v>
      </c>
      <c r="C9874" s="504" t="s">
        <v>1094</v>
      </c>
      <c r="D9874" s="504" t="s">
        <v>3380</v>
      </c>
      <c r="E9874" s="504" t="s">
        <v>3381</v>
      </c>
      <c r="F9874" s="504" t="s">
        <v>420</v>
      </c>
      <c r="G9874" s="504" t="s">
        <v>3368</v>
      </c>
      <c r="H9874" s="504" t="s">
        <v>12367</v>
      </c>
      <c r="I9874" s="504">
        <v>8333</v>
      </c>
      <c r="J9874" s="504">
        <v>7613</v>
      </c>
      <c r="K9874" s="504">
        <v>0</v>
      </c>
      <c r="L9874" s="504">
        <v>0</v>
      </c>
      <c r="M9874" s="504">
        <v>547</v>
      </c>
      <c r="N9874" s="504">
        <v>32</v>
      </c>
      <c r="O9874" s="505">
        <v>173</v>
      </c>
    </row>
    <row r="9875" spans="1:15" x14ac:dyDescent="0.35">
      <c r="A9875" s="500" t="s">
        <v>1673</v>
      </c>
      <c r="B9875" s="501">
        <v>4731</v>
      </c>
      <c r="C9875" s="501" t="s">
        <v>1089</v>
      </c>
      <c r="D9875" s="501" t="s">
        <v>3392</v>
      </c>
      <c r="E9875" s="501" t="s">
        <v>3381</v>
      </c>
      <c r="F9875" s="501" t="s">
        <v>418</v>
      </c>
      <c r="G9875" s="501" t="s">
        <v>3368</v>
      </c>
      <c r="H9875" s="501" t="s">
        <v>12368</v>
      </c>
      <c r="I9875" s="501">
        <v>86</v>
      </c>
      <c r="J9875" s="501">
        <v>0</v>
      </c>
      <c r="K9875" s="501">
        <v>0</v>
      </c>
      <c r="L9875" s="501">
        <v>86</v>
      </c>
      <c r="M9875" s="501">
        <v>0</v>
      </c>
      <c r="N9875" s="501">
        <v>0</v>
      </c>
      <c r="O9875" s="506">
        <v>0</v>
      </c>
    </row>
    <row r="9876" spans="1:15" x14ac:dyDescent="0.35">
      <c r="A9876" s="503" t="s">
        <v>1802</v>
      </c>
      <c r="B9876" s="504">
        <v>4872</v>
      </c>
      <c r="C9876" s="504" t="s">
        <v>1089</v>
      </c>
      <c r="D9876" s="504" t="s">
        <v>3380</v>
      </c>
      <c r="E9876" s="504" t="s">
        <v>3381</v>
      </c>
      <c r="F9876" s="504" t="s">
        <v>419</v>
      </c>
      <c r="G9876" s="504" t="s">
        <v>3368</v>
      </c>
      <c r="H9876" s="504" t="s">
        <v>12369</v>
      </c>
      <c r="I9876" s="504">
        <v>708</v>
      </c>
      <c r="J9876" s="504">
        <v>639</v>
      </c>
      <c r="K9876" s="504">
        <v>0</v>
      </c>
      <c r="L9876" s="504">
        <v>0</v>
      </c>
      <c r="M9876" s="504">
        <v>0</v>
      </c>
      <c r="N9876" s="504">
        <v>0</v>
      </c>
      <c r="O9876" s="505">
        <v>69</v>
      </c>
    </row>
    <row r="9877" spans="1:15" x14ac:dyDescent="0.35">
      <c r="A9877" s="500" t="s">
        <v>1802</v>
      </c>
      <c r="B9877" s="501">
        <v>4872</v>
      </c>
      <c r="C9877" s="501" t="s">
        <v>1089</v>
      </c>
      <c r="D9877" s="501" t="s">
        <v>3380</v>
      </c>
      <c r="E9877" s="501" t="s">
        <v>3381</v>
      </c>
      <c r="F9877" s="501" t="s">
        <v>2</v>
      </c>
      <c r="G9877" s="501" t="s">
        <v>3368</v>
      </c>
      <c r="H9877" s="501" t="s">
        <v>12370</v>
      </c>
      <c r="I9877" s="501">
        <v>324</v>
      </c>
      <c r="J9877" s="501">
        <v>253</v>
      </c>
      <c r="K9877" s="501">
        <v>0</v>
      </c>
      <c r="L9877" s="501">
        <v>1</v>
      </c>
      <c r="M9877" s="501">
        <v>0</v>
      </c>
      <c r="N9877" s="501">
        <v>0</v>
      </c>
      <c r="O9877" s="506">
        <v>70</v>
      </c>
    </row>
    <row r="9878" spans="1:15" x14ac:dyDescent="0.35">
      <c r="A9878" s="503" t="s">
        <v>1098</v>
      </c>
      <c r="B9878" s="504">
        <v>4691</v>
      </c>
      <c r="C9878" s="504" t="s">
        <v>1094</v>
      </c>
      <c r="D9878" s="504" t="s">
        <v>3380</v>
      </c>
      <c r="E9878" s="504" t="s">
        <v>3381</v>
      </c>
      <c r="F9878" s="504" t="s">
        <v>2</v>
      </c>
      <c r="G9878" s="504" t="s">
        <v>3368</v>
      </c>
      <c r="H9878" s="504" t="s">
        <v>12372</v>
      </c>
      <c r="I9878" s="504">
        <v>6681</v>
      </c>
      <c r="J9878" s="504">
        <v>5713</v>
      </c>
      <c r="K9878" s="504">
        <v>0</v>
      </c>
      <c r="L9878" s="504">
        <v>36</v>
      </c>
      <c r="M9878" s="504">
        <v>125</v>
      </c>
      <c r="N9878" s="504">
        <v>0</v>
      </c>
      <c r="O9878" s="505">
        <v>807</v>
      </c>
    </row>
    <row r="9879" spans="1:15" x14ac:dyDescent="0.35">
      <c r="A9879" s="500" t="s">
        <v>1098</v>
      </c>
      <c r="B9879" s="501">
        <v>4691</v>
      </c>
      <c r="C9879" s="501" t="s">
        <v>1094</v>
      </c>
      <c r="D9879" s="501" t="s">
        <v>3380</v>
      </c>
      <c r="E9879" s="501" t="s">
        <v>3381</v>
      </c>
      <c r="F9879" s="501" t="s">
        <v>419</v>
      </c>
      <c r="G9879" s="501" t="s">
        <v>3368</v>
      </c>
      <c r="H9879" s="501" t="s">
        <v>12371</v>
      </c>
      <c r="I9879" s="501">
        <v>13057</v>
      </c>
      <c r="J9879" s="501">
        <v>9791</v>
      </c>
      <c r="K9879" s="501">
        <v>0</v>
      </c>
      <c r="L9879" s="501">
        <v>433</v>
      </c>
      <c r="M9879" s="501">
        <v>1260</v>
      </c>
      <c r="N9879" s="501">
        <v>0</v>
      </c>
      <c r="O9879" s="506">
        <v>1573</v>
      </c>
    </row>
    <row r="9880" spans="1:15" x14ac:dyDescent="0.35">
      <c r="A9880" s="503" t="s">
        <v>1153</v>
      </c>
      <c r="B9880" s="504" t="s">
        <v>2610</v>
      </c>
      <c r="C9880" s="504" t="s">
        <v>1089</v>
      </c>
      <c r="D9880" s="504" t="s">
        <v>3392</v>
      </c>
      <c r="E9880" s="504" t="s">
        <v>3381</v>
      </c>
      <c r="F9880" s="504" t="s">
        <v>414</v>
      </c>
      <c r="G9880" s="504" t="s">
        <v>3368</v>
      </c>
      <c r="H9880" s="504" t="s">
        <v>12373</v>
      </c>
      <c r="I9880" s="504">
        <v>3</v>
      </c>
      <c r="J9880" s="504">
        <v>3</v>
      </c>
      <c r="K9880" s="504">
        <v>0</v>
      </c>
      <c r="L9880" s="504">
        <v>0</v>
      </c>
      <c r="M9880" s="504">
        <v>0</v>
      </c>
      <c r="N9880" s="504">
        <v>0</v>
      </c>
      <c r="O9880" s="505">
        <v>0</v>
      </c>
    </row>
    <row r="9881" spans="1:15" x14ac:dyDescent="0.35">
      <c r="A9881" s="500" t="s">
        <v>1396</v>
      </c>
      <c r="B9881" s="501" t="s">
        <v>3275</v>
      </c>
      <c r="C9881" s="501" t="s">
        <v>1089</v>
      </c>
      <c r="D9881" s="501" t="s">
        <v>3392</v>
      </c>
      <c r="E9881" s="501" t="s">
        <v>3381</v>
      </c>
      <c r="F9881" s="501" t="s">
        <v>416</v>
      </c>
      <c r="G9881" s="501" t="s">
        <v>3368</v>
      </c>
      <c r="H9881" s="501" t="s">
        <v>12374</v>
      </c>
      <c r="I9881" s="501">
        <v>26</v>
      </c>
      <c r="J9881" s="501">
        <v>19</v>
      </c>
      <c r="K9881" s="501">
        <v>7</v>
      </c>
      <c r="L9881" s="501">
        <v>0</v>
      </c>
      <c r="M9881" s="501">
        <v>0</v>
      </c>
      <c r="N9881" s="501">
        <v>26</v>
      </c>
      <c r="O9881" s="506">
        <v>0</v>
      </c>
    </row>
    <row r="9882" spans="1:15" x14ac:dyDescent="0.35">
      <c r="A9882" s="503" t="s">
        <v>1614</v>
      </c>
      <c r="B9882" s="504" t="s">
        <v>2739</v>
      </c>
      <c r="C9882" s="504" t="s">
        <v>1089</v>
      </c>
      <c r="D9882" s="504" t="s">
        <v>3392</v>
      </c>
      <c r="E9882" s="504" t="s">
        <v>3381</v>
      </c>
      <c r="F9882" s="504" t="s">
        <v>417</v>
      </c>
      <c r="G9882" s="504" t="s">
        <v>3368</v>
      </c>
      <c r="H9882" s="504" t="s">
        <v>12375</v>
      </c>
      <c r="I9882" s="504">
        <v>31</v>
      </c>
      <c r="J9882" s="504">
        <v>31</v>
      </c>
      <c r="K9882" s="504">
        <v>0</v>
      </c>
      <c r="L9882" s="504">
        <v>0</v>
      </c>
      <c r="M9882" s="504">
        <v>0</v>
      </c>
      <c r="N9882" s="504">
        <v>0</v>
      </c>
      <c r="O9882" s="505">
        <v>0</v>
      </c>
    </row>
    <row r="9883" spans="1:15" x14ac:dyDescent="0.35">
      <c r="A9883" s="500" t="s">
        <v>11370</v>
      </c>
      <c r="B9883" s="501">
        <v>4690</v>
      </c>
      <c r="C9883" s="501" t="s">
        <v>1089</v>
      </c>
      <c r="D9883" s="501" t="s">
        <v>3392</v>
      </c>
      <c r="E9883" s="501" t="s">
        <v>3381</v>
      </c>
      <c r="F9883" s="501" t="s">
        <v>418</v>
      </c>
      <c r="G9883" s="501" t="s">
        <v>3368</v>
      </c>
      <c r="H9883" s="501" t="s">
        <v>12378</v>
      </c>
      <c r="I9883" s="501">
        <v>2</v>
      </c>
      <c r="J9883" s="501">
        <v>0</v>
      </c>
      <c r="K9883" s="501">
        <v>0</v>
      </c>
      <c r="L9883" s="501">
        <v>2</v>
      </c>
      <c r="M9883" s="501">
        <v>0</v>
      </c>
      <c r="N9883" s="501">
        <v>0</v>
      </c>
      <c r="O9883" s="506">
        <v>0</v>
      </c>
    </row>
    <row r="9884" spans="1:15" x14ac:dyDescent="0.35">
      <c r="A9884" s="503" t="s">
        <v>11370</v>
      </c>
      <c r="B9884" s="504">
        <v>4690</v>
      </c>
      <c r="C9884" s="504" t="s">
        <v>1089</v>
      </c>
      <c r="D9884" s="504" t="s">
        <v>3392</v>
      </c>
      <c r="E9884" s="504" t="s">
        <v>3381</v>
      </c>
      <c r="F9884" s="504" t="s">
        <v>415</v>
      </c>
      <c r="G9884" s="504" t="s">
        <v>3368</v>
      </c>
      <c r="H9884" s="504" t="s">
        <v>12376</v>
      </c>
      <c r="I9884" s="504">
        <v>3</v>
      </c>
      <c r="J9884" s="504">
        <v>0</v>
      </c>
      <c r="K9884" s="504">
        <v>0</v>
      </c>
      <c r="L9884" s="504">
        <v>3</v>
      </c>
      <c r="M9884" s="504">
        <v>0</v>
      </c>
      <c r="N9884" s="504">
        <v>0</v>
      </c>
      <c r="O9884" s="505">
        <v>0</v>
      </c>
    </row>
    <row r="9885" spans="1:15" x14ac:dyDescent="0.35">
      <c r="A9885" s="500" t="s">
        <v>11370</v>
      </c>
      <c r="B9885" s="501">
        <v>4690</v>
      </c>
      <c r="C9885" s="501" t="s">
        <v>1089</v>
      </c>
      <c r="D9885" s="501" t="s">
        <v>3392</v>
      </c>
      <c r="E9885" s="501" t="s">
        <v>3381</v>
      </c>
      <c r="F9885" s="501" t="s">
        <v>417</v>
      </c>
      <c r="G9885" s="501" t="s">
        <v>3368</v>
      </c>
      <c r="H9885" s="501" t="s">
        <v>12377</v>
      </c>
      <c r="I9885" s="501">
        <v>17</v>
      </c>
      <c r="J9885" s="501">
        <v>0</v>
      </c>
      <c r="K9885" s="501">
        <v>0</v>
      </c>
      <c r="L9885" s="501">
        <v>17</v>
      </c>
      <c r="M9885" s="501">
        <v>0</v>
      </c>
      <c r="N9885" s="501">
        <v>0</v>
      </c>
      <c r="O9885" s="506">
        <v>0</v>
      </c>
    </row>
    <row r="9886" spans="1:15" x14ac:dyDescent="0.35">
      <c r="A9886" s="503" t="s">
        <v>1674</v>
      </c>
      <c r="B9886" s="504">
        <v>4765</v>
      </c>
      <c r="C9886" s="504" t="s">
        <v>1089</v>
      </c>
      <c r="D9886" s="504" t="s">
        <v>3392</v>
      </c>
      <c r="E9886" s="504" t="s">
        <v>3381</v>
      </c>
      <c r="F9886" s="504" t="s">
        <v>418</v>
      </c>
      <c r="G9886" s="504" t="s">
        <v>3368</v>
      </c>
      <c r="H9886" s="504" t="s">
        <v>12379</v>
      </c>
      <c r="I9886" s="504">
        <v>43</v>
      </c>
      <c r="J9886" s="504">
        <v>43</v>
      </c>
      <c r="K9886" s="504">
        <v>0</v>
      </c>
      <c r="L9886" s="504">
        <v>0</v>
      </c>
      <c r="M9886" s="504">
        <v>0</v>
      </c>
      <c r="N9886" s="504">
        <v>0</v>
      </c>
      <c r="O9886" s="505">
        <v>0</v>
      </c>
    </row>
    <row r="9887" spans="1:15" x14ac:dyDescent="0.35">
      <c r="A9887" s="500" t="s">
        <v>1272</v>
      </c>
      <c r="B9887" s="501" t="s">
        <v>2433</v>
      </c>
      <c r="C9887" s="501" t="s">
        <v>1089</v>
      </c>
      <c r="D9887" s="501" t="s">
        <v>3392</v>
      </c>
      <c r="E9887" s="501" t="s">
        <v>3381</v>
      </c>
      <c r="F9887" s="501" t="s">
        <v>415</v>
      </c>
      <c r="G9887" s="501" t="s">
        <v>3368</v>
      </c>
      <c r="H9887" s="501" t="s">
        <v>12380</v>
      </c>
      <c r="I9887" s="501">
        <v>36</v>
      </c>
      <c r="J9887" s="501">
        <v>0</v>
      </c>
      <c r="K9887" s="501">
        <v>0</v>
      </c>
      <c r="L9887" s="501">
        <v>0</v>
      </c>
      <c r="M9887" s="501">
        <v>36</v>
      </c>
      <c r="N9887" s="501">
        <v>0</v>
      </c>
      <c r="O9887" s="506">
        <v>0</v>
      </c>
    </row>
    <row r="9888" spans="1:15" x14ac:dyDescent="0.35">
      <c r="A9888" s="503" t="s">
        <v>1273</v>
      </c>
      <c r="B9888" s="504" t="s">
        <v>3197</v>
      </c>
      <c r="C9888" s="504" t="s">
        <v>1094</v>
      </c>
      <c r="D9888" s="504" t="s">
        <v>3380</v>
      </c>
      <c r="E9888" s="504" t="s">
        <v>3381</v>
      </c>
      <c r="F9888" s="504" t="s">
        <v>415</v>
      </c>
      <c r="G9888" s="504" t="s">
        <v>3368</v>
      </c>
      <c r="H9888" s="504" t="s">
        <v>12381</v>
      </c>
      <c r="I9888" s="504">
        <v>4243</v>
      </c>
      <c r="J9888" s="504">
        <v>3625</v>
      </c>
      <c r="K9888" s="504">
        <v>0</v>
      </c>
      <c r="L9888" s="504">
        <v>0</v>
      </c>
      <c r="M9888" s="504">
        <v>284</v>
      </c>
      <c r="N9888" s="504">
        <v>0</v>
      </c>
      <c r="O9888" s="505">
        <v>334</v>
      </c>
    </row>
    <row r="9889" spans="1:15" x14ac:dyDescent="0.35">
      <c r="A9889" s="500" t="s">
        <v>12382</v>
      </c>
      <c r="B9889" s="501" t="s">
        <v>2871</v>
      </c>
      <c r="C9889" s="501" t="s">
        <v>1089</v>
      </c>
      <c r="D9889" s="501" t="s">
        <v>3392</v>
      </c>
      <c r="E9889" s="501" t="s">
        <v>3381</v>
      </c>
      <c r="F9889" s="501" t="s">
        <v>2</v>
      </c>
      <c r="G9889" s="501" t="s">
        <v>3368</v>
      </c>
      <c r="H9889" s="501" t="s">
        <v>12383</v>
      </c>
      <c r="I9889" s="501">
        <v>434</v>
      </c>
      <c r="J9889" s="501">
        <v>305</v>
      </c>
      <c r="K9889" s="501">
        <v>0</v>
      </c>
      <c r="L9889" s="501">
        <v>129</v>
      </c>
      <c r="M9889" s="501">
        <v>0</v>
      </c>
      <c r="N9889" s="501">
        <v>0</v>
      </c>
      <c r="O9889" s="506">
        <v>0</v>
      </c>
    </row>
    <row r="9890" spans="1:15" x14ac:dyDescent="0.35">
      <c r="A9890" s="503" t="s">
        <v>1397</v>
      </c>
      <c r="B9890" s="504">
        <v>4773</v>
      </c>
      <c r="C9890" s="504" t="s">
        <v>1089</v>
      </c>
      <c r="D9890" s="504" t="s">
        <v>3392</v>
      </c>
      <c r="E9890" s="504" t="s">
        <v>3381</v>
      </c>
      <c r="F9890" s="504" t="s">
        <v>416</v>
      </c>
      <c r="G9890" s="504" t="s">
        <v>3368</v>
      </c>
      <c r="H9890" s="504" t="s">
        <v>12384</v>
      </c>
      <c r="I9890" s="504">
        <v>2</v>
      </c>
      <c r="J9890" s="504">
        <v>2</v>
      </c>
      <c r="K9890" s="504">
        <v>0</v>
      </c>
      <c r="L9890" s="504">
        <v>0</v>
      </c>
      <c r="M9890" s="504">
        <v>0</v>
      </c>
      <c r="N9890" s="504">
        <v>0</v>
      </c>
      <c r="O9890" s="505">
        <v>0</v>
      </c>
    </row>
    <row r="9891" spans="1:15" x14ac:dyDescent="0.35">
      <c r="A9891" s="500" t="s">
        <v>1274</v>
      </c>
      <c r="B9891" s="501" t="s">
        <v>3276</v>
      </c>
      <c r="C9891" s="501" t="s">
        <v>1089</v>
      </c>
      <c r="D9891" s="501" t="s">
        <v>3392</v>
      </c>
      <c r="E9891" s="501" t="s">
        <v>3381</v>
      </c>
      <c r="F9891" s="501" t="s">
        <v>415</v>
      </c>
      <c r="G9891" s="501" t="s">
        <v>3368</v>
      </c>
      <c r="H9891" s="501" t="s">
        <v>12385</v>
      </c>
      <c r="I9891" s="501">
        <v>69</v>
      </c>
      <c r="J9891" s="501">
        <v>0</v>
      </c>
      <c r="K9891" s="501">
        <v>0</v>
      </c>
      <c r="L9891" s="501">
        <v>0</v>
      </c>
      <c r="M9891" s="501">
        <v>69</v>
      </c>
      <c r="N9891" s="501">
        <v>0</v>
      </c>
      <c r="O9891" s="506">
        <v>0</v>
      </c>
    </row>
    <row r="9892" spans="1:15" x14ac:dyDescent="0.35">
      <c r="A9892" s="503" t="s">
        <v>2057</v>
      </c>
      <c r="B9892" s="504" t="s">
        <v>2673</v>
      </c>
      <c r="C9892" s="504" t="s">
        <v>1089</v>
      </c>
      <c r="D9892" s="504" t="s">
        <v>3392</v>
      </c>
      <c r="E9892" s="504" t="s">
        <v>3381</v>
      </c>
      <c r="F9892" s="504" t="s">
        <v>420</v>
      </c>
      <c r="G9892" s="504" t="s">
        <v>3368</v>
      </c>
      <c r="H9892" s="504" t="s">
        <v>12386</v>
      </c>
      <c r="I9892" s="504">
        <v>78</v>
      </c>
      <c r="J9892" s="504">
        <v>78</v>
      </c>
      <c r="K9892" s="504">
        <v>0</v>
      </c>
      <c r="L9892" s="504">
        <v>0</v>
      </c>
      <c r="M9892" s="504">
        <v>0</v>
      </c>
      <c r="N9892" s="504">
        <v>0</v>
      </c>
      <c r="O9892" s="505">
        <v>0</v>
      </c>
    </row>
    <row r="9893" spans="1:15" x14ac:dyDescent="0.35">
      <c r="A9893" s="500" t="s">
        <v>11382</v>
      </c>
      <c r="B9893" s="501" t="s">
        <v>3223</v>
      </c>
      <c r="C9893" s="501" t="s">
        <v>1089</v>
      </c>
      <c r="D9893" s="501" t="s">
        <v>3392</v>
      </c>
      <c r="E9893" s="501" t="s">
        <v>3381</v>
      </c>
      <c r="F9893" s="501" t="s">
        <v>416</v>
      </c>
      <c r="G9893" s="501" t="s">
        <v>3368</v>
      </c>
      <c r="H9893" s="501" t="s">
        <v>12387</v>
      </c>
      <c r="I9893" s="501">
        <v>139</v>
      </c>
      <c r="J9893" s="501">
        <v>139</v>
      </c>
      <c r="K9893" s="501">
        <v>0</v>
      </c>
      <c r="L9893" s="501">
        <v>0</v>
      </c>
      <c r="M9893" s="501">
        <v>0</v>
      </c>
      <c r="N9893" s="501">
        <v>0</v>
      </c>
      <c r="O9893" s="506">
        <v>0</v>
      </c>
    </row>
    <row r="9894" spans="1:15" x14ac:dyDescent="0.35">
      <c r="A9894" s="503" t="s">
        <v>1398</v>
      </c>
      <c r="B9894" s="504" t="s">
        <v>3105</v>
      </c>
      <c r="C9894" s="504" t="s">
        <v>1089</v>
      </c>
      <c r="D9894" s="504" t="s">
        <v>3392</v>
      </c>
      <c r="E9894" s="504" t="s">
        <v>3381</v>
      </c>
      <c r="F9894" s="504" t="s">
        <v>416</v>
      </c>
      <c r="G9894" s="504" t="s">
        <v>3368</v>
      </c>
      <c r="H9894" s="504" t="s">
        <v>12388</v>
      </c>
      <c r="I9894" s="504">
        <v>299</v>
      </c>
      <c r="J9894" s="504">
        <v>268</v>
      </c>
      <c r="K9894" s="504">
        <v>0</v>
      </c>
      <c r="L9894" s="504">
        <v>0</v>
      </c>
      <c r="M9894" s="504">
        <v>31</v>
      </c>
      <c r="N9894" s="504">
        <v>14</v>
      </c>
      <c r="O9894" s="505">
        <v>0</v>
      </c>
    </row>
    <row r="9895" spans="1:15" x14ac:dyDescent="0.35">
      <c r="A9895" s="500" t="s">
        <v>1803</v>
      </c>
      <c r="B9895" s="501" t="s">
        <v>2745</v>
      </c>
      <c r="C9895" s="501" t="s">
        <v>1089</v>
      </c>
      <c r="D9895" s="501" t="s">
        <v>3392</v>
      </c>
      <c r="E9895" s="501" t="s">
        <v>3381</v>
      </c>
      <c r="F9895" s="501" t="s">
        <v>2</v>
      </c>
      <c r="G9895" s="501" t="s">
        <v>3368</v>
      </c>
      <c r="H9895" s="501" t="s">
        <v>12389</v>
      </c>
      <c r="I9895" s="501">
        <v>45</v>
      </c>
      <c r="J9895" s="501">
        <v>45</v>
      </c>
      <c r="K9895" s="501">
        <v>0</v>
      </c>
      <c r="L9895" s="501">
        <v>0</v>
      </c>
      <c r="M9895" s="501">
        <v>0</v>
      </c>
      <c r="N9895" s="501">
        <v>0</v>
      </c>
      <c r="O9895" s="506">
        <v>0</v>
      </c>
    </row>
    <row r="9896" spans="1:15" x14ac:dyDescent="0.35">
      <c r="A9896" s="503" t="s">
        <v>1399</v>
      </c>
      <c r="B9896" s="504" t="s">
        <v>2660</v>
      </c>
      <c r="C9896" s="504" t="s">
        <v>1089</v>
      </c>
      <c r="D9896" s="504" t="s">
        <v>3392</v>
      </c>
      <c r="E9896" s="504" t="s">
        <v>3381</v>
      </c>
      <c r="F9896" s="504" t="s">
        <v>416</v>
      </c>
      <c r="G9896" s="504" t="s">
        <v>3368</v>
      </c>
      <c r="H9896" s="504" t="s">
        <v>12390</v>
      </c>
      <c r="I9896" s="504">
        <v>66</v>
      </c>
      <c r="J9896" s="504">
        <v>66</v>
      </c>
      <c r="K9896" s="504">
        <v>0</v>
      </c>
      <c r="L9896" s="504">
        <v>0</v>
      </c>
      <c r="M9896" s="504">
        <v>0</v>
      </c>
      <c r="N9896" s="504">
        <v>0</v>
      </c>
      <c r="O9896" s="505">
        <v>0</v>
      </c>
    </row>
    <row r="9897" spans="1:15" x14ac:dyDescent="0.35">
      <c r="A9897" s="500" t="s">
        <v>1804</v>
      </c>
      <c r="B9897" s="501" t="s">
        <v>3017</v>
      </c>
      <c r="C9897" s="501" t="s">
        <v>1089</v>
      </c>
      <c r="D9897" s="501" t="s">
        <v>3392</v>
      </c>
      <c r="E9897" s="501" t="s">
        <v>3381</v>
      </c>
      <c r="F9897" s="501" t="s">
        <v>2</v>
      </c>
      <c r="G9897" s="501" t="s">
        <v>3368</v>
      </c>
      <c r="H9897" s="501" t="s">
        <v>12391</v>
      </c>
      <c r="I9897" s="501">
        <v>8</v>
      </c>
      <c r="J9897" s="501">
        <v>8</v>
      </c>
      <c r="K9897" s="501">
        <v>0</v>
      </c>
      <c r="L9897" s="501">
        <v>0</v>
      </c>
      <c r="M9897" s="501">
        <v>0</v>
      </c>
      <c r="N9897" s="501">
        <v>0</v>
      </c>
      <c r="O9897" s="506">
        <v>0</v>
      </c>
    </row>
    <row r="9898" spans="1:15" x14ac:dyDescent="0.35">
      <c r="A9898" s="503" t="s">
        <v>1400</v>
      </c>
      <c r="B9898" s="504" t="s">
        <v>2815</v>
      </c>
      <c r="C9898" s="504" t="s">
        <v>1089</v>
      </c>
      <c r="D9898" s="504" t="s">
        <v>3392</v>
      </c>
      <c r="E9898" s="504" t="s">
        <v>3381</v>
      </c>
      <c r="F9898" s="504" t="s">
        <v>416</v>
      </c>
      <c r="G9898" s="504" t="s">
        <v>3368</v>
      </c>
      <c r="H9898" s="504" t="s">
        <v>12392</v>
      </c>
      <c r="I9898" s="504">
        <v>55</v>
      </c>
      <c r="J9898" s="504">
        <v>55</v>
      </c>
      <c r="K9898" s="504">
        <v>0</v>
      </c>
      <c r="L9898" s="504">
        <v>0</v>
      </c>
      <c r="M9898" s="504">
        <v>0</v>
      </c>
      <c r="N9898" s="504">
        <v>0</v>
      </c>
      <c r="O9898" s="505">
        <v>0</v>
      </c>
    </row>
    <row r="9899" spans="1:15" x14ac:dyDescent="0.35">
      <c r="A9899" s="500" t="s">
        <v>1275</v>
      </c>
      <c r="B9899" s="501" t="s">
        <v>3278</v>
      </c>
      <c r="C9899" s="501" t="s">
        <v>1089</v>
      </c>
      <c r="D9899" s="501" t="s">
        <v>3392</v>
      </c>
      <c r="E9899" s="501" t="s">
        <v>3381</v>
      </c>
      <c r="F9899" s="501" t="s">
        <v>415</v>
      </c>
      <c r="G9899" s="501" t="s">
        <v>3368</v>
      </c>
      <c r="H9899" s="501" t="s">
        <v>12393</v>
      </c>
      <c r="I9899" s="501">
        <v>166</v>
      </c>
      <c r="J9899" s="501">
        <v>63</v>
      </c>
      <c r="K9899" s="501">
        <v>0</v>
      </c>
      <c r="L9899" s="501">
        <v>0</v>
      </c>
      <c r="M9899" s="501">
        <v>103</v>
      </c>
      <c r="N9899" s="501">
        <v>0</v>
      </c>
      <c r="O9899" s="506">
        <v>0</v>
      </c>
    </row>
    <row r="9900" spans="1:15" x14ac:dyDescent="0.35">
      <c r="A9900" s="503" t="s">
        <v>1949</v>
      </c>
      <c r="B9900" s="504">
        <v>4807</v>
      </c>
      <c r="C9900" s="504" t="s">
        <v>1089</v>
      </c>
      <c r="D9900" s="504" t="s">
        <v>3392</v>
      </c>
      <c r="E9900" s="504" t="s">
        <v>3381</v>
      </c>
      <c r="F9900" s="504" t="s">
        <v>419</v>
      </c>
      <c r="G9900" s="504" t="s">
        <v>3368</v>
      </c>
      <c r="H9900" s="504" t="s">
        <v>12394</v>
      </c>
      <c r="I9900" s="504">
        <v>4</v>
      </c>
      <c r="J9900" s="504">
        <v>4</v>
      </c>
      <c r="K9900" s="504">
        <v>0</v>
      </c>
      <c r="L9900" s="504">
        <v>0</v>
      </c>
      <c r="M9900" s="504">
        <v>0</v>
      </c>
      <c r="N9900" s="504">
        <v>0</v>
      </c>
      <c r="O9900" s="505">
        <v>0</v>
      </c>
    </row>
    <row r="9901" spans="1:15" x14ac:dyDescent="0.35">
      <c r="A9901" s="500" t="s">
        <v>11362</v>
      </c>
      <c r="B9901" s="501" t="s">
        <v>2655</v>
      </c>
      <c r="C9901" s="501" t="s">
        <v>1089</v>
      </c>
      <c r="D9901" s="501" t="s">
        <v>3392</v>
      </c>
      <c r="E9901" s="501" t="s">
        <v>3381</v>
      </c>
      <c r="F9901" s="501" t="s">
        <v>414</v>
      </c>
      <c r="G9901" s="501" t="s">
        <v>3368</v>
      </c>
      <c r="H9901" s="501" t="s">
        <v>12395</v>
      </c>
      <c r="I9901" s="501">
        <v>378</v>
      </c>
      <c r="J9901" s="501">
        <v>357</v>
      </c>
      <c r="K9901" s="501">
        <v>0</v>
      </c>
      <c r="L9901" s="501">
        <v>0</v>
      </c>
      <c r="M9901" s="501">
        <v>21</v>
      </c>
      <c r="N9901" s="501">
        <v>43</v>
      </c>
      <c r="O9901" s="506">
        <v>0</v>
      </c>
    </row>
    <row r="9902" spans="1:15" x14ac:dyDescent="0.35">
      <c r="A9902" s="503" t="s">
        <v>1401</v>
      </c>
      <c r="B9902" s="504" t="s">
        <v>2703</v>
      </c>
      <c r="C9902" s="504" t="s">
        <v>1089</v>
      </c>
      <c r="D9902" s="504" t="s">
        <v>3392</v>
      </c>
      <c r="E9902" s="504" t="s">
        <v>3381</v>
      </c>
      <c r="F9902" s="504" t="s">
        <v>416</v>
      </c>
      <c r="G9902" s="504" t="s">
        <v>3368</v>
      </c>
      <c r="H9902" s="504" t="s">
        <v>12396</v>
      </c>
      <c r="I9902" s="504">
        <v>22</v>
      </c>
      <c r="J9902" s="504">
        <v>22</v>
      </c>
      <c r="K9902" s="504">
        <v>0</v>
      </c>
      <c r="L9902" s="504">
        <v>0</v>
      </c>
      <c r="M9902" s="504">
        <v>0</v>
      </c>
      <c r="N9902" s="504">
        <v>0</v>
      </c>
      <c r="O9902" s="505">
        <v>0</v>
      </c>
    </row>
    <row r="9903" spans="1:15" x14ac:dyDescent="0.35">
      <c r="A9903" s="500" t="s">
        <v>1615</v>
      </c>
      <c r="B9903" s="501">
        <v>5071</v>
      </c>
      <c r="C9903" s="501" t="s">
        <v>1094</v>
      </c>
      <c r="D9903" s="501" t="s">
        <v>3380</v>
      </c>
      <c r="E9903" s="501" t="s">
        <v>3381</v>
      </c>
      <c r="F9903" s="501" t="s">
        <v>417</v>
      </c>
      <c r="G9903" s="501" t="s">
        <v>3368</v>
      </c>
      <c r="H9903" s="501" t="s">
        <v>12397</v>
      </c>
      <c r="I9903" s="501">
        <v>18154</v>
      </c>
      <c r="J9903" s="501">
        <v>18151</v>
      </c>
      <c r="K9903" s="501">
        <v>0</v>
      </c>
      <c r="L9903" s="501">
        <v>0</v>
      </c>
      <c r="M9903" s="501">
        <v>0</v>
      </c>
      <c r="N9903" s="501">
        <v>60</v>
      </c>
      <c r="O9903" s="506">
        <v>3</v>
      </c>
    </row>
    <row r="9904" spans="1:15" x14ac:dyDescent="0.35">
      <c r="A9904" s="503" t="s">
        <v>1616</v>
      </c>
      <c r="B9904" s="504" t="s">
        <v>3302</v>
      </c>
      <c r="C9904" s="504" t="s">
        <v>1089</v>
      </c>
      <c r="D9904" s="504" t="s">
        <v>3392</v>
      </c>
      <c r="E9904" s="504" t="s">
        <v>3381</v>
      </c>
      <c r="F9904" s="504" t="s">
        <v>420</v>
      </c>
      <c r="G9904" s="504" t="s">
        <v>3368</v>
      </c>
      <c r="H9904" s="504" t="s">
        <v>12399</v>
      </c>
      <c r="I9904" s="504">
        <v>26</v>
      </c>
      <c r="J9904" s="504">
        <v>0</v>
      </c>
      <c r="K9904" s="504">
        <v>0</v>
      </c>
      <c r="L9904" s="504">
        <v>0</v>
      </c>
      <c r="M9904" s="504">
        <v>26</v>
      </c>
      <c r="N9904" s="504">
        <v>0</v>
      </c>
      <c r="O9904" s="505">
        <v>0</v>
      </c>
    </row>
    <row r="9905" spans="1:15" x14ac:dyDescent="0.35">
      <c r="A9905" s="500" t="s">
        <v>1616</v>
      </c>
      <c r="B9905" s="501" t="s">
        <v>3302</v>
      </c>
      <c r="C9905" s="501" t="s">
        <v>1089</v>
      </c>
      <c r="D9905" s="501" t="s">
        <v>3392</v>
      </c>
      <c r="E9905" s="501" t="s">
        <v>3381</v>
      </c>
      <c r="F9905" s="501" t="s">
        <v>417</v>
      </c>
      <c r="G9905" s="501" t="s">
        <v>3368</v>
      </c>
      <c r="H9905" s="501" t="s">
        <v>12398</v>
      </c>
      <c r="I9905" s="501">
        <v>9</v>
      </c>
      <c r="J9905" s="501">
        <v>0</v>
      </c>
      <c r="K9905" s="501">
        <v>0</v>
      </c>
      <c r="L9905" s="501">
        <v>0</v>
      </c>
      <c r="M9905" s="501">
        <v>9</v>
      </c>
      <c r="N9905" s="501">
        <v>0</v>
      </c>
      <c r="O9905" s="506">
        <v>0</v>
      </c>
    </row>
    <row r="9906" spans="1:15" x14ac:dyDescent="0.35">
      <c r="A9906" s="503" t="s">
        <v>1805</v>
      </c>
      <c r="B9906" s="504" t="s">
        <v>2575</v>
      </c>
      <c r="C9906" s="504" t="s">
        <v>1089</v>
      </c>
      <c r="D9906" s="504" t="s">
        <v>3392</v>
      </c>
      <c r="E9906" s="504" t="s">
        <v>3381</v>
      </c>
      <c r="F9906" s="504" t="s">
        <v>2</v>
      </c>
      <c r="G9906" s="504" t="s">
        <v>3368</v>
      </c>
      <c r="H9906" s="504" t="s">
        <v>12400</v>
      </c>
      <c r="I9906" s="504">
        <v>9</v>
      </c>
      <c r="J9906" s="504">
        <v>9</v>
      </c>
      <c r="K9906" s="504">
        <v>0</v>
      </c>
      <c r="L9906" s="504">
        <v>0</v>
      </c>
      <c r="M9906" s="504">
        <v>0</v>
      </c>
      <c r="N9906" s="504">
        <v>0</v>
      </c>
      <c r="O9906" s="505">
        <v>0</v>
      </c>
    </row>
    <row r="9907" spans="1:15" x14ac:dyDescent="0.35">
      <c r="A9907" s="500" t="s">
        <v>1617</v>
      </c>
      <c r="B9907" s="501">
        <v>4868</v>
      </c>
      <c r="C9907" s="501" t="s">
        <v>1094</v>
      </c>
      <c r="D9907" s="501" t="s">
        <v>3380</v>
      </c>
      <c r="E9907" s="501" t="s">
        <v>3381</v>
      </c>
      <c r="F9907" s="501" t="s">
        <v>417</v>
      </c>
      <c r="G9907" s="501" t="s">
        <v>3368</v>
      </c>
      <c r="H9907" s="501" t="s">
        <v>12401</v>
      </c>
      <c r="I9907" s="501">
        <v>13633</v>
      </c>
      <c r="J9907" s="501">
        <v>10029</v>
      </c>
      <c r="K9907" s="501">
        <v>0</v>
      </c>
      <c r="L9907" s="501">
        <v>557</v>
      </c>
      <c r="M9907" s="501">
        <v>2678</v>
      </c>
      <c r="N9907" s="501">
        <v>0</v>
      </c>
      <c r="O9907" s="506">
        <v>369</v>
      </c>
    </row>
    <row r="9908" spans="1:15" x14ac:dyDescent="0.35">
      <c r="A9908" s="503" t="s">
        <v>11363</v>
      </c>
      <c r="B9908" s="504">
        <v>4718</v>
      </c>
      <c r="C9908" s="504" t="s">
        <v>1094</v>
      </c>
      <c r="D9908" s="504" t="s">
        <v>3380</v>
      </c>
      <c r="E9908" s="504" t="s">
        <v>3381</v>
      </c>
      <c r="F9908" s="504" t="s">
        <v>418</v>
      </c>
      <c r="G9908" s="504" t="s">
        <v>3368</v>
      </c>
      <c r="H9908" s="504" t="s">
        <v>12403</v>
      </c>
      <c r="I9908" s="504">
        <v>264</v>
      </c>
      <c r="J9908" s="504">
        <v>0</v>
      </c>
      <c r="K9908" s="504">
        <v>0</v>
      </c>
      <c r="L9908" s="504">
        <v>264</v>
      </c>
      <c r="M9908" s="504">
        <v>0</v>
      </c>
      <c r="N9908" s="504">
        <v>0</v>
      </c>
      <c r="O9908" s="505">
        <v>0</v>
      </c>
    </row>
    <row r="9909" spans="1:15" x14ac:dyDescent="0.35">
      <c r="A9909" s="500" t="s">
        <v>11363</v>
      </c>
      <c r="B9909" s="501">
        <v>4718</v>
      </c>
      <c r="C9909" s="501" t="s">
        <v>1094</v>
      </c>
      <c r="D9909" s="501" t="s">
        <v>3380</v>
      </c>
      <c r="E9909" s="501" t="s">
        <v>3381</v>
      </c>
      <c r="F9909" s="501" t="s">
        <v>419</v>
      </c>
      <c r="G9909" s="501" t="s">
        <v>3368</v>
      </c>
      <c r="H9909" s="501" t="s">
        <v>12409</v>
      </c>
      <c r="I9909" s="501">
        <v>103</v>
      </c>
      <c r="J9909" s="501">
        <v>0</v>
      </c>
      <c r="K9909" s="501">
        <v>0</v>
      </c>
      <c r="L9909" s="501">
        <v>103</v>
      </c>
      <c r="M9909" s="501">
        <v>0</v>
      </c>
      <c r="N9909" s="501">
        <v>0</v>
      </c>
      <c r="O9909" s="506">
        <v>0</v>
      </c>
    </row>
    <row r="9910" spans="1:15" x14ac:dyDescent="0.35">
      <c r="A9910" s="503" t="s">
        <v>11363</v>
      </c>
      <c r="B9910" s="504">
        <v>4718</v>
      </c>
      <c r="C9910" s="504" t="s">
        <v>1094</v>
      </c>
      <c r="D9910" s="504" t="s">
        <v>3380</v>
      </c>
      <c r="E9910" s="504" t="s">
        <v>3381</v>
      </c>
      <c r="F9910" s="504" t="s">
        <v>420</v>
      </c>
      <c r="G9910" s="504" t="s">
        <v>3368</v>
      </c>
      <c r="H9910" s="504" t="s">
        <v>12408</v>
      </c>
      <c r="I9910" s="504">
        <v>145</v>
      </c>
      <c r="J9910" s="504">
        <v>0</v>
      </c>
      <c r="K9910" s="504">
        <v>0</v>
      </c>
      <c r="L9910" s="504">
        <v>145</v>
      </c>
      <c r="M9910" s="504">
        <v>0</v>
      </c>
      <c r="N9910" s="504">
        <v>0</v>
      </c>
      <c r="O9910" s="505">
        <v>0</v>
      </c>
    </row>
    <row r="9911" spans="1:15" x14ac:dyDescent="0.35">
      <c r="A9911" s="500" t="s">
        <v>11363</v>
      </c>
      <c r="B9911" s="501">
        <v>4718</v>
      </c>
      <c r="C9911" s="501" t="s">
        <v>1094</v>
      </c>
      <c r="D9911" s="501" t="s">
        <v>3380</v>
      </c>
      <c r="E9911" s="501" t="s">
        <v>3381</v>
      </c>
      <c r="F9911" s="501" t="s">
        <v>415</v>
      </c>
      <c r="G9911" s="501" t="s">
        <v>3368</v>
      </c>
      <c r="H9911" s="501" t="s">
        <v>12407</v>
      </c>
      <c r="I9911" s="501">
        <v>47</v>
      </c>
      <c r="J9911" s="501">
        <v>0</v>
      </c>
      <c r="K9911" s="501">
        <v>0</v>
      </c>
      <c r="L9911" s="501">
        <v>47</v>
      </c>
      <c r="M9911" s="501">
        <v>0</v>
      </c>
      <c r="N9911" s="501">
        <v>0</v>
      </c>
      <c r="O9911" s="506">
        <v>0</v>
      </c>
    </row>
    <row r="9912" spans="1:15" x14ac:dyDescent="0.35">
      <c r="A9912" s="503" t="s">
        <v>11363</v>
      </c>
      <c r="B9912" s="504">
        <v>4718</v>
      </c>
      <c r="C9912" s="504" t="s">
        <v>1094</v>
      </c>
      <c r="D9912" s="504" t="s">
        <v>3380</v>
      </c>
      <c r="E9912" s="504" t="s">
        <v>3381</v>
      </c>
      <c r="F9912" s="504" t="s">
        <v>416</v>
      </c>
      <c r="G9912" s="504" t="s">
        <v>3368</v>
      </c>
      <c r="H9912" s="504" t="s">
        <v>12402</v>
      </c>
      <c r="I9912" s="504">
        <v>67</v>
      </c>
      <c r="J9912" s="504">
        <v>0</v>
      </c>
      <c r="K9912" s="504">
        <v>0</v>
      </c>
      <c r="L9912" s="504">
        <v>67</v>
      </c>
      <c r="M9912" s="504">
        <v>0</v>
      </c>
      <c r="N9912" s="504">
        <v>0</v>
      </c>
      <c r="O9912" s="505">
        <v>0</v>
      </c>
    </row>
    <row r="9913" spans="1:15" x14ac:dyDescent="0.35">
      <c r="A9913" s="500" t="s">
        <v>11363</v>
      </c>
      <c r="B9913" s="501">
        <v>4718</v>
      </c>
      <c r="C9913" s="501" t="s">
        <v>1094</v>
      </c>
      <c r="D9913" s="501" t="s">
        <v>3380</v>
      </c>
      <c r="E9913" s="501" t="s">
        <v>3381</v>
      </c>
      <c r="F9913" s="501" t="s">
        <v>2</v>
      </c>
      <c r="G9913" s="501" t="s">
        <v>3368</v>
      </c>
      <c r="H9913" s="501" t="s">
        <v>12406</v>
      </c>
      <c r="I9913" s="501">
        <v>207</v>
      </c>
      <c r="J9913" s="501">
        <v>0</v>
      </c>
      <c r="K9913" s="501">
        <v>0</v>
      </c>
      <c r="L9913" s="501">
        <v>207</v>
      </c>
      <c r="M9913" s="501">
        <v>0</v>
      </c>
      <c r="N9913" s="501">
        <v>0</v>
      </c>
      <c r="O9913" s="506">
        <v>0</v>
      </c>
    </row>
    <row r="9914" spans="1:15" x14ac:dyDescent="0.35">
      <c r="A9914" s="503" t="s">
        <v>11363</v>
      </c>
      <c r="B9914" s="504">
        <v>4718</v>
      </c>
      <c r="C9914" s="504" t="s">
        <v>1094</v>
      </c>
      <c r="D9914" s="504" t="s">
        <v>3380</v>
      </c>
      <c r="E9914" s="504" t="s">
        <v>3381</v>
      </c>
      <c r="F9914" s="504" t="s">
        <v>1048</v>
      </c>
      <c r="G9914" s="504" t="s">
        <v>3368</v>
      </c>
      <c r="H9914" s="504" t="s">
        <v>13952</v>
      </c>
      <c r="I9914" s="504">
        <v>322</v>
      </c>
      <c r="J9914" s="504">
        <v>0</v>
      </c>
      <c r="K9914" s="504">
        <v>0</v>
      </c>
      <c r="L9914" s="504">
        <v>322</v>
      </c>
      <c r="M9914" s="504">
        <v>0</v>
      </c>
      <c r="N9914" s="504">
        <v>0</v>
      </c>
      <c r="O9914" s="505">
        <v>0</v>
      </c>
    </row>
    <row r="9915" spans="1:15" x14ac:dyDescent="0.35">
      <c r="A9915" s="500" t="s">
        <v>11363</v>
      </c>
      <c r="B9915" s="501">
        <v>4718</v>
      </c>
      <c r="C9915" s="501" t="s">
        <v>1094</v>
      </c>
      <c r="D9915" s="501" t="s">
        <v>3380</v>
      </c>
      <c r="E9915" s="501" t="s">
        <v>3381</v>
      </c>
      <c r="F9915" s="501" t="s">
        <v>417</v>
      </c>
      <c r="G9915" s="501" t="s">
        <v>3368</v>
      </c>
      <c r="H9915" s="501" t="s">
        <v>12404</v>
      </c>
      <c r="I9915" s="501">
        <v>95</v>
      </c>
      <c r="J9915" s="501">
        <v>0</v>
      </c>
      <c r="K9915" s="501">
        <v>0</v>
      </c>
      <c r="L9915" s="501">
        <v>95</v>
      </c>
      <c r="M9915" s="501">
        <v>0</v>
      </c>
      <c r="N9915" s="501">
        <v>0</v>
      </c>
      <c r="O9915" s="506">
        <v>0</v>
      </c>
    </row>
    <row r="9916" spans="1:15" x14ac:dyDescent="0.35">
      <c r="A9916" s="503" t="s">
        <v>11363</v>
      </c>
      <c r="B9916" s="504">
        <v>4718</v>
      </c>
      <c r="C9916" s="504" t="s">
        <v>1094</v>
      </c>
      <c r="D9916" s="504" t="s">
        <v>3380</v>
      </c>
      <c r="E9916" s="504" t="s">
        <v>3381</v>
      </c>
      <c r="F9916" s="504" t="s">
        <v>414</v>
      </c>
      <c r="G9916" s="504" t="s">
        <v>3368</v>
      </c>
      <c r="H9916" s="504" t="s">
        <v>12405</v>
      </c>
      <c r="I9916" s="504">
        <v>155</v>
      </c>
      <c r="J9916" s="504">
        <v>0</v>
      </c>
      <c r="K9916" s="504">
        <v>0</v>
      </c>
      <c r="L9916" s="504">
        <v>155</v>
      </c>
      <c r="M9916" s="504">
        <v>0</v>
      </c>
      <c r="N9916" s="504">
        <v>0</v>
      </c>
      <c r="O9916" s="505">
        <v>0</v>
      </c>
    </row>
    <row r="9917" spans="1:15" x14ac:dyDescent="0.35">
      <c r="A9917" s="500" t="s">
        <v>1154</v>
      </c>
      <c r="B9917" s="501" t="s">
        <v>3036</v>
      </c>
      <c r="C9917" s="501" t="s">
        <v>1089</v>
      </c>
      <c r="D9917" s="501" t="s">
        <v>3392</v>
      </c>
      <c r="E9917" s="501" t="s">
        <v>3381</v>
      </c>
      <c r="F9917" s="501" t="s">
        <v>414</v>
      </c>
      <c r="G9917" s="501" t="s">
        <v>3368</v>
      </c>
      <c r="H9917" s="501" t="s">
        <v>12410</v>
      </c>
      <c r="I9917" s="501">
        <v>9</v>
      </c>
      <c r="J9917" s="501">
        <v>0</v>
      </c>
      <c r="K9917" s="501">
        <v>0</v>
      </c>
      <c r="L9917" s="501">
        <v>0</v>
      </c>
      <c r="M9917" s="501">
        <v>9</v>
      </c>
      <c r="N9917" s="501">
        <v>0</v>
      </c>
      <c r="O9917" s="506">
        <v>0</v>
      </c>
    </row>
    <row r="9918" spans="1:15" x14ac:dyDescent="0.35">
      <c r="A9918" s="503" t="s">
        <v>11383</v>
      </c>
      <c r="B9918" s="504" t="s">
        <v>3024</v>
      </c>
      <c r="C9918" s="504" t="s">
        <v>1089</v>
      </c>
      <c r="D9918" s="504" t="s">
        <v>3392</v>
      </c>
      <c r="E9918" s="504" t="s">
        <v>3381</v>
      </c>
      <c r="F9918" s="504" t="s">
        <v>416</v>
      </c>
      <c r="G9918" s="504" t="s">
        <v>3368</v>
      </c>
      <c r="H9918" s="504" t="s">
        <v>12411</v>
      </c>
      <c r="I9918" s="504">
        <v>136</v>
      </c>
      <c r="J9918" s="504">
        <v>136</v>
      </c>
      <c r="K9918" s="504">
        <v>0</v>
      </c>
      <c r="L9918" s="504">
        <v>0</v>
      </c>
      <c r="M9918" s="504">
        <v>0</v>
      </c>
      <c r="N9918" s="504">
        <v>1</v>
      </c>
      <c r="O9918" s="505">
        <v>0</v>
      </c>
    </row>
    <row r="9919" spans="1:15" x14ac:dyDescent="0.35">
      <c r="A9919" s="500" t="s">
        <v>1402</v>
      </c>
      <c r="B9919" s="501" t="s">
        <v>2560</v>
      </c>
      <c r="C9919" s="501" t="s">
        <v>1089</v>
      </c>
      <c r="D9919" s="501" t="s">
        <v>3392</v>
      </c>
      <c r="E9919" s="501" t="s">
        <v>3381</v>
      </c>
      <c r="F9919" s="501" t="s">
        <v>416</v>
      </c>
      <c r="G9919" s="501" t="s">
        <v>3368</v>
      </c>
      <c r="H9919" s="501" t="s">
        <v>12412</v>
      </c>
      <c r="I9919" s="501">
        <v>12</v>
      </c>
      <c r="J9919" s="501">
        <v>12</v>
      </c>
      <c r="K9919" s="501">
        <v>0</v>
      </c>
      <c r="L9919" s="501">
        <v>0</v>
      </c>
      <c r="M9919" s="501">
        <v>0</v>
      </c>
      <c r="N9919" s="501">
        <v>0</v>
      </c>
      <c r="O9919" s="506">
        <v>0</v>
      </c>
    </row>
    <row r="9920" spans="1:15" x14ac:dyDescent="0.35">
      <c r="A9920" s="503" t="s">
        <v>1618</v>
      </c>
      <c r="B9920" s="504" t="s">
        <v>3355</v>
      </c>
      <c r="C9920" s="504" t="s">
        <v>1094</v>
      </c>
      <c r="D9920" s="504" t="s">
        <v>3380</v>
      </c>
      <c r="E9920" s="504" t="s">
        <v>3381</v>
      </c>
      <c r="F9920" s="504" t="s">
        <v>1048</v>
      </c>
      <c r="G9920" s="504" t="s">
        <v>3368</v>
      </c>
      <c r="H9920" s="504" t="s">
        <v>13953</v>
      </c>
      <c r="I9920" s="504">
        <v>4653</v>
      </c>
      <c r="J9920" s="504">
        <v>4335</v>
      </c>
      <c r="K9920" s="504">
        <v>0</v>
      </c>
      <c r="L9920" s="504">
        <v>8</v>
      </c>
      <c r="M9920" s="504">
        <v>208</v>
      </c>
      <c r="N9920" s="504">
        <v>0</v>
      </c>
      <c r="O9920" s="505">
        <v>102</v>
      </c>
    </row>
    <row r="9921" spans="1:15" x14ac:dyDescent="0.35">
      <c r="A9921" s="500" t="s">
        <v>1618</v>
      </c>
      <c r="B9921" s="501" t="s">
        <v>3355</v>
      </c>
      <c r="C9921" s="501" t="s">
        <v>1094</v>
      </c>
      <c r="D9921" s="501" t="s">
        <v>3380</v>
      </c>
      <c r="E9921" s="501" t="s">
        <v>3381</v>
      </c>
      <c r="F9921" s="501" t="s">
        <v>417</v>
      </c>
      <c r="G9921" s="501" t="s">
        <v>3368</v>
      </c>
      <c r="H9921" s="501" t="s">
        <v>12413</v>
      </c>
      <c r="I9921" s="501">
        <v>10386</v>
      </c>
      <c r="J9921" s="501">
        <v>10078</v>
      </c>
      <c r="K9921" s="501">
        <v>0</v>
      </c>
      <c r="L9921" s="501">
        <v>67</v>
      </c>
      <c r="M9921" s="501">
        <v>70</v>
      </c>
      <c r="N9921" s="501">
        <v>0</v>
      </c>
      <c r="O9921" s="506">
        <v>171</v>
      </c>
    </row>
    <row r="9922" spans="1:15" x14ac:dyDescent="0.35">
      <c r="A9922" s="503" t="s">
        <v>1276</v>
      </c>
      <c r="B9922" s="504" t="s">
        <v>3051</v>
      </c>
      <c r="C9922" s="504" t="s">
        <v>1089</v>
      </c>
      <c r="D9922" s="504" t="s">
        <v>3392</v>
      </c>
      <c r="E9922" s="504" t="s">
        <v>3381</v>
      </c>
      <c r="F9922" s="504" t="s">
        <v>415</v>
      </c>
      <c r="G9922" s="504" t="s">
        <v>3368</v>
      </c>
      <c r="H9922" s="504" t="s">
        <v>12414</v>
      </c>
      <c r="I9922" s="504">
        <v>38</v>
      </c>
      <c r="J9922" s="504">
        <v>0</v>
      </c>
      <c r="K9922" s="504">
        <v>0</v>
      </c>
      <c r="L9922" s="504">
        <v>0</v>
      </c>
      <c r="M9922" s="504">
        <v>38</v>
      </c>
      <c r="N9922" s="504">
        <v>0</v>
      </c>
      <c r="O9922" s="505">
        <v>0</v>
      </c>
    </row>
    <row r="9923" spans="1:15" x14ac:dyDescent="0.35">
      <c r="A9923" s="500" t="s">
        <v>1676</v>
      </c>
      <c r="B9923" s="501" t="s">
        <v>3046</v>
      </c>
      <c r="C9923" s="501" t="s">
        <v>1089</v>
      </c>
      <c r="D9923" s="501" t="s">
        <v>3392</v>
      </c>
      <c r="E9923" s="501" t="s">
        <v>3381</v>
      </c>
      <c r="F9923" s="501" t="s">
        <v>418</v>
      </c>
      <c r="G9923" s="501" t="s">
        <v>3368</v>
      </c>
      <c r="H9923" s="501" t="s">
        <v>12415</v>
      </c>
      <c r="I9923" s="501">
        <v>287</v>
      </c>
      <c r="J9923" s="501">
        <v>0</v>
      </c>
      <c r="K9923" s="501">
        <v>0</v>
      </c>
      <c r="L9923" s="501">
        <v>287</v>
      </c>
      <c r="M9923" s="501">
        <v>0</v>
      </c>
      <c r="N9923" s="501">
        <v>0</v>
      </c>
      <c r="O9923" s="506">
        <v>0</v>
      </c>
    </row>
    <row r="9924" spans="1:15" x14ac:dyDescent="0.35">
      <c r="A9924" s="503" t="s">
        <v>2058</v>
      </c>
      <c r="B9924" s="504" t="s">
        <v>3049</v>
      </c>
      <c r="C9924" s="504" t="s">
        <v>1089</v>
      </c>
      <c r="D9924" s="504" t="s">
        <v>3392</v>
      </c>
      <c r="E9924" s="504" t="s">
        <v>3381</v>
      </c>
      <c r="F9924" s="504" t="s">
        <v>420</v>
      </c>
      <c r="G9924" s="504" t="s">
        <v>3368</v>
      </c>
      <c r="H9924" s="504" t="s">
        <v>12416</v>
      </c>
      <c r="I9924" s="504">
        <v>215</v>
      </c>
      <c r="J9924" s="504">
        <v>215</v>
      </c>
      <c r="K9924" s="504">
        <v>0</v>
      </c>
      <c r="L9924" s="504">
        <v>0</v>
      </c>
      <c r="M9924" s="504">
        <v>0</v>
      </c>
      <c r="N9924" s="504">
        <v>0</v>
      </c>
      <c r="O9924" s="505">
        <v>0</v>
      </c>
    </row>
    <row r="9925" spans="1:15" x14ac:dyDescent="0.35">
      <c r="A9925" s="500" t="s">
        <v>2059</v>
      </c>
      <c r="B9925" s="501" t="s">
        <v>3108</v>
      </c>
      <c r="C9925" s="501" t="s">
        <v>1089</v>
      </c>
      <c r="D9925" s="501" t="s">
        <v>3392</v>
      </c>
      <c r="E9925" s="501" t="s">
        <v>3381</v>
      </c>
      <c r="F9925" s="501" t="s">
        <v>420</v>
      </c>
      <c r="G9925" s="501" t="s">
        <v>3368</v>
      </c>
      <c r="H9925" s="501" t="s">
        <v>12417</v>
      </c>
      <c r="I9925" s="501">
        <v>42</v>
      </c>
      <c r="J9925" s="501">
        <v>8</v>
      </c>
      <c r="K9925" s="501">
        <v>0</v>
      </c>
      <c r="L9925" s="501">
        <v>0</v>
      </c>
      <c r="M9925" s="501">
        <v>34</v>
      </c>
      <c r="N9925" s="501">
        <v>0</v>
      </c>
      <c r="O9925" s="506">
        <v>0</v>
      </c>
    </row>
    <row r="9926" spans="1:15" x14ac:dyDescent="0.35">
      <c r="A9926" s="503" t="s">
        <v>1277</v>
      </c>
      <c r="B9926" s="504" t="s">
        <v>3056</v>
      </c>
      <c r="C9926" s="504" t="s">
        <v>1089</v>
      </c>
      <c r="D9926" s="504" t="s">
        <v>3392</v>
      </c>
      <c r="E9926" s="504" t="s">
        <v>3381</v>
      </c>
      <c r="F9926" s="504" t="s">
        <v>420</v>
      </c>
      <c r="G9926" s="504" t="s">
        <v>3368</v>
      </c>
      <c r="H9926" s="504" t="s">
        <v>12422</v>
      </c>
      <c r="I9926" s="504">
        <v>32</v>
      </c>
      <c r="J9926" s="504">
        <v>15</v>
      </c>
      <c r="K9926" s="504">
        <v>0</v>
      </c>
      <c r="L9926" s="504">
        <v>17</v>
      </c>
      <c r="M9926" s="504">
        <v>0</v>
      </c>
      <c r="N9926" s="504">
        <v>0</v>
      </c>
      <c r="O9926" s="505">
        <v>0</v>
      </c>
    </row>
    <row r="9927" spans="1:15" x14ac:dyDescent="0.35">
      <c r="A9927" s="500" t="s">
        <v>1277</v>
      </c>
      <c r="B9927" s="501" t="s">
        <v>3056</v>
      </c>
      <c r="C9927" s="501" t="s">
        <v>1089</v>
      </c>
      <c r="D9927" s="501" t="s">
        <v>3392</v>
      </c>
      <c r="E9927" s="501" t="s">
        <v>3381</v>
      </c>
      <c r="F9927" s="501" t="s">
        <v>419</v>
      </c>
      <c r="G9927" s="501" t="s">
        <v>3368</v>
      </c>
      <c r="H9927" s="501" t="s">
        <v>12419</v>
      </c>
      <c r="I9927" s="501">
        <v>37</v>
      </c>
      <c r="J9927" s="501">
        <v>23</v>
      </c>
      <c r="K9927" s="501">
        <v>0</v>
      </c>
      <c r="L9927" s="501">
        <v>14</v>
      </c>
      <c r="M9927" s="501">
        <v>0</v>
      </c>
      <c r="N9927" s="501">
        <v>0</v>
      </c>
      <c r="O9927" s="506">
        <v>0</v>
      </c>
    </row>
    <row r="9928" spans="1:15" x14ac:dyDescent="0.35">
      <c r="A9928" s="503" t="s">
        <v>1277</v>
      </c>
      <c r="B9928" s="504" t="s">
        <v>3056</v>
      </c>
      <c r="C9928" s="504" t="s">
        <v>1089</v>
      </c>
      <c r="D9928" s="504" t="s">
        <v>3392</v>
      </c>
      <c r="E9928" s="504" t="s">
        <v>3381</v>
      </c>
      <c r="F9928" s="504" t="s">
        <v>2</v>
      </c>
      <c r="G9928" s="504" t="s">
        <v>3368</v>
      </c>
      <c r="H9928" s="504" t="s">
        <v>12421</v>
      </c>
      <c r="I9928" s="504">
        <v>10</v>
      </c>
      <c r="J9928" s="504">
        <v>3</v>
      </c>
      <c r="K9928" s="504">
        <v>0</v>
      </c>
      <c r="L9928" s="504">
        <v>7</v>
      </c>
      <c r="M9928" s="504">
        <v>0</v>
      </c>
      <c r="N9928" s="504">
        <v>0</v>
      </c>
      <c r="O9928" s="505">
        <v>0</v>
      </c>
    </row>
    <row r="9929" spans="1:15" x14ac:dyDescent="0.35">
      <c r="A9929" s="500" t="s">
        <v>1277</v>
      </c>
      <c r="B9929" s="501" t="s">
        <v>3056</v>
      </c>
      <c r="C9929" s="501" t="s">
        <v>1089</v>
      </c>
      <c r="D9929" s="501" t="s">
        <v>3392</v>
      </c>
      <c r="E9929" s="501" t="s">
        <v>3381</v>
      </c>
      <c r="F9929" s="501" t="s">
        <v>415</v>
      </c>
      <c r="G9929" s="501" t="s">
        <v>3368</v>
      </c>
      <c r="H9929" s="501" t="s">
        <v>12420</v>
      </c>
      <c r="I9929" s="501">
        <v>23</v>
      </c>
      <c r="J9929" s="501">
        <v>17</v>
      </c>
      <c r="K9929" s="501">
        <v>0</v>
      </c>
      <c r="L9929" s="501">
        <v>6</v>
      </c>
      <c r="M9929" s="501">
        <v>0</v>
      </c>
      <c r="N9929" s="501">
        <v>0</v>
      </c>
      <c r="O9929" s="506">
        <v>0</v>
      </c>
    </row>
    <row r="9930" spans="1:15" x14ac:dyDescent="0.35">
      <c r="A9930" s="503" t="s">
        <v>1277</v>
      </c>
      <c r="B9930" s="504" t="s">
        <v>3056</v>
      </c>
      <c r="C9930" s="504" t="s">
        <v>1089</v>
      </c>
      <c r="D9930" s="504" t="s">
        <v>3392</v>
      </c>
      <c r="E9930" s="504" t="s">
        <v>3381</v>
      </c>
      <c r="F9930" s="504" t="s">
        <v>416</v>
      </c>
      <c r="G9930" s="504" t="s">
        <v>3368</v>
      </c>
      <c r="H9930" s="504" t="s">
        <v>12418</v>
      </c>
      <c r="I9930" s="504">
        <v>68</v>
      </c>
      <c r="J9930" s="504">
        <v>23</v>
      </c>
      <c r="K9930" s="504">
        <v>0</v>
      </c>
      <c r="L9930" s="504">
        <v>45</v>
      </c>
      <c r="M9930" s="504">
        <v>0</v>
      </c>
      <c r="N9930" s="504">
        <v>0</v>
      </c>
      <c r="O9930" s="505">
        <v>0</v>
      </c>
    </row>
    <row r="9931" spans="1:15" x14ac:dyDescent="0.35">
      <c r="A9931" s="500" t="s">
        <v>2060</v>
      </c>
      <c r="B9931" s="501" t="s">
        <v>3068</v>
      </c>
      <c r="C9931" s="501" t="s">
        <v>1094</v>
      </c>
      <c r="D9931" s="501" t="s">
        <v>3380</v>
      </c>
      <c r="E9931" s="501" t="s">
        <v>3381</v>
      </c>
      <c r="F9931" s="501" t="s">
        <v>420</v>
      </c>
      <c r="G9931" s="501" t="s">
        <v>3368</v>
      </c>
      <c r="H9931" s="501" t="s">
        <v>12423</v>
      </c>
      <c r="I9931" s="501">
        <v>2063</v>
      </c>
      <c r="J9931" s="501">
        <v>1602</v>
      </c>
      <c r="K9931" s="501">
        <v>0</v>
      </c>
      <c r="L9931" s="501">
        <v>89</v>
      </c>
      <c r="M9931" s="501">
        <v>229</v>
      </c>
      <c r="N9931" s="501">
        <v>0</v>
      </c>
      <c r="O9931" s="506">
        <v>143</v>
      </c>
    </row>
    <row r="9932" spans="1:15" x14ac:dyDescent="0.35">
      <c r="A9932" s="503" t="s">
        <v>1278</v>
      </c>
      <c r="B9932" s="504">
        <v>4639</v>
      </c>
      <c r="C9932" s="504" t="s">
        <v>1089</v>
      </c>
      <c r="D9932" s="504" t="s">
        <v>3392</v>
      </c>
      <c r="E9932" s="504" t="s">
        <v>3381</v>
      </c>
      <c r="F9932" s="504" t="s">
        <v>415</v>
      </c>
      <c r="G9932" s="504" t="s">
        <v>3368</v>
      </c>
      <c r="H9932" s="504" t="s">
        <v>12424</v>
      </c>
      <c r="I9932" s="504">
        <v>44</v>
      </c>
      <c r="J9932" s="504">
        <v>0</v>
      </c>
      <c r="K9932" s="504">
        <v>0</v>
      </c>
      <c r="L9932" s="504">
        <v>44</v>
      </c>
      <c r="M9932" s="504">
        <v>0</v>
      </c>
      <c r="N9932" s="504">
        <v>0</v>
      </c>
      <c r="O9932" s="505">
        <v>0</v>
      </c>
    </row>
    <row r="9933" spans="1:15" x14ac:dyDescent="0.35">
      <c r="A9933" s="500" t="s">
        <v>1278</v>
      </c>
      <c r="B9933" s="501">
        <v>4639</v>
      </c>
      <c r="C9933" s="501" t="s">
        <v>1089</v>
      </c>
      <c r="D9933" s="501" t="s">
        <v>3392</v>
      </c>
      <c r="E9933" s="501" t="s">
        <v>3381</v>
      </c>
      <c r="F9933" s="501" t="s">
        <v>1048</v>
      </c>
      <c r="G9933" s="501" t="s">
        <v>3368</v>
      </c>
      <c r="H9933" s="501" t="s">
        <v>13954</v>
      </c>
      <c r="I9933" s="501">
        <v>14</v>
      </c>
      <c r="J9933" s="501">
        <v>0</v>
      </c>
      <c r="K9933" s="501">
        <v>0</v>
      </c>
      <c r="L9933" s="501">
        <v>14</v>
      </c>
      <c r="M9933" s="501">
        <v>0</v>
      </c>
      <c r="N9933" s="501">
        <v>0</v>
      </c>
      <c r="O9933" s="506">
        <v>0</v>
      </c>
    </row>
    <row r="9934" spans="1:15" x14ac:dyDescent="0.35">
      <c r="A9934" s="503" t="s">
        <v>1278</v>
      </c>
      <c r="B9934" s="504">
        <v>4639</v>
      </c>
      <c r="C9934" s="504" t="s">
        <v>1089</v>
      </c>
      <c r="D9934" s="504" t="s">
        <v>3392</v>
      </c>
      <c r="E9934" s="504" t="s">
        <v>3381</v>
      </c>
      <c r="F9934" s="504" t="s">
        <v>2</v>
      </c>
      <c r="G9934" s="504" t="s">
        <v>3368</v>
      </c>
      <c r="H9934" s="504" t="s">
        <v>12425</v>
      </c>
      <c r="I9934" s="504">
        <v>37</v>
      </c>
      <c r="J9934" s="504">
        <v>0</v>
      </c>
      <c r="K9934" s="504">
        <v>0</v>
      </c>
      <c r="L9934" s="504">
        <v>37</v>
      </c>
      <c r="M9934" s="504">
        <v>0</v>
      </c>
      <c r="N9934" s="504">
        <v>0</v>
      </c>
      <c r="O9934" s="505">
        <v>0</v>
      </c>
    </row>
    <row r="9935" spans="1:15" x14ac:dyDescent="0.35">
      <c r="A9935" s="500" t="s">
        <v>1278</v>
      </c>
      <c r="B9935" s="501">
        <v>4639</v>
      </c>
      <c r="C9935" s="501" t="s">
        <v>1089</v>
      </c>
      <c r="D9935" s="501" t="s">
        <v>3392</v>
      </c>
      <c r="E9935" s="501" t="s">
        <v>3381</v>
      </c>
      <c r="F9935" s="501" t="s">
        <v>419</v>
      </c>
      <c r="G9935" s="501" t="s">
        <v>3368</v>
      </c>
      <c r="H9935" s="501" t="s">
        <v>12426</v>
      </c>
      <c r="I9935" s="501">
        <v>12</v>
      </c>
      <c r="J9935" s="501">
        <v>0</v>
      </c>
      <c r="K9935" s="501">
        <v>0</v>
      </c>
      <c r="L9935" s="501">
        <v>12</v>
      </c>
      <c r="M9935" s="501">
        <v>0</v>
      </c>
      <c r="N9935" s="501">
        <v>0</v>
      </c>
      <c r="O9935" s="506">
        <v>0</v>
      </c>
    </row>
    <row r="9936" spans="1:15" x14ac:dyDescent="0.35">
      <c r="A9936" s="503" t="s">
        <v>1278</v>
      </c>
      <c r="B9936" s="504">
        <v>4639</v>
      </c>
      <c r="C9936" s="504" t="s">
        <v>1089</v>
      </c>
      <c r="D9936" s="504" t="s">
        <v>3392</v>
      </c>
      <c r="E9936" s="504" t="s">
        <v>3381</v>
      </c>
      <c r="F9936" s="504" t="s">
        <v>417</v>
      </c>
      <c r="G9936" s="504" t="s">
        <v>3368</v>
      </c>
      <c r="H9936" s="504" t="s">
        <v>12427</v>
      </c>
      <c r="I9936" s="504">
        <v>25</v>
      </c>
      <c r="J9936" s="504">
        <v>0</v>
      </c>
      <c r="K9936" s="504">
        <v>0</v>
      </c>
      <c r="L9936" s="504">
        <v>25</v>
      </c>
      <c r="M9936" s="504">
        <v>0</v>
      </c>
      <c r="N9936" s="504">
        <v>0</v>
      </c>
      <c r="O9936" s="505">
        <v>0</v>
      </c>
    </row>
    <row r="9937" spans="1:15" x14ac:dyDescent="0.35">
      <c r="A9937" s="500" t="s">
        <v>1278</v>
      </c>
      <c r="B9937" s="501">
        <v>4639</v>
      </c>
      <c r="C9937" s="501" t="s">
        <v>1089</v>
      </c>
      <c r="D9937" s="501" t="s">
        <v>3392</v>
      </c>
      <c r="E9937" s="501" t="s">
        <v>3381</v>
      </c>
      <c r="F9937" s="501" t="s">
        <v>418</v>
      </c>
      <c r="G9937" s="501" t="s">
        <v>3368</v>
      </c>
      <c r="H9937" s="501" t="s">
        <v>12428</v>
      </c>
      <c r="I9937" s="501">
        <v>152</v>
      </c>
      <c r="J9937" s="501">
        <v>45</v>
      </c>
      <c r="K9937" s="501">
        <v>0</v>
      </c>
      <c r="L9937" s="501">
        <v>107</v>
      </c>
      <c r="M9937" s="501">
        <v>0</v>
      </c>
      <c r="N9937" s="501">
        <v>0</v>
      </c>
      <c r="O9937" s="506">
        <v>0</v>
      </c>
    </row>
    <row r="9938" spans="1:15" x14ac:dyDescent="0.35">
      <c r="A9938" s="503" t="s">
        <v>1278</v>
      </c>
      <c r="B9938" s="504">
        <v>4639</v>
      </c>
      <c r="C9938" s="504" t="s">
        <v>1089</v>
      </c>
      <c r="D9938" s="504" t="s">
        <v>3392</v>
      </c>
      <c r="E9938" s="504" t="s">
        <v>3381</v>
      </c>
      <c r="F9938" s="504" t="s">
        <v>420</v>
      </c>
      <c r="G9938" s="504" t="s">
        <v>3368</v>
      </c>
      <c r="H9938" s="504" t="s">
        <v>12429</v>
      </c>
      <c r="I9938" s="504">
        <v>12</v>
      </c>
      <c r="J9938" s="504">
        <v>0</v>
      </c>
      <c r="K9938" s="504">
        <v>0</v>
      </c>
      <c r="L9938" s="504">
        <v>12</v>
      </c>
      <c r="M9938" s="504">
        <v>0</v>
      </c>
      <c r="N9938" s="504">
        <v>0</v>
      </c>
      <c r="O9938" s="505">
        <v>0</v>
      </c>
    </row>
    <row r="9939" spans="1:15" x14ac:dyDescent="0.35">
      <c r="A9939" s="500" t="s">
        <v>1806</v>
      </c>
      <c r="B9939" s="501" t="s">
        <v>2825</v>
      </c>
      <c r="C9939" s="501" t="s">
        <v>1089</v>
      </c>
      <c r="D9939" s="501" t="s">
        <v>3392</v>
      </c>
      <c r="E9939" s="501" t="s">
        <v>3381</v>
      </c>
      <c r="F9939" s="501" t="s">
        <v>2</v>
      </c>
      <c r="G9939" s="501" t="s">
        <v>3368</v>
      </c>
      <c r="H9939" s="501" t="s">
        <v>12430</v>
      </c>
      <c r="I9939" s="501">
        <v>42</v>
      </c>
      <c r="J9939" s="501">
        <v>42</v>
      </c>
      <c r="K9939" s="501">
        <v>0</v>
      </c>
      <c r="L9939" s="501">
        <v>0</v>
      </c>
      <c r="M9939" s="501">
        <v>0</v>
      </c>
      <c r="N9939" s="501">
        <v>0</v>
      </c>
      <c r="O9939" s="506">
        <v>0</v>
      </c>
    </row>
    <row r="9940" spans="1:15" x14ac:dyDescent="0.35">
      <c r="A9940" s="503" t="s">
        <v>1677</v>
      </c>
      <c r="B9940" s="504">
        <v>4719</v>
      </c>
      <c r="C9940" s="504" t="s">
        <v>1089</v>
      </c>
      <c r="D9940" s="504" t="s">
        <v>3392</v>
      </c>
      <c r="E9940" s="504" t="s">
        <v>3381</v>
      </c>
      <c r="F9940" s="504" t="s">
        <v>418</v>
      </c>
      <c r="G9940" s="504" t="s">
        <v>3368</v>
      </c>
      <c r="H9940" s="504" t="s">
        <v>12431</v>
      </c>
      <c r="I9940" s="504">
        <v>43</v>
      </c>
      <c r="J9940" s="504">
        <v>0</v>
      </c>
      <c r="K9940" s="504">
        <v>0</v>
      </c>
      <c r="L9940" s="504">
        <v>43</v>
      </c>
      <c r="M9940" s="504">
        <v>0</v>
      </c>
      <c r="N9940" s="504">
        <v>0</v>
      </c>
      <c r="O9940" s="505">
        <v>0</v>
      </c>
    </row>
    <row r="9941" spans="1:15" x14ac:dyDescent="0.35">
      <c r="A9941" s="500" t="s">
        <v>1403</v>
      </c>
      <c r="B9941" s="501">
        <v>4733</v>
      </c>
      <c r="C9941" s="501" t="s">
        <v>1089</v>
      </c>
      <c r="D9941" s="501" t="s">
        <v>3392</v>
      </c>
      <c r="E9941" s="501" t="s">
        <v>3381</v>
      </c>
      <c r="F9941" s="501" t="s">
        <v>1048</v>
      </c>
      <c r="G9941" s="501" t="s">
        <v>3368</v>
      </c>
      <c r="H9941" s="501" t="s">
        <v>13955</v>
      </c>
      <c r="I9941" s="501">
        <v>85</v>
      </c>
      <c r="J9941" s="501">
        <v>0</v>
      </c>
      <c r="K9941" s="501">
        <v>0</v>
      </c>
      <c r="L9941" s="501">
        <v>85</v>
      </c>
      <c r="M9941" s="501">
        <v>0</v>
      </c>
      <c r="N9941" s="501">
        <v>0</v>
      </c>
      <c r="O9941" s="506">
        <v>0</v>
      </c>
    </row>
    <row r="9942" spans="1:15" x14ac:dyDescent="0.35">
      <c r="A9942" s="503" t="s">
        <v>1403</v>
      </c>
      <c r="B9942" s="504">
        <v>4733</v>
      </c>
      <c r="C9942" s="504" t="s">
        <v>1089</v>
      </c>
      <c r="D9942" s="504" t="s">
        <v>3392</v>
      </c>
      <c r="E9942" s="504" t="s">
        <v>3381</v>
      </c>
      <c r="F9942" s="504" t="s">
        <v>418</v>
      </c>
      <c r="G9942" s="504" t="s">
        <v>3368</v>
      </c>
      <c r="H9942" s="504" t="s">
        <v>12432</v>
      </c>
      <c r="I9942" s="504">
        <v>36</v>
      </c>
      <c r="J9942" s="504">
        <v>0</v>
      </c>
      <c r="K9942" s="504">
        <v>0</v>
      </c>
      <c r="L9942" s="504">
        <v>36</v>
      </c>
      <c r="M9942" s="504">
        <v>0</v>
      </c>
      <c r="N9942" s="504">
        <v>0</v>
      </c>
      <c r="O9942" s="505">
        <v>0</v>
      </c>
    </row>
    <row r="9943" spans="1:15" x14ac:dyDescent="0.35">
      <c r="A9943" s="500" t="s">
        <v>1403</v>
      </c>
      <c r="B9943" s="501">
        <v>4733</v>
      </c>
      <c r="C9943" s="501" t="s">
        <v>1089</v>
      </c>
      <c r="D9943" s="501" t="s">
        <v>3392</v>
      </c>
      <c r="E9943" s="501" t="s">
        <v>3381</v>
      </c>
      <c r="F9943" s="501" t="s">
        <v>419</v>
      </c>
      <c r="G9943" s="501" t="s">
        <v>3368</v>
      </c>
      <c r="H9943" s="501" t="s">
        <v>12434</v>
      </c>
      <c r="I9943" s="501">
        <v>8</v>
      </c>
      <c r="J9943" s="501">
        <v>0</v>
      </c>
      <c r="K9943" s="501">
        <v>8</v>
      </c>
      <c r="L9943" s="501">
        <v>0</v>
      </c>
      <c r="M9943" s="501">
        <v>0</v>
      </c>
      <c r="N9943" s="501">
        <v>0</v>
      </c>
      <c r="O9943" s="506">
        <v>0</v>
      </c>
    </row>
    <row r="9944" spans="1:15" x14ac:dyDescent="0.35">
      <c r="A9944" s="503" t="s">
        <v>1403</v>
      </c>
      <c r="B9944" s="504">
        <v>4733</v>
      </c>
      <c r="C9944" s="504" t="s">
        <v>1089</v>
      </c>
      <c r="D9944" s="504" t="s">
        <v>3392</v>
      </c>
      <c r="E9944" s="504" t="s">
        <v>3381</v>
      </c>
      <c r="F9944" s="504" t="s">
        <v>416</v>
      </c>
      <c r="G9944" s="504" t="s">
        <v>3368</v>
      </c>
      <c r="H9944" s="504" t="s">
        <v>12435</v>
      </c>
      <c r="I9944" s="504">
        <v>432</v>
      </c>
      <c r="J9944" s="504">
        <v>0</v>
      </c>
      <c r="K9944" s="504">
        <v>361</v>
      </c>
      <c r="L9944" s="504">
        <v>71</v>
      </c>
      <c r="M9944" s="504">
        <v>0</v>
      </c>
      <c r="N9944" s="504">
        <v>0</v>
      </c>
      <c r="O9944" s="505">
        <v>0</v>
      </c>
    </row>
    <row r="9945" spans="1:15" x14ac:dyDescent="0.35">
      <c r="A9945" s="500" t="s">
        <v>1403</v>
      </c>
      <c r="B9945" s="501">
        <v>4733</v>
      </c>
      <c r="C9945" s="501" t="s">
        <v>1089</v>
      </c>
      <c r="D9945" s="501" t="s">
        <v>3392</v>
      </c>
      <c r="E9945" s="501" t="s">
        <v>3381</v>
      </c>
      <c r="F9945" s="501" t="s">
        <v>420</v>
      </c>
      <c r="G9945" s="501" t="s">
        <v>3368</v>
      </c>
      <c r="H9945" s="501" t="s">
        <v>12433</v>
      </c>
      <c r="I9945" s="501">
        <v>23</v>
      </c>
      <c r="J9945" s="501">
        <v>0</v>
      </c>
      <c r="K9945" s="501">
        <v>0</v>
      </c>
      <c r="L9945" s="501">
        <v>23</v>
      </c>
      <c r="M9945" s="501">
        <v>0</v>
      </c>
      <c r="N9945" s="501">
        <v>0</v>
      </c>
      <c r="O9945" s="506">
        <v>0</v>
      </c>
    </row>
    <row r="9946" spans="1:15" x14ac:dyDescent="0.35">
      <c r="A9946" s="503" t="s">
        <v>1155</v>
      </c>
      <c r="B9946" s="504" t="s">
        <v>2639</v>
      </c>
      <c r="C9946" s="504" t="s">
        <v>1089</v>
      </c>
      <c r="D9946" s="504" t="s">
        <v>3392</v>
      </c>
      <c r="E9946" s="504" t="s">
        <v>3381</v>
      </c>
      <c r="F9946" s="504" t="s">
        <v>414</v>
      </c>
      <c r="G9946" s="504" t="s">
        <v>3368</v>
      </c>
      <c r="H9946" s="504" t="s">
        <v>12436</v>
      </c>
      <c r="I9946" s="504">
        <v>12</v>
      </c>
      <c r="J9946" s="504">
        <v>12</v>
      </c>
      <c r="K9946" s="504">
        <v>0</v>
      </c>
      <c r="L9946" s="504">
        <v>0</v>
      </c>
      <c r="M9946" s="504">
        <v>0</v>
      </c>
      <c r="N9946" s="504">
        <v>0</v>
      </c>
      <c r="O9946" s="505">
        <v>0</v>
      </c>
    </row>
    <row r="9947" spans="1:15" x14ac:dyDescent="0.35">
      <c r="A9947" s="500" t="s">
        <v>1279</v>
      </c>
      <c r="B9947" s="501" t="s">
        <v>2627</v>
      </c>
      <c r="C9947" s="501" t="s">
        <v>1089</v>
      </c>
      <c r="D9947" s="501" t="s">
        <v>3392</v>
      </c>
      <c r="E9947" s="501" t="s">
        <v>3381</v>
      </c>
      <c r="F9947" s="501" t="s">
        <v>415</v>
      </c>
      <c r="G9947" s="501" t="s">
        <v>3368</v>
      </c>
      <c r="H9947" s="501" t="s">
        <v>12437</v>
      </c>
      <c r="I9947" s="501">
        <v>28</v>
      </c>
      <c r="J9947" s="501">
        <v>0</v>
      </c>
      <c r="K9947" s="501">
        <v>0</v>
      </c>
      <c r="L9947" s="501">
        <v>28</v>
      </c>
      <c r="M9947" s="501">
        <v>0</v>
      </c>
      <c r="N9947" s="501">
        <v>0</v>
      </c>
      <c r="O9947" s="506">
        <v>0</v>
      </c>
    </row>
    <row r="9948" spans="1:15" x14ac:dyDescent="0.35">
      <c r="A9948" s="503" t="s">
        <v>1678</v>
      </c>
      <c r="B9948" s="504">
        <v>4568</v>
      </c>
      <c r="C9948" s="504" t="s">
        <v>1094</v>
      </c>
      <c r="D9948" s="504" t="s">
        <v>3380</v>
      </c>
      <c r="E9948" s="504" t="s">
        <v>3381</v>
      </c>
      <c r="F9948" s="504" t="s">
        <v>418</v>
      </c>
      <c r="G9948" s="504" t="s">
        <v>3368</v>
      </c>
      <c r="H9948" s="504" t="s">
        <v>12438</v>
      </c>
      <c r="I9948" s="504">
        <v>17591</v>
      </c>
      <c r="J9948" s="504">
        <v>15172</v>
      </c>
      <c r="K9948" s="504">
        <v>12</v>
      </c>
      <c r="L9948" s="504">
        <v>107</v>
      </c>
      <c r="M9948" s="504">
        <v>2221</v>
      </c>
      <c r="N9948" s="504">
        <v>1</v>
      </c>
      <c r="O9948" s="505">
        <v>79</v>
      </c>
    </row>
    <row r="9949" spans="1:15" x14ac:dyDescent="0.35">
      <c r="A9949" s="500" t="s">
        <v>1619</v>
      </c>
      <c r="B9949" s="501" t="s">
        <v>2798</v>
      </c>
      <c r="C9949" s="501" t="s">
        <v>1089</v>
      </c>
      <c r="D9949" s="501" t="s">
        <v>3392</v>
      </c>
      <c r="E9949" s="501" t="s">
        <v>3381</v>
      </c>
      <c r="F9949" s="501" t="s">
        <v>417</v>
      </c>
      <c r="G9949" s="501" t="s">
        <v>3368</v>
      </c>
      <c r="H9949" s="501" t="s">
        <v>12439</v>
      </c>
      <c r="I9949" s="501">
        <v>174</v>
      </c>
      <c r="J9949" s="501">
        <v>174</v>
      </c>
      <c r="K9949" s="501">
        <v>0</v>
      </c>
      <c r="L9949" s="501">
        <v>0</v>
      </c>
      <c r="M9949" s="501">
        <v>0</v>
      </c>
      <c r="N9949" s="501">
        <v>0</v>
      </c>
      <c r="O9949" s="506">
        <v>0</v>
      </c>
    </row>
    <row r="9950" spans="1:15" x14ac:dyDescent="0.35">
      <c r="A9950" s="503" t="s">
        <v>14142</v>
      </c>
      <c r="B9950" s="504" t="s">
        <v>2700</v>
      </c>
      <c r="C9950" s="504" t="s">
        <v>1089</v>
      </c>
      <c r="D9950" s="504" t="s">
        <v>3392</v>
      </c>
      <c r="E9950" s="504" t="s">
        <v>3381</v>
      </c>
      <c r="F9950" s="504" t="s">
        <v>416</v>
      </c>
      <c r="G9950" s="504" t="s">
        <v>3368</v>
      </c>
      <c r="H9950" s="504" t="s">
        <v>15346</v>
      </c>
      <c r="I9950" s="504">
        <v>39</v>
      </c>
      <c r="J9950" s="504">
        <v>39</v>
      </c>
      <c r="K9950" s="504">
        <v>0</v>
      </c>
      <c r="L9950" s="504">
        <v>0</v>
      </c>
      <c r="M9950" s="504">
        <v>0</v>
      </c>
      <c r="N9950" s="504">
        <v>0</v>
      </c>
      <c r="O9950" s="505">
        <v>0</v>
      </c>
    </row>
    <row r="9951" spans="1:15" x14ac:dyDescent="0.35">
      <c r="A9951" s="500" t="s">
        <v>1807</v>
      </c>
      <c r="B9951" s="501" t="s">
        <v>2641</v>
      </c>
      <c r="C9951" s="501" t="s">
        <v>1089</v>
      </c>
      <c r="D9951" s="501" t="s">
        <v>3392</v>
      </c>
      <c r="E9951" s="501" t="s">
        <v>3381</v>
      </c>
      <c r="F9951" s="501" t="s">
        <v>2</v>
      </c>
      <c r="G9951" s="501" t="s">
        <v>3368</v>
      </c>
      <c r="H9951" s="501" t="s">
        <v>12440</v>
      </c>
      <c r="I9951" s="501">
        <v>2</v>
      </c>
      <c r="J9951" s="501">
        <v>0</v>
      </c>
      <c r="K9951" s="501">
        <v>0</v>
      </c>
      <c r="L9951" s="501">
        <v>0</v>
      </c>
      <c r="M9951" s="501">
        <v>2</v>
      </c>
      <c r="N9951" s="501">
        <v>0</v>
      </c>
      <c r="O9951" s="506">
        <v>0</v>
      </c>
    </row>
    <row r="9952" spans="1:15" x14ac:dyDescent="0.35">
      <c r="A9952" s="503" t="s">
        <v>2061</v>
      </c>
      <c r="B9952" s="504" t="s">
        <v>2754</v>
      </c>
      <c r="C9952" s="504" t="s">
        <v>1089</v>
      </c>
      <c r="D9952" s="504" t="s">
        <v>3392</v>
      </c>
      <c r="E9952" s="504" t="s">
        <v>3381</v>
      </c>
      <c r="F9952" s="504" t="s">
        <v>420</v>
      </c>
      <c r="G9952" s="504" t="s">
        <v>3368</v>
      </c>
      <c r="H9952" s="504" t="s">
        <v>12441</v>
      </c>
      <c r="I9952" s="504">
        <v>34</v>
      </c>
      <c r="J9952" s="504">
        <v>34</v>
      </c>
      <c r="K9952" s="504">
        <v>0</v>
      </c>
      <c r="L9952" s="504">
        <v>0</v>
      </c>
      <c r="M9952" s="504">
        <v>0</v>
      </c>
      <c r="N9952" s="504">
        <v>0</v>
      </c>
      <c r="O9952" s="505">
        <v>0</v>
      </c>
    </row>
    <row r="9953" spans="1:15" x14ac:dyDescent="0.35">
      <c r="A9953" s="500" t="s">
        <v>1950</v>
      </c>
      <c r="B9953" s="501" t="s">
        <v>3029</v>
      </c>
      <c r="C9953" s="501" t="s">
        <v>1089</v>
      </c>
      <c r="D9953" s="501" t="s">
        <v>3392</v>
      </c>
      <c r="E9953" s="501" t="s">
        <v>3381</v>
      </c>
      <c r="F9953" s="501" t="s">
        <v>419</v>
      </c>
      <c r="G9953" s="501" t="s">
        <v>3368</v>
      </c>
      <c r="H9953" s="501" t="s">
        <v>12442</v>
      </c>
      <c r="I9953" s="501">
        <v>21</v>
      </c>
      <c r="J9953" s="501">
        <v>10</v>
      </c>
      <c r="K9953" s="501">
        <v>0</v>
      </c>
      <c r="L9953" s="501">
        <v>0</v>
      </c>
      <c r="M9953" s="501">
        <v>11</v>
      </c>
      <c r="N9953" s="501">
        <v>0</v>
      </c>
      <c r="O9953" s="506">
        <v>0</v>
      </c>
    </row>
    <row r="9954" spans="1:15" x14ac:dyDescent="0.35">
      <c r="A9954" s="503" t="s">
        <v>14144</v>
      </c>
      <c r="B9954" s="504" t="s">
        <v>14143</v>
      </c>
      <c r="C9954" s="504" t="s">
        <v>1089</v>
      </c>
      <c r="D9954" s="504" t="s">
        <v>3392</v>
      </c>
      <c r="E9954" s="504" t="s">
        <v>3381</v>
      </c>
      <c r="F9954" s="504" t="s">
        <v>420</v>
      </c>
      <c r="G9954" s="504" t="s">
        <v>3368</v>
      </c>
      <c r="H9954" s="504" t="s">
        <v>15347</v>
      </c>
      <c r="I9954" s="504">
        <v>42</v>
      </c>
      <c r="J9954" s="504">
        <v>0</v>
      </c>
      <c r="K9954" s="504">
        <v>0</v>
      </c>
      <c r="L9954" s="504">
        <v>0</v>
      </c>
      <c r="M9954" s="504">
        <v>42</v>
      </c>
      <c r="N9954" s="504">
        <v>0</v>
      </c>
      <c r="O9954" s="505">
        <v>0</v>
      </c>
    </row>
    <row r="9955" spans="1:15" x14ac:dyDescent="0.35">
      <c r="A9955" s="500" t="s">
        <v>1808</v>
      </c>
      <c r="B9955" s="501" t="s">
        <v>3242</v>
      </c>
      <c r="C9955" s="501" t="s">
        <v>1094</v>
      </c>
      <c r="D9955" s="501" t="s">
        <v>3380</v>
      </c>
      <c r="E9955" s="501" t="s">
        <v>3381</v>
      </c>
      <c r="F9955" s="501" t="s">
        <v>2</v>
      </c>
      <c r="G9955" s="501" t="s">
        <v>3368</v>
      </c>
      <c r="H9955" s="501" t="s">
        <v>12443</v>
      </c>
      <c r="I9955" s="501">
        <v>35</v>
      </c>
      <c r="J9955" s="501">
        <v>8</v>
      </c>
      <c r="K9955" s="501">
        <v>0</v>
      </c>
      <c r="L9955" s="501">
        <v>27</v>
      </c>
      <c r="M9955" s="501">
        <v>0</v>
      </c>
      <c r="N9955" s="501">
        <v>3</v>
      </c>
      <c r="O9955" s="506">
        <v>0</v>
      </c>
    </row>
    <row r="9956" spans="1:15" x14ac:dyDescent="0.35">
      <c r="A9956" s="503" t="s">
        <v>1808</v>
      </c>
      <c r="B9956" s="504" t="s">
        <v>3242</v>
      </c>
      <c r="C9956" s="504" t="s">
        <v>1094</v>
      </c>
      <c r="D9956" s="504" t="s">
        <v>3380</v>
      </c>
      <c r="E9956" s="504" t="s">
        <v>3381</v>
      </c>
      <c r="F9956" s="504" t="s">
        <v>419</v>
      </c>
      <c r="G9956" s="504" t="s">
        <v>3368</v>
      </c>
      <c r="H9956" s="504" t="s">
        <v>12444</v>
      </c>
      <c r="I9956" s="504">
        <v>1186</v>
      </c>
      <c r="J9956" s="504">
        <v>353</v>
      </c>
      <c r="K9956" s="504">
        <v>14</v>
      </c>
      <c r="L9956" s="504">
        <v>752</v>
      </c>
      <c r="M9956" s="504">
        <v>51</v>
      </c>
      <c r="N9956" s="504">
        <v>19</v>
      </c>
      <c r="O9956" s="505">
        <v>16</v>
      </c>
    </row>
    <row r="9957" spans="1:15" x14ac:dyDescent="0.35">
      <c r="A9957" s="500" t="s">
        <v>1951</v>
      </c>
      <c r="B9957" s="501" t="s">
        <v>2940</v>
      </c>
      <c r="C9957" s="501" t="s">
        <v>1089</v>
      </c>
      <c r="D9957" s="501" t="s">
        <v>3392</v>
      </c>
      <c r="E9957" s="501" t="s">
        <v>3381</v>
      </c>
      <c r="F9957" s="501" t="s">
        <v>419</v>
      </c>
      <c r="G9957" s="501" t="s">
        <v>3368</v>
      </c>
      <c r="H9957" s="501" t="s">
        <v>12445</v>
      </c>
      <c r="I9957" s="501">
        <v>114</v>
      </c>
      <c r="J9957" s="501">
        <v>0</v>
      </c>
      <c r="K9957" s="501">
        <v>0</v>
      </c>
      <c r="L9957" s="501">
        <v>114</v>
      </c>
      <c r="M9957" s="501">
        <v>0</v>
      </c>
      <c r="N9957" s="501">
        <v>0</v>
      </c>
      <c r="O9957" s="506">
        <v>0</v>
      </c>
    </row>
    <row r="9958" spans="1:15" x14ac:dyDescent="0.35">
      <c r="A9958" s="503" t="s">
        <v>2062</v>
      </c>
      <c r="B9958" s="504" t="s">
        <v>3002</v>
      </c>
      <c r="C9958" s="504" t="s">
        <v>1094</v>
      </c>
      <c r="D9958" s="504" t="s">
        <v>3380</v>
      </c>
      <c r="E9958" s="504" t="s">
        <v>3381</v>
      </c>
      <c r="F9958" s="504" t="s">
        <v>420</v>
      </c>
      <c r="G9958" s="504" t="s">
        <v>3368</v>
      </c>
      <c r="H9958" s="504" t="s">
        <v>12446</v>
      </c>
      <c r="I9958" s="504">
        <v>3410</v>
      </c>
      <c r="J9958" s="504">
        <v>2998</v>
      </c>
      <c r="K9958" s="504">
        <v>0</v>
      </c>
      <c r="L9958" s="504">
        <v>9</v>
      </c>
      <c r="M9958" s="504">
        <v>262</v>
      </c>
      <c r="N9958" s="504">
        <v>0</v>
      </c>
      <c r="O9958" s="505">
        <v>141</v>
      </c>
    </row>
    <row r="9959" spans="1:15" x14ac:dyDescent="0.35">
      <c r="A9959" s="500" t="s">
        <v>2063</v>
      </c>
      <c r="B9959" s="501" t="s">
        <v>2656</v>
      </c>
      <c r="C9959" s="501" t="s">
        <v>1089</v>
      </c>
      <c r="D9959" s="501" t="s">
        <v>3392</v>
      </c>
      <c r="E9959" s="501" t="s">
        <v>3381</v>
      </c>
      <c r="F9959" s="501" t="s">
        <v>420</v>
      </c>
      <c r="G9959" s="501" t="s">
        <v>3368</v>
      </c>
      <c r="H9959" s="501" t="s">
        <v>12447</v>
      </c>
      <c r="I9959" s="501">
        <v>313</v>
      </c>
      <c r="J9959" s="501">
        <v>313</v>
      </c>
      <c r="K9959" s="501">
        <v>0</v>
      </c>
      <c r="L9959" s="501">
        <v>0</v>
      </c>
      <c r="M9959" s="501">
        <v>0</v>
      </c>
      <c r="N9959" s="501">
        <v>0</v>
      </c>
      <c r="O9959" s="506">
        <v>0</v>
      </c>
    </row>
    <row r="9960" spans="1:15" x14ac:dyDescent="0.35">
      <c r="A9960" s="503" t="s">
        <v>1404</v>
      </c>
      <c r="B9960" s="504" t="s">
        <v>2980</v>
      </c>
      <c r="C9960" s="504" t="s">
        <v>1089</v>
      </c>
      <c r="D9960" s="504" t="s">
        <v>3392</v>
      </c>
      <c r="E9960" s="504" t="s">
        <v>3381</v>
      </c>
      <c r="F9960" s="504" t="s">
        <v>416</v>
      </c>
      <c r="G9960" s="504" t="s">
        <v>3368</v>
      </c>
      <c r="H9960" s="504" t="s">
        <v>12448</v>
      </c>
      <c r="I9960" s="504">
        <v>18</v>
      </c>
      <c r="J9960" s="504">
        <v>0</v>
      </c>
      <c r="K9960" s="504">
        <v>0</v>
      </c>
      <c r="L9960" s="504">
        <v>0</v>
      </c>
      <c r="M9960" s="504">
        <v>18</v>
      </c>
      <c r="N9960" s="504">
        <v>0</v>
      </c>
      <c r="O9960" s="505">
        <v>0</v>
      </c>
    </row>
    <row r="9961" spans="1:15" x14ac:dyDescent="0.35">
      <c r="A9961" s="500" t="s">
        <v>2136</v>
      </c>
      <c r="B9961" s="501">
        <v>4860</v>
      </c>
      <c r="C9961" s="501" t="s">
        <v>1089</v>
      </c>
      <c r="D9961" s="501" t="s">
        <v>3392</v>
      </c>
      <c r="E9961" s="501" t="s">
        <v>3381</v>
      </c>
      <c r="F9961" s="501" t="s">
        <v>1048</v>
      </c>
      <c r="G9961" s="501" t="s">
        <v>3368</v>
      </c>
      <c r="H9961" s="501" t="s">
        <v>13956</v>
      </c>
      <c r="I9961" s="501">
        <v>75</v>
      </c>
      <c r="J9961" s="501">
        <v>0</v>
      </c>
      <c r="K9961" s="501">
        <v>0</v>
      </c>
      <c r="L9961" s="501">
        <v>75</v>
      </c>
      <c r="M9961" s="501">
        <v>0</v>
      </c>
      <c r="N9961" s="501">
        <v>0</v>
      </c>
      <c r="O9961" s="506">
        <v>0</v>
      </c>
    </row>
    <row r="9962" spans="1:15" x14ac:dyDescent="0.35">
      <c r="A9962" s="503" t="s">
        <v>14146</v>
      </c>
      <c r="B9962" s="504">
        <v>5132</v>
      </c>
      <c r="C9962" s="504" t="s">
        <v>1089</v>
      </c>
      <c r="D9962" s="504" t="s">
        <v>3392</v>
      </c>
      <c r="E9962" s="504" t="s">
        <v>3381</v>
      </c>
      <c r="F9962" s="504" t="s">
        <v>1048</v>
      </c>
      <c r="G9962" s="504" t="s">
        <v>3368</v>
      </c>
      <c r="H9962" s="504" t="s">
        <v>15348</v>
      </c>
      <c r="I9962" s="504">
        <v>10</v>
      </c>
      <c r="J9962" s="504">
        <v>0</v>
      </c>
      <c r="K9962" s="504">
        <v>0</v>
      </c>
      <c r="L9962" s="504">
        <v>0</v>
      </c>
      <c r="M9962" s="504">
        <v>10</v>
      </c>
      <c r="N9962" s="504">
        <v>0</v>
      </c>
      <c r="O9962" s="505">
        <v>0</v>
      </c>
    </row>
    <row r="9963" spans="1:15" x14ac:dyDescent="0.35">
      <c r="A9963" s="500" t="s">
        <v>1620</v>
      </c>
      <c r="B9963" s="501" t="s">
        <v>2605</v>
      </c>
      <c r="C9963" s="501" t="s">
        <v>1089</v>
      </c>
      <c r="D9963" s="501" t="s">
        <v>3392</v>
      </c>
      <c r="E9963" s="501" t="s">
        <v>3381</v>
      </c>
      <c r="F9963" s="501" t="s">
        <v>417</v>
      </c>
      <c r="G9963" s="501" t="s">
        <v>3368</v>
      </c>
      <c r="H9963" s="501" t="s">
        <v>12449</v>
      </c>
      <c r="I9963" s="501">
        <v>12</v>
      </c>
      <c r="J9963" s="501">
        <v>12</v>
      </c>
      <c r="K9963" s="501">
        <v>0</v>
      </c>
      <c r="L9963" s="501">
        <v>0</v>
      </c>
      <c r="M9963" s="501">
        <v>0</v>
      </c>
      <c r="N9963" s="501">
        <v>0</v>
      </c>
      <c r="O9963" s="506">
        <v>0</v>
      </c>
    </row>
    <row r="9964" spans="1:15" x14ac:dyDescent="0.35">
      <c r="A9964" s="503" t="s">
        <v>14148</v>
      </c>
      <c r="B9964" s="504" t="s">
        <v>14147</v>
      </c>
      <c r="C9964" s="504" t="s">
        <v>1089</v>
      </c>
      <c r="D9964" s="504" t="s">
        <v>3392</v>
      </c>
      <c r="E9964" s="504" t="s">
        <v>3381</v>
      </c>
      <c r="F9964" s="504" t="s">
        <v>415</v>
      </c>
      <c r="G9964" s="504" t="s">
        <v>3368</v>
      </c>
      <c r="H9964" s="504" t="s">
        <v>15349</v>
      </c>
      <c r="I9964" s="504">
        <v>7</v>
      </c>
      <c r="J9964" s="504">
        <v>0</v>
      </c>
      <c r="K9964" s="504">
        <v>0</v>
      </c>
      <c r="L9964" s="504">
        <v>0</v>
      </c>
      <c r="M9964" s="504">
        <v>7</v>
      </c>
      <c r="N9964" s="504">
        <v>0</v>
      </c>
      <c r="O9964" s="505">
        <v>0</v>
      </c>
    </row>
    <row r="9965" spans="1:15" x14ac:dyDescent="0.35">
      <c r="A9965" s="500" t="s">
        <v>1405</v>
      </c>
      <c r="B9965" s="501" t="s">
        <v>2728</v>
      </c>
      <c r="C9965" s="501" t="s">
        <v>1089</v>
      </c>
      <c r="D9965" s="501" t="s">
        <v>3392</v>
      </c>
      <c r="E9965" s="501" t="s">
        <v>3381</v>
      </c>
      <c r="F9965" s="501" t="s">
        <v>416</v>
      </c>
      <c r="G9965" s="501" t="s">
        <v>3368</v>
      </c>
      <c r="H9965" s="501" t="s">
        <v>12450</v>
      </c>
      <c r="I9965" s="501">
        <v>50</v>
      </c>
      <c r="J9965" s="501">
        <v>50</v>
      </c>
      <c r="K9965" s="501">
        <v>0</v>
      </c>
      <c r="L9965" s="501">
        <v>0</v>
      </c>
      <c r="M9965" s="501">
        <v>0</v>
      </c>
      <c r="N9965" s="501">
        <v>0</v>
      </c>
      <c r="O9965" s="506">
        <v>0</v>
      </c>
    </row>
    <row r="9966" spans="1:15" x14ac:dyDescent="0.35">
      <c r="A9966" s="503" t="s">
        <v>1280</v>
      </c>
      <c r="B9966" s="504" t="s">
        <v>3031</v>
      </c>
      <c r="C9966" s="504" t="s">
        <v>1089</v>
      </c>
      <c r="D9966" s="504" t="s">
        <v>3392</v>
      </c>
      <c r="E9966" s="504" t="s">
        <v>3381</v>
      </c>
      <c r="F9966" s="504" t="s">
        <v>415</v>
      </c>
      <c r="G9966" s="504" t="s">
        <v>3368</v>
      </c>
      <c r="H9966" s="504" t="s">
        <v>12451</v>
      </c>
      <c r="I9966" s="504">
        <v>6</v>
      </c>
      <c r="J9966" s="504">
        <v>0</v>
      </c>
      <c r="K9966" s="504">
        <v>0</v>
      </c>
      <c r="L9966" s="504">
        <v>0</v>
      </c>
      <c r="M9966" s="504">
        <v>6</v>
      </c>
      <c r="N9966" s="504">
        <v>0</v>
      </c>
      <c r="O9966" s="505">
        <v>0</v>
      </c>
    </row>
    <row r="9967" spans="1:15" x14ac:dyDescent="0.35">
      <c r="A9967" s="500" t="s">
        <v>1281</v>
      </c>
      <c r="B9967" s="501" t="s">
        <v>3044</v>
      </c>
      <c r="C9967" s="501" t="s">
        <v>1089</v>
      </c>
      <c r="D9967" s="501" t="s">
        <v>3392</v>
      </c>
      <c r="E9967" s="501" t="s">
        <v>3381</v>
      </c>
      <c r="F9967" s="501" t="s">
        <v>416</v>
      </c>
      <c r="G9967" s="501" t="s">
        <v>3368</v>
      </c>
      <c r="H9967" s="501" t="s">
        <v>12452</v>
      </c>
      <c r="I9967" s="501">
        <v>29</v>
      </c>
      <c r="J9967" s="501">
        <v>29</v>
      </c>
      <c r="K9967" s="501">
        <v>0</v>
      </c>
      <c r="L9967" s="501">
        <v>0</v>
      </c>
      <c r="M9967" s="501">
        <v>0</v>
      </c>
      <c r="N9967" s="501">
        <v>0</v>
      </c>
      <c r="O9967" s="506">
        <v>0</v>
      </c>
    </row>
    <row r="9968" spans="1:15" x14ac:dyDescent="0.35">
      <c r="A9968" s="503" t="s">
        <v>1281</v>
      </c>
      <c r="B9968" s="504" t="s">
        <v>3044</v>
      </c>
      <c r="C9968" s="504" t="s">
        <v>1089</v>
      </c>
      <c r="D9968" s="504" t="s">
        <v>3392</v>
      </c>
      <c r="E9968" s="504" t="s">
        <v>3381</v>
      </c>
      <c r="F9968" s="504" t="s">
        <v>415</v>
      </c>
      <c r="G9968" s="504" t="s">
        <v>3368</v>
      </c>
      <c r="H9968" s="504" t="s">
        <v>12453</v>
      </c>
      <c r="I9968" s="504">
        <v>142</v>
      </c>
      <c r="J9968" s="504">
        <v>135</v>
      </c>
      <c r="K9968" s="504">
        <v>7</v>
      </c>
      <c r="L9968" s="504">
        <v>0</v>
      </c>
      <c r="M9968" s="504">
        <v>0</v>
      </c>
      <c r="N9968" s="504">
        <v>0</v>
      </c>
      <c r="O9968" s="505">
        <v>0</v>
      </c>
    </row>
    <row r="9969" spans="1:15" x14ac:dyDescent="0.35">
      <c r="A9969" s="500" t="s">
        <v>2137</v>
      </c>
      <c r="B9969" s="501">
        <v>4736</v>
      </c>
      <c r="C9969" s="501" t="s">
        <v>1089</v>
      </c>
      <c r="D9969" s="501" t="s">
        <v>3392</v>
      </c>
      <c r="E9969" s="501" t="s">
        <v>3381</v>
      </c>
      <c r="F9969" s="501" t="s">
        <v>1048</v>
      </c>
      <c r="G9969" s="501" t="s">
        <v>3368</v>
      </c>
      <c r="H9969" s="501" t="s">
        <v>13957</v>
      </c>
      <c r="I9969" s="501">
        <v>12</v>
      </c>
      <c r="J9969" s="501">
        <v>0</v>
      </c>
      <c r="K9969" s="501">
        <v>2</v>
      </c>
      <c r="L9969" s="501">
        <v>10</v>
      </c>
      <c r="M9969" s="501">
        <v>0</v>
      </c>
      <c r="N9969" s="501">
        <v>0</v>
      </c>
      <c r="O9969" s="506">
        <v>0</v>
      </c>
    </row>
    <row r="9970" spans="1:15" x14ac:dyDescent="0.35">
      <c r="A9970" s="503" t="s">
        <v>11422</v>
      </c>
      <c r="B9970" s="504" t="s">
        <v>2939</v>
      </c>
      <c r="C9970" s="504" t="s">
        <v>1089</v>
      </c>
      <c r="D9970" s="504" t="s">
        <v>3392</v>
      </c>
      <c r="E9970" s="504" t="s">
        <v>3381</v>
      </c>
      <c r="F9970" s="504" t="s">
        <v>419</v>
      </c>
      <c r="G9970" s="504" t="s">
        <v>3368</v>
      </c>
      <c r="H9970" s="504" t="s">
        <v>12454</v>
      </c>
      <c r="I9970" s="504">
        <v>269</v>
      </c>
      <c r="J9970" s="504">
        <v>0</v>
      </c>
      <c r="K9970" s="504">
        <v>0</v>
      </c>
      <c r="L9970" s="504">
        <v>269</v>
      </c>
      <c r="M9970" s="504">
        <v>0</v>
      </c>
      <c r="N9970" s="504">
        <v>0</v>
      </c>
      <c r="O9970" s="505">
        <v>0</v>
      </c>
    </row>
    <row r="9971" spans="1:15" x14ac:dyDescent="0.35">
      <c r="A9971" s="500" t="s">
        <v>2064</v>
      </c>
      <c r="B9971" s="501" t="s">
        <v>2944</v>
      </c>
      <c r="C9971" s="501" t="s">
        <v>1089</v>
      </c>
      <c r="D9971" s="501" t="s">
        <v>3392</v>
      </c>
      <c r="E9971" s="501" t="s">
        <v>3381</v>
      </c>
      <c r="F9971" s="501" t="s">
        <v>420</v>
      </c>
      <c r="G9971" s="501" t="s">
        <v>3368</v>
      </c>
      <c r="H9971" s="501" t="s">
        <v>12455</v>
      </c>
      <c r="I9971" s="501">
        <v>195</v>
      </c>
      <c r="J9971" s="501">
        <v>0</v>
      </c>
      <c r="K9971" s="501">
        <v>0</v>
      </c>
      <c r="L9971" s="501">
        <v>195</v>
      </c>
      <c r="M9971" s="501">
        <v>0</v>
      </c>
      <c r="N9971" s="501">
        <v>0</v>
      </c>
      <c r="O9971" s="506">
        <v>0</v>
      </c>
    </row>
    <row r="9972" spans="1:15" x14ac:dyDescent="0.35">
      <c r="A9972" s="503" t="s">
        <v>11423</v>
      </c>
      <c r="B9972" s="504" t="s">
        <v>3128</v>
      </c>
      <c r="C9972" s="504" t="s">
        <v>1094</v>
      </c>
      <c r="D9972" s="504" t="s">
        <v>3380</v>
      </c>
      <c r="E9972" s="504" t="s">
        <v>3381</v>
      </c>
      <c r="F9972" s="504" t="s">
        <v>419</v>
      </c>
      <c r="G9972" s="504" t="s">
        <v>3368</v>
      </c>
      <c r="H9972" s="504" t="s">
        <v>12456</v>
      </c>
      <c r="I9972" s="504">
        <v>3178</v>
      </c>
      <c r="J9972" s="504">
        <v>2828</v>
      </c>
      <c r="K9972" s="504">
        <v>0</v>
      </c>
      <c r="L9972" s="504">
        <v>173</v>
      </c>
      <c r="M9972" s="504">
        <v>26</v>
      </c>
      <c r="N9972" s="504">
        <v>47</v>
      </c>
      <c r="O9972" s="505">
        <v>151</v>
      </c>
    </row>
    <row r="9973" spans="1:15" x14ac:dyDescent="0.35">
      <c r="A9973" s="500" t="s">
        <v>1406</v>
      </c>
      <c r="B9973" s="501" t="s">
        <v>2780</v>
      </c>
      <c r="C9973" s="501" t="s">
        <v>1089</v>
      </c>
      <c r="D9973" s="501" t="s">
        <v>3392</v>
      </c>
      <c r="E9973" s="501" t="s">
        <v>3381</v>
      </c>
      <c r="F9973" s="501" t="s">
        <v>416</v>
      </c>
      <c r="G9973" s="501" t="s">
        <v>3368</v>
      </c>
      <c r="H9973" s="501" t="s">
        <v>12457</v>
      </c>
      <c r="I9973" s="501">
        <v>39</v>
      </c>
      <c r="J9973" s="501">
        <v>39</v>
      </c>
      <c r="K9973" s="501">
        <v>0</v>
      </c>
      <c r="L9973" s="501">
        <v>0</v>
      </c>
      <c r="M9973" s="501">
        <v>0</v>
      </c>
      <c r="N9973" s="501">
        <v>0</v>
      </c>
      <c r="O9973" s="506">
        <v>0</v>
      </c>
    </row>
    <row r="9974" spans="1:15" x14ac:dyDescent="0.35">
      <c r="A9974" s="503" t="s">
        <v>1811</v>
      </c>
      <c r="B9974" s="504" t="s">
        <v>2999</v>
      </c>
      <c r="C9974" s="504" t="s">
        <v>1089</v>
      </c>
      <c r="D9974" s="504" t="s">
        <v>3392</v>
      </c>
      <c r="E9974" s="504" t="s">
        <v>3381</v>
      </c>
      <c r="F9974" s="504" t="s">
        <v>2</v>
      </c>
      <c r="G9974" s="504" t="s">
        <v>3368</v>
      </c>
      <c r="H9974" s="504" t="s">
        <v>12458</v>
      </c>
      <c r="I9974" s="504">
        <v>136</v>
      </c>
      <c r="J9974" s="504">
        <v>26</v>
      </c>
      <c r="K9974" s="504">
        <v>0</v>
      </c>
      <c r="L9974" s="504">
        <v>0</v>
      </c>
      <c r="M9974" s="504">
        <v>110</v>
      </c>
      <c r="N9974" s="504">
        <v>0</v>
      </c>
      <c r="O9974" s="505">
        <v>0</v>
      </c>
    </row>
    <row r="9975" spans="1:15" x14ac:dyDescent="0.35">
      <c r="A9975" s="500" t="s">
        <v>1812</v>
      </c>
      <c r="B9975" s="501" t="s">
        <v>2924</v>
      </c>
      <c r="C9975" s="501" t="s">
        <v>1089</v>
      </c>
      <c r="D9975" s="501" t="s">
        <v>3392</v>
      </c>
      <c r="E9975" s="501" t="s">
        <v>3381</v>
      </c>
      <c r="F9975" s="501" t="s">
        <v>2</v>
      </c>
      <c r="G9975" s="501" t="s">
        <v>3368</v>
      </c>
      <c r="H9975" s="501" t="s">
        <v>12459</v>
      </c>
      <c r="I9975" s="501">
        <v>301</v>
      </c>
      <c r="J9975" s="501">
        <v>0</v>
      </c>
      <c r="K9975" s="501">
        <v>0</v>
      </c>
      <c r="L9975" s="501">
        <v>301</v>
      </c>
      <c r="M9975" s="501">
        <v>0</v>
      </c>
      <c r="N9975" s="501">
        <v>0</v>
      </c>
      <c r="O9975" s="506">
        <v>0</v>
      </c>
    </row>
    <row r="9976" spans="1:15" x14ac:dyDescent="0.35">
      <c r="A9976" s="503" t="s">
        <v>1809</v>
      </c>
      <c r="B9976" s="504" t="s">
        <v>2492</v>
      </c>
      <c r="C9976" s="504" t="s">
        <v>1089</v>
      </c>
      <c r="D9976" s="504" t="s">
        <v>3392</v>
      </c>
      <c r="E9976" s="504" t="s">
        <v>3381</v>
      </c>
      <c r="F9976" s="504" t="s">
        <v>2</v>
      </c>
      <c r="G9976" s="504" t="s">
        <v>3368</v>
      </c>
      <c r="H9976" s="504" t="s">
        <v>12460</v>
      </c>
      <c r="I9976" s="504">
        <v>12</v>
      </c>
      <c r="J9976" s="504">
        <v>0</v>
      </c>
      <c r="K9976" s="504">
        <v>0</v>
      </c>
      <c r="L9976" s="504">
        <v>0</v>
      </c>
      <c r="M9976" s="504">
        <v>12</v>
      </c>
      <c r="N9976" s="504">
        <v>0</v>
      </c>
      <c r="O9976" s="505">
        <v>0</v>
      </c>
    </row>
    <row r="9977" spans="1:15" x14ac:dyDescent="0.35">
      <c r="A9977" s="500" t="s">
        <v>1810</v>
      </c>
      <c r="B9977" s="501" t="s">
        <v>2987</v>
      </c>
      <c r="C9977" s="501" t="s">
        <v>1089</v>
      </c>
      <c r="D9977" s="501" t="s">
        <v>3392</v>
      </c>
      <c r="E9977" s="501" t="s">
        <v>3381</v>
      </c>
      <c r="F9977" s="501" t="s">
        <v>2</v>
      </c>
      <c r="G9977" s="501" t="s">
        <v>3368</v>
      </c>
      <c r="H9977" s="501" t="s">
        <v>12461</v>
      </c>
      <c r="I9977" s="501">
        <v>19</v>
      </c>
      <c r="J9977" s="501">
        <v>0</v>
      </c>
      <c r="K9977" s="501">
        <v>0</v>
      </c>
      <c r="L9977" s="501">
        <v>19</v>
      </c>
      <c r="M9977" s="501">
        <v>0</v>
      </c>
      <c r="N9977" s="501">
        <v>0</v>
      </c>
      <c r="O9977" s="506">
        <v>0</v>
      </c>
    </row>
    <row r="9978" spans="1:15" x14ac:dyDescent="0.35">
      <c r="A9978" s="503" t="s">
        <v>1953</v>
      </c>
      <c r="B9978" s="504">
        <v>4801</v>
      </c>
      <c r="C9978" s="504" t="s">
        <v>1089</v>
      </c>
      <c r="D9978" s="504" t="s">
        <v>3392</v>
      </c>
      <c r="E9978" s="504" t="s">
        <v>3381</v>
      </c>
      <c r="F9978" s="504" t="s">
        <v>419</v>
      </c>
      <c r="G9978" s="504" t="s">
        <v>3368</v>
      </c>
      <c r="H9978" s="504" t="s">
        <v>12462</v>
      </c>
      <c r="I9978" s="504">
        <v>5</v>
      </c>
      <c r="J9978" s="504">
        <v>5</v>
      </c>
      <c r="K9978" s="504">
        <v>0</v>
      </c>
      <c r="L9978" s="504">
        <v>0</v>
      </c>
      <c r="M9978" s="504">
        <v>0</v>
      </c>
      <c r="N9978" s="504">
        <v>0</v>
      </c>
      <c r="O9978" s="505">
        <v>0</v>
      </c>
    </row>
    <row r="9979" spans="1:15" x14ac:dyDescent="0.35">
      <c r="A9979" s="500" t="s">
        <v>1952</v>
      </c>
      <c r="B9979" s="501" t="s">
        <v>2640</v>
      </c>
      <c r="C9979" s="501" t="s">
        <v>1089</v>
      </c>
      <c r="D9979" s="501" t="s">
        <v>3392</v>
      </c>
      <c r="E9979" s="501" t="s">
        <v>3381</v>
      </c>
      <c r="F9979" s="501" t="s">
        <v>419</v>
      </c>
      <c r="G9979" s="501" t="s">
        <v>3368</v>
      </c>
      <c r="H9979" s="501" t="s">
        <v>12463</v>
      </c>
      <c r="I9979" s="501">
        <v>22</v>
      </c>
      <c r="J9979" s="501">
        <v>0</v>
      </c>
      <c r="K9979" s="501">
        <v>0</v>
      </c>
      <c r="L9979" s="501">
        <v>22</v>
      </c>
      <c r="M9979" s="501">
        <v>0</v>
      </c>
      <c r="N9979" s="501">
        <v>0</v>
      </c>
      <c r="O9979" s="506">
        <v>0</v>
      </c>
    </row>
    <row r="9980" spans="1:15" x14ac:dyDescent="0.35">
      <c r="A9980" s="503" t="s">
        <v>1954</v>
      </c>
      <c r="B9980" s="504" t="s">
        <v>3084</v>
      </c>
      <c r="C9980" s="504" t="s">
        <v>1089</v>
      </c>
      <c r="D9980" s="504" t="s">
        <v>3392</v>
      </c>
      <c r="E9980" s="504" t="s">
        <v>3381</v>
      </c>
      <c r="F9980" s="504" t="s">
        <v>419</v>
      </c>
      <c r="G9980" s="504" t="s">
        <v>3368</v>
      </c>
      <c r="H9980" s="504" t="s">
        <v>12464</v>
      </c>
      <c r="I9980" s="504">
        <v>74</v>
      </c>
      <c r="J9980" s="504">
        <v>74</v>
      </c>
      <c r="K9980" s="504">
        <v>0</v>
      </c>
      <c r="L9980" s="504">
        <v>0</v>
      </c>
      <c r="M9980" s="504">
        <v>0</v>
      </c>
      <c r="N9980" s="504">
        <v>0</v>
      </c>
      <c r="O9980" s="505">
        <v>0</v>
      </c>
    </row>
    <row r="9981" spans="1:15" x14ac:dyDescent="0.35">
      <c r="A9981" s="500" t="s">
        <v>1407</v>
      </c>
      <c r="B9981" s="501" t="s">
        <v>2681</v>
      </c>
      <c r="C9981" s="501" t="s">
        <v>1089</v>
      </c>
      <c r="D9981" s="501" t="s">
        <v>3392</v>
      </c>
      <c r="E9981" s="501" t="s">
        <v>3381</v>
      </c>
      <c r="F9981" s="501" t="s">
        <v>416</v>
      </c>
      <c r="G9981" s="501" t="s">
        <v>3368</v>
      </c>
      <c r="H9981" s="501" t="s">
        <v>12465</v>
      </c>
      <c r="I9981" s="501">
        <v>86</v>
      </c>
      <c r="J9981" s="501">
        <v>86</v>
      </c>
      <c r="K9981" s="501">
        <v>0</v>
      </c>
      <c r="L9981" s="501">
        <v>0</v>
      </c>
      <c r="M9981" s="501">
        <v>0</v>
      </c>
      <c r="N9981" s="501">
        <v>0</v>
      </c>
      <c r="O9981" s="506">
        <v>0</v>
      </c>
    </row>
    <row r="9982" spans="1:15" x14ac:dyDescent="0.35">
      <c r="A9982" s="503" t="s">
        <v>1621</v>
      </c>
      <c r="B9982" s="504" t="s">
        <v>3319</v>
      </c>
      <c r="C9982" s="504" t="s">
        <v>1094</v>
      </c>
      <c r="D9982" s="504" t="s">
        <v>3380</v>
      </c>
      <c r="E9982" s="504" t="s">
        <v>3381</v>
      </c>
      <c r="F9982" s="504" t="s">
        <v>417</v>
      </c>
      <c r="G9982" s="504" t="s">
        <v>3368</v>
      </c>
      <c r="H9982" s="504" t="s">
        <v>12466</v>
      </c>
      <c r="I9982" s="504">
        <v>28</v>
      </c>
      <c r="J9982" s="504">
        <v>27</v>
      </c>
      <c r="K9982" s="504">
        <v>0</v>
      </c>
      <c r="L9982" s="504">
        <v>1</v>
      </c>
      <c r="M9982" s="504">
        <v>0</v>
      </c>
      <c r="N9982" s="504">
        <v>0</v>
      </c>
      <c r="O9982" s="505">
        <v>0</v>
      </c>
    </row>
    <row r="9983" spans="1:15" x14ac:dyDescent="0.35">
      <c r="A9983" s="500" t="s">
        <v>1621</v>
      </c>
      <c r="B9983" s="501" t="s">
        <v>3319</v>
      </c>
      <c r="C9983" s="501" t="s">
        <v>1094</v>
      </c>
      <c r="D9983" s="501" t="s">
        <v>3380</v>
      </c>
      <c r="E9983" s="501" t="s">
        <v>3381</v>
      </c>
      <c r="F9983" s="501" t="s">
        <v>1048</v>
      </c>
      <c r="G9983" s="501" t="s">
        <v>3368</v>
      </c>
      <c r="H9983" s="501" t="s">
        <v>13958</v>
      </c>
      <c r="I9983" s="501">
        <v>6531</v>
      </c>
      <c r="J9983" s="501">
        <v>5939</v>
      </c>
      <c r="K9983" s="501">
        <v>6</v>
      </c>
      <c r="L9983" s="501">
        <v>326</v>
      </c>
      <c r="M9983" s="501">
        <v>0</v>
      </c>
      <c r="N9983" s="501">
        <v>39</v>
      </c>
      <c r="O9983" s="506">
        <v>260</v>
      </c>
    </row>
    <row r="9984" spans="1:15" x14ac:dyDescent="0.35">
      <c r="A9984" s="503" t="s">
        <v>2065</v>
      </c>
      <c r="B9984" s="504" t="s">
        <v>3161</v>
      </c>
      <c r="C9984" s="504" t="s">
        <v>1089</v>
      </c>
      <c r="D9984" s="504" t="s">
        <v>3392</v>
      </c>
      <c r="E9984" s="504" t="s">
        <v>3381</v>
      </c>
      <c r="F9984" s="504" t="s">
        <v>420</v>
      </c>
      <c r="G9984" s="504" t="s">
        <v>3368</v>
      </c>
      <c r="H9984" s="504" t="s">
        <v>12467</v>
      </c>
      <c r="I9984" s="504">
        <v>148</v>
      </c>
      <c r="J9984" s="504">
        <v>0</v>
      </c>
      <c r="K9984" s="504">
        <v>0</v>
      </c>
      <c r="L9984" s="504">
        <v>0</v>
      </c>
      <c r="M9984" s="504">
        <v>148</v>
      </c>
      <c r="N9984" s="504">
        <v>0</v>
      </c>
      <c r="O9984" s="505">
        <v>0</v>
      </c>
    </row>
    <row r="9985" spans="1:15" x14ac:dyDescent="0.35">
      <c r="A9985" s="500" t="s">
        <v>1282</v>
      </c>
      <c r="B9985" s="501" t="s">
        <v>2953</v>
      </c>
      <c r="C9985" s="501" t="s">
        <v>1094</v>
      </c>
      <c r="D9985" s="501" t="s">
        <v>3380</v>
      </c>
      <c r="E9985" s="501" t="s">
        <v>3381</v>
      </c>
      <c r="F9985" s="501" t="s">
        <v>415</v>
      </c>
      <c r="G9985" s="501" t="s">
        <v>3368</v>
      </c>
      <c r="H9985" s="501" t="s">
        <v>12468</v>
      </c>
      <c r="I9985" s="501">
        <v>5425</v>
      </c>
      <c r="J9985" s="501">
        <v>4399</v>
      </c>
      <c r="K9985" s="501">
        <v>0</v>
      </c>
      <c r="L9985" s="501">
        <v>180</v>
      </c>
      <c r="M9985" s="501">
        <v>599</v>
      </c>
      <c r="N9985" s="501">
        <v>3</v>
      </c>
      <c r="O9985" s="506">
        <v>247</v>
      </c>
    </row>
    <row r="9986" spans="1:15" x14ac:dyDescent="0.35">
      <c r="A9986" s="503" t="s">
        <v>14154</v>
      </c>
      <c r="B9986" s="504">
        <v>5105</v>
      </c>
      <c r="C9986" s="504" t="s">
        <v>1089</v>
      </c>
      <c r="D9986" s="504" t="s">
        <v>3392</v>
      </c>
      <c r="E9986" s="504" t="s">
        <v>3381</v>
      </c>
      <c r="F9986" s="504" t="s">
        <v>416</v>
      </c>
      <c r="G9986" s="504" t="s">
        <v>3368</v>
      </c>
      <c r="H9986" s="504" t="s">
        <v>15350</v>
      </c>
      <c r="I9986" s="504">
        <v>26</v>
      </c>
      <c r="J9986" s="504">
        <v>26</v>
      </c>
      <c r="K9986" s="504">
        <v>0</v>
      </c>
      <c r="L9986" s="504">
        <v>0</v>
      </c>
      <c r="M9986" s="504">
        <v>0</v>
      </c>
      <c r="N9986" s="504">
        <v>0</v>
      </c>
      <c r="O9986" s="505">
        <v>0</v>
      </c>
    </row>
    <row r="9987" spans="1:15" x14ac:dyDescent="0.35">
      <c r="A9987" s="500" t="s">
        <v>1157</v>
      </c>
      <c r="B9987" s="501" t="s">
        <v>3196</v>
      </c>
      <c r="C9987" s="501" t="s">
        <v>1089</v>
      </c>
      <c r="D9987" s="501" t="s">
        <v>3392</v>
      </c>
      <c r="E9987" s="501" t="s">
        <v>3381</v>
      </c>
      <c r="F9987" s="501" t="s">
        <v>420</v>
      </c>
      <c r="G9987" s="501" t="s">
        <v>3368</v>
      </c>
      <c r="H9987" s="501" t="s">
        <v>12469</v>
      </c>
      <c r="I9987" s="501">
        <v>68</v>
      </c>
      <c r="J9987" s="501">
        <v>68</v>
      </c>
      <c r="K9987" s="501">
        <v>0</v>
      </c>
      <c r="L9987" s="501">
        <v>0</v>
      </c>
      <c r="M9987" s="501">
        <v>0</v>
      </c>
      <c r="N9987" s="501">
        <v>0</v>
      </c>
      <c r="O9987" s="506">
        <v>0</v>
      </c>
    </row>
    <row r="9988" spans="1:15" x14ac:dyDescent="0.35">
      <c r="A9988" s="503" t="s">
        <v>1157</v>
      </c>
      <c r="B9988" s="504" t="s">
        <v>3196</v>
      </c>
      <c r="C9988" s="504" t="s">
        <v>1089</v>
      </c>
      <c r="D9988" s="504" t="s">
        <v>3392</v>
      </c>
      <c r="E9988" s="504" t="s">
        <v>3381</v>
      </c>
      <c r="F9988" s="504" t="s">
        <v>2</v>
      </c>
      <c r="G9988" s="504" t="s">
        <v>3368</v>
      </c>
      <c r="H9988" s="504" t="s">
        <v>12470</v>
      </c>
      <c r="I9988" s="504">
        <v>16</v>
      </c>
      <c r="J9988" s="504">
        <v>0</v>
      </c>
      <c r="K9988" s="504">
        <v>0</v>
      </c>
      <c r="L9988" s="504">
        <v>16</v>
      </c>
      <c r="M9988" s="504">
        <v>0</v>
      </c>
      <c r="N9988" s="504">
        <v>0</v>
      </c>
      <c r="O9988" s="505">
        <v>0</v>
      </c>
    </row>
    <row r="9989" spans="1:15" x14ac:dyDescent="0.35">
      <c r="A9989" s="500" t="s">
        <v>1158</v>
      </c>
      <c r="B9989" s="501">
        <v>4819</v>
      </c>
      <c r="C9989" s="501" t="s">
        <v>1094</v>
      </c>
      <c r="D9989" s="501" t="s">
        <v>3380</v>
      </c>
      <c r="E9989" s="501" t="s">
        <v>3381</v>
      </c>
      <c r="F9989" s="501" t="s">
        <v>420</v>
      </c>
      <c r="G9989" s="501" t="s">
        <v>3368</v>
      </c>
      <c r="H9989" s="501" t="s">
        <v>12472</v>
      </c>
      <c r="I9989" s="501">
        <v>19115</v>
      </c>
      <c r="J9989" s="501">
        <v>15997</v>
      </c>
      <c r="K9989" s="501">
        <v>14</v>
      </c>
      <c r="L9989" s="501">
        <v>512</v>
      </c>
      <c r="M9989" s="501">
        <v>462</v>
      </c>
      <c r="N9989" s="501">
        <v>0</v>
      </c>
      <c r="O9989" s="506">
        <v>2130</v>
      </c>
    </row>
    <row r="9990" spans="1:15" x14ac:dyDescent="0.35">
      <c r="A9990" s="503" t="s">
        <v>1158</v>
      </c>
      <c r="B9990" s="504">
        <v>4819</v>
      </c>
      <c r="C9990" s="504" t="s">
        <v>1094</v>
      </c>
      <c r="D9990" s="504" t="s">
        <v>3380</v>
      </c>
      <c r="E9990" s="504" t="s">
        <v>3381</v>
      </c>
      <c r="F9990" s="504" t="s">
        <v>2</v>
      </c>
      <c r="G9990" s="504" t="s">
        <v>3368</v>
      </c>
      <c r="H9990" s="504" t="s">
        <v>12474</v>
      </c>
      <c r="I9990" s="504">
        <v>1475</v>
      </c>
      <c r="J9990" s="504">
        <v>982</v>
      </c>
      <c r="K9990" s="504">
        <v>0</v>
      </c>
      <c r="L9990" s="504">
        <v>166</v>
      </c>
      <c r="M9990" s="504">
        <v>0</v>
      </c>
      <c r="N9990" s="504">
        <v>0</v>
      </c>
      <c r="O9990" s="505">
        <v>327</v>
      </c>
    </row>
    <row r="9991" spans="1:15" x14ac:dyDescent="0.35">
      <c r="A9991" s="500" t="s">
        <v>1158</v>
      </c>
      <c r="B9991" s="501">
        <v>4819</v>
      </c>
      <c r="C9991" s="501" t="s">
        <v>1094</v>
      </c>
      <c r="D9991" s="501" t="s">
        <v>3380</v>
      </c>
      <c r="E9991" s="501" t="s">
        <v>3381</v>
      </c>
      <c r="F9991" s="501" t="s">
        <v>419</v>
      </c>
      <c r="G9991" s="501" t="s">
        <v>3368</v>
      </c>
      <c r="H9991" s="501" t="s">
        <v>12473</v>
      </c>
      <c r="I9991" s="501">
        <v>7805</v>
      </c>
      <c r="J9991" s="501">
        <v>6344</v>
      </c>
      <c r="K9991" s="501">
        <v>0</v>
      </c>
      <c r="L9991" s="501">
        <v>146</v>
      </c>
      <c r="M9991" s="501">
        <v>379</v>
      </c>
      <c r="N9991" s="501">
        <v>0</v>
      </c>
      <c r="O9991" s="506">
        <v>936</v>
      </c>
    </row>
    <row r="9992" spans="1:15" x14ac:dyDescent="0.35">
      <c r="A9992" s="503" t="s">
        <v>1158</v>
      </c>
      <c r="B9992" s="504">
        <v>4819</v>
      </c>
      <c r="C9992" s="504" t="s">
        <v>1094</v>
      </c>
      <c r="D9992" s="504" t="s">
        <v>3380</v>
      </c>
      <c r="E9992" s="504" t="s">
        <v>3381</v>
      </c>
      <c r="F9992" s="504" t="s">
        <v>414</v>
      </c>
      <c r="G9992" s="504" t="s">
        <v>3368</v>
      </c>
      <c r="H9992" s="504" t="s">
        <v>12471</v>
      </c>
      <c r="I9992" s="504">
        <v>1011</v>
      </c>
      <c r="J9992" s="504">
        <v>788</v>
      </c>
      <c r="K9992" s="504">
        <v>0</v>
      </c>
      <c r="L9992" s="504">
        <v>7</v>
      </c>
      <c r="M9992" s="504">
        <v>0</v>
      </c>
      <c r="N9992" s="504">
        <v>0</v>
      </c>
      <c r="O9992" s="505">
        <v>216</v>
      </c>
    </row>
    <row r="9993" spans="1:15" x14ac:dyDescent="0.35">
      <c r="A9993" s="500" t="s">
        <v>14158</v>
      </c>
      <c r="B9993" s="501">
        <v>5139</v>
      </c>
      <c r="C9993" s="501" t="s">
        <v>1089</v>
      </c>
      <c r="D9993" s="501" t="s">
        <v>3392</v>
      </c>
      <c r="E9993" s="501" t="s">
        <v>3381</v>
      </c>
      <c r="F9993" s="501" t="s">
        <v>416</v>
      </c>
      <c r="G9993" s="501" t="s">
        <v>3368</v>
      </c>
      <c r="H9993" s="501" t="s">
        <v>15351</v>
      </c>
      <c r="I9993" s="501">
        <v>17</v>
      </c>
      <c r="J9993" s="501">
        <v>0</v>
      </c>
      <c r="K9993" s="501">
        <v>0</v>
      </c>
      <c r="L9993" s="501">
        <v>17</v>
      </c>
      <c r="M9993" s="501">
        <v>0</v>
      </c>
      <c r="N9993" s="501">
        <v>0</v>
      </c>
      <c r="O9993" s="506">
        <v>0</v>
      </c>
    </row>
    <row r="9994" spans="1:15" x14ac:dyDescent="0.35">
      <c r="A9994" s="503" t="s">
        <v>14160</v>
      </c>
      <c r="B9994" s="504" t="s">
        <v>14159</v>
      </c>
      <c r="C9994" s="504" t="s">
        <v>1089</v>
      </c>
      <c r="D9994" s="504" t="s">
        <v>3392</v>
      </c>
      <c r="E9994" s="504" t="s">
        <v>3381</v>
      </c>
      <c r="F9994" s="504" t="s">
        <v>416</v>
      </c>
      <c r="G9994" s="504" t="s">
        <v>3368</v>
      </c>
      <c r="H9994" s="504" t="s">
        <v>15352</v>
      </c>
      <c r="I9994" s="504">
        <v>39</v>
      </c>
      <c r="J9994" s="504">
        <v>0</v>
      </c>
      <c r="K9994" s="504">
        <v>0</v>
      </c>
      <c r="L9994" s="504">
        <v>0</v>
      </c>
      <c r="M9994" s="504">
        <v>39</v>
      </c>
      <c r="N9994" s="504">
        <v>0</v>
      </c>
      <c r="O9994" s="505">
        <v>0</v>
      </c>
    </row>
    <row r="9995" spans="1:15" x14ac:dyDescent="0.35">
      <c r="A9995" s="500" t="s">
        <v>2066</v>
      </c>
      <c r="B9995" s="501" t="s">
        <v>3359</v>
      </c>
      <c r="C9995" s="501" t="s">
        <v>1094</v>
      </c>
      <c r="D9995" s="501" t="s">
        <v>3380</v>
      </c>
      <c r="E9995" s="501" t="s">
        <v>3381</v>
      </c>
      <c r="F9995" s="501" t="s">
        <v>420</v>
      </c>
      <c r="G9995" s="501" t="s">
        <v>3368</v>
      </c>
      <c r="H9995" s="501" t="s">
        <v>12475</v>
      </c>
      <c r="I9995" s="501">
        <v>3985</v>
      </c>
      <c r="J9995" s="501">
        <v>2827</v>
      </c>
      <c r="K9995" s="501">
        <v>0</v>
      </c>
      <c r="L9995" s="501">
        <v>3</v>
      </c>
      <c r="M9995" s="501">
        <v>913</v>
      </c>
      <c r="N9995" s="501">
        <v>0</v>
      </c>
      <c r="O9995" s="506">
        <v>242</v>
      </c>
    </row>
    <row r="9996" spans="1:15" x14ac:dyDescent="0.35">
      <c r="A9996" s="503" t="s">
        <v>2067</v>
      </c>
      <c r="B9996" s="504" t="s">
        <v>2472</v>
      </c>
      <c r="C9996" s="504" t="s">
        <v>1089</v>
      </c>
      <c r="D9996" s="504" t="s">
        <v>3392</v>
      </c>
      <c r="E9996" s="504" t="s">
        <v>3381</v>
      </c>
      <c r="F9996" s="504" t="s">
        <v>420</v>
      </c>
      <c r="G9996" s="504" t="s">
        <v>3368</v>
      </c>
      <c r="H9996" s="504" t="s">
        <v>12476</v>
      </c>
      <c r="I9996" s="504">
        <v>42</v>
      </c>
      <c r="J9996" s="504">
        <v>0</v>
      </c>
      <c r="K9996" s="504">
        <v>0</v>
      </c>
      <c r="L9996" s="504">
        <v>0</v>
      </c>
      <c r="M9996" s="504">
        <v>42</v>
      </c>
      <c r="N9996" s="504">
        <v>0</v>
      </c>
      <c r="O9996" s="505">
        <v>0</v>
      </c>
    </row>
    <row r="9997" spans="1:15" x14ac:dyDescent="0.35">
      <c r="A9997" s="500" t="s">
        <v>1679</v>
      </c>
      <c r="B9997" s="501" t="s">
        <v>2790</v>
      </c>
      <c r="C9997" s="501" t="s">
        <v>1089</v>
      </c>
      <c r="D9997" s="501" t="s">
        <v>3392</v>
      </c>
      <c r="E9997" s="501" t="s">
        <v>3381</v>
      </c>
      <c r="F9997" s="501" t="s">
        <v>418</v>
      </c>
      <c r="G9997" s="501" t="s">
        <v>3368</v>
      </c>
      <c r="H9997" s="501" t="s">
        <v>12477</v>
      </c>
      <c r="I9997" s="501">
        <v>15</v>
      </c>
      <c r="J9997" s="501">
        <v>15</v>
      </c>
      <c r="K9997" s="501">
        <v>0</v>
      </c>
      <c r="L9997" s="501">
        <v>0</v>
      </c>
      <c r="M9997" s="501">
        <v>0</v>
      </c>
      <c r="N9997" s="501">
        <v>0</v>
      </c>
      <c r="O9997" s="506">
        <v>0</v>
      </c>
    </row>
    <row r="9998" spans="1:15" x14ac:dyDescent="0.35">
      <c r="A9998" s="503" t="s">
        <v>1955</v>
      </c>
      <c r="B9998" s="504" t="s">
        <v>3246</v>
      </c>
      <c r="C9998" s="504" t="s">
        <v>1094</v>
      </c>
      <c r="D9998" s="504" t="s">
        <v>3380</v>
      </c>
      <c r="E9998" s="504" t="s">
        <v>3381</v>
      </c>
      <c r="F9998" s="504" t="s">
        <v>419</v>
      </c>
      <c r="G9998" s="504" t="s">
        <v>3368</v>
      </c>
      <c r="H9998" s="504" t="s">
        <v>12478</v>
      </c>
      <c r="I9998" s="504">
        <v>1138</v>
      </c>
      <c r="J9998" s="504">
        <v>4</v>
      </c>
      <c r="K9998" s="504">
        <v>0</v>
      </c>
      <c r="L9998" s="504">
        <v>1110</v>
      </c>
      <c r="M9998" s="504">
        <v>0</v>
      </c>
      <c r="N9998" s="504">
        <v>2</v>
      </c>
      <c r="O9998" s="505">
        <v>24</v>
      </c>
    </row>
    <row r="9999" spans="1:15" x14ac:dyDescent="0.35">
      <c r="A9999" s="500" t="s">
        <v>1159</v>
      </c>
      <c r="B9999" s="501" t="s">
        <v>2537</v>
      </c>
      <c r="C9999" s="501" t="s">
        <v>1089</v>
      </c>
      <c r="D9999" s="501" t="s">
        <v>3392</v>
      </c>
      <c r="E9999" s="501" t="s">
        <v>3381</v>
      </c>
      <c r="F9999" s="501" t="s">
        <v>414</v>
      </c>
      <c r="G9999" s="501" t="s">
        <v>3368</v>
      </c>
      <c r="H9999" s="501" t="s">
        <v>12479</v>
      </c>
      <c r="I9999" s="501">
        <v>153</v>
      </c>
      <c r="J9999" s="501">
        <v>0</v>
      </c>
      <c r="K9999" s="501">
        <v>0</v>
      </c>
      <c r="L9999" s="501">
        <v>0</v>
      </c>
      <c r="M9999" s="501">
        <v>153</v>
      </c>
      <c r="N9999" s="501">
        <v>0</v>
      </c>
      <c r="O9999" s="506">
        <v>0</v>
      </c>
    </row>
    <row r="10000" spans="1:15" x14ac:dyDescent="0.35">
      <c r="A10000" s="503" t="s">
        <v>1813</v>
      </c>
      <c r="B10000" s="504" t="s">
        <v>3088</v>
      </c>
      <c r="C10000" s="504" t="s">
        <v>1089</v>
      </c>
      <c r="D10000" s="504" t="s">
        <v>3392</v>
      </c>
      <c r="E10000" s="504" t="s">
        <v>3381</v>
      </c>
      <c r="F10000" s="504" t="s">
        <v>2</v>
      </c>
      <c r="G10000" s="504" t="s">
        <v>3368</v>
      </c>
      <c r="H10000" s="504" t="s">
        <v>12480</v>
      </c>
      <c r="I10000" s="504">
        <v>463</v>
      </c>
      <c r="J10000" s="504">
        <v>425</v>
      </c>
      <c r="K10000" s="504">
        <v>0</v>
      </c>
      <c r="L10000" s="504">
        <v>4</v>
      </c>
      <c r="M10000" s="504">
        <v>34</v>
      </c>
      <c r="N10000" s="504">
        <v>7</v>
      </c>
      <c r="O10000" s="505">
        <v>0</v>
      </c>
    </row>
    <row r="10001" spans="1:15" x14ac:dyDescent="0.35">
      <c r="A10001" s="500" t="s">
        <v>14161</v>
      </c>
      <c r="B10001" s="501" t="s">
        <v>2463</v>
      </c>
      <c r="C10001" s="501" t="s">
        <v>1089</v>
      </c>
      <c r="D10001" s="501" t="s">
        <v>3392</v>
      </c>
      <c r="E10001" s="501" t="s">
        <v>3381</v>
      </c>
      <c r="F10001" s="501" t="s">
        <v>419</v>
      </c>
      <c r="G10001" s="501" t="s">
        <v>3368</v>
      </c>
      <c r="H10001" s="501" t="s">
        <v>15353</v>
      </c>
      <c r="I10001" s="501">
        <v>26</v>
      </c>
      <c r="J10001" s="501">
        <v>26</v>
      </c>
      <c r="K10001" s="501">
        <v>0</v>
      </c>
      <c r="L10001" s="501">
        <v>0</v>
      </c>
      <c r="M10001" s="501">
        <v>0</v>
      </c>
      <c r="N10001" s="501">
        <v>0</v>
      </c>
      <c r="O10001" s="506">
        <v>0</v>
      </c>
    </row>
    <row r="10002" spans="1:15" x14ac:dyDescent="0.35">
      <c r="A10002" s="503" t="s">
        <v>2068</v>
      </c>
      <c r="B10002" s="504">
        <v>4881</v>
      </c>
      <c r="C10002" s="504" t="s">
        <v>1089</v>
      </c>
      <c r="D10002" s="504" t="s">
        <v>3392</v>
      </c>
      <c r="E10002" s="504" t="s">
        <v>3381</v>
      </c>
      <c r="F10002" s="504" t="s">
        <v>420</v>
      </c>
      <c r="G10002" s="504" t="s">
        <v>3368</v>
      </c>
      <c r="H10002" s="504" t="s">
        <v>12481</v>
      </c>
      <c r="I10002" s="504">
        <v>12</v>
      </c>
      <c r="J10002" s="504">
        <v>12</v>
      </c>
      <c r="K10002" s="504">
        <v>0</v>
      </c>
      <c r="L10002" s="504">
        <v>0</v>
      </c>
      <c r="M10002" s="504">
        <v>0</v>
      </c>
      <c r="N10002" s="504">
        <v>0</v>
      </c>
      <c r="O10002" s="505">
        <v>0</v>
      </c>
    </row>
    <row r="10003" spans="1:15" x14ac:dyDescent="0.35">
      <c r="A10003" s="500" t="s">
        <v>1291</v>
      </c>
      <c r="B10003" s="501" t="s">
        <v>3060</v>
      </c>
      <c r="C10003" s="501" t="s">
        <v>1089</v>
      </c>
      <c r="D10003" s="501" t="s">
        <v>3392</v>
      </c>
      <c r="E10003" s="501" t="s">
        <v>3381</v>
      </c>
      <c r="F10003" s="501" t="s">
        <v>415</v>
      </c>
      <c r="G10003" s="501" t="s">
        <v>3368</v>
      </c>
      <c r="H10003" s="501" t="s">
        <v>12482</v>
      </c>
      <c r="I10003" s="501">
        <v>44</v>
      </c>
      <c r="J10003" s="501">
        <v>0</v>
      </c>
      <c r="K10003" s="501">
        <v>0</v>
      </c>
      <c r="L10003" s="501">
        <v>0</v>
      </c>
      <c r="M10003" s="501">
        <v>44</v>
      </c>
      <c r="N10003" s="501">
        <v>0</v>
      </c>
      <c r="O10003" s="506">
        <v>0</v>
      </c>
    </row>
    <row r="10004" spans="1:15" x14ac:dyDescent="0.35">
      <c r="A10004" s="503" t="s">
        <v>2138</v>
      </c>
      <c r="B10004" s="504">
        <v>5050</v>
      </c>
      <c r="C10004" s="504" t="s">
        <v>1089</v>
      </c>
      <c r="D10004" s="504" t="s">
        <v>3392</v>
      </c>
      <c r="E10004" s="504" t="s">
        <v>3381</v>
      </c>
      <c r="F10004" s="504" t="s">
        <v>1048</v>
      </c>
      <c r="G10004" s="504" t="s">
        <v>3368</v>
      </c>
      <c r="H10004" s="504" t="s">
        <v>13959</v>
      </c>
      <c r="I10004" s="504">
        <v>6</v>
      </c>
      <c r="J10004" s="504">
        <v>6</v>
      </c>
      <c r="K10004" s="504">
        <v>0</v>
      </c>
      <c r="L10004" s="504">
        <v>0</v>
      </c>
      <c r="M10004" s="504">
        <v>0</v>
      </c>
      <c r="N10004" s="504">
        <v>0</v>
      </c>
      <c r="O10004" s="505">
        <v>0</v>
      </c>
    </row>
    <row r="10005" spans="1:15" x14ac:dyDescent="0.35">
      <c r="A10005" s="500" t="s">
        <v>1680</v>
      </c>
      <c r="B10005" s="501" t="s">
        <v>3168</v>
      </c>
      <c r="C10005" s="501" t="s">
        <v>1094</v>
      </c>
      <c r="D10005" s="501" t="s">
        <v>3380</v>
      </c>
      <c r="E10005" s="501" t="s">
        <v>3381</v>
      </c>
      <c r="F10005" s="501" t="s">
        <v>418</v>
      </c>
      <c r="G10005" s="501" t="s">
        <v>3368</v>
      </c>
      <c r="H10005" s="501" t="s">
        <v>12483</v>
      </c>
      <c r="I10005" s="501">
        <v>5229</v>
      </c>
      <c r="J10005" s="501">
        <v>3818</v>
      </c>
      <c r="K10005" s="501">
        <v>0</v>
      </c>
      <c r="L10005" s="501">
        <v>282</v>
      </c>
      <c r="M10005" s="501">
        <v>1127</v>
      </c>
      <c r="N10005" s="501">
        <v>0</v>
      </c>
      <c r="O10005" s="506">
        <v>2</v>
      </c>
    </row>
    <row r="10006" spans="1:15" x14ac:dyDescent="0.35">
      <c r="A10006" s="503" t="s">
        <v>1681</v>
      </c>
      <c r="B10006" s="504" t="s">
        <v>2657</v>
      </c>
      <c r="C10006" s="504" t="s">
        <v>1089</v>
      </c>
      <c r="D10006" s="504" t="s">
        <v>3392</v>
      </c>
      <c r="E10006" s="504" t="s">
        <v>3381</v>
      </c>
      <c r="F10006" s="504" t="s">
        <v>418</v>
      </c>
      <c r="G10006" s="504" t="s">
        <v>3368</v>
      </c>
      <c r="H10006" s="504" t="s">
        <v>12484</v>
      </c>
      <c r="I10006" s="504">
        <v>119</v>
      </c>
      <c r="J10006" s="504">
        <v>119</v>
      </c>
      <c r="K10006" s="504">
        <v>0</v>
      </c>
      <c r="L10006" s="504">
        <v>0</v>
      </c>
      <c r="M10006" s="504">
        <v>0</v>
      </c>
      <c r="N10006" s="504">
        <v>0</v>
      </c>
      <c r="O10006" s="505">
        <v>0</v>
      </c>
    </row>
    <row r="10007" spans="1:15" x14ac:dyDescent="0.35">
      <c r="A10007" s="500" t="s">
        <v>1160</v>
      </c>
      <c r="B10007" s="501">
        <v>4672</v>
      </c>
      <c r="C10007" s="501" t="s">
        <v>1089</v>
      </c>
      <c r="D10007" s="501" t="s">
        <v>3392</v>
      </c>
      <c r="E10007" s="501" t="s">
        <v>3381</v>
      </c>
      <c r="F10007" s="501" t="s">
        <v>417</v>
      </c>
      <c r="G10007" s="501" t="s">
        <v>3368</v>
      </c>
      <c r="H10007" s="501" t="s">
        <v>12486</v>
      </c>
      <c r="I10007" s="501">
        <v>23</v>
      </c>
      <c r="J10007" s="501">
        <v>0</v>
      </c>
      <c r="K10007" s="501">
        <v>0</v>
      </c>
      <c r="L10007" s="501">
        <v>23</v>
      </c>
      <c r="M10007" s="501">
        <v>0</v>
      </c>
      <c r="N10007" s="501">
        <v>0</v>
      </c>
      <c r="O10007" s="506">
        <v>0</v>
      </c>
    </row>
    <row r="10008" spans="1:15" x14ac:dyDescent="0.35">
      <c r="A10008" s="503" t="s">
        <v>1160</v>
      </c>
      <c r="B10008" s="504">
        <v>4672</v>
      </c>
      <c r="C10008" s="504" t="s">
        <v>1089</v>
      </c>
      <c r="D10008" s="504" t="s">
        <v>3392</v>
      </c>
      <c r="E10008" s="504" t="s">
        <v>3381</v>
      </c>
      <c r="F10008" s="504" t="s">
        <v>418</v>
      </c>
      <c r="G10008" s="504" t="s">
        <v>3368</v>
      </c>
      <c r="H10008" s="504" t="s">
        <v>12487</v>
      </c>
      <c r="I10008" s="504">
        <v>230</v>
      </c>
      <c r="J10008" s="504">
        <v>0</v>
      </c>
      <c r="K10008" s="504">
        <v>0</v>
      </c>
      <c r="L10008" s="504">
        <v>230</v>
      </c>
      <c r="M10008" s="504">
        <v>0</v>
      </c>
      <c r="N10008" s="504">
        <v>0</v>
      </c>
      <c r="O10008" s="505">
        <v>0</v>
      </c>
    </row>
    <row r="10009" spans="1:15" x14ac:dyDescent="0.35">
      <c r="A10009" s="500" t="s">
        <v>1160</v>
      </c>
      <c r="B10009" s="501">
        <v>4672</v>
      </c>
      <c r="C10009" s="501" t="s">
        <v>1089</v>
      </c>
      <c r="D10009" s="501" t="s">
        <v>3392</v>
      </c>
      <c r="E10009" s="501" t="s">
        <v>3381</v>
      </c>
      <c r="F10009" s="501" t="s">
        <v>1048</v>
      </c>
      <c r="G10009" s="501" t="s">
        <v>3368</v>
      </c>
      <c r="H10009" s="501" t="s">
        <v>13960</v>
      </c>
      <c r="I10009" s="501">
        <v>91</v>
      </c>
      <c r="J10009" s="501">
        <v>0</v>
      </c>
      <c r="K10009" s="501">
        <v>0</v>
      </c>
      <c r="L10009" s="501">
        <v>91</v>
      </c>
      <c r="M10009" s="501">
        <v>0</v>
      </c>
      <c r="N10009" s="501">
        <v>0</v>
      </c>
      <c r="O10009" s="506">
        <v>0</v>
      </c>
    </row>
    <row r="10010" spans="1:15" x14ac:dyDescent="0.35">
      <c r="A10010" s="503" t="s">
        <v>1160</v>
      </c>
      <c r="B10010" s="504">
        <v>4672</v>
      </c>
      <c r="C10010" s="504" t="s">
        <v>1089</v>
      </c>
      <c r="D10010" s="504" t="s">
        <v>3392</v>
      </c>
      <c r="E10010" s="504" t="s">
        <v>3381</v>
      </c>
      <c r="F10010" s="504" t="s">
        <v>414</v>
      </c>
      <c r="G10010" s="504" t="s">
        <v>3368</v>
      </c>
      <c r="H10010" s="504" t="s">
        <v>12485</v>
      </c>
      <c r="I10010" s="504">
        <v>24</v>
      </c>
      <c r="J10010" s="504">
        <v>0</v>
      </c>
      <c r="K10010" s="504">
        <v>0</v>
      </c>
      <c r="L10010" s="504">
        <v>24</v>
      </c>
      <c r="M10010" s="504">
        <v>0</v>
      </c>
      <c r="N10010" s="504">
        <v>0</v>
      </c>
      <c r="O10010" s="505">
        <v>0</v>
      </c>
    </row>
    <row r="10011" spans="1:15" x14ac:dyDescent="0.35">
      <c r="A10011" s="500" t="s">
        <v>1408</v>
      </c>
      <c r="B10011" s="501">
        <v>4841</v>
      </c>
      <c r="C10011" s="501" t="s">
        <v>1089</v>
      </c>
      <c r="D10011" s="501" t="s">
        <v>3392</v>
      </c>
      <c r="E10011" s="501" t="s">
        <v>3381</v>
      </c>
      <c r="F10011" s="501" t="s">
        <v>416</v>
      </c>
      <c r="G10011" s="501" t="s">
        <v>3368</v>
      </c>
      <c r="H10011" s="501" t="s">
        <v>12488</v>
      </c>
      <c r="I10011" s="501">
        <v>155</v>
      </c>
      <c r="J10011" s="501">
        <v>0</v>
      </c>
      <c r="K10011" s="501">
        <v>0</v>
      </c>
      <c r="L10011" s="501">
        <v>155</v>
      </c>
      <c r="M10011" s="501">
        <v>0</v>
      </c>
      <c r="N10011" s="501">
        <v>0</v>
      </c>
      <c r="O10011" s="506">
        <v>0</v>
      </c>
    </row>
    <row r="10012" spans="1:15" x14ac:dyDescent="0.35">
      <c r="A10012" s="503" t="s">
        <v>1682</v>
      </c>
      <c r="B10012" s="504">
        <v>4709</v>
      </c>
      <c r="C10012" s="504" t="s">
        <v>1089</v>
      </c>
      <c r="D10012" s="504" t="s">
        <v>3392</v>
      </c>
      <c r="E10012" s="504" t="s">
        <v>3381</v>
      </c>
      <c r="F10012" s="504" t="s">
        <v>418</v>
      </c>
      <c r="G10012" s="504" t="s">
        <v>3368</v>
      </c>
      <c r="H10012" s="504" t="s">
        <v>12489</v>
      </c>
      <c r="I10012" s="504">
        <v>48</v>
      </c>
      <c r="J10012" s="504">
        <v>0</v>
      </c>
      <c r="K10012" s="504">
        <v>0</v>
      </c>
      <c r="L10012" s="504">
        <v>48</v>
      </c>
      <c r="M10012" s="504">
        <v>0</v>
      </c>
      <c r="N10012" s="504">
        <v>0</v>
      </c>
      <c r="O10012" s="505">
        <v>0</v>
      </c>
    </row>
    <row r="10013" spans="1:15" x14ac:dyDescent="0.35">
      <c r="A10013" s="500" t="s">
        <v>1623</v>
      </c>
      <c r="B10013" s="501">
        <v>4858</v>
      </c>
      <c r="C10013" s="501" t="s">
        <v>1094</v>
      </c>
      <c r="D10013" s="501" t="s">
        <v>3380</v>
      </c>
      <c r="E10013" s="501" t="s">
        <v>3381</v>
      </c>
      <c r="F10013" s="501" t="s">
        <v>1048</v>
      </c>
      <c r="G10013" s="501" t="s">
        <v>3368</v>
      </c>
      <c r="H10013" s="501" t="s">
        <v>13961</v>
      </c>
      <c r="I10013" s="501">
        <v>4</v>
      </c>
      <c r="J10013" s="501">
        <v>4</v>
      </c>
      <c r="K10013" s="501">
        <v>0</v>
      </c>
      <c r="L10013" s="501">
        <v>0</v>
      </c>
      <c r="M10013" s="501">
        <v>0</v>
      </c>
      <c r="N10013" s="501">
        <v>0</v>
      </c>
      <c r="O10013" s="506">
        <v>0</v>
      </c>
    </row>
    <row r="10014" spans="1:15" x14ac:dyDescent="0.35">
      <c r="A10014" s="503" t="s">
        <v>1623</v>
      </c>
      <c r="B10014" s="504">
        <v>4858</v>
      </c>
      <c r="C10014" s="504" t="s">
        <v>1094</v>
      </c>
      <c r="D10014" s="504" t="s">
        <v>3380</v>
      </c>
      <c r="E10014" s="504" t="s">
        <v>3381</v>
      </c>
      <c r="F10014" s="504" t="s">
        <v>418</v>
      </c>
      <c r="G10014" s="504" t="s">
        <v>3368</v>
      </c>
      <c r="H10014" s="504" t="s">
        <v>12490</v>
      </c>
      <c r="I10014" s="504">
        <v>5081</v>
      </c>
      <c r="J10014" s="504">
        <v>4513</v>
      </c>
      <c r="K10014" s="504">
        <v>0</v>
      </c>
      <c r="L10014" s="504">
        <v>0</v>
      </c>
      <c r="M10014" s="504">
        <v>310</v>
      </c>
      <c r="N10014" s="504">
        <v>17</v>
      </c>
      <c r="O10014" s="505">
        <v>258</v>
      </c>
    </row>
    <row r="10015" spans="1:15" x14ac:dyDescent="0.35">
      <c r="A10015" s="500" t="s">
        <v>1623</v>
      </c>
      <c r="B10015" s="501">
        <v>4858</v>
      </c>
      <c r="C10015" s="501" t="s">
        <v>1094</v>
      </c>
      <c r="D10015" s="501" t="s">
        <v>3380</v>
      </c>
      <c r="E10015" s="501" t="s">
        <v>3381</v>
      </c>
      <c r="F10015" s="501" t="s">
        <v>417</v>
      </c>
      <c r="G10015" s="501" t="s">
        <v>3368</v>
      </c>
      <c r="H10015" s="501" t="s">
        <v>12491</v>
      </c>
      <c r="I10015" s="501">
        <v>1347</v>
      </c>
      <c r="J10015" s="501">
        <v>839</v>
      </c>
      <c r="K10015" s="501">
        <v>0</v>
      </c>
      <c r="L10015" s="501">
        <v>35</v>
      </c>
      <c r="M10015" s="501">
        <v>369</v>
      </c>
      <c r="N10015" s="501">
        <v>1</v>
      </c>
      <c r="O10015" s="506">
        <v>104</v>
      </c>
    </row>
    <row r="10016" spans="1:15" x14ac:dyDescent="0.35">
      <c r="A10016" s="503" t="s">
        <v>1161</v>
      </c>
      <c r="B10016" s="504" t="s">
        <v>3001</v>
      </c>
      <c r="C10016" s="504" t="s">
        <v>1094</v>
      </c>
      <c r="D10016" s="504" t="s">
        <v>3380</v>
      </c>
      <c r="E10016" s="504" t="s">
        <v>3381</v>
      </c>
      <c r="F10016" s="504" t="s">
        <v>414</v>
      </c>
      <c r="G10016" s="504" t="s">
        <v>3368</v>
      </c>
      <c r="H10016" s="504" t="s">
        <v>12494</v>
      </c>
      <c r="I10016" s="504">
        <v>96</v>
      </c>
      <c r="J10016" s="504">
        <v>48</v>
      </c>
      <c r="K10016" s="504">
        <v>0</v>
      </c>
      <c r="L10016" s="504">
        <v>0</v>
      </c>
      <c r="M10016" s="504">
        <v>0</v>
      </c>
      <c r="N10016" s="504">
        <v>0</v>
      </c>
      <c r="O10016" s="505">
        <v>48</v>
      </c>
    </row>
    <row r="10017" spans="1:15" x14ac:dyDescent="0.35">
      <c r="A10017" s="500" t="s">
        <v>1161</v>
      </c>
      <c r="B10017" s="501" t="s">
        <v>3001</v>
      </c>
      <c r="C10017" s="501" t="s">
        <v>1094</v>
      </c>
      <c r="D10017" s="501" t="s">
        <v>3380</v>
      </c>
      <c r="E10017" s="501" t="s">
        <v>3381</v>
      </c>
      <c r="F10017" s="501" t="s">
        <v>416</v>
      </c>
      <c r="G10017" s="501" t="s">
        <v>3368</v>
      </c>
      <c r="H10017" s="501" t="s">
        <v>12495</v>
      </c>
      <c r="I10017" s="501">
        <v>13028</v>
      </c>
      <c r="J10017" s="501">
        <v>9835</v>
      </c>
      <c r="K10017" s="501">
        <v>531</v>
      </c>
      <c r="L10017" s="501">
        <v>55</v>
      </c>
      <c r="M10017" s="501">
        <v>400</v>
      </c>
      <c r="N10017" s="501">
        <v>0</v>
      </c>
      <c r="O10017" s="506">
        <v>2207</v>
      </c>
    </row>
    <row r="10018" spans="1:15" x14ac:dyDescent="0.35">
      <c r="A10018" s="503" t="s">
        <v>1161</v>
      </c>
      <c r="B10018" s="504" t="s">
        <v>3001</v>
      </c>
      <c r="C10018" s="504" t="s">
        <v>1094</v>
      </c>
      <c r="D10018" s="504" t="s">
        <v>3380</v>
      </c>
      <c r="E10018" s="504" t="s">
        <v>3381</v>
      </c>
      <c r="F10018" s="504" t="s">
        <v>419</v>
      </c>
      <c r="G10018" s="504" t="s">
        <v>3368</v>
      </c>
      <c r="H10018" s="504" t="s">
        <v>12493</v>
      </c>
      <c r="I10018" s="504">
        <v>6</v>
      </c>
      <c r="J10018" s="504">
        <v>0</v>
      </c>
      <c r="K10018" s="504">
        <v>0</v>
      </c>
      <c r="L10018" s="504">
        <v>0</v>
      </c>
      <c r="M10018" s="504">
        <v>0</v>
      </c>
      <c r="N10018" s="504">
        <v>0</v>
      </c>
      <c r="O10018" s="505">
        <v>6</v>
      </c>
    </row>
    <row r="10019" spans="1:15" x14ac:dyDescent="0.35">
      <c r="A10019" s="500" t="s">
        <v>1161</v>
      </c>
      <c r="B10019" s="501" t="s">
        <v>3001</v>
      </c>
      <c r="C10019" s="501" t="s">
        <v>1094</v>
      </c>
      <c r="D10019" s="501" t="s">
        <v>3380</v>
      </c>
      <c r="E10019" s="501" t="s">
        <v>3381</v>
      </c>
      <c r="F10019" s="501" t="s">
        <v>1048</v>
      </c>
      <c r="G10019" s="501" t="s">
        <v>3368</v>
      </c>
      <c r="H10019" s="501" t="s">
        <v>13962</v>
      </c>
      <c r="I10019" s="501">
        <v>1</v>
      </c>
      <c r="J10019" s="501">
        <v>0</v>
      </c>
      <c r="K10019" s="501">
        <v>0</v>
      </c>
      <c r="L10019" s="501">
        <v>0</v>
      </c>
      <c r="M10019" s="501">
        <v>0</v>
      </c>
      <c r="N10019" s="501">
        <v>0</v>
      </c>
      <c r="O10019" s="506">
        <v>1</v>
      </c>
    </row>
    <row r="10020" spans="1:15" x14ac:dyDescent="0.35">
      <c r="A10020" s="503" t="s">
        <v>1161</v>
      </c>
      <c r="B10020" s="504" t="s">
        <v>3001</v>
      </c>
      <c r="C10020" s="504" t="s">
        <v>1094</v>
      </c>
      <c r="D10020" s="504" t="s">
        <v>3380</v>
      </c>
      <c r="E10020" s="504" t="s">
        <v>3381</v>
      </c>
      <c r="F10020" s="504" t="s">
        <v>2</v>
      </c>
      <c r="G10020" s="504" t="s">
        <v>3368</v>
      </c>
      <c r="H10020" s="504" t="s">
        <v>12492</v>
      </c>
      <c r="I10020" s="504">
        <v>5471</v>
      </c>
      <c r="J10020" s="504">
        <v>3754</v>
      </c>
      <c r="K10020" s="504">
        <v>0</v>
      </c>
      <c r="L10020" s="504">
        <v>36</v>
      </c>
      <c r="M10020" s="504">
        <v>186</v>
      </c>
      <c r="N10020" s="504">
        <v>0</v>
      </c>
      <c r="O10020" s="505">
        <v>1495</v>
      </c>
    </row>
    <row r="10021" spans="1:15" x14ac:dyDescent="0.35">
      <c r="A10021" s="500" t="s">
        <v>1161</v>
      </c>
      <c r="B10021" s="501" t="s">
        <v>3001</v>
      </c>
      <c r="C10021" s="501" t="s">
        <v>1094</v>
      </c>
      <c r="D10021" s="501" t="s">
        <v>3380</v>
      </c>
      <c r="E10021" s="501" t="s">
        <v>3381</v>
      </c>
      <c r="F10021" s="501" t="s">
        <v>415</v>
      </c>
      <c r="G10021" s="501" t="s">
        <v>3368</v>
      </c>
      <c r="H10021" s="501" t="s">
        <v>12496</v>
      </c>
      <c r="I10021" s="501">
        <v>9370</v>
      </c>
      <c r="J10021" s="501">
        <v>7219</v>
      </c>
      <c r="K10021" s="501">
        <v>0</v>
      </c>
      <c r="L10021" s="501">
        <v>489</v>
      </c>
      <c r="M10021" s="501">
        <v>406</v>
      </c>
      <c r="N10021" s="501">
        <v>2</v>
      </c>
      <c r="O10021" s="506">
        <v>1256</v>
      </c>
    </row>
    <row r="10022" spans="1:15" x14ac:dyDescent="0.35">
      <c r="A10022" s="503" t="s">
        <v>1683</v>
      </c>
      <c r="B10022" s="504" t="s">
        <v>2807</v>
      </c>
      <c r="C10022" s="504" t="s">
        <v>1089</v>
      </c>
      <c r="D10022" s="504" t="s">
        <v>3392</v>
      </c>
      <c r="E10022" s="504" t="s">
        <v>3381</v>
      </c>
      <c r="F10022" s="504" t="s">
        <v>418</v>
      </c>
      <c r="G10022" s="504" t="s">
        <v>3368</v>
      </c>
      <c r="H10022" s="504" t="s">
        <v>12497</v>
      </c>
      <c r="I10022" s="504">
        <v>18</v>
      </c>
      <c r="J10022" s="504">
        <v>18</v>
      </c>
      <c r="K10022" s="504">
        <v>0</v>
      </c>
      <c r="L10022" s="504">
        <v>0</v>
      </c>
      <c r="M10022" s="504">
        <v>0</v>
      </c>
      <c r="N10022" s="504">
        <v>0</v>
      </c>
      <c r="O10022" s="505">
        <v>0</v>
      </c>
    </row>
    <row r="10023" spans="1:15" x14ac:dyDescent="0.35">
      <c r="A10023" s="500" t="s">
        <v>1409</v>
      </c>
      <c r="B10023" s="501" t="s">
        <v>2957</v>
      </c>
      <c r="C10023" s="501" t="s">
        <v>1089</v>
      </c>
      <c r="D10023" s="501" t="s">
        <v>3392</v>
      </c>
      <c r="E10023" s="501" t="s">
        <v>3381</v>
      </c>
      <c r="F10023" s="501" t="s">
        <v>416</v>
      </c>
      <c r="G10023" s="501" t="s">
        <v>3368</v>
      </c>
      <c r="H10023" s="501" t="s">
        <v>12498</v>
      </c>
      <c r="I10023" s="501">
        <v>49</v>
      </c>
      <c r="J10023" s="501">
        <v>0</v>
      </c>
      <c r="K10023" s="501">
        <v>0</v>
      </c>
      <c r="L10023" s="501">
        <v>0</v>
      </c>
      <c r="M10023" s="501">
        <v>49</v>
      </c>
      <c r="N10023" s="501">
        <v>0</v>
      </c>
      <c r="O10023" s="506">
        <v>0</v>
      </c>
    </row>
    <row r="10024" spans="1:15" x14ac:dyDescent="0.35">
      <c r="A10024" s="503" t="s">
        <v>1410</v>
      </c>
      <c r="B10024" s="504" t="s">
        <v>2868</v>
      </c>
      <c r="C10024" s="504" t="s">
        <v>1094</v>
      </c>
      <c r="D10024" s="504" t="s">
        <v>3380</v>
      </c>
      <c r="E10024" s="504" t="s">
        <v>3381</v>
      </c>
      <c r="F10024" s="504" t="s">
        <v>416</v>
      </c>
      <c r="G10024" s="504" t="s">
        <v>3368</v>
      </c>
      <c r="H10024" s="504" t="s">
        <v>12500</v>
      </c>
      <c r="I10024" s="504">
        <v>1428</v>
      </c>
      <c r="J10024" s="504">
        <v>241</v>
      </c>
      <c r="K10024" s="504">
        <v>48</v>
      </c>
      <c r="L10024" s="504">
        <v>190</v>
      </c>
      <c r="M10024" s="504">
        <v>949</v>
      </c>
      <c r="N10024" s="504">
        <v>0</v>
      </c>
      <c r="O10024" s="505">
        <v>0</v>
      </c>
    </row>
    <row r="10025" spans="1:15" x14ac:dyDescent="0.35">
      <c r="A10025" s="500" t="s">
        <v>1410</v>
      </c>
      <c r="B10025" s="501" t="s">
        <v>2868</v>
      </c>
      <c r="C10025" s="501" t="s">
        <v>1094</v>
      </c>
      <c r="D10025" s="501" t="s">
        <v>3380</v>
      </c>
      <c r="E10025" s="501" t="s">
        <v>3381</v>
      </c>
      <c r="F10025" s="501" t="s">
        <v>2</v>
      </c>
      <c r="G10025" s="501" t="s">
        <v>3368</v>
      </c>
      <c r="H10025" s="501" t="s">
        <v>12499</v>
      </c>
      <c r="I10025" s="501">
        <v>50</v>
      </c>
      <c r="J10025" s="501">
        <v>0</v>
      </c>
      <c r="K10025" s="501">
        <v>0</v>
      </c>
      <c r="L10025" s="501">
        <v>0</v>
      </c>
      <c r="M10025" s="501">
        <v>50</v>
      </c>
      <c r="N10025" s="501">
        <v>0</v>
      </c>
      <c r="O10025" s="506">
        <v>0</v>
      </c>
    </row>
    <row r="10026" spans="1:15" x14ac:dyDescent="0.35">
      <c r="A10026" s="503" t="s">
        <v>1411</v>
      </c>
      <c r="B10026" s="504" t="s">
        <v>2873</v>
      </c>
      <c r="C10026" s="504" t="s">
        <v>1089</v>
      </c>
      <c r="D10026" s="504" t="s">
        <v>3392</v>
      </c>
      <c r="E10026" s="504" t="s">
        <v>3381</v>
      </c>
      <c r="F10026" s="504" t="s">
        <v>1048</v>
      </c>
      <c r="G10026" s="504" t="s">
        <v>3368</v>
      </c>
      <c r="H10026" s="504" t="s">
        <v>13963</v>
      </c>
      <c r="I10026" s="504">
        <v>25</v>
      </c>
      <c r="J10026" s="504">
        <v>0</v>
      </c>
      <c r="K10026" s="504">
        <v>0</v>
      </c>
      <c r="L10026" s="504">
        <v>25</v>
      </c>
      <c r="M10026" s="504">
        <v>0</v>
      </c>
      <c r="N10026" s="504">
        <v>0</v>
      </c>
      <c r="O10026" s="505">
        <v>0</v>
      </c>
    </row>
    <row r="10027" spans="1:15" x14ac:dyDescent="0.35">
      <c r="A10027" s="500" t="s">
        <v>1411</v>
      </c>
      <c r="B10027" s="501" t="s">
        <v>2873</v>
      </c>
      <c r="C10027" s="501" t="s">
        <v>1089</v>
      </c>
      <c r="D10027" s="501" t="s">
        <v>3392</v>
      </c>
      <c r="E10027" s="501" t="s">
        <v>3381</v>
      </c>
      <c r="F10027" s="501" t="s">
        <v>416</v>
      </c>
      <c r="G10027" s="501" t="s">
        <v>3368</v>
      </c>
      <c r="H10027" s="501" t="s">
        <v>12502</v>
      </c>
      <c r="I10027" s="501">
        <v>282</v>
      </c>
      <c r="J10027" s="501">
        <v>40</v>
      </c>
      <c r="K10027" s="501">
        <v>36</v>
      </c>
      <c r="L10027" s="501">
        <v>206</v>
      </c>
      <c r="M10027" s="501">
        <v>0</v>
      </c>
      <c r="N10027" s="501">
        <v>0</v>
      </c>
      <c r="O10027" s="506">
        <v>0</v>
      </c>
    </row>
    <row r="10028" spans="1:15" x14ac:dyDescent="0.35">
      <c r="A10028" s="503" t="s">
        <v>1411</v>
      </c>
      <c r="B10028" s="504" t="s">
        <v>2873</v>
      </c>
      <c r="C10028" s="504" t="s">
        <v>1089</v>
      </c>
      <c r="D10028" s="504" t="s">
        <v>3392</v>
      </c>
      <c r="E10028" s="504" t="s">
        <v>3381</v>
      </c>
      <c r="F10028" s="504" t="s">
        <v>418</v>
      </c>
      <c r="G10028" s="504" t="s">
        <v>3368</v>
      </c>
      <c r="H10028" s="504" t="s">
        <v>12501</v>
      </c>
      <c r="I10028" s="504">
        <v>32</v>
      </c>
      <c r="J10028" s="504">
        <v>4</v>
      </c>
      <c r="K10028" s="504">
        <v>28</v>
      </c>
      <c r="L10028" s="504">
        <v>0</v>
      </c>
      <c r="M10028" s="504">
        <v>0</v>
      </c>
      <c r="N10028" s="504">
        <v>0</v>
      </c>
      <c r="O10028" s="505">
        <v>0</v>
      </c>
    </row>
    <row r="10029" spans="1:15" x14ac:dyDescent="0.35">
      <c r="A10029" s="500" t="s">
        <v>1411</v>
      </c>
      <c r="B10029" s="501" t="s">
        <v>2873</v>
      </c>
      <c r="C10029" s="501" t="s">
        <v>1089</v>
      </c>
      <c r="D10029" s="501" t="s">
        <v>3392</v>
      </c>
      <c r="E10029" s="501" t="s">
        <v>3381</v>
      </c>
      <c r="F10029" s="501" t="s">
        <v>417</v>
      </c>
      <c r="G10029" s="501" t="s">
        <v>3368</v>
      </c>
      <c r="H10029" s="501" t="s">
        <v>12503</v>
      </c>
      <c r="I10029" s="501">
        <v>2</v>
      </c>
      <c r="J10029" s="501">
        <v>0</v>
      </c>
      <c r="K10029" s="501">
        <v>2</v>
      </c>
      <c r="L10029" s="501">
        <v>0</v>
      </c>
      <c r="M10029" s="501">
        <v>0</v>
      </c>
      <c r="N10029" s="501">
        <v>0</v>
      </c>
      <c r="O10029" s="506">
        <v>0</v>
      </c>
    </row>
    <row r="10030" spans="1:15" x14ac:dyDescent="0.35">
      <c r="A10030" s="503" t="s">
        <v>1412</v>
      </c>
      <c r="B10030" s="504">
        <v>4641</v>
      </c>
      <c r="C10030" s="504" t="s">
        <v>1089</v>
      </c>
      <c r="D10030" s="504" t="s">
        <v>3392</v>
      </c>
      <c r="E10030" s="504" t="s">
        <v>3381</v>
      </c>
      <c r="F10030" s="504" t="s">
        <v>416</v>
      </c>
      <c r="G10030" s="504" t="s">
        <v>3368</v>
      </c>
      <c r="H10030" s="504" t="s">
        <v>12504</v>
      </c>
      <c r="I10030" s="504">
        <v>269</v>
      </c>
      <c r="J10030" s="504">
        <v>2</v>
      </c>
      <c r="K10030" s="504">
        <v>209</v>
      </c>
      <c r="L10030" s="504">
        <v>58</v>
      </c>
      <c r="M10030" s="504">
        <v>0</v>
      </c>
      <c r="N10030" s="504">
        <v>0</v>
      </c>
      <c r="O10030" s="505">
        <v>0</v>
      </c>
    </row>
    <row r="10031" spans="1:15" x14ac:dyDescent="0.35">
      <c r="A10031" s="500" t="s">
        <v>2139</v>
      </c>
      <c r="B10031" s="501" t="s">
        <v>2596</v>
      </c>
      <c r="C10031" s="501" t="s">
        <v>1089</v>
      </c>
      <c r="D10031" s="501" t="s">
        <v>3392</v>
      </c>
      <c r="E10031" s="501" t="s">
        <v>3381</v>
      </c>
      <c r="F10031" s="501" t="s">
        <v>1048</v>
      </c>
      <c r="G10031" s="501" t="s">
        <v>3368</v>
      </c>
      <c r="H10031" s="501" t="s">
        <v>13964</v>
      </c>
      <c r="I10031" s="501">
        <v>4</v>
      </c>
      <c r="J10031" s="501">
        <v>0</v>
      </c>
      <c r="K10031" s="501">
        <v>0</v>
      </c>
      <c r="L10031" s="501">
        <v>0</v>
      </c>
      <c r="M10031" s="501">
        <v>4</v>
      </c>
      <c r="N10031" s="501">
        <v>0</v>
      </c>
      <c r="O10031" s="506">
        <v>0</v>
      </c>
    </row>
    <row r="10032" spans="1:15" x14ac:dyDescent="0.35">
      <c r="A10032" s="503" t="s">
        <v>1956</v>
      </c>
      <c r="B10032" s="504" t="s">
        <v>2543</v>
      </c>
      <c r="C10032" s="504" t="s">
        <v>1089</v>
      </c>
      <c r="D10032" s="504" t="s">
        <v>3392</v>
      </c>
      <c r="E10032" s="504" t="s">
        <v>3381</v>
      </c>
      <c r="F10032" s="504" t="s">
        <v>419</v>
      </c>
      <c r="G10032" s="504" t="s">
        <v>3368</v>
      </c>
      <c r="H10032" s="504" t="s">
        <v>12505</v>
      </c>
      <c r="I10032" s="504">
        <v>2</v>
      </c>
      <c r="J10032" s="504">
        <v>2</v>
      </c>
      <c r="K10032" s="504">
        <v>0</v>
      </c>
      <c r="L10032" s="504">
        <v>0</v>
      </c>
      <c r="M10032" s="504">
        <v>0</v>
      </c>
      <c r="N10032" s="504">
        <v>0</v>
      </c>
      <c r="O10032" s="505">
        <v>0</v>
      </c>
    </row>
    <row r="10033" spans="1:15" x14ac:dyDescent="0.35">
      <c r="A10033" s="500" t="s">
        <v>11424</v>
      </c>
      <c r="B10033" s="501" t="s">
        <v>2535</v>
      </c>
      <c r="C10033" s="501" t="s">
        <v>1089</v>
      </c>
      <c r="D10033" s="501" t="s">
        <v>3392</v>
      </c>
      <c r="E10033" s="501" t="s">
        <v>3381</v>
      </c>
      <c r="F10033" s="501" t="s">
        <v>419</v>
      </c>
      <c r="G10033" s="501" t="s">
        <v>3368</v>
      </c>
      <c r="H10033" s="501" t="s">
        <v>12506</v>
      </c>
      <c r="I10033" s="501">
        <v>11</v>
      </c>
      <c r="J10033" s="501">
        <v>0</v>
      </c>
      <c r="K10033" s="501">
        <v>0</v>
      </c>
      <c r="L10033" s="501">
        <v>0</v>
      </c>
      <c r="M10033" s="501">
        <v>11</v>
      </c>
      <c r="N10033" s="501">
        <v>0</v>
      </c>
      <c r="O10033" s="506">
        <v>0</v>
      </c>
    </row>
    <row r="10034" spans="1:15" x14ac:dyDescent="0.35">
      <c r="A10034" s="503" t="s">
        <v>1814</v>
      </c>
      <c r="B10034" s="504" t="s">
        <v>2520</v>
      </c>
      <c r="C10034" s="504" t="s">
        <v>1089</v>
      </c>
      <c r="D10034" s="504" t="s">
        <v>3392</v>
      </c>
      <c r="E10034" s="504" t="s">
        <v>3381</v>
      </c>
      <c r="F10034" s="504" t="s">
        <v>2</v>
      </c>
      <c r="G10034" s="504" t="s">
        <v>3368</v>
      </c>
      <c r="H10034" s="504" t="s">
        <v>12507</v>
      </c>
      <c r="I10034" s="504">
        <v>14</v>
      </c>
      <c r="J10034" s="504">
        <v>14</v>
      </c>
      <c r="K10034" s="504">
        <v>0</v>
      </c>
      <c r="L10034" s="504">
        <v>0</v>
      </c>
      <c r="M10034" s="504">
        <v>0</v>
      </c>
      <c r="N10034" s="504">
        <v>0</v>
      </c>
      <c r="O10034" s="505">
        <v>0</v>
      </c>
    </row>
    <row r="10035" spans="1:15" x14ac:dyDescent="0.35">
      <c r="A10035" s="500" t="s">
        <v>1684</v>
      </c>
      <c r="B10035" s="501" t="s">
        <v>2630</v>
      </c>
      <c r="C10035" s="501" t="s">
        <v>1089</v>
      </c>
      <c r="D10035" s="501" t="s">
        <v>3392</v>
      </c>
      <c r="E10035" s="501" t="s">
        <v>3381</v>
      </c>
      <c r="F10035" s="501" t="s">
        <v>418</v>
      </c>
      <c r="G10035" s="501" t="s">
        <v>3368</v>
      </c>
      <c r="H10035" s="501" t="s">
        <v>12508</v>
      </c>
      <c r="I10035" s="501">
        <v>10</v>
      </c>
      <c r="J10035" s="501">
        <v>10</v>
      </c>
      <c r="K10035" s="501">
        <v>0</v>
      </c>
      <c r="L10035" s="501">
        <v>0</v>
      </c>
      <c r="M10035" s="501">
        <v>0</v>
      </c>
      <c r="N10035" s="501">
        <v>0</v>
      </c>
      <c r="O10035" s="506">
        <v>0</v>
      </c>
    </row>
    <row r="10036" spans="1:15" x14ac:dyDescent="0.35">
      <c r="A10036" s="503" t="s">
        <v>2069</v>
      </c>
      <c r="B10036" s="504" t="s">
        <v>2650</v>
      </c>
      <c r="C10036" s="504" t="s">
        <v>1089</v>
      </c>
      <c r="D10036" s="504" t="s">
        <v>3392</v>
      </c>
      <c r="E10036" s="504" t="s">
        <v>3381</v>
      </c>
      <c r="F10036" s="504" t="s">
        <v>420</v>
      </c>
      <c r="G10036" s="504" t="s">
        <v>3368</v>
      </c>
      <c r="H10036" s="504" t="s">
        <v>12509</v>
      </c>
      <c r="I10036" s="504">
        <v>6</v>
      </c>
      <c r="J10036" s="504">
        <v>6</v>
      </c>
      <c r="K10036" s="504">
        <v>0</v>
      </c>
      <c r="L10036" s="504">
        <v>0</v>
      </c>
      <c r="M10036" s="504">
        <v>0</v>
      </c>
      <c r="N10036" s="504">
        <v>0</v>
      </c>
      <c r="O10036" s="505">
        <v>0</v>
      </c>
    </row>
    <row r="10037" spans="1:15" x14ac:dyDescent="0.35">
      <c r="A10037" s="500" t="s">
        <v>11438</v>
      </c>
      <c r="B10037" s="501" t="s">
        <v>2617</v>
      </c>
      <c r="C10037" s="501" t="s">
        <v>1089</v>
      </c>
      <c r="D10037" s="501" t="s">
        <v>3392</v>
      </c>
      <c r="E10037" s="501" t="s">
        <v>3381</v>
      </c>
      <c r="F10037" s="501" t="s">
        <v>1048</v>
      </c>
      <c r="G10037" s="501" t="s">
        <v>3368</v>
      </c>
      <c r="H10037" s="501" t="s">
        <v>13965</v>
      </c>
      <c r="I10037" s="501">
        <v>7</v>
      </c>
      <c r="J10037" s="501">
        <v>0</v>
      </c>
      <c r="K10037" s="501">
        <v>0</v>
      </c>
      <c r="L10037" s="501">
        <v>0</v>
      </c>
      <c r="M10037" s="501">
        <v>7</v>
      </c>
      <c r="N10037" s="501">
        <v>0</v>
      </c>
      <c r="O10037" s="506">
        <v>0</v>
      </c>
    </row>
    <row r="10038" spans="1:15" x14ac:dyDescent="0.35">
      <c r="A10038" s="503" t="s">
        <v>1413</v>
      </c>
      <c r="B10038" s="504" t="s">
        <v>3160</v>
      </c>
      <c r="C10038" s="504" t="s">
        <v>1089</v>
      </c>
      <c r="D10038" s="504" t="s">
        <v>3392</v>
      </c>
      <c r="E10038" s="504" t="s">
        <v>3381</v>
      </c>
      <c r="F10038" s="504" t="s">
        <v>416</v>
      </c>
      <c r="G10038" s="504" t="s">
        <v>3368</v>
      </c>
      <c r="H10038" s="504" t="s">
        <v>12510</v>
      </c>
      <c r="I10038" s="504">
        <v>990</v>
      </c>
      <c r="J10038" s="504">
        <v>990</v>
      </c>
      <c r="K10038" s="504">
        <v>0</v>
      </c>
      <c r="L10038" s="504">
        <v>0</v>
      </c>
      <c r="M10038" s="504">
        <v>0</v>
      </c>
      <c r="N10038" s="504">
        <v>0</v>
      </c>
      <c r="O10038" s="505">
        <v>0</v>
      </c>
    </row>
    <row r="10039" spans="1:15" x14ac:dyDescent="0.35">
      <c r="A10039" s="500" t="s">
        <v>2140</v>
      </c>
      <c r="B10039" s="501">
        <v>4821</v>
      </c>
      <c r="C10039" s="501" t="s">
        <v>1089</v>
      </c>
      <c r="D10039" s="501" t="s">
        <v>3392</v>
      </c>
      <c r="E10039" s="501" t="s">
        <v>3381</v>
      </c>
      <c r="F10039" s="501" t="s">
        <v>1048</v>
      </c>
      <c r="G10039" s="501" t="s">
        <v>3368</v>
      </c>
      <c r="H10039" s="501" t="s">
        <v>13966</v>
      </c>
      <c r="I10039" s="501">
        <v>473</v>
      </c>
      <c r="J10039" s="501">
        <v>0</v>
      </c>
      <c r="K10039" s="501">
        <v>0</v>
      </c>
      <c r="L10039" s="501">
        <v>473</v>
      </c>
      <c r="M10039" s="501">
        <v>0</v>
      </c>
      <c r="N10039" s="501">
        <v>0</v>
      </c>
      <c r="O10039" s="506">
        <v>0</v>
      </c>
    </row>
    <row r="10040" spans="1:15" x14ac:dyDescent="0.35">
      <c r="A10040" s="503" t="s">
        <v>1283</v>
      </c>
      <c r="B10040" s="504" t="s">
        <v>3177</v>
      </c>
      <c r="C10040" s="504" t="s">
        <v>1094</v>
      </c>
      <c r="D10040" s="504" t="s">
        <v>3380</v>
      </c>
      <c r="E10040" s="504" t="s">
        <v>3381</v>
      </c>
      <c r="F10040" s="504" t="s">
        <v>415</v>
      </c>
      <c r="G10040" s="504" t="s">
        <v>3368</v>
      </c>
      <c r="H10040" s="504" t="s">
        <v>12511</v>
      </c>
      <c r="I10040" s="504">
        <v>9763</v>
      </c>
      <c r="J10040" s="504">
        <v>9157</v>
      </c>
      <c r="K10040" s="504">
        <v>0</v>
      </c>
      <c r="L10040" s="504">
        <v>28</v>
      </c>
      <c r="M10040" s="504">
        <v>0</v>
      </c>
      <c r="N10040" s="504">
        <v>0</v>
      </c>
      <c r="O10040" s="505">
        <v>578</v>
      </c>
    </row>
    <row r="10041" spans="1:15" x14ac:dyDescent="0.35">
      <c r="A10041" s="500" t="s">
        <v>1957</v>
      </c>
      <c r="B10041" s="501">
        <v>4572</v>
      </c>
      <c r="C10041" s="501" t="s">
        <v>1089</v>
      </c>
      <c r="D10041" s="501" t="s">
        <v>3392</v>
      </c>
      <c r="E10041" s="501" t="s">
        <v>3381</v>
      </c>
      <c r="F10041" s="501" t="s">
        <v>419</v>
      </c>
      <c r="G10041" s="501" t="s">
        <v>3368</v>
      </c>
      <c r="H10041" s="501" t="s">
        <v>12512</v>
      </c>
      <c r="I10041" s="501">
        <v>95</v>
      </c>
      <c r="J10041" s="501">
        <v>95</v>
      </c>
      <c r="K10041" s="501">
        <v>0</v>
      </c>
      <c r="L10041" s="501">
        <v>0</v>
      </c>
      <c r="M10041" s="501">
        <v>0</v>
      </c>
      <c r="N10041" s="501">
        <v>0</v>
      </c>
      <c r="O10041" s="506">
        <v>0</v>
      </c>
    </row>
    <row r="10042" spans="1:15" x14ac:dyDescent="0.35">
      <c r="A10042" s="503" t="s">
        <v>1958</v>
      </c>
      <c r="B10042" s="504" t="s">
        <v>2941</v>
      </c>
      <c r="C10042" s="504" t="s">
        <v>1089</v>
      </c>
      <c r="D10042" s="504" t="s">
        <v>3392</v>
      </c>
      <c r="E10042" s="504" t="s">
        <v>3381</v>
      </c>
      <c r="F10042" s="504" t="s">
        <v>419</v>
      </c>
      <c r="G10042" s="504" t="s">
        <v>3368</v>
      </c>
      <c r="H10042" s="504" t="s">
        <v>12513</v>
      </c>
      <c r="I10042" s="504">
        <v>168</v>
      </c>
      <c r="J10042" s="504">
        <v>31</v>
      </c>
      <c r="K10042" s="504">
        <v>0</v>
      </c>
      <c r="L10042" s="504">
        <v>137</v>
      </c>
      <c r="M10042" s="504">
        <v>0</v>
      </c>
      <c r="N10042" s="504">
        <v>0</v>
      </c>
      <c r="O10042" s="505">
        <v>0</v>
      </c>
    </row>
    <row r="10043" spans="1:15" x14ac:dyDescent="0.35">
      <c r="A10043" s="500" t="s">
        <v>1284</v>
      </c>
      <c r="B10043" s="501" t="s">
        <v>2530</v>
      </c>
      <c r="C10043" s="501" t="s">
        <v>1089</v>
      </c>
      <c r="D10043" s="501" t="s">
        <v>3392</v>
      </c>
      <c r="E10043" s="501" t="s">
        <v>3381</v>
      </c>
      <c r="F10043" s="501" t="s">
        <v>415</v>
      </c>
      <c r="G10043" s="501" t="s">
        <v>3368</v>
      </c>
      <c r="H10043" s="501" t="s">
        <v>12514</v>
      </c>
      <c r="I10043" s="501">
        <v>2</v>
      </c>
      <c r="J10043" s="501">
        <v>2</v>
      </c>
      <c r="K10043" s="501">
        <v>0</v>
      </c>
      <c r="L10043" s="501">
        <v>0</v>
      </c>
      <c r="M10043" s="501">
        <v>0</v>
      </c>
      <c r="N10043" s="501">
        <v>0</v>
      </c>
      <c r="O10043" s="506">
        <v>0</v>
      </c>
    </row>
    <row r="10044" spans="1:15" x14ac:dyDescent="0.35">
      <c r="A10044" s="503" t="s">
        <v>1685</v>
      </c>
      <c r="B10044" s="504" t="s">
        <v>2773</v>
      </c>
      <c r="C10044" s="504" t="s">
        <v>1089</v>
      </c>
      <c r="D10044" s="504" t="s">
        <v>3392</v>
      </c>
      <c r="E10044" s="504" t="s">
        <v>3381</v>
      </c>
      <c r="F10044" s="504" t="s">
        <v>418</v>
      </c>
      <c r="G10044" s="504" t="s">
        <v>3368</v>
      </c>
      <c r="H10044" s="504" t="s">
        <v>12515</v>
      </c>
      <c r="I10044" s="504">
        <v>19</v>
      </c>
      <c r="J10044" s="504">
        <v>19</v>
      </c>
      <c r="K10044" s="504">
        <v>0</v>
      </c>
      <c r="L10044" s="504">
        <v>0</v>
      </c>
      <c r="M10044" s="504">
        <v>0</v>
      </c>
      <c r="N10044" s="504">
        <v>0</v>
      </c>
      <c r="O10044" s="505">
        <v>0</v>
      </c>
    </row>
    <row r="10045" spans="1:15" x14ac:dyDescent="0.35">
      <c r="A10045" s="500" t="s">
        <v>1162</v>
      </c>
      <c r="B10045" s="501" t="s">
        <v>3203</v>
      </c>
      <c r="C10045" s="501" t="s">
        <v>1094</v>
      </c>
      <c r="D10045" s="501" t="s">
        <v>3380</v>
      </c>
      <c r="E10045" s="501" t="s">
        <v>3381</v>
      </c>
      <c r="F10045" s="501" t="s">
        <v>418</v>
      </c>
      <c r="G10045" s="501" t="s">
        <v>3368</v>
      </c>
      <c r="H10045" s="501" t="s">
        <v>12517</v>
      </c>
      <c r="I10045" s="501">
        <v>5034</v>
      </c>
      <c r="J10045" s="501">
        <v>3780</v>
      </c>
      <c r="K10045" s="501">
        <v>0</v>
      </c>
      <c r="L10045" s="501">
        <v>5</v>
      </c>
      <c r="M10045" s="501">
        <v>1182</v>
      </c>
      <c r="N10045" s="501">
        <v>8</v>
      </c>
      <c r="O10045" s="506">
        <v>67</v>
      </c>
    </row>
    <row r="10046" spans="1:15" x14ac:dyDescent="0.35">
      <c r="A10046" s="503" t="s">
        <v>1162</v>
      </c>
      <c r="B10046" s="504" t="s">
        <v>3203</v>
      </c>
      <c r="C10046" s="504" t="s">
        <v>1094</v>
      </c>
      <c r="D10046" s="504" t="s">
        <v>3380</v>
      </c>
      <c r="E10046" s="504" t="s">
        <v>3381</v>
      </c>
      <c r="F10046" s="504" t="s">
        <v>414</v>
      </c>
      <c r="G10046" s="504" t="s">
        <v>3368</v>
      </c>
      <c r="H10046" s="504" t="s">
        <v>12516</v>
      </c>
      <c r="I10046" s="504">
        <v>166</v>
      </c>
      <c r="J10046" s="504">
        <v>144</v>
      </c>
      <c r="K10046" s="504">
        <v>0</v>
      </c>
      <c r="L10046" s="504">
        <v>0</v>
      </c>
      <c r="M10046" s="504">
        <v>0</v>
      </c>
      <c r="N10046" s="504">
        <v>0</v>
      </c>
      <c r="O10046" s="505">
        <v>22</v>
      </c>
    </row>
    <row r="10047" spans="1:15" x14ac:dyDescent="0.35">
      <c r="A10047" s="500" t="s">
        <v>1163</v>
      </c>
      <c r="B10047" s="501" t="s">
        <v>3317</v>
      </c>
      <c r="C10047" s="501" t="s">
        <v>1089</v>
      </c>
      <c r="D10047" s="501" t="s">
        <v>3392</v>
      </c>
      <c r="E10047" s="501" t="s">
        <v>3381</v>
      </c>
      <c r="F10047" s="501" t="s">
        <v>414</v>
      </c>
      <c r="G10047" s="501" t="s">
        <v>3368</v>
      </c>
      <c r="H10047" s="501" t="s">
        <v>12518</v>
      </c>
      <c r="I10047" s="501">
        <v>33</v>
      </c>
      <c r="J10047" s="501">
        <v>0</v>
      </c>
      <c r="K10047" s="501">
        <v>0</v>
      </c>
      <c r="L10047" s="501">
        <v>0</v>
      </c>
      <c r="M10047" s="501">
        <v>33</v>
      </c>
      <c r="N10047" s="501">
        <v>0</v>
      </c>
      <c r="O10047" s="506">
        <v>0</v>
      </c>
    </row>
    <row r="10048" spans="1:15" x14ac:dyDescent="0.35">
      <c r="A10048" s="503" t="s">
        <v>1815</v>
      </c>
      <c r="B10048" s="504" t="s">
        <v>3047</v>
      </c>
      <c r="C10048" s="504" t="s">
        <v>1089</v>
      </c>
      <c r="D10048" s="504" t="s">
        <v>3392</v>
      </c>
      <c r="E10048" s="504" t="s">
        <v>3381</v>
      </c>
      <c r="F10048" s="504" t="s">
        <v>2</v>
      </c>
      <c r="G10048" s="504" t="s">
        <v>3368</v>
      </c>
      <c r="H10048" s="504" t="s">
        <v>12519</v>
      </c>
      <c r="I10048" s="504">
        <v>95</v>
      </c>
      <c r="J10048" s="504">
        <v>0</v>
      </c>
      <c r="K10048" s="504">
        <v>0</v>
      </c>
      <c r="L10048" s="504">
        <v>0</v>
      </c>
      <c r="M10048" s="504">
        <v>95</v>
      </c>
      <c r="N10048" s="504">
        <v>0</v>
      </c>
      <c r="O10048" s="505">
        <v>0</v>
      </c>
    </row>
    <row r="10049" spans="1:15" x14ac:dyDescent="0.35">
      <c r="A10049" s="500" t="s">
        <v>1414</v>
      </c>
      <c r="B10049" s="501" t="s">
        <v>2759</v>
      </c>
      <c r="C10049" s="501" t="s">
        <v>1089</v>
      </c>
      <c r="D10049" s="501" t="s">
        <v>3392</v>
      </c>
      <c r="E10049" s="501" t="s">
        <v>3381</v>
      </c>
      <c r="F10049" s="501" t="s">
        <v>416</v>
      </c>
      <c r="G10049" s="501" t="s">
        <v>3368</v>
      </c>
      <c r="H10049" s="501" t="s">
        <v>12520</v>
      </c>
      <c r="I10049" s="501">
        <v>12</v>
      </c>
      <c r="J10049" s="501">
        <v>12</v>
      </c>
      <c r="K10049" s="501">
        <v>0</v>
      </c>
      <c r="L10049" s="501">
        <v>0</v>
      </c>
      <c r="M10049" s="501">
        <v>0</v>
      </c>
      <c r="N10049" s="501">
        <v>0</v>
      </c>
      <c r="O10049" s="506">
        <v>0</v>
      </c>
    </row>
    <row r="10050" spans="1:15" x14ac:dyDescent="0.35">
      <c r="A10050" s="503" t="s">
        <v>1285</v>
      </c>
      <c r="B10050" s="504" t="s">
        <v>3120</v>
      </c>
      <c r="C10050" s="504" t="s">
        <v>1089</v>
      </c>
      <c r="D10050" s="504" t="s">
        <v>3392</v>
      </c>
      <c r="E10050" s="504" t="s">
        <v>3381</v>
      </c>
      <c r="F10050" s="504" t="s">
        <v>416</v>
      </c>
      <c r="G10050" s="504" t="s">
        <v>3368</v>
      </c>
      <c r="H10050" s="504" t="s">
        <v>12522</v>
      </c>
      <c r="I10050" s="504">
        <v>198</v>
      </c>
      <c r="J10050" s="504">
        <v>172</v>
      </c>
      <c r="K10050" s="504">
        <v>26</v>
      </c>
      <c r="L10050" s="504">
        <v>0</v>
      </c>
      <c r="M10050" s="504">
        <v>0</v>
      </c>
      <c r="N10050" s="504">
        <v>0</v>
      </c>
      <c r="O10050" s="505">
        <v>0</v>
      </c>
    </row>
    <row r="10051" spans="1:15" x14ac:dyDescent="0.35">
      <c r="A10051" s="500" t="s">
        <v>1285</v>
      </c>
      <c r="B10051" s="501" t="s">
        <v>3120</v>
      </c>
      <c r="C10051" s="501" t="s">
        <v>1089</v>
      </c>
      <c r="D10051" s="501" t="s">
        <v>3392</v>
      </c>
      <c r="E10051" s="501" t="s">
        <v>3381</v>
      </c>
      <c r="F10051" s="501" t="s">
        <v>415</v>
      </c>
      <c r="G10051" s="501" t="s">
        <v>3368</v>
      </c>
      <c r="H10051" s="501" t="s">
        <v>12523</v>
      </c>
      <c r="I10051" s="501">
        <v>5</v>
      </c>
      <c r="J10051" s="501">
        <v>5</v>
      </c>
      <c r="K10051" s="501">
        <v>0</v>
      </c>
      <c r="L10051" s="501">
        <v>0</v>
      </c>
      <c r="M10051" s="501">
        <v>0</v>
      </c>
      <c r="N10051" s="501">
        <v>0</v>
      </c>
      <c r="O10051" s="506">
        <v>0</v>
      </c>
    </row>
    <row r="10052" spans="1:15" x14ac:dyDescent="0.35">
      <c r="A10052" s="503" t="s">
        <v>1285</v>
      </c>
      <c r="B10052" s="504" t="s">
        <v>3120</v>
      </c>
      <c r="C10052" s="504" t="s">
        <v>1089</v>
      </c>
      <c r="D10052" s="504" t="s">
        <v>3392</v>
      </c>
      <c r="E10052" s="504" t="s">
        <v>3381</v>
      </c>
      <c r="F10052" s="504" t="s">
        <v>2</v>
      </c>
      <c r="G10052" s="504" t="s">
        <v>3368</v>
      </c>
      <c r="H10052" s="504" t="s">
        <v>12521</v>
      </c>
      <c r="I10052" s="504">
        <v>33</v>
      </c>
      <c r="J10052" s="504">
        <v>21</v>
      </c>
      <c r="K10052" s="504">
        <v>12</v>
      </c>
      <c r="L10052" s="504">
        <v>0</v>
      </c>
      <c r="M10052" s="504">
        <v>0</v>
      </c>
      <c r="N10052" s="504">
        <v>0</v>
      </c>
      <c r="O10052" s="505">
        <v>0</v>
      </c>
    </row>
    <row r="10053" spans="1:15" x14ac:dyDescent="0.35">
      <c r="A10053" s="500" t="s">
        <v>1415</v>
      </c>
      <c r="B10053" s="501" t="s">
        <v>3070</v>
      </c>
      <c r="C10053" s="501" t="s">
        <v>1089</v>
      </c>
      <c r="D10053" s="501" t="s">
        <v>3392</v>
      </c>
      <c r="E10053" s="501" t="s">
        <v>3381</v>
      </c>
      <c r="F10053" s="501" t="s">
        <v>416</v>
      </c>
      <c r="G10053" s="501" t="s">
        <v>3368</v>
      </c>
      <c r="H10053" s="501" t="s">
        <v>12524</v>
      </c>
      <c r="I10053" s="501">
        <v>197</v>
      </c>
      <c r="J10053" s="501">
        <v>5</v>
      </c>
      <c r="K10053" s="501">
        <v>0</v>
      </c>
      <c r="L10053" s="501">
        <v>0</v>
      </c>
      <c r="M10053" s="501">
        <v>192</v>
      </c>
      <c r="N10053" s="501">
        <v>0</v>
      </c>
      <c r="O10053" s="506">
        <v>0</v>
      </c>
    </row>
    <row r="10054" spans="1:15" x14ac:dyDescent="0.35">
      <c r="A10054" s="503" t="s">
        <v>1416</v>
      </c>
      <c r="B10054" s="504" t="s">
        <v>2466</v>
      </c>
      <c r="C10054" s="504" t="s">
        <v>1089</v>
      </c>
      <c r="D10054" s="504" t="s">
        <v>3392</v>
      </c>
      <c r="E10054" s="504" t="s">
        <v>3381</v>
      </c>
      <c r="F10054" s="504" t="s">
        <v>416</v>
      </c>
      <c r="G10054" s="504" t="s">
        <v>3368</v>
      </c>
      <c r="H10054" s="504" t="s">
        <v>12525</v>
      </c>
      <c r="I10054" s="504">
        <v>19</v>
      </c>
      <c r="J10054" s="504">
        <v>19</v>
      </c>
      <c r="K10054" s="504">
        <v>0</v>
      </c>
      <c r="L10054" s="504">
        <v>0</v>
      </c>
      <c r="M10054" s="504">
        <v>0</v>
      </c>
      <c r="N10054" s="504">
        <v>0</v>
      </c>
      <c r="O10054" s="505">
        <v>0</v>
      </c>
    </row>
    <row r="10055" spans="1:15" x14ac:dyDescent="0.35">
      <c r="A10055" s="500" t="s">
        <v>2070</v>
      </c>
      <c r="B10055" s="501" t="s">
        <v>3154</v>
      </c>
      <c r="C10055" s="501" t="s">
        <v>1089</v>
      </c>
      <c r="D10055" s="501" t="s">
        <v>3392</v>
      </c>
      <c r="E10055" s="501" t="s">
        <v>3381</v>
      </c>
      <c r="F10055" s="501" t="s">
        <v>420</v>
      </c>
      <c r="G10055" s="501" t="s">
        <v>3368</v>
      </c>
      <c r="H10055" s="501" t="s">
        <v>12526</v>
      </c>
      <c r="I10055" s="501">
        <v>19</v>
      </c>
      <c r="J10055" s="501">
        <v>0</v>
      </c>
      <c r="K10055" s="501">
        <v>0</v>
      </c>
      <c r="L10055" s="501">
        <v>19</v>
      </c>
      <c r="M10055" s="501">
        <v>0</v>
      </c>
      <c r="N10055" s="501">
        <v>0</v>
      </c>
      <c r="O10055" s="506">
        <v>0</v>
      </c>
    </row>
    <row r="10056" spans="1:15" x14ac:dyDescent="0.35">
      <c r="A10056" s="503" t="s">
        <v>1286</v>
      </c>
      <c r="B10056" s="504" t="s">
        <v>3341</v>
      </c>
      <c r="C10056" s="504" t="s">
        <v>1094</v>
      </c>
      <c r="D10056" s="504" t="s">
        <v>3380</v>
      </c>
      <c r="E10056" s="504" t="s">
        <v>3381</v>
      </c>
      <c r="F10056" s="504" t="s">
        <v>2</v>
      </c>
      <c r="G10056" s="504" t="s">
        <v>3368</v>
      </c>
      <c r="H10056" s="504" t="s">
        <v>12528</v>
      </c>
      <c r="I10056" s="504">
        <v>67</v>
      </c>
      <c r="J10056" s="504">
        <v>17</v>
      </c>
      <c r="K10056" s="504">
        <v>0</v>
      </c>
      <c r="L10056" s="504">
        <v>0</v>
      </c>
      <c r="M10056" s="504">
        <v>0</v>
      </c>
      <c r="N10056" s="504">
        <v>0</v>
      </c>
      <c r="O10056" s="505">
        <v>50</v>
      </c>
    </row>
    <row r="10057" spans="1:15" x14ac:dyDescent="0.35">
      <c r="A10057" s="500" t="s">
        <v>1286</v>
      </c>
      <c r="B10057" s="501" t="s">
        <v>3341</v>
      </c>
      <c r="C10057" s="501" t="s">
        <v>1094</v>
      </c>
      <c r="D10057" s="501" t="s">
        <v>3380</v>
      </c>
      <c r="E10057" s="501" t="s">
        <v>3381</v>
      </c>
      <c r="F10057" s="501" t="s">
        <v>415</v>
      </c>
      <c r="G10057" s="501" t="s">
        <v>3368</v>
      </c>
      <c r="H10057" s="501" t="s">
        <v>12527</v>
      </c>
      <c r="I10057" s="501">
        <v>6517</v>
      </c>
      <c r="J10057" s="501">
        <v>5701</v>
      </c>
      <c r="K10057" s="501">
        <v>0</v>
      </c>
      <c r="L10057" s="501">
        <v>140</v>
      </c>
      <c r="M10057" s="501">
        <v>455</v>
      </c>
      <c r="N10057" s="501">
        <v>0</v>
      </c>
      <c r="O10057" s="506">
        <v>221</v>
      </c>
    </row>
    <row r="10058" spans="1:15" x14ac:dyDescent="0.35">
      <c r="A10058" s="503" t="s">
        <v>1417</v>
      </c>
      <c r="B10058" s="504" t="s">
        <v>3257</v>
      </c>
      <c r="C10058" s="504" t="s">
        <v>1094</v>
      </c>
      <c r="D10058" s="504" t="s">
        <v>3380</v>
      </c>
      <c r="E10058" s="504" t="s">
        <v>3381</v>
      </c>
      <c r="F10058" s="504" t="s">
        <v>416</v>
      </c>
      <c r="G10058" s="504" t="s">
        <v>3368</v>
      </c>
      <c r="H10058" s="504" t="s">
        <v>12529</v>
      </c>
      <c r="I10058" s="504">
        <v>1427</v>
      </c>
      <c r="J10058" s="504">
        <v>953</v>
      </c>
      <c r="K10058" s="504">
        <v>3</v>
      </c>
      <c r="L10058" s="504">
        <v>226</v>
      </c>
      <c r="M10058" s="504">
        <v>228</v>
      </c>
      <c r="N10058" s="504">
        <v>0</v>
      </c>
      <c r="O10058" s="505">
        <v>17</v>
      </c>
    </row>
    <row r="10059" spans="1:15" x14ac:dyDescent="0.35">
      <c r="A10059" s="500" t="s">
        <v>1164</v>
      </c>
      <c r="B10059" s="501">
        <v>4751</v>
      </c>
      <c r="C10059" s="501" t="s">
        <v>1089</v>
      </c>
      <c r="D10059" s="501" t="s">
        <v>3392</v>
      </c>
      <c r="E10059" s="501" t="s">
        <v>3381</v>
      </c>
      <c r="F10059" s="501" t="s">
        <v>419</v>
      </c>
      <c r="G10059" s="501" t="s">
        <v>3368</v>
      </c>
      <c r="H10059" s="501" t="s">
        <v>12533</v>
      </c>
      <c r="I10059" s="501">
        <v>36</v>
      </c>
      <c r="J10059" s="501">
        <v>0</v>
      </c>
      <c r="K10059" s="501">
        <v>0</v>
      </c>
      <c r="L10059" s="501">
        <v>36</v>
      </c>
      <c r="M10059" s="501">
        <v>0</v>
      </c>
      <c r="N10059" s="501">
        <v>0</v>
      </c>
      <c r="O10059" s="506">
        <v>0</v>
      </c>
    </row>
    <row r="10060" spans="1:15" x14ac:dyDescent="0.35">
      <c r="A10060" s="503" t="s">
        <v>1164</v>
      </c>
      <c r="B10060" s="504">
        <v>4751</v>
      </c>
      <c r="C10060" s="504" t="s">
        <v>1089</v>
      </c>
      <c r="D10060" s="504" t="s">
        <v>3392</v>
      </c>
      <c r="E10060" s="504" t="s">
        <v>3381</v>
      </c>
      <c r="F10060" s="504" t="s">
        <v>420</v>
      </c>
      <c r="G10060" s="504" t="s">
        <v>3368</v>
      </c>
      <c r="H10060" s="504" t="s">
        <v>12532</v>
      </c>
      <c r="I10060" s="504">
        <v>14</v>
      </c>
      <c r="J10060" s="504">
        <v>0</v>
      </c>
      <c r="K10060" s="504">
        <v>0</v>
      </c>
      <c r="L10060" s="504">
        <v>14</v>
      </c>
      <c r="M10060" s="504">
        <v>0</v>
      </c>
      <c r="N10060" s="504">
        <v>0</v>
      </c>
      <c r="O10060" s="505">
        <v>0</v>
      </c>
    </row>
    <row r="10061" spans="1:15" x14ac:dyDescent="0.35">
      <c r="A10061" s="500" t="s">
        <v>1164</v>
      </c>
      <c r="B10061" s="501">
        <v>4751</v>
      </c>
      <c r="C10061" s="501" t="s">
        <v>1089</v>
      </c>
      <c r="D10061" s="501" t="s">
        <v>3392</v>
      </c>
      <c r="E10061" s="501" t="s">
        <v>3381</v>
      </c>
      <c r="F10061" s="501" t="s">
        <v>416</v>
      </c>
      <c r="G10061" s="501" t="s">
        <v>3368</v>
      </c>
      <c r="H10061" s="501" t="s">
        <v>12530</v>
      </c>
      <c r="I10061" s="501">
        <v>85</v>
      </c>
      <c r="J10061" s="501">
        <v>0</v>
      </c>
      <c r="K10061" s="501">
        <v>0</v>
      </c>
      <c r="L10061" s="501">
        <v>85</v>
      </c>
      <c r="M10061" s="501">
        <v>0</v>
      </c>
      <c r="N10061" s="501">
        <v>0</v>
      </c>
      <c r="O10061" s="506">
        <v>0</v>
      </c>
    </row>
    <row r="10062" spans="1:15" x14ac:dyDescent="0.35">
      <c r="A10062" s="503" t="s">
        <v>1164</v>
      </c>
      <c r="B10062" s="504">
        <v>4751</v>
      </c>
      <c r="C10062" s="504" t="s">
        <v>1089</v>
      </c>
      <c r="D10062" s="504" t="s">
        <v>3392</v>
      </c>
      <c r="E10062" s="504" t="s">
        <v>3381</v>
      </c>
      <c r="F10062" s="504" t="s">
        <v>415</v>
      </c>
      <c r="G10062" s="504" t="s">
        <v>3368</v>
      </c>
      <c r="H10062" s="504" t="s">
        <v>12534</v>
      </c>
      <c r="I10062" s="504">
        <v>49</v>
      </c>
      <c r="J10062" s="504">
        <v>0</v>
      </c>
      <c r="K10062" s="504">
        <v>0</v>
      </c>
      <c r="L10062" s="504">
        <v>49</v>
      </c>
      <c r="M10062" s="504">
        <v>0</v>
      </c>
      <c r="N10062" s="504">
        <v>0</v>
      </c>
      <c r="O10062" s="505">
        <v>0</v>
      </c>
    </row>
    <row r="10063" spans="1:15" x14ac:dyDescent="0.35">
      <c r="A10063" s="500" t="s">
        <v>1164</v>
      </c>
      <c r="B10063" s="501">
        <v>4751</v>
      </c>
      <c r="C10063" s="501" t="s">
        <v>1089</v>
      </c>
      <c r="D10063" s="501" t="s">
        <v>3392</v>
      </c>
      <c r="E10063" s="501" t="s">
        <v>3381</v>
      </c>
      <c r="F10063" s="501" t="s">
        <v>414</v>
      </c>
      <c r="G10063" s="501" t="s">
        <v>3368</v>
      </c>
      <c r="H10063" s="501" t="s">
        <v>12535</v>
      </c>
      <c r="I10063" s="501">
        <v>13</v>
      </c>
      <c r="J10063" s="501">
        <v>0</v>
      </c>
      <c r="K10063" s="501">
        <v>0</v>
      </c>
      <c r="L10063" s="501">
        <v>13</v>
      </c>
      <c r="M10063" s="501">
        <v>0</v>
      </c>
      <c r="N10063" s="501">
        <v>0</v>
      </c>
      <c r="O10063" s="506">
        <v>0</v>
      </c>
    </row>
    <row r="10064" spans="1:15" x14ac:dyDescent="0.35">
      <c r="A10064" s="503" t="s">
        <v>1164</v>
      </c>
      <c r="B10064" s="504">
        <v>4751</v>
      </c>
      <c r="C10064" s="504" t="s">
        <v>1089</v>
      </c>
      <c r="D10064" s="504" t="s">
        <v>3392</v>
      </c>
      <c r="E10064" s="504" t="s">
        <v>3381</v>
      </c>
      <c r="F10064" s="504" t="s">
        <v>2</v>
      </c>
      <c r="G10064" s="504" t="s">
        <v>3368</v>
      </c>
      <c r="H10064" s="504" t="s">
        <v>12536</v>
      </c>
      <c r="I10064" s="504">
        <v>40</v>
      </c>
      <c r="J10064" s="504">
        <v>0</v>
      </c>
      <c r="K10064" s="504">
        <v>0</v>
      </c>
      <c r="L10064" s="504">
        <v>40</v>
      </c>
      <c r="M10064" s="504">
        <v>0</v>
      </c>
      <c r="N10064" s="504">
        <v>0</v>
      </c>
      <c r="O10064" s="505">
        <v>0</v>
      </c>
    </row>
    <row r="10065" spans="1:15" x14ac:dyDescent="0.35">
      <c r="A10065" s="500" t="s">
        <v>1164</v>
      </c>
      <c r="B10065" s="501">
        <v>4751</v>
      </c>
      <c r="C10065" s="501" t="s">
        <v>1089</v>
      </c>
      <c r="D10065" s="501" t="s">
        <v>3392</v>
      </c>
      <c r="E10065" s="501" t="s">
        <v>3381</v>
      </c>
      <c r="F10065" s="501" t="s">
        <v>1048</v>
      </c>
      <c r="G10065" s="501" t="s">
        <v>3368</v>
      </c>
      <c r="H10065" s="501" t="s">
        <v>13967</v>
      </c>
      <c r="I10065" s="501">
        <v>12</v>
      </c>
      <c r="J10065" s="501">
        <v>0</v>
      </c>
      <c r="K10065" s="501">
        <v>0</v>
      </c>
      <c r="L10065" s="501">
        <v>12</v>
      </c>
      <c r="M10065" s="501">
        <v>0</v>
      </c>
      <c r="N10065" s="501">
        <v>0</v>
      </c>
      <c r="O10065" s="506">
        <v>0</v>
      </c>
    </row>
    <row r="10066" spans="1:15" x14ac:dyDescent="0.35">
      <c r="A10066" s="503" t="s">
        <v>1164</v>
      </c>
      <c r="B10066" s="504">
        <v>4751</v>
      </c>
      <c r="C10066" s="504" t="s">
        <v>1089</v>
      </c>
      <c r="D10066" s="504" t="s">
        <v>3392</v>
      </c>
      <c r="E10066" s="504" t="s">
        <v>3381</v>
      </c>
      <c r="F10066" s="504" t="s">
        <v>418</v>
      </c>
      <c r="G10066" s="504" t="s">
        <v>3368</v>
      </c>
      <c r="H10066" s="504" t="s">
        <v>12531</v>
      </c>
      <c r="I10066" s="504">
        <v>20</v>
      </c>
      <c r="J10066" s="504">
        <v>0</v>
      </c>
      <c r="K10066" s="504">
        <v>0</v>
      </c>
      <c r="L10066" s="504">
        <v>20</v>
      </c>
      <c r="M10066" s="504">
        <v>0</v>
      </c>
      <c r="N10066" s="504">
        <v>0</v>
      </c>
      <c r="O10066" s="505">
        <v>0</v>
      </c>
    </row>
    <row r="10067" spans="1:15" x14ac:dyDescent="0.35">
      <c r="A10067" s="500" t="s">
        <v>1959</v>
      </c>
      <c r="B10067" s="501" t="s">
        <v>2548</v>
      </c>
      <c r="C10067" s="501" t="s">
        <v>1089</v>
      </c>
      <c r="D10067" s="501" t="s">
        <v>3392</v>
      </c>
      <c r="E10067" s="501" t="s">
        <v>3381</v>
      </c>
      <c r="F10067" s="501" t="s">
        <v>419</v>
      </c>
      <c r="G10067" s="501" t="s">
        <v>3368</v>
      </c>
      <c r="H10067" s="501" t="s">
        <v>12537</v>
      </c>
      <c r="I10067" s="501">
        <v>26</v>
      </c>
      <c r="J10067" s="501">
        <v>0</v>
      </c>
      <c r="K10067" s="501">
        <v>0</v>
      </c>
      <c r="L10067" s="501">
        <v>26</v>
      </c>
      <c r="M10067" s="501">
        <v>0</v>
      </c>
      <c r="N10067" s="501">
        <v>0</v>
      </c>
      <c r="O10067" s="506">
        <v>0</v>
      </c>
    </row>
    <row r="10068" spans="1:15" x14ac:dyDescent="0.35">
      <c r="A10068" s="503" t="s">
        <v>1816</v>
      </c>
      <c r="B10068" s="504" t="s">
        <v>2501</v>
      </c>
      <c r="C10068" s="504" t="s">
        <v>1089</v>
      </c>
      <c r="D10068" s="504" t="s">
        <v>3392</v>
      </c>
      <c r="E10068" s="504" t="s">
        <v>3381</v>
      </c>
      <c r="F10068" s="504" t="s">
        <v>2</v>
      </c>
      <c r="G10068" s="504" t="s">
        <v>3368</v>
      </c>
      <c r="H10068" s="504" t="s">
        <v>12538</v>
      </c>
      <c r="I10068" s="504">
        <v>3</v>
      </c>
      <c r="J10068" s="504">
        <v>3</v>
      </c>
      <c r="K10068" s="504">
        <v>0</v>
      </c>
      <c r="L10068" s="504">
        <v>0</v>
      </c>
      <c r="M10068" s="504">
        <v>0</v>
      </c>
      <c r="N10068" s="504">
        <v>0</v>
      </c>
      <c r="O10068" s="505">
        <v>0</v>
      </c>
    </row>
    <row r="10069" spans="1:15" x14ac:dyDescent="0.35">
      <c r="A10069" s="500" t="s">
        <v>11412</v>
      </c>
      <c r="B10069" s="501" t="s">
        <v>2965</v>
      </c>
      <c r="C10069" s="501" t="s">
        <v>1089</v>
      </c>
      <c r="D10069" s="501" t="s">
        <v>3392</v>
      </c>
      <c r="E10069" s="501" t="s">
        <v>3381</v>
      </c>
      <c r="F10069" s="501" t="s">
        <v>2</v>
      </c>
      <c r="G10069" s="501" t="s">
        <v>3368</v>
      </c>
      <c r="H10069" s="501" t="s">
        <v>12539</v>
      </c>
      <c r="I10069" s="501">
        <v>191</v>
      </c>
      <c r="J10069" s="501">
        <v>0</v>
      </c>
      <c r="K10069" s="501">
        <v>0</v>
      </c>
      <c r="L10069" s="501">
        <v>0</v>
      </c>
      <c r="M10069" s="501">
        <v>191</v>
      </c>
      <c r="N10069" s="501">
        <v>0</v>
      </c>
      <c r="O10069" s="506">
        <v>0</v>
      </c>
    </row>
    <row r="10070" spans="1:15" x14ac:dyDescent="0.35">
      <c r="A10070" s="503" t="s">
        <v>11429</v>
      </c>
      <c r="B10070" s="504" t="s">
        <v>3292</v>
      </c>
      <c r="C10070" s="504" t="s">
        <v>1089</v>
      </c>
      <c r="D10070" s="504" t="s">
        <v>3392</v>
      </c>
      <c r="E10070" s="504" t="s">
        <v>3381</v>
      </c>
      <c r="F10070" s="504" t="s">
        <v>420</v>
      </c>
      <c r="G10070" s="504" t="s">
        <v>3368</v>
      </c>
      <c r="H10070" s="504" t="s">
        <v>12540</v>
      </c>
      <c r="I10070" s="504">
        <v>247</v>
      </c>
      <c r="J10070" s="504">
        <v>0</v>
      </c>
      <c r="K10070" s="504">
        <v>0</v>
      </c>
      <c r="L10070" s="504">
        <v>152</v>
      </c>
      <c r="M10070" s="504">
        <v>95</v>
      </c>
      <c r="N10070" s="504">
        <v>0</v>
      </c>
      <c r="O10070" s="505">
        <v>0</v>
      </c>
    </row>
    <row r="10071" spans="1:15" x14ac:dyDescent="0.35">
      <c r="A10071" s="500" t="s">
        <v>1960</v>
      </c>
      <c r="B10071" s="501" t="s">
        <v>3053</v>
      </c>
      <c r="C10071" s="501" t="s">
        <v>1089</v>
      </c>
      <c r="D10071" s="501" t="s">
        <v>3392</v>
      </c>
      <c r="E10071" s="501" t="s">
        <v>3381</v>
      </c>
      <c r="F10071" s="501" t="s">
        <v>419</v>
      </c>
      <c r="G10071" s="501" t="s">
        <v>3368</v>
      </c>
      <c r="H10071" s="501" t="s">
        <v>12541</v>
      </c>
      <c r="I10071" s="501">
        <v>169</v>
      </c>
      <c r="J10071" s="501">
        <v>169</v>
      </c>
      <c r="K10071" s="501">
        <v>0</v>
      </c>
      <c r="L10071" s="501">
        <v>0</v>
      </c>
      <c r="M10071" s="501">
        <v>0</v>
      </c>
      <c r="N10071" s="501">
        <v>0</v>
      </c>
      <c r="O10071" s="506">
        <v>0</v>
      </c>
    </row>
    <row r="10072" spans="1:15" x14ac:dyDescent="0.35">
      <c r="A10072" s="503" t="s">
        <v>1961</v>
      </c>
      <c r="B10072" s="504">
        <v>5075</v>
      </c>
      <c r="C10072" s="504" t="s">
        <v>1094</v>
      </c>
      <c r="D10072" s="504" t="s">
        <v>3380</v>
      </c>
      <c r="E10072" s="504" t="s">
        <v>3381</v>
      </c>
      <c r="F10072" s="504" t="s">
        <v>420</v>
      </c>
      <c r="G10072" s="504" t="s">
        <v>3368</v>
      </c>
      <c r="H10072" s="504" t="s">
        <v>12543</v>
      </c>
      <c r="I10072" s="504">
        <v>28760</v>
      </c>
      <c r="J10072" s="504">
        <v>26194</v>
      </c>
      <c r="K10072" s="504">
        <v>0</v>
      </c>
      <c r="L10072" s="504">
        <v>484</v>
      </c>
      <c r="M10072" s="504">
        <v>712</v>
      </c>
      <c r="N10072" s="504">
        <v>0</v>
      </c>
      <c r="O10072" s="505">
        <v>1370</v>
      </c>
    </row>
    <row r="10073" spans="1:15" x14ac:dyDescent="0.35">
      <c r="A10073" s="500" t="s">
        <v>1961</v>
      </c>
      <c r="B10073" s="501">
        <v>5075</v>
      </c>
      <c r="C10073" s="501" t="s">
        <v>1094</v>
      </c>
      <c r="D10073" s="501" t="s">
        <v>3380</v>
      </c>
      <c r="E10073" s="501" t="s">
        <v>3381</v>
      </c>
      <c r="F10073" s="501" t="s">
        <v>419</v>
      </c>
      <c r="G10073" s="501" t="s">
        <v>3368</v>
      </c>
      <c r="H10073" s="501" t="s">
        <v>12542</v>
      </c>
      <c r="I10073" s="501">
        <v>27</v>
      </c>
      <c r="J10073" s="501">
        <v>25</v>
      </c>
      <c r="K10073" s="501">
        <v>0</v>
      </c>
      <c r="L10073" s="501">
        <v>0</v>
      </c>
      <c r="M10073" s="501">
        <v>0</v>
      </c>
      <c r="N10073" s="501">
        <v>0</v>
      </c>
      <c r="O10073" s="506">
        <v>2</v>
      </c>
    </row>
    <row r="10074" spans="1:15" x14ac:dyDescent="0.35">
      <c r="A10074" s="503" t="s">
        <v>1687</v>
      </c>
      <c r="B10074" s="504" t="s">
        <v>2872</v>
      </c>
      <c r="C10074" s="504" t="s">
        <v>1089</v>
      </c>
      <c r="D10074" s="504" t="s">
        <v>3392</v>
      </c>
      <c r="E10074" s="504" t="s">
        <v>3381</v>
      </c>
      <c r="F10074" s="504" t="s">
        <v>418</v>
      </c>
      <c r="G10074" s="504" t="s">
        <v>3368</v>
      </c>
      <c r="H10074" s="504" t="s">
        <v>12544</v>
      </c>
      <c r="I10074" s="504">
        <v>99</v>
      </c>
      <c r="J10074" s="504">
        <v>0</v>
      </c>
      <c r="K10074" s="504">
        <v>0</v>
      </c>
      <c r="L10074" s="504">
        <v>99</v>
      </c>
      <c r="M10074" s="504">
        <v>0</v>
      </c>
      <c r="N10074" s="504">
        <v>0</v>
      </c>
      <c r="O10074" s="505">
        <v>0</v>
      </c>
    </row>
    <row r="10075" spans="1:15" x14ac:dyDescent="0.35">
      <c r="A10075" s="500" t="s">
        <v>1962</v>
      </c>
      <c r="B10075" s="501" t="s">
        <v>2929</v>
      </c>
      <c r="C10075" s="501" t="s">
        <v>1089</v>
      </c>
      <c r="D10075" s="501" t="s">
        <v>3392</v>
      </c>
      <c r="E10075" s="501" t="s">
        <v>3381</v>
      </c>
      <c r="F10075" s="501" t="s">
        <v>419</v>
      </c>
      <c r="G10075" s="501" t="s">
        <v>3368</v>
      </c>
      <c r="H10075" s="501" t="s">
        <v>12545</v>
      </c>
      <c r="I10075" s="501">
        <v>86</v>
      </c>
      <c r="J10075" s="501">
        <v>0</v>
      </c>
      <c r="K10075" s="501">
        <v>0</v>
      </c>
      <c r="L10075" s="501">
        <v>86</v>
      </c>
      <c r="M10075" s="501">
        <v>0</v>
      </c>
      <c r="N10075" s="501">
        <v>0</v>
      </c>
      <c r="O10075" s="506">
        <v>0</v>
      </c>
    </row>
    <row r="10076" spans="1:15" x14ac:dyDescent="0.35">
      <c r="A10076" s="503" t="s">
        <v>1963</v>
      </c>
      <c r="B10076" s="504" t="s">
        <v>2629</v>
      </c>
      <c r="C10076" s="504" t="s">
        <v>1089</v>
      </c>
      <c r="D10076" s="504" t="s">
        <v>3392</v>
      </c>
      <c r="E10076" s="504" t="s">
        <v>3381</v>
      </c>
      <c r="F10076" s="504" t="s">
        <v>419</v>
      </c>
      <c r="G10076" s="504" t="s">
        <v>3368</v>
      </c>
      <c r="H10076" s="504" t="s">
        <v>12546</v>
      </c>
      <c r="I10076" s="504">
        <v>33</v>
      </c>
      <c r="J10076" s="504">
        <v>0</v>
      </c>
      <c r="K10076" s="504">
        <v>0</v>
      </c>
      <c r="L10076" s="504">
        <v>0</v>
      </c>
      <c r="M10076" s="504">
        <v>33</v>
      </c>
      <c r="N10076" s="504">
        <v>0</v>
      </c>
      <c r="O10076" s="505">
        <v>0</v>
      </c>
    </row>
    <row r="10077" spans="1:15" x14ac:dyDescent="0.35">
      <c r="A10077" s="500" t="s">
        <v>1100</v>
      </c>
      <c r="B10077" s="501">
        <v>4865</v>
      </c>
      <c r="C10077" s="501" t="s">
        <v>1094</v>
      </c>
      <c r="D10077" s="501" t="s">
        <v>3380</v>
      </c>
      <c r="E10077" s="501" t="s">
        <v>3381</v>
      </c>
      <c r="F10077" s="501" t="s">
        <v>414</v>
      </c>
      <c r="G10077" s="501" t="s">
        <v>3368</v>
      </c>
      <c r="H10077" s="501" t="s">
        <v>12550</v>
      </c>
      <c r="I10077" s="501">
        <v>625</v>
      </c>
      <c r="J10077" s="501">
        <v>502</v>
      </c>
      <c r="K10077" s="501">
        <v>0</v>
      </c>
      <c r="L10077" s="501">
        <v>0</v>
      </c>
      <c r="M10077" s="501">
        <v>9</v>
      </c>
      <c r="N10077" s="501">
        <v>0</v>
      </c>
      <c r="O10077" s="506">
        <v>114</v>
      </c>
    </row>
    <row r="10078" spans="1:15" x14ac:dyDescent="0.35">
      <c r="A10078" s="503" t="s">
        <v>1100</v>
      </c>
      <c r="B10078" s="504">
        <v>4865</v>
      </c>
      <c r="C10078" s="504" t="s">
        <v>1094</v>
      </c>
      <c r="D10078" s="504" t="s">
        <v>3380</v>
      </c>
      <c r="E10078" s="504" t="s">
        <v>3381</v>
      </c>
      <c r="F10078" s="504" t="s">
        <v>1048</v>
      </c>
      <c r="G10078" s="504" t="s">
        <v>3368</v>
      </c>
      <c r="H10078" s="504" t="s">
        <v>13968</v>
      </c>
      <c r="I10078" s="504">
        <v>1546</v>
      </c>
      <c r="J10078" s="504">
        <v>1519</v>
      </c>
      <c r="K10078" s="504">
        <v>0</v>
      </c>
      <c r="L10078" s="504">
        <v>0</v>
      </c>
      <c r="M10078" s="504">
        <v>20</v>
      </c>
      <c r="N10078" s="504">
        <v>0</v>
      </c>
      <c r="O10078" s="505">
        <v>7</v>
      </c>
    </row>
    <row r="10079" spans="1:15" x14ac:dyDescent="0.35">
      <c r="A10079" s="500" t="s">
        <v>1100</v>
      </c>
      <c r="B10079" s="501">
        <v>4865</v>
      </c>
      <c r="C10079" s="501" t="s">
        <v>1094</v>
      </c>
      <c r="D10079" s="501" t="s">
        <v>3380</v>
      </c>
      <c r="E10079" s="501" t="s">
        <v>3381</v>
      </c>
      <c r="F10079" s="501" t="s">
        <v>416</v>
      </c>
      <c r="G10079" s="501" t="s">
        <v>3368</v>
      </c>
      <c r="H10079" s="501" t="s">
        <v>12553</v>
      </c>
      <c r="I10079" s="501">
        <v>41964</v>
      </c>
      <c r="J10079" s="501">
        <v>34794</v>
      </c>
      <c r="K10079" s="501">
        <v>406</v>
      </c>
      <c r="L10079" s="501">
        <v>976</v>
      </c>
      <c r="M10079" s="501">
        <v>2206</v>
      </c>
      <c r="N10079" s="501">
        <v>0</v>
      </c>
      <c r="O10079" s="506">
        <v>3582</v>
      </c>
    </row>
    <row r="10080" spans="1:15" x14ac:dyDescent="0.35">
      <c r="A10080" s="503" t="s">
        <v>1100</v>
      </c>
      <c r="B10080" s="504">
        <v>4865</v>
      </c>
      <c r="C10080" s="504" t="s">
        <v>1094</v>
      </c>
      <c r="D10080" s="504" t="s">
        <v>3380</v>
      </c>
      <c r="E10080" s="504" t="s">
        <v>3381</v>
      </c>
      <c r="F10080" s="504" t="s">
        <v>415</v>
      </c>
      <c r="G10080" s="504" t="s">
        <v>3368</v>
      </c>
      <c r="H10080" s="504" t="s">
        <v>12547</v>
      </c>
      <c r="I10080" s="504">
        <v>26626</v>
      </c>
      <c r="J10080" s="504">
        <v>21852</v>
      </c>
      <c r="K10080" s="504">
        <v>236</v>
      </c>
      <c r="L10080" s="504">
        <v>279</v>
      </c>
      <c r="M10080" s="504">
        <v>2210</v>
      </c>
      <c r="N10080" s="504">
        <v>0</v>
      </c>
      <c r="O10080" s="505">
        <v>2049</v>
      </c>
    </row>
    <row r="10081" spans="1:15" x14ac:dyDescent="0.35">
      <c r="A10081" s="500" t="s">
        <v>1100</v>
      </c>
      <c r="B10081" s="501">
        <v>4865</v>
      </c>
      <c r="C10081" s="501" t="s">
        <v>1094</v>
      </c>
      <c r="D10081" s="501" t="s">
        <v>3380</v>
      </c>
      <c r="E10081" s="501" t="s">
        <v>3381</v>
      </c>
      <c r="F10081" s="501" t="s">
        <v>419</v>
      </c>
      <c r="G10081" s="501" t="s">
        <v>3368</v>
      </c>
      <c r="H10081" s="501" t="s">
        <v>12548</v>
      </c>
      <c r="I10081" s="501">
        <v>2182</v>
      </c>
      <c r="J10081" s="501">
        <v>1964</v>
      </c>
      <c r="K10081" s="501">
        <v>0</v>
      </c>
      <c r="L10081" s="501">
        <v>0</v>
      </c>
      <c r="M10081" s="501">
        <v>103</v>
      </c>
      <c r="N10081" s="501">
        <v>0</v>
      </c>
      <c r="O10081" s="506">
        <v>115</v>
      </c>
    </row>
    <row r="10082" spans="1:15" x14ac:dyDescent="0.35">
      <c r="A10082" s="503" t="s">
        <v>1100</v>
      </c>
      <c r="B10082" s="504">
        <v>4865</v>
      </c>
      <c r="C10082" s="504" t="s">
        <v>1094</v>
      </c>
      <c r="D10082" s="504" t="s">
        <v>3380</v>
      </c>
      <c r="E10082" s="504" t="s">
        <v>3381</v>
      </c>
      <c r="F10082" s="504" t="s">
        <v>418</v>
      </c>
      <c r="G10082" s="504" t="s">
        <v>3368</v>
      </c>
      <c r="H10082" s="504" t="s">
        <v>12552</v>
      </c>
      <c r="I10082" s="504">
        <v>2610</v>
      </c>
      <c r="J10082" s="504">
        <v>2473</v>
      </c>
      <c r="K10082" s="504">
        <v>0</v>
      </c>
      <c r="L10082" s="504">
        <v>1</v>
      </c>
      <c r="M10082" s="504">
        <v>50</v>
      </c>
      <c r="N10082" s="504">
        <v>0</v>
      </c>
      <c r="O10082" s="505">
        <v>86</v>
      </c>
    </row>
    <row r="10083" spans="1:15" x14ac:dyDescent="0.35">
      <c r="A10083" s="500" t="s">
        <v>1100</v>
      </c>
      <c r="B10083" s="501">
        <v>4865</v>
      </c>
      <c r="C10083" s="501" t="s">
        <v>1094</v>
      </c>
      <c r="D10083" s="501" t="s">
        <v>3380</v>
      </c>
      <c r="E10083" s="501" t="s">
        <v>3381</v>
      </c>
      <c r="F10083" s="501" t="s">
        <v>2</v>
      </c>
      <c r="G10083" s="501" t="s">
        <v>3368</v>
      </c>
      <c r="H10083" s="501" t="s">
        <v>12549</v>
      </c>
      <c r="I10083" s="501">
        <v>28715</v>
      </c>
      <c r="J10083" s="501">
        <v>22819</v>
      </c>
      <c r="K10083" s="501">
        <v>4</v>
      </c>
      <c r="L10083" s="501">
        <v>310</v>
      </c>
      <c r="M10083" s="501">
        <v>1755</v>
      </c>
      <c r="N10083" s="501">
        <v>0</v>
      </c>
      <c r="O10083" s="506">
        <v>3827</v>
      </c>
    </row>
    <row r="10084" spans="1:15" x14ac:dyDescent="0.35">
      <c r="A10084" s="503" t="s">
        <v>1100</v>
      </c>
      <c r="B10084" s="504">
        <v>4865</v>
      </c>
      <c r="C10084" s="504" t="s">
        <v>1094</v>
      </c>
      <c r="D10084" s="504" t="s">
        <v>3380</v>
      </c>
      <c r="E10084" s="504" t="s">
        <v>3381</v>
      </c>
      <c r="F10084" s="504" t="s">
        <v>420</v>
      </c>
      <c r="G10084" s="504" t="s">
        <v>3368</v>
      </c>
      <c r="H10084" s="504" t="s">
        <v>12551</v>
      </c>
      <c r="I10084" s="504">
        <v>5285</v>
      </c>
      <c r="J10084" s="504">
        <v>4184</v>
      </c>
      <c r="K10084" s="504">
        <v>0</v>
      </c>
      <c r="L10084" s="504">
        <v>100</v>
      </c>
      <c r="M10084" s="504">
        <v>276</v>
      </c>
      <c r="N10084" s="504">
        <v>0</v>
      </c>
      <c r="O10084" s="505">
        <v>725</v>
      </c>
    </row>
    <row r="10085" spans="1:15" x14ac:dyDescent="0.35">
      <c r="A10085" s="500" t="s">
        <v>2071</v>
      </c>
      <c r="B10085" s="501" t="s">
        <v>2970</v>
      </c>
      <c r="C10085" s="501" t="s">
        <v>1089</v>
      </c>
      <c r="D10085" s="501" t="s">
        <v>3392</v>
      </c>
      <c r="E10085" s="501" t="s">
        <v>3381</v>
      </c>
      <c r="F10085" s="501" t="s">
        <v>420</v>
      </c>
      <c r="G10085" s="501" t="s">
        <v>3368</v>
      </c>
      <c r="H10085" s="501" t="s">
        <v>12554</v>
      </c>
      <c r="I10085" s="501">
        <v>16</v>
      </c>
      <c r="J10085" s="501">
        <v>0</v>
      </c>
      <c r="K10085" s="501">
        <v>0</v>
      </c>
      <c r="L10085" s="501">
        <v>0</v>
      </c>
      <c r="M10085" s="501">
        <v>16</v>
      </c>
      <c r="N10085" s="501">
        <v>0</v>
      </c>
      <c r="O10085" s="506">
        <v>0</v>
      </c>
    </row>
    <row r="10086" spans="1:15" x14ac:dyDescent="0.35">
      <c r="A10086" s="503" t="s">
        <v>2072</v>
      </c>
      <c r="B10086" s="504" t="s">
        <v>2470</v>
      </c>
      <c r="C10086" s="504" t="s">
        <v>1089</v>
      </c>
      <c r="D10086" s="504" t="s">
        <v>3392</v>
      </c>
      <c r="E10086" s="504" t="s">
        <v>3381</v>
      </c>
      <c r="F10086" s="504" t="s">
        <v>420</v>
      </c>
      <c r="G10086" s="504" t="s">
        <v>3368</v>
      </c>
      <c r="H10086" s="504" t="s">
        <v>12555</v>
      </c>
      <c r="I10086" s="504">
        <v>16</v>
      </c>
      <c r="J10086" s="504">
        <v>16</v>
      </c>
      <c r="K10086" s="504">
        <v>0</v>
      </c>
      <c r="L10086" s="504">
        <v>0</v>
      </c>
      <c r="M10086" s="504">
        <v>0</v>
      </c>
      <c r="N10086" s="504">
        <v>0</v>
      </c>
      <c r="O10086" s="505">
        <v>0</v>
      </c>
    </row>
    <row r="10087" spans="1:15" x14ac:dyDescent="0.35">
      <c r="A10087" s="500" t="s">
        <v>1418</v>
      </c>
      <c r="B10087" s="501" t="s">
        <v>2715</v>
      </c>
      <c r="C10087" s="501" t="s">
        <v>1089</v>
      </c>
      <c r="D10087" s="501" t="s">
        <v>3392</v>
      </c>
      <c r="E10087" s="501" t="s">
        <v>3381</v>
      </c>
      <c r="F10087" s="501" t="s">
        <v>416</v>
      </c>
      <c r="G10087" s="501" t="s">
        <v>3368</v>
      </c>
      <c r="H10087" s="501" t="s">
        <v>12556</v>
      </c>
      <c r="I10087" s="501">
        <v>24</v>
      </c>
      <c r="J10087" s="501">
        <v>24</v>
      </c>
      <c r="K10087" s="501">
        <v>0</v>
      </c>
      <c r="L10087" s="501">
        <v>0</v>
      </c>
      <c r="M10087" s="501">
        <v>0</v>
      </c>
      <c r="N10087" s="501">
        <v>0</v>
      </c>
      <c r="O10087" s="506">
        <v>0</v>
      </c>
    </row>
    <row r="10088" spans="1:15" x14ac:dyDescent="0.35">
      <c r="A10088" s="503" t="s">
        <v>1287</v>
      </c>
      <c r="B10088" s="504" t="s">
        <v>2784</v>
      </c>
      <c r="C10088" s="504" t="s">
        <v>1089</v>
      </c>
      <c r="D10088" s="504" t="s">
        <v>3392</v>
      </c>
      <c r="E10088" s="504" t="s">
        <v>3381</v>
      </c>
      <c r="F10088" s="504" t="s">
        <v>2</v>
      </c>
      <c r="G10088" s="504" t="s">
        <v>3368</v>
      </c>
      <c r="H10088" s="504" t="s">
        <v>12558</v>
      </c>
      <c r="I10088" s="504">
        <v>98</v>
      </c>
      <c r="J10088" s="504">
        <v>98</v>
      </c>
      <c r="K10088" s="504">
        <v>0</v>
      </c>
      <c r="L10088" s="504">
        <v>0</v>
      </c>
      <c r="M10088" s="504">
        <v>0</v>
      </c>
      <c r="N10088" s="504">
        <v>0</v>
      </c>
      <c r="O10088" s="505">
        <v>0</v>
      </c>
    </row>
    <row r="10089" spans="1:15" x14ac:dyDescent="0.35">
      <c r="A10089" s="500" t="s">
        <v>1287</v>
      </c>
      <c r="B10089" s="501" t="s">
        <v>2784</v>
      </c>
      <c r="C10089" s="501" t="s">
        <v>1089</v>
      </c>
      <c r="D10089" s="501" t="s">
        <v>3392</v>
      </c>
      <c r="E10089" s="501" t="s">
        <v>3381</v>
      </c>
      <c r="F10089" s="501" t="s">
        <v>416</v>
      </c>
      <c r="G10089" s="501" t="s">
        <v>3368</v>
      </c>
      <c r="H10089" s="501" t="s">
        <v>12559</v>
      </c>
      <c r="I10089" s="501">
        <v>198</v>
      </c>
      <c r="J10089" s="501">
        <v>198</v>
      </c>
      <c r="K10089" s="501">
        <v>0</v>
      </c>
      <c r="L10089" s="501">
        <v>0</v>
      </c>
      <c r="M10089" s="501">
        <v>0</v>
      </c>
      <c r="N10089" s="501">
        <v>0</v>
      </c>
      <c r="O10089" s="506">
        <v>0</v>
      </c>
    </row>
    <row r="10090" spans="1:15" x14ac:dyDescent="0.35">
      <c r="A10090" s="503" t="s">
        <v>1287</v>
      </c>
      <c r="B10090" s="504" t="s">
        <v>2784</v>
      </c>
      <c r="C10090" s="504" t="s">
        <v>1089</v>
      </c>
      <c r="D10090" s="504" t="s">
        <v>3392</v>
      </c>
      <c r="E10090" s="504" t="s">
        <v>3381</v>
      </c>
      <c r="F10090" s="504" t="s">
        <v>415</v>
      </c>
      <c r="G10090" s="504" t="s">
        <v>3368</v>
      </c>
      <c r="H10090" s="504" t="s">
        <v>12557</v>
      </c>
      <c r="I10090" s="504">
        <v>4</v>
      </c>
      <c r="J10090" s="504">
        <v>4</v>
      </c>
      <c r="K10090" s="504">
        <v>0</v>
      </c>
      <c r="L10090" s="504">
        <v>0</v>
      </c>
      <c r="M10090" s="504">
        <v>0</v>
      </c>
      <c r="N10090" s="504">
        <v>0</v>
      </c>
      <c r="O10090" s="505">
        <v>0</v>
      </c>
    </row>
    <row r="10091" spans="1:15" x14ac:dyDescent="0.35">
      <c r="A10091" s="500" t="s">
        <v>1693</v>
      </c>
      <c r="B10091" s="501" t="s">
        <v>2800</v>
      </c>
      <c r="C10091" s="501" t="s">
        <v>1089</v>
      </c>
      <c r="D10091" s="501" t="s">
        <v>3392</v>
      </c>
      <c r="E10091" s="501" t="s">
        <v>3381</v>
      </c>
      <c r="F10091" s="501" t="s">
        <v>418</v>
      </c>
      <c r="G10091" s="501" t="s">
        <v>3368</v>
      </c>
      <c r="H10091" s="501" t="s">
        <v>12560</v>
      </c>
      <c r="I10091" s="501">
        <v>20</v>
      </c>
      <c r="J10091" s="501">
        <v>20</v>
      </c>
      <c r="K10091" s="501">
        <v>0</v>
      </c>
      <c r="L10091" s="501">
        <v>0</v>
      </c>
      <c r="M10091" s="501">
        <v>0</v>
      </c>
      <c r="N10091" s="501">
        <v>0</v>
      </c>
      <c r="O10091" s="506">
        <v>0</v>
      </c>
    </row>
    <row r="10092" spans="1:15" x14ac:dyDescent="0.35">
      <c r="A10092" s="503" t="s">
        <v>1288</v>
      </c>
      <c r="B10092" s="504" t="s">
        <v>3243</v>
      </c>
      <c r="C10092" s="504" t="s">
        <v>1089</v>
      </c>
      <c r="D10092" s="504" t="s">
        <v>3392</v>
      </c>
      <c r="E10092" s="504" t="s">
        <v>3381</v>
      </c>
      <c r="F10092" s="504" t="s">
        <v>2</v>
      </c>
      <c r="G10092" s="504" t="s">
        <v>3368</v>
      </c>
      <c r="H10092" s="504" t="s">
        <v>12561</v>
      </c>
      <c r="I10092" s="504">
        <v>432</v>
      </c>
      <c r="J10092" s="504">
        <v>432</v>
      </c>
      <c r="K10092" s="504">
        <v>0</v>
      </c>
      <c r="L10092" s="504">
        <v>0</v>
      </c>
      <c r="M10092" s="504">
        <v>0</v>
      </c>
      <c r="N10092" s="504">
        <v>0</v>
      </c>
      <c r="O10092" s="505">
        <v>0</v>
      </c>
    </row>
    <row r="10093" spans="1:15" x14ac:dyDescent="0.35">
      <c r="A10093" s="500" t="s">
        <v>1288</v>
      </c>
      <c r="B10093" s="501" t="s">
        <v>3243</v>
      </c>
      <c r="C10093" s="501" t="s">
        <v>1089</v>
      </c>
      <c r="D10093" s="501" t="s">
        <v>3392</v>
      </c>
      <c r="E10093" s="501" t="s">
        <v>3381</v>
      </c>
      <c r="F10093" s="501" t="s">
        <v>415</v>
      </c>
      <c r="G10093" s="501" t="s">
        <v>3368</v>
      </c>
      <c r="H10093" s="501" t="s">
        <v>12563</v>
      </c>
      <c r="I10093" s="501">
        <v>117</v>
      </c>
      <c r="J10093" s="501">
        <v>117</v>
      </c>
      <c r="K10093" s="501">
        <v>0</v>
      </c>
      <c r="L10093" s="501">
        <v>0</v>
      </c>
      <c r="M10093" s="501">
        <v>0</v>
      </c>
      <c r="N10093" s="501">
        <v>0</v>
      </c>
      <c r="O10093" s="506">
        <v>0</v>
      </c>
    </row>
    <row r="10094" spans="1:15" x14ac:dyDescent="0.35">
      <c r="A10094" s="503" t="s">
        <v>1288</v>
      </c>
      <c r="B10094" s="504" t="s">
        <v>3243</v>
      </c>
      <c r="C10094" s="504" t="s">
        <v>1089</v>
      </c>
      <c r="D10094" s="504" t="s">
        <v>3392</v>
      </c>
      <c r="E10094" s="504" t="s">
        <v>3381</v>
      </c>
      <c r="F10094" s="504" t="s">
        <v>416</v>
      </c>
      <c r="G10094" s="504" t="s">
        <v>3368</v>
      </c>
      <c r="H10094" s="504" t="s">
        <v>12562</v>
      </c>
      <c r="I10094" s="504">
        <v>189</v>
      </c>
      <c r="J10094" s="504">
        <v>189</v>
      </c>
      <c r="K10094" s="504">
        <v>0</v>
      </c>
      <c r="L10094" s="504">
        <v>0</v>
      </c>
      <c r="M10094" s="504">
        <v>0</v>
      </c>
      <c r="N10094" s="504">
        <v>0</v>
      </c>
      <c r="O10094" s="505">
        <v>0</v>
      </c>
    </row>
    <row r="10095" spans="1:15" x14ac:dyDescent="0.35">
      <c r="A10095" s="500" t="s">
        <v>1964</v>
      </c>
      <c r="B10095" s="501" t="s">
        <v>3333</v>
      </c>
      <c r="C10095" s="501" t="s">
        <v>1094</v>
      </c>
      <c r="D10095" s="501" t="s">
        <v>3380</v>
      </c>
      <c r="E10095" s="501" t="s">
        <v>3381</v>
      </c>
      <c r="F10095" s="501" t="s">
        <v>419</v>
      </c>
      <c r="G10095" s="501" t="s">
        <v>3368</v>
      </c>
      <c r="H10095" s="501" t="s">
        <v>12564</v>
      </c>
      <c r="I10095" s="501">
        <v>4967</v>
      </c>
      <c r="J10095" s="501">
        <v>3576</v>
      </c>
      <c r="K10095" s="501">
        <v>0</v>
      </c>
      <c r="L10095" s="501">
        <v>101</v>
      </c>
      <c r="M10095" s="501">
        <v>834</v>
      </c>
      <c r="N10095" s="501">
        <v>0</v>
      </c>
      <c r="O10095" s="506">
        <v>456</v>
      </c>
    </row>
    <row r="10096" spans="1:15" x14ac:dyDescent="0.35">
      <c r="A10096" s="503" t="s">
        <v>1688</v>
      </c>
      <c r="B10096" s="504" t="s">
        <v>3181</v>
      </c>
      <c r="C10096" s="504" t="s">
        <v>1094</v>
      </c>
      <c r="D10096" s="504" t="s">
        <v>3380</v>
      </c>
      <c r="E10096" s="504" t="s">
        <v>3381</v>
      </c>
      <c r="F10096" s="504" t="s">
        <v>418</v>
      </c>
      <c r="G10096" s="504" t="s">
        <v>3368</v>
      </c>
      <c r="H10096" s="504" t="s">
        <v>12565</v>
      </c>
      <c r="I10096" s="504">
        <v>5810</v>
      </c>
      <c r="J10096" s="504">
        <v>5808</v>
      </c>
      <c r="K10096" s="504">
        <v>0</v>
      </c>
      <c r="L10096" s="504">
        <v>0</v>
      </c>
      <c r="M10096" s="504">
        <v>0</v>
      </c>
      <c r="N10096" s="504">
        <v>0</v>
      </c>
      <c r="O10096" s="505">
        <v>2</v>
      </c>
    </row>
    <row r="10097" spans="1:15" x14ac:dyDescent="0.35">
      <c r="A10097" s="500" t="s">
        <v>1817</v>
      </c>
      <c r="B10097" s="501" t="s">
        <v>2525</v>
      </c>
      <c r="C10097" s="501" t="s">
        <v>1089</v>
      </c>
      <c r="D10097" s="501" t="s">
        <v>3392</v>
      </c>
      <c r="E10097" s="501" t="s">
        <v>3381</v>
      </c>
      <c r="F10097" s="501" t="s">
        <v>2</v>
      </c>
      <c r="G10097" s="501" t="s">
        <v>3368</v>
      </c>
      <c r="H10097" s="501" t="s">
        <v>12566</v>
      </c>
      <c r="I10097" s="501">
        <v>45</v>
      </c>
      <c r="J10097" s="501">
        <v>0</v>
      </c>
      <c r="K10097" s="501">
        <v>0</v>
      </c>
      <c r="L10097" s="501">
        <v>0</v>
      </c>
      <c r="M10097" s="501">
        <v>45</v>
      </c>
      <c r="N10097" s="501">
        <v>0</v>
      </c>
      <c r="O10097" s="506">
        <v>0</v>
      </c>
    </row>
    <row r="10098" spans="1:15" x14ac:dyDescent="0.35">
      <c r="A10098" s="503" t="s">
        <v>1689</v>
      </c>
      <c r="B10098" s="504" t="s">
        <v>2569</v>
      </c>
      <c r="C10098" s="504" t="s">
        <v>1089</v>
      </c>
      <c r="D10098" s="504" t="s">
        <v>3392</v>
      </c>
      <c r="E10098" s="504" t="s">
        <v>3381</v>
      </c>
      <c r="F10098" s="504" t="s">
        <v>418</v>
      </c>
      <c r="G10098" s="504" t="s">
        <v>3368</v>
      </c>
      <c r="H10098" s="504" t="s">
        <v>12567</v>
      </c>
      <c r="I10098" s="504">
        <v>11</v>
      </c>
      <c r="J10098" s="504">
        <v>11</v>
      </c>
      <c r="K10098" s="504">
        <v>0</v>
      </c>
      <c r="L10098" s="504">
        <v>0</v>
      </c>
      <c r="M10098" s="504">
        <v>0</v>
      </c>
      <c r="N10098" s="504">
        <v>0</v>
      </c>
      <c r="O10098" s="505">
        <v>0</v>
      </c>
    </row>
    <row r="10099" spans="1:15" x14ac:dyDescent="0.35">
      <c r="A10099" s="500" t="s">
        <v>1690</v>
      </c>
      <c r="B10099" s="501" t="s">
        <v>2675</v>
      </c>
      <c r="C10099" s="501" t="s">
        <v>1089</v>
      </c>
      <c r="D10099" s="501" t="s">
        <v>3392</v>
      </c>
      <c r="E10099" s="501" t="s">
        <v>3381</v>
      </c>
      <c r="F10099" s="501" t="s">
        <v>418</v>
      </c>
      <c r="G10099" s="501" t="s">
        <v>3368</v>
      </c>
      <c r="H10099" s="501" t="s">
        <v>12568</v>
      </c>
      <c r="I10099" s="501">
        <v>16</v>
      </c>
      <c r="J10099" s="501">
        <v>1</v>
      </c>
      <c r="K10099" s="501">
        <v>15</v>
      </c>
      <c r="L10099" s="501">
        <v>0</v>
      </c>
      <c r="M10099" s="501">
        <v>0</v>
      </c>
      <c r="N10099" s="501">
        <v>0</v>
      </c>
      <c r="O10099" s="506">
        <v>0</v>
      </c>
    </row>
    <row r="10100" spans="1:15" x14ac:dyDescent="0.35">
      <c r="A10100" s="503" t="s">
        <v>1691</v>
      </c>
      <c r="B10100" s="504" t="s">
        <v>3199</v>
      </c>
      <c r="C10100" s="504" t="s">
        <v>1094</v>
      </c>
      <c r="D10100" s="504" t="s">
        <v>3380</v>
      </c>
      <c r="E10100" s="504" t="s">
        <v>3381</v>
      </c>
      <c r="F10100" s="504" t="s">
        <v>418</v>
      </c>
      <c r="G10100" s="504" t="s">
        <v>3368</v>
      </c>
      <c r="H10100" s="504" t="s">
        <v>12569</v>
      </c>
      <c r="I10100" s="504">
        <v>6678</v>
      </c>
      <c r="J10100" s="504">
        <v>6045</v>
      </c>
      <c r="K10100" s="504">
        <v>0</v>
      </c>
      <c r="L10100" s="504">
        <v>179</v>
      </c>
      <c r="M10100" s="504">
        <v>429</v>
      </c>
      <c r="N10100" s="504">
        <v>0</v>
      </c>
      <c r="O10100" s="505">
        <v>25</v>
      </c>
    </row>
    <row r="10101" spans="1:15" x14ac:dyDescent="0.35">
      <c r="A10101" s="500" t="s">
        <v>1692</v>
      </c>
      <c r="B10101" s="501">
        <v>4780</v>
      </c>
      <c r="C10101" s="501" t="s">
        <v>1089</v>
      </c>
      <c r="D10101" s="501" t="s">
        <v>3392</v>
      </c>
      <c r="E10101" s="501" t="s">
        <v>3381</v>
      </c>
      <c r="F10101" s="501" t="s">
        <v>418</v>
      </c>
      <c r="G10101" s="501" t="s">
        <v>3368</v>
      </c>
      <c r="H10101" s="501" t="s">
        <v>12570</v>
      </c>
      <c r="I10101" s="501">
        <v>4</v>
      </c>
      <c r="J10101" s="501">
        <v>4</v>
      </c>
      <c r="K10101" s="501">
        <v>0</v>
      </c>
      <c r="L10101" s="501">
        <v>0</v>
      </c>
      <c r="M10101" s="501">
        <v>0</v>
      </c>
      <c r="N10101" s="501">
        <v>4</v>
      </c>
      <c r="O10101" s="506">
        <v>0</v>
      </c>
    </row>
    <row r="10102" spans="1:15" x14ac:dyDescent="0.35">
      <c r="A10102" s="503" t="s">
        <v>1692</v>
      </c>
      <c r="B10102" s="504">
        <v>4780</v>
      </c>
      <c r="C10102" s="504" t="s">
        <v>1089</v>
      </c>
      <c r="D10102" s="504" t="s">
        <v>3392</v>
      </c>
      <c r="E10102" s="504" t="s">
        <v>3381</v>
      </c>
      <c r="F10102" s="504" t="s">
        <v>416</v>
      </c>
      <c r="G10102" s="504" t="s">
        <v>3368</v>
      </c>
      <c r="H10102" s="504" t="s">
        <v>12571</v>
      </c>
      <c r="I10102" s="504">
        <v>96</v>
      </c>
      <c r="J10102" s="504">
        <v>0</v>
      </c>
      <c r="K10102" s="504">
        <v>96</v>
      </c>
      <c r="L10102" s="504">
        <v>0</v>
      </c>
      <c r="M10102" s="504">
        <v>0</v>
      </c>
      <c r="N10102" s="504">
        <v>96</v>
      </c>
      <c r="O10102" s="505">
        <v>0</v>
      </c>
    </row>
    <row r="10103" spans="1:15" x14ac:dyDescent="0.35">
      <c r="A10103" s="500" t="s">
        <v>2073</v>
      </c>
      <c r="B10103" s="501" t="s">
        <v>2556</v>
      </c>
      <c r="C10103" s="501" t="s">
        <v>1089</v>
      </c>
      <c r="D10103" s="501" t="s">
        <v>3392</v>
      </c>
      <c r="E10103" s="501" t="s">
        <v>3381</v>
      </c>
      <c r="F10103" s="501" t="s">
        <v>420</v>
      </c>
      <c r="G10103" s="501" t="s">
        <v>3368</v>
      </c>
      <c r="H10103" s="501" t="s">
        <v>12572</v>
      </c>
      <c r="I10103" s="501">
        <v>8</v>
      </c>
      <c r="J10103" s="501">
        <v>8</v>
      </c>
      <c r="K10103" s="501">
        <v>0</v>
      </c>
      <c r="L10103" s="501">
        <v>0</v>
      </c>
      <c r="M10103" s="501">
        <v>0</v>
      </c>
      <c r="N10103" s="501">
        <v>0</v>
      </c>
      <c r="O10103" s="506">
        <v>0</v>
      </c>
    </row>
    <row r="10104" spans="1:15" x14ac:dyDescent="0.35">
      <c r="A10104" s="503" t="s">
        <v>2142</v>
      </c>
      <c r="B10104" s="504" t="s">
        <v>3100</v>
      </c>
      <c r="C10104" s="504" t="s">
        <v>1094</v>
      </c>
      <c r="D10104" s="504" t="s">
        <v>3380</v>
      </c>
      <c r="E10104" s="504" t="s">
        <v>3381</v>
      </c>
      <c r="F10104" s="504" t="s">
        <v>1048</v>
      </c>
      <c r="G10104" s="504" t="s">
        <v>3368</v>
      </c>
      <c r="H10104" s="504" t="s">
        <v>13969</v>
      </c>
      <c r="I10104" s="504">
        <v>3333</v>
      </c>
      <c r="J10104" s="504">
        <v>2003</v>
      </c>
      <c r="K10104" s="504">
        <v>11</v>
      </c>
      <c r="L10104" s="504">
        <v>238</v>
      </c>
      <c r="M10104" s="504">
        <v>811</v>
      </c>
      <c r="N10104" s="504">
        <v>0</v>
      </c>
      <c r="O10104" s="505">
        <v>270</v>
      </c>
    </row>
    <row r="10105" spans="1:15" x14ac:dyDescent="0.35">
      <c r="A10105" s="500" t="s">
        <v>11430</v>
      </c>
      <c r="B10105" s="501" t="s">
        <v>3353</v>
      </c>
      <c r="C10105" s="501" t="s">
        <v>1094</v>
      </c>
      <c r="D10105" s="501" t="s">
        <v>3380</v>
      </c>
      <c r="E10105" s="501" t="s">
        <v>3381</v>
      </c>
      <c r="F10105" s="501" t="s">
        <v>420</v>
      </c>
      <c r="G10105" s="501" t="s">
        <v>3368</v>
      </c>
      <c r="H10105" s="501" t="s">
        <v>12573</v>
      </c>
      <c r="I10105" s="501">
        <v>10485</v>
      </c>
      <c r="J10105" s="501">
        <v>8483</v>
      </c>
      <c r="K10105" s="501">
        <v>0</v>
      </c>
      <c r="L10105" s="501">
        <v>118</v>
      </c>
      <c r="M10105" s="501">
        <v>1512</v>
      </c>
      <c r="N10105" s="501">
        <v>0</v>
      </c>
      <c r="O10105" s="506">
        <v>372</v>
      </c>
    </row>
    <row r="10106" spans="1:15" x14ac:dyDescent="0.35">
      <c r="A10106" s="503" t="s">
        <v>2143</v>
      </c>
      <c r="B10106" s="504" t="s">
        <v>2636</v>
      </c>
      <c r="C10106" s="504" t="s">
        <v>1089</v>
      </c>
      <c r="D10106" s="504" t="s">
        <v>3392</v>
      </c>
      <c r="E10106" s="504" t="s">
        <v>3381</v>
      </c>
      <c r="F10106" s="504" t="s">
        <v>1048</v>
      </c>
      <c r="G10106" s="504" t="s">
        <v>3368</v>
      </c>
      <c r="H10106" s="504" t="s">
        <v>13970</v>
      </c>
      <c r="I10106" s="504">
        <v>6</v>
      </c>
      <c r="J10106" s="504">
        <v>0</v>
      </c>
      <c r="K10106" s="504">
        <v>0</v>
      </c>
      <c r="L10106" s="504">
        <v>0</v>
      </c>
      <c r="M10106" s="504">
        <v>6</v>
      </c>
      <c r="N10106" s="504">
        <v>0</v>
      </c>
      <c r="O10106" s="505">
        <v>0</v>
      </c>
    </row>
    <row r="10107" spans="1:15" x14ac:dyDescent="0.35">
      <c r="A10107" s="500" t="s">
        <v>1965</v>
      </c>
      <c r="B10107" s="501" t="s">
        <v>2592</v>
      </c>
      <c r="C10107" s="501" t="s">
        <v>1089</v>
      </c>
      <c r="D10107" s="501" t="s">
        <v>3392</v>
      </c>
      <c r="E10107" s="501" t="s">
        <v>3381</v>
      </c>
      <c r="F10107" s="501" t="s">
        <v>419</v>
      </c>
      <c r="G10107" s="501" t="s">
        <v>3368</v>
      </c>
      <c r="H10107" s="501" t="s">
        <v>12574</v>
      </c>
      <c r="I10107" s="501">
        <v>4</v>
      </c>
      <c r="J10107" s="501">
        <v>4</v>
      </c>
      <c r="K10107" s="501">
        <v>0</v>
      </c>
      <c r="L10107" s="501">
        <v>0</v>
      </c>
      <c r="M10107" s="501">
        <v>0</v>
      </c>
      <c r="N10107" s="501">
        <v>0</v>
      </c>
      <c r="O10107" s="506">
        <v>0</v>
      </c>
    </row>
    <row r="10108" spans="1:15" x14ac:dyDescent="0.35">
      <c r="A10108" s="503" t="s">
        <v>1694</v>
      </c>
      <c r="B10108" s="504" t="s">
        <v>2668</v>
      </c>
      <c r="C10108" s="504" t="s">
        <v>1089</v>
      </c>
      <c r="D10108" s="504" t="s">
        <v>3392</v>
      </c>
      <c r="E10108" s="504" t="s">
        <v>3381</v>
      </c>
      <c r="F10108" s="504" t="s">
        <v>418</v>
      </c>
      <c r="G10108" s="504" t="s">
        <v>3368</v>
      </c>
      <c r="H10108" s="504" t="s">
        <v>12575</v>
      </c>
      <c r="I10108" s="504">
        <v>75</v>
      </c>
      <c r="J10108" s="504">
        <v>75</v>
      </c>
      <c r="K10108" s="504">
        <v>0</v>
      </c>
      <c r="L10108" s="504">
        <v>0</v>
      </c>
      <c r="M10108" s="504">
        <v>0</v>
      </c>
      <c r="N10108" s="504">
        <v>0</v>
      </c>
      <c r="O10108" s="505">
        <v>0</v>
      </c>
    </row>
    <row r="10109" spans="1:15" x14ac:dyDescent="0.35">
      <c r="A10109" s="500" t="s">
        <v>1966</v>
      </c>
      <c r="B10109" s="501" t="s">
        <v>2969</v>
      </c>
      <c r="C10109" s="501" t="s">
        <v>1094</v>
      </c>
      <c r="D10109" s="501" t="s">
        <v>3380</v>
      </c>
      <c r="E10109" s="501" t="s">
        <v>3381</v>
      </c>
      <c r="F10109" s="501" t="s">
        <v>419</v>
      </c>
      <c r="G10109" s="501" t="s">
        <v>3368</v>
      </c>
      <c r="H10109" s="501" t="s">
        <v>12576</v>
      </c>
      <c r="I10109" s="501">
        <v>1383</v>
      </c>
      <c r="J10109" s="501">
        <v>1326</v>
      </c>
      <c r="K10109" s="501">
        <v>0</v>
      </c>
      <c r="L10109" s="501">
        <v>0</v>
      </c>
      <c r="M10109" s="501">
        <v>0</v>
      </c>
      <c r="N10109" s="501">
        <v>0</v>
      </c>
      <c r="O10109" s="506">
        <v>57</v>
      </c>
    </row>
    <row r="10110" spans="1:15" x14ac:dyDescent="0.35">
      <c r="A10110" s="503" t="s">
        <v>2074</v>
      </c>
      <c r="B10110" s="504" t="s">
        <v>2653</v>
      </c>
      <c r="C10110" s="504" t="s">
        <v>1089</v>
      </c>
      <c r="D10110" s="504" t="s">
        <v>3392</v>
      </c>
      <c r="E10110" s="504" t="s">
        <v>3381</v>
      </c>
      <c r="F10110" s="504" t="s">
        <v>420</v>
      </c>
      <c r="G10110" s="504" t="s">
        <v>3368</v>
      </c>
      <c r="H10110" s="504" t="s">
        <v>12577</v>
      </c>
      <c r="I10110" s="504">
        <v>50</v>
      </c>
      <c r="J10110" s="504">
        <v>50</v>
      </c>
      <c r="K10110" s="504">
        <v>0</v>
      </c>
      <c r="L10110" s="504">
        <v>0</v>
      </c>
      <c r="M10110" s="504">
        <v>0</v>
      </c>
      <c r="N10110" s="504">
        <v>0</v>
      </c>
      <c r="O10110" s="505">
        <v>0</v>
      </c>
    </row>
    <row r="10111" spans="1:15" x14ac:dyDescent="0.35">
      <c r="A10111" s="500" t="s">
        <v>1967</v>
      </c>
      <c r="B10111" s="501">
        <v>5088</v>
      </c>
      <c r="C10111" s="501" t="s">
        <v>1089</v>
      </c>
      <c r="D10111" s="501" t="s">
        <v>3392</v>
      </c>
      <c r="E10111" s="501" t="s">
        <v>3381</v>
      </c>
      <c r="F10111" s="501" t="s">
        <v>419</v>
      </c>
      <c r="G10111" s="501" t="s">
        <v>3368</v>
      </c>
      <c r="H10111" s="501" t="s">
        <v>12578</v>
      </c>
      <c r="I10111" s="501">
        <v>8</v>
      </c>
      <c r="J10111" s="501">
        <v>8</v>
      </c>
      <c r="K10111" s="501">
        <v>0</v>
      </c>
      <c r="L10111" s="501">
        <v>0</v>
      </c>
      <c r="M10111" s="501">
        <v>0</v>
      </c>
      <c r="N10111" s="501">
        <v>0</v>
      </c>
      <c r="O10111" s="506">
        <v>0</v>
      </c>
    </row>
    <row r="10112" spans="1:15" x14ac:dyDescent="0.35">
      <c r="A10112" s="503" t="s">
        <v>1968</v>
      </c>
      <c r="B10112" s="504">
        <v>4570</v>
      </c>
      <c r="C10112" s="504" t="s">
        <v>1089</v>
      </c>
      <c r="D10112" s="504" t="s">
        <v>3392</v>
      </c>
      <c r="E10112" s="504" t="s">
        <v>3381</v>
      </c>
      <c r="F10112" s="504" t="s">
        <v>419</v>
      </c>
      <c r="G10112" s="504" t="s">
        <v>3368</v>
      </c>
      <c r="H10112" s="504" t="s">
        <v>12579</v>
      </c>
      <c r="I10112" s="504">
        <v>56</v>
      </c>
      <c r="J10112" s="504">
        <v>56</v>
      </c>
      <c r="K10112" s="504">
        <v>0</v>
      </c>
      <c r="L10112" s="504">
        <v>0</v>
      </c>
      <c r="M10112" s="504">
        <v>0</v>
      </c>
      <c r="N10112" s="504">
        <v>0</v>
      </c>
      <c r="O10112" s="505">
        <v>0</v>
      </c>
    </row>
    <row r="10113" spans="1:15" x14ac:dyDescent="0.35">
      <c r="A10113" s="500" t="s">
        <v>1969</v>
      </c>
      <c r="B10113" s="501" t="s">
        <v>3117</v>
      </c>
      <c r="C10113" s="501" t="s">
        <v>1089</v>
      </c>
      <c r="D10113" s="501" t="s">
        <v>3392</v>
      </c>
      <c r="E10113" s="501" t="s">
        <v>3381</v>
      </c>
      <c r="F10113" s="501" t="s">
        <v>419</v>
      </c>
      <c r="G10113" s="501" t="s">
        <v>3368</v>
      </c>
      <c r="H10113" s="501" t="s">
        <v>12580</v>
      </c>
      <c r="I10113" s="501">
        <v>336</v>
      </c>
      <c r="J10113" s="501">
        <v>336</v>
      </c>
      <c r="K10113" s="501">
        <v>0</v>
      </c>
      <c r="L10113" s="501">
        <v>0</v>
      </c>
      <c r="M10113" s="501">
        <v>0</v>
      </c>
      <c r="N10113" s="501">
        <v>0</v>
      </c>
      <c r="O10113" s="506">
        <v>0</v>
      </c>
    </row>
    <row r="10114" spans="1:15" x14ac:dyDescent="0.35">
      <c r="A10114" s="503" t="s">
        <v>1289</v>
      </c>
      <c r="B10114" s="504" t="s">
        <v>3285</v>
      </c>
      <c r="C10114" s="504" t="s">
        <v>1089</v>
      </c>
      <c r="D10114" s="504" t="s">
        <v>3392</v>
      </c>
      <c r="E10114" s="504" t="s">
        <v>3381</v>
      </c>
      <c r="F10114" s="504" t="s">
        <v>415</v>
      </c>
      <c r="G10114" s="504" t="s">
        <v>3368</v>
      </c>
      <c r="H10114" s="504" t="s">
        <v>12581</v>
      </c>
      <c r="I10114" s="504">
        <v>51</v>
      </c>
      <c r="J10114" s="504">
        <v>0</v>
      </c>
      <c r="K10114" s="504">
        <v>0</v>
      </c>
      <c r="L10114" s="504">
        <v>0</v>
      </c>
      <c r="M10114" s="504">
        <v>51</v>
      </c>
      <c r="N10114" s="504">
        <v>0</v>
      </c>
      <c r="O10114" s="505">
        <v>0</v>
      </c>
    </row>
    <row r="10115" spans="1:15" x14ac:dyDescent="0.35">
      <c r="A10115" s="500" t="s">
        <v>1166</v>
      </c>
      <c r="B10115" s="501" t="s">
        <v>2699</v>
      </c>
      <c r="C10115" s="501" t="s">
        <v>1089</v>
      </c>
      <c r="D10115" s="501" t="s">
        <v>3392</v>
      </c>
      <c r="E10115" s="501" t="s">
        <v>3381</v>
      </c>
      <c r="F10115" s="501" t="s">
        <v>414</v>
      </c>
      <c r="G10115" s="501" t="s">
        <v>3368</v>
      </c>
      <c r="H10115" s="501" t="s">
        <v>12582</v>
      </c>
      <c r="I10115" s="501">
        <v>139</v>
      </c>
      <c r="J10115" s="501">
        <v>125</v>
      </c>
      <c r="K10115" s="501">
        <v>0</v>
      </c>
      <c r="L10115" s="501">
        <v>0</v>
      </c>
      <c r="M10115" s="501">
        <v>14</v>
      </c>
      <c r="N10115" s="501">
        <v>19</v>
      </c>
      <c r="O10115" s="506">
        <v>0</v>
      </c>
    </row>
    <row r="10116" spans="1:15" x14ac:dyDescent="0.35">
      <c r="A10116" s="503" t="s">
        <v>1290</v>
      </c>
      <c r="B10116" s="504" t="s">
        <v>2979</v>
      </c>
      <c r="C10116" s="504" t="s">
        <v>1094</v>
      </c>
      <c r="D10116" s="504" t="s">
        <v>3380</v>
      </c>
      <c r="E10116" s="504" t="s">
        <v>3381</v>
      </c>
      <c r="F10116" s="504" t="s">
        <v>415</v>
      </c>
      <c r="G10116" s="504" t="s">
        <v>3368</v>
      </c>
      <c r="H10116" s="504" t="s">
        <v>12583</v>
      </c>
      <c r="I10116" s="504">
        <v>1730</v>
      </c>
      <c r="J10116" s="504">
        <v>1441</v>
      </c>
      <c r="K10116" s="504">
        <v>0</v>
      </c>
      <c r="L10116" s="504">
        <v>79</v>
      </c>
      <c r="M10116" s="504">
        <v>102</v>
      </c>
      <c r="N10116" s="504">
        <v>0</v>
      </c>
      <c r="O10116" s="505">
        <v>108</v>
      </c>
    </row>
    <row r="10117" spans="1:15" x14ac:dyDescent="0.35">
      <c r="A10117" s="500" t="s">
        <v>1818</v>
      </c>
      <c r="B10117" s="501">
        <v>5073</v>
      </c>
      <c r="C10117" s="501" t="s">
        <v>1089</v>
      </c>
      <c r="D10117" s="501" t="s">
        <v>3392</v>
      </c>
      <c r="E10117" s="501" t="s">
        <v>3381</v>
      </c>
      <c r="F10117" s="501" t="s">
        <v>2</v>
      </c>
      <c r="G10117" s="501" t="s">
        <v>3368</v>
      </c>
      <c r="H10117" s="501" t="s">
        <v>12584</v>
      </c>
      <c r="I10117" s="501">
        <v>32</v>
      </c>
      <c r="J10117" s="501">
        <v>32</v>
      </c>
      <c r="K10117" s="501">
        <v>0</v>
      </c>
      <c r="L10117" s="501">
        <v>0</v>
      </c>
      <c r="M10117" s="501">
        <v>0</v>
      </c>
      <c r="N10117" s="501">
        <v>0</v>
      </c>
      <c r="O10117" s="506">
        <v>0</v>
      </c>
    </row>
    <row r="10118" spans="1:15" x14ac:dyDescent="0.35">
      <c r="A10118" s="503" t="s">
        <v>1819</v>
      </c>
      <c r="B10118" s="504" t="s">
        <v>3175</v>
      </c>
      <c r="C10118" s="504" t="s">
        <v>1094</v>
      </c>
      <c r="D10118" s="504" t="s">
        <v>3380</v>
      </c>
      <c r="E10118" s="504" t="s">
        <v>3381</v>
      </c>
      <c r="F10118" s="504" t="s">
        <v>419</v>
      </c>
      <c r="G10118" s="504" t="s">
        <v>3368</v>
      </c>
      <c r="H10118" s="504" t="s">
        <v>12586</v>
      </c>
      <c r="I10118" s="504">
        <v>953</v>
      </c>
      <c r="J10118" s="504">
        <v>718</v>
      </c>
      <c r="K10118" s="504">
        <v>0</v>
      </c>
      <c r="L10118" s="504">
        <v>0</v>
      </c>
      <c r="M10118" s="504">
        <v>0</v>
      </c>
      <c r="N10118" s="504">
        <v>0</v>
      </c>
      <c r="O10118" s="505">
        <v>235</v>
      </c>
    </row>
    <row r="10119" spans="1:15" x14ac:dyDescent="0.35">
      <c r="A10119" s="500" t="s">
        <v>1819</v>
      </c>
      <c r="B10119" s="501" t="s">
        <v>3175</v>
      </c>
      <c r="C10119" s="501" t="s">
        <v>1094</v>
      </c>
      <c r="D10119" s="501" t="s">
        <v>3380</v>
      </c>
      <c r="E10119" s="501" t="s">
        <v>3381</v>
      </c>
      <c r="F10119" s="501" t="s">
        <v>420</v>
      </c>
      <c r="G10119" s="501" t="s">
        <v>3368</v>
      </c>
      <c r="H10119" s="501" t="s">
        <v>12587</v>
      </c>
      <c r="I10119" s="501">
        <v>88</v>
      </c>
      <c r="J10119" s="501">
        <v>67</v>
      </c>
      <c r="K10119" s="501">
        <v>0</v>
      </c>
      <c r="L10119" s="501">
        <v>0</v>
      </c>
      <c r="M10119" s="501">
        <v>0</v>
      </c>
      <c r="N10119" s="501">
        <v>0</v>
      </c>
      <c r="O10119" s="506">
        <v>21</v>
      </c>
    </row>
    <row r="10120" spans="1:15" x14ac:dyDescent="0.35">
      <c r="A10120" s="503" t="s">
        <v>1819</v>
      </c>
      <c r="B10120" s="504" t="s">
        <v>3175</v>
      </c>
      <c r="C10120" s="504" t="s">
        <v>1094</v>
      </c>
      <c r="D10120" s="504" t="s">
        <v>3380</v>
      </c>
      <c r="E10120" s="504" t="s">
        <v>3381</v>
      </c>
      <c r="F10120" s="504" t="s">
        <v>2</v>
      </c>
      <c r="G10120" s="504" t="s">
        <v>3368</v>
      </c>
      <c r="H10120" s="504" t="s">
        <v>12585</v>
      </c>
      <c r="I10120" s="504">
        <v>4100</v>
      </c>
      <c r="J10120" s="504">
        <v>3919</v>
      </c>
      <c r="K10120" s="504">
        <v>0</v>
      </c>
      <c r="L10120" s="504">
        <v>0</v>
      </c>
      <c r="M10120" s="504">
        <v>0</v>
      </c>
      <c r="N10120" s="504">
        <v>2</v>
      </c>
      <c r="O10120" s="505">
        <v>181</v>
      </c>
    </row>
    <row r="10121" spans="1:15" x14ac:dyDescent="0.35">
      <c r="A10121" s="500" t="s">
        <v>1820</v>
      </c>
      <c r="B10121" s="501" t="s">
        <v>2475</v>
      </c>
      <c r="C10121" s="501" t="s">
        <v>1089</v>
      </c>
      <c r="D10121" s="501" t="s">
        <v>3392</v>
      </c>
      <c r="E10121" s="501" t="s">
        <v>3381</v>
      </c>
      <c r="F10121" s="501" t="s">
        <v>2</v>
      </c>
      <c r="G10121" s="501" t="s">
        <v>3368</v>
      </c>
      <c r="H10121" s="501" t="s">
        <v>12588</v>
      </c>
      <c r="I10121" s="501">
        <v>18</v>
      </c>
      <c r="J10121" s="501">
        <v>0</v>
      </c>
      <c r="K10121" s="501">
        <v>0</v>
      </c>
      <c r="L10121" s="501">
        <v>0</v>
      </c>
      <c r="M10121" s="501">
        <v>18</v>
      </c>
      <c r="N10121" s="501">
        <v>0</v>
      </c>
      <c r="O10121" s="506">
        <v>0</v>
      </c>
    </row>
    <row r="10122" spans="1:15" x14ac:dyDescent="0.35">
      <c r="A10122" s="503" t="s">
        <v>2076</v>
      </c>
      <c r="B10122" s="504" t="s">
        <v>2452</v>
      </c>
      <c r="C10122" s="504" t="s">
        <v>1089</v>
      </c>
      <c r="D10122" s="504" t="s">
        <v>3392</v>
      </c>
      <c r="E10122" s="504" t="s">
        <v>3381</v>
      </c>
      <c r="F10122" s="504" t="s">
        <v>420</v>
      </c>
      <c r="G10122" s="504" t="s">
        <v>3368</v>
      </c>
      <c r="H10122" s="504" t="s">
        <v>12589</v>
      </c>
      <c r="I10122" s="504">
        <v>118</v>
      </c>
      <c r="J10122" s="504">
        <v>0</v>
      </c>
      <c r="K10122" s="504">
        <v>0</v>
      </c>
      <c r="L10122" s="504">
        <v>0</v>
      </c>
      <c r="M10122" s="504">
        <v>118</v>
      </c>
      <c r="N10122" s="504">
        <v>0</v>
      </c>
      <c r="O10122" s="505">
        <v>0</v>
      </c>
    </row>
    <row r="10123" spans="1:15" x14ac:dyDescent="0.35">
      <c r="A10123" s="500" t="s">
        <v>14175</v>
      </c>
      <c r="B10123" s="501">
        <v>5155</v>
      </c>
      <c r="C10123" s="501" t="s">
        <v>1089</v>
      </c>
      <c r="D10123" s="501" t="s">
        <v>3392</v>
      </c>
      <c r="E10123" s="501" t="s">
        <v>3381</v>
      </c>
      <c r="F10123" s="501" t="s">
        <v>2</v>
      </c>
      <c r="G10123" s="501" t="s">
        <v>3368</v>
      </c>
      <c r="H10123" s="501" t="s">
        <v>15354</v>
      </c>
      <c r="I10123" s="501">
        <v>2</v>
      </c>
      <c r="J10123" s="501">
        <v>0</v>
      </c>
      <c r="K10123" s="501">
        <v>0</v>
      </c>
      <c r="L10123" s="501">
        <v>2</v>
      </c>
      <c r="M10123" s="501">
        <v>0</v>
      </c>
      <c r="N10123" s="501">
        <v>0</v>
      </c>
      <c r="O10123" s="506">
        <v>0</v>
      </c>
    </row>
    <row r="10124" spans="1:15" x14ac:dyDescent="0.35">
      <c r="A10124" s="503" t="s">
        <v>1419</v>
      </c>
      <c r="B10124" s="504" t="s">
        <v>2720</v>
      </c>
      <c r="C10124" s="504" t="s">
        <v>1089</v>
      </c>
      <c r="D10124" s="504" t="s">
        <v>3392</v>
      </c>
      <c r="E10124" s="504" t="s">
        <v>3381</v>
      </c>
      <c r="F10124" s="504" t="s">
        <v>416</v>
      </c>
      <c r="G10124" s="504" t="s">
        <v>3368</v>
      </c>
      <c r="H10124" s="504" t="s">
        <v>12590</v>
      </c>
      <c r="I10124" s="504">
        <v>90</v>
      </c>
      <c r="J10124" s="504">
        <v>90</v>
      </c>
      <c r="K10124" s="504">
        <v>0</v>
      </c>
      <c r="L10124" s="504">
        <v>0</v>
      </c>
      <c r="M10124" s="504">
        <v>0</v>
      </c>
      <c r="N10124" s="504">
        <v>0</v>
      </c>
      <c r="O10124" s="505">
        <v>0</v>
      </c>
    </row>
    <row r="10125" spans="1:15" x14ac:dyDescent="0.35">
      <c r="A10125" s="500" t="s">
        <v>1167</v>
      </c>
      <c r="B10125" s="501">
        <v>4689</v>
      </c>
      <c r="C10125" s="501" t="s">
        <v>1089</v>
      </c>
      <c r="D10125" s="501" t="s">
        <v>3392</v>
      </c>
      <c r="E10125" s="501" t="s">
        <v>3381</v>
      </c>
      <c r="F10125" s="501" t="s">
        <v>417</v>
      </c>
      <c r="G10125" s="501" t="s">
        <v>3368</v>
      </c>
      <c r="H10125" s="501" t="s">
        <v>12595</v>
      </c>
      <c r="I10125" s="501">
        <v>50</v>
      </c>
      <c r="J10125" s="501">
        <v>0</v>
      </c>
      <c r="K10125" s="501">
        <v>0</v>
      </c>
      <c r="L10125" s="501">
        <v>50</v>
      </c>
      <c r="M10125" s="501">
        <v>0</v>
      </c>
      <c r="N10125" s="501">
        <v>0</v>
      </c>
      <c r="O10125" s="506">
        <v>0</v>
      </c>
    </row>
    <row r="10126" spans="1:15" x14ac:dyDescent="0.35">
      <c r="A10126" s="503" t="s">
        <v>1167</v>
      </c>
      <c r="B10126" s="504">
        <v>4689</v>
      </c>
      <c r="C10126" s="504" t="s">
        <v>1089</v>
      </c>
      <c r="D10126" s="504" t="s">
        <v>3392</v>
      </c>
      <c r="E10126" s="504" t="s">
        <v>3381</v>
      </c>
      <c r="F10126" s="504" t="s">
        <v>420</v>
      </c>
      <c r="G10126" s="504" t="s">
        <v>3368</v>
      </c>
      <c r="H10126" s="504" t="s">
        <v>12591</v>
      </c>
      <c r="I10126" s="504">
        <v>65</v>
      </c>
      <c r="J10126" s="504">
        <v>0</v>
      </c>
      <c r="K10126" s="504">
        <v>0</v>
      </c>
      <c r="L10126" s="504">
        <v>65</v>
      </c>
      <c r="M10126" s="504">
        <v>0</v>
      </c>
      <c r="N10126" s="504">
        <v>0</v>
      </c>
      <c r="O10126" s="505">
        <v>0</v>
      </c>
    </row>
    <row r="10127" spans="1:15" x14ac:dyDescent="0.35">
      <c r="A10127" s="500" t="s">
        <v>1167</v>
      </c>
      <c r="B10127" s="501">
        <v>4689</v>
      </c>
      <c r="C10127" s="501" t="s">
        <v>1089</v>
      </c>
      <c r="D10127" s="501" t="s">
        <v>3392</v>
      </c>
      <c r="E10127" s="501" t="s">
        <v>3381</v>
      </c>
      <c r="F10127" s="501" t="s">
        <v>418</v>
      </c>
      <c r="G10127" s="501" t="s">
        <v>3368</v>
      </c>
      <c r="H10127" s="501" t="s">
        <v>12594</v>
      </c>
      <c r="I10127" s="501">
        <v>477</v>
      </c>
      <c r="J10127" s="501">
        <v>0</v>
      </c>
      <c r="K10127" s="501">
        <v>0</v>
      </c>
      <c r="L10127" s="501">
        <v>477</v>
      </c>
      <c r="M10127" s="501">
        <v>0</v>
      </c>
      <c r="N10127" s="501">
        <v>0</v>
      </c>
      <c r="O10127" s="506">
        <v>0</v>
      </c>
    </row>
    <row r="10128" spans="1:15" x14ac:dyDescent="0.35">
      <c r="A10128" s="503" t="s">
        <v>1167</v>
      </c>
      <c r="B10128" s="504">
        <v>4689</v>
      </c>
      <c r="C10128" s="504" t="s">
        <v>1089</v>
      </c>
      <c r="D10128" s="504" t="s">
        <v>3392</v>
      </c>
      <c r="E10128" s="504" t="s">
        <v>3381</v>
      </c>
      <c r="F10128" s="504" t="s">
        <v>414</v>
      </c>
      <c r="G10128" s="504" t="s">
        <v>3368</v>
      </c>
      <c r="H10128" s="504" t="s">
        <v>12593</v>
      </c>
      <c r="I10128" s="504">
        <v>44</v>
      </c>
      <c r="J10128" s="504">
        <v>0</v>
      </c>
      <c r="K10128" s="504">
        <v>0</v>
      </c>
      <c r="L10128" s="504">
        <v>44</v>
      </c>
      <c r="M10128" s="504">
        <v>0</v>
      </c>
      <c r="N10128" s="504">
        <v>0</v>
      </c>
      <c r="O10128" s="505">
        <v>0</v>
      </c>
    </row>
    <row r="10129" spans="1:15" x14ac:dyDescent="0.35">
      <c r="A10129" s="500" t="s">
        <v>1167</v>
      </c>
      <c r="B10129" s="501">
        <v>4689</v>
      </c>
      <c r="C10129" s="501" t="s">
        <v>1089</v>
      </c>
      <c r="D10129" s="501" t="s">
        <v>3392</v>
      </c>
      <c r="E10129" s="501" t="s">
        <v>3381</v>
      </c>
      <c r="F10129" s="501" t="s">
        <v>1048</v>
      </c>
      <c r="G10129" s="501" t="s">
        <v>3368</v>
      </c>
      <c r="H10129" s="501" t="s">
        <v>13971</v>
      </c>
      <c r="I10129" s="501">
        <v>45</v>
      </c>
      <c r="J10129" s="501">
        <v>0</v>
      </c>
      <c r="K10129" s="501">
        <v>0</v>
      </c>
      <c r="L10129" s="501">
        <v>45</v>
      </c>
      <c r="M10129" s="501">
        <v>0</v>
      </c>
      <c r="N10129" s="501">
        <v>0</v>
      </c>
      <c r="O10129" s="506">
        <v>0</v>
      </c>
    </row>
    <row r="10130" spans="1:15" x14ac:dyDescent="0.35">
      <c r="A10130" s="503" t="s">
        <v>1167</v>
      </c>
      <c r="B10130" s="504">
        <v>4689</v>
      </c>
      <c r="C10130" s="504" t="s">
        <v>1089</v>
      </c>
      <c r="D10130" s="504" t="s">
        <v>3392</v>
      </c>
      <c r="E10130" s="504" t="s">
        <v>3381</v>
      </c>
      <c r="F10130" s="504" t="s">
        <v>2</v>
      </c>
      <c r="G10130" s="504" t="s">
        <v>3368</v>
      </c>
      <c r="H10130" s="504" t="s">
        <v>12592</v>
      </c>
      <c r="I10130" s="504">
        <v>13</v>
      </c>
      <c r="J10130" s="504">
        <v>0</v>
      </c>
      <c r="K10130" s="504">
        <v>0</v>
      </c>
      <c r="L10130" s="504">
        <v>13</v>
      </c>
      <c r="M10130" s="504">
        <v>0</v>
      </c>
      <c r="N10130" s="504">
        <v>0</v>
      </c>
      <c r="O10130" s="505">
        <v>0</v>
      </c>
    </row>
    <row r="10131" spans="1:15" x14ac:dyDescent="0.35">
      <c r="A10131" s="500" t="s">
        <v>11400</v>
      </c>
      <c r="B10131" s="501" t="s">
        <v>2932</v>
      </c>
      <c r="C10131" s="501" t="s">
        <v>1089</v>
      </c>
      <c r="D10131" s="501" t="s">
        <v>3392</v>
      </c>
      <c r="E10131" s="501" t="s">
        <v>3381</v>
      </c>
      <c r="F10131" s="501" t="s">
        <v>418</v>
      </c>
      <c r="G10131" s="501" t="s">
        <v>3368</v>
      </c>
      <c r="H10131" s="501" t="s">
        <v>12596</v>
      </c>
      <c r="I10131" s="501">
        <v>72</v>
      </c>
      <c r="J10131" s="501">
        <v>0</v>
      </c>
      <c r="K10131" s="501">
        <v>0</v>
      </c>
      <c r="L10131" s="501">
        <v>72</v>
      </c>
      <c r="M10131" s="501">
        <v>0</v>
      </c>
      <c r="N10131" s="501">
        <v>0</v>
      </c>
      <c r="O10131" s="506">
        <v>0</v>
      </c>
    </row>
    <row r="10132" spans="1:15" x14ac:dyDescent="0.35">
      <c r="A10132" s="503" t="s">
        <v>1695</v>
      </c>
      <c r="B10132" s="504">
        <v>4715</v>
      </c>
      <c r="C10132" s="504" t="s">
        <v>1089</v>
      </c>
      <c r="D10132" s="504" t="s">
        <v>3392</v>
      </c>
      <c r="E10132" s="504" t="s">
        <v>3381</v>
      </c>
      <c r="F10132" s="504" t="s">
        <v>418</v>
      </c>
      <c r="G10132" s="504" t="s">
        <v>3368</v>
      </c>
      <c r="H10132" s="504" t="s">
        <v>12597</v>
      </c>
      <c r="I10132" s="504">
        <v>119</v>
      </c>
      <c r="J10132" s="504">
        <v>0</v>
      </c>
      <c r="K10132" s="504">
        <v>0</v>
      </c>
      <c r="L10132" s="504">
        <v>119</v>
      </c>
      <c r="M10132" s="504">
        <v>0</v>
      </c>
      <c r="N10132" s="504">
        <v>0</v>
      </c>
      <c r="O10132" s="505">
        <v>0</v>
      </c>
    </row>
    <row r="10133" spans="1:15" x14ac:dyDescent="0.35">
      <c r="A10133" s="500" t="s">
        <v>1420</v>
      </c>
      <c r="B10133" s="501">
        <v>4764</v>
      </c>
      <c r="C10133" s="501" t="s">
        <v>1089</v>
      </c>
      <c r="D10133" s="501" t="s">
        <v>3392</v>
      </c>
      <c r="E10133" s="501" t="s">
        <v>3381</v>
      </c>
      <c r="F10133" s="501" t="s">
        <v>416</v>
      </c>
      <c r="G10133" s="501" t="s">
        <v>3368</v>
      </c>
      <c r="H10133" s="501" t="s">
        <v>12598</v>
      </c>
      <c r="I10133" s="501">
        <v>154</v>
      </c>
      <c r="J10133" s="501">
        <v>154</v>
      </c>
      <c r="K10133" s="501">
        <v>0</v>
      </c>
      <c r="L10133" s="501">
        <v>0</v>
      </c>
      <c r="M10133" s="501">
        <v>0</v>
      </c>
      <c r="N10133" s="501">
        <v>0</v>
      </c>
      <c r="O10133" s="506">
        <v>0</v>
      </c>
    </row>
    <row r="10134" spans="1:15" x14ac:dyDescent="0.35">
      <c r="A10134" s="503" t="s">
        <v>1696</v>
      </c>
      <c r="B10134" s="504" t="s">
        <v>3074</v>
      </c>
      <c r="C10134" s="504" t="s">
        <v>1089</v>
      </c>
      <c r="D10134" s="504" t="s">
        <v>3392</v>
      </c>
      <c r="E10134" s="504" t="s">
        <v>3381</v>
      </c>
      <c r="F10134" s="504" t="s">
        <v>418</v>
      </c>
      <c r="G10134" s="504" t="s">
        <v>3368</v>
      </c>
      <c r="H10134" s="504" t="s">
        <v>12599</v>
      </c>
      <c r="I10134" s="504">
        <v>433</v>
      </c>
      <c r="J10134" s="504">
        <v>357</v>
      </c>
      <c r="K10134" s="504">
        <v>0</v>
      </c>
      <c r="L10134" s="504">
        <v>76</v>
      </c>
      <c r="M10134" s="504">
        <v>0</v>
      </c>
      <c r="N10134" s="504">
        <v>0</v>
      </c>
      <c r="O10134" s="505">
        <v>0</v>
      </c>
    </row>
    <row r="10135" spans="1:15" x14ac:dyDescent="0.35">
      <c r="A10135" s="500" t="s">
        <v>1168</v>
      </c>
      <c r="B10135" s="501" t="s">
        <v>3360</v>
      </c>
      <c r="C10135" s="501" t="s">
        <v>1094</v>
      </c>
      <c r="D10135" s="501" t="s">
        <v>3380</v>
      </c>
      <c r="E10135" s="501" t="s">
        <v>3381</v>
      </c>
      <c r="F10135" s="501" t="s">
        <v>414</v>
      </c>
      <c r="G10135" s="501" t="s">
        <v>3368</v>
      </c>
      <c r="H10135" s="501" t="s">
        <v>12600</v>
      </c>
      <c r="I10135" s="501">
        <v>287</v>
      </c>
      <c r="J10135" s="501">
        <v>178</v>
      </c>
      <c r="K10135" s="501">
        <v>0</v>
      </c>
      <c r="L10135" s="501">
        <v>0</v>
      </c>
      <c r="M10135" s="501">
        <v>0</v>
      </c>
      <c r="N10135" s="501">
        <v>0</v>
      </c>
      <c r="O10135" s="506">
        <v>109</v>
      </c>
    </row>
    <row r="10136" spans="1:15" x14ac:dyDescent="0.35">
      <c r="A10136" s="503" t="s">
        <v>1168</v>
      </c>
      <c r="B10136" s="504" t="s">
        <v>3360</v>
      </c>
      <c r="C10136" s="504" t="s">
        <v>1094</v>
      </c>
      <c r="D10136" s="504" t="s">
        <v>3380</v>
      </c>
      <c r="E10136" s="504" t="s">
        <v>3381</v>
      </c>
      <c r="F10136" s="504" t="s">
        <v>2</v>
      </c>
      <c r="G10136" s="504" t="s">
        <v>3368</v>
      </c>
      <c r="H10136" s="504" t="s">
        <v>12602</v>
      </c>
      <c r="I10136" s="504">
        <v>286</v>
      </c>
      <c r="J10136" s="504">
        <v>65</v>
      </c>
      <c r="K10136" s="504">
        <v>0</v>
      </c>
      <c r="L10136" s="504">
        <v>0</v>
      </c>
      <c r="M10136" s="504">
        <v>0</v>
      </c>
      <c r="N10136" s="504">
        <v>0</v>
      </c>
      <c r="O10136" s="505">
        <v>221</v>
      </c>
    </row>
    <row r="10137" spans="1:15" x14ac:dyDescent="0.35">
      <c r="A10137" s="500" t="s">
        <v>1168</v>
      </c>
      <c r="B10137" s="501" t="s">
        <v>3360</v>
      </c>
      <c r="C10137" s="501" t="s">
        <v>1094</v>
      </c>
      <c r="D10137" s="501" t="s">
        <v>3380</v>
      </c>
      <c r="E10137" s="501" t="s">
        <v>3381</v>
      </c>
      <c r="F10137" s="501" t="s">
        <v>415</v>
      </c>
      <c r="G10137" s="501" t="s">
        <v>3368</v>
      </c>
      <c r="H10137" s="501" t="s">
        <v>12601</v>
      </c>
      <c r="I10137" s="501">
        <v>11462</v>
      </c>
      <c r="J10137" s="501">
        <v>9333</v>
      </c>
      <c r="K10137" s="501">
        <v>10</v>
      </c>
      <c r="L10137" s="501">
        <v>73</v>
      </c>
      <c r="M10137" s="501">
        <v>1209</v>
      </c>
      <c r="N10137" s="501">
        <v>0</v>
      </c>
      <c r="O10137" s="506">
        <v>837</v>
      </c>
    </row>
    <row r="10138" spans="1:15" x14ac:dyDescent="0.35">
      <c r="A10138" s="503" t="s">
        <v>1421</v>
      </c>
      <c r="B10138" s="504" t="s">
        <v>2742</v>
      </c>
      <c r="C10138" s="504" t="s">
        <v>1089</v>
      </c>
      <c r="D10138" s="504" t="s">
        <v>3392</v>
      </c>
      <c r="E10138" s="504" t="s">
        <v>3381</v>
      </c>
      <c r="F10138" s="504" t="s">
        <v>416</v>
      </c>
      <c r="G10138" s="504" t="s">
        <v>3368</v>
      </c>
      <c r="H10138" s="504" t="s">
        <v>12603</v>
      </c>
      <c r="I10138" s="504">
        <v>23</v>
      </c>
      <c r="J10138" s="504">
        <v>23</v>
      </c>
      <c r="K10138" s="504">
        <v>0</v>
      </c>
      <c r="L10138" s="504">
        <v>0</v>
      </c>
      <c r="M10138" s="504">
        <v>0</v>
      </c>
      <c r="N10138" s="504">
        <v>0</v>
      </c>
      <c r="O10138" s="505">
        <v>0</v>
      </c>
    </row>
    <row r="10139" spans="1:15" x14ac:dyDescent="0.35">
      <c r="A10139" s="500" t="s">
        <v>1422</v>
      </c>
      <c r="B10139" s="501" t="s">
        <v>3254</v>
      </c>
      <c r="C10139" s="501" t="s">
        <v>1094</v>
      </c>
      <c r="D10139" s="501" t="s">
        <v>3380</v>
      </c>
      <c r="E10139" s="501" t="s">
        <v>3381</v>
      </c>
      <c r="F10139" s="501" t="s">
        <v>416</v>
      </c>
      <c r="G10139" s="501" t="s">
        <v>3368</v>
      </c>
      <c r="H10139" s="501" t="s">
        <v>12604</v>
      </c>
      <c r="I10139" s="501">
        <v>1406</v>
      </c>
      <c r="J10139" s="501">
        <v>906</v>
      </c>
      <c r="K10139" s="501">
        <v>0</v>
      </c>
      <c r="L10139" s="501">
        <v>131</v>
      </c>
      <c r="M10139" s="501">
        <v>317</v>
      </c>
      <c r="N10139" s="501">
        <v>0</v>
      </c>
      <c r="O10139" s="506">
        <v>52</v>
      </c>
    </row>
    <row r="10140" spans="1:15" x14ac:dyDescent="0.35">
      <c r="A10140" s="503" t="s">
        <v>1970</v>
      </c>
      <c r="B10140" s="504" t="s">
        <v>3347</v>
      </c>
      <c r="C10140" s="504" t="s">
        <v>1094</v>
      </c>
      <c r="D10140" s="504" t="s">
        <v>3392</v>
      </c>
      <c r="E10140" s="504" t="s">
        <v>3381</v>
      </c>
      <c r="F10140" s="504" t="s">
        <v>419</v>
      </c>
      <c r="G10140" s="504" t="s">
        <v>3368</v>
      </c>
      <c r="H10140" s="504" t="s">
        <v>12605</v>
      </c>
      <c r="I10140" s="504">
        <v>1</v>
      </c>
      <c r="J10140" s="504">
        <v>1</v>
      </c>
      <c r="K10140" s="504">
        <v>0</v>
      </c>
      <c r="L10140" s="504">
        <v>0</v>
      </c>
      <c r="M10140" s="504">
        <v>0</v>
      </c>
      <c r="N10140" s="504">
        <v>0</v>
      </c>
      <c r="O10140" s="505">
        <v>0</v>
      </c>
    </row>
    <row r="10141" spans="1:15" x14ac:dyDescent="0.35">
      <c r="A10141" s="500" t="s">
        <v>1971</v>
      </c>
      <c r="B10141" s="501" t="s">
        <v>3337</v>
      </c>
      <c r="C10141" s="501" t="s">
        <v>1094</v>
      </c>
      <c r="D10141" s="501" t="s">
        <v>3380</v>
      </c>
      <c r="E10141" s="501" t="s">
        <v>3381</v>
      </c>
      <c r="F10141" s="501" t="s">
        <v>419</v>
      </c>
      <c r="G10141" s="501" t="s">
        <v>3368</v>
      </c>
      <c r="H10141" s="501" t="s">
        <v>12606</v>
      </c>
      <c r="I10141" s="501">
        <v>12632</v>
      </c>
      <c r="J10141" s="501">
        <v>9803</v>
      </c>
      <c r="K10141" s="501">
        <v>0</v>
      </c>
      <c r="L10141" s="501">
        <v>220</v>
      </c>
      <c r="M10141" s="501">
        <v>1872</v>
      </c>
      <c r="N10141" s="501">
        <v>13</v>
      </c>
      <c r="O10141" s="506">
        <v>737</v>
      </c>
    </row>
    <row r="10142" spans="1:15" x14ac:dyDescent="0.35">
      <c r="A10142" s="503" t="s">
        <v>1423</v>
      </c>
      <c r="B10142" s="504" t="s">
        <v>2692</v>
      </c>
      <c r="C10142" s="504" t="s">
        <v>1089</v>
      </c>
      <c r="D10142" s="504" t="s">
        <v>3392</v>
      </c>
      <c r="E10142" s="504" t="s">
        <v>3381</v>
      </c>
      <c r="F10142" s="504" t="s">
        <v>416</v>
      </c>
      <c r="G10142" s="504" t="s">
        <v>3368</v>
      </c>
      <c r="H10142" s="504" t="s">
        <v>12607</v>
      </c>
      <c r="I10142" s="504">
        <v>54</v>
      </c>
      <c r="J10142" s="504">
        <v>54</v>
      </c>
      <c r="K10142" s="504">
        <v>0</v>
      </c>
      <c r="L10142" s="504">
        <v>0</v>
      </c>
      <c r="M10142" s="504">
        <v>0</v>
      </c>
      <c r="N10142" s="504">
        <v>0</v>
      </c>
      <c r="O10142" s="505">
        <v>0</v>
      </c>
    </row>
    <row r="10143" spans="1:15" x14ac:dyDescent="0.35">
      <c r="A10143" s="500" t="s">
        <v>1972</v>
      </c>
      <c r="B10143" s="501" t="s">
        <v>2559</v>
      </c>
      <c r="C10143" s="501" t="s">
        <v>1089</v>
      </c>
      <c r="D10143" s="501" t="s">
        <v>3392</v>
      </c>
      <c r="E10143" s="501" t="s">
        <v>3381</v>
      </c>
      <c r="F10143" s="501" t="s">
        <v>419</v>
      </c>
      <c r="G10143" s="501" t="s">
        <v>3368</v>
      </c>
      <c r="H10143" s="501" t="s">
        <v>12608</v>
      </c>
      <c r="I10143" s="501">
        <v>4</v>
      </c>
      <c r="J10143" s="501">
        <v>0</v>
      </c>
      <c r="K10143" s="501">
        <v>0</v>
      </c>
      <c r="L10143" s="501">
        <v>0</v>
      </c>
      <c r="M10143" s="501">
        <v>4</v>
      </c>
      <c r="N10143" s="501">
        <v>0</v>
      </c>
      <c r="O10143" s="506">
        <v>0</v>
      </c>
    </row>
    <row r="10144" spans="1:15" x14ac:dyDescent="0.35">
      <c r="A10144" s="503" t="s">
        <v>1821</v>
      </c>
      <c r="B10144" s="504" t="s">
        <v>2740</v>
      </c>
      <c r="C10144" s="504" t="s">
        <v>1089</v>
      </c>
      <c r="D10144" s="504" t="s">
        <v>3392</v>
      </c>
      <c r="E10144" s="504" t="s">
        <v>3381</v>
      </c>
      <c r="F10144" s="504" t="s">
        <v>2</v>
      </c>
      <c r="G10144" s="504" t="s">
        <v>3368</v>
      </c>
      <c r="H10144" s="504" t="s">
        <v>12609</v>
      </c>
      <c r="I10144" s="504">
        <v>47</v>
      </c>
      <c r="J10144" s="504">
        <v>47</v>
      </c>
      <c r="K10144" s="504">
        <v>0</v>
      </c>
      <c r="L10144" s="504">
        <v>0</v>
      </c>
      <c r="M10144" s="504">
        <v>0</v>
      </c>
      <c r="N10144" s="504">
        <v>0</v>
      </c>
      <c r="O10144" s="505">
        <v>0</v>
      </c>
    </row>
    <row r="10145" spans="1:15" x14ac:dyDescent="0.35">
      <c r="A10145" s="500" t="s">
        <v>1822</v>
      </c>
      <c r="B10145" s="501" t="s">
        <v>2522</v>
      </c>
      <c r="C10145" s="501" t="s">
        <v>1089</v>
      </c>
      <c r="D10145" s="501" t="s">
        <v>3392</v>
      </c>
      <c r="E10145" s="501" t="s">
        <v>3381</v>
      </c>
      <c r="F10145" s="501" t="s">
        <v>2</v>
      </c>
      <c r="G10145" s="501" t="s">
        <v>3368</v>
      </c>
      <c r="H10145" s="501" t="s">
        <v>12610</v>
      </c>
      <c r="I10145" s="501">
        <v>36</v>
      </c>
      <c r="J10145" s="501">
        <v>0</v>
      </c>
      <c r="K10145" s="501">
        <v>0</v>
      </c>
      <c r="L10145" s="501">
        <v>0</v>
      </c>
      <c r="M10145" s="501">
        <v>36</v>
      </c>
      <c r="N10145" s="501">
        <v>0</v>
      </c>
      <c r="O10145" s="506">
        <v>0</v>
      </c>
    </row>
    <row r="10146" spans="1:15" x14ac:dyDescent="0.35">
      <c r="A10146" s="503" t="s">
        <v>1424</v>
      </c>
      <c r="B10146" s="504" t="s">
        <v>3089</v>
      </c>
      <c r="C10146" s="504" t="s">
        <v>1089</v>
      </c>
      <c r="D10146" s="504" t="s">
        <v>3392</v>
      </c>
      <c r="E10146" s="504" t="s">
        <v>3381</v>
      </c>
      <c r="F10146" s="504" t="s">
        <v>416</v>
      </c>
      <c r="G10146" s="504" t="s">
        <v>3368</v>
      </c>
      <c r="H10146" s="504" t="s">
        <v>12611</v>
      </c>
      <c r="I10146" s="504">
        <v>28</v>
      </c>
      <c r="J10146" s="504">
        <v>0</v>
      </c>
      <c r="K10146" s="504">
        <v>0</v>
      </c>
      <c r="L10146" s="504">
        <v>0</v>
      </c>
      <c r="M10146" s="504">
        <v>28</v>
      </c>
      <c r="N10146" s="504">
        <v>20</v>
      </c>
      <c r="O10146" s="505">
        <v>0</v>
      </c>
    </row>
    <row r="10147" spans="1:15" x14ac:dyDescent="0.35">
      <c r="A10147" s="500" t="s">
        <v>1425</v>
      </c>
      <c r="B10147" s="501" t="s">
        <v>2808</v>
      </c>
      <c r="C10147" s="501" t="s">
        <v>1089</v>
      </c>
      <c r="D10147" s="501" t="s">
        <v>3392</v>
      </c>
      <c r="E10147" s="501" t="s">
        <v>3381</v>
      </c>
      <c r="F10147" s="501" t="s">
        <v>416</v>
      </c>
      <c r="G10147" s="501" t="s">
        <v>3368</v>
      </c>
      <c r="H10147" s="501" t="s">
        <v>12612</v>
      </c>
      <c r="I10147" s="501">
        <v>6</v>
      </c>
      <c r="J10147" s="501">
        <v>6</v>
      </c>
      <c r="K10147" s="501">
        <v>0</v>
      </c>
      <c r="L10147" s="501">
        <v>0</v>
      </c>
      <c r="M10147" s="501">
        <v>0</v>
      </c>
      <c r="N10147" s="501">
        <v>0</v>
      </c>
      <c r="O10147" s="506">
        <v>0</v>
      </c>
    </row>
    <row r="10148" spans="1:15" x14ac:dyDescent="0.35">
      <c r="A10148" s="503" t="s">
        <v>14178</v>
      </c>
      <c r="B10148" s="504">
        <v>5058</v>
      </c>
      <c r="C10148" s="504" t="s">
        <v>1089</v>
      </c>
      <c r="D10148" s="504" t="s">
        <v>3392</v>
      </c>
      <c r="E10148" s="504" t="s">
        <v>3381</v>
      </c>
      <c r="F10148" s="504" t="s">
        <v>418</v>
      </c>
      <c r="G10148" s="504" t="s">
        <v>3368</v>
      </c>
      <c r="H10148" s="504" t="s">
        <v>15355</v>
      </c>
      <c r="I10148" s="504">
        <v>15</v>
      </c>
      <c r="J10148" s="504">
        <v>15</v>
      </c>
      <c r="K10148" s="504">
        <v>0</v>
      </c>
      <c r="L10148" s="504">
        <v>0</v>
      </c>
      <c r="M10148" s="504">
        <v>0</v>
      </c>
      <c r="N10148" s="504">
        <v>0</v>
      </c>
      <c r="O10148" s="505">
        <v>0</v>
      </c>
    </row>
    <row r="10149" spans="1:15" x14ac:dyDescent="0.35">
      <c r="A10149" s="500" t="s">
        <v>14179</v>
      </c>
      <c r="B10149" s="501" t="s">
        <v>2642</v>
      </c>
      <c r="C10149" s="501" t="s">
        <v>1089</v>
      </c>
      <c r="D10149" s="501" t="s">
        <v>3392</v>
      </c>
      <c r="E10149" s="501" t="s">
        <v>3381</v>
      </c>
      <c r="F10149" s="501" t="s">
        <v>416</v>
      </c>
      <c r="G10149" s="501" t="s">
        <v>3368</v>
      </c>
      <c r="H10149" s="501" t="s">
        <v>15356</v>
      </c>
      <c r="I10149" s="501">
        <v>23</v>
      </c>
      <c r="J10149" s="501">
        <v>23</v>
      </c>
      <c r="K10149" s="501">
        <v>0</v>
      </c>
      <c r="L10149" s="501">
        <v>0</v>
      </c>
      <c r="M10149" s="501">
        <v>0</v>
      </c>
      <c r="N10149" s="501">
        <v>0</v>
      </c>
      <c r="O10149" s="506">
        <v>0</v>
      </c>
    </row>
    <row r="10150" spans="1:15" x14ac:dyDescent="0.35">
      <c r="A10150" s="503" t="s">
        <v>1823</v>
      </c>
      <c r="B10150" s="504" t="s">
        <v>2820</v>
      </c>
      <c r="C10150" s="504" t="s">
        <v>1089</v>
      </c>
      <c r="D10150" s="504" t="s">
        <v>3392</v>
      </c>
      <c r="E10150" s="504" t="s">
        <v>3381</v>
      </c>
      <c r="F10150" s="504" t="s">
        <v>2</v>
      </c>
      <c r="G10150" s="504" t="s">
        <v>3368</v>
      </c>
      <c r="H10150" s="504" t="s">
        <v>12613</v>
      </c>
      <c r="I10150" s="504">
        <v>29</v>
      </c>
      <c r="J10150" s="504">
        <v>29</v>
      </c>
      <c r="K10150" s="504">
        <v>0</v>
      </c>
      <c r="L10150" s="504">
        <v>0</v>
      </c>
      <c r="M10150" s="504">
        <v>0</v>
      </c>
      <c r="N10150" s="504">
        <v>0</v>
      </c>
      <c r="O10150" s="505">
        <v>0</v>
      </c>
    </row>
    <row r="10151" spans="1:15" x14ac:dyDescent="0.35">
      <c r="A10151" s="500" t="s">
        <v>1426</v>
      </c>
      <c r="B10151" s="501" t="s">
        <v>2786</v>
      </c>
      <c r="C10151" s="501" t="s">
        <v>1089</v>
      </c>
      <c r="D10151" s="501" t="s">
        <v>3392</v>
      </c>
      <c r="E10151" s="501" t="s">
        <v>3381</v>
      </c>
      <c r="F10151" s="501" t="s">
        <v>416</v>
      </c>
      <c r="G10151" s="501" t="s">
        <v>3368</v>
      </c>
      <c r="H10151" s="501" t="s">
        <v>12614</v>
      </c>
      <c r="I10151" s="501">
        <v>19</v>
      </c>
      <c r="J10151" s="501">
        <v>19</v>
      </c>
      <c r="K10151" s="501">
        <v>0</v>
      </c>
      <c r="L10151" s="501">
        <v>0</v>
      </c>
      <c r="M10151" s="501">
        <v>0</v>
      </c>
      <c r="N10151" s="501">
        <v>0</v>
      </c>
      <c r="O10151" s="506">
        <v>0</v>
      </c>
    </row>
    <row r="10152" spans="1:15" x14ac:dyDescent="0.35">
      <c r="A10152" s="503" t="s">
        <v>1624</v>
      </c>
      <c r="B10152" s="504">
        <v>4792</v>
      </c>
      <c r="C10152" s="504" t="s">
        <v>1089</v>
      </c>
      <c r="D10152" s="504" t="s">
        <v>3392</v>
      </c>
      <c r="E10152" s="504" t="s">
        <v>3381</v>
      </c>
      <c r="F10152" s="504" t="s">
        <v>417</v>
      </c>
      <c r="G10152" s="504" t="s">
        <v>3368</v>
      </c>
      <c r="H10152" s="504" t="s">
        <v>12616</v>
      </c>
      <c r="I10152" s="504">
        <v>14</v>
      </c>
      <c r="J10152" s="504">
        <v>0</v>
      </c>
      <c r="K10152" s="504">
        <v>0</v>
      </c>
      <c r="L10152" s="504">
        <v>14</v>
      </c>
      <c r="M10152" s="504">
        <v>0</v>
      </c>
      <c r="N10152" s="504">
        <v>0</v>
      </c>
      <c r="O10152" s="505">
        <v>0</v>
      </c>
    </row>
    <row r="10153" spans="1:15" x14ac:dyDescent="0.35">
      <c r="A10153" s="500" t="s">
        <v>1624</v>
      </c>
      <c r="B10153" s="501">
        <v>4792</v>
      </c>
      <c r="C10153" s="501" t="s">
        <v>1089</v>
      </c>
      <c r="D10153" s="501" t="s">
        <v>3392</v>
      </c>
      <c r="E10153" s="501" t="s">
        <v>3381</v>
      </c>
      <c r="F10153" s="501" t="s">
        <v>418</v>
      </c>
      <c r="G10153" s="501" t="s">
        <v>3368</v>
      </c>
      <c r="H10153" s="501" t="s">
        <v>12615</v>
      </c>
      <c r="I10153" s="501">
        <v>11</v>
      </c>
      <c r="J10153" s="501">
        <v>0</v>
      </c>
      <c r="K10153" s="501">
        <v>0</v>
      </c>
      <c r="L10153" s="501">
        <v>11</v>
      </c>
      <c r="M10153" s="501">
        <v>0</v>
      </c>
      <c r="N10153" s="501">
        <v>0</v>
      </c>
      <c r="O10153" s="506">
        <v>0</v>
      </c>
    </row>
    <row r="10154" spans="1:15" x14ac:dyDescent="0.35">
      <c r="A10154" s="503" t="s">
        <v>1169</v>
      </c>
      <c r="B10154" s="504">
        <v>4576</v>
      </c>
      <c r="C10154" s="504" t="s">
        <v>1089</v>
      </c>
      <c r="D10154" s="504" t="s">
        <v>3392</v>
      </c>
      <c r="E10154" s="504" t="s">
        <v>3381</v>
      </c>
      <c r="F10154" s="504" t="s">
        <v>414</v>
      </c>
      <c r="G10154" s="504" t="s">
        <v>3368</v>
      </c>
      <c r="H10154" s="504" t="s">
        <v>12617</v>
      </c>
      <c r="I10154" s="504">
        <v>111</v>
      </c>
      <c r="J10154" s="504">
        <v>111</v>
      </c>
      <c r="K10154" s="504">
        <v>0</v>
      </c>
      <c r="L10154" s="504">
        <v>0</v>
      </c>
      <c r="M10154" s="504">
        <v>0</v>
      </c>
      <c r="N10154" s="504">
        <v>0</v>
      </c>
      <c r="O10154" s="505">
        <v>0</v>
      </c>
    </row>
    <row r="10155" spans="1:15" x14ac:dyDescent="0.35">
      <c r="A10155" s="500" t="s">
        <v>11364</v>
      </c>
      <c r="B10155" s="501">
        <v>4677</v>
      </c>
      <c r="C10155" s="501" t="s">
        <v>1089</v>
      </c>
      <c r="D10155" s="501" t="s">
        <v>3392</v>
      </c>
      <c r="E10155" s="501" t="s">
        <v>3381</v>
      </c>
      <c r="F10155" s="501" t="s">
        <v>414</v>
      </c>
      <c r="G10155" s="501" t="s">
        <v>3368</v>
      </c>
      <c r="H10155" s="501" t="s">
        <v>12618</v>
      </c>
      <c r="I10155" s="501">
        <v>17</v>
      </c>
      <c r="J10155" s="501">
        <v>0</v>
      </c>
      <c r="K10155" s="501">
        <v>0</v>
      </c>
      <c r="L10155" s="501">
        <v>17</v>
      </c>
      <c r="M10155" s="501">
        <v>0</v>
      </c>
      <c r="N10155" s="501">
        <v>0</v>
      </c>
      <c r="O10155" s="506">
        <v>0</v>
      </c>
    </row>
    <row r="10156" spans="1:15" x14ac:dyDescent="0.35">
      <c r="A10156" s="503" t="s">
        <v>1170</v>
      </c>
      <c r="B10156" s="504">
        <v>4790</v>
      </c>
      <c r="C10156" s="504" t="s">
        <v>1089</v>
      </c>
      <c r="D10156" s="504" t="s">
        <v>3392</v>
      </c>
      <c r="E10156" s="504" t="s">
        <v>3381</v>
      </c>
      <c r="F10156" s="504" t="s">
        <v>414</v>
      </c>
      <c r="G10156" s="504" t="s">
        <v>3368</v>
      </c>
      <c r="H10156" s="504" t="s">
        <v>12619</v>
      </c>
      <c r="I10156" s="504">
        <v>95</v>
      </c>
      <c r="J10156" s="504">
        <v>95</v>
      </c>
      <c r="K10156" s="504">
        <v>0</v>
      </c>
      <c r="L10156" s="504">
        <v>0</v>
      </c>
      <c r="M10156" s="504">
        <v>0</v>
      </c>
      <c r="N10156" s="504">
        <v>0</v>
      </c>
      <c r="O10156" s="505">
        <v>0</v>
      </c>
    </row>
    <row r="10157" spans="1:15" x14ac:dyDescent="0.35">
      <c r="A10157" s="500" t="s">
        <v>1171</v>
      </c>
      <c r="B10157" s="501" t="s">
        <v>3003</v>
      </c>
      <c r="C10157" s="501" t="s">
        <v>1094</v>
      </c>
      <c r="D10157" s="501" t="s">
        <v>3380</v>
      </c>
      <c r="E10157" s="501" t="s">
        <v>3381</v>
      </c>
      <c r="F10157" s="501" t="s">
        <v>414</v>
      </c>
      <c r="G10157" s="501" t="s">
        <v>3368</v>
      </c>
      <c r="H10157" s="501" t="s">
        <v>12621</v>
      </c>
      <c r="I10157" s="501">
        <v>7724</v>
      </c>
      <c r="J10157" s="501">
        <v>6004</v>
      </c>
      <c r="K10157" s="501">
        <v>320</v>
      </c>
      <c r="L10157" s="501">
        <v>85</v>
      </c>
      <c r="M10157" s="501">
        <v>575</v>
      </c>
      <c r="N10157" s="501">
        <v>0</v>
      </c>
      <c r="O10157" s="506">
        <v>740</v>
      </c>
    </row>
    <row r="10158" spans="1:15" x14ac:dyDescent="0.35">
      <c r="A10158" s="503" t="s">
        <v>1171</v>
      </c>
      <c r="B10158" s="504" t="s">
        <v>3003</v>
      </c>
      <c r="C10158" s="504" t="s">
        <v>1094</v>
      </c>
      <c r="D10158" s="504" t="s">
        <v>3380</v>
      </c>
      <c r="E10158" s="504" t="s">
        <v>3381</v>
      </c>
      <c r="F10158" s="504" t="s">
        <v>420</v>
      </c>
      <c r="G10158" s="504" t="s">
        <v>3368</v>
      </c>
      <c r="H10158" s="504" t="s">
        <v>12622</v>
      </c>
      <c r="I10158" s="504">
        <v>234</v>
      </c>
      <c r="J10158" s="504">
        <v>192</v>
      </c>
      <c r="K10158" s="504">
        <v>0</v>
      </c>
      <c r="L10158" s="504">
        <v>0</v>
      </c>
      <c r="M10158" s="504">
        <v>12</v>
      </c>
      <c r="N10158" s="504">
        <v>0</v>
      </c>
      <c r="O10158" s="505">
        <v>30</v>
      </c>
    </row>
    <row r="10159" spans="1:15" x14ac:dyDescent="0.35">
      <c r="A10159" s="500" t="s">
        <v>1171</v>
      </c>
      <c r="B10159" s="501" t="s">
        <v>3003</v>
      </c>
      <c r="C10159" s="501" t="s">
        <v>1094</v>
      </c>
      <c r="D10159" s="501" t="s">
        <v>3380</v>
      </c>
      <c r="E10159" s="501" t="s">
        <v>3381</v>
      </c>
      <c r="F10159" s="501" t="s">
        <v>419</v>
      </c>
      <c r="G10159" s="501" t="s">
        <v>3368</v>
      </c>
      <c r="H10159" s="501" t="s">
        <v>15357</v>
      </c>
      <c r="I10159" s="501">
        <v>104</v>
      </c>
      <c r="J10159" s="501">
        <v>98</v>
      </c>
      <c r="K10159" s="501">
        <v>0</v>
      </c>
      <c r="L10159" s="501">
        <v>0</v>
      </c>
      <c r="M10159" s="501">
        <v>0</v>
      </c>
      <c r="N10159" s="501">
        <v>0</v>
      </c>
      <c r="O10159" s="506">
        <v>6</v>
      </c>
    </row>
    <row r="10160" spans="1:15" x14ac:dyDescent="0.35">
      <c r="A10160" s="503" t="s">
        <v>1171</v>
      </c>
      <c r="B10160" s="504" t="s">
        <v>3003</v>
      </c>
      <c r="C10160" s="504" t="s">
        <v>1094</v>
      </c>
      <c r="D10160" s="504" t="s">
        <v>3380</v>
      </c>
      <c r="E10160" s="504" t="s">
        <v>3381</v>
      </c>
      <c r="F10160" s="504" t="s">
        <v>2</v>
      </c>
      <c r="G10160" s="504" t="s">
        <v>3368</v>
      </c>
      <c r="H10160" s="504" t="s">
        <v>12620</v>
      </c>
      <c r="I10160" s="504">
        <v>97</v>
      </c>
      <c r="J10160" s="504">
        <v>58</v>
      </c>
      <c r="K10160" s="504">
        <v>0</v>
      </c>
      <c r="L10160" s="504">
        <v>0</v>
      </c>
      <c r="M10160" s="504">
        <v>0</v>
      </c>
      <c r="N10160" s="504">
        <v>0</v>
      </c>
      <c r="O10160" s="505">
        <v>39</v>
      </c>
    </row>
    <row r="10161" spans="1:15" x14ac:dyDescent="0.35">
      <c r="A10161" s="500" t="s">
        <v>1171</v>
      </c>
      <c r="B10161" s="501" t="s">
        <v>3003</v>
      </c>
      <c r="C10161" s="501" t="s">
        <v>1094</v>
      </c>
      <c r="D10161" s="501" t="s">
        <v>3380</v>
      </c>
      <c r="E10161" s="501" t="s">
        <v>3381</v>
      </c>
      <c r="F10161" s="501" t="s">
        <v>1048</v>
      </c>
      <c r="G10161" s="501" t="s">
        <v>3368</v>
      </c>
      <c r="H10161" s="501" t="s">
        <v>13972</v>
      </c>
      <c r="I10161" s="501">
        <v>41</v>
      </c>
      <c r="J10161" s="501">
        <v>3</v>
      </c>
      <c r="K10161" s="501">
        <v>0</v>
      </c>
      <c r="L10161" s="501">
        <v>0</v>
      </c>
      <c r="M10161" s="501">
        <v>0</v>
      </c>
      <c r="N10161" s="501">
        <v>0</v>
      </c>
      <c r="O10161" s="506">
        <v>38</v>
      </c>
    </row>
    <row r="10162" spans="1:15" x14ac:dyDescent="0.35">
      <c r="A10162" s="503" t="s">
        <v>11384</v>
      </c>
      <c r="B10162" s="504">
        <v>5081</v>
      </c>
      <c r="C10162" s="504" t="s">
        <v>1089</v>
      </c>
      <c r="D10162" s="504" t="s">
        <v>3392</v>
      </c>
      <c r="E10162" s="504" t="s">
        <v>3381</v>
      </c>
      <c r="F10162" s="504" t="s">
        <v>416</v>
      </c>
      <c r="G10162" s="504" t="s">
        <v>3368</v>
      </c>
      <c r="H10162" s="504" t="s">
        <v>12623</v>
      </c>
      <c r="I10162" s="504">
        <v>18</v>
      </c>
      <c r="J10162" s="504">
        <v>18</v>
      </c>
      <c r="K10162" s="504">
        <v>0</v>
      </c>
      <c r="L10162" s="504">
        <v>0</v>
      </c>
      <c r="M10162" s="504">
        <v>0</v>
      </c>
      <c r="N10162" s="504">
        <v>0</v>
      </c>
      <c r="O10162" s="505">
        <v>0</v>
      </c>
    </row>
    <row r="10163" spans="1:15" x14ac:dyDescent="0.35">
      <c r="A10163" s="500" t="s">
        <v>1172</v>
      </c>
      <c r="B10163" s="501">
        <v>4648</v>
      </c>
      <c r="C10163" s="501" t="s">
        <v>1089</v>
      </c>
      <c r="D10163" s="501" t="s">
        <v>3392</v>
      </c>
      <c r="E10163" s="501" t="s">
        <v>3381</v>
      </c>
      <c r="F10163" s="501" t="s">
        <v>419</v>
      </c>
      <c r="G10163" s="501" t="s">
        <v>3368</v>
      </c>
      <c r="H10163" s="501" t="s">
        <v>12628</v>
      </c>
      <c r="I10163" s="501">
        <v>71</v>
      </c>
      <c r="J10163" s="501">
        <v>0</v>
      </c>
      <c r="K10163" s="501">
        <v>0</v>
      </c>
      <c r="L10163" s="501">
        <v>71</v>
      </c>
      <c r="M10163" s="501">
        <v>0</v>
      </c>
      <c r="N10163" s="501">
        <v>0</v>
      </c>
      <c r="O10163" s="506">
        <v>0</v>
      </c>
    </row>
    <row r="10164" spans="1:15" x14ac:dyDescent="0.35">
      <c r="A10164" s="503" t="s">
        <v>1172</v>
      </c>
      <c r="B10164" s="504">
        <v>4648</v>
      </c>
      <c r="C10164" s="504" t="s">
        <v>1089</v>
      </c>
      <c r="D10164" s="504" t="s">
        <v>3392</v>
      </c>
      <c r="E10164" s="504" t="s">
        <v>3381</v>
      </c>
      <c r="F10164" s="504" t="s">
        <v>420</v>
      </c>
      <c r="G10164" s="504" t="s">
        <v>3368</v>
      </c>
      <c r="H10164" s="504" t="s">
        <v>12630</v>
      </c>
      <c r="I10164" s="504">
        <v>59</v>
      </c>
      <c r="J10164" s="504">
        <v>0</v>
      </c>
      <c r="K10164" s="504">
        <v>0</v>
      </c>
      <c r="L10164" s="504">
        <v>59</v>
      </c>
      <c r="M10164" s="504">
        <v>0</v>
      </c>
      <c r="N10164" s="504">
        <v>0</v>
      </c>
      <c r="O10164" s="505">
        <v>0</v>
      </c>
    </row>
    <row r="10165" spans="1:15" x14ac:dyDescent="0.35">
      <c r="A10165" s="500" t="s">
        <v>1172</v>
      </c>
      <c r="B10165" s="501">
        <v>4648</v>
      </c>
      <c r="C10165" s="501" t="s">
        <v>1089</v>
      </c>
      <c r="D10165" s="501" t="s">
        <v>3392</v>
      </c>
      <c r="E10165" s="501" t="s">
        <v>3381</v>
      </c>
      <c r="F10165" s="501" t="s">
        <v>414</v>
      </c>
      <c r="G10165" s="501" t="s">
        <v>3368</v>
      </c>
      <c r="H10165" s="501" t="s">
        <v>12631</v>
      </c>
      <c r="I10165" s="501">
        <v>33</v>
      </c>
      <c r="J10165" s="501">
        <v>0</v>
      </c>
      <c r="K10165" s="501">
        <v>0</v>
      </c>
      <c r="L10165" s="501">
        <v>33</v>
      </c>
      <c r="M10165" s="501">
        <v>0</v>
      </c>
      <c r="N10165" s="501">
        <v>0</v>
      </c>
      <c r="O10165" s="506">
        <v>0</v>
      </c>
    </row>
    <row r="10166" spans="1:15" x14ac:dyDescent="0.35">
      <c r="A10166" s="503" t="s">
        <v>1172</v>
      </c>
      <c r="B10166" s="504">
        <v>4648</v>
      </c>
      <c r="C10166" s="504" t="s">
        <v>1089</v>
      </c>
      <c r="D10166" s="504" t="s">
        <v>3392</v>
      </c>
      <c r="E10166" s="504" t="s">
        <v>3381</v>
      </c>
      <c r="F10166" s="504" t="s">
        <v>417</v>
      </c>
      <c r="G10166" s="504" t="s">
        <v>3368</v>
      </c>
      <c r="H10166" s="504" t="s">
        <v>12629</v>
      </c>
      <c r="I10166" s="504">
        <v>53</v>
      </c>
      <c r="J10166" s="504">
        <v>0</v>
      </c>
      <c r="K10166" s="504">
        <v>0</v>
      </c>
      <c r="L10166" s="504">
        <v>53</v>
      </c>
      <c r="M10166" s="504">
        <v>0</v>
      </c>
      <c r="N10166" s="504">
        <v>0</v>
      </c>
      <c r="O10166" s="505">
        <v>0</v>
      </c>
    </row>
    <row r="10167" spans="1:15" x14ac:dyDescent="0.35">
      <c r="A10167" s="500" t="s">
        <v>1172</v>
      </c>
      <c r="B10167" s="501">
        <v>4648</v>
      </c>
      <c r="C10167" s="501" t="s">
        <v>1089</v>
      </c>
      <c r="D10167" s="501" t="s">
        <v>3392</v>
      </c>
      <c r="E10167" s="501" t="s">
        <v>3381</v>
      </c>
      <c r="F10167" s="501" t="s">
        <v>1048</v>
      </c>
      <c r="G10167" s="501" t="s">
        <v>3368</v>
      </c>
      <c r="H10167" s="501" t="s">
        <v>13973</v>
      </c>
      <c r="I10167" s="501">
        <v>114</v>
      </c>
      <c r="J10167" s="501">
        <v>0</v>
      </c>
      <c r="K10167" s="501">
        <v>0</v>
      </c>
      <c r="L10167" s="501">
        <v>114</v>
      </c>
      <c r="M10167" s="501">
        <v>0</v>
      </c>
      <c r="N10167" s="501">
        <v>0</v>
      </c>
      <c r="O10167" s="506">
        <v>0</v>
      </c>
    </row>
    <row r="10168" spans="1:15" x14ac:dyDescent="0.35">
      <c r="A10168" s="503" t="s">
        <v>1172</v>
      </c>
      <c r="B10168" s="504">
        <v>4648</v>
      </c>
      <c r="C10168" s="504" t="s">
        <v>1089</v>
      </c>
      <c r="D10168" s="504" t="s">
        <v>3392</v>
      </c>
      <c r="E10168" s="504" t="s">
        <v>3381</v>
      </c>
      <c r="F10168" s="504" t="s">
        <v>418</v>
      </c>
      <c r="G10168" s="504" t="s">
        <v>3368</v>
      </c>
      <c r="H10168" s="504" t="s">
        <v>12626</v>
      </c>
      <c r="I10168" s="504">
        <v>42</v>
      </c>
      <c r="J10168" s="504">
        <v>0</v>
      </c>
      <c r="K10168" s="504">
        <v>0</v>
      </c>
      <c r="L10168" s="504">
        <v>42</v>
      </c>
      <c r="M10168" s="504">
        <v>0</v>
      </c>
      <c r="N10168" s="504">
        <v>0</v>
      </c>
      <c r="O10168" s="505">
        <v>0</v>
      </c>
    </row>
    <row r="10169" spans="1:15" x14ac:dyDescent="0.35">
      <c r="A10169" s="500" t="s">
        <v>1172</v>
      </c>
      <c r="B10169" s="501">
        <v>4648</v>
      </c>
      <c r="C10169" s="501" t="s">
        <v>1089</v>
      </c>
      <c r="D10169" s="501" t="s">
        <v>3392</v>
      </c>
      <c r="E10169" s="501" t="s">
        <v>3381</v>
      </c>
      <c r="F10169" s="501" t="s">
        <v>2</v>
      </c>
      <c r="G10169" s="501" t="s">
        <v>3368</v>
      </c>
      <c r="H10169" s="501" t="s">
        <v>12625</v>
      </c>
      <c r="I10169" s="501">
        <v>99</v>
      </c>
      <c r="J10169" s="501">
        <v>0</v>
      </c>
      <c r="K10169" s="501">
        <v>0</v>
      </c>
      <c r="L10169" s="501">
        <v>99</v>
      </c>
      <c r="M10169" s="501">
        <v>0</v>
      </c>
      <c r="N10169" s="501">
        <v>0</v>
      </c>
      <c r="O10169" s="506">
        <v>0</v>
      </c>
    </row>
    <row r="10170" spans="1:15" x14ac:dyDescent="0.35">
      <c r="A10170" s="503" t="s">
        <v>1172</v>
      </c>
      <c r="B10170" s="504">
        <v>4648</v>
      </c>
      <c r="C10170" s="504" t="s">
        <v>1089</v>
      </c>
      <c r="D10170" s="504" t="s">
        <v>3392</v>
      </c>
      <c r="E10170" s="504" t="s">
        <v>3381</v>
      </c>
      <c r="F10170" s="504" t="s">
        <v>415</v>
      </c>
      <c r="G10170" s="504" t="s">
        <v>3368</v>
      </c>
      <c r="H10170" s="504" t="s">
        <v>12624</v>
      </c>
      <c r="I10170" s="504">
        <v>68</v>
      </c>
      <c r="J10170" s="504">
        <v>0</v>
      </c>
      <c r="K10170" s="504">
        <v>0</v>
      </c>
      <c r="L10170" s="504">
        <v>68</v>
      </c>
      <c r="M10170" s="504">
        <v>0</v>
      </c>
      <c r="N10170" s="504">
        <v>0</v>
      </c>
      <c r="O10170" s="505">
        <v>0</v>
      </c>
    </row>
    <row r="10171" spans="1:15" x14ac:dyDescent="0.35">
      <c r="A10171" s="500" t="s">
        <v>1172</v>
      </c>
      <c r="B10171" s="501">
        <v>4648</v>
      </c>
      <c r="C10171" s="501" t="s">
        <v>1089</v>
      </c>
      <c r="D10171" s="501" t="s">
        <v>3392</v>
      </c>
      <c r="E10171" s="501" t="s">
        <v>3381</v>
      </c>
      <c r="F10171" s="501" t="s">
        <v>416</v>
      </c>
      <c r="G10171" s="501" t="s">
        <v>3368</v>
      </c>
      <c r="H10171" s="501" t="s">
        <v>12627</v>
      </c>
      <c r="I10171" s="501">
        <v>39</v>
      </c>
      <c r="J10171" s="501">
        <v>0</v>
      </c>
      <c r="K10171" s="501">
        <v>0</v>
      </c>
      <c r="L10171" s="501">
        <v>39</v>
      </c>
      <c r="M10171" s="501">
        <v>0</v>
      </c>
      <c r="N10171" s="501">
        <v>0</v>
      </c>
      <c r="O10171" s="506">
        <v>0</v>
      </c>
    </row>
    <row r="10172" spans="1:15" x14ac:dyDescent="0.35">
      <c r="A10172" s="503" t="s">
        <v>1697</v>
      </c>
      <c r="B10172" s="504" t="s">
        <v>2732</v>
      </c>
      <c r="C10172" s="504" t="s">
        <v>1089</v>
      </c>
      <c r="D10172" s="504" t="s">
        <v>3392</v>
      </c>
      <c r="E10172" s="504" t="s">
        <v>3381</v>
      </c>
      <c r="F10172" s="504" t="s">
        <v>418</v>
      </c>
      <c r="G10172" s="504" t="s">
        <v>3368</v>
      </c>
      <c r="H10172" s="504" t="s">
        <v>12632</v>
      </c>
      <c r="I10172" s="504">
        <v>32</v>
      </c>
      <c r="J10172" s="504">
        <v>32</v>
      </c>
      <c r="K10172" s="504">
        <v>0</v>
      </c>
      <c r="L10172" s="504">
        <v>0</v>
      </c>
      <c r="M10172" s="504">
        <v>0</v>
      </c>
      <c r="N10172" s="504">
        <v>0</v>
      </c>
      <c r="O10172" s="505">
        <v>0</v>
      </c>
    </row>
    <row r="10173" spans="1:15" x14ac:dyDescent="0.35">
      <c r="A10173" s="500" t="s">
        <v>11385</v>
      </c>
      <c r="B10173" s="501">
        <v>4787</v>
      </c>
      <c r="C10173" s="501" t="s">
        <v>1089</v>
      </c>
      <c r="D10173" s="501" t="s">
        <v>3392</v>
      </c>
      <c r="E10173" s="501" t="s">
        <v>3381</v>
      </c>
      <c r="F10173" s="501" t="s">
        <v>418</v>
      </c>
      <c r="G10173" s="501" t="s">
        <v>3368</v>
      </c>
      <c r="H10173" s="501" t="s">
        <v>12633</v>
      </c>
      <c r="I10173" s="501">
        <v>46</v>
      </c>
      <c r="J10173" s="501">
        <v>0</v>
      </c>
      <c r="K10173" s="501">
        <v>0</v>
      </c>
      <c r="L10173" s="501">
        <v>46</v>
      </c>
      <c r="M10173" s="501">
        <v>0</v>
      </c>
      <c r="N10173" s="501">
        <v>0</v>
      </c>
      <c r="O10173" s="506">
        <v>0</v>
      </c>
    </row>
    <row r="10174" spans="1:15" x14ac:dyDescent="0.35">
      <c r="A10174" s="503" t="s">
        <v>11385</v>
      </c>
      <c r="B10174" s="504">
        <v>4787</v>
      </c>
      <c r="C10174" s="504" t="s">
        <v>1089</v>
      </c>
      <c r="D10174" s="504" t="s">
        <v>3392</v>
      </c>
      <c r="E10174" s="504" t="s">
        <v>3381</v>
      </c>
      <c r="F10174" s="504" t="s">
        <v>416</v>
      </c>
      <c r="G10174" s="504" t="s">
        <v>3368</v>
      </c>
      <c r="H10174" s="504" t="s">
        <v>12634</v>
      </c>
      <c r="I10174" s="504">
        <v>220</v>
      </c>
      <c r="J10174" s="504">
        <v>220</v>
      </c>
      <c r="K10174" s="504">
        <v>0</v>
      </c>
      <c r="L10174" s="504">
        <v>0</v>
      </c>
      <c r="M10174" s="504">
        <v>0</v>
      </c>
      <c r="N10174" s="504">
        <v>0</v>
      </c>
      <c r="O10174" s="505">
        <v>0</v>
      </c>
    </row>
    <row r="10175" spans="1:15" x14ac:dyDescent="0.35">
      <c r="A10175" s="500" t="s">
        <v>1427</v>
      </c>
      <c r="B10175" s="501">
        <v>4813</v>
      </c>
      <c r="C10175" s="501" t="s">
        <v>1089</v>
      </c>
      <c r="D10175" s="501" t="s">
        <v>3392</v>
      </c>
      <c r="E10175" s="501" t="s">
        <v>3381</v>
      </c>
      <c r="F10175" s="501" t="s">
        <v>416</v>
      </c>
      <c r="G10175" s="501" t="s">
        <v>3368</v>
      </c>
      <c r="H10175" s="501" t="s">
        <v>12635</v>
      </c>
      <c r="I10175" s="501">
        <v>88</v>
      </c>
      <c r="J10175" s="501">
        <v>88</v>
      </c>
      <c r="K10175" s="501">
        <v>0</v>
      </c>
      <c r="L10175" s="501">
        <v>0</v>
      </c>
      <c r="M10175" s="501">
        <v>0</v>
      </c>
      <c r="N10175" s="501">
        <v>0</v>
      </c>
      <c r="O10175" s="506">
        <v>0</v>
      </c>
    </row>
    <row r="10176" spans="1:15" x14ac:dyDescent="0.35">
      <c r="A10176" s="503" t="s">
        <v>2144</v>
      </c>
      <c r="B10176" s="504" t="s">
        <v>2918</v>
      </c>
      <c r="C10176" s="504" t="s">
        <v>1089</v>
      </c>
      <c r="D10176" s="504" t="s">
        <v>3392</v>
      </c>
      <c r="E10176" s="504" t="s">
        <v>3381</v>
      </c>
      <c r="F10176" s="504" t="s">
        <v>1048</v>
      </c>
      <c r="G10176" s="504" t="s">
        <v>3368</v>
      </c>
      <c r="H10176" s="504" t="s">
        <v>13974</v>
      </c>
      <c r="I10176" s="504">
        <v>30</v>
      </c>
      <c r="J10176" s="504">
        <v>0</v>
      </c>
      <c r="K10176" s="504">
        <v>0</v>
      </c>
      <c r="L10176" s="504">
        <v>30</v>
      </c>
      <c r="M10176" s="504">
        <v>0</v>
      </c>
      <c r="N10176" s="504">
        <v>0</v>
      </c>
      <c r="O10176" s="505">
        <v>0</v>
      </c>
    </row>
    <row r="10177" spans="1:15" x14ac:dyDescent="0.35">
      <c r="A10177" s="500" t="s">
        <v>1824</v>
      </c>
      <c r="B10177" s="501" t="s">
        <v>2514</v>
      </c>
      <c r="C10177" s="501" t="s">
        <v>1089</v>
      </c>
      <c r="D10177" s="501" t="s">
        <v>3392</v>
      </c>
      <c r="E10177" s="501" t="s">
        <v>3381</v>
      </c>
      <c r="F10177" s="501" t="s">
        <v>2</v>
      </c>
      <c r="G10177" s="501" t="s">
        <v>3368</v>
      </c>
      <c r="H10177" s="501" t="s">
        <v>12636</v>
      </c>
      <c r="I10177" s="501">
        <v>20</v>
      </c>
      <c r="J10177" s="501">
        <v>0</v>
      </c>
      <c r="K10177" s="501">
        <v>0</v>
      </c>
      <c r="L10177" s="501">
        <v>20</v>
      </c>
      <c r="M10177" s="501">
        <v>0</v>
      </c>
      <c r="N10177" s="501">
        <v>0</v>
      </c>
      <c r="O10177" s="506">
        <v>0</v>
      </c>
    </row>
    <row r="10178" spans="1:15" x14ac:dyDescent="0.35">
      <c r="A10178" s="503" t="s">
        <v>1825</v>
      </c>
      <c r="B10178" s="504" t="s">
        <v>2549</v>
      </c>
      <c r="C10178" s="504" t="s">
        <v>1089</v>
      </c>
      <c r="D10178" s="504" t="s">
        <v>3392</v>
      </c>
      <c r="E10178" s="504" t="s">
        <v>3381</v>
      </c>
      <c r="F10178" s="504" t="s">
        <v>2</v>
      </c>
      <c r="G10178" s="504" t="s">
        <v>3368</v>
      </c>
      <c r="H10178" s="504" t="s">
        <v>12637</v>
      </c>
      <c r="I10178" s="504">
        <v>4</v>
      </c>
      <c r="J10178" s="504">
        <v>0</v>
      </c>
      <c r="K10178" s="504">
        <v>0</v>
      </c>
      <c r="L10178" s="504">
        <v>0</v>
      </c>
      <c r="M10178" s="504">
        <v>4</v>
      </c>
      <c r="N10178" s="504">
        <v>0</v>
      </c>
      <c r="O10178" s="505">
        <v>0</v>
      </c>
    </row>
    <row r="10179" spans="1:15" x14ac:dyDescent="0.35">
      <c r="A10179" s="500" t="s">
        <v>1428</v>
      </c>
      <c r="B10179" s="501">
        <v>4852</v>
      </c>
      <c r="C10179" s="501" t="s">
        <v>1089</v>
      </c>
      <c r="D10179" s="501" t="s">
        <v>3392</v>
      </c>
      <c r="E10179" s="501" t="s">
        <v>3381</v>
      </c>
      <c r="F10179" s="501" t="s">
        <v>2</v>
      </c>
      <c r="G10179" s="501" t="s">
        <v>3368</v>
      </c>
      <c r="H10179" s="501" t="s">
        <v>12639</v>
      </c>
      <c r="I10179" s="501">
        <v>4</v>
      </c>
      <c r="J10179" s="501">
        <v>4</v>
      </c>
      <c r="K10179" s="501">
        <v>0</v>
      </c>
      <c r="L10179" s="501">
        <v>0</v>
      </c>
      <c r="M10179" s="501">
        <v>0</v>
      </c>
      <c r="N10179" s="501">
        <v>0</v>
      </c>
      <c r="O10179" s="506">
        <v>0</v>
      </c>
    </row>
    <row r="10180" spans="1:15" x14ac:dyDescent="0.35">
      <c r="A10180" s="503" t="s">
        <v>1428</v>
      </c>
      <c r="B10180" s="504">
        <v>4852</v>
      </c>
      <c r="C10180" s="504" t="s">
        <v>1089</v>
      </c>
      <c r="D10180" s="504" t="s">
        <v>3392</v>
      </c>
      <c r="E10180" s="504" t="s">
        <v>3381</v>
      </c>
      <c r="F10180" s="504" t="s">
        <v>416</v>
      </c>
      <c r="G10180" s="504" t="s">
        <v>3368</v>
      </c>
      <c r="H10180" s="504" t="s">
        <v>12638</v>
      </c>
      <c r="I10180" s="504">
        <v>12</v>
      </c>
      <c r="J10180" s="504">
        <v>12</v>
      </c>
      <c r="K10180" s="504">
        <v>0</v>
      </c>
      <c r="L10180" s="504">
        <v>0</v>
      </c>
      <c r="M10180" s="504">
        <v>0</v>
      </c>
      <c r="N10180" s="504">
        <v>0</v>
      </c>
      <c r="O10180" s="505">
        <v>0</v>
      </c>
    </row>
    <row r="10181" spans="1:15" x14ac:dyDescent="0.35">
      <c r="A10181" s="500" t="s">
        <v>1826</v>
      </c>
      <c r="B10181" s="501" t="s">
        <v>2519</v>
      </c>
      <c r="C10181" s="501" t="s">
        <v>1089</v>
      </c>
      <c r="D10181" s="501" t="s">
        <v>3392</v>
      </c>
      <c r="E10181" s="501" t="s">
        <v>3381</v>
      </c>
      <c r="F10181" s="501" t="s">
        <v>2</v>
      </c>
      <c r="G10181" s="501" t="s">
        <v>3368</v>
      </c>
      <c r="H10181" s="501" t="s">
        <v>12640</v>
      </c>
      <c r="I10181" s="501">
        <v>6</v>
      </c>
      <c r="J10181" s="501">
        <v>0</v>
      </c>
      <c r="K10181" s="501">
        <v>0</v>
      </c>
      <c r="L10181" s="501">
        <v>6</v>
      </c>
      <c r="M10181" s="501">
        <v>0</v>
      </c>
      <c r="N10181" s="501">
        <v>0</v>
      </c>
      <c r="O10181" s="506">
        <v>0</v>
      </c>
    </row>
    <row r="10182" spans="1:15" x14ac:dyDescent="0.35">
      <c r="A10182" s="503" t="s">
        <v>1827</v>
      </c>
      <c r="B10182" s="504" t="s">
        <v>2637</v>
      </c>
      <c r="C10182" s="504" t="s">
        <v>1089</v>
      </c>
      <c r="D10182" s="504" t="s">
        <v>3392</v>
      </c>
      <c r="E10182" s="504" t="s">
        <v>3381</v>
      </c>
      <c r="F10182" s="504" t="s">
        <v>2</v>
      </c>
      <c r="G10182" s="504" t="s">
        <v>3368</v>
      </c>
      <c r="H10182" s="504" t="s">
        <v>12641</v>
      </c>
      <c r="I10182" s="504">
        <v>14</v>
      </c>
      <c r="J10182" s="504">
        <v>0</v>
      </c>
      <c r="K10182" s="504">
        <v>0</v>
      </c>
      <c r="L10182" s="504">
        <v>0</v>
      </c>
      <c r="M10182" s="504">
        <v>14</v>
      </c>
      <c r="N10182" s="504">
        <v>0</v>
      </c>
      <c r="O10182" s="505">
        <v>0</v>
      </c>
    </row>
    <row r="10183" spans="1:15" x14ac:dyDescent="0.35">
      <c r="A10183" s="500" t="s">
        <v>1625</v>
      </c>
      <c r="B10183" s="501">
        <v>5087</v>
      </c>
      <c r="C10183" s="501" t="s">
        <v>1089</v>
      </c>
      <c r="D10183" s="501" t="s">
        <v>3392</v>
      </c>
      <c r="E10183" s="501" t="s">
        <v>3381</v>
      </c>
      <c r="F10183" s="501" t="s">
        <v>417</v>
      </c>
      <c r="G10183" s="501" t="s">
        <v>3368</v>
      </c>
      <c r="H10183" s="501" t="s">
        <v>12642</v>
      </c>
      <c r="I10183" s="501">
        <v>26</v>
      </c>
      <c r="J10183" s="501">
        <v>4</v>
      </c>
      <c r="K10183" s="501">
        <v>12</v>
      </c>
      <c r="L10183" s="501">
        <v>10</v>
      </c>
      <c r="M10183" s="501">
        <v>0</v>
      </c>
      <c r="N10183" s="501">
        <v>0</v>
      </c>
      <c r="O10183" s="506">
        <v>0</v>
      </c>
    </row>
    <row r="10184" spans="1:15" x14ac:dyDescent="0.35">
      <c r="A10184" s="503" t="s">
        <v>1626</v>
      </c>
      <c r="B10184" s="504">
        <v>5125</v>
      </c>
      <c r="C10184" s="504" t="s">
        <v>1094</v>
      </c>
      <c r="D10184" s="504" t="s">
        <v>3380</v>
      </c>
      <c r="E10184" s="504" t="s">
        <v>3381</v>
      </c>
      <c r="F10184" s="504" t="s">
        <v>417</v>
      </c>
      <c r="G10184" s="504" t="s">
        <v>3368</v>
      </c>
      <c r="H10184" s="504" t="s">
        <v>12643</v>
      </c>
      <c r="I10184" s="504">
        <v>1767</v>
      </c>
      <c r="J10184" s="504">
        <v>1702</v>
      </c>
      <c r="K10184" s="504">
        <v>0</v>
      </c>
      <c r="L10184" s="504">
        <v>0</v>
      </c>
      <c r="M10184" s="504">
        <v>62</v>
      </c>
      <c r="N10184" s="504">
        <v>0</v>
      </c>
      <c r="O10184" s="505">
        <v>3</v>
      </c>
    </row>
    <row r="10185" spans="1:15" x14ac:dyDescent="0.35">
      <c r="A10185" s="500" t="s">
        <v>1292</v>
      </c>
      <c r="B10185" s="501" t="s">
        <v>2536</v>
      </c>
      <c r="C10185" s="501" t="s">
        <v>1089</v>
      </c>
      <c r="D10185" s="501" t="s">
        <v>3392</v>
      </c>
      <c r="E10185" s="501" t="s">
        <v>3381</v>
      </c>
      <c r="F10185" s="501" t="s">
        <v>415</v>
      </c>
      <c r="G10185" s="501" t="s">
        <v>3368</v>
      </c>
      <c r="H10185" s="501" t="s">
        <v>12644</v>
      </c>
      <c r="I10185" s="501">
        <v>8</v>
      </c>
      <c r="J10185" s="501">
        <v>8</v>
      </c>
      <c r="K10185" s="501">
        <v>0</v>
      </c>
      <c r="L10185" s="501">
        <v>0</v>
      </c>
      <c r="M10185" s="501">
        <v>0</v>
      </c>
      <c r="N10185" s="501">
        <v>0</v>
      </c>
      <c r="O10185" s="506">
        <v>0</v>
      </c>
    </row>
    <row r="10186" spans="1:15" x14ac:dyDescent="0.35">
      <c r="A10186" s="503" t="s">
        <v>1173</v>
      </c>
      <c r="B10186" s="504">
        <v>4775</v>
      </c>
      <c r="C10186" s="504" t="s">
        <v>1094</v>
      </c>
      <c r="D10186" s="504" t="s">
        <v>3380</v>
      </c>
      <c r="E10186" s="504" t="s">
        <v>3381</v>
      </c>
      <c r="F10186" s="504" t="s">
        <v>420</v>
      </c>
      <c r="G10186" s="504" t="s">
        <v>3368</v>
      </c>
      <c r="H10186" s="504" t="s">
        <v>12647</v>
      </c>
      <c r="I10186" s="504">
        <v>41</v>
      </c>
      <c r="J10186" s="504">
        <v>37</v>
      </c>
      <c r="K10186" s="504">
        <v>0</v>
      </c>
      <c r="L10186" s="504">
        <v>0</v>
      </c>
      <c r="M10186" s="504">
        <v>0</v>
      </c>
      <c r="N10186" s="504">
        <v>0</v>
      </c>
      <c r="O10186" s="505">
        <v>4</v>
      </c>
    </row>
    <row r="10187" spans="1:15" x14ac:dyDescent="0.35">
      <c r="A10187" s="500" t="s">
        <v>1173</v>
      </c>
      <c r="B10187" s="501">
        <v>4775</v>
      </c>
      <c r="C10187" s="501" t="s">
        <v>1094</v>
      </c>
      <c r="D10187" s="501" t="s">
        <v>3380</v>
      </c>
      <c r="E10187" s="501" t="s">
        <v>3381</v>
      </c>
      <c r="F10187" s="501" t="s">
        <v>1048</v>
      </c>
      <c r="G10187" s="501" t="s">
        <v>3368</v>
      </c>
      <c r="H10187" s="501" t="s">
        <v>13975</v>
      </c>
      <c r="I10187" s="501">
        <v>2</v>
      </c>
      <c r="J10187" s="501">
        <v>0</v>
      </c>
      <c r="K10187" s="501">
        <v>0</v>
      </c>
      <c r="L10187" s="501">
        <v>0</v>
      </c>
      <c r="M10187" s="501">
        <v>0</v>
      </c>
      <c r="N10187" s="501">
        <v>0</v>
      </c>
      <c r="O10187" s="506">
        <v>2</v>
      </c>
    </row>
    <row r="10188" spans="1:15" x14ac:dyDescent="0.35">
      <c r="A10188" s="503" t="s">
        <v>1173</v>
      </c>
      <c r="B10188" s="504">
        <v>4775</v>
      </c>
      <c r="C10188" s="504" t="s">
        <v>1094</v>
      </c>
      <c r="D10188" s="504" t="s">
        <v>3380</v>
      </c>
      <c r="E10188" s="504" t="s">
        <v>3381</v>
      </c>
      <c r="F10188" s="504" t="s">
        <v>414</v>
      </c>
      <c r="G10188" s="504" t="s">
        <v>3368</v>
      </c>
      <c r="H10188" s="504" t="s">
        <v>12646</v>
      </c>
      <c r="I10188" s="504">
        <v>17750</v>
      </c>
      <c r="J10188" s="504">
        <v>11533</v>
      </c>
      <c r="K10188" s="504">
        <v>0</v>
      </c>
      <c r="L10188" s="504">
        <v>657</v>
      </c>
      <c r="M10188" s="504">
        <v>3600</v>
      </c>
      <c r="N10188" s="504">
        <v>0</v>
      </c>
      <c r="O10188" s="505">
        <v>1960</v>
      </c>
    </row>
    <row r="10189" spans="1:15" x14ac:dyDescent="0.35">
      <c r="A10189" s="500" t="s">
        <v>1173</v>
      </c>
      <c r="B10189" s="501">
        <v>4775</v>
      </c>
      <c r="C10189" s="501" t="s">
        <v>1094</v>
      </c>
      <c r="D10189" s="501" t="s">
        <v>3380</v>
      </c>
      <c r="E10189" s="501" t="s">
        <v>3381</v>
      </c>
      <c r="F10189" s="501" t="s">
        <v>415</v>
      </c>
      <c r="G10189" s="501" t="s">
        <v>3368</v>
      </c>
      <c r="H10189" s="501" t="s">
        <v>12645</v>
      </c>
      <c r="I10189" s="501">
        <v>1</v>
      </c>
      <c r="J10189" s="501">
        <v>0</v>
      </c>
      <c r="K10189" s="501">
        <v>0</v>
      </c>
      <c r="L10189" s="501">
        <v>0</v>
      </c>
      <c r="M10189" s="501">
        <v>0</v>
      </c>
      <c r="N10189" s="501">
        <v>0</v>
      </c>
      <c r="O10189" s="506">
        <v>1</v>
      </c>
    </row>
    <row r="10190" spans="1:15" x14ac:dyDescent="0.35">
      <c r="A10190" s="503" t="s">
        <v>1973</v>
      </c>
      <c r="B10190" s="504" t="s">
        <v>2583</v>
      </c>
      <c r="C10190" s="504" t="s">
        <v>1089</v>
      </c>
      <c r="D10190" s="504" t="s">
        <v>3392</v>
      </c>
      <c r="E10190" s="504" t="s">
        <v>3381</v>
      </c>
      <c r="F10190" s="504" t="s">
        <v>419</v>
      </c>
      <c r="G10190" s="504" t="s">
        <v>3368</v>
      </c>
      <c r="H10190" s="504" t="s">
        <v>12648</v>
      </c>
      <c r="I10190" s="504">
        <v>20</v>
      </c>
      <c r="J10190" s="504">
        <v>0</v>
      </c>
      <c r="K10190" s="504">
        <v>0</v>
      </c>
      <c r="L10190" s="504">
        <v>0</v>
      </c>
      <c r="M10190" s="504">
        <v>20</v>
      </c>
      <c r="N10190" s="504">
        <v>0</v>
      </c>
      <c r="O10190" s="505">
        <v>0</v>
      </c>
    </row>
    <row r="10191" spans="1:15" x14ac:dyDescent="0.35">
      <c r="A10191" s="500" t="s">
        <v>1974</v>
      </c>
      <c r="B10191" s="501" t="s">
        <v>2993</v>
      </c>
      <c r="C10191" s="501" t="s">
        <v>1089</v>
      </c>
      <c r="D10191" s="501" t="s">
        <v>3392</v>
      </c>
      <c r="E10191" s="501" t="s">
        <v>3381</v>
      </c>
      <c r="F10191" s="501" t="s">
        <v>419</v>
      </c>
      <c r="G10191" s="501" t="s">
        <v>3368</v>
      </c>
      <c r="H10191" s="501" t="s">
        <v>12649</v>
      </c>
      <c r="I10191" s="501">
        <v>476</v>
      </c>
      <c r="J10191" s="501">
        <v>17</v>
      </c>
      <c r="K10191" s="501">
        <v>0</v>
      </c>
      <c r="L10191" s="501">
        <v>225</v>
      </c>
      <c r="M10191" s="501">
        <v>234</v>
      </c>
      <c r="N10191" s="501">
        <v>30</v>
      </c>
      <c r="O10191" s="506">
        <v>0</v>
      </c>
    </row>
    <row r="10192" spans="1:15" x14ac:dyDescent="0.35">
      <c r="A10192" s="503" t="s">
        <v>1429</v>
      </c>
      <c r="B10192" s="504" t="s">
        <v>3190</v>
      </c>
      <c r="C10192" s="504" t="s">
        <v>1094</v>
      </c>
      <c r="D10192" s="504" t="s">
        <v>3380</v>
      </c>
      <c r="E10192" s="504" t="s">
        <v>3381</v>
      </c>
      <c r="F10192" s="504" t="s">
        <v>416</v>
      </c>
      <c r="G10192" s="504" t="s">
        <v>3368</v>
      </c>
      <c r="H10192" s="504" t="s">
        <v>12650</v>
      </c>
      <c r="I10192" s="504">
        <v>2259</v>
      </c>
      <c r="J10192" s="504">
        <v>2259</v>
      </c>
      <c r="K10192" s="504">
        <v>0</v>
      </c>
      <c r="L10192" s="504">
        <v>0</v>
      </c>
      <c r="M10192" s="504">
        <v>0</v>
      </c>
      <c r="N10192" s="504">
        <v>196</v>
      </c>
      <c r="O10192" s="505">
        <v>0</v>
      </c>
    </row>
    <row r="10193" spans="1:15" x14ac:dyDescent="0.35">
      <c r="A10193" s="500" t="s">
        <v>1293</v>
      </c>
      <c r="B10193" s="501" t="s">
        <v>3212</v>
      </c>
      <c r="C10193" s="501" t="s">
        <v>1094</v>
      </c>
      <c r="D10193" s="501" t="s">
        <v>3380</v>
      </c>
      <c r="E10193" s="501" t="s">
        <v>3381</v>
      </c>
      <c r="F10193" s="501" t="s">
        <v>415</v>
      </c>
      <c r="G10193" s="501" t="s">
        <v>3368</v>
      </c>
      <c r="H10193" s="501" t="s">
        <v>12651</v>
      </c>
      <c r="I10193" s="501">
        <v>12142</v>
      </c>
      <c r="J10193" s="501">
        <v>10736</v>
      </c>
      <c r="K10193" s="501">
        <v>0</v>
      </c>
      <c r="L10193" s="501">
        <v>149</v>
      </c>
      <c r="M10193" s="501">
        <v>637</v>
      </c>
      <c r="N10193" s="501">
        <v>0</v>
      </c>
      <c r="O10193" s="506">
        <v>620</v>
      </c>
    </row>
    <row r="10194" spans="1:15" x14ac:dyDescent="0.35">
      <c r="A10194" s="503" t="s">
        <v>14189</v>
      </c>
      <c r="B10194" s="504">
        <v>4670</v>
      </c>
      <c r="C10194" s="504" t="s">
        <v>1089</v>
      </c>
      <c r="D10194" s="504" t="s">
        <v>3392</v>
      </c>
      <c r="E10194" s="504" t="s">
        <v>3381</v>
      </c>
      <c r="F10194" s="504" t="s">
        <v>420</v>
      </c>
      <c r="G10194" s="504" t="s">
        <v>3368</v>
      </c>
      <c r="H10194" s="504" t="s">
        <v>15358</v>
      </c>
      <c r="I10194" s="504">
        <v>213</v>
      </c>
      <c r="J10194" s="504">
        <v>0</v>
      </c>
      <c r="K10194" s="504">
        <v>213</v>
      </c>
      <c r="L10194" s="504">
        <v>0</v>
      </c>
      <c r="M10194" s="504">
        <v>0</v>
      </c>
      <c r="N10194" s="504">
        <v>0</v>
      </c>
      <c r="O10194" s="505">
        <v>0</v>
      </c>
    </row>
    <row r="10195" spans="1:15" x14ac:dyDescent="0.35">
      <c r="A10195" s="500" t="s">
        <v>1430</v>
      </c>
      <c r="B10195" s="501" t="s">
        <v>3308</v>
      </c>
      <c r="C10195" s="501" t="s">
        <v>1089</v>
      </c>
      <c r="D10195" s="501" t="s">
        <v>3392</v>
      </c>
      <c r="E10195" s="501" t="s">
        <v>3381</v>
      </c>
      <c r="F10195" s="501" t="s">
        <v>416</v>
      </c>
      <c r="G10195" s="501" t="s">
        <v>3368</v>
      </c>
      <c r="H10195" s="501" t="s">
        <v>12652</v>
      </c>
      <c r="I10195" s="501">
        <v>33</v>
      </c>
      <c r="J10195" s="501">
        <v>8</v>
      </c>
      <c r="K10195" s="501">
        <v>25</v>
      </c>
      <c r="L10195" s="501">
        <v>0</v>
      </c>
      <c r="M10195" s="501">
        <v>0</v>
      </c>
      <c r="N10195" s="501">
        <v>0</v>
      </c>
      <c r="O10195" s="506">
        <v>0</v>
      </c>
    </row>
    <row r="10196" spans="1:15" x14ac:dyDescent="0.35">
      <c r="A10196" s="503" t="s">
        <v>1698</v>
      </c>
      <c r="B10196" s="504" t="s">
        <v>3149</v>
      </c>
      <c r="C10196" s="504" t="s">
        <v>1094</v>
      </c>
      <c r="D10196" s="504" t="s">
        <v>3380</v>
      </c>
      <c r="E10196" s="504" t="s">
        <v>3381</v>
      </c>
      <c r="F10196" s="504" t="s">
        <v>418</v>
      </c>
      <c r="G10196" s="504" t="s">
        <v>3368</v>
      </c>
      <c r="H10196" s="504" t="s">
        <v>12653</v>
      </c>
      <c r="I10196" s="504">
        <v>1816</v>
      </c>
      <c r="J10196" s="504">
        <v>1572</v>
      </c>
      <c r="K10196" s="504">
        <v>0</v>
      </c>
      <c r="L10196" s="504">
        <v>81</v>
      </c>
      <c r="M10196" s="504">
        <v>68</v>
      </c>
      <c r="N10196" s="504">
        <v>9</v>
      </c>
      <c r="O10196" s="505">
        <v>95</v>
      </c>
    </row>
    <row r="10197" spans="1:15" x14ac:dyDescent="0.35">
      <c r="A10197" s="500" t="s">
        <v>1431</v>
      </c>
      <c r="B10197" s="501" t="s">
        <v>2695</v>
      </c>
      <c r="C10197" s="501" t="s">
        <v>1089</v>
      </c>
      <c r="D10197" s="501" t="s">
        <v>3392</v>
      </c>
      <c r="E10197" s="501" t="s">
        <v>3381</v>
      </c>
      <c r="F10197" s="501" t="s">
        <v>416</v>
      </c>
      <c r="G10197" s="501" t="s">
        <v>3368</v>
      </c>
      <c r="H10197" s="501" t="s">
        <v>12654</v>
      </c>
      <c r="I10197" s="501">
        <v>69</v>
      </c>
      <c r="J10197" s="501">
        <v>69</v>
      </c>
      <c r="K10197" s="501">
        <v>0</v>
      </c>
      <c r="L10197" s="501">
        <v>0</v>
      </c>
      <c r="M10197" s="501">
        <v>0</v>
      </c>
      <c r="N10197" s="501">
        <v>0</v>
      </c>
      <c r="O10197" s="506">
        <v>0</v>
      </c>
    </row>
    <row r="10198" spans="1:15" x14ac:dyDescent="0.35">
      <c r="A10198" s="503" t="s">
        <v>1432</v>
      </c>
      <c r="B10198" s="504" t="s">
        <v>2719</v>
      </c>
      <c r="C10198" s="504" t="s">
        <v>1089</v>
      </c>
      <c r="D10198" s="504" t="s">
        <v>3392</v>
      </c>
      <c r="E10198" s="504" t="s">
        <v>3381</v>
      </c>
      <c r="F10198" s="504" t="s">
        <v>416</v>
      </c>
      <c r="G10198" s="504" t="s">
        <v>3368</v>
      </c>
      <c r="H10198" s="504" t="s">
        <v>12655</v>
      </c>
      <c r="I10198" s="504">
        <v>59</v>
      </c>
      <c r="J10198" s="504">
        <v>59</v>
      </c>
      <c r="K10198" s="504">
        <v>0</v>
      </c>
      <c r="L10198" s="504">
        <v>0</v>
      </c>
      <c r="M10198" s="504">
        <v>0</v>
      </c>
      <c r="N10198" s="504">
        <v>0</v>
      </c>
      <c r="O10198" s="505">
        <v>0</v>
      </c>
    </row>
    <row r="10199" spans="1:15" x14ac:dyDescent="0.35">
      <c r="A10199" s="500" t="s">
        <v>1433</v>
      </c>
      <c r="B10199" s="501" t="s">
        <v>3316</v>
      </c>
      <c r="C10199" s="501" t="s">
        <v>1089</v>
      </c>
      <c r="D10199" s="501" t="s">
        <v>3392</v>
      </c>
      <c r="E10199" s="501" t="s">
        <v>3381</v>
      </c>
      <c r="F10199" s="501" t="s">
        <v>416</v>
      </c>
      <c r="G10199" s="501" t="s">
        <v>3368</v>
      </c>
      <c r="H10199" s="501" t="s">
        <v>12656</v>
      </c>
      <c r="I10199" s="501">
        <v>467</v>
      </c>
      <c r="J10199" s="501">
        <v>401</v>
      </c>
      <c r="K10199" s="501">
        <v>0</v>
      </c>
      <c r="L10199" s="501">
        <v>66</v>
      </c>
      <c r="M10199" s="501">
        <v>0</v>
      </c>
      <c r="N10199" s="501">
        <v>0</v>
      </c>
      <c r="O10199" s="506">
        <v>0</v>
      </c>
    </row>
    <row r="10200" spans="1:15" x14ac:dyDescent="0.35">
      <c r="A10200" s="503" t="s">
        <v>1434</v>
      </c>
      <c r="B10200" s="504" t="s">
        <v>3111</v>
      </c>
      <c r="C10200" s="504" t="s">
        <v>1089</v>
      </c>
      <c r="D10200" s="504" t="s">
        <v>3392</v>
      </c>
      <c r="E10200" s="504" t="s">
        <v>3381</v>
      </c>
      <c r="F10200" s="504" t="s">
        <v>416</v>
      </c>
      <c r="G10200" s="504" t="s">
        <v>3368</v>
      </c>
      <c r="H10200" s="504" t="s">
        <v>12657</v>
      </c>
      <c r="I10200" s="504">
        <v>209</v>
      </c>
      <c r="J10200" s="504">
        <v>6</v>
      </c>
      <c r="K10200" s="504">
        <v>0</v>
      </c>
      <c r="L10200" s="504">
        <v>203</v>
      </c>
      <c r="M10200" s="504">
        <v>0</v>
      </c>
      <c r="N10200" s="504">
        <v>0</v>
      </c>
      <c r="O10200" s="505">
        <v>0</v>
      </c>
    </row>
    <row r="10201" spans="1:15" x14ac:dyDescent="0.35">
      <c r="A10201" s="500" t="s">
        <v>1434</v>
      </c>
      <c r="B10201" s="501" t="s">
        <v>3111</v>
      </c>
      <c r="C10201" s="501" t="s">
        <v>1089</v>
      </c>
      <c r="D10201" s="501" t="s">
        <v>3392</v>
      </c>
      <c r="E10201" s="501" t="s">
        <v>3381</v>
      </c>
      <c r="F10201" s="501" t="s">
        <v>2</v>
      </c>
      <c r="G10201" s="501" t="s">
        <v>3368</v>
      </c>
      <c r="H10201" s="501" t="s">
        <v>12658</v>
      </c>
      <c r="I10201" s="501">
        <v>73</v>
      </c>
      <c r="J10201" s="501">
        <v>0</v>
      </c>
      <c r="K10201" s="501">
        <v>0</v>
      </c>
      <c r="L10201" s="501">
        <v>73</v>
      </c>
      <c r="M10201" s="501">
        <v>0</v>
      </c>
      <c r="N10201" s="501">
        <v>0</v>
      </c>
      <c r="O10201" s="506">
        <v>0</v>
      </c>
    </row>
    <row r="10202" spans="1:15" x14ac:dyDescent="0.35">
      <c r="A10202" s="503" t="s">
        <v>11452</v>
      </c>
      <c r="B10202" s="504" t="s">
        <v>2774</v>
      </c>
      <c r="C10202" s="504" t="s">
        <v>1089</v>
      </c>
      <c r="D10202" s="504" t="s">
        <v>3392</v>
      </c>
      <c r="E10202" s="504" t="s">
        <v>3381</v>
      </c>
      <c r="F10202" s="504" t="s">
        <v>418</v>
      </c>
      <c r="G10202" s="504" t="s">
        <v>3368</v>
      </c>
      <c r="H10202" s="504" t="s">
        <v>12659</v>
      </c>
      <c r="I10202" s="504">
        <v>382</v>
      </c>
      <c r="J10202" s="504">
        <v>346</v>
      </c>
      <c r="K10202" s="504">
        <v>0</v>
      </c>
      <c r="L10202" s="504">
        <v>0</v>
      </c>
      <c r="M10202" s="504">
        <v>36</v>
      </c>
      <c r="N10202" s="504">
        <v>0</v>
      </c>
      <c r="O10202" s="505">
        <v>0</v>
      </c>
    </row>
    <row r="10203" spans="1:15" x14ac:dyDescent="0.35">
      <c r="A10203" s="500" t="s">
        <v>1435</v>
      </c>
      <c r="B10203" s="501" t="s">
        <v>2479</v>
      </c>
      <c r="C10203" s="501" t="s">
        <v>1089</v>
      </c>
      <c r="D10203" s="501" t="s">
        <v>3392</v>
      </c>
      <c r="E10203" s="501" t="s">
        <v>3381</v>
      </c>
      <c r="F10203" s="501" t="s">
        <v>416</v>
      </c>
      <c r="G10203" s="501" t="s">
        <v>3368</v>
      </c>
      <c r="H10203" s="501" t="s">
        <v>12660</v>
      </c>
      <c r="I10203" s="501">
        <v>78</v>
      </c>
      <c r="J10203" s="501">
        <v>0</v>
      </c>
      <c r="K10203" s="501">
        <v>0</v>
      </c>
      <c r="L10203" s="501">
        <v>0</v>
      </c>
      <c r="M10203" s="501">
        <v>78</v>
      </c>
      <c r="N10203" s="501">
        <v>0</v>
      </c>
      <c r="O10203" s="506">
        <v>0</v>
      </c>
    </row>
    <row r="10204" spans="1:15" x14ac:dyDescent="0.35">
      <c r="A10204" s="503" t="s">
        <v>1975</v>
      </c>
      <c r="B10204" s="504" t="s">
        <v>3268</v>
      </c>
      <c r="C10204" s="504" t="s">
        <v>1089</v>
      </c>
      <c r="D10204" s="504" t="s">
        <v>3392</v>
      </c>
      <c r="E10204" s="504" t="s">
        <v>3381</v>
      </c>
      <c r="F10204" s="504" t="s">
        <v>419</v>
      </c>
      <c r="G10204" s="504" t="s">
        <v>3368</v>
      </c>
      <c r="H10204" s="504" t="s">
        <v>12661</v>
      </c>
      <c r="I10204" s="504">
        <v>654</v>
      </c>
      <c r="J10204" s="504">
        <v>378</v>
      </c>
      <c r="K10204" s="504">
        <v>25</v>
      </c>
      <c r="L10204" s="504">
        <v>251</v>
      </c>
      <c r="M10204" s="504">
        <v>0</v>
      </c>
      <c r="N10204" s="504">
        <v>0</v>
      </c>
      <c r="O10204" s="505">
        <v>0</v>
      </c>
    </row>
    <row r="10205" spans="1:15" x14ac:dyDescent="0.35">
      <c r="A10205" s="500" t="s">
        <v>1975</v>
      </c>
      <c r="B10205" s="501" t="s">
        <v>3268</v>
      </c>
      <c r="C10205" s="501" t="s">
        <v>1089</v>
      </c>
      <c r="D10205" s="501" t="s">
        <v>3392</v>
      </c>
      <c r="E10205" s="501" t="s">
        <v>3381</v>
      </c>
      <c r="F10205" s="501" t="s">
        <v>420</v>
      </c>
      <c r="G10205" s="501" t="s">
        <v>3368</v>
      </c>
      <c r="H10205" s="501" t="s">
        <v>12662</v>
      </c>
      <c r="I10205" s="501">
        <v>54</v>
      </c>
      <c r="J10205" s="501">
        <v>54</v>
      </c>
      <c r="K10205" s="501">
        <v>0</v>
      </c>
      <c r="L10205" s="501">
        <v>0</v>
      </c>
      <c r="M10205" s="501">
        <v>0</v>
      </c>
      <c r="N10205" s="501">
        <v>0</v>
      </c>
      <c r="O10205" s="506">
        <v>0</v>
      </c>
    </row>
    <row r="10206" spans="1:15" x14ac:dyDescent="0.35">
      <c r="A10206" s="503" t="s">
        <v>2077</v>
      </c>
      <c r="B10206" s="504" t="s">
        <v>2540</v>
      </c>
      <c r="C10206" s="504" t="s">
        <v>1089</v>
      </c>
      <c r="D10206" s="504" t="s">
        <v>3392</v>
      </c>
      <c r="E10206" s="504" t="s">
        <v>3381</v>
      </c>
      <c r="F10206" s="504" t="s">
        <v>420</v>
      </c>
      <c r="G10206" s="504" t="s">
        <v>3368</v>
      </c>
      <c r="H10206" s="504" t="s">
        <v>12663</v>
      </c>
      <c r="I10206" s="504">
        <v>30</v>
      </c>
      <c r="J10206" s="504">
        <v>0</v>
      </c>
      <c r="K10206" s="504">
        <v>0</v>
      </c>
      <c r="L10206" s="504">
        <v>0</v>
      </c>
      <c r="M10206" s="504">
        <v>30</v>
      </c>
      <c r="N10206" s="504">
        <v>0</v>
      </c>
      <c r="O10206" s="505">
        <v>0</v>
      </c>
    </row>
    <row r="10207" spans="1:15" x14ac:dyDescent="0.35">
      <c r="A10207" s="500" t="s">
        <v>1828</v>
      </c>
      <c r="B10207" s="501" t="s">
        <v>2723</v>
      </c>
      <c r="C10207" s="501" t="s">
        <v>1089</v>
      </c>
      <c r="D10207" s="501" t="s">
        <v>3392</v>
      </c>
      <c r="E10207" s="501" t="s">
        <v>3381</v>
      </c>
      <c r="F10207" s="501" t="s">
        <v>2</v>
      </c>
      <c r="G10207" s="501" t="s">
        <v>3368</v>
      </c>
      <c r="H10207" s="501" t="s">
        <v>12664</v>
      </c>
      <c r="I10207" s="501">
        <v>21</v>
      </c>
      <c r="J10207" s="501">
        <v>21</v>
      </c>
      <c r="K10207" s="501">
        <v>0</v>
      </c>
      <c r="L10207" s="501">
        <v>0</v>
      </c>
      <c r="M10207" s="501">
        <v>0</v>
      </c>
      <c r="N10207" s="501">
        <v>0</v>
      </c>
      <c r="O10207" s="506">
        <v>0</v>
      </c>
    </row>
    <row r="10208" spans="1:15" x14ac:dyDescent="0.35">
      <c r="A10208" s="503" t="s">
        <v>1829</v>
      </c>
      <c r="B10208" s="504" t="s">
        <v>2844</v>
      </c>
      <c r="C10208" s="504" t="s">
        <v>1089</v>
      </c>
      <c r="D10208" s="504" t="s">
        <v>3392</v>
      </c>
      <c r="E10208" s="504" t="s">
        <v>3381</v>
      </c>
      <c r="F10208" s="504" t="s">
        <v>2</v>
      </c>
      <c r="G10208" s="504" t="s">
        <v>3368</v>
      </c>
      <c r="H10208" s="504" t="s">
        <v>12665</v>
      </c>
      <c r="I10208" s="504">
        <v>36</v>
      </c>
      <c r="J10208" s="504">
        <v>0</v>
      </c>
      <c r="K10208" s="504">
        <v>0</v>
      </c>
      <c r="L10208" s="504">
        <v>0</v>
      </c>
      <c r="M10208" s="504">
        <v>36</v>
      </c>
      <c r="N10208" s="504">
        <v>0</v>
      </c>
      <c r="O10208" s="505">
        <v>0</v>
      </c>
    </row>
    <row r="10209" spans="1:15" x14ac:dyDescent="0.35">
      <c r="A10209" s="500" t="s">
        <v>2145</v>
      </c>
      <c r="B10209" s="501" t="s">
        <v>2608</v>
      </c>
      <c r="C10209" s="501" t="s">
        <v>1089</v>
      </c>
      <c r="D10209" s="501" t="s">
        <v>3392</v>
      </c>
      <c r="E10209" s="501" t="s">
        <v>3381</v>
      </c>
      <c r="F10209" s="501" t="s">
        <v>1048</v>
      </c>
      <c r="G10209" s="501" t="s">
        <v>3368</v>
      </c>
      <c r="H10209" s="501" t="s">
        <v>13976</v>
      </c>
      <c r="I10209" s="501">
        <v>4</v>
      </c>
      <c r="J10209" s="501">
        <v>0</v>
      </c>
      <c r="K10209" s="501">
        <v>0</v>
      </c>
      <c r="L10209" s="501">
        <v>0</v>
      </c>
      <c r="M10209" s="501">
        <v>4</v>
      </c>
      <c r="N10209" s="501">
        <v>0</v>
      </c>
      <c r="O10209" s="506">
        <v>0</v>
      </c>
    </row>
    <row r="10210" spans="1:15" x14ac:dyDescent="0.35">
      <c r="A10210" s="503" t="s">
        <v>1976</v>
      </c>
      <c r="B10210" s="504" t="s">
        <v>2571</v>
      </c>
      <c r="C10210" s="504" t="s">
        <v>1089</v>
      </c>
      <c r="D10210" s="504" t="s">
        <v>3392</v>
      </c>
      <c r="E10210" s="504" t="s">
        <v>3381</v>
      </c>
      <c r="F10210" s="504" t="s">
        <v>419</v>
      </c>
      <c r="G10210" s="504" t="s">
        <v>3368</v>
      </c>
      <c r="H10210" s="504" t="s">
        <v>12666</v>
      </c>
      <c r="I10210" s="504">
        <v>3</v>
      </c>
      <c r="J10210" s="504">
        <v>0</v>
      </c>
      <c r="K10210" s="504">
        <v>0</v>
      </c>
      <c r="L10210" s="504">
        <v>0</v>
      </c>
      <c r="M10210" s="504">
        <v>3</v>
      </c>
      <c r="N10210" s="504">
        <v>0</v>
      </c>
      <c r="O10210" s="505">
        <v>0</v>
      </c>
    </row>
    <row r="10211" spans="1:15" x14ac:dyDescent="0.35">
      <c r="A10211" s="500" t="s">
        <v>1102</v>
      </c>
      <c r="B10211" s="501">
        <v>4663</v>
      </c>
      <c r="C10211" s="501" t="s">
        <v>1089</v>
      </c>
      <c r="D10211" s="501" t="s">
        <v>3392</v>
      </c>
      <c r="E10211" s="501" t="s">
        <v>3381</v>
      </c>
      <c r="F10211" s="501" t="s">
        <v>417</v>
      </c>
      <c r="G10211" s="501" t="s">
        <v>3368</v>
      </c>
      <c r="H10211" s="501" t="s">
        <v>12668</v>
      </c>
      <c r="I10211" s="501">
        <v>2</v>
      </c>
      <c r="J10211" s="501">
        <v>0</v>
      </c>
      <c r="K10211" s="501">
        <v>0</v>
      </c>
      <c r="L10211" s="501">
        <v>2</v>
      </c>
      <c r="M10211" s="501">
        <v>0</v>
      </c>
      <c r="N10211" s="501">
        <v>0</v>
      </c>
      <c r="O10211" s="506">
        <v>0</v>
      </c>
    </row>
    <row r="10212" spans="1:15" x14ac:dyDescent="0.35">
      <c r="A10212" s="503" t="s">
        <v>1102</v>
      </c>
      <c r="B10212" s="504">
        <v>4663</v>
      </c>
      <c r="C10212" s="504" t="s">
        <v>1089</v>
      </c>
      <c r="D10212" s="504" t="s">
        <v>3392</v>
      </c>
      <c r="E10212" s="504" t="s">
        <v>3381</v>
      </c>
      <c r="F10212" s="504" t="s">
        <v>418</v>
      </c>
      <c r="G10212" s="504" t="s">
        <v>3368</v>
      </c>
      <c r="H10212" s="504" t="s">
        <v>12667</v>
      </c>
      <c r="I10212" s="504">
        <v>305</v>
      </c>
      <c r="J10212" s="504">
        <v>0</v>
      </c>
      <c r="K10212" s="504">
        <v>0</v>
      </c>
      <c r="L10212" s="504">
        <v>305</v>
      </c>
      <c r="M10212" s="504">
        <v>0</v>
      </c>
      <c r="N10212" s="504">
        <v>0</v>
      </c>
      <c r="O10212" s="505">
        <v>0</v>
      </c>
    </row>
    <row r="10213" spans="1:15" x14ac:dyDescent="0.35">
      <c r="A10213" s="500" t="s">
        <v>1102</v>
      </c>
      <c r="B10213" s="501">
        <v>4663</v>
      </c>
      <c r="C10213" s="501" t="s">
        <v>1089</v>
      </c>
      <c r="D10213" s="501" t="s">
        <v>3392</v>
      </c>
      <c r="E10213" s="501" t="s">
        <v>3381</v>
      </c>
      <c r="F10213" s="501" t="s">
        <v>416</v>
      </c>
      <c r="G10213" s="501" t="s">
        <v>3368</v>
      </c>
      <c r="H10213" s="501" t="s">
        <v>12674</v>
      </c>
      <c r="I10213" s="501">
        <v>1</v>
      </c>
      <c r="J10213" s="501">
        <v>0</v>
      </c>
      <c r="K10213" s="501">
        <v>0</v>
      </c>
      <c r="L10213" s="501">
        <v>1</v>
      </c>
      <c r="M10213" s="501">
        <v>0</v>
      </c>
      <c r="N10213" s="501">
        <v>0</v>
      </c>
      <c r="O10213" s="506">
        <v>0</v>
      </c>
    </row>
    <row r="10214" spans="1:15" x14ac:dyDescent="0.35">
      <c r="A10214" s="503" t="s">
        <v>1102</v>
      </c>
      <c r="B10214" s="504">
        <v>4663</v>
      </c>
      <c r="C10214" s="504" t="s">
        <v>1089</v>
      </c>
      <c r="D10214" s="504" t="s">
        <v>3392</v>
      </c>
      <c r="E10214" s="504" t="s">
        <v>3381</v>
      </c>
      <c r="F10214" s="504" t="s">
        <v>415</v>
      </c>
      <c r="G10214" s="504" t="s">
        <v>3368</v>
      </c>
      <c r="H10214" s="504" t="s">
        <v>12672</v>
      </c>
      <c r="I10214" s="504">
        <v>38</v>
      </c>
      <c r="J10214" s="504">
        <v>0</v>
      </c>
      <c r="K10214" s="504">
        <v>0</v>
      </c>
      <c r="L10214" s="504">
        <v>38</v>
      </c>
      <c r="M10214" s="504">
        <v>0</v>
      </c>
      <c r="N10214" s="504">
        <v>0</v>
      </c>
      <c r="O10214" s="505">
        <v>0</v>
      </c>
    </row>
    <row r="10215" spans="1:15" x14ac:dyDescent="0.35">
      <c r="A10215" s="500" t="s">
        <v>1102</v>
      </c>
      <c r="B10215" s="501">
        <v>4663</v>
      </c>
      <c r="C10215" s="501" t="s">
        <v>1089</v>
      </c>
      <c r="D10215" s="501" t="s">
        <v>3392</v>
      </c>
      <c r="E10215" s="501" t="s">
        <v>3381</v>
      </c>
      <c r="F10215" s="501" t="s">
        <v>419</v>
      </c>
      <c r="G10215" s="501" t="s">
        <v>3368</v>
      </c>
      <c r="H10215" s="501" t="s">
        <v>12673</v>
      </c>
      <c r="I10215" s="501">
        <v>35</v>
      </c>
      <c r="J10215" s="501">
        <v>0</v>
      </c>
      <c r="K10215" s="501">
        <v>0</v>
      </c>
      <c r="L10215" s="501">
        <v>35</v>
      </c>
      <c r="M10215" s="501">
        <v>0</v>
      </c>
      <c r="N10215" s="501">
        <v>0</v>
      </c>
      <c r="O10215" s="506">
        <v>0</v>
      </c>
    </row>
    <row r="10216" spans="1:15" x14ac:dyDescent="0.35">
      <c r="A10216" s="503" t="s">
        <v>1102</v>
      </c>
      <c r="B10216" s="504">
        <v>4663</v>
      </c>
      <c r="C10216" s="504" t="s">
        <v>1089</v>
      </c>
      <c r="D10216" s="504" t="s">
        <v>3392</v>
      </c>
      <c r="E10216" s="504" t="s">
        <v>3381</v>
      </c>
      <c r="F10216" s="504" t="s">
        <v>2</v>
      </c>
      <c r="G10216" s="504" t="s">
        <v>3368</v>
      </c>
      <c r="H10216" s="504" t="s">
        <v>12671</v>
      </c>
      <c r="I10216" s="504">
        <v>12</v>
      </c>
      <c r="J10216" s="504">
        <v>0</v>
      </c>
      <c r="K10216" s="504">
        <v>0</v>
      </c>
      <c r="L10216" s="504">
        <v>12</v>
      </c>
      <c r="M10216" s="504">
        <v>0</v>
      </c>
      <c r="N10216" s="504">
        <v>0</v>
      </c>
      <c r="O10216" s="505">
        <v>0</v>
      </c>
    </row>
    <row r="10217" spans="1:15" x14ac:dyDescent="0.35">
      <c r="A10217" s="500" t="s">
        <v>1102</v>
      </c>
      <c r="B10217" s="501">
        <v>4663</v>
      </c>
      <c r="C10217" s="501" t="s">
        <v>1089</v>
      </c>
      <c r="D10217" s="501" t="s">
        <v>3392</v>
      </c>
      <c r="E10217" s="501" t="s">
        <v>3381</v>
      </c>
      <c r="F10217" s="501" t="s">
        <v>414</v>
      </c>
      <c r="G10217" s="501" t="s">
        <v>3368</v>
      </c>
      <c r="H10217" s="501" t="s">
        <v>12669</v>
      </c>
      <c r="I10217" s="501">
        <v>29</v>
      </c>
      <c r="J10217" s="501">
        <v>0</v>
      </c>
      <c r="K10217" s="501">
        <v>0</v>
      </c>
      <c r="L10217" s="501">
        <v>29</v>
      </c>
      <c r="M10217" s="501">
        <v>0</v>
      </c>
      <c r="N10217" s="501">
        <v>0</v>
      </c>
      <c r="O10217" s="506">
        <v>0</v>
      </c>
    </row>
    <row r="10218" spans="1:15" x14ac:dyDescent="0.35">
      <c r="A10218" s="503" t="s">
        <v>1102</v>
      </c>
      <c r="B10218" s="504">
        <v>4663</v>
      </c>
      <c r="C10218" s="504" t="s">
        <v>1089</v>
      </c>
      <c r="D10218" s="504" t="s">
        <v>3392</v>
      </c>
      <c r="E10218" s="504" t="s">
        <v>3381</v>
      </c>
      <c r="F10218" s="504" t="s">
        <v>420</v>
      </c>
      <c r="G10218" s="504" t="s">
        <v>3368</v>
      </c>
      <c r="H10218" s="504" t="s">
        <v>12670</v>
      </c>
      <c r="I10218" s="504">
        <v>10</v>
      </c>
      <c r="J10218" s="504">
        <v>0</v>
      </c>
      <c r="K10218" s="504">
        <v>0</v>
      </c>
      <c r="L10218" s="504">
        <v>10</v>
      </c>
      <c r="M10218" s="504">
        <v>0</v>
      </c>
      <c r="N10218" s="504">
        <v>0</v>
      </c>
      <c r="O10218" s="505">
        <v>0</v>
      </c>
    </row>
    <row r="10219" spans="1:15" x14ac:dyDescent="0.35">
      <c r="A10219" s="500" t="s">
        <v>2078</v>
      </c>
      <c r="B10219" s="501" t="s">
        <v>3152</v>
      </c>
      <c r="C10219" s="501" t="s">
        <v>1094</v>
      </c>
      <c r="D10219" s="501" t="s">
        <v>3380</v>
      </c>
      <c r="E10219" s="501" t="s">
        <v>3381</v>
      </c>
      <c r="F10219" s="501" t="s">
        <v>420</v>
      </c>
      <c r="G10219" s="501" t="s">
        <v>3368</v>
      </c>
      <c r="H10219" s="501" t="s">
        <v>12675</v>
      </c>
      <c r="I10219" s="501">
        <v>1389</v>
      </c>
      <c r="J10219" s="501">
        <v>1366</v>
      </c>
      <c r="K10219" s="501">
        <v>0</v>
      </c>
      <c r="L10219" s="501">
        <v>20</v>
      </c>
      <c r="M10219" s="501">
        <v>0</v>
      </c>
      <c r="N10219" s="501">
        <v>60</v>
      </c>
      <c r="O10219" s="506">
        <v>3</v>
      </c>
    </row>
    <row r="10220" spans="1:15" x14ac:dyDescent="0.35">
      <c r="A10220" s="503" t="s">
        <v>1174</v>
      </c>
      <c r="B10220" s="504">
        <v>4784</v>
      </c>
      <c r="C10220" s="504" t="s">
        <v>1089</v>
      </c>
      <c r="D10220" s="504" t="s">
        <v>3392</v>
      </c>
      <c r="E10220" s="504" t="s">
        <v>3381</v>
      </c>
      <c r="F10220" s="504" t="s">
        <v>420</v>
      </c>
      <c r="G10220" s="504" t="s">
        <v>3368</v>
      </c>
      <c r="H10220" s="504" t="s">
        <v>12679</v>
      </c>
      <c r="I10220" s="504">
        <v>23</v>
      </c>
      <c r="J10220" s="504">
        <v>0</v>
      </c>
      <c r="K10220" s="504">
        <v>0</v>
      </c>
      <c r="L10220" s="504">
        <v>23</v>
      </c>
      <c r="M10220" s="504">
        <v>0</v>
      </c>
      <c r="N10220" s="504">
        <v>0</v>
      </c>
      <c r="O10220" s="505">
        <v>0</v>
      </c>
    </row>
    <row r="10221" spans="1:15" x14ac:dyDescent="0.35">
      <c r="A10221" s="500" t="s">
        <v>1174</v>
      </c>
      <c r="B10221" s="501">
        <v>4784</v>
      </c>
      <c r="C10221" s="501" t="s">
        <v>1089</v>
      </c>
      <c r="D10221" s="501" t="s">
        <v>3392</v>
      </c>
      <c r="E10221" s="501" t="s">
        <v>3381</v>
      </c>
      <c r="F10221" s="501" t="s">
        <v>416</v>
      </c>
      <c r="G10221" s="501" t="s">
        <v>3368</v>
      </c>
      <c r="H10221" s="501" t="s">
        <v>12683</v>
      </c>
      <c r="I10221" s="501">
        <v>55</v>
      </c>
      <c r="J10221" s="501">
        <v>0</v>
      </c>
      <c r="K10221" s="501">
        <v>0</v>
      </c>
      <c r="L10221" s="501">
        <v>55</v>
      </c>
      <c r="M10221" s="501">
        <v>0</v>
      </c>
      <c r="N10221" s="501">
        <v>0</v>
      </c>
      <c r="O10221" s="506">
        <v>0</v>
      </c>
    </row>
    <row r="10222" spans="1:15" x14ac:dyDescent="0.35">
      <c r="A10222" s="503" t="s">
        <v>1174</v>
      </c>
      <c r="B10222" s="504">
        <v>4784</v>
      </c>
      <c r="C10222" s="504" t="s">
        <v>1089</v>
      </c>
      <c r="D10222" s="504" t="s">
        <v>3392</v>
      </c>
      <c r="E10222" s="504" t="s">
        <v>3381</v>
      </c>
      <c r="F10222" s="504" t="s">
        <v>1048</v>
      </c>
      <c r="G10222" s="504" t="s">
        <v>3368</v>
      </c>
      <c r="H10222" s="504" t="s">
        <v>13977</v>
      </c>
      <c r="I10222" s="504">
        <v>66</v>
      </c>
      <c r="J10222" s="504">
        <v>0</v>
      </c>
      <c r="K10222" s="504">
        <v>0</v>
      </c>
      <c r="L10222" s="504">
        <v>66</v>
      </c>
      <c r="M10222" s="504">
        <v>0</v>
      </c>
      <c r="N10222" s="504">
        <v>0</v>
      </c>
      <c r="O10222" s="505">
        <v>0</v>
      </c>
    </row>
    <row r="10223" spans="1:15" x14ac:dyDescent="0.35">
      <c r="A10223" s="500" t="s">
        <v>1174</v>
      </c>
      <c r="B10223" s="501">
        <v>4784</v>
      </c>
      <c r="C10223" s="501" t="s">
        <v>1089</v>
      </c>
      <c r="D10223" s="501" t="s">
        <v>3392</v>
      </c>
      <c r="E10223" s="501" t="s">
        <v>3381</v>
      </c>
      <c r="F10223" s="501" t="s">
        <v>415</v>
      </c>
      <c r="G10223" s="501" t="s">
        <v>3368</v>
      </c>
      <c r="H10223" s="501" t="s">
        <v>12682</v>
      </c>
      <c r="I10223" s="501">
        <v>18</v>
      </c>
      <c r="J10223" s="501">
        <v>0</v>
      </c>
      <c r="K10223" s="501">
        <v>0</v>
      </c>
      <c r="L10223" s="501">
        <v>18</v>
      </c>
      <c r="M10223" s="501">
        <v>0</v>
      </c>
      <c r="N10223" s="501">
        <v>0</v>
      </c>
      <c r="O10223" s="506">
        <v>0</v>
      </c>
    </row>
    <row r="10224" spans="1:15" x14ac:dyDescent="0.35">
      <c r="A10224" s="503" t="s">
        <v>1174</v>
      </c>
      <c r="B10224" s="504">
        <v>4784</v>
      </c>
      <c r="C10224" s="504" t="s">
        <v>1089</v>
      </c>
      <c r="D10224" s="504" t="s">
        <v>3392</v>
      </c>
      <c r="E10224" s="504" t="s">
        <v>3381</v>
      </c>
      <c r="F10224" s="504" t="s">
        <v>419</v>
      </c>
      <c r="G10224" s="504" t="s">
        <v>3368</v>
      </c>
      <c r="H10224" s="504" t="s">
        <v>12676</v>
      </c>
      <c r="I10224" s="504">
        <v>48</v>
      </c>
      <c r="J10224" s="504">
        <v>0</v>
      </c>
      <c r="K10224" s="504">
        <v>0</v>
      </c>
      <c r="L10224" s="504">
        <v>48</v>
      </c>
      <c r="M10224" s="504">
        <v>0</v>
      </c>
      <c r="N10224" s="504">
        <v>0</v>
      </c>
      <c r="O10224" s="505">
        <v>0</v>
      </c>
    </row>
    <row r="10225" spans="1:15" x14ac:dyDescent="0.35">
      <c r="A10225" s="500" t="s">
        <v>1174</v>
      </c>
      <c r="B10225" s="501">
        <v>4784</v>
      </c>
      <c r="C10225" s="501" t="s">
        <v>1089</v>
      </c>
      <c r="D10225" s="501" t="s">
        <v>3392</v>
      </c>
      <c r="E10225" s="501" t="s">
        <v>3381</v>
      </c>
      <c r="F10225" s="501" t="s">
        <v>414</v>
      </c>
      <c r="G10225" s="501" t="s">
        <v>3368</v>
      </c>
      <c r="H10225" s="501" t="s">
        <v>12680</v>
      </c>
      <c r="I10225" s="501">
        <v>18</v>
      </c>
      <c r="J10225" s="501">
        <v>0</v>
      </c>
      <c r="K10225" s="501">
        <v>0</v>
      </c>
      <c r="L10225" s="501">
        <v>18</v>
      </c>
      <c r="M10225" s="501">
        <v>0</v>
      </c>
      <c r="N10225" s="501">
        <v>0</v>
      </c>
      <c r="O10225" s="506">
        <v>0</v>
      </c>
    </row>
    <row r="10226" spans="1:15" x14ac:dyDescent="0.35">
      <c r="A10226" s="503" t="s">
        <v>1174</v>
      </c>
      <c r="B10226" s="504">
        <v>4784</v>
      </c>
      <c r="C10226" s="504" t="s">
        <v>1089</v>
      </c>
      <c r="D10226" s="504" t="s">
        <v>3392</v>
      </c>
      <c r="E10226" s="504" t="s">
        <v>3381</v>
      </c>
      <c r="F10226" s="504" t="s">
        <v>2</v>
      </c>
      <c r="G10226" s="504" t="s">
        <v>3368</v>
      </c>
      <c r="H10226" s="504" t="s">
        <v>12681</v>
      </c>
      <c r="I10226" s="504">
        <v>27</v>
      </c>
      <c r="J10226" s="504">
        <v>0</v>
      </c>
      <c r="K10226" s="504">
        <v>0</v>
      </c>
      <c r="L10226" s="504">
        <v>27</v>
      </c>
      <c r="M10226" s="504">
        <v>0</v>
      </c>
      <c r="N10226" s="504">
        <v>0</v>
      </c>
      <c r="O10226" s="505">
        <v>0</v>
      </c>
    </row>
    <row r="10227" spans="1:15" x14ac:dyDescent="0.35">
      <c r="A10227" s="500" t="s">
        <v>1174</v>
      </c>
      <c r="B10227" s="501">
        <v>4784</v>
      </c>
      <c r="C10227" s="501" t="s">
        <v>1089</v>
      </c>
      <c r="D10227" s="501" t="s">
        <v>3392</v>
      </c>
      <c r="E10227" s="501" t="s">
        <v>3381</v>
      </c>
      <c r="F10227" s="501" t="s">
        <v>418</v>
      </c>
      <c r="G10227" s="501" t="s">
        <v>3368</v>
      </c>
      <c r="H10227" s="501" t="s">
        <v>12678</v>
      </c>
      <c r="I10227" s="501">
        <v>229</v>
      </c>
      <c r="J10227" s="501">
        <v>0</v>
      </c>
      <c r="K10227" s="501">
        <v>0</v>
      </c>
      <c r="L10227" s="501">
        <v>229</v>
      </c>
      <c r="M10227" s="501">
        <v>0</v>
      </c>
      <c r="N10227" s="501">
        <v>0</v>
      </c>
      <c r="O10227" s="506">
        <v>0</v>
      </c>
    </row>
    <row r="10228" spans="1:15" x14ac:dyDescent="0.35">
      <c r="A10228" s="503" t="s">
        <v>1174</v>
      </c>
      <c r="B10228" s="504">
        <v>4784</v>
      </c>
      <c r="C10228" s="504" t="s">
        <v>1089</v>
      </c>
      <c r="D10228" s="504" t="s">
        <v>3392</v>
      </c>
      <c r="E10228" s="504" t="s">
        <v>3381</v>
      </c>
      <c r="F10228" s="504" t="s">
        <v>417</v>
      </c>
      <c r="G10228" s="504" t="s">
        <v>3368</v>
      </c>
      <c r="H10228" s="504" t="s">
        <v>12677</v>
      </c>
      <c r="I10228" s="504">
        <v>99</v>
      </c>
      <c r="J10228" s="504">
        <v>0</v>
      </c>
      <c r="K10228" s="504">
        <v>0</v>
      </c>
      <c r="L10228" s="504">
        <v>99</v>
      </c>
      <c r="M10228" s="504">
        <v>0</v>
      </c>
      <c r="N10228" s="504">
        <v>0</v>
      </c>
      <c r="O10228" s="505">
        <v>0</v>
      </c>
    </row>
    <row r="10229" spans="1:15" x14ac:dyDescent="0.35">
      <c r="A10229" s="500" t="s">
        <v>1175</v>
      </c>
      <c r="B10229" s="501" t="s">
        <v>3141</v>
      </c>
      <c r="C10229" s="501" t="s">
        <v>1094</v>
      </c>
      <c r="D10229" s="501" t="s">
        <v>3380</v>
      </c>
      <c r="E10229" s="501" t="s">
        <v>3381</v>
      </c>
      <c r="F10229" s="501" t="s">
        <v>415</v>
      </c>
      <c r="G10229" s="501" t="s">
        <v>3368</v>
      </c>
      <c r="H10229" s="501" t="s">
        <v>12685</v>
      </c>
      <c r="I10229" s="501">
        <v>210</v>
      </c>
      <c r="J10229" s="501">
        <v>151</v>
      </c>
      <c r="K10229" s="501">
        <v>0</v>
      </c>
      <c r="L10229" s="501">
        <v>0</v>
      </c>
      <c r="M10229" s="501">
        <v>0</v>
      </c>
      <c r="N10229" s="501">
        <v>0</v>
      </c>
      <c r="O10229" s="506">
        <v>59</v>
      </c>
    </row>
    <row r="10230" spans="1:15" x14ac:dyDescent="0.35">
      <c r="A10230" s="503" t="s">
        <v>1175</v>
      </c>
      <c r="B10230" s="504" t="s">
        <v>3141</v>
      </c>
      <c r="C10230" s="504" t="s">
        <v>1094</v>
      </c>
      <c r="D10230" s="504" t="s">
        <v>3380</v>
      </c>
      <c r="E10230" s="504" t="s">
        <v>3381</v>
      </c>
      <c r="F10230" s="504" t="s">
        <v>414</v>
      </c>
      <c r="G10230" s="504" t="s">
        <v>3368</v>
      </c>
      <c r="H10230" s="504" t="s">
        <v>12688</v>
      </c>
      <c r="I10230" s="504">
        <v>31</v>
      </c>
      <c r="J10230" s="504">
        <v>30</v>
      </c>
      <c r="K10230" s="504">
        <v>0</v>
      </c>
      <c r="L10230" s="504">
        <v>0</v>
      </c>
      <c r="M10230" s="504">
        <v>0</v>
      </c>
      <c r="N10230" s="504">
        <v>0</v>
      </c>
      <c r="O10230" s="505">
        <v>1</v>
      </c>
    </row>
    <row r="10231" spans="1:15" x14ac:dyDescent="0.35">
      <c r="A10231" s="500" t="s">
        <v>1175</v>
      </c>
      <c r="B10231" s="501" t="s">
        <v>3141</v>
      </c>
      <c r="C10231" s="501" t="s">
        <v>1094</v>
      </c>
      <c r="D10231" s="501" t="s">
        <v>3380</v>
      </c>
      <c r="E10231" s="501" t="s">
        <v>3381</v>
      </c>
      <c r="F10231" s="501" t="s">
        <v>418</v>
      </c>
      <c r="G10231" s="501" t="s">
        <v>3368</v>
      </c>
      <c r="H10231" s="501" t="s">
        <v>12686</v>
      </c>
      <c r="I10231" s="501">
        <v>4</v>
      </c>
      <c r="J10231" s="501">
        <v>4</v>
      </c>
      <c r="K10231" s="501">
        <v>0</v>
      </c>
      <c r="L10231" s="501">
        <v>0</v>
      </c>
      <c r="M10231" s="501">
        <v>0</v>
      </c>
      <c r="N10231" s="501">
        <v>0</v>
      </c>
      <c r="O10231" s="506">
        <v>0</v>
      </c>
    </row>
    <row r="10232" spans="1:15" x14ac:dyDescent="0.35">
      <c r="A10232" s="503" t="s">
        <v>1175</v>
      </c>
      <c r="B10232" s="504" t="s">
        <v>3141</v>
      </c>
      <c r="C10232" s="504" t="s">
        <v>1094</v>
      </c>
      <c r="D10232" s="504" t="s">
        <v>3380</v>
      </c>
      <c r="E10232" s="504" t="s">
        <v>3381</v>
      </c>
      <c r="F10232" s="504" t="s">
        <v>419</v>
      </c>
      <c r="G10232" s="504" t="s">
        <v>3368</v>
      </c>
      <c r="H10232" s="504" t="s">
        <v>12687</v>
      </c>
      <c r="I10232" s="504">
        <v>101</v>
      </c>
      <c r="J10232" s="504">
        <v>66</v>
      </c>
      <c r="K10232" s="504">
        <v>0</v>
      </c>
      <c r="L10232" s="504">
        <v>0</v>
      </c>
      <c r="M10232" s="504">
        <v>0</v>
      </c>
      <c r="N10232" s="504">
        <v>0</v>
      </c>
      <c r="O10232" s="505">
        <v>35</v>
      </c>
    </row>
    <row r="10233" spans="1:15" x14ac:dyDescent="0.35">
      <c r="A10233" s="500" t="s">
        <v>1175</v>
      </c>
      <c r="B10233" s="501" t="s">
        <v>3141</v>
      </c>
      <c r="C10233" s="501" t="s">
        <v>1094</v>
      </c>
      <c r="D10233" s="501" t="s">
        <v>3380</v>
      </c>
      <c r="E10233" s="501" t="s">
        <v>3381</v>
      </c>
      <c r="F10233" s="501" t="s">
        <v>2</v>
      </c>
      <c r="G10233" s="501" t="s">
        <v>3368</v>
      </c>
      <c r="H10233" s="501" t="s">
        <v>12684</v>
      </c>
      <c r="I10233" s="501">
        <v>869</v>
      </c>
      <c r="J10233" s="501">
        <v>586</v>
      </c>
      <c r="K10233" s="501">
        <v>0</v>
      </c>
      <c r="L10233" s="501">
        <v>0</v>
      </c>
      <c r="M10233" s="501">
        <v>0</v>
      </c>
      <c r="N10233" s="501">
        <v>0</v>
      </c>
      <c r="O10233" s="506">
        <v>283</v>
      </c>
    </row>
    <row r="10234" spans="1:15" x14ac:dyDescent="0.35">
      <c r="A10234" s="503" t="s">
        <v>1830</v>
      </c>
      <c r="B10234" s="504" t="s">
        <v>3255</v>
      </c>
      <c r="C10234" s="504" t="s">
        <v>1089</v>
      </c>
      <c r="D10234" s="504" t="s">
        <v>3392</v>
      </c>
      <c r="E10234" s="504" t="s">
        <v>3381</v>
      </c>
      <c r="F10234" s="504" t="s">
        <v>2</v>
      </c>
      <c r="G10234" s="504" t="s">
        <v>3368</v>
      </c>
      <c r="H10234" s="504" t="s">
        <v>12689</v>
      </c>
      <c r="I10234" s="504">
        <v>221</v>
      </c>
      <c r="J10234" s="504">
        <v>142</v>
      </c>
      <c r="K10234" s="504">
        <v>0</v>
      </c>
      <c r="L10234" s="504">
        <v>79</v>
      </c>
      <c r="M10234" s="504">
        <v>0</v>
      </c>
      <c r="N10234" s="504">
        <v>0</v>
      </c>
      <c r="O10234" s="505">
        <v>0</v>
      </c>
    </row>
    <row r="10235" spans="1:15" x14ac:dyDescent="0.35">
      <c r="A10235" s="500" t="s">
        <v>1831</v>
      </c>
      <c r="B10235" s="501" t="s">
        <v>2955</v>
      </c>
      <c r="C10235" s="501" t="s">
        <v>1089</v>
      </c>
      <c r="D10235" s="501" t="s">
        <v>3392</v>
      </c>
      <c r="E10235" s="501" t="s">
        <v>3381</v>
      </c>
      <c r="F10235" s="501" t="s">
        <v>2</v>
      </c>
      <c r="G10235" s="501" t="s">
        <v>3368</v>
      </c>
      <c r="H10235" s="501" t="s">
        <v>12690</v>
      </c>
      <c r="I10235" s="501">
        <v>91</v>
      </c>
      <c r="J10235" s="501">
        <v>0</v>
      </c>
      <c r="K10235" s="501">
        <v>0</v>
      </c>
      <c r="L10235" s="501">
        <v>0</v>
      </c>
      <c r="M10235" s="501">
        <v>91</v>
      </c>
      <c r="N10235" s="501">
        <v>0</v>
      </c>
      <c r="O10235" s="506">
        <v>0</v>
      </c>
    </row>
    <row r="10236" spans="1:15" x14ac:dyDescent="0.35">
      <c r="A10236" s="503" t="s">
        <v>1294</v>
      </c>
      <c r="B10236" s="504" t="s">
        <v>3114</v>
      </c>
      <c r="C10236" s="504" t="s">
        <v>1094</v>
      </c>
      <c r="D10236" s="504" t="s">
        <v>3380</v>
      </c>
      <c r="E10236" s="504" t="s">
        <v>3381</v>
      </c>
      <c r="F10236" s="504" t="s">
        <v>415</v>
      </c>
      <c r="G10236" s="504" t="s">
        <v>3368</v>
      </c>
      <c r="H10236" s="504" t="s">
        <v>12691</v>
      </c>
      <c r="I10236" s="504">
        <v>3498</v>
      </c>
      <c r="J10236" s="504">
        <v>2940</v>
      </c>
      <c r="K10236" s="504">
        <v>0</v>
      </c>
      <c r="L10236" s="504">
        <v>89</v>
      </c>
      <c r="M10236" s="504">
        <v>78</v>
      </c>
      <c r="N10236" s="504">
        <v>31</v>
      </c>
      <c r="O10236" s="505">
        <v>391</v>
      </c>
    </row>
    <row r="10237" spans="1:15" x14ac:dyDescent="0.35">
      <c r="A10237" s="500" t="s">
        <v>1294</v>
      </c>
      <c r="B10237" s="501" t="s">
        <v>3114</v>
      </c>
      <c r="C10237" s="501" t="s">
        <v>1094</v>
      </c>
      <c r="D10237" s="501" t="s">
        <v>3380</v>
      </c>
      <c r="E10237" s="501" t="s">
        <v>3381</v>
      </c>
      <c r="F10237" s="501" t="s">
        <v>416</v>
      </c>
      <c r="G10237" s="501" t="s">
        <v>3368</v>
      </c>
      <c r="H10237" s="501" t="s">
        <v>12692</v>
      </c>
      <c r="I10237" s="501">
        <v>778</v>
      </c>
      <c r="J10237" s="501">
        <v>581</v>
      </c>
      <c r="K10237" s="501">
        <v>0</v>
      </c>
      <c r="L10237" s="501">
        <v>8</v>
      </c>
      <c r="M10237" s="501">
        <v>0</v>
      </c>
      <c r="N10237" s="501">
        <v>1</v>
      </c>
      <c r="O10237" s="506">
        <v>189</v>
      </c>
    </row>
    <row r="10238" spans="1:15" x14ac:dyDescent="0.35">
      <c r="A10238" s="503" t="s">
        <v>1436</v>
      </c>
      <c r="B10238" s="504" t="s">
        <v>2711</v>
      </c>
      <c r="C10238" s="504" t="s">
        <v>1089</v>
      </c>
      <c r="D10238" s="504" t="s">
        <v>3392</v>
      </c>
      <c r="E10238" s="504" t="s">
        <v>3381</v>
      </c>
      <c r="F10238" s="504" t="s">
        <v>416</v>
      </c>
      <c r="G10238" s="504" t="s">
        <v>3368</v>
      </c>
      <c r="H10238" s="504" t="s">
        <v>12693</v>
      </c>
      <c r="I10238" s="504">
        <v>62</v>
      </c>
      <c r="J10238" s="504">
        <v>62</v>
      </c>
      <c r="K10238" s="504">
        <v>0</v>
      </c>
      <c r="L10238" s="504">
        <v>0</v>
      </c>
      <c r="M10238" s="504">
        <v>0</v>
      </c>
      <c r="N10238" s="504">
        <v>0</v>
      </c>
      <c r="O10238" s="505">
        <v>0</v>
      </c>
    </row>
    <row r="10239" spans="1:15" x14ac:dyDescent="0.35">
      <c r="A10239" s="500" t="s">
        <v>1437</v>
      </c>
      <c r="B10239" s="501" t="s">
        <v>2945</v>
      </c>
      <c r="C10239" s="501" t="s">
        <v>1089</v>
      </c>
      <c r="D10239" s="501" t="s">
        <v>3392</v>
      </c>
      <c r="E10239" s="501" t="s">
        <v>3381</v>
      </c>
      <c r="F10239" s="501" t="s">
        <v>416</v>
      </c>
      <c r="G10239" s="501" t="s">
        <v>3368</v>
      </c>
      <c r="H10239" s="501" t="s">
        <v>12694</v>
      </c>
      <c r="I10239" s="501">
        <v>435</v>
      </c>
      <c r="J10239" s="501">
        <v>0</v>
      </c>
      <c r="K10239" s="501">
        <v>0</v>
      </c>
      <c r="L10239" s="501">
        <v>435</v>
      </c>
      <c r="M10239" s="501">
        <v>0</v>
      </c>
      <c r="N10239" s="501">
        <v>0</v>
      </c>
      <c r="O10239" s="506">
        <v>0</v>
      </c>
    </row>
    <row r="10240" spans="1:15" x14ac:dyDescent="0.35">
      <c r="A10240" s="503" t="s">
        <v>1699</v>
      </c>
      <c r="B10240" s="504">
        <v>4794</v>
      </c>
      <c r="C10240" s="504" t="s">
        <v>1089</v>
      </c>
      <c r="D10240" s="504" t="s">
        <v>3392</v>
      </c>
      <c r="E10240" s="504" t="s">
        <v>3381</v>
      </c>
      <c r="F10240" s="504" t="s">
        <v>418</v>
      </c>
      <c r="G10240" s="504" t="s">
        <v>3368</v>
      </c>
      <c r="H10240" s="504" t="s">
        <v>12695</v>
      </c>
      <c r="I10240" s="504">
        <v>200</v>
      </c>
      <c r="J10240" s="504">
        <v>0</v>
      </c>
      <c r="K10240" s="504">
        <v>0</v>
      </c>
      <c r="L10240" s="504">
        <v>200</v>
      </c>
      <c r="M10240" s="504">
        <v>0</v>
      </c>
      <c r="N10240" s="504">
        <v>0</v>
      </c>
      <c r="O10240" s="505">
        <v>0</v>
      </c>
    </row>
    <row r="10241" spans="1:15" x14ac:dyDescent="0.35">
      <c r="A10241" s="500" t="s">
        <v>1977</v>
      </c>
      <c r="B10241" s="501" t="s">
        <v>2499</v>
      </c>
      <c r="C10241" s="501" t="s">
        <v>1089</v>
      </c>
      <c r="D10241" s="501" t="s">
        <v>3392</v>
      </c>
      <c r="E10241" s="501" t="s">
        <v>3381</v>
      </c>
      <c r="F10241" s="501" t="s">
        <v>419</v>
      </c>
      <c r="G10241" s="501" t="s">
        <v>3368</v>
      </c>
      <c r="H10241" s="501" t="s">
        <v>12696</v>
      </c>
      <c r="I10241" s="501">
        <v>143</v>
      </c>
      <c r="J10241" s="501">
        <v>0</v>
      </c>
      <c r="K10241" s="501">
        <v>0</v>
      </c>
      <c r="L10241" s="501">
        <v>0</v>
      </c>
      <c r="M10241" s="501">
        <v>143</v>
      </c>
      <c r="N10241" s="501">
        <v>0</v>
      </c>
      <c r="O10241" s="506">
        <v>0</v>
      </c>
    </row>
    <row r="10242" spans="1:15" x14ac:dyDescent="0.35">
      <c r="A10242" s="503" t="s">
        <v>2079</v>
      </c>
      <c r="B10242" s="504">
        <v>4774</v>
      </c>
      <c r="C10242" s="504" t="s">
        <v>1089</v>
      </c>
      <c r="D10242" s="504" t="s">
        <v>3392</v>
      </c>
      <c r="E10242" s="504" t="s">
        <v>3381</v>
      </c>
      <c r="F10242" s="504" t="s">
        <v>420</v>
      </c>
      <c r="G10242" s="504" t="s">
        <v>3368</v>
      </c>
      <c r="H10242" s="504" t="s">
        <v>12697</v>
      </c>
      <c r="I10242" s="504">
        <v>64</v>
      </c>
      <c r="J10242" s="504">
        <v>0</v>
      </c>
      <c r="K10242" s="504">
        <v>0</v>
      </c>
      <c r="L10242" s="504">
        <v>64</v>
      </c>
      <c r="M10242" s="504">
        <v>0</v>
      </c>
      <c r="N10242" s="504">
        <v>0</v>
      </c>
      <c r="O10242" s="505">
        <v>0</v>
      </c>
    </row>
    <row r="10243" spans="1:15" x14ac:dyDescent="0.35">
      <c r="A10243" s="500" t="s">
        <v>1700</v>
      </c>
      <c r="B10243" s="501" t="s">
        <v>3129</v>
      </c>
      <c r="C10243" s="501" t="s">
        <v>1089</v>
      </c>
      <c r="D10243" s="501" t="s">
        <v>3392</v>
      </c>
      <c r="E10243" s="501" t="s">
        <v>3381</v>
      </c>
      <c r="F10243" s="501" t="s">
        <v>418</v>
      </c>
      <c r="G10243" s="501" t="s">
        <v>3368</v>
      </c>
      <c r="H10243" s="501" t="s">
        <v>12698</v>
      </c>
      <c r="I10243" s="501">
        <v>16</v>
      </c>
      <c r="J10243" s="501">
        <v>16</v>
      </c>
      <c r="K10243" s="501">
        <v>0</v>
      </c>
      <c r="L10243" s="501">
        <v>0</v>
      </c>
      <c r="M10243" s="501">
        <v>0</v>
      </c>
      <c r="N10243" s="501">
        <v>0</v>
      </c>
      <c r="O10243" s="506">
        <v>0</v>
      </c>
    </row>
    <row r="10244" spans="1:15" x14ac:dyDescent="0.35">
      <c r="A10244" s="503" t="s">
        <v>1438</v>
      </c>
      <c r="B10244" s="504" t="s">
        <v>2651</v>
      </c>
      <c r="C10244" s="504" t="s">
        <v>1089</v>
      </c>
      <c r="D10244" s="504" t="s">
        <v>3392</v>
      </c>
      <c r="E10244" s="504" t="s">
        <v>3381</v>
      </c>
      <c r="F10244" s="504" t="s">
        <v>416</v>
      </c>
      <c r="G10244" s="504" t="s">
        <v>3368</v>
      </c>
      <c r="H10244" s="504" t="s">
        <v>12699</v>
      </c>
      <c r="I10244" s="504">
        <v>158</v>
      </c>
      <c r="J10244" s="504">
        <v>115</v>
      </c>
      <c r="K10244" s="504">
        <v>43</v>
      </c>
      <c r="L10244" s="504">
        <v>0</v>
      </c>
      <c r="M10244" s="504">
        <v>0</v>
      </c>
      <c r="N10244" s="504">
        <v>0</v>
      </c>
      <c r="O10244" s="505">
        <v>0</v>
      </c>
    </row>
    <row r="10245" spans="1:15" x14ac:dyDescent="0.35">
      <c r="A10245" s="500" t="s">
        <v>14190</v>
      </c>
      <c r="B10245" s="501" t="s">
        <v>3204</v>
      </c>
      <c r="C10245" s="501" t="s">
        <v>1094</v>
      </c>
      <c r="D10245" s="501" t="s">
        <v>3380</v>
      </c>
      <c r="E10245" s="501" t="s">
        <v>3381</v>
      </c>
      <c r="F10245" s="501" t="s">
        <v>415</v>
      </c>
      <c r="G10245" s="501" t="s">
        <v>3368</v>
      </c>
      <c r="H10245" s="501" t="s">
        <v>15359</v>
      </c>
      <c r="I10245" s="501">
        <v>5</v>
      </c>
      <c r="J10245" s="501">
        <v>5</v>
      </c>
      <c r="K10245" s="501">
        <v>0</v>
      </c>
      <c r="L10245" s="501">
        <v>0</v>
      </c>
      <c r="M10245" s="501">
        <v>0</v>
      </c>
      <c r="N10245" s="501">
        <v>0</v>
      </c>
      <c r="O10245" s="506">
        <v>0</v>
      </c>
    </row>
    <row r="10246" spans="1:15" x14ac:dyDescent="0.35">
      <c r="A10246" s="503" t="s">
        <v>14190</v>
      </c>
      <c r="B10246" s="504" t="s">
        <v>3204</v>
      </c>
      <c r="C10246" s="504" t="s">
        <v>1094</v>
      </c>
      <c r="D10246" s="504" t="s">
        <v>3380</v>
      </c>
      <c r="E10246" s="504" t="s">
        <v>3381</v>
      </c>
      <c r="F10246" s="504" t="s">
        <v>2</v>
      </c>
      <c r="G10246" s="504" t="s">
        <v>3368</v>
      </c>
      <c r="H10246" s="504" t="s">
        <v>15360</v>
      </c>
      <c r="I10246" s="504">
        <v>7863</v>
      </c>
      <c r="J10246" s="504">
        <v>7017</v>
      </c>
      <c r="K10246" s="504">
        <v>0</v>
      </c>
      <c r="L10246" s="504">
        <v>11</v>
      </c>
      <c r="M10246" s="504">
        <v>582</v>
      </c>
      <c r="N10246" s="504">
        <v>0</v>
      </c>
      <c r="O10246" s="505">
        <v>253</v>
      </c>
    </row>
    <row r="10247" spans="1:15" x14ac:dyDescent="0.35">
      <c r="A10247" s="500" t="s">
        <v>14190</v>
      </c>
      <c r="B10247" s="501" t="s">
        <v>3204</v>
      </c>
      <c r="C10247" s="501" t="s">
        <v>1094</v>
      </c>
      <c r="D10247" s="501" t="s">
        <v>3380</v>
      </c>
      <c r="E10247" s="501" t="s">
        <v>3381</v>
      </c>
      <c r="F10247" s="501" t="s">
        <v>414</v>
      </c>
      <c r="G10247" s="501" t="s">
        <v>3368</v>
      </c>
      <c r="H10247" s="501" t="s">
        <v>15361</v>
      </c>
      <c r="I10247" s="501">
        <v>54</v>
      </c>
      <c r="J10247" s="501">
        <v>54</v>
      </c>
      <c r="K10247" s="501">
        <v>0</v>
      </c>
      <c r="L10247" s="501">
        <v>0</v>
      </c>
      <c r="M10247" s="501">
        <v>0</v>
      </c>
      <c r="N10247" s="501">
        <v>0</v>
      </c>
      <c r="O10247" s="506">
        <v>0</v>
      </c>
    </row>
    <row r="10248" spans="1:15" x14ac:dyDescent="0.35">
      <c r="A10248" s="503" t="s">
        <v>1832</v>
      </c>
      <c r="B10248" s="504">
        <v>4797</v>
      </c>
      <c r="C10248" s="504" t="s">
        <v>1089</v>
      </c>
      <c r="D10248" s="504" t="s">
        <v>3392</v>
      </c>
      <c r="E10248" s="504" t="s">
        <v>3381</v>
      </c>
      <c r="F10248" s="504" t="s">
        <v>2</v>
      </c>
      <c r="G10248" s="504" t="s">
        <v>3368</v>
      </c>
      <c r="H10248" s="504" t="s">
        <v>12701</v>
      </c>
      <c r="I10248" s="504">
        <v>14</v>
      </c>
      <c r="J10248" s="504">
        <v>0</v>
      </c>
      <c r="K10248" s="504">
        <v>0</v>
      </c>
      <c r="L10248" s="504">
        <v>14</v>
      </c>
      <c r="M10248" s="504">
        <v>0</v>
      </c>
      <c r="N10248" s="504">
        <v>0</v>
      </c>
      <c r="O10248" s="505">
        <v>0</v>
      </c>
    </row>
    <row r="10249" spans="1:15" x14ac:dyDescent="0.35">
      <c r="A10249" s="500" t="s">
        <v>1832</v>
      </c>
      <c r="B10249" s="501">
        <v>4797</v>
      </c>
      <c r="C10249" s="501" t="s">
        <v>1089</v>
      </c>
      <c r="D10249" s="501" t="s">
        <v>3392</v>
      </c>
      <c r="E10249" s="501" t="s">
        <v>3381</v>
      </c>
      <c r="F10249" s="501" t="s">
        <v>420</v>
      </c>
      <c r="G10249" s="501" t="s">
        <v>3368</v>
      </c>
      <c r="H10249" s="501" t="s">
        <v>12700</v>
      </c>
      <c r="I10249" s="501">
        <v>42</v>
      </c>
      <c r="J10249" s="501">
        <v>0</v>
      </c>
      <c r="K10249" s="501">
        <v>0</v>
      </c>
      <c r="L10249" s="501">
        <v>42</v>
      </c>
      <c r="M10249" s="501">
        <v>0</v>
      </c>
      <c r="N10249" s="501">
        <v>0</v>
      </c>
      <c r="O10249" s="506">
        <v>0</v>
      </c>
    </row>
    <row r="10250" spans="1:15" x14ac:dyDescent="0.35">
      <c r="A10250" s="503" t="s">
        <v>1627</v>
      </c>
      <c r="B10250" s="504">
        <v>4771</v>
      </c>
      <c r="C10250" s="504" t="s">
        <v>1089</v>
      </c>
      <c r="D10250" s="504" t="s">
        <v>3392</v>
      </c>
      <c r="E10250" s="504" t="s">
        <v>3381</v>
      </c>
      <c r="F10250" s="504" t="s">
        <v>418</v>
      </c>
      <c r="G10250" s="504" t="s">
        <v>3368</v>
      </c>
      <c r="H10250" s="504" t="s">
        <v>12702</v>
      </c>
      <c r="I10250" s="504">
        <v>4</v>
      </c>
      <c r="J10250" s="504">
        <v>0</v>
      </c>
      <c r="K10250" s="504">
        <v>0</v>
      </c>
      <c r="L10250" s="504">
        <v>4</v>
      </c>
      <c r="M10250" s="504">
        <v>0</v>
      </c>
      <c r="N10250" s="504">
        <v>0</v>
      </c>
      <c r="O10250" s="505">
        <v>0</v>
      </c>
    </row>
    <row r="10251" spans="1:15" x14ac:dyDescent="0.35">
      <c r="A10251" s="500" t="s">
        <v>1627</v>
      </c>
      <c r="B10251" s="501">
        <v>4771</v>
      </c>
      <c r="C10251" s="501" t="s">
        <v>1089</v>
      </c>
      <c r="D10251" s="501" t="s">
        <v>3392</v>
      </c>
      <c r="E10251" s="501" t="s">
        <v>3381</v>
      </c>
      <c r="F10251" s="501" t="s">
        <v>2</v>
      </c>
      <c r="G10251" s="501" t="s">
        <v>3368</v>
      </c>
      <c r="H10251" s="501" t="s">
        <v>12703</v>
      </c>
      <c r="I10251" s="501">
        <v>2</v>
      </c>
      <c r="J10251" s="501">
        <v>0</v>
      </c>
      <c r="K10251" s="501">
        <v>0</v>
      </c>
      <c r="L10251" s="501">
        <v>2</v>
      </c>
      <c r="M10251" s="501">
        <v>0</v>
      </c>
      <c r="N10251" s="501">
        <v>0</v>
      </c>
      <c r="O10251" s="506">
        <v>0</v>
      </c>
    </row>
    <row r="10252" spans="1:15" x14ac:dyDescent="0.35">
      <c r="A10252" s="503" t="s">
        <v>1627</v>
      </c>
      <c r="B10252" s="504">
        <v>4771</v>
      </c>
      <c r="C10252" s="504" t="s">
        <v>1089</v>
      </c>
      <c r="D10252" s="504" t="s">
        <v>3392</v>
      </c>
      <c r="E10252" s="504" t="s">
        <v>3381</v>
      </c>
      <c r="F10252" s="504" t="s">
        <v>417</v>
      </c>
      <c r="G10252" s="504" t="s">
        <v>3368</v>
      </c>
      <c r="H10252" s="504" t="s">
        <v>12704</v>
      </c>
      <c r="I10252" s="504">
        <v>2</v>
      </c>
      <c r="J10252" s="504">
        <v>0</v>
      </c>
      <c r="K10252" s="504">
        <v>0</v>
      </c>
      <c r="L10252" s="504">
        <v>2</v>
      </c>
      <c r="M10252" s="504">
        <v>0</v>
      </c>
      <c r="N10252" s="504">
        <v>0</v>
      </c>
      <c r="O10252" s="505">
        <v>0</v>
      </c>
    </row>
    <row r="10253" spans="1:15" x14ac:dyDescent="0.35">
      <c r="A10253" s="500" t="s">
        <v>1978</v>
      </c>
      <c r="B10253" s="501" t="s">
        <v>3119</v>
      </c>
      <c r="C10253" s="501" t="s">
        <v>1089</v>
      </c>
      <c r="D10253" s="501" t="s">
        <v>3392</v>
      </c>
      <c r="E10253" s="501" t="s">
        <v>3381</v>
      </c>
      <c r="F10253" s="501" t="s">
        <v>419</v>
      </c>
      <c r="G10253" s="501" t="s">
        <v>3368</v>
      </c>
      <c r="H10253" s="501" t="s">
        <v>12705</v>
      </c>
      <c r="I10253" s="501">
        <v>286</v>
      </c>
      <c r="J10253" s="501">
        <v>286</v>
      </c>
      <c r="K10253" s="501">
        <v>0</v>
      </c>
      <c r="L10253" s="501">
        <v>0</v>
      </c>
      <c r="M10253" s="501">
        <v>0</v>
      </c>
      <c r="N10253" s="501">
        <v>0</v>
      </c>
      <c r="O10253" s="506">
        <v>0</v>
      </c>
    </row>
    <row r="10254" spans="1:15" x14ac:dyDescent="0.35">
      <c r="A10254" s="503" t="s">
        <v>1628</v>
      </c>
      <c r="B10254" s="504" t="s">
        <v>2696</v>
      </c>
      <c r="C10254" s="504" t="s">
        <v>1089</v>
      </c>
      <c r="D10254" s="504" t="s">
        <v>3392</v>
      </c>
      <c r="E10254" s="504" t="s">
        <v>3381</v>
      </c>
      <c r="F10254" s="504" t="s">
        <v>417</v>
      </c>
      <c r="G10254" s="504" t="s">
        <v>3368</v>
      </c>
      <c r="H10254" s="504" t="s">
        <v>12706</v>
      </c>
      <c r="I10254" s="504">
        <v>29</v>
      </c>
      <c r="J10254" s="504">
        <v>29</v>
      </c>
      <c r="K10254" s="504">
        <v>0</v>
      </c>
      <c r="L10254" s="504">
        <v>0</v>
      </c>
      <c r="M10254" s="504">
        <v>0</v>
      </c>
      <c r="N10254" s="504">
        <v>0</v>
      </c>
      <c r="O10254" s="505">
        <v>0</v>
      </c>
    </row>
    <row r="10255" spans="1:15" x14ac:dyDescent="0.35">
      <c r="A10255" s="500" t="s">
        <v>1701</v>
      </c>
      <c r="B10255" s="501" t="s">
        <v>3040</v>
      </c>
      <c r="C10255" s="501" t="s">
        <v>1089</v>
      </c>
      <c r="D10255" s="501" t="s">
        <v>3392</v>
      </c>
      <c r="E10255" s="501" t="s">
        <v>3381</v>
      </c>
      <c r="F10255" s="501" t="s">
        <v>418</v>
      </c>
      <c r="G10255" s="501" t="s">
        <v>3368</v>
      </c>
      <c r="H10255" s="501" t="s">
        <v>12707</v>
      </c>
      <c r="I10255" s="501">
        <v>387</v>
      </c>
      <c r="J10255" s="501">
        <v>330</v>
      </c>
      <c r="K10255" s="501">
        <v>0</v>
      </c>
      <c r="L10255" s="501">
        <v>0</v>
      </c>
      <c r="M10255" s="501">
        <v>57</v>
      </c>
      <c r="N10255" s="501">
        <v>0</v>
      </c>
      <c r="O10255" s="506">
        <v>0</v>
      </c>
    </row>
    <row r="10256" spans="1:15" x14ac:dyDescent="0.35">
      <c r="A10256" s="503" t="s">
        <v>1176</v>
      </c>
      <c r="B10256" s="504" t="s">
        <v>2604</v>
      </c>
      <c r="C10256" s="504" t="s">
        <v>1089</v>
      </c>
      <c r="D10256" s="504" t="s">
        <v>3392</v>
      </c>
      <c r="E10256" s="504" t="s">
        <v>3381</v>
      </c>
      <c r="F10256" s="504" t="s">
        <v>414</v>
      </c>
      <c r="G10256" s="504" t="s">
        <v>3368</v>
      </c>
      <c r="H10256" s="504" t="s">
        <v>12708</v>
      </c>
      <c r="I10256" s="504">
        <v>10</v>
      </c>
      <c r="J10256" s="504">
        <v>0</v>
      </c>
      <c r="K10256" s="504">
        <v>0</v>
      </c>
      <c r="L10256" s="504">
        <v>0</v>
      </c>
      <c r="M10256" s="504">
        <v>10</v>
      </c>
      <c r="N10256" s="504">
        <v>0</v>
      </c>
      <c r="O10256" s="505">
        <v>0</v>
      </c>
    </row>
    <row r="10257" spans="1:15" x14ac:dyDescent="0.35">
      <c r="A10257" s="500" t="s">
        <v>14192</v>
      </c>
      <c r="B10257" s="501">
        <v>5049</v>
      </c>
      <c r="C10257" s="501" t="s">
        <v>1089</v>
      </c>
      <c r="D10257" s="501" t="s">
        <v>3392</v>
      </c>
      <c r="E10257" s="501" t="s">
        <v>3381</v>
      </c>
      <c r="F10257" s="501" t="s">
        <v>420</v>
      </c>
      <c r="G10257" s="501" t="s">
        <v>3368</v>
      </c>
      <c r="H10257" s="501" t="s">
        <v>15362</v>
      </c>
      <c r="I10257" s="501">
        <v>8</v>
      </c>
      <c r="J10257" s="501">
        <v>8</v>
      </c>
      <c r="K10257" s="501">
        <v>0</v>
      </c>
      <c r="L10257" s="501">
        <v>0</v>
      </c>
      <c r="M10257" s="501">
        <v>0</v>
      </c>
      <c r="N10257" s="501">
        <v>0</v>
      </c>
      <c r="O10257" s="506">
        <v>0</v>
      </c>
    </row>
    <row r="10258" spans="1:15" x14ac:dyDescent="0.35">
      <c r="A10258" s="503" t="s">
        <v>1702</v>
      </c>
      <c r="B10258" s="504" t="s">
        <v>2616</v>
      </c>
      <c r="C10258" s="504" t="s">
        <v>1089</v>
      </c>
      <c r="D10258" s="504" t="s">
        <v>3392</v>
      </c>
      <c r="E10258" s="504" t="s">
        <v>3381</v>
      </c>
      <c r="F10258" s="504" t="s">
        <v>418</v>
      </c>
      <c r="G10258" s="504" t="s">
        <v>3368</v>
      </c>
      <c r="H10258" s="504" t="s">
        <v>12709</v>
      </c>
      <c r="I10258" s="504">
        <v>7</v>
      </c>
      <c r="J10258" s="504">
        <v>0</v>
      </c>
      <c r="K10258" s="504">
        <v>0</v>
      </c>
      <c r="L10258" s="504">
        <v>0</v>
      </c>
      <c r="M10258" s="504">
        <v>7</v>
      </c>
      <c r="N10258" s="504">
        <v>0</v>
      </c>
      <c r="O10258" s="505">
        <v>0</v>
      </c>
    </row>
    <row r="10259" spans="1:15" x14ac:dyDescent="0.35">
      <c r="A10259" s="500" t="s">
        <v>14194</v>
      </c>
      <c r="B10259" s="501" t="s">
        <v>14193</v>
      </c>
      <c r="C10259" s="501" t="s">
        <v>1089</v>
      </c>
      <c r="D10259" s="501" t="s">
        <v>3392</v>
      </c>
      <c r="E10259" s="501" t="s">
        <v>3381</v>
      </c>
      <c r="F10259" s="501" t="s">
        <v>416</v>
      </c>
      <c r="G10259" s="501" t="s">
        <v>3368</v>
      </c>
      <c r="H10259" s="501" t="s">
        <v>15363</v>
      </c>
      <c r="I10259" s="501">
        <v>35</v>
      </c>
      <c r="J10259" s="501">
        <v>35</v>
      </c>
      <c r="K10259" s="501">
        <v>0</v>
      </c>
      <c r="L10259" s="501">
        <v>0</v>
      </c>
      <c r="M10259" s="501">
        <v>0</v>
      </c>
      <c r="N10259" s="501">
        <v>0</v>
      </c>
      <c r="O10259" s="506">
        <v>0</v>
      </c>
    </row>
    <row r="10260" spans="1:15" x14ac:dyDescent="0.35">
      <c r="A10260" s="503" t="s">
        <v>1703</v>
      </c>
      <c r="B10260" s="504">
        <v>4582</v>
      </c>
      <c r="C10260" s="504" t="s">
        <v>1094</v>
      </c>
      <c r="D10260" s="504" t="s">
        <v>3380</v>
      </c>
      <c r="E10260" s="504" t="s">
        <v>3381</v>
      </c>
      <c r="F10260" s="504" t="s">
        <v>418</v>
      </c>
      <c r="G10260" s="504" t="s">
        <v>3368</v>
      </c>
      <c r="H10260" s="504" t="s">
        <v>12710</v>
      </c>
      <c r="I10260" s="504">
        <v>11361</v>
      </c>
      <c r="J10260" s="504">
        <v>11323</v>
      </c>
      <c r="K10260" s="504">
        <v>3</v>
      </c>
      <c r="L10260" s="504">
        <v>0</v>
      </c>
      <c r="M10260" s="504">
        <v>0</v>
      </c>
      <c r="N10260" s="504">
        <v>0</v>
      </c>
      <c r="O10260" s="505">
        <v>35</v>
      </c>
    </row>
    <row r="10261" spans="1:15" x14ac:dyDescent="0.35">
      <c r="A10261" s="500" t="s">
        <v>1295</v>
      </c>
      <c r="B10261" s="501">
        <v>5090</v>
      </c>
      <c r="C10261" s="501" t="s">
        <v>1094</v>
      </c>
      <c r="D10261" s="501" t="s">
        <v>3380</v>
      </c>
      <c r="E10261" s="501" t="s">
        <v>3381</v>
      </c>
      <c r="F10261" s="501" t="s">
        <v>415</v>
      </c>
      <c r="G10261" s="501" t="s">
        <v>3368</v>
      </c>
      <c r="H10261" s="501" t="s">
        <v>12711</v>
      </c>
      <c r="I10261" s="501">
        <v>2263</v>
      </c>
      <c r="J10261" s="501">
        <v>1597</v>
      </c>
      <c r="K10261" s="501">
        <v>0</v>
      </c>
      <c r="L10261" s="501">
        <v>46</v>
      </c>
      <c r="M10261" s="501">
        <v>463</v>
      </c>
      <c r="N10261" s="501">
        <v>0</v>
      </c>
      <c r="O10261" s="506">
        <v>157</v>
      </c>
    </row>
    <row r="10262" spans="1:15" x14ac:dyDescent="0.35">
      <c r="A10262" s="503" t="s">
        <v>1177</v>
      </c>
      <c r="B10262" s="504">
        <v>4702</v>
      </c>
      <c r="C10262" s="504" t="s">
        <v>1089</v>
      </c>
      <c r="D10262" s="504" t="s">
        <v>3392</v>
      </c>
      <c r="E10262" s="504" t="s">
        <v>3381</v>
      </c>
      <c r="F10262" s="504" t="s">
        <v>420</v>
      </c>
      <c r="G10262" s="504" t="s">
        <v>3368</v>
      </c>
      <c r="H10262" s="504" t="s">
        <v>12717</v>
      </c>
      <c r="I10262" s="504">
        <v>1</v>
      </c>
      <c r="J10262" s="504">
        <v>0</v>
      </c>
      <c r="K10262" s="504">
        <v>0</v>
      </c>
      <c r="L10262" s="504">
        <v>1</v>
      </c>
      <c r="M10262" s="504">
        <v>0</v>
      </c>
      <c r="N10262" s="504">
        <v>0</v>
      </c>
      <c r="O10262" s="505">
        <v>0</v>
      </c>
    </row>
    <row r="10263" spans="1:15" x14ac:dyDescent="0.35">
      <c r="A10263" s="500" t="s">
        <v>1177</v>
      </c>
      <c r="B10263" s="501">
        <v>4702</v>
      </c>
      <c r="C10263" s="501" t="s">
        <v>1089</v>
      </c>
      <c r="D10263" s="501" t="s">
        <v>3392</v>
      </c>
      <c r="E10263" s="501" t="s">
        <v>3381</v>
      </c>
      <c r="F10263" s="501" t="s">
        <v>419</v>
      </c>
      <c r="G10263" s="501" t="s">
        <v>3368</v>
      </c>
      <c r="H10263" s="501" t="s">
        <v>12714</v>
      </c>
      <c r="I10263" s="501">
        <v>21</v>
      </c>
      <c r="J10263" s="501">
        <v>0</v>
      </c>
      <c r="K10263" s="501">
        <v>0</v>
      </c>
      <c r="L10263" s="501">
        <v>21</v>
      </c>
      <c r="M10263" s="501">
        <v>0</v>
      </c>
      <c r="N10263" s="501">
        <v>0</v>
      </c>
      <c r="O10263" s="506">
        <v>0</v>
      </c>
    </row>
    <row r="10264" spans="1:15" x14ac:dyDescent="0.35">
      <c r="A10264" s="503" t="s">
        <v>1177</v>
      </c>
      <c r="B10264" s="504">
        <v>4702</v>
      </c>
      <c r="C10264" s="504" t="s">
        <v>1089</v>
      </c>
      <c r="D10264" s="504" t="s">
        <v>3392</v>
      </c>
      <c r="E10264" s="504" t="s">
        <v>3381</v>
      </c>
      <c r="F10264" s="504" t="s">
        <v>414</v>
      </c>
      <c r="G10264" s="504" t="s">
        <v>3368</v>
      </c>
      <c r="H10264" s="504" t="s">
        <v>12712</v>
      </c>
      <c r="I10264" s="504">
        <v>44</v>
      </c>
      <c r="J10264" s="504">
        <v>8</v>
      </c>
      <c r="K10264" s="504">
        <v>0</v>
      </c>
      <c r="L10264" s="504">
        <v>36</v>
      </c>
      <c r="M10264" s="504">
        <v>0</v>
      </c>
      <c r="N10264" s="504">
        <v>0</v>
      </c>
      <c r="O10264" s="505">
        <v>0</v>
      </c>
    </row>
    <row r="10265" spans="1:15" x14ac:dyDescent="0.35">
      <c r="A10265" s="500" t="s">
        <v>1177</v>
      </c>
      <c r="B10265" s="501">
        <v>4702</v>
      </c>
      <c r="C10265" s="501" t="s">
        <v>1089</v>
      </c>
      <c r="D10265" s="501" t="s">
        <v>3392</v>
      </c>
      <c r="E10265" s="501" t="s">
        <v>3381</v>
      </c>
      <c r="F10265" s="501" t="s">
        <v>415</v>
      </c>
      <c r="G10265" s="501" t="s">
        <v>3368</v>
      </c>
      <c r="H10265" s="501" t="s">
        <v>12713</v>
      </c>
      <c r="I10265" s="501">
        <v>101</v>
      </c>
      <c r="J10265" s="501">
        <v>0</v>
      </c>
      <c r="K10265" s="501">
        <v>0</v>
      </c>
      <c r="L10265" s="501">
        <v>101</v>
      </c>
      <c r="M10265" s="501">
        <v>0</v>
      </c>
      <c r="N10265" s="501">
        <v>0</v>
      </c>
      <c r="O10265" s="506">
        <v>0</v>
      </c>
    </row>
    <row r="10266" spans="1:15" x14ac:dyDescent="0.35">
      <c r="A10266" s="503" t="s">
        <v>1177</v>
      </c>
      <c r="B10266" s="504">
        <v>4702</v>
      </c>
      <c r="C10266" s="504" t="s">
        <v>1089</v>
      </c>
      <c r="D10266" s="504" t="s">
        <v>3392</v>
      </c>
      <c r="E10266" s="504" t="s">
        <v>3381</v>
      </c>
      <c r="F10266" s="504" t="s">
        <v>2</v>
      </c>
      <c r="G10266" s="504" t="s">
        <v>3368</v>
      </c>
      <c r="H10266" s="504" t="s">
        <v>12718</v>
      </c>
      <c r="I10266" s="504">
        <v>24</v>
      </c>
      <c r="J10266" s="504">
        <v>0</v>
      </c>
      <c r="K10266" s="504">
        <v>0</v>
      </c>
      <c r="L10266" s="504">
        <v>24</v>
      </c>
      <c r="M10266" s="504">
        <v>0</v>
      </c>
      <c r="N10266" s="504">
        <v>0</v>
      </c>
      <c r="O10266" s="505">
        <v>0</v>
      </c>
    </row>
    <row r="10267" spans="1:15" x14ac:dyDescent="0.35">
      <c r="A10267" s="500" t="s">
        <v>1177</v>
      </c>
      <c r="B10267" s="501">
        <v>4702</v>
      </c>
      <c r="C10267" s="501" t="s">
        <v>1089</v>
      </c>
      <c r="D10267" s="501" t="s">
        <v>3392</v>
      </c>
      <c r="E10267" s="501" t="s">
        <v>3381</v>
      </c>
      <c r="F10267" s="501" t="s">
        <v>416</v>
      </c>
      <c r="G10267" s="501" t="s">
        <v>3368</v>
      </c>
      <c r="H10267" s="501" t="s">
        <v>12716</v>
      </c>
      <c r="I10267" s="501">
        <v>5</v>
      </c>
      <c r="J10267" s="501">
        <v>0</v>
      </c>
      <c r="K10267" s="501">
        <v>0</v>
      </c>
      <c r="L10267" s="501">
        <v>5</v>
      </c>
      <c r="M10267" s="501">
        <v>0</v>
      </c>
      <c r="N10267" s="501">
        <v>0</v>
      </c>
      <c r="O10267" s="506">
        <v>0</v>
      </c>
    </row>
    <row r="10268" spans="1:15" x14ac:dyDescent="0.35">
      <c r="A10268" s="503" t="s">
        <v>1177</v>
      </c>
      <c r="B10268" s="504">
        <v>4702</v>
      </c>
      <c r="C10268" s="504" t="s">
        <v>1089</v>
      </c>
      <c r="D10268" s="504" t="s">
        <v>3392</v>
      </c>
      <c r="E10268" s="504" t="s">
        <v>3381</v>
      </c>
      <c r="F10268" s="504" t="s">
        <v>418</v>
      </c>
      <c r="G10268" s="504" t="s">
        <v>3368</v>
      </c>
      <c r="H10268" s="504" t="s">
        <v>12715</v>
      </c>
      <c r="I10268" s="504">
        <v>76</v>
      </c>
      <c r="J10268" s="504">
        <v>0</v>
      </c>
      <c r="K10268" s="504">
        <v>0</v>
      </c>
      <c r="L10268" s="504">
        <v>76</v>
      </c>
      <c r="M10268" s="504">
        <v>0</v>
      </c>
      <c r="N10268" s="504">
        <v>0</v>
      </c>
      <c r="O10268" s="505">
        <v>0</v>
      </c>
    </row>
    <row r="10269" spans="1:15" x14ac:dyDescent="0.35">
      <c r="A10269" s="500" t="s">
        <v>1439</v>
      </c>
      <c r="B10269" s="501">
        <v>4569</v>
      </c>
      <c r="C10269" s="501" t="s">
        <v>1089</v>
      </c>
      <c r="D10269" s="501" t="s">
        <v>3392</v>
      </c>
      <c r="E10269" s="501" t="s">
        <v>3381</v>
      </c>
      <c r="F10269" s="501" t="s">
        <v>416</v>
      </c>
      <c r="G10269" s="501" t="s">
        <v>3368</v>
      </c>
      <c r="H10269" s="501" t="s">
        <v>12719</v>
      </c>
      <c r="I10269" s="501">
        <v>179</v>
      </c>
      <c r="J10269" s="501">
        <v>179</v>
      </c>
      <c r="K10269" s="501">
        <v>0</v>
      </c>
      <c r="L10269" s="501">
        <v>0</v>
      </c>
      <c r="M10269" s="501">
        <v>0</v>
      </c>
      <c r="N10269" s="501">
        <v>8</v>
      </c>
      <c r="O10269" s="506">
        <v>0</v>
      </c>
    </row>
    <row r="10270" spans="1:15" x14ac:dyDescent="0.35">
      <c r="A10270" s="503" t="s">
        <v>1833</v>
      </c>
      <c r="B10270" s="504" t="s">
        <v>2517</v>
      </c>
      <c r="C10270" s="504" t="s">
        <v>1089</v>
      </c>
      <c r="D10270" s="504" t="s">
        <v>3392</v>
      </c>
      <c r="E10270" s="504" t="s">
        <v>3381</v>
      </c>
      <c r="F10270" s="504" t="s">
        <v>2</v>
      </c>
      <c r="G10270" s="504" t="s">
        <v>3368</v>
      </c>
      <c r="H10270" s="504" t="s">
        <v>12720</v>
      </c>
      <c r="I10270" s="504">
        <v>14</v>
      </c>
      <c r="J10270" s="504">
        <v>0</v>
      </c>
      <c r="K10270" s="504">
        <v>0</v>
      </c>
      <c r="L10270" s="504">
        <v>0</v>
      </c>
      <c r="M10270" s="504">
        <v>14</v>
      </c>
      <c r="N10270" s="504">
        <v>0</v>
      </c>
      <c r="O10270" s="505">
        <v>0</v>
      </c>
    </row>
    <row r="10271" spans="1:15" x14ac:dyDescent="0.35">
      <c r="A10271" s="500" t="s">
        <v>1834</v>
      </c>
      <c r="B10271" s="501" t="s">
        <v>3097</v>
      </c>
      <c r="C10271" s="501" t="s">
        <v>1089</v>
      </c>
      <c r="D10271" s="501" t="s">
        <v>3392</v>
      </c>
      <c r="E10271" s="501" t="s">
        <v>3381</v>
      </c>
      <c r="F10271" s="501" t="s">
        <v>2</v>
      </c>
      <c r="G10271" s="501" t="s">
        <v>3368</v>
      </c>
      <c r="H10271" s="501" t="s">
        <v>12721</v>
      </c>
      <c r="I10271" s="501">
        <v>52</v>
      </c>
      <c r="J10271" s="501">
        <v>0</v>
      </c>
      <c r="K10271" s="501">
        <v>0</v>
      </c>
      <c r="L10271" s="501">
        <v>0</v>
      </c>
      <c r="M10271" s="501">
        <v>52</v>
      </c>
      <c r="N10271" s="501">
        <v>0</v>
      </c>
      <c r="O10271" s="506">
        <v>0</v>
      </c>
    </row>
    <row r="10272" spans="1:15" x14ac:dyDescent="0.35">
      <c r="A10272" s="503" t="s">
        <v>1296</v>
      </c>
      <c r="B10272" s="504">
        <v>4651</v>
      </c>
      <c r="C10272" s="504" t="s">
        <v>1094</v>
      </c>
      <c r="D10272" s="504" t="s">
        <v>3380</v>
      </c>
      <c r="E10272" s="504" t="s">
        <v>3381</v>
      </c>
      <c r="F10272" s="504" t="s">
        <v>415</v>
      </c>
      <c r="G10272" s="504" t="s">
        <v>3368</v>
      </c>
      <c r="H10272" s="504" t="s">
        <v>12722</v>
      </c>
      <c r="I10272" s="504">
        <v>30919</v>
      </c>
      <c r="J10272" s="504">
        <v>26742</v>
      </c>
      <c r="K10272" s="504">
        <v>0</v>
      </c>
      <c r="L10272" s="504">
        <v>295</v>
      </c>
      <c r="M10272" s="504">
        <v>2192</v>
      </c>
      <c r="N10272" s="504">
        <v>0</v>
      </c>
      <c r="O10272" s="505">
        <v>1690</v>
      </c>
    </row>
    <row r="10273" spans="1:15" x14ac:dyDescent="0.35">
      <c r="A10273" s="500" t="s">
        <v>1704</v>
      </c>
      <c r="B10273" s="501" t="s">
        <v>3221</v>
      </c>
      <c r="C10273" s="501" t="s">
        <v>1094</v>
      </c>
      <c r="D10273" s="501" t="s">
        <v>3380</v>
      </c>
      <c r="E10273" s="501" t="s">
        <v>3381</v>
      </c>
      <c r="F10273" s="501" t="s">
        <v>418</v>
      </c>
      <c r="G10273" s="501" t="s">
        <v>3368</v>
      </c>
      <c r="H10273" s="501" t="s">
        <v>12723</v>
      </c>
      <c r="I10273" s="501">
        <v>17755</v>
      </c>
      <c r="J10273" s="501">
        <v>16191</v>
      </c>
      <c r="K10273" s="501">
        <v>3</v>
      </c>
      <c r="L10273" s="501">
        <v>1464</v>
      </c>
      <c r="M10273" s="501">
        <v>0</v>
      </c>
      <c r="N10273" s="501">
        <v>0</v>
      </c>
      <c r="O10273" s="506">
        <v>97</v>
      </c>
    </row>
    <row r="10274" spans="1:15" x14ac:dyDescent="0.35">
      <c r="A10274" s="503" t="s">
        <v>1979</v>
      </c>
      <c r="B10274" s="504" t="s">
        <v>2582</v>
      </c>
      <c r="C10274" s="504" t="s">
        <v>1089</v>
      </c>
      <c r="D10274" s="504" t="s">
        <v>3392</v>
      </c>
      <c r="E10274" s="504" t="s">
        <v>3381</v>
      </c>
      <c r="F10274" s="504" t="s">
        <v>419</v>
      </c>
      <c r="G10274" s="504" t="s">
        <v>3368</v>
      </c>
      <c r="H10274" s="504" t="s">
        <v>12724</v>
      </c>
      <c r="I10274" s="504">
        <v>12</v>
      </c>
      <c r="J10274" s="504">
        <v>0</v>
      </c>
      <c r="K10274" s="504">
        <v>0</v>
      </c>
      <c r="L10274" s="504">
        <v>0</v>
      </c>
      <c r="M10274" s="504">
        <v>12</v>
      </c>
      <c r="N10274" s="504">
        <v>0</v>
      </c>
      <c r="O10274" s="505">
        <v>0</v>
      </c>
    </row>
    <row r="10275" spans="1:15" x14ac:dyDescent="0.35">
      <c r="A10275" s="500" t="s">
        <v>1440</v>
      </c>
      <c r="B10275" s="501" t="s">
        <v>2964</v>
      </c>
      <c r="C10275" s="501" t="s">
        <v>1089</v>
      </c>
      <c r="D10275" s="501" t="s">
        <v>3392</v>
      </c>
      <c r="E10275" s="501" t="s">
        <v>3381</v>
      </c>
      <c r="F10275" s="501" t="s">
        <v>416</v>
      </c>
      <c r="G10275" s="501" t="s">
        <v>3368</v>
      </c>
      <c r="H10275" s="501" t="s">
        <v>12725</v>
      </c>
      <c r="I10275" s="501">
        <v>123</v>
      </c>
      <c r="J10275" s="501">
        <v>123</v>
      </c>
      <c r="K10275" s="501">
        <v>0</v>
      </c>
      <c r="L10275" s="501">
        <v>0</v>
      </c>
      <c r="M10275" s="501">
        <v>0</v>
      </c>
      <c r="N10275" s="501">
        <v>0</v>
      </c>
      <c r="O10275" s="506">
        <v>0</v>
      </c>
    </row>
    <row r="10276" spans="1:15" x14ac:dyDescent="0.35">
      <c r="A10276" s="503" t="s">
        <v>2146</v>
      </c>
      <c r="B10276" s="504">
        <v>4688</v>
      </c>
      <c r="C10276" s="504" t="s">
        <v>1089</v>
      </c>
      <c r="D10276" s="504" t="s">
        <v>3392</v>
      </c>
      <c r="E10276" s="504" t="s">
        <v>3381</v>
      </c>
      <c r="F10276" s="504" t="s">
        <v>1048</v>
      </c>
      <c r="G10276" s="504" t="s">
        <v>3368</v>
      </c>
      <c r="H10276" s="504" t="s">
        <v>13978</v>
      </c>
      <c r="I10276" s="504">
        <v>16</v>
      </c>
      <c r="J10276" s="504">
        <v>7</v>
      </c>
      <c r="K10276" s="504">
        <v>0</v>
      </c>
      <c r="L10276" s="504">
        <v>9</v>
      </c>
      <c r="M10276" s="504">
        <v>0</v>
      </c>
      <c r="N10276" s="504">
        <v>0</v>
      </c>
      <c r="O10276" s="505">
        <v>0</v>
      </c>
    </row>
    <row r="10277" spans="1:15" x14ac:dyDescent="0.35">
      <c r="A10277" s="500" t="s">
        <v>1980</v>
      </c>
      <c r="B10277" s="501" t="s">
        <v>3264</v>
      </c>
      <c r="C10277" s="501" t="s">
        <v>1089</v>
      </c>
      <c r="D10277" s="501" t="s">
        <v>3392</v>
      </c>
      <c r="E10277" s="501" t="s">
        <v>3381</v>
      </c>
      <c r="F10277" s="501" t="s">
        <v>419</v>
      </c>
      <c r="G10277" s="501" t="s">
        <v>3368</v>
      </c>
      <c r="H10277" s="501" t="s">
        <v>12726</v>
      </c>
      <c r="I10277" s="501">
        <v>8</v>
      </c>
      <c r="J10277" s="501">
        <v>8</v>
      </c>
      <c r="K10277" s="501">
        <v>0</v>
      </c>
      <c r="L10277" s="501">
        <v>0</v>
      </c>
      <c r="M10277" s="501">
        <v>0</v>
      </c>
      <c r="N10277" s="501">
        <v>0</v>
      </c>
      <c r="O10277" s="506">
        <v>0</v>
      </c>
    </row>
    <row r="10278" spans="1:15" x14ac:dyDescent="0.35">
      <c r="A10278" s="503" t="s">
        <v>1178</v>
      </c>
      <c r="B10278" s="504" t="s">
        <v>3334</v>
      </c>
      <c r="C10278" s="504" t="s">
        <v>1094</v>
      </c>
      <c r="D10278" s="504" t="s">
        <v>3380</v>
      </c>
      <c r="E10278" s="504" t="s">
        <v>3381</v>
      </c>
      <c r="F10278" s="504" t="s">
        <v>1048</v>
      </c>
      <c r="G10278" s="504" t="s">
        <v>3368</v>
      </c>
      <c r="H10278" s="504" t="s">
        <v>13979</v>
      </c>
      <c r="I10278" s="504">
        <v>26</v>
      </c>
      <c r="J10278" s="504">
        <v>0</v>
      </c>
      <c r="K10278" s="504">
        <v>0</v>
      </c>
      <c r="L10278" s="504">
        <v>26</v>
      </c>
      <c r="M10278" s="504">
        <v>0</v>
      </c>
      <c r="N10278" s="504">
        <v>0</v>
      </c>
      <c r="O10278" s="505">
        <v>0</v>
      </c>
    </row>
    <row r="10279" spans="1:15" x14ac:dyDescent="0.35">
      <c r="A10279" s="500" t="s">
        <v>1178</v>
      </c>
      <c r="B10279" s="501" t="s">
        <v>3334</v>
      </c>
      <c r="C10279" s="501" t="s">
        <v>1094</v>
      </c>
      <c r="D10279" s="501" t="s">
        <v>3380</v>
      </c>
      <c r="E10279" s="501" t="s">
        <v>3381</v>
      </c>
      <c r="F10279" s="501" t="s">
        <v>414</v>
      </c>
      <c r="G10279" s="501" t="s">
        <v>3368</v>
      </c>
      <c r="H10279" s="501" t="s">
        <v>12727</v>
      </c>
      <c r="I10279" s="501">
        <v>1117</v>
      </c>
      <c r="J10279" s="501">
        <v>0</v>
      </c>
      <c r="K10279" s="501">
        <v>0</v>
      </c>
      <c r="L10279" s="501">
        <v>1117</v>
      </c>
      <c r="M10279" s="501">
        <v>0</v>
      </c>
      <c r="N10279" s="501">
        <v>17</v>
      </c>
      <c r="O10279" s="506">
        <v>0</v>
      </c>
    </row>
    <row r="10280" spans="1:15" x14ac:dyDescent="0.35">
      <c r="A10280" s="503" t="s">
        <v>14199</v>
      </c>
      <c r="B10280" s="504" t="s">
        <v>2632</v>
      </c>
      <c r="C10280" s="504" t="s">
        <v>1089</v>
      </c>
      <c r="D10280" s="504" t="s">
        <v>3392</v>
      </c>
      <c r="E10280" s="504" t="s">
        <v>3381</v>
      </c>
      <c r="F10280" s="504" t="s">
        <v>418</v>
      </c>
      <c r="G10280" s="504" t="s">
        <v>3368</v>
      </c>
      <c r="H10280" s="504" t="s">
        <v>15364</v>
      </c>
      <c r="I10280" s="504">
        <v>5</v>
      </c>
      <c r="J10280" s="504">
        <v>5</v>
      </c>
      <c r="K10280" s="504">
        <v>0</v>
      </c>
      <c r="L10280" s="504">
        <v>0</v>
      </c>
      <c r="M10280" s="504">
        <v>0</v>
      </c>
      <c r="N10280" s="504">
        <v>0</v>
      </c>
      <c r="O10280" s="505">
        <v>0</v>
      </c>
    </row>
    <row r="10281" spans="1:15" x14ac:dyDescent="0.35">
      <c r="A10281" s="500" t="s">
        <v>2147</v>
      </c>
      <c r="B10281" s="501" t="s">
        <v>2460</v>
      </c>
      <c r="C10281" s="501" t="s">
        <v>1089</v>
      </c>
      <c r="D10281" s="501" t="s">
        <v>3392</v>
      </c>
      <c r="E10281" s="501" t="s">
        <v>3381</v>
      </c>
      <c r="F10281" s="501" t="s">
        <v>1048</v>
      </c>
      <c r="G10281" s="501" t="s">
        <v>3368</v>
      </c>
      <c r="H10281" s="501" t="s">
        <v>13980</v>
      </c>
      <c r="I10281" s="501">
        <v>21</v>
      </c>
      <c r="J10281" s="501">
        <v>21</v>
      </c>
      <c r="K10281" s="501">
        <v>0</v>
      </c>
      <c r="L10281" s="501">
        <v>0</v>
      </c>
      <c r="M10281" s="501">
        <v>0</v>
      </c>
      <c r="N10281" s="501">
        <v>0</v>
      </c>
      <c r="O10281" s="506">
        <v>0</v>
      </c>
    </row>
    <row r="10282" spans="1:15" x14ac:dyDescent="0.35">
      <c r="A10282" s="503" t="s">
        <v>1835</v>
      </c>
      <c r="B10282" s="504" t="s">
        <v>3069</v>
      </c>
      <c r="C10282" s="504" t="s">
        <v>1089</v>
      </c>
      <c r="D10282" s="504" t="s">
        <v>3392</v>
      </c>
      <c r="E10282" s="504" t="s">
        <v>3381</v>
      </c>
      <c r="F10282" s="504" t="s">
        <v>2</v>
      </c>
      <c r="G10282" s="504" t="s">
        <v>3368</v>
      </c>
      <c r="H10282" s="504" t="s">
        <v>12728</v>
      </c>
      <c r="I10282" s="504">
        <v>283</v>
      </c>
      <c r="J10282" s="504">
        <v>283</v>
      </c>
      <c r="K10282" s="504">
        <v>0</v>
      </c>
      <c r="L10282" s="504">
        <v>0</v>
      </c>
      <c r="M10282" s="504">
        <v>0</v>
      </c>
      <c r="N10282" s="504">
        <v>0</v>
      </c>
      <c r="O10282" s="505">
        <v>0</v>
      </c>
    </row>
    <row r="10283" spans="1:15" x14ac:dyDescent="0.35">
      <c r="A10283" s="500" t="s">
        <v>1836</v>
      </c>
      <c r="B10283" s="501" t="s">
        <v>2813</v>
      </c>
      <c r="C10283" s="501" t="s">
        <v>1089</v>
      </c>
      <c r="D10283" s="501" t="s">
        <v>3392</v>
      </c>
      <c r="E10283" s="501" t="s">
        <v>3381</v>
      </c>
      <c r="F10283" s="501" t="s">
        <v>2</v>
      </c>
      <c r="G10283" s="501" t="s">
        <v>3368</v>
      </c>
      <c r="H10283" s="501" t="s">
        <v>12729</v>
      </c>
      <c r="I10283" s="501">
        <v>59</v>
      </c>
      <c r="J10283" s="501">
        <v>59</v>
      </c>
      <c r="K10283" s="501">
        <v>0</v>
      </c>
      <c r="L10283" s="501">
        <v>0</v>
      </c>
      <c r="M10283" s="501">
        <v>0</v>
      </c>
      <c r="N10283" s="501">
        <v>0</v>
      </c>
      <c r="O10283" s="506">
        <v>0</v>
      </c>
    </row>
    <row r="10284" spans="1:15" x14ac:dyDescent="0.35">
      <c r="A10284" s="503" t="s">
        <v>1297</v>
      </c>
      <c r="B10284" s="504" t="s">
        <v>3201</v>
      </c>
      <c r="C10284" s="504" t="s">
        <v>1094</v>
      </c>
      <c r="D10284" s="504" t="s">
        <v>3380</v>
      </c>
      <c r="E10284" s="504" t="s">
        <v>3381</v>
      </c>
      <c r="F10284" s="504" t="s">
        <v>415</v>
      </c>
      <c r="G10284" s="504" t="s">
        <v>3368</v>
      </c>
      <c r="H10284" s="504" t="s">
        <v>12730</v>
      </c>
      <c r="I10284" s="504">
        <v>6835</v>
      </c>
      <c r="J10284" s="504">
        <v>6161</v>
      </c>
      <c r="K10284" s="504">
        <v>18</v>
      </c>
      <c r="L10284" s="504">
        <v>28</v>
      </c>
      <c r="M10284" s="504">
        <v>583</v>
      </c>
      <c r="N10284" s="504">
        <v>97</v>
      </c>
      <c r="O10284" s="505">
        <v>45</v>
      </c>
    </row>
    <row r="10285" spans="1:15" x14ac:dyDescent="0.35">
      <c r="A10285" s="500" t="s">
        <v>1981</v>
      </c>
      <c r="B10285" s="501">
        <v>4739</v>
      </c>
      <c r="C10285" s="501" t="s">
        <v>1089</v>
      </c>
      <c r="D10285" s="501" t="s">
        <v>3392</v>
      </c>
      <c r="E10285" s="501" t="s">
        <v>3381</v>
      </c>
      <c r="F10285" s="501" t="s">
        <v>419</v>
      </c>
      <c r="G10285" s="501" t="s">
        <v>3368</v>
      </c>
      <c r="H10285" s="501" t="s">
        <v>12731</v>
      </c>
      <c r="I10285" s="501">
        <v>3</v>
      </c>
      <c r="J10285" s="501">
        <v>3</v>
      </c>
      <c r="K10285" s="501">
        <v>0</v>
      </c>
      <c r="L10285" s="501">
        <v>0</v>
      </c>
      <c r="M10285" s="501">
        <v>0</v>
      </c>
      <c r="N10285" s="501">
        <v>0</v>
      </c>
      <c r="O10285" s="506">
        <v>0</v>
      </c>
    </row>
    <row r="10286" spans="1:15" x14ac:dyDescent="0.35">
      <c r="A10286" s="503" t="s">
        <v>1705</v>
      </c>
      <c r="B10286" s="504" t="s">
        <v>3158</v>
      </c>
      <c r="C10286" s="504" t="s">
        <v>1094</v>
      </c>
      <c r="D10286" s="504" t="s">
        <v>3380</v>
      </c>
      <c r="E10286" s="504" t="s">
        <v>3381</v>
      </c>
      <c r="F10286" s="504" t="s">
        <v>1048</v>
      </c>
      <c r="G10286" s="504" t="s">
        <v>3368</v>
      </c>
      <c r="H10286" s="504" t="s">
        <v>13981</v>
      </c>
      <c r="I10286" s="504">
        <v>66</v>
      </c>
      <c r="J10286" s="504">
        <v>20</v>
      </c>
      <c r="K10286" s="504">
        <v>0</v>
      </c>
      <c r="L10286" s="504">
        <v>0</v>
      </c>
      <c r="M10286" s="504">
        <v>0</v>
      </c>
      <c r="N10286" s="504">
        <v>0</v>
      </c>
      <c r="O10286" s="505">
        <v>46</v>
      </c>
    </row>
    <row r="10287" spans="1:15" x14ac:dyDescent="0.35">
      <c r="A10287" s="500" t="s">
        <v>1705</v>
      </c>
      <c r="B10287" s="501" t="s">
        <v>3158</v>
      </c>
      <c r="C10287" s="501" t="s">
        <v>1094</v>
      </c>
      <c r="D10287" s="501" t="s">
        <v>3380</v>
      </c>
      <c r="E10287" s="501" t="s">
        <v>3381</v>
      </c>
      <c r="F10287" s="501" t="s">
        <v>420</v>
      </c>
      <c r="G10287" s="501" t="s">
        <v>3368</v>
      </c>
      <c r="H10287" s="501" t="s">
        <v>12732</v>
      </c>
      <c r="I10287" s="501">
        <v>2</v>
      </c>
      <c r="J10287" s="501">
        <v>0</v>
      </c>
      <c r="K10287" s="501">
        <v>0</v>
      </c>
      <c r="L10287" s="501">
        <v>0</v>
      </c>
      <c r="M10287" s="501">
        <v>0</v>
      </c>
      <c r="N10287" s="501">
        <v>0</v>
      </c>
      <c r="O10287" s="506">
        <v>2</v>
      </c>
    </row>
    <row r="10288" spans="1:15" x14ac:dyDescent="0.35">
      <c r="A10288" s="503" t="s">
        <v>1705</v>
      </c>
      <c r="B10288" s="504" t="s">
        <v>3158</v>
      </c>
      <c r="C10288" s="504" t="s">
        <v>1094</v>
      </c>
      <c r="D10288" s="504" t="s">
        <v>3380</v>
      </c>
      <c r="E10288" s="504" t="s">
        <v>3381</v>
      </c>
      <c r="F10288" s="504" t="s">
        <v>2</v>
      </c>
      <c r="G10288" s="504" t="s">
        <v>3368</v>
      </c>
      <c r="H10288" s="504" t="s">
        <v>12733</v>
      </c>
      <c r="I10288" s="504">
        <v>12</v>
      </c>
      <c r="J10288" s="504">
        <v>0</v>
      </c>
      <c r="K10288" s="504">
        <v>0</v>
      </c>
      <c r="L10288" s="504">
        <v>0</v>
      </c>
      <c r="M10288" s="504">
        <v>0</v>
      </c>
      <c r="N10288" s="504">
        <v>0</v>
      </c>
      <c r="O10288" s="505">
        <v>12</v>
      </c>
    </row>
    <row r="10289" spans="1:15" x14ac:dyDescent="0.35">
      <c r="A10289" s="500" t="s">
        <v>1705</v>
      </c>
      <c r="B10289" s="501" t="s">
        <v>3158</v>
      </c>
      <c r="C10289" s="501" t="s">
        <v>1094</v>
      </c>
      <c r="D10289" s="501" t="s">
        <v>3380</v>
      </c>
      <c r="E10289" s="501" t="s">
        <v>3381</v>
      </c>
      <c r="F10289" s="501" t="s">
        <v>418</v>
      </c>
      <c r="G10289" s="501" t="s">
        <v>3368</v>
      </c>
      <c r="H10289" s="501" t="s">
        <v>12735</v>
      </c>
      <c r="I10289" s="501">
        <v>1247</v>
      </c>
      <c r="J10289" s="501">
        <v>1133</v>
      </c>
      <c r="K10289" s="501">
        <v>0</v>
      </c>
      <c r="L10289" s="501">
        <v>23</v>
      </c>
      <c r="M10289" s="501">
        <v>49</v>
      </c>
      <c r="N10289" s="501">
        <v>0</v>
      </c>
      <c r="O10289" s="506">
        <v>42</v>
      </c>
    </row>
    <row r="10290" spans="1:15" x14ac:dyDescent="0.35">
      <c r="A10290" s="503" t="s">
        <v>1705</v>
      </c>
      <c r="B10290" s="504" t="s">
        <v>3158</v>
      </c>
      <c r="C10290" s="504" t="s">
        <v>1094</v>
      </c>
      <c r="D10290" s="504" t="s">
        <v>3380</v>
      </c>
      <c r="E10290" s="504" t="s">
        <v>3381</v>
      </c>
      <c r="F10290" s="504" t="s">
        <v>419</v>
      </c>
      <c r="G10290" s="504" t="s">
        <v>3368</v>
      </c>
      <c r="H10290" s="504" t="s">
        <v>12734</v>
      </c>
      <c r="I10290" s="504">
        <v>40</v>
      </c>
      <c r="J10290" s="504">
        <v>0</v>
      </c>
      <c r="K10290" s="504">
        <v>0</v>
      </c>
      <c r="L10290" s="504">
        <v>0</v>
      </c>
      <c r="M10290" s="504">
        <v>0</v>
      </c>
      <c r="N10290" s="504">
        <v>0</v>
      </c>
      <c r="O10290" s="505">
        <v>40</v>
      </c>
    </row>
    <row r="10291" spans="1:15" x14ac:dyDescent="0.35">
      <c r="A10291" s="500" t="s">
        <v>1179</v>
      </c>
      <c r="B10291" s="501">
        <v>4829</v>
      </c>
      <c r="C10291" s="501" t="s">
        <v>1089</v>
      </c>
      <c r="D10291" s="501" t="s">
        <v>3392</v>
      </c>
      <c r="E10291" s="501" t="s">
        <v>3381</v>
      </c>
      <c r="F10291" s="501" t="s">
        <v>420</v>
      </c>
      <c r="G10291" s="501" t="s">
        <v>3368</v>
      </c>
      <c r="H10291" s="501" t="s">
        <v>12740</v>
      </c>
      <c r="I10291" s="501">
        <v>2</v>
      </c>
      <c r="J10291" s="501">
        <v>0</v>
      </c>
      <c r="K10291" s="501">
        <v>0</v>
      </c>
      <c r="L10291" s="501">
        <v>2</v>
      </c>
      <c r="M10291" s="501">
        <v>0</v>
      </c>
      <c r="N10291" s="501">
        <v>0</v>
      </c>
      <c r="O10291" s="506">
        <v>0</v>
      </c>
    </row>
    <row r="10292" spans="1:15" x14ac:dyDescent="0.35">
      <c r="A10292" s="503" t="s">
        <v>1179</v>
      </c>
      <c r="B10292" s="504">
        <v>4829</v>
      </c>
      <c r="C10292" s="504" t="s">
        <v>1089</v>
      </c>
      <c r="D10292" s="504" t="s">
        <v>3392</v>
      </c>
      <c r="E10292" s="504" t="s">
        <v>3381</v>
      </c>
      <c r="F10292" s="504" t="s">
        <v>414</v>
      </c>
      <c r="G10292" s="504" t="s">
        <v>3368</v>
      </c>
      <c r="H10292" s="504" t="s">
        <v>12741</v>
      </c>
      <c r="I10292" s="504">
        <v>6</v>
      </c>
      <c r="J10292" s="504">
        <v>0</v>
      </c>
      <c r="K10292" s="504">
        <v>0</v>
      </c>
      <c r="L10292" s="504">
        <v>6</v>
      </c>
      <c r="M10292" s="504">
        <v>0</v>
      </c>
      <c r="N10292" s="504">
        <v>0</v>
      </c>
      <c r="O10292" s="505">
        <v>0</v>
      </c>
    </row>
    <row r="10293" spans="1:15" x14ac:dyDescent="0.35">
      <c r="A10293" s="500" t="s">
        <v>1179</v>
      </c>
      <c r="B10293" s="501">
        <v>4829</v>
      </c>
      <c r="C10293" s="501" t="s">
        <v>1089</v>
      </c>
      <c r="D10293" s="501" t="s">
        <v>3392</v>
      </c>
      <c r="E10293" s="501" t="s">
        <v>3381</v>
      </c>
      <c r="F10293" s="501" t="s">
        <v>2</v>
      </c>
      <c r="G10293" s="501" t="s">
        <v>3368</v>
      </c>
      <c r="H10293" s="501" t="s">
        <v>12738</v>
      </c>
      <c r="I10293" s="501">
        <v>6</v>
      </c>
      <c r="J10293" s="501">
        <v>0</v>
      </c>
      <c r="K10293" s="501">
        <v>0</v>
      </c>
      <c r="L10293" s="501">
        <v>6</v>
      </c>
      <c r="M10293" s="501">
        <v>0</v>
      </c>
      <c r="N10293" s="501">
        <v>0</v>
      </c>
      <c r="O10293" s="506">
        <v>0</v>
      </c>
    </row>
    <row r="10294" spans="1:15" x14ac:dyDescent="0.35">
      <c r="A10294" s="503" t="s">
        <v>1179</v>
      </c>
      <c r="B10294" s="504">
        <v>4829</v>
      </c>
      <c r="C10294" s="504" t="s">
        <v>1089</v>
      </c>
      <c r="D10294" s="504" t="s">
        <v>3392</v>
      </c>
      <c r="E10294" s="504" t="s">
        <v>3381</v>
      </c>
      <c r="F10294" s="504" t="s">
        <v>415</v>
      </c>
      <c r="G10294" s="504" t="s">
        <v>3368</v>
      </c>
      <c r="H10294" s="504" t="s">
        <v>12739</v>
      </c>
      <c r="I10294" s="504">
        <v>4</v>
      </c>
      <c r="J10294" s="504">
        <v>0</v>
      </c>
      <c r="K10294" s="504">
        <v>0</v>
      </c>
      <c r="L10294" s="504">
        <v>4</v>
      </c>
      <c r="M10294" s="504">
        <v>0</v>
      </c>
      <c r="N10294" s="504">
        <v>0</v>
      </c>
      <c r="O10294" s="505">
        <v>0</v>
      </c>
    </row>
    <row r="10295" spans="1:15" x14ac:dyDescent="0.35">
      <c r="A10295" s="500" t="s">
        <v>1179</v>
      </c>
      <c r="B10295" s="501">
        <v>4829</v>
      </c>
      <c r="C10295" s="501" t="s">
        <v>1089</v>
      </c>
      <c r="D10295" s="501" t="s">
        <v>3392</v>
      </c>
      <c r="E10295" s="501" t="s">
        <v>3381</v>
      </c>
      <c r="F10295" s="501" t="s">
        <v>418</v>
      </c>
      <c r="G10295" s="501" t="s">
        <v>3368</v>
      </c>
      <c r="H10295" s="501" t="s">
        <v>12736</v>
      </c>
      <c r="I10295" s="501">
        <v>5</v>
      </c>
      <c r="J10295" s="501">
        <v>0</v>
      </c>
      <c r="K10295" s="501">
        <v>0</v>
      </c>
      <c r="L10295" s="501">
        <v>5</v>
      </c>
      <c r="M10295" s="501">
        <v>0</v>
      </c>
      <c r="N10295" s="501">
        <v>0</v>
      </c>
      <c r="O10295" s="506">
        <v>0</v>
      </c>
    </row>
    <row r="10296" spans="1:15" x14ac:dyDescent="0.35">
      <c r="A10296" s="503" t="s">
        <v>1179</v>
      </c>
      <c r="B10296" s="504">
        <v>4829</v>
      </c>
      <c r="C10296" s="504" t="s">
        <v>1089</v>
      </c>
      <c r="D10296" s="504" t="s">
        <v>3392</v>
      </c>
      <c r="E10296" s="504" t="s">
        <v>3381</v>
      </c>
      <c r="F10296" s="504" t="s">
        <v>419</v>
      </c>
      <c r="G10296" s="504" t="s">
        <v>3368</v>
      </c>
      <c r="H10296" s="504" t="s">
        <v>12737</v>
      </c>
      <c r="I10296" s="504">
        <v>3</v>
      </c>
      <c r="J10296" s="504">
        <v>0</v>
      </c>
      <c r="K10296" s="504">
        <v>0</v>
      </c>
      <c r="L10296" s="504">
        <v>3</v>
      </c>
      <c r="M10296" s="504">
        <v>0</v>
      </c>
      <c r="N10296" s="504">
        <v>0</v>
      </c>
      <c r="O10296" s="505">
        <v>0</v>
      </c>
    </row>
    <row r="10297" spans="1:15" x14ac:dyDescent="0.35">
      <c r="A10297" s="500" t="s">
        <v>1180</v>
      </c>
      <c r="B10297" s="501" t="s">
        <v>3184</v>
      </c>
      <c r="C10297" s="501" t="s">
        <v>1094</v>
      </c>
      <c r="D10297" s="501" t="s">
        <v>3380</v>
      </c>
      <c r="E10297" s="501" t="s">
        <v>3381</v>
      </c>
      <c r="F10297" s="501" t="s">
        <v>414</v>
      </c>
      <c r="G10297" s="501" t="s">
        <v>3368</v>
      </c>
      <c r="H10297" s="501" t="s">
        <v>12742</v>
      </c>
      <c r="I10297" s="501">
        <v>6459</v>
      </c>
      <c r="J10297" s="501">
        <v>3961</v>
      </c>
      <c r="K10297" s="501">
        <v>18</v>
      </c>
      <c r="L10297" s="501">
        <v>18</v>
      </c>
      <c r="M10297" s="501">
        <v>2211</v>
      </c>
      <c r="N10297" s="501">
        <v>0</v>
      </c>
      <c r="O10297" s="506">
        <v>251</v>
      </c>
    </row>
    <row r="10298" spans="1:15" x14ac:dyDescent="0.35">
      <c r="A10298" s="503" t="s">
        <v>1180</v>
      </c>
      <c r="B10298" s="504" t="s">
        <v>3184</v>
      </c>
      <c r="C10298" s="504" t="s">
        <v>1094</v>
      </c>
      <c r="D10298" s="504" t="s">
        <v>3380</v>
      </c>
      <c r="E10298" s="504" t="s">
        <v>3381</v>
      </c>
      <c r="F10298" s="504" t="s">
        <v>415</v>
      </c>
      <c r="G10298" s="504" t="s">
        <v>3368</v>
      </c>
      <c r="H10298" s="504" t="s">
        <v>12743</v>
      </c>
      <c r="I10298" s="504">
        <v>52</v>
      </c>
      <c r="J10298" s="504">
        <v>24</v>
      </c>
      <c r="K10298" s="504">
        <v>16</v>
      </c>
      <c r="L10298" s="504">
        <v>0</v>
      </c>
      <c r="M10298" s="504">
        <v>0</v>
      </c>
      <c r="N10298" s="504">
        <v>0</v>
      </c>
      <c r="O10298" s="505">
        <v>12</v>
      </c>
    </row>
    <row r="10299" spans="1:15" x14ac:dyDescent="0.35">
      <c r="A10299" s="500" t="s">
        <v>1181</v>
      </c>
      <c r="B10299" s="501" t="s">
        <v>3211</v>
      </c>
      <c r="C10299" s="501" t="s">
        <v>1094</v>
      </c>
      <c r="D10299" s="501" t="s">
        <v>3380</v>
      </c>
      <c r="E10299" s="501" t="s">
        <v>3381</v>
      </c>
      <c r="F10299" s="501" t="s">
        <v>414</v>
      </c>
      <c r="G10299" s="501" t="s">
        <v>3368</v>
      </c>
      <c r="H10299" s="501" t="s">
        <v>12744</v>
      </c>
      <c r="I10299" s="501">
        <v>3373</v>
      </c>
      <c r="J10299" s="501">
        <v>2319</v>
      </c>
      <c r="K10299" s="501">
        <v>0</v>
      </c>
      <c r="L10299" s="501">
        <v>0</v>
      </c>
      <c r="M10299" s="501">
        <v>886</v>
      </c>
      <c r="N10299" s="501">
        <v>0</v>
      </c>
      <c r="O10299" s="506">
        <v>168</v>
      </c>
    </row>
    <row r="10300" spans="1:15" x14ac:dyDescent="0.35">
      <c r="A10300" s="503" t="s">
        <v>1298</v>
      </c>
      <c r="B10300" s="504" t="s">
        <v>2991</v>
      </c>
      <c r="C10300" s="504" t="s">
        <v>1094</v>
      </c>
      <c r="D10300" s="504" t="s">
        <v>3380</v>
      </c>
      <c r="E10300" s="504" t="s">
        <v>3381</v>
      </c>
      <c r="F10300" s="504" t="s">
        <v>416</v>
      </c>
      <c r="G10300" s="504" t="s">
        <v>3368</v>
      </c>
      <c r="H10300" s="504" t="s">
        <v>12745</v>
      </c>
      <c r="I10300" s="504">
        <v>2827</v>
      </c>
      <c r="J10300" s="504">
        <v>1959</v>
      </c>
      <c r="K10300" s="504">
        <v>0</v>
      </c>
      <c r="L10300" s="504">
        <v>99</v>
      </c>
      <c r="M10300" s="504">
        <v>428</v>
      </c>
      <c r="N10300" s="504">
        <v>0</v>
      </c>
      <c r="O10300" s="505">
        <v>341</v>
      </c>
    </row>
    <row r="10301" spans="1:15" x14ac:dyDescent="0.35">
      <c r="A10301" s="500" t="s">
        <v>1298</v>
      </c>
      <c r="B10301" s="501" t="s">
        <v>2991</v>
      </c>
      <c r="C10301" s="501" t="s">
        <v>1094</v>
      </c>
      <c r="D10301" s="501" t="s">
        <v>3380</v>
      </c>
      <c r="E10301" s="501" t="s">
        <v>3381</v>
      </c>
      <c r="F10301" s="501" t="s">
        <v>415</v>
      </c>
      <c r="G10301" s="501" t="s">
        <v>3368</v>
      </c>
      <c r="H10301" s="501" t="s">
        <v>12746</v>
      </c>
      <c r="I10301" s="501">
        <v>1</v>
      </c>
      <c r="J10301" s="501">
        <v>0</v>
      </c>
      <c r="K10301" s="501">
        <v>0</v>
      </c>
      <c r="L10301" s="501">
        <v>0</v>
      </c>
      <c r="M10301" s="501">
        <v>0</v>
      </c>
      <c r="N10301" s="501">
        <v>0</v>
      </c>
      <c r="O10301" s="506">
        <v>1</v>
      </c>
    </row>
    <row r="10302" spans="1:15" x14ac:dyDescent="0.35">
      <c r="A10302" s="503" t="s">
        <v>1299</v>
      </c>
      <c r="B10302" s="504" t="s">
        <v>2810</v>
      </c>
      <c r="C10302" s="504" t="s">
        <v>1089</v>
      </c>
      <c r="D10302" s="504" t="s">
        <v>3392</v>
      </c>
      <c r="E10302" s="504" t="s">
        <v>3381</v>
      </c>
      <c r="F10302" s="504" t="s">
        <v>415</v>
      </c>
      <c r="G10302" s="504" t="s">
        <v>3368</v>
      </c>
      <c r="H10302" s="504" t="s">
        <v>12747</v>
      </c>
      <c r="I10302" s="504">
        <v>20</v>
      </c>
      <c r="J10302" s="504">
        <v>20</v>
      </c>
      <c r="K10302" s="504">
        <v>0</v>
      </c>
      <c r="L10302" s="504">
        <v>0</v>
      </c>
      <c r="M10302" s="504">
        <v>0</v>
      </c>
      <c r="N10302" s="504">
        <v>0</v>
      </c>
      <c r="O10302" s="505">
        <v>0</v>
      </c>
    </row>
    <row r="10303" spans="1:15" x14ac:dyDescent="0.35">
      <c r="A10303" s="500" t="s">
        <v>1629</v>
      </c>
      <c r="B10303" s="501" t="s">
        <v>3176</v>
      </c>
      <c r="C10303" s="501" t="s">
        <v>1094</v>
      </c>
      <c r="D10303" s="501" t="s">
        <v>3380</v>
      </c>
      <c r="E10303" s="501" t="s">
        <v>3381</v>
      </c>
      <c r="F10303" s="501" t="s">
        <v>417</v>
      </c>
      <c r="G10303" s="501" t="s">
        <v>3368</v>
      </c>
      <c r="H10303" s="501" t="s">
        <v>12748</v>
      </c>
      <c r="I10303" s="501">
        <v>28848</v>
      </c>
      <c r="J10303" s="501">
        <v>28301</v>
      </c>
      <c r="K10303" s="501">
        <v>0</v>
      </c>
      <c r="L10303" s="501">
        <v>150</v>
      </c>
      <c r="M10303" s="501">
        <v>233</v>
      </c>
      <c r="N10303" s="501">
        <v>0</v>
      </c>
      <c r="O10303" s="506">
        <v>164</v>
      </c>
    </row>
    <row r="10304" spans="1:15" x14ac:dyDescent="0.35">
      <c r="A10304" s="503" t="s">
        <v>1441</v>
      </c>
      <c r="B10304" s="504">
        <v>5123</v>
      </c>
      <c r="C10304" s="504" t="s">
        <v>1089</v>
      </c>
      <c r="D10304" s="504" t="s">
        <v>3392</v>
      </c>
      <c r="E10304" s="504" t="s">
        <v>3381</v>
      </c>
      <c r="F10304" s="504" t="s">
        <v>416</v>
      </c>
      <c r="G10304" s="504" t="s">
        <v>3368</v>
      </c>
      <c r="H10304" s="504" t="s">
        <v>12749</v>
      </c>
      <c r="I10304" s="504">
        <v>11</v>
      </c>
      <c r="J10304" s="504">
        <v>11</v>
      </c>
      <c r="K10304" s="504">
        <v>0</v>
      </c>
      <c r="L10304" s="504">
        <v>0</v>
      </c>
      <c r="M10304" s="504">
        <v>0</v>
      </c>
      <c r="N10304" s="504">
        <v>0</v>
      </c>
      <c r="O10304" s="505">
        <v>0</v>
      </c>
    </row>
    <row r="10305" spans="1:15" x14ac:dyDescent="0.35">
      <c r="A10305" s="500" t="s">
        <v>14203</v>
      </c>
      <c r="B10305" s="501" t="s">
        <v>11450</v>
      </c>
      <c r="C10305" s="501" t="s">
        <v>1089</v>
      </c>
      <c r="D10305" s="501" t="s">
        <v>3392</v>
      </c>
      <c r="E10305" s="501" t="s">
        <v>3381</v>
      </c>
      <c r="F10305" s="501" t="s">
        <v>419</v>
      </c>
      <c r="G10305" s="501" t="s">
        <v>3368</v>
      </c>
      <c r="H10305" s="501" t="s">
        <v>15365</v>
      </c>
      <c r="I10305" s="501">
        <v>2</v>
      </c>
      <c r="J10305" s="501">
        <v>2</v>
      </c>
      <c r="K10305" s="501">
        <v>0</v>
      </c>
      <c r="L10305" s="501">
        <v>0</v>
      </c>
      <c r="M10305" s="501">
        <v>0</v>
      </c>
      <c r="N10305" s="501">
        <v>0</v>
      </c>
      <c r="O10305" s="506">
        <v>0</v>
      </c>
    </row>
    <row r="10306" spans="1:15" x14ac:dyDescent="0.35">
      <c r="A10306" s="503" t="s">
        <v>2148</v>
      </c>
      <c r="B10306" s="504" t="s">
        <v>2633</v>
      </c>
      <c r="C10306" s="504" t="s">
        <v>1089</v>
      </c>
      <c r="D10306" s="504" t="s">
        <v>3392</v>
      </c>
      <c r="E10306" s="504" t="s">
        <v>3381</v>
      </c>
      <c r="F10306" s="504" t="s">
        <v>1048</v>
      </c>
      <c r="G10306" s="504" t="s">
        <v>3368</v>
      </c>
      <c r="H10306" s="504" t="s">
        <v>13982</v>
      </c>
      <c r="I10306" s="504">
        <v>8</v>
      </c>
      <c r="J10306" s="504">
        <v>8</v>
      </c>
      <c r="K10306" s="504">
        <v>0</v>
      </c>
      <c r="L10306" s="504">
        <v>0</v>
      </c>
      <c r="M10306" s="504">
        <v>0</v>
      </c>
      <c r="N10306" s="504">
        <v>0</v>
      </c>
      <c r="O10306" s="505">
        <v>0</v>
      </c>
    </row>
    <row r="10307" spans="1:15" x14ac:dyDescent="0.35">
      <c r="A10307" s="500" t="s">
        <v>1982</v>
      </c>
      <c r="B10307" s="501" t="s">
        <v>3116</v>
      </c>
      <c r="C10307" s="501" t="s">
        <v>1089</v>
      </c>
      <c r="D10307" s="501" t="s">
        <v>3392</v>
      </c>
      <c r="E10307" s="501" t="s">
        <v>3381</v>
      </c>
      <c r="F10307" s="501" t="s">
        <v>419</v>
      </c>
      <c r="G10307" s="501" t="s">
        <v>3368</v>
      </c>
      <c r="H10307" s="501" t="s">
        <v>12750</v>
      </c>
      <c r="I10307" s="501">
        <v>6</v>
      </c>
      <c r="J10307" s="501">
        <v>0</v>
      </c>
      <c r="K10307" s="501">
        <v>0</v>
      </c>
      <c r="L10307" s="501">
        <v>0</v>
      </c>
      <c r="M10307" s="501">
        <v>6</v>
      </c>
      <c r="N10307" s="501">
        <v>0</v>
      </c>
      <c r="O10307" s="506">
        <v>0</v>
      </c>
    </row>
    <row r="10308" spans="1:15" x14ac:dyDescent="0.35">
      <c r="A10308" s="503" t="s">
        <v>14205</v>
      </c>
      <c r="B10308" s="504" t="s">
        <v>14204</v>
      </c>
      <c r="C10308" s="504" t="s">
        <v>1089</v>
      </c>
      <c r="D10308" s="504" t="s">
        <v>3392</v>
      </c>
      <c r="E10308" s="504" t="s">
        <v>3381</v>
      </c>
      <c r="F10308" s="504" t="s">
        <v>2</v>
      </c>
      <c r="G10308" s="504" t="s">
        <v>3368</v>
      </c>
      <c r="H10308" s="504" t="s">
        <v>15366</v>
      </c>
      <c r="I10308" s="504">
        <v>72</v>
      </c>
      <c r="J10308" s="504">
        <v>24</v>
      </c>
      <c r="K10308" s="504">
        <v>48</v>
      </c>
      <c r="L10308" s="504">
        <v>0</v>
      </c>
      <c r="M10308" s="504">
        <v>0</v>
      </c>
      <c r="N10308" s="504">
        <v>0</v>
      </c>
      <c r="O10308" s="505">
        <v>0</v>
      </c>
    </row>
    <row r="10309" spans="1:15" x14ac:dyDescent="0.35">
      <c r="A10309" s="500" t="s">
        <v>1442</v>
      </c>
      <c r="B10309" s="501" t="s">
        <v>2995</v>
      </c>
      <c r="C10309" s="501" t="s">
        <v>1089</v>
      </c>
      <c r="D10309" s="501" t="s">
        <v>3392</v>
      </c>
      <c r="E10309" s="501" t="s">
        <v>3381</v>
      </c>
      <c r="F10309" s="501" t="s">
        <v>416</v>
      </c>
      <c r="G10309" s="501" t="s">
        <v>3368</v>
      </c>
      <c r="H10309" s="501" t="s">
        <v>12751</v>
      </c>
      <c r="I10309" s="501">
        <v>138</v>
      </c>
      <c r="J10309" s="501">
        <v>0</v>
      </c>
      <c r="K10309" s="501">
        <v>0</v>
      </c>
      <c r="L10309" s="501">
        <v>0</v>
      </c>
      <c r="M10309" s="501">
        <v>138</v>
      </c>
      <c r="N10309" s="501">
        <v>0</v>
      </c>
      <c r="O10309" s="506">
        <v>0</v>
      </c>
    </row>
    <row r="10310" spans="1:15" x14ac:dyDescent="0.35">
      <c r="A10310" s="503" t="s">
        <v>1983</v>
      </c>
      <c r="B10310" s="504">
        <v>4584</v>
      </c>
      <c r="C10310" s="504" t="s">
        <v>1094</v>
      </c>
      <c r="D10310" s="504" t="s">
        <v>3380</v>
      </c>
      <c r="E10310" s="504" t="s">
        <v>3381</v>
      </c>
      <c r="F10310" s="504" t="s">
        <v>419</v>
      </c>
      <c r="G10310" s="504" t="s">
        <v>3368</v>
      </c>
      <c r="H10310" s="504" t="s">
        <v>12752</v>
      </c>
      <c r="I10310" s="504">
        <v>4685</v>
      </c>
      <c r="J10310" s="504">
        <v>4213</v>
      </c>
      <c r="K10310" s="504">
        <v>0</v>
      </c>
      <c r="L10310" s="504">
        <v>72</v>
      </c>
      <c r="M10310" s="504">
        <v>293</v>
      </c>
      <c r="N10310" s="504">
        <v>0</v>
      </c>
      <c r="O10310" s="505">
        <v>107</v>
      </c>
    </row>
    <row r="10311" spans="1:15" x14ac:dyDescent="0.35">
      <c r="A10311" s="500" t="s">
        <v>1984</v>
      </c>
      <c r="B10311" s="501" t="s">
        <v>3118</v>
      </c>
      <c r="C10311" s="501" t="s">
        <v>1089</v>
      </c>
      <c r="D10311" s="501" t="s">
        <v>3392</v>
      </c>
      <c r="E10311" s="501" t="s">
        <v>3381</v>
      </c>
      <c r="F10311" s="501" t="s">
        <v>419</v>
      </c>
      <c r="G10311" s="501" t="s">
        <v>3368</v>
      </c>
      <c r="H10311" s="501" t="s">
        <v>12753</v>
      </c>
      <c r="I10311" s="501">
        <v>151</v>
      </c>
      <c r="J10311" s="501">
        <v>151</v>
      </c>
      <c r="K10311" s="501">
        <v>0</v>
      </c>
      <c r="L10311" s="501">
        <v>0</v>
      </c>
      <c r="M10311" s="501">
        <v>0</v>
      </c>
      <c r="N10311" s="501">
        <v>0</v>
      </c>
      <c r="O10311" s="506">
        <v>0</v>
      </c>
    </row>
    <row r="10312" spans="1:15" x14ac:dyDescent="0.35">
      <c r="A10312" s="503" t="s">
        <v>2080</v>
      </c>
      <c r="B10312" s="504" t="s">
        <v>2567</v>
      </c>
      <c r="C10312" s="504" t="s">
        <v>1089</v>
      </c>
      <c r="D10312" s="504" t="s">
        <v>3392</v>
      </c>
      <c r="E10312" s="504" t="s">
        <v>3381</v>
      </c>
      <c r="F10312" s="504" t="s">
        <v>420</v>
      </c>
      <c r="G10312" s="504" t="s">
        <v>3368</v>
      </c>
      <c r="H10312" s="504" t="s">
        <v>12754</v>
      </c>
      <c r="I10312" s="504">
        <v>33</v>
      </c>
      <c r="J10312" s="504">
        <v>0</v>
      </c>
      <c r="K10312" s="504">
        <v>0</v>
      </c>
      <c r="L10312" s="504">
        <v>0</v>
      </c>
      <c r="M10312" s="504">
        <v>33</v>
      </c>
      <c r="N10312" s="504">
        <v>0</v>
      </c>
      <c r="O10312" s="505">
        <v>0</v>
      </c>
    </row>
    <row r="10313" spans="1:15" x14ac:dyDescent="0.35">
      <c r="A10313" s="500" t="s">
        <v>1837</v>
      </c>
      <c r="B10313" s="501" t="s">
        <v>2829</v>
      </c>
      <c r="C10313" s="501" t="s">
        <v>1089</v>
      </c>
      <c r="D10313" s="501" t="s">
        <v>3392</v>
      </c>
      <c r="E10313" s="501" t="s">
        <v>3381</v>
      </c>
      <c r="F10313" s="501" t="s">
        <v>2</v>
      </c>
      <c r="G10313" s="501" t="s">
        <v>3368</v>
      </c>
      <c r="H10313" s="501" t="s">
        <v>12755</v>
      </c>
      <c r="I10313" s="501">
        <v>35</v>
      </c>
      <c r="J10313" s="501">
        <v>35</v>
      </c>
      <c r="K10313" s="501">
        <v>0</v>
      </c>
      <c r="L10313" s="501">
        <v>0</v>
      </c>
      <c r="M10313" s="501">
        <v>0</v>
      </c>
      <c r="N10313" s="501">
        <v>0</v>
      </c>
      <c r="O10313" s="506">
        <v>0</v>
      </c>
    </row>
    <row r="10314" spans="1:15" x14ac:dyDescent="0.35">
      <c r="A10314" s="503" t="s">
        <v>14208</v>
      </c>
      <c r="B10314" s="504">
        <v>4803</v>
      </c>
      <c r="C10314" s="504" t="s">
        <v>1094</v>
      </c>
      <c r="D10314" s="504" t="s">
        <v>3380</v>
      </c>
      <c r="E10314" s="504" t="s">
        <v>3381</v>
      </c>
      <c r="F10314" s="504" t="s">
        <v>415</v>
      </c>
      <c r="G10314" s="504" t="s">
        <v>3368</v>
      </c>
      <c r="H10314" s="504" t="s">
        <v>15367</v>
      </c>
      <c r="I10314" s="504">
        <v>166</v>
      </c>
      <c r="J10314" s="504">
        <v>0</v>
      </c>
      <c r="K10314" s="504">
        <v>0</v>
      </c>
      <c r="L10314" s="504">
        <v>166</v>
      </c>
      <c r="M10314" s="504">
        <v>0</v>
      </c>
      <c r="N10314" s="504">
        <v>0</v>
      </c>
      <c r="O10314" s="505">
        <v>0</v>
      </c>
    </row>
    <row r="10315" spans="1:15" x14ac:dyDescent="0.35">
      <c r="A10315" s="500" t="s">
        <v>14208</v>
      </c>
      <c r="B10315" s="501">
        <v>4803</v>
      </c>
      <c r="C10315" s="501" t="s">
        <v>1094</v>
      </c>
      <c r="D10315" s="501" t="s">
        <v>3380</v>
      </c>
      <c r="E10315" s="501" t="s">
        <v>3381</v>
      </c>
      <c r="F10315" s="501" t="s">
        <v>419</v>
      </c>
      <c r="G10315" s="501" t="s">
        <v>3368</v>
      </c>
      <c r="H10315" s="501" t="s">
        <v>15368</v>
      </c>
      <c r="I10315" s="501">
        <v>298</v>
      </c>
      <c r="J10315" s="501">
        <v>0</v>
      </c>
      <c r="K10315" s="501">
        <v>0</v>
      </c>
      <c r="L10315" s="501">
        <v>298</v>
      </c>
      <c r="M10315" s="501">
        <v>0</v>
      </c>
      <c r="N10315" s="501">
        <v>0</v>
      </c>
      <c r="O10315" s="506">
        <v>0</v>
      </c>
    </row>
    <row r="10316" spans="1:15" x14ac:dyDescent="0.35">
      <c r="A10316" s="503" t="s">
        <v>14208</v>
      </c>
      <c r="B10316" s="504">
        <v>4803</v>
      </c>
      <c r="C10316" s="504" t="s">
        <v>1094</v>
      </c>
      <c r="D10316" s="504" t="s">
        <v>3380</v>
      </c>
      <c r="E10316" s="504" t="s">
        <v>3381</v>
      </c>
      <c r="F10316" s="504" t="s">
        <v>416</v>
      </c>
      <c r="G10316" s="504" t="s">
        <v>3368</v>
      </c>
      <c r="H10316" s="504" t="s">
        <v>15369</v>
      </c>
      <c r="I10316" s="504">
        <v>201</v>
      </c>
      <c r="J10316" s="504">
        <v>0</v>
      </c>
      <c r="K10316" s="504">
        <v>0</v>
      </c>
      <c r="L10316" s="504">
        <v>201</v>
      </c>
      <c r="M10316" s="504">
        <v>0</v>
      </c>
      <c r="N10316" s="504">
        <v>0</v>
      </c>
      <c r="O10316" s="505">
        <v>0</v>
      </c>
    </row>
    <row r="10317" spans="1:15" x14ac:dyDescent="0.35">
      <c r="A10317" s="500" t="s">
        <v>14208</v>
      </c>
      <c r="B10317" s="501">
        <v>4803</v>
      </c>
      <c r="C10317" s="501" t="s">
        <v>1094</v>
      </c>
      <c r="D10317" s="501" t="s">
        <v>3380</v>
      </c>
      <c r="E10317" s="501" t="s">
        <v>3381</v>
      </c>
      <c r="F10317" s="501" t="s">
        <v>2</v>
      </c>
      <c r="G10317" s="501" t="s">
        <v>3368</v>
      </c>
      <c r="H10317" s="501" t="s">
        <v>15370</v>
      </c>
      <c r="I10317" s="501">
        <v>402</v>
      </c>
      <c r="J10317" s="501">
        <v>0</v>
      </c>
      <c r="K10317" s="501">
        <v>0</v>
      </c>
      <c r="L10317" s="501">
        <v>402</v>
      </c>
      <c r="M10317" s="501">
        <v>0</v>
      </c>
      <c r="N10317" s="501">
        <v>0</v>
      </c>
      <c r="O10317" s="506">
        <v>0</v>
      </c>
    </row>
    <row r="10318" spans="1:15" x14ac:dyDescent="0.35">
      <c r="A10318" s="503" t="s">
        <v>14208</v>
      </c>
      <c r="B10318" s="504">
        <v>4803</v>
      </c>
      <c r="C10318" s="504" t="s">
        <v>1094</v>
      </c>
      <c r="D10318" s="504" t="s">
        <v>3380</v>
      </c>
      <c r="E10318" s="504" t="s">
        <v>3381</v>
      </c>
      <c r="F10318" s="504" t="s">
        <v>418</v>
      </c>
      <c r="G10318" s="504" t="s">
        <v>3368</v>
      </c>
      <c r="H10318" s="504" t="s">
        <v>15371</v>
      </c>
      <c r="I10318" s="504">
        <v>203</v>
      </c>
      <c r="J10318" s="504">
        <v>0</v>
      </c>
      <c r="K10318" s="504">
        <v>0</v>
      </c>
      <c r="L10318" s="504">
        <v>203</v>
      </c>
      <c r="M10318" s="504">
        <v>0</v>
      </c>
      <c r="N10318" s="504">
        <v>0</v>
      </c>
      <c r="O10318" s="505">
        <v>0</v>
      </c>
    </row>
    <row r="10319" spans="1:15" x14ac:dyDescent="0.35">
      <c r="A10319" s="500" t="s">
        <v>14208</v>
      </c>
      <c r="B10319" s="501">
        <v>4803</v>
      </c>
      <c r="C10319" s="501" t="s">
        <v>1094</v>
      </c>
      <c r="D10319" s="501" t="s">
        <v>3380</v>
      </c>
      <c r="E10319" s="501" t="s">
        <v>3381</v>
      </c>
      <c r="F10319" s="501" t="s">
        <v>417</v>
      </c>
      <c r="G10319" s="501" t="s">
        <v>3368</v>
      </c>
      <c r="H10319" s="501" t="s">
        <v>15372</v>
      </c>
      <c r="I10319" s="501">
        <v>111</v>
      </c>
      <c r="J10319" s="501">
        <v>0</v>
      </c>
      <c r="K10319" s="501">
        <v>0</v>
      </c>
      <c r="L10319" s="501">
        <v>111</v>
      </c>
      <c r="M10319" s="501">
        <v>0</v>
      </c>
      <c r="N10319" s="501">
        <v>0</v>
      </c>
      <c r="O10319" s="506">
        <v>0</v>
      </c>
    </row>
    <row r="10320" spans="1:15" x14ac:dyDescent="0.35">
      <c r="A10320" s="503" t="s">
        <v>14208</v>
      </c>
      <c r="B10320" s="504">
        <v>4803</v>
      </c>
      <c r="C10320" s="504" t="s">
        <v>1094</v>
      </c>
      <c r="D10320" s="504" t="s">
        <v>3380</v>
      </c>
      <c r="E10320" s="504" t="s">
        <v>3381</v>
      </c>
      <c r="F10320" s="504" t="s">
        <v>1048</v>
      </c>
      <c r="G10320" s="504" t="s">
        <v>3368</v>
      </c>
      <c r="H10320" s="504" t="s">
        <v>15373</v>
      </c>
      <c r="I10320" s="504">
        <v>433</v>
      </c>
      <c r="J10320" s="504">
        <v>0</v>
      </c>
      <c r="K10320" s="504">
        <v>0</v>
      </c>
      <c r="L10320" s="504">
        <v>433</v>
      </c>
      <c r="M10320" s="504">
        <v>0</v>
      </c>
      <c r="N10320" s="504">
        <v>0</v>
      </c>
      <c r="O10320" s="505">
        <v>0</v>
      </c>
    </row>
    <row r="10321" spans="1:15" x14ac:dyDescent="0.35">
      <c r="A10321" s="500" t="s">
        <v>14208</v>
      </c>
      <c r="B10321" s="501">
        <v>4803</v>
      </c>
      <c r="C10321" s="501" t="s">
        <v>1094</v>
      </c>
      <c r="D10321" s="501" t="s">
        <v>3380</v>
      </c>
      <c r="E10321" s="501" t="s">
        <v>3381</v>
      </c>
      <c r="F10321" s="501" t="s">
        <v>420</v>
      </c>
      <c r="G10321" s="501" t="s">
        <v>3368</v>
      </c>
      <c r="H10321" s="501" t="s">
        <v>15374</v>
      </c>
      <c r="I10321" s="501">
        <v>164</v>
      </c>
      <c r="J10321" s="501">
        <v>0</v>
      </c>
      <c r="K10321" s="501">
        <v>0</v>
      </c>
      <c r="L10321" s="501">
        <v>164</v>
      </c>
      <c r="M10321" s="501">
        <v>0</v>
      </c>
      <c r="N10321" s="501">
        <v>0</v>
      </c>
      <c r="O10321" s="506">
        <v>0</v>
      </c>
    </row>
    <row r="10322" spans="1:15" x14ac:dyDescent="0.35">
      <c r="A10322" s="503" t="s">
        <v>14208</v>
      </c>
      <c r="B10322" s="504">
        <v>4803</v>
      </c>
      <c r="C10322" s="504" t="s">
        <v>1094</v>
      </c>
      <c r="D10322" s="504" t="s">
        <v>3380</v>
      </c>
      <c r="E10322" s="504" t="s">
        <v>3381</v>
      </c>
      <c r="F10322" s="504" t="s">
        <v>414</v>
      </c>
      <c r="G10322" s="504" t="s">
        <v>3368</v>
      </c>
      <c r="H10322" s="504" t="s">
        <v>15375</v>
      </c>
      <c r="I10322" s="504">
        <v>342</v>
      </c>
      <c r="J10322" s="504">
        <v>0</v>
      </c>
      <c r="K10322" s="504">
        <v>0</v>
      </c>
      <c r="L10322" s="504">
        <v>342</v>
      </c>
      <c r="M10322" s="504">
        <v>0</v>
      </c>
      <c r="N10322" s="504">
        <v>0</v>
      </c>
      <c r="O10322" s="505">
        <v>0</v>
      </c>
    </row>
    <row r="10323" spans="1:15" x14ac:dyDescent="0.35">
      <c r="A10323" s="500" t="s">
        <v>1443</v>
      </c>
      <c r="B10323" s="501" t="s">
        <v>3356</v>
      </c>
      <c r="C10323" s="501" t="s">
        <v>1094</v>
      </c>
      <c r="D10323" s="501" t="s">
        <v>3380</v>
      </c>
      <c r="E10323" s="501" t="s">
        <v>3381</v>
      </c>
      <c r="F10323" s="501" t="s">
        <v>416</v>
      </c>
      <c r="G10323" s="501" t="s">
        <v>3368</v>
      </c>
      <c r="H10323" s="501" t="s">
        <v>12756</v>
      </c>
      <c r="I10323" s="501">
        <v>14</v>
      </c>
      <c r="J10323" s="501">
        <v>8</v>
      </c>
      <c r="K10323" s="501">
        <v>0</v>
      </c>
      <c r="L10323" s="501">
        <v>0</v>
      </c>
      <c r="M10323" s="501">
        <v>0</v>
      </c>
      <c r="N10323" s="501">
        <v>0</v>
      </c>
      <c r="O10323" s="506">
        <v>6</v>
      </c>
    </row>
    <row r="10324" spans="1:15" x14ac:dyDescent="0.35">
      <c r="A10324" s="503" t="s">
        <v>1443</v>
      </c>
      <c r="B10324" s="504" t="s">
        <v>3356</v>
      </c>
      <c r="C10324" s="504" t="s">
        <v>1094</v>
      </c>
      <c r="D10324" s="504" t="s">
        <v>3380</v>
      </c>
      <c r="E10324" s="504" t="s">
        <v>3381</v>
      </c>
      <c r="F10324" s="504" t="s">
        <v>2</v>
      </c>
      <c r="G10324" s="504" t="s">
        <v>3368</v>
      </c>
      <c r="H10324" s="504" t="s">
        <v>12757</v>
      </c>
      <c r="I10324" s="504">
        <v>7540</v>
      </c>
      <c r="J10324" s="504">
        <v>6187</v>
      </c>
      <c r="K10324" s="504">
        <v>0</v>
      </c>
      <c r="L10324" s="504">
        <v>0</v>
      </c>
      <c r="M10324" s="504">
        <v>975</v>
      </c>
      <c r="N10324" s="504">
        <v>104</v>
      </c>
      <c r="O10324" s="505">
        <v>378</v>
      </c>
    </row>
    <row r="10325" spans="1:15" x14ac:dyDescent="0.35">
      <c r="A10325" s="500" t="s">
        <v>2149</v>
      </c>
      <c r="B10325" s="501">
        <v>4799</v>
      </c>
      <c r="C10325" s="501" t="s">
        <v>1089</v>
      </c>
      <c r="D10325" s="501" t="s">
        <v>3392</v>
      </c>
      <c r="E10325" s="501" t="s">
        <v>3381</v>
      </c>
      <c r="F10325" s="501" t="s">
        <v>1048</v>
      </c>
      <c r="G10325" s="501" t="s">
        <v>3368</v>
      </c>
      <c r="H10325" s="501" t="s">
        <v>13983</v>
      </c>
      <c r="I10325" s="501">
        <v>68</v>
      </c>
      <c r="J10325" s="501">
        <v>62</v>
      </c>
      <c r="K10325" s="501">
        <v>0</v>
      </c>
      <c r="L10325" s="501">
        <v>6</v>
      </c>
      <c r="M10325" s="501">
        <v>0</v>
      </c>
      <c r="N10325" s="501">
        <v>0</v>
      </c>
      <c r="O10325" s="506">
        <v>0</v>
      </c>
    </row>
    <row r="10326" spans="1:15" x14ac:dyDescent="0.35">
      <c r="A10326" s="503" t="s">
        <v>1706</v>
      </c>
      <c r="B10326" s="504" t="s">
        <v>2733</v>
      </c>
      <c r="C10326" s="504" t="s">
        <v>1089</v>
      </c>
      <c r="D10326" s="504" t="s">
        <v>3392</v>
      </c>
      <c r="E10326" s="504" t="s">
        <v>3381</v>
      </c>
      <c r="F10326" s="504" t="s">
        <v>418</v>
      </c>
      <c r="G10326" s="504" t="s">
        <v>3368</v>
      </c>
      <c r="H10326" s="504" t="s">
        <v>12758</v>
      </c>
      <c r="I10326" s="504">
        <v>30</v>
      </c>
      <c r="J10326" s="504">
        <v>30</v>
      </c>
      <c r="K10326" s="504">
        <v>0</v>
      </c>
      <c r="L10326" s="504">
        <v>0</v>
      </c>
      <c r="M10326" s="504">
        <v>0</v>
      </c>
      <c r="N10326" s="504">
        <v>0</v>
      </c>
      <c r="O10326" s="505">
        <v>0</v>
      </c>
    </row>
    <row r="10327" spans="1:15" x14ac:dyDescent="0.35">
      <c r="A10327" s="500" t="s">
        <v>1444</v>
      </c>
      <c r="B10327" s="501">
        <v>4743</v>
      </c>
      <c r="C10327" s="501" t="s">
        <v>1089</v>
      </c>
      <c r="D10327" s="501" t="s">
        <v>3392</v>
      </c>
      <c r="E10327" s="501" t="s">
        <v>3381</v>
      </c>
      <c r="F10327" s="501" t="s">
        <v>416</v>
      </c>
      <c r="G10327" s="501" t="s">
        <v>3368</v>
      </c>
      <c r="H10327" s="501" t="s">
        <v>12759</v>
      </c>
      <c r="I10327" s="501">
        <v>102</v>
      </c>
      <c r="J10327" s="501">
        <v>102</v>
      </c>
      <c r="K10327" s="501">
        <v>0</v>
      </c>
      <c r="L10327" s="501">
        <v>0</v>
      </c>
      <c r="M10327" s="501">
        <v>0</v>
      </c>
      <c r="N10327" s="501">
        <v>0</v>
      </c>
      <c r="O10327" s="506">
        <v>0</v>
      </c>
    </row>
    <row r="10328" spans="1:15" x14ac:dyDescent="0.35">
      <c r="A10328" s="503" t="s">
        <v>1444</v>
      </c>
      <c r="B10328" s="504">
        <v>4743</v>
      </c>
      <c r="C10328" s="504" t="s">
        <v>1089</v>
      </c>
      <c r="D10328" s="504" t="s">
        <v>3392</v>
      </c>
      <c r="E10328" s="504" t="s">
        <v>3381</v>
      </c>
      <c r="F10328" s="504" t="s">
        <v>2</v>
      </c>
      <c r="G10328" s="504" t="s">
        <v>3368</v>
      </c>
      <c r="H10328" s="504" t="s">
        <v>12760</v>
      </c>
      <c r="I10328" s="504">
        <v>452</v>
      </c>
      <c r="J10328" s="504">
        <v>452</v>
      </c>
      <c r="K10328" s="504">
        <v>0</v>
      </c>
      <c r="L10328" s="504">
        <v>0</v>
      </c>
      <c r="M10328" s="504">
        <v>0</v>
      </c>
      <c r="N10328" s="504">
        <v>0</v>
      </c>
      <c r="O10328" s="505">
        <v>0</v>
      </c>
    </row>
    <row r="10329" spans="1:15" x14ac:dyDescent="0.35">
      <c r="A10329" s="500" t="s">
        <v>11365</v>
      </c>
      <c r="B10329" s="501" t="s">
        <v>2927</v>
      </c>
      <c r="C10329" s="501" t="s">
        <v>1089</v>
      </c>
      <c r="D10329" s="501" t="s">
        <v>3392</v>
      </c>
      <c r="E10329" s="501" t="s">
        <v>3381</v>
      </c>
      <c r="F10329" s="501" t="s">
        <v>414</v>
      </c>
      <c r="G10329" s="501" t="s">
        <v>3368</v>
      </c>
      <c r="H10329" s="501" t="s">
        <v>12761</v>
      </c>
      <c r="I10329" s="501">
        <v>8</v>
      </c>
      <c r="J10329" s="501">
        <v>0</v>
      </c>
      <c r="K10329" s="501">
        <v>0</v>
      </c>
      <c r="L10329" s="501">
        <v>0</v>
      </c>
      <c r="M10329" s="501">
        <v>8</v>
      </c>
      <c r="N10329" s="501">
        <v>0</v>
      </c>
      <c r="O10329" s="506">
        <v>0</v>
      </c>
    </row>
    <row r="10330" spans="1:15" x14ac:dyDescent="0.35">
      <c r="A10330" s="503" t="s">
        <v>14210</v>
      </c>
      <c r="B10330" s="504" t="s">
        <v>14209</v>
      </c>
      <c r="C10330" s="504" t="s">
        <v>1089</v>
      </c>
      <c r="D10330" s="504" t="s">
        <v>3392</v>
      </c>
      <c r="E10330" s="504" t="s">
        <v>3381</v>
      </c>
      <c r="F10330" s="504" t="s">
        <v>415</v>
      </c>
      <c r="G10330" s="504" t="s">
        <v>3368</v>
      </c>
      <c r="H10330" s="504" t="s">
        <v>15376</v>
      </c>
      <c r="I10330" s="504">
        <v>31</v>
      </c>
      <c r="J10330" s="504">
        <v>31</v>
      </c>
      <c r="K10330" s="504">
        <v>0</v>
      </c>
      <c r="L10330" s="504">
        <v>0</v>
      </c>
      <c r="M10330" s="504">
        <v>0</v>
      </c>
      <c r="N10330" s="504">
        <v>0</v>
      </c>
      <c r="O10330" s="505">
        <v>0</v>
      </c>
    </row>
    <row r="10331" spans="1:15" x14ac:dyDescent="0.35">
      <c r="A10331" s="500" t="s">
        <v>1445</v>
      </c>
      <c r="B10331" s="501" t="s">
        <v>2690</v>
      </c>
      <c r="C10331" s="501" t="s">
        <v>1089</v>
      </c>
      <c r="D10331" s="501" t="s">
        <v>3392</v>
      </c>
      <c r="E10331" s="501" t="s">
        <v>3381</v>
      </c>
      <c r="F10331" s="501" t="s">
        <v>416</v>
      </c>
      <c r="G10331" s="501" t="s">
        <v>3368</v>
      </c>
      <c r="H10331" s="501" t="s">
        <v>12762</v>
      </c>
      <c r="I10331" s="501">
        <v>78</v>
      </c>
      <c r="J10331" s="501">
        <v>78</v>
      </c>
      <c r="K10331" s="501">
        <v>0</v>
      </c>
      <c r="L10331" s="501">
        <v>0</v>
      </c>
      <c r="M10331" s="501">
        <v>0</v>
      </c>
      <c r="N10331" s="501">
        <v>0</v>
      </c>
      <c r="O10331" s="506">
        <v>0</v>
      </c>
    </row>
    <row r="10332" spans="1:15" x14ac:dyDescent="0.35">
      <c r="A10332" s="503" t="s">
        <v>1182</v>
      </c>
      <c r="B10332" s="504">
        <v>5060</v>
      </c>
      <c r="C10332" s="504" t="s">
        <v>1094</v>
      </c>
      <c r="D10332" s="504" t="s">
        <v>3380</v>
      </c>
      <c r="E10332" s="504" t="s">
        <v>3381</v>
      </c>
      <c r="F10332" s="504" t="s">
        <v>415</v>
      </c>
      <c r="G10332" s="504" t="s">
        <v>3368</v>
      </c>
      <c r="H10332" s="504" t="s">
        <v>12764</v>
      </c>
      <c r="I10332" s="504">
        <v>7050</v>
      </c>
      <c r="J10332" s="504">
        <v>5966</v>
      </c>
      <c r="K10332" s="504">
        <v>0</v>
      </c>
      <c r="L10332" s="504">
        <v>231</v>
      </c>
      <c r="M10332" s="504">
        <v>410</v>
      </c>
      <c r="N10332" s="504">
        <v>0</v>
      </c>
      <c r="O10332" s="505">
        <v>443</v>
      </c>
    </row>
    <row r="10333" spans="1:15" x14ac:dyDescent="0.35">
      <c r="A10333" s="500" t="s">
        <v>1182</v>
      </c>
      <c r="B10333" s="501">
        <v>5060</v>
      </c>
      <c r="C10333" s="501" t="s">
        <v>1094</v>
      </c>
      <c r="D10333" s="501" t="s">
        <v>3380</v>
      </c>
      <c r="E10333" s="501" t="s">
        <v>3381</v>
      </c>
      <c r="F10333" s="501" t="s">
        <v>414</v>
      </c>
      <c r="G10333" s="501" t="s">
        <v>3368</v>
      </c>
      <c r="H10333" s="501" t="s">
        <v>12763</v>
      </c>
      <c r="I10333" s="501">
        <v>4312</v>
      </c>
      <c r="J10333" s="501">
        <v>3456</v>
      </c>
      <c r="K10333" s="501">
        <v>0</v>
      </c>
      <c r="L10333" s="501">
        <v>6</v>
      </c>
      <c r="M10333" s="501">
        <v>536</v>
      </c>
      <c r="N10333" s="501">
        <v>1</v>
      </c>
      <c r="O10333" s="506">
        <v>314</v>
      </c>
    </row>
    <row r="10334" spans="1:15" x14ac:dyDescent="0.35">
      <c r="A10334" s="503" t="s">
        <v>1182</v>
      </c>
      <c r="B10334" s="504">
        <v>5060</v>
      </c>
      <c r="C10334" s="504" t="s">
        <v>1094</v>
      </c>
      <c r="D10334" s="504" t="s">
        <v>3380</v>
      </c>
      <c r="E10334" s="504" t="s">
        <v>3381</v>
      </c>
      <c r="F10334" s="504" t="s">
        <v>2</v>
      </c>
      <c r="G10334" s="504" t="s">
        <v>3368</v>
      </c>
      <c r="H10334" s="504" t="s">
        <v>12765</v>
      </c>
      <c r="I10334" s="504">
        <v>553</v>
      </c>
      <c r="J10334" s="504">
        <v>197</v>
      </c>
      <c r="K10334" s="504">
        <v>0</v>
      </c>
      <c r="L10334" s="504">
        <v>197</v>
      </c>
      <c r="M10334" s="504">
        <v>0</v>
      </c>
      <c r="N10334" s="504">
        <v>0</v>
      </c>
      <c r="O10334" s="505">
        <v>159</v>
      </c>
    </row>
    <row r="10335" spans="1:15" x14ac:dyDescent="0.35">
      <c r="A10335" s="500" t="s">
        <v>2150</v>
      </c>
      <c r="B10335" s="501" t="s">
        <v>2588</v>
      </c>
      <c r="C10335" s="501" t="s">
        <v>1089</v>
      </c>
      <c r="D10335" s="501" t="s">
        <v>3392</v>
      </c>
      <c r="E10335" s="501" t="s">
        <v>3381</v>
      </c>
      <c r="F10335" s="501" t="s">
        <v>1048</v>
      </c>
      <c r="G10335" s="501" t="s">
        <v>3368</v>
      </c>
      <c r="H10335" s="501" t="s">
        <v>13984</v>
      </c>
      <c r="I10335" s="501">
        <v>6</v>
      </c>
      <c r="J10335" s="501">
        <v>0</v>
      </c>
      <c r="K10335" s="501">
        <v>0</v>
      </c>
      <c r="L10335" s="501">
        <v>0</v>
      </c>
      <c r="M10335" s="501">
        <v>6</v>
      </c>
      <c r="N10335" s="501">
        <v>0</v>
      </c>
      <c r="O10335" s="506">
        <v>0</v>
      </c>
    </row>
    <row r="10336" spans="1:15" x14ac:dyDescent="0.35">
      <c r="A10336" s="503" t="s">
        <v>1838</v>
      </c>
      <c r="B10336" s="504" t="s">
        <v>3260</v>
      </c>
      <c r="C10336" s="504" t="s">
        <v>1089</v>
      </c>
      <c r="D10336" s="504" t="s">
        <v>3392</v>
      </c>
      <c r="E10336" s="504" t="s">
        <v>3381</v>
      </c>
      <c r="F10336" s="504" t="s">
        <v>2</v>
      </c>
      <c r="G10336" s="504" t="s">
        <v>3368</v>
      </c>
      <c r="H10336" s="504" t="s">
        <v>12766</v>
      </c>
      <c r="I10336" s="504">
        <v>569</v>
      </c>
      <c r="J10336" s="504">
        <v>537</v>
      </c>
      <c r="K10336" s="504">
        <v>0</v>
      </c>
      <c r="L10336" s="504">
        <v>32</v>
      </c>
      <c r="M10336" s="504">
        <v>0</v>
      </c>
      <c r="N10336" s="504">
        <v>0</v>
      </c>
      <c r="O10336" s="505">
        <v>0</v>
      </c>
    </row>
    <row r="10337" spans="1:15" x14ac:dyDescent="0.35">
      <c r="A10337" s="500" t="s">
        <v>1300</v>
      </c>
      <c r="B10337" s="501" t="s">
        <v>2467</v>
      </c>
      <c r="C10337" s="501" t="s">
        <v>1089</v>
      </c>
      <c r="D10337" s="501" t="s">
        <v>3392</v>
      </c>
      <c r="E10337" s="501" t="s">
        <v>3381</v>
      </c>
      <c r="F10337" s="501" t="s">
        <v>415</v>
      </c>
      <c r="G10337" s="501" t="s">
        <v>3368</v>
      </c>
      <c r="H10337" s="501" t="s">
        <v>12767</v>
      </c>
      <c r="I10337" s="501">
        <v>98</v>
      </c>
      <c r="J10337" s="501">
        <v>0</v>
      </c>
      <c r="K10337" s="501">
        <v>0</v>
      </c>
      <c r="L10337" s="501">
        <v>0</v>
      </c>
      <c r="M10337" s="501">
        <v>98</v>
      </c>
      <c r="N10337" s="501">
        <v>0</v>
      </c>
      <c r="O10337" s="506">
        <v>0</v>
      </c>
    </row>
    <row r="10338" spans="1:15" x14ac:dyDescent="0.35">
      <c r="A10338" s="503" t="s">
        <v>1183</v>
      </c>
      <c r="B10338" s="504" t="s">
        <v>3038</v>
      </c>
      <c r="C10338" s="504" t="s">
        <v>1094</v>
      </c>
      <c r="D10338" s="504" t="s">
        <v>3380</v>
      </c>
      <c r="E10338" s="504" t="s">
        <v>3381</v>
      </c>
      <c r="F10338" s="504" t="s">
        <v>420</v>
      </c>
      <c r="G10338" s="504" t="s">
        <v>3368</v>
      </c>
      <c r="H10338" s="504" t="s">
        <v>12770</v>
      </c>
      <c r="I10338" s="504">
        <v>191</v>
      </c>
      <c r="J10338" s="504">
        <v>91</v>
      </c>
      <c r="K10338" s="504">
        <v>0</v>
      </c>
      <c r="L10338" s="504">
        <v>0</v>
      </c>
      <c r="M10338" s="504">
        <v>0</v>
      </c>
      <c r="N10338" s="504">
        <v>0</v>
      </c>
      <c r="O10338" s="505">
        <v>100</v>
      </c>
    </row>
    <row r="10339" spans="1:15" x14ac:dyDescent="0.35">
      <c r="A10339" s="500" t="s">
        <v>1183</v>
      </c>
      <c r="B10339" s="501" t="s">
        <v>3038</v>
      </c>
      <c r="C10339" s="501" t="s">
        <v>1094</v>
      </c>
      <c r="D10339" s="501" t="s">
        <v>3380</v>
      </c>
      <c r="E10339" s="501" t="s">
        <v>3381</v>
      </c>
      <c r="F10339" s="501" t="s">
        <v>1048</v>
      </c>
      <c r="G10339" s="501" t="s">
        <v>3368</v>
      </c>
      <c r="H10339" s="501" t="s">
        <v>13985</v>
      </c>
      <c r="I10339" s="501">
        <v>2830</v>
      </c>
      <c r="J10339" s="501">
        <v>2545</v>
      </c>
      <c r="K10339" s="501">
        <v>0</v>
      </c>
      <c r="L10339" s="501">
        <v>37</v>
      </c>
      <c r="M10339" s="501">
        <v>30</v>
      </c>
      <c r="N10339" s="501">
        <v>0</v>
      </c>
      <c r="O10339" s="506">
        <v>218</v>
      </c>
    </row>
    <row r="10340" spans="1:15" x14ac:dyDescent="0.35">
      <c r="A10340" s="503" t="s">
        <v>1183</v>
      </c>
      <c r="B10340" s="504" t="s">
        <v>3038</v>
      </c>
      <c r="C10340" s="504" t="s">
        <v>1094</v>
      </c>
      <c r="D10340" s="504" t="s">
        <v>3380</v>
      </c>
      <c r="E10340" s="504" t="s">
        <v>3381</v>
      </c>
      <c r="F10340" s="504" t="s">
        <v>418</v>
      </c>
      <c r="G10340" s="504" t="s">
        <v>3368</v>
      </c>
      <c r="H10340" s="504" t="s">
        <v>12771</v>
      </c>
      <c r="I10340" s="504">
        <v>17346</v>
      </c>
      <c r="J10340" s="504">
        <v>13069</v>
      </c>
      <c r="K10340" s="504">
        <v>0</v>
      </c>
      <c r="L10340" s="504">
        <v>1274</v>
      </c>
      <c r="M10340" s="504">
        <v>427</v>
      </c>
      <c r="N10340" s="504">
        <v>0</v>
      </c>
      <c r="O10340" s="505">
        <v>2576</v>
      </c>
    </row>
    <row r="10341" spans="1:15" x14ac:dyDescent="0.35">
      <c r="A10341" s="500" t="s">
        <v>1183</v>
      </c>
      <c r="B10341" s="501" t="s">
        <v>3038</v>
      </c>
      <c r="C10341" s="501" t="s">
        <v>1094</v>
      </c>
      <c r="D10341" s="501" t="s">
        <v>3380</v>
      </c>
      <c r="E10341" s="501" t="s">
        <v>3381</v>
      </c>
      <c r="F10341" s="501" t="s">
        <v>2</v>
      </c>
      <c r="G10341" s="501" t="s">
        <v>3368</v>
      </c>
      <c r="H10341" s="501" t="s">
        <v>12768</v>
      </c>
      <c r="I10341" s="501">
        <v>1</v>
      </c>
      <c r="J10341" s="501">
        <v>0</v>
      </c>
      <c r="K10341" s="501">
        <v>0</v>
      </c>
      <c r="L10341" s="501">
        <v>0</v>
      </c>
      <c r="M10341" s="501">
        <v>0</v>
      </c>
      <c r="N10341" s="501">
        <v>0</v>
      </c>
      <c r="O10341" s="506">
        <v>1</v>
      </c>
    </row>
    <row r="10342" spans="1:15" x14ac:dyDescent="0.35">
      <c r="A10342" s="503" t="s">
        <v>1183</v>
      </c>
      <c r="B10342" s="504" t="s">
        <v>3038</v>
      </c>
      <c r="C10342" s="504" t="s">
        <v>1094</v>
      </c>
      <c r="D10342" s="504" t="s">
        <v>3380</v>
      </c>
      <c r="E10342" s="504" t="s">
        <v>3381</v>
      </c>
      <c r="F10342" s="504" t="s">
        <v>414</v>
      </c>
      <c r="G10342" s="504" t="s">
        <v>3368</v>
      </c>
      <c r="H10342" s="504" t="s">
        <v>12769</v>
      </c>
      <c r="I10342" s="504">
        <v>404</v>
      </c>
      <c r="J10342" s="504">
        <v>285</v>
      </c>
      <c r="K10342" s="504">
        <v>0</v>
      </c>
      <c r="L10342" s="504">
        <v>4</v>
      </c>
      <c r="M10342" s="504">
        <v>22</v>
      </c>
      <c r="N10342" s="504">
        <v>0</v>
      </c>
      <c r="O10342" s="505">
        <v>93</v>
      </c>
    </row>
    <row r="10343" spans="1:15" x14ac:dyDescent="0.35">
      <c r="A10343" s="500" t="s">
        <v>1446</v>
      </c>
      <c r="B10343" s="501" t="s">
        <v>2921</v>
      </c>
      <c r="C10343" s="501" t="s">
        <v>1089</v>
      </c>
      <c r="D10343" s="501" t="s">
        <v>3392</v>
      </c>
      <c r="E10343" s="501" t="s">
        <v>3381</v>
      </c>
      <c r="F10343" s="501" t="s">
        <v>416</v>
      </c>
      <c r="G10343" s="501" t="s">
        <v>3368</v>
      </c>
      <c r="H10343" s="501" t="s">
        <v>12772</v>
      </c>
      <c r="I10343" s="501">
        <v>9</v>
      </c>
      <c r="J10343" s="501">
        <v>0</v>
      </c>
      <c r="K10343" s="501">
        <v>0</v>
      </c>
      <c r="L10343" s="501">
        <v>0</v>
      </c>
      <c r="M10343" s="501">
        <v>9</v>
      </c>
      <c r="N10343" s="501">
        <v>0</v>
      </c>
      <c r="O10343" s="506">
        <v>0</v>
      </c>
    </row>
    <row r="10344" spans="1:15" x14ac:dyDescent="0.35">
      <c r="A10344" s="503" t="s">
        <v>1184</v>
      </c>
      <c r="B10344" s="504" t="s">
        <v>3215</v>
      </c>
      <c r="C10344" s="504" t="s">
        <v>1094</v>
      </c>
      <c r="D10344" s="504" t="s">
        <v>3380</v>
      </c>
      <c r="E10344" s="504" t="s">
        <v>3381</v>
      </c>
      <c r="F10344" s="504" t="s">
        <v>414</v>
      </c>
      <c r="G10344" s="504" t="s">
        <v>3368</v>
      </c>
      <c r="H10344" s="504" t="s">
        <v>12773</v>
      </c>
      <c r="I10344" s="504">
        <v>5089</v>
      </c>
      <c r="J10344" s="504">
        <v>4593</v>
      </c>
      <c r="K10344" s="504">
        <v>0</v>
      </c>
      <c r="L10344" s="504">
        <v>248</v>
      </c>
      <c r="M10344" s="504">
        <v>0</v>
      </c>
      <c r="N10344" s="504">
        <v>0</v>
      </c>
      <c r="O10344" s="505">
        <v>248</v>
      </c>
    </row>
    <row r="10345" spans="1:15" x14ac:dyDescent="0.35">
      <c r="A10345" s="500" t="s">
        <v>1447</v>
      </c>
      <c r="B10345" s="501" t="s">
        <v>2689</v>
      </c>
      <c r="C10345" s="501" t="s">
        <v>1089</v>
      </c>
      <c r="D10345" s="501" t="s">
        <v>3392</v>
      </c>
      <c r="E10345" s="501" t="s">
        <v>3381</v>
      </c>
      <c r="F10345" s="501" t="s">
        <v>416</v>
      </c>
      <c r="G10345" s="501" t="s">
        <v>3368</v>
      </c>
      <c r="H10345" s="501" t="s">
        <v>12774</v>
      </c>
      <c r="I10345" s="501">
        <v>75</v>
      </c>
      <c r="J10345" s="501">
        <v>75</v>
      </c>
      <c r="K10345" s="501">
        <v>0</v>
      </c>
      <c r="L10345" s="501">
        <v>0</v>
      </c>
      <c r="M10345" s="501">
        <v>0</v>
      </c>
      <c r="N10345" s="501">
        <v>0</v>
      </c>
      <c r="O10345" s="506">
        <v>0</v>
      </c>
    </row>
    <row r="10346" spans="1:15" x14ac:dyDescent="0.35">
      <c r="A10346" s="503" t="s">
        <v>14213</v>
      </c>
      <c r="B10346" s="504" t="s">
        <v>3312</v>
      </c>
      <c r="C10346" s="504" t="s">
        <v>1094</v>
      </c>
      <c r="D10346" s="504" t="s">
        <v>3380</v>
      </c>
      <c r="E10346" s="504" t="s">
        <v>3381</v>
      </c>
      <c r="F10346" s="504" t="s">
        <v>420</v>
      </c>
      <c r="G10346" s="504" t="s">
        <v>3368</v>
      </c>
      <c r="H10346" s="504" t="s">
        <v>15377</v>
      </c>
      <c r="I10346" s="504">
        <v>12374</v>
      </c>
      <c r="J10346" s="504">
        <v>9669</v>
      </c>
      <c r="K10346" s="504">
        <v>14</v>
      </c>
      <c r="L10346" s="504">
        <v>536</v>
      </c>
      <c r="M10346" s="504">
        <v>1075</v>
      </c>
      <c r="N10346" s="504">
        <v>36</v>
      </c>
      <c r="O10346" s="505">
        <v>1080</v>
      </c>
    </row>
    <row r="10347" spans="1:15" x14ac:dyDescent="0.35">
      <c r="A10347" s="500" t="s">
        <v>14213</v>
      </c>
      <c r="B10347" s="501" t="s">
        <v>3312</v>
      </c>
      <c r="C10347" s="501" t="s">
        <v>1094</v>
      </c>
      <c r="D10347" s="501" t="s">
        <v>3380</v>
      </c>
      <c r="E10347" s="501" t="s">
        <v>3381</v>
      </c>
      <c r="F10347" s="501" t="s">
        <v>419</v>
      </c>
      <c r="G10347" s="501" t="s">
        <v>3368</v>
      </c>
      <c r="H10347" s="501" t="s">
        <v>15378</v>
      </c>
      <c r="I10347" s="501">
        <v>8698</v>
      </c>
      <c r="J10347" s="501">
        <v>7410</v>
      </c>
      <c r="K10347" s="501">
        <v>0</v>
      </c>
      <c r="L10347" s="501">
        <v>332</v>
      </c>
      <c r="M10347" s="501">
        <v>272</v>
      </c>
      <c r="N10347" s="501">
        <v>18</v>
      </c>
      <c r="O10347" s="506">
        <v>684</v>
      </c>
    </row>
    <row r="10348" spans="1:15" x14ac:dyDescent="0.35">
      <c r="A10348" s="503" t="s">
        <v>14213</v>
      </c>
      <c r="B10348" s="504" t="s">
        <v>3312</v>
      </c>
      <c r="C10348" s="504" t="s">
        <v>1094</v>
      </c>
      <c r="D10348" s="504" t="s">
        <v>3380</v>
      </c>
      <c r="E10348" s="504" t="s">
        <v>3381</v>
      </c>
      <c r="F10348" s="504" t="s">
        <v>414</v>
      </c>
      <c r="G10348" s="504" t="s">
        <v>3368</v>
      </c>
      <c r="H10348" s="504" t="s">
        <v>15379</v>
      </c>
      <c r="I10348" s="504">
        <v>51</v>
      </c>
      <c r="J10348" s="504">
        <v>1</v>
      </c>
      <c r="K10348" s="504">
        <v>0</v>
      </c>
      <c r="L10348" s="504">
        <v>0</v>
      </c>
      <c r="M10348" s="504">
        <v>50</v>
      </c>
      <c r="N10348" s="504">
        <v>0</v>
      </c>
      <c r="O10348" s="505">
        <v>0</v>
      </c>
    </row>
    <row r="10349" spans="1:15" x14ac:dyDescent="0.35">
      <c r="A10349" s="500" t="s">
        <v>14213</v>
      </c>
      <c r="B10349" s="501" t="s">
        <v>3312</v>
      </c>
      <c r="C10349" s="501" t="s">
        <v>1094</v>
      </c>
      <c r="D10349" s="501" t="s">
        <v>3380</v>
      </c>
      <c r="E10349" s="501" t="s">
        <v>3381</v>
      </c>
      <c r="F10349" s="501" t="s">
        <v>2</v>
      </c>
      <c r="G10349" s="501" t="s">
        <v>3368</v>
      </c>
      <c r="H10349" s="501" t="s">
        <v>15380</v>
      </c>
      <c r="I10349" s="501">
        <v>3470</v>
      </c>
      <c r="J10349" s="501">
        <v>2353</v>
      </c>
      <c r="K10349" s="501">
        <v>0</v>
      </c>
      <c r="L10349" s="501">
        <v>140</v>
      </c>
      <c r="M10349" s="501">
        <v>523</v>
      </c>
      <c r="N10349" s="501">
        <v>0</v>
      </c>
      <c r="O10349" s="506">
        <v>454</v>
      </c>
    </row>
    <row r="10350" spans="1:15" x14ac:dyDescent="0.35">
      <c r="A10350" s="503" t="s">
        <v>1839</v>
      </c>
      <c r="B10350" s="504" t="s">
        <v>3050</v>
      </c>
      <c r="C10350" s="504" t="s">
        <v>1089</v>
      </c>
      <c r="D10350" s="504" t="s">
        <v>3392</v>
      </c>
      <c r="E10350" s="504" t="s">
        <v>3381</v>
      </c>
      <c r="F10350" s="504" t="s">
        <v>2</v>
      </c>
      <c r="G10350" s="504" t="s">
        <v>3368</v>
      </c>
      <c r="H10350" s="504" t="s">
        <v>12775</v>
      </c>
      <c r="I10350" s="504">
        <v>331</v>
      </c>
      <c r="J10350" s="504">
        <v>197</v>
      </c>
      <c r="K10350" s="504">
        <v>0</v>
      </c>
      <c r="L10350" s="504">
        <v>0</v>
      </c>
      <c r="M10350" s="504">
        <v>134</v>
      </c>
      <c r="N10350" s="504">
        <v>0</v>
      </c>
      <c r="O10350" s="505">
        <v>0</v>
      </c>
    </row>
    <row r="10351" spans="1:15" x14ac:dyDescent="0.35">
      <c r="A10351" s="500" t="s">
        <v>1448</v>
      </c>
      <c r="B10351" s="501" t="s">
        <v>2981</v>
      </c>
      <c r="C10351" s="501" t="s">
        <v>1089</v>
      </c>
      <c r="D10351" s="501" t="s">
        <v>3392</v>
      </c>
      <c r="E10351" s="501" t="s">
        <v>3381</v>
      </c>
      <c r="F10351" s="501" t="s">
        <v>416</v>
      </c>
      <c r="G10351" s="501" t="s">
        <v>3368</v>
      </c>
      <c r="H10351" s="501" t="s">
        <v>12776</v>
      </c>
      <c r="I10351" s="501">
        <v>17</v>
      </c>
      <c r="J10351" s="501">
        <v>17</v>
      </c>
      <c r="K10351" s="501">
        <v>0</v>
      </c>
      <c r="L10351" s="501">
        <v>0</v>
      </c>
      <c r="M10351" s="501">
        <v>0</v>
      </c>
      <c r="N10351" s="501">
        <v>0</v>
      </c>
      <c r="O10351" s="506">
        <v>0</v>
      </c>
    </row>
    <row r="10352" spans="1:15" x14ac:dyDescent="0.35">
      <c r="A10352" s="503" t="s">
        <v>14215</v>
      </c>
      <c r="B10352" s="504">
        <v>5135</v>
      </c>
      <c r="C10352" s="504" t="s">
        <v>1089</v>
      </c>
      <c r="D10352" s="504" t="s">
        <v>3392</v>
      </c>
      <c r="E10352" s="504" t="s">
        <v>3381</v>
      </c>
      <c r="F10352" s="504" t="s">
        <v>420</v>
      </c>
      <c r="G10352" s="504" t="s">
        <v>3368</v>
      </c>
      <c r="H10352" s="504" t="s">
        <v>15381</v>
      </c>
      <c r="I10352" s="504">
        <v>1</v>
      </c>
      <c r="J10352" s="504">
        <v>1</v>
      </c>
      <c r="K10352" s="504">
        <v>0</v>
      </c>
      <c r="L10352" s="504">
        <v>0</v>
      </c>
      <c r="M10352" s="504">
        <v>0</v>
      </c>
      <c r="N10352" s="504">
        <v>0</v>
      </c>
      <c r="O10352" s="505">
        <v>0</v>
      </c>
    </row>
    <row r="10353" spans="1:15" x14ac:dyDescent="0.35">
      <c r="A10353" s="500" t="s">
        <v>2151</v>
      </c>
      <c r="B10353" s="501" t="s">
        <v>3332</v>
      </c>
      <c r="C10353" s="501" t="s">
        <v>1089</v>
      </c>
      <c r="D10353" s="501" t="s">
        <v>3392</v>
      </c>
      <c r="E10353" s="501" t="s">
        <v>3381</v>
      </c>
      <c r="F10353" s="501" t="s">
        <v>1048</v>
      </c>
      <c r="G10353" s="501" t="s">
        <v>3368</v>
      </c>
      <c r="H10353" s="501" t="s">
        <v>13986</v>
      </c>
      <c r="I10353" s="501">
        <v>187</v>
      </c>
      <c r="J10353" s="501">
        <v>0</v>
      </c>
      <c r="K10353" s="501">
        <v>0</v>
      </c>
      <c r="L10353" s="501">
        <v>187</v>
      </c>
      <c r="M10353" s="501">
        <v>0</v>
      </c>
      <c r="N10353" s="501">
        <v>72</v>
      </c>
      <c r="O10353" s="506">
        <v>0</v>
      </c>
    </row>
    <row r="10354" spans="1:15" x14ac:dyDescent="0.35">
      <c r="A10354" s="503" t="s">
        <v>1841</v>
      </c>
      <c r="B10354" s="504" t="s">
        <v>3328</v>
      </c>
      <c r="C10354" s="504" t="s">
        <v>1089</v>
      </c>
      <c r="D10354" s="504" t="s">
        <v>3392</v>
      </c>
      <c r="E10354" s="504" t="s">
        <v>3381</v>
      </c>
      <c r="F10354" s="504" t="s">
        <v>2</v>
      </c>
      <c r="G10354" s="504" t="s">
        <v>3368</v>
      </c>
      <c r="H10354" s="504" t="s">
        <v>12777</v>
      </c>
      <c r="I10354" s="504">
        <v>42</v>
      </c>
      <c r="J10354" s="504">
        <v>0</v>
      </c>
      <c r="K10354" s="504">
        <v>0</v>
      </c>
      <c r="L10354" s="504">
        <v>10</v>
      </c>
      <c r="M10354" s="504">
        <v>32</v>
      </c>
      <c r="N10354" s="504">
        <v>0</v>
      </c>
      <c r="O10354" s="505">
        <v>0</v>
      </c>
    </row>
    <row r="10355" spans="1:15" x14ac:dyDescent="0.35">
      <c r="A10355" s="500" t="s">
        <v>1842</v>
      </c>
      <c r="B10355" s="501" t="s">
        <v>3267</v>
      </c>
      <c r="C10355" s="501" t="s">
        <v>1089</v>
      </c>
      <c r="D10355" s="501" t="s">
        <v>3392</v>
      </c>
      <c r="E10355" s="501" t="s">
        <v>3381</v>
      </c>
      <c r="F10355" s="501" t="s">
        <v>2</v>
      </c>
      <c r="G10355" s="501" t="s">
        <v>3368</v>
      </c>
      <c r="H10355" s="501" t="s">
        <v>12778</v>
      </c>
      <c r="I10355" s="501">
        <v>87</v>
      </c>
      <c r="J10355" s="501">
        <v>0</v>
      </c>
      <c r="K10355" s="501">
        <v>0</v>
      </c>
      <c r="L10355" s="501">
        <v>0</v>
      </c>
      <c r="M10355" s="501">
        <v>87</v>
      </c>
      <c r="N10355" s="501">
        <v>0</v>
      </c>
      <c r="O10355" s="506">
        <v>0</v>
      </c>
    </row>
    <row r="10356" spans="1:15" x14ac:dyDescent="0.35">
      <c r="A10356" s="503" t="s">
        <v>1985</v>
      </c>
      <c r="B10356" s="504" t="s">
        <v>3210</v>
      </c>
      <c r="C10356" s="504" t="s">
        <v>1089</v>
      </c>
      <c r="D10356" s="504" t="s">
        <v>3392</v>
      </c>
      <c r="E10356" s="504" t="s">
        <v>3381</v>
      </c>
      <c r="F10356" s="504" t="s">
        <v>419</v>
      </c>
      <c r="G10356" s="504" t="s">
        <v>3368</v>
      </c>
      <c r="H10356" s="504" t="s">
        <v>12779</v>
      </c>
      <c r="I10356" s="504">
        <v>770</v>
      </c>
      <c r="J10356" s="504">
        <v>56</v>
      </c>
      <c r="K10356" s="504">
        <v>0</v>
      </c>
      <c r="L10356" s="504">
        <v>155</v>
      </c>
      <c r="M10356" s="504">
        <v>559</v>
      </c>
      <c r="N10356" s="504">
        <v>0</v>
      </c>
      <c r="O10356" s="505">
        <v>0</v>
      </c>
    </row>
    <row r="10357" spans="1:15" x14ac:dyDescent="0.35">
      <c r="A10357" s="500" t="s">
        <v>1986</v>
      </c>
      <c r="B10357" s="501" t="s">
        <v>3103</v>
      </c>
      <c r="C10357" s="501" t="s">
        <v>1089</v>
      </c>
      <c r="D10357" s="501" t="s">
        <v>3392</v>
      </c>
      <c r="E10357" s="501" t="s">
        <v>3381</v>
      </c>
      <c r="F10357" s="501" t="s">
        <v>419</v>
      </c>
      <c r="G10357" s="501" t="s">
        <v>3368</v>
      </c>
      <c r="H10357" s="501" t="s">
        <v>12780</v>
      </c>
      <c r="I10357" s="501">
        <v>546</v>
      </c>
      <c r="J10357" s="501">
        <v>211</v>
      </c>
      <c r="K10357" s="501">
        <v>0</v>
      </c>
      <c r="L10357" s="501">
        <v>6</v>
      </c>
      <c r="M10357" s="501">
        <v>329</v>
      </c>
      <c r="N10357" s="501">
        <v>0</v>
      </c>
      <c r="O10357" s="506">
        <v>0</v>
      </c>
    </row>
    <row r="10358" spans="1:15" x14ac:dyDescent="0.35">
      <c r="A10358" s="503" t="s">
        <v>1987</v>
      </c>
      <c r="B10358" s="504" t="s">
        <v>3295</v>
      </c>
      <c r="C10358" s="504" t="s">
        <v>1089</v>
      </c>
      <c r="D10358" s="504" t="s">
        <v>3392</v>
      </c>
      <c r="E10358" s="504" t="s">
        <v>3381</v>
      </c>
      <c r="F10358" s="504" t="s">
        <v>419</v>
      </c>
      <c r="G10358" s="504" t="s">
        <v>3368</v>
      </c>
      <c r="H10358" s="504" t="s">
        <v>12781</v>
      </c>
      <c r="I10358" s="504">
        <v>20</v>
      </c>
      <c r="J10358" s="504">
        <v>0</v>
      </c>
      <c r="K10358" s="504">
        <v>0</v>
      </c>
      <c r="L10358" s="504">
        <v>20</v>
      </c>
      <c r="M10358" s="504">
        <v>0</v>
      </c>
      <c r="N10358" s="504">
        <v>0</v>
      </c>
      <c r="O10358" s="505">
        <v>0</v>
      </c>
    </row>
    <row r="10359" spans="1:15" x14ac:dyDescent="0.35">
      <c r="A10359" s="500" t="s">
        <v>1460</v>
      </c>
      <c r="B10359" s="501">
        <v>5064</v>
      </c>
      <c r="C10359" s="501" t="s">
        <v>1089</v>
      </c>
      <c r="D10359" s="501" t="s">
        <v>3392</v>
      </c>
      <c r="E10359" s="501" t="s">
        <v>3381</v>
      </c>
      <c r="F10359" s="501" t="s">
        <v>416</v>
      </c>
      <c r="G10359" s="501" t="s">
        <v>3368</v>
      </c>
      <c r="H10359" s="501" t="s">
        <v>12782</v>
      </c>
      <c r="I10359" s="501">
        <v>150</v>
      </c>
      <c r="J10359" s="501">
        <v>150</v>
      </c>
      <c r="K10359" s="501">
        <v>0</v>
      </c>
      <c r="L10359" s="501">
        <v>0</v>
      </c>
      <c r="M10359" s="501">
        <v>0</v>
      </c>
      <c r="N10359" s="501">
        <v>0</v>
      </c>
      <c r="O10359" s="506">
        <v>0</v>
      </c>
    </row>
    <row r="10360" spans="1:15" x14ac:dyDescent="0.35">
      <c r="A10360" s="503" t="s">
        <v>1185</v>
      </c>
      <c r="B10360" s="504" t="s">
        <v>3253</v>
      </c>
      <c r="C10360" s="504" t="s">
        <v>1094</v>
      </c>
      <c r="D10360" s="504" t="s">
        <v>3380</v>
      </c>
      <c r="E10360" s="504" t="s">
        <v>3381</v>
      </c>
      <c r="F10360" s="504" t="s">
        <v>420</v>
      </c>
      <c r="G10360" s="504" t="s">
        <v>3368</v>
      </c>
      <c r="H10360" s="504" t="s">
        <v>12788</v>
      </c>
      <c r="I10360" s="504">
        <v>139</v>
      </c>
      <c r="J10360" s="504">
        <v>68</v>
      </c>
      <c r="K10360" s="504">
        <v>0</v>
      </c>
      <c r="L10360" s="504">
        <v>68</v>
      </c>
      <c r="M10360" s="504">
        <v>3</v>
      </c>
      <c r="N10360" s="504">
        <v>0</v>
      </c>
      <c r="O10360" s="505">
        <v>0</v>
      </c>
    </row>
    <row r="10361" spans="1:15" x14ac:dyDescent="0.35">
      <c r="A10361" s="500" t="s">
        <v>1185</v>
      </c>
      <c r="B10361" s="501" t="s">
        <v>3253</v>
      </c>
      <c r="C10361" s="501" t="s">
        <v>1094</v>
      </c>
      <c r="D10361" s="501" t="s">
        <v>3380</v>
      </c>
      <c r="E10361" s="501" t="s">
        <v>3381</v>
      </c>
      <c r="F10361" s="501" t="s">
        <v>416</v>
      </c>
      <c r="G10361" s="501" t="s">
        <v>3368</v>
      </c>
      <c r="H10361" s="501" t="s">
        <v>12785</v>
      </c>
      <c r="I10361" s="501">
        <v>948</v>
      </c>
      <c r="J10361" s="501">
        <v>475</v>
      </c>
      <c r="K10361" s="501">
        <v>0</v>
      </c>
      <c r="L10361" s="501">
        <v>408</v>
      </c>
      <c r="M10361" s="501">
        <v>65</v>
      </c>
      <c r="N10361" s="501">
        <v>0</v>
      </c>
      <c r="O10361" s="506">
        <v>0</v>
      </c>
    </row>
    <row r="10362" spans="1:15" x14ac:dyDescent="0.35">
      <c r="A10362" s="503" t="s">
        <v>1185</v>
      </c>
      <c r="B10362" s="504" t="s">
        <v>3253</v>
      </c>
      <c r="C10362" s="504" t="s">
        <v>1094</v>
      </c>
      <c r="D10362" s="504" t="s">
        <v>3380</v>
      </c>
      <c r="E10362" s="504" t="s">
        <v>3381</v>
      </c>
      <c r="F10362" s="504" t="s">
        <v>2</v>
      </c>
      <c r="G10362" s="504" t="s">
        <v>3368</v>
      </c>
      <c r="H10362" s="504" t="s">
        <v>12784</v>
      </c>
      <c r="I10362" s="504">
        <v>408</v>
      </c>
      <c r="J10362" s="504">
        <v>189</v>
      </c>
      <c r="K10362" s="504">
        <v>0</v>
      </c>
      <c r="L10362" s="504">
        <v>178</v>
      </c>
      <c r="M10362" s="504">
        <v>41</v>
      </c>
      <c r="N10362" s="504">
        <v>0</v>
      </c>
      <c r="O10362" s="505">
        <v>0</v>
      </c>
    </row>
    <row r="10363" spans="1:15" x14ac:dyDescent="0.35">
      <c r="A10363" s="500" t="s">
        <v>1185</v>
      </c>
      <c r="B10363" s="501" t="s">
        <v>3253</v>
      </c>
      <c r="C10363" s="501" t="s">
        <v>1094</v>
      </c>
      <c r="D10363" s="501" t="s">
        <v>3380</v>
      </c>
      <c r="E10363" s="501" t="s">
        <v>3381</v>
      </c>
      <c r="F10363" s="501" t="s">
        <v>419</v>
      </c>
      <c r="G10363" s="501" t="s">
        <v>3368</v>
      </c>
      <c r="H10363" s="501" t="s">
        <v>12790</v>
      </c>
      <c r="I10363" s="501">
        <v>362</v>
      </c>
      <c r="J10363" s="501">
        <v>196</v>
      </c>
      <c r="K10363" s="501">
        <v>0</v>
      </c>
      <c r="L10363" s="501">
        <v>157</v>
      </c>
      <c r="M10363" s="501">
        <v>9</v>
      </c>
      <c r="N10363" s="501">
        <v>0</v>
      </c>
      <c r="O10363" s="506">
        <v>0</v>
      </c>
    </row>
    <row r="10364" spans="1:15" x14ac:dyDescent="0.35">
      <c r="A10364" s="503" t="s">
        <v>1185</v>
      </c>
      <c r="B10364" s="504" t="s">
        <v>3253</v>
      </c>
      <c r="C10364" s="504" t="s">
        <v>1094</v>
      </c>
      <c r="D10364" s="504" t="s">
        <v>3380</v>
      </c>
      <c r="E10364" s="504" t="s">
        <v>3381</v>
      </c>
      <c r="F10364" s="504" t="s">
        <v>418</v>
      </c>
      <c r="G10364" s="504" t="s">
        <v>3368</v>
      </c>
      <c r="H10364" s="504" t="s">
        <v>12786</v>
      </c>
      <c r="I10364" s="504">
        <v>45</v>
      </c>
      <c r="J10364" s="504">
        <v>22</v>
      </c>
      <c r="K10364" s="504">
        <v>0</v>
      </c>
      <c r="L10364" s="504">
        <v>22</v>
      </c>
      <c r="M10364" s="504">
        <v>1</v>
      </c>
      <c r="N10364" s="504">
        <v>0</v>
      </c>
      <c r="O10364" s="505">
        <v>0</v>
      </c>
    </row>
    <row r="10365" spans="1:15" x14ac:dyDescent="0.35">
      <c r="A10365" s="500" t="s">
        <v>1185</v>
      </c>
      <c r="B10365" s="501" t="s">
        <v>3253</v>
      </c>
      <c r="C10365" s="501" t="s">
        <v>1094</v>
      </c>
      <c r="D10365" s="501" t="s">
        <v>3380</v>
      </c>
      <c r="E10365" s="501" t="s">
        <v>3381</v>
      </c>
      <c r="F10365" s="501" t="s">
        <v>417</v>
      </c>
      <c r="G10365" s="501" t="s">
        <v>3368</v>
      </c>
      <c r="H10365" s="501" t="s">
        <v>12787</v>
      </c>
      <c r="I10365" s="501">
        <v>432</v>
      </c>
      <c r="J10365" s="501">
        <v>312</v>
      </c>
      <c r="K10365" s="501">
        <v>0</v>
      </c>
      <c r="L10365" s="501">
        <v>93</v>
      </c>
      <c r="M10365" s="501">
        <v>27</v>
      </c>
      <c r="N10365" s="501">
        <v>0</v>
      </c>
      <c r="O10365" s="506">
        <v>0</v>
      </c>
    </row>
    <row r="10366" spans="1:15" x14ac:dyDescent="0.35">
      <c r="A10366" s="503" t="s">
        <v>1185</v>
      </c>
      <c r="B10366" s="504" t="s">
        <v>3253</v>
      </c>
      <c r="C10366" s="504" t="s">
        <v>1094</v>
      </c>
      <c r="D10366" s="504" t="s">
        <v>3380</v>
      </c>
      <c r="E10366" s="504" t="s">
        <v>3381</v>
      </c>
      <c r="F10366" s="504" t="s">
        <v>1048</v>
      </c>
      <c r="G10366" s="504" t="s">
        <v>3368</v>
      </c>
      <c r="H10366" s="504" t="s">
        <v>13987</v>
      </c>
      <c r="I10366" s="504">
        <v>586</v>
      </c>
      <c r="J10366" s="504">
        <v>340</v>
      </c>
      <c r="K10366" s="504">
        <v>0</v>
      </c>
      <c r="L10366" s="504">
        <v>194</v>
      </c>
      <c r="M10366" s="504">
        <v>52</v>
      </c>
      <c r="N10366" s="504">
        <v>0</v>
      </c>
      <c r="O10366" s="505">
        <v>0</v>
      </c>
    </row>
    <row r="10367" spans="1:15" x14ac:dyDescent="0.35">
      <c r="A10367" s="500" t="s">
        <v>1185</v>
      </c>
      <c r="B10367" s="501" t="s">
        <v>3253</v>
      </c>
      <c r="C10367" s="501" t="s">
        <v>1094</v>
      </c>
      <c r="D10367" s="501" t="s">
        <v>3380</v>
      </c>
      <c r="E10367" s="501" t="s">
        <v>3381</v>
      </c>
      <c r="F10367" s="501" t="s">
        <v>415</v>
      </c>
      <c r="G10367" s="501" t="s">
        <v>3368</v>
      </c>
      <c r="H10367" s="501" t="s">
        <v>12789</v>
      </c>
      <c r="I10367" s="501">
        <v>298</v>
      </c>
      <c r="J10367" s="501">
        <v>118</v>
      </c>
      <c r="K10367" s="501">
        <v>0</v>
      </c>
      <c r="L10367" s="501">
        <v>137</v>
      </c>
      <c r="M10367" s="501">
        <v>41</v>
      </c>
      <c r="N10367" s="501">
        <v>0</v>
      </c>
      <c r="O10367" s="506">
        <v>2</v>
      </c>
    </row>
    <row r="10368" spans="1:15" x14ac:dyDescent="0.35">
      <c r="A10368" s="503" t="s">
        <v>1185</v>
      </c>
      <c r="B10368" s="504" t="s">
        <v>3253</v>
      </c>
      <c r="C10368" s="504" t="s">
        <v>1094</v>
      </c>
      <c r="D10368" s="504" t="s">
        <v>3380</v>
      </c>
      <c r="E10368" s="504" t="s">
        <v>3381</v>
      </c>
      <c r="F10368" s="504" t="s">
        <v>414</v>
      </c>
      <c r="G10368" s="504" t="s">
        <v>3368</v>
      </c>
      <c r="H10368" s="504" t="s">
        <v>12783</v>
      </c>
      <c r="I10368" s="504">
        <v>33</v>
      </c>
      <c r="J10368" s="504">
        <v>16</v>
      </c>
      <c r="K10368" s="504">
        <v>0</v>
      </c>
      <c r="L10368" s="504">
        <v>12</v>
      </c>
      <c r="M10368" s="504">
        <v>5</v>
      </c>
      <c r="N10368" s="504">
        <v>0</v>
      </c>
      <c r="O10368" s="505">
        <v>0</v>
      </c>
    </row>
    <row r="10369" spans="1:15" x14ac:dyDescent="0.35">
      <c r="A10369" s="500" t="s">
        <v>1449</v>
      </c>
      <c r="B10369" s="501" t="s">
        <v>2694</v>
      </c>
      <c r="C10369" s="501" t="s">
        <v>1089</v>
      </c>
      <c r="D10369" s="501" t="s">
        <v>3392</v>
      </c>
      <c r="E10369" s="501" t="s">
        <v>3381</v>
      </c>
      <c r="F10369" s="501" t="s">
        <v>416</v>
      </c>
      <c r="G10369" s="501" t="s">
        <v>3368</v>
      </c>
      <c r="H10369" s="501" t="s">
        <v>12791</v>
      </c>
      <c r="I10369" s="501">
        <v>86</v>
      </c>
      <c r="J10369" s="501">
        <v>86</v>
      </c>
      <c r="K10369" s="501">
        <v>0</v>
      </c>
      <c r="L10369" s="501">
        <v>0</v>
      </c>
      <c r="M10369" s="501">
        <v>0</v>
      </c>
      <c r="N10369" s="501">
        <v>0</v>
      </c>
      <c r="O10369" s="506">
        <v>0</v>
      </c>
    </row>
    <row r="10370" spans="1:15" x14ac:dyDescent="0.35">
      <c r="A10370" s="503" t="s">
        <v>1450</v>
      </c>
      <c r="B10370" s="504">
        <v>4695</v>
      </c>
      <c r="C10370" s="504" t="s">
        <v>1089</v>
      </c>
      <c r="D10370" s="504" t="s">
        <v>3392</v>
      </c>
      <c r="E10370" s="504" t="s">
        <v>3381</v>
      </c>
      <c r="F10370" s="504" t="s">
        <v>416</v>
      </c>
      <c r="G10370" s="504" t="s">
        <v>3368</v>
      </c>
      <c r="H10370" s="504" t="s">
        <v>12792</v>
      </c>
      <c r="I10370" s="504">
        <v>46</v>
      </c>
      <c r="J10370" s="504">
        <v>46</v>
      </c>
      <c r="K10370" s="504">
        <v>0</v>
      </c>
      <c r="L10370" s="504">
        <v>0</v>
      </c>
      <c r="M10370" s="504">
        <v>0</v>
      </c>
      <c r="N10370" s="504">
        <v>0</v>
      </c>
      <c r="O10370" s="505">
        <v>0</v>
      </c>
    </row>
    <row r="10371" spans="1:15" x14ac:dyDescent="0.35">
      <c r="A10371" s="500" t="s">
        <v>1186</v>
      </c>
      <c r="B10371" s="501">
        <v>4661</v>
      </c>
      <c r="C10371" s="501" t="s">
        <v>1089</v>
      </c>
      <c r="D10371" s="501" t="s">
        <v>3392</v>
      </c>
      <c r="E10371" s="501" t="s">
        <v>3381</v>
      </c>
      <c r="F10371" s="501" t="s">
        <v>2</v>
      </c>
      <c r="G10371" s="501" t="s">
        <v>3368</v>
      </c>
      <c r="H10371" s="501" t="s">
        <v>12793</v>
      </c>
      <c r="I10371" s="501">
        <v>10</v>
      </c>
      <c r="J10371" s="501">
        <v>0</v>
      </c>
      <c r="K10371" s="501">
        <v>0</v>
      </c>
      <c r="L10371" s="501">
        <v>10</v>
      </c>
      <c r="M10371" s="501">
        <v>0</v>
      </c>
      <c r="N10371" s="501">
        <v>0</v>
      </c>
      <c r="O10371" s="506">
        <v>0</v>
      </c>
    </row>
    <row r="10372" spans="1:15" x14ac:dyDescent="0.35">
      <c r="A10372" s="503" t="s">
        <v>1186</v>
      </c>
      <c r="B10372" s="504">
        <v>4661</v>
      </c>
      <c r="C10372" s="504" t="s">
        <v>1089</v>
      </c>
      <c r="D10372" s="504" t="s">
        <v>3392</v>
      </c>
      <c r="E10372" s="504" t="s">
        <v>3381</v>
      </c>
      <c r="F10372" s="504" t="s">
        <v>1048</v>
      </c>
      <c r="G10372" s="504" t="s">
        <v>3368</v>
      </c>
      <c r="H10372" s="504" t="s">
        <v>13988</v>
      </c>
      <c r="I10372" s="504">
        <v>30</v>
      </c>
      <c r="J10372" s="504">
        <v>0</v>
      </c>
      <c r="K10372" s="504">
        <v>0</v>
      </c>
      <c r="L10372" s="504">
        <v>30</v>
      </c>
      <c r="M10372" s="504">
        <v>0</v>
      </c>
      <c r="N10372" s="504">
        <v>0</v>
      </c>
      <c r="O10372" s="505">
        <v>0</v>
      </c>
    </row>
    <row r="10373" spans="1:15" x14ac:dyDescent="0.35">
      <c r="A10373" s="500" t="s">
        <v>1186</v>
      </c>
      <c r="B10373" s="501">
        <v>4661</v>
      </c>
      <c r="C10373" s="501" t="s">
        <v>1089</v>
      </c>
      <c r="D10373" s="501" t="s">
        <v>3392</v>
      </c>
      <c r="E10373" s="501" t="s">
        <v>3381</v>
      </c>
      <c r="F10373" s="501" t="s">
        <v>418</v>
      </c>
      <c r="G10373" s="501" t="s">
        <v>3368</v>
      </c>
      <c r="H10373" s="501" t="s">
        <v>12795</v>
      </c>
      <c r="I10373" s="501">
        <v>571</v>
      </c>
      <c r="J10373" s="501">
        <v>0</v>
      </c>
      <c r="K10373" s="501">
        <v>0</v>
      </c>
      <c r="L10373" s="501">
        <v>571</v>
      </c>
      <c r="M10373" s="501">
        <v>0</v>
      </c>
      <c r="N10373" s="501">
        <v>0</v>
      </c>
      <c r="O10373" s="506">
        <v>0</v>
      </c>
    </row>
    <row r="10374" spans="1:15" x14ac:dyDescent="0.35">
      <c r="A10374" s="503" t="s">
        <v>1186</v>
      </c>
      <c r="B10374" s="504">
        <v>4661</v>
      </c>
      <c r="C10374" s="504" t="s">
        <v>1089</v>
      </c>
      <c r="D10374" s="504" t="s">
        <v>3392</v>
      </c>
      <c r="E10374" s="504" t="s">
        <v>3381</v>
      </c>
      <c r="F10374" s="504" t="s">
        <v>420</v>
      </c>
      <c r="G10374" s="504" t="s">
        <v>3368</v>
      </c>
      <c r="H10374" s="504" t="s">
        <v>12797</v>
      </c>
      <c r="I10374" s="504">
        <v>50</v>
      </c>
      <c r="J10374" s="504">
        <v>0</v>
      </c>
      <c r="K10374" s="504">
        <v>0</v>
      </c>
      <c r="L10374" s="504">
        <v>50</v>
      </c>
      <c r="M10374" s="504">
        <v>0</v>
      </c>
      <c r="N10374" s="504">
        <v>0</v>
      </c>
      <c r="O10374" s="505">
        <v>0</v>
      </c>
    </row>
    <row r="10375" spans="1:15" x14ac:dyDescent="0.35">
      <c r="A10375" s="500" t="s">
        <v>1186</v>
      </c>
      <c r="B10375" s="501">
        <v>4661</v>
      </c>
      <c r="C10375" s="501" t="s">
        <v>1089</v>
      </c>
      <c r="D10375" s="501" t="s">
        <v>3392</v>
      </c>
      <c r="E10375" s="501" t="s">
        <v>3381</v>
      </c>
      <c r="F10375" s="501" t="s">
        <v>414</v>
      </c>
      <c r="G10375" s="501" t="s">
        <v>3368</v>
      </c>
      <c r="H10375" s="501" t="s">
        <v>12796</v>
      </c>
      <c r="I10375" s="501">
        <v>13</v>
      </c>
      <c r="J10375" s="501">
        <v>0</v>
      </c>
      <c r="K10375" s="501">
        <v>0</v>
      </c>
      <c r="L10375" s="501">
        <v>13</v>
      </c>
      <c r="M10375" s="501">
        <v>0</v>
      </c>
      <c r="N10375" s="501">
        <v>0</v>
      </c>
      <c r="O10375" s="506">
        <v>0</v>
      </c>
    </row>
    <row r="10376" spans="1:15" x14ac:dyDescent="0.35">
      <c r="A10376" s="503" t="s">
        <v>1186</v>
      </c>
      <c r="B10376" s="504">
        <v>4661</v>
      </c>
      <c r="C10376" s="504" t="s">
        <v>1089</v>
      </c>
      <c r="D10376" s="504" t="s">
        <v>3392</v>
      </c>
      <c r="E10376" s="504" t="s">
        <v>3381</v>
      </c>
      <c r="F10376" s="504" t="s">
        <v>417</v>
      </c>
      <c r="G10376" s="504" t="s">
        <v>3368</v>
      </c>
      <c r="H10376" s="504" t="s">
        <v>12794</v>
      </c>
      <c r="I10376" s="504">
        <v>22</v>
      </c>
      <c r="J10376" s="504">
        <v>0</v>
      </c>
      <c r="K10376" s="504">
        <v>0</v>
      </c>
      <c r="L10376" s="504">
        <v>22</v>
      </c>
      <c r="M10376" s="504">
        <v>0</v>
      </c>
      <c r="N10376" s="504">
        <v>0</v>
      </c>
      <c r="O10376" s="505">
        <v>0</v>
      </c>
    </row>
    <row r="10377" spans="1:15" x14ac:dyDescent="0.35">
      <c r="A10377" s="500" t="s">
        <v>1707</v>
      </c>
      <c r="B10377" s="501" t="s">
        <v>3198</v>
      </c>
      <c r="C10377" s="501" t="s">
        <v>1094</v>
      </c>
      <c r="D10377" s="501" t="s">
        <v>3380</v>
      </c>
      <c r="E10377" s="501" t="s">
        <v>3381</v>
      </c>
      <c r="F10377" s="501" t="s">
        <v>418</v>
      </c>
      <c r="G10377" s="501" t="s">
        <v>3368</v>
      </c>
      <c r="H10377" s="501" t="s">
        <v>12798</v>
      </c>
      <c r="I10377" s="501">
        <v>7161</v>
      </c>
      <c r="J10377" s="501">
        <v>6790</v>
      </c>
      <c r="K10377" s="501">
        <v>0</v>
      </c>
      <c r="L10377" s="501">
        <v>206</v>
      </c>
      <c r="M10377" s="501">
        <v>0</v>
      </c>
      <c r="N10377" s="501">
        <v>0</v>
      </c>
      <c r="O10377" s="506">
        <v>165</v>
      </c>
    </row>
    <row r="10378" spans="1:15" x14ac:dyDescent="0.35">
      <c r="A10378" s="503" t="s">
        <v>1708</v>
      </c>
      <c r="B10378" s="504" t="s">
        <v>2793</v>
      </c>
      <c r="C10378" s="504" t="s">
        <v>1089</v>
      </c>
      <c r="D10378" s="504" t="s">
        <v>3392</v>
      </c>
      <c r="E10378" s="504" t="s">
        <v>3381</v>
      </c>
      <c r="F10378" s="504" t="s">
        <v>418</v>
      </c>
      <c r="G10378" s="504" t="s">
        <v>3368</v>
      </c>
      <c r="H10378" s="504" t="s">
        <v>12799</v>
      </c>
      <c r="I10378" s="504">
        <v>40</v>
      </c>
      <c r="J10378" s="504">
        <v>40</v>
      </c>
      <c r="K10378" s="504">
        <v>0</v>
      </c>
      <c r="L10378" s="504">
        <v>0</v>
      </c>
      <c r="M10378" s="504">
        <v>0</v>
      </c>
      <c r="N10378" s="504">
        <v>0</v>
      </c>
      <c r="O10378" s="505">
        <v>0</v>
      </c>
    </row>
    <row r="10379" spans="1:15" x14ac:dyDescent="0.35">
      <c r="A10379" s="500" t="s">
        <v>1451</v>
      </c>
      <c r="B10379" s="501" t="s">
        <v>2494</v>
      </c>
      <c r="C10379" s="501" t="s">
        <v>1089</v>
      </c>
      <c r="D10379" s="501" t="s">
        <v>3392</v>
      </c>
      <c r="E10379" s="501" t="s">
        <v>3381</v>
      </c>
      <c r="F10379" s="501" t="s">
        <v>416</v>
      </c>
      <c r="G10379" s="501" t="s">
        <v>3368</v>
      </c>
      <c r="H10379" s="501" t="s">
        <v>12800</v>
      </c>
      <c r="I10379" s="501">
        <v>91</v>
      </c>
      <c r="J10379" s="501">
        <v>0</v>
      </c>
      <c r="K10379" s="501">
        <v>0</v>
      </c>
      <c r="L10379" s="501">
        <v>0</v>
      </c>
      <c r="M10379" s="501">
        <v>91</v>
      </c>
      <c r="N10379" s="501">
        <v>0</v>
      </c>
      <c r="O10379" s="506">
        <v>0</v>
      </c>
    </row>
    <row r="10380" spans="1:15" x14ac:dyDescent="0.35">
      <c r="A10380" s="503" t="s">
        <v>1843</v>
      </c>
      <c r="B10380" s="504" t="s">
        <v>2803</v>
      </c>
      <c r="C10380" s="504" t="s">
        <v>1089</v>
      </c>
      <c r="D10380" s="504" t="s">
        <v>3392</v>
      </c>
      <c r="E10380" s="504" t="s">
        <v>3381</v>
      </c>
      <c r="F10380" s="504" t="s">
        <v>2</v>
      </c>
      <c r="G10380" s="504" t="s">
        <v>3368</v>
      </c>
      <c r="H10380" s="504" t="s">
        <v>12801</v>
      </c>
      <c r="I10380" s="504">
        <v>56</v>
      </c>
      <c r="J10380" s="504">
        <v>20</v>
      </c>
      <c r="K10380" s="504">
        <v>36</v>
      </c>
      <c r="L10380" s="504">
        <v>0</v>
      </c>
      <c r="M10380" s="504">
        <v>0</v>
      </c>
      <c r="N10380" s="504">
        <v>0</v>
      </c>
      <c r="O10380" s="505">
        <v>0</v>
      </c>
    </row>
    <row r="10381" spans="1:15" x14ac:dyDescent="0.35">
      <c r="A10381" s="500" t="s">
        <v>1709</v>
      </c>
      <c r="B10381" s="501">
        <v>4791</v>
      </c>
      <c r="C10381" s="501" t="s">
        <v>1089</v>
      </c>
      <c r="D10381" s="501" t="s">
        <v>3392</v>
      </c>
      <c r="E10381" s="501" t="s">
        <v>3381</v>
      </c>
      <c r="F10381" s="501" t="s">
        <v>418</v>
      </c>
      <c r="G10381" s="501" t="s">
        <v>3368</v>
      </c>
      <c r="H10381" s="501" t="s">
        <v>12802</v>
      </c>
      <c r="I10381" s="501">
        <v>274</v>
      </c>
      <c r="J10381" s="501">
        <v>0</v>
      </c>
      <c r="K10381" s="501">
        <v>0</v>
      </c>
      <c r="L10381" s="501">
        <v>274</v>
      </c>
      <c r="M10381" s="501">
        <v>0</v>
      </c>
      <c r="N10381" s="501">
        <v>0</v>
      </c>
      <c r="O10381" s="506">
        <v>0</v>
      </c>
    </row>
    <row r="10382" spans="1:15" x14ac:dyDescent="0.35">
      <c r="A10382" s="503" t="s">
        <v>1452</v>
      </c>
      <c r="B10382" s="504" t="s">
        <v>2646</v>
      </c>
      <c r="C10382" s="504" t="s">
        <v>1089</v>
      </c>
      <c r="D10382" s="504" t="s">
        <v>3392</v>
      </c>
      <c r="E10382" s="504" t="s">
        <v>3381</v>
      </c>
      <c r="F10382" s="504" t="s">
        <v>416</v>
      </c>
      <c r="G10382" s="504" t="s">
        <v>3368</v>
      </c>
      <c r="H10382" s="504" t="s">
        <v>12803</v>
      </c>
      <c r="I10382" s="504">
        <v>16</v>
      </c>
      <c r="J10382" s="504">
        <v>16</v>
      </c>
      <c r="K10382" s="504">
        <v>0</v>
      </c>
      <c r="L10382" s="504">
        <v>0</v>
      </c>
      <c r="M10382" s="504">
        <v>0</v>
      </c>
      <c r="N10382" s="504">
        <v>0</v>
      </c>
      <c r="O10382" s="505">
        <v>0</v>
      </c>
    </row>
    <row r="10383" spans="1:15" x14ac:dyDescent="0.35">
      <c r="A10383" s="500" t="s">
        <v>1301</v>
      </c>
      <c r="B10383" s="501" t="s">
        <v>2429</v>
      </c>
      <c r="C10383" s="501" t="s">
        <v>1089</v>
      </c>
      <c r="D10383" s="501" t="s">
        <v>3392</v>
      </c>
      <c r="E10383" s="501" t="s">
        <v>3381</v>
      </c>
      <c r="F10383" s="501" t="s">
        <v>415</v>
      </c>
      <c r="G10383" s="501" t="s">
        <v>3368</v>
      </c>
      <c r="H10383" s="501" t="s">
        <v>12804</v>
      </c>
      <c r="I10383" s="501">
        <v>14</v>
      </c>
      <c r="J10383" s="501">
        <v>0</v>
      </c>
      <c r="K10383" s="501">
        <v>0</v>
      </c>
      <c r="L10383" s="501">
        <v>0</v>
      </c>
      <c r="M10383" s="501">
        <v>14</v>
      </c>
      <c r="N10383" s="501">
        <v>0</v>
      </c>
      <c r="O10383" s="506">
        <v>0</v>
      </c>
    </row>
    <row r="10384" spans="1:15" x14ac:dyDescent="0.35">
      <c r="A10384" s="503" t="s">
        <v>2081</v>
      </c>
      <c r="B10384" s="504" t="s">
        <v>2441</v>
      </c>
      <c r="C10384" s="504" t="s">
        <v>1089</v>
      </c>
      <c r="D10384" s="504" t="s">
        <v>3392</v>
      </c>
      <c r="E10384" s="504" t="s">
        <v>3381</v>
      </c>
      <c r="F10384" s="504" t="s">
        <v>420</v>
      </c>
      <c r="G10384" s="504" t="s">
        <v>3368</v>
      </c>
      <c r="H10384" s="504" t="s">
        <v>12805</v>
      </c>
      <c r="I10384" s="504">
        <v>13</v>
      </c>
      <c r="J10384" s="504">
        <v>13</v>
      </c>
      <c r="K10384" s="504">
        <v>0</v>
      </c>
      <c r="L10384" s="504">
        <v>0</v>
      </c>
      <c r="M10384" s="504">
        <v>0</v>
      </c>
      <c r="N10384" s="504">
        <v>0</v>
      </c>
      <c r="O10384" s="505">
        <v>0</v>
      </c>
    </row>
    <row r="10385" spans="1:15" x14ac:dyDescent="0.35">
      <c r="A10385" s="500" t="s">
        <v>1453</v>
      </c>
      <c r="B10385" s="501" t="s">
        <v>2648</v>
      </c>
      <c r="C10385" s="501" t="s">
        <v>1089</v>
      </c>
      <c r="D10385" s="501" t="s">
        <v>3392</v>
      </c>
      <c r="E10385" s="501" t="s">
        <v>3381</v>
      </c>
      <c r="F10385" s="501" t="s">
        <v>416</v>
      </c>
      <c r="G10385" s="501" t="s">
        <v>3368</v>
      </c>
      <c r="H10385" s="501" t="s">
        <v>12806</v>
      </c>
      <c r="I10385" s="501">
        <v>111</v>
      </c>
      <c r="J10385" s="501">
        <v>37</v>
      </c>
      <c r="K10385" s="501">
        <v>0</v>
      </c>
      <c r="L10385" s="501">
        <v>0</v>
      </c>
      <c r="M10385" s="501">
        <v>74</v>
      </c>
      <c r="N10385" s="501">
        <v>0</v>
      </c>
      <c r="O10385" s="506">
        <v>0</v>
      </c>
    </row>
    <row r="10386" spans="1:15" x14ac:dyDescent="0.35">
      <c r="A10386" s="503" t="s">
        <v>14220</v>
      </c>
      <c r="B10386" s="504" t="s">
        <v>2498</v>
      </c>
      <c r="C10386" s="504" t="s">
        <v>1089</v>
      </c>
      <c r="D10386" s="504" t="s">
        <v>3392</v>
      </c>
      <c r="E10386" s="504" t="s">
        <v>3381</v>
      </c>
      <c r="F10386" s="504" t="s">
        <v>1048</v>
      </c>
      <c r="G10386" s="504" t="s">
        <v>3368</v>
      </c>
      <c r="H10386" s="504" t="s">
        <v>15382</v>
      </c>
      <c r="I10386" s="504">
        <v>52</v>
      </c>
      <c r="J10386" s="504">
        <v>0</v>
      </c>
      <c r="K10386" s="504">
        <v>0</v>
      </c>
      <c r="L10386" s="504">
        <v>0</v>
      </c>
      <c r="M10386" s="504">
        <v>52</v>
      </c>
      <c r="N10386" s="504">
        <v>0</v>
      </c>
      <c r="O10386" s="505">
        <v>0</v>
      </c>
    </row>
    <row r="10387" spans="1:15" x14ac:dyDescent="0.35">
      <c r="A10387" s="500" t="s">
        <v>2152</v>
      </c>
      <c r="B10387" s="501" t="s">
        <v>3032</v>
      </c>
      <c r="C10387" s="501" t="s">
        <v>1089</v>
      </c>
      <c r="D10387" s="501" t="s">
        <v>3392</v>
      </c>
      <c r="E10387" s="501" t="s">
        <v>3381</v>
      </c>
      <c r="F10387" s="501" t="s">
        <v>1048</v>
      </c>
      <c r="G10387" s="501" t="s">
        <v>3368</v>
      </c>
      <c r="H10387" s="501" t="s">
        <v>13989</v>
      </c>
      <c r="I10387" s="501">
        <v>30</v>
      </c>
      <c r="J10387" s="501">
        <v>30</v>
      </c>
      <c r="K10387" s="501">
        <v>0</v>
      </c>
      <c r="L10387" s="501">
        <v>0</v>
      </c>
      <c r="M10387" s="501">
        <v>0</v>
      </c>
      <c r="N10387" s="501">
        <v>0</v>
      </c>
      <c r="O10387" s="506">
        <v>0</v>
      </c>
    </row>
    <row r="10388" spans="1:15" x14ac:dyDescent="0.35">
      <c r="A10388" s="503" t="s">
        <v>2153</v>
      </c>
      <c r="B10388" s="504" t="s">
        <v>3095</v>
      </c>
      <c r="C10388" s="504" t="s">
        <v>1089</v>
      </c>
      <c r="D10388" s="504" t="s">
        <v>3392</v>
      </c>
      <c r="E10388" s="504" t="s">
        <v>3381</v>
      </c>
      <c r="F10388" s="504" t="s">
        <v>1048</v>
      </c>
      <c r="G10388" s="504" t="s">
        <v>3368</v>
      </c>
      <c r="H10388" s="504" t="s">
        <v>13990</v>
      </c>
      <c r="I10388" s="504">
        <v>234</v>
      </c>
      <c r="J10388" s="504">
        <v>222</v>
      </c>
      <c r="K10388" s="504">
        <v>0</v>
      </c>
      <c r="L10388" s="504">
        <v>12</v>
      </c>
      <c r="M10388" s="504">
        <v>0</v>
      </c>
      <c r="N10388" s="504">
        <v>0</v>
      </c>
      <c r="O10388" s="505">
        <v>0</v>
      </c>
    </row>
    <row r="10389" spans="1:15" x14ac:dyDescent="0.35">
      <c r="A10389" s="500" t="s">
        <v>2154</v>
      </c>
      <c r="B10389" s="501" t="s">
        <v>2855</v>
      </c>
      <c r="C10389" s="501" t="s">
        <v>1089</v>
      </c>
      <c r="D10389" s="501" t="s">
        <v>3392</v>
      </c>
      <c r="E10389" s="501" t="s">
        <v>3381</v>
      </c>
      <c r="F10389" s="501" t="s">
        <v>1048</v>
      </c>
      <c r="G10389" s="501" t="s">
        <v>3368</v>
      </c>
      <c r="H10389" s="501" t="s">
        <v>13991</v>
      </c>
      <c r="I10389" s="501">
        <v>55</v>
      </c>
      <c r="J10389" s="501">
        <v>0</v>
      </c>
      <c r="K10389" s="501">
        <v>0</v>
      </c>
      <c r="L10389" s="501">
        <v>0</v>
      </c>
      <c r="M10389" s="501">
        <v>55</v>
      </c>
      <c r="N10389" s="501">
        <v>0</v>
      </c>
      <c r="O10389" s="506">
        <v>0</v>
      </c>
    </row>
    <row r="10390" spans="1:15" x14ac:dyDescent="0.35">
      <c r="A10390" s="503" t="s">
        <v>1454</v>
      </c>
      <c r="B10390" s="504" t="s">
        <v>3019</v>
      </c>
      <c r="C10390" s="504" t="s">
        <v>1089</v>
      </c>
      <c r="D10390" s="504" t="s">
        <v>3392</v>
      </c>
      <c r="E10390" s="504" t="s">
        <v>3381</v>
      </c>
      <c r="F10390" s="504" t="s">
        <v>416</v>
      </c>
      <c r="G10390" s="504" t="s">
        <v>3368</v>
      </c>
      <c r="H10390" s="504" t="s">
        <v>12807</v>
      </c>
      <c r="I10390" s="504">
        <v>371</v>
      </c>
      <c r="J10390" s="504">
        <v>71</v>
      </c>
      <c r="K10390" s="504">
        <v>0</v>
      </c>
      <c r="L10390" s="504">
        <v>9</v>
      </c>
      <c r="M10390" s="504">
        <v>291</v>
      </c>
      <c r="N10390" s="504">
        <v>41</v>
      </c>
      <c r="O10390" s="505">
        <v>0</v>
      </c>
    </row>
    <row r="10391" spans="1:15" x14ac:dyDescent="0.35">
      <c r="A10391" s="500" t="s">
        <v>1454</v>
      </c>
      <c r="B10391" s="501" t="s">
        <v>3019</v>
      </c>
      <c r="C10391" s="501" t="s">
        <v>1089</v>
      </c>
      <c r="D10391" s="501" t="s">
        <v>3392</v>
      </c>
      <c r="E10391" s="501" t="s">
        <v>3381</v>
      </c>
      <c r="F10391" s="501" t="s">
        <v>2</v>
      </c>
      <c r="G10391" s="501" t="s">
        <v>3368</v>
      </c>
      <c r="H10391" s="501" t="s">
        <v>12808</v>
      </c>
      <c r="I10391" s="501">
        <v>15</v>
      </c>
      <c r="J10391" s="501">
        <v>15</v>
      </c>
      <c r="K10391" s="501">
        <v>0</v>
      </c>
      <c r="L10391" s="501">
        <v>0</v>
      </c>
      <c r="M10391" s="501">
        <v>0</v>
      </c>
      <c r="N10391" s="501">
        <v>0</v>
      </c>
      <c r="O10391" s="506">
        <v>0</v>
      </c>
    </row>
    <row r="10392" spans="1:15" x14ac:dyDescent="0.35">
      <c r="A10392" s="503" t="s">
        <v>1844</v>
      </c>
      <c r="B10392" s="504" t="s">
        <v>3093</v>
      </c>
      <c r="C10392" s="504" t="s">
        <v>1089</v>
      </c>
      <c r="D10392" s="504" t="s">
        <v>3392</v>
      </c>
      <c r="E10392" s="504" t="s">
        <v>3381</v>
      </c>
      <c r="F10392" s="504" t="s">
        <v>2</v>
      </c>
      <c r="G10392" s="504" t="s">
        <v>3368</v>
      </c>
      <c r="H10392" s="504" t="s">
        <v>12809</v>
      </c>
      <c r="I10392" s="504">
        <v>14</v>
      </c>
      <c r="J10392" s="504">
        <v>0</v>
      </c>
      <c r="K10392" s="504">
        <v>0</v>
      </c>
      <c r="L10392" s="504">
        <v>0</v>
      </c>
      <c r="M10392" s="504">
        <v>14</v>
      </c>
      <c r="N10392" s="504">
        <v>0</v>
      </c>
      <c r="O10392" s="505">
        <v>0</v>
      </c>
    </row>
    <row r="10393" spans="1:15" x14ac:dyDescent="0.35">
      <c r="A10393" s="500" t="s">
        <v>1187</v>
      </c>
      <c r="B10393" s="501" t="s">
        <v>2951</v>
      </c>
      <c r="C10393" s="501" t="s">
        <v>1094</v>
      </c>
      <c r="D10393" s="501" t="s">
        <v>3380</v>
      </c>
      <c r="E10393" s="501" t="s">
        <v>3381</v>
      </c>
      <c r="F10393" s="501" t="s">
        <v>419</v>
      </c>
      <c r="G10393" s="501" t="s">
        <v>3368</v>
      </c>
      <c r="H10393" s="501" t="s">
        <v>12813</v>
      </c>
      <c r="I10393" s="501">
        <v>1493</v>
      </c>
      <c r="J10393" s="501">
        <v>1282</v>
      </c>
      <c r="K10393" s="501">
        <v>0</v>
      </c>
      <c r="L10393" s="501">
        <v>0</v>
      </c>
      <c r="M10393" s="501">
        <v>0</v>
      </c>
      <c r="N10393" s="501">
        <v>0</v>
      </c>
      <c r="O10393" s="506">
        <v>211</v>
      </c>
    </row>
    <row r="10394" spans="1:15" x14ac:dyDescent="0.35">
      <c r="A10394" s="503" t="s">
        <v>1187</v>
      </c>
      <c r="B10394" s="504" t="s">
        <v>2951</v>
      </c>
      <c r="C10394" s="504" t="s">
        <v>1094</v>
      </c>
      <c r="D10394" s="504" t="s">
        <v>3380</v>
      </c>
      <c r="E10394" s="504" t="s">
        <v>3381</v>
      </c>
      <c r="F10394" s="504" t="s">
        <v>414</v>
      </c>
      <c r="G10394" s="504" t="s">
        <v>3368</v>
      </c>
      <c r="H10394" s="504" t="s">
        <v>12810</v>
      </c>
      <c r="I10394" s="504">
        <v>41</v>
      </c>
      <c r="J10394" s="504">
        <v>28</v>
      </c>
      <c r="K10394" s="504">
        <v>0</v>
      </c>
      <c r="L10394" s="504">
        <v>0</v>
      </c>
      <c r="M10394" s="504">
        <v>0</v>
      </c>
      <c r="N10394" s="504">
        <v>0</v>
      </c>
      <c r="O10394" s="505">
        <v>13</v>
      </c>
    </row>
    <row r="10395" spans="1:15" x14ac:dyDescent="0.35">
      <c r="A10395" s="500" t="s">
        <v>1187</v>
      </c>
      <c r="B10395" s="501" t="s">
        <v>2951</v>
      </c>
      <c r="C10395" s="501" t="s">
        <v>1094</v>
      </c>
      <c r="D10395" s="501" t="s">
        <v>3380</v>
      </c>
      <c r="E10395" s="501" t="s">
        <v>3381</v>
      </c>
      <c r="F10395" s="501" t="s">
        <v>415</v>
      </c>
      <c r="G10395" s="501" t="s">
        <v>3368</v>
      </c>
      <c r="H10395" s="501" t="s">
        <v>12814</v>
      </c>
      <c r="I10395" s="501">
        <v>1904</v>
      </c>
      <c r="J10395" s="501">
        <v>1550</v>
      </c>
      <c r="K10395" s="501">
        <v>0</v>
      </c>
      <c r="L10395" s="501">
        <v>0</v>
      </c>
      <c r="M10395" s="501">
        <v>0</v>
      </c>
      <c r="N10395" s="501">
        <v>0</v>
      </c>
      <c r="O10395" s="506">
        <v>354</v>
      </c>
    </row>
    <row r="10396" spans="1:15" x14ac:dyDescent="0.35">
      <c r="A10396" s="503" t="s">
        <v>1187</v>
      </c>
      <c r="B10396" s="504" t="s">
        <v>2951</v>
      </c>
      <c r="C10396" s="504" t="s">
        <v>1094</v>
      </c>
      <c r="D10396" s="504" t="s">
        <v>3380</v>
      </c>
      <c r="E10396" s="504" t="s">
        <v>3381</v>
      </c>
      <c r="F10396" s="504" t="s">
        <v>2</v>
      </c>
      <c r="G10396" s="504" t="s">
        <v>3368</v>
      </c>
      <c r="H10396" s="504" t="s">
        <v>12812</v>
      </c>
      <c r="I10396" s="504">
        <v>1340</v>
      </c>
      <c r="J10396" s="504">
        <v>1083</v>
      </c>
      <c r="K10396" s="504">
        <v>0</v>
      </c>
      <c r="L10396" s="504">
        <v>0</v>
      </c>
      <c r="M10396" s="504">
        <v>0</v>
      </c>
      <c r="N10396" s="504">
        <v>0</v>
      </c>
      <c r="O10396" s="505">
        <v>257</v>
      </c>
    </row>
    <row r="10397" spans="1:15" x14ac:dyDescent="0.35">
      <c r="A10397" s="500" t="s">
        <v>1187</v>
      </c>
      <c r="B10397" s="501" t="s">
        <v>2951</v>
      </c>
      <c r="C10397" s="501" t="s">
        <v>1094</v>
      </c>
      <c r="D10397" s="501" t="s">
        <v>3380</v>
      </c>
      <c r="E10397" s="501" t="s">
        <v>3381</v>
      </c>
      <c r="F10397" s="501" t="s">
        <v>416</v>
      </c>
      <c r="G10397" s="501" t="s">
        <v>3368</v>
      </c>
      <c r="H10397" s="501" t="s">
        <v>12811</v>
      </c>
      <c r="I10397" s="501">
        <v>264</v>
      </c>
      <c r="J10397" s="501">
        <v>262</v>
      </c>
      <c r="K10397" s="501">
        <v>0</v>
      </c>
      <c r="L10397" s="501">
        <v>0</v>
      </c>
      <c r="M10397" s="501">
        <v>0</v>
      </c>
      <c r="N10397" s="501">
        <v>0</v>
      </c>
      <c r="O10397" s="506">
        <v>2</v>
      </c>
    </row>
    <row r="10398" spans="1:15" x14ac:dyDescent="0.35">
      <c r="A10398" s="503" t="s">
        <v>11386</v>
      </c>
      <c r="B10398" s="504" t="s">
        <v>2663</v>
      </c>
      <c r="C10398" s="504" t="s">
        <v>1089</v>
      </c>
      <c r="D10398" s="504" t="s">
        <v>3392</v>
      </c>
      <c r="E10398" s="504" t="s">
        <v>3381</v>
      </c>
      <c r="F10398" s="504" t="s">
        <v>416</v>
      </c>
      <c r="G10398" s="504" t="s">
        <v>3368</v>
      </c>
      <c r="H10398" s="504" t="s">
        <v>12815</v>
      </c>
      <c r="I10398" s="504">
        <v>19</v>
      </c>
      <c r="J10398" s="504">
        <v>19</v>
      </c>
      <c r="K10398" s="504">
        <v>0</v>
      </c>
      <c r="L10398" s="504">
        <v>0</v>
      </c>
      <c r="M10398" s="504">
        <v>0</v>
      </c>
      <c r="N10398" s="504">
        <v>0</v>
      </c>
      <c r="O10398" s="505">
        <v>0</v>
      </c>
    </row>
    <row r="10399" spans="1:15" x14ac:dyDescent="0.35">
      <c r="A10399" s="500" t="s">
        <v>1845</v>
      </c>
      <c r="B10399" s="501" t="s">
        <v>3021</v>
      </c>
      <c r="C10399" s="501" t="s">
        <v>1089</v>
      </c>
      <c r="D10399" s="501" t="s">
        <v>3392</v>
      </c>
      <c r="E10399" s="501" t="s">
        <v>3381</v>
      </c>
      <c r="F10399" s="501" t="s">
        <v>2</v>
      </c>
      <c r="G10399" s="501" t="s">
        <v>3368</v>
      </c>
      <c r="H10399" s="501" t="s">
        <v>12816</v>
      </c>
      <c r="I10399" s="501">
        <v>100</v>
      </c>
      <c r="J10399" s="501">
        <v>100</v>
      </c>
      <c r="K10399" s="501">
        <v>0</v>
      </c>
      <c r="L10399" s="501">
        <v>0</v>
      </c>
      <c r="M10399" s="501">
        <v>0</v>
      </c>
      <c r="N10399" s="501">
        <v>0</v>
      </c>
      <c r="O10399" s="506">
        <v>0</v>
      </c>
    </row>
    <row r="10400" spans="1:15" x14ac:dyDescent="0.35">
      <c r="A10400" s="503" t="s">
        <v>1846</v>
      </c>
      <c r="B10400" s="504" t="s">
        <v>3311</v>
      </c>
      <c r="C10400" s="504" t="s">
        <v>1089</v>
      </c>
      <c r="D10400" s="504" t="s">
        <v>3392</v>
      </c>
      <c r="E10400" s="504" t="s">
        <v>3381</v>
      </c>
      <c r="F10400" s="504" t="s">
        <v>2</v>
      </c>
      <c r="G10400" s="504" t="s">
        <v>3368</v>
      </c>
      <c r="H10400" s="504" t="s">
        <v>12817</v>
      </c>
      <c r="I10400" s="504">
        <v>126</v>
      </c>
      <c r="J10400" s="504">
        <v>0</v>
      </c>
      <c r="K10400" s="504">
        <v>0</v>
      </c>
      <c r="L10400" s="504">
        <v>126</v>
      </c>
      <c r="M10400" s="504">
        <v>0</v>
      </c>
      <c r="N10400" s="504">
        <v>0</v>
      </c>
      <c r="O10400" s="505">
        <v>0</v>
      </c>
    </row>
    <row r="10401" spans="1:15" x14ac:dyDescent="0.35">
      <c r="A10401" s="500" t="s">
        <v>11371</v>
      </c>
      <c r="B10401" s="501">
        <v>4815</v>
      </c>
      <c r="C10401" s="501" t="s">
        <v>1089</v>
      </c>
      <c r="D10401" s="501" t="s">
        <v>3392</v>
      </c>
      <c r="E10401" s="501" t="s">
        <v>3381</v>
      </c>
      <c r="F10401" s="501" t="s">
        <v>415</v>
      </c>
      <c r="G10401" s="501" t="s">
        <v>3368</v>
      </c>
      <c r="H10401" s="501" t="s">
        <v>12818</v>
      </c>
      <c r="I10401" s="501">
        <v>75</v>
      </c>
      <c r="J10401" s="501">
        <v>0</v>
      </c>
      <c r="K10401" s="501">
        <v>19</v>
      </c>
      <c r="L10401" s="501">
        <v>56</v>
      </c>
      <c r="M10401" s="501">
        <v>0</v>
      </c>
      <c r="N10401" s="501">
        <v>0</v>
      </c>
      <c r="O10401" s="506">
        <v>0</v>
      </c>
    </row>
    <row r="10402" spans="1:15" x14ac:dyDescent="0.35">
      <c r="A10402" s="503" t="s">
        <v>2082</v>
      </c>
      <c r="B10402" s="504">
        <v>4707</v>
      </c>
      <c r="C10402" s="504" t="s">
        <v>1089</v>
      </c>
      <c r="D10402" s="504" t="s">
        <v>3392</v>
      </c>
      <c r="E10402" s="504" t="s">
        <v>3381</v>
      </c>
      <c r="F10402" s="504" t="s">
        <v>420</v>
      </c>
      <c r="G10402" s="504" t="s">
        <v>3368</v>
      </c>
      <c r="H10402" s="504" t="s">
        <v>12819</v>
      </c>
      <c r="I10402" s="504">
        <v>28</v>
      </c>
      <c r="J10402" s="504">
        <v>28</v>
      </c>
      <c r="K10402" s="504">
        <v>0</v>
      </c>
      <c r="L10402" s="504">
        <v>0</v>
      </c>
      <c r="M10402" s="504">
        <v>0</v>
      </c>
      <c r="N10402" s="504">
        <v>28</v>
      </c>
      <c r="O10402" s="505">
        <v>0</v>
      </c>
    </row>
    <row r="10403" spans="1:15" x14ac:dyDescent="0.35">
      <c r="A10403" s="500" t="s">
        <v>1455</v>
      </c>
      <c r="B10403" s="501" t="s">
        <v>2811</v>
      </c>
      <c r="C10403" s="501" t="s">
        <v>1089</v>
      </c>
      <c r="D10403" s="501" t="s">
        <v>3392</v>
      </c>
      <c r="E10403" s="501" t="s">
        <v>3381</v>
      </c>
      <c r="F10403" s="501" t="s">
        <v>416</v>
      </c>
      <c r="G10403" s="501" t="s">
        <v>3368</v>
      </c>
      <c r="H10403" s="501" t="s">
        <v>12820</v>
      </c>
      <c r="I10403" s="501">
        <v>76</v>
      </c>
      <c r="J10403" s="501">
        <v>76</v>
      </c>
      <c r="K10403" s="501">
        <v>0</v>
      </c>
      <c r="L10403" s="501">
        <v>0</v>
      </c>
      <c r="M10403" s="501">
        <v>0</v>
      </c>
      <c r="N10403" s="501">
        <v>0</v>
      </c>
      <c r="O10403" s="506">
        <v>0</v>
      </c>
    </row>
    <row r="10404" spans="1:15" x14ac:dyDescent="0.35">
      <c r="A10404" s="503" t="s">
        <v>2083</v>
      </c>
      <c r="B10404" s="504">
        <v>4783</v>
      </c>
      <c r="C10404" s="504" t="s">
        <v>1089</v>
      </c>
      <c r="D10404" s="504" t="s">
        <v>3392</v>
      </c>
      <c r="E10404" s="504" t="s">
        <v>3381</v>
      </c>
      <c r="F10404" s="504" t="s">
        <v>420</v>
      </c>
      <c r="G10404" s="504" t="s">
        <v>3368</v>
      </c>
      <c r="H10404" s="504" t="s">
        <v>12821</v>
      </c>
      <c r="I10404" s="504">
        <v>330</v>
      </c>
      <c r="J10404" s="504">
        <v>66</v>
      </c>
      <c r="K10404" s="504">
        <v>0</v>
      </c>
      <c r="L10404" s="504">
        <v>264</v>
      </c>
      <c r="M10404" s="504">
        <v>0</v>
      </c>
      <c r="N10404" s="504">
        <v>0</v>
      </c>
      <c r="O10404" s="505">
        <v>0</v>
      </c>
    </row>
    <row r="10405" spans="1:15" x14ac:dyDescent="0.35">
      <c r="A10405" s="500" t="s">
        <v>14223</v>
      </c>
      <c r="B10405" s="501">
        <v>4634</v>
      </c>
      <c r="C10405" s="501" t="s">
        <v>1089</v>
      </c>
      <c r="D10405" s="501" t="s">
        <v>3392</v>
      </c>
      <c r="E10405" s="501" t="s">
        <v>3381</v>
      </c>
      <c r="F10405" s="501" t="s">
        <v>2</v>
      </c>
      <c r="G10405" s="501" t="s">
        <v>3368</v>
      </c>
      <c r="H10405" s="501" t="s">
        <v>15383</v>
      </c>
      <c r="I10405" s="501">
        <v>633</v>
      </c>
      <c r="J10405" s="501">
        <v>543</v>
      </c>
      <c r="K10405" s="501">
        <v>0</v>
      </c>
      <c r="L10405" s="501">
        <v>36</v>
      </c>
      <c r="M10405" s="501">
        <v>54</v>
      </c>
      <c r="N10405" s="501">
        <v>0</v>
      </c>
      <c r="O10405" s="506">
        <v>0</v>
      </c>
    </row>
    <row r="10406" spans="1:15" x14ac:dyDescent="0.35">
      <c r="A10406" s="503" t="s">
        <v>2084</v>
      </c>
      <c r="B10406" s="504">
        <v>4658</v>
      </c>
      <c r="C10406" s="504" t="s">
        <v>1089</v>
      </c>
      <c r="D10406" s="504" t="s">
        <v>3392</v>
      </c>
      <c r="E10406" s="504" t="s">
        <v>3381</v>
      </c>
      <c r="F10406" s="504" t="s">
        <v>420</v>
      </c>
      <c r="G10406" s="504" t="s">
        <v>3368</v>
      </c>
      <c r="H10406" s="504" t="s">
        <v>12822</v>
      </c>
      <c r="I10406" s="504">
        <v>570</v>
      </c>
      <c r="J10406" s="504">
        <v>0</v>
      </c>
      <c r="K10406" s="504">
        <v>4</v>
      </c>
      <c r="L10406" s="504">
        <v>566</v>
      </c>
      <c r="M10406" s="504">
        <v>0</v>
      </c>
      <c r="N10406" s="504">
        <v>0</v>
      </c>
      <c r="O10406" s="505">
        <v>0</v>
      </c>
    </row>
    <row r="10407" spans="1:15" x14ac:dyDescent="0.35">
      <c r="A10407" s="500" t="s">
        <v>1456</v>
      </c>
      <c r="B10407" s="501" t="s">
        <v>2665</v>
      </c>
      <c r="C10407" s="501" t="s">
        <v>1089</v>
      </c>
      <c r="D10407" s="501" t="s">
        <v>3392</v>
      </c>
      <c r="E10407" s="501" t="s">
        <v>3381</v>
      </c>
      <c r="F10407" s="501" t="s">
        <v>416</v>
      </c>
      <c r="G10407" s="501" t="s">
        <v>3368</v>
      </c>
      <c r="H10407" s="501" t="s">
        <v>12823</v>
      </c>
      <c r="I10407" s="501">
        <v>58</v>
      </c>
      <c r="J10407" s="501">
        <v>58</v>
      </c>
      <c r="K10407" s="501">
        <v>0</v>
      </c>
      <c r="L10407" s="501">
        <v>0</v>
      </c>
      <c r="M10407" s="501">
        <v>0</v>
      </c>
      <c r="N10407" s="501">
        <v>0</v>
      </c>
      <c r="O10407" s="506">
        <v>0</v>
      </c>
    </row>
    <row r="10408" spans="1:15" x14ac:dyDescent="0.35">
      <c r="A10408" s="503" t="s">
        <v>1457</v>
      </c>
      <c r="B10408" s="504" t="s">
        <v>2440</v>
      </c>
      <c r="C10408" s="504" t="s">
        <v>1089</v>
      </c>
      <c r="D10408" s="504" t="s">
        <v>3392</v>
      </c>
      <c r="E10408" s="504" t="s">
        <v>3381</v>
      </c>
      <c r="F10408" s="504" t="s">
        <v>416</v>
      </c>
      <c r="G10408" s="504" t="s">
        <v>3368</v>
      </c>
      <c r="H10408" s="504" t="s">
        <v>12824</v>
      </c>
      <c r="I10408" s="504">
        <v>7</v>
      </c>
      <c r="J10408" s="504">
        <v>0</v>
      </c>
      <c r="K10408" s="504">
        <v>0</v>
      </c>
      <c r="L10408" s="504">
        <v>0</v>
      </c>
      <c r="M10408" s="504">
        <v>7</v>
      </c>
      <c r="N10408" s="504">
        <v>0</v>
      </c>
      <c r="O10408" s="505">
        <v>0</v>
      </c>
    </row>
    <row r="10409" spans="1:15" x14ac:dyDescent="0.35">
      <c r="A10409" s="500" t="s">
        <v>1630</v>
      </c>
      <c r="B10409" s="501">
        <v>4744</v>
      </c>
      <c r="C10409" s="501" t="s">
        <v>1089</v>
      </c>
      <c r="D10409" s="501" t="s">
        <v>3392</v>
      </c>
      <c r="E10409" s="501" t="s">
        <v>3381</v>
      </c>
      <c r="F10409" s="501" t="s">
        <v>417</v>
      </c>
      <c r="G10409" s="501" t="s">
        <v>3368</v>
      </c>
      <c r="H10409" s="501" t="s">
        <v>12825</v>
      </c>
      <c r="I10409" s="501">
        <v>240</v>
      </c>
      <c r="J10409" s="501">
        <v>240</v>
      </c>
      <c r="K10409" s="501">
        <v>0</v>
      </c>
      <c r="L10409" s="501">
        <v>0</v>
      </c>
      <c r="M10409" s="501">
        <v>0</v>
      </c>
      <c r="N10409" s="501">
        <v>0</v>
      </c>
      <c r="O10409" s="506">
        <v>0</v>
      </c>
    </row>
    <row r="10410" spans="1:15" x14ac:dyDescent="0.35">
      <c r="A10410" s="503" t="s">
        <v>1630</v>
      </c>
      <c r="B10410" s="504">
        <v>4744</v>
      </c>
      <c r="C10410" s="504" t="s">
        <v>1089</v>
      </c>
      <c r="D10410" s="504" t="s">
        <v>3392</v>
      </c>
      <c r="E10410" s="504" t="s">
        <v>3381</v>
      </c>
      <c r="F10410" s="504" t="s">
        <v>1048</v>
      </c>
      <c r="G10410" s="504" t="s">
        <v>3368</v>
      </c>
      <c r="H10410" s="504" t="s">
        <v>13992</v>
      </c>
      <c r="I10410" s="504">
        <v>22</v>
      </c>
      <c r="J10410" s="504">
        <v>22</v>
      </c>
      <c r="K10410" s="504">
        <v>0</v>
      </c>
      <c r="L10410" s="504">
        <v>0</v>
      </c>
      <c r="M10410" s="504">
        <v>0</v>
      </c>
      <c r="N10410" s="504">
        <v>0</v>
      </c>
      <c r="O10410" s="505">
        <v>0</v>
      </c>
    </row>
    <row r="10411" spans="1:15" x14ac:dyDescent="0.35">
      <c r="A10411" s="500" t="s">
        <v>1458</v>
      </c>
      <c r="B10411" s="501" t="s">
        <v>3058</v>
      </c>
      <c r="C10411" s="501" t="s">
        <v>1089</v>
      </c>
      <c r="D10411" s="501" t="s">
        <v>3392</v>
      </c>
      <c r="E10411" s="501" t="s">
        <v>3381</v>
      </c>
      <c r="F10411" s="501" t="s">
        <v>416</v>
      </c>
      <c r="G10411" s="501" t="s">
        <v>3368</v>
      </c>
      <c r="H10411" s="501" t="s">
        <v>12826</v>
      </c>
      <c r="I10411" s="501">
        <v>138</v>
      </c>
      <c r="J10411" s="501">
        <v>115</v>
      </c>
      <c r="K10411" s="501">
        <v>6</v>
      </c>
      <c r="L10411" s="501">
        <v>0</v>
      </c>
      <c r="M10411" s="501">
        <v>17</v>
      </c>
      <c r="N10411" s="501">
        <v>0</v>
      </c>
      <c r="O10411" s="506">
        <v>0</v>
      </c>
    </row>
    <row r="10412" spans="1:15" x14ac:dyDescent="0.35">
      <c r="A10412" s="503" t="s">
        <v>1848</v>
      </c>
      <c r="B10412" s="504">
        <v>4847</v>
      </c>
      <c r="C10412" s="504" t="s">
        <v>1089</v>
      </c>
      <c r="D10412" s="504" t="s">
        <v>3392</v>
      </c>
      <c r="E10412" s="504" t="s">
        <v>3381</v>
      </c>
      <c r="F10412" s="504" t="s">
        <v>2</v>
      </c>
      <c r="G10412" s="504" t="s">
        <v>3368</v>
      </c>
      <c r="H10412" s="504" t="s">
        <v>12827</v>
      </c>
      <c r="I10412" s="504">
        <v>31</v>
      </c>
      <c r="J10412" s="504">
        <v>0</v>
      </c>
      <c r="K10412" s="504">
        <v>0</v>
      </c>
      <c r="L10412" s="504">
        <v>31</v>
      </c>
      <c r="M10412" s="504">
        <v>0</v>
      </c>
      <c r="N10412" s="504">
        <v>0</v>
      </c>
      <c r="O10412" s="505">
        <v>0</v>
      </c>
    </row>
    <row r="10413" spans="1:15" x14ac:dyDescent="0.35">
      <c r="A10413" s="500" t="s">
        <v>1847</v>
      </c>
      <c r="B10413" s="501" t="s">
        <v>3086</v>
      </c>
      <c r="C10413" s="501" t="s">
        <v>1089</v>
      </c>
      <c r="D10413" s="501" t="s">
        <v>3392</v>
      </c>
      <c r="E10413" s="501" t="s">
        <v>3381</v>
      </c>
      <c r="F10413" s="501" t="s">
        <v>2</v>
      </c>
      <c r="G10413" s="501" t="s">
        <v>3368</v>
      </c>
      <c r="H10413" s="501" t="s">
        <v>12828</v>
      </c>
      <c r="I10413" s="501">
        <v>75</v>
      </c>
      <c r="J10413" s="501">
        <v>75</v>
      </c>
      <c r="K10413" s="501">
        <v>0</v>
      </c>
      <c r="L10413" s="501">
        <v>0</v>
      </c>
      <c r="M10413" s="501">
        <v>0</v>
      </c>
      <c r="N10413" s="501">
        <v>0</v>
      </c>
      <c r="O10413" s="506">
        <v>0</v>
      </c>
    </row>
    <row r="10414" spans="1:15" x14ac:dyDescent="0.35">
      <c r="A10414" s="503" t="s">
        <v>11372</v>
      </c>
      <c r="B10414" s="504" t="s">
        <v>3342</v>
      </c>
      <c r="C10414" s="504" t="s">
        <v>1089</v>
      </c>
      <c r="D10414" s="504" t="s">
        <v>3392</v>
      </c>
      <c r="E10414" s="504" t="s">
        <v>3381</v>
      </c>
      <c r="F10414" s="504" t="s">
        <v>415</v>
      </c>
      <c r="G10414" s="504" t="s">
        <v>3368</v>
      </c>
      <c r="H10414" s="504" t="s">
        <v>12829</v>
      </c>
      <c r="I10414" s="504">
        <v>57</v>
      </c>
      <c r="J10414" s="504">
        <v>0</v>
      </c>
      <c r="K10414" s="504">
        <v>0</v>
      </c>
      <c r="L10414" s="504">
        <v>57</v>
      </c>
      <c r="M10414" s="504">
        <v>0</v>
      </c>
      <c r="N10414" s="504">
        <v>0</v>
      </c>
      <c r="O10414" s="505">
        <v>0</v>
      </c>
    </row>
    <row r="10415" spans="1:15" x14ac:dyDescent="0.35">
      <c r="A10415" s="500" t="s">
        <v>1710</v>
      </c>
      <c r="B10415" s="501" t="s">
        <v>2707</v>
      </c>
      <c r="C10415" s="501" t="s">
        <v>1089</v>
      </c>
      <c r="D10415" s="501" t="s">
        <v>3392</v>
      </c>
      <c r="E10415" s="501" t="s">
        <v>3381</v>
      </c>
      <c r="F10415" s="501" t="s">
        <v>418</v>
      </c>
      <c r="G10415" s="501" t="s">
        <v>3368</v>
      </c>
      <c r="H10415" s="501" t="s">
        <v>12830</v>
      </c>
      <c r="I10415" s="501">
        <v>42</v>
      </c>
      <c r="J10415" s="501">
        <v>42</v>
      </c>
      <c r="K10415" s="501">
        <v>0</v>
      </c>
      <c r="L10415" s="501">
        <v>0</v>
      </c>
      <c r="M10415" s="501">
        <v>0</v>
      </c>
      <c r="N10415" s="501">
        <v>0</v>
      </c>
      <c r="O10415" s="506">
        <v>0</v>
      </c>
    </row>
    <row r="10416" spans="1:15" x14ac:dyDescent="0.35">
      <c r="A10416" s="503" t="s">
        <v>1849</v>
      </c>
      <c r="B10416" s="504" t="s">
        <v>3079</v>
      </c>
      <c r="C10416" s="504" t="s">
        <v>1089</v>
      </c>
      <c r="D10416" s="504" t="s">
        <v>3392</v>
      </c>
      <c r="E10416" s="504" t="s">
        <v>3381</v>
      </c>
      <c r="F10416" s="504" t="s">
        <v>2</v>
      </c>
      <c r="G10416" s="504" t="s">
        <v>3368</v>
      </c>
      <c r="H10416" s="504" t="s">
        <v>12831</v>
      </c>
      <c r="I10416" s="504">
        <v>49</v>
      </c>
      <c r="J10416" s="504">
        <v>0</v>
      </c>
      <c r="K10416" s="504">
        <v>0</v>
      </c>
      <c r="L10416" s="504">
        <v>0</v>
      </c>
      <c r="M10416" s="504">
        <v>49</v>
      </c>
      <c r="N10416" s="504">
        <v>13</v>
      </c>
      <c r="O10416" s="505">
        <v>0</v>
      </c>
    </row>
    <row r="10417" spans="1:15" x14ac:dyDescent="0.35">
      <c r="A10417" s="500" t="s">
        <v>1459</v>
      </c>
      <c r="B10417" s="501" t="s">
        <v>3063</v>
      </c>
      <c r="C10417" s="501" t="s">
        <v>1094</v>
      </c>
      <c r="D10417" s="501" t="s">
        <v>3380</v>
      </c>
      <c r="E10417" s="501" t="s">
        <v>3381</v>
      </c>
      <c r="F10417" s="501" t="s">
        <v>2</v>
      </c>
      <c r="G10417" s="501" t="s">
        <v>3368</v>
      </c>
      <c r="H10417" s="501" t="s">
        <v>12833</v>
      </c>
      <c r="I10417" s="501">
        <v>10</v>
      </c>
      <c r="J10417" s="501">
        <v>10</v>
      </c>
      <c r="K10417" s="501">
        <v>0</v>
      </c>
      <c r="L10417" s="501">
        <v>0</v>
      </c>
      <c r="M10417" s="501">
        <v>0</v>
      </c>
      <c r="N10417" s="501">
        <v>0</v>
      </c>
      <c r="O10417" s="506">
        <v>0</v>
      </c>
    </row>
    <row r="10418" spans="1:15" x14ac:dyDescent="0.35">
      <c r="A10418" s="503" t="s">
        <v>1459</v>
      </c>
      <c r="B10418" s="504" t="s">
        <v>3063</v>
      </c>
      <c r="C10418" s="504" t="s">
        <v>1094</v>
      </c>
      <c r="D10418" s="504" t="s">
        <v>3380</v>
      </c>
      <c r="E10418" s="504" t="s">
        <v>3381</v>
      </c>
      <c r="F10418" s="504" t="s">
        <v>416</v>
      </c>
      <c r="G10418" s="504" t="s">
        <v>3368</v>
      </c>
      <c r="H10418" s="504" t="s">
        <v>12832</v>
      </c>
      <c r="I10418" s="504">
        <v>4249</v>
      </c>
      <c r="J10418" s="504">
        <v>3633</v>
      </c>
      <c r="K10418" s="504">
        <v>28</v>
      </c>
      <c r="L10418" s="504">
        <v>265</v>
      </c>
      <c r="M10418" s="504">
        <v>0</v>
      </c>
      <c r="N10418" s="504">
        <v>0</v>
      </c>
      <c r="O10418" s="505">
        <v>323</v>
      </c>
    </row>
    <row r="10419" spans="1:15" x14ac:dyDescent="0.35">
      <c r="A10419" s="500" t="s">
        <v>1850</v>
      </c>
      <c r="B10419" s="501">
        <v>4796</v>
      </c>
      <c r="C10419" s="501" t="s">
        <v>1089</v>
      </c>
      <c r="D10419" s="501" t="s">
        <v>3392</v>
      </c>
      <c r="E10419" s="501" t="s">
        <v>3381</v>
      </c>
      <c r="F10419" s="501" t="s">
        <v>2</v>
      </c>
      <c r="G10419" s="501" t="s">
        <v>3368</v>
      </c>
      <c r="H10419" s="501" t="s">
        <v>12834</v>
      </c>
      <c r="I10419" s="501">
        <v>151</v>
      </c>
      <c r="J10419" s="501">
        <v>151</v>
      </c>
      <c r="K10419" s="501">
        <v>0</v>
      </c>
      <c r="L10419" s="501">
        <v>0</v>
      </c>
      <c r="M10419" s="501">
        <v>0</v>
      </c>
      <c r="N10419" s="501">
        <v>0</v>
      </c>
      <c r="O10419" s="506">
        <v>0</v>
      </c>
    </row>
    <row r="10420" spans="1:15" x14ac:dyDescent="0.35">
      <c r="A10420" s="503" t="s">
        <v>1105</v>
      </c>
      <c r="B10420" s="504">
        <v>4668</v>
      </c>
      <c r="C10420" s="504" t="s">
        <v>1094</v>
      </c>
      <c r="D10420" s="504" t="s">
        <v>3380</v>
      </c>
      <c r="E10420" s="504" t="s">
        <v>3381</v>
      </c>
      <c r="F10420" s="504" t="s">
        <v>415</v>
      </c>
      <c r="G10420" s="504" t="s">
        <v>3368</v>
      </c>
      <c r="H10420" s="504" t="s">
        <v>12839</v>
      </c>
      <c r="I10420" s="504">
        <v>646</v>
      </c>
      <c r="J10420" s="504">
        <v>0</v>
      </c>
      <c r="K10420" s="504">
        <v>0</v>
      </c>
      <c r="L10420" s="504">
        <v>0</v>
      </c>
      <c r="M10420" s="504">
        <v>0</v>
      </c>
      <c r="N10420" s="504">
        <v>0</v>
      </c>
      <c r="O10420" s="505">
        <v>646</v>
      </c>
    </row>
    <row r="10421" spans="1:15" x14ac:dyDescent="0.35">
      <c r="A10421" s="500" t="s">
        <v>1105</v>
      </c>
      <c r="B10421" s="501">
        <v>4668</v>
      </c>
      <c r="C10421" s="501" t="s">
        <v>1094</v>
      </c>
      <c r="D10421" s="501" t="s">
        <v>3380</v>
      </c>
      <c r="E10421" s="501" t="s">
        <v>3381</v>
      </c>
      <c r="F10421" s="501" t="s">
        <v>414</v>
      </c>
      <c r="G10421" s="501" t="s">
        <v>3368</v>
      </c>
      <c r="H10421" s="501" t="s">
        <v>12840</v>
      </c>
      <c r="I10421" s="501">
        <v>507</v>
      </c>
      <c r="J10421" s="501">
        <v>0</v>
      </c>
      <c r="K10421" s="501">
        <v>0</v>
      </c>
      <c r="L10421" s="501">
        <v>0</v>
      </c>
      <c r="M10421" s="501">
        <v>0</v>
      </c>
      <c r="N10421" s="501">
        <v>0</v>
      </c>
      <c r="O10421" s="506">
        <v>507</v>
      </c>
    </row>
    <row r="10422" spans="1:15" x14ac:dyDescent="0.35">
      <c r="A10422" s="503" t="s">
        <v>1105</v>
      </c>
      <c r="B10422" s="504">
        <v>4668</v>
      </c>
      <c r="C10422" s="504" t="s">
        <v>1094</v>
      </c>
      <c r="D10422" s="504" t="s">
        <v>3380</v>
      </c>
      <c r="E10422" s="504" t="s">
        <v>3381</v>
      </c>
      <c r="F10422" s="504" t="s">
        <v>1048</v>
      </c>
      <c r="G10422" s="504" t="s">
        <v>3368</v>
      </c>
      <c r="H10422" s="504" t="s">
        <v>13993</v>
      </c>
      <c r="I10422" s="504">
        <v>754</v>
      </c>
      <c r="J10422" s="504">
        <v>0</v>
      </c>
      <c r="K10422" s="504">
        <v>0</v>
      </c>
      <c r="L10422" s="504">
        <v>0</v>
      </c>
      <c r="M10422" s="504">
        <v>0</v>
      </c>
      <c r="N10422" s="504">
        <v>0</v>
      </c>
      <c r="O10422" s="505">
        <v>754</v>
      </c>
    </row>
    <row r="10423" spans="1:15" x14ac:dyDescent="0.35">
      <c r="A10423" s="500" t="s">
        <v>1105</v>
      </c>
      <c r="B10423" s="501">
        <v>4668</v>
      </c>
      <c r="C10423" s="501" t="s">
        <v>1094</v>
      </c>
      <c r="D10423" s="501" t="s">
        <v>3380</v>
      </c>
      <c r="E10423" s="501" t="s">
        <v>3381</v>
      </c>
      <c r="F10423" s="501" t="s">
        <v>419</v>
      </c>
      <c r="G10423" s="501" t="s">
        <v>3368</v>
      </c>
      <c r="H10423" s="501" t="s">
        <v>12842</v>
      </c>
      <c r="I10423" s="501">
        <v>1058</v>
      </c>
      <c r="J10423" s="501">
        <v>0</v>
      </c>
      <c r="K10423" s="501">
        <v>0</v>
      </c>
      <c r="L10423" s="501">
        <v>0</v>
      </c>
      <c r="M10423" s="501">
        <v>0</v>
      </c>
      <c r="N10423" s="501">
        <v>0</v>
      </c>
      <c r="O10423" s="506">
        <v>1058</v>
      </c>
    </row>
    <row r="10424" spans="1:15" x14ac:dyDescent="0.35">
      <c r="A10424" s="503" t="s">
        <v>1105</v>
      </c>
      <c r="B10424" s="504">
        <v>4668</v>
      </c>
      <c r="C10424" s="504" t="s">
        <v>1094</v>
      </c>
      <c r="D10424" s="504" t="s">
        <v>3380</v>
      </c>
      <c r="E10424" s="504" t="s">
        <v>3381</v>
      </c>
      <c r="F10424" s="504" t="s">
        <v>417</v>
      </c>
      <c r="G10424" s="504" t="s">
        <v>3368</v>
      </c>
      <c r="H10424" s="504" t="s">
        <v>12837</v>
      </c>
      <c r="I10424" s="504">
        <v>300</v>
      </c>
      <c r="J10424" s="504">
        <v>0</v>
      </c>
      <c r="K10424" s="504">
        <v>0</v>
      </c>
      <c r="L10424" s="504">
        <v>0</v>
      </c>
      <c r="M10424" s="504">
        <v>0</v>
      </c>
      <c r="N10424" s="504">
        <v>0</v>
      </c>
      <c r="O10424" s="505">
        <v>300</v>
      </c>
    </row>
    <row r="10425" spans="1:15" x14ac:dyDescent="0.35">
      <c r="A10425" s="500" t="s">
        <v>1105</v>
      </c>
      <c r="B10425" s="501">
        <v>4668</v>
      </c>
      <c r="C10425" s="501" t="s">
        <v>1094</v>
      </c>
      <c r="D10425" s="501" t="s">
        <v>3380</v>
      </c>
      <c r="E10425" s="501" t="s">
        <v>3381</v>
      </c>
      <c r="F10425" s="501" t="s">
        <v>418</v>
      </c>
      <c r="G10425" s="501" t="s">
        <v>3368</v>
      </c>
      <c r="H10425" s="501" t="s">
        <v>12838</v>
      </c>
      <c r="I10425" s="501">
        <v>1345</v>
      </c>
      <c r="J10425" s="501">
        <v>0</v>
      </c>
      <c r="K10425" s="501">
        <v>0</v>
      </c>
      <c r="L10425" s="501">
        <v>0</v>
      </c>
      <c r="M10425" s="501">
        <v>0</v>
      </c>
      <c r="N10425" s="501">
        <v>0</v>
      </c>
      <c r="O10425" s="506">
        <v>1345</v>
      </c>
    </row>
    <row r="10426" spans="1:15" x14ac:dyDescent="0.35">
      <c r="A10426" s="503" t="s">
        <v>1105</v>
      </c>
      <c r="B10426" s="504">
        <v>4668</v>
      </c>
      <c r="C10426" s="504" t="s">
        <v>1094</v>
      </c>
      <c r="D10426" s="504" t="s">
        <v>3380</v>
      </c>
      <c r="E10426" s="504" t="s">
        <v>3381</v>
      </c>
      <c r="F10426" s="504" t="s">
        <v>420</v>
      </c>
      <c r="G10426" s="504" t="s">
        <v>3368</v>
      </c>
      <c r="H10426" s="504" t="s">
        <v>12836</v>
      </c>
      <c r="I10426" s="504">
        <v>493</v>
      </c>
      <c r="J10426" s="504">
        <v>0</v>
      </c>
      <c r="K10426" s="504">
        <v>0</v>
      </c>
      <c r="L10426" s="504">
        <v>0</v>
      </c>
      <c r="M10426" s="504">
        <v>0</v>
      </c>
      <c r="N10426" s="504">
        <v>0</v>
      </c>
      <c r="O10426" s="505">
        <v>493</v>
      </c>
    </row>
    <row r="10427" spans="1:15" x14ac:dyDescent="0.35">
      <c r="A10427" s="500" t="s">
        <v>1105</v>
      </c>
      <c r="B10427" s="501">
        <v>4668</v>
      </c>
      <c r="C10427" s="501" t="s">
        <v>1094</v>
      </c>
      <c r="D10427" s="501" t="s">
        <v>3380</v>
      </c>
      <c r="E10427" s="501" t="s">
        <v>3381</v>
      </c>
      <c r="F10427" s="501" t="s">
        <v>2</v>
      </c>
      <c r="G10427" s="501" t="s">
        <v>3368</v>
      </c>
      <c r="H10427" s="501" t="s">
        <v>12841</v>
      </c>
      <c r="I10427" s="501">
        <v>788</v>
      </c>
      <c r="J10427" s="501">
        <v>0</v>
      </c>
      <c r="K10427" s="501">
        <v>0</v>
      </c>
      <c r="L10427" s="501">
        <v>0</v>
      </c>
      <c r="M10427" s="501">
        <v>0</v>
      </c>
      <c r="N10427" s="501">
        <v>0</v>
      </c>
      <c r="O10427" s="506">
        <v>788</v>
      </c>
    </row>
    <row r="10428" spans="1:15" x14ac:dyDescent="0.35">
      <c r="A10428" s="503" t="s">
        <v>1105</v>
      </c>
      <c r="B10428" s="504">
        <v>4668</v>
      </c>
      <c r="C10428" s="504" t="s">
        <v>1094</v>
      </c>
      <c r="D10428" s="504" t="s">
        <v>3380</v>
      </c>
      <c r="E10428" s="504" t="s">
        <v>3381</v>
      </c>
      <c r="F10428" s="504" t="s">
        <v>416</v>
      </c>
      <c r="G10428" s="504" t="s">
        <v>3368</v>
      </c>
      <c r="H10428" s="504" t="s">
        <v>12835</v>
      </c>
      <c r="I10428" s="504">
        <v>76</v>
      </c>
      <c r="J10428" s="504">
        <v>0</v>
      </c>
      <c r="K10428" s="504">
        <v>0</v>
      </c>
      <c r="L10428" s="504">
        <v>0</v>
      </c>
      <c r="M10428" s="504">
        <v>0</v>
      </c>
      <c r="N10428" s="504">
        <v>0</v>
      </c>
      <c r="O10428" s="505">
        <v>76</v>
      </c>
    </row>
    <row r="10429" spans="1:15" x14ac:dyDescent="0.35">
      <c r="A10429" s="500" t="s">
        <v>1461</v>
      </c>
      <c r="B10429" s="501" t="s">
        <v>2526</v>
      </c>
      <c r="C10429" s="501" t="s">
        <v>1089</v>
      </c>
      <c r="D10429" s="501" t="s">
        <v>3392</v>
      </c>
      <c r="E10429" s="501" t="s">
        <v>3381</v>
      </c>
      <c r="F10429" s="501" t="s">
        <v>416</v>
      </c>
      <c r="G10429" s="501" t="s">
        <v>3368</v>
      </c>
      <c r="H10429" s="501" t="s">
        <v>12843</v>
      </c>
      <c r="I10429" s="501">
        <v>8</v>
      </c>
      <c r="J10429" s="501">
        <v>0</v>
      </c>
      <c r="K10429" s="501">
        <v>0</v>
      </c>
      <c r="L10429" s="501">
        <v>0</v>
      </c>
      <c r="M10429" s="501">
        <v>8</v>
      </c>
      <c r="N10429" s="501">
        <v>0</v>
      </c>
      <c r="O10429" s="506">
        <v>0</v>
      </c>
    </row>
    <row r="10430" spans="1:15" x14ac:dyDescent="0.35">
      <c r="A10430" s="503" t="s">
        <v>2085</v>
      </c>
      <c r="B10430" s="504" t="s">
        <v>2925</v>
      </c>
      <c r="C10430" s="504" t="s">
        <v>1089</v>
      </c>
      <c r="D10430" s="504" t="s">
        <v>3392</v>
      </c>
      <c r="E10430" s="504" t="s">
        <v>3381</v>
      </c>
      <c r="F10430" s="504" t="s">
        <v>420</v>
      </c>
      <c r="G10430" s="504" t="s">
        <v>3368</v>
      </c>
      <c r="H10430" s="504" t="s">
        <v>12844</v>
      </c>
      <c r="I10430" s="504">
        <v>12</v>
      </c>
      <c r="J10430" s="504">
        <v>0</v>
      </c>
      <c r="K10430" s="504">
        <v>0</v>
      </c>
      <c r="L10430" s="504">
        <v>12</v>
      </c>
      <c r="M10430" s="504">
        <v>0</v>
      </c>
      <c r="N10430" s="504">
        <v>0</v>
      </c>
      <c r="O10430" s="505">
        <v>0</v>
      </c>
    </row>
    <row r="10431" spans="1:15" x14ac:dyDescent="0.35">
      <c r="A10431" s="500" t="s">
        <v>2155</v>
      </c>
      <c r="B10431" s="501">
        <v>4776</v>
      </c>
      <c r="C10431" s="501" t="s">
        <v>1089</v>
      </c>
      <c r="D10431" s="501" t="s">
        <v>3392</v>
      </c>
      <c r="E10431" s="501" t="s">
        <v>3381</v>
      </c>
      <c r="F10431" s="501" t="s">
        <v>1048</v>
      </c>
      <c r="G10431" s="501" t="s">
        <v>3368</v>
      </c>
      <c r="H10431" s="501" t="s">
        <v>13994</v>
      </c>
      <c r="I10431" s="501">
        <v>195</v>
      </c>
      <c r="J10431" s="501">
        <v>17</v>
      </c>
      <c r="K10431" s="501">
        <v>0</v>
      </c>
      <c r="L10431" s="501">
        <v>178</v>
      </c>
      <c r="M10431" s="501">
        <v>0</v>
      </c>
      <c r="N10431" s="501">
        <v>0</v>
      </c>
      <c r="O10431" s="506">
        <v>0</v>
      </c>
    </row>
    <row r="10432" spans="1:15" x14ac:dyDescent="0.35">
      <c r="A10432" s="503" t="s">
        <v>1302</v>
      </c>
      <c r="B10432" s="504" t="s">
        <v>3094</v>
      </c>
      <c r="C10432" s="504" t="s">
        <v>1094</v>
      </c>
      <c r="D10432" s="504" t="s">
        <v>3380</v>
      </c>
      <c r="E10432" s="504" t="s">
        <v>3381</v>
      </c>
      <c r="F10432" s="504" t="s">
        <v>415</v>
      </c>
      <c r="G10432" s="504" t="s">
        <v>3368</v>
      </c>
      <c r="H10432" s="504" t="s">
        <v>12845</v>
      </c>
      <c r="I10432" s="504">
        <v>5181</v>
      </c>
      <c r="J10432" s="504">
        <v>4001</v>
      </c>
      <c r="K10432" s="504">
        <v>0</v>
      </c>
      <c r="L10432" s="504">
        <v>308</v>
      </c>
      <c r="M10432" s="504">
        <v>81</v>
      </c>
      <c r="N10432" s="504">
        <v>0</v>
      </c>
      <c r="O10432" s="505">
        <v>791</v>
      </c>
    </row>
    <row r="10433" spans="1:15" x14ac:dyDescent="0.35">
      <c r="A10433" s="500" t="s">
        <v>1302</v>
      </c>
      <c r="B10433" s="501" t="s">
        <v>3094</v>
      </c>
      <c r="C10433" s="501" t="s">
        <v>1094</v>
      </c>
      <c r="D10433" s="501" t="s">
        <v>3380</v>
      </c>
      <c r="E10433" s="501" t="s">
        <v>3381</v>
      </c>
      <c r="F10433" s="501" t="s">
        <v>2</v>
      </c>
      <c r="G10433" s="501" t="s">
        <v>3368</v>
      </c>
      <c r="H10433" s="501" t="s">
        <v>12846</v>
      </c>
      <c r="I10433" s="501">
        <v>1579</v>
      </c>
      <c r="J10433" s="501">
        <v>1119</v>
      </c>
      <c r="K10433" s="501">
        <v>0</v>
      </c>
      <c r="L10433" s="501">
        <v>143</v>
      </c>
      <c r="M10433" s="501">
        <v>0</v>
      </c>
      <c r="N10433" s="501">
        <v>0</v>
      </c>
      <c r="O10433" s="506">
        <v>317</v>
      </c>
    </row>
    <row r="10434" spans="1:15" x14ac:dyDescent="0.35">
      <c r="A10434" s="503" t="s">
        <v>1462</v>
      </c>
      <c r="B10434" s="504" t="s">
        <v>3272</v>
      </c>
      <c r="C10434" s="504" t="s">
        <v>1089</v>
      </c>
      <c r="D10434" s="504" t="s">
        <v>3392</v>
      </c>
      <c r="E10434" s="504" t="s">
        <v>3381</v>
      </c>
      <c r="F10434" s="504" t="s">
        <v>416</v>
      </c>
      <c r="G10434" s="504" t="s">
        <v>3368</v>
      </c>
      <c r="H10434" s="504" t="s">
        <v>12847</v>
      </c>
      <c r="I10434" s="504">
        <v>66</v>
      </c>
      <c r="J10434" s="504">
        <v>1</v>
      </c>
      <c r="K10434" s="504">
        <v>0</v>
      </c>
      <c r="L10434" s="504">
        <v>0</v>
      </c>
      <c r="M10434" s="504">
        <v>65</v>
      </c>
      <c r="N10434" s="504">
        <v>0</v>
      </c>
      <c r="O10434" s="505">
        <v>0</v>
      </c>
    </row>
    <row r="10435" spans="1:15" x14ac:dyDescent="0.35">
      <c r="A10435" s="500" t="s">
        <v>1188</v>
      </c>
      <c r="B10435" s="501">
        <v>4760</v>
      </c>
      <c r="C10435" s="501" t="s">
        <v>1089</v>
      </c>
      <c r="D10435" s="501" t="s">
        <v>3392</v>
      </c>
      <c r="E10435" s="501" t="s">
        <v>3381</v>
      </c>
      <c r="F10435" s="501" t="s">
        <v>418</v>
      </c>
      <c r="G10435" s="501" t="s">
        <v>3368</v>
      </c>
      <c r="H10435" s="501" t="s">
        <v>12850</v>
      </c>
      <c r="I10435" s="501">
        <v>472</v>
      </c>
      <c r="J10435" s="501">
        <v>0</v>
      </c>
      <c r="K10435" s="501">
        <v>0</v>
      </c>
      <c r="L10435" s="501">
        <v>472</v>
      </c>
      <c r="M10435" s="501">
        <v>0</v>
      </c>
      <c r="N10435" s="501">
        <v>0</v>
      </c>
      <c r="O10435" s="506">
        <v>0</v>
      </c>
    </row>
    <row r="10436" spans="1:15" x14ac:dyDescent="0.35">
      <c r="A10436" s="503" t="s">
        <v>1188</v>
      </c>
      <c r="B10436" s="504">
        <v>4760</v>
      </c>
      <c r="C10436" s="504" t="s">
        <v>1089</v>
      </c>
      <c r="D10436" s="504" t="s">
        <v>3392</v>
      </c>
      <c r="E10436" s="504" t="s">
        <v>3381</v>
      </c>
      <c r="F10436" s="504" t="s">
        <v>1048</v>
      </c>
      <c r="G10436" s="504" t="s">
        <v>3368</v>
      </c>
      <c r="H10436" s="504" t="s">
        <v>13995</v>
      </c>
      <c r="I10436" s="504">
        <v>156</v>
      </c>
      <c r="J10436" s="504">
        <v>0</v>
      </c>
      <c r="K10436" s="504">
        <v>0</v>
      </c>
      <c r="L10436" s="504">
        <v>156</v>
      </c>
      <c r="M10436" s="504">
        <v>0</v>
      </c>
      <c r="N10436" s="504">
        <v>0</v>
      </c>
      <c r="O10436" s="505">
        <v>0</v>
      </c>
    </row>
    <row r="10437" spans="1:15" x14ac:dyDescent="0.35">
      <c r="A10437" s="500" t="s">
        <v>1188</v>
      </c>
      <c r="B10437" s="501">
        <v>4760</v>
      </c>
      <c r="C10437" s="501" t="s">
        <v>1089</v>
      </c>
      <c r="D10437" s="501" t="s">
        <v>3392</v>
      </c>
      <c r="E10437" s="501" t="s">
        <v>3381</v>
      </c>
      <c r="F10437" s="501" t="s">
        <v>420</v>
      </c>
      <c r="G10437" s="501" t="s">
        <v>3368</v>
      </c>
      <c r="H10437" s="501" t="s">
        <v>12854</v>
      </c>
      <c r="I10437" s="501">
        <v>28</v>
      </c>
      <c r="J10437" s="501">
        <v>0</v>
      </c>
      <c r="K10437" s="501">
        <v>0</v>
      </c>
      <c r="L10437" s="501">
        <v>28</v>
      </c>
      <c r="M10437" s="501">
        <v>0</v>
      </c>
      <c r="N10437" s="501">
        <v>0</v>
      </c>
      <c r="O10437" s="506">
        <v>0</v>
      </c>
    </row>
    <row r="10438" spans="1:15" x14ac:dyDescent="0.35">
      <c r="A10438" s="503" t="s">
        <v>1188</v>
      </c>
      <c r="B10438" s="504">
        <v>4760</v>
      </c>
      <c r="C10438" s="504" t="s">
        <v>1089</v>
      </c>
      <c r="D10438" s="504" t="s">
        <v>3392</v>
      </c>
      <c r="E10438" s="504" t="s">
        <v>3381</v>
      </c>
      <c r="F10438" s="504" t="s">
        <v>419</v>
      </c>
      <c r="G10438" s="504" t="s">
        <v>3368</v>
      </c>
      <c r="H10438" s="504" t="s">
        <v>12853</v>
      </c>
      <c r="I10438" s="504">
        <v>77</v>
      </c>
      <c r="J10438" s="504">
        <v>0</v>
      </c>
      <c r="K10438" s="504">
        <v>0</v>
      </c>
      <c r="L10438" s="504">
        <v>77</v>
      </c>
      <c r="M10438" s="504">
        <v>0</v>
      </c>
      <c r="N10438" s="504">
        <v>0</v>
      </c>
      <c r="O10438" s="505">
        <v>0</v>
      </c>
    </row>
    <row r="10439" spans="1:15" x14ac:dyDescent="0.35">
      <c r="A10439" s="500" t="s">
        <v>1188</v>
      </c>
      <c r="B10439" s="501">
        <v>4760</v>
      </c>
      <c r="C10439" s="501" t="s">
        <v>1089</v>
      </c>
      <c r="D10439" s="501" t="s">
        <v>3392</v>
      </c>
      <c r="E10439" s="501" t="s">
        <v>3381</v>
      </c>
      <c r="F10439" s="501" t="s">
        <v>2</v>
      </c>
      <c r="G10439" s="501" t="s">
        <v>3368</v>
      </c>
      <c r="H10439" s="501" t="s">
        <v>12849</v>
      </c>
      <c r="I10439" s="501">
        <v>85</v>
      </c>
      <c r="J10439" s="501">
        <v>0</v>
      </c>
      <c r="K10439" s="501">
        <v>0</v>
      </c>
      <c r="L10439" s="501">
        <v>85</v>
      </c>
      <c r="M10439" s="501">
        <v>0</v>
      </c>
      <c r="N10439" s="501">
        <v>0</v>
      </c>
      <c r="O10439" s="506">
        <v>0</v>
      </c>
    </row>
    <row r="10440" spans="1:15" x14ac:dyDescent="0.35">
      <c r="A10440" s="503" t="s">
        <v>1188</v>
      </c>
      <c r="B10440" s="504">
        <v>4760</v>
      </c>
      <c r="C10440" s="504" t="s">
        <v>1089</v>
      </c>
      <c r="D10440" s="504" t="s">
        <v>3392</v>
      </c>
      <c r="E10440" s="504" t="s">
        <v>3381</v>
      </c>
      <c r="F10440" s="504" t="s">
        <v>414</v>
      </c>
      <c r="G10440" s="504" t="s">
        <v>3368</v>
      </c>
      <c r="H10440" s="504" t="s">
        <v>12852</v>
      </c>
      <c r="I10440" s="504">
        <v>68</v>
      </c>
      <c r="J10440" s="504">
        <v>0</v>
      </c>
      <c r="K10440" s="504">
        <v>0</v>
      </c>
      <c r="L10440" s="504">
        <v>68</v>
      </c>
      <c r="M10440" s="504">
        <v>0</v>
      </c>
      <c r="N10440" s="504">
        <v>0</v>
      </c>
      <c r="O10440" s="505">
        <v>0</v>
      </c>
    </row>
    <row r="10441" spans="1:15" x14ac:dyDescent="0.35">
      <c r="A10441" s="500" t="s">
        <v>1188</v>
      </c>
      <c r="B10441" s="501">
        <v>4760</v>
      </c>
      <c r="C10441" s="501" t="s">
        <v>1089</v>
      </c>
      <c r="D10441" s="501" t="s">
        <v>3392</v>
      </c>
      <c r="E10441" s="501" t="s">
        <v>3381</v>
      </c>
      <c r="F10441" s="501" t="s">
        <v>416</v>
      </c>
      <c r="G10441" s="501" t="s">
        <v>3368</v>
      </c>
      <c r="H10441" s="501" t="s">
        <v>12851</v>
      </c>
      <c r="I10441" s="501">
        <v>25</v>
      </c>
      <c r="J10441" s="501">
        <v>0</v>
      </c>
      <c r="K10441" s="501">
        <v>0</v>
      </c>
      <c r="L10441" s="501">
        <v>25</v>
      </c>
      <c r="M10441" s="501">
        <v>0</v>
      </c>
      <c r="N10441" s="501">
        <v>0</v>
      </c>
      <c r="O10441" s="506">
        <v>0</v>
      </c>
    </row>
    <row r="10442" spans="1:15" x14ac:dyDescent="0.35">
      <c r="A10442" s="503" t="s">
        <v>1188</v>
      </c>
      <c r="B10442" s="504">
        <v>4760</v>
      </c>
      <c r="C10442" s="504" t="s">
        <v>1089</v>
      </c>
      <c r="D10442" s="504" t="s">
        <v>3392</v>
      </c>
      <c r="E10442" s="504" t="s">
        <v>3381</v>
      </c>
      <c r="F10442" s="504" t="s">
        <v>415</v>
      </c>
      <c r="G10442" s="504" t="s">
        <v>3368</v>
      </c>
      <c r="H10442" s="504" t="s">
        <v>12848</v>
      </c>
      <c r="I10442" s="504">
        <v>28</v>
      </c>
      <c r="J10442" s="504">
        <v>0</v>
      </c>
      <c r="K10442" s="504">
        <v>0</v>
      </c>
      <c r="L10442" s="504">
        <v>28</v>
      </c>
      <c r="M10442" s="504">
        <v>0</v>
      </c>
      <c r="N10442" s="504">
        <v>0</v>
      </c>
      <c r="O10442" s="505">
        <v>0</v>
      </c>
    </row>
    <row r="10443" spans="1:15" x14ac:dyDescent="0.35">
      <c r="A10443" s="500" t="s">
        <v>1463</v>
      </c>
      <c r="B10443" s="501" t="s">
        <v>3195</v>
      </c>
      <c r="C10443" s="501" t="s">
        <v>1094</v>
      </c>
      <c r="D10443" s="501" t="s">
        <v>3392</v>
      </c>
      <c r="E10443" s="501" t="s">
        <v>3381</v>
      </c>
      <c r="F10443" s="501" t="s">
        <v>416</v>
      </c>
      <c r="G10443" s="501" t="s">
        <v>3368</v>
      </c>
      <c r="H10443" s="501" t="s">
        <v>12855</v>
      </c>
      <c r="I10443" s="501">
        <v>713</v>
      </c>
      <c r="J10443" s="501">
        <v>713</v>
      </c>
      <c r="K10443" s="501">
        <v>0</v>
      </c>
      <c r="L10443" s="501">
        <v>0</v>
      </c>
      <c r="M10443" s="501">
        <v>0</v>
      </c>
      <c r="N10443" s="501">
        <v>5</v>
      </c>
      <c r="O10443" s="506">
        <v>0</v>
      </c>
    </row>
    <row r="10444" spans="1:15" x14ac:dyDescent="0.35">
      <c r="A10444" s="503" t="s">
        <v>1631</v>
      </c>
      <c r="B10444" s="504" t="s">
        <v>2755</v>
      </c>
      <c r="C10444" s="504" t="s">
        <v>1089</v>
      </c>
      <c r="D10444" s="504" t="s">
        <v>3392</v>
      </c>
      <c r="E10444" s="504" t="s">
        <v>3381</v>
      </c>
      <c r="F10444" s="504" t="s">
        <v>417</v>
      </c>
      <c r="G10444" s="504" t="s">
        <v>3368</v>
      </c>
      <c r="H10444" s="504" t="s">
        <v>12856</v>
      </c>
      <c r="I10444" s="504">
        <v>26</v>
      </c>
      <c r="J10444" s="504">
        <v>26</v>
      </c>
      <c r="K10444" s="504">
        <v>0</v>
      </c>
      <c r="L10444" s="504">
        <v>0</v>
      </c>
      <c r="M10444" s="504">
        <v>0</v>
      </c>
      <c r="N10444" s="504">
        <v>0</v>
      </c>
      <c r="O10444" s="505">
        <v>0</v>
      </c>
    </row>
    <row r="10445" spans="1:15" x14ac:dyDescent="0.35">
      <c r="A10445" s="500" t="s">
        <v>2086</v>
      </c>
      <c r="B10445" s="501" t="s">
        <v>2661</v>
      </c>
      <c r="C10445" s="501" t="s">
        <v>1089</v>
      </c>
      <c r="D10445" s="501" t="s">
        <v>3392</v>
      </c>
      <c r="E10445" s="501" t="s">
        <v>3381</v>
      </c>
      <c r="F10445" s="501" t="s">
        <v>420</v>
      </c>
      <c r="G10445" s="501" t="s">
        <v>3368</v>
      </c>
      <c r="H10445" s="501" t="s">
        <v>12857</v>
      </c>
      <c r="I10445" s="501">
        <v>58</v>
      </c>
      <c r="J10445" s="501">
        <v>58</v>
      </c>
      <c r="K10445" s="501">
        <v>0</v>
      </c>
      <c r="L10445" s="501">
        <v>0</v>
      </c>
      <c r="M10445" s="501">
        <v>0</v>
      </c>
      <c r="N10445" s="501">
        <v>0</v>
      </c>
      <c r="O10445" s="506">
        <v>0</v>
      </c>
    </row>
    <row r="10446" spans="1:15" x14ac:dyDescent="0.35">
      <c r="A10446" s="503" t="s">
        <v>1711</v>
      </c>
      <c r="B10446" s="504" t="s">
        <v>2738</v>
      </c>
      <c r="C10446" s="504" t="s">
        <v>1089</v>
      </c>
      <c r="D10446" s="504" t="s">
        <v>3392</v>
      </c>
      <c r="E10446" s="504" t="s">
        <v>3381</v>
      </c>
      <c r="F10446" s="504" t="s">
        <v>418</v>
      </c>
      <c r="G10446" s="504" t="s">
        <v>3368</v>
      </c>
      <c r="H10446" s="504" t="s">
        <v>12858</v>
      </c>
      <c r="I10446" s="504">
        <v>34</v>
      </c>
      <c r="J10446" s="504">
        <v>34</v>
      </c>
      <c r="K10446" s="504">
        <v>0</v>
      </c>
      <c r="L10446" s="504">
        <v>0</v>
      </c>
      <c r="M10446" s="504">
        <v>0</v>
      </c>
      <c r="N10446" s="504">
        <v>0</v>
      </c>
      <c r="O10446" s="505">
        <v>0</v>
      </c>
    </row>
    <row r="10447" spans="1:15" x14ac:dyDescent="0.35">
      <c r="A10447" s="500" t="s">
        <v>1851</v>
      </c>
      <c r="B10447" s="501" t="s">
        <v>3140</v>
      </c>
      <c r="C10447" s="501" t="s">
        <v>1089</v>
      </c>
      <c r="D10447" s="501" t="s">
        <v>3392</v>
      </c>
      <c r="E10447" s="501" t="s">
        <v>3381</v>
      </c>
      <c r="F10447" s="501" t="s">
        <v>2</v>
      </c>
      <c r="G10447" s="501" t="s">
        <v>3368</v>
      </c>
      <c r="H10447" s="501" t="s">
        <v>12859</v>
      </c>
      <c r="I10447" s="501">
        <v>29</v>
      </c>
      <c r="J10447" s="501">
        <v>29</v>
      </c>
      <c r="K10447" s="501">
        <v>0</v>
      </c>
      <c r="L10447" s="501">
        <v>0</v>
      </c>
      <c r="M10447" s="501">
        <v>0</v>
      </c>
      <c r="N10447" s="501">
        <v>0</v>
      </c>
      <c r="O10447" s="506">
        <v>0</v>
      </c>
    </row>
    <row r="10448" spans="1:15" x14ac:dyDescent="0.35">
      <c r="A10448" s="503" t="s">
        <v>1852</v>
      </c>
      <c r="B10448" s="504" t="s">
        <v>3085</v>
      </c>
      <c r="C10448" s="504" t="s">
        <v>1089</v>
      </c>
      <c r="D10448" s="504" t="s">
        <v>3392</v>
      </c>
      <c r="E10448" s="504" t="s">
        <v>3381</v>
      </c>
      <c r="F10448" s="504" t="s">
        <v>2</v>
      </c>
      <c r="G10448" s="504" t="s">
        <v>3368</v>
      </c>
      <c r="H10448" s="504" t="s">
        <v>12860</v>
      </c>
      <c r="I10448" s="504">
        <v>30</v>
      </c>
      <c r="J10448" s="504">
        <v>0</v>
      </c>
      <c r="K10448" s="504">
        <v>0</v>
      </c>
      <c r="L10448" s="504">
        <v>0</v>
      </c>
      <c r="M10448" s="504">
        <v>30</v>
      </c>
      <c r="N10448" s="504">
        <v>0</v>
      </c>
      <c r="O10448" s="505">
        <v>0</v>
      </c>
    </row>
    <row r="10449" spans="1:15" x14ac:dyDescent="0.35">
      <c r="A10449" s="500" t="s">
        <v>1712</v>
      </c>
      <c r="B10449" s="501" t="s">
        <v>2671</v>
      </c>
      <c r="C10449" s="501" t="s">
        <v>1089</v>
      </c>
      <c r="D10449" s="501" t="s">
        <v>3392</v>
      </c>
      <c r="E10449" s="501" t="s">
        <v>3381</v>
      </c>
      <c r="F10449" s="501" t="s">
        <v>418</v>
      </c>
      <c r="G10449" s="501" t="s">
        <v>3368</v>
      </c>
      <c r="H10449" s="501" t="s">
        <v>12861</v>
      </c>
      <c r="I10449" s="501">
        <v>119</v>
      </c>
      <c r="J10449" s="501">
        <v>119</v>
      </c>
      <c r="K10449" s="501">
        <v>0</v>
      </c>
      <c r="L10449" s="501">
        <v>0</v>
      </c>
      <c r="M10449" s="501">
        <v>0</v>
      </c>
      <c r="N10449" s="501">
        <v>0</v>
      </c>
      <c r="O10449" s="506">
        <v>0</v>
      </c>
    </row>
    <row r="10450" spans="1:15" x14ac:dyDescent="0.35">
      <c r="A10450" s="503" t="s">
        <v>1107</v>
      </c>
      <c r="B10450" s="504" t="s">
        <v>3109</v>
      </c>
      <c r="C10450" s="504" t="s">
        <v>1094</v>
      </c>
      <c r="D10450" s="504" t="s">
        <v>3380</v>
      </c>
      <c r="E10450" s="504" t="s">
        <v>3381</v>
      </c>
      <c r="F10450" s="504" t="s">
        <v>420</v>
      </c>
      <c r="G10450" s="504" t="s">
        <v>3368</v>
      </c>
      <c r="H10450" s="504" t="s">
        <v>12868</v>
      </c>
      <c r="I10450" s="504">
        <v>222</v>
      </c>
      <c r="J10450" s="504">
        <v>1</v>
      </c>
      <c r="K10450" s="504">
        <v>0</v>
      </c>
      <c r="L10450" s="504">
        <v>221</v>
      </c>
      <c r="M10450" s="504">
        <v>0</v>
      </c>
      <c r="N10450" s="504">
        <v>0</v>
      </c>
      <c r="O10450" s="505">
        <v>0</v>
      </c>
    </row>
    <row r="10451" spans="1:15" x14ac:dyDescent="0.35">
      <c r="A10451" s="500" t="s">
        <v>1107</v>
      </c>
      <c r="B10451" s="501" t="s">
        <v>3109</v>
      </c>
      <c r="C10451" s="501" t="s">
        <v>1094</v>
      </c>
      <c r="D10451" s="501" t="s">
        <v>3380</v>
      </c>
      <c r="E10451" s="501" t="s">
        <v>3381</v>
      </c>
      <c r="F10451" s="501" t="s">
        <v>414</v>
      </c>
      <c r="G10451" s="501" t="s">
        <v>3368</v>
      </c>
      <c r="H10451" s="501" t="s">
        <v>12869</v>
      </c>
      <c r="I10451" s="501">
        <v>1129</v>
      </c>
      <c r="J10451" s="501">
        <v>827</v>
      </c>
      <c r="K10451" s="501">
        <v>0</v>
      </c>
      <c r="L10451" s="501">
        <v>108</v>
      </c>
      <c r="M10451" s="501">
        <v>0</v>
      </c>
      <c r="N10451" s="501">
        <v>0</v>
      </c>
      <c r="O10451" s="506">
        <v>194</v>
      </c>
    </row>
    <row r="10452" spans="1:15" x14ac:dyDescent="0.35">
      <c r="A10452" s="503" t="s">
        <v>1107</v>
      </c>
      <c r="B10452" s="504" t="s">
        <v>3109</v>
      </c>
      <c r="C10452" s="504" t="s">
        <v>1094</v>
      </c>
      <c r="D10452" s="504" t="s">
        <v>3380</v>
      </c>
      <c r="E10452" s="504" t="s">
        <v>3381</v>
      </c>
      <c r="F10452" s="504" t="s">
        <v>1048</v>
      </c>
      <c r="G10452" s="504" t="s">
        <v>3368</v>
      </c>
      <c r="H10452" s="504" t="s">
        <v>13996</v>
      </c>
      <c r="I10452" s="504">
        <v>5078</v>
      </c>
      <c r="J10452" s="504">
        <v>4290</v>
      </c>
      <c r="K10452" s="504">
        <v>0</v>
      </c>
      <c r="L10452" s="504">
        <v>353</v>
      </c>
      <c r="M10452" s="504">
        <v>0</v>
      </c>
      <c r="N10452" s="504">
        <v>8</v>
      </c>
      <c r="O10452" s="505">
        <v>435</v>
      </c>
    </row>
    <row r="10453" spans="1:15" x14ac:dyDescent="0.35">
      <c r="A10453" s="500" t="s">
        <v>1107</v>
      </c>
      <c r="B10453" s="501" t="s">
        <v>3109</v>
      </c>
      <c r="C10453" s="501" t="s">
        <v>1094</v>
      </c>
      <c r="D10453" s="501" t="s">
        <v>3380</v>
      </c>
      <c r="E10453" s="501" t="s">
        <v>3381</v>
      </c>
      <c r="F10453" s="501" t="s">
        <v>2</v>
      </c>
      <c r="G10453" s="501" t="s">
        <v>3368</v>
      </c>
      <c r="H10453" s="501" t="s">
        <v>12866</v>
      </c>
      <c r="I10453" s="501">
        <v>6601</v>
      </c>
      <c r="J10453" s="501">
        <v>4584</v>
      </c>
      <c r="K10453" s="501">
        <v>0</v>
      </c>
      <c r="L10453" s="501">
        <v>985</v>
      </c>
      <c r="M10453" s="501">
        <v>170</v>
      </c>
      <c r="N10453" s="501">
        <v>5</v>
      </c>
      <c r="O10453" s="506">
        <v>862</v>
      </c>
    </row>
    <row r="10454" spans="1:15" x14ac:dyDescent="0.35">
      <c r="A10454" s="503" t="s">
        <v>1107</v>
      </c>
      <c r="B10454" s="504" t="s">
        <v>3109</v>
      </c>
      <c r="C10454" s="504" t="s">
        <v>1094</v>
      </c>
      <c r="D10454" s="504" t="s">
        <v>3380</v>
      </c>
      <c r="E10454" s="504" t="s">
        <v>3381</v>
      </c>
      <c r="F10454" s="504" t="s">
        <v>415</v>
      </c>
      <c r="G10454" s="504" t="s">
        <v>3368</v>
      </c>
      <c r="H10454" s="504" t="s">
        <v>12863</v>
      </c>
      <c r="I10454" s="504">
        <v>4880</v>
      </c>
      <c r="J10454" s="504">
        <v>3697</v>
      </c>
      <c r="K10454" s="504">
        <v>0</v>
      </c>
      <c r="L10454" s="504">
        <v>293</v>
      </c>
      <c r="M10454" s="504">
        <v>394</v>
      </c>
      <c r="N10454" s="504">
        <v>23</v>
      </c>
      <c r="O10454" s="505">
        <v>496</v>
      </c>
    </row>
    <row r="10455" spans="1:15" x14ac:dyDescent="0.35">
      <c r="A10455" s="500" t="s">
        <v>1107</v>
      </c>
      <c r="B10455" s="501" t="s">
        <v>3109</v>
      </c>
      <c r="C10455" s="501" t="s">
        <v>1094</v>
      </c>
      <c r="D10455" s="501" t="s">
        <v>3380</v>
      </c>
      <c r="E10455" s="501" t="s">
        <v>3381</v>
      </c>
      <c r="F10455" s="501" t="s">
        <v>419</v>
      </c>
      <c r="G10455" s="501" t="s">
        <v>3368</v>
      </c>
      <c r="H10455" s="501" t="s">
        <v>12864</v>
      </c>
      <c r="I10455" s="501">
        <v>627</v>
      </c>
      <c r="J10455" s="501">
        <v>15</v>
      </c>
      <c r="K10455" s="501">
        <v>0</v>
      </c>
      <c r="L10455" s="501">
        <v>585</v>
      </c>
      <c r="M10455" s="501">
        <v>0</v>
      </c>
      <c r="N10455" s="501">
        <v>23</v>
      </c>
      <c r="O10455" s="506">
        <v>27</v>
      </c>
    </row>
    <row r="10456" spans="1:15" x14ac:dyDescent="0.35">
      <c r="A10456" s="503" t="s">
        <v>1107</v>
      </c>
      <c r="B10456" s="504" t="s">
        <v>3109</v>
      </c>
      <c r="C10456" s="504" t="s">
        <v>1094</v>
      </c>
      <c r="D10456" s="504" t="s">
        <v>3380</v>
      </c>
      <c r="E10456" s="504" t="s">
        <v>3381</v>
      </c>
      <c r="F10456" s="504" t="s">
        <v>418</v>
      </c>
      <c r="G10456" s="504" t="s">
        <v>3368</v>
      </c>
      <c r="H10456" s="504" t="s">
        <v>12867</v>
      </c>
      <c r="I10456" s="504">
        <v>9782</v>
      </c>
      <c r="J10456" s="504">
        <v>9247</v>
      </c>
      <c r="K10456" s="504">
        <v>0</v>
      </c>
      <c r="L10456" s="504">
        <v>228</v>
      </c>
      <c r="M10456" s="504">
        <v>190</v>
      </c>
      <c r="N10456" s="504">
        <v>9</v>
      </c>
      <c r="O10456" s="505">
        <v>117</v>
      </c>
    </row>
    <row r="10457" spans="1:15" x14ac:dyDescent="0.35">
      <c r="A10457" s="500" t="s">
        <v>1107</v>
      </c>
      <c r="B10457" s="501" t="s">
        <v>3109</v>
      </c>
      <c r="C10457" s="501" t="s">
        <v>1094</v>
      </c>
      <c r="D10457" s="501" t="s">
        <v>3380</v>
      </c>
      <c r="E10457" s="501" t="s">
        <v>3381</v>
      </c>
      <c r="F10457" s="501" t="s">
        <v>416</v>
      </c>
      <c r="G10457" s="501" t="s">
        <v>3368</v>
      </c>
      <c r="H10457" s="501" t="s">
        <v>12865</v>
      </c>
      <c r="I10457" s="501">
        <v>3825</v>
      </c>
      <c r="J10457" s="501">
        <v>2999</v>
      </c>
      <c r="K10457" s="501">
        <v>0</v>
      </c>
      <c r="L10457" s="501">
        <v>269</v>
      </c>
      <c r="M10457" s="501">
        <v>114</v>
      </c>
      <c r="N10457" s="501">
        <v>2</v>
      </c>
      <c r="O10457" s="506">
        <v>443</v>
      </c>
    </row>
    <row r="10458" spans="1:15" x14ac:dyDescent="0.35">
      <c r="A10458" s="503" t="s">
        <v>1107</v>
      </c>
      <c r="B10458" s="504" t="s">
        <v>3109</v>
      </c>
      <c r="C10458" s="504" t="s">
        <v>1094</v>
      </c>
      <c r="D10458" s="504" t="s">
        <v>3380</v>
      </c>
      <c r="E10458" s="504" t="s">
        <v>3381</v>
      </c>
      <c r="F10458" s="504" t="s">
        <v>417</v>
      </c>
      <c r="G10458" s="504" t="s">
        <v>3368</v>
      </c>
      <c r="H10458" s="504" t="s">
        <v>12862</v>
      </c>
      <c r="I10458" s="504">
        <v>14538</v>
      </c>
      <c r="J10458" s="504">
        <v>12116</v>
      </c>
      <c r="K10458" s="504">
        <v>0</v>
      </c>
      <c r="L10458" s="504">
        <v>1184</v>
      </c>
      <c r="M10458" s="504">
        <v>791</v>
      </c>
      <c r="N10458" s="504">
        <v>27</v>
      </c>
      <c r="O10458" s="505">
        <v>447</v>
      </c>
    </row>
    <row r="10459" spans="1:15" x14ac:dyDescent="0.35">
      <c r="A10459" s="500" t="s">
        <v>1464</v>
      </c>
      <c r="B10459" s="501" t="s">
        <v>2801</v>
      </c>
      <c r="C10459" s="501" t="s">
        <v>1089</v>
      </c>
      <c r="D10459" s="501" t="s">
        <v>3392</v>
      </c>
      <c r="E10459" s="501" t="s">
        <v>3381</v>
      </c>
      <c r="F10459" s="501" t="s">
        <v>416</v>
      </c>
      <c r="G10459" s="501" t="s">
        <v>3368</v>
      </c>
      <c r="H10459" s="501" t="s">
        <v>12870</v>
      </c>
      <c r="I10459" s="501">
        <v>40</v>
      </c>
      <c r="J10459" s="501">
        <v>25</v>
      </c>
      <c r="K10459" s="501">
        <v>0</v>
      </c>
      <c r="L10459" s="501">
        <v>15</v>
      </c>
      <c r="M10459" s="501">
        <v>0</v>
      </c>
      <c r="N10459" s="501">
        <v>0</v>
      </c>
      <c r="O10459" s="506">
        <v>0</v>
      </c>
    </row>
    <row r="10460" spans="1:15" x14ac:dyDescent="0.35">
      <c r="A10460" s="503" t="s">
        <v>1303</v>
      </c>
      <c r="B10460" s="504">
        <v>4742</v>
      </c>
      <c r="C10460" s="504" t="s">
        <v>1089</v>
      </c>
      <c r="D10460" s="504" t="s">
        <v>3392</v>
      </c>
      <c r="E10460" s="504" t="s">
        <v>3381</v>
      </c>
      <c r="F10460" s="504" t="s">
        <v>415</v>
      </c>
      <c r="G10460" s="504" t="s">
        <v>3368</v>
      </c>
      <c r="H10460" s="504" t="s">
        <v>12871</v>
      </c>
      <c r="I10460" s="504">
        <v>235</v>
      </c>
      <c r="J10460" s="504">
        <v>0</v>
      </c>
      <c r="K10460" s="504">
        <v>0</v>
      </c>
      <c r="L10460" s="504">
        <v>235</v>
      </c>
      <c r="M10460" s="504">
        <v>0</v>
      </c>
      <c r="N10460" s="504">
        <v>0</v>
      </c>
      <c r="O10460" s="505">
        <v>0</v>
      </c>
    </row>
    <row r="10461" spans="1:15" x14ac:dyDescent="0.35">
      <c r="A10461" s="500" t="s">
        <v>14226</v>
      </c>
      <c r="B10461" s="501" t="s">
        <v>3329</v>
      </c>
      <c r="C10461" s="501" t="s">
        <v>1094</v>
      </c>
      <c r="D10461" s="501" t="s">
        <v>3380</v>
      </c>
      <c r="E10461" s="501" t="s">
        <v>3381</v>
      </c>
      <c r="F10461" s="501" t="s">
        <v>420</v>
      </c>
      <c r="G10461" s="501" t="s">
        <v>3368</v>
      </c>
      <c r="H10461" s="501" t="s">
        <v>15384</v>
      </c>
      <c r="I10461" s="501">
        <v>18821</v>
      </c>
      <c r="J10461" s="501">
        <v>15775</v>
      </c>
      <c r="K10461" s="501">
        <v>0</v>
      </c>
      <c r="L10461" s="501">
        <v>299</v>
      </c>
      <c r="M10461" s="501">
        <v>1950</v>
      </c>
      <c r="N10461" s="501">
        <v>0</v>
      </c>
      <c r="O10461" s="506">
        <v>797</v>
      </c>
    </row>
    <row r="10462" spans="1:15" x14ac:dyDescent="0.35">
      <c r="A10462" s="503" t="s">
        <v>1713</v>
      </c>
      <c r="B10462" s="504" t="s">
        <v>2809</v>
      </c>
      <c r="C10462" s="504" t="s">
        <v>1089</v>
      </c>
      <c r="D10462" s="504" t="s">
        <v>3392</v>
      </c>
      <c r="E10462" s="504" t="s">
        <v>3381</v>
      </c>
      <c r="F10462" s="504" t="s">
        <v>418</v>
      </c>
      <c r="G10462" s="504" t="s">
        <v>3368</v>
      </c>
      <c r="H10462" s="504" t="s">
        <v>12872</v>
      </c>
      <c r="I10462" s="504">
        <v>75</v>
      </c>
      <c r="J10462" s="504">
        <v>75</v>
      </c>
      <c r="K10462" s="504">
        <v>0</v>
      </c>
      <c r="L10462" s="504">
        <v>0</v>
      </c>
      <c r="M10462" s="504">
        <v>0</v>
      </c>
      <c r="N10462" s="504">
        <v>0</v>
      </c>
      <c r="O10462" s="505">
        <v>0</v>
      </c>
    </row>
    <row r="10463" spans="1:15" x14ac:dyDescent="0.35">
      <c r="A10463" s="500" t="s">
        <v>1304</v>
      </c>
      <c r="B10463" s="501">
        <v>4785</v>
      </c>
      <c r="C10463" s="501" t="s">
        <v>1089</v>
      </c>
      <c r="D10463" s="501" t="s">
        <v>3392</v>
      </c>
      <c r="E10463" s="501" t="s">
        <v>3381</v>
      </c>
      <c r="F10463" s="501" t="s">
        <v>415</v>
      </c>
      <c r="G10463" s="501" t="s">
        <v>3368</v>
      </c>
      <c r="H10463" s="501" t="s">
        <v>12873</v>
      </c>
      <c r="I10463" s="501">
        <v>22</v>
      </c>
      <c r="J10463" s="501">
        <v>22</v>
      </c>
      <c r="K10463" s="501">
        <v>0</v>
      </c>
      <c r="L10463" s="501">
        <v>0</v>
      </c>
      <c r="M10463" s="501">
        <v>0</v>
      </c>
      <c r="N10463" s="501">
        <v>0</v>
      </c>
      <c r="O10463" s="506">
        <v>0</v>
      </c>
    </row>
    <row r="10464" spans="1:15" x14ac:dyDescent="0.35">
      <c r="A10464" s="503" t="s">
        <v>1465</v>
      </c>
      <c r="B10464" s="504" t="s">
        <v>3286</v>
      </c>
      <c r="C10464" s="504" t="s">
        <v>1089</v>
      </c>
      <c r="D10464" s="504" t="s">
        <v>3392</v>
      </c>
      <c r="E10464" s="504" t="s">
        <v>3381</v>
      </c>
      <c r="F10464" s="504" t="s">
        <v>416</v>
      </c>
      <c r="G10464" s="504" t="s">
        <v>3368</v>
      </c>
      <c r="H10464" s="504" t="s">
        <v>12874</v>
      </c>
      <c r="I10464" s="504">
        <v>70</v>
      </c>
      <c r="J10464" s="504">
        <v>0</v>
      </c>
      <c r="K10464" s="504">
        <v>0</v>
      </c>
      <c r="L10464" s="504">
        <v>0</v>
      </c>
      <c r="M10464" s="504">
        <v>70</v>
      </c>
      <c r="N10464" s="504">
        <v>0</v>
      </c>
      <c r="O10464" s="505">
        <v>0</v>
      </c>
    </row>
    <row r="10465" spans="1:15" x14ac:dyDescent="0.35">
      <c r="A10465" s="500" t="s">
        <v>1714</v>
      </c>
      <c r="B10465" s="501" t="s">
        <v>3287</v>
      </c>
      <c r="C10465" s="501" t="s">
        <v>1094</v>
      </c>
      <c r="D10465" s="501" t="s">
        <v>3380</v>
      </c>
      <c r="E10465" s="501" t="s">
        <v>3381</v>
      </c>
      <c r="F10465" s="501" t="s">
        <v>420</v>
      </c>
      <c r="G10465" s="501" t="s">
        <v>3368</v>
      </c>
      <c r="H10465" s="501" t="s">
        <v>12875</v>
      </c>
      <c r="I10465" s="501">
        <v>2853</v>
      </c>
      <c r="J10465" s="501">
        <v>2105</v>
      </c>
      <c r="K10465" s="501">
        <v>4</v>
      </c>
      <c r="L10465" s="501">
        <v>141</v>
      </c>
      <c r="M10465" s="501">
        <v>456</v>
      </c>
      <c r="N10465" s="501">
        <v>0</v>
      </c>
      <c r="O10465" s="506">
        <v>147</v>
      </c>
    </row>
    <row r="10466" spans="1:15" x14ac:dyDescent="0.35">
      <c r="A10466" s="503" t="s">
        <v>1714</v>
      </c>
      <c r="B10466" s="504" t="s">
        <v>3287</v>
      </c>
      <c r="C10466" s="504" t="s">
        <v>1094</v>
      </c>
      <c r="D10466" s="504" t="s">
        <v>3380</v>
      </c>
      <c r="E10466" s="504" t="s">
        <v>3381</v>
      </c>
      <c r="F10466" s="504" t="s">
        <v>418</v>
      </c>
      <c r="G10466" s="504" t="s">
        <v>3368</v>
      </c>
      <c r="H10466" s="504" t="s">
        <v>12876</v>
      </c>
      <c r="I10466" s="504">
        <v>104</v>
      </c>
      <c r="J10466" s="504">
        <v>54</v>
      </c>
      <c r="K10466" s="504">
        <v>0</v>
      </c>
      <c r="L10466" s="504">
        <v>0</v>
      </c>
      <c r="M10466" s="504">
        <v>0</v>
      </c>
      <c r="N10466" s="504">
        <v>0</v>
      </c>
      <c r="O10466" s="505">
        <v>50</v>
      </c>
    </row>
    <row r="10467" spans="1:15" x14ac:dyDescent="0.35">
      <c r="A10467" s="500" t="s">
        <v>1466</v>
      </c>
      <c r="B10467" s="501" t="s">
        <v>2546</v>
      </c>
      <c r="C10467" s="501" t="s">
        <v>1089</v>
      </c>
      <c r="D10467" s="501" t="s">
        <v>3392</v>
      </c>
      <c r="E10467" s="501" t="s">
        <v>3381</v>
      </c>
      <c r="F10467" s="501" t="s">
        <v>416</v>
      </c>
      <c r="G10467" s="501" t="s">
        <v>3368</v>
      </c>
      <c r="H10467" s="501" t="s">
        <v>12877</v>
      </c>
      <c r="I10467" s="501">
        <v>20</v>
      </c>
      <c r="J10467" s="501">
        <v>0</v>
      </c>
      <c r="K10467" s="501">
        <v>0</v>
      </c>
      <c r="L10467" s="501">
        <v>0</v>
      </c>
      <c r="M10467" s="501">
        <v>20</v>
      </c>
      <c r="N10467" s="501">
        <v>0</v>
      </c>
      <c r="O10467" s="506">
        <v>0</v>
      </c>
    </row>
    <row r="10468" spans="1:15" x14ac:dyDescent="0.35">
      <c r="A10468" s="503" t="s">
        <v>1467</v>
      </c>
      <c r="B10468" s="504" t="s">
        <v>3006</v>
      </c>
      <c r="C10468" s="504" t="s">
        <v>1089</v>
      </c>
      <c r="D10468" s="504" t="s">
        <v>3392</v>
      </c>
      <c r="E10468" s="504" t="s">
        <v>3381</v>
      </c>
      <c r="F10468" s="504" t="s">
        <v>416</v>
      </c>
      <c r="G10468" s="504" t="s">
        <v>3368</v>
      </c>
      <c r="H10468" s="504" t="s">
        <v>12878</v>
      </c>
      <c r="I10468" s="504">
        <v>393</v>
      </c>
      <c r="J10468" s="504">
        <v>225</v>
      </c>
      <c r="K10468" s="504">
        <v>0</v>
      </c>
      <c r="L10468" s="504">
        <v>168</v>
      </c>
      <c r="M10468" s="504">
        <v>0</v>
      </c>
      <c r="N10468" s="504">
        <v>0</v>
      </c>
      <c r="O10468" s="505">
        <v>0</v>
      </c>
    </row>
    <row r="10469" spans="1:15" x14ac:dyDescent="0.35">
      <c r="A10469" s="500" t="s">
        <v>1632</v>
      </c>
      <c r="B10469" s="501" t="s">
        <v>2481</v>
      </c>
      <c r="C10469" s="501" t="s">
        <v>1089</v>
      </c>
      <c r="D10469" s="501" t="s">
        <v>3392</v>
      </c>
      <c r="E10469" s="501" t="s">
        <v>3381</v>
      </c>
      <c r="F10469" s="501" t="s">
        <v>417</v>
      </c>
      <c r="G10469" s="501" t="s">
        <v>3368</v>
      </c>
      <c r="H10469" s="501" t="s">
        <v>12879</v>
      </c>
      <c r="I10469" s="501">
        <v>59</v>
      </c>
      <c r="J10469" s="501">
        <v>59</v>
      </c>
      <c r="K10469" s="501">
        <v>0</v>
      </c>
      <c r="L10469" s="501">
        <v>0</v>
      </c>
      <c r="M10469" s="501">
        <v>0</v>
      </c>
      <c r="N10469" s="501">
        <v>0</v>
      </c>
      <c r="O10469" s="506">
        <v>0</v>
      </c>
    </row>
    <row r="10470" spans="1:15" x14ac:dyDescent="0.35">
      <c r="A10470" s="503" t="s">
        <v>1468</v>
      </c>
      <c r="B10470" s="504" t="s">
        <v>2717</v>
      </c>
      <c r="C10470" s="504" t="s">
        <v>1089</v>
      </c>
      <c r="D10470" s="504" t="s">
        <v>3392</v>
      </c>
      <c r="E10470" s="504" t="s">
        <v>3381</v>
      </c>
      <c r="F10470" s="504" t="s">
        <v>416</v>
      </c>
      <c r="G10470" s="504" t="s">
        <v>3368</v>
      </c>
      <c r="H10470" s="504" t="s">
        <v>12880</v>
      </c>
      <c r="I10470" s="504">
        <v>15</v>
      </c>
      <c r="J10470" s="504">
        <v>15</v>
      </c>
      <c r="K10470" s="504">
        <v>0</v>
      </c>
      <c r="L10470" s="504">
        <v>0</v>
      </c>
      <c r="M10470" s="504">
        <v>0</v>
      </c>
      <c r="N10470" s="504">
        <v>0</v>
      </c>
      <c r="O10470" s="505">
        <v>0</v>
      </c>
    </row>
    <row r="10471" spans="1:15" x14ac:dyDescent="0.35">
      <c r="A10471" s="500" t="s">
        <v>1109</v>
      </c>
      <c r="B10471" s="501" t="s">
        <v>2959</v>
      </c>
      <c r="C10471" s="501" t="s">
        <v>1094</v>
      </c>
      <c r="D10471" s="501" t="s">
        <v>3380</v>
      </c>
      <c r="E10471" s="501" t="s">
        <v>3381</v>
      </c>
      <c r="F10471" s="501" t="s">
        <v>1048</v>
      </c>
      <c r="G10471" s="501" t="s">
        <v>3368</v>
      </c>
      <c r="H10471" s="501" t="s">
        <v>13997</v>
      </c>
      <c r="I10471" s="501">
        <v>2437</v>
      </c>
      <c r="J10471" s="501">
        <v>0</v>
      </c>
      <c r="K10471" s="501">
        <v>0</v>
      </c>
      <c r="L10471" s="501">
        <v>2</v>
      </c>
      <c r="M10471" s="501">
        <v>2102</v>
      </c>
      <c r="N10471" s="501">
        <v>0</v>
      </c>
      <c r="O10471" s="506">
        <v>333</v>
      </c>
    </row>
    <row r="10472" spans="1:15" x14ac:dyDescent="0.35">
      <c r="A10472" s="503" t="s">
        <v>1109</v>
      </c>
      <c r="B10472" s="504" t="s">
        <v>2959</v>
      </c>
      <c r="C10472" s="504" t="s">
        <v>1094</v>
      </c>
      <c r="D10472" s="504" t="s">
        <v>3380</v>
      </c>
      <c r="E10472" s="504" t="s">
        <v>3381</v>
      </c>
      <c r="F10472" s="504" t="s">
        <v>414</v>
      </c>
      <c r="G10472" s="504" t="s">
        <v>3368</v>
      </c>
      <c r="H10472" s="504" t="s">
        <v>12881</v>
      </c>
      <c r="I10472" s="504">
        <v>1415</v>
      </c>
      <c r="J10472" s="504">
        <v>0</v>
      </c>
      <c r="K10472" s="504">
        <v>0</v>
      </c>
      <c r="L10472" s="504">
        <v>0</v>
      </c>
      <c r="M10472" s="504">
        <v>1361</v>
      </c>
      <c r="N10472" s="504">
        <v>0</v>
      </c>
      <c r="O10472" s="505">
        <v>54</v>
      </c>
    </row>
    <row r="10473" spans="1:15" x14ac:dyDescent="0.35">
      <c r="A10473" s="500" t="s">
        <v>1109</v>
      </c>
      <c r="B10473" s="501" t="s">
        <v>2959</v>
      </c>
      <c r="C10473" s="501" t="s">
        <v>1094</v>
      </c>
      <c r="D10473" s="501" t="s">
        <v>3380</v>
      </c>
      <c r="E10473" s="501" t="s">
        <v>3381</v>
      </c>
      <c r="F10473" s="501" t="s">
        <v>419</v>
      </c>
      <c r="G10473" s="501" t="s">
        <v>3368</v>
      </c>
      <c r="H10473" s="501" t="s">
        <v>12885</v>
      </c>
      <c r="I10473" s="501">
        <v>1707</v>
      </c>
      <c r="J10473" s="501">
        <v>0</v>
      </c>
      <c r="K10473" s="501">
        <v>0</v>
      </c>
      <c r="L10473" s="501">
        <v>3</v>
      </c>
      <c r="M10473" s="501">
        <v>1618</v>
      </c>
      <c r="N10473" s="501">
        <v>0</v>
      </c>
      <c r="O10473" s="506">
        <v>86</v>
      </c>
    </row>
    <row r="10474" spans="1:15" x14ac:dyDescent="0.35">
      <c r="A10474" s="503" t="s">
        <v>1109</v>
      </c>
      <c r="B10474" s="504" t="s">
        <v>2959</v>
      </c>
      <c r="C10474" s="504" t="s">
        <v>1094</v>
      </c>
      <c r="D10474" s="504" t="s">
        <v>3380</v>
      </c>
      <c r="E10474" s="504" t="s">
        <v>3381</v>
      </c>
      <c r="F10474" s="504" t="s">
        <v>415</v>
      </c>
      <c r="G10474" s="504" t="s">
        <v>3368</v>
      </c>
      <c r="H10474" s="504" t="s">
        <v>12888</v>
      </c>
      <c r="I10474" s="504">
        <v>2037</v>
      </c>
      <c r="J10474" s="504">
        <v>0</v>
      </c>
      <c r="K10474" s="504">
        <v>0</v>
      </c>
      <c r="L10474" s="504">
        <v>2</v>
      </c>
      <c r="M10474" s="504">
        <v>1951</v>
      </c>
      <c r="N10474" s="504">
        <v>0</v>
      </c>
      <c r="O10474" s="505">
        <v>84</v>
      </c>
    </row>
    <row r="10475" spans="1:15" x14ac:dyDescent="0.35">
      <c r="A10475" s="500" t="s">
        <v>1109</v>
      </c>
      <c r="B10475" s="501" t="s">
        <v>2959</v>
      </c>
      <c r="C10475" s="501" t="s">
        <v>1094</v>
      </c>
      <c r="D10475" s="501" t="s">
        <v>3380</v>
      </c>
      <c r="E10475" s="501" t="s">
        <v>3381</v>
      </c>
      <c r="F10475" s="501" t="s">
        <v>2</v>
      </c>
      <c r="G10475" s="501" t="s">
        <v>3368</v>
      </c>
      <c r="H10475" s="501" t="s">
        <v>12887</v>
      </c>
      <c r="I10475" s="501">
        <v>3245</v>
      </c>
      <c r="J10475" s="501">
        <v>0</v>
      </c>
      <c r="K10475" s="501">
        <v>0</v>
      </c>
      <c r="L10475" s="501">
        <v>26</v>
      </c>
      <c r="M10475" s="501">
        <v>3017</v>
      </c>
      <c r="N10475" s="501">
        <v>0</v>
      </c>
      <c r="O10475" s="506">
        <v>202</v>
      </c>
    </row>
    <row r="10476" spans="1:15" x14ac:dyDescent="0.35">
      <c r="A10476" s="503" t="s">
        <v>1109</v>
      </c>
      <c r="B10476" s="504" t="s">
        <v>2959</v>
      </c>
      <c r="C10476" s="504" t="s">
        <v>1094</v>
      </c>
      <c r="D10476" s="504" t="s">
        <v>3380</v>
      </c>
      <c r="E10476" s="504" t="s">
        <v>3381</v>
      </c>
      <c r="F10476" s="504" t="s">
        <v>420</v>
      </c>
      <c r="G10476" s="504" t="s">
        <v>3368</v>
      </c>
      <c r="H10476" s="504" t="s">
        <v>12886</v>
      </c>
      <c r="I10476" s="504">
        <v>2521</v>
      </c>
      <c r="J10476" s="504">
        <v>0</v>
      </c>
      <c r="K10476" s="504">
        <v>0</v>
      </c>
      <c r="L10476" s="504">
        <v>54</v>
      </c>
      <c r="M10476" s="504">
        <v>2136</v>
      </c>
      <c r="N10476" s="504">
        <v>0</v>
      </c>
      <c r="O10476" s="505">
        <v>331</v>
      </c>
    </row>
    <row r="10477" spans="1:15" x14ac:dyDescent="0.35">
      <c r="A10477" s="500" t="s">
        <v>1109</v>
      </c>
      <c r="B10477" s="501" t="s">
        <v>2959</v>
      </c>
      <c r="C10477" s="501" t="s">
        <v>1094</v>
      </c>
      <c r="D10477" s="501" t="s">
        <v>3380</v>
      </c>
      <c r="E10477" s="501" t="s">
        <v>3381</v>
      </c>
      <c r="F10477" s="501" t="s">
        <v>416</v>
      </c>
      <c r="G10477" s="501" t="s">
        <v>3368</v>
      </c>
      <c r="H10477" s="501" t="s">
        <v>12883</v>
      </c>
      <c r="I10477" s="501">
        <v>1029</v>
      </c>
      <c r="J10477" s="501">
        <v>0</v>
      </c>
      <c r="K10477" s="501">
        <v>0</v>
      </c>
      <c r="L10477" s="501">
        <v>66</v>
      </c>
      <c r="M10477" s="501">
        <v>921</v>
      </c>
      <c r="N10477" s="501">
        <v>0</v>
      </c>
      <c r="O10477" s="506">
        <v>42</v>
      </c>
    </row>
    <row r="10478" spans="1:15" x14ac:dyDescent="0.35">
      <c r="A10478" s="503" t="s">
        <v>1109</v>
      </c>
      <c r="B10478" s="504" t="s">
        <v>2959</v>
      </c>
      <c r="C10478" s="504" t="s">
        <v>1094</v>
      </c>
      <c r="D10478" s="504" t="s">
        <v>3380</v>
      </c>
      <c r="E10478" s="504" t="s">
        <v>3381</v>
      </c>
      <c r="F10478" s="504" t="s">
        <v>417</v>
      </c>
      <c r="G10478" s="504" t="s">
        <v>3368</v>
      </c>
      <c r="H10478" s="504" t="s">
        <v>12884</v>
      </c>
      <c r="I10478" s="504">
        <v>1635</v>
      </c>
      <c r="J10478" s="504">
        <v>1</v>
      </c>
      <c r="K10478" s="504">
        <v>0</v>
      </c>
      <c r="L10478" s="504">
        <v>0</v>
      </c>
      <c r="M10478" s="504">
        <v>1466</v>
      </c>
      <c r="N10478" s="504">
        <v>0</v>
      </c>
      <c r="O10478" s="505">
        <v>168</v>
      </c>
    </row>
    <row r="10479" spans="1:15" x14ac:dyDescent="0.35">
      <c r="A10479" s="500" t="s">
        <v>1109</v>
      </c>
      <c r="B10479" s="501" t="s">
        <v>2959</v>
      </c>
      <c r="C10479" s="501" t="s">
        <v>1094</v>
      </c>
      <c r="D10479" s="501" t="s">
        <v>3380</v>
      </c>
      <c r="E10479" s="501" t="s">
        <v>3381</v>
      </c>
      <c r="F10479" s="501" t="s">
        <v>418</v>
      </c>
      <c r="G10479" s="501" t="s">
        <v>3368</v>
      </c>
      <c r="H10479" s="501" t="s">
        <v>12882</v>
      </c>
      <c r="I10479" s="501">
        <v>2608</v>
      </c>
      <c r="J10479" s="501">
        <v>60</v>
      </c>
      <c r="K10479" s="501">
        <v>0</v>
      </c>
      <c r="L10479" s="501">
        <v>0</v>
      </c>
      <c r="M10479" s="501">
        <v>2455</v>
      </c>
      <c r="N10479" s="501">
        <v>0</v>
      </c>
      <c r="O10479" s="506">
        <v>93</v>
      </c>
    </row>
    <row r="10480" spans="1:15" x14ac:dyDescent="0.35">
      <c r="A10480" s="503" t="s">
        <v>1469</v>
      </c>
      <c r="B10480" s="504" t="s">
        <v>3023</v>
      </c>
      <c r="C10480" s="504" t="s">
        <v>1089</v>
      </c>
      <c r="D10480" s="504" t="s">
        <v>3392</v>
      </c>
      <c r="E10480" s="504" t="s">
        <v>3381</v>
      </c>
      <c r="F10480" s="504" t="s">
        <v>416</v>
      </c>
      <c r="G10480" s="504" t="s">
        <v>3368</v>
      </c>
      <c r="H10480" s="504" t="s">
        <v>12889</v>
      </c>
      <c r="I10480" s="504">
        <v>847</v>
      </c>
      <c r="J10480" s="504">
        <v>830</v>
      </c>
      <c r="K10480" s="504">
        <v>2</v>
      </c>
      <c r="L10480" s="504">
        <v>15</v>
      </c>
      <c r="M10480" s="504">
        <v>0</v>
      </c>
      <c r="N10480" s="504">
        <v>125</v>
      </c>
      <c r="O10480" s="505">
        <v>0</v>
      </c>
    </row>
    <row r="10481" spans="1:15" x14ac:dyDescent="0.35">
      <c r="A10481" s="500" t="s">
        <v>1470</v>
      </c>
      <c r="B10481" s="501" t="s">
        <v>2439</v>
      </c>
      <c r="C10481" s="501" t="s">
        <v>1089</v>
      </c>
      <c r="D10481" s="501" t="s">
        <v>3392</v>
      </c>
      <c r="E10481" s="501" t="s">
        <v>3381</v>
      </c>
      <c r="F10481" s="501" t="s">
        <v>416</v>
      </c>
      <c r="G10481" s="501" t="s">
        <v>3368</v>
      </c>
      <c r="H10481" s="501" t="s">
        <v>12890</v>
      </c>
      <c r="I10481" s="501">
        <v>132</v>
      </c>
      <c r="J10481" s="501">
        <v>8</v>
      </c>
      <c r="K10481" s="501">
        <v>0</v>
      </c>
      <c r="L10481" s="501">
        <v>0</v>
      </c>
      <c r="M10481" s="501">
        <v>124</v>
      </c>
      <c r="N10481" s="501">
        <v>0</v>
      </c>
      <c r="O10481" s="506">
        <v>0</v>
      </c>
    </row>
    <row r="10482" spans="1:15" x14ac:dyDescent="0.35">
      <c r="A10482" s="503" t="s">
        <v>1305</v>
      </c>
      <c r="B10482" s="504" t="s">
        <v>3144</v>
      </c>
      <c r="C10482" s="504" t="s">
        <v>1094</v>
      </c>
      <c r="D10482" s="504" t="s">
        <v>3380</v>
      </c>
      <c r="E10482" s="504" t="s">
        <v>3381</v>
      </c>
      <c r="F10482" s="504" t="s">
        <v>2</v>
      </c>
      <c r="G10482" s="504" t="s">
        <v>3368</v>
      </c>
      <c r="H10482" s="504" t="s">
        <v>12892</v>
      </c>
      <c r="I10482" s="504">
        <v>5206</v>
      </c>
      <c r="J10482" s="504">
        <v>4086</v>
      </c>
      <c r="K10482" s="504">
        <v>24</v>
      </c>
      <c r="L10482" s="504">
        <v>272</v>
      </c>
      <c r="M10482" s="504">
        <v>300</v>
      </c>
      <c r="N10482" s="504">
        <v>0</v>
      </c>
      <c r="O10482" s="505">
        <v>524</v>
      </c>
    </row>
    <row r="10483" spans="1:15" x14ac:dyDescent="0.35">
      <c r="A10483" s="500" t="s">
        <v>1305</v>
      </c>
      <c r="B10483" s="501" t="s">
        <v>3144</v>
      </c>
      <c r="C10483" s="501" t="s">
        <v>1094</v>
      </c>
      <c r="D10483" s="501" t="s">
        <v>3380</v>
      </c>
      <c r="E10483" s="501" t="s">
        <v>3381</v>
      </c>
      <c r="F10483" s="501" t="s">
        <v>415</v>
      </c>
      <c r="G10483" s="501" t="s">
        <v>3368</v>
      </c>
      <c r="H10483" s="501" t="s">
        <v>12891</v>
      </c>
      <c r="I10483" s="501">
        <v>11</v>
      </c>
      <c r="J10483" s="501">
        <v>0</v>
      </c>
      <c r="K10483" s="501">
        <v>0</v>
      </c>
      <c r="L10483" s="501">
        <v>0</v>
      </c>
      <c r="M10483" s="501">
        <v>0</v>
      </c>
      <c r="N10483" s="501">
        <v>0</v>
      </c>
      <c r="O10483" s="506">
        <v>11</v>
      </c>
    </row>
    <row r="10484" spans="1:15" x14ac:dyDescent="0.35">
      <c r="A10484" s="503" t="s">
        <v>2157</v>
      </c>
      <c r="B10484" s="504" t="s">
        <v>3112</v>
      </c>
      <c r="C10484" s="504" t="s">
        <v>1089</v>
      </c>
      <c r="D10484" s="504" t="s">
        <v>3392</v>
      </c>
      <c r="E10484" s="504" t="s">
        <v>3381</v>
      </c>
      <c r="F10484" s="504" t="s">
        <v>1048</v>
      </c>
      <c r="G10484" s="504" t="s">
        <v>3368</v>
      </c>
      <c r="H10484" s="504" t="s">
        <v>13998</v>
      </c>
      <c r="I10484" s="504">
        <v>473</v>
      </c>
      <c r="J10484" s="504">
        <v>224</v>
      </c>
      <c r="K10484" s="504">
        <v>0</v>
      </c>
      <c r="L10484" s="504">
        <v>44</v>
      </c>
      <c r="M10484" s="504">
        <v>205</v>
      </c>
      <c r="N10484" s="504">
        <v>0</v>
      </c>
      <c r="O10484" s="505">
        <v>0</v>
      </c>
    </row>
    <row r="10485" spans="1:15" x14ac:dyDescent="0.35">
      <c r="A10485" s="500" t="s">
        <v>2158</v>
      </c>
      <c r="B10485" s="501" t="s">
        <v>3102</v>
      </c>
      <c r="C10485" s="501" t="s">
        <v>1089</v>
      </c>
      <c r="D10485" s="501" t="s">
        <v>3392</v>
      </c>
      <c r="E10485" s="501" t="s">
        <v>3381</v>
      </c>
      <c r="F10485" s="501" t="s">
        <v>1048</v>
      </c>
      <c r="G10485" s="501" t="s">
        <v>3368</v>
      </c>
      <c r="H10485" s="501" t="s">
        <v>13999</v>
      </c>
      <c r="I10485" s="501">
        <v>45</v>
      </c>
      <c r="J10485" s="501">
        <v>45</v>
      </c>
      <c r="K10485" s="501">
        <v>0</v>
      </c>
      <c r="L10485" s="501">
        <v>0</v>
      </c>
      <c r="M10485" s="501">
        <v>0</v>
      </c>
      <c r="N10485" s="501">
        <v>0</v>
      </c>
      <c r="O10485" s="506">
        <v>0</v>
      </c>
    </row>
    <row r="10486" spans="1:15" x14ac:dyDescent="0.35">
      <c r="A10486" s="503" t="s">
        <v>2159</v>
      </c>
      <c r="B10486" s="504" t="s">
        <v>2943</v>
      </c>
      <c r="C10486" s="504" t="s">
        <v>1089</v>
      </c>
      <c r="D10486" s="504" t="s">
        <v>3392</v>
      </c>
      <c r="E10486" s="504" t="s">
        <v>3381</v>
      </c>
      <c r="F10486" s="504" t="s">
        <v>1048</v>
      </c>
      <c r="G10486" s="504" t="s">
        <v>3368</v>
      </c>
      <c r="H10486" s="504" t="s">
        <v>14000</v>
      </c>
      <c r="I10486" s="504">
        <v>73</v>
      </c>
      <c r="J10486" s="504">
        <v>0</v>
      </c>
      <c r="K10486" s="504">
        <v>0</v>
      </c>
      <c r="L10486" s="504">
        <v>73</v>
      </c>
      <c r="M10486" s="504">
        <v>0</v>
      </c>
      <c r="N10486" s="504">
        <v>0</v>
      </c>
      <c r="O10486" s="505">
        <v>0</v>
      </c>
    </row>
    <row r="10487" spans="1:15" x14ac:dyDescent="0.35">
      <c r="A10487" s="500" t="s">
        <v>2160</v>
      </c>
      <c r="B10487" s="501" t="s">
        <v>2427</v>
      </c>
      <c r="C10487" s="501" t="s">
        <v>1089</v>
      </c>
      <c r="D10487" s="501" t="s">
        <v>3392</v>
      </c>
      <c r="E10487" s="501" t="s">
        <v>3381</v>
      </c>
      <c r="F10487" s="501" t="s">
        <v>1048</v>
      </c>
      <c r="G10487" s="501" t="s">
        <v>3368</v>
      </c>
      <c r="H10487" s="501" t="s">
        <v>14001</v>
      </c>
      <c r="I10487" s="501">
        <v>61</v>
      </c>
      <c r="J10487" s="501">
        <v>0</v>
      </c>
      <c r="K10487" s="501">
        <v>0</v>
      </c>
      <c r="L10487" s="501">
        <v>0</v>
      </c>
      <c r="M10487" s="501">
        <v>61</v>
      </c>
      <c r="N10487" s="501">
        <v>0</v>
      </c>
      <c r="O10487" s="506">
        <v>0</v>
      </c>
    </row>
    <row r="10488" spans="1:15" x14ac:dyDescent="0.35">
      <c r="A10488" s="503" t="s">
        <v>2156</v>
      </c>
      <c r="B10488" s="504">
        <v>4828</v>
      </c>
      <c r="C10488" s="504" t="s">
        <v>1089</v>
      </c>
      <c r="D10488" s="504" t="s">
        <v>3392</v>
      </c>
      <c r="E10488" s="504" t="s">
        <v>3381</v>
      </c>
      <c r="F10488" s="504" t="s">
        <v>1048</v>
      </c>
      <c r="G10488" s="504" t="s">
        <v>3368</v>
      </c>
      <c r="H10488" s="504" t="s">
        <v>14002</v>
      </c>
      <c r="I10488" s="504">
        <v>31</v>
      </c>
      <c r="J10488" s="504">
        <v>4</v>
      </c>
      <c r="K10488" s="504">
        <v>0</v>
      </c>
      <c r="L10488" s="504">
        <v>27</v>
      </c>
      <c r="M10488" s="504">
        <v>0</v>
      </c>
      <c r="N10488" s="504">
        <v>0</v>
      </c>
      <c r="O10488" s="505">
        <v>0</v>
      </c>
    </row>
    <row r="10489" spans="1:15" x14ac:dyDescent="0.35">
      <c r="A10489" s="500" t="s">
        <v>1633</v>
      </c>
      <c r="B10489" s="501">
        <v>4713</v>
      </c>
      <c r="C10489" s="501" t="s">
        <v>1089</v>
      </c>
      <c r="D10489" s="501" t="s">
        <v>3392</v>
      </c>
      <c r="E10489" s="501" t="s">
        <v>3381</v>
      </c>
      <c r="F10489" s="501" t="s">
        <v>420</v>
      </c>
      <c r="G10489" s="501" t="s">
        <v>3368</v>
      </c>
      <c r="H10489" s="501" t="s">
        <v>15385</v>
      </c>
      <c r="I10489" s="501">
        <v>1</v>
      </c>
      <c r="J10489" s="501">
        <v>0</v>
      </c>
      <c r="K10489" s="501">
        <v>0</v>
      </c>
      <c r="L10489" s="501">
        <v>1</v>
      </c>
      <c r="M10489" s="501">
        <v>0</v>
      </c>
      <c r="N10489" s="501">
        <v>0</v>
      </c>
      <c r="O10489" s="506">
        <v>0</v>
      </c>
    </row>
    <row r="10490" spans="1:15" x14ac:dyDescent="0.35">
      <c r="A10490" s="503" t="s">
        <v>1633</v>
      </c>
      <c r="B10490" s="504">
        <v>4713</v>
      </c>
      <c r="C10490" s="504" t="s">
        <v>1089</v>
      </c>
      <c r="D10490" s="504" t="s">
        <v>3392</v>
      </c>
      <c r="E10490" s="504" t="s">
        <v>3381</v>
      </c>
      <c r="F10490" s="504" t="s">
        <v>417</v>
      </c>
      <c r="G10490" s="504" t="s">
        <v>3368</v>
      </c>
      <c r="H10490" s="504" t="s">
        <v>12894</v>
      </c>
      <c r="I10490" s="504">
        <v>26</v>
      </c>
      <c r="J10490" s="504">
        <v>4</v>
      </c>
      <c r="K10490" s="504">
        <v>0</v>
      </c>
      <c r="L10490" s="504">
        <v>22</v>
      </c>
      <c r="M10490" s="504">
        <v>0</v>
      </c>
      <c r="N10490" s="504">
        <v>0</v>
      </c>
      <c r="O10490" s="505">
        <v>0</v>
      </c>
    </row>
    <row r="10491" spans="1:15" x14ac:dyDescent="0.35">
      <c r="A10491" s="500" t="s">
        <v>1633</v>
      </c>
      <c r="B10491" s="501">
        <v>4713</v>
      </c>
      <c r="C10491" s="501" t="s">
        <v>1089</v>
      </c>
      <c r="D10491" s="501" t="s">
        <v>3392</v>
      </c>
      <c r="E10491" s="501" t="s">
        <v>3381</v>
      </c>
      <c r="F10491" s="501" t="s">
        <v>418</v>
      </c>
      <c r="G10491" s="501" t="s">
        <v>3368</v>
      </c>
      <c r="H10491" s="501" t="s">
        <v>12893</v>
      </c>
      <c r="I10491" s="501">
        <v>5</v>
      </c>
      <c r="J10491" s="501">
        <v>0</v>
      </c>
      <c r="K10491" s="501">
        <v>0</v>
      </c>
      <c r="L10491" s="501">
        <v>5</v>
      </c>
      <c r="M10491" s="501">
        <v>0</v>
      </c>
      <c r="N10491" s="501">
        <v>0</v>
      </c>
      <c r="O10491" s="506">
        <v>0</v>
      </c>
    </row>
    <row r="10492" spans="1:15" x14ac:dyDescent="0.35">
      <c r="A10492" s="503" t="s">
        <v>1633</v>
      </c>
      <c r="B10492" s="504">
        <v>4713</v>
      </c>
      <c r="C10492" s="504" t="s">
        <v>1089</v>
      </c>
      <c r="D10492" s="504" t="s">
        <v>3392</v>
      </c>
      <c r="E10492" s="504" t="s">
        <v>3381</v>
      </c>
      <c r="F10492" s="504" t="s">
        <v>1048</v>
      </c>
      <c r="G10492" s="504" t="s">
        <v>3368</v>
      </c>
      <c r="H10492" s="504" t="s">
        <v>14003</v>
      </c>
      <c r="I10492" s="504">
        <v>40</v>
      </c>
      <c r="J10492" s="504">
        <v>1</v>
      </c>
      <c r="K10492" s="504">
        <v>0</v>
      </c>
      <c r="L10492" s="504">
        <v>39</v>
      </c>
      <c r="M10492" s="504">
        <v>0</v>
      </c>
      <c r="N10492" s="504">
        <v>0</v>
      </c>
      <c r="O10492" s="505">
        <v>0</v>
      </c>
    </row>
    <row r="10493" spans="1:15" x14ac:dyDescent="0.35">
      <c r="A10493" s="500" t="s">
        <v>1715</v>
      </c>
      <c r="B10493" s="501" t="s">
        <v>2464</v>
      </c>
      <c r="C10493" s="501" t="s">
        <v>1089</v>
      </c>
      <c r="D10493" s="501" t="s">
        <v>3392</v>
      </c>
      <c r="E10493" s="501" t="s">
        <v>3381</v>
      </c>
      <c r="F10493" s="501" t="s">
        <v>418</v>
      </c>
      <c r="G10493" s="501" t="s">
        <v>3368</v>
      </c>
      <c r="H10493" s="501" t="s">
        <v>12895</v>
      </c>
      <c r="I10493" s="501">
        <v>44</v>
      </c>
      <c r="J10493" s="501">
        <v>44</v>
      </c>
      <c r="K10493" s="501">
        <v>0</v>
      </c>
      <c r="L10493" s="501">
        <v>0</v>
      </c>
      <c r="M10493" s="501">
        <v>0</v>
      </c>
      <c r="N10493" s="501">
        <v>0</v>
      </c>
      <c r="O10493" s="506">
        <v>0</v>
      </c>
    </row>
    <row r="10494" spans="1:15" x14ac:dyDescent="0.35">
      <c r="A10494" s="503" t="s">
        <v>1306</v>
      </c>
      <c r="B10494" s="504" t="s">
        <v>3005</v>
      </c>
      <c r="C10494" s="504" t="s">
        <v>1094</v>
      </c>
      <c r="D10494" s="504" t="s">
        <v>3380</v>
      </c>
      <c r="E10494" s="504" t="s">
        <v>3381</v>
      </c>
      <c r="F10494" s="504" t="s">
        <v>415</v>
      </c>
      <c r="G10494" s="504" t="s">
        <v>3368</v>
      </c>
      <c r="H10494" s="504" t="s">
        <v>12897</v>
      </c>
      <c r="I10494" s="504">
        <v>1345</v>
      </c>
      <c r="J10494" s="504">
        <v>1215</v>
      </c>
      <c r="K10494" s="504">
        <v>13</v>
      </c>
      <c r="L10494" s="504">
        <v>0</v>
      </c>
      <c r="M10494" s="504">
        <v>0</v>
      </c>
      <c r="N10494" s="504">
        <v>0</v>
      </c>
      <c r="O10494" s="505">
        <v>117</v>
      </c>
    </row>
    <row r="10495" spans="1:15" x14ac:dyDescent="0.35">
      <c r="A10495" s="500" t="s">
        <v>1306</v>
      </c>
      <c r="B10495" s="501" t="s">
        <v>3005</v>
      </c>
      <c r="C10495" s="501" t="s">
        <v>1094</v>
      </c>
      <c r="D10495" s="501" t="s">
        <v>3380</v>
      </c>
      <c r="E10495" s="501" t="s">
        <v>3381</v>
      </c>
      <c r="F10495" s="501" t="s">
        <v>2</v>
      </c>
      <c r="G10495" s="501" t="s">
        <v>3368</v>
      </c>
      <c r="H10495" s="501" t="s">
        <v>12896</v>
      </c>
      <c r="I10495" s="501">
        <v>25</v>
      </c>
      <c r="J10495" s="501">
        <v>25</v>
      </c>
      <c r="K10495" s="501">
        <v>0</v>
      </c>
      <c r="L10495" s="501">
        <v>0</v>
      </c>
      <c r="M10495" s="501">
        <v>0</v>
      </c>
      <c r="N10495" s="501">
        <v>0</v>
      </c>
      <c r="O10495" s="506">
        <v>0</v>
      </c>
    </row>
    <row r="10496" spans="1:15" x14ac:dyDescent="0.35">
      <c r="A10496" s="503" t="s">
        <v>14231</v>
      </c>
      <c r="B10496" s="504" t="s">
        <v>2765</v>
      </c>
      <c r="C10496" s="504" t="s">
        <v>1089</v>
      </c>
      <c r="D10496" s="504" t="s">
        <v>3392</v>
      </c>
      <c r="E10496" s="504" t="s">
        <v>3381</v>
      </c>
      <c r="F10496" s="504" t="s">
        <v>418</v>
      </c>
      <c r="G10496" s="504" t="s">
        <v>3368</v>
      </c>
      <c r="H10496" s="504" t="s">
        <v>15386</v>
      </c>
      <c r="I10496" s="504">
        <v>59</v>
      </c>
      <c r="J10496" s="504">
        <v>0</v>
      </c>
      <c r="K10496" s="504">
        <v>0</v>
      </c>
      <c r="L10496" s="504">
        <v>59</v>
      </c>
      <c r="M10496" s="504">
        <v>0</v>
      </c>
      <c r="N10496" s="504">
        <v>0</v>
      </c>
      <c r="O10496" s="505">
        <v>0</v>
      </c>
    </row>
    <row r="10497" spans="1:15" x14ac:dyDescent="0.35">
      <c r="A10497" s="500" t="s">
        <v>1189</v>
      </c>
      <c r="B10497" s="501" t="s">
        <v>3236</v>
      </c>
      <c r="C10497" s="501" t="s">
        <v>1094</v>
      </c>
      <c r="D10497" s="501" t="s">
        <v>3380</v>
      </c>
      <c r="E10497" s="501" t="s">
        <v>3381</v>
      </c>
      <c r="F10497" s="501" t="s">
        <v>414</v>
      </c>
      <c r="G10497" s="501" t="s">
        <v>3368</v>
      </c>
      <c r="H10497" s="501" t="s">
        <v>12899</v>
      </c>
      <c r="I10497" s="501">
        <v>175</v>
      </c>
      <c r="J10497" s="501">
        <v>90</v>
      </c>
      <c r="K10497" s="501">
        <v>0</v>
      </c>
      <c r="L10497" s="501">
        <v>0</v>
      </c>
      <c r="M10497" s="501">
        <v>72</v>
      </c>
      <c r="N10497" s="501">
        <v>0</v>
      </c>
      <c r="O10497" s="506">
        <v>13</v>
      </c>
    </row>
    <row r="10498" spans="1:15" x14ac:dyDescent="0.35">
      <c r="A10498" s="503" t="s">
        <v>1189</v>
      </c>
      <c r="B10498" s="504" t="s">
        <v>3236</v>
      </c>
      <c r="C10498" s="504" t="s">
        <v>1094</v>
      </c>
      <c r="D10498" s="504" t="s">
        <v>3380</v>
      </c>
      <c r="E10498" s="504" t="s">
        <v>3381</v>
      </c>
      <c r="F10498" s="504" t="s">
        <v>416</v>
      </c>
      <c r="G10498" s="504" t="s">
        <v>3368</v>
      </c>
      <c r="H10498" s="504" t="s">
        <v>12901</v>
      </c>
      <c r="I10498" s="504">
        <v>13198</v>
      </c>
      <c r="J10498" s="504">
        <v>10815</v>
      </c>
      <c r="K10498" s="504">
        <v>74</v>
      </c>
      <c r="L10498" s="504">
        <v>662</v>
      </c>
      <c r="M10498" s="504">
        <v>356</v>
      </c>
      <c r="N10498" s="504">
        <v>141</v>
      </c>
      <c r="O10498" s="505">
        <v>1291</v>
      </c>
    </row>
    <row r="10499" spans="1:15" x14ac:dyDescent="0.35">
      <c r="A10499" s="500" t="s">
        <v>1189</v>
      </c>
      <c r="B10499" s="501" t="s">
        <v>3236</v>
      </c>
      <c r="C10499" s="501" t="s">
        <v>1094</v>
      </c>
      <c r="D10499" s="501" t="s">
        <v>3380</v>
      </c>
      <c r="E10499" s="501" t="s">
        <v>3381</v>
      </c>
      <c r="F10499" s="501" t="s">
        <v>415</v>
      </c>
      <c r="G10499" s="501" t="s">
        <v>3368</v>
      </c>
      <c r="H10499" s="501" t="s">
        <v>12900</v>
      </c>
      <c r="I10499" s="501">
        <v>1135</v>
      </c>
      <c r="J10499" s="501">
        <v>791</v>
      </c>
      <c r="K10499" s="501">
        <v>3</v>
      </c>
      <c r="L10499" s="501">
        <v>23</v>
      </c>
      <c r="M10499" s="501">
        <v>306</v>
      </c>
      <c r="N10499" s="501">
        <v>4</v>
      </c>
      <c r="O10499" s="506">
        <v>12</v>
      </c>
    </row>
    <row r="10500" spans="1:15" x14ac:dyDescent="0.35">
      <c r="A10500" s="503" t="s">
        <v>1189</v>
      </c>
      <c r="B10500" s="504" t="s">
        <v>3236</v>
      </c>
      <c r="C10500" s="504" t="s">
        <v>1094</v>
      </c>
      <c r="D10500" s="504" t="s">
        <v>3380</v>
      </c>
      <c r="E10500" s="504" t="s">
        <v>3381</v>
      </c>
      <c r="F10500" s="504" t="s">
        <v>2</v>
      </c>
      <c r="G10500" s="504" t="s">
        <v>3368</v>
      </c>
      <c r="H10500" s="504" t="s">
        <v>12898</v>
      </c>
      <c r="I10500" s="504">
        <v>10392</v>
      </c>
      <c r="J10500" s="504">
        <v>7660</v>
      </c>
      <c r="K10500" s="504">
        <v>13</v>
      </c>
      <c r="L10500" s="504">
        <v>447</v>
      </c>
      <c r="M10500" s="504">
        <v>277</v>
      </c>
      <c r="N10500" s="504">
        <v>19</v>
      </c>
      <c r="O10500" s="505">
        <v>1995</v>
      </c>
    </row>
    <row r="10501" spans="1:15" x14ac:dyDescent="0.35">
      <c r="A10501" s="500" t="s">
        <v>1471</v>
      </c>
      <c r="B10501" s="501" t="s">
        <v>3163</v>
      </c>
      <c r="C10501" s="501" t="s">
        <v>1094</v>
      </c>
      <c r="D10501" s="501" t="s">
        <v>3380</v>
      </c>
      <c r="E10501" s="501" t="s">
        <v>3381</v>
      </c>
      <c r="F10501" s="501" t="s">
        <v>416</v>
      </c>
      <c r="G10501" s="501" t="s">
        <v>3368</v>
      </c>
      <c r="H10501" s="501" t="s">
        <v>12902</v>
      </c>
      <c r="I10501" s="501">
        <v>2270</v>
      </c>
      <c r="J10501" s="501">
        <v>2199</v>
      </c>
      <c r="K10501" s="501">
        <v>0</v>
      </c>
      <c r="L10501" s="501">
        <v>0</v>
      </c>
      <c r="M10501" s="501">
        <v>42</v>
      </c>
      <c r="N10501" s="501">
        <v>41</v>
      </c>
      <c r="O10501" s="506">
        <v>29</v>
      </c>
    </row>
    <row r="10502" spans="1:15" x14ac:dyDescent="0.35">
      <c r="A10502" s="503" t="s">
        <v>1472</v>
      </c>
      <c r="B10502" s="504" t="s">
        <v>2839</v>
      </c>
      <c r="C10502" s="504" t="s">
        <v>1089</v>
      </c>
      <c r="D10502" s="504" t="s">
        <v>3392</v>
      </c>
      <c r="E10502" s="504" t="s">
        <v>3381</v>
      </c>
      <c r="F10502" s="504" t="s">
        <v>416</v>
      </c>
      <c r="G10502" s="504" t="s">
        <v>3368</v>
      </c>
      <c r="H10502" s="504" t="s">
        <v>12903</v>
      </c>
      <c r="I10502" s="504">
        <v>74</v>
      </c>
      <c r="J10502" s="504">
        <v>0</v>
      </c>
      <c r="K10502" s="504">
        <v>74</v>
      </c>
      <c r="L10502" s="504">
        <v>0</v>
      </c>
      <c r="M10502" s="504">
        <v>0</v>
      </c>
      <c r="N10502" s="504">
        <v>0</v>
      </c>
      <c r="O10502" s="505">
        <v>0</v>
      </c>
    </row>
    <row r="10503" spans="1:15" x14ac:dyDescent="0.35">
      <c r="A10503" s="500" t="s">
        <v>1634</v>
      </c>
      <c r="B10503" s="501">
        <v>4822</v>
      </c>
      <c r="C10503" s="501" t="s">
        <v>1089</v>
      </c>
      <c r="D10503" s="501" t="s">
        <v>3392</v>
      </c>
      <c r="E10503" s="501" t="s">
        <v>3381</v>
      </c>
      <c r="F10503" s="501" t="s">
        <v>417</v>
      </c>
      <c r="G10503" s="501" t="s">
        <v>3368</v>
      </c>
      <c r="H10503" s="501" t="s">
        <v>12905</v>
      </c>
      <c r="I10503" s="501">
        <v>64</v>
      </c>
      <c r="J10503" s="501">
        <v>0</v>
      </c>
      <c r="K10503" s="501">
        <v>0</v>
      </c>
      <c r="L10503" s="501">
        <v>64</v>
      </c>
      <c r="M10503" s="501">
        <v>0</v>
      </c>
      <c r="N10503" s="501">
        <v>0</v>
      </c>
      <c r="O10503" s="506">
        <v>0</v>
      </c>
    </row>
    <row r="10504" spans="1:15" x14ac:dyDescent="0.35">
      <c r="A10504" s="503" t="s">
        <v>1634</v>
      </c>
      <c r="B10504" s="504">
        <v>4822</v>
      </c>
      <c r="C10504" s="504" t="s">
        <v>1089</v>
      </c>
      <c r="D10504" s="504" t="s">
        <v>3392</v>
      </c>
      <c r="E10504" s="504" t="s">
        <v>3381</v>
      </c>
      <c r="F10504" s="504" t="s">
        <v>420</v>
      </c>
      <c r="G10504" s="504" t="s">
        <v>3368</v>
      </c>
      <c r="H10504" s="504" t="s">
        <v>12904</v>
      </c>
      <c r="I10504" s="504">
        <v>22</v>
      </c>
      <c r="J10504" s="504">
        <v>0</v>
      </c>
      <c r="K10504" s="504">
        <v>0</v>
      </c>
      <c r="L10504" s="504">
        <v>22</v>
      </c>
      <c r="M10504" s="504">
        <v>0</v>
      </c>
      <c r="N10504" s="504">
        <v>0</v>
      </c>
      <c r="O10504" s="505">
        <v>0</v>
      </c>
    </row>
    <row r="10505" spans="1:15" x14ac:dyDescent="0.35">
      <c r="A10505" s="500" t="s">
        <v>1634</v>
      </c>
      <c r="B10505" s="501">
        <v>4822</v>
      </c>
      <c r="C10505" s="501" t="s">
        <v>1089</v>
      </c>
      <c r="D10505" s="501" t="s">
        <v>3392</v>
      </c>
      <c r="E10505" s="501" t="s">
        <v>3381</v>
      </c>
      <c r="F10505" s="501" t="s">
        <v>1048</v>
      </c>
      <c r="G10505" s="501" t="s">
        <v>3368</v>
      </c>
      <c r="H10505" s="501" t="s">
        <v>14004</v>
      </c>
      <c r="I10505" s="501">
        <v>50</v>
      </c>
      <c r="J10505" s="501">
        <v>0</v>
      </c>
      <c r="K10505" s="501">
        <v>0</v>
      </c>
      <c r="L10505" s="501">
        <v>50</v>
      </c>
      <c r="M10505" s="501">
        <v>0</v>
      </c>
      <c r="N10505" s="501">
        <v>0</v>
      </c>
      <c r="O10505" s="506">
        <v>0</v>
      </c>
    </row>
    <row r="10506" spans="1:15" x14ac:dyDescent="0.35">
      <c r="A10506" s="503" t="s">
        <v>11373</v>
      </c>
      <c r="B10506" s="504" t="s">
        <v>2926</v>
      </c>
      <c r="C10506" s="504" t="s">
        <v>1089</v>
      </c>
      <c r="D10506" s="504" t="s">
        <v>3392</v>
      </c>
      <c r="E10506" s="504" t="s">
        <v>3381</v>
      </c>
      <c r="F10506" s="504" t="s">
        <v>415</v>
      </c>
      <c r="G10506" s="504" t="s">
        <v>3368</v>
      </c>
      <c r="H10506" s="504" t="s">
        <v>12906</v>
      </c>
      <c r="I10506" s="504">
        <v>64</v>
      </c>
      <c r="J10506" s="504">
        <v>0</v>
      </c>
      <c r="K10506" s="504">
        <v>0</v>
      </c>
      <c r="L10506" s="504">
        <v>64</v>
      </c>
      <c r="M10506" s="504">
        <v>0</v>
      </c>
      <c r="N10506" s="504">
        <v>0</v>
      </c>
      <c r="O10506" s="505">
        <v>0</v>
      </c>
    </row>
    <row r="10507" spans="1:15" x14ac:dyDescent="0.35">
      <c r="A10507" s="500" t="s">
        <v>1473</v>
      </c>
      <c r="B10507" s="501" t="s">
        <v>2799</v>
      </c>
      <c r="C10507" s="501" t="s">
        <v>1089</v>
      </c>
      <c r="D10507" s="501" t="s">
        <v>3392</v>
      </c>
      <c r="E10507" s="501" t="s">
        <v>3381</v>
      </c>
      <c r="F10507" s="501" t="s">
        <v>416</v>
      </c>
      <c r="G10507" s="501" t="s">
        <v>3368</v>
      </c>
      <c r="H10507" s="501" t="s">
        <v>12907</v>
      </c>
      <c r="I10507" s="501">
        <v>54</v>
      </c>
      <c r="J10507" s="501">
        <v>54</v>
      </c>
      <c r="K10507" s="501">
        <v>0</v>
      </c>
      <c r="L10507" s="501">
        <v>0</v>
      </c>
      <c r="M10507" s="501">
        <v>0</v>
      </c>
      <c r="N10507" s="501">
        <v>0</v>
      </c>
      <c r="O10507" s="506">
        <v>0</v>
      </c>
    </row>
    <row r="10508" spans="1:15" x14ac:dyDescent="0.35">
      <c r="A10508" s="503" t="s">
        <v>1190</v>
      </c>
      <c r="B10508" s="504">
        <v>4662</v>
      </c>
      <c r="C10508" s="504" t="s">
        <v>1094</v>
      </c>
      <c r="D10508" s="504" t="s">
        <v>3380</v>
      </c>
      <c r="E10508" s="504" t="s">
        <v>3381</v>
      </c>
      <c r="F10508" s="504" t="s">
        <v>1048</v>
      </c>
      <c r="G10508" s="504" t="s">
        <v>3368</v>
      </c>
      <c r="H10508" s="504" t="s">
        <v>14005</v>
      </c>
      <c r="I10508" s="504">
        <v>454</v>
      </c>
      <c r="J10508" s="504">
        <v>7</v>
      </c>
      <c r="K10508" s="504">
        <v>0</v>
      </c>
      <c r="L10508" s="504">
        <v>387</v>
      </c>
      <c r="M10508" s="504">
        <v>60</v>
      </c>
      <c r="N10508" s="504">
        <v>0</v>
      </c>
      <c r="O10508" s="505">
        <v>0</v>
      </c>
    </row>
    <row r="10509" spans="1:15" x14ac:dyDescent="0.35">
      <c r="A10509" s="500" t="s">
        <v>1190</v>
      </c>
      <c r="B10509" s="501">
        <v>4662</v>
      </c>
      <c r="C10509" s="501" t="s">
        <v>1094</v>
      </c>
      <c r="D10509" s="501" t="s">
        <v>3380</v>
      </c>
      <c r="E10509" s="501" t="s">
        <v>3381</v>
      </c>
      <c r="F10509" s="501" t="s">
        <v>420</v>
      </c>
      <c r="G10509" s="501" t="s">
        <v>3368</v>
      </c>
      <c r="H10509" s="501" t="s">
        <v>12912</v>
      </c>
      <c r="I10509" s="501">
        <v>660</v>
      </c>
      <c r="J10509" s="501">
        <v>0</v>
      </c>
      <c r="K10509" s="501">
        <v>0</v>
      </c>
      <c r="L10509" s="501">
        <v>660</v>
      </c>
      <c r="M10509" s="501">
        <v>0</v>
      </c>
      <c r="N10509" s="501">
        <v>0</v>
      </c>
      <c r="O10509" s="506">
        <v>0</v>
      </c>
    </row>
    <row r="10510" spans="1:15" x14ac:dyDescent="0.35">
      <c r="A10510" s="503" t="s">
        <v>1190</v>
      </c>
      <c r="B10510" s="504">
        <v>4662</v>
      </c>
      <c r="C10510" s="504" t="s">
        <v>1094</v>
      </c>
      <c r="D10510" s="504" t="s">
        <v>3380</v>
      </c>
      <c r="E10510" s="504" t="s">
        <v>3381</v>
      </c>
      <c r="F10510" s="504" t="s">
        <v>416</v>
      </c>
      <c r="G10510" s="504" t="s">
        <v>3368</v>
      </c>
      <c r="H10510" s="504" t="s">
        <v>12911</v>
      </c>
      <c r="I10510" s="504">
        <v>93</v>
      </c>
      <c r="J10510" s="504">
        <v>0</v>
      </c>
      <c r="K10510" s="504">
        <v>0</v>
      </c>
      <c r="L10510" s="504">
        <v>93</v>
      </c>
      <c r="M10510" s="504">
        <v>0</v>
      </c>
      <c r="N10510" s="504">
        <v>0</v>
      </c>
      <c r="O10510" s="505">
        <v>0</v>
      </c>
    </row>
    <row r="10511" spans="1:15" x14ac:dyDescent="0.35">
      <c r="A10511" s="500" t="s">
        <v>1190</v>
      </c>
      <c r="B10511" s="501">
        <v>4662</v>
      </c>
      <c r="C10511" s="501" t="s">
        <v>1094</v>
      </c>
      <c r="D10511" s="501" t="s">
        <v>3380</v>
      </c>
      <c r="E10511" s="501" t="s">
        <v>3381</v>
      </c>
      <c r="F10511" s="501" t="s">
        <v>417</v>
      </c>
      <c r="G10511" s="501" t="s">
        <v>3368</v>
      </c>
      <c r="H10511" s="501" t="s">
        <v>12909</v>
      </c>
      <c r="I10511" s="501">
        <v>243</v>
      </c>
      <c r="J10511" s="501">
        <v>0</v>
      </c>
      <c r="K10511" s="501">
        <v>0</v>
      </c>
      <c r="L10511" s="501">
        <v>205</v>
      </c>
      <c r="M10511" s="501">
        <v>38</v>
      </c>
      <c r="N10511" s="501">
        <v>0</v>
      </c>
      <c r="O10511" s="506">
        <v>0</v>
      </c>
    </row>
    <row r="10512" spans="1:15" x14ac:dyDescent="0.35">
      <c r="A10512" s="503" t="s">
        <v>1190</v>
      </c>
      <c r="B10512" s="504">
        <v>4662</v>
      </c>
      <c r="C10512" s="504" t="s">
        <v>1094</v>
      </c>
      <c r="D10512" s="504" t="s">
        <v>3380</v>
      </c>
      <c r="E10512" s="504" t="s">
        <v>3381</v>
      </c>
      <c r="F10512" s="504" t="s">
        <v>418</v>
      </c>
      <c r="G10512" s="504" t="s">
        <v>3368</v>
      </c>
      <c r="H10512" s="504" t="s">
        <v>12914</v>
      </c>
      <c r="I10512" s="504">
        <v>848</v>
      </c>
      <c r="J10512" s="504">
        <v>0</v>
      </c>
      <c r="K10512" s="504">
        <v>0</v>
      </c>
      <c r="L10512" s="504">
        <v>821</v>
      </c>
      <c r="M10512" s="504">
        <v>27</v>
      </c>
      <c r="N10512" s="504">
        <v>0</v>
      </c>
      <c r="O10512" s="505">
        <v>0</v>
      </c>
    </row>
    <row r="10513" spans="1:15" x14ac:dyDescent="0.35">
      <c r="A10513" s="500" t="s">
        <v>1190</v>
      </c>
      <c r="B10513" s="501">
        <v>4662</v>
      </c>
      <c r="C10513" s="501" t="s">
        <v>1094</v>
      </c>
      <c r="D10513" s="501" t="s">
        <v>3380</v>
      </c>
      <c r="E10513" s="501" t="s">
        <v>3381</v>
      </c>
      <c r="F10513" s="501" t="s">
        <v>415</v>
      </c>
      <c r="G10513" s="501" t="s">
        <v>3368</v>
      </c>
      <c r="H10513" s="501" t="s">
        <v>12915</v>
      </c>
      <c r="I10513" s="501">
        <v>208</v>
      </c>
      <c r="J10513" s="501">
        <v>0</v>
      </c>
      <c r="K10513" s="501">
        <v>0</v>
      </c>
      <c r="L10513" s="501">
        <v>208</v>
      </c>
      <c r="M10513" s="501">
        <v>0</v>
      </c>
      <c r="N10513" s="501">
        <v>0</v>
      </c>
      <c r="O10513" s="506">
        <v>0</v>
      </c>
    </row>
    <row r="10514" spans="1:15" x14ac:dyDescent="0.35">
      <c r="A10514" s="503" t="s">
        <v>1190</v>
      </c>
      <c r="B10514" s="504">
        <v>4662</v>
      </c>
      <c r="C10514" s="504" t="s">
        <v>1094</v>
      </c>
      <c r="D10514" s="504" t="s">
        <v>3380</v>
      </c>
      <c r="E10514" s="504" t="s">
        <v>3381</v>
      </c>
      <c r="F10514" s="504" t="s">
        <v>414</v>
      </c>
      <c r="G10514" s="504" t="s">
        <v>3368</v>
      </c>
      <c r="H10514" s="504" t="s">
        <v>12913</v>
      </c>
      <c r="I10514" s="504">
        <v>411</v>
      </c>
      <c r="J10514" s="504">
        <v>0</v>
      </c>
      <c r="K10514" s="504">
        <v>0</v>
      </c>
      <c r="L10514" s="504">
        <v>411</v>
      </c>
      <c r="M10514" s="504">
        <v>0</v>
      </c>
      <c r="N10514" s="504">
        <v>0</v>
      </c>
      <c r="O10514" s="505">
        <v>0</v>
      </c>
    </row>
    <row r="10515" spans="1:15" x14ac:dyDescent="0.35">
      <c r="A10515" s="500" t="s">
        <v>1190</v>
      </c>
      <c r="B10515" s="501">
        <v>4662</v>
      </c>
      <c r="C10515" s="501" t="s">
        <v>1094</v>
      </c>
      <c r="D10515" s="501" t="s">
        <v>3380</v>
      </c>
      <c r="E10515" s="501" t="s">
        <v>3381</v>
      </c>
      <c r="F10515" s="501" t="s">
        <v>2</v>
      </c>
      <c r="G10515" s="501" t="s">
        <v>3368</v>
      </c>
      <c r="H10515" s="501" t="s">
        <v>12908</v>
      </c>
      <c r="I10515" s="501">
        <v>202</v>
      </c>
      <c r="J10515" s="501">
        <v>0</v>
      </c>
      <c r="K10515" s="501">
        <v>0</v>
      </c>
      <c r="L10515" s="501">
        <v>202</v>
      </c>
      <c r="M10515" s="501">
        <v>0</v>
      </c>
      <c r="N10515" s="501">
        <v>0</v>
      </c>
      <c r="O10515" s="506">
        <v>0</v>
      </c>
    </row>
    <row r="10516" spans="1:15" x14ac:dyDescent="0.35">
      <c r="A10516" s="503" t="s">
        <v>1190</v>
      </c>
      <c r="B10516" s="504">
        <v>4662</v>
      </c>
      <c r="C10516" s="504" t="s">
        <v>1094</v>
      </c>
      <c r="D10516" s="504" t="s">
        <v>3380</v>
      </c>
      <c r="E10516" s="504" t="s">
        <v>3381</v>
      </c>
      <c r="F10516" s="504" t="s">
        <v>419</v>
      </c>
      <c r="G10516" s="504" t="s">
        <v>3368</v>
      </c>
      <c r="H10516" s="504" t="s">
        <v>12910</v>
      </c>
      <c r="I10516" s="504">
        <v>144</v>
      </c>
      <c r="J10516" s="504">
        <v>0</v>
      </c>
      <c r="K10516" s="504">
        <v>0</v>
      </c>
      <c r="L10516" s="504">
        <v>144</v>
      </c>
      <c r="M10516" s="504">
        <v>0</v>
      </c>
      <c r="N10516" s="504">
        <v>0</v>
      </c>
      <c r="O10516" s="505">
        <v>0</v>
      </c>
    </row>
    <row r="10517" spans="1:15" x14ac:dyDescent="0.35">
      <c r="A10517" s="500" t="s">
        <v>2161</v>
      </c>
      <c r="B10517" s="501" t="s">
        <v>3205</v>
      </c>
      <c r="C10517" s="501" t="s">
        <v>1094</v>
      </c>
      <c r="D10517" s="501" t="s">
        <v>3380</v>
      </c>
      <c r="E10517" s="501" t="s">
        <v>3381</v>
      </c>
      <c r="F10517" s="501" t="s">
        <v>1048</v>
      </c>
      <c r="G10517" s="501" t="s">
        <v>3368</v>
      </c>
      <c r="H10517" s="501" t="s">
        <v>14006</v>
      </c>
      <c r="I10517" s="501">
        <v>21217</v>
      </c>
      <c r="J10517" s="501">
        <v>20345</v>
      </c>
      <c r="K10517" s="501">
        <v>0</v>
      </c>
      <c r="L10517" s="501">
        <v>35</v>
      </c>
      <c r="M10517" s="501">
        <v>705</v>
      </c>
      <c r="N10517" s="501">
        <v>2</v>
      </c>
      <c r="O10517" s="506">
        <v>132</v>
      </c>
    </row>
    <row r="10518" spans="1:15" x14ac:dyDescent="0.35">
      <c r="A10518" s="503" t="s">
        <v>2161</v>
      </c>
      <c r="B10518" s="504" t="s">
        <v>3205</v>
      </c>
      <c r="C10518" s="504" t="s">
        <v>1094</v>
      </c>
      <c r="D10518" s="504" t="s">
        <v>3380</v>
      </c>
      <c r="E10518" s="504" t="s">
        <v>3381</v>
      </c>
      <c r="F10518" s="504" t="s">
        <v>418</v>
      </c>
      <c r="G10518" s="504" t="s">
        <v>3368</v>
      </c>
      <c r="H10518" s="504" t="s">
        <v>15387</v>
      </c>
      <c r="I10518" s="504">
        <v>4</v>
      </c>
      <c r="J10518" s="504">
        <v>4</v>
      </c>
      <c r="K10518" s="504">
        <v>0</v>
      </c>
      <c r="L10518" s="504">
        <v>0</v>
      </c>
      <c r="M10518" s="504">
        <v>0</v>
      </c>
      <c r="N10518" s="504">
        <v>0</v>
      </c>
      <c r="O10518" s="505">
        <v>0</v>
      </c>
    </row>
    <row r="10519" spans="1:15" x14ac:dyDescent="0.35">
      <c r="A10519" s="500" t="s">
        <v>1307</v>
      </c>
      <c r="B10519" s="501" t="s">
        <v>3306</v>
      </c>
      <c r="C10519" s="501" t="s">
        <v>1089</v>
      </c>
      <c r="D10519" s="501" t="s">
        <v>3392</v>
      </c>
      <c r="E10519" s="501" t="s">
        <v>3381</v>
      </c>
      <c r="F10519" s="501" t="s">
        <v>416</v>
      </c>
      <c r="G10519" s="501" t="s">
        <v>3368</v>
      </c>
      <c r="H10519" s="501" t="s">
        <v>12917</v>
      </c>
      <c r="I10519" s="501">
        <v>574</v>
      </c>
      <c r="J10519" s="501">
        <v>511</v>
      </c>
      <c r="K10519" s="501">
        <v>0</v>
      </c>
      <c r="L10519" s="501">
        <v>38</v>
      </c>
      <c r="M10519" s="501">
        <v>25</v>
      </c>
      <c r="N10519" s="501">
        <v>0</v>
      </c>
      <c r="O10519" s="506">
        <v>0</v>
      </c>
    </row>
    <row r="10520" spans="1:15" x14ac:dyDescent="0.35">
      <c r="A10520" s="503" t="s">
        <v>1307</v>
      </c>
      <c r="B10520" s="504" t="s">
        <v>3306</v>
      </c>
      <c r="C10520" s="504" t="s">
        <v>1089</v>
      </c>
      <c r="D10520" s="504" t="s">
        <v>3392</v>
      </c>
      <c r="E10520" s="504" t="s">
        <v>3381</v>
      </c>
      <c r="F10520" s="504" t="s">
        <v>415</v>
      </c>
      <c r="G10520" s="504" t="s">
        <v>3368</v>
      </c>
      <c r="H10520" s="504" t="s">
        <v>12916</v>
      </c>
      <c r="I10520" s="504">
        <v>3</v>
      </c>
      <c r="J10520" s="504">
        <v>3</v>
      </c>
      <c r="K10520" s="504">
        <v>0</v>
      </c>
      <c r="L10520" s="504">
        <v>0</v>
      </c>
      <c r="M10520" s="504">
        <v>0</v>
      </c>
      <c r="N10520" s="504">
        <v>0</v>
      </c>
      <c r="O10520" s="505">
        <v>0</v>
      </c>
    </row>
    <row r="10521" spans="1:15" x14ac:dyDescent="0.35">
      <c r="A10521" s="500" t="s">
        <v>1474</v>
      </c>
      <c r="B10521" s="501" t="s">
        <v>3300</v>
      </c>
      <c r="C10521" s="501" t="s">
        <v>1094</v>
      </c>
      <c r="D10521" s="501" t="s">
        <v>3380</v>
      </c>
      <c r="E10521" s="501" t="s">
        <v>3381</v>
      </c>
      <c r="F10521" s="501" t="s">
        <v>416</v>
      </c>
      <c r="G10521" s="501" t="s">
        <v>3368</v>
      </c>
      <c r="H10521" s="501" t="s">
        <v>12919</v>
      </c>
      <c r="I10521" s="501">
        <v>1240</v>
      </c>
      <c r="J10521" s="501">
        <v>1174</v>
      </c>
      <c r="K10521" s="501">
        <v>0</v>
      </c>
      <c r="L10521" s="501">
        <v>0</v>
      </c>
      <c r="M10521" s="501">
        <v>0</v>
      </c>
      <c r="N10521" s="501">
        <v>0</v>
      </c>
      <c r="O10521" s="506">
        <v>66</v>
      </c>
    </row>
    <row r="10522" spans="1:15" x14ac:dyDescent="0.35">
      <c r="A10522" s="503" t="s">
        <v>1474</v>
      </c>
      <c r="B10522" s="504" t="s">
        <v>3300</v>
      </c>
      <c r="C10522" s="504" t="s">
        <v>1094</v>
      </c>
      <c r="D10522" s="504" t="s">
        <v>3380</v>
      </c>
      <c r="E10522" s="504" t="s">
        <v>3381</v>
      </c>
      <c r="F10522" s="504" t="s">
        <v>2</v>
      </c>
      <c r="G10522" s="504" t="s">
        <v>3368</v>
      </c>
      <c r="H10522" s="504" t="s">
        <v>12918</v>
      </c>
      <c r="I10522" s="504">
        <v>89</v>
      </c>
      <c r="J10522" s="504">
        <v>77</v>
      </c>
      <c r="K10522" s="504">
        <v>0</v>
      </c>
      <c r="L10522" s="504">
        <v>0</v>
      </c>
      <c r="M10522" s="504">
        <v>0</v>
      </c>
      <c r="N10522" s="504">
        <v>0</v>
      </c>
      <c r="O10522" s="505">
        <v>12</v>
      </c>
    </row>
    <row r="10523" spans="1:15" x14ac:dyDescent="0.35">
      <c r="A10523" s="500" t="s">
        <v>1716</v>
      </c>
      <c r="B10523" s="501" t="s">
        <v>2960</v>
      </c>
      <c r="C10523" s="501" t="s">
        <v>1094</v>
      </c>
      <c r="D10523" s="501" t="s">
        <v>3380</v>
      </c>
      <c r="E10523" s="501" t="s">
        <v>3381</v>
      </c>
      <c r="F10523" s="501" t="s">
        <v>418</v>
      </c>
      <c r="G10523" s="501" t="s">
        <v>3368</v>
      </c>
      <c r="H10523" s="501" t="s">
        <v>12920</v>
      </c>
      <c r="I10523" s="501">
        <v>7270</v>
      </c>
      <c r="J10523" s="501">
        <v>6329</v>
      </c>
      <c r="K10523" s="501">
        <v>0</v>
      </c>
      <c r="L10523" s="501">
        <v>286</v>
      </c>
      <c r="M10523" s="501">
        <v>457</v>
      </c>
      <c r="N10523" s="501">
        <v>0</v>
      </c>
      <c r="O10523" s="506">
        <v>198</v>
      </c>
    </row>
    <row r="10524" spans="1:15" x14ac:dyDescent="0.35">
      <c r="A10524" s="503" t="s">
        <v>1853</v>
      </c>
      <c r="B10524" s="504" t="s">
        <v>3075</v>
      </c>
      <c r="C10524" s="504" t="s">
        <v>1089</v>
      </c>
      <c r="D10524" s="504" t="s">
        <v>3392</v>
      </c>
      <c r="E10524" s="504" t="s">
        <v>3381</v>
      </c>
      <c r="F10524" s="504" t="s">
        <v>2</v>
      </c>
      <c r="G10524" s="504" t="s">
        <v>3368</v>
      </c>
      <c r="H10524" s="504" t="s">
        <v>12921</v>
      </c>
      <c r="I10524" s="504">
        <v>37</v>
      </c>
      <c r="J10524" s="504">
        <v>37</v>
      </c>
      <c r="K10524" s="504">
        <v>0</v>
      </c>
      <c r="L10524" s="504">
        <v>0</v>
      </c>
      <c r="M10524" s="504">
        <v>0</v>
      </c>
      <c r="N10524" s="504">
        <v>0</v>
      </c>
      <c r="O10524" s="505">
        <v>0</v>
      </c>
    </row>
    <row r="10525" spans="1:15" x14ac:dyDescent="0.35">
      <c r="A10525" s="500" t="s">
        <v>1475</v>
      </c>
      <c r="B10525" s="501">
        <v>4675</v>
      </c>
      <c r="C10525" s="501" t="s">
        <v>1089</v>
      </c>
      <c r="D10525" s="501" t="s">
        <v>3392</v>
      </c>
      <c r="E10525" s="501" t="s">
        <v>3381</v>
      </c>
      <c r="F10525" s="501" t="s">
        <v>416</v>
      </c>
      <c r="G10525" s="501" t="s">
        <v>3368</v>
      </c>
      <c r="H10525" s="501" t="s">
        <v>12922</v>
      </c>
      <c r="I10525" s="501">
        <v>92</v>
      </c>
      <c r="J10525" s="501">
        <v>80</v>
      </c>
      <c r="K10525" s="501">
        <v>0</v>
      </c>
      <c r="L10525" s="501">
        <v>12</v>
      </c>
      <c r="M10525" s="501">
        <v>0</v>
      </c>
      <c r="N10525" s="501">
        <v>0</v>
      </c>
      <c r="O10525" s="506">
        <v>0</v>
      </c>
    </row>
    <row r="10526" spans="1:15" x14ac:dyDescent="0.35">
      <c r="A10526" s="503" t="s">
        <v>1477</v>
      </c>
      <c r="B10526" s="504" t="s">
        <v>2683</v>
      </c>
      <c r="C10526" s="504" t="s">
        <v>1089</v>
      </c>
      <c r="D10526" s="504" t="s">
        <v>3392</v>
      </c>
      <c r="E10526" s="504" t="s">
        <v>3381</v>
      </c>
      <c r="F10526" s="504" t="s">
        <v>416</v>
      </c>
      <c r="G10526" s="504" t="s">
        <v>3368</v>
      </c>
      <c r="H10526" s="504" t="s">
        <v>12923</v>
      </c>
      <c r="I10526" s="504">
        <v>104</v>
      </c>
      <c r="J10526" s="504">
        <v>104</v>
      </c>
      <c r="K10526" s="504">
        <v>0</v>
      </c>
      <c r="L10526" s="504">
        <v>0</v>
      </c>
      <c r="M10526" s="504">
        <v>0</v>
      </c>
      <c r="N10526" s="504">
        <v>0</v>
      </c>
      <c r="O10526" s="505">
        <v>0</v>
      </c>
    </row>
    <row r="10527" spans="1:15" x14ac:dyDescent="0.35">
      <c r="A10527" s="500" t="s">
        <v>1476</v>
      </c>
      <c r="B10527" s="501" t="s">
        <v>2988</v>
      </c>
      <c r="C10527" s="501" t="s">
        <v>1094</v>
      </c>
      <c r="D10527" s="501" t="s">
        <v>3380</v>
      </c>
      <c r="E10527" s="501" t="s">
        <v>3381</v>
      </c>
      <c r="F10527" s="501" t="s">
        <v>416</v>
      </c>
      <c r="G10527" s="501" t="s">
        <v>3368</v>
      </c>
      <c r="H10527" s="501" t="s">
        <v>12924</v>
      </c>
      <c r="I10527" s="501">
        <v>2329</v>
      </c>
      <c r="J10527" s="501">
        <v>1843</v>
      </c>
      <c r="K10527" s="501">
        <v>0</v>
      </c>
      <c r="L10527" s="501">
        <v>70</v>
      </c>
      <c r="M10527" s="501">
        <v>42</v>
      </c>
      <c r="N10527" s="501">
        <v>185</v>
      </c>
      <c r="O10527" s="506">
        <v>374</v>
      </c>
    </row>
    <row r="10528" spans="1:15" x14ac:dyDescent="0.35">
      <c r="A10528" s="503" t="s">
        <v>1717</v>
      </c>
      <c r="B10528" s="504">
        <v>4737</v>
      </c>
      <c r="C10528" s="504" t="s">
        <v>1089</v>
      </c>
      <c r="D10528" s="504" t="s">
        <v>3392</v>
      </c>
      <c r="E10528" s="504" t="s">
        <v>3381</v>
      </c>
      <c r="F10528" s="504" t="s">
        <v>418</v>
      </c>
      <c r="G10528" s="504" t="s">
        <v>3368</v>
      </c>
      <c r="H10528" s="504" t="s">
        <v>12925</v>
      </c>
      <c r="I10528" s="504">
        <v>155</v>
      </c>
      <c r="J10528" s="504">
        <v>155</v>
      </c>
      <c r="K10528" s="504">
        <v>0</v>
      </c>
      <c r="L10528" s="504">
        <v>0</v>
      </c>
      <c r="M10528" s="504">
        <v>0</v>
      </c>
      <c r="N10528" s="504">
        <v>0</v>
      </c>
      <c r="O10528" s="505">
        <v>0</v>
      </c>
    </row>
    <row r="10529" spans="1:15" x14ac:dyDescent="0.35">
      <c r="A10529" s="500" t="s">
        <v>1717</v>
      </c>
      <c r="B10529" s="501">
        <v>4737</v>
      </c>
      <c r="C10529" s="501" t="s">
        <v>1089</v>
      </c>
      <c r="D10529" s="501" t="s">
        <v>3392</v>
      </c>
      <c r="E10529" s="501" t="s">
        <v>3381</v>
      </c>
      <c r="F10529" s="501" t="s">
        <v>1048</v>
      </c>
      <c r="G10529" s="501" t="s">
        <v>3368</v>
      </c>
      <c r="H10529" s="501" t="s">
        <v>14007</v>
      </c>
      <c r="I10529" s="501">
        <v>8</v>
      </c>
      <c r="J10529" s="501">
        <v>8</v>
      </c>
      <c r="K10529" s="501">
        <v>0</v>
      </c>
      <c r="L10529" s="501">
        <v>0</v>
      </c>
      <c r="M10529" s="501">
        <v>0</v>
      </c>
      <c r="N10529" s="501">
        <v>0</v>
      </c>
      <c r="O10529" s="506">
        <v>0</v>
      </c>
    </row>
    <row r="10530" spans="1:15" x14ac:dyDescent="0.35">
      <c r="A10530" s="503" t="s">
        <v>1635</v>
      </c>
      <c r="B10530" s="504" t="s">
        <v>2515</v>
      </c>
      <c r="C10530" s="504" t="s">
        <v>1089</v>
      </c>
      <c r="D10530" s="504" t="s">
        <v>3392</v>
      </c>
      <c r="E10530" s="504" t="s">
        <v>3381</v>
      </c>
      <c r="F10530" s="504" t="s">
        <v>417</v>
      </c>
      <c r="G10530" s="504" t="s">
        <v>3368</v>
      </c>
      <c r="H10530" s="504" t="s">
        <v>12926</v>
      </c>
      <c r="I10530" s="504">
        <v>5</v>
      </c>
      <c r="J10530" s="504">
        <v>5</v>
      </c>
      <c r="K10530" s="504">
        <v>0</v>
      </c>
      <c r="L10530" s="504">
        <v>0</v>
      </c>
      <c r="M10530" s="504">
        <v>0</v>
      </c>
      <c r="N10530" s="504">
        <v>0</v>
      </c>
      <c r="O10530" s="505">
        <v>0</v>
      </c>
    </row>
    <row r="10531" spans="1:15" x14ac:dyDescent="0.35">
      <c r="A10531" s="500" t="s">
        <v>1854</v>
      </c>
      <c r="B10531" s="501" t="s">
        <v>2555</v>
      </c>
      <c r="C10531" s="501" t="s">
        <v>1089</v>
      </c>
      <c r="D10531" s="501" t="s">
        <v>3392</v>
      </c>
      <c r="E10531" s="501" t="s">
        <v>3381</v>
      </c>
      <c r="F10531" s="501" t="s">
        <v>2</v>
      </c>
      <c r="G10531" s="501" t="s">
        <v>3368</v>
      </c>
      <c r="H10531" s="501" t="s">
        <v>12927</v>
      </c>
      <c r="I10531" s="501">
        <v>6</v>
      </c>
      <c r="J10531" s="501">
        <v>6</v>
      </c>
      <c r="K10531" s="501">
        <v>0</v>
      </c>
      <c r="L10531" s="501">
        <v>0</v>
      </c>
      <c r="M10531" s="501">
        <v>0</v>
      </c>
      <c r="N10531" s="501">
        <v>0</v>
      </c>
      <c r="O10531" s="506">
        <v>0</v>
      </c>
    </row>
    <row r="10532" spans="1:15" x14ac:dyDescent="0.35">
      <c r="A10532" s="503" t="s">
        <v>1636</v>
      </c>
      <c r="B10532" s="504" t="s">
        <v>2480</v>
      </c>
      <c r="C10532" s="504" t="s">
        <v>1089</v>
      </c>
      <c r="D10532" s="504" t="s">
        <v>3392</v>
      </c>
      <c r="E10532" s="504" t="s">
        <v>3381</v>
      </c>
      <c r="F10532" s="504" t="s">
        <v>417</v>
      </c>
      <c r="G10532" s="504" t="s">
        <v>3368</v>
      </c>
      <c r="H10532" s="504" t="s">
        <v>12928</v>
      </c>
      <c r="I10532" s="504">
        <v>101</v>
      </c>
      <c r="J10532" s="504">
        <v>0</v>
      </c>
      <c r="K10532" s="504">
        <v>0</v>
      </c>
      <c r="L10532" s="504">
        <v>0</v>
      </c>
      <c r="M10532" s="504">
        <v>101</v>
      </c>
      <c r="N10532" s="504">
        <v>0</v>
      </c>
      <c r="O10532" s="505">
        <v>0</v>
      </c>
    </row>
    <row r="10533" spans="1:15" x14ac:dyDescent="0.35">
      <c r="A10533" s="500" t="s">
        <v>1637</v>
      </c>
      <c r="B10533" s="501" t="s">
        <v>2451</v>
      </c>
      <c r="C10533" s="501" t="s">
        <v>1089</v>
      </c>
      <c r="D10533" s="501" t="s">
        <v>3392</v>
      </c>
      <c r="E10533" s="501" t="s">
        <v>3381</v>
      </c>
      <c r="F10533" s="501" t="s">
        <v>417</v>
      </c>
      <c r="G10533" s="501" t="s">
        <v>3368</v>
      </c>
      <c r="H10533" s="501" t="s">
        <v>12929</v>
      </c>
      <c r="I10533" s="501">
        <v>8</v>
      </c>
      <c r="J10533" s="501">
        <v>0</v>
      </c>
      <c r="K10533" s="501">
        <v>0</v>
      </c>
      <c r="L10533" s="501">
        <v>0</v>
      </c>
      <c r="M10533" s="501">
        <v>8</v>
      </c>
      <c r="N10533" s="501">
        <v>0</v>
      </c>
      <c r="O10533" s="506">
        <v>0</v>
      </c>
    </row>
    <row r="10534" spans="1:15" x14ac:dyDescent="0.35">
      <c r="A10534" s="503" t="s">
        <v>1308</v>
      </c>
      <c r="B10534" s="504" t="s">
        <v>3263</v>
      </c>
      <c r="C10534" s="504" t="s">
        <v>1089</v>
      </c>
      <c r="D10534" s="504" t="s">
        <v>3392</v>
      </c>
      <c r="E10534" s="504" t="s">
        <v>3381</v>
      </c>
      <c r="F10534" s="504" t="s">
        <v>2</v>
      </c>
      <c r="G10534" s="504" t="s">
        <v>3368</v>
      </c>
      <c r="H10534" s="504" t="s">
        <v>12930</v>
      </c>
      <c r="I10534" s="504">
        <v>15</v>
      </c>
      <c r="J10534" s="504">
        <v>0</v>
      </c>
      <c r="K10534" s="504">
        <v>0</v>
      </c>
      <c r="L10534" s="504">
        <v>0</v>
      </c>
      <c r="M10534" s="504">
        <v>15</v>
      </c>
      <c r="N10534" s="504">
        <v>0</v>
      </c>
      <c r="O10534" s="505">
        <v>0</v>
      </c>
    </row>
    <row r="10535" spans="1:15" x14ac:dyDescent="0.35">
      <c r="A10535" s="500" t="s">
        <v>1308</v>
      </c>
      <c r="B10535" s="501" t="s">
        <v>3263</v>
      </c>
      <c r="C10535" s="501" t="s">
        <v>1089</v>
      </c>
      <c r="D10535" s="501" t="s">
        <v>3392</v>
      </c>
      <c r="E10535" s="501" t="s">
        <v>3381</v>
      </c>
      <c r="F10535" s="501" t="s">
        <v>415</v>
      </c>
      <c r="G10535" s="501" t="s">
        <v>3368</v>
      </c>
      <c r="H10535" s="501" t="s">
        <v>12932</v>
      </c>
      <c r="I10535" s="501">
        <v>42</v>
      </c>
      <c r="J10535" s="501">
        <v>0</v>
      </c>
      <c r="K10535" s="501">
        <v>0</v>
      </c>
      <c r="L10535" s="501">
        <v>0</v>
      </c>
      <c r="M10535" s="501">
        <v>42</v>
      </c>
      <c r="N10535" s="501">
        <v>0</v>
      </c>
      <c r="O10535" s="506">
        <v>0</v>
      </c>
    </row>
    <row r="10536" spans="1:15" x14ac:dyDescent="0.35">
      <c r="A10536" s="503" t="s">
        <v>1308</v>
      </c>
      <c r="B10536" s="504" t="s">
        <v>3263</v>
      </c>
      <c r="C10536" s="504" t="s">
        <v>1089</v>
      </c>
      <c r="D10536" s="504" t="s">
        <v>3392</v>
      </c>
      <c r="E10536" s="504" t="s">
        <v>3381</v>
      </c>
      <c r="F10536" s="504" t="s">
        <v>416</v>
      </c>
      <c r="G10536" s="504" t="s">
        <v>3368</v>
      </c>
      <c r="H10536" s="504" t="s">
        <v>12931</v>
      </c>
      <c r="I10536" s="504">
        <v>370</v>
      </c>
      <c r="J10536" s="504">
        <v>4</v>
      </c>
      <c r="K10536" s="504">
        <v>0</v>
      </c>
      <c r="L10536" s="504">
        <v>2</v>
      </c>
      <c r="M10536" s="504">
        <v>364</v>
      </c>
      <c r="N10536" s="504">
        <v>0</v>
      </c>
      <c r="O10536" s="505">
        <v>0</v>
      </c>
    </row>
    <row r="10537" spans="1:15" x14ac:dyDescent="0.35">
      <c r="A10537" s="500" t="s">
        <v>1718</v>
      </c>
      <c r="B10537" s="501" t="s">
        <v>3352</v>
      </c>
      <c r="C10537" s="501" t="s">
        <v>1094</v>
      </c>
      <c r="D10537" s="501" t="s">
        <v>3392</v>
      </c>
      <c r="E10537" s="501" t="s">
        <v>3381</v>
      </c>
      <c r="F10537" s="501" t="s">
        <v>418</v>
      </c>
      <c r="G10537" s="501" t="s">
        <v>3368</v>
      </c>
      <c r="H10537" s="501" t="s">
        <v>12933</v>
      </c>
      <c r="I10537" s="501">
        <v>5</v>
      </c>
      <c r="J10537" s="501">
        <v>5</v>
      </c>
      <c r="K10537" s="501">
        <v>0</v>
      </c>
      <c r="L10537" s="501">
        <v>0</v>
      </c>
      <c r="M10537" s="501">
        <v>0</v>
      </c>
      <c r="N10537" s="501">
        <v>0</v>
      </c>
      <c r="O10537" s="506">
        <v>0</v>
      </c>
    </row>
    <row r="10538" spans="1:15" x14ac:dyDescent="0.35">
      <c r="A10538" s="503" t="s">
        <v>1191</v>
      </c>
      <c r="B10538" s="504" t="s">
        <v>3222</v>
      </c>
      <c r="C10538" s="504" t="s">
        <v>1094</v>
      </c>
      <c r="D10538" s="504" t="s">
        <v>3380</v>
      </c>
      <c r="E10538" s="504" t="s">
        <v>3381</v>
      </c>
      <c r="F10538" s="504" t="s">
        <v>414</v>
      </c>
      <c r="G10538" s="504" t="s">
        <v>3368</v>
      </c>
      <c r="H10538" s="504" t="s">
        <v>12934</v>
      </c>
      <c r="I10538" s="504">
        <v>3208</v>
      </c>
      <c r="J10538" s="504">
        <v>2343</v>
      </c>
      <c r="K10538" s="504">
        <v>0</v>
      </c>
      <c r="L10538" s="504">
        <v>0</v>
      </c>
      <c r="M10538" s="504">
        <v>831</v>
      </c>
      <c r="N10538" s="504">
        <v>0</v>
      </c>
      <c r="O10538" s="505">
        <v>34</v>
      </c>
    </row>
    <row r="10539" spans="1:15" x14ac:dyDescent="0.35">
      <c r="A10539" s="500" t="s">
        <v>11401</v>
      </c>
      <c r="B10539" s="501" t="s">
        <v>3241</v>
      </c>
      <c r="C10539" s="501" t="s">
        <v>1094</v>
      </c>
      <c r="D10539" s="501" t="s">
        <v>3380</v>
      </c>
      <c r="E10539" s="501" t="s">
        <v>3381</v>
      </c>
      <c r="F10539" s="501" t="s">
        <v>418</v>
      </c>
      <c r="G10539" s="501" t="s">
        <v>3368</v>
      </c>
      <c r="H10539" s="501" t="s">
        <v>12935</v>
      </c>
      <c r="I10539" s="501">
        <v>14666</v>
      </c>
      <c r="J10539" s="501">
        <v>11456</v>
      </c>
      <c r="K10539" s="501">
        <v>0</v>
      </c>
      <c r="L10539" s="501">
        <v>441</v>
      </c>
      <c r="M10539" s="501">
        <v>1647</v>
      </c>
      <c r="N10539" s="501">
        <v>128</v>
      </c>
      <c r="O10539" s="506">
        <v>1122</v>
      </c>
    </row>
    <row r="10540" spans="1:15" x14ac:dyDescent="0.35">
      <c r="A10540" s="503" t="s">
        <v>11401</v>
      </c>
      <c r="B10540" s="504" t="s">
        <v>3241</v>
      </c>
      <c r="C10540" s="504" t="s">
        <v>1094</v>
      </c>
      <c r="D10540" s="504" t="s">
        <v>3380</v>
      </c>
      <c r="E10540" s="504" t="s">
        <v>3381</v>
      </c>
      <c r="F10540" s="504" t="s">
        <v>1048</v>
      </c>
      <c r="G10540" s="504" t="s">
        <v>3368</v>
      </c>
      <c r="H10540" s="504" t="s">
        <v>14008</v>
      </c>
      <c r="I10540" s="504">
        <v>20</v>
      </c>
      <c r="J10540" s="504">
        <v>9</v>
      </c>
      <c r="K10540" s="504">
        <v>0</v>
      </c>
      <c r="L10540" s="504">
        <v>0</v>
      </c>
      <c r="M10540" s="504">
        <v>0</v>
      </c>
      <c r="N10540" s="504">
        <v>0</v>
      </c>
      <c r="O10540" s="505">
        <v>11</v>
      </c>
    </row>
    <row r="10541" spans="1:15" x14ac:dyDescent="0.35">
      <c r="A10541" s="500" t="s">
        <v>11402</v>
      </c>
      <c r="B10541" s="501" t="s">
        <v>3344</v>
      </c>
      <c r="C10541" s="501" t="s">
        <v>1094</v>
      </c>
      <c r="D10541" s="501" t="s">
        <v>3380</v>
      </c>
      <c r="E10541" s="501" t="s">
        <v>3381</v>
      </c>
      <c r="F10541" s="501" t="s">
        <v>418</v>
      </c>
      <c r="G10541" s="501" t="s">
        <v>3368</v>
      </c>
      <c r="H10541" s="501" t="s">
        <v>12936</v>
      </c>
      <c r="I10541" s="501">
        <v>15027</v>
      </c>
      <c r="J10541" s="501">
        <v>14137</v>
      </c>
      <c r="K10541" s="501">
        <v>0</v>
      </c>
      <c r="L10541" s="501">
        <v>230</v>
      </c>
      <c r="M10541" s="501">
        <v>655</v>
      </c>
      <c r="N10541" s="501">
        <v>11</v>
      </c>
      <c r="O10541" s="506">
        <v>5</v>
      </c>
    </row>
    <row r="10542" spans="1:15" x14ac:dyDescent="0.35">
      <c r="A10542" s="503" t="s">
        <v>1478</v>
      </c>
      <c r="B10542" s="504" t="s">
        <v>2533</v>
      </c>
      <c r="C10542" s="504" t="s">
        <v>1089</v>
      </c>
      <c r="D10542" s="504" t="s">
        <v>3392</v>
      </c>
      <c r="E10542" s="504" t="s">
        <v>3381</v>
      </c>
      <c r="F10542" s="504" t="s">
        <v>416</v>
      </c>
      <c r="G10542" s="504" t="s">
        <v>3368</v>
      </c>
      <c r="H10542" s="504" t="s">
        <v>12937</v>
      </c>
      <c r="I10542" s="504">
        <v>32</v>
      </c>
      <c r="J10542" s="504">
        <v>0</v>
      </c>
      <c r="K10542" s="504">
        <v>32</v>
      </c>
      <c r="L10542" s="504">
        <v>0</v>
      </c>
      <c r="M10542" s="504">
        <v>0</v>
      </c>
      <c r="N10542" s="504">
        <v>0</v>
      </c>
      <c r="O10542" s="505">
        <v>0</v>
      </c>
    </row>
    <row r="10543" spans="1:15" x14ac:dyDescent="0.35">
      <c r="A10543" s="500" t="s">
        <v>1855</v>
      </c>
      <c r="B10543" s="501" t="s">
        <v>2446</v>
      </c>
      <c r="C10543" s="501" t="s">
        <v>1089</v>
      </c>
      <c r="D10543" s="501" t="s">
        <v>3392</v>
      </c>
      <c r="E10543" s="501" t="s">
        <v>3381</v>
      </c>
      <c r="F10543" s="501" t="s">
        <v>2</v>
      </c>
      <c r="G10543" s="501" t="s">
        <v>3368</v>
      </c>
      <c r="H10543" s="501" t="s">
        <v>12938</v>
      </c>
      <c r="I10543" s="501">
        <v>16</v>
      </c>
      <c r="J10543" s="501">
        <v>16</v>
      </c>
      <c r="K10543" s="501">
        <v>0</v>
      </c>
      <c r="L10543" s="501">
        <v>0</v>
      </c>
      <c r="M10543" s="501">
        <v>0</v>
      </c>
      <c r="N10543" s="501">
        <v>0</v>
      </c>
      <c r="O10543" s="506">
        <v>0</v>
      </c>
    </row>
    <row r="10544" spans="1:15" x14ac:dyDescent="0.35">
      <c r="A10544" s="503" t="s">
        <v>1192</v>
      </c>
      <c r="B10544" s="504" t="s">
        <v>2577</v>
      </c>
      <c r="C10544" s="504" t="s">
        <v>1089</v>
      </c>
      <c r="D10544" s="504" t="s">
        <v>3392</v>
      </c>
      <c r="E10544" s="504" t="s">
        <v>3381</v>
      </c>
      <c r="F10544" s="504" t="s">
        <v>414</v>
      </c>
      <c r="G10544" s="504" t="s">
        <v>3368</v>
      </c>
      <c r="H10544" s="504" t="s">
        <v>12939</v>
      </c>
      <c r="I10544" s="504">
        <v>6</v>
      </c>
      <c r="J10544" s="504">
        <v>6</v>
      </c>
      <c r="K10544" s="504">
        <v>0</v>
      </c>
      <c r="L10544" s="504">
        <v>0</v>
      </c>
      <c r="M10544" s="504">
        <v>0</v>
      </c>
      <c r="N10544" s="504">
        <v>0</v>
      </c>
      <c r="O10544" s="505">
        <v>0</v>
      </c>
    </row>
    <row r="10545" spans="1:15" x14ac:dyDescent="0.35">
      <c r="A10545" s="500" t="s">
        <v>2162</v>
      </c>
      <c r="B10545" s="501" t="s">
        <v>2615</v>
      </c>
      <c r="C10545" s="501" t="s">
        <v>1089</v>
      </c>
      <c r="D10545" s="501" t="s">
        <v>3392</v>
      </c>
      <c r="E10545" s="501" t="s">
        <v>3381</v>
      </c>
      <c r="F10545" s="501" t="s">
        <v>1048</v>
      </c>
      <c r="G10545" s="501" t="s">
        <v>3368</v>
      </c>
      <c r="H10545" s="501" t="s">
        <v>14009</v>
      </c>
      <c r="I10545" s="501">
        <v>4</v>
      </c>
      <c r="J10545" s="501">
        <v>4</v>
      </c>
      <c r="K10545" s="501">
        <v>0</v>
      </c>
      <c r="L10545" s="501">
        <v>0</v>
      </c>
      <c r="M10545" s="501">
        <v>0</v>
      </c>
      <c r="N10545" s="501">
        <v>0</v>
      </c>
      <c r="O10545" s="506">
        <v>0</v>
      </c>
    </row>
    <row r="10546" spans="1:15" x14ac:dyDescent="0.35">
      <c r="A10546" s="503" t="s">
        <v>14237</v>
      </c>
      <c r="B10546" s="504" t="s">
        <v>14236</v>
      </c>
      <c r="C10546" s="504" t="s">
        <v>1089</v>
      </c>
      <c r="D10546" s="504" t="s">
        <v>3392</v>
      </c>
      <c r="E10546" s="504" t="s">
        <v>3381</v>
      </c>
      <c r="F10546" s="504" t="s">
        <v>2</v>
      </c>
      <c r="G10546" s="504" t="s">
        <v>3368</v>
      </c>
      <c r="H10546" s="504" t="s">
        <v>15388</v>
      </c>
      <c r="I10546" s="504">
        <v>4</v>
      </c>
      <c r="J10546" s="504">
        <v>4</v>
      </c>
      <c r="K10546" s="504">
        <v>0</v>
      </c>
      <c r="L10546" s="504">
        <v>0</v>
      </c>
      <c r="M10546" s="504">
        <v>0</v>
      </c>
      <c r="N10546" s="504">
        <v>0</v>
      </c>
      <c r="O10546" s="505">
        <v>0</v>
      </c>
    </row>
    <row r="10547" spans="1:15" x14ac:dyDescent="0.35">
      <c r="A10547" s="500" t="s">
        <v>2163</v>
      </c>
      <c r="B10547" s="501" t="s">
        <v>2482</v>
      </c>
      <c r="C10547" s="501" t="s">
        <v>1089</v>
      </c>
      <c r="D10547" s="501" t="s">
        <v>3392</v>
      </c>
      <c r="E10547" s="501" t="s">
        <v>3381</v>
      </c>
      <c r="F10547" s="501" t="s">
        <v>1048</v>
      </c>
      <c r="G10547" s="501" t="s">
        <v>3368</v>
      </c>
      <c r="H10547" s="501" t="s">
        <v>14010</v>
      </c>
      <c r="I10547" s="501">
        <v>32</v>
      </c>
      <c r="J10547" s="501">
        <v>0</v>
      </c>
      <c r="K10547" s="501">
        <v>0</v>
      </c>
      <c r="L10547" s="501">
        <v>0</v>
      </c>
      <c r="M10547" s="501">
        <v>32</v>
      </c>
      <c r="N10547" s="501">
        <v>0</v>
      </c>
      <c r="O10547" s="506">
        <v>0</v>
      </c>
    </row>
    <row r="10548" spans="1:15" x14ac:dyDescent="0.35">
      <c r="A10548" s="503" t="s">
        <v>1638</v>
      </c>
      <c r="B10548" s="504">
        <v>5079</v>
      </c>
      <c r="C10548" s="504" t="s">
        <v>1094</v>
      </c>
      <c r="D10548" s="504" t="s">
        <v>3380</v>
      </c>
      <c r="E10548" s="504" t="s">
        <v>3381</v>
      </c>
      <c r="F10548" s="504" t="s">
        <v>1048</v>
      </c>
      <c r="G10548" s="504" t="s">
        <v>3368</v>
      </c>
      <c r="H10548" s="504" t="s">
        <v>14011</v>
      </c>
      <c r="I10548" s="504">
        <v>2013</v>
      </c>
      <c r="J10548" s="504">
        <v>1234</v>
      </c>
      <c r="K10548" s="504">
        <v>0</v>
      </c>
      <c r="L10548" s="504">
        <v>54</v>
      </c>
      <c r="M10548" s="504">
        <v>161</v>
      </c>
      <c r="N10548" s="504">
        <v>0</v>
      </c>
      <c r="O10548" s="505">
        <v>564</v>
      </c>
    </row>
    <row r="10549" spans="1:15" x14ac:dyDescent="0.35">
      <c r="A10549" s="500" t="s">
        <v>1638</v>
      </c>
      <c r="B10549" s="501">
        <v>5079</v>
      </c>
      <c r="C10549" s="501" t="s">
        <v>1094</v>
      </c>
      <c r="D10549" s="501" t="s">
        <v>3380</v>
      </c>
      <c r="E10549" s="501" t="s">
        <v>3381</v>
      </c>
      <c r="F10549" s="501" t="s">
        <v>417</v>
      </c>
      <c r="G10549" s="501" t="s">
        <v>3368</v>
      </c>
      <c r="H10549" s="501" t="s">
        <v>12940</v>
      </c>
      <c r="I10549" s="501">
        <v>207</v>
      </c>
      <c r="J10549" s="501">
        <v>0</v>
      </c>
      <c r="K10549" s="501">
        <v>0</v>
      </c>
      <c r="L10549" s="501">
        <v>0</v>
      </c>
      <c r="M10549" s="501">
        <v>155</v>
      </c>
      <c r="N10549" s="501">
        <v>0</v>
      </c>
      <c r="O10549" s="506">
        <v>52</v>
      </c>
    </row>
    <row r="10550" spans="1:15" x14ac:dyDescent="0.35">
      <c r="A10550" s="503" t="s">
        <v>1719</v>
      </c>
      <c r="B10550" s="504" t="s">
        <v>2489</v>
      </c>
      <c r="C10550" s="504" t="s">
        <v>1089</v>
      </c>
      <c r="D10550" s="504" t="s">
        <v>3392</v>
      </c>
      <c r="E10550" s="504" t="s">
        <v>3381</v>
      </c>
      <c r="F10550" s="504" t="s">
        <v>418</v>
      </c>
      <c r="G10550" s="504" t="s">
        <v>3368</v>
      </c>
      <c r="H10550" s="504" t="s">
        <v>12941</v>
      </c>
      <c r="I10550" s="504">
        <v>10</v>
      </c>
      <c r="J10550" s="504">
        <v>10</v>
      </c>
      <c r="K10550" s="504">
        <v>0</v>
      </c>
      <c r="L10550" s="504">
        <v>0</v>
      </c>
      <c r="M10550" s="504">
        <v>0</v>
      </c>
      <c r="N10550" s="504">
        <v>0</v>
      </c>
      <c r="O10550" s="505">
        <v>0</v>
      </c>
    </row>
    <row r="10551" spans="1:15" x14ac:dyDescent="0.35">
      <c r="A10551" s="500" t="s">
        <v>1988</v>
      </c>
      <c r="B10551" s="501" t="s">
        <v>3229</v>
      </c>
      <c r="C10551" s="501" t="s">
        <v>1089</v>
      </c>
      <c r="D10551" s="501" t="s">
        <v>3392</v>
      </c>
      <c r="E10551" s="501" t="s">
        <v>3381</v>
      </c>
      <c r="F10551" s="501" t="s">
        <v>419</v>
      </c>
      <c r="G10551" s="501" t="s">
        <v>3368</v>
      </c>
      <c r="H10551" s="501" t="s">
        <v>12942</v>
      </c>
      <c r="I10551" s="501">
        <v>19</v>
      </c>
      <c r="J10551" s="501">
        <v>0</v>
      </c>
      <c r="K10551" s="501">
        <v>0</v>
      </c>
      <c r="L10551" s="501">
        <v>19</v>
      </c>
      <c r="M10551" s="501">
        <v>0</v>
      </c>
      <c r="N10551" s="501">
        <v>0</v>
      </c>
      <c r="O10551" s="506">
        <v>0</v>
      </c>
    </row>
    <row r="10552" spans="1:15" x14ac:dyDescent="0.35">
      <c r="A10552" s="503" t="s">
        <v>1479</v>
      </c>
      <c r="B10552" s="504" t="s">
        <v>3240</v>
      </c>
      <c r="C10552" s="504" t="s">
        <v>1089</v>
      </c>
      <c r="D10552" s="504" t="s">
        <v>3392</v>
      </c>
      <c r="E10552" s="504" t="s">
        <v>3381</v>
      </c>
      <c r="F10552" s="504" t="s">
        <v>416</v>
      </c>
      <c r="G10552" s="504" t="s">
        <v>3368</v>
      </c>
      <c r="H10552" s="504" t="s">
        <v>12943</v>
      </c>
      <c r="I10552" s="504">
        <v>16</v>
      </c>
      <c r="J10552" s="504">
        <v>0</v>
      </c>
      <c r="K10552" s="504">
        <v>0</v>
      </c>
      <c r="L10552" s="504">
        <v>16</v>
      </c>
      <c r="M10552" s="504">
        <v>0</v>
      </c>
      <c r="N10552" s="504">
        <v>0</v>
      </c>
      <c r="O10552" s="505">
        <v>0</v>
      </c>
    </row>
    <row r="10553" spans="1:15" x14ac:dyDescent="0.35">
      <c r="A10553" s="500" t="s">
        <v>1639</v>
      </c>
      <c r="B10553" s="501">
        <v>4846</v>
      </c>
      <c r="C10553" s="501" t="s">
        <v>1094</v>
      </c>
      <c r="D10553" s="501" t="s">
        <v>3380</v>
      </c>
      <c r="E10553" s="501" t="s">
        <v>3381</v>
      </c>
      <c r="F10553" s="501" t="s">
        <v>417</v>
      </c>
      <c r="G10553" s="501" t="s">
        <v>3368</v>
      </c>
      <c r="H10553" s="501" t="s">
        <v>12944</v>
      </c>
      <c r="I10553" s="501">
        <v>27032</v>
      </c>
      <c r="J10553" s="501">
        <v>24760</v>
      </c>
      <c r="K10553" s="501">
        <v>0</v>
      </c>
      <c r="L10553" s="501">
        <v>522</v>
      </c>
      <c r="M10553" s="501">
        <v>1055</v>
      </c>
      <c r="N10553" s="501">
        <v>0</v>
      </c>
      <c r="O10553" s="506">
        <v>695</v>
      </c>
    </row>
    <row r="10554" spans="1:15" x14ac:dyDescent="0.35">
      <c r="A10554" s="503" t="s">
        <v>1639</v>
      </c>
      <c r="B10554" s="504">
        <v>4846</v>
      </c>
      <c r="C10554" s="504" t="s">
        <v>1094</v>
      </c>
      <c r="D10554" s="504" t="s">
        <v>3380</v>
      </c>
      <c r="E10554" s="504" t="s">
        <v>3381</v>
      </c>
      <c r="F10554" s="504" t="s">
        <v>1048</v>
      </c>
      <c r="G10554" s="504" t="s">
        <v>3368</v>
      </c>
      <c r="H10554" s="504" t="s">
        <v>14012</v>
      </c>
      <c r="I10554" s="504">
        <v>429</v>
      </c>
      <c r="J10554" s="504">
        <v>357</v>
      </c>
      <c r="K10554" s="504">
        <v>0</v>
      </c>
      <c r="L10554" s="504">
        <v>0</v>
      </c>
      <c r="M10554" s="504">
        <v>0</v>
      </c>
      <c r="N10554" s="504">
        <v>0</v>
      </c>
      <c r="O10554" s="505">
        <v>72</v>
      </c>
    </row>
    <row r="10555" spans="1:15" x14ac:dyDescent="0.35">
      <c r="A10555" s="500" t="s">
        <v>1480</v>
      </c>
      <c r="B10555" s="501">
        <v>4770</v>
      </c>
      <c r="C10555" s="501" t="s">
        <v>1089</v>
      </c>
      <c r="D10555" s="501" t="s">
        <v>3392</v>
      </c>
      <c r="E10555" s="501" t="s">
        <v>3381</v>
      </c>
      <c r="F10555" s="501" t="s">
        <v>416</v>
      </c>
      <c r="G10555" s="501" t="s">
        <v>3368</v>
      </c>
      <c r="H10555" s="501" t="s">
        <v>12945</v>
      </c>
      <c r="I10555" s="501">
        <v>33</v>
      </c>
      <c r="J10555" s="501">
        <v>33</v>
      </c>
      <c r="K10555" s="501">
        <v>0</v>
      </c>
      <c r="L10555" s="501">
        <v>0</v>
      </c>
      <c r="M10555" s="501">
        <v>0</v>
      </c>
      <c r="N10555" s="501">
        <v>0</v>
      </c>
      <c r="O10555" s="506">
        <v>0</v>
      </c>
    </row>
    <row r="10556" spans="1:15" x14ac:dyDescent="0.35">
      <c r="A10556" s="503" t="s">
        <v>1640</v>
      </c>
      <c r="B10556" s="504">
        <v>4647</v>
      </c>
      <c r="C10556" s="504" t="s">
        <v>1089</v>
      </c>
      <c r="D10556" s="504" t="s">
        <v>3392</v>
      </c>
      <c r="E10556" s="504" t="s">
        <v>3381</v>
      </c>
      <c r="F10556" s="504" t="s">
        <v>417</v>
      </c>
      <c r="G10556" s="504" t="s">
        <v>3368</v>
      </c>
      <c r="H10556" s="504" t="s">
        <v>12946</v>
      </c>
      <c r="I10556" s="504">
        <v>284</v>
      </c>
      <c r="J10556" s="504">
        <v>280</v>
      </c>
      <c r="K10556" s="504">
        <v>0</v>
      </c>
      <c r="L10556" s="504">
        <v>0</v>
      </c>
      <c r="M10556" s="504">
        <v>4</v>
      </c>
      <c r="N10556" s="504">
        <v>2</v>
      </c>
      <c r="O10556" s="505">
        <v>0</v>
      </c>
    </row>
    <row r="10557" spans="1:15" x14ac:dyDescent="0.35">
      <c r="A10557" s="500" t="s">
        <v>1720</v>
      </c>
      <c r="B10557" s="501">
        <v>5097</v>
      </c>
      <c r="C10557" s="501" t="s">
        <v>1089</v>
      </c>
      <c r="D10557" s="501" t="s">
        <v>3392</v>
      </c>
      <c r="E10557" s="501" t="s">
        <v>3381</v>
      </c>
      <c r="F10557" s="501" t="s">
        <v>418</v>
      </c>
      <c r="G10557" s="501" t="s">
        <v>3368</v>
      </c>
      <c r="H10557" s="501" t="s">
        <v>12947</v>
      </c>
      <c r="I10557" s="501">
        <v>41</v>
      </c>
      <c r="J10557" s="501">
        <v>41</v>
      </c>
      <c r="K10557" s="501">
        <v>0</v>
      </c>
      <c r="L10557" s="501">
        <v>0</v>
      </c>
      <c r="M10557" s="501">
        <v>0</v>
      </c>
      <c r="N10557" s="501">
        <v>0</v>
      </c>
      <c r="O10557" s="506">
        <v>0</v>
      </c>
    </row>
    <row r="10558" spans="1:15" x14ac:dyDescent="0.35">
      <c r="A10558" s="503" t="s">
        <v>1481</v>
      </c>
      <c r="B10558" s="504" t="s">
        <v>3083</v>
      </c>
      <c r="C10558" s="504" t="s">
        <v>1089</v>
      </c>
      <c r="D10558" s="504" t="s">
        <v>3392</v>
      </c>
      <c r="E10558" s="504" t="s">
        <v>3381</v>
      </c>
      <c r="F10558" s="504" t="s">
        <v>2</v>
      </c>
      <c r="G10558" s="504" t="s">
        <v>3368</v>
      </c>
      <c r="H10558" s="504" t="s">
        <v>12949</v>
      </c>
      <c r="I10558" s="504">
        <v>67</v>
      </c>
      <c r="J10558" s="504">
        <v>29</v>
      </c>
      <c r="K10558" s="504">
        <v>0</v>
      </c>
      <c r="L10558" s="504">
        <v>0</v>
      </c>
      <c r="M10558" s="504">
        <v>38</v>
      </c>
      <c r="N10558" s="504">
        <v>0</v>
      </c>
      <c r="O10558" s="505">
        <v>0</v>
      </c>
    </row>
    <row r="10559" spans="1:15" x14ac:dyDescent="0.35">
      <c r="A10559" s="500" t="s">
        <v>1481</v>
      </c>
      <c r="B10559" s="501" t="s">
        <v>3083</v>
      </c>
      <c r="C10559" s="501" t="s">
        <v>1089</v>
      </c>
      <c r="D10559" s="501" t="s">
        <v>3392</v>
      </c>
      <c r="E10559" s="501" t="s">
        <v>3381</v>
      </c>
      <c r="F10559" s="501" t="s">
        <v>416</v>
      </c>
      <c r="G10559" s="501" t="s">
        <v>3368</v>
      </c>
      <c r="H10559" s="501" t="s">
        <v>12948</v>
      </c>
      <c r="I10559" s="501">
        <v>780</v>
      </c>
      <c r="J10559" s="501">
        <v>599</v>
      </c>
      <c r="K10559" s="501">
        <v>0</v>
      </c>
      <c r="L10559" s="501">
        <v>35</v>
      </c>
      <c r="M10559" s="501">
        <v>146</v>
      </c>
      <c r="N10559" s="501">
        <v>0</v>
      </c>
      <c r="O10559" s="506">
        <v>0</v>
      </c>
    </row>
    <row r="10560" spans="1:15" x14ac:dyDescent="0.35">
      <c r="A10560" s="503" t="s">
        <v>1721</v>
      </c>
      <c r="B10560" s="504">
        <v>4823</v>
      </c>
      <c r="C10560" s="504" t="s">
        <v>1089</v>
      </c>
      <c r="D10560" s="504" t="s">
        <v>3392</v>
      </c>
      <c r="E10560" s="504" t="s">
        <v>3381</v>
      </c>
      <c r="F10560" s="504" t="s">
        <v>418</v>
      </c>
      <c r="G10560" s="504" t="s">
        <v>3368</v>
      </c>
      <c r="H10560" s="504" t="s">
        <v>12950</v>
      </c>
      <c r="I10560" s="504">
        <v>41</v>
      </c>
      <c r="J10560" s="504">
        <v>41</v>
      </c>
      <c r="K10560" s="504">
        <v>0</v>
      </c>
      <c r="L10560" s="504">
        <v>0</v>
      </c>
      <c r="M10560" s="504">
        <v>0</v>
      </c>
      <c r="N10560" s="504">
        <v>0</v>
      </c>
      <c r="O10560" s="505">
        <v>0</v>
      </c>
    </row>
    <row r="10561" spans="1:15" x14ac:dyDescent="0.35">
      <c r="A10561" s="500" t="s">
        <v>11454</v>
      </c>
      <c r="B10561" s="501">
        <v>4712</v>
      </c>
      <c r="C10561" s="501" t="s">
        <v>1089</v>
      </c>
      <c r="D10561" s="501" t="s">
        <v>3392</v>
      </c>
      <c r="E10561" s="501" t="s">
        <v>3381</v>
      </c>
      <c r="F10561" s="501" t="s">
        <v>418</v>
      </c>
      <c r="G10561" s="501" t="s">
        <v>3368</v>
      </c>
      <c r="H10561" s="501" t="s">
        <v>12951</v>
      </c>
      <c r="I10561" s="501">
        <v>25</v>
      </c>
      <c r="J10561" s="501">
        <v>25</v>
      </c>
      <c r="K10561" s="501">
        <v>0</v>
      </c>
      <c r="L10561" s="501">
        <v>0</v>
      </c>
      <c r="M10561" s="501">
        <v>0</v>
      </c>
      <c r="N10561" s="501">
        <v>0</v>
      </c>
      <c r="O10561" s="506">
        <v>0</v>
      </c>
    </row>
    <row r="10562" spans="1:15" x14ac:dyDescent="0.35">
      <c r="A10562" s="503" t="s">
        <v>1309</v>
      </c>
      <c r="B10562" s="504">
        <v>4725</v>
      </c>
      <c r="C10562" s="504" t="s">
        <v>1089</v>
      </c>
      <c r="D10562" s="504" t="s">
        <v>3392</v>
      </c>
      <c r="E10562" s="504" t="s">
        <v>3381</v>
      </c>
      <c r="F10562" s="504" t="s">
        <v>415</v>
      </c>
      <c r="G10562" s="504" t="s">
        <v>3368</v>
      </c>
      <c r="H10562" s="504" t="s">
        <v>12952</v>
      </c>
      <c r="I10562" s="504">
        <v>115</v>
      </c>
      <c r="J10562" s="504">
        <v>4</v>
      </c>
      <c r="K10562" s="504">
        <v>0</v>
      </c>
      <c r="L10562" s="504">
        <v>111</v>
      </c>
      <c r="M10562" s="504">
        <v>0</v>
      </c>
      <c r="N10562" s="504">
        <v>0</v>
      </c>
      <c r="O10562" s="505">
        <v>0</v>
      </c>
    </row>
    <row r="10563" spans="1:15" x14ac:dyDescent="0.35">
      <c r="A10563" s="500" t="s">
        <v>14239</v>
      </c>
      <c r="B10563" s="501" t="s">
        <v>14238</v>
      </c>
      <c r="C10563" s="501" t="s">
        <v>1089</v>
      </c>
      <c r="D10563" s="501" t="s">
        <v>3392</v>
      </c>
      <c r="E10563" s="501" t="s">
        <v>3381</v>
      </c>
      <c r="F10563" s="501" t="s">
        <v>416</v>
      </c>
      <c r="G10563" s="501" t="s">
        <v>3368</v>
      </c>
      <c r="H10563" s="501" t="s">
        <v>15389</v>
      </c>
      <c r="I10563" s="501">
        <v>37</v>
      </c>
      <c r="J10563" s="501">
        <v>37</v>
      </c>
      <c r="K10563" s="501">
        <v>0</v>
      </c>
      <c r="L10563" s="501">
        <v>0</v>
      </c>
      <c r="M10563" s="501">
        <v>0</v>
      </c>
      <c r="N10563" s="501">
        <v>0</v>
      </c>
      <c r="O10563" s="506">
        <v>0</v>
      </c>
    </row>
    <row r="10564" spans="1:15" x14ac:dyDescent="0.35">
      <c r="A10564" s="503" t="s">
        <v>1856</v>
      </c>
      <c r="B10564" s="504" t="s">
        <v>2513</v>
      </c>
      <c r="C10564" s="504" t="s">
        <v>1089</v>
      </c>
      <c r="D10564" s="504" t="s">
        <v>3392</v>
      </c>
      <c r="E10564" s="504" t="s">
        <v>3381</v>
      </c>
      <c r="F10564" s="504" t="s">
        <v>2</v>
      </c>
      <c r="G10564" s="504" t="s">
        <v>3368</v>
      </c>
      <c r="H10564" s="504" t="s">
        <v>12953</v>
      </c>
      <c r="I10564" s="504">
        <v>12</v>
      </c>
      <c r="J10564" s="504">
        <v>0</v>
      </c>
      <c r="K10564" s="504">
        <v>0</v>
      </c>
      <c r="L10564" s="504">
        <v>0</v>
      </c>
      <c r="M10564" s="504">
        <v>12</v>
      </c>
      <c r="N10564" s="504">
        <v>0</v>
      </c>
      <c r="O10564" s="505">
        <v>0</v>
      </c>
    </row>
    <row r="10565" spans="1:15" x14ac:dyDescent="0.35">
      <c r="A10565" s="500" t="s">
        <v>1989</v>
      </c>
      <c r="B10565" s="501" t="s">
        <v>3073</v>
      </c>
      <c r="C10565" s="501" t="s">
        <v>1089</v>
      </c>
      <c r="D10565" s="501" t="s">
        <v>3392</v>
      </c>
      <c r="E10565" s="501" t="s">
        <v>3381</v>
      </c>
      <c r="F10565" s="501" t="s">
        <v>419</v>
      </c>
      <c r="G10565" s="501" t="s">
        <v>3368</v>
      </c>
      <c r="H10565" s="501" t="s">
        <v>12954</v>
      </c>
      <c r="I10565" s="501">
        <v>147</v>
      </c>
      <c r="J10565" s="501">
        <v>147</v>
      </c>
      <c r="K10565" s="501">
        <v>0</v>
      </c>
      <c r="L10565" s="501">
        <v>0</v>
      </c>
      <c r="M10565" s="501">
        <v>0</v>
      </c>
      <c r="N10565" s="501">
        <v>0</v>
      </c>
      <c r="O10565" s="506">
        <v>0</v>
      </c>
    </row>
    <row r="10566" spans="1:15" x14ac:dyDescent="0.35">
      <c r="A10566" s="503" t="s">
        <v>1857</v>
      </c>
      <c r="B10566" s="504" t="s">
        <v>2445</v>
      </c>
      <c r="C10566" s="504" t="s">
        <v>1089</v>
      </c>
      <c r="D10566" s="504" t="s">
        <v>3392</v>
      </c>
      <c r="E10566" s="504" t="s">
        <v>3381</v>
      </c>
      <c r="F10566" s="504" t="s">
        <v>2</v>
      </c>
      <c r="G10566" s="504" t="s">
        <v>3368</v>
      </c>
      <c r="H10566" s="504" t="s">
        <v>12955</v>
      </c>
      <c r="I10566" s="504">
        <v>12</v>
      </c>
      <c r="J10566" s="504">
        <v>0</v>
      </c>
      <c r="K10566" s="504">
        <v>0</v>
      </c>
      <c r="L10566" s="504">
        <v>0</v>
      </c>
      <c r="M10566" s="504">
        <v>12</v>
      </c>
      <c r="N10566" s="504">
        <v>0</v>
      </c>
      <c r="O10566" s="505">
        <v>0</v>
      </c>
    </row>
    <row r="10567" spans="1:15" x14ac:dyDescent="0.35">
      <c r="A10567" s="500" t="s">
        <v>1482</v>
      </c>
      <c r="B10567" s="501" t="s">
        <v>3014</v>
      </c>
      <c r="C10567" s="501" t="s">
        <v>1089</v>
      </c>
      <c r="D10567" s="501" t="s">
        <v>3392</v>
      </c>
      <c r="E10567" s="501" t="s">
        <v>3381</v>
      </c>
      <c r="F10567" s="501" t="s">
        <v>2</v>
      </c>
      <c r="G10567" s="501" t="s">
        <v>3368</v>
      </c>
      <c r="H10567" s="501" t="s">
        <v>12956</v>
      </c>
      <c r="I10567" s="501">
        <v>11</v>
      </c>
      <c r="J10567" s="501">
        <v>0</v>
      </c>
      <c r="K10567" s="501">
        <v>0</v>
      </c>
      <c r="L10567" s="501">
        <v>0</v>
      </c>
      <c r="M10567" s="501">
        <v>11</v>
      </c>
      <c r="N10567" s="501">
        <v>0</v>
      </c>
      <c r="O10567" s="506">
        <v>0</v>
      </c>
    </row>
    <row r="10568" spans="1:15" x14ac:dyDescent="0.35">
      <c r="A10568" s="503" t="s">
        <v>1482</v>
      </c>
      <c r="B10568" s="504" t="s">
        <v>3014</v>
      </c>
      <c r="C10568" s="504" t="s">
        <v>1089</v>
      </c>
      <c r="D10568" s="504" t="s">
        <v>3392</v>
      </c>
      <c r="E10568" s="504" t="s">
        <v>3381</v>
      </c>
      <c r="F10568" s="504" t="s">
        <v>416</v>
      </c>
      <c r="G10568" s="504" t="s">
        <v>3368</v>
      </c>
      <c r="H10568" s="504" t="s">
        <v>12957</v>
      </c>
      <c r="I10568" s="504">
        <v>261</v>
      </c>
      <c r="J10568" s="504">
        <v>184</v>
      </c>
      <c r="K10568" s="504">
        <v>0</v>
      </c>
      <c r="L10568" s="504">
        <v>0</v>
      </c>
      <c r="M10568" s="504">
        <v>77</v>
      </c>
      <c r="N10568" s="504">
        <v>0</v>
      </c>
      <c r="O10568" s="505">
        <v>0</v>
      </c>
    </row>
    <row r="10569" spans="1:15" x14ac:dyDescent="0.35">
      <c r="A10569" s="500" t="s">
        <v>1483</v>
      </c>
      <c r="B10569" s="501">
        <v>4769</v>
      </c>
      <c r="C10569" s="501" t="s">
        <v>1089</v>
      </c>
      <c r="D10569" s="501" t="s">
        <v>3392</v>
      </c>
      <c r="E10569" s="501" t="s">
        <v>3381</v>
      </c>
      <c r="F10569" s="501" t="s">
        <v>416</v>
      </c>
      <c r="G10569" s="501" t="s">
        <v>3368</v>
      </c>
      <c r="H10569" s="501" t="s">
        <v>12958</v>
      </c>
      <c r="I10569" s="501">
        <v>24</v>
      </c>
      <c r="J10569" s="501">
        <v>24</v>
      </c>
      <c r="K10569" s="501">
        <v>0</v>
      </c>
      <c r="L10569" s="501">
        <v>0</v>
      </c>
      <c r="M10569" s="501">
        <v>0</v>
      </c>
      <c r="N10569" s="501">
        <v>0</v>
      </c>
      <c r="O10569" s="506">
        <v>0</v>
      </c>
    </row>
    <row r="10570" spans="1:15" x14ac:dyDescent="0.35">
      <c r="A10570" s="503" t="s">
        <v>1484</v>
      </c>
      <c r="B10570" s="504" t="s">
        <v>2746</v>
      </c>
      <c r="C10570" s="504" t="s">
        <v>1089</v>
      </c>
      <c r="D10570" s="504" t="s">
        <v>3392</v>
      </c>
      <c r="E10570" s="504" t="s">
        <v>3381</v>
      </c>
      <c r="F10570" s="504" t="s">
        <v>416</v>
      </c>
      <c r="G10570" s="504" t="s">
        <v>3368</v>
      </c>
      <c r="H10570" s="504" t="s">
        <v>12959</v>
      </c>
      <c r="I10570" s="504">
        <v>38</v>
      </c>
      <c r="J10570" s="504">
        <v>28</v>
      </c>
      <c r="K10570" s="504">
        <v>10</v>
      </c>
      <c r="L10570" s="504">
        <v>0</v>
      </c>
      <c r="M10570" s="504">
        <v>0</v>
      </c>
      <c r="N10570" s="504">
        <v>0</v>
      </c>
      <c r="O10570" s="505">
        <v>0</v>
      </c>
    </row>
    <row r="10571" spans="1:15" x14ac:dyDescent="0.35">
      <c r="A10571" s="500" t="s">
        <v>2164</v>
      </c>
      <c r="B10571" s="501">
        <v>4735</v>
      </c>
      <c r="C10571" s="501" t="s">
        <v>1089</v>
      </c>
      <c r="D10571" s="501" t="s">
        <v>3392</v>
      </c>
      <c r="E10571" s="501" t="s">
        <v>3381</v>
      </c>
      <c r="F10571" s="501" t="s">
        <v>1048</v>
      </c>
      <c r="G10571" s="501" t="s">
        <v>3368</v>
      </c>
      <c r="H10571" s="501" t="s">
        <v>14013</v>
      </c>
      <c r="I10571" s="501">
        <v>8</v>
      </c>
      <c r="J10571" s="501">
        <v>8</v>
      </c>
      <c r="K10571" s="501">
        <v>0</v>
      </c>
      <c r="L10571" s="501">
        <v>0</v>
      </c>
      <c r="M10571" s="501">
        <v>0</v>
      </c>
      <c r="N10571" s="501">
        <v>0</v>
      </c>
      <c r="O10571" s="506">
        <v>0</v>
      </c>
    </row>
    <row r="10572" spans="1:15" x14ac:dyDescent="0.35">
      <c r="A10572" s="503" t="s">
        <v>1722</v>
      </c>
      <c r="B10572" s="504" t="s">
        <v>2770</v>
      </c>
      <c r="C10572" s="504" t="s">
        <v>1089</v>
      </c>
      <c r="D10572" s="504" t="s">
        <v>3392</v>
      </c>
      <c r="E10572" s="504" t="s">
        <v>3381</v>
      </c>
      <c r="F10572" s="504" t="s">
        <v>418</v>
      </c>
      <c r="G10572" s="504" t="s">
        <v>3368</v>
      </c>
      <c r="H10572" s="504" t="s">
        <v>12960</v>
      </c>
      <c r="I10572" s="504">
        <v>24</v>
      </c>
      <c r="J10572" s="504">
        <v>24</v>
      </c>
      <c r="K10572" s="504">
        <v>0</v>
      </c>
      <c r="L10572" s="504">
        <v>0</v>
      </c>
      <c r="M10572" s="504">
        <v>0</v>
      </c>
      <c r="N10572" s="504">
        <v>0</v>
      </c>
      <c r="O10572" s="505">
        <v>0</v>
      </c>
    </row>
    <row r="10573" spans="1:15" x14ac:dyDescent="0.35">
      <c r="A10573" s="500" t="s">
        <v>1194</v>
      </c>
      <c r="B10573" s="501" t="s">
        <v>2985</v>
      </c>
      <c r="C10573" s="501" t="s">
        <v>1089</v>
      </c>
      <c r="D10573" s="501" t="s">
        <v>3392</v>
      </c>
      <c r="E10573" s="501" t="s">
        <v>3381</v>
      </c>
      <c r="F10573" s="501" t="s">
        <v>414</v>
      </c>
      <c r="G10573" s="501" t="s">
        <v>3368</v>
      </c>
      <c r="H10573" s="501" t="s">
        <v>12961</v>
      </c>
      <c r="I10573" s="501">
        <v>265</v>
      </c>
      <c r="J10573" s="501">
        <v>144</v>
      </c>
      <c r="K10573" s="501">
        <v>0</v>
      </c>
      <c r="L10573" s="501">
        <v>0</v>
      </c>
      <c r="M10573" s="501">
        <v>121</v>
      </c>
      <c r="N10573" s="501">
        <v>0</v>
      </c>
      <c r="O10573" s="506">
        <v>0</v>
      </c>
    </row>
    <row r="10574" spans="1:15" x14ac:dyDescent="0.35">
      <c r="A10574" s="503" t="s">
        <v>2165</v>
      </c>
      <c r="B10574" s="504" t="s">
        <v>2586</v>
      </c>
      <c r="C10574" s="504" t="s">
        <v>1089</v>
      </c>
      <c r="D10574" s="504" t="s">
        <v>3392</v>
      </c>
      <c r="E10574" s="504" t="s">
        <v>3381</v>
      </c>
      <c r="F10574" s="504" t="s">
        <v>1048</v>
      </c>
      <c r="G10574" s="504" t="s">
        <v>3368</v>
      </c>
      <c r="H10574" s="504" t="s">
        <v>14014</v>
      </c>
      <c r="I10574" s="504">
        <v>12</v>
      </c>
      <c r="J10574" s="504">
        <v>12</v>
      </c>
      <c r="K10574" s="504">
        <v>0</v>
      </c>
      <c r="L10574" s="504">
        <v>0</v>
      </c>
      <c r="M10574" s="504">
        <v>0</v>
      </c>
      <c r="N10574" s="504">
        <v>0</v>
      </c>
      <c r="O10574" s="505">
        <v>0</v>
      </c>
    </row>
    <row r="10575" spans="1:15" x14ac:dyDescent="0.35">
      <c r="A10575" s="500" t="s">
        <v>1485</v>
      </c>
      <c r="B10575" s="501" t="s">
        <v>2654</v>
      </c>
      <c r="C10575" s="501" t="s">
        <v>1089</v>
      </c>
      <c r="D10575" s="501" t="s">
        <v>3392</v>
      </c>
      <c r="E10575" s="501" t="s">
        <v>3381</v>
      </c>
      <c r="F10575" s="501" t="s">
        <v>416</v>
      </c>
      <c r="G10575" s="501" t="s">
        <v>3368</v>
      </c>
      <c r="H10575" s="501" t="s">
        <v>12962</v>
      </c>
      <c r="I10575" s="501">
        <v>158</v>
      </c>
      <c r="J10575" s="501">
        <v>158</v>
      </c>
      <c r="K10575" s="501">
        <v>0</v>
      </c>
      <c r="L10575" s="501">
        <v>0</v>
      </c>
      <c r="M10575" s="501">
        <v>0</v>
      </c>
      <c r="N10575" s="501">
        <v>0</v>
      </c>
      <c r="O10575" s="506">
        <v>0</v>
      </c>
    </row>
    <row r="10576" spans="1:15" x14ac:dyDescent="0.35">
      <c r="A10576" s="503" t="s">
        <v>1486</v>
      </c>
      <c r="B10576" s="504" t="s">
        <v>3020</v>
      </c>
      <c r="C10576" s="504" t="s">
        <v>1089</v>
      </c>
      <c r="D10576" s="504" t="s">
        <v>3392</v>
      </c>
      <c r="E10576" s="504" t="s">
        <v>3381</v>
      </c>
      <c r="F10576" s="504" t="s">
        <v>416</v>
      </c>
      <c r="G10576" s="504" t="s">
        <v>3368</v>
      </c>
      <c r="H10576" s="504" t="s">
        <v>12963</v>
      </c>
      <c r="I10576" s="504">
        <v>292</v>
      </c>
      <c r="J10576" s="504">
        <v>0</v>
      </c>
      <c r="K10576" s="504">
        <v>292</v>
      </c>
      <c r="L10576" s="504">
        <v>0</v>
      </c>
      <c r="M10576" s="504">
        <v>0</v>
      </c>
      <c r="N10576" s="504">
        <v>0</v>
      </c>
      <c r="O10576" s="505">
        <v>0</v>
      </c>
    </row>
    <row r="10577" spans="1:15" x14ac:dyDescent="0.35">
      <c r="A10577" s="500" t="s">
        <v>1487</v>
      </c>
      <c r="B10577" s="501" t="s">
        <v>3180</v>
      </c>
      <c r="C10577" s="501" t="s">
        <v>1089</v>
      </c>
      <c r="D10577" s="501" t="s">
        <v>3392</v>
      </c>
      <c r="E10577" s="501" t="s">
        <v>3381</v>
      </c>
      <c r="F10577" s="501" t="s">
        <v>416</v>
      </c>
      <c r="G10577" s="501" t="s">
        <v>3368</v>
      </c>
      <c r="H10577" s="501" t="s">
        <v>12964</v>
      </c>
      <c r="I10577" s="501">
        <v>52</v>
      </c>
      <c r="J10577" s="501">
        <v>52</v>
      </c>
      <c r="K10577" s="501">
        <v>0</v>
      </c>
      <c r="L10577" s="501">
        <v>0</v>
      </c>
      <c r="M10577" s="501">
        <v>0</v>
      </c>
      <c r="N10577" s="501">
        <v>5</v>
      </c>
      <c r="O10577" s="506">
        <v>0</v>
      </c>
    </row>
    <row r="10578" spans="1:15" x14ac:dyDescent="0.35">
      <c r="A10578" s="503" t="s">
        <v>1195</v>
      </c>
      <c r="B10578" s="504">
        <v>4693</v>
      </c>
      <c r="C10578" s="504" t="s">
        <v>1089</v>
      </c>
      <c r="D10578" s="504" t="s">
        <v>3392</v>
      </c>
      <c r="E10578" s="504" t="s">
        <v>3381</v>
      </c>
      <c r="F10578" s="504" t="s">
        <v>1048</v>
      </c>
      <c r="G10578" s="504" t="s">
        <v>3368</v>
      </c>
      <c r="H10578" s="504" t="s">
        <v>14015</v>
      </c>
      <c r="I10578" s="504">
        <v>71</v>
      </c>
      <c r="J10578" s="504">
        <v>0</v>
      </c>
      <c r="K10578" s="504">
        <v>0</v>
      </c>
      <c r="L10578" s="504">
        <v>71</v>
      </c>
      <c r="M10578" s="504">
        <v>0</v>
      </c>
      <c r="N10578" s="504">
        <v>0</v>
      </c>
      <c r="O10578" s="505">
        <v>0</v>
      </c>
    </row>
    <row r="10579" spans="1:15" x14ac:dyDescent="0.35">
      <c r="A10579" s="500" t="s">
        <v>1195</v>
      </c>
      <c r="B10579" s="501">
        <v>4693</v>
      </c>
      <c r="C10579" s="501" t="s">
        <v>1089</v>
      </c>
      <c r="D10579" s="501" t="s">
        <v>3392</v>
      </c>
      <c r="E10579" s="501" t="s">
        <v>3381</v>
      </c>
      <c r="F10579" s="501" t="s">
        <v>2</v>
      </c>
      <c r="G10579" s="501" t="s">
        <v>3368</v>
      </c>
      <c r="H10579" s="501" t="s">
        <v>12966</v>
      </c>
      <c r="I10579" s="501">
        <v>31</v>
      </c>
      <c r="J10579" s="501">
        <v>0</v>
      </c>
      <c r="K10579" s="501">
        <v>0</v>
      </c>
      <c r="L10579" s="501">
        <v>31</v>
      </c>
      <c r="M10579" s="501">
        <v>0</v>
      </c>
      <c r="N10579" s="501">
        <v>0</v>
      </c>
      <c r="O10579" s="506">
        <v>0</v>
      </c>
    </row>
    <row r="10580" spans="1:15" x14ac:dyDescent="0.35">
      <c r="A10580" s="503" t="s">
        <v>1195</v>
      </c>
      <c r="B10580" s="504">
        <v>4693</v>
      </c>
      <c r="C10580" s="504" t="s">
        <v>1089</v>
      </c>
      <c r="D10580" s="504" t="s">
        <v>3392</v>
      </c>
      <c r="E10580" s="504" t="s">
        <v>3381</v>
      </c>
      <c r="F10580" s="504" t="s">
        <v>414</v>
      </c>
      <c r="G10580" s="504" t="s">
        <v>3368</v>
      </c>
      <c r="H10580" s="504" t="s">
        <v>12971</v>
      </c>
      <c r="I10580" s="504">
        <v>37</v>
      </c>
      <c r="J10580" s="504">
        <v>0</v>
      </c>
      <c r="K10580" s="504">
        <v>0</v>
      </c>
      <c r="L10580" s="504">
        <v>37</v>
      </c>
      <c r="M10580" s="504">
        <v>0</v>
      </c>
      <c r="N10580" s="504">
        <v>0</v>
      </c>
      <c r="O10580" s="505">
        <v>0</v>
      </c>
    </row>
    <row r="10581" spans="1:15" x14ac:dyDescent="0.35">
      <c r="A10581" s="500" t="s">
        <v>1195</v>
      </c>
      <c r="B10581" s="501">
        <v>4693</v>
      </c>
      <c r="C10581" s="501" t="s">
        <v>1089</v>
      </c>
      <c r="D10581" s="501" t="s">
        <v>3392</v>
      </c>
      <c r="E10581" s="501" t="s">
        <v>3381</v>
      </c>
      <c r="F10581" s="501" t="s">
        <v>418</v>
      </c>
      <c r="G10581" s="501" t="s">
        <v>3368</v>
      </c>
      <c r="H10581" s="501" t="s">
        <v>12970</v>
      </c>
      <c r="I10581" s="501">
        <v>68</v>
      </c>
      <c r="J10581" s="501">
        <v>0</v>
      </c>
      <c r="K10581" s="501">
        <v>0</v>
      </c>
      <c r="L10581" s="501">
        <v>68</v>
      </c>
      <c r="M10581" s="501">
        <v>0</v>
      </c>
      <c r="N10581" s="501">
        <v>0</v>
      </c>
      <c r="O10581" s="506">
        <v>0</v>
      </c>
    </row>
    <row r="10582" spans="1:15" x14ac:dyDescent="0.35">
      <c r="A10582" s="503" t="s">
        <v>1195</v>
      </c>
      <c r="B10582" s="504">
        <v>4693</v>
      </c>
      <c r="C10582" s="504" t="s">
        <v>1089</v>
      </c>
      <c r="D10582" s="504" t="s">
        <v>3392</v>
      </c>
      <c r="E10582" s="504" t="s">
        <v>3381</v>
      </c>
      <c r="F10582" s="504" t="s">
        <v>420</v>
      </c>
      <c r="G10582" s="504" t="s">
        <v>3368</v>
      </c>
      <c r="H10582" s="504" t="s">
        <v>12967</v>
      </c>
      <c r="I10582" s="504">
        <v>37</v>
      </c>
      <c r="J10582" s="504">
        <v>0</v>
      </c>
      <c r="K10582" s="504">
        <v>0</v>
      </c>
      <c r="L10582" s="504">
        <v>37</v>
      </c>
      <c r="M10582" s="504">
        <v>0</v>
      </c>
      <c r="N10582" s="504">
        <v>0</v>
      </c>
      <c r="O10582" s="505">
        <v>0</v>
      </c>
    </row>
    <row r="10583" spans="1:15" x14ac:dyDescent="0.35">
      <c r="A10583" s="500" t="s">
        <v>1195</v>
      </c>
      <c r="B10583" s="501">
        <v>4693</v>
      </c>
      <c r="C10583" s="501" t="s">
        <v>1089</v>
      </c>
      <c r="D10583" s="501" t="s">
        <v>3392</v>
      </c>
      <c r="E10583" s="501" t="s">
        <v>3381</v>
      </c>
      <c r="F10583" s="501" t="s">
        <v>419</v>
      </c>
      <c r="G10583" s="501" t="s">
        <v>3368</v>
      </c>
      <c r="H10583" s="501" t="s">
        <v>12968</v>
      </c>
      <c r="I10583" s="501">
        <v>48</v>
      </c>
      <c r="J10583" s="501">
        <v>0</v>
      </c>
      <c r="K10583" s="501">
        <v>0</v>
      </c>
      <c r="L10583" s="501">
        <v>48</v>
      </c>
      <c r="M10583" s="501">
        <v>0</v>
      </c>
      <c r="N10583" s="501">
        <v>0</v>
      </c>
      <c r="O10583" s="506">
        <v>0</v>
      </c>
    </row>
    <row r="10584" spans="1:15" x14ac:dyDescent="0.35">
      <c r="A10584" s="503" t="s">
        <v>1195</v>
      </c>
      <c r="B10584" s="504">
        <v>4693</v>
      </c>
      <c r="C10584" s="504" t="s">
        <v>1089</v>
      </c>
      <c r="D10584" s="504" t="s">
        <v>3392</v>
      </c>
      <c r="E10584" s="504" t="s">
        <v>3381</v>
      </c>
      <c r="F10584" s="504" t="s">
        <v>416</v>
      </c>
      <c r="G10584" s="504" t="s">
        <v>3368</v>
      </c>
      <c r="H10584" s="504" t="s">
        <v>12969</v>
      </c>
      <c r="I10584" s="504">
        <v>91</v>
      </c>
      <c r="J10584" s="504">
        <v>0</v>
      </c>
      <c r="K10584" s="504">
        <v>0</v>
      </c>
      <c r="L10584" s="504">
        <v>91</v>
      </c>
      <c r="M10584" s="504">
        <v>0</v>
      </c>
      <c r="N10584" s="504">
        <v>0</v>
      </c>
      <c r="O10584" s="505">
        <v>0</v>
      </c>
    </row>
    <row r="10585" spans="1:15" x14ac:dyDescent="0.35">
      <c r="A10585" s="500" t="s">
        <v>1195</v>
      </c>
      <c r="B10585" s="501">
        <v>4693</v>
      </c>
      <c r="C10585" s="501" t="s">
        <v>1089</v>
      </c>
      <c r="D10585" s="501" t="s">
        <v>3392</v>
      </c>
      <c r="E10585" s="501" t="s">
        <v>3381</v>
      </c>
      <c r="F10585" s="501" t="s">
        <v>415</v>
      </c>
      <c r="G10585" s="501" t="s">
        <v>3368</v>
      </c>
      <c r="H10585" s="501" t="s">
        <v>12965</v>
      </c>
      <c r="I10585" s="501">
        <v>30</v>
      </c>
      <c r="J10585" s="501">
        <v>0</v>
      </c>
      <c r="K10585" s="501">
        <v>0</v>
      </c>
      <c r="L10585" s="501">
        <v>30</v>
      </c>
      <c r="M10585" s="501">
        <v>0</v>
      </c>
      <c r="N10585" s="501">
        <v>0</v>
      </c>
      <c r="O10585" s="506">
        <v>0</v>
      </c>
    </row>
    <row r="10586" spans="1:15" x14ac:dyDescent="0.35">
      <c r="A10586" s="503" t="s">
        <v>1723</v>
      </c>
      <c r="B10586" s="504" t="s">
        <v>2804</v>
      </c>
      <c r="C10586" s="504" t="s">
        <v>1089</v>
      </c>
      <c r="D10586" s="504" t="s">
        <v>3392</v>
      </c>
      <c r="E10586" s="504" t="s">
        <v>3381</v>
      </c>
      <c r="F10586" s="504" t="s">
        <v>418</v>
      </c>
      <c r="G10586" s="504" t="s">
        <v>3368</v>
      </c>
      <c r="H10586" s="504" t="s">
        <v>12972</v>
      </c>
      <c r="I10586" s="504">
        <v>48</v>
      </c>
      <c r="J10586" s="504">
        <v>48</v>
      </c>
      <c r="K10586" s="504">
        <v>0</v>
      </c>
      <c r="L10586" s="504">
        <v>0</v>
      </c>
      <c r="M10586" s="504">
        <v>0</v>
      </c>
      <c r="N10586" s="504">
        <v>0</v>
      </c>
      <c r="O10586" s="505">
        <v>0</v>
      </c>
    </row>
    <row r="10587" spans="1:15" x14ac:dyDescent="0.35">
      <c r="A10587" s="500" t="s">
        <v>1488</v>
      </c>
      <c r="B10587" s="501" t="s">
        <v>2857</v>
      </c>
      <c r="C10587" s="501" t="s">
        <v>1089</v>
      </c>
      <c r="D10587" s="501" t="s">
        <v>3392</v>
      </c>
      <c r="E10587" s="501" t="s">
        <v>3381</v>
      </c>
      <c r="F10587" s="501" t="s">
        <v>416</v>
      </c>
      <c r="G10587" s="501" t="s">
        <v>3368</v>
      </c>
      <c r="H10587" s="501" t="s">
        <v>12973</v>
      </c>
      <c r="I10587" s="501">
        <v>8</v>
      </c>
      <c r="J10587" s="501">
        <v>0</v>
      </c>
      <c r="K10587" s="501">
        <v>8</v>
      </c>
      <c r="L10587" s="501">
        <v>0</v>
      </c>
      <c r="M10587" s="501">
        <v>0</v>
      </c>
      <c r="N10587" s="501">
        <v>0</v>
      </c>
      <c r="O10587" s="506">
        <v>0</v>
      </c>
    </row>
    <row r="10588" spans="1:15" x14ac:dyDescent="0.35">
      <c r="A10588" s="503" t="s">
        <v>1724</v>
      </c>
      <c r="B10588" s="504" t="s">
        <v>2667</v>
      </c>
      <c r="C10588" s="504" t="s">
        <v>1089</v>
      </c>
      <c r="D10588" s="504" t="s">
        <v>3392</v>
      </c>
      <c r="E10588" s="504" t="s">
        <v>3381</v>
      </c>
      <c r="F10588" s="504" t="s">
        <v>418</v>
      </c>
      <c r="G10588" s="504" t="s">
        <v>3368</v>
      </c>
      <c r="H10588" s="504" t="s">
        <v>12974</v>
      </c>
      <c r="I10588" s="504">
        <v>128</v>
      </c>
      <c r="J10588" s="504">
        <v>128</v>
      </c>
      <c r="K10588" s="504">
        <v>0</v>
      </c>
      <c r="L10588" s="504">
        <v>0</v>
      </c>
      <c r="M10588" s="504">
        <v>0</v>
      </c>
      <c r="N10588" s="504">
        <v>0</v>
      </c>
      <c r="O10588" s="505">
        <v>0</v>
      </c>
    </row>
    <row r="10589" spans="1:15" x14ac:dyDescent="0.35">
      <c r="A10589" s="500" t="s">
        <v>1489</v>
      </c>
      <c r="B10589" s="501" t="s">
        <v>2500</v>
      </c>
      <c r="C10589" s="501" t="s">
        <v>1089</v>
      </c>
      <c r="D10589" s="501" t="s">
        <v>3392</v>
      </c>
      <c r="E10589" s="501" t="s">
        <v>3381</v>
      </c>
      <c r="F10589" s="501" t="s">
        <v>416</v>
      </c>
      <c r="G10589" s="501" t="s">
        <v>3368</v>
      </c>
      <c r="H10589" s="501" t="s">
        <v>12975</v>
      </c>
      <c r="I10589" s="501">
        <v>19</v>
      </c>
      <c r="J10589" s="501">
        <v>0</v>
      </c>
      <c r="K10589" s="501">
        <v>0</v>
      </c>
      <c r="L10589" s="501">
        <v>0</v>
      </c>
      <c r="M10589" s="501">
        <v>19</v>
      </c>
      <c r="N10589" s="501">
        <v>0</v>
      </c>
      <c r="O10589" s="506">
        <v>0</v>
      </c>
    </row>
    <row r="10590" spans="1:15" x14ac:dyDescent="0.35">
      <c r="A10590" s="503" t="s">
        <v>1725</v>
      </c>
      <c r="B10590" s="504" t="s">
        <v>3156</v>
      </c>
      <c r="C10590" s="504" t="s">
        <v>1089</v>
      </c>
      <c r="D10590" s="504" t="s">
        <v>3392</v>
      </c>
      <c r="E10590" s="504" t="s">
        <v>3381</v>
      </c>
      <c r="F10590" s="504" t="s">
        <v>418</v>
      </c>
      <c r="G10590" s="504" t="s">
        <v>3368</v>
      </c>
      <c r="H10590" s="504" t="s">
        <v>12976</v>
      </c>
      <c r="I10590" s="504">
        <v>940</v>
      </c>
      <c r="J10590" s="504">
        <v>940</v>
      </c>
      <c r="K10590" s="504">
        <v>0</v>
      </c>
      <c r="L10590" s="504">
        <v>0</v>
      </c>
      <c r="M10590" s="504">
        <v>0</v>
      </c>
      <c r="N10590" s="504">
        <v>0</v>
      </c>
      <c r="O10590" s="505">
        <v>0</v>
      </c>
    </row>
    <row r="10591" spans="1:15" x14ac:dyDescent="0.35">
      <c r="A10591" s="500" t="s">
        <v>1641</v>
      </c>
      <c r="B10591" s="501">
        <v>4633</v>
      </c>
      <c r="C10591" s="501" t="s">
        <v>1089</v>
      </c>
      <c r="D10591" s="501" t="s">
        <v>3392</v>
      </c>
      <c r="E10591" s="501" t="s">
        <v>3381</v>
      </c>
      <c r="F10591" s="501" t="s">
        <v>417</v>
      </c>
      <c r="G10591" s="501" t="s">
        <v>3368</v>
      </c>
      <c r="H10591" s="501" t="s">
        <v>12977</v>
      </c>
      <c r="I10591" s="501">
        <v>756</v>
      </c>
      <c r="J10591" s="501">
        <v>413</v>
      </c>
      <c r="K10591" s="501">
        <v>0</v>
      </c>
      <c r="L10591" s="501">
        <v>319</v>
      </c>
      <c r="M10591" s="501">
        <v>24</v>
      </c>
      <c r="N10591" s="501">
        <v>0</v>
      </c>
      <c r="O10591" s="506">
        <v>0</v>
      </c>
    </row>
    <row r="10592" spans="1:15" x14ac:dyDescent="0.35">
      <c r="A10592" s="503" t="s">
        <v>1196</v>
      </c>
      <c r="B10592" s="504" t="s">
        <v>3269</v>
      </c>
      <c r="C10592" s="504" t="s">
        <v>1094</v>
      </c>
      <c r="D10592" s="504" t="s">
        <v>3380</v>
      </c>
      <c r="E10592" s="504" t="s">
        <v>3381</v>
      </c>
      <c r="F10592" s="504" t="s">
        <v>1048</v>
      </c>
      <c r="G10592" s="504" t="s">
        <v>3368</v>
      </c>
      <c r="H10592" s="504" t="s">
        <v>14016</v>
      </c>
      <c r="I10592" s="504">
        <v>4386</v>
      </c>
      <c r="J10592" s="504">
        <v>3518</v>
      </c>
      <c r="K10592" s="504">
        <v>0</v>
      </c>
      <c r="L10592" s="504">
        <v>212</v>
      </c>
      <c r="M10592" s="504">
        <v>255</v>
      </c>
      <c r="N10592" s="504">
        <v>0</v>
      </c>
      <c r="O10592" s="505">
        <v>401</v>
      </c>
    </row>
    <row r="10593" spans="1:15" x14ac:dyDescent="0.35">
      <c r="A10593" s="500" t="s">
        <v>1196</v>
      </c>
      <c r="B10593" s="501" t="s">
        <v>3269</v>
      </c>
      <c r="C10593" s="501" t="s">
        <v>1094</v>
      </c>
      <c r="D10593" s="501" t="s">
        <v>3380</v>
      </c>
      <c r="E10593" s="501" t="s">
        <v>3381</v>
      </c>
      <c r="F10593" s="501" t="s">
        <v>414</v>
      </c>
      <c r="G10593" s="501" t="s">
        <v>3368</v>
      </c>
      <c r="H10593" s="501" t="s">
        <v>12978</v>
      </c>
      <c r="I10593" s="501">
        <v>1</v>
      </c>
      <c r="J10593" s="501">
        <v>0</v>
      </c>
      <c r="K10593" s="501">
        <v>0</v>
      </c>
      <c r="L10593" s="501">
        <v>0</v>
      </c>
      <c r="M10593" s="501">
        <v>0</v>
      </c>
      <c r="N10593" s="501">
        <v>0</v>
      </c>
      <c r="O10593" s="506">
        <v>1</v>
      </c>
    </row>
    <row r="10594" spans="1:15" x14ac:dyDescent="0.35">
      <c r="A10594" s="503" t="s">
        <v>2166</v>
      </c>
      <c r="B10594" s="504" t="s">
        <v>2986</v>
      </c>
      <c r="C10594" s="504" t="s">
        <v>1089</v>
      </c>
      <c r="D10594" s="504" t="s">
        <v>3392</v>
      </c>
      <c r="E10594" s="504" t="s">
        <v>3381</v>
      </c>
      <c r="F10594" s="504" t="s">
        <v>1048</v>
      </c>
      <c r="G10594" s="504" t="s">
        <v>3368</v>
      </c>
      <c r="H10594" s="504" t="s">
        <v>14017</v>
      </c>
      <c r="I10594" s="504">
        <v>463</v>
      </c>
      <c r="J10594" s="504">
        <v>244</v>
      </c>
      <c r="K10594" s="504">
        <v>0</v>
      </c>
      <c r="L10594" s="504">
        <v>0</v>
      </c>
      <c r="M10594" s="504">
        <v>219</v>
      </c>
      <c r="N10594" s="504">
        <v>0</v>
      </c>
      <c r="O10594" s="505">
        <v>0</v>
      </c>
    </row>
    <row r="10595" spans="1:15" x14ac:dyDescent="0.35">
      <c r="A10595" s="500" t="s">
        <v>1726</v>
      </c>
      <c r="B10595" s="501" t="s">
        <v>3258</v>
      </c>
      <c r="C10595" s="501" t="s">
        <v>1094</v>
      </c>
      <c r="D10595" s="501" t="s">
        <v>3380</v>
      </c>
      <c r="E10595" s="501" t="s">
        <v>3381</v>
      </c>
      <c r="F10595" s="501" t="s">
        <v>1048</v>
      </c>
      <c r="G10595" s="501" t="s">
        <v>3368</v>
      </c>
      <c r="H10595" s="501" t="s">
        <v>14018</v>
      </c>
      <c r="I10595" s="501">
        <v>1600</v>
      </c>
      <c r="J10595" s="501">
        <v>1467</v>
      </c>
      <c r="K10595" s="501">
        <v>0</v>
      </c>
      <c r="L10595" s="501">
        <v>0</v>
      </c>
      <c r="M10595" s="501">
        <v>76</v>
      </c>
      <c r="N10595" s="501">
        <v>6</v>
      </c>
      <c r="O10595" s="506">
        <v>57</v>
      </c>
    </row>
    <row r="10596" spans="1:15" x14ac:dyDescent="0.35">
      <c r="A10596" s="503" t="s">
        <v>14243</v>
      </c>
      <c r="B10596" s="504">
        <v>5149</v>
      </c>
      <c r="C10596" s="504" t="s">
        <v>1089</v>
      </c>
      <c r="D10596" s="504" t="s">
        <v>3392</v>
      </c>
      <c r="E10596" s="504" t="s">
        <v>3381</v>
      </c>
      <c r="F10596" s="504" t="s">
        <v>414</v>
      </c>
      <c r="G10596" s="504" t="s">
        <v>3368</v>
      </c>
      <c r="H10596" s="504" t="s">
        <v>15390</v>
      </c>
      <c r="I10596" s="504">
        <v>27</v>
      </c>
      <c r="J10596" s="504">
        <v>27</v>
      </c>
      <c r="K10596" s="504">
        <v>0</v>
      </c>
      <c r="L10596" s="504">
        <v>0</v>
      </c>
      <c r="M10596" s="504">
        <v>0</v>
      </c>
      <c r="N10596" s="504">
        <v>0</v>
      </c>
      <c r="O10596" s="505">
        <v>0</v>
      </c>
    </row>
    <row r="10597" spans="1:15" x14ac:dyDescent="0.35">
      <c r="A10597" s="500" t="s">
        <v>14243</v>
      </c>
      <c r="B10597" s="501">
        <v>5149</v>
      </c>
      <c r="C10597" s="501" t="s">
        <v>1089</v>
      </c>
      <c r="D10597" s="501" t="s">
        <v>3392</v>
      </c>
      <c r="E10597" s="501" t="s">
        <v>3381</v>
      </c>
      <c r="F10597" s="501" t="s">
        <v>416</v>
      </c>
      <c r="G10597" s="501" t="s">
        <v>3368</v>
      </c>
      <c r="H10597" s="501" t="s">
        <v>15391</v>
      </c>
      <c r="I10597" s="501">
        <v>69</v>
      </c>
      <c r="J10597" s="501">
        <v>69</v>
      </c>
      <c r="K10597" s="501">
        <v>0</v>
      </c>
      <c r="L10597" s="501">
        <v>0</v>
      </c>
      <c r="M10597" s="501">
        <v>0</v>
      </c>
      <c r="N10597" s="501">
        <v>0</v>
      </c>
      <c r="O10597" s="506">
        <v>0</v>
      </c>
    </row>
    <row r="10598" spans="1:15" x14ac:dyDescent="0.35">
      <c r="A10598" s="503" t="s">
        <v>14243</v>
      </c>
      <c r="B10598" s="504">
        <v>5149</v>
      </c>
      <c r="C10598" s="504" t="s">
        <v>1089</v>
      </c>
      <c r="D10598" s="504" t="s">
        <v>3392</v>
      </c>
      <c r="E10598" s="504" t="s">
        <v>3381</v>
      </c>
      <c r="F10598" s="504" t="s">
        <v>1048</v>
      </c>
      <c r="G10598" s="504" t="s">
        <v>3368</v>
      </c>
      <c r="H10598" s="504" t="s">
        <v>15392</v>
      </c>
      <c r="I10598" s="504">
        <v>16</v>
      </c>
      <c r="J10598" s="504">
        <v>16</v>
      </c>
      <c r="K10598" s="504">
        <v>0</v>
      </c>
      <c r="L10598" s="504">
        <v>0</v>
      </c>
      <c r="M10598" s="504">
        <v>0</v>
      </c>
      <c r="N10598" s="504">
        <v>0</v>
      </c>
      <c r="O10598" s="505">
        <v>0</v>
      </c>
    </row>
    <row r="10599" spans="1:15" x14ac:dyDescent="0.35">
      <c r="A10599" s="500" t="s">
        <v>14243</v>
      </c>
      <c r="B10599" s="501">
        <v>5149</v>
      </c>
      <c r="C10599" s="501" t="s">
        <v>1089</v>
      </c>
      <c r="D10599" s="501" t="s">
        <v>3392</v>
      </c>
      <c r="E10599" s="501" t="s">
        <v>3381</v>
      </c>
      <c r="F10599" s="501" t="s">
        <v>420</v>
      </c>
      <c r="G10599" s="501" t="s">
        <v>3368</v>
      </c>
      <c r="H10599" s="501" t="s">
        <v>15393</v>
      </c>
      <c r="I10599" s="501">
        <v>6</v>
      </c>
      <c r="J10599" s="501">
        <v>6</v>
      </c>
      <c r="K10599" s="501">
        <v>0</v>
      </c>
      <c r="L10599" s="501">
        <v>0</v>
      </c>
      <c r="M10599" s="501">
        <v>0</v>
      </c>
      <c r="N10599" s="501">
        <v>0</v>
      </c>
      <c r="O10599" s="506">
        <v>0</v>
      </c>
    </row>
    <row r="10600" spans="1:15" x14ac:dyDescent="0.35">
      <c r="A10600" s="503" t="s">
        <v>14243</v>
      </c>
      <c r="B10600" s="504">
        <v>5149</v>
      </c>
      <c r="C10600" s="504" t="s">
        <v>1089</v>
      </c>
      <c r="D10600" s="504" t="s">
        <v>3392</v>
      </c>
      <c r="E10600" s="504" t="s">
        <v>3381</v>
      </c>
      <c r="F10600" s="504" t="s">
        <v>418</v>
      </c>
      <c r="G10600" s="504" t="s">
        <v>3368</v>
      </c>
      <c r="H10600" s="504" t="s">
        <v>15394</v>
      </c>
      <c r="I10600" s="504">
        <v>25</v>
      </c>
      <c r="J10600" s="504">
        <v>25</v>
      </c>
      <c r="K10600" s="504">
        <v>0</v>
      </c>
      <c r="L10600" s="504">
        <v>0</v>
      </c>
      <c r="M10600" s="504">
        <v>0</v>
      </c>
      <c r="N10600" s="504">
        <v>0</v>
      </c>
      <c r="O10600" s="505">
        <v>0</v>
      </c>
    </row>
    <row r="10601" spans="1:15" x14ac:dyDescent="0.35">
      <c r="A10601" s="500" t="s">
        <v>14243</v>
      </c>
      <c r="B10601" s="501">
        <v>5149</v>
      </c>
      <c r="C10601" s="501" t="s">
        <v>1089</v>
      </c>
      <c r="D10601" s="501" t="s">
        <v>3392</v>
      </c>
      <c r="E10601" s="501" t="s">
        <v>3381</v>
      </c>
      <c r="F10601" s="501" t="s">
        <v>415</v>
      </c>
      <c r="G10601" s="501" t="s">
        <v>3368</v>
      </c>
      <c r="H10601" s="501" t="s">
        <v>15395</v>
      </c>
      <c r="I10601" s="501">
        <v>117</v>
      </c>
      <c r="J10601" s="501">
        <v>117</v>
      </c>
      <c r="K10601" s="501">
        <v>0</v>
      </c>
      <c r="L10601" s="501">
        <v>0</v>
      </c>
      <c r="M10601" s="501">
        <v>0</v>
      </c>
      <c r="N10601" s="501">
        <v>0</v>
      </c>
      <c r="O10601" s="506">
        <v>0</v>
      </c>
    </row>
    <row r="10602" spans="1:15" x14ac:dyDescent="0.35">
      <c r="A10602" s="503" t="s">
        <v>14243</v>
      </c>
      <c r="B10602" s="504">
        <v>5149</v>
      </c>
      <c r="C10602" s="504" t="s">
        <v>1089</v>
      </c>
      <c r="D10602" s="504" t="s">
        <v>3392</v>
      </c>
      <c r="E10602" s="504" t="s">
        <v>3381</v>
      </c>
      <c r="F10602" s="504" t="s">
        <v>419</v>
      </c>
      <c r="G10602" s="504" t="s">
        <v>3368</v>
      </c>
      <c r="H10602" s="504" t="s">
        <v>15396</v>
      </c>
      <c r="I10602" s="504">
        <v>68</v>
      </c>
      <c r="J10602" s="504">
        <v>68</v>
      </c>
      <c r="K10602" s="504">
        <v>0</v>
      </c>
      <c r="L10602" s="504">
        <v>0</v>
      </c>
      <c r="M10602" s="504">
        <v>0</v>
      </c>
      <c r="N10602" s="504">
        <v>0</v>
      </c>
      <c r="O10602" s="505">
        <v>0</v>
      </c>
    </row>
    <row r="10603" spans="1:15" x14ac:dyDescent="0.35">
      <c r="A10603" s="500" t="s">
        <v>14243</v>
      </c>
      <c r="B10603" s="501">
        <v>5149</v>
      </c>
      <c r="C10603" s="501" t="s">
        <v>1089</v>
      </c>
      <c r="D10603" s="501" t="s">
        <v>3392</v>
      </c>
      <c r="E10603" s="501" t="s">
        <v>3381</v>
      </c>
      <c r="F10603" s="501" t="s">
        <v>2</v>
      </c>
      <c r="G10603" s="501" t="s">
        <v>3368</v>
      </c>
      <c r="H10603" s="501" t="s">
        <v>15397</v>
      </c>
      <c r="I10603" s="501">
        <v>83</v>
      </c>
      <c r="J10603" s="501">
        <v>83</v>
      </c>
      <c r="K10603" s="501">
        <v>0</v>
      </c>
      <c r="L10603" s="501">
        <v>0</v>
      </c>
      <c r="M10603" s="501">
        <v>0</v>
      </c>
      <c r="N10603" s="501">
        <v>0</v>
      </c>
      <c r="O10603" s="506">
        <v>0</v>
      </c>
    </row>
    <row r="10604" spans="1:15" x14ac:dyDescent="0.35">
      <c r="A10604" s="503" t="s">
        <v>1310</v>
      </c>
      <c r="B10604" s="504">
        <v>5062</v>
      </c>
      <c r="C10604" s="504" t="s">
        <v>1089</v>
      </c>
      <c r="D10604" s="504" t="s">
        <v>3380</v>
      </c>
      <c r="E10604" s="504" t="s">
        <v>3381</v>
      </c>
      <c r="F10604" s="504" t="s">
        <v>1048</v>
      </c>
      <c r="G10604" s="504" t="s">
        <v>3368</v>
      </c>
      <c r="H10604" s="504" t="s">
        <v>14019</v>
      </c>
      <c r="I10604" s="504">
        <v>4</v>
      </c>
      <c r="J10604" s="504">
        <v>4</v>
      </c>
      <c r="K10604" s="504">
        <v>0</v>
      </c>
      <c r="L10604" s="504">
        <v>0</v>
      </c>
      <c r="M10604" s="504">
        <v>0</v>
      </c>
      <c r="N10604" s="504">
        <v>0</v>
      </c>
      <c r="O10604" s="505">
        <v>0</v>
      </c>
    </row>
    <row r="10605" spans="1:15" x14ac:dyDescent="0.35">
      <c r="A10605" s="500" t="s">
        <v>1310</v>
      </c>
      <c r="B10605" s="501">
        <v>5062</v>
      </c>
      <c r="C10605" s="501" t="s">
        <v>1089</v>
      </c>
      <c r="D10605" s="501" t="s">
        <v>3380</v>
      </c>
      <c r="E10605" s="501" t="s">
        <v>3381</v>
      </c>
      <c r="F10605" s="501" t="s">
        <v>414</v>
      </c>
      <c r="G10605" s="501" t="s">
        <v>3368</v>
      </c>
      <c r="H10605" s="501" t="s">
        <v>12979</v>
      </c>
      <c r="I10605" s="501">
        <v>80</v>
      </c>
      <c r="J10605" s="501">
        <v>37</v>
      </c>
      <c r="K10605" s="501">
        <v>0</v>
      </c>
      <c r="L10605" s="501">
        <v>0</v>
      </c>
      <c r="M10605" s="501">
        <v>0</v>
      </c>
      <c r="N10605" s="501">
        <v>0</v>
      </c>
      <c r="O10605" s="506">
        <v>43</v>
      </c>
    </row>
    <row r="10606" spans="1:15" x14ac:dyDescent="0.35">
      <c r="A10606" s="503" t="s">
        <v>1310</v>
      </c>
      <c r="B10606" s="504">
        <v>5062</v>
      </c>
      <c r="C10606" s="504" t="s">
        <v>1089</v>
      </c>
      <c r="D10606" s="504" t="s">
        <v>3380</v>
      </c>
      <c r="E10606" s="504" t="s">
        <v>3381</v>
      </c>
      <c r="F10606" s="504" t="s">
        <v>416</v>
      </c>
      <c r="G10606" s="504" t="s">
        <v>3368</v>
      </c>
      <c r="H10606" s="504" t="s">
        <v>12981</v>
      </c>
      <c r="I10606" s="504">
        <v>436</v>
      </c>
      <c r="J10606" s="504">
        <v>160</v>
      </c>
      <c r="K10606" s="504">
        <v>0</v>
      </c>
      <c r="L10606" s="504">
        <v>0</v>
      </c>
      <c r="M10606" s="504">
        <v>0</v>
      </c>
      <c r="N10606" s="504">
        <v>0</v>
      </c>
      <c r="O10606" s="505">
        <v>276</v>
      </c>
    </row>
    <row r="10607" spans="1:15" x14ac:dyDescent="0.35">
      <c r="A10607" s="500" t="s">
        <v>1310</v>
      </c>
      <c r="B10607" s="501">
        <v>5062</v>
      </c>
      <c r="C10607" s="501" t="s">
        <v>1089</v>
      </c>
      <c r="D10607" s="501" t="s">
        <v>3380</v>
      </c>
      <c r="E10607" s="501" t="s">
        <v>3381</v>
      </c>
      <c r="F10607" s="501" t="s">
        <v>415</v>
      </c>
      <c r="G10607" s="501" t="s">
        <v>3368</v>
      </c>
      <c r="H10607" s="501" t="s">
        <v>12980</v>
      </c>
      <c r="I10607" s="501">
        <v>400</v>
      </c>
      <c r="J10607" s="501">
        <v>88</v>
      </c>
      <c r="K10607" s="501">
        <v>0</v>
      </c>
      <c r="L10607" s="501">
        <v>0</v>
      </c>
      <c r="M10607" s="501">
        <v>0</v>
      </c>
      <c r="N10607" s="501">
        <v>0</v>
      </c>
      <c r="O10607" s="506">
        <v>312</v>
      </c>
    </row>
    <row r="10608" spans="1:15" x14ac:dyDescent="0.35">
      <c r="A10608" s="503" t="s">
        <v>1310</v>
      </c>
      <c r="B10608" s="504">
        <v>5062</v>
      </c>
      <c r="C10608" s="504" t="s">
        <v>1089</v>
      </c>
      <c r="D10608" s="504" t="s">
        <v>3380</v>
      </c>
      <c r="E10608" s="504" t="s">
        <v>3381</v>
      </c>
      <c r="F10608" s="504" t="s">
        <v>2</v>
      </c>
      <c r="G10608" s="504" t="s">
        <v>3368</v>
      </c>
      <c r="H10608" s="504" t="s">
        <v>12984</v>
      </c>
      <c r="I10608" s="504">
        <v>123</v>
      </c>
      <c r="J10608" s="504">
        <v>78</v>
      </c>
      <c r="K10608" s="504">
        <v>0</v>
      </c>
      <c r="L10608" s="504">
        <v>0</v>
      </c>
      <c r="M10608" s="504">
        <v>0</v>
      </c>
      <c r="N10608" s="504">
        <v>0</v>
      </c>
      <c r="O10608" s="505">
        <v>45</v>
      </c>
    </row>
    <row r="10609" spans="1:15" x14ac:dyDescent="0.35">
      <c r="A10609" s="500" t="s">
        <v>1310</v>
      </c>
      <c r="B10609" s="501">
        <v>5062</v>
      </c>
      <c r="C10609" s="501" t="s">
        <v>1089</v>
      </c>
      <c r="D10609" s="501" t="s">
        <v>3380</v>
      </c>
      <c r="E10609" s="501" t="s">
        <v>3381</v>
      </c>
      <c r="F10609" s="501" t="s">
        <v>419</v>
      </c>
      <c r="G10609" s="501" t="s">
        <v>3368</v>
      </c>
      <c r="H10609" s="501" t="s">
        <v>12985</v>
      </c>
      <c r="I10609" s="501">
        <v>154</v>
      </c>
      <c r="J10609" s="501">
        <v>66</v>
      </c>
      <c r="K10609" s="501">
        <v>0</v>
      </c>
      <c r="L10609" s="501">
        <v>0</v>
      </c>
      <c r="M10609" s="501">
        <v>0</v>
      </c>
      <c r="N10609" s="501">
        <v>0</v>
      </c>
      <c r="O10609" s="506">
        <v>88</v>
      </c>
    </row>
    <row r="10610" spans="1:15" x14ac:dyDescent="0.35">
      <c r="A10610" s="503" t="s">
        <v>1310</v>
      </c>
      <c r="B10610" s="504">
        <v>5062</v>
      </c>
      <c r="C10610" s="504" t="s">
        <v>1089</v>
      </c>
      <c r="D10610" s="504" t="s">
        <v>3380</v>
      </c>
      <c r="E10610" s="504" t="s">
        <v>3381</v>
      </c>
      <c r="F10610" s="504" t="s">
        <v>418</v>
      </c>
      <c r="G10610" s="504" t="s">
        <v>3368</v>
      </c>
      <c r="H10610" s="504" t="s">
        <v>12982</v>
      </c>
      <c r="I10610" s="504">
        <v>111</v>
      </c>
      <c r="J10610" s="504">
        <v>16</v>
      </c>
      <c r="K10610" s="504">
        <v>0</v>
      </c>
      <c r="L10610" s="504">
        <v>0</v>
      </c>
      <c r="M10610" s="504">
        <v>0</v>
      </c>
      <c r="N10610" s="504">
        <v>0</v>
      </c>
      <c r="O10610" s="505">
        <v>95</v>
      </c>
    </row>
    <row r="10611" spans="1:15" x14ac:dyDescent="0.35">
      <c r="A10611" s="500" t="s">
        <v>1310</v>
      </c>
      <c r="B10611" s="501">
        <v>5062</v>
      </c>
      <c r="C10611" s="501" t="s">
        <v>1089</v>
      </c>
      <c r="D10611" s="501" t="s">
        <v>3380</v>
      </c>
      <c r="E10611" s="501" t="s">
        <v>3381</v>
      </c>
      <c r="F10611" s="501" t="s">
        <v>420</v>
      </c>
      <c r="G10611" s="501" t="s">
        <v>3368</v>
      </c>
      <c r="H10611" s="501" t="s">
        <v>12983</v>
      </c>
      <c r="I10611" s="501">
        <v>101</v>
      </c>
      <c r="J10611" s="501">
        <v>60</v>
      </c>
      <c r="K10611" s="501">
        <v>0</v>
      </c>
      <c r="L10611" s="501">
        <v>0</v>
      </c>
      <c r="M10611" s="501">
        <v>0</v>
      </c>
      <c r="N10611" s="501">
        <v>0</v>
      </c>
      <c r="O10611" s="506">
        <v>41</v>
      </c>
    </row>
    <row r="10612" spans="1:15" x14ac:dyDescent="0.35">
      <c r="A10612" s="503" t="s">
        <v>11366</v>
      </c>
      <c r="B10612" s="504" t="s">
        <v>2887</v>
      </c>
      <c r="C10612" s="504" t="s">
        <v>1089</v>
      </c>
      <c r="D10612" s="504" t="s">
        <v>3392</v>
      </c>
      <c r="E10612" s="504" t="s">
        <v>3381</v>
      </c>
      <c r="F10612" s="504" t="s">
        <v>414</v>
      </c>
      <c r="G10612" s="504" t="s">
        <v>3368</v>
      </c>
      <c r="H10612" s="504" t="s">
        <v>12986</v>
      </c>
      <c r="I10612" s="504">
        <v>103</v>
      </c>
      <c r="J10612" s="504">
        <v>0</v>
      </c>
      <c r="K10612" s="504">
        <v>0</v>
      </c>
      <c r="L10612" s="504">
        <v>103</v>
      </c>
      <c r="M10612" s="504">
        <v>0</v>
      </c>
      <c r="N10612" s="504">
        <v>0</v>
      </c>
      <c r="O10612" s="505">
        <v>0</v>
      </c>
    </row>
    <row r="10613" spans="1:15" x14ac:dyDescent="0.35">
      <c r="A10613" s="500" t="s">
        <v>2087</v>
      </c>
      <c r="B10613" s="501" t="s">
        <v>2504</v>
      </c>
      <c r="C10613" s="501" t="s">
        <v>1089</v>
      </c>
      <c r="D10613" s="501" t="s">
        <v>3392</v>
      </c>
      <c r="E10613" s="501" t="s">
        <v>3381</v>
      </c>
      <c r="F10613" s="501" t="s">
        <v>420</v>
      </c>
      <c r="G10613" s="501" t="s">
        <v>3368</v>
      </c>
      <c r="H10613" s="501" t="s">
        <v>12987</v>
      </c>
      <c r="I10613" s="501">
        <v>183</v>
      </c>
      <c r="J10613" s="501">
        <v>0</v>
      </c>
      <c r="K10613" s="501">
        <v>0</v>
      </c>
      <c r="L10613" s="501">
        <v>0</v>
      </c>
      <c r="M10613" s="501">
        <v>183</v>
      </c>
      <c r="N10613" s="501">
        <v>0</v>
      </c>
      <c r="O10613" s="506">
        <v>0</v>
      </c>
    </row>
    <row r="10614" spans="1:15" x14ac:dyDescent="0.35">
      <c r="A10614" s="503" t="s">
        <v>11403</v>
      </c>
      <c r="B10614" s="504" t="s">
        <v>2731</v>
      </c>
      <c r="C10614" s="504" t="s">
        <v>1089</v>
      </c>
      <c r="D10614" s="504" t="s">
        <v>3392</v>
      </c>
      <c r="E10614" s="504" t="s">
        <v>3381</v>
      </c>
      <c r="F10614" s="504" t="s">
        <v>418</v>
      </c>
      <c r="G10614" s="504" t="s">
        <v>3368</v>
      </c>
      <c r="H10614" s="504" t="s">
        <v>12988</v>
      </c>
      <c r="I10614" s="504">
        <v>40</v>
      </c>
      <c r="J10614" s="504">
        <v>40</v>
      </c>
      <c r="K10614" s="504">
        <v>0</v>
      </c>
      <c r="L10614" s="504">
        <v>0</v>
      </c>
      <c r="M10614" s="504">
        <v>0</v>
      </c>
      <c r="N10614" s="504">
        <v>0</v>
      </c>
      <c r="O10614" s="505">
        <v>0</v>
      </c>
    </row>
    <row r="10615" spans="1:15" x14ac:dyDescent="0.35">
      <c r="A10615" s="500" t="s">
        <v>1197</v>
      </c>
      <c r="B10615" s="501">
        <v>4863</v>
      </c>
      <c r="C10615" s="501" t="s">
        <v>1089</v>
      </c>
      <c r="D10615" s="501" t="s">
        <v>3392</v>
      </c>
      <c r="E10615" s="501" t="s">
        <v>3381</v>
      </c>
      <c r="F10615" s="501" t="s">
        <v>419</v>
      </c>
      <c r="G10615" s="501" t="s">
        <v>3368</v>
      </c>
      <c r="H10615" s="501" t="s">
        <v>12992</v>
      </c>
      <c r="I10615" s="501">
        <v>38</v>
      </c>
      <c r="J10615" s="501">
        <v>0</v>
      </c>
      <c r="K10615" s="501">
        <v>0</v>
      </c>
      <c r="L10615" s="501">
        <v>38</v>
      </c>
      <c r="M10615" s="501">
        <v>0</v>
      </c>
      <c r="N10615" s="501">
        <v>0</v>
      </c>
      <c r="O10615" s="506">
        <v>0</v>
      </c>
    </row>
    <row r="10616" spans="1:15" x14ac:dyDescent="0.35">
      <c r="A10616" s="503" t="s">
        <v>1197</v>
      </c>
      <c r="B10616" s="504">
        <v>4863</v>
      </c>
      <c r="C10616" s="504" t="s">
        <v>1089</v>
      </c>
      <c r="D10616" s="504" t="s">
        <v>3392</v>
      </c>
      <c r="E10616" s="504" t="s">
        <v>3381</v>
      </c>
      <c r="F10616" s="504" t="s">
        <v>418</v>
      </c>
      <c r="G10616" s="504" t="s">
        <v>3368</v>
      </c>
      <c r="H10616" s="504" t="s">
        <v>12990</v>
      </c>
      <c r="I10616" s="504">
        <v>20</v>
      </c>
      <c r="J10616" s="504">
        <v>0</v>
      </c>
      <c r="K10616" s="504">
        <v>0</v>
      </c>
      <c r="L10616" s="504">
        <v>20</v>
      </c>
      <c r="M10616" s="504">
        <v>0</v>
      </c>
      <c r="N10616" s="504">
        <v>0</v>
      </c>
      <c r="O10616" s="505">
        <v>0</v>
      </c>
    </row>
    <row r="10617" spans="1:15" x14ac:dyDescent="0.35">
      <c r="A10617" s="500" t="s">
        <v>1197</v>
      </c>
      <c r="B10617" s="501">
        <v>4863</v>
      </c>
      <c r="C10617" s="501" t="s">
        <v>1089</v>
      </c>
      <c r="D10617" s="501" t="s">
        <v>3392</v>
      </c>
      <c r="E10617" s="501" t="s">
        <v>3381</v>
      </c>
      <c r="F10617" s="501" t="s">
        <v>414</v>
      </c>
      <c r="G10617" s="501" t="s">
        <v>3368</v>
      </c>
      <c r="H10617" s="501" t="s">
        <v>12991</v>
      </c>
      <c r="I10617" s="501">
        <v>9</v>
      </c>
      <c r="J10617" s="501">
        <v>0</v>
      </c>
      <c r="K10617" s="501">
        <v>0</v>
      </c>
      <c r="L10617" s="501">
        <v>9</v>
      </c>
      <c r="M10617" s="501">
        <v>0</v>
      </c>
      <c r="N10617" s="501">
        <v>0</v>
      </c>
      <c r="O10617" s="506">
        <v>0</v>
      </c>
    </row>
    <row r="10618" spans="1:15" x14ac:dyDescent="0.35">
      <c r="A10618" s="503" t="s">
        <v>1197</v>
      </c>
      <c r="B10618" s="504">
        <v>4863</v>
      </c>
      <c r="C10618" s="504" t="s">
        <v>1089</v>
      </c>
      <c r="D10618" s="504" t="s">
        <v>3392</v>
      </c>
      <c r="E10618" s="504" t="s">
        <v>3381</v>
      </c>
      <c r="F10618" s="504" t="s">
        <v>415</v>
      </c>
      <c r="G10618" s="504" t="s">
        <v>3368</v>
      </c>
      <c r="H10618" s="504" t="s">
        <v>12989</v>
      </c>
      <c r="I10618" s="504">
        <v>3</v>
      </c>
      <c r="J10618" s="504">
        <v>0</v>
      </c>
      <c r="K10618" s="504">
        <v>0</v>
      </c>
      <c r="L10618" s="504">
        <v>3</v>
      </c>
      <c r="M10618" s="504">
        <v>0</v>
      </c>
      <c r="N10618" s="504">
        <v>0</v>
      </c>
      <c r="O10618" s="505">
        <v>0</v>
      </c>
    </row>
    <row r="10619" spans="1:15" x14ac:dyDescent="0.35">
      <c r="A10619" s="500" t="s">
        <v>1197</v>
      </c>
      <c r="B10619" s="501">
        <v>4863</v>
      </c>
      <c r="C10619" s="501" t="s">
        <v>1089</v>
      </c>
      <c r="D10619" s="501" t="s">
        <v>3392</v>
      </c>
      <c r="E10619" s="501" t="s">
        <v>3381</v>
      </c>
      <c r="F10619" s="501" t="s">
        <v>1048</v>
      </c>
      <c r="G10619" s="501" t="s">
        <v>3368</v>
      </c>
      <c r="H10619" s="501" t="s">
        <v>14020</v>
      </c>
      <c r="I10619" s="501">
        <v>11</v>
      </c>
      <c r="J10619" s="501">
        <v>0</v>
      </c>
      <c r="K10619" s="501">
        <v>0</v>
      </c>
      <c r="L10619" s="501">
        <v>11</v>
      </c>
      <c r="M10619" s="501">
        <v>0</v>
      </c>
      <c r="N10619" s="501">
        <v>0</v>
      </c>
      <c r="O10619" s="506">
        <v>0</v>
      </c>
    </row>
    <row r="10620" spans="1:15" x14ac:dyDescent="0.35">
      <c r="A10620" s="503" t="s">
        <v>1490</v>
      </c>
      <c r="B10620" s="504" t="s">
        <v>2664</v>
      </c>
      <c r="C10620" s="504" t="s">
        <v>1089</v>
      </c>
      <c r="D10620" s="504" t="s">
        <v>3392</v>
      </c>
      <c r="E10620" s="504" t="s">
        <v>3381</v>
      </c>
      <c r="F10620" s="504" t="s">
        <v>416</v>
      </c>
      <c r="G10620" s="504" t="s">
        <v>3368</v>
      </c>
      <c r="H10620" s="504" t="s">
        <v>12993</v>
      </c>
      <c r="I10620" s="504">
        <v>47</v>
      </c>
      <c r="J10620" s="504">
        <v>46</v>
      </c>
      <c r="K10620" s="504">
        <v>1</v>
      </c>
      <c r="L10620" s="504">
        <v>0</v>
      </c>
      <c r="M10620" s="504">
        <v>0</v>
      </c>
      <c r="N10620" s="504">
        <v>0</v>
      </c>
      <c r="O10620" s="505">
        <v>0</v>
      </c>
    </row>
    <row r="10621" spans="1:15" x14ac:dyDescent="0.35">
      <c r="A10621" s="500" t="s">
        <v>1491</v>
      </c>
      <c r="B10621" s="501" t="s">
        <v>2783</v>
      </c>
      <c r="C10621" s="501" t="s">
        <v>1089</v>
      </c>
      <c r="D10621" s="501" t="s">
        <v>3392</v>
      </c>
      <c r="E10621" s="501" t="s">
        <v>3381</v>
      </c>
      <c r="F10621" s="501" t="s">
        <v>416</v>
      </c>
      <c r="G10621" s="501" t="s">
        <v>3368</v>
      </c>
      <c r="H10621" s="501" t="s">
        <v>12994</v>
      </c>
      <c r="I10621" s="501">
        <v>12</v>
      </c>
      <c r="J10621" s="501">
        <v>12</v>
      </c>
      <c r="K10621" s="501">
        <v>0</v>
      </c>
      <c r="L10621" s="501">
        <v>0</v>
      </c>
      <c r="M10621" s="501">
        <v>0</v>
      </c>
      <c r="N10621" s="501">
        <v>0</v>
      </c>
      <c r="O10621" s="506">
        <v>0</v>
      </c>
    </row>
    <row r="10622" spans="1:15" x14ac:dyDescent="0.35">
      <c r="A10622" s="503" t="s">
        <v>1727</v>
      </c>
      <c r="B10622" s="504" t="s">
        <v>2570</v>
      </c>
      <c r="C10622" s="504" t="s">
        <v>1089</v>
      </c>
      <c r="D10622" s="504" t="s">
        <v>3392</v>
      </c>
      <c r="E10622" s="504" t="s">
        <v>3381</v>
      </c>
      <c r="F10622" s="504" t="s">
        <v>418</v>
      </c>
      <c r="G10622" s="504" t="s">
        <v>3368</v>
      </c>
      <c r="H10622" s="504" t="s">
        <v>12995</v>
      </c>
      <c r="I10622" s="504">
        <v>8</v>
      </c>
      <c r="J10622" s="504">
        <v>0</v>
      </c>
      <c r="K10622" s="504">
        <v>0</v>
      </c>
      <c r="L10622" s="504">
        <v>0</v>
      </c>
      <c r="M10622" s="504">
        <v>8</v>
      </c>
      <c r="N10622" s="504">
        <v>0</v>
      </c>
      <c r="O10622" s="505">
        <v>0</v>
      </c>
    </row>
    <row r="10623" spans="1:15" x14ac:dyDescent="0.35">
      <c r="A10623" s="500" t="s">
        <v>1198</v>
      </c>
      <c r="B10623" s="501">
        <v>4795</v>
      </c>
      <c r="C10623" s="501" t="s">
        <v>1089</v>
      </c>
      <c r="D10623" s="501" t="s">
        <v>3392</v>
      </c>
      <c r="E10623" s="501" t="s">
        <v>3381</v>
      </c>
      <c r="F10623" s="501" t="s">
        <v>414</v>
      </c>
      <c r="G10623" s="501" t="s">
        <v>3368</v>
      </c>
      <c r="H10623" s="501" t="s">
        <v>12996</v>
      </c>
      <c r="I10623" s="501">
        <v>31</v>
      </c>
      <c r="J10623" s="501">
        <v>0</v>
      </c>
      <c r="K10623" s="501">
        <v>0</v>
      </c>
      <c r="L10623" s="501">
        <v>31</v>
      </c>
      <c r="M10623" s="501">
        <v>0</v>
      </c>
      <c r="N10623" s="501">
        <v>0</v>
      </c>
      <c r="O10623" s="506">
        <v>0</v>
      </c>
    </row>
    <row r="10624" spans="1:15" x14ac:dyDescent="0.35">
      <c r="A10624" s="503" t="s">
        <v>1199</v>
      </c>
      <c r="B10624" s="504">
        <v>4877</v>
      </c>
      <c r="C10624" s="504" t="s">
        <v>1094</v>
      </c>
      <c r="D10624" s="504" t="s">
        <v>3380</v>
      </c>
      <c r="E10624" s="504" t="s">
        <v>3381</v>
      </c>
      <c r="F10624" s="504" t="s">
        <v>1048</v>
      </c>
      <c r="G10624" s="504" t="s">
        <v>3368</v>
      </c>
      <c r="H10624" s="504" t="s">
        <v>14021</v>
      </c>
      <c r="I10624" s="504">
        <v>7130</v>
      </c>
      <c r="J10624" s="504">
        <v>6126</v>
      </c>
      <c r="K10624" s="504">
        <v>0</v>
      </c>
      <c r="L10624" s="504">
        <v>0</v>
      </c>
      <c r="M10624" s="504">
        <v>881</v>
      </c>
      <c r="N10624" s="504">
        <v>0</v>
      </c>
      <c r="O10624" s="505">
        <v>123</v>
      </c>
    </row>
    <row r="10625" spans="1:15" x14ac:dyDescent="0.35">
      <c r="A10625" s="500" t="s">
        <v>1199</v>
      </c>
      <c r="B10625" s="501">
        <v>4877</v>
      </c>
      <c r="C10625" s="501" t="s">
        <v>1094</v>
      </c>
      <c r="D10625" s="501" t="s">
        <v>3380</v>
      </c>
      <c r="E10625" s="501" t="s">
        <v>3381</v>
      </c>
      <c r="F10625" s="501" t="s">
        <v>414</v>
      </c>
      <c r="G10625" s="501" t="s">
        <v>3368</v>
      </c>
      <c r="H10625" s="501" t="s">
        <v>12997</v>
      </c>
      <c r="I10625" s="501">
        <v>4982</v>
      </c>
      <c r="J10625" s="501">
        <v>3927</v>
      </c>
      <c r="K10625" s="501">
        <v>8</v>
      </c>
      <c r="L10625" s="501">
        <v>20</v>
      </c>
      <c r="M10625" s="501">
        <v>821</v>
      </c>
      <c r="N10625" s="501">
        <v>0</v>
      </c>
      <c r="O10625" s="506">
        <v>206</v>
      </c>
    </row>
    <row r="10626" spans="1:15" x14ac:dyDescent="0.35">
      <c r="A10626" s="503" t="s">
        <v>1200</v>
      </c>
      <c r="B10626" s="504" t="s">
        <v>3122</v>
      </c>
      <c r="C10626" s="504" t="s">
        <v>1089</v>
      </c>
      <c r="D10626" s="504" t="s">
        <v>3392</v>
      </c>
      <c r="E10626" s="504" t="s">
        <v>3381</v>
      </c>
      <c r="F10626" s="504" t="s">
        <v>415</v>
      </c>
      <c r="G10626" s="504" t="s">
        <v>3368</v>
      </c>
      <c r="H10626" s="504" t="s">
        <v>12998</v>
      </c>
      <c r="I10626" s="504">
        <v>8</v>
      </c>
      <c r="J10626" s="504">
        <v>8</v>
      </c>
      <c r="K10626" s="504">
        <v>0</v>
      </c>
      <c r="L10626" s="504">
        <v>0</v>
      </c>
      <c r="M10626" s="504">
        <v>0</v>
      </c>
      <c r="N10626" s="504">
        <v>0</v>
      </c>
      <c r="O10626" s="505">
        <v>0</v>
      </c>
    </row>
    <row r="10627" spans="1:15" x14ac:dyDescent="0.35">
      <c r="A10627" s="500" t="s">
        <v>1200</v>
      </c>
      <c r="B10627" s="501" t="s">
        <v>3122</v>
      </c>
      <c r="C10627" s="501" t="s">
        <v>1089</v>
      </c>
      <c r="D10627" s="501" t="s">
        <v>3392</v>
      </c>
      <c r="E10627" s="501" t="s">
        <v>3381</v>
      </c>
      <c r="F10627" s="501" t="s">
        <v>1048</v>
      </c>
      <c r="G10627" s="501" t="s">
        <v>3368</v>
      </c>
      <c r="H10627" s="501" t="s">
        <v>14022</v>
      </c>
      <c r="I10627" s="501">
        <v>39</v>
      </c>
      <c r="J10627" s="501">
        <v>39</v>
      </c>
      <c r="K10627" s="501">
        <v>0</v>
      </c>
      <c r="L10627" s="501">
        <v>0</v>
      </c>
      <c r="M10627" s="501">
        <v>0</v>
      </c>
      <c r="N10627" s="501">
        <v>0</v>
      </c>
      <c r="O10627" s="506">
        <v>0</v>
      </c>
    </row>
    <row r="10628" spans="1:15" x14ac:dyDescent="0.35">
      <c r="A10628" s="503" t="s">
        <v>1200</v>
      </c>
      <c r="B10628" s="504" t="s">
        <v>3122</v>
      </c>
      <c r="C10628" s="504" t="s">
        <v>1089</v>
      </c>
      <c r="D10628" s="504" t="s">
        <v>3392</v>
      </c>
      <c r="E10628" s="504" t="s">
        <v>3381</v>
      </c>
      <c r="F10628" s="504" t="s">
        <v>414</v>
      </c>
      <c r="G10628" s="504" t="s">
        <v>3368</v>
      </c>
      <c r="H10628" s="504" t="s">
        <v>12999</v>
      </c>
      <c r="I10628" s="504">
        <v>356</v>
      </c>
      <c r="J10628" s="504">
        <v>356</v>
      </c>
      <c r="K10628" s="504">
        <v>0</v>
      </c>
      <c r="L10628" s="504">
        <v>0</v>
      </c>
      <c r="M10628" s="504">
        <v>0</v>
      </c>
      <c r="N10628" s="504">
        <v>0</v>
      </c>
      <c r="O10628" s="505">
        <v>0</v>
      </c>
    </row>
    <row r="10629" spans="1:15" x14ac:dyDescent="0.35">
      <c r="A10629" s="500" t="s">
        <v>1201</v>
      </c>
      <c r="B10629" s="501" t="s">
        <v>2892</v>
      </c>
      <c r="C10629" s="501" t="s">
        <v>1089</v>
      </c>
      <c r="D10629" s="501" t="s">
        <v>3392</v>
      </c>
      <c r="E10629" s="501" t="s">
        <v>3381</v>
      </c>
      <c r="F10629" s="501" t="s">
        <v>414</v>
      </c>
      <c r="G10629" s="501" t="s">
        <v>3368</v>
      </c>
      <c r="H10629" s="501" t="s">
        <v>13000</v>
      </c>
      <c r="I10629" s="501">
        <v>151</v>
      </c>
      <c r="J10629" s="501">
        <v>0</v>
      </c>
      <c r="K10629" s="501">
        <v>0</v>
      </c>
      <c r="L10629" s="501">
        <v>151</v>
      </c>
      <c r="M10629" s="501">
        <v>0</v>
      </c>
      <c r="N10629" s="501">
        <v>0</v>
      </c>
      <c r="O10629" s="506">
        <v>0</v>
      </c>
    </row>
    <row r="10630" spans="1:15" x14ac:dyDescent="0.35">
      <c r="A10630" s="503" t="s">
        <v>1858</v>
      </c>
      <c r="B10630" s="504" t="s">
        <v>3043</v>
      </c>
      <c r="C10630" s="504" t="s">
        <v>1089</v>
      </c>
      <c r="D10630" s="504" t="s">
        <v>3392</v>
      </c>
      <c r="E10630" s="504" t="s">
        <v>3381</v>
      </c>
      <c r="F10630" s="504" t="s">
        <v>2</v>
      </c>
      <c r="G10630" s="504" t="s">
        <v>3368</v>
      </c>
      <c r="H10630" s="504" t="s">
        <v>13001</v>
      </c>
      <c r="I10630" s="504">
        <v>93</v>
      </c>
      <c r="J10630" s="504">
        <v>2</v>
      </c>
      <c r="K10630" s="504">
        <v>0</v>
      </c>
      <c r="L10630" s="504">
        <v>4</v>
      </c>
      <c r="M10630" s="504">
        <v>87</v>
      </c>
      <c r="N10630" s="504">
        <v>0</v>
      </c>
      <c r="O10630" s="505">
        <v>0</v>
      </c>
    </row>
    <row r="10631" spans="1:15" x14ac:dyDescent="0.35">
      <c r="A10631" s="500" t="s">
        <v>1111</v>
      </c>
      <c r="B10631" s="501">
        <v>4873</v>
      </c>
      <c r="C10631" s="501" t="s">
        <v>1094</v>
      </c>
      <c r="D10631" s="501" t="s">
        <v>3380</v>
      </c>
      <c r="E10631" s="501" t="s">
        <v>3381</v>
      </c>
      <c r="F10631" s="501" t="s">
        <v>414</v>
      </c>
      <c r="G10631" s="501" t="s">
        <v>3368</v>
      </c>
      <c r="H10631" s="501" t="s">
        <v>13003</v>
      </c>
      <c r="I10631" s="501">
        <v>3</v>
      </c>
      <c r="J10631" s="501">
        <v>0</v>
      </c>
      <c r="K10631" s="501">
        <v>0</v>
      </c>
      <c r="L10631" s="501">
        <v>0</v>
      </c>
      <c r="M10631" s="501">
        <v>0</v>
      </c>
      <c r="N10631" s="501">
        <v>0</v>
      </c>
      <c r="O10631" s="506">
        <v>3</v>
      </c>
    </row>
    <row r="10632" spans="1:15" x14ac:dyDescent="0.35">
      <c r="A10632" s="503" t="s">
        <v>1111</v>
      </c>
      <c r="B10632" s="504">
        <v>4873</v>
      </c>
      <c r="C10632" s="504" t="s">
        <v>1094</v>
      </c>
      <c r="D10632" s="504" t="s">
        <v>3380</v>
      </c>
      <c r="E10632" s="504" t="s">
        <v>3381</v>
      </c>
      <c r="F10632" s="504" t="s">
        <v>419</v>
      </c>
      <c r="G10632" s="504" t="s">
        <v>3368</v>
      </c>
      <c r="H10632" s="504" t="s">
        <v>13004</v>
      </c>
      <c r="I10632" s="504">
        <v>36118</v>
      </c>
      <c r="J10632" s="504">
        <v>28166</v>
      </c>
      <c r="K10632" s="504">
        <v>3</v>
      </c>
      <c r="L10632" s="504">
        <v>1414</v>
      </c>
      <c r="M10632" s="504">
        <v>1902</v>
      </c>
      <c r="N10632" s="504">
        <v>0</v>
      </c>
      <c r="O10632" s="505">
        <v>4633</v>
      </c>
    </row>
    <row r="10633" spans="1:15" x14ac:dyDescent="0.35">
      <c r="A10633" s="500" t="s">
        <v>1111</v>
      </c>
      <c r="B10633" s="501">
        <v>4873</v>
      </c>
      <c r="C10633" s="501" t="s">
        <v>1094</v>
      </c>
      <c r="D10633" s="501" t="s">
        <v>3380</v>
      </c>
      <c r="E10633" s="501" t="s">
        <v>3381</v>
      </c>
      <c r="F10633" s="501" t="s">
        <v>2</v>
      </c>
      <c r="G10633" s="501" t="s">
        <v>3368</v>
      </c>
      <c r="H10633" s="501" t="s">
        <v>13002</v>
      </c>
      <c r="I10633" s="501">
        <v>2</v>
      </c>
      <c r="J10633" s="501">
        <v>0</v>
      </c>
      <c r="K10633" s="501">
        <v>0</v>
      </c>
      <c r="L10633" s="501">
        <v>0</v>
      </c>
      <c r="M10633" s="501">
        <v>0</v>
      </c>
      <c r="N10633" s="501">
        <v>0</v>
      </c>
      <c r="O10633" s="506">
        <v>2</v>
      </c>
    </row>
    <row r="10634" spans="1:15" x14ac:dyDescent="0.35">
      <c r="A10634" s="503" t="s">
        <v>1728</v>
      </c>
      <c r="B10634" s="504" t="s">
        <v>2702</v>
      </c>
      <c r="C10634" s="504" t="s">
        <v>1089</v>
      </c>
      <c r="D10634" s="504" t="s">
        <v>3392</v>
      </c>
      <c r="E10634" s="504" t="s">
        <v>3381</v>
      </c>
      <c r="F10634" s="504" t="s">
        <v>418</v>
      </c>
      <c r="G10634" s="504" t="s">
        <v>3368</v>
      </c>
      <c r="H10634" s="504" t="s">
        <v>13005</v>
      </c>
      <c r="I10634" s="504">
        <v>51</v>
      </c>
      <c r="J10634" s="504">
        <v>51</v>
      </c>
      <c r="K10634" s="504">
        <v>0</v>
      </c>
      <c r="L10634" s="504">
        <v>0</v>
      </c>
      <c r="M10634" s="504">
        <v>0</v>
      </c>
      <c r="N10634" s="504">
        <v>0</v>
      </c>
      <c r="O10634" s="505">
        <v>0</v>
      </c>
    </row>
    <row r="10635" spans="1:15" x14ac:dyDescent="0.35">
      <c r="A10635" s="500" t="s">
        <v>1729</v>
      </c>
      <c r="B10635" s="501" t="s">
        <v>2961</v>
      </c>
      <c r="C10635" s="501" t="s">
        <v>1089</v>
      </c>
      <c r="D10635" s="501" t="s">
        <v>3392</v>
      </c>
      <c r="E10635" s="501" t="s">
        <v>3381</v>
      </c>
      <c r="F10635" s="501" t="s">
        <v>418</v>
      </c>
      <c r="G10635" s="501" t="s">
        <v>3368</v>
      </c>
      <c r="H10635" s="501" t="s">
        <v>13006</v>
      </c>
      <c r="I10635" s="501">
        <v>206</v>
      </c>
      <c r="J10635" s="501">
        <v>40</v>
      </c>
      <c r="K10635" s="501">
        <v>0</v>
      </c>
      <c r="L10635" s="501">
        <v>0</v>
      </c>
      <c r="M10635" s="501">
        <v>166</v>
      </c>
      <c r="N10635" s="501">
        <v>0</v>
      </c>
      <c r="O10635" s="506">
        <v>0</v>
      </c>
    </row>
    <row r="10636" spans="1:15" x14ac:dyDescent="0.35">
      <c r="A10636" s="503" t="s">
        <v>1642</v>
      </c>
      <c r="B10636" s="504" t="s">
        <v>3225</v>
      </c>
      <c r="C10636" s="504" t="s">
        <v>1094</v>
      </c>
      <c r="D10636" s="504" t="s">
        <v>3380</v>
      </c>
      <c r="E10636" s="504" t="s">
        <v>3381</v>
      </c>
      <c r="F10636" s="504" t="s">
        <v>417</v>
      </c>
      <c r="G10636" s="504" t="s">
        <v>3368</v>
      </c>
      <c r="H10636" s="504" t="s">
        <v>13007</v>
      </c>
      <c r="I10636" s="504">
        <v>8641</v>
      </c>
      <c r="J10636" s="504">
        <v>8626</v>
      </c>
      <c r="K10636" s="504">
        <v>0</v>
      </c>
      <c r="L10636" s="504">
        <v>0</v>
      </c>
      <c r="M10636" s="504">
        <v>0</v>
      </c>
      <c r="N10636" s="504">
        <v>0</v>
      </c>
      <c r="O10636" s="505">
        <v>15</v>
      </c>
    </row>
    <row r="10637" spans="1:15" x14ac:dyDescent="0.35">
      <c r="A10637" s="500" t="s">
        <v>1730</v>
      </c>
      <c r="B10637" s="501" t="s">
        <v>3351</v>
      </c>
      <c r="C10637" s="501" t="s">
        <v>1094</v>
      </c>
      <c r="D10637" s="501" t="s">
        <v>3380</v>
      </c>
      <c r="E10637" s="501" t="s">
        <v>3381</v>
      </c>
      <c r="F10637" s="501" t="s">
        <v>418</v>
      </c>
      <c r="G10637" s="501" t="s">
        <v>3368</v>
      </c>
      <c r="H10637" s="501" t="s">
        <v>13008</v>
      </c>
      <c r="I10637" s="501">
        <v>12966</v>
      </c>
      <c r="J10637" s="501">
        <v>11960</v>
      </c>
      <c r="K10637" s="501">
        <v>4</v>
      </c>
      <c r="L10637" s="501">
        <v>37</v>
      </c>
      <c r="M10637" s="501">
        <v>739</v>
      </c>
      <c r="N10637" s="501">
        <v>0</v>
      </c>
      <c r="O10637" s="506">
        <v>226</v>
      </c>
    </row>
    <row r="10638" spans="1:15" x14ac:dyDescent="0.35">
      <c r="A10638" s="503" t="s">
        <v>1311</v>
      </c>
      <c r="B10638" s="504" t="s">
        <v>3361</v>
      </c>
      <c r="C10638" s="504" t="s">
        <v>1094</v>
      </c>
      <c r="D10638" s="504" t="s">
        <v>3380</v>
      </c>
      <c r="E10638" s="504" t="s">
        <v>3381</v>
      </c>
      <c r="F10638" s="504" t="s">
        <v>2</v>
      </c>
      <c r="G10638" s="504" t="s">
        <v>3368</v>
      </c>
      <c r="H10638" s="504" t="s">
        <v>13011</v>
      </c>
      <c r="I10638" s="504">
        <v>5</v>
      </c>
      <c r="J10638" s="504">
        <v>5</v>
      </c>
      <c r="K10638" s="504">
        <v>0</v>
      </c>
      <c r="L10638" s="504">
        <v>0</v>
      </c>
      <c r="M10638" s="504">
        <v>0</v>
      </c>
      <c r="N10638" s="504">
        <v>0</v>
      </c>
      <c r="O10638" s="505">
        <v>0</v>
      </c>
    </row>
    <row r="10639" spans="1:15" x14ac:dyDescent="0.35">
      <c r="A10639" s="500" t="s">
        <v>1311</v>
      </c>
      <c r="B10639" s="501" t="s">
        <v>3361</v>
      </c>
      <c r="C10639" s="501" t="s">
        <v>1094</v>
      </c>
      <c r="D10639" s="501" t="s">
        <v>3380</v>
      </c>
      <c r="E10639" s="501" t="s">
        <v>3381</v>
      </c>
      <c r="F10639" s="501" t="s">
        <v>416</v>
      </c>
      <c r="G10639" s="501" t="s">
        <v>3368</v>
      </c>
      <c r="H10639" s="501" t="s">
        <v>13010</v>
      </c>
      <c r="I10639" s="501">
        <v>1087</v>
      </c>
      <c r="J10639" s="501">
        <v>1087</v>
      </c>
      <c r="K10639" s="501">
        <v>0</v>
      </c>
      <c r="L10639" s="501">
        <v>0</v>
      </c>
      <c r="M10639" s="501">
        <v>0</v>
      </c>
      <c r="N10639" s="501">
        <v>1</v>
      </c>
      <c r="O10639" s="506">
        <v>0</v>
      </c>
    </row>
    <row r="10640" spans="1:15" x14ac:dyDescent="0.35">
      <c r="A10640" s="503" t="s">
        <v>1311</v>
      </c>
      <c r="B10640" s="504" t="s">
        <v>3361</v>
      </c>
      <c r="C10640" s="504" t="s">
        <v>1094</v>
      </c>
      <c r="D10640" s="504" t="s">
        <v>3380</v>
      </c>
      <c r="E10640" s="504" t="s">
        <v>3381</v>
      </c>
      <c r="F10640" s="504" t="s">
        <v>415</v>
      </c>
      <c r="G10640" s="504" t="s">
        <v>3368</v>
      </c>
      <c r="H10640" s="504" t="s">
        <v>13009</v>
      </c>
      <c r="I10640" s="504">
        <v>213</v>
      </c>
      <c r="J10640" s="504">
        <v>213</v>
      </c>
      <c r="K10640" s="504">
        <v>0</v>
      </c>
      <c r="L10640" s="504">
        <v>0</v>
      </c>
      <c r="M10640" s="504">
        <v>0</v>
      </c>
      <c r="N10640" s="504">
        <v>0</v>
      </c>
      <c r="O10640" s="505">
        <v>0</v>
      </c>
    </row>
    <row r="10641" spans="1:15" x14ac:dyDescent="0.35">
      <c r="A10641" s="500" t="s">
        <v>1990</v>
      </c>
      <c r="B10641" s="501" t="s">
        <v>2874</v>
      </c>
      <c r="C10641" s="501" t="s">
        <v>1089</v>
      </c>
      <c r="D10641" s="501" t="s">
        <v>3392</v>
      </c>
      <c r="E10641" s="501" t="s">
        <v>3381</v>
      </c>
      <c r="F10641" s="501" t="s">
        <v>419</v>
      </c>
      <c r="G10641" s="501" t="s">
        <v>3368</v>
      </c>
      <c r="H10641" s="501" t="s">
        <v>13012</v>
      </c>
      <c r="I10641" s="501">
        <v>34</v>
      </c>
      <c r="J10641" s="501">
        <v>0</v>
      </c>
      <c r="K10641" s="501">
        <v>0</v>
      </c>
      <c r="L10641" s="501">
        <v>0</v>
      </c>
      <c r="M10641" s="501">
        <v>34</v>
      </c>
      <c r="N10641" s="501">
        <v>0</v>
      </c>
      <c r="O10641" s="506">
        <v>0</v>
      </c>
    </row>
    <row r="10642" spans="1:15" x14ac:dyDescent="0.35">
      <c r="A10642" s="503" t="s">
        <v>1859</v>
      </c>
      <c r="B10642" s="504">
        <v>4827</v>
      </c>
      <c r="C10642" s="504" t="s">
        <v>1089</v>
      </c>
      <c r="D10642" s="504" t="s">
        <v>3392</v>
      </c>
      <c r="E10642" s="504" t="s">
        <v>3381</v>
      </c>
      <c r="F10642" s="504" t="s">
        <v>2</v>
      </c>
      <c r="G10642" s="504" t="s">
        <v>3368</v>
      </c>
      <c r="H10642" s="504" t="s">
        <v>13013</v>
      </c>
      <c r="I10642" s="504">
        <v>101</v>
      </c>
      <c r="J10642" s="504">
        <v>38</v>
      </c>
      <c r="K10642" s="504">
        <v>0</v>
      </c>
      <c r="L10642" s="504">
        <v>63</v>
      </c>
      <c r="M10642" s="504">
        <v>0</v>
      </c>
      <c r="N10642" s="504">
        <v>0</v>
      </c>
      <c r="O10642" s="505">
        <v>0</v>
      </c>
    </row>
    <row r="10643" spans="1:15" x14ac:dyDescent="0.35">
      <c r="A10643" s="500" t="s">
        <v>1731</v>
      </c>
      <c r="B10643" s="501" t="s">
        <v>2652</v>
      </c>
      <c r="C10643" s="501" t="s">
        <v>1089</v>
      </c>
      <c r="D10643" s="501" t="s">
        <v>3392</v>
      </c>
      <c r="E10643" s="501" t="s">
        <v>3381</v>
      </c>
      <c r="F10643" s="501" t="s">
        <v>418</v>
      </c>
      <c r="G10643" s="501" t="s">
        <v>3368</v>
      </c>
      <c r="H10643" s="501" t="s">
        <v>13014</v>
      </c>
      <c r="I10643" s="501">
        <v>213</v>
      </c>
      <c r="J10643" s="501">
        <v>213</v>
      </c>
      <c r="K10643" s="501">
        <v>0</v>
      </c>
      <c r="L10643" s="501">
        <v>0</v>
      </c>
      <c r="M10643" s="501">
        <v>0</v>
      </c>
      <c r="N10643" s="501">
        <v>0</v>
      </c>
      <c r="O10643" s="506">
        <v>0</v>
      </c>
    </row>
    <row r="10644" spans="1:15" x14ac:dyDescent="0.35">
      <c r="A10644" s="503" t="s">
        <v>1202</v>
      </c>
      <c r="B10644" s="504" t="s">
        <v>3217</v>
      </c>
      <c r="C10644" s="504" t="s">
        <v>1094</v>
      </c>
      <c r="D10644" s="504" t="s">
        <v>3380</v>
      </c>
      <c r="E10644" s="504" t="s">
        <v>3381</v>
      </c>
      <c r="F10644" s="504" t="s">
        <v>417</v>
      </c>
      <c r="G10644" s="504" t="s">
        <v>3368</v>
      </c>
      <c r="H10644" s="504" t="s">
        <v>13021</v>
      </c>
      <c r="I10644" s="504">
        <v>1</v>
      </c>
      <c r="J10644" s="504">
        <v>0</v>
      </c>
      <c r="K10644" s="504">
        <v>0</v>
      </c>
      <c r="L10644" s="504">
        <v>0</v>
      </c>
      <c r="M10644" s="504">
        <v>0</v>
      </c>
      <c r="N10644" s="504">
        <v>0</v>
      </c>
      <c r="O10644" s="505">
        <v>1</v>
      </c>
    </row>
    <row r="10645" spans="1:15" x14ac:dyDescent="0.35">
      <c r="A10645" s="500" t="s">
        <v>1202</v>
      </c>
      <c r="B10645" s="501" t="s">
        <v>3217</v>
      </c>
      <c r="C10645" s="501" t="s">
        <v>1094</v>
      </c>
      <c r="D10645" s="501" t="s">
        <v>3380</v>
      </c>
      <c r="E10645" s="501" t="s">
        <v>3381</v>
      </c>
      <c r="F10645" s="501" t="s">
        <v>416</v>
      </c>
      <c r="G10645" s="501" t="s">
        <v>3368</v>
      </c>
      <c r="H10645" s="501" t="s">
        <v>13015</v>
      </c>
      <c r="I10645" s="501">
        <v>66530</v>
      </c>
      <c r="J10645" s="501">
        <v>51670</v>
      </c>
      <c r="K10645" s="501">
        <v>24</v>
      </c>
      <c r="L10645" s="501">
        <v>2139</v>
      </c>
      <c r="M10645" s="501">
        <v>2128</v>
      </c>
      <c r="N10645" s="501">
        <v>336</v>
      </c>
      <c r="O10645" s="506">
        <v>10569</v>
      </c>
    </row>
    <row r="10646" spans="1:15" x14ac:dyDescent="0.35">
      <c r="A10646" s="503" t="s">
        <v>1202</v>
      </c>
      <c r="B10646" s="504" t="s">
        <v>3217</v>
      </c>
      <c r="C10646" s="504" t="s">
        <v>1094</v>
      </c>
      <c r="D10646" s="504" t="s">
        <v>3380</v>
      </c>
      <c r="E10646" s="504" t="s">
        <v>3381</v>
      </c>
      <c r="F10646" s="504" t="s">
        <v>419</v>
      </c>
      <c r="G10646" s="504" t="s">
        <v>3368</v>
      </c>
      <c r="H10646" s="504" t="s">
        <v>13018</v>
      </c>
      <c r="I10646" s="504">
        <v>7</v>
      </c>
      <c r="J10646" s="504">
        <v>0</v>
      </c>
      <c r="K10646" s="504">
        <v>0</v>
      </c>
      <c r="L10646" s="504">
        <v>0</v>
      </c>
      <c r="M10646" s="504">
        <v>0</v>
      </c>
      <c r="N10646" s="504">
        <v>0</v>
      </c>
      <c r="O10646" s="505">
        <v>7</v>
      </c>
    </row>
    <row r="10647" spans="1:15" x14ac:dyDescent="0.35">
      <c r="A10647" s="500" t="s">
        <v>1202</v>
      </c>
      <c r="B10647" s="501" t="s">
        <v>3217</v>
      </c>
      <c r="C10647" s="501" t="s">
        <v>1094</v>
      </c>
      <c r="D10647" s="501" t="s">
        <v>3380</v>
      </c>
      <c r="E10647" s="501" t="s">
        <v>3381</v>
      </c>
      <c r="F10647" s="501" t="s">
        <v>420</v>
      </c>
      <c r="G10647" s="501" t="s">
        <v>3368</v>
      </c>
      <c r="H10647" s="501" t="s">
        <v>13017</v>
      </c>
      <c r="I10647" s="501">
        <v>119</v>
      </c>
      <c r="J10647" s="501">
        <v>62</v>
      </c>
      <c r="K10647" s="501">
        <v>0</v>
      </c>
      <c r="L10647" s="501">
        <v>0</v>
      </c>
      <c r="M10647" s="501">
        <v>0</v>
      </c>
      <c r="N10647" s="501">
        <v>0</v>
      </c>
      <c r="O10647" s="506">
        <v>57</v>
      </c>
    </row>
    <row r="10648" spans="1:15" x14ac:dyDescent="0.35">
      <c r="A10648" s="503" t="s">
        <v>1202</v>
      </c>
      <c r="B10648" s="504" t="s">
        <v>3217</v>
      </c>
      <c r="C10648" s="504" t="s">
        <v>1094</v>
      </c>
      <c r="D10648" s="504" t="s">
        <v>3380</v>
      </c>
      <c r="E10648" s="504" t="s">
        <v>3381</v>
      </c>
      <c r="F10648" s="504" t="s">
        <v>414</v>
      </c>
      <c r="G10648" s="504" t="s">
        <v>3368</v>
      </c>
      <c r="H10648" s="504" t="s">
        <v>13016</v>
      </c>
      <c r="I10648" s="504">
        <v>5</v>
      </c>
      <c r="J10648" s="504">
        <v>0</v>
      </c>
      <c r="K10648" s="504">
        <v>0</v>
      </c>
      <c r="L10648" s="504">
        <v>0</v>
      </c>
      <c r="M10648" s="504">
        <v>0</v>
      </c>
      <c r="N10648" s="504">
        <v>0</v>
      </c>
      <c r="O10648" s="505">
        <v>5</v>
      </c>
    </row>
    <row r="10649" spans="1:15" x14ac:dyDescent="0.35">
      <c r="A10649" s="500" t="s">
        <v>1202</v>
      </c>
      <c r="B10649" s="501" t="s">
        <v>3217</v>
      </c>
      <c r="C10649" s="501" t="s">
        <v>1094</v>
      </c>
      <c r="D10649" s="501" t="s">
        <v>3380</v>
      </c>
      <c r="E10649" s="501" t="s">
        <v>3381</v>
      </c>
      <c r="F10649" s="501" t="s">
        <v>415</v>
      </c>
      <c r="G10649" s="501" t="s">
        <v>3368</v>
      </c>
      <c r="H10649" s="501" t="s">
        <v>13020</v>
      </c>
      <c r="I10649" s="501">
        <v>3324</v>
      </c>
      <c r="J10649" s="501">
        <v>2456</v>
      </c>
      <c r="K10649" s="501">
        <v>0</v>
      </c>
      <c r="L10649" s="501">
        <v>72</v>
      </c>
      <c r="M10649" s="501">
        <v>109</v>
      </c>
      <c r="N10649" s="501">
        <v>1</v>
      </c>
      <c r="O10649" s="506">
        <v>687</v>
      </c>
    </row>
    <row r="10650" spans="1:15" x14ac:dyDescent="0.35">
      <c r="A10650" s="503" t="s">
        <v>1202</v>
      </c>
      <c r="B10650" s="504" t="s">
        <v>3217</v>
      </c>
      <c r="C10650" s="504" t="s">
        <v>1094</v>
      </c>
      <c r="D10650" s="504" t="s">
        <v>3380</v>
      </c>
      <c r="E10650" s="504" t="s">
        <v>3381</v>
      </c>
      <c r="F10650" s="504" t="s">
        <v>2</v>
      </c>
      <c r="G10650" s="504" t="s">
        <v>3368</v>
      </c>
      <c r="H10650" s="504" t="s">
        <v>13019</v>
      </c>
      <c r="I10650" s="504">
        <v>8472</v>
      </c>
      <c r="J10650" s="504">
        <v>6869</v>
      </c>
      <c r="K10650" s="504">
        <v>0</v>
      </c>
      <c r="L10650" s="504">
        <v>225</v>
      </c>
      <c r="M10650" s="504">
        <v>347</v>
      </c>
      <c r="N10650" s="504">
        <v>243</v>
      </c>
      <c r="O10650" s="505">
        <v>1031</v>
      </c>
    </row>
    <row r="10651" spans="1:15" x14ac:dyDescent="0.35">
      <c r="A10651" s="500" t="s">
        <v>1492</v>
      </c>
      <c r="B10651" s="501" t="s">
        <v>3354</v>
      </c>
      <c r="C10651" s="501" t="s">
        <v>1089</v>
      </c>
      <c r="D10651" s="501" t="s">
        <v>3392</v>
      </c>
      <c r="E10651" s="501" t="s">
        <v>3381</v>
      </c>
      <c r="F10651" s="501" t="s">
        <v>416</v>
      </c>
      <c r="G10651" s="501" t="s">
        <v>3368</v>
      </c>
      <c r="H10651" s="501" t="s">
        <v>13022</v>
      </c>
      <c r="I10651" s="501">
        <v>86</v>
      </c>
      <c r="J10651" s="501">
        <v>0</v>
      </c>
      <c r="K10651" s="501">
        <v>0</v>
      </c>
      <c r="L10651" s="501">
        <v>86</v>
      </c>
      <c r="M10651" s="501">
        <v>0</v>
      </c>
      <c r="N10651" s="501">
        <v>0</v>
      </c>
      <c r="O10651" s="506">
        <v>0</v>
      </c>
    </row>
    <row r="10652" spans="1:15" x14ac:dyDescent="0.35">
      <c r="A10652" s="503" t="s">
        <v>1203</v>
      </c>
      <c r="B10652" s="504" t="s">
        <v>3170</v>
      </c>
      <c r="C10652" s="504" t="s">
        <v>1094</v>
      </c>
      <c r="D10652" s="504" t="s">
        <v>3380</v>
      </c>
      <c r="E10652" s="504" t="s">
        <v>3381</v>
      </c>
      <c r="F10652" s="504" t="s">
        <v>420</v>
      </c>
      <c r="G10652" s="504" t="s">
        <v>3368</v>
      </c>
      <c r="H10652" s="504" t="s">
        <v>13025</v>
      </c>
      <c r="I10652" s="504">
        <v>2823</v>
      </c>
      <c r="J10652" s="504">
        <v>2606</v>
      </c>
      <c r="K10652" s="504">
        <v>0</v>
      </c>
      <c r="L10652" s="504">
        <v>122</v>
      </c>
      <c r="M10652" s="504">
        <v>20</v>
      </c>
      <c r="N10652" s="504">
        <v>10</v>
      </c>
      <c r="O10652" s="505">
        <v>75</v>
      </c>
    </row>
    <row r="10653" spans="1:15" x14ac:dyDescent="0.35">
      <c r="A10653" s="500" t="s">
        <v>1203</v>
      </c>
      <c r="B10653" s="501" t="s">
        <v>3170</v>
      </c>
      <c r="C10653" s="501" t="s">
        <v>1094</v>
      </c>
      <c r="D10653" s="501" t="s">
        <v>3380</v>
      </c>
      <c r="E10653" s="501" t="s">
        <v>3381</v>
      </c>
      <c r="F10653" s="501" t="s">
        <v>414</v>
      </c>
      <c r="G10653" s="501" t="s">
        <v>3368</v>
      </c>
      <c r="H10653" s="501" t="s">
        <v>13023</v>
      </c>
      <c r="I10653" s="501">
        <v>13618</v>
      </c>
      <c r="J10653" s="501">
        <v>10866</v>
      </c>
      <c r="K10653" s="501">
        <v>0</v>
      </c>
      <c r="L10653" s="501">
        <v>139</v>
      </c>
      <c r="M10653" s="501">
        <v>809</v>
      </c>
      <c r="N10653" s="501">
        <v>33</v>
      </c>
      <c r="O10653" s="506">
        <v>1804</v>
      </c>
    </row>
    <row r="10654" spans="1:15" x14ac:dyDescent="0.35">
      <c r="A10654" s="503" t="s">
        <v>1203</v>
      </c>
      <c r="B10654" s="504" t="s">
        <v>3170</v>
      </c>
      <c r="C10654" s="504" t="s">
        <v>1094</v>
      </c>
      <c r="D10654" s="504" t="s">
        <v>3380</v>
      </c>
      <c r="E10654" s="504" t="s">
        <v>3381</v>
      </c>
      <c r="F10654" s="504" t="s">
        <v>416</v>
      </c>
      <c r="G10654" s="504" t="s">
        <v>3368</v>
      </c>
      <c r="H10654" s="504" t="s">
        <v>13024</v>
      </c>
      <c r="I10654" s="504">
        <v>1</v>
      </c>
      <c r="J10654" s="504">
        <v>0</v>
      </c>
      <c r="K10654" s="504">
        <v>0</v>
      </c>
      <c r="L10654" s="504">
        <v>0</v>
      </c>
      <c r="M10654" s="504">
        <v>0</v>
      </c>
      <c r="N10654" s="504">
        <v>0</v>
      </c>
      <c r="O10654" s="505">
        <v>1</v>
      </c>
    </row>
    <row r="10655" spans="1:15" x14ac:dyDescent="0.35">
      <c r="A10655" s="500" t="s">
        <v>1203</v>
      </c>
      <c r="B10655" s="501" t="s">
        <v>3170</v>
      </c>
      <c r="C10655" s="501" t="s">
        <v>1094</v>
      </c>
      <c r="D10655" s="501" t="s">
        <v>3380</v>
      </c>
      <c r="E10655" s="501" t="s">
        <v>3381</v>
      </c>
      <c r="F10655" s="501" t="s">
        <v>415</v>
      </c>
      <c r="G10655" s="501" t="s">
        <v>3368</v>
      </c>
      <c r="H10655" s="501" t="s">
        <v>13026</v>
      </c>
      <c r="I10655" s="501">
        <v>3601</v>
      </c>
      <c r="J10655" s="501">
        <v>2515</v>
      </c>
      <c r="K10655" s="501">
        <v>0</v>
      </c>
      <c r="L10655" s="501">
        <v>209</v>
      </c>
      <c r="M10655" s="501">
        <v>510</v>
      </c>
      <c r="N10655" s="501">
        <v>2</v>
      </c>
      <c r="O10655" s="506">
        <v>367</v>
      </c>
    </row>
    <row r="10656" spans="1:15" x14ac:dyDescent="0.35">
      <c r="A10656" s="503" t="s">
        <v>1203</v>
      </c>
      <c r="B10656" s="504" t="s">
        <v>3170</v>
      </c>
      <c r="C10656" s="504" t="s">
        <v>1094</v>
      </c>
      <c r="D10656" s="504" t="s">
        <v>3380</v>
      </c>
      <c r="E10656" s="504" t="s">
        <v>3381</v>
      </c>
      <c r="F10656" s="504" t="s">
        <v>1048</v>
      </c>
      <c r="G10656" s="504" t="s">
        <v>3368</v>
      </c>
      <c r="H10656" s="504" t="s">
        <v>14023</v>
      </c>
      <c r="I10656" s="504">
        <v>1975</v>
      </c>
      <c r="J10656" s="504">
        <v>1833</v>
      </c>
      <c r="K10656" s="504">
        <v>0</v>
      </c>
      <c r="L10656" s="504">
        <v>65</v>
      </c>
      <c r="M10656" s="504">
        <v>0</v>
      </c>
      <c r="N10656" s="504">
        <v>2</v>
      </c>
      <c r="O10656" s="505">
        <v>77</v>
      </c>
    </row>
    <row r="10657" spans="1:15" x14ac:dyDescent="0.35">
      <c r="A10657" s="500" t="s">
        <v>1493</v>
      </c>
      <c r="B10657" s="501" t="s">
        <v>2734</v>
      </c>
      <c r="C10657" s="501" t="s">
        <v>1089</v>
      </c>
      <c r="D10657" s="501" t="s">
        <v>3392</v>
      </c>
      <c r="E10657" s="501" t="s">
        <v>3381</v>
      </c>
      <c r="F10657" s="501" t="s">
        <v>416</v>
      </c>
      <c r="G10657" s="501" t="s">
        <v>3368</v>
      </c>
      <c r="H10657" s="501" t="s">
        <v>13027</v>
      </c>
      <c r="I10657" s="501">
        <v>64</v>
      </c>
      <c r="J10657" s="501">
        <v>64</v>
      </c>
      <c r="K10657" s="501">
        <v>0</v>
      </c>
      <c r="L10657" s="501">
        <v>0</v>
      </c>
      <c r="M10657" s="501">
        <v>0</v>
      </c>
      <c r="N10657" s="501">
        <v>0</v>
      </c>
      <c r="O10657" s="506">
        <v>0</v>
      </c>
    </row>
    <row r="10658" spans="1:15" x14ac:dyDescent="0.35">
      <c r="A10658" s="503" t="s">
        <v>1494</v>
      </c>
      <c r="B10658" s="504" t="s">
        <v>3235</v>
      </c>
      <c r="C10658" s="504" t="s">
        <v>1094</v>
      </c>
      <c r="D10658" s="504" t="s">
        <v>3380</v>
      </c>
      <c r="E10658" s="504" t="s">
        <v>3381</v>
      </c>
      <c r="F10658" s="504" t="s">
        <v>416</v>
      </c>
      <c r="G10658" s="504" t="s">
        <v>3368</v>
      </c>
      <c r="H10658" s="504" t="s">
        <v>13028</v>
      </c>
      <c r="I10658" s="504">
        <v>977</v>
      </c>
      <c r="J10658" s="504">
        <v>26</v>
      </c>
      <c r="K10658" s="504">
        <v>0</v>
      </c>
      <c r="L10658" s="504">
        <v>951</v>
      </c>
      <c r="M10658" s="504">
        <v>0</v>
      </c>
      <c r="N10658" s="504">
        <v>51</v>
      </c>
      <c r="O10658" s="505">
        <v>0</v>
      </c>
    </row>
    <row r="10659" spans="1:15" x14ac:dyDescent="0.35">
      <c r="A10659" s="500" t="s">
        <v>1494</v>
      </c>
      <c r="B10659" s="501" t="s">
        <v>3235</v>
      </c>
      <c r="C10659" s="501" t="s">
        <v>1094</v>
      </c>
      <c r="D10659" s="501" t="s">
        <v>3380</v>
      </c>
      <c r="E10659" s="501" t="s">
        <v>3381</v>
      </c>
      <c r="F10659" s="501" t="s">
        <v>2</v>
      </c>
      <c r="G10659" s="501" t="s">
        <v>3368</v>
      </c>
      <c r="H10659" s="501" t="s">
        <v>13029</v>
      </c>
      <c r="I10659" s="501">
        <v>192</v>
      </c>
      <c r="J10659" s="501">
        <v>0</v>
      </c>
      <c r="K10659" s="501">
        <v>0</v>
      </c>
      <c r="L10659" s="501">
        <v>192</v>
      </c>
      <c r="M10659" s="501">
        <v>0</v>
      </c>
      <c r="N10659" s="501">
        <v>4</v>
      </c>
      <c r="O10659" s="506">
        <v>0</v>
      </c>
    </row>
    <row r="10660" spans="1:15" x14ac:dyDescent="0.35">
      <c r="A10660" s="503" t="s">
        <v>1860</v>
      </c>
      <c r="B10660" s="504" t="s">
        <v>2497</v>
      </c>
      <c r="C10660" s="504" t="s">
        <v>1089</v>
      </c>
      <c r="D10660" s="504" t="s">
        <v>3392</v>
      </c>
      <c r="E10660" s="504" t="s">
        <v>3381</v>
      </c>
      <c r="F10660" s="504" t="s">
        <v>415</v>
      </c>
      <c r="G10660" s="504" t="s">
        <v>3368</v>
      </c>
      <c r="H10660" s="504" t="s">
        <v>13030</v>
      </c>
      <c r="I10660" s="504">
        <v>8</v>
      </c>
      <c r="J10660" s="504">
        <v>0</v>
      </c>
      <c r="K10660" s="504">
        <v>0</v>
      </c>
      <c r="L10660" s="504">
        <v>0</v>
      </c>
      <c r="M10660" s="504">
        <v>8</v>
      </c>
      <c r="N10660" s="504">
        <v>0</v>
      </c>
      <c r="O10660" s="505">
        <v>0</v>
      </c>
    </row>
    <row r="10661" spans="1:15" x14ac:dyDescent="0.35">
      <c r="A10661" s="500" t="s">
        <v>11404</v>
      </c>
      <c r="B10661" s="501">
        <v>5106</v>
      </c>
      <c r="C10661" s="501" t="s">
        <v>1089</v>
      </c>
      <c r="D10661" s="501" t="s">
        <v>3392</v>
      </c>
      <c r="E10661" s="501" t="s">
        <v>3381</v>
      </c>
      <c r="F10661" s="501" t="s">
        <v>418</v>
      </c>
      <c r="G10661" s="501" t="s">
        <v>3368</v>
      </c>
      <c r="H10661" s="501" t="s">
        <v>13031</v>
      </c>
      <c r="I10661" s="501">
        <v>27</v>
      </c>
      <c r="J10661" s="501">
        <v>27</v>
      </c>
      <c r="K10661" s="501">
        <v>0</v>
      </c>
      <c r="L10661" s="501">
        <v>0</v>
      </c>
      <c r="M10661" s="501">
        <v>0</v>
      </c>
      <c r="N10661" s="501">
        <v>0</v>
      </c>
      <c r="O10661" s="506">
        <v>0</v>
      </c>
    </row>
    <row r="10662" spans="1:15" x14ac:dyDescent="0.35">
      <c r="A10662" s="503" t="s">
        <v>1732</v>
      </c>
      <c r="B10662" s="504" t="s">
        <v>3132</v>
      </c>
      <c r="C10662" s="504" t="s">
        <v>1089</v>
      </c>
      <c r="D10662" s="504" t="s">
        <v>3392</v>
      </c>
      <c r="E10662" s="504" t="s">
        <v>3381</v>
      </c>
      <c r="F10662" s="504" t="s">
        <v>418</v>
      </c>
      <c r="G10662" s="504" t="s">
        <v>3368</v>
      </c>
      <c r="H10662" s="504" t="s">
        <v>13032</v>
      </c>
      <c r="I10662" s="504">
        <v>71</v>
      </c>
      <c r="J10662" s="504">
        <v>71</v>
      </c>
      <c r="K10662" s="504">
        <v>0</v>
      </c>
      <c r="L10662" s="504">
        <v>0</v>
      </c>
      <c r="M10662" s="504">
        <v>0</v>
      </c>
      <c r="N10662" s="504">
        <v>0</v>
      </c>
      <c r="O10662" s="505">
        <v>0</v>
      </c>
    </row>
    <row r="10663" spans="1:15" x14ac:dyDescent="0.35">
      <c r="A10663" s="500" t="s">
        <v>1732</v>
      </c>
      <c r="B10663" s="501" t="s">
        <v>3132</v>
      </c>
      <c r="C10663" s="501" t="s">
        <v>1089</v>
      </c>
      <c r="D10663" s="501" t="s">
        <v>3392</v>
      </c>
      <c r="E10663" s="501" t="s">
        <v>3381</v>
      </c>
      <c r="F10663" s="501" t="s">
        <v>1048</v>
      </c>
      <c r="G10663" s="501" t="s">
        <v>3368</v>
      </c>
      <c r="H10663" s="501" t="s">
        <v>14024</v>
      </c>
      <c r="I10663" s="501">
        <v>31</v>
      </c>
      <c r="J10663" s="501">
        <v>31</v>
      </c>
      <c r="K10663" s="501">
        <v>0</v>
      </c>
      <c r="L10663" s="501">
        <v>0</v>
      </c>
      <c r="M10663" s="501">
        <v>0</v>
      </c>
      <c r="N10663" s="501">
        <v>0</v>
      </c>
      <c r="O10663" s="506">
        <v>0</v>
      </c>
    </row>
    <row r="10664" spans="1:15" x14ac:dyDescent="0.35">
      <c r="A10664" s="503" t="s">
        <v>11374</v>
      </c>
      <c r="B10664" s="504" t="s">
        <v>3059</v>
      </c>
      <c r="C10664" s="504" t="s">
        <v>1089</v>
      </c>
      <c r="D10664" s="504" t="s">
        <v>3392</v>
      </c>
      <c r="E10664" s="504" t="s">
        <v>3381</v>
      </c>
      <c r="F10664" s="504" t="s">
        <v>415</v>
      </c>
      <c r="G10664" s="504" t="s">
        <v>3368</v>
      </c>
      <c r="H10664" s="504" t="s">
        <v>13033</v>
      </c>
      <c r="I10664" s="504">
        <v>528</v>
      </c>
      <c r="J10664" s="504">
        <v>365</v>
      </c>
      <c r="K10664" s="504">
        <v>0</v>
      </c>
      <c r="L10664" s="504">
        <v>135</v>
      </c>
      <c r="M10664" s="504">
        <v>28</v>
      </c>
      <c r="N10664" s="504">
        <v>0</v>
      </c>
      <c r="O10664" s="505">
        <v>0</v>
      </c>
    </row>
    <row r="10665" spans="1:15" x14ac:dyDescent="0.35">
      <c r="A10665" s="500" t="s">
        <v>2088</v>
      </c>
      <c r="B10665" s="501" t="s">
        <v>3189</v>
      </c>
      <c r="C10665" s="501" t="s">
        <v>1089</v>
      </c>
      <c r="D10665" s="501" t="s">
        <v>3392</v>
      </c>
      <c r="E10665" s="501" t="s">
        <v>3381</v>
      </c>
      <c r="F10665" s="501" t="s">
        <v>420</v>
      </c>
      <c r="G10665" s="501" t="s">
        <v>3368</v>
      </c>
      <c r="H10665" s="501" t="s">
        <v>13034</v>
      </c>
      <c r="I10665" s="501">
        <v>200</v>
      </c>
      <c r="J10665" s="501">
        <v>200</v>
      </c>
      <c r="K10665" s="501">
        <v>0</v>
      </c>
      <c r="L10665" s="501">
        <v>0</v>
      </c>
      <c r="M10665" s="501">
        <v>0</v>
      </c>
      <c r="N10665" s="501">
        <v>0</v>
      </c>
      <c r="O10665" s="506">
        <v>0</v>
      </c>
    </row>
    <row r="10666" spans="1:15" x14ac:dyDescent="0.35">
      <c r="A10666" s="503" t="s">
        <v>1861</v>
      </c>
      <c r="B10666" s="504" t="s">
        <v>2826</v>
      </c>
      <c r="C10666" s="504" t="s">
        <v>1089</v>
      </c>
      <c r="D10666" s="504" t="s">
        <v>3392</v>
      </c>
      <c r="E10666" s="504" t="s">
        <v>3381</v>
      </c>
      <c r="F10666" s="504" t="s">
        <v>2</v>
      </c>
      <c r="G10666" s="504" t="s">
        <v>3368</v>
      </c>
      <c r="H10666" s="504" t="s">
        <v>13035</v>
      </c>
      <c r="I10666" s="504">
        <v>17</v>
      </c>
      <c r="J10666" s="504">
        <v>17</v>
      </c>
      <c r="K10666" s="504">
        <v>0</v>
      </c>
      <c r="L10666" s="504">
        <v>0</v>
      </c>
      <c r="M10666" s="504">
        <v>0</v>
      </c>
      <c r="N10666" s="504">
        <v>0</v>
      </c>
      <c r="O10666" s="505">
        <v>0</v>
      </c>
    </row>
    <row r="10667" spans="1:15" x14ac:dyDescent="0.35">
      <c r="A10667" s="500" t="s">
        <v>1733</v>
      </c>
      <c r="B10667" s="501">
        <v>4630</v>
      </c>
      <c r="C10667" s="501" t="s">
        <v>1089</v>
      </c>
      <c r="D10667" s="501" t="s">
        <v>3392</v>
      </c>
      <c r="E10667" s="501" t="s">
        <v>3381</v>
      </c>
      <c r="F10667" s="501" t="s">
        <v>418</v>
      </c>
      <c r="G10667" s="501" t="s">
        <v>3368</v>
      </c>
      <c r="H10667" s="501" t="s">
        <v>13036</v>
      </c>
      <c r="I10667" s="501">
        <v>10</v>
      </c>
      <c r="J10667" s="501">
        <v>10</v>
      </c>
      <c r="K10667" s="501">
        <v>0</v>
      </c>
      <c r="L10667" s="501">
        <v>0</v>
      </c>
      <c r="M10667" s="501">
        <v>0</v>
      </c>
      <c r="N10667" s="501">
        <v>0</v>
      </c>
      <c r="O10667" s="506">
        <v>0</v>
      </c>
    </row>
    <row r="10668" spans="1:15" x14ac:dyDescent="0.35">
      <c r="A10668" s="503" t="s">
        <v>1734</v>
      </c>
      <c r="B10668" s="504" t="s">
        <v>3191</v>
      </c>
      <c r="C10668" s="504" t="s">
        <v>1094</v>
      </c>
      <c r="D10668" s="504" t="s">
        <v>3380</v>
      </c>
      <c r="E10668" s="504" t="s">
        <v>3381</v>
      </c>
      <c r="F10668" s="504" t="s">
        <v>418</v>
      </c>
      <c r="G10668" s="504" t="s">
        <v>3368</v>
      </c>
      <c r="H10668" s="504" t="s">
        <v>13037</v>
      </c>
      <c r="I10668" s="504">
        <v>12633</v>
      </c>
      <c r="J10668" s="504">
        <v>10805</v>
      </c>
      <c r="K10668" s="504">
        <v>0</v>
      </c>
      <c r="L10668" s="504">
        <v>47</v>
      </c>
      <c r="M10668" s="504">
        <v>1735</v>
      </c>
      <c r="N10668" s="504">
        <v>0</v>
      </c>
      <c r="O10668" s="505">
        <v>46</v>
      </c>
    </row>
    <row r="10669" spans="1:15" x14ac:dyDescent="0.35">
      <c r="A10669" s="500" t="s">
        <v>1991</v>
      </c>
      <c r="B10669" s="501">
        <v>4844</v>
      </c>
      <c r="C10669" s="501" t="s">
        <v>1094</v>
      </c>
      <c r="D10669" s="501" t="s">
        <v>3380</v>
      </c>
      <c r="E10669" s="501" t="s">
        <v>3381</v>
      </c>
      <c r="F10669" s="501" t="s">
        <v>419</v>
      </c>
      <c r="G10669" s="501" t="s">
        <v>3368</v>
      </c>
      <c r="H10669" s="501" t="s">
        <v>13038</v>
      </c>
      <c r="I10669" s="501">
        <v>8375</v>
      </c>
      <c r="J10669" s="501">
        <v>6089</v>
      </c>
      <c r="K10669" s="501">
        <v>0</v>
      </c>
      <c r="L10669" s="501">
        <v>213</v>
      </c>
      <c r="M10669" s="501">
        <v>1843</v>
      </c>
      <c r="N10669" s="501">
        <v>0</v>
      </c>
      <c r="O10669" s="506">
        <v>230</v>
      </c>
    </row>
    <row r="10670" spans="1:15" x14ac:dyDescent="0.35">
      <c r="A10670" s="503" t="s">
        <v>1495</v>
      </c>
      <c r="B10670" s="504">
        <v>4637</v>
      </c>
      <c r="C10670" s="504" t="s">
        <v>1089</v>
      </c>
      <c r="D10670" s="504" t="s">
        <v>3392</v>
      </c>
      <c r="E10670" s="504" t="s">
        <v>3381</v>
      </c>
      <c r="F10670" s="504" t="s">
        <v>416</v>
      </c>
      <c r="G10670" s="504" t="s">
        <v>3368</v>
      </c>
      <c r="H10670" s="504" t="s">
        <v>13039</v>
      </c>
      <c r="I10670" s="504">
        <v>7</v>
      </c>
      <c r="J10670" s="504">
        <v>7</v>
      </c>
      <c r="K10670" s="504">
        <v>0</v>
      </c>
      <c r="L10670" s="504">
        <v>0</v>
      </c>
      <c r="M10670" s="504">
        <v>0</v>
      </c>
      <c r="N10670" s="504">
        <v>0</v>
      </c>
      <c r="O10670" s="505">
        <v>0</v>
      </c>
    </row>
    <row r="10671" spans="1:15" x14ac:dyDescent="0.35">
      <c r="A10671" s="500" t="s">
        <v>1312</v>
      </c>
      <c r="B10671" s="501" t="s">
        <v>3065</v>
      </c>
      <c r="C10671" s="501" t="s">
        <v>1089</v>
      </c>
      <c r="D10671" s="501" t="s">
        <v>3392</v>
      </c>
      <c r="E10671" s="501" t="s">
        <v>3381</v>
      </c>
      <c r="F10671" s="501" t="s">
        <v>415</v>
      </c>
      <c r="G10671" s="501" t="s">
        <v>3368</v>
      </c>
      <c r="H10671" s="501" t="s">
        <v>13040</v>
      </c>
      <c r="I10671" s="501">
        <v>57</v>
      </c>
      <c r="J10671" s="501">
        <v>0</v>
      </c>
      <c r="K10671" s="501">
        <v>0</v>
      </c>
      <c r="L10671" s="501">
        <v>0</v>
      </c>
      <c r="M10671" s="501">
        <v>57</v>
      </c>
      <c r="N10671" s="501">
        <v>0</v>
      </c>
      <c r="O10671" s="506">
        <v>0</v>
      </c>
    </row>
    <row r="10672" spans="1:15" x14ac:dyDescent="0.35">
      <c r="A10672" s="503" t="s">
        <v>1862</v>
      </c>
      <c r="B10672" s="504">
        <v>4777</v>
      </c>
      <c r="C10672" s="504" t="s">
        <v>1089</v>
      </c>
      <c r="D10672" s="504" t="s">
        <v>3392</v>
      </c>
      <c r="E10672" s="504" t="s">
        <v>3381</v>
      </c>
      <c r="F10672" s="504" t="s">
        <v>2</v>
      </c>
      <c r="G10672" s="504" t="s">
        <v>3368</v>
      </c>
      <c r="H10672" s="504" t="s">
        <v>13041</v>
      </c>
      <c r="I10672" s="504">
        <v>3</v>
      </c>
      <c r="J10672" s="504">
        <v>3</v>
      </c>
      <c r="K10672" s="504">
        <v>0</v>
      </c>
      <c r="L10672" s="504">
        <v>0</v>
      </c>
      <c r="M10672" s="504">
        <v>0</v>
      </c>
      <c r="N10672" s="504">
        <v>0</v>
      </c>
      <c r="O10672" s="505">
        <v>0</v>
      </c>
    </row>
    <row r="10673" spans="1:15" x14ac:dyDescent="0.35">
      <c r="A10673" s="500" t="s">
        <v>1735</v>
      </c>
      <c r="B10673" s="501" t="s">
        <v>3072</v>
      </c>
      <c r="C10673" s="501" t="s">
        <v>1089</v>
      </c>
      <c r="D10673" s="501" t="s">
        <v>3392</v>
      </c>
      <c r="E10673" s="501" t="s">
        <v>3381</v>
      </c>
      <c r="F10673" s="501" t="s">
        <v>418</v>
      </c>
      <c r="G10673" s="501" t="s">
        <v>3368</v>
      </c>
      <c r="H10673" s="501" t="s">
        <v>13042</v>
      </c>
      <c r="I10673" s="501">
        <v>100</v>
      </c>
      <c r="J10673" s="501">
        <v>9</v>
      </c>
      <c r="K10673" s="501">
        <v>0</v>
      </c>
      <c r="L10673" s="501">
        <v>5</v>
      </c>
      <c r="M10673" s="501">
        <v>86</v>
      </c>
      <c r="N10673" s="501">
        <v>0</v>
      </c>
      <c r="O10673" s="506">
        <v>0</v>
      </c>
    </row>
    <row r="10674" spans="1:15" x14ac:dyDescent="0.35">
      <c r="A10674" s="503" t="s">
        <v>1736</v>
      </c>
      <c r="B10674" s="504" t="s">
        <v>2984</v>
      </c>
      <c r="C10674" s="504" t="s">
        <v>1089</v>
      </c>
      <c r="D10674" s="504" t="s">
        <v>3392</v>
      </c>
      <c r="E10674" s="504" t="s">
        <v>3381</v>
      </c>
      <c r="F10674" s="504" t="s">
        <v>418</v>
      </c>
      <c r="G10674" s="504" t="s">
        <v>3368</v>
      </c>
      <c r="H10674" s="504" t="s">
        <v>13043</v>
      </c>
      <c r="I10674" s="504">
        <v>51</v>
      </c>
      <c r="J10674" s="504">
        <v>51</v>
      </c>
      <c r="K10674" s="504">
        <v>0</v>
      </c>
      <c r="L10674" s="504">
        <v>0</v>
      </c>
      <c r="M10674" s="504">
        <v>0</v>
      </c>
      <c r="N10674" s="504">
        <v>0</v>
      </c>
      <c r="O10674" s="505">
        <v>0</v>
      </c>
    </row>
    <row r="10675" spans="1:15" x14ac:dyDescent="0.35">
      <c r="A10675" s="500" t="s">
        <v>2167</v>
      </c>
      <c r="B10675" s="501" t="s">
        <v>3126</v>
      </c>
      <c r="C10675" s="501" t="s">
        <v>1094</v>
      </c>
      <c r="D10675" s="501" t="s">
        <v>3380</v>
      </c>
      <c r="E10675" s="501" t="s">
        <v>3381</v>
      </c>
      <c r="F10675" s="501" t="s">
        <v>1048</v>
      </c>
      <c r="G10675" s="501" t="s">
        <v>3368</v>
      </c>
      <c r="H10675" s="501" t="s">
        <v>14025</v>
      </c>
      <c r="I10675" s="501">
        <v>1394</v>
      </c>
      <c r="J10675" s="501">
        <v>1348</v>
      </c>
      <c r="K10675" s="501">
        <v>0</v>
      </c>
      <c r="L10675" s="501">
        <v>0</v>
      </c>
      <c r="M10675" s="501">
        <v>0</v>
      </c>
      <c r="N10675" s="501">
        <v>0</v>
      </c>
      <c r="O10675" s="506">
        <v>46</v>
      </c>
    </row>
    <row r="10676" spans="1:15" x14ac:dyDescent="0.35">
      <c r="A10676" s="503" t="s">
        <v>1204</v>
      </c>
      <c r="B10676" s="504" t="s">
        <v>3266</v>
      </c>
      <c r="C10676" s="504" t="s">
        <v>1089</v>
      </c>
      <c r="D10676" s="504" t="s">
        <v>3392</v>
      </c>
      <c r="E10676" s="504" t="s">
        <v>3381</v>
      </c>
      <c r="F10676" s="504" t="s">
        <v>414</v>
      </c>
      <c r="G10676" s="504" t="s">
        <v>3368</v>
      </c>
      <c r="H10676" s="504" t="s">
        <v>13044</v>
      </c>
      <c r="I10676" s="504">
        <v>110</v>
      </c>
      <c r="J10676" s="504">
        <v>0</v>
      </c>
      <c r="K10676" s="504">
        <v>0</v>
      </c>
      <c r="L10676" s="504">
        <v>0</v>
      </c>
      <c r="M10676" s="504">
        <v>110</v>
      </c>
      <c r="N10676" s="504">
        <v>0</v>
      </c>
      <c r="O10676" s="505">
        <v>0</v>
      </c>
    </row>
    <row r="10677" spans="1:15" x14ac:dyDescent="0.35">
      <c r="A10677" s="500" t="s">
        <v>2089</v>
      </c>
      <c r="B10677" s="501" t="s">
        <v>2597</v>
      </c>
      <c r="C10677" s="501" t="s">
        <v>1089</v>
      </c>
      <c r="D10677" s="501" t="s">
        <v>3392</v>
      </c>
      <c r="E10677" s="501" t="s">
        <v>3381</v>
      </c>
      <c r="F10677" s="501" t="s">
        <v>420</v>
      </c>
      <c r="G10677" s="501" t="s">
        <v>3368</v>
      </c>
      <c r="H10677" s="501" t="s">
        <v>13045</v>
      </c>
      <c r="I10677" s="501">
        <v>2</v>
      </c>
      <c r="J10677" s="501">
        <v>2</v>
      </c>
      <c r="K10677" s="501">
        <v>0</v>
      </c>
      <c r="L10677" s="501">
        <v>0</v>
      </c>
      <c r="M10677" s="501">
        <v>0</v>
      </c>
      <c r="N10677" s="501">
        <v>0</v>
      </c>
      <c r="O10677" s="506">
        <v>0</v>
      </c>
    </row>
    <row r="10678" spans="1:15" x14ac:dyDescent="0.35">
      <c r="A10678" s="503" t="s">
        <v>11413</v>
      </c>
      <c r="B10678" s="504" t="s">
        <v>2572</v>
      </c>
      <c r="C10678" s="504" t="s">
        <v>1089</v>
      </c>
      <c r="D10678" s="504" t="s">
        <v>3392</v>
      </c>
      <c r="E10678" s="504" t="s">
        <v>3381</v>
      </c>
      <c r="F10678" s="504" t="s">
        <v>2</v>
      </c>
      <c r="G10678" s="504" t="s">
        <v>3368</v>
      </c>
      <c r="H10678" s="504" t="s">
        <v>13046</v>
      </c>
      <c r="I10678" s="504">
        <v>4</v>
      </c>
      <c r="J10678" s="504">
        <v>0</v>
      </c>
      <c r="K10678" s="504">
        <v>0</v>
      </c>
      <c r="L10678" s="504">
        <v>0</v>
      </c>
      <c r="M10678" s="504">
        <v>4</v>
      </c>
      <c r="N10678" s="504">
        <v>0</v>
      </c>
      <c r="O10678" s="505">
        <v>0</v>
      </c>
    </row>
    <row r="10679" spans="1:15" x14ac:dyDescent="0.35">
      <c r="A10679" s="500" t="s">
        <v>1992</v>
      </c>
      <c r="B10679" s="501" t="s">
        <v>3034</v>
      </c>
      <c r="C10679" s="501" t="s">
        <v>1089</v>
      </c>
      <c r="D10679" s="501" t="s">
        <v>3392</v>
      </c>
      <c r="E10679" s="501" t="s">
        <v>3381</v>
      </c>
      <c r="F10679" s="501" t="s">
        <v>419</v>
      </c>
      <c r="G10679" s="501" t="s">
        <v>3368</v>
      </c>
      <c r="H10679" s="501" t="s">
        <v>13047</v>
      </c>
      <c r="I10679" s="501">
        <v>16</v>
      </c>
      <c r="J10679" s="501">
        <v>0</v>
      </c>
      <c r="K10679" s="501">
        <v>0</v>
      </c>
      <c r="L10679" s="501">
        <v>0</v>
      </c>
      <c r="M10679" s="501">
        <v>16</v>
      </c>
      <c r="N10679" s="501">
        <v>0</v>
      </c>
      <c r="O10679" s="506">
        <v>0</v>
      </c>
    </row>
    <row r="10680" spans="1:15" x14ac:dyDescent="0.35">
      <c r="A10680" s="503" t="s">
        <v>2168</v>
      </c>
      <c r="B10680" s="504" t="s">
        <v>2607</v>
      </c>
      <c r="C10680" s="504" t="s">
        <v>1089</v>
      </c>
      <c r="D10680" s="504" t="s">
        <v>3392</v>
      </c>
      <c r="E10680" s="504" t="s">
        <v>3381</v>
      </c>
      <c r="F10680" s="504" t="s">
        <v>1048</v>
      </c>
      <c r="G10680" s="504" t="s">
        <v>3368</v>
      </c>
      <c r="H10680" s="504" t="s">
        <v>14026</v>
      </c>
      <c r="I10680" s="504">
        <v>6</v>
      </c>
      <c r="J10680" s="504">
        <v>0</v>
      </c>
      <c r="K10680" s="504">
        <v>0</v>
      </c>
      <c r="L10680" s="504">
        <v>0</v>
      </c>
      <c r="M10680" s="504">
        <v>6</v>
      </c>
      <c r="N10680" s="504">
        <v>0</v>
      </c>
      <c r="O10680" s="505">
        <v>0</v>
      </c>
    </row>
    <row r="10681" spans="1:15" x14ac:dyDescent="0.35">
      <c r="A10681" s="500" t="s">
        <v>1993</v>
      </c>
      <c r="B10681" s="501" t="s">
        <v>2437</v>
      </c>
      <c r="C10681" s="501" t="s">
        <v>1089</v>
      </c>
      <c r="D10681" s="501" t="s">
        <v>3392</v>
      </c>
      <c r="E10681" s="501" t="s">
        <v>3381</v>
      </c>
      <c r="F10681" s="501" t="s">
        <v>419</v>
      </c>
      <c r="G10681" s="501" t="s">
        <v>3368</v>
      </c>
      <c r="H10681" s="501" t="s">
        <v>13048</v>
      </c>
      <c r="I10681" s="501">
        <v>8</v>
      </c>
      <c r="J10681" s="501">
        <v>8</v>
      </c>
      <c r="K10681" s="501">
        <v>0</v>
      </c>
      <c r="L10681" s="501">
        <v>0</v>
      </c>
      <c r="M10681" s="501">
        <v>0</v>
      </c>
      <c r="N10681" s="501">
        <v>0</v>
      </c>
      <c r="O10681" s="506">
        <v>0</v>
      </c>
    </row>
    <row r="10682" spans="1:15" x14ac:dyDescent="0.35">
      <c r="A10682" s="503" t="s">
        <v>1863</v>
      </c>
      <c r="B10682" s="504" t="s">
        <v>3173</v>
      </c>
      <c r="C10682" s="504" t="s">
        <v>1094</v>
      </c>
      <c r="D10682" s="504" t="s">
        <v>3380</v>
      </c>
      <c r="E10682" s="504" t="s">
        <v>3381</v>
      </c>
      <c r="F10682" s="504" t="s">
        <v>2</v>
      </c>
      <c r="G10682" s="504" t="s">
        <v>3368</v>
      </c>
      <c r="H10682" s="504" t="s">
        <v>13049</v>
      </c>
      <c r="I10682" s="504">
        <v>6245</v>
      </c>
      <c r="J10682" s="504">
        <v>5576</v>
      </c>
      <c r="K10682" s="504">
        <v>0</v>
      </c>
      <c r="L10682" s="504">
        <v>49</v>
      </c>
      <c r="M10682" s="504">
        <v>393</v>
      </c>
      <c r="N10682" s="504">
        <v>22</v>
      </c>
      <c r="O10682" s="505">
        <v>227</v>
      </c>
    </row>
    <row r="10683" spans="1:15" x14ac:dyDescent="0.35">
      <c r="A10683" s="500" t="s">
        <v>1737</v>
      </c>
      <c r="B10683" s="501" t="s">
        <v>2628</v>
      </c>
      <c r="C10683" s="501" t="s">
        <v>1089</v>
      </c>
      <c r="D10683" s="501" t="s">
        <v>3392</v>
      </c>
      <c r="E10683" s="501" t="s">
        <v>3381</v>
      </c>
      <c r="F10683" s="501" t="s">
        <v>418</v>
      </c>
      <c r="G10683" s="501" t="s">
        <v>3368</v>
      </c>
      <c r="H10683" s="501" t="s">
        <v>13050</v>
      </c>
      <c r="I10683" s="501">
        <v>6</v>
      </c>
      <c r="J10683" s="501">
        <v>6</v>
      </c>
      <c r="K10683" s="501">
        <v>0</v>
      </c>
      <c r="L10683" s="501">
        <v>0</v>
      </c>
      <c r="M10683" s="501">
        <v>0</v>
      </c>
      <c r="N10683" s="501">
        <v>0</v>
      </c>
      <c r="O10683" s="506">
        <v>0</v>
      </c>
    </row>
    <row r="10684" spans="1:15" x14ac:dyDescent="0.35">
      <c r="A10684" s="503" t="s">
        <v>1205</v>
      </c>
      <c r="B10684" s="504" t="s">
        <v>2996</v>
      </c>
      <c r="C10684" s="504" t="s">
        <v>1089</v>
      </c>
      <c r="D10684" s="504" t="s">
        <v>3392</v>
      </c>
      <c r="E10684" s="504" t="s">
        <v>3381</v>
      </c>
      <c r="F10684" s="504" t="s">
        <v>415</v>
      </c>
      <c r="G10684" s="504" t="s">
        <v>3368</v>
      </c>
      <c r="H10684" s="504" t="s">
        <v>13054</v>
      </c>
      <c r="I10684" s="504">
        <v>43</v>
      </c>
      <c r="J10684" s="504">
        <v>0</v>
      </c>
      <c r="K10684" s="504">
        <v>0</v>
      </c>
      <c r="L10684" s="504">
        <v>0</v>
      </c>
      <c r="M10684" s="504">
        <v>43</v>
      </c>
      <c r="N10684" s="504">
        <v>0</v>
      </c>
      <c r="O10684" s="505">
        <v>0</v>
      </c>
    </row>
    <row r="10685" spans="1:15" x14ac:dyDescent="0.35">
      <c r="A10685" s="500" t="s">
        <v>1205</v>
      </c>
      <c r="B10685" s="501" t="s">
        <v>2996</v>
      </c>
      <c r="C10685" s="501" t="s">
        <v>1089</v>
      </c>
      <c r="D10685" s="501" t="s">
        <v>3392</v>
      </c>
      <c r="E10685" s="501" t="s">
        <v>3381</v>
      </c>
      <c r="F10685" s="501" t="s">
        <v>420</v>
      </c>
      <c r="G10685" s="501" t="s">
        <v>3368</v>
      </c>
      <c r="H10685" s="501" t="s">
        <v>13052</v>
      </c>
      <c r="I10685" s="501">
        <v>81</v>
      </c>
      <c r="J10685" s="501">
        <v>0</v>
      </c>
      <c r="K10685" s="501">
        <v>0</v>
      </c>
      <c r="L10685" s="501">
        <v>0</v>
      </c>
      <c r="M10685" s="501">
        <v>81</v>
      </c>
      <c r="N10685" s="501">
        <v>0</v>
      </c>
      <c r="O10685" s="506">
        <v>0</v>
      </c>
    </row>
    <row r="10686" spans="1:15" x14ac:dyDescent="0.35">
      <c r="A10686" s="503" t="s">
        <v>1205</v>
      </c>
      <c r="B10686" s="504" t="s">
        <v>2996</v>
      </c>
      <c r="C10686" s="504" t="s">
        <v>1089</v>
      </c>
      <c r="D10686" s="504" t="s">
        <v>3392</v>
      </c>
      <c r="E10686" s="504" t="s">
        <v>3381</v>
      </c>
      <c r="F10686" s="504" t="s">
        <v>2</v>
      </c>
      <c r="G10686" s="504" t="s">
        <v>3368</v>
      </c>
      <c r="H10686" s="504" t="s">
        <v>13053</v>
      </c>
      <c r="I10686" s="504">
        <v>31</v>
      </c>
      <c r="J10686" s="504">
        <v>0</v>
      </c>
      <c r="K10686" s="504">
        <v>0</v>
      </c>
      <c r="L10686" s="504">
        <v>0</v>
      </c>
      <c r="M10686" s="504">
        <v>31</v>
      </c>
      <c r="N10686" s="504">
        <v>0</v>
      </c>
      <c r="O10686" s="505">
        <v>0</v>
      </c>
    </row>
    <row r="10687" spans="1:15" x14ac:dyDescent="0.35">
      <c r="A10687" s="500" t="s">
        <v>1205</v>
      </c>
      <c r="B10687" s="501" t="s">
        <v>2996</v>
      </c>
      <c r="C10687" s="501" t="s">
        <v>1089</v>
      </c>
      <c r="D10687" s="501" t="s">
        <v>3392</v>
      </c>
      <c r="E10687" s="501" t="s">
        <v>3381</v>
      </c>
      <c r="F10687" s="501" t="s">
        <v>414</v>
      </c>
      <c r="G10687" s="501" t="s">
        <v>3368</v>
      </c>
      <c r="H10687" s="501" t="s">
        <v>13051</v>
      </c>
      <c r="I10687" s="501">
        <v>36</v>
      </c>
      <c r="J10687" s="501">
        <v>0</v>
      </c>
      <c r="K10687" s="501">
        <v>0</v>
      </c>
      <c r="L10687" s="501">
        <v>0</v>
      </c>
      <c r="M10687" s="501">
        <v>36</v>
      </c>
      <c r="N10687" s="501">
        <v>0</v>
      </c>
      <c r="O10687" s="506">
        <v>0</v>
      </c>
    </row>
    <row r="10688" spans="1:15" x14ac:dyDescent="0.35">
      <c r="A10688" s="503" t="s">
        <v>1496</v>
      </c>
      <c r="B10688" s="504" t="s">
        <v>2768</v>
      </c>
      <c r="C10688" s="504" t="s">
        <v>1089</v>
      </c>
      <c r="D10688" s="504" t="s">
        <v>3392</v>
      </c>
      <c r="E10688" s="504" t="s">
        <v>3381</v>
      </c>
      <c r="F10688" s="504" t="s">
        <v>416</v>
      </c>
      <c r="G10688" s="504" t="s">
        <v>3368</v>
      </c>
      <c r="H10688" s="504" t="s">
        <v>13055</v>
      </c>
      <c r="I10688" s="504">
        <v>18</v>
      </c>
      <c r="J10688" s="504">
        <v>18</v>
      </c>
      <c r="K10688" s="504">
        <v>0</v>
      </c>
      <c r="L10688" s="504">
        <v>0</v>
      </c>
      <c r="M10688" s="504">
        <v>0</v>
      </c>
      <c r="N10688" s="504">
        <v>0</v>
      </c>
      <c r="O10688" s="505">
        <v>0</v>
      </c>
    </row>
    <row r="10689" spans="1:15" x14ac:dyDescent="0.35">
      <c r="A10689" s="500" t="s">
        <v>1206</v>
      </c>
      <c r="B10689" s="501" t="s">
        <v>2676</v>
      </c>
      <c r="C10689" s="501" t="s">
        <v>1089</v>
      </c>
      <c r="D10689" s="501" t="s">
        <v>3392</v>
      </c>
      <c r="E10689" s="501" t="s">
        <v>3381</v>
      </c>
      <c r="F10689" s="501" t="s">
        <v>414</v>
      </c>
      <c r="G10689" s="501" t="s">
        <v>3368</v>
      </c>
      <c r="H10689" s="501" t="s">
        <v>13056</v>
      </c>
      <c r="I10689" s="501">
        <v>117</v>
      </c>
      <c r="J10689" s="501">
        <v>117</v>
      </c>
      <c r="K10689" s="501">
        <v>0</v>
      </c>
      <c r="L10689" s="501">
        <v>0</v>
      </c>
      <c r="M10689" s="501">
        <v>0</v>
      </c>
      <c r="N10689" s="501">
        <v>0</v>
      </c>
      <c r="O10689" s="506">
        <v>0</v>
      </c>
    </row>
    <row r="10690" spans="1:15" x14ac:dyDescent="0.35">
      <c r="A10690" s="503" t="s">
        <v>1994</v>
      </c>
      <c r="B10690" s="504" t="s">
        <v>3206</v>
      </c>
      <c r="C10690" s="504" t="s">
        <v>1094</v>
      </c>
      <c r="D10690" s="504" t="s">
        <v>3380</v>
      </c>
      <c r="E10690" s="504" t="s">
        <v>3381</v>
      </c>
      <c r="F10690" s="504" t="s">
        <v>420</v>
      </c>
      <c r="G10690" s="504" t="s">
        <v>3368</v>
      </c>
      <c r="H10690" s="504" t="s">
        <v>13057</v>
      </c>
      <c r="I10690" s="504">
        <v>10</v>
      </c>
      <c r="J10690" s="504">
        <v>8</v>
      </c>
      <c r="K10690" s="504">
        <v>0</v>
      </c>
      <c r="L10690" s="504">
        <v>0</v>
      </c>
      <c r="M10690" s="504">
        <v>0</v>
      </c>
      <c r="N10690" s="504">
        <v>0</v>
      </c>
      <c r="O10690" s="505">
        <v>2</v>
      </c>
    </row>
    <row r="10691" spans="1:15" x14ac:dyDescent="0.35">
      <c r="A10691" s="500" t="s">
        <v>1994</v>
      </c>
      <c r="B10691" s="501" t="s">
        <v>3206</v>
      </c>
      <c r="C10691" s="501" t="s">
        <v>1094</v>
      </c>
      <c r="D10691" s="501" t="s">
        <v>3380</v>
      </c>
      <c r="E10691" s="501" t="s">
        <v>3381</v>
      </c>
      <c r="F10691" s="501" t="s">
        <v>419</v>
      </c>
      <c r="G10691" s="501" t="s">
        <v>3368</v>
      </c>
      <c r="H10691" s="501" t="s">
        <v>13058</v>
      </c>
      <c r="I10691" s="501">
        <v>12246</v>
      </c>
      <c r="J10691" s="501">
        <v>9968</v>
      </c>
      <c r="K10691" s="501">
        <v>0</v>
      </c>
      <c r="L10691" s="501">
        <v>74</v>
      </c>
      <c r="M10691" s="501">
        <v>1737</v>
      </c>
      <c r="N10691" s="501">
        <v>0</v>
      </c>
      <c r="O10691" s="506">
        <v>467</v>
      </c>
    </row>
    <row r="10692" spans="1:15" x14ac:dyDescent="0.35">
      <c r="A10692" s="503" t="s">
        <v>1313</v>
      </c>
      <c r="B10692" s="504" t="s">
        <v>3045</v>
      </c>
      <c r="C10692" s="504" t="s">
        <v>1089</v>
      </c>
      <c r="D10692" s="504" t="s">
        <v>3392</v>
      </c>
      <c r="E10692" s="504" t="s">
        <v>3381</v>
      </c>
      <c r="F10692" s="504" t="s">
        <v>415</v>
      </c>
      <c r="G10692" s="504" t="s">
        <v>3368</v>
      </c>
      <c r="H10692" s="504" t="s">
        <v>13059</v>
      </c>
      <c r="I10692" s="504">
        <v>42</v>
      </c>
      <c r="J10692" s="504">
        <v>0</v>
      </c>
      <c r="K10692" s="504">
        <v>0</v>
      </c>
      <c r="L10692" s="504">
        <v>0</v>
      </c>
      <c r="M10692" s="504">
        <v>42</v>
      </c>
      <c r="N10692" s="504">
        <v>0</v>
      </c>
      <c r="O10692" s="505">
        <v>0</v>
      </c>
    </row>
    <row r="10693" spans="1:15" x14ac:dyDescent="0.35">
      <c r="A10693" s="500" t="s">
        <v>1497</v>
      </c>
      <c r="B10693" s="501" t="s">
        <v>3290</v>
      </c>
      <c r="C10693" s="501" t="s">
        <v>1089</v>
      </c>
      <c r="D10693" s="501" t="s">
        <v>3392</v>
      </c>
      <c r="E10693" s="501" t="s">
        <v>3381</v>
      </c>
      <c r="F10693" s="501" t="s">
        <v>420</v>
      </c>
      <c r="G10693" s="501" t="s">
        <v>3368</v>
      </c>
      <c r="H10693" s="501" t="s">
        <v>13063</v>
      </c>
      <c r="I10693" s="501">
        <v>74</v>
      </c>
      <c r="J10693" s="501">
        <v>0</v>
      </c>
      <c r="K10693" s="501">
        <v>0</v>
      </c>
      <c r="L10693" s="501">
        <v>0</v>
      </c>
      <c r="M10693" s="501">
        <v>74</v>
      </c>
      <c r="N10693" s="501">
        <v>0</v>
      </c>
      <c r="O10693" s="506">
        <v>0</v>
      </c>
    </row>
    <row r="10694" spans="1:15" x14ac:dyDescent="0.35">
      <c r="A10694" s="503" t="s">
        <v>1497</v>
      </c>
      <c r="B10694" s="504" t="s">
        <v>3290</v>
      </c>
      <c r="C10694" s="504" t="s">
        <v>1089</v>
      </c>
      <c r="D10694" s="504" t="s">
        <v>3392</v>
      </c>
      <c r="E10694" s="504" t="s">
        <v>3381</v>
      </c>
      <c r="F10694" s="504" t="s">
        <v>418</v>
      </c>
      <c r="G10694" s="504" t="s">
        <v>3368</v>
      </c>
      <c r="H10694" s="504" t="s">
        <v>13062</v>
      </c>
      <c r="I10694" s="504">
        <v>62</v>
      </c>
      <c r="J10694" s="504">
        <v>0</v>
      </c>
      <c r="K10694" s="504">
        <v>0</v>
      </c>
      <c r="L10694" s="504">
        <v>0</v>
      </c>
      <c r="M10694" s="504">
        <v>62</v>
      </c>
      <c r="N10694" s="504">
        <v>0</v>
      </c>
      <c r="O10694" s="505">
        <v>0</v>
      </c>
    </row>
    <row r="10695" spans="1:15" x14ac:dyDescent="0.35">
      <c r="A10695" s="500" t="s">
        <v>1497</v>
      </c>
      <c r="B10695" s="501" t="s">
        <v>3290</v>
      </c>
      <c r="C10695" s="501" t="s">
        <v>1089</v>
      </c>
      <c r="D10695" s="501" t="s">
        <v>3392</v>
      </c>
      <c r="E10695" s="501" t="s">
        <v>3381</v>
      </c>
      <c r="F10695" s="501" t="s">
        <v>417</v>
      </c>
      <c r="G10695" s="501" t="s">
        <v>3368</v>
      </c>
      <c r="H10695" s="501" t="s">
        <v>13060</v>
      </c>
      <c r="I10695" s="501">
        <v>41</v>
      </c>
      <c r="J10695" s="501">
        <v>0</v>
      </c>
      <c r="K10695" s="501">
        <v>0</v>
      </c>
      <c r="L10695" s="501">
        <v>0</v>
      </c>
      <c r="M10695" s="501">
        <v>41</v>
      </c>
      <c r="N10695" s="501">
        <v>0</v>
      </c>
      <c r="O10695" s="506">
        <v>0</v>
      </c>
    </row>
    <row r="10696" spans="1:15" x14ac:dyDescent="0.35">
      <c r="A10696" s="503" t="s">
        <v>1497</v>
      </c>
      <c r="B10696" s="504" t="s">
        <v>3290</v>
      </c>
      <c r="C10696" s="504" t="s">
        <v>1089</v>
      </c>
      <c r="D10696" s="504" t="s">
        <v>3392</v>
      </c>
      <c r="E10696" s="504" t="s">
        <v>3381</v>
      </c>
      <c r="F10696" s="504" t="s">
        <v>2</v>
      </c>
      <c r="G10696" s="504" t="s">
        <v>3368</v>
      </c>
      <c r="H10696" s="504" t="s">
        <v>13065</v>
      </c>
      <c r="I10696" s="504">
        <v>50</v>
      </c>
      <c r="J10696" s="504">
        <v>0</v>
      </c>
      <c r="K10696" s="504">
        <v>0</v>
      </c>
      <c r="L10696" s="504">
        <v>0</v>
      </c>
      <c r="M10696" s="504">
        <v>50</v>
      </c>
      <c r="N10696" s="504">
        <v>0</v>
      </c>
      <c r="O10696" s="505">
        <v>0</v>
      </c>
    </row>
    <row r="10697" spans="1:15" x14ac:dyDescent="0.35">
      <c r="A10697" s="500" t="s">
        <v>1497</v>
      </c>
      <c r="B10697" s="501" t="s">
        <v>3290</v>
      </c>
      <c r="C10697" s="501" t="s">
        <v>1089</v>
      </c>
      <c r="D10697" s="501" t="s">
        <v>3392</v>
      </c>
      <c r="E10697" s="501" t="s">
        <v>3381</v>
      </c>
      <c r="F10697" s="501" t="s">
        <v>1048</v>
      </c>
      <c r="G10697" s="501" t="s">
        <v>3368</v>
      </c>
      <c r="H10697" s="501" t="s">
        <v>14027</v>
      </c>
      <c r="I10697" s="501">
        <v>259</v>
      </c>
      <c r="J10697" s="501">
        <v>0</v>
      </c>
      <c r="K10697" s="501">
        <v>0</v>
      </c>
      <c r="L10697" s="501">
        <v>0</v>
      </c>
      <c r="M10697" s="501">
        <v>259</v>
      </c>
      <c r="N10697" s="501">
        <v>0</v>
      </c>
      <c r="O10697" s="506">
        <v>0</v>
      </c>
    </row>
    <row r="10698" spans="1:15" x14ac:dyDescent="0.35">
      <c r="A10698" s="503" t="s">
        <v>1497</v>
      </c>
      <c r="B10698" s="504" t="s">
        <v>3290</v>
      </c>
      <c r="C10698" s="504" t="s">
        <v>1089</v>
      </c>
      <c r="D10698" s="504" t="s">
        <v>3392</v>
      </c>
      <c r="E10698" s="504" t="s">
        <v>3381</v>
      </c>
      <c r="F10698" s="504" t="s">
        <v>416</v>
      </c>
      <c r="G10698" s="504" t="s">
        <v>3368</v>
      </c>
      <c r="H10698" s="504" t="s">
        <v>13061</v>
      </c>
      <c r="I10698" s="504">
        <v>60</v>
      </c>
      <c r="J10698" s="504">
        <v>0</v>
      </c>
      <c r="K10698" s="504">
        <v>0</v>
      </c>
      <c r="L10698" s="504">
        <v>0</v>
      </c>
      <c r="M10698" s="504">
        <v>60</v>
      </c>
      <c r="N10698" s="504">
        <v>0</v>
      </c>
      <c r="O10698" s="505">
        <v>0</v>
      </c>
    </row>
    <row r="10699" spans="1:15" x14ac:dyDescent="0.35">
      <c r="A10699" s="500" t="s">
        <v>1497</v>
      </c>
      <c r="B10699" s="501" t="s">
        <v>3290</v>
      </c>
      <c r="C10699" s="501" t="s">
        <v>1089</v>
      </c>
      <c r="D10699" s="501" t="s">
        <v>3392</v>
      </c>
      <c r="E10699" s="501" t="s">
        <v>3381</v>
      </c>
      <c r="F10699" s="501" t="s">
        <v>419</v>
      </c>
      <c r="G10699" s="501" t="s">
        <v>3368</v>
      </c>
      <c r="H10699" s="501" t="s">
        <v>13064</v>
      </c>
      <c r="I10699" s="501">
        <v>125</v>
      </c>
      <c r="J10699" s="501">
        <v>0</v>
      </c>
      <c r="K10699" s="501">
        <v>0</v>
      </c>
      <c r="L10699" s="501">
        <v>0</v>
      </c>
      <c r="M10699" s="501">
        <v>125</v>
      </c>
      <c r="N10699" s="501">
        <v>0</v>
      </c>
      <c r="O10699" s="506">
        <v>0</v>
      </c>
    </row>
    <row r="10700" spans="1:15" x14ac:dyDescent="0.35">
      <c r="A10700" s="503" t="s">
        <v>1112</v>
      </c>
      <c r="B10700" s="504" t="s">
        <v>3008</v>
      </c>
      <c r="C10700" s="504" t="s">
        <v>1094</v>
      </c>
      <c r="D10700" s="504" t="s">
        <v>3380</v>
      </c>
      <c r="E10700" s="504" t="s">
        <v>3381</v>
      </c>
      <c r="F10700" s="504" t="s">
        <v>419</v>
      </c>
      <c r="G10700" s="504" t="s">
        <v>3368</v>
      </c>
      <c r="H10700" s="504" t="s">
        <v>13066</v>
      </c>
      <c r="I10700" s="504">
        <v>1</v>
      </c>
      <c r="J10700" s="504">
        <v>0</v>
      </c>
      <c r="K10700" s="504">
        <v>0</v>
      </c>
      <c r="L10700" s="504">
        <v>0</v>
      </c>
      <c r="M10700" s="504">
        <v>0</v>
      </c>
      <c r="N10700" s="504">
        <v>0</v>
      </c>
      <c r="O10700" s="505">
        <v>1</v>
      </c>
    </row>
    <row r="10701" spans="1:15" x14ac:dyDescent="0.35">
      <c r="A10701" s="500" t="s">
        <v>1112</v>
      </c>
      <c r="B10701" s="501" t="s">
        <v>3008</v>
      </c>
      <c r="C10701" s="501" t="s">
        <v>1094</v>
      </c>
      <c r="D10701" s="501" t="s">
        <v>3380</v>
      </c>
      <c r="E10701" s="501" t="s">
        <v>3381</v>
      </c>
      <c r="F10701" s="501" t="s">
        <v>420</v>
      </c>
      <c r="G10701" s="501" t="s">
        <v>3368</v>
      </c>
      <c r="H10701" s="501" t="s">
        <v>13069</v>
      </c>
      <c r="I10701" s="501">
        <v>62</v>
      </c>
      <c r="J10701" s="501">
        <v>28</v>
      </c>
      <c r="K10701" s="501">
        <v>0</v>
      </c>
      <c r="L10701" s="501">
        <v>14</v>
      </c>
      <c r="M10701" s="501">
        <v>19</v>
      </c>
      <c r="N10701" s="501">
        <v>0</v>
      </c>
      <c r="O10701" s="506">
        <v>1</v>
      </c>
    </row>
    <row r="10702" spans="1:15" x14ac:dyDescent="0.35">
      <c r="A10702" s="503" t="s">
        <v>1112</v>
      </c>
      <c r="B10702" s="504" t="s">
        <v>3008</v>
      </c>
      <c r="C10702" s="504" t="s">
        <v>1094</v>
      </c>
      <c r="D10702" s="504" t="s">
        <v>3380</v>
      </c>
      <c r="E10702" s="504" t="s">
        <v>3381</v>
      </c>
      <c r="F10702" s="504" t="s">
        <v>2</v>
      </c>
      <c r="G10702" s="504" t="s">
        <v>3368</v>
      </c>
      <c r="H10702" s="504" t="s">
        <v>13072</v>
      </c>
      <c r="I10702" s="504">
        <v>8627</v>
      </c>
      <c r="J10702" s="504">
        <v>5452</v>
      </c>
      <c r="K10702" s="504">
        <v>0</v>
      </c>
      <c r="L10702" s="504">
        <v>17</v>
      </c>
      <c r="M10702" s="504">
        <v>18</v>
      </c>
      <c r="N10702" s="504">
        <v>8</v>
      </c>
      <c r="O10702" s="505">
        <v>3140</v>
      </c>
    </row>
    <row r="10703" spans="1:15" x14ac:dyDescent="0.35">
      <c r="A10703" s="500" t="s">
        <v>1112</v>
      </c>
      <c r="B10703" s="501" t="s">
        <v>3008</v>
      </c>
      <c r="C10703" s="501" t="s">
        <v>1094</v>
      </c>
      <c r="D10703" s="501" t="s">
        <v>3380</v>
      </c>
      <c r="E10703" s="501" t="s">
        <v>3381</v>
      </c>
      <c r="F10703" s="501" t="s">
        <v>415</v>
      </c>
      <c r="G10703" s="501" t="s">
        <v>3368</v>
      </c>
      <c r="H10703" s="501" t="s">
        <v>13070</v>
      </c>
      <c r="I10703" s="501">
        <v>4539</v>
      </c>
      <c r="J10703" s="501">
        <v>2897</v>
      </c>
      <c r="K10703" s="501">
        <v>0</v>
      </c>
      <c r="L10703" s="501">
        <v>333</v>
      </c>
      <c r="M10703" s="501">
        <v>48</v>
      </c>
      <c r="N10703" s="501">
        <v>7</v>
      </c>
      <c r="O10703" s="506">
        <v>1261</v>
      </c>
    </row>
    <row r="10704" spans="1:15" x14ac:dyDescent="0.35">
      <c r="A10704" s="503" t="s">
        <v>1112</v>
      </c>
      <c r="B10704" s="504" t="s">
        <v>3008</v>
      </c>
      <c r="C10704" s="504" t="s">
        <v>1094</v>
      </c>
      <c r="D10704" s="504" t="s">
        <v>3380</v>
      </c>
      <c r="E10704" s="504" t="s">
        <v>3381</v>
      </c>
      <c r="F10704" s="504" t="s">
        <v>414</v>
      </c>
      <c r="G10704" s="504" t="s">
        <v>3368</v>
      </c>
      <c r="H10704" s="504" t="s">
        <v>13071</v>
      </c>
      <c r="I10704" s="504">
        <v>10237</v>
      </c>
      <c r="J10704" s="504">
        <v>6855</v>
      </c>
      <c r="K10704" s="504">
        <v>0</v>
      </c>
      <c r="L10704" s="504">
        <v>271</v>
      </c>
      <c r="M10704" s="504">
        <v>2335</v>
      </c>
      <c r="N10704" s="504">
        <v>3</v>
      </c>
      <c r="O10704" s="505">
        <v>776</v>
      </c>
    </row>
    <row r="10705" spans="1:15" x14ac:dyDescent="0.35">
      <c r="A10705" s="500" t="s">
        <v>1112</v>
      </c>
      <c r="B10705" s="501" t="s">
        <v>3008</v>
      </c>
      <c r="C10705" s="501" t="s">
        <v>1094</v>
      </c>
      <c r="D10705" s="501" t="s">
        <v>3380</v>
      </c>
      <c r="E10705" s="501" t="s">
        <v>3381</v>
      </c>
      <c r="F10705" s="501" t="s">
        <v>1048</v>
      </c>
      <c r="G10705" s="501" t="s">
        <v>3368</v>
      </c>
      <c r="H10705" s="501" t="s">
        <v>14028</v>
      </c>
      <c r="I10705" s="501">
        <v>11</v>
      </c>
      <c r="J10705" s="501">
        <v>0</v>
      </c>
      <c r="K10705" s="501">
        <v>0</v>
      </c>
      <c r="L10705" s="501">
        <v>11</v>
      </c>
      <c r="M10705" s="501">
        <v>0</v>
      </c>
      <c r="N10705" s="501">
        <v>0</v>
      </c>
      <c r="O10705" s="506">
        <v>0</v>
      </c>
    </row>
    <row r="10706" spans="1:15" x14ac:dyDescent="0.35">
      <c r="A10706" s="503" t="s">
        <v>1112</v>
      </c>
      <c r="B10706" s="504" t="s">
        <v>3008</v>
      </c>
      <c r="C10706" s="504" t="s">
        <v>1094</v>
      </c>
      <c r="D10706" s="504" t="s">
        <v>3380</v>
      </c>
      <c r="E10706" s="504" t="s">
        <v>3381</v>
      </c>
      <c r="F10706" s="504" t="s">
        <v>416</v>
      </c>
      <c r="G10706" s="504" t="s">
        <v>3368</v>
      </c>
      <c r="H10706" s="504" t="s">
        <v>13067</v>
      </c>
      <c r="I10706" s="504">
        <v>20440</v>
      </c>
      <c r="J10706" s="504">
        <v>14987</v>
      </c>
      <c r="K10706" s="504">
        <v>11</v>
      </c>
      <c r="L10706" s="504">
        <v>1388</v>
      </c>
      <c r="M10706" s="504">
        <v>777</v>
      </c>
      <c r="N10706" s="504">
        <v>17</v>
      </c>
      <c r="O10706" s="505">
        <v>3277</v>
      </c>
    </row>
    <row r="10707" spans="1:15" x14ac:dyDescent="0.35">
      <c r="A10707" s="500" t="s">
        <v>1112</v>
      </c>
      <c r="B10707" s="501" t="s">
        <v>3008</v>
      </c>
      <c r="C10707" s="501" t="s">
        <v>1094</v>
      </c>
      <c r="D10707" s="501" t="s">
        <v>3380</v>
      </c>
      <c r="E10707" s="501" t="s">
        <v>3381</v>
      </c>
      <c r="F10707" s="501" t="s">
        <v>417</v>
      </c>
      <c r="G10707" s="501" t="s">
        <v>3368</v>
      </c>
      <c r="H10707" s="501" t="s">
        <v>13068</v>
      </c>
      <c r="I10707" s="501">
        <v>1</v>
      </c>
      <c r="J10707" s="501">
        <v>0</v>
      </c>
      <c r="K10707" s="501">
        <v>0</v>
      </c>
      <c r="L10707" s="501">
        <v>0</v>
      </c>
      <c r="M10707" s="501">
        <v>0</v>
      </c>
      <c r="N10707" s="501">
        <v>0</v>
      </c>
      <c r="O10707" s="506">
        <v>1</v>
      </c>
    </row>
    <row r="10708" spans="1:15" x14ac:dyDescent="0.35">
      <c r="A10708" s="503" t="s">
        <v>1207</v>
      </c>
      <c r="B10708" s="504" t="s">
        <v>3202</v>
      </c>
      <c r="C10708" s="504" t="s">
        <v>1094</v>
      </c>
      <c r="D10708" s="504" t="s">
        <v>3380</v>
      </c>
      <c r="E10708" s="504" t="s">
        <v>3381</v>
      </c>
      <c r="F10708" s="504" t="s">
        <v>414</v>
      </c>
      <c r="G10708" s="504" t="s">
        <v>3368</v>
      </c>
      <c r="H10708" s="504" t="s">
        <v>13075</v>
      </c>
      <c r="I10708" s="504">
        <v>2944</v>
      </c>
      <c r="J10708" s="504">
        <v>2074</v>
      </c>
      <c r="K10708" s="504">
        <v>0</v>
      </c>
      <c r="L10708" s="504">
        <v>139</v>
      </c>
      <c r="M10708" s="504">
        <v>175</v>
      </c>
      <c r="N10708" s="504">
        <v>0</v>
      </c>
      <c r="O10708" s="505">
        <v>556</v>
      </c>
    </row>
    <row r="10709" spans="1:15" x14ac:dyDescent="0.35">
      <c r="A10709" s="500" t="s">
        <v>1207</v>
      </c>
      <c r="B10709" s="501" t="s">
        <v>3202</v>
      </c>
      <c r="C10709" s="501" t="s">
        <v>1094</v>
      </c>
      <c r="D10709" s="501" t="s">
        <v>3380</v>
      </c>
      <c r="E10709" s="501" t="s">
        <v>3381</v>
      </c>
      <c r="F10709" s="501" t="s">
        <v>420</v>
      </c>
      <c r="G10709" s="501" t="s">
        <v>3368</v>
      </c>
      <c r="H10709" s="501" t="s">
        <v>13074</v>
      </c>
      <c r="I10709" s="501">
        <v>27388</v>
      </c>
      <c r="J10709" s="501">
        <v>22140</v>
      </c>
      <c r="K10709" s="501">
        <v>2</v>
      </c>
      <c r="L10709" s="501">
        <v>1015</v>
      </c>
      <c r="M10709" s="501">
        <v>2575</v>
      </c>
      <c r="N10709" s="501">
        <v>42</v>
      </c>
      <c r="O10709" s="506">
        <v>1656</v>
      </c>
    </row>
    <row r="10710" spans="1:15" x14ac:dyDescent="0.35">
      <c r="A10710" s="503" t="s">
        <v>1207</v>
      </c>
      <c r="B10710" s="504" t="s">
        <v>3202</v>
      </c>
      <c r="C10710" s="504" t="s">
        <v>1094</v>
      </c>
      <c r="D10710" s="504" t="s">
        <v>3380</v>
      </c>
      <c r="E10710" s="504" t="s">
        <v>3381</v>
      </c>
      <c r="F10710" s="504" t="s">
        <v>2</v>
      </c>
      <c r="G10710" s="504" t="s">
        <v>3368</v>
      </c>
      <c r="H10710" s="504" t="s">
        <v>13076</v>
      </c>
      <c r="I10710" s="504">
        <v>100</v>
      </c>
      <c r="J10710" s="504">
        <v>0</v>
      </c>
      <c r="K10710" s="504">
        <v>0</v>
      </c>
      <c r="L10710" s="504">
        <v>0</v>
      </c>
      <c r="M10710" s="504">
        <v>100</v>
      </c>
      <c r="N10710" s="504">
        <v>0</v>
      </c>
      <c r="O10710" s="505">
        <v>0</v>
      </c>
    </row>
    <row r="10711" spans="1:15" x14ac:dyDescent="0.35">
      <c r="A10711" s="500" t="s">
        <v>1207</v>
      </c>
      <c r="B10711" s="501" t="s">
        <v>3202</v>
      </c>
      <c r="C10711" s="501" t="s">
        <v>1094</v>
      </c>
      <c r="D10711" s="501" t="s">
        <v>3380</v>
      </c>
      <c r="E10711" s="501" t="s">
        <v>3381</v>
      </c>
      <c r="F10711" s="501" t="s">
        <v>419</v>
      </c>
      <c r="G10711" s="501" t="s">
        <v>3368</v>
      </c>
      <c r="H10711" s="501" t="s">
        <v>13073</v>
      </c>
      <c r="I10711" s="501">
        <v>20</v>
      </c>
      <c r="J10711" s="501">
        <v>0</v>
      </c>
      <c r="K10711" s="501">
        <v>0</v>
      </c>
      <c r="L10711" s="501">
        <v>0</v>
      </c>
      <c r="M10711" s="501">
        <v>0</v>
      </c>
      <c r="N10711" s="501">
        <v>0</v>
      </c>
      <c r="O10711" s="506">
        <v>20</v>
      </c>
    </row>
    <row r="10712" spans="1:15" x14ac:dyDescent="0.35">
      <c r="A10712" s="503" t="s">
        <v>11405</v>
      </c>
      <c r="B10712" s="504" t="s">
        <v>2751</v>
      </c>
      <c r="C10712" s="504" t="s">
        <v>1089</v>
      </c>
      <c r="D10712" s="504" t="s">
        <v>3392</v>
      </c>
      <c r="E10712" s="504" t="s">
        <v>3381</v>
      </c>
      <c r="F10712" s="504" t="s">
        <v>418</v>
      </c>
      <c r="G10712" s="504" t="s">
        <v>3368</v>
      </c>
      <c r="H10712" s="504" t="s">
        <v>13077</v>
      </c>
      <c r="I10712" s="504">
        <v>54</v>
      </c>
      <c r="J10712" s="504">
        <v>54</v>
      </c>
      <c r="K10712" s="504">
        <v>0</v>
      </c>
      <c r="L10712" s="504">
        <v>0</v>
      </c>
      <c r="M10712" s="504">
        <v>0</v>
      </c>
      <c r="N10712" s="504">
        <v>0</v>
      </c>
      <c r="O10712" s="505">
        <v>0</v>
      </c>
    </row>
    <row r="10713" spans="1:15" x14ac:dyDescent="0.35">
      <c r="A10713" s="500" t="s">
        <v>1498</v>
      </c>
      <c r="B10713" s="501" t="s">
        <v>3138</v>
      </c>
      <c r="C10713" s="501" t="s">
        <v>1089</v>
      </c>
      <c r="D10713" s="501" t="s">
        <v>3392</v>
      </c>
      <c r="E10713" s="501" t="s">
        <v>3381</v>
      </c>
      <c r="F10713" s="501" t="s">
        <v>416</v>
      </c>
      <c r="G10713" s="501" t="s">
        <v>3368</v>
      </c>
      <c r="H10713" s="501" t="s">
        <v>13078</v>
      </c>
      <c r="I10713" s="501">
        <v>57</v>
      </c>
      <c r="J10713" s="501">
        <v>41</v>
      </c>
      <c r="K10713" s="501">
        <v>0</v>
      </c>
      <c r="L10713" s="501">
        <v>0</v>
      </c>
      <c r="M10713" s="501">
        <v>16</v>
      </c>
      <c r="N10713" s="501">
        <v>0</v>
      </c>
      <c r="O10713" s="506">
        <v>0</v>
      </c>
    </row>
    <row r="10714" spans="1:15" x14ac:dyDescent="0.35">
      <c r="A10714" s="503" t="s">
        <v>1864</v>
      </c>
      <c r="B10714" s="504" t="s">
        <v>2737</v>
      </c>
      <c r="C10714" s="504" t="s">
        <v>1089</v>
      </c>
      <c r="D10714" s="504" t="s">
        <v>3392</v>
      </c>
      <c r="E10714" s="504" t="s">
        <v>3381</v>
      </c>
      <c r="F10714" s="504" t="s">
        <v>2</v>
      </c>
      <c r="G10714" s="504" t="s">
        <v>3368</v>
      </c>
      <c r="H10714" s="504" t="s">
        <v>13079</v>
      </c>
      <c r="I10714" s="504">
        <v>52</v>
      </c>
      <c r="J10714" s="504">
        <v>52</v>
      </c>
      <c r="K10714" s="504">
        <v>0</v>
      </c>
      <c r="L10714" s="504">
        <v>0</v>
      </c>
      <c r="M10714" s="504">
        <v>0</v>
      </c>
      <c r="N10714" s="504">
        <v>0</v>
      </c>
      <c r="O10714" s="505">
        <v>0</v>
      </c>
    </row>
    <row r="10715" spans="1:15" x14ac:dyDescent="0.35">
      <c r="A10715" s="500" t="s">
        <v>1499</v>
      </c>
      <c r="B10715" s="501" t="s">
        <v>2779</v>
      </c>
      <c r="C10715" s="501" t="s">
        <v>1089</v>
      </c>
      <c r="D10715" s="501" t="s">
        <v>3392</v>
      </c>
      <c r="E10715" s="501" t="s">
        <v>3381</v>
      </c>
      <c r="F10715" s="501" t="s">
        <v>416</v>
      </c>
      <c r="G10715" s="501" t="s">
        <v>3368</v>
      </c>
      <c r="H10715" s="501" t="s">
        <v>13080</v>
      </c>
      <c r="I10715" s="501">
        <v>13</v>
      </c>
      <c r="J10715" s="501">
        <v>13</v>
      </c>
      <c r="K10715" s="501">
        <v>0</v>
      </c>
      <c r="L10715" s="501">
        <v>0</v>
      </c>
      <c r="M10715" s="501">
        <v>0</v>
      </c>
      <c r="N10715" s="501">
        <v>0</v>
      </c>
      <c r="O10715" s="506">
        <v>0</v>
      </c>
    </row>
    <row r="10716" spans="1:15" x14ac:dyDescent="0.35">
      <c r="A10716" s="503" t="s">
        <v>1865</v>
      </c>
      <c r="B10716" s="504">
        <v>4870</v>
      </c>
      <c r="C10716" s="504" t="s">
        <v>1089</v>
      </c>
      <c r="D10716" s="504" t="s">
        <v>3392</v>
      </c>
      <c r="E10716" s="504" t="s">
        <v>3381</v>
      </c>
      <c r="F10716" s="504" t="s">
        <v>2</v>
      </c>
      <c r="G10716" s="504" t="s">
        <v>3368</v>
      </c>
      <c r="H10716" s="504" t="s">
        <v>13081</v>
      </c>
      <c r="I10716" s="504">
        <v>206</v>
      </c>
      <c r="J10716" s="504">
        <v>0</v>
      </c>
      <c r="K10716" s="504">
        <v>0</v>
      </c>
      <c r="L10716" s="504">
        <v>206</v>
      </c>
      <c r="M10716" s="504">
        <v>0</v>
      </c>
      <c r="N10716" s="504">
        <v>0</v>
      </c>
      <c r="O10716" s="505">
        <v>0</v>
      </c>
    </row>
    <row r="10717" spans="1:15" x14ac:dyDescent="0.35">
      <c r="A10717" s="500" t="s">
        <v>1866</v>
      </c>
      <c r="B10717" s="501" t="s">
        <v>2827</v>
      </c>
      <c r="C10717" s="501" t="s">
        <v>1089</v>
      </c>
      <c r="D10717" s="501" t="s">
        <v>3392</v>
      </c>
      <c r="E10717" s="501" t="s">
        <v>3381</v>
      </c>
      <c r="F10717" s="501" t="s">
        <v>2</v>
      </c>
      <c r="G10717" s="501" t="s">
        <v>3368</v>
      </c>
      <c r="H10717" s="501" t="s">
        <v>13082</v>
      </c>
      <c r="I10717" s="501">
        <v>36</v>
      </c>
      <c r="J10717" s="501">
        <v>36</v>
      </c>
      <c r="K10717" s="501">
        <v>0</v>
      </c>
      <c r="L10717" s="501">
        <v>0</v>
      </c>
      <c r="M10717" s="501">
        <v>0</v>
      </c>
      <c r="N10717" s="501">
        <v>0</v>
      </c>
      <c r="O10717" s="506">
        <v>0</v>
      </c>
    </row>
    <row r="10718" spans="1:15" x14ac:dyDescent="0.35">
      <c r="A10718" s="503" t="s">
        <v>1738</v>
      </c>
      <c r="B10718" s="504" t="s">
        <v>3280</v>
      </c>
      <c r="C10718" s="504" t="s">
        <v>1089</v>
      </c>
      <c r="D10718" s="504" t="s">
        <v>3392</v>
      </c>
      <c r="E10718" s="504" t="s">
        <v>3381</v>
      </c>
      <c r="F10718" s="504" t="s">
        <v>418</v>
      </c>
      <c r="G10718" s="504" t="s">
        <v>3368</v>
      </c>
      <c r="H10718" s="504" t="s">
        <v>13083</v>
      </c>
      <c r="I10718" s="504">
        <v>140</v>
      </c>
      <c r="J10718" s="504">
        <v>140</v>
      </c>
      <c r="K10718" s="504">
        <v>0</v>
      </c>
      <c r="L10718" s="504">
        <v>0</v>
      </c>
      <c r="M10718" s="504">
        <v>0</v>
      </c>
      <c r="N10718" s="504">
        <v>0</v>
      </c>
      <c r="O10718" s="505">
        <v>0</v>
      </c>
    </row>
    <row r="10719" spans="1:15" x14ac:dyDescent="0.35">
      <c r="A10719" s="500" t="s">
        <v>1867</v>
      </c>
      <c r="B10719" s="501" t="s">
        <v>2775</v>
      </c>
      <c r="C10719" s="501" t="s">
        <v>1089</v>
      </c>
      <c r="D10719" s="501" t="s">
        <v>3392</v>
      </c>
      <c r="E10719" s="501" t="s">
        <v>3381</v>
      </c>
      <c r="F10719" s="501" t="s">
        <v>2</v>
      </c>
      <c r="G10719" s="501" t="s">
        <v>3368</v>
      </c>
      <c r="H10719" s="501" t="s">
        <v>13084</v>
      </c>
      <c r="I10719" s="501">
        <v>27</v>
      </c>
      <c r="J10719" s="501">
        <v>27</v>
      </c>
      <c r="K10719" s="501">
        <v>0</v>
      </c>
      <c r="L10719" s="501">
        <v>0</v>
      </c>
      <c r="M10719" s="501">
        <v>0</v>
      </c>
      <c r="N10719" s="501">
        <v>0</v>
      </c>
      <c r="O10719" s="506">
        <v>0</v>
      </c>
    </row>
    <row r="10720" spans="1:15" x14ac:dyDescent="0.35">
      <c r="A10720" s="503" t="s">
        <v>1114</v>
      </c>
      <c r="B10720" s="504" t="s">
        <v>2982</v>
      </c>
      <c r="C10720" s="504" t="s">
        <v>1094</v>
      </c>
      <c r="D10720" s="504" t="s">
        <v>3380</v>
      </c>
      <c r="E10720" s="504" t="s">
        <v>3381</v>
      </c>
      <c r="F10720" s="504" t="s">
        <v>416</v>
      </c>
      <c r="G10720" s="504" t="s">
        <v>3368</v>
      </c>
      <c r="H10720" s="504" t="s">
        <v>13087</v>
      </c>
      <c r="I10720" s="504">
        <v>3655</v>
      </c>
      <c r="J10720" s="504">
        <v>2426</v>
      </c>
      <c r="K10720" s="504">
        <v>0</v>
      </c>
      <c r="L10720" s="504">
        <v>28</v>
      </c>
      <c r="M10720" s="504">
        <v>420</v>
      </c>
      <c r="N10720" s="504">
        <v>0</v>
      </c>
      <c r="O10720" s="505">
        <v>781</v>
      </c>
    </row>
    <row r="10721" spans="1:15" x14ac:dyDescent="0.35">
      <c r="A10721" s="500" t="s">
        <v>1114</v>
      </c>
      <c r="B10721" s="501" t="s">
        <v>2982</v>
      </c>
      <c r="C10721" s="501" t="s">
        <v>1094</v>
      </c>
      <c r="D10721" s="501" t="s">
        <v>3380</v>
      </c>
      <c r="E10721" s="501" t="s">
        <v>3381</v>
      </c>
      <c r="F10721" s="501" t="s">
        <v>419</v>
      </c>
      <c r="G10721" s="501" t="s">
        <v>3368</v>
      </c>
      <c r="H10721" s="501" t="s">
        <v>13086</v>
      </c>
      <c r="I10721" s="501">
        <v>70</v>
      </c>
      <c r="J10721" s="501">
        <v>0</v>
      </c>
      <c r="K10721" s="501">
        <v>0</v>
      </c>
      <c r="L10721" s="501">
        <v>0</v>
      </c>
      <c r="M10721" s="501">
        <v>0</v>
      </c>
      <c r="N10721" s="501">
        <v>0</v>
      </c>
      <c r="O10721" s="506">
        <v>70</v>
      </c>
    </row>
    <row r="10722" spans="1:15" x14ac:dyDescent="0.35">
      <c r="A10722" s="503" t="s">
        <v>1114</v>
      </c>
      <c r="B10722" s="504" t="s">
        <v>2982</v>
      </c>
      <c r="C10722" s="504" t="s">
        <v>1094</v>
      </c>
      <c r="D10722" s="504" t="s">
        <v>3380</v>
      </c>
      <c r="E10722" s="504" t="s">
        <v>3381</v>
      </c>
      <c r="F10722" s="504" t="s">
        <v>415</v>
      </c>
      <c r="G10722" s="504" t="s">
        <v>3368</v>
      </c>
      <c r="H10722" s="504" t="s">
        <v>13088</v>
      </c>
      <c r="I10722" s="504">
        <v>4178</v>
      </c>
      <c r="J10722" s="504">
        <v>2719</v>
      </c>
      <c r="K10722" s="504">
        <v>0</v>
      </c>
      <c r="L10722" s="504">
        <v>29</v>
      </c>
      <c r="M10722" s="504">
        <v>634</v>
      </c>
      <c r="N10722" s="504">
        <v>0</v>
      </c>
      <c r="O10722" s="505">
        <v>796</v>
      </c>
    </row>
    <row r="10723" spans="1:15" x14ac:dyDescent="0.35">
      <c r="A10723" s="500" t="s">
        <v>1114</v>
      </c>
      <c r="B10723" s="501" t="s">
        <v>2982</v>
      </c>
      <c r="C10723" s="501" t="s">
        <v>1094</v>
      </c>
      <c r="D10723" s="501" t="s">
        <v>3380</v>
      </c>
      <c r="E10723" s="501" t="s">
        <v>3381</v>
      </c>
      <c r="F10723" s="501" t="s">
        <v>2</v>
      </c>
      <c r="G10723" s="501" t="s">
        <v>3368</v>
      </c>
      <c r="H10723" s="501" t="s">
        <v>13085</v>
      </c>
      <c r="I10723" s="501">
        <v>10095</v>
      </c>
      <c r="J10723" s="501">
        <v>5350</v>
      </c>
      <c r="K10723" s="501">
        <v>0</v>
      </c>
      <c r="L10723" s="501">
        <v>157</v>
      </c>
      <c r="M10723" s="501">
        <v>479</v>
      </c>
      <c r="N10723" s="501">
        <v>0</v>
      </c>
      <c r="O10723" s="506">
        <v>4109</v>
      </c>
    </row>
    <row r="10724" spans="1:15" x14ac:dyDescent="0.35">
      <c r="A10724" s="503" t="s">
        <v>1314</v>
      </c>
      <c r="B10724" s="504" t="s">
        <v>3142</v>
      </c>
      <c r="C10724" s="504" t="s">
        <v>1089</v>
      </c>
      <c r="D10724" s="504" t="s">
        <v>3392</v>
      </c>
      <c r="E10724" s="504" t="s">
        <v>3381</v>
      </c>
      <c r="F10724" s="504" t="s">
        <v>415</v>
      </c>
      <c r="G10724" s="504" t="s">
        <v>3368</v>
      </c>
      <c r="H10724" s="504" t="s">
        <v>13089</v>
      </c>
      <c r="I10724" s="504">
        <v>3</v>
      </c>
      <c r="J10724" s="504">
        <v>3</v>
      </c>
      <c r="K10724" s="504">
        <v>0</v>
      </c>
      <c r="L10724" s="504">
        <v>0</v>
      </c>
      <c r="M10724" s="504">
        <v>0</v>
      </c>
      <c r="N10724" s="504">
        <v>0</v>
      </c>
      <c r="O10724" s="505">
        <v>0</v>
      </c>
    </row>
    <row r="10725" spans="1:15" x14ac:dyDescent="0.35">
      <c r="A10725" s="500" t="s">
        <v>1500</v>
      </c>
      <c r="B10725" s="501" t="s">
        <v>2704</v>
      </c>
      <c r="C10725" s="501" t="s">
        <v>1089</v>
      </c>
      <c r="D10725" s="501" t="s">
        <v>3392</v>
      </c>
      <c r="E10725" s="501" t="s">
        <v>3381</v>
      </c>
      <c r="F10725" s="501" t="s">
        <v>416</v>
      </c>
      <c r="G10725" s="501" t="s">
        <v>3368</v>
      </c>
      <c r="H10725" s="501" t="s">
        <v>13090</v>
      </c>
      <c r="I10725" s="501">
        <v>5</v>
      </c>
      <c r="J10725" s="501">
        <v>5</v>
      </c>
      <c r="K10725" s="501">
        <v>0</v>
      </c>
      <c r="L10725" s="501">
        <v>0</v>
      </c>
      <c r="M10725" s="501">
        <v>0</v>
      </c>
      <c r="N10725" s="501">
        <v>0</v>
      </c>
      <c r="O10725" s="506">
        <v>0</v>
      </c>
    </row>
    <row r="10726" spans="1:15" x14ac:dyDescent="0.35">
      <c r="A10726" s="503" t="s">
        <v>1739</v>
      </c>
      <c r="B10726" s="504">
        <v>4857</v>
      </c>
      <c r="C10726" s="504" t="s">
        <v>1094</v>
      </c>
      <c r="D10726" s="504" t="s">
        <v>3380</v>
      </c>
      <c r="E10726" s="504" t="s">
        <v>3381</v>
      </c>
      <c r="F10726" s="504" t="s">
        <v>420</v>
      </c>
      <c r="G10726" s="504" t="s">
        <v>3368</v>
      </c>
      <c r="H10726" s="504" t="s">
        <v>13091</v>
      </c>
      <c r="I10726" s="504">
        <v>2</v>
      </c>
      <c r="J10726" s="504">
        <v>2</v>
      </c>
      <c r="K10726" s="504">
        <v>0</v>
      </c>
      <c r="L10726" s="504">
        <v>0</v>
      </c>
      <c r="M10726" s="504">
        <v>0</v>
      </c>
      <c r="N10726" s="504">
        <v>0</v>
      </c>
      <c r="O10726" s="505">
        <v>0</v>
      </c>
    </row>
    <row r="10727" spans="1:15" x14ac:dyDescent="0.35">
      <c r="A10727" s="500" t="s">
        <v>1739</v>
      </c>
      <c r="B10727" s="501">
        <v>4857</v>
      </c>
      <c r="C10727" s="501" t="s">
        <v>1094</v>
      </c>
      <c r="D10727" s="501" t="s">
        <v>3380</v>
      </c>
      <c r="E10727" s="501" t="s">
        <v>3381</v>
      </c>
      <c r="F10727" s="501" t="s">
        <v>418</v>
      </c>
      <c r="G10727" s="501" t="s">
        <v>3368</v>
      </c>
      <c r="H10727" s="501" t="s">
        <v>13092</v>
      </c>
      <c r="I10727" s="501">
        <v>8264</v>
      </c>
      <c r="J10727" s="501">
        <v>6671</v>
      </c>
      <c r="K10727" s="501">
        <v>21</v>
      </c>
      <c r="L10727" s="501">
        <v>591</v>
      </c>
      <c r="M10727" s="501">
        <v>645</v>
      </c>
      <c r="N10727" s="501">
        <v>0</v>
      </c>
      <c r="O10727" s="506">
        <v>336</v>
      </c>
    </row>
    <row r="10728" spans="1:15" x14ac:dyDescent="0.35">
      <c r="A10728" s="503" t="s">
        <v>1739</v>
      </c>
      <c r="B10728" s="504">
        <v>4857</v>
      </c>
      <c r="C10728" s="504" t="s">
        <v>1094</v>
      </c>
      <c r="D10728" s="504" t="s">
        <v>3380</v>
      </c>
      <c r="E10728" s="504" t="s">
        <v>3381</v>
      </c>
      <c r="F10728" s="504" t="s">
        <v>1048</v>
      </c>
      <c r="G10728" s="504" t="s">
        <v>3368</v>
      </c>
      <c r="H10728" s="504" t="s">
        <v>14029</v>
      </c>
      <c r="I10728" s="504">
        <v>159</v>
      </c>
      <c r="J10728" s="504">
        <v>120</v>
      </c>
      <c r="K10728" s="504">
        <v>0</v>
      </c>
      <c r="L10728" s="504">
        <v>26</v>
      </c>
      <c r="M10728" s="504">
        <v>0</v>
      </c>
      <c r="N10728" s="504">
        <v>0</v>
      </c>
      <c r="O10728" s="505">
        <v>13</v>
      </c>
    </row>
    <row r="10729" spans="1:15" x14ac:dyDescent="0.35">
      <c r="A10729" s="500" t="s">
        <v>1501</v>
      </c>
      <c r="B10729" s="501" t="s">
        <v>2956</v>
      </c>
      <c r="C10729" s="501" t="s">
        <v>1094</v>
      </c>
      <c r="D10729" s="501" t="s">
        <v>3380</v>
      </c>
      <c r="E10729" s="501" t="s">
        <v>3381</v>
      </c>
      <c r="F10729" s="501" t="s">
        <v>2</v>
      </c>
      <c r="G10729" s="501" t="s">
        <v>3368</v>
      </c>
      <c r="H10729" s="501" t="s">
        <v>13093</v>
      </c>
      <c r="I10729" s="501">
        <v>1492</v>
      </c>
      <c r="J10729" s="501">
        <v>977</v>
      </c>
      <c r="K10729" s="501">
        <v>0</v>
      </c>
      <c r="L10729" s="501">
        <v>50</v>
      </c>
      <c r="M10729" s="501">
        <v>287</v>
      </c>
      <c r="N10729" s="501">
        <v>0</v>
      </c>
      <c r="O10729" s="506">
        <v>178</v>
      </c>
    </row>
    <row r="10730" spans="1:15" x14ac:dyDescent="0.35">
      <c r="A10730" s="503" t="s">
        <v>1501</v>
      </c>
      <c r="B10730" s="504" t="s">
        <v>2956</v>
      </c>
      <c r="C10730" s="504" t="s">
        <v>1094</v>
      </c>
      <c r="D10730" s="504" t="s">
        <v>3380</v>
      </c>
      <c r="E10730" s="504" t="s">
        <v>3381</v>
      </c>
      <c r="F10730" s="504" t="s">
        <v>416</v>
      </c>
      <c r="G10730" s="504" t="s">
        <v>3368</v>
      </c>
      <c r="H10730" s="504" t="s">
        <v>13094</v>
      </c>
      <c r="I10730" s="504">
        <v>29</v>
      </c>
      <c r="J10730" s="504">
        <v>29</v>
      </c>
      <c r="K10730" s="504">
        <v>0</v>
      </c>
      <c r="L10730" s="504">
        <v>0</v>
      </c>
      <c r="M10730" s="504">
        <v>0</v>
      </c>
      <c r="N10730" s="504">
        <v>0</v>
      </c>
      <c r="O10730" s="505">
        <v>0</v>
      </c>
    </row>
    <row r="10731" spans="1:15" x14ac:dyDescent="0.35">
      <c r="A10731" s="500" t="s">
        <v>1208</v>
      </c>
      <c r="B10731" s="501" t="s">
        <v>3096</v>
      </c>
      <c r="C10731" s="501" t="s">
        <v>1094</v>
      </c>
      <c r="D10731" s="501" t="s">
        <v>3380</v>
      </c>
      <c r="E10731" s="501" t="s">
        <v>3381</v>
      </c>
      <c r="F10731" s="501" t="s">
        <v>415</v>
      </c>
      <c r="G10731" s="501" t="s">
        <v>3368</v>
      </c>
      <c r="H10731" s="501" t="s">
        <v>13098</v>
      </c>
      <c r="I10731" s="501">
        <v>782</v>
      </c>
      <c r="J10731" s="501">
        <v>640</v>
      </c>
      <c r="K10731" s="501">
        <v>0</v>
      </c>
      <c r="L10731" s="501">
        <v>69</v>
      </c>
      <c r="M10731" s="501">
        <v>36</v>
      </c>
      <c r="N10731" s="501">
        <v>0</v>
      </c>
      <c r="O10731" s="506">
        <v>37</v>
      </c>
    </row>
    <row r="10732" spans="1:15" x14ac:dyDescent="0.35">
      <c r="A10732" s="503" t="s">
        <v>1208</v>
      </c>
      <c r="B10732" s="504" t="s">
        <v>3096</v>
      </c>
      <c r="C10732" s="504" t="s">
        <v>1094</v>
      </c>
      <c r="D10732" s="504" t="s">
        <v>3380</v>
      </c>
      <c r="E10732" s="504" t="s">
        <v>3381</v>
      </c>
      <c r="F10732" s="504" t="s">
        <v>1048</v>
      </c>
      <c r="G10732" s="504" t="s">
        <v>3368</v>
      </c>
      <c r="H10732" s="504" t="s">
        <v>14030</v>
      </c>
      <c r="I10732" s="504">
        <v>217</v>
      </c>
      <c r="J10732" s="504">
        <v>212</v>
      </c>
      <c r="K10732" s="504">
        <v>0</v>
      </c>
      <c r="L10732" s="504">
        <v>0</v>
      </c>
      <c r="M10732" s="504">
        <v>0</v>
      </c>
      <c r="N10732" s="504">
        <v>0</v>
      </c>
      <c r="O10732" s="505">
        <v>5</v>
      </c>
    </row>
    <row r="10733" spans="1:15" x14ac:dyDescent="0.35">
      <c r="A10733" s="500" t="s">
        <v>1208</v>
      </c>
      <c r="B10733" s="501" t="s">
        <v>3096</v>
      </c>
      <c r="C10733" s="501" t="s">
        <v>1094</v>
      </c>
      <c r="D10733" s="501" t="s">
        <v>3380</v>
      </c>
      <c r="E10733" s="501" t="s">
        <v>3381</v>
      </c>
      <c r="F10733" s="501" t="s">
        <v>420</v>
      </c>
      <c r="G10733" s="501" t="s">
        <v>3368</v>
      </c>
      <c r="H10733" s="501" t="s">
        <v>13096</v>
      </c>
      <c r="I10733" s="501">
        <v>62</v>
      </c>
      <c r="J10733" s="501">
        <v>62</v>
      </c>
      <c r="K10733" s="501">
        <v>0</v>
      </c>
      <c r="L10733" s="501">
        <v>0</v>
      </c>
      <c r="M10733" s="501">
        <v>0</v>
      </c>
      <c r="N10733" s="501">
        <v>0</v>
      </c>
      <c r="O10733" s="506">
        <v>0</v>
      </c>
    </row>
    <row r="10734" spans="1:15" x14ac:dyDescent="0.35">
      <c r="A10734" s="503" t="s">
        <v>1208</v>
      </c>
      <c r="B10734" s="504" t="s">
        <v>3096</v>
      </c>
      <c r="C10734" s="504" t="s">
        <v>1094</v>
      </c>
      <c r="D10734" s="504" t="s">
        <v>3380</v>
      </c>
      <c r="E10734" s="504" t="s">
        <v>3381</v>
      </c>
      <c r="F10734" s="504" t="s">
        <v>418</v>
      </c>
      <c r="G10734" s="504" t="s">
        <v>3368</v>
      </c>
      <c r="H10734" s="504" t="s">
        <v>13097</v>
      </c>
      <c r="I10734" s="504">
        <v>4017</v>
      </c>
      <c r="J10734" s="504">
        <v>3214</v>
      </c>
      <c r="K10734" s="504">
        <v>2</v>
      </c>
      <c r="L10734" s="504">
        <v>264</v>
      </c>
      <c r="M10734" s="504">
        <v>143</v>
      </c>
      <c r="N10734" s="504">
        <v>0</v>
      </c>
      <c r="O10734" s="505">
        <v>394</v>
      </c>
    </row>
    <row r="10735" spans="1:15" x14ac:dyDescent="0.35">
      <c r="A10735" s="500" t="s">
        <v>1208</v>
      </c>
      <c r="B10735" s="501" t="s">
        <v>3096</v>
      </c>
      <c r="C10735" s="501" t="s">
        <v>1094</v>
      </c>
      <c r="D10735" s="501" t="s">
        <v>3380</v>
      </c>
      <c r="E10735" s="501" t="s">
        <v>3381</v>
      </c>
      <c r="F10735" s="501" t="s">
        <v>2</v>
      </c>
      <c r="G10735" s="501" t="s">
        <v>3368</v>
      </c>
      <c r="H10735" s="501" t="s">
        <v>13099</v>
      </c>
      <c r="I10735" s="501">
        <v>63</v>
      </c>
      <c r="J10735" s="501">
        <v>63</v>
      </c>
      <c r="K10735" s="501">
        <v>0</v>
      </c>
      <c r="L10735" s="501">
        <v>0</v>
      </c>
      <c r="M10735" s="501">
        <v>0</v>
      </c>
      <c r="N10735" s="501">
        <v>0</v>
      </c>
      <c r="O10735" s="506">
        <v>0</v>
      </c>
    </row>
    <row r="10736" spans="1:15" x14ac:dyDescent="0.35">
      <c r="A10736" s="503" t="s">
        <v>1208</v>
      </c>
      <c r="B10736" s="504" t="s">
        <v>3096</v>
      </c>
      <c r="C10736" s="504" t="s">
        <v>1094</v>
      </c>
      <c r="D10736" s="504" t="s">
        <v>3380</v>
      </c>
      <c r="E10736" s="504" t="s">
        <v>3381</v>
      </c>
      <c r="F10736" s="504" t="s">
        <v>414</v>
      </c>
      <c r="G10736" s="504" t="s">
        <v>3368</v>
      </c>
      <c r="H10736" s="504" t="s">
        <v>13095</v>
      </c>
      <c r="I10736" s="504">
        <v>358</v>
      </c>
      <c r="J10736" s="504">
        <v>301</v>
      </c>
      <c r="K10736" s="504">
        <v>0</v>
      </c>
      <c r="L10736" s="504">
        <v>35</v>
      </c>
      <c r="M10736" s="504">
        <v>0</v>
      </c>
      <c r="N10736" s="504">
        <v>0</v>
      </c>
      <c r="O10736" s="505">
        <v>22</v>
      </c>
    </row>
    <row r="10737" spans="1:15" x14ac:dyDescent="0.35">
      <c r="A10737" s="500" t="s">
        <v>1116</v>
      </c>
      <c r="B10737" s="501" t="s">
        <v>3042</v>
      </c>
      <c r="C10737" s="501" t="s">
        <v>1089</v>
      </c>
      <c r="D10737" s="501" t="s">
        <v>3392</v>
      </c>
      <c r="E10737" s="501" t="s">
        <v>3381</v>
      </c>
      <c r="F10737" s="501" t="s">
        <v>2</v>
      </c>
      <c r="G10737" s="501" t="s">
        <v>3368</v>
      </c>
      <c r="H10737" s="501" t="s">
        <v>13100</v>
      </c>
      <c r="I10737" s="501">
        <v>102</v>
      </c>
      <c r="J10737" s="501">
        <v>0</v>
      </c>
      <c r="K10737" s="501">
        <v>0</v>
      </c>
      <c r="L10737" s="501">
        <v>0</v>
      </c>
      <c r="M10737" s="501">
        <v>102</v>
      </c>
      <c r="N10737" s="501">
        <v>0</v>
      </c>
      <c r="O10737" s="506">
        <v>0</v>
      </c>
    </row>
    <row r="10738" spans="1:15" x14ac:dyDescent="0.35">
      <c r="A10738" s="503" t="s">
        <v>1502</v>
      </c>
      <c r="B10738" s="504" t="s">
        <v>2777</v>
      </c>
      <c r="C10738" s="504" t="s">
        <v>1089</v>
      </c>
      <c r="D10738" s="504" t="s">
        <v>3392</v>
      </c>
      <c r="E10738" s="504" t="s">
        <v>3381</v>
      </c>
      <c r="F10738" s="504" t="s">
        <v>416</v>
      </c>
      <c r="G10738" s="504" t="s">
        <v>3368</v>
      </c>
      <c r="H10738" s="504" t="s">
        <v>13101</v>
      </c>
      <c r="I10738" s="504">
        <v>56</v>
      </c>
      <c r="J10738" s="504">
        <v>56</v>
      </c>
      <c r="K10738" s="504">
        <v>0</v>
      </c>
      <c r="L10738" s="504">
        <v>0</v>
      </c>
      <c r="M10738" s="504">
        <v>0</v>
      </c>
      <c r="N10738" s="504">
        <v>0</v>
      </c>
      <c r="O10738" s="505">
        <v>0</v>
      </c>
    </row>
    <row r="10739" spans="1:15" x14ac:dyDescent="0.35">
      <c r="A10739" s="500" t="s">
        <v>1995</v>
      </c>
      <c r="B10739" s="501" t="s">
        <v>2566</v>
      </c>
      <c r="C10739" s="501" t="s">
        <v>1089</v>
      </c>
      <c r="D10739" s="501" t="s">
        <v>3392</v>
      </c>
      <c r="E10739" s="501" t="s">
        <v>3381</v>
      </c>
      <c r="F10739" s="501" t="s">
        <v>419</v>
      </c>
      <c r="G10739" s="501" t="s">
        <v>3368</v>
      </c>
      <c r="H10739" s="501" t="s">
        <v>13102</v>
      </c>
      <c r="I10739" s="501">
        <v>43</v>
      </c>
      <c r="J10739" s="501">
        <v>0</v>
      </c>
      <c r="K10739" s="501">
        <v>0</v>
      </c>
      <c r="L10739" s="501">
        <v>0</v>
      </c>
      <c r="M10739" s="501">
        <v>43</v>
      </c>
      <c r="N10739" s="501">
        <v>0</v>
      </c>
      <c r="O10739" s="506">
        <v>0</v>
      </c>
    </row>
    <row r="10740" spans="1:15" x14ac:dyDescent="0.35">
      <c r="A10740" s="503" t="s">
        <v>1996</v>
      </c>
      <c r="B10740" s="504" t="s">
        <v>2461</v>
      </c>
      <c r="C10740" s="504" t="s">
        <v>1089</v>
      </c>
      <c r="D10740" s="504" t="s">
        <v>3392</v>
      </c>
      <c r="E10740" s="504" t="s">
        <v>3381</v>
      </c>
      <c r="F10740" s="504" t="s">
        <v>419</v>
      </c>
      <c r="G10740" s="504" t="s">
        <v>3368</v>
      </c>
      <c r="H10740" s="504" t="s">
        <v>13103</v>
      </c>
      <c r="I10740" s="504">
        <v>16</v>
      </c>
      <c r="J10740" s="504">
        <v>0</v>
      </c>
      <c r="K10740" s="504">
        <v>0</v>
      </c>
      <c r="L10740" s="504">
        <v>0</v>
      </c>
      <c r="M10740" s="504">
        <v>16</v>
      </c>
      <c r="N10740" s="504">
        <v>0</v>
      </c>
      <c r="O10740" s="505">
        <v>0</v>
      </c>
    </row>
    <row r="10741" spans="1:15" x14ac:dyDescent="0.35">
      <c r="A10741" s="500" t="s">
        <v>1209</v>
      </c>
      <c r="B10741" s="501">
        <v>4779</v>
      </c>
      <c r="C10741" s="501" t="s">
        <v>1094</v>
      </c>
      <c r="D10741" s="501" t="s">
        <v>3380</v>
      </c>
      <c r="E10741" s="501" t="s">
        <v>3381</v>
      </c>
      <c r="F10741" s="501" t="s">
        <v>2</v>
      </c>
      <c r="G10741" s="501" t="s">
        <v>3368</v>
      </c>
      <c r="H10741" s="501" t="s">
        <v>13107</v>
      </c>
      <c r="I10741" s="501">
        <v>1</v>
      </c>
      <c r="J10741" s="501">
        <v>0</v>
      </c>
      <c r="K10741" s="501">
        <v>0</v>
      </c>
      <c r="L10741" s="501">
        <v>1</v>
      </c>
      <c r="M10741" s="501">
        <v>0</v>
      </c>
      <c r="N10741" s="501">
        <v>0</v>
      </c>
      <c r="O10741" s="506">
        <v>0</v>
      </c>
    </row>
    <row r="10742" spans="1:15" x14ac:dyDescent="0.35">
      <c r="A10742" s="503" t="s">
        <v>1209</v>
      </c>
      <c r="B10742" s="504">
        <v>4779</v>
      </c>
      <c r="C10742" s="504" t="s">
        <v>1094</v>
      </c>
      <c r="D10742" s="504" t="s">
        <v>3380</v>
      </c>
      <c r="E10742" s="504" t="s">
        <v>3381</v>
      </c>
      <c r="F10742" s="504" t="s">
        <v>414</v>
      </c>
      <c r="G10742" s="504" t="s">
        <v>3368</v>
      </c>
      <c r="H10742" s="504" t="s">
        <v>13104</v>
      </c>
      <c r="I10742" s="504">
        <v>129</v>
      </c>
      <c r="J10742" s="504">
        <v>0</v>
      </c>
      <c r="K10742" s="504">
        <v>0</v>
      </c>
      <c r="L10742" s="504">
        <v>129</v>
      </c>
      <c r="M10742" s="504">
        <v>0</v>
      </c>
      <c r="N10742" s="504">
        <v>0</v>
      </c>
      <c r="O10742" s="505">
        <v>0</v>
      </c>
    </row>
    <row r="10743" spans="1:15" x14ac:dyDescent="0.35">
      <c r="A10743" s="500" t="s">
        <v>1209</v>
      </c>
      <c r="B10743" s="501">
        <v>4779</v>
      </c>
      <c r="C10743" s="501" t="s">
        <v>1094</v>
      </c>
      <c r="D10743" s="501" t="s">
        <v>3380</v>
      </c>
      <c r="E10743" s="501" t="s">
        <v>3381</v>
      </c>
      <c r="F10743" s="501" t="s">
        <v>420</v>
      </c>
      <c r="G10743" s="501" t="s">
        <v>3368</v>
      </c>
      <c r="H10743" s="501" t="s">
        <v>13109</v>
      </c>
      <c r="I10743" s="501">
        <v>35</v>
      </c>
      <c r="J10743" s="501">
        <v>0</v>
      </c>
      <c r="K10743" s="501">
        <v>0</v>
      </c>
      <c r="L10743" s="501">
        <v>35</v>
      </c>
      <c r="M10743" s="501">
        <v>0</v>
      </c>
      <c r="N10743" s="501">
        <v>0</v>
      </c>
      <c r="O10743" s="506">
        <v>0</v>
      </c>
    </row>
    <row r="10744" spans="1:15" x14ac:dyDescent="0.35">
      <c r="A10744" s="503" t="s">
        <v>1209</v>
      </c>
      <c r="B10744" s="504">
        <v>4779</v>
      </c>
      <c r="C10744" s="504" t="s">
        <v>1094</v>
      </c>
      <c r="D10744" s="504" t="s">
        <v>3380</v>
      </c>
      <c r="E10744" s="504" t="s">
        <v>3381</v>
      </c>
      <c r="F10744" s="504" t="s">
        <v>415</v>
      </c>
      <c r="G10744" s="504" t="s">
        <v>3368</v>
      </c>
      <c r="H10744" s="504" t="s">
        <v>13108</v>
      </c>
      <c r="I10744" s="504">
        <v>10</v>
      </c>
      <c r="J10744" s="504">
        <v>0</v>
      </c>
      <c r="K10744" s="504">
        <v>0</v>
      </c>
      <c r="L10744" s="504">
        <v>10</v>
      </c>
      <c r="M10744" s="504">
        <v>0</v>
      </c>
      <c r="N10744" s="504">
        <v>0</v>
      </c>
      <c r="O10744" s="505">
        <v>0</v>
      </c>
    </row>
    <row r="10745" spans="1:15" x14ac:dyDescent="0.35">
      <c r="A10745" s="500" t="s">
        <v>1209</v>
      </c>
      <c r="B10745" s="501">
        <v>4779</v>
      </c>
      <c r="C10745" s="501" t="s">
        <v>1094</v>
      </c>
      <c r="D10745" s="501" t="s">
        <v>3380</v>
      </c>
      <c r="E10745" s="501" t="s">
        <v>3381</v>
      </c>
      <c r="F10745" s="501" t="s">
        <v>417</v>
      </c>
      <c r="G10745" s="501" t="s">
        <v>3368</v>
      </c>
      <c r="H10745" s="501" t="s">
        <v>13105</v>
      </c>
      <c r="I10745" s="501">
        <v>224</v>
      </c>
      <c r="J10745" s="501">
        <v>0</v>
      </c>
      <c r="K10745" s="501">
        <v>0</v>
      </c>
      <c r="L10745" s="501">
        <v>224</v>
      </c>
      <c r="M10745" s="501">
        <v>0</v>
      </c>
      <c r="N10745" s="501">
        <v>0</v>
      </c>
      <c r="O10745" s="506">
        <v>0</v>
      </c>
    </row>
    <row r="10746" spans="1:15" x14ac:dyDescent="0.35">
      <c r="A10746" s="503" t="s">
        <v>1209</v>
      </c>
      <c r="B10746" s="504">
        <v>4779</v>
      </c>
      <c r="C10746" s="504" t="s">
        <v>1094</v>
      </c>
      <c r="D10746" s="504" t="s">
        <v>3380</v>
      </c>
      <c r="E10746" s="504" t="s">
        <v>3381</v>
      </c>
      <c r="F10746" s="504" t="s">
        <v>418</v>
      </c>
      <c r="G10746" s="504" t="s">
        <v>3368</v>
      </c>
      <c r="H10746" s="504" t="s">
        <v>13106</v>
      </c>
      <c r="I10746" s="504">
        <v>1100</v>
      </c>
      <c r="J10746" s="504">
        <v>0</v>
      </c>
      <c r="K10746" s="504">
        <v>0</v>
      </c>
      <c r="L10746" s="504">
        <v>1100</v>
      </c>
      <c r="M10746" s="504">
        <v>0</v>
      </c>
      <c r="N10746" s="504">
        <v>0</v>
      </c>
      <c r="O10746" s="505">
        <v>0</v>
      </c>
    </row>
    <row r="10747" spans="1:15" x14ac:dyDescent="0.35">
      <c r="A10747" s="500" t="s">
        <v>1209</v>
      </c>
      <c r="B10747" s="501">
        <v>4779</v>
      </c>
      <c r="C10747" s="501" t="s">
        <v>1094</v>
      </c>
      <c r="D10747" s="501" t="s">
        <v>3380</v>
      </c>
      <c r="E10747" s="501" t="s">
        <v>3381</v>
      </c>
      <c r="F10747" s="501" t="s">
        <v>1048</v>
      </c>
      <c r="G10747" s="501" t="s">
        <v>3368</v>
      </c>
      <c r="H10747" s="501" t="s">
        <v>14031</v>
      </c>
      <c r="I10747" s="501">
        <v>291</v>
      </c>
      <c r="J10747" s="501">
        <v>0</v>
      </c>
      <c r="K10747" s="501">
        <v>0</v>
      </c>
      <c r="L10747" s="501">
        <v>291</v>
      </c>
      <c r="M10747" s="501">
        <v>0</v>
      </c>
      <c r="N10747" s="501">
        <v>0</v>
      </c>
      <c r="O10747" s="506">
        <v>0</v>
      </c>
    </row>
    <row r="10748" spans="1:15" x14ac:dyDescent="0.35">
      <c r="A10748" s="503" t="s">
        <v>1210</v>
      </c>
      <c r="B10748" s="504">
        <v>4781</v>
      </c>
      <c r="C10748" s="504" t="s">
        <v>1089</v>
      </c>
      <c r="D10748" s="504" t="s">
        <v>3392</v>
      </c>
      <c r="E10748" s="504" t="s">
        <v>3381</v>
      </c>
      <c r="F10748" s="504" t="s">
        <v>416</v>
      </c>
      <c r="G10748" s="504" t="s">
        <v>3368</v>
      </c>
      <c r="H10748" s="504" t="s">
        <v>13114</v>
      </c>
      <c r="I10748" s="504">
        <v>39</v>
      </c>
      <c r="J10748" s="504">
        <v>0</v>
      </c>
      <c r="K10748" s="504">
        <v>0</v>
      </c>
      <c r="L10748" s="504">
        <v>39</v>
      </c>
      <c r="M10748" s="504">
        <v>0</v>
      </c>
      <c r="N10748" s="504">
        <v>0</v>
      </c>
      <c r="O10748" s="505">
        <v>0</v>
      </c>
    </row>
    <row r="10749" spans="1:15" x14ac:dyDescent="0.35">
      <c r="A10749" s="500" t="s">
        <v>1210</v>
      </c>
      <c r="B10749" s="501">
        <v>4781</v>
      </c>
      <c r="C10749" s="501" t="s">
        <v>1089</v>
      </c>
      <c r="D10749" s="501" t="s">
        <v>3392</v>
      </c>
      <c r="E10749" s="501" t="s">
        <v>3381</v>
      </c>
      <c r="F10749" s="501" t="s">
        <v>418</v>
      </c>
      <c r="G10749" s="501" t="s">
        <v>3368</v>
      </c>
      <c r="H10749" s="501" t="s">
        <v>13115</v>
      </c>
      <c r="I10749" s="501">
        <v>79</v>
      </c>
      <c r="J10749" s="501">
        <v>0</v>
      </c>
      <c r="K10749" s="501">
        <v>0</v>
      </c>
      <c r="L10749" s="501">
        <v>79</v>
      </c>
      <c r="M10749" s="501">
        <v>0</v>
      </c>
      <c r="N10749" s="501">
        <v>0</v>
      </c>
      <c r="O10749" s="506">
        <v>0</v>
      </c>
    </row>
    <row r="10750" spans="1:15" x14ac:dyDescent="0.35">
      <c r="A10750" s="503" t="s">
        <v>1210</v>
      </c>
      <c r="B10750" s="504">
        <v>4781</v>
      </c>
      <c r="C10750" s="504" t="s">
        <v>1089</v>
      </c>
      <c r="D10750" s="504" t="s">
        <v>3392</v>
      </c>
      <c r="E10750" s="504" t="s">
        <v>3381</v>
      </c>
      <c r="F10750" s="504" t="s">
        <v>414</v>
      </c>
      <c r="G10750" s="504" t="s">
        <v>3368</v>
      </c>
      <c r="H10750" s="504" t="s">
        <v>13112</v>
      </c>
      <c r="I10750" s="504">
        <v>107</v>
      </c>
      <c r="J10750" s="504">
        <v>0</v>
      </c>
      <c r="K10750" s="504">
        <v>0</v>
      </c>
      <c r="L10750" s="504">
        <v>107</v>
      </c>
      <c r="M10750" s="504">
        <v>0</v>
      </c>
      <c r="N10750" s="504">
        <v>0</v>
      </c>
      <c r="O10750" s="505">
        <v>0</v>
      </c>
    </row>
    <row r="10751" spans="1:15" x14ac:dyDescent="0.35">
      <c r="A10751" s="500" t="s">
        <v>1210</v>
      </c>
      <c r="B10751" s="501">
        <v>4781</v>
      </c>
      <c r="C10751" s="501" t="s">
        <v>1089</v>
      </c>
      <c r="D10751" s="501" t="s">
        <v>3392</v>
      </c>
      <c r="E10751" s="501" t="s">
        <v>3381</v>
      </c>
      <c r="F10751" s="501" t="s">
        <v>415</v>
      </c>
      <c r="G10751" s="501" t="s">
        <v>3368</v>
      </c>
      <c r="H10751" s="501" t="s">
        <v>13111</v>
      </c>
      <c r="I10751" s="501">
        <v>100</v>
      </c>
      <c r="J10751" s="501">
        <v>0</v>
      </c>
      <c r="K10751" s="501">
        <v>0</v>
      </c>
      <c r="L10751" s="501">
        <v>100</v>
      </c>
      <c r="M10751" s="501">
        <v>0</v>
      </c>
      <c r="N10751" s="501">
        <v>0</v>
      </c>
      <c r="O10751" s="506">
        <v>0</v>
      </c>
    </row>
    <row r="10752" spans="1:15" x14ac:dyDescent="0.35">
      <c r="A10752" s="503" t="s">
        <v>1210</v>
      </c>
      <c r="B10752" s="504">
        <v>4781</v>
      </c>
      <c r="C10752" s="504" t="s">
        <v>1089</v>
      </c>
      <c r="D10752" s="504" t="s">
        <v>3392</v>
      </c>
      <c r="E10752" s="504" t="s">
        <v>3381</v>
      </c>
      <c r="F10752" s="504" t="s">
        <v>420</v>
      </c>
      <c r="G10752" s="504" t="s">
        <v>3368</v>
      </c>
      <c r="H10752" s="504" t="s">
        <v>13113</v>
      </c>
      <c r="I10752" s="504">
        <v>4</v>
      </c>
      <c r="J10752" s="504">
        <v>0</v>
      </c>
      <c r="K10752" s="504">
        <v>0</v>
      </c>
      <c r="L10752" s="504">
        <v>4</v>
      </c>
      <c r="M10752" s="504">
        <v>0</v>
      </c>
      <c r="N10752" s="504">
        <v>0</v>
      </c>
      <c r="O10752" s="505">
        <v>0</v>
      </c>
    </row>
    <row r="10753" spans="1:15" x14ac:dyDescent="0.35">
      <c r="A10753" s="500" t="s">
        <v>1210</v>
      </c>
      <c r="B10753" s="501">
        <v>4781</v>
      </c>
      <c r="C10753" s="501" t="s">
        <v>1089</v>
      </c>
      <c r="D10753" s="501" t="s">
        <v>3392</v>
      </c>
      <c r="E10753" s="501" t="s">
        <v>3381</v>
      </c>
      <c r="F10753" s="501" t="s">
        <v>417</v>
      </c>
      <c r="G10753" s="501" t="s">
        <v>3368</v>
      </c>
      <c r="H10753" s="501" t="s">
        <v>13110</v>
      </c>
      <c r="I10753" s="501">
        <v>4</v>
      </c>
      <c r="J10753" s="501">
        <v>0</v>
      </c>
      <c r="K10753" s="501">
        <v>0</v>
      </c>
      <c r="L10753" s="501">
        <v>4</v>
      </c>
      <c r="M10753" s="501">
        <v>0</v>
      </c>
      <c r="N10753" s="501">
        <v>0</v>
      </c>
      <c r="O10753" s="506">
        <v>0</v>
      </c>
    </row>
    <row r="10754" spans="1:15" x14ac:dyDescent="0.35">
      <c r="A10754" s="503" t="s">
        <v>1998</v>
      </c>
      <c r="B10754" s="504" t="s">
        <v>3200</v>
      </c>
      <c r="C10754" s="504" t="s">
        <v>1094</v>
      </c>
      <c r="D10754" s="504" t="s">
        <v>3380</v>
      </c>
      <c r="E10754" s="504" t="s">
        <v>3381</v>
      </c>
      <c r="F10754" s="504" t="s">
        <v>419</v>
      </c>
      <c r="G10754" s="504" t="s">
        <v>3368</v>
      </c>
      <c r="H10754" s="504" t="s">
        <v>13116</v>
      </c>
      <c r="I10754" s="504">
        <v>6592</v>
      </c>
      <c r="J10754" s="504">
        <v>6335</v>
      </c>
      <c r="K10754" s="504">
        <v>0</v>
      </c>
      <c r="L10754" s="504">
        <v>87</v>
      </c>
      <c r="M10754" s="504">
        <v>0</v>
      </c>
      <c r="N10754" s="504">
        <v>67</v>
      </c>
      <c r="O10754" s="505">
        <v>170</v>
      </c>
    </row>
    <row r="10755" spans="1:15" x14ac:dyDescent="0.35">
      <c r="A10755" s="500" t="s">
        <v>14400</v>
      </c>
      <c r="B10755" s="501">
        <v>4727</v>
      </c>
      <c r="C10755" s="501" t="s">
        <v>1089</v>
      </c>
      <c r="D10755" s="501" t="s">
        <v>3392</v>
      </c>
      <c r="E10755" s="501" t="s">
        <v>3381</v>
      </c>
      <c r="F10755" s="501" t="s">
        <v>416</v>
      </c>
      <c r="G10755" s="501" t="s">
        <v>3368</v>
      </c>
      <c r="H10755" s="501" t="s">
        <v>15398</v>
      </c>
      <c r="I10755" s="501">
        <v>3</v>
      </c>
      <c r="J10755" s="501">
        <v>0</v>
      </c>
      <c r="K10755" s="501">
        <v>0</v>
      </c>
      <c r="L10755" s="501">
        <v>3</v>
      </c>
      <c r="M10755" s="501">
        <v>0</v>
      </c>
      <c r="N10755" s="501">
        <v>0</v>
      </c>
      <c r="O10755" s="506">
        <v>0</v>
      </c>
    </row>
    <row r="10756" spans="1:15" x14ac:dyDescent="0.35">
      <c r="A10756" s="503" t="s">
        <v>14400</v>
      </c>
      <c r="B10756" s="504">
        <v>4727</v>
      </c>
      <c r="C10756" s="504" t="s">
        <v>1089</v>
      </c>
      <c r="D10756" s="504" t="s">
        <v>3392</v>
      </c>
      <c r="E10756" s="504" t="s">
        <v>3381</v>
      </c>
      <c r="F10756" s="504" t="s">
        <v>415</v>
      </c>
      <c r="G10756" s="504" t="s">
        <v>3368</v>
      </c>
      <c r="H10756" s="504" t="s">
        <v>15399</v>
      </c>
      <c r="I10756" s="504">
        <v>35</v>
      </c>
      <c r="J10756" s="504">
        <v>0</v>
      </c>
      <c r="K10756" s="504">
        <v>0</v>
      </c>
      <c r="L10756" s="504">
        <v>35</v>
      </c>
      <c r="M10756" s="504">
        <v>0</v>
      </c>
      <c r="N10756" s="504">
        <v>0</v>
      </c>
      <c r="O10756" s="505">
        <v>0</v>
      </c>
    </row>
    <row r="10757" spans="1:15" x14ac:dyDescent="0.35">
      <c r="A10757" s="500" t="s">
        <v>14400</v>
      </c>
      <c r="B10757" s="501">
        <v>4727</v>
      </c>
      <c r="C10757" s="501" t="s">
        <v>1089</v>
      </c>
      <c r="D10757" s="501" t="s">
        <v>3392</v>
      </c>
      <c r="E10757" s="501" t="s">
        <v>3381</v>
      </c>
      <c r="F10757" s="501" t="s">
        <v>419</v>
      </c>
      <c r="G10757" s="501" t="s">
        <v>3368</v>
      </c>
      <c r="H10757" s="501" t="s">
        <v>15400</v>
      </c>
      <c r="I10757" s="501">
        <v>4</v>
      </c>
      <c r="J10757" s="501">
        <v>0</v>
      </c>
      <c r="K10757" s="501">
        <v>0</v>
      </c>
      <c r="L10757" s="501">
        <v>4</v>
      </c>
      <c r="M10757" s="501">
        <v>0</v>
      </c>
      <c r="N10757" s="501">
        <v>0</v>
      </c>
      <c r="O10757" s="506">
        <v>0</v>
      </c>
    </row>
    <row r="10758" spans="1:15" x14ac:dyDescent="0.35">
      <c r="A10758" s="503" t="s">
        <v>14400</v>
      </c>
      <c r="B10758" s="504">
        <v>4727</v>
      </c>
      <c r="C10758" s="504" t="s">
        <v>1089</v>
      </c>
      <c r="D10758" s="504" t="s">
        <v>3392</v>
      </c>
      <c r="E10758" s="504" t="s">
        <v>3381</v>
      </c>
      <c r="F10758" s="504" t="s">
        <v>2</v>
      </c>
      <c r="G10758" s="504" t="s">
        <v>3368</v>
      </c>
      <c r="H10758" s="504" t="s">
        <v>15401</v>
      </c>
      <c r="I10758" s="504">
        <v>50</v>
      </c>
      <c r="J10758" s="504">
        <v>0</v>
      </c>
      <c r="K10758" s="504">
        <v>0</v>
      </c>
      <c r="L10758" s="504">
        <v>50</v>
      </c>
      <c r="M10758" s="504">
        <v>0</v>
      </c>
      <c r="N10758" s="504">
        <v>0</v>
      </c>
      <c r="O10758" s="505">
        <v>0</v>
      </c>
    </row>
    <row r="10759" spans="1:15" x14ac:dyDescent="0.35">
      <c r="A10759" s="500" t="s">
        <v>14400</v>
      </c>
      <c r="B10759" s="501">
        <v>4727</v>
      </c>
      <c r="C10759" s="501" t="s">
        <v>1089</v>
      </c>
      <c r="D10759" s="501" t="s">
        <v>3392</v>
      </c>
      <c r="E10759" s="501" t="s">
        <v>3381</v>
      </c>
      <c r="F10759" s="501" t="s">
        <v>1048</v>
      </c>
      <c r="G10759" s="501" t="s">
        <v>3368</v>
      </c>
      <c r="H10759" s="501" t="s">
        <v>15402</v>
      </c>
      <c r="I10759" s="501">
        <v>32</v>
      </c>
      <c r="J10759" s="501">
        <v>5</v>
      </c>
      <c r="K10759" s="501">
        <v>0</v>
      </c>
      <c r="L10759" s="501">
        <v>27</v>
      </c>
      <c r="M10759" s="501">
        <v>0</v>
      </c>
      <c r="N10759" s="501">
        <v>0</v>
      </c>
      <c r="O10759" s="506">
        <v>0</v>
      </c>
    </row>
    <row r="10760" spans="1:15" x14ac:dyDescent="0.35">
      <c r="A10760" s="503" t="s">
        <v>14400</v>
      </c>
      <c r="B10760" s="504">
        <v>4727</v>
      </c>
      <c r="C10760" s="504" t="s">
        <v>1089</v>
      </c>
      <c r="D10760" s="504" t="s">
        <v>3392</v>
      </c>
      <c r="E10760" s="504" t="s">
        <v>3381</v>
      </c>
      <c r="F10760" s="504" t="s">
        <v>420</v>
      </c>
      <c r="G10760" s="504" t="s">
        <v>3368</v>
      </c>
      <c r="H10760" s="504" t="s">
        <v>15403</v>
      </c>
      <c r="I10760" s="504">
        <v>2</v>
      </c>
      <c r="J10760" s="504">
        <v>0</v>
      </c>
      <c r="K10760" s="504">
        <v>0</v>
      </c>
      <c r="L10760" s="504">
        <v>2</v>
      </c>
      <c r="M10760" s="504">
        <v>0</v>
      </c>
      <c r="N10760" s="504">
        <v>0</v>
      </c>
      <c r="O10760" s="505">
        <v>0</v>
      </c>
    </row>
    <row r="10761" spans="1:15" x14ac:dyDescent="0.35">
      <c r="A10761" s="500" t="s">
        <v>2090</v>
      </c>
      <c r="B10761" s="501" t="s">
        <v>3131</v>
      </c>
      <c r="C10761" s="501" t="s">
        <v>1094</v>
      </c>
      <c r="D10761" s="501" t="s">
        <v>3380</v>
      </c>
      <c r="E10761" s="501" t="s">
        <v>3381</v>
      </c>
      <c r="F10761" s="501" t="s">
        <v>420</v>
      </c>
      <c r="G10761" s="501" t="s">
        <v>3368</v>
      </c>
      <c r="H10761" s="501" t="s">
        <v>13117</v>
      </c>
      <c r="I10761" s="501">
        <v>1207</v>
      </c>
      <c r="J10761" s="501">
        <v>898</v>
      </c>
      <c r="K10761" s="501">
        <v>0</v>
      </c>
      <c r="L10761" s="501">
        <v>35</v>
      </c>
      <c r="M10761" s="501">
        <v>270</v>
      </c>
      <c r="N10761" s="501">
        <v>0</v>
      </c>
      <c r="O10761" s="506">
        <v>4</v>
      </c>
    </row>
    <row r="10762" spans="1:15" x14ac:dyDescent="0.35">
      <c r="A10762" s="503" t="s">
        <v>1315</v>
      </c>
      <c r="B10762" s="504">
        <v>4825</v>
      </c>
      <c r="C10762" s="504" t="s">
        <v>1094</v>
      </c>
      <c r="D10762" s="504" t="s">
        <v>3380</v>
      </c>
      <c r="E10762" s="504" t="s">
        <v>3381</v>
      </c>
      <c r="F10762" s="504" t="s">
        <v>2</v>
      </c>
      <c r="G10762" s="504" t="s">
        <v>3368</v>
      </c>
      <c r="H10762" s="504" t="s">
        <v>13120</v>
      </c>
      <c r="I10762" s="504">
        <v>321</v>
      </c>
      <c r="J10762" s="504">
        <v>72</v>
      </c>
      <c r="K10762" s="504">
        <v>0</v>
      </c>
      <c r="L10762" s="504">
        <v>0</v>
      </c>
      <c r="M10762" s="504">
        <v>0</v>
      </c>
      <c r="N10762" s="504">
        <v>0</v>
      </c>
      <c r="O10762" s="505">
        <v>249</v>
      </c>
    </row>
    <row r="10763" spans="1:15" x14ac:dyDescent="0.35">
      <c r="A10763" s="500" t="s">
        <v>1315</v>
      </c>
      <c r="B10763" s="501">
        <v>4825</v>
      </c>
      <c r="C10763" s="501" t="s">
        <v>1094</v>
      </c>
      <c r="D10763" s="501" t="s">
        <v>3380</v>
      </c>
      <c r="E10763" s="501" t="s">
        <v>3381</v>
      </c>
      <c r="F10763" s="501" t="s">
        <v>415</v>
      </c>
      <c r="G10763" s="501" t="s">
        <v>3368</v>
      </c>
      <c r="H10763" s="501" t="s">
        <v>13119</v>
      </c>
      <c r="I10763" s="501">
        <v>4404</v>
      </c>
      <c r="J10763" s="501">
        <v>3710</v>
      </c>
      <c r="K10763" s="501">
        <v>0</v>
      </c>
      <c r="L10763" s="501">
        <v>3</v>
      </c>
      <c r="M10763" s="501">
        <v>427</v>
      </c>
      <c r="N10763" s="501">
        <v>131</v>
      </c>
      <c r="O10763" s="506">
        <v>264</v>
      </c>
    </row>
    <row r="10764" spans="1:15" x14ac:dyDescent="0.35">
      <c r="A10764" s="503" t="s">
        <v>1315</v>
      </c>
      <c r="B10764" s="504">
        <v>4825</v>
      </c>
      <c r="C10764" s="504" t="s">
        <v>1094</v>
      </c>
      <c r="D10764" s="504" t="s">
        <v>3380</v>
      </c>
      <c r="E10764" s="504" t="s">
        <v>3381</v>
      </c>
      <c r="F10764" s="504" t="s">
        <v>416</v>
      </c>
      <c r="G10764" s="504" t="s">
        <v>3368</v>
      </c>
      <c r="H10764" s="504" t="s">
        <v>13118</v>
      </c>
      <c r="I10764" s="504">
        <v>12840</v>
      </c>
      <c r="J10764" s="504">
        <v>9360</v>
      </c>
      <c r="K10764" s="504">
        <v>306</v>
      </c>
      <c r="L10764" s="504">
        <v>523</v>
      </c>
      <c r="M10764" s="504">
        <v>1011</v>
      </c>
      <c r="N10764" s="504">
        <v>101</v>
      </c>
      <c r="O10764" s="505">
        <v>1640</v>
      </c>
    </row>
    <row r="10765" spans="1:15" x14ac:dyDescent="0.35">
      <c r="A10765" s="500" t="s">
        <v>1118</v>
      </c>
      <c r="B10765" s="501" t="s">
        <v>3123</v>
      </c>
      <c r="C10765" s="501" t="s">
        <v>1089</v>
      </c>
      <c r="D10765" s="501" t="s">
        <v>3392</v>
      </c>
      <c r="E10765" s="501" t="s">
        <v>3381</v>
      </c>
      <c r="F10765" s="501" t="s">
        <v>2</v>
      </c>
      <c r="G10765" s="501" t="s">
        <v>3368</v>
      </c>
      <c r="H10765" s="501" t="s">
        <v>13121</v>
      </c>
      <c r="I10765" s="501">
        <v>47</v>
      </c>
      <c r="J10765" s="501">
        <v>47</v>
      </c>
      <c r="K10765" s="501">
        <v>0</v>
      </c>
      <c r="L10765" s="501">
        <v>0</v>
      </c>
      <c r="M10765" s="501">
        <v>0</v>
      </c>
      <c r="N10765" s="501">
        <v>0</v>
      </c>
      <c r="O10765" s="506">
        <v>0</v>
      </c>
    </row>
    <row r="10766" spans="1:15" x14ac:dyDescent="0.35">
      <c r="A10766" s="503" t="s">
        <v>1503</v>
      </c>
      <c r="B10766" s="504">
        <v>4666</v>
      </c>
      <c r="C10766" s="504" t="s">
        <v>1089</v>
      </c>
      <c r="D10766" s="504" t="s">
        <v>3392</v>
      </c>
      <c r="E10766" s="504" t="s">
        <v>3381</v>
      </c>
      <c r="F10766" s="504" t="s">
        <v>419</v>
      </c>
      <c r="G10766" s="504" t="s">
        <v>3368</v>
      </c>
      <c r="H10766" s="504" t="s">
        <v>13124</v>
      </c>
      <c r="I10766" s="504">
        <v>5</v>
      </c>
      <c r="J10766" s="504">
        <v>0</v>
      </c>
      <c r="K10766" s="504">
        <v>0</v>
      </c>
      <c r="L10766" s="504">
        <v>5</v>
      </c>
      <c r="M10766" s="504">
        <v>0</v>
      </c>
      <c r="N10766" s="504">
        <v>0</v>
      </c>
      <c r="O10766" s="505">
        <v>0</v>
      </c>
    </row>
    <row r="10767" spans="1:15" x14ac:dyDescent="0.35">
      <c r="A10767" s="500" t="s">
        <v>1503</v>
      </c>
      <c r="B10767" s="501">
        <v>4666</v>
      </c>
      <c r="C10767" s="501" t="s">
        <v>1089</v>
      </c>
      <c r="D10767" s="501" t="s">
        <v>3392</v>
      </c>
      <c r="E10767" s="501" t="s">
        <v>3381</v>
      </c>
      <c r="F10767" s="501" t="s">
        <v>1048</v>
      </c>
      <c r="G10767" s="501" t="s">
        <v>3368</v>
      </c>
      <c r="H10767" s="501" t="s">
        <v>14032</v>
      </c>
      <c r="I10767" s="501">
        <v>3</v>
      </c>
      <c r="J10767" s="501">
        <v>0</v>
      </c>
      <c r="K10767" s="501">
        <v>0</v>
      </c>
      <c r="L10767" s="501">
        <v>3</v>
      </c>
      <c r="M10767" s="501">
        <v>0</v>
      </c>
      <c r="N10767" s="501">
        <v>0</v>
      </c>
      <c r="O10767" s="506">
        <v>0</v>
      </c>
    </row>
    <row r="10768" spans="1:15" x14ac:dyDescent="0.35">
      <c r="A10768" s="503" t="s">
        <v>1503</v>
      </c>
      <c r="B10768" s="504">
        <v>4666</v>
      </c>
      <c r="C10768" s="504" t="s">
        <v>1089</v>
      </c>
      <c r="D10768" s="504" t="s">
        <v>3392</v>
      </c>
      <c r="E10768" s="504" t="s">
        <v>3381</v>
      </c>
      <c r="F10768" s="504" t="s">
        <v>418</v>
      </c>
      <c r="G10768" s="504" t="s">
        <v>3368</v>
      </c>
      <c r="H10768" s="504" t="s">
        <v>13125</v>
      </c>
      <c r="I10768" s="504">
        <v>180</v>
      </c>
      <c r="J10768" s="504">
        <v>0</v>
      </c>
      <c r="K10768" s="504">
        <v>0</v>
      </c>
      <c r="L10768" s="504">
        <v>180</v>
      </c>
      <c r="M10768" s="504">
        <v>0</v>
      </c>
      <c r="N10768" s="504">
        <v>0</v>
      </c>
      <c r="O10768" s="505">
        <v>0</v>
      </c>
    </row>
    <row r="10769" spans="1:15" x14ac:dyDescent="0.35">
      <c r="A10769" s="500" t="s">
        <v>1503</v>
      </c>
      <c r="B10769" s="501">
        <v>4666</v>
      </c>
      <c r="C10769" s="501" t="s">
        <v>1089</v>
      </c>
      <c r="D10769" s="501" t="s">
        <v>3392</v>
      </c>
      <c r="E10769" s="501" t="s">
        <v>3381</v>
      </c>
      <c r="F10769" s="501" t="s">
        <v>2</v>
      </c>
      <c r="G10769" s="501" t="s">
        <v>3368</v>
      </c>
      <c r="H10769" s="501" t="s">
        <v>13126</v>
      </c>
      <c r="I10769" s="501">
        <v>3</v>
      </c>
      <c r="J10769" s="501">
        <v>0</v>
      </c>
      <c r="K10769" s="501">
        <v>0</v>
      </c>
      <c r="L10769" s="501">
        <v>3</v>
      </c>
      <c r="M10769" s="501">
        <v>0</v>
      </c>
      <c r="N10769" s="501">
        <v>0</v>
      </c>
      <c r="O10769" s="506">
        <v>0</v>
      </c>
    </row>
    <row r="10770" spans="1:15" x14ac:dyDescent="0.35">
      <c r="A10770" s="503" t="s">
        <v>1503</v>
      </c>
      <c r="B10770" s="504">
        <v>4666</v>
      </c>
      <c r="C10770" s="504" t="s">
        <v>1089</v>
      </c>
      <c r="D10770" s="504" t="s">
        <v>3392</v>
      </c>
      <c r="E10770" s="504" t="s">
        <v>3381</v>
      </c>
      <c r="F10770" s="504" t="s">
        <v>416</v>
      </c>
      <c r="G10770" s="504" t="s">
        <v>3368</v>
      </c>
      <c r="H10770" s="504" t="s">
        <v>13123</v>
      </c>
      <c r="I10770" s="504">
        <v>9</v>
      </c>
      <c r="J10770" s="504">
        <v>0</v>
      </c>
      <c r="K10770" s="504">
        <v>0</v>
      </c>
      <c r="L10770" s="504">
        <v>9</v>
      </c>
      <c r="M10770" s="504">
        <v>0</v>
      </c>
      <c r="N10770" s="504">
        <v>0</v>
      </c>
      <c r="O10770" s="505">
        <v>0</v>
      </c>
    </row>
    <row r="10771" spans="1:15" x14ac:dyDescent="0.35">
      <c r="A10771" s="500" t="s">
        <v>1503</v>
      </c>
      <c r="B10771" s="501">
        <v>4666</v>
      </c>
      <c r="C10771" s="501" t="s">
        <v>1089</v>
      </c>
      <c r="D10771" s="501" t="s">
        <v>3392</v>
      </c>
      <c r="E10771" s="501" t="s">
        <v>3381</v>
      </c>
      <c r="F10771" s="501" t="s">
        <v>420</v>
      </c>
      <c r="G10771" s="501" t="s">
        <v>3368</v>
      </c>
      <c r="H10771" s="501" t="s">
        <v>13122</v>
      </c>
      <c r="I10771" s="501">
        <v>13</v>
      </c>
      <c r="J10771" s="501">
        <v>0</v>
      </c>
      <c r="K10771" s="501">
        <v>0</v>
      </c>
      <c r="L10771" s="501">
        <v>13</v>
      </c>
      <c r="M10771" s="501">
        <v>0</v>
      </c>
      <c r="N10771" s="501">
        <v>0</v>
      </c>
      <c r="O10771" s="506">
        <v>0</v>
      </c>
    </row>
    <row r="10772" spans="1:15" x14ac:dyDescent="0.35">
      <c r="A10772" s="503" t="s">
        <v>1740</v>
      </c>
      <c r="B10772" s="504" t="s">
        <v>2771</v>
      </c>
      <c r="C10772" s="504" t="s">
        <v>1089</v>
      </c>
      <c r="D10772" s="504" t="s">
        <v>3392</v>
      </c>
      <c r="E10772" s="504" t="s">
        <v>3381</v>
      </c>
      <c r="F10772" s="504" t="s">
        <v>418</v>
      </c>
      <c r="G10772" s="504" t="s">
        <v>3368</v>
      </c>
      <c r="H10772" s="504" t="s">
        <v>13127</v>
      </c>
      <c r="I10772" s="504">
        <v>85</v>
      </c>
      <c r="J10772" s="504">
        <v>85</v>
      </c>
      <c r="K10772" s="504">
        <v>0</v>
      </c>
      <c r="L10772" s="504">
        <v>0</v>
      </c>
      <c r="M10772" s="504">
        <v>0</v>
      </c>
      <c r="N10772" s="504">
        <v>0</v>
      </c>
      <c r="O10772" s="505">
        <v>0</v>
      </c>
    </row>
    <row r="10773" spans="1:15" x14ac:dyDescent="0.35">
      <c r="A10773" s="500" t="s">
        <v>1643</v>
      </c>
      <c r="B10773" s="501" t="s">
        <v>2776</v>
      </c>
      <c r="C10773" s="501" t="s">
        <v>1089</v>
      </c>
      <c r="D10773" s="501" t="s">
        <v>3392</v>
      </c>
      <c r="E10773" s="501" t="s">
        <v>3381</v>
      </c>
      <c r="F10773" s="501" t="s">
        <v>417</v>
      </c>
      <c r="G10773" s="501" t="s">
        <v>3368</v>
      </c>
      <c r="H10773" s="501" t="s">
        <v>13128</v>
      </c>
      <c r="I10773" s="501">
        <v>8</v>
      </c>
      <c r="J10773" s="501">
        <v>8</v>
      </c>
      <c r="K10773" s="501">
        <v>0</v>
      </c>
      <c r="L10773" s="501">
        <v>0</v>
      </c>
      <c r="M10773" s="501">
        <v>0</v>
      </c>
      <c r="N10773" s="501">
        <v>0</v>
      </c>
      <c r="O10773" s="506">
        <v>0</v>
      </c>
    </row>
    <row r="10774" spans="1:15" x14ac:dyDescent="0.35">
      <c r="A10774" s="503" t="s">
        <v>2091</v>
      </c>
      <c r="B10774" s="504" t="s">
        <v>2858</v>
      </c>
      <c r="C10774" s="504" t="s">
        <v>1089</v>
      </c>
      <c r="D10774" s="504" t="s">
        <v>3392</v>
      </c>
      <c r="E10774" s="504" t="s">
        <v>3381</v>
      </c>
      <c r="F10774" s="504" t="s">
        <v>420</v>
      </c>
      <c r="G10774" s="504" t="s">
        <v>3368</v>
      </c>
      <c r="H10774" s="504" t="s">
        <v>13129</v>
      </c>
      <c r="I10774" s="504">
        <v>106</v>
      </c>
      <c r="J10774" s="504">
        <v>52</v>
      </c>
      <c r="K10774" s="504">
        <v>0</v>
      </c>
      <c r="L10774" s="504">
        <v>4</v>
      </c>
      <c r="M10774" s="504">
        <v>50</v>
      </c>
      <c r="N10774" s="504">
        <v>0</v>
      </c>
      <c r="O10774" s="505">
        <v>0</v>
      </c>
    </row>
    <row r="10775" spans="1:15" x14ac:dyDescent="0.35">
      <c r="A10775" s="500" t="s">
        <v>1504</v>
      </c>
      <c r="B10775" s="501" t="s">
        <v>2680</v>
      </c>
      <c r="C10775" s="501" t="s">
        <v>1089</v>
      </c>
      <c r="D10775" s="501" t="s">
        <v>3392</v>
      </c>
      <c r="E10775" s="501" t="s">
        <v>3381</v>
      </c>
      <c r="F10775" s="501" t="s">
        <v>416</v>
      </c>
      <c r="G10775" s="501" t="s">
        <v>3368</v>
      </c>
      <c r="H10775" s="501" t="s">
        <v>13130</v>
      </c>
      <c r="I10775" s="501">
        <v>82</v>
      </c>
      <c r="J10775" s="501">
        <v>82</v>
      </c>
      <c r="K10775" s="501">
        <v>0</v>
      </c>
      <c r="L10775" s="501">
        <v>0</v>
      </c>
      <c r="M10775" s="501">
        <v>0</v>
      </c>
      <c r="N10775" s="501">
        <v>0</v>
      </c>
      <c r="O10775" s="506">
        <v>0</v>
      </c>
    </row>
    <row r="10776" spans="1:15" x14ac:dyDescent="0.35">
      <c r="A10776" s="503" t="s">
        <v>1505</v>
      </c>
      <c r="B10776" s="504" t="s">
        <v>2752</v>
      </c>
      <c r="C10776" s="504" t="s">
        <v>1089</v>
      </c>
      <c r="D10776" s="504" t="s">
        <v>3392</v>
      </c>
      <c r="E10776" s="504" t="s">
        <v>3381</v>
      </c>
      <c r="F10776" s="504" t="s">
        <v>416</v>
      </c>
      <c r="G10776" s="504" t="s">
        <v>3368</v>
      </c>
      <c r="H10776" s="504" t="s">
        <v>13131</v>
      </c>
      <c r="I10776" s="504">
        <v>27</v>
      </c>
      <c r="J10776" s="504">
        <v>0</v>
      </c>
      <c r="K10776" s="504">
        <v>0</v>
      </c>
      <c r="L10776" s="504">
        <v>0</v>
      </c>
      <c r="M10776" s="504">
        <v>27</v>
      </c>
      <c r="N10776" s="504">
        <v>0</v>
      </c>
      <c r="O10776" s="505">
        <v>0</v>
      </c>
    </row>
    <row r="10777" spans="1:15" x14ac:dyDescent="0.35">
      <c r="A10777" s="500" t="s">
        <v>1644</v>
      </c>
      <c r="B10777" s="501">
        <v>4763</v>
      </c>
      <c r="C10777" s="501" t="s">
        <v>1089</v>
      </c>
      <c r="D10777" s="501" t="s">
        <v>3392</v>
      </c>
      <c r="E10777" s="501" t="s">
        <v>3381</v>
      </c>
      <c r="F10777" s="501" t="s">
        <v>417</v>
      </c>
      <c r="G10777" s="501" t="s">
        <v>3368</v>
      </c>
      <c r="H10777" s="501" t="s">
        <v>13132</v>
      </c>
      <c r="I10777" s="501">
        <v>123</v>
      </c>
      <c r="J10777" s="501">
        <v>12</v>
      </c>
      <c r="K10777" s="501">
        <v>0</v>
      </c>
      <c r="L10777" s="501">
        <v>65</v>
      </c>
      <c r="M10777" s="501">
        <v>46</v>
      </c>
      <c r="N10777" s="501">
        <v>0</v>
      </c>
      <c r="O10777" s="506">
        <v>0</v>
      </c>
    </row>
    <row r="10778" spans="1:15" x14ac:dyDescent="0.35">
      <c r="A10778" s="503" t="s">
        <v>1506</v>
      </c>
      <c r="B10778" s="504" t="s">
        <v>3318</v>
      </c>
      <c r="C10778" s="504" t="s">
        <v>1089</v>
      </c>
      <c r="D10778" s="504" t="s">
        <v>3392</v>
      </c>
      <c r="E10778" s="504" t="s">
        <v>3381</v>
      </c>
      <c r="F10778" s="504" t="s">
        <v>416</v>
      </c>
      <c r="G10778" s="504" t="s">
        <v>3368</v>
      </c>
      <c r="H10778" s="504" t="s">
        <v>13133</v>
      </c>
      <c r="I10778" s="504">
        <v>496</v>
      </c>
      <c r="J10778" s="504">
        <v>443</v>
      </c>
      <c r="K10778" s="504">
        <v>0</v>
      </c>
      <c r="L10778" s="504">
        <v>0</v>
      </c>
      <c r="M10778" s="504">
        <v>53</v>
      </c>
      <c r="N10778" s="504">
        <v>35</v>
      </c>
      <c r="O10778" s="505">
        <v>0</v>
      </c>
    </row>
    <row r="10779" spans="1:15" x14ac:dyDescent="0.35">
      <c r="A10779" s="500" t="s">
        <v>1211</v>
      </c>
      <c r="B10779" s="501" t="s">
        <v>3022</v>
      </c>
      <c r="C10779" s="501" t="s">
        <v>1089</v>
      </c>
      <c r="D10779" s="501" t="s">
        <v>3392</v>
      </c>
      <c r="E10779" s="501" t="s">
        <v>3381</v>
      </c>
      <c r="F10779" s="501" t="s">
        <v>414</v>
      </c>
      <c r="G10779" s="501" t="s">
        <v>3368</v>
      </c>
      <c r="H10779" s="501" t="s">
        <v>13134</v>
      </c>
      <c r="I10779" s="501">
        <v>28</v>
      </c>
      <c r="J10779" s="501">
        <v>0</v>
      </c>
      <c r="K10779" s="501">
        <v>0</v>
      </c>
      <c r="L10779" s="501">
        <v>0</v>
      </c>
      <c r="M10779" s="501">
        <v>28</v>
      </c>
      <c r="N10779" s="501">
        <v>0</v>
      </c>
      <c r="O10779" s="506">
        <v>0</v>
      </c>
    </row>
    <row r="10780" spans="1:15" x14ac:dyDescent="0.35">
      <c r="A10780" s="503" t="s">
        <v>1741</v>
      </c>
      <c r="B10780" s="504" t="s">
        <v>2713</v>
      </c>
      <c r="C10780" s="504" t="s">
        <v>1089</v>
      </c>
      <c r="D10780" s="504" t="s">
        <v>3392</v>
      </c>
      <c r="E10780" s="504" t="s">
        <v>3381</v>
      </c>
      <c r="F10780" s="504" t="s">
        <v>418</v>
      </c>
      <c r="G10780" s="504" t="s">
        <v>3368</v>
      </c>
      <c r="H10780" s="504" t="s">
        <v>13135</v>
      </c>
      <c r="I10780" s="504">
        <v>90</v>
      </c>
      <c r="J10780" s="504">
        <v>90</v>
      </c>
      <c r="K10780" s="504">
        <v>0</v>
      </c>
      <c r="L10780" s="504">
        <v>0</v>
      </c>
      <c r="M10780" s="504">
        <v>0</v>
      </c>
      <c r="N10780" s="504">
        <v>0</v>
      </c>
      <c r="O10780" s="505">
        <v>0</v>
      </c>
    </row>
    <row r="10781" spans="1:15" x14ac:dyDescent="0.35">
      <c r="A10781" s="500" t="s">
        <v>1316</v>
      </c>
      <c r="B10781" s="501" t="s">
        <v>2949</v>
      </c>
      <c r="C10781" s="501" t="s">
        <v>1094</v>
      </c>
      <c r="D10781" s="501" t="s">
        <v>3380</v>
      </c>
      <c r="E10781" s="501" t="s">
        <v>3381</v>
      </c>
      <c r="F10781" s="501" t="s">
        <v>416</v>
      </c>
      <c r="G10781" s="501" t="s">
        <v>3368</v>
      </c>
      <c r="H10781" s="501" t="s">
        <v>13136</v>
      </c>
      <c r="I10781" s="501">
        <v>7241</v>
      </c>
      <c r="J10781" s="501">
        <v>5124</v>
      </c>
      <c r="K10781" s="501">
        <v>268</v>
      </c>
      <c r="L10781" s="501">
        <v>394</v>
      </c>
      <c r="M10781" s="501">
        <v>193</v>
      </c>
      <c r="N10781" s="501">
        <v>2</v>
      </c>
      <c r="O10781" s="506">
        <v>1262</v>
      </c>
    </row>
    <row r="10782" spans="1:15" x14ac:dyDescent="0.35">
      <c r="A10782" s="503" t="s">
        <v>11431</v>
      </c>
      <c r="B10782" s="504" t="s">
        <v>11456</v>
      </c>
      <c r="C10782" s="504" t="s">
        <v>1089</v>
      </c>
      <c r="D10782" s="504" t="s">
        <v>3392</v>
      </c>
      <c r="E10782" s="504" t="s">
        <v>3381</v>
      </c>
      <c r="F10782" s="504" t="s">
        <v>420</v>
      </c>
      <c r="G10782" s="504" t="s">
        <v>3368</v>
      </c>
      <c r="H10782" s="504" t="s">
        <v>13137</v>
      </c>
      <c r="I10782" s="504">
        <v>28</v>
      </c>
      <c r="J10782" s="504">
        <v>0</v>
      </c>
      <c r="K10782" s="504">
        <v>0</v>
      </c>
      <c r="L10782" s="504">
        <v>0</v>
      </c>
      <c r="M10782" s="504">
        <v>28</v>
      </c>
      <c r="N10782" s="504">
        <v>0</v>
      </c>
      <c r="O10782" s="505">
        <v>0</v>
      </c>
    </row>
    <row r="10783" spans="1:15" x14ac:dyDescent="0.35">
      <c r="A10783" s="500" t="s">
        <v>1507</v>
      </c>
      <c r="B10783" s="501" t="s">
        <v>2712</v>
      </c>
      <c r="C10783" s="501" t="s">
        <v>1089</v>
      </c>
      <c r="D10783" s="501" t="s">
        <v>3392</v>
      </c>
      <c r="E10783" s="501" t="s">
        <v>3381</v>
      </c>
      <c r="F10783" s="501" t="s">
        <v>416</v>
      </c>
      <c r="G10783" s="501" t="s">
        <v>3368</v>
      </c>
      <c r="H10783" s="501" t="s">
        <v>13138</v>
      </c>
      <c r="I10783" s="501">
        <v>106</v>
      </c>
      <c r="J10783" s="501">
        <v>106</v>
      </c>
      <c r="K10783" s="501">
        <v>0</v>
      </c>
      <c r="L10783" s="501">
        <v>0</v>
      </c>
      <c r="M10783" s="501">
        <v>0</v>
      </c>
      <c r="N10783" s="501">
        <v>0</v>
      </c>
      <c r="O10783" s="506">
        <v>0</v>
      </c>
    </row>
    <row r="10784" spans="1:15" x14ac:dyDescent="0.35">
      <c r="A10784" s="503" t="s">
        <v>1997</v>
      </c>
      <c r="B10784" s="504" t="s">
        <v>3340</v>
      </c>
      <c r="C10784" s="504" t="s">
        <v>1094</v>
      </c>
      <c r="D10784" s="504" t="s">
        <v>3380</v>
      </c>
      <c r="E10784" s="504" t="s">
        <v>3381</v>
      </c>
      <c r="F10784" s="504" t="s">
        <v>419</v>
      </c>
      <c r="G10784" s="504" t="s">
        <v>3368</v>
      </c>
      <c r="H10784" s="504" t="s">
        <v>13139</v>
      </c>
      <c r="I10784" s="504">
        <v>3326</v>
      </c>
      <c r="J10784" s="504">
        <v>2710</v>
      </c>
      <c r="K10784" s="504">
        <v>0</v>
      </c>
      <c r="L10784" s="504">
        <v>0</v>
      </c>
      <c r="M10784" s="504">
        <v>541</v>
      </c>
      <c r="N10784" s="504">
        <v>3</v>
      </c>
      <c r="O10784" s="505">
        <v>75</v>
      </c>
    </row>
    <row r="10785" spans="1:15" x14ac:dyDescent="0.35">
      <c r="A10785" s="500" t="s">
        <v>14403</v>
      </c>
      <c r="B10785" s="501" t="s">
        <v>2880</v>
      </c>
      <c r="C10785" s="501" t="s">
        <v>1089</v>
      </c>
      <c r="D10785" s="501" t="s">
        <v>3392</v>
      </c>
      <c r="E10785" s="501" t="s">
        <v>3381</v>
      </c>
      <c r="F10785" s="501" t="s">
        <v>417</v>
      </c>
      <c r="G10785" s="501" t="s">
        <v>3368</v>
      </c>
      <c r="H10785" s="501" t="s">
        <v>15404</v>
      </c>
      <c r="I10785" s="501">
        <v>226</v>
      </c>
      <c r="J10785" s="501">
        <v>17</v>
      </c>
      <c r="K10785" s="501">
        <v>125</v>
      </c>
      <c r="L10785" s="501">
        <v>84</v>
      </c>
      <c r="M10785" s="501">
        <v>0</v>
      </c>
      <c r="N10785" s="501">
        <v>0</v>
      </c>
      <c r="O10785" s="506">
        <v>0</v>
      </c>
    </row>
    <row r="10786" spans="1:15" x14ac:dyDescent="0.35">
      <c r="A10786" s="503" t="s">
        <v>1508</v>
      </c>
      <c r="B10786" s="504" t="s">
        <v>3307</v>
      </c>
      <c r="C10786" s="504" t="s">
        <v>1089</v>
      </c>
      <c r="D10786" s="504" t="s">
        <v>3380</v>
      </c>
      <c r="E10786" s="504" t="s">
        <v>3381</v>
      </c>
      <c r="F10786" s="504" t="s">
        <v>416</v>
      </c>
      <c r="G10786" s="504" t="s">
        <v>3368</v>
      </c>
      <c r="H10786" s="504" t="s">
        <v>13140</v>
      </c>
      <c r="I10786" s="504">
        <v>1018</v>
      </c>
      <c r="J10786" s="504">
        <v>970</v>
      </c>
      <c r="K10786" s="504">
        <v>0</v>
      </c>
      <c r="L10786" s="504">
        <v>0</v>
      </c>
      <c r="M10786" s="504">
        <v>0</v>
      </c>
      <c r="N10786" s="504">
        <v>0</v>
      </c>
      <c r="O10786" s="505">
        <v>48</v>
      </c>
    </row>
    <row r="10787" spans="1:15" x14ac:dyDescent="0.35">
      <c r="A10787" s="500" t="s">
        <v>1645</v>
      </c>
      <c r="B10787" s="501" t="s">
        <v>3239</v>
      </c>
      <c r="C10787" s="501" t="s">
        <v>1094</v>
      </c>
      <c r="D10787" s="501" t="s">
        <v>3380</v>
      </c>
      <c r="E10787" s="501" t="s">
        <v>3381</v>
      </c>
      <c r="F10787" s="501" t="s">
        <v>1048</v>
      </c>
      <c r="G10787" s="501" t="s">
        <v>3368</v>
      </c>
      <c r="H10787" s="501" t="s">
        <v>14033</v>
      </c>
      <c r="I10787" s="501">
        <v>96</v>
      </c>
      <c r="J10787" s="501">
        <v>90</v>
      </c>
      <c r="K10787" s="501">
        <v>0</v>
      </c>
      <c r="L10787" s="501">
        <v>6</v>
      </c>
      <c r="M10787" s="501">
        <v>0</v>
      </c>
      <c r="N10787" s="501">
        <v>0</v>
      </c>
      <c r="O10787" s="506">
        <v>0</v>
      </c>
    </row>
    <row r="10788" spans="1:15" x14ac:dyDescent="0.35">
      <c r="A10788" s="503" t="s">
        <v>1645</v>
      </c>
      <c r="B10788" s="504" t="s">
        <v>3239</v>
      </c>
      <c r="C10788" s="504" t="s">
        <v>1094</v>
      </c>
      <c r="D10788" s="504" t="s">
        <v>3380</v>
      </c>
      <c r="E10788" s="504" t="s">
        <v>3381</v>
      </c>
      <c r="F10788" s="504" t="s">
        <v>417</v>
      </c>
      <c r="G10788" s="504" t="s">
        <v>3368</v>
      </c>
      <c r="H10788" s="504" t="s">
        <v>13141</v>
      </c>
      <c r="I10788" s="504">
        <v>3665</v>
      </c>
      <c r="J10788" s="504">
        <v>3047</v>
      </c>
      <c r="K10788" s="504">
        <v>0</v>
      </c>
      <c r="L10788" s="504">
        <v>397</v>
      </c>
      <c r="M10788" s="504">
        <v>193</v>
      </c>
      <c r="N10788" s="504">
        <v>0</v>
      </c>
      <c r="O10788" s="505">
        <v>28</v>
      </c>
    </row>
    <row r="10789" spans="1:15" x14ac:dyDescent="0.35">
      <c r="A10789" s="500" t="s">
        <v>1212</v>
      </c>
      <c r="B10789" s="501" t="s">
        <v>3139</v>
      </c>
      <c r="C10789" s="501" t="s">
        <v>1089</v>
      </c>
      <c r="D10789" s="501" t="s">
        <v>3392</v>
      </c>
      <c r="E10789" s="501" t="s">
        <v>3381</v>
      </c>
      <c r="F10789" s="501" t="s">
        <v>414</v>
      </c>
      <c r="G10789" s="501" t="s">
        <v>3368</v>
      </c>
      <c r="H10789" s="501" t="s">
        <v>13142</v>
      </c>
      <c r="I10789" s="501">
        <v>336</v>
      </c>
      <c r="J10789" s="501">
        <v>336</v>
      </c>
      <c r="K10789" s="501">
        <v>0</v>
      </c>
      <c r="L10789" s="501">
        <v>0</v>
      </c>
      <c r="M10789" s="501">
        <v>0</v>
      </c>
      <c r="N10789" s="501">
        <v>0</v>
      </c>
      <c r="O10789" s="506">
        <v>0</v>
      </c>
    </row>
    <row r="10790" spans="1:15" x14ac:dyDescent="0.35">
      <c r="A10790" s="503" t="s">
        <v>1868</v>
      </c>
      <c r="B10790" s="504" t="s">
        <v>2521</v>
      </c>
      <c r="C10790" s="504" t="s">
        <v>1089</v>
      </c>
      <c r="D10790" s="504" t="s">
        <v>3392</v>
      </c>
      <c r="E10790" s="504" t="s">
        <v>3381</v>
      </c>
      <c r="F10790" s="504" t="s">
        <v>2</v>
      </c>
      <c r="G10790" s="504" t="s">
        <v>3368</v>
      </c>
      <c r="H10790" s="504" t="s">
        <v>13143</v>
      </c>
      <c r="I10790" s="504">
        <v>7</v>
      </c>
      <c r="J10790" s="504">
        <v>0</v>
      </c>
      <c r="K10790" s="504">
        <v>0</v>
      </c>
      <c r="L10790" s="504">
        <v>0</v>
      </c>
      <c r="M10790" s="504">
        <v>7</v>
      </c>
      <c r="N10790" s="504">
        <v>0</v>
      </c>
      <c r="O10790" s="505">
        <v>0</v>
      </c>
    </row>
    <row r="10791" spans="1:15" x14ac:dyDescent="0.35">
      <c r="A10791" s="500" t="s">
        <v>1213</v>
      </c>
      <c r="B10791" s="501">
        <v>4676</v>
      </c>
      <c r="C10791" s="501" t="s">
        <v>1089</v>
      </c>
      <c r="D10791" s="501" t="s">
        <v>3392</v>
      </c>
      <c r="E10791" s="501" t="s">
        <v>3381</v>
      </c>
      <c r="F10791" s="501" t="s">
        <v>414</v>
      </c>
      <c r="G10791" s="501" t="s">
        <v>3368</v>
      </c>
      <c r="H10791" s="501" t="s">
        <v>13144</v>
      </c>
      <c r="I10791" s="501">
        <v>20</v>
      </c>
      <c r="J10791" s="501">
        <v>0</v>
      </c>
      <c r="K10791" s="501">
        <v>0</v>
      </c>
      <c r="L10791" s="501">
        <v>20</v>
      </c>
      <c r="M10791" s="501">
        <v>0</v>
      </c>
      <c r="N10791" s="501">
        <v>0</v>
      </c>
      <c r="O10791" s="506">
        <v>0</v>
      </c>
    </row>
    <row r="10792" spans="1:15" x14ac:dyDescent="0.35">
      <c r="A10792" s="503" t="s">
        <v>1317</v>
      </c>
      <c r="B10792" s="504" t="s">
        <v>2444</v>
      </c>
      <c r="C10792" s="504" t="s">
        <v>1089</v>
      </c>
      <c r="D10792" s="504" t="s">
        <v>3392</v>
      </c>
      <c r="E10792" s="504" t="s">
        <v>3381</v>
      </c>
      <c r="F10792" s="504" t="s">
        <v>415</v>
      </c>
      <c r="G10792" s="504" t="s">
        <v>3368</v>
      </c>
      <c r="H10792" s="504" t="s">
        <v>13145</v>
      </c>
      <c r="I10792" s="504">
        <v>69</v>
      </c>
      <c r="J10792" s="504">
        <v>0</v>
      </c>
      <c r="K10792" s="504">
        <v>0</v>
      </c>
      <c r="L10792" s="504">
        <v>12</v>
      </c>
      <c r="M10792" s="504">
        <v>57</v>
      </c>
      <c r="N10792" s="504">
        <v>0</v>
      </c>
      <c r="O10792" s="505">
        <v>0</v>
      </c>
    </row>
    <row r="10793" spans="1:15" x14ac:dyDescent="0.35">
      <c r="A10793" s="500" t="s">
        <v>1318</v>
      </c>
      <c r="B10793" s="501" t="s">
        <v>3052</v>
      </c>
      <c r="C10793" s="501" t="s">
        <v>1089</v>
      </c>
      <c r="D10793" s="501" t="s">
        <v>3392</v>
      </c>
      <c r="E10793" s="501" t="s">
        <v>3381</v>
      </c>
      <c r="F10793" s="501" t="s">
        <v>415</v>
      </c>
      <c r="G10793" s="501" t="s">
        <v>3368</v>
      </c>
      <c r="H10793" s="501" t="s">
        <v>13146</v>
      </c>
      <c r="I10793" s="501">
        <v>291</v>
      </c>
      <c r="J10793" s="501">
        <v>12</v>
      </c>
      <c r="K10793" s="501">
        <v>0</v>
      </c>
      <c r="L10793" s="501">
        <v>0</v>
      </c>
      <c r="M10793" s="501">
        <v>279</v>
      </c>
      <c r="N10793" s="501">
        <v>6</v>
      </c>
      <c r="O10793" s="506">
        <v>0</v>
      </c>
    </row>
    <row r="10794" spans="1:15" x14ac:dyDescent="0.35">
      <c r="A10794" s="503" t="s">
        <v>1509</v>
      </c>
      <c r="B10794" s="504" t="s">
        <v>2763</v>
      </c>
      <c r="C10794" s="504" t="s">
        <v>1089</v>
      </c>
      <c r="D10794" s="504" t="s">
        <v>3392</v>
      </c>
      <c r="E10794" s="504" t="s">
        <v>3381</v>
      </c>
      <c r="F10794" s="504" t="s">
        <v>416</v>
      </c>
      <c r="G10794" s="504" t="s">
        <v>3368</v>
      </c>
      <c r="H10794" s="504" t="s">
        <v>13147</v>
      </c>
      <c r="I10794" s="504">
        <v>17</v>
      </c>
      <c r="J10794" s="504">
        <v>17</v>
      </c>
      <c r="K10794" s="504">
        <v>0</v>
      </c>
      <c r="L10794" s="504">
        <v>0</v>
      </c>
      <c r="M10794" s="504">
        <v>0</v>
      </c>
      <c r="N10794" s="504">
        <v>0</v>
      </c>
      <c r="O10794" s="505">
        <v>0</v>
      </c>
    </row>
    <row r="10795" spans="1:15" x14ac:dyDescent="0.35">
      <c r="A10795" s="500" t="s">
        <v>1319</v>
      </c>
      <c r="B10795" s="501">
        <v>4880</v>
      </c>
      <c r="C10795" s="501" t="s">
        <v>1094</v>
      </c>
      <c r="D10795" s="501" t="s">
        <v>3380</v>
      </c>
      <c r="E10795" s="501" t="s">
        <v>3381</v>
      </c>
      <c r="F10795" s="501" t="s">
        <v>416</v>
      </c>
      <c r="G10795" s="501" t="s">
        <v>3368</v>
      </c>
      <c r="H10795" s="501" t="s">
        <v>13149</v>
      </c>
      <c r="I10795" s="501">
        <v>40715</v>
      </c>
      <c r="J10795" s="501">
        <v>33175</v>
      </c>
      <c r="K10795" s="501">
        <v>1293</v>
      </c>
      <c r="L10795" s="501">
        <v>2333</v>
      </c>
      <c r="M10795" s="501">
        <v>1372</v>
      </c>
      <c r="N10795" s="501">
        <v>123</v>
      </c>
      <c r="O10795" s="506">
        <v>2542</v>
      </c>
    </row>
    <row r="10796" spans="1:15" x14ac:dyDescent="0.35">
      <c r="A10796" s="503" t="s">
        <v>1319</v>
      </c>
      <c r="B10796" s="504">
        <v>4880</v>
      </c>
      <c r="C10796" s="504" t="s">
        <v>1094</v>
      </c>
      <c r="D10796" s="504" t="s">
        <v>3380</v>
      </c>
      <c r="E10796" s="504" t="s">
        <v>3381</v>
      </c>
      <c r="F10796" s="504" t="s">
        <v>2</v>
      </c>
      <c r="G10796" s="504" t="s">
        <v>3368</v>
      </c>
      <c r="H10796" s="504" t="s">
        <v>13148</v>
      </c>
      <c r="I10796" s="504">
        <v>139</v>
      </c>
      <c r="J10796" s="504">
        <v>23</v>
      </c>
      <c r="K10796" s="504">
        <v>0</v>
      </c>
      <c r="L10796" s="504">
        <v>0</v>
      </c>
      <c r="M10796" s="504">
        <v>35</v>
      </c>
      <c r="N10796" s="504">
        <v>2</v>
      </c>
      <c r="O10796" s="505">
        <v>81</v>
      </c>
    </row>
    <row r="10797" spans="1:15" x14ac:dyDescent="0.35">
      <c r="A10797" s="500" t="s">
        <v>1319</v>
      </c>
      <c r="B10797" s="501">
        <v>4880</v>
      </c>
      <c r="C10797" s="501" t="s">
        <v>1094</v>
      </c>
      <c r="D10797" s="501" t="s">
        <v>3380</v>
      </c>
      <c r="E10797" s="501" t="s">
        <v>3381</v>
      </c>
      <c r="F10797" s="501" t="s">
        <v>415</v>
      </c>
      <c r="G10797" s="501" t="s">
        <v>3368</v>
      </c>
      <c r="H10797" s="501" t="s">
        <v>13150</v>
      </c>
      <c r="I10797" s="501">
        <v>4939</v>
      </c>
      <c r="J10797" s="501">
        <v>2820</v>
      </c>
      <c r="K10797" s="501">
        <v>44</v>
      </c>
      <c r="L10797" s="501">
        <v>458</v>
      </c>
      <c r="M10797" s="501">
        <v>584</v>
      </c>
      <c r="N10797" s="501">
        <v>20</v>
      </c>
      <c r="O10797" s="506">
        <v>1033</v>
      </c>
    </row>
    <row r="10798" spans="1:15" x14ac:dyDescent="0.35">
      <c r="A10798" s="503" t="s">
        <v>1120</v>
      </c>
      <c r="B10798" s="504" t="s">
        <v>3362</v>
      </c>
      <c r="C10798" s="504" t="s">
        <v>1094</v>
      </c>
      <c r="D10798" s="504" t="s">
        <v>3380</v>
      </c>
      <c r="E10798" s="504" t="s">
        <v>3381</v>
      </c>
      <c r="F10798" s="504" t="s">
        <v>419</v>
      </c>
      <c r="G10798" s="504" t="s">
        <v>3368</v>
      </c>
      <c r="H10798" s="504" t="s">
        <v>13155</v>
      </c>
      <c r="I10798" s="504">
        <v>7</v>
      </c>
      <c r="J10798" s="504">
        <v>0</v>
      </c>
      <c r="K10798" s="504">
        <v>0</v>
      </c>
      <c r="L10798" s="504">
        <v>0</v>
      </c>
      <c r="M10798" s="504">
        <v>0</v>
      </c>
      <c r="N10798" s="504">
        <v>0</v>
      </c>
      <c r="O10798" s="505">
        <v>7</v>
      </c>
    </row>
    <row r="10799" spans="1:15" x14ac:dyDescent="0.35">
      <c r="A10799" s="500" t="s">
        <v>1120</v>
      </c>
      <c r="B10799" s="501" t="s">
        <v>3362</v>
      </c>
      <c r="C10799" s="501" t="s">
        <v>1094</v>
      </c>
      <c r="D10799" s="501" t="s">
        <v>3380</v>
      </c>
      <c r="E10799" s="501" t="s">
        <v>3381</v>
      </c>
      <c r="F10799" s="501" t="s">
        <v>1048</v>
      </c>
      <c r="G10799" s="501" t="s">
        <v>3368</v>
      </c>
      <c r="H10799" s="501" t="s">
        <v>14034</v>
      </c>
      <c r="I10799" s="501">
        <v>1</v>
      </c>
      <c r="J10799" s="501">
        <v>0</v>
      </c>
      <c r="K10799" s="501">
        <v>0</v>
      </c>
      <c r="L10799" s="501">
        <v>0</v>
      </c>
      <c r="M10799" s="501">
        <v>0</v>
      </c>
      <c r="N10799" s="501">
        <v>0</v>
      </c>
      <c r="O10799" s="506">
        <v>1</v>
      </c>
    </row>
    <row r="10800" spans="1:15" x14ac:dyDescent="0.35">
      <c r="A10800" s="503" t="s">
        <v>1120</v>
      </c>
      <c r="B10800" s="504" t="s">
        <v>3362</v>
      </c>
      <c r="C10800" s="504" t="s">
        <v>1094</v>
      </c>
      <c r="D10800" s="504" t="s">
        <v>3380</v>
      </c>
      <c r="E10800" s="504" t="s">
        <v>3381</v>
      </c>
      <c r="F10800" s="504" t="s">
        <v>418</v>
      </c>
      <c r="G10800" s="504" t="s">
        <v>3368</v>
      </c>
      <c r="H10800" s="504" t="s">
        <v>13151</v>
      </c>
      <c r="I10800" s="504">
        <v>1</v>
      </c>
      <c r="J10800" s="504">
        <v>0</v>
      </c>
      <c r="K10800" s="504">
        <v>0</v>
      </c>
      <c r="L10800" s="504">
        <v>0</v>
      </c>
      <c r="M10800" s="504">
        <v>0</v>
      </c>
      <c r="N10800" s="504">
        <v>0</v>
      </c>
      <c r="O10800" s="505">
        <v>1</v>
      </c>
    </row>
    <row r="10801" spans="1:15" x14ac:dyDescent="0.35">
      <c r="A10801" s="500" t="s">
        <v>1120</v>
      </c>
      <c r="B10801" s="501" t="s">
        <v>3362</v>
      </c>
      <c r="C10801" s="501" t="s">
        <v>1094</v>
      </c>
      <c r="D10801" s="501" t="s">
        <v>3380</v>
      </c>
      <c r="E10801" s="501" t="s">
        <v>3381</v>
      </c>
      <c r="F10801" s="501" t="s">
        <v>416</v>
      </c>
      <c r="G10801" s="501" t="s">
        <v>3368</v>
      </c>
      <c r="H10801" s="501" t="s">
        <v>13154</v>
      </c>
      <c r="I10801" s="501">
        <v>5567</v>
      </c>
      <c r="J10801" s="501">
        <v>55</v>
      </c>
      <c r="K10801" s="501">
        <v>0</v>
      </c>
      <c r="L10801" s="501">
        <v>0</v>
      </c>
      <c r="M10801" s="501">
        <v>0</v>
      </c>
      <c r="N10801" s="501">
        <v>0</v>
      </c>
      <c r="O10801" s="506">
        <v>5512</v>
      </c>
    </row>
    <row r="10802" spans="1:15" x14ac:dyDescent="0.35">
      <c r="A10802" s="503" t="s">
        <v>1120</v>
      </c>
      <c r="B10802" s="504" t="s">
        <v>3362</v>
      </c>
      <c r="C10802" s="504" t="s">
        <v>1094</v>
      </c>
      <c r="D10802" s="504" t="s">
        <v>3380</v>
      </c>
      <c r="E10802" s="504" t="s">
        <v>3381</v>
      </c>
      <c r="F10802" s="504" t="s">
        <v>415</v>
      </c>
      <c r="G10802" s="504" t="s">
        <v>3368</v>
      </c>
      <c r="H10802" s="504" t="s">
        <v>13152</v>
      </c>
      <c r="I10802" s="504">
        <v>106</v>
      </c>
      <c r="J10802" s="504">
        <v>0</v>
      </c>
      <c r="K10802" s="504">
        <v>0</v>
      </c>
      <c r="L10802" s="504">
        <v>0</v>
      </c>
      <c r="M10802" s="504">
        <v>0</v>
      </c>
      <c r="N10802" s="504">
        <v>0</v>
      </c>
      <c r="O10802" s="505">
        <v>106</v>
      </c>
    </row>
    <row r="10803" spans="1:15" x14ac:dyDescent="0.35">
      <c r="A10803" s="500" t="s">
        <v>1120</v>
      </c>
      <c r="B10803" s="501" t="s">
        <v>3362</v>
      </c>
      <c r="C10803" s="501" t="s">
        <v>1094</v>
      </c>
      <c r="D10803" s="501" t="s">
        <v>3380</v>
      </c>
      <c r="E10803" s="501" t="s">
        <v>3381</v>
      </c>
      <c r="F10803" s="501" t="s">
        <v>2</v>
      </c>
      <c r="G10803" s="501" t="s">
        <v>3368</v>
      </c>
      <c r="H10803" s="501" t="s">
        <v>13153</v>
      </c>
      <c r="I10803" s="501">
        <v>136</v>
      </c>
      <c r="J10803" s="501">
        <v>0</v>
      </c>
      <c r="K10803" s="501">
        <v>0</v>
      </c>
      <c r="L10803" s="501">
        <v>0</v>
      </c>
      <c r="M10803" s="501">
        <v>0</v>
      </c>
      <c r="N10803" s="501">
        <v>0</v>
      </c>
      <c r="O10803" s="506">
        <v>136</v>
      </c>
    </row>
    <row r="10804" spans="1:15" x14ac:dyDescent="0.35">
      <c r="A10804" s="503" t="s">
        <v>1214</v>
      </c>
      <c r="B10804" s="504">
        <v>4862</v>
      </c>
      <c r="C10804" s="504" t="s">
        <v>1089</v>
      </c>
      <c r="D10804" s="504" t="s">
        <v>3392</v>
      </c>
      <c r="E10804" s="504" t="s">
        <v>3381</v>
      </c>
      <c r="F10804" s="504" t="s">
        <v>414</v>
      </c>
      <c r="G10804" s="504" t="s">
        <v>3368</v>
      </c>
      <c r="H10804" s="504" t="s">
        <v>13156</v>
      </c>
      <c r="I10804" s="504">
        <v>50</v>
      </c>
      <c r="J10804" s="504">
        <v>31</v>
      </c>
      <c r="K10804" s="504">
        <v>0</v>
      </c>
      <c r="L10804" s="504">
        <v>19</v>
      </c>
      <c r="M10804" s="504">
        <v>0</v>
      </c>
      <c r="N10804" s="504">
        <v>0</v>
      </c>
      <c r="O10804" s="505">
        <v>0</v>
      </c>
    </row>
    <row r="10805" spans="1:15" x14ac:dyDescent="0.35">
      <c r="A10805" s="500" t="s">
        <v>1215</v>
      </c>
      <c r="B10805" s="501">
        <v>4817</v>
      </c>
      <c r="C10805" s="501" t="s">
        <v>1094</v>
      </c>
      <c r="D10805" s="501" t="s">
        <v>3380</v>
      </c>
      <c r="E10805" s="501" t="s">
        <v>3381</v>
      </c>
      <c r="F10805" s="501" t="s">
        <v>414</v>
      </c>
      <c r="G10805" s="501" t="s">
        <v>3368</v>
      </c>
      <c r="H10805" s="501" t="s">
        <v>13157</v>
      </c>
      <c r="I10805" s="501">
        <v>9843</v>
      </c>
      <c r="J10805" s="501">
        <v>7636</v>
      </c>
      <c r="K10805" s="501">
        <v>0</v>
      </c>
      <c r="L10805" s="501">
        <v>667</v>
      </c>
      <c r="M10805" s="501">
        <v>350</v>
      </c>
      <c r="N10805" s="501">
        <v>0</v>
      </c>
      <c r="O10805" s="506">
        <v>1190</v>
      </c>
    </row>
    <row r="10806" spans="1:15" x14ac:dyDescent="0.35">
      <c r="A10806" s="503" t="s">
        <v>1320</v>
      </c>
      <c r="B10806" s="504">
        <v>4720</v>
      </c>
      <c r="C10806" s="504" t="s">
        <v>1089</v>
      </c>
      <c r="D10806" s="504" t="s">
        <v>3392</v>
      </c>
      <c r="E10806" s="504" t="s">
        <v>3381</v>
      </c>
      <c r="F10806" s="504" t="s">
        <v>2</v>
      </c>
      <c r="G10806" s="504" t="s">
        <v>3368</v>
      </c>
      <c r="H10806" s="504" t="s">
        <v>13161</v>
      </c>
      <c r="I10806" s="504">
        <v>45</v>
      </c>
      <c r="J10806" s="504">
        <v>45</v>
      </c>
      <c r="K10806" s="504">
        <v>0</v>
      </c>
      <c r="L10806" s="504">
        <v>0</v>
      </c>
      <c r="M10806" s="504">
        <v>0</v>
      </c>
      <c r="N10806" s="504">
        <v>0</v>
      </c>
      <c r="O10806" s="505">
        <v>0</v>
      </c>
    </row>
    <row r="10807" spans="1:15" x14ac:dyDescent="0.35">
      <c r="A10807" s="500" t="s">
        <v>1320</v>
      </c>
      <c r="B10807" s="501">
        <v>4720</v>
      </c>
      <c r="C10807" s="501" t="s">
        <v>1089</v>
      </c>
      <c r="D10807" s="501" t="s">
        <v>3392</v>
      </c>
      <c r="E10807" s="501" t="s">
        <v>3381</v>
      </c>
      <c r="F10807" s="501" t="s">
        <v>415</v>
      </c>
      <c r="G10807" s="501" t="s">
        <v>3368</v>
      </c>
      <c r="H10807" s="501" t="s">
        <v>13158</v>
      </c>
      <c r="I10807" s="501">
        <v>103</v>
      </c>
      <c r="J10807" s="501">
        <v>103</v>
      </c>
      <c r="K10807" s="501">
        <v>0</v>
      </c>
      <c r="L10807" s="501">
        <v>0</v>
      </c>
      <c r="M10807" s="501">
        <v>0</v>
      </c>
      <c r="N10807" s="501">
        <v>0</v>
      </c>
      <c r="O10807" s="506">
        <v>0</v>
      </c>
    </row>
    <row r="10808" spans="1:15" x14ac:dyDescent="0.35">
      <c r="A10808" s="503" t="s">
        <v>1320</v>
      </c>
      <c r="B10808" s="504">
        <v>4720</v>
      </c>
      <c r="C10808" s="504" t="s">
        <v>1089</v>
      </c>
      <c r="D10808" s="504" t="s">
        <v>3392</v>
      </c>
      <c r="E10808" s="504" t="s">
        <v>3381</v>
      </c>
      <c r="F10808" s="504" t="s">
        <v>419</v>
      </c>
      <c r="G10808" s="504" t="s">
        <v>3368</v>
      </c>
      <c r="H10808" s="504" t="s">
        <v>13160</v>
      </c>
      <c r="I10808" s="504">
        <v>115</v>
      </c>
      <c r="J10808" s="504">
        <v>115</v>
      </c>
      <c r="K10808" s="504">
        <v>0</v>
      </c>
      <c r="L10808" s="504">
        <v>0</v>
      </c>
      <c r="M10808" s="504">
        <v>0</v>
      </c>
      <c r="N10808" s="504">
        <v>0</v>
      </c>
      <c r="O10808" s="505">
        <v>0</v>
      </c>
    </row>
    <row r="10809" spans="1:15" x14ac:dyDescent="0.35">
      <c r="A10809" s="500" t="s">
        <v>1320</v>
      </c>
      <c r="B10809" s="501">
        <v>4720</v>
      </c>
      <c r="C10809" s="501" t="s">
        <v>1089</v>
      </c>
      <c r="D10809" s="501" t="s">
        <v>3392</v>
      </c>
      <c r="E10809" s="501" t="s">
        <v>3381</v>
      </c>
      <c r="F10809" s="501" t="s">
        <v>416</v>
      </c>
      <c r="G10809" s="501" t="s">
        <v>3368</v>
      </c>
      <c r="H10809" s="501" t="s">
        <v>13159</v>
      </c>
      <c r="I10809" s="501">
        <v>101</v>
      </c>
      <c r="J10809" s="501">
        <v>80</v>
      </c>
      <c r="K10809" s="501">
        <v>0</v>
      </c>
      <c r="L10809" s="501">
        <v>0</v>
      </c>
      <c r="M10809" s="501">
        <v>21</v>
      </c>
      <c r="N10809" s="501">
        <v>0</v>
      </c>
      <c r="O10809" s="506">
        <v>0</v>
      </c>
    </row>
    <row r="10810" spans="1:15" x14ac:dyDescent="0.35">
      <c r="A10810" s="503" t="s">
        <v>1869</v>
      </c>
      <c r="B10810" s="504" t="s">
        <v>2821</v>
      </c>
      <c r="C10810" s="504" t="s">
        <v>1089</v>
      </c>
      <c r="D10810" s="504" t="s">
        <v>3392</v>
      </c>
      <c r="E10810" s="504" t="s">
        <v>3381</v>
      </c>
      <c r="F10810" s="504" t="s">
        <v>2</v>
      </c>
      <c r="G10810" s="504" t="s">
        <v>3368</v>
      </c>
      <c r="H10810" s="504" t="s">
        <v>13162</v>
      </c>
      <c r="I10810" s="504">
        <v>25</v>
      </c>
      <c r="J10810" s="504">
        <v>25</v>
      </c>
      <c r="K10810" s="504">
        <v>0</v>
      </c>
      <c r="L10810" s="504">
        <v>0</v>
      </c>
      <c r="M10810" s="504">
        <v>0</v>
      </c>
      <c r="N10810" s="504">
        <v>0</v>
      </c>
      <c r="O10810" s="505">
        <v>0</v>
      </c>
    </row>
    <row r="10811" spans="1:15" x14ac:dyDescent="0.35">
      <c r="A10811" s="500" t="s">
        <v>1870</v>
      </c>
      <c r="B10811" s="501" t="s">
        <v>2817</v>
      </c>
      <c r="C10811" s="501" t="s">
        <v>1089</v>
      </c>
      <c r="D10811" s="501" t="s">
        <v>3392</v>
      </c>
      <c r="E10811" s="501" t="s">
        <v>3381</v>
      </c>
      <c r="F10811" s="501" t="s">
        <v>2</v>
      </c>
      <c r="G10811" s="501" t="s">
        <v>3368</v>
      </c>
      <c r="H10811" s="501" t="s">
        <v>13163</v>
      </c>
      <c r="I10811" s="501">
        <v>36</v>
      </c>
      <c r="J10811" s="501">
        <v>36</v>
      </c>
      <c r="K10811" s="501">
        <v>0</v>
      </c>
      <c r="L10811" s="501">
        <v>0</v>
      </c>
      <c r="M10811" s="501">
        <v>0</v>
      </c>
      <c r="N10811" s="501">
        <v>0</v>
      </c>
      <c r="O10811" s="506">
        <v>0</v>
      </c>
    </row>
    <row r="10812" spans="1:15" x14ac:dyDescent="0.35">
      <c r="A10812" s="503" t="s">
        <v>1999</v>
      </c>
      <c r="B10812" s="504" t="s">
        <v>3339</v>
      </c>
      <c r="C10812" s="504" t="s">
        <v>1094</v>
      </c>
      <c r="D10812" s="504" t="s">
        <v>3380</v>
      </c>
      <c r="E10812" s="504" t="s">
        <v>3381</v>
      </c>
      <c r="F10812" s="504" t="s">
        <v>419</v>
      </c>
      <c r="G10812" s="504" t="s">
        <v>3368</v>
      </c>
      <c r="H10812" s="504" t="s">
        <v>13164</v>
      </c>
      <c r="I10812" s="504">
        <v>4688</v>
      </c>
      <c r="J10812" s="504">
        <v>3557</v>
      </c>
      <c r="K10812" s="504">
        <v>0</v>
      </c>
      <c r="L10812" s="504">
        <v>14</v>
      </c>
      <c r="M10812" s="504">
        <v>631</v>
      </c>
      <c r="N10812" s="504">
        <v>0</v>
      </c>
      <c r="O10812" s="505">
        <v>486</v>
      </c>
    </row>
    <row r="10813" spans="1:15" x14ac:dyDescent="0.35">
      <c r="A10813" s="500" t="s">
        <v>1871</v>
      </c>
      <c r="B10813" s="501" t="s">
        <v>2962</v>
      </c>
      <c r="C10813" s="501" t="s">
        <v>1089</v>
      </c>
      <c r="D10813" s="501" t="s">
        <v>3392</v>
      </c>
      <c r="E10813" s="501" t="s">
        <v>3381</v>
      </c>
      <c r="F10813" s="501" t="s">
        <v>2</v>
      </c>
      <c r="G10813" s="501" t="s">
        <v>3368</v>
      </c>
      <c r="H10813" s="501" t="s">
        <v>13165</v>
      </c>
      <c r="I10813" s="501">
        <v>15</v>
      </c>
      <c r="J10813" s="501">
        <v>3</v>
      </c>
      <c r="K10813" s="501">
        <v>0</v>
      </c>
      <c r="L10813" s="501">
        <v>0</v>
      </c>
      <c r="M10813" s="501">
        <v>12</v>
      </c>
      <c r="N10813" s="501">
        <v>0</v>
      </c>
      <c r="O10813" s="506">
        <v>0</v>
      </c>
    </row>
    <row r="10814" spans="1:15" x14ac:dyDescent="0.35">
      <c r="A10814" s="503" t="s">
        <v>1510</v>
      </c>
      <c r="B10814" s="504" t="s">
        <v>3004</v>
      </c>
      <c r="C10814" s="504" t="s">
        <v>1094</v>
      </c>
      <c r="D10814" s="504" t="s">
        <v>3380</v>
      </c>
      <c r="E10814" s="504" t="s">
        <v>3381</v>
      </c>
      <c r="F10814" s="504" t="s">
        <v>416</v>
      </c>
      <c r="G10814" s="504" t="s">
        <v>3368</v>
      </c>
      <c r="H10814" s="504" t="s">
        <v>13166</v>
      </c>
      <c r="I10814" s="504">
        <v>4866</v>
      </c>
      <c r="J10814" s="504">
        <v>3938</v>
      </c>
      <c r="K10814" s="504">
        <v>0</v>
      </c>
      <c r="L10814" s="504">
        <v>284</v>
      </c>
      <c r="M10814" s="504">
        <v>137</v>
      </c>
      <c r="N10814" s="504">
        <v>0</v>
      </c>
      <c r="O10814" s="505">
        <v>507</v>
      </c>
    </row>
    <row r="10815" spans="1:15" x14ac:dyDescent="0.35">
      <c r="A10815" s="500" t="s">
        <v>1511</v>
      </c>
      <c r="B10815" s="501" t="s">
        <v>3127</v>
      </c>
      <c r="C10815" s="501" t="s">
        <v>1089</v>
      </c>
      <c r="D10815" s="501" t="s">
        <v>3392</v>
      </c>
      <c r="E10815" s="501" t="s">
        <v>3381</v>
      </c>
      <c r="F10815" s="501" t="s">
        <v>416</v>
      </c>
      <c r="G10815" s="501" t="s">
        <v>3368</v>
      </c>
      <c r="H10815" s="501" t="s">
        <v>13167</v>
      </c>
      <c r="I10815" s="501">
        <v>163</v>
      </c>
      <c r="J10815" s="501">
        <v>163</v>
      </c>
      <c r="K10815" s="501">
        <v>0</v>
      </c>
      <c r="L10815" s="501">
        <v>0</v>
      </c>
      <c r="M10815" s="501">
        <v>0</v>
      </c>
      <c r="N10815" s="501">
        <v>0</v>
      </c>
      <c r="O10815" s="506">
        <v>0</v>
      </c>
    </row>
    <row r="10816" spans="1:15" x14ac:dyDescent="0.35">
      <c r="A10816" s="503" t="s">
        <v>11414</v>
      </c>
      <c r="B10816" s="504" t="s">
        <v>2495</v>
      </c>
      <c r="C10816" s="504" t="s">
        <v>1089</v>
      </c>
      <c r="D10816" s="504" t="s">
        <v>3392</v>
      </c>
      <c r="E10816" s="504" t="s">
        <v>3381</v>
      </c>
      <c r="F10816" s="504" t="s">
        <v>420</v>
      </c>
      <c r="G10816" s="504" t="s">
        <v>3368</v>
      </c>
      <c r="H10816" s="504" t="s">
        <v>13169</v>
      </c>
      <c r="I10816" s="504">
        <v>37</v>
      </c>
      <c r="J10816" s="504">
        <v>0</v>
      </c>
      <c r="K10816" s="504">
        <v>0</v>
      </c>
      <c r="L10816" s="504">
        <v>0</v>
      </c>
      <c r="M10816" s="504">
        <v>37</v>
      </c>
      <c r="N10816" s="504">
        <v>0</v>
      </c>
      <c r="O10816" s="505">
        <v>0</v>
      </c>
    </row>
    <row r="10817" spans="1:15" x14ac:dyDescent="0.35">
      <c r="A10817" s="500" t="s">
        <v>11414</v>
      </c>
      <c r="B10817" s="501" t="s">
        <v>2495</v>
      </c>
      <c r="C10817" s="501" t="s">
        <v>1089</v>
      </c>
      <c r="D10817" s="501" t="s">
        <v>3392</v>
      </c>
      <c r="E10817" s="501" t="s">
        <v>3381</v>
      </c>
      <c r="F10817" s="501" t="s">
        <v>2</v>
      </c>
      <c r="G10817" s="501" t="s">
        <v>3368</v>
      </c>
      <c r="H10817" s="501" t="s">
        <v>13168</v>
      </c>
      <c r="I10817" s="501">
        <v>41</v>
      </c>
      <c r="J10817" s="501">
        <v>0</v>
      </c>
      <c r="K10817" s="501">
        <v>0</v>
      </c>
      <c r="L10817" s="501">
        <v>0</v>
      </c>
      <c r="M10817" s="501">
        <v>41</v>
      </c>
      <c r="N10817" s="501">
        <v>0</v>
      </c>
      <c r="O10817" s="506">
        <v>0</v>
      </c>
    </row>
    <row r="10818" spans="1:15" x14ac:dyDescent="0.35">
      <c r="A10818" s="503" t="s">
        <v>2000</v>
      </c>
      <c r="B10818" s="504" t="s">
        <v>2449</v>
      </c>
      <c r="C10818" s="504" t="s">
        <v>1089</v>
      </c>
      <c r="D10818" s="504" t="s">
        <v>3392</v>
      </c>
      <c r="E10818" s="504" t="s">
        <v>3381</v>
      </c>
      <c r="F10818" s="504" t="s">
        <v>419</v>
      </c>
      <c r="G10818" s="504" t="s">
        <v>3368</v>
      </c>
      <c r="H10818" s="504" t="s">
        <v>13170</v>
      </c>
      <c r="I10818" s="504">
        <v>4</v>
      </c>
      <c r="J10818" s="504">
        <v>4</v>
      </c>
      <c r="K10818" s="504">
        <v>0</v>
      </c>
      <c r="L10818" s="504">
        <v>0</v>
      </c>
      <c r="M10818" s="504">
        <v>0</v>
      </c>
      <c r="N10818" s="504">
        <v>0</v>
      </c>
      <c r="O10818" s="505">
        <v>0</v>
      </c>
    </row>
    <row r="10819" spans="1:15" x14ac:dyDescent="0.35">
      <c r="A10819" s="500" t="s">
        <v>11387</v>
      </c>
      <c r="B10819" s="501" t="s">
        <v>3087</v>
      </c>
      <c r="C10819" s="501" t="s">
        <v>1089</v>
      </c>
      <c r="D10819" s="501" t="s">
        <v>3392</v>
      </c>
      <c r="E10819" s="501" t="s">
        <v>3381</v>
      </c>
      <c r="F10819" s="501" t="s">
        <v>2</v>
      </c>
      <c r="G10819" s="501" t="s">
        <v>3368</v>
      </c>
      <c r="H10819" s="501" t="s">
        <v>13172</v>
      </c>
      <c r="I10819" s="501">
        <v>2</v>
      </c>
      <c r="J10819" s="501">
        <v>2</v>
      </c>
      <c r="K10819" s="501">
        <v>0</v>
      </c>
      <c r="L10819" s="501">
        <v>0</v>
      </c>
      <c r="M10819" s="501">
        <v>0</v>
      </c>
      <c r="N10819" s="501">
        <v>0</v>
      </c>
      <c r="O10819" s="506">
        <v>0</v>
      </c>
    </row>
    <row r="10820" spans="1:15" x14ac:dyDescent="0.35">
      <c r="A10820" s="503" t="s">
        <v>11387</v>
      </c>
      <c r="B10820" s="504" t="s">
        <v>3087</v>
      </c>
      <c r="C10820" s="504" t="s">
        <v>1089</v>
      </c>
      <c r="D10820" s="504" t="s">
        <v>3392</v>
      </c>
      <c r="E10820" s="504" t="s">
        <v>3381</v>
      </c>
      <c r="F10820" s="504" t="s">
        <v>416</v>
      </c>
      <c r="G10820" s="504" t="s">
        <v>3368</v>
      </c>
      <c r="H10820" s="504" t="s">
        <v>13171</v>
      </c>
      <c r="I10820" s="504">
        <v>53</v>
      </c>
      <c r="J10820" s="504">
        <v>53</v>
      </c>
      <c r="K10820" s="504">
        <v>0</v>
      </c>
      <c r="L10820" s="504">
        <v>0</v>
      </c>
      <c r="M10820" s="504">
        <v>0</v>
      </c>
      <c r="N10820" s="504">
        <v>0</v>
      </c>
      <c r="O10820" s="505">
        <v>0</v>
      </c>
    </row>
    <row r="10821" spans="1:15" x14ac:dyDescent="0.35">
      <c r="A10821" s="500" t="s">
        <v>1872</v>
      </c>
      <c r="B10821" s="501" t="s">
        <v>2814</v>
      </c>
      <c r="C10821" s="501" t="s">
        <v>1089</v>
      </c>
      <c r="D10821" s="501" t="s">
        <v>3392</v>
      </c>
      <c r="E10821" s="501" t="s">
        <v>3381</v>
      </c>
      <c r="F10821" s="501" t="s">
        <v>2</v>
      </c>
      <c r="G10821" s="501" t="s">
        <v>3368</v>
      </c>
      <c r="H10821" s="501" t="s">
        <v>13173</v>
      </c>
      <c r="I10821" s="501">
        <v>42</v>
      </c>
      <c r="J10821" s="501">
        <v>42</v>
      </c>
      <c r="K10821" s="501">
        <v>0</v>
      </c>
      <c r="L10821" s="501">
        <v>0</v>
      </c>
      <c r="M10821" s="501">
        <v>0</v>
      </c>
      <c r="N10821" s="501">
        <v>0</v>
      </c>
      <c r="O10821" s="506">
        <v>0</v>
      </c>
    </row>
    <row r="10822" spans="1:15" x14ac:dyDescent="0.35">
      <c r="A10822" s="503" t="s">
        <v>1512</v>
      </c>
      <c r="B10822" s="504" t="s">
        <v>2795</v>
      </c>
      <c r="C10822" s="504" t="s">
        <v>1089</v>
      </c>
      <c r="D10822" s="504" t="s">
        <v>3392</v>
      </c>
      <c r="E10822" s="504" t="s">
        <v>3381</v>
      </c>
      <c r="F10822" s="504" t="s">
        <v>416</v>
      </c>
      <c r="G10822" s="504" t="s">
        <v>3368</v>
      </c>
      <c r="H10822" s="504" t="s">
        <v>13174</v>
      </c>
      <c r="I10822" s="504">
        <v>20</v>
      </c>
      <c r="J10822" s="504">
        <v>20</v>
      </c>
      <c r="K10822" s="504">
        <v>0</v>
      </c>
      <c r="L10822" s="504">
        <v>0</v>
      </c>
      <c r="M10822" s="504">
        <v>0</v>
      </c>
      <c r="N10822" s="504">
        <v>0</v>
      </c>
      <c r="O10822" s="505">
        <v>0</v>
      </c>
    </row>
    <row r="10823" spans="1:15" x14ac:dyDescent="0.35">
      <c r="A10823" s="500" t="s">
        <v>1321</v>
      </c>
      <c r="B10823" s="501">
        <v>4635</v>
      </c>
      <c r="C10823" s="501" t="s">
        <v>1089</v>
      </c>
      <c r="D10823" s="501" t="s">
        <v>3392</v>
      </c>
      <c r="E10823" s="501" t="s">
        <v>3381</v>
      </c>
      <c r="F10823" s="501" t="s">
        <v>420</v>
      </c>
      <c r="G10823" s="501" t="s">
        <v>3368</v>
      </c>
      <c r="H10823" s="501" t="s">
        <v>15405</v>
      </c>
      <c r="I10823" s="501">
        <v>7</v>
      </c>
      <c r="J10823" s="501">
        <v>7</v>
      </c>
      <c r="K10823" s="501">
        <v>0</v>
      </c>
      <c r="L10823" s="501">
        <v>0</v>
      </c>
      <c r="M10823" s="501">
        <v>0</v>
      </c>
      <c r="N10823" s="501">
        <v>0</v>
      </c>
      <c r="O10823" s="506">
        <v>0</v>
      </c>
    </row>
    <row r="10824" spans="1:15" x14ac:dyDescent="0.35">
      <c r="A10824" s="503" t="s">
        <v>1321</v>
      </c>
      <c r="B10824" s="504">
        <v>4635</v>
      </c>
      <c r="C10824" s="504" t="s">
        <v>1089</v>
      </c>
      <c r="D10824" s="504" t="s">
        <v>3392</v>
      </c>
      <c r="E10824" s="504" t="s">
        <v>3381</v>
      </c>
      <c r="F10824" s="504" t="s">
        <v>416</v>
      </c>
      <c r="G10824" s="504" t="s">
        <v>3368</v>
      </c>
      <c r="H10824" s="504" t="s">
        <v>13175</v>
      </c>
      <c r="I10824" s="504">
        <v>162</v>
      </c>
      <c r="J10824" s="504">
        <v>162</v>
      </c>
      <c r="K10824" s="504">
        <v>0</v>
      </c>
      <c r="L10824" s="504">
        <v>0</v>
      </c>
      <c r="M10824" s="504">
        <v>0</v>
      </c>
      <c r="N10824" s="504">
        <v>0</v>
      </c>
      <c r="O10824" s="505">
        <v>0</v>
      </c>
    </row>
    <row r="10825" spans="1:15" x14ac:dyDescent="0.35">
      <c r="A10825" s="500" t="s">
        <v>1321</v>
      </c>
      <c r="B10825" s="501">
        <v>4635</v>
      </c>
      <c r="C10825" s="501" t="s">
        <v>1089</v>
      </c>
      <c r="D10825" s="501" t="s">
        <v>3392</v>
      </c>
      <c r="E10825" s="501" t="s">
        <v>3381</v>
      </c>
      <c r="F10825" s="501" t="s">
        <v>2</v>
      </c>
      <c r="G10825" s="501" t="s">
        <v>3368</v>
      </c>
      <c r="H10825" s="501" t="s">
        <v>13176</v>
      </c>
      <c r="I10825" s="501">
        <v>79</v>
      </c>
      <c r="J10825" s="501">
        <v>79</v>
      </c>
      <c r="K10825" s="501">
        <v>0</v>
      </c>
      <c r="L10825" s="501">
        <v>0</v>
      </c>
      <c r="M10825" s="501">
        <v>0</v>
      </c>
      <c r="N10825" s="501">
        <v>0</v>
      </c>
      <c r="O10825" s="506">
        <v>0</v>
      </c>
    </row>
    <row r="10826" spans="1:15" x14ac:dyDescent="0.35">
      <c r="A10826" s="503" t="s">
        <v>1321</v>
      </c>
      <c r="B10826" s="504">
        <v>4635</v>
      </c>
      <c r="C10826" s="504" t="s">
        <v>1089</v>
      </c>
      <c r="D10826" s="504" t="s">
        <v>3392</v>
      </c>
      <c r="E10826" s="504" t="s">
        <v>3381</v>
      </c>
      <c r="F10826" s="504" t="s">
        <v>415</v>
      </c>
      <c r="G10826" s="504" t="s">
        <v>3368</v>
      </c>
      <c r="H10826" s="504" t="s">
        <v>13177</v>
      </c>
      <c r="I10826" s="504">
        <v>33</v>
      </c>
      <c r="J10826" s="504">
        <v>33</v>
      </c>
      <c r="K10826" s="504">
        <v>0</v>
      </c>
      <c r="L10826" s="504">
        <v>0</v>
      </c>
      <c r="M10826" s="504">
        <v>0</v>
      </c>
      <c r="N10826" s="504">
        <v>0</v>
      </c>
      <c r="O10826" s="505">
        <v>0</v>
      </c>
    </row>
    <row r="10827" spans="1:15" x14ac:dyDescent="0.35">
      <c r="A10827" s="500" t="s">
        <v>1322</v>
      </c>
      <c r="B10827" s="501" t="s">
        <v>3244</v>
      </c>
      <c r="C10827" s="501" t="s">
        <v>1094</v>
      </c>
      <c r="D10827" s="501" t="s">
        <v>3380</v>
      </c>
      <c r="E10827" s="501" t="s">
        <v>3381</v>
      </c>
      <c r="F10827" s="501" t="s">
        <v>416</v>
      </c>
      <c r="G10827" s="501" t="s">
        <v>3368</v>
      </c>
      <c r="H10827" s="501" t="s">
        <v>13178</v>
      </c>
      <c r="I10827" s="501">
        <v>10996</v>
      </c>
      <c r="J10827" s="501">
        <v>7786</v>
      </c>
      <c r="K10827" s="501">
        <v>12</v>
      </c>
      <c r="L10827" s="501">
        <v>1452</v>
      </c>
      <c r="M10827" s="501">
        <v>104</v>
      </c>
      <c r="N10827" s="501">
        <v>3</v>
      </c>
      <c r="O10827" s="506">
        <v>1642</v>
      </c>
    </row>
    <row r="10828" spans="1:15" x14ac:dyDescent="0.35">
      <c r="A10828" s="503" t="s">
        <v>1322</v>
      </c>
      <c r="B10828" s="504" t="s">
        <v>3244</v>
      </c>
      <c r="C10828" s="504" t="s">
        <v>1094</v>
      </c>
      <c r="D10828" s="504" t="s">
        <v>3380</v>
      </c>
      <c r="E10828" s="504" t="s">
        <v>3381</v>
      </c>
      <c r="F10828" s="504" t="s">
        <v>2</v>
      </c>
      <c r="G10828" s="504" t="s">
        <v>3368</v>
      </c>
      <c r="H10828" s="504" t="s">
        <v>13180</v>
      </c>
      <c r="I10828" s="504">
        <v>1063</v>
      </c>
      <c r="J10828" s="504">
        <v>834</v>
      </c>
      <c r="K10828" s="504">
        <v>0</v>
      </c>
      <c r="L10828" s="504">
        <v>1</v>
      </c>
      <c r="M10828" s="504">
        <v>30</v>
      </c>
      <c r="N10828" s="504">
        <v>0</v>
      </c>
      <c r="O10828" s="505">
        <v>198</v>
      </c>
    </row>
    <row r="10829" spans="1:15" x14ac:dyDescent="0.35">
      <c r="A10829" s="500" t="s">
        <v>1322</v>
      </c>
      <c r="B10829" s="501" t="s">
        <v>3244</v>
      </c>
      <c r="C10829" s="501" t="s">
        <v>1094</v>
      </c>
      <c r="D10829" s="501" t="s">
        <v>3380</v>
      </c>
      <c r="E10829" s="501" t="s">
        <v>3381</v>
      </c>
      <c r="F10829" s="501" t="s">
        <v>415</v>
      </c>
      <c r="G10829" s="501" t="s">
        <v>3368</v>
      </c>
      <c r="H10829" s="501" t="s">
        <v>13179</v>
      </c>
      <c r="I10829" s="501">
        <v>37</v>
      </c>
      <c r="J10829" s="501">
        <v>0</v>
      </c>
      <c r="K10829" s="501">
        <v>0</v>
      </c>
      <c r="L10829" s="501">
        <v>29</v>
      </c>
      <c r="M10829" s="501">
        <v>0</v>
      </c>
      <c r="N10829" s="501">
        <v>0</v>
      </c>
      <c r="O10829" s="506">
        <v>8</v>
      </c>
    </row>
    <row r="10830" spans="1:15" x14ac:dyDescent="0.35">
      <c r="A10830" s="503" t="s">
        <v>1742</v>
      </c>
      <c r="B10830" s="504">
        <v>4808</v>
      </c>
      <c r="C10830" s="504" t="s">
        <v>1094</v>
      </c>
      <c r="D10830" s="504" t="s">
        <v>3380</v>
      </c>
      <c r="E10830" s="504" t="s">
        <v>3381</v>
      </c>
      <c r="F10830" s="504" t="s">
        <v>418</v>
      </c>
      <c r="G10830" s="504" t="s">
        <v>3368</v>
      </c>
      <c r="H10830" s="504" t="s">
        <v>13181</v>
      </c>
      <c r="I10830" s="504">
        <v>11938</v>
      </c>
      <c r="J10830" s="504">
        <v>11573</v>
      </c>
      <c r="K10830" s="504">
        <v>0</v>
      </c>
      <c r="L10830" s="504">
        <v>6</v>
      </c>
      <c r="M10830" s="504">
        <v>240</v>
      </c>
      <c r="N10830" s="504">
        <v>0</v>
      </c>
      <c r="O10830" s="505">
        <v>119</v>
      </c>
    </row>
    <row r="10831" spans="1:15" x14ac:dyDescent="0.35">
      <c r="A10831" s="500" t="s">
        <v>1743</v>
      </c>
      <c r="B10831" s="501">
        <v>4804</v>
      </c>
      <c r="C10831" s="501" t="s">
        <v>1094</v>
      </c>
      <c r="D10831" s="501" t="s">
        <v>3380</v>
      </c>
      <c r="E10831" s="501" t="s">
        <v>3381</v>
      </c>
      <c r="F10831" s="501" t="s">
        <v>418</v>
      </c>
      <c r="G10831" s="501" t="s">
        <v>3368</v>
      </c>
      <c r="H10831" s="501" t="s">
        <v>13182</v>
      </c>
      <c r="I10831" s="501">
        <v>12915</v>
      </c>
      <c r="J10831" s="501">
        <v>11587</v>
      </c>
      <c r="K10831" s="501">
        <v>0</v>
      </c>
      <c r="L10831" s="501">
        <v>1027</v>
      </c>
      <c r="M10831" s="501">
        <v>0</v>
      </c>
      <c r="N10831" s="501">
        <v>0</v>
      </c>
      <c r="O10831" s="506">
        <v>301</v>
      </c>
    </row>
    <row r="10832" spans="1:15" x14ac:dyDescent="0.35">
      <c r="A10832" s="503" t="s">
        <v>1323</v>
      </c>
      <c r="B10832" s="504" t="s">
        <v>2946</v>
      </c>
      <c r="C10832" s="504" t="s">
        <v>1089</v>
      </c>
      <c r="D10832" s="504" t="s">
        <v>3392</v>
      </c>
      <c r="E10832" s="504" t="s">
        <v>3381</v>
      </c>
      <c r="F10832" s="504" t="s">
        <v>415</v>
      </c>
      <c r="G10832" s="504" t="s">
        <v>3368</v>
      </c>
      <c r="H10832" s="504" t="s">
        <v>13183</v>
      </c>
      <c r="I10832" s="504">
        <v>462</v>
      </c>
      <c r="J10832" s="504">
        <v>0</v>
      </c>
      <c r="K10832" s="504">
        <v>0</v>
      </c>
      <c r="L10832" s="504">
        <v>462</v>
      </c>
      <c r="M10832" s="504">
        <v>0</v>
      </c>
      <c r="N10832" s="504">
        <v>128</v>
      </c>
      <c r="O10832" s="505">
        <v>0</v>
      </c>
    </row>
    <row r="10833" spans="1:15" x14ac:dyDescent="0.35">
      <c r="A10833" s="500" t="s">
        <v>1323</v>
      </c>
      <c r="B10833" s="501" t="s">
        <v>2946</v>
      </c>
      <c r="C10833" s="501" t="s">
        <v>1089</v>
      </c>
      <c r="D10833" s="501" t="s">
        <v>3392</v>
      </c>
      <c r="E10833" s="501" t="s">
        <v>3381</v>
      </c>
      <c r="F10833" s="501" t="s">
        <v>2</v>
      </c>
      <c r="G10833" s="501" t="s">
        <v>3368</v>
      </c>
      <c r="H10833" s="501" t="s">
        <v>13184</v>
      </c>
      <c r="I10833" s="501">
        <v>141</v>
      </c>
      <c r="J10833" s="501">
        <v>0</v>
      </c>
      <c r="K10833" s="501">
        <v>0</v>
      </c>
      <c r="L10833" s="501">
        <v>141</v>
      </c>
      <c r="M10833" s="501">
        <v>0</v>
      </c>
      <c r="N10833" s="501">
        <v>0</v>
      </c>
      <c r="O10833" s="506">
        <v>0</v>
      </c>
    </row>
    <row r="10834" spans="1:15" x14ac:dyDescent="0.35">
      <c r="A10834" s="503" t="s">
        <v>1216</v>
      </c>
      <c r="B10834" s="504" t="s">
        <v>3207</v>
      </c>
      <c r="C10834" s="504" t="s">
        <v>1094</v>
      </c>
      <c r="D10834" s="504" t="s">
        <v>3380</v>
      </c>
      <c r="E10834" s="504" t="s">
        <v>3381</v>
      </c>
      <c r="F10834" s="504" t="s">
        <v>1048</v>
      </c>
      <c r="G10834" s="504" t="s">
        <v>3368</v>
      </c>
      <c r="H10834" s="504" t="s">
        <v>14035</v>
      </c>
      <c r="I10834" s="504">
        <v>10039</v>
      </c>
      <c r="J10834" s="504">
        <v>9936</v>
      </c>
      <c r="K10834" s="504">
        <v>2</v>
      </c>
      <c r="L10834" s="504">
        <v>89</v>
      </c>
      <c r="M10834" s="504">
        <v>0</v>
      </c>
      <c r="N10834" s="504">
        <v>0</v>
      </c>
      <c r="O10834" s="505">
        <v>12</v>
      </c>
    </row>
    <row r="10835" spans="1:15" x14ac:dyDescent="0.35">
      <c r="A10835" s="500" t="s">
        <v>1216</v>
      </c>
      <c r="B10835" s="501" t="s">
        <v>3207</v>
      </c>
      <c r="C10835" s="501" t="s">
        <v>1094</v>
      </c>
      <c r="D10835" s="501" t="s">
        <v>3380</v>
      </c>
      <c r="E10835" s="501" t="s">
        <v>3381</v>
      </c>
      <c r="F10835" s="501" t="s">
        <v>414</v>
      </c>
      <c r="G10835" s="501" t="s">
        <v>3368</v>
      </c>
      <c r="H10835" s="501" t="s">
        <v>13185</v>
      </c>
      <c r="I10835" s="501">
        <v>224</v>
      </c>
      <c r="J10835" s="501">
        <v>166</v>
      </c>
      <c r="K10835" s="501">
        <v>0</v>
      </c>
      <c r="L10835" s="501">
        <v>24</v>
      </c>
      <c r="M10835" s="501">
        <v>0</v>
      </c>
      <c r="N10835" s="501">
        <v>0</v>
      </c>
      <c r="O10835" s="506">
        <v>34</v>
      </c>
    </row>
    <row r="10836" spans="1:15" x14ac:dyDescent="0.35">
      <c r="A10836" s="503" t="s">
        <v>1744</v>
      </c>
      <c r="B10836" s="504" t="s">
        <v>3245</v>
      </c>
      <c r="C10836" s="504" t="s">
        <v>1094</v>
      </c>
      <c r="D10836" s="504" t="s">
        <v>3380</v>
      </c>
      <c r="E10836" s="504" t="s">
        <v>3381</v>
      </c>
      <c r="F10836" s="504" t="s">
        <v>414</v>
      </c>
      <c r="G10836" s="504" t="s">
        <v>3368</v>
      </c>
      <c r="H10836" s="504" t="s">
        <v>15406</v>
      </c>
      <c r="I10836" s="504">
        <v>4</v>
      </c>
      <c r="J10836" s="504">
        <v>0</v>
      </c>
      <c r="K10836" s="504">
        <v>0</v>
      </c>
      <c r="L10836" s="504">
        <v>4</v>
      </c>
      <c r="M10836" s="504">
        <v>0</v>
      </c>
      <c r="N10836" s="504">
        <v>0</v>
      </c>
      <c r="O10836" s="505">
        <v>0</v>
      </c>
    </row>
    <row r="10837" spans="1:15" x14ac:dyDescent="0.35">
      <c r="A10837" s="500" t="s">
        <v>1744</v>
      </c>
      <c r="B10837" s="501" t="s">
        <v>3245</v>
      </c>
      <c r="C10837" s="501" t="s">
        <v>1094</v>
      </c>
      <c r="D10837" s="501" t="s">
        <v>3380</v>
      </c>
      <c r="E10837" s="501" t="s">
        <v>3381</v>
      </c>
      <c r="F10837" s="501" t="s">
        <v>418</v>
      </c>
      <c r="G10837" s="501" t="s">
        <v>3368</v>
      </c>
      <c r="H10837" s="501" t="s">
        <v>13186</v>
      </c>
      <c r="I10837" s="501">
        <v>29388</v>
      </c>
      <c r="J10837" s="501">
        <v>22302</v>
      </c>
      <c r="K10837" s="501">
        <v>0</v>
      </c>
      <c r="L10837" s="501">
        <v>1952</v>
      </c>
      <c r="M10837" s="501">
        <v>3865</v>
      </c>
      <c r="N10837" s="501">
        <v>493</v>
      </c>
      <c r="O10837" s="506">
        <v>1269</v>
      </c>
    </row>
    <row r="10838" spans="1:15" x14ac:dyDescent="0.35">
      <c r="A10838" s="503" t="s">
        <v>1217</v>
      </c>
      <c r="B10838" s="504">
        <v>4851</v>
      </c>
      <c r="C10838" s="504" t="s">
        <v>1094</v>
      </c>
      <c r="D10838" s="504" t="s">
        <v>3380</v>
      </c>
      <c r="E10838" s="504" t="s">
        <v>3381</v>
      </c>
      <c r="F10838" s="504" t="s">
        <v>414</v>
      </c>
      <c r="G10838" s="504" t="s">
        <v>3368</v>
      </c>
      <c r="H10838" s="504" t="s">
        <v>13187</v>
      </c>
      <c r="I10838" s="504">
        <v>758</v>
      </c>
      <c r="J10838" s="504">
        <v>459</v>
      </c>
      <c r="K10838" s="504">
        <v>206</v>
      </c>
      <c r="L10838" s="504">
        <v>0</v>
      </c>
      <c r="M10838" s="504">
        <v>0</v>
      </c>
      <c r="N10838" s="504">
        <v>0</v>
      </c>
      <c r="O10838" s="505">
        <v>93</v>
      </c>
    </row>
    <row r="10839" spans="1:15" x14ac:dyDescent="0.35">
      <c r="A10839" s="500" t="s">
        <v>1217</v>
      </c>
      <c r="B10839" s="501">
        <v>4851</v>
      </c>
      <c r="C10839" s="501" t="s">
        <v>1094</v>
      </c>
      <c r="D10839" s="501" t="s">
        <v>3380</v>
      </c>
      <c r="E10839" s="501" t="s">
        <v>3381</v>
      </c>
      <c r="F10839" s="501" t="s">
        <v>416</v>
      </c>
      <c r="G10839" s="501" t="s">
        <v>3368</v>
      </c>
      <c r="H10839" s="501" t="s">
        <v>13192</v>
      </c>
      <c r="I10839" s="501">
        <v>18911</v>
      </c>
      <c r="J10839" s="501">
        <v>13902</v>
      </c>
      <c r="K10839" s="501">
        <v>250</v>
      </c>
      <c r="L10839" s="501">
        <v>762</v>
      </c>
      <c r="M10839" s="501">
        <v>1307</v>
      </c>
      <c r="N10839" s="501">
        <v>82</v>
      </c>
      <c r="O10839" s="506">
        <v>2690</v>
      </c>
    </row>
    <row r="10840" spans="1:15" x14ac:dyDescent="0.35">
      <c r="A10840" s="503" t="s">
        <v>1217</v>
      </c>
      <c r="B10840" s="504">
        <v>4851</v>
      </c>
      <c r="C10840" s="504" t="s">
        <v>1094</v>
      </c>
      <c r="D10840" s="504" t="s">
        <v>3380</v>
      </c>
      <c r="E10840" s="504" t="s">
        <v>3381</v>
      </c>
      <c r="F10840" s="504" t="s">
        <v>420</v>
      </c>
      <c r="G10840" s="504" t="s">
        <v>3368</v>
      </c>
      <c r="H10840" s="504" t="s">
        <v>13188</v>
      </c>
      <c r="I10840" s="504">
        <v>1719</v>
      </c>
      <c r="J10840" s="504">
        <v>696</v>
      </c>
      <c r="K10840" s="504">
        <v>0</v>
      </c>
      <c r="L10840" s="504">
        <v>0</v>
      </c>
      <c r="M10840" s="504">
        <v>915</v>
      </c>
      <c r="N10840" s="504">
        <v>0</v>
      </c>
      <c r="O10840" s="505">
        <v>108</v>
      </c>
    </row>
    <row r="10841" spans="1:15" x14ac:dyDescent="0.35">
      <c r="A10841" s="500" t="s">
        <v>1217</v>
      </c>
      <c r="B10841" s="501">
        <v>4851</v>
      </c>
      <c r="C10841" s="501" t="s">
        <v>1094</v>
      </c>
      <c r="D10841" s="501" t="s">
        <v>3380</v>
      </c>
      <c r="E10841" s="501" t="s">
        <v>3381</v>
      </c>
      <c r="F10841" s="501" t="s">
        <v>415</v>
      </c>
      <c r="G10841" s="501" t="s">
        <v>3368</v>
      </c>
      <c r="H10841" s="501" t="s">
        <v>13190</v>
      </c>
      <c r="I10841" s="501">
        <v>246</v>
      </c>
      <c r="J10841" s="501">
        <v>71</v>
      </c>
      <c r="K10841" s="501">
        <v>175</v>
      </c>
      <c r="L10841" s="501">
        <v>0</v>
      </c>
      <c r="M10841" s="501">
        <v>0</v>
      </c>
      <c r="N10841" s="501">
        <v>0</v>
      </c>
      <c r="O10841" s="506">
        <v>0</v>
      </c>
    </row>
    <row r="10842" spans="1:15" x14ac:dyDescent="0.35">
      <c r="A10842" s="503" t="s">
        <v>1217</v>
      </c>
      <c r="B10842" s="504">
        <v>4851</v>
      </c>
      <c r="C10842" s="504" t="s">
        <v>1094</v>
      </c>
      <c r="D10842" s="504" t="s">
        <v>3380</v>
      </c>
      <c r="E10842" s="504" t="s">
        <v>3381</v>
      </c>
      <c r="F10842" s="504" t="s">
        <v>419</v>
      </c>
      <c r="G10842" s="504" t="s">
        <v>3368</v>
      </c>
      <c r="H10842" s="504" t="s">
        <v>13189</v>
      </c>
      <c r="I10842" s="504">
        <v>3</v>
      </c>
      <c r="J10842" s="504">
        <v>0</v>
      </c>
      <c r="K10842" s="504">
        <v>0</v>
      </c>
      <c r="L10842" s="504">
        <v>0</v>
      </c>
      <c r="M10842" s="504">
        <v>0</v>
      </c>
      <c r="N10842" s="504">
        <v>0</v>
      </c>
      <c r="O10842" s="505">
        <v>3</v>
      </c>
    </row>
    <row r="10843" spans="1:15" x14ac:dyDescent="0.35">
      <c r="A10843" s="500" t="s">
        <v>1217</v>
      </c>
      <c r="B10843" s="501">
        <v>4851</v>
      </c>
      <c r="C10843" s="501" t="s">
        <v>1094</v>
      </c>
      <c r="D10843" s="501" t="s">
        <v>3380</v>
      </c>
      <c r="E10843" s="501" t="s">
        <v>3381</v>
      </c>
      <c r="F10843" s="501" t="s">
        <v>2</v>
      </c>
      <c r="G10843" s="501" t="s">
        <v>3368</v>
      </c>
      <c r="H10843" s="501" t="s">
        <v>13191</v>
      </c>
      <c r="I10843" s="501">
        <v>19156</v>
      </c>
      <c r="J10843" s="501">
        <v>15629</v>
      </c>
      <c r="K10843" s="501">
        <v>611</v>
      </c>
      <c r="L10843" s="501">
        <v>227</v>
      </c>
      <c r="M10843" s="501">
        <v>1269</v>
      </c>
      <c r="N10843" s="501">
        <v>63</v>
      </c>
      <c r="O10843" s="506">
        <v>1420</v>
      </c>
    </row>
    <row r="10844" spans="1:15" x14ac:dyDescent="0.35">
      <c r="A10844" s="503" t="s">
        <v>1218</v>
      </c>
      <c r="B10844" s="504" t="s">
        <v>3147</v>
      </c>
      <c r="C10844" s="504" t="s">
        <v>1094</v>
      </c>
      <c r="D10844" s="504" t="s">
        <v>3380</v>
      </c>
      <c r="E10844" s="504" t="s">
        <v>3381</v>
      </c>
      <c r="F10844" s="504" t="s">
        <v>2</v>
      </c>
      <c r="G10844" s="504" t="s">
        <v>3368</v>
      </c>
      <c r="H10844" s="504" t="s">
        <v>13194</v>
      </c>
      <c r="I10844" s="504">
        <v>2119</v>
      </c>
      <c r="J10844" s="504">
        <v>41</v>
      </c>
      <c r="K10844" s="504">
        <v>0</v>
      </c>
      <c r="L10844" s="504">
        <v>0</v>
      </c>
      <c r="M10844" s="504">
        <v>0</v>
      </c>
      <c r="N10844" s="504">
        <v>0</v>
      </c>
      <c r="O10844" s="505">
        <v>2078</v>
      </c>
    </row>
    <row r="10845" spans="1:15" x14ac:dyDescent="0.35">
      <c r="A10845" s="500" t="s">
        <v>1218</v>
      </c>
      <c r="B10845" s="501" t="s">
        <v>3147</v>
      </c>
      <c r="C10845" s="501" t="s">
        <v>1094</v>
      </c>
      <c r="D10845" s="501" t="s">
        <v>3380</v>
      </c>
      <c r="E10845" s="501" t="s">
        <v>3381</v>
      </c>
      <c r="F10845" s="501" t="s">
        <v>414</v>
      </c>
      <c r="G10845" s="501" t="s">
        <v>3368</v>
      </c>
      <c r="H10845" s="501" t="s">
        <v>13195</v>
      </c>
      <c r="I10845" s="501">
        <v>684</v>
      </c>
      <c r="J10845" s="501">
        <v>34</v>
      </c>
      <c r="K10845" s="501">
        <v>0</v>
      </c>
      <c r="L10845" s="501">
        <v>0</v>
      </c>
      <c r="M10845" s="501">
        <v>0</v>
      </c>
      <c r="N10845" s="501">
        <v>0</v>
      </c>
      <c r="O10845" s="506">
        <v>650</v>
      </c>
    </row>
    <row r="10846" spans="1:15" x14ac:dyDescent="0.35">
      <c r="A10846" s="503" t="s">
        <v>1218</v>
      </c>
      <c r="B10846" s="504" t="s">
        <v>3147</v>
      </c>
      <c r="C10846" s="504" t="s">
        <v>1094</v>
      </c>
      <c r="D10846" s="504" t="s">
        <v>3380</v>
      </c>
      <c r="E10846" s="504" t="s">
        <v>3381</v>
      </c>
      <c r="F10846" s="504" t="s">
        <v>420</v>
      </c>
      <c r="G10846" s="504" t="s">
        <v>3368</v>
      </c>
      <c r="H10846" s="504" t="s">
        <v>13193</v>
      </c>
      <c r="I10846" s="504">
        <v>1448</v>
      </c>
      <c r="J10846" s="504">
        <v>46</v>
      </c>
      <c r="K10846" s="504">
        <v>0</v>
      </c>
      <c r="L10846" s="504">
        <v>0</v>
      </c>
      <c r="M10846" s="504">
        <v>0</v>
      </c>
      <c r="N10846" s="504">
        <v>0</v>
      </c>
      <c r="O10846" s="505">
        <v>1402</v>
      </c>
    </row>
    <row r="10847" spans="1:15" x14ac:dyDescent="0.35">
      <c r="A10847" s="500" t="s">
        <v>1218</v>
      </c>
      <c r="B10847" s="501" t="s">
        <v>3147</v>
      </c>
      <c r="C10847" s="501" t="s">
        <v>1094</v>
      </c>
      <c r="D10847" s="501" t="s">
        <v>3380</v>
      </c>
      <c r="E10847" s="501" t="s">
        <v>3381</v>
      </c>
      <c r="F10847" s="501" t="s">
        <v>416</v>
      </c>
      <c r="G10847" s="501" t="s">
        <v>3368</v>
      </c>
      <c r="H10847" s="501" t="s">
        <v>13197</v>
      </c>
      <c r="I10847" s="501">
        <v>510</v>
      </c>
      <c r="J10847" s="501">
        <v>0</v>
      </c>
      <c r="K10847" s="501">
        <v>0</v>
      </c>
      <c r="L10847" s="501">
        <v>0</v>
      </c>
      <c r="M10847" s="501">
        <v>0</v>
      </c>
      <c r="N10847" s="501">
        <v>0</v>
      </c>
      <c r="O10847" s="506">
        <v>510</v>
      </c>
    </row>
    <row r="10848" spans="1:15" x14ac:dyDescent="0.35">
      <c r="A10848" s="503" t="s">
        <v>1218</v>
      </c>
      <c r="B10848" s="504" t="s">
        <v>3147</v>
      </c>
      <c r="C10848" s="504" t="s">
        <v>1094</v>
      </c>
      <c r="D10848" s="504" t="s">
        <v>3380</v>
      </c>
      <c r="E10848" s="504" t="s">
        <v>3381</v>
      </c>
      <c r="F10848" s="504" t="s">
        <v>419</v>
      </c>
      <c r="G10848" s="504" t="s">
        <v>3368</v>
      </c>
      <c r="H10848" s="504" t="s">
        <v>15407</v>
      </c>
      <c r="I10848" s="504">
        <v>6</v>
      </c>
      <c r="J10848" s="504">
        <v>0</v>
      </c>
      <c r="K10848" s="504">
        <v>0</v>
      </c>
      <c r="L10848" s="504">
        <v>0</v>
      </c>
      <c r="M10848" s="504">
        <v>0</v>
      </c>
      <c r="N10848" s="504">
        <v>0</v>
      </c>
      <c r="O10848" s="505">
        <v>6</v>
      </c>
    </row>
    <row r="10849" spans="1:15" x14ac:dyDescent="0.35">
      <c r="A10849" s="500" t="s">
        <v>1218</v>
      </c>
      <c r="B10849" s="501" t="s">
        <v>3147</v>
      </c>
      <c r="C10849" s="501" t="s">
        <v>1094</v>
      </c>
      <c r="D10849" s="501" t="s">
        <v>3380</v>
      </c>
      <c r="E10849" s="501" t="s">
        <v>3381</v>
      </c>
      <c r="F10849" s="501" t="s">
        <v>415</v>
      </c>
      <c r="G10849" s="501" t="s">
        <v>3368</v>
      </c>
      <c r="H10849" s="501" t="s">
        <v>13196</v>
      </c>
      <c r="I10849" s="501">
        <v>1195</v>
      </c>
      <c r="J10849" s="501">
        <v>4</v>
      </c>
      <c r="K10849" s="501">
        <v>0</v>
      </c>
      <c r="L10849" s="501">
        <v>0</v>
      </c>
      <c r="M10849" s="501">
        <v>0</v>
      </c>
      <c r="N10849" s="501">
        <v>0</v>
      </c>
      <c r="O10849" s="506">
        <v>1191</v>
      </c>
    </row>
    <row r="10850" spans="1:15" x14ac:dyDescent="0.35">
      <c r="A10850" s="503" t="s">
        <v>11367</v>
      </c>
      <c r="B10850" s="504" t="s">
        <v>3143</v>
      </c>
      <c r="C10850" s="504" t="s">
        <v>1094</v>
      </c>
      <c r="D10850" s="504" t="s">
        <v>3380</v>
      </c>
      <c r="E10850" s="504" t="s">
        <v>3381</v>
      </c>
      <c r="F10850" s="504" t="s">
        <v>414</v>
      </c>
      <c r="G10850" s="504" t="s">
        <v>3368</v>
      </c>
      <c r="H10850" s="504" t="s">
        <v>13201</v>
      </c>
      <c r="I10850" s="504">
        <v>3516</v>
      </c>
      <c r="J10850" s="504">
        <v>3251</v>
      </c>
      <c r="K10850" s="504">
        <v>0</v>
      </c>
      <c r="L10850" s="504">
        <v>102</v>
      </c>
      <c r="M10850" s="504">
        <v>163</v>
      </c>
      <c r="N10850" s="504">
        <v>0</v>
      </c>
      <c r="O10850" s="505">
        <v>0</v>
      </c>
    </row>
    <row r="10851" spans="1:15" x14ac:dyDescent="0.35">
      <c r="A10851" s="500" t="s">
        <v>11367</v>
      </c>
      <c r="B10851" s="501" t="s">
        <v>3143</v>
      </c>
      <c r="C10851" s="501" t="s">
        <v>1094</v>
      </c>
      <c r="D10851" s="501" t="s">
        <v>3380</v>
      </c>
      <c r="E10851" s="501" t="s">
        <v>3381</v>
      </c>
      <c r="F10851" s="501" t="s">
        <v>416</v>
      </c>
      <c r="G10851" s="501" t="s">
        <v>3368</v>
      </c>
      <c r="H10851" s="501" t="s">
        <v>13199</v>
      </c>
      <c r="I10851" s="501">
        <v>4568</v>
      </c>
      <c r="J10851" s="501">
        <v>4250</v>
      </c>
      <c r="K10851" s="501">
        <v>0</v>
      </c>
      <c r="L10851" s="501">
        <v>18</v>
      </c>
      <c r="M10851" s="501">
        <v>228</v>
      </c>
      <c r="N10851" s="501">
        <v>3</v>
      </c>
      <c r="O10851" s="506">
        <v>72</v>
      </c>
    </row>
    <row r="10852" spans="1:15" x14ac:dyDescent="0.35">
      <c r="A10852" s="503" t="s">
        <v>11367</v>
      </c>
      <c r="B10852" s="504" t="s">
        <v>3143</v>
      </c>
      <c r="C10852" s="504" t="s">
        <v>1094</v>
      </c>
      <c r="D10852" s="504" t="s">
        <v>3380</v>
      </c>
      <c r="E10852" s="504" t="s">
        <v>3381</v>
      </c>
      <c r="F10852" s="504" t="s">
        <v>420</v>
      </c>
      <c r="G10852" s="504" t="s">
        <v>3368</v>
      </c>
      <c r="H10852" s="504" t="s">
        <v>13198</v>
      </c>
      <c r="I10852" s="504">
        <v>12181</v>
      </c>
      <c r="J10852" s="504">
        <v>10613</v>
      </c>
      <c r="K10852" s="504">
        <v>2</v>
      </c>
      <c r="L10852" s="504">
        <v>183</v>
      </c>
      <c r="M10852" s="504">
        <v>1295</v>
      </c>
      <c r="N10852" s="504">
        <v>10</v>
      </c>
      <c r="O10852" s="505">
        <v>88</v>
      </c>
    </row>
    <row r="10853" spans="1:15" x14ac:dyDescent="0.35">
      <c r="A10853" s="500" t="s">
        <v>11367</v>
      </c>
      <c r="B10853" s="501" t="s">
        <v>3143</v>
      </c>
      <c r="C10853" s="501" t="s">
        <v>1094</v>
      </c>
      <c r="D10853" s="501" t="s">
        <v>3380</v>
      </c>
      <c r="E10853" s="501" t="s">
        <v>3381</v>
      </c>
      <c r="F10853" s="501" t="s">
        <v>415</v>
      </c>
      <c r="G10853" s="501" t="s">
        <v>3368</v>
      </c>
      <c r="H10853" s="501" t="s">
        <v>13200</v>
      </c>
      <c r="I10853" s="501">
        <v>4937</v>
      </c>
      <c r="J10853" s="501">
        <v>4268</v>
      </c>
      <c r="K10853" s="501">
        <v>0</v>
      </c>
      <c r="L10853" s="501">
        <v>207</v>
      </c>
      <c r="M10853" s="501">
        <v>430</v>
      </c>
      <c r="N10853" s="501">
        <v>8</v>
      </c>
      <c r="O10853" s="506">
        <v>32</v>
      </c>
    </row>
    <row r="10854" spans="1:15" x14ac:dyDescent="0.35">
      <c r="A10854" s="503" t="s">
        <v>11367</v>
      </c>
      <c r="B10854" s="504" t="s">
        <v>3143</v>
      </c>
      <c r="C10854" s="504" t="s">
        <v>1094</v>
      </c>
      <c r="D10854" s="504" t="s">
        <v>3380</v>
      </c>
      <c r="E10854" s="504" t="s">
        <v>3381</v>
      </c>
      <c r="F10854" s="504" t="s">
        <v>2</v>
      </c>
      <c r="G10854" s="504" t="s">
        <v>3368</v>
      </c>
      <c r="H10854" s="504" t="s">
        <v>13202</v>
      </c>
      <c r="I10854" s="504">
        <v>8627</v>
      </c>
      <c r="J10854" s="504">
        <v>7704</v>
      </c>
      <c r="K10854" s="504">
        <v>0</v>
      </c>
      <c r="L10854" s="504">
        <v>135</v>
      </c>
      <c r="M10854" s="504">
        <v>734</v>
      </c>
      <c r="N10854" s="504">
        <v>9</v>
      </c>
      <c r="O10854" s="505">
        <v>54</v>
      </c>
    </row>
    <row r="10855" spans="1:15" x14ac:dyDescent="0.35">
      <c r="A10855" s="500" t="s">
        <v>14267</v>
      </c>
      <c r="B10855" s="501">
        <v>4699</v>
      </c>
      <c r="C10855" s="501" t="s">
        <v>1089</v>
      </c>
      <c r="D10855" s="501" t="s">
        <v>3392</v>
      </c>
      <c r="E10855" s="501" t="s">
        <v>3381</v>
      </c>
      <c r="F10855" s="501" t="s">
        <v>416</v>
      </c>
      <c r="G10855" s="501" t="s">
        <v>3368</v>
      </c>
      <c r="H10855" s="501" t="s">
        <v>15408</v>
      </c>
      <c r="I10855" s="501">
        <v>122</v>
      </c>
      <c r="J10855" s="501">
        <v>122</v>
      </c>
      <c r="K10855" s="501">
        <v>0</v>
      </c>
      <c r="L10855" s="501">
        <v>0</v>
      </c>
      <c r="M10855" s="501">
        <v>0</v>
      </c>
      <c r="N10855" s="501">
        <v>0</v>
      </c>
      <c r="O10855" s="506">
        <v>0</v>
      </c>
    </row>
    <row r="10856" spans="1:15" x14ac:dyDescent="0.35">
      <c r="A10856" s="503" t="s">
        <v>2001</v>
      </c>
      <c r="B10856" s="504" t="s">
        <v>2426</v>
      </c>
      <c r="C10856" s="504" t="s">
        <v>1089</v>
      </c>
      <c r="D10856" s="504" t="s">
        <v>3392</v>
      </c>
      <c r="E10856" s="504" t="s">
        <v>3381</v>
      </c>
      <c r="F10856" s="504" t="s">
        <v>419</v>
      </c>
      <c r="G10856" s="504" t="s">
        <v>3368</v>
      </c>
      <c r="H10856" s="504" t="s">
        <v>13203</v>
      </c>
      <c r="I10856" s="504">
        <v>117</v>
      </c>
      <c r="J10856" s="504">
        <v>5</v>
      </c>
      <c r="K10856" s="504">
        <v>0</v>
      </c>
      <c r="L10856" s="504">
        <v>0</v>
      </c>
      <c r="M10856" s="504">
        <v>112</v>
      </c>
      <c r="N10856" s="504">
        <v>0</v>
      </c>
      <c r="O10856" s="505">
        <v>0</v>
      </c>
    </row>
    <row r="10857" spans="1:15" x14ac:dyDescent="0.35">
      <c r="A10857" s="500" t="s">
        <v>1513</v>
      </c>
      <c r="B10857" s="501" t="s">
        <v>3048</v>
      </c>
      <c r="C10857" s="501" t="s">
        <v>1089</v>
      </c>
      <c r="D10857" s="501" t="s">
        <v>3392</v>
      </c>
      <c r="E10857" s="501" t="s">
        <v>3381</v>
      </c>
      <c r="F10857" s="501" t="s">
        <v>416</v>
      </c>
      <c r="G10857" s="501" t="s">
        <v>3368</v>
      </c>
      <c r="H10857" s="501" t="s">
        <v>13204</v>
      </c>
      <c r="I10857" s="501">
        <v>61</v>
      </c>
      <c r="J10857" s="501">
        <v>0</v>
      </c>
      <c r="K10857" s="501">
        <v>0</v>
      </c>
      <c r="L10857" s="501">
        <v>61</v>
      </c>
      <c r="M10857" s="501">
        <v>0</v>
      </c>
      <c r="N10857" s="501">
        <v>0</v>
      </c>
      <c r="O10857" s="506">
        <v>0</v>
      </c>
    </row>
    <row r="10858" spans="1:15" x14ac:dyDescent="0.35">
      <c r="A10858" s="503" t="s">
        <v>1324</v>
      </c>
      <c r="B10858" s="504">
        <v>4766</v>
      </c>
      <c r="C10858" s="504" t="s">
        <v>1089</v>
      </c>
      <c r="D10858" s="504" t="s">
        <v>3392</v>
      </c>
      <c r="E10858" s="504" t="s">
        <v>3381</v>
      </c>
      <c r="F10858" s="504" t="s">
        <v>416</v>
      </c>
      <c r="G10858" s="504" t="s">
        <v>3368</v>
      </c>
      <c r="H10858" s="504" t="s">
        <v>13205</v>
      </c>
      <c r="I10858" s="504">
        <v>500</v>
      </c>
      <c r="J10858" s="504">
        <v>485</v>
      </c>
      <c r="K10858" s="504">
        <v>0</v>
      </c>
      <c r="L10858" s="504">
        <v>15</v>
      </c>
      <c r="M10858" s="504">
        <v>0</v>
      </c>
      <c r="N10858" s="504">
        <v>0</v>
      </c>
      <c r="O10858" s="505">
        <v>0</v>
      </c>
    </row>
    <row r="10859" spans="1:15" x14ac:dyDescent="0.35">
      <c r="A10859" s="500" t="s">
        <v>1324</v>
      </c>
      <c r="B10859" s="501">
        <v>4766</v>
      </c>
      <c r="C10859" s="501" t="s">
        <v>1089</v>
      </c>
      <c r="D10859" s="501" t="s">
        <v>3392</v>
      </c>
      <c r="E10859" s="501" t="s">
        <v>3381</v>
      </c>
      <c r="F10859" s="501" t="s">
        <v>415</v>
      </c>
      <c r="G10859" s="501" t="s">
        <v>3368</v>
      </c>
      <c r="H10859" s="501" t="s">
        <v>13206</v>
      </c>
      <c r="I10859" s="501">
        <v>54</v>
      </c>
      <c r="J10859" s="501">
        <v>54</v>
      </c>
      <c r="K10859" s="501">
        <v>0</v>
      </c>
      <c r="L10859" s="501">
        <v>0</v>
      </c>
      <c r="M10859" s="501">
        <v>0</v>
      </c>
      <c r="N10859" s="501">
        <v>0</v>
      </c>
      <c r="O10859" s="506">
        <v>0</v>
      </c>
    </row>
    <row r="10860" spans="1:15" x14ac:dyDescent="0.35">
      <c r="A10860" s="503" t="s">
        <v>1325</v>
      </c>
      <c r="B10860" s="504" t="s">
        <v>3011</v>
      </c>
      <c r="C10860" s="504" t="s">
        <v>1094</v>
      </c>
      <c r="D10860" s="504" t="s">
        <v>3380</v>
      </c>
      <c r="E10860" s="504" t="s">
        <v>3381</v>
      </c>
      <c r="F10860" s="504" t="s">
        <v>416</v>
      </c>
      <c r="G10860" s="504" t="s">
        <v>3368</v>
      </c>
      <c r="H10860" s="504" t="s">
        <v>13208</v>
      </c>
      <c r="I10860" s="504">
        <v>4096</v>
      </c>
      <c r="J10860" s="504">
        <v>2901</v>
      </c>
      <c r="K10860" s="504">
        <v>329</v>
      </c>
      <c r="L10860" s="504">
        <v>186</v>
      </c>
      <c r="M10860" s="504">
        <v>233</v>
      </c>
      <c r="N10860" s="504">
        <v>0</v>
      </c>
      <c r="O10860" s="505">
        <v>447</v>
      </c>
    </row>
    <row r="10861" spans="1:15" x14ac:dyDescent="0.35">
      <c r="A10861" s="500" t="s">
        <v>1325</v>
      </c>
      <c r="B10861" s="501" t="s">
        <v>3011</v>
      </c>
      <c r="C10861" s="501" t="s">
        <v>1094</v>
      </c>
      <c r="D10861" s="501" t="s">
        <v>3380</v>
      </c>
      <c r="E10861" s="501" t="s">
        <v>3381</v>
      </c>
      <c r="F10861" s="501" t="s">
        <v>415</v>
      </c>
      <c r="G10861" s="501" t="s">
        <v>3368</v>
      </c>
      <c r="H10861" s="501" t="s">
        <v>13209</v>
      </c>
      <c r="I10861" s="501">
        <v>1238</v>
      </c>
      <c r="J10861" s="501">
        <v>808</v>
      </c>
      <c r="K10861" s="501">
        <v>90</v>
      </c>
      <c r="L10861" s="501">
        <v>69</v>
      </c>
      <c r="M10861" s="501">
        <v>169</v>
      </c>
      <c r="N10861" s="501">
        <v>0</v>
      </c>
      <c r="O10861" s="506">
        <v>102</v>
      </c>
    </row>
    <row r="10862" spans="1:15" x14ac:dyDescent="0.35">
      <c r="A10862" s="503" t="s">
        <v>1325</v>
      </c>
      <c r="B10862" s="504" t="s">
        <v>3011</v>
      </c>
      <c r="C10862" s="504" t="s">
        <v>1094</v>
      </c>
      <c r="D10862" s="504" t="s">
        <v>3380</v>
      </c>
      <c r="E10862" s="504" t="s">
        <v>3381</v>
      </c>
      <c r="F10862" s="504" t="s">
        <v>2</v>
      </c>
      <c r="G10862" s="504" t="s">
        <v>3368</v>
      </c>
      <c r="H10862" s="504" t="s">
        <v>13207</v>
      </c>
      <c r="I10862" s="504">
        <v>3</v>
      </c>
      <c r="J10862" s="504">
        <v>0</v>
      </c>
      <c r="K10862" s="504">
        <v>0</v>
      </c>
      <c r="L10862" s="504">
        <v>0</v>
      </c>
      <c r="M10862" s="504">
        <v>0</v>
      </c>
      <c r="N10862" s="504">
        <v>0</v>
      </c>
      <c r="O10862" s="505">
        <v>3</v>
      </c>
    </row>
    <row r="10863" spans="1:15" x14ac:dyDescent="0.35">
      <c r="A10863" s="500" t="s">
        <v>1873</v>
      </c>
      <c r="B10863" s="501" t="s">
        <v>2658</v>
      </c>
      <c r="C10863" s="501" t="s">
        <v>1089</v>
      </c>
      <c r="D10863" s="501" t="s">
        <v>3392</v>
      </c>
      <c r="E10863" s="501" t="s">
        <v>3381</v>
      </c>
      <c r="F10863" s="501" t="s">
        <v>2</v>
      </c>
      <c r="G10863" s="501" t="s">
        <v>3368</v>
      </c>
      <c r="H10863" s="501" t="s">
        <v>13210</v>
      </c>
      <c r="I10863" s="501">
        <v>92</v>
      </c>
      <c r="J10863" s="501">
        <v>92</v>
      </c>
      <c r="K10863" s="501">
        <v>0</v>
      </c>
      <c r="L10863" s="501">
        <v>0</v>
      </c>
      <c r="M10863" s="501">
        <v>0</v>
      </c>
      <c r="N10863" s="501">
        <v>0</v>
      </c>
      <c r="O10863" s="506">
        <v>0</v>
      </c>
    </row>
    <row r="10864" spans="1:15" x14ac:dyDescent="0.35">
      <c r="A10864" s="503" t="s">
        <v>1326</v>
      </c>
      <c r="B10864" s="504" t="s">
        <v>2954</v>
      </c>
      <c r="C10864" s="504" t="s">
        <v>1094</v>
      </c>
      <c r="D10864" s="504" t="s">
        <v>3380</v>
      </c>
      <c r="E10864" s="504" t="s">
        <v>3381</v>
      </c>
      <c r="F10864" s="504" t="s">
        <v>415</v>
      </c>
      <c r="G10864" s="504" t="s">
        <v>3368</v>
      </c>
      <c r="H10864" s="504" t="s">
        <v>13211</v>
      </c>
      <c r="I10864" s="504">
        <v>3779</v>
      </c>
      <c r="J10864" s="504">
        <v>2823</v>
      </c>
      <c r="K10864" s="504">
        <v>0</v>
      </c>
      <c r="L10864" s="504">
        <v>382</v>
      </c>
      <c r="M10864" s="504">
        <v>428</v>
      </c>
      <c r="N10864" s="504">
        <v>0</v>
      </c>
      <c r="O10864" s="505">
        <v>146</v>
      </c>
    </row>
    <row r="10865" spans="1:15" x14ac:dyDescent="0.35">
      <c r="A10865" s="500" t="s">
        <v>1514</v>
      </c>
      <c r="B10865" s="501" t="s">
        <v>3284</v>
      </c>
      <c r="C10865" s="501" t="s">
        <v>1089</v>
      </c>
      <c r="D10865" s="501" t="s">
        <v>3392</v>
      </c>
      <c r="E10865" s="501" t="s">
        <v>3381</v>
      </c>
      <c r="F10865" s="501" t="s">
        <v>416</v>
      </c>
      <c r="G10865" s="501" t="s">
        <v>3368</v>
      </c>
      <c r="H10865" s="501" t="s">
        <v>13212</v>
      </c>
      <c r="I10865" s="501">
        <v>11</v>
      </c>
      <c r="J10865" s="501">
        <v>0</v>
      </c>
      <c r="K10865" s="501">
        <v>0</v>
      </c>
      <c r="L10865" s="501">
        <v>3</v>
      </c>
      <c r="M10865" s="501">
        <v>8</v>
      </c>
      <c r="N10865" s="501">
        <v>0</v>
      </c>
      <c r="O10865" s="506">
        <v>0</v>
      </c>
    </row>
    <row r="10866" spans="1:15" x14ac:dyDescent="0.35">
      <c r="A10866" s="503" t="s">
        <v>11388</v>
      </c>
      <c r="B10866" s="504">
        <v>5095</v>
      </c>
      <c r="C10866" s="504" t="s">
        <v>1089</v>
      </c>
      <c r="D10866" s="504" t="s">
        <v>3392</v>
      </c>
      <c r="E10866" s="504" t="s">
        <v>3381</v>
      </c>
      <c r="F10866" s="504" t="s">
        <v>416</v>
      </c>
      <c r="G10866" s="504" t="s">
        <v>3368</v>
      </c>
      <c r="H10866" s="504" t="s">
        <v>13213</v>
      </c>
      <c r="I10866" s="504">
        <v>1</v>
      </c>
      <c r="J10866" s="504">
        <v>1</v>
      </c>
      <c r="K10866" s="504">
        <v>0</v>
      </c>
      <c r="L10866" s="504">
        <v>0</v>
      </c>
      <c r="M10866" s="504">
        <v>0</v>
      </c>
      <c r="N10866" s="504">
        <v>0</v>
      </c>
      <c r="O10866" s="505">
        <v>0</v>
      </c>
    </row>
    <row r="10867" spans="1:15" x14ac:dyDescent="0.35">
      <c r="A10867" s="500" t="s">
        <v>1646</v>
      </c>
      <c r="B10867" s="501" t="s">
        <v>2736</v>
      </c>
      <c r="C10867" s="501" t="s">
        <v>1089</v>
      </c>
      <c r="D10867" s="501" t="s">
        <v>3392</v>
      </c>
      <c r="E10867" s="501" t="s">
        <v>3381</v>
      </c>
      <c r="F10867" s="501" t="s">
        <v>417</v>
      </c>
      <c r="G10867" s="501" t="s">
        <v>3368</v>
      </c>
      <c r="H10867" s="501" t="s">
        <v>13214</v>
      </c>
      <c r="I10867" s="501">
        <v>29</v>
      </c>
      <c r="J10867" s="501">
        <v>29</v>
      </c>
      <c r="K10867" s="501">
        <v>0</v>
      </c>
      <c r="L10867" s="501">
        <v>0</v>
      </c>
      <c r="M10867" s="501">
        <v>0</v>
      </c>
      <c r="N10867" s="501">
        <v>0</v>
      </c>
      <c r="O10867" s="506">
        <v>0</v>
      </c>
    </row>
    <row r="10868" spans="1:15" x14ac:dyDescent="0.35">
      <c r="A10868" s="503" t="s">
        <v>1219</v>
      </c>
      <c r="B10868" s="504">
        <v>4876</v>
      </c>
      <c r="C10868" s="504" t="s">
        <v>1089</v>
      </c>
      <c r="D10868" s="504" t="s">
        <v>3392</v>
      </c>
      <c r="E10868" s="504" t="s">
        <v>3381</v>
      </c>
      <c r="F10868" s="504" t="s">
        <v>419</v>
      </c>
      <c r="G10868" s="504" t="s">
        <v>3368</v>
      </c>
      <c r="H10868" s="504" t="s">
        <v>13217</v>
      </c>
      <c r="I10868" s="504">
        <v>10</v>
      </c>
      <c r="J10868" s="504">
        <v>0</v>
      </c>
      <c r="K10868" s="504">
        <v>0</v>
      </c>
      <c r="L10868" s="504">
        <v>10</v>
      </c>
      <c r="M10868" s="504">
        <v>0</v>
      </c>
      <c r="N10868" s="504">
        <v>0</v>
      </c>
      <c r="O10868" s="505">
        <v>0</v>
      </c>
    </row>
    <row r="10869" spans="1:15" x14ac:dyDescent="0.35">
      <c r="A10869" s="500" t="s">
        <v>1219</v>
      </c>
      <c r="B10869" s="501">
        <v>4876</v>
      </c>
      <c r="C10869" s="501" t="s">
        <v>1089</v>
      </c>
      <c r="D10869" s="501" t="s">
        <v>3392</v>
      </c>
      <c r="E10869" s="501" t="s">
        <v>3381</v>
      </c>
      <c r="F10869" s="501" t="s">
        <v>414</v>
      </c>
      <c r="G10869" s="501" t="s">
        <v>3368</v>
      </c>
      <c r="H10869" s="501" t="s">
        <v>13216</v>
      </c>
      <c r="I10869" s="501">
        <v>74</v>
      </c>
      <c r="J10869" s="501">
        <v>0</v>
      </c>
      <c r="K10869" s="501">
        <v>0</v>
      </c>
      <c r="L10869" s="501">
        <v>74</v>
      </c>
      <c r="M10869" s="501">
        <v>0</v>
      </c>
      <c r="N10869" s="501">
        <v>0</v>
      </c>
      <c r="O10869" s="506">
        <v>0</v>
      </c>
    </row>
    <row r="10870" spans="1:15" x14ac:dyDescent="0.35">
      <c r="A10870" s="503" t="s">
        <v>1219</v>
      </c>
      <c r="B10870" s="504">
        <v>4876</v>
      </c>
      <c r="C10870" s="504" t="s">
        <v>1089</v>
      </c>
      <c r="D10870" s="504" t="s">
        <v>3392</v>
      </c>
      <c r="E10870" s="504" t="s">
        <v>3381</v>
      </c>
      <c r="F10870" s="504" t="s">
        <v>420</v>
      </c>
      <c r="G10870" s="504" t="s">
        <v>3368</v>
      </c>
      <c r="H10870" s="504" t="s">
        <v>13215</v>
      </c>
      <c r="I10870" s="504">
        <v>35</v>
      </c>
      <c r="J10870" s="504">
        <v>0</v>
      </c>
      <c r="K10870" s="504">
        <v>0</v>
      </c>
      <c r="L10870" s="504">
        <v>35</v>
      </c>
      <c r="M10870" s="504">
        <v>0</v>
      </c>
      <c r="N10870" s="504">
        <v>0</v>
      </c>
      <c r="O10870" s="505">
        <v>0</v>
      </c>
    </row>
    <row r="10871" spans="1:15" x14ac:dyDescent="0.35">
      <c r="A10871" s="500" t="s">
        <v>11415</v>
      </c>
      <c r="B10871" s="501" t="s">
        <v>2973</v>
      </c>
      <c r="C10871" s="501" t="s">
        <v>1089</v>
      </c>
      <c r="D10871" s="501" t="s">
        <v>3392</v>
      </c>
      <c r="E10871" s="501" t="s">
        <v>3381</v>
      </c>
      <c r="F10871" s="501" t="s">
        <v>2</v>
      </c>
      <c r="G10871" s="501" t="s">
        <v>3368</v>
      </c>
      <c r="H10871" s="501" t="s">
        <v>13218</v>
      </c>
      <c r="I10871" s="501">
        <v>272</v>
      </c>
      <c r="J10871" s="501">
        <v>268</v>
      </c>
      <c r="K10871" s="501">
        <v>0</v>
      </c>
      <c r="L10871" s="501">
        <v>4</v>
      </c>
      <c r="M10871" s="501">
        <v>0</v>
      </c>
      <c r="N10871" s="501">
        <v>0</v>
      </c>
      <c r="O10871" s="506">
        <v>0</v>
      </c>
    </row>
    <row r="10872" spans="1:15" x14ac:dyDescent="0.35">
      <c r="A10872" s="503" t="s">
        <v>2092</v>
      </c>
      <c r="B10872" s="504" t="s">
        <v>2772</v>
      </c>
      <c r="C10872" s="504" t="s">
        <v>1089</v>
      </c>
      <c r="D10872" s="504" t="s">
        <v>3392</v>
      </c>
      <c r="E10872" s="504" t="s">
        <v>3381</v>
      </c>
      <c r="F10872" s="504" t="s">
        <v>420</v>
      </c>
      <c r="G10872" s="504" t="s">
        <v>3368</v>
      </c>
      <c r="H10872" s="504" t="s">
        <v>13219</v>
      </c>
      <c r="I10872" s="504">
        <v>24</v>
      </c>
      <c r="J10872" s="504">
        <v>24</v>
      </c>
      <c r="K10872" s="504">
        <v>0</v>
      </c>
      <c r="L10872" s="504">
        <v>0</v>
      </c>
      <c r="M10872" s="504">
        <v>0</v>
      </c>
      <c r="N10872" s="504">
        <v>0</v>
      </c>
      <c r="O10872" s="505">
        <v>0</v>
      </c>
    </row>
    <row r="10873" spans="1:15" x14ac:dyDescent="0.35">
      <c r="A10873" s="500" t="s">
        <v>2169</v>
      </c>
      <c r="B10873" s="501" t="s">
        <v>3104</v>
      </c>
      <c r="C10873" s="501" t="s">
        <v>1089</v>
      </c>
      <c r="D10873" s="501" t="s">
        <v>3392</v>
      </c>
      <c r="E10873" s="501" t="s">
        <v>3381</v>
      </c>
      <c r="F10873" s="501" t="s">
        <v>1048</v>
      </c>
      <c r="G10873" s="501" t="s">
        <v>3368</v>
      </c>
      <c r="H10873" s="501" t="s">
        <v>14036</v>
      </c>
      <c r="I10873" s="501">
        <v>61</v>
      </c>
      <c r="J10873" s="501">
        <v>29</v>
      </c>
      <c r="K10873" s="501">
        <v>0</v>
      </c>
      <c r="L10873" s="501">
        <v>0</v>
      </c>
      <c r="M10873" s="501">
        <v>32</v>
      </c>
      <c r="N10873" s="501">
        <v>0</v>
      </c>
      <c r="O10873" s="506">
        <v>0</v>
      </c>
    </row>
    <row r="10874" spans="1:15" x14ac:dyDescent="0.35">
      <c r="A10874" s="503" t="s">
        <v>1515</v>
      </c>
      <c r="B10874" s="504" t="s">
        <v>2818</v>
      </c>
      <c r="C10874" s="504" t="s">
        <v>1089</v>
      </c>
      <c r="D10874" s="504" t="s">
        <v>3392</v>
      </c>
      <c r="E10874" s="504" t="s">
        <v>3381</v>
      </c>
      <c r="F10874" s="504" t="s">
        <v>416</v>
      </c>
      <c r="G10874" s="504" t="s">
        <v>3368</v>
      </c>
      <c r="H10874" s="504" t="s">
        <v>13220</v>
      </c>
      <c r="I10874" s="504">
        <v>27</v>
      </c>
      <c r="J10874" s="504">
        <v>27</v>
      </c>
      <c r="K10874" s="504">
        <v>0</v>
      </c>
      <c r="L10874" s="504">
        <v>0</v>
      </c>
      <c r="M10874" s="504">
        <v>0</v>
      </c>
      <c r="N10874" s="504">
        <v>0</v>
      </c>
      <c r="O10874" s="505">
        <v>0</v>
      </c>
    </row>
    <row r="10875" spans="1:15" x14ac:dyDescent="0.35">
      <c r="A10875" s="500" t="s">
        <v>1516</v>
      </c>
      <c r="B10875" s="501" t="s">
        <v>2782</v>
      </c>
      <c r="C10875" s="501" t="s">
        <v>1089</v>
      </c>
      <c r="D10875" s="501" t="s">
        <v>3392</v>
      </c>
      <c r="E10875" s="501" t="s">
        <v>3381</v>
      </c>
      <c r="F10875" s="501" t="s">
        <v>416</v>
      </c>
      <c r="G10875" s="501" t="s">
        <v>3368</v>
      </c>
      <c r="H10875" s="501" t="s">
        <v>13221</v>
      </c>
      <c r="I10875" s="501">
        <v>49</v>
      </c>
      <c r="J10875" s="501">
        <v>49</v>
      </c>
      <c r="K10875" s="501">
        <v>0</v>
      </c>
      <c r="L10875" s="501">
        <v>0</v>
      </c>
      <c r="M10875" s="501">
        <v>0</v>
      </c>
      <c r="N10875" s="501">
        <v>0</v>
      </c>
      <c r="O10875" s="506">
        <v>0</v>
      </c>
    </row>
    <row r="10876" spans="1:15" x14ac:dyDescent="0.35">
      <c r="A10876" s="503" t="s">
        <v>1327</v>
      </c>
      <c r="B10876" s="504" t="s">
        <v>3330</v>
      </c>
      <c r="C10876" s="504" t="s">
        <v>1094</v>
      </c>
      <c r="D10876" s="504" t="s">
        <v>3380</v>
      </c>
      <c r="E10876" s="504" t="s">
        <v>3381</v>
      </c>
      <c r="F10876" s="504" t="s">
        <v>416</v>
      </c>
      <c r="G10876" s="504" t="s">
        <v>3368</v>
      </c>
      <c r="H10876" s="504" t="s">
        <v>13222</v>
      </c>
      <c r="I10876" s="504">
        <v>836</v>
      </c>
      <c r="J10876" s="504">
        <v>728</v>
      </c>
      <c r="K10876" s="504">
        <v>0</v>
      </c>
      <c r="L10876" s="504">
        <v>0</v>
      </c>
      <c r="M10876" s="504">
        <v>0</v>
      </c>
      <c r="N10876" s="504">
        <v>0</v>
      </c>
      <c r="O10876" s="505">
        <v>108</v>
      </c>
    </row>
    <row r="10877" spans="1:15" x14ac:dyDescent="0.35">
      <c r="A10877" s="500" t="s">
        <v>1327</v>
      </c>
      <c r="B10877" s="501" t="s">
        <v>3330</v>
      </c>
      <c r="C10877" s="501" t="s">
        <v>1094</v>
      </c>
      <c r="D10877" s="501" t="s">
        <v>3380</v>
      </c>
      <c r="E10877" s="501" t="s">
        <v>3381</v>
      </c>
      <c r="F10877" s="501" t="s">
        <v>2</v>
      </c>
      <c r="G10877" s="501" t="s">
        <v>3368</v>
      </c>
      <c r="H10877" s="501" t="s">
        <v>13224</v>
      </c>
      <c r="I10877" s="501">
        <v>9956</v>
      </c>
      <c r="J10877" s="501">
        <v>8059</v>
      </c>
      <c r="K10877" s="501">
        <v>3</v>
      </c>
      <c r="L10877" s="501">
        <v>70</v>
      </c>
      <c r="M10877" s="501">
        <v>25</v>
      </c>
      <c r="N10877" s="501">
        <v>15</v>
      </c>
      <c r="O10877" s="506">
        <v>1799</v>
      </c>
    </row>
    <row r="10878" spans="1:15" x14ac:dyDescent="0.35">
      <c r="A10878" s="503" t="s">
        <v>1327</v>
      </c>
      <c r="B10878" s="504" t="s">
        <v>3330</v>
      </c>
      <c r="C10878" s="504" t="s">
        <v>1094</v>
      </c>
      <c r="D10878" s="504" t="s">
        <v>3380</v>
      </c>
      <c r="E10878" s="504" t="s">
        <v>3381</v>
      </c>
      <c r="F10878" s="504" t="s">
        <v>415</v>
      </c>
      <c r="G10878" s="504" t="s">
        <v>3368</v>
      </c>
      <c r="H10878" s="504" t="s">
        <v>13223</v>
      </c>
      <c r="I10878" s="504">
        <v>3768</v>
      </c>
      <c r="J10878" s="504">
        <v>2959</v>
      </c>
      <c r="K10878" s="504">
        <v>0</v>
      </c>
      <c r="L10878" s="504">
        <v>68</v>
      </c>
      <c r="M10878" s="504">
        <v>0</v>
      </c>
      <c r="N10878" s="504">
        <v>1</v>
      </c>
      <c r="O10878" s="505">
        <v>741</v>
      </c>
    </row>
    <row r="10879" spans="1:15" x14ac:dyDescent="0.35">
      <c r="A10879" s="500" t="s">
        <v>1328</v>
      </c>
      <c r="B10879" s="501" t="s">
        <v>2722</v>
      </c>
      <c r="C10879" s="501" t="s">
        <v>1089</v>
      </c>
      <c r="D10879" s="501" t="s">
        <v>3392</v>
      </c>
      <c r="E10879" s="501" t="s">
        <v>3381</v>
      </c>
      <c r="F10879" s="501" t="s">
        <v>415</v>
      </c>
      <c r="G10879" s="501" t="s">
        <v>3368</v>
      </c>
      <c r="H10879" s="501" t="s">
        <v>13225</v>
      </c>
      <c r="I10879" s="501">
        <v>11</v>
      </c>
      <c r="J10879" s="501">
        <v>0</v>
      </c>
      <c r="K10879" s="501">
        <v>11</v>
      </c>
      <c r="L10879" s="501">
        <v>0</v>
      </c>
      <c r="M10879" s="501">
        <v>0</v>
      </c>
      <c r="N10879" s="501">
        <v>0</v>
      </c>
      <c r="O10879" s="506">
        <v>0</v>
      </c>
    </row>
    <row r="10880" spans="1:15" x14ac:dyDescent="0.35">
      <c r="A10880" s="503" t="s">
        <v>1220</v>
      </c>
      <c r="B10880" s="504">
        <v>4849</v>
      </c>
      <c r="C10880" s="504" t="s">
        <v>1094</v>
      </c>
      <c r="D10880" s="504" t="s">
        <v>3380</v>
      </c>
      <c r="E10880" s="504" t="s">
        <v>3381</v>
      </c>
      <c r="F10880" s="504" t="s">
        <v>415</v>
      </c>
      <c r="G10880" s="504" t="s">
        <v>3368</v>
      </c>
      <c r="H10880" s="504" t="s">
        <v>13231</v>
      </c>
      <c r="I10880" s="504">
        <v>56</v>
      </c>
      <c r="J10880" s="504">
        <v>31</v>
      </c>
      <c r="K10880" s="504">
        <v>0</v>
      </c>
      <c r="L10880" s="504">
        <v>0</v>
      </c>
      <c r="M10880" s="504">
        <v>25</v>
      </c>
      <c r="N10880" s="504">
        <v>0</v>
      </c>
      <c r="O10880" s="505">
        <v>0</v>
      </c>
    </row>
    <row r="10881" spans="1:15" x14ac:dyDescent="0.35">
      <c r="A10881" s="500" t="s">
        <v>1220</v>
      </c>
      <c r="B10881" s="501">
        <v>4849</v>
      </c>
      <c r="C10881" s="501" t="s">
        <v>1094</v>
      </c>
      <c r="D10881" s="501" t="s">
        <v>3380</v>
      </c>
      <c r="E10881" s="501" t="s">
        <v>3381</v>
      </c>
      <c r="F10881" s="501" t="s">
        <v>420</v>
      </c>
      <c r="G10881" s="501" t="s">
        <v>3368</v>
      </c>
      <c r="H10881" s="501" t="s">
        <v>13226</v>
      </c>
      <c r="I10881" s="501">
        <v>289</v>
      </c>
      <c r="J10881" s="501">
        <v>259</v>
      </c>
      <c r="K10881" s="501">
        <v>0</v>
      </c>
      <c r="L10881" s="501">
        <v>7</v>
      </c>
      <c r="M10881" s="501">
        <v>13</v>
      </c>
      <c r="N10881" s="501">
        <v>0</v>
      </c>
      <c r="O10881" s="506">
        <v>10</v>
      </c>
    </row>
    <row r="10882" spans="1:15" x14ac:dyDescent="0.35">
      <c r="A10882" s="503" t="s">
        <v>1220</v>
      </c>
      <c r="B10882" s="504">
        <v>4849</v>
      </c>
      <c r="C10882" s="504" t="s">
        <v>1094</v>
      </c>
      <c r="D10882" s="504" t="s">
        <v>3380</v>
      </c>
      <c r="E10882" s="504" t="s">
        <v>3381</v>
      </c>
      <c r="F10882" s="504" t="s">
        <v>416</v>
      </c>
      <c r="G10882" s="504" t="s">
        <v>3368</v>
      </c>
      <c r="H10882" s="504" t="s">
        <v>13227</v>
      </c>
      <c r="I10882" s="504">
        <v>7446</v>
      </c>
      <c r="J10882" s="504">
        <v>5391</v>
      </c>
      <c r="K10882" s="504">
        <v>0</v>
      </c>
      <c r="L10882" s="504">
        <v>228</v>
      </c>
      <c r="M10882" s="504">
        <v>882</v>
      </c>
      <c r="N10882" s="504">
        <v>0</v>
      </c>
      <c r="O10882" s="505">
        <v>945</v>
      </c>
    </row>
    <row r="10883" spans="1:15" x14ac:dyDescent="0.35">
      <c r="A10883" s="500" t="s">
        <v>1220</v>
      </c>
      <c r="B10883" s="501">
        <v>4849</v>
      </c>
      <c r="C10883" s="501" t="s">
        <v>1094</v>
      </c>
      <c r="D10883" s="501" t="s">
        <v>3380</v>
      </c>
      <c r="E10883" s="501" t="s">
        <v>3381</v>
      </c>
      <c r="F10883" s="501" t="s">
        <v>417</v>
      </c>
      <c r="G10883" s="501" t="s">
        <v>3368</v>
      </c>
      <c r="H10883" s="501" t="s">
        <v>13230</v>
      </c>
      <c r="I10883" s="501">
        <v>1</v>
      </c>
      <c r="J10883" s="501">
        <v>0</v>
      </c>
      <c r="K10883" s="501">
        <v>0</v>
      </c>
      <c r="L10883" s="501">
        <v>0</v>
      </c>
      <c r="M10883" s="501">
        <v>0</v>
      </c>
      <c r="N10883" s="501">
        <v>0</v>
      </c>
      <c r="O10883" s="506">
        <v>1</v>
      </c>
    </row>
    <row r="10884" spans="1:15" x14ac:dyDescent="0.35">
      <c r="A10884" s="503" t="s">
        <v>1220</v>
      </c>
      <c r="B10884" s="504">
        <v>4849</v>
      </c>
      <c r="C10884" s="504" t="s">
        <v>1094</v>
      </c>
      <c r="D10884" s="504" t="s">
        <v>3380</v>
      </c>
      <c r="E10884" s="504" t="s">
        <v>3381</v>
      </c>
      <c r="F10884" s="504" t="s">
        <v>414</v>
      </c>
      <c r="G10884" s="504" t="s">
        <v>3368</v>
      </c>
      <c r="H10884" s="504" t="s">
        <v>13229</v>
      </c>
      <c r="I10884" s="504">
        <v>7527</v>
      </c>
      <c r="J10884" s="504">
        <v>6112</v>
      </c>
      <c r="K10884" s="504">
        <v>0</v>
      </c>
      <c r="L10884" s="504">
        <v>459</v>
      </c>
      <c r="M10884" s="504">
        <v>691</v>
      </c>
      <c r="N10884" s="504">
        <v>0</v>
      </c>
      <c r="O10884" s="505">
        <v>265</v>
      </c>
    </row>
    <row r="10885" spans="1:15" x14ac:dyDescent="0.35">
      <c r="A10885" s="500" t="s">
        <v>1220</v>
      </c>
      <c r="B10885" s="501">
        <v>4849</v>
      </c>
      <c r="C10885" s="501" t="s">
        <v>1094</v>
      </c>
      <c r="D10885" s="501" t="s">
        <v>3380</v>
      </c>
      <c r="E10885" s="501" t="s">
        <v>3381</v>
      </c>
      <c r="F10885" s="501" t="s">
        <v>2</v>
      </c>
      <c r="G10885" s="501" t="s">
        <v>3368</v>
      </c>
      <c r="H10885" s="501" t="s">
        <v>13228</v>
      </c>
      <c r="I10885" s="501">
        <v>5591</v>
      </c>
      <c r="J10885" s="501">
        <v>4348</v>
      </c>
      <c r="K10885" s="501">
        <v>0</v>
      </c>
      <c r="L10885" s="501">
        <v>25</v>
      </c>
      <c r="M10885" s="501">
        <v>752</v>
      </c>
      <c r="N10885" s="501">
        <v>0</v>
      </c>
      <c r="O10885" s="506">
        <v>466</v>
      </c>
    </row>
    <row r="10886" spans="1:15" x14ac:dyDescent="0.35">
      <c r="A10886" s="503" t="s">
        <v>1221</v>
      </c>
      <c r="B10886" s="504">
        <v>4728</v>
      </c>
      <c r="C10886" s="504" t="s">
        <v>1089</v>
      </c>
      <c r="D10886" s="504" t="s">
        <v>3392</v>
      </c>
      <c r="E10886" s="504" t="s">
        <v>3381</v>
      </c>
      <c r="F10886" s="504" t="s">
        <v>420</v>
      </c>
      <c r="G10886" s="504" t="s">
        <v>3368</v>
      </c>
      <c r="H10886" s="504" t="s">
        <v>13233</v>
      </c>
      <c r="I10886" s="504">
        <v>18</v>
      </c>
      <c r="J10886" s="504">
        <v>0</v>
      </c>
      <c r="K10886" s="504">
        <v>0</v>
      </c>
      <c r="L10886" s="504">
        <v>18</v>
      </c>
      <c r="M10886" s="504">
        <v>0</v>
      </c>
      <c r="N10886" s="504">
        <v>0</v>
      </c>
      <c r="O10886" s="505">
        <v>0</v>
      </c>
    </row>
    <row r="10887" spans="1:15" x14ac:dyDescent="0.35">
      <c r="A10887" s="500" t="s">
        <v>1221</v>
      </c>
      <c r="B10887" s="501">
        <v>4728</v>
      </c>
      <c r="C10887" s="501" t="s">
        <v>1089</v>
      </c>
      <c r="D10887" s="501" t="s">
        <v>3392</v>
      </c>
      <c r="E10887" s="501" t="s">
        <v>3381</v>
      </c>
      <c r="F10887" s="501" t="s">
        <v>1048</v>
      </c>
      <c r="G10887" s="501" t="s">
        <v>3368</v>
      </c>
      <c r="H10887" s="501" t="s">
        <v>14037</v>
      </c>
      <c r="I10887" s="501">
        <v>89</v>
      </c>
      <c r="J10887" s="501">
        <v>0</v>
      </c>
      <c r="K10887" s="501">
        <v>0</v>
      </c>
      <c r="L10887" s="501">
        <v>89</v>
      </c>
      <c r="M10887" s="501">
        <v>0</v>
      </c>
      <c r="N10887" s="501">
        <v>0</v>
      </c>
      <c r="O10887" s="506">
        <v>0</v>
      </c>
    </row>
    <row r="10888" spans="1:15" x14ac:dyDescent="0.35">
      <c r="A10888" s="503" t="s">
        <v>1221</v>
      </c>
      <c r="B10888" s="504">
        <v>4728</v>
      </c>
      <c r="C10888" s="504" t="s">
        <v>1089</v>
      </c>
      <c r="D10888" s="504" t="s">
        <v>3392</v>
      </c>
      <c r="E10888" s="504" t="s">
        <v>3381</v>
      </c>
      <c r="F10888" s="504" t="s">
        <v>2</v>
      </c>
      <c r="G10888" s="504" t="s">
        <v>3368</v>
      </c>
      <c r="H10888" s="504" t="s">
        <v>13235</v>
      </c>
      <c r="I10888" s="504">
        <v>70</v>
      </c>
      <c r="J10888" s="504">
        <v>0</v>
      </c>
      <c r="K10888" s="504">
        <v>0</v>
      </c>
      <c r="L10888" s="504">
        <v>70</v>
      </c>
      <c r="M10888" s="504">
        <v>0</v>
      </c>
      <c r="N10888" s="504">
        <v>0</v>
      </c>
      <c r="O10888" s="505">
        <v>0</v>
      </c>
    </row>
    <row r="10889" spans="1:15" x14ac:dyDescent="0.35">
      <c r="A10889" s="500" t="s">
        <v>1221</v>
      </c>
      <c r="B10889" s="501">
        <v>4728</v>
      </c>
      <c r="C10889" s="501" t="s">
        <v>1089</v>
      </c>
      <c r="D10889" s="501" t="s">
        <v>3392</v>
      </c>
      <c r="E10889" s="501" t="s">
        <v>3381</v>
      </c>
      <c r="F10889" s="501" t="s">
        <v>416</v>
      </c>
      <c r="G10889" s="501" t="s">
        <v>3368</v>
      </c>
      <c r="H10889" s="501" t="s">
        <v>13238</v>
      </c>
      <c r="I10889" s="501">
        <v>138</v>
      </c>
      <c r="J10889" s="501">
        <v>0</v>
      </c>
      <c r="K10889" s="501">
        <v>0</v>
      </c>
      <c r="L10889" s="501">
        <v>138</v>
      </c>
      <c r="M10889" s="501">
        <v>0</v>
      </c>
      <c r="N10889" s="501">
        <v>0</v>
      </c>
      <c r="O10889" s="506">
        <v>0</v>
      </c>
    </row>
    <row r="10890" spans="1:15" x14ac:dyDescent="0.35">
      <c r="A10890" s="503" t="s">
        <v>1221</v>
      </c>
      <c r="B10890" s="504">
        <v>4728</v>
      </c>
      <c r="C10890" s="504" t="s">
        <v>1089</v>
      </c>
      <c r="D10890" s="504" t="s">
        <v>3392</v>
      </c>
      <c r="E10890" s="504" t="s">
        <v>3381</v>
      </c>
      <c r="F10890" s="504" t="s">
        <v>414</v>
      </c>
      <c r="G10890" s="504" t="s">
        <v>3368</v>
      </c>
      <c r="H10890" s="504" t="s">
        <v>13232</v>
      </c>
      <c r="I10890" s="504">
        <v>61</v>
      </c>
      <c r="J10890" s="504">
        <v>0</v>
      </c>
      <c r="K10890" s="504">
        <v>0</v>
      </c>
      <c r="L10890" s="504">
        <v>61</v>
      </c>
      <c r="M10890" s="504">
        <v>0</v>
      </c>
      <c r="N10890" s="504">
        <v>0</v>
      </c>
      <c r="O10890" s="505">
        <v>0</v>
      </c>
    </row>
    <row r="10891" spans="1:15" x14ac:dyDescent="0.35">
      <c r="A10891" s="500" t="s">
        <v>1221</v>
      </c>
      <c r="B10891" s="501">
        <v>4728</v>
      </c>
      <c r="C10891" s="501" t="s">
        <v>1089</v>
      </c>
      <c r="D10891" s="501" t="s">
        <v>3392</v>
      </c>
      <c r="E10891" s="501" t="s">
        <v>3381</v>
      </c>
      <c r="F10891" s="501" t="s">
        <v>419</v>
      </c>
      <c r="G10891" s="501" t="s">
        <v>3368</v>
      </c>
      <c r="H10891" s="501" t="s">
        <v>13236</v>
      </c>
      <c r="I10891" s="501">
        <v>35</v>
      </c>
      <c r="J10891" s="501">
        <v>0</v>
      </c>
      <c r="K10891" s="501">
        <v>0</v>
      </c>
      <c r="L10891" s="501">
        <v>35</v>
      </c>
      <c r="M10891" s="501">
        <v>0</v>
      </c>
      <c r="N10891" s="501">
        <v>0</v>
      </c>
      <c r="O10891" s="506">
        <v>0</v>
      </c>
    </row>
    <row r="10892" spans="1:15" x14ac:dyDescent="0.35">
      <c r="A10892" s="503" t="s">
        <v>1221</v>
      </c>
      <c r="B10892" s="504">
        <v>4728</v>
      </c>
      <c r="C10892" s="504" t="s">
        <v>1089</v>
      </c>
      <c r="D10892" s="504" t="s">
        <v>3392</v>
      </c>
      <c r="E10892" s="504" t="s">
        <v>3381</v>
      </c>
      <c r="F10892" s="504" t="s">
        <v>415</v>
      </c>
      <c r="G10892" s="504" t="s">
        <v>3368</v>
      </c>
      <c r="H10892" s="504" t="s">
        <v>13234</v>
      </c>
      <c r="I10892" s="504">
        <v>38</v>
      </c>
      <c r="J10892" s="504">
        <v>0</v>
      </c>
      <c r="K10892" s="504">
        <v>0</v>
      </c>
      <c r="L10892" s="504">
        <v>38</v>
      </c>
      <c r="M10892" s="504">
        <v>0</v>
      </c>
      <c r="N10892" s="504">
        <v>0</v>
      </c>
      <c r="O10892" s="505">
        <v>0</v>
      </c>
    </row>
    <row r="10893" spans="1:15" x14ac:dyDescent="0.35">
      <c r="A10893" s="500" t="s">
        <v>1221</v>
      </c>
      <c r="B10893" s="501">
        <v>4728</v>
      </c>
      <c r="C10893" s="501" t="s">
        <v>1089</v>
      </c>
      <c r="D10893" s="501" t="s">
        <v>3392</v>
      </c>
      <c r="E10893" s="501" t="s">
        <v>3381</v>
      </c>
      <c r="F10893" s="501" t="s">
        <v>418</v>
      </c>
      <c r="G10893" s="501" t="s">
        <v>3368</v>
      </c>
      <c r="H10893" s="501" t="s">
        <v>13237</v>
      </c>
      <c r="I10893" s="501">
        <v>23</v>
      </c>
      <c r="J10893" s="501">
        <v>0</v>
      </c>
      <c r="K10893" s="501">
        <v>0</v>
      </c>
      <c r="L10893" s="501">
        <v>23</v>
      </c>
      <c r="M10893" s="501">
        <v>0</v>
      </c>
      <c r="N10893" s="501">
        <v>0</v>
      </c>
      <c r="O10893" s="506">
        <v>0</v>
      </c>
    </row>
    <row r="10894" spans="1:15" x14ac:dyDescent="0.35">
      <c r="A10894" s="503" t="s">
        <v>1517</v>
      </c>
      <c r="B10894" s="504" t="s">
        <v>2778</v>
      </c>
      <c r="C10894" s="504" t="s">
        <v>1089</v>
      </c>
      <c r="D10894" s="504" t="s">
        <v>3392</v>
      </c>
      <c r="E10894" s="504" t="s">
        <v>3381</v>
      </c>
      <c r="F10894" s="504" t="s">
        <v>416</v>
      </c>
      <c r="G10894" s="504" t="s">
        <v>3368</v>
      </c>
      <c r="H10894" s="504" t="s">
        <v>13239</v>
      </c>
      <c r="I10894" s="504">
        <v>25</v>
      </c>
      <c r="J10894" s="504">
        <v>25</v>
      </c>
      <c r="K10894" s="504">
        <v>0</v>
      </c>
      <c r="L10894" s="504">
        <v>0</v>
      </c>
      <c r="M10894" s="504">
        <v>0</v>
      </c>
      <c r="N10894" s="504">
        <v>0</v>
      </c>
      <c r="O10894" s="505">
        <v>0</v>
      </c>
    </row>
    <row r="10895" spans="1:15" x14ac:dyDescent="0.35">
      <c r="A10895" s="500" t="s">
        <v>1329</v>
      </c>
      <c r="B10895" s="501">
        <v>5056</v>
      </c>
      <c r="C10895" s="501" t="s">
        <v>1089</v>
      </c>
      <c r="D10895" s="501" t="s">
        <v>3392</v>
      </c>
      <c r="E10895" s="501" t="s">
        <v>3381</v>
      </c>
      <c r="F10895" s="501" t="s">
        <v>415</v>
      </c>
      <c r="G10895" s="501" t="s">
        <v>3368</v>
      </c>
      <c r="H10895" s="501" t="s">
        <v>13240</v>
      </c>
      <c r="I10895" s="501">
        <v>21</v>
      </c>
      <c r="J10895" s="501">
        <v>21</v>
      </c>
      <c r="K10895" s="501">
        <v>0</v>
      </c>
      <c r="L10895" s="501">
        <v>0</v>
      </c>
      <c r="M10895" s="501">
        <v>0</v>
      </c>
      <c r="N10895" s="501">
        <v>0</v>
      </c>
      <c r="O10895" s="506">
        <v>0</v>
      </c>
    </row>
    <row r="10896" spans="1:15" x14ac:dyDescent="0.35">
      <c r="A10896" s="503" t="s">
        <v>1329</v>
      </c>
      <c r="B10896" s="504">
        <v>5056</v>
      </c>
      <c r="C10896" s="504" t="s">
        <v>1089</v>
      </c>
      <c r="D10896" s="504" t="s">
        <v>3392</v>
      </c>
      <c r="E10896" s="504" t="s">
        <v>3381</v>
      </c>
      <c r="F10896" s="504" t="s">
        <v>2</v>
      </c>
      <c r="G10896" s="504" t="s">
        <v>3368</v>
      </c>
      <c r="H10896" s="504" t="s">
        <v>15409</v>
      </c>
      <c r="I10896" s="504">
        <v>10</v>
      </c>
      <c r="J10896" s="504">
        <v>10</v>
      </c>
      <c r="K10896" s="504">
        <v>0</v>
      </c>
      <c r="L10896" s="504">
        <v>0</v>
      </c>
      <c r="M10896" s="504">
        <v>0</v>
      </c>
      <c r="N10896" s="504">
        <v>0</v>
      </c>
      <c r="O10896" s="505">
        <v>0</v>
      </c>
    </row>
    <row r="10897" spans="1:15" x14ac:dyDescent="0.35">
      <c r="A10897" s="500" t="s">
        <v>1329</v>
      </c>
      <c r="B10897" s="501">
        <v>5056</v>
      </c>
      <c r="C10897" s="501" t="s">
        <v>1089</v>
      </c>
      <c r="D10897" s="501" t="s">
        <v>3392</v>
      </c>
      <c r="E10897" s="501" t="s">
        <v>3381</v>
      </c>
      <c r="F10897" s="501" t="s">
        <v>416</v>
      </c>
      <c r="G10897" s="501" t="s">
        <v>3368</v>
      </c>
      <c r="H10897" s="501" t="s">
        <v>15410</v>
      </c>
      <c r="I10897" s="501">
        <v>9</v>
      </c>
      <c r="J10897" s="501">
        <v>9</v>
      </c>
      <c r="K10897" s="501">
        <v>0</v>
      </c>
      <c r="L10897" s="501">
        <v>0</v>
      </c>
      <c r="M10897" s="501">
        <v>0</v>
      </c>
      <c r="N10897" s="501">
        <v>0</v>
      </c>
      <c r="O10897" s="506">
        <v>0</v>
      </c>
    </row>
    <row r="10898" spans="1:15" x14ac:dyDescent="0.35">
      <c r="A10898" s="503" t="s">
        <v>1329</v>
      </c>
      <c r="B10898" s="504">
        <v>5056</v>
      </c>
      <c r="C10898" s="504" t="s">
        <v>1089</v>
      </c>
      <c r="D10898" s="504" t="s">
        <v>3392</v>
      </c>
      <c r="E10898" s="504" t="s">
        <v>3381</v>
      </c>
      <c r="F10898" s="504" t="s">
        <v>1048</v>
      </c>
      <c r="G10898" s="504" t="s">
        <v>3368</v>
      </c>
      <c r="H10898" s="504" t="s">
        <v>15411</v>
      </c>
      <c r="I10898" s="504">
        <v>6</v>
      </c>
      <c r="J10898" s="504">
        <v>6</v>
      </c>
      <c r="K10898" s="504">
        <v>0</v>
      </c>
      <c r="L10898" s="504">
        <v>0</v>
      </c>
      <c r="M10898" s="504">
        <v>0</v>
      </c>
      <c r="N10898" s="504">
        <v>0</v>
      </c>
      <c r="O10898" s="505">
        <v>0</v>
      </c>
    </row>
    <row r="10899" spans="1:15" x14ac:dyDescent="0.35">
      <c r="A10899" s="500" t="s">
        <v>1222</v>
      </c>
      <c r="B10899" s="501" t="s">
        <v>2538</v>
      </c>
      <c r="C10899" s="501" t="s">
        <v>1089</v>
      </c>
      <c r="D10899" s="501" t="s">
        <v>3392</v>
      </c>
      <c r="E10899" s="501" t="s">
        <v>3381</v>
      </c>
      <c r="F10899" s="501" t="s">
        <v>414</v>
      </c>
      <c r="G10899" s="501" t="s">
        <v>3368</v>
      </c>
      <c r="H10899" s="501" t="s">
        <v>13241</v>
      </c>
      <c r="I10899" s="501">
        <v>8</v>
      </c>
      <c r="J10899" s="501">
        <v>0</v>
      </c>
      <c r="K10899" s="501">
        <v>0</v>
      </c>
      <c r="L10899" s="501">
        <v>0</v>
      </c>
      <c r="M10899" s="501">
        <v>8</v>
      </c>
      <c r="N10899" s="501">
        <v>0</v>
      </c>
      <c r="O10899" s="506">
        <v>0</v>
      </c>
    </row>
    <row r="10900" spans="1:15" x14ac:dyDescent="0.35">
      <c r="A10900" s="503" t="s">
        <v>1223</v>
      </c>
      <c r="B10900" s="504">
        <v>4768</v>
      </c>
      <c r="C10900" s="504" t="s">
        <v>1089</v>
      </c>
      <c r="D10900" s="504" t="s">
        <v>3392</v>
      </c>
      <c r="E10900" s="504" t="s">
        <v>3381</v>
      </c>
      <c r="F10900" s="504" t="s">
        <v>1048</v>
      </c>
      <c r="G10900" s="504" t="s">
        <v>3368</v>
      </c>
      <c r="H10900" s="504" t="s">
        <v>14038</v>
      </c>
      <c r="I10900" s="504">
        <v>73</v>
      </c>
      <c r="J10900" s="504">
        <v>0</v>
      </c>
      <c r="K10900" s="504">
        <v>0</v>
      </c>
      <c r="L10900" s="504">
        <v>73</v>
      </c>
      <c r="M10900" s="504">
        <v>0</v>
      </c>
      <c r="N10900" s="504">
        <v>0</v>
      </c>
      <c r="O10900" s="505">
        <v>0</v>
      </c>
    </row>
    <row r="10901" spans="1:15" x14ac:dyDescent="0.35">
      <c r="A10901" s="500" t="s">
        <v>1223</v>
      </c>
      <c r="B10901" s="501">
        <v>4768</v>
      </c>
      <c r="C10901" s="501" t="s">
        <v>1089</v>
      </c>
      <c r="D10901" s="501" t="s">
        <v>3392</v>
      </c>
      <c r="E10901" s="501" t="s">
        <v>3381</v>
      </c>
      <c r="F10901" s="501" t="s">
        <v>420</v>
      </c>
      <c r="G10901" s="501" t="s">
        <v>3368</v>
      </c>
      <c r="H10901" s="501" t="s">
        <v>13244</v>
      </c>
      <c r="I10901" s="501">
        <v>3</v>
      </c>
      <c r="J10901" s="501">
        <v>0</v>
      </c>
      <c r="K10901" s="501">
        <v>0</v>
      </c>
      <c r="L10901" s="501">
        <v>3</v>
      </c>
      <c r="M10901" s="501">
        <v>0</v>
      </c>
      <c r="N10901" s="501">
        <v>0</v>
      </c>
      <c r="O10901" s="506">
        <v>0</v>
      </c>
    </row>
    <row r="10902" spans="1:15" x14ac:dyDescent="0.35">
      <c r="A10902" s="503" t="s">
        <v>1223</v>
      </c>
      <c r="B10902" s="504">
        <v>4768</v>
      </c>
      <c r="C10902" s="504" t="s">
        <v>1089</v>
      </c>
      <c r="D10902" s="504" t="s">
        <v>3392</v>
      </c>
      <c r="E10902" s="504" t="s">
        <v>3381</v>
      </c>
      <c r="F10902" s="504" t="s">
        <v>414</v>
      </c>
      <c r="G10902" s="504" t="s">
        <v>3368</v>
      </c>
      <c r="H10902" s="504" t="s">
        <v>13245</v>
      </c>
      <c r="I10902" s="504">
        <v>58</v>
      </c>
      <c r="J10902" s="504">
        <v>0</v>
      </c>
      <c r="K10902" s="504">
        <v>0</v>
      </c>
      <c r="L10902" s="504">
        <v>58</v>
      </c>
      <c r="M10902" s="504">
        <v>0</v>
      </c>
      <c r="N10902" s="504">
        <v>0</v>
      </c>
      <c r="O10902" s="505">
        <v>0</v>
      </c>
    </row>
    <row r="10903" spans="1:15" x14ac:dyDescent="0.35">
      <c r="A10903" s="500" t="s">
        <v>1223</v>
      </c>
      <c r="B10903" s="501">
        <v>4768</v>
      </c>
      <c r="C10903" s="501" t="s">
        <v>1089</v>
      </c>
      <c r="D10903" s="501" t="s">
        <v>3392</v>
      </c>
      <c r="E10903" s="501" t="s">
        <v>3381</v>
      </c>
      <c r="F10903" s="501" t="s">
        <v>417</v>
      </c>
      <c r="G10903" s="501" t="s">
        <v>3368</v>
      </c>
      <c r="H10903" s="501" t="s">
        <v>13242</v>
      </c>
      <c r="I10903" s="501">
        <v>10</v>
      </c>
      <c r="J10903" s="501">
        <v>0</v>
      </c>
      <c r="K10903" s="501">
        <v>0</v>
      </c>
      <c r="L10903" s="501">
        <v>10</v>
      </c>
      <c r="M10903" s="501">
        <v>0</v>
      </c>
      <c r="N10903" s="501">
        <v>0</v>
      </c>
      <c r="O10903" s="506">
        <v>0</v>
      </c>
    </row>
    <row r="10904" spans="1:15" x14ac:dyDescent="0.35">
      <c r="A10904" s="503" t="s">
        <v>1223</v>
      </c>
      <c r="B10904" s="504">
        <v>4768</v>
      </c>
      <c r="C10904" s="504" t="s">
        <v>1089</v>
      </c>
      <c r="D10904" s="504" t="s">
        <v>3392</v>
      </c>
      <c r="E10904" s="504" t="s">
        <v>3381</v>
      </c>
      <c r="F10904" s="504" t="s">
        <v>418</v>
      </c>
      <c r="G10904" s="504" t="s">
        <v>3368</v>
      </c>
      <c r="H10904" s="504" t="s">
        <v>13243</v>
      </c>
      <c r="I10904" s="504">
        <v>211</v>
      </c>
      <c r="J10904" s="504">
        <v>16</v>
      </c>
      <c r="K10904" s="504">
        <v>0</v>
      </c>
      <c r="L10904" s="504">
        <v>195</v>
      </c>
      <c r="M10904" s="504">
        <v>0</v>
      </c>
      <c r="N10904" s="504">
        <v>0</v>
      </c>
      <c r="O10904" s="505">
        <v>0</v>
      </c>
    </row>
    <row r="10905" spans="1:15" x14ac:dyDescent="0.35">
      <c r="A10905" s="500" t="s">
        <v>11389</v>
      </c>
      <c r="B10905" s="501">
        <v>4842</v>
      </c>
      <c r="C10905" s="501" t="s">
        <v>1089</v>
      </c>
      <c r="D10905" s="501" t="s">
        <v>3392</v>
      </c>
      <c r="E10905" s="501" t="s">
        <v>3381</v>
      </c>
      <c r="F10905" s="501" t="s">
        <v>416</v>
      </c>
      <c r="G10905" s="501" t="s">
        <v>3368</v>
      </c>
      <c r="H10905" s="501" t="s">
        <v>13246</v>
      </c>
      <c r="I10905" s="501">
        <v>60</v>
      </c>
      <c r="J10905" s="501">
        <v>60</v>
      </c>
      <c r="K10905" s="501">
        <v>0</v>
      </c>
      <c r="L10905" s="501">
        <v>0</v>
      </c>
      <c r="M10905" s="501">
        <v>0</v>
      </c>
      <c r="N10905" s="501">
        <v>0</v>
      </c>
      <c r="O10905" s="506">
        <v>0</v>
      </c>
    </row>
    <row r="10906" spans="1:15" x14ac:dyDescent="0.35">
      <c r="A10906" s="503" t="s">
        <v>1330</v>
      </c>
      <c r="B10906" s="504" t="s">
        <v>3134</v>
      </c>
      <c r="C10906" s="504" t="s">
        <v>1089</v>
      </c>
      <c r="D10906" s="504" t="s">
        <v>3392</v>
      </c>
      <c r="E10906" s="504" t="s">
        <v>3381</v>
      </c>
      <c r="F10906" s="504" t="s">
        <v>416</v>
      </c>
      <c r="G10906" s="504" t="s">
        <v>3368</v>
      </c>
      <c r="H10906" s="504" t="s">
        <v>13247</v>
      </c>
      <c r="I10906" s="504">
        <v>117</v>
      </c>
      <c r="J10906" s="504">
        <v>117</v>
      </c>
      <c r="K10906" s="504">
        <v>0</v>
      </c>
      <c r="L10906" s="504">
        <v>0</v>
      </c>
      <c r="M10906" s="504">
        <v>0</v>
      </c>
      <c r="N10906" s="504">
        <v>0</v>
      </c>
      <c r="O10906" s="505">
        <v>0</v>
      </c>
    </row>
    <row r="10907" spans="1:15" x14ac:dyDescent="0.35">
      <c r="A10907" s="500" t="s">
        <v>1332</v>
      </c>
      <c r="B10907" s="501">
        <v>4878</v>
      </c>
      <c r="C10907" s="501" t="s">
        <v>1094</v>
      </c>
      <c r="D10907" s="501" t="s">
        <v>3380</v>
      </c>
      <c r="E10907" s="501" t="s">
        <v>3381</v>
      </c>
      <c r="F10907" s="501" t="s">
        <v>416</v>
      </c>
      <c r="G10907" s="501" t="s">
        <v>3368</v>
      </c>
      <c r="H10907" s="501" t="s">
        <v>13248</v>
      </c>
      <c r="I10907" s="501">
        <v>46519</v>
      </c>
      <c r="J10907" s="501">
        <v>39076</v>
      </c>
      <c r="K10907" s="501">
        <v>12</v>
      </c>
      <c r="L10907" s="501">
        <v>2385</v>
      </c>
      <c r="M10907" s="501">
        <v>1007</v>
      </c>
      <c r="N10907" s="501">
        <v>0</v>
      </c>
      <c r="O10907" s="506">
        <v>4039</v>
      </c>
    </row>
    <row r="10908" spans="1:15" x14ac:dyDescent="0.35">
      <c r="A10908" s="503" t="s">
        <v>1332</v>
      </c>
      <c r="B10908" s="504">
        <v>4878</v>
      </c>
      <c r="C10908" s="504" t="s">
        <v>1094</v>
      </c>
      <c r="D10908" s="504" t="s">
        <v>3380</v>
      </c>
      <c r="E10908" s="504" t="s">
        <v>3381</v>
      </c>
      <c r="F10908" s="504" t="s">
        <v>2</v>
      </c>
      <c r="G10908" s="504" t="s">
        <v>3368</v>
      </c>
      <c r="H10908" s="504" t="s">
        <v>15412</v>
      </c>
      <c r="I10908" s="504">
        <v>86</v>
      </c>
      <c r="J10908" s="504">
        <v>0</v>
      </c>
      <c r="K10908" s="504">
        <v>0</v>
      </c>
      <c r="L10908" s="504">
        <v>36</v>
      </c>
      <c r="M10908" s="504">
        <v>50</v>
      </c>
      <c r="N10908" s="504">
        <v>0</v>
      </c>
      <c r="O10908" s="505">
        <v>0</v>
      </c>
    </row>
    <row r="10909" spans="1:15" x14ac:dyDescent="0.35">
      <c r="A10909" s="500" t="s">
        <v>1332</v>
      </c>
      <c r="B10909" s="501">
        <v>4878</v>
      </c>
      <c r="C10909" s="501" t="s">
        <v>1094</v>
      </c>
      <c r="D10909" s="501" t="s">
        <v>3380</v>
      </c>
      <c r="E10909" s="501" t="s">
        <v>3381</v>
      </c>
      <c r="F10909" s="501" t="s">
        <v>415</v>
      </c>
      <c r="G10909" s="501" t="s">
        <v>3368</v>
      </c>
      <c r="H10909" s="501" t="s">
        <v>13249</v>
      </c>
      <c r="I10909" s="501">
        <v>1752</v>
      </c>
      <c r="J10909" s="501">
        <v>1140</v>
      </c>
      <c r="K10909" s="501">
        <v>0</v>
      </c>
      <c r="L10909" s="501">
        <v>499</v>
      </c>
      <c r="M10909" s="501">
        <v>0</v>
      </c>
      <c r="N10909" s="501">
        <v>0</v>
      </c>
      <c r="O10909" s="506">
        <v>113</v>
      </c>
    </row>
    <row r="10910" spans="1:15" x14ac:dyDescent="0.35">
      <c r="A10910" s="503" t="s">
        <v>1874</v>
      </c>
      <c r="B10910" s="504" t="s">
        <v>2593</v>
      </c>
      <c r="C10910" s="504" t="s">
        <v>1089</v>
      </c>
      <c r="D10910" s="504" t="s">
        <v>3392</v>
      </c>
      <c r="E10910" s="504" t="s">
        <v>3381</v>
      </c>
      <c r="F10910" s="504" t="s">
        <v>2</v>
      </c>
      <c r="G10910" s="504" t="s">
        <v>3368</v>
      </c>
      <c r="H10910" s="504" t="s">
        <v>13250</v>
      </c>
      <c r="I10910" s="504">
        <v>5</v>
      </c>
      <c r="J10910" s="504">
        <v>5</v>
      </c>
      <c r="K10910" s="504">
        <v>0</v>
      </c>
      <c r="L10910" s="504">
        <v>0</v>
      </c>
      <c r="M10910" s="504">
        <v>0</v>
      </c>
      <c r="N10910" s="504">
        <v>0</v>
      </c>
      <c r="O10910" s="505">
        <v>0</v>
      </c>
    </row>
    <row r="10911" spans="1:15" x14ac:dyDescent="0.35">
      <c r="A10911" s="500" t="s">
        <v>1875</v>
      </c>
      <c r="B10911" s="501" t="s">
        <v>3057</v>
      </c>
      <c r="C10911" s="501" t="s">
        <v>1089</v>
      </c>
      <c r="D10911" s="501" t="s">
        <v>3392</v>
      </c>
      <c r="E10911" s="501" t="s">
        <v>3381</v>
      </c>
      <c r="F10911" s="501" t="s">
        <v>2</v>
      </c>
      <c r="G10911" s="501" t="s">
        <v>3368</v>
      </c>
      <c r="H10911" s="501" t="s">
        <v>13251</v>
      </c>
      <c r="I10911" s="501">
        <v>17</v>
      </c>
      <c r="J10911" s="501">
        <v>0</v>
      </c>
      <c r="K10911" s="501">
        <v>0</v>
      </c>
      <c r="L10911" s="501">
        <v>0</v>
      </c>
      <c r="M10911" s="501">
        <v>17</v>
      </c>
      <c r="N10911" s="501">
        <v>0</v>
      </c>
      <c r="O10911" s="506">
        <v>0</v>
      </c>
    </row>
    <row r="10912" spans="1:15" x14ac:dyDescent="0.35">
      <c r="A10912" s="503" t="s">
        <v>1224</v>
      </c>
      <c r="B10912" s="504" t="s">
        <v>3135</v>
      </c>
      <c r="C10912" s="504" t="s">
        <v>1089</v>
      </c>
      <c r="D10912" s="504" t="s">
        <v>3392</v>
      </c>
      <c r="E10912" s="504" t="s">
        <v>3381</v>
      </c>
      <c r="F10912" s="504" t="s">
        <v>1048</v>
      </c>
      <c r="G10912" s="504" t="s">
        <v>3368</v>
      </c>
      <c r="H10912" s="504" t="s">
        <v>14039</v>
      </c>
      <c r="I10912" s="504">
        <v>8</v>
      </c>
      <c r="J10912" s="504">
        <v>8</v>
      </c>
      <c r="K10912" s="504">
        <v>0</v>
      </c>
      <c r="L10912" s="504">
        <v>0</v>
      </c>
      <c r="M10912" s="504">
        <v>0</v>
      </c>
      <c r="N10912" s="504">
        <v>0</v>
      </c>
      <c r="O10912" s="505">
        <v>0</v>
      </c>
    </row>
    <row r="10913" spans="1:15" x14ac:dyDescent="0.35">
      <c r="A10913" s="500" t="s">
        <v>1224</v>
      </c>
      <c r="B10913" s="501" t="s">
        <v>3135</v>
      </c>
      <c r="C10913" s="501" t="s">
        <v>1089</v>
      </c>
      <c r="D10913" s="501" t="s">
        <v>3392</v>
      </c>
      <c r="E10913" s="501" t="s">
        <v>3381</v>
      </c>
      <c r="F10913" s="501" t="s">
        <v>420</v>
      </c>
      <c r="G10913" s="501" t="s">
        <v>3368</v>
      </c>
      <c r="H10913" s="501" t="s">
        <v>13252</v>
      </c>
      <c r="I10913" s="501">
        <v>48</v>
      </c>
      <c r="J10913" s="501">
        <v>48</v>
      </c>
      <c r="K10913" s="501">
        <v>0</v>
      </c>
      <c r="L10913" s="501">
        <v>0</v>
      </c>
      <c r="M10913" s="501">
        <v>0</v>
      </c>
      <c r="N10913" s="501">
        <v>0</v>
      </c>
      <c r="O10913" s="506">
        <v>0</v>
      </c>
    </row>
    <row r="10914" spans="1:15" x14ac:dyDescent="0.35">
      <c r="A10914" s="503" t="s">
        <v>1224</v>
      </c>
      <c r="B10914" s="504" t="s">
        <v>3135</v>
      </c>
      <c r="C10914" s="504" t="s">
        <v>1089</v>
      </c>
      <c r="D10914" s="504" t="s">
        <v>3392</v>
      </c>
      <c r="E10914" s="504" t="s">
        <v>3381</v>
      </c>
      <c r="F10914" s="504" t="s">
        <v>414</v>
      </c>
      <c r="G10914" s="504" t="s">
        <v>3368</v>
      </c>
      <c r="H10914" s="504" t="s">
        <v>13253</v>
      </c>
      <c r="I10914" s="504">
        <v>130</v>
      </c>
      <c r="J10914" s="504">
        <v>130</v>
      </c>
      <c r="K10914" s="504">
        <v>0</v>
      </c>
      <c r="L10914" s="504">
        <v>0</v>
      </c>
      <c r="M10914" s="504">
        <v>0</v>
      </c>
      <c r="N10914" s="504">
        <v>0</v>
      </c>
      <c r="O10914" s="505">
        <v>0</v>
      </c>
    </row>
    <row r="10915" spans="1:15" x14ac:dyDescent="0.35">
      <c r="A10915" s="500" t="s">
        <v>1333</v>
      </c>
      <c r="B10915" s="501">
        <v>5061</v>
      </c>
      <c r="C10915" s="501" t="s">
        <v>1089</v>
      </c>
      <c r="D10915" s="501" t="s">
        <v>3392</v>
      </c>
      <c r="E10915" s="501" t="s">
        <v>3381</v>
      </c>
      <c r="F10915" s="501" t="s">
        <v>415</v>
      </c>
      <c r="G10915" s="501" t="s">
        <v>3368</v>
      </c>
      <c r="H10915" s="501" t="s">
        <v>13254</v>
      </c>
      <c r="I10915" s="501">
        <v>9</v>
      </c>
      <c r="J10915" s="501">
        <v>9</v>
      </c>
      <c r="K10915" s="501">
        <v>0</v>
      </c>
      <c r="L10915" s="501">
        <v>0</v>
      </c>
      <c r="M10915" s="501">
        <v>0</v>
      </c>
      <c r="N10915" s="501">
        <v>0</v>
      </c>
      <c r="O10915" s="506">
        <v>0</v>
      </c>
    </row>
    <row r="10916" spans="1:15" x14ac:dyDescent="0.35">
      <c r="A10916" s="503" t="s">
        <v>1518</v>
      </c>
      <c r="B10916" s="504" t="s">
        <v>2666</v>
      </c>
      <c r="C10916" s="504" t="s">
        <v>1089</v>
      </c>
      <c r="D10916" s="504" t="s">
        <v>3392</v>
      </c>
      <c r="E10916" s="504" t="s">
        <v>3381</v>
      </c>
      <c r="F10916" s="504" t="s">
        <v>416</v>
      </c>
      <c r="G10916" s="504" t="s">
        <v>3368</v>
      </c>
      <c r="H10916" s="504" t="s">
        <v>13255</v>
      </c>
      <c r="I10916" s="504">
        <v>27</v>
      </c>
      <c r="J10916" s="504">
        <v>27</v>
      </c>
      <c r="K10916" s="504">
        <v>0</v>
      </c>
      <c r="L10916" s="504">
        <v>0</v>
      </c>
      <c r="M10916" s="504">
        <v>0</v>
      </c>
      <c r="N10916" s="504">
        <v>0</v>
      </c>
      <c r="O10916" s="505">
        <v>0</v>
      </c>
    </row>
    <row r="10917" spans="1:15" x14ac:dyDescent="0.35">
      <c r="A10917" s="500" t="s">
        <v>1876</v>
      </c>
      <c r="B10917" s="501" t="s">
        <v>2488</v>
      </c>
      <c r="C10917" s="501" t="s">
        <v>1089</v>
      </c>
      <c r="D10917" s="501" t="s">
        <v>3392</v>
      </c>
      <c r="E10917" s="501" t="s">
        <v>3381</v>
      </c>
      <c r="F10917" s="501" t="s">
        <v>2</v>
      </c>
      <c r="G10917" s="501" t="s">
        <v>3368</v>
      </c>
      <c r="H10917" s="501" t="s">
        <v>13256</v>
      </c>
      <c r="I10917" s="501">
        <v>74</v>
      </c>
      <c r="J10917" s="501">
        <v>10</v>
      </c>
      <c r="K10917" s="501">
        <v>0</v>
      </c>
      <c r="L10917" s="501">
        <v>0</v>
      </c>
      <c r="M10917" s="501">
        <v>64</v>
      </c>
      <c r="N10917" s="501">
        <v>0</v>
      </c>
      <c r="O10917" s="506">
        <v>0</v>
      </c>
    </row>
    <row r="10918" spans="1:15" x14ac:dyDescent="0.35">
      <c r="A10918" s="503" t="s">
        <v>1647</v>
      </c>
      <c r="B10918" s="504" t="s">
        <v>2705</v>
      </c>
      <c r="C10918" s="504" t="s">
        <v>1089</v>
      </c>
      <c r="D10918" s="504" t="s">
        <v>3392</v>
      </c>
      <c r="E10918" s="504" t="s">
        <v>3381</v>
      </c>
      <c r="F10918" s="504" t="s">
        <v>417</v>
      </c>
      <c r="G10918" s="504" t="s">
        <v>3368</v>
      </c>
      <c r="H10918" s="504" t="s">
        <v>13257</v>
      </c>
      <c r="I10918" s="504">
        <v>23</v>
      </c>
      <c r="J10918" s="504">
        <v>23</v>
      </c>
      <c r="K10918" s="504">
        <v>0</v>
      </c>
      <c r="L10918" s="504">
        <v>0</v>
      </c>
      <c r="M10918" s="504">
        <v>0</v>
      </c>
      <c r="N10918" s="504">
        <v>0</v>
      </c>
      <c r="O10918" s="505">
        <v>0</v>
      </c>
    </row>
    <row r="10919" spans="1:15" x14ac:dyDescent="0.35">
      <c r="A10919" s="500" t="s">
        <v>1519</v>
      </c>
      <c r="B10919" s="501" t="s">
        <v>3041</v>
      </c>
      <c r="C10919" s="501" t="s">
        <v>1089</v>
      </c>
      <c r="D10919" s="501" t="s">
        <v>3392</v>
      </c>
      <c r="E10919" s="501" t="s">
        <v>3381</v>
      </c>
      <c r="F10919" s="501" t="s">
        <v>416</v>
      </c>
      <c r="G10919" s="501" t="s">
        <v>3368</v>
      </c>
      <c r="H10919" s="501" t="s">
        <v>13258</v>
      </c>
      <c r="I10919" s="501">
        <v>263</v>
      </c>
      <c r="J10919" s="501">
        <v>250</v>
      </c>
      <c r="K10919" s="501">
        <v>0</v>
      </c>
      <c r="L10919" s="501">
        <v>13</v>
      </c>
      <c r="M10919" s="501">
        <v>0</v>
      </c>
      <c r="N10919" s="501">
        <v>0</v>
      </c>
      <c r="O10919" s="506">
        <v>0</v>
      </c>
    </row>
    <row r="10920" spans="1:15" x14ac:dyDescent="0.35">
      <c r="A10920" s="503" t="s">
        <v>1520</v>
      </c>
      <c r="B10920" s="504" t="s">
        <v>2516</v>
      </c>
      <c r="C10920" s="504" t="s">
        <v>1089</v>
      </c>
      <c r="D10920" s="504" t="s">
        <v>3392</v>
      </c>
      <c r="E10920" s="504" t="s">
        <v>3381</v>
      </c>
      <c r="F10920" s="504" t="s">
        <v>416</v>
      </c>
      <c r="G10920" s="504" t="s">
        <v>3368</v>
      </c>
      <c r="H10920" s="504" t="s">
        <v>13259</v>
      </c>
      <c r="I10920" s="504">
        <v>10</v>
      </c>
      <c r="J10920" s="504">
        <v>0</v>
      </c>
      <c r="K10920" s="504">
        <v>0</v>
      </c>
      <c r="L10920" s="504">
        <v>0</v>
      </c>
      <c r="M10920" s="504">
        <v>10</v>
      </c>
      <c r="N10920" s="504">
        <v>0</v>
      </c>
      <c r="O10920" s="505">
        <v>0</v>
      </c>
    </row>
    <row r="10921" spans="1:15" x14ac:dyDescent="0.35">
      <c r="A10921" s="500" t="s">
        <v>1745</v>
      </c>
      <c r="B10921" s="501" t="s">
        <v>3145</v>
      </c>
      <c r="C10921" s="501" t="s">
        <v>1089</v>
      </c>
      <c r="D10921" s="501" t="s">
        <v>3392</v>
      </c>
      <c r="E10921" s="501" t="s">
        <v>3381</v>
      </c>
      <c r="F10921" s="501" t="s">
        <v>418</v>
      </c>
      <c r="G10921" s="501" t="s">
        <v>3368</v>
      </c>
      <c r="H10921" s="501" t="s">
        <v>13260</v>
      </c>
      <c r="I10921" s="501">
        <v>275</v>
      </c>
      <c r="J10921" s="501">
        <v>275</v>
      </c>
      <c r="K10921" s="501">
        <v>0</v>
      </c>
      <c r="L10921" s="501">
        <v>0</v>
      </c>
      <c r="M10921" s="501">
        <v>0</v>
      </c>
      <c r="N10921" s="501">
        <v>0</v>
      </c>
      <c r="O10921" s="506">
        <v>0</v>
      </c>
    </row>
    <row r="10922" spans="1:15" x14ac:dyDescent="0.35">
      <c r="A10922" s="503" t="s">
        <v>1521</v>
      </c>
      <c r="B10922" s="504" t="s">
        <v>2797</v>
      </c>
      <c r="C10922" s="504" t="s">
        <v>1089</v>
      </c>
      <c r="D10922" s="504" t="s">
        <v>3392</v>
      </c>
      <c r="E10922" s="504" t="s">
        <v>3381</v>
      </c>
      <c r="F10922" s="504" t="s">
        <v>416</v>
      </c>
      <c r="G10922" s="504" t="s">
        <v>3368</v>
      </c>
      <c r="H10922" s="504" t="s">
        <v>13261</v>
      </c>
      <c r="I10922" s="504">
        <v>24</v>
      </c>
      <c r="J10922" s="504">
        <v>24</v>
      </c>
      <c r="K10922" s="504">
        <v>0</v>
      </c>
      <c r="L10922" s="504">
        <v>0</v>
      </c>
      <c r="M10922" s="504">
        <v>0</v>
      </c>
      <c r="N10922" s="504">
        <v>0</v>
      </c>
      <c r="O10922" s="505">
        <v>0</v>
      </c>
    </row>
    <row r="10923" spans="1:15" x14ac:dyDescent="0.35">
      <c r="A10923" s="500" t="s">
        <v>1522</v>
      </c>
      <c r="B10923" s="501" t="s">
        <v>3262</v>
      </c>
      <c r="C10923" s="501" t="s">
        <v>1089</v>
      </c>
      <c r="D10923" s="501" t="s">
        <v>3392</v>
      </c>
      <c r="E10923" s="501" t="s">
        <v>3381</v>
      </c>
      <c r="F10923" s="501" t="s">
        <v>416</v>
      </c>
      <c r="G10923" s="501" t="s">
        <v>3368</v>
      </c>
      <c r="H10923" s="501" t="s">
        <v>13262</v>
      </c>
      <c r="I10923" s="501">
        <v>198</v>
      </c>
      <c r="J10923" s="501">
        <v>35</v>
      </c>
      <c r="K10923" s="501">
        <v>26</v>
      </c>
      <c r="L10923" s="501">
        <v>131</v>
      </c>
      <c r="M10923" s="501">
        <v>6</v>
      </c>
      <c r="N10923" s="501">
        <v>14</v>
      </c>
      <c r="O10923" s="506">
        <v>0</v>
      </c>
    </row>
    <row r="10924" spans="1:15" x14ac:dyDescent="0.35">
      <c r="A10924" s="503" t="s">
        <v>1746</v>
      </c>
      <c r="B10924" s="504">
        <v>5086</v>
      </c>
      <c r="C10924" s="504" t="s">
        <v>1089</v>
      </c>
      <c r="D10924" s="504" t="s">
        <v>3392</v>
      </c>
      <c r="E10924" s="504" t="s">
        <v>3381</v>
      </c>
      <c r="F10924" s="504" t="s">
        <v>418</v>
      </c>
      <c r="G10924" s="504" t="s">
        <v>3368</v>
      </c>
      <c r="H10924" s="504" t="s">
        <v>13263</v>
      </c>
      <c r="I10924" s="504">
        <v>95</v>
      </c>
      <c r="J10924" s="504">
        <v>0</v>
      </c>
      <c r="K10924" s="504">
        <v>0</v>
      </c>
      <c r="L10924" s="504">
        <v>95</v>
      </c>
      <c r="M10924" s="504">
        <v>0</v>
      </c>
      <c r="N10924" s="504">
        <v>0</v>
      </c>
      <c r="O10924" s="505">
        <v>0</v>
      </c>
    </row>
    <row r="10925" spans="1:15" x14ac:dyDescent="0.35">
      <c r="A10925" s="500" t="s">
        <v>1523</v>
      </c>
      <c r="B10925" s="501" t="s">
        <v>3213</v>
      </c>
      <c r="C10925" s="501" t="s">
        <v>1094</v>
      </c>
      <c r="D10925" s="501" t="s">
        <v>3380</v>
      </c>
      <c r="E10925" s="501" t="s">
        <v>3381</v>
      </c>
      <c r="F10925" s="501" t="s">
        <v>416</v>
      </c>
      <c r="G10925" s="501" t="s">
        <v>3368</v>
      </c>
      <c r="H10925" s="501" t="s">
        <v>13264</v>
      </c>
      <c r="I10925" s="501">
        <v>6527</v>
      </c>
      <c r="J10925" s="501">
        <v>6436</v>
      </c>
      <c r="K10925" s="501">
        <v>0</v>
      </c>
      <c r="L10925" s="501">
        <v>0</v>
      </c>
      <c r="M10925" s="501">
        <v>60</v>
      </c>
      <c r="N10925" s="501">
        <v>4</v>
      </c>
      <c r="O10925" s="506">
        <v>31</v>
      </c>
    </row>
    <row r="10926" spans="1:15" x14ac:dyDescent="0.35">
      <c r="A10926" s="503" t="s">
        <v>1524</v>
      </c>
      <c r="B10926" s="504" t="s">
        <v>2767</v>
      </c>
      <c r="C10926" s="504" t="s">
        <v>1089</v>
      </c>
      <c r="D10926" s="504" t="s">
        <v>3392</v>
      </c>
      <c r="E10926" s="504" t="s">
        <v>3381</v>
      </c>
      <c r="F10926" s="504" t="s">
        <v>416</v>
      </c>
      <c r="G10926" s="504" t="s">
        <v>3368</v>
      </c>
      <c r="H10926" s="504" t="s">
        <v>13265</v>
      </c>
      <c r="I10926" s="504">
        <v>57</v>
      </c>
      <c r="J10926" s="504">
        <v>3</v>
      </c>
      <c r="K10926" s="504">
        <v>54</v>
      </c>
      <c r="L10926" s="504">
        <v>0</v>
      </c>
      <c r="M10926" s="504">
        <v>0</v>
      </c>
      <c r="N10926" s="504">
        <v>0</v>
      </c>
      <c r="O10926" s="505">
        <v>0</v>
      </c>
    </row>
    <row r="10927" spans="1:15" x14ac:dyDescent="0.35">
      <c r="A10927" s="500" t="s">
        <v>1525</v>
      </c>
      <c r="B10927" s="501" t="s">
        <v>2923</v>
      </c>
      <c r="C10927" s="501" t="s">
        <v>1089</v>
      </c>
      <c r="D10927" s="501" t="s">
        <v>3392</v>
      </c>
      <c r="E10927" s="501" t="s">
        <v>3381</v>
      </c>
      <c r="F10927" s="501" t="s">
        <v>416</v>
      </c>
      <c r="G10927" s="501" t="s">
        <v>3368</v>
      </c>
      <c r="H10927" s="501" t="s">
        <v>13266</v>
      </c>
      <c r="I10927" s="501">
        <v>51</v>
      </c>
      <c r="J10927" s="501">
        <v>0</v>
      </c>
      <c r="K10927" s="501">
        <v>0</v>
      </c>
      <c r="L10927" s="501">
        <v>51</v>
      </c>
      <c r="M10927" s="501">
        <v>0</v>
      </c>
      <c r="N10927" s="501">
        <v>0</v>
      </c>
      <c r="O10927" s="506">
        <v>0</v>
      </c>
    </row>
    <row r="10928" spans="1:15" x14ac:dyDescent="0.35">
      <c r="A10928" s="503" t="s">
        <v>1525</v>
      </c>
      <c r="B10928" s="504" t="s">
        <v>2923</v>
      </c>
      <c r="C10928" s="504" t="s">
        <v>1089</v>
      </c>
      <c r="D10928" s="504" t="s">
        <v>3392</v>
      </c>
      <c r="E10928" s="504" t="s">
        <v>3381</v>
      </c>
      <c r="F10928" s="504" t="s">
        <v>417</v>
      </c>
      <c r="G10928" s="504" t="s">
        <v>3368</v>
      </c>
      <c r="H10928" s="504" t="s">
        <v>13267</v>
      </c>
      <c r="I10928" s="504">
        <v>4</v>
      </c>
      <c r="J10928" s="504">
        <v>0</v>
      </c>
      <c r="K10928" s="504">
        <v>0</v>
      </c>
      <c r="L10928" s="504">
        <v>4</v>
      </c>
      <c r="M10928" s="504">
        <v>0</v>
      </c>
      <c r="N10928" s="504">
        <v>0</v>
      </c>
      <c r="O10928" s="505">
        <v>0</v>
      </c>
    </row>
    <row r="10929" spans="1:15" x14ac:dyDescent="0.35">
      <c r="A10929" s="500" t="s">
        <v>1525</v>
      </c>
      <c r="B10929" s="501" t="s">
        <v>2923</v>
      </c>
      <c r="C10929" s="501" t="s">
        <v>1089</v>
      </c>
      <c r="D10929" s="501" t="s">
        <v>3392</v>
      </c>
      <c r="E10929" s="501" t="s">
        <v>3381</v>
      </c>
      <c r="F10929" s="501" t="s">
        <v>418</v>
      </c>
      <c r="G10929" s="501" t="s">
        <v>3368</v>
      </c>
      <c r="H10929" s="501" t="s">
        <v>13268</v>
      </c>
      <c r="I10929" s="501">
        <v>10</v>
      </c>
      <c r="J10929" s="501">
        <v>0</v>
      </c>
      <c r="K10929" s="501">
        <v>0</v>
      </c>
      <c r="L10929" s="501">
        <v>10</v>
      </c>
      <c r="M10929" s="501">
        <v>0</v>
      </c>
      <c r="N10929" s="501">
        <v>0</v>
      </c>
      <c r="O10929" s="506">
        <v>0</v>
      </c>
    </row>
    <row r="10930" spans="1:15" x14ac:dyDescent="0.35">
      <c r="A10930" s="503" t="s">
        <v>2170</v>
      </c>
      <c r="B10930" s="504" t="s">
        <v>2621</v>
      </c>
      <c r="C10930" s="504" t="s">
        <v>1094</v>
      </c>
      <c r="D10930" s="504" t="s">
        <v>3380</v>
      </c>
      <c r="E10930" s="504" t="s">
        <v>3381</v>
      </c>
      <c r="F10930" s="504" t="s">
        <v>1048</v>
      </c>
      <c r="G10930" s="504" t="s">
        <v>3368</v>
      </c>
      <c r="H10930" s="504" t="s">
        <v>14040</v>
      </c>
      <c r="I10930" s="504">
        <v>1392</v>
      </c>
      <c r="J10930" s="504">
        <v>1201</v>
      </c>
      <c r="K10930" s="504">
        <v>0</v>
      </c>
      <c r="L10930" s="504">
        <v>0</v>
      </c>
      <c r="M10930" s="504">
        <v>191</v>
      </c>
      <c r="N10930" s="504">
        <v>0</v>
      </c>
      <c r="O10930" s="505">
        <v>0</v>
      </c>
    </row>
    <row r="10931" spans="1:15" x14ac:dyDescent="0.35">
      <c r="A10931" s="500" t="s">
        <v>1747</v>
      </c>
      <c r="B10931" s="501" t="s">
        <v>3121</v>
      </c>
      <c r="C10931" s="501" t="s">
        <v>1089</v>
      </c>
      <c r="D10931" s="501" t="s">
        <v>3392</v>
      </c>
      <c r="E10931" s="501" t="s">
        <v>3381</v>
      </c>
      <c r="F10931" s="501" t="s">
        <v>418</v>
      </c>
      <c r="G10931" s="501" t="s">
        <v>3368</v>
      </c>
      <c r="H10931" s="501" t="s">
        <v>13269</v>
      </c>
      <c r="I10931" s="501">
        <v>520</v>
      </c>
      <c r="J10931" s="501">
        <v>482</v>
      </c>
      <c r="K10931" s="501">
        <v>0</v>
      </c>
      <c r="L10931" s="501">
        <v>38</v>
      </c>
      <c r="M10931" s="501">
        <v>0</v>
      </c>
      <c r="N10931" s="501">
        <v>0</v>
      </c>
      <c r="O10931" s="506">
        <v>0</v>
      </c>
    </row>
    <row r="10932" spans="1:15" x14ac:dyDescent="0.35">
      <c r="A10932" s="503" t="s">
        <v>1334</v>
      </c>
      <c r="B10932" s="504" t="s">
        <v>3082</v>
      </c>
      <c r="C10932" s="504" t="s">
        <v>1089</v>
      </c>
      <c r="D10932" s="504" t="s">
        <v>3392</v>
      </c>
      <c r="E10932" s="504" t="s">
        <v>3381</v>
      </c>
      <c r="F10932" s="504" t="s">
        <v>415</v>
      </c>
      <c r="G10932" s="504" t="s">
        <v>3368</v>
      </c>
      <c r="H10932" s="504" t="s">
        <v>13270</v>
      </c>
      <c r="I10932" s="504">
        <v>117</v>
      </c>
      <c r="J10932" s="504">
        <v>117</v>
      </c>
      <c r="K10932" s="504">
        <v>0</v>
      </c>
      <c r="L10932" s="504">
        <v>0</v>
      </c>
      <c r="M10932" s="504">
        <v>0</v>
      </c>
      <c r="N10932" s="504">
        <v>0</v>
      </c>
      <c r="O10932" s="505">
        <v>0</v>
      </c>
    </row>
    <row r="10933" spans="1:15" x14ac:dyDescent="0.35">
      <c r="A10933" s="500" t="s">
        <v>1877</v>
      </c>
      <c r="B10933" s="501" t="s">
        <v>2822</v>
      </c>
      <c r="C10933" s="501" t="s">
        <v>1089</v>
      </c>
      <c r="D10933" s="501" t="s">
        <v>3392</v>
      </c>
      <c r="E10933" s="501" t="s">
        <v>3381</v>
      </c>
      <c r="F10933" s="501" t="s">
        <v>2</v>
      </c>
      <c r="G10933" s="501" t="s">
        <v>3368</v>
      </c>
      <c r="H10933" s="501" t="s">
        <v>13271</v>
      </c>
      <c r="I10933" s="501">
        <v>25</v>
      </c>
      <c r="J10933" s="501">
        <v>25</v>
      </c>
      <c r="K10933" s="501">
        <v>0</v>
      </c>
      <c r="L10933" s="501">
        <v>0</v>
      </c>
      <c r="M10933" s="501">
        <v>0</v>
      </c>
      <c r="N10933" s="501">
        <v>0</v>
      </c>
      <c r="O10933" s="506">
        <v>0</v>
      </c>
    </row>
    <row r="10934" spans="1:15" x14ac:dyDescent="0.35">
      <c r="A10934" s="503" t="s">
        <v>2171</v>
      </c>
      <c r="B10934" s="504">
        <v>4700</v>
      </c>
      <c r="C10934" s="504" t="s">
        <v>1089</v>
      </c>
      <c r="D10934" s="504" t="s">
        <v>3392</v>
      </c>
      <c r="E10934" s="504" t="s">
        <v>3381</v>
      </c>
      <c r="F10934" s="504" t="s">
        <v>416</v>
      </c>
      <c r="G10934" s="504" t="s">
        <v>3368</v>
      </c>
      <c r="H10934" s="504" t="s">
        <v>15413</v>
      </c>
      <c r="I10934" s="504">
        <v>40</v>
      </c>
      <c r="J10934" s="504">
        <v>40</v>
      </c>
      <c r="K10934" s="504">
        <v>0</v>
      </c>
      <c r="L10934" s="504">
        <v>0</v>
      </c>
      <c r="M10934" s="504">
        <v>0</v>
      </c>
      <c r="N10934" s="504">
        <v>0</v>
      </c>
      <c r="O10934" s="505">
        <v>0</v>
      </c>
    </row>
    <row r="10935" spans="1:15" x14ac:dyDescent="0.35">
      <c r="A10935" s="500" t="s">
        <v>2171</v>
      </c>
      <c r="B10935" s="501">
        <v>4700</v>
      </c>
      <c r="C10935" s="501" t="s">
        <v>1089</v>
      </c>
      <c r="D10935" s="501" t="s">
        <v>3392</v>
      </c>
      <c r="E10935" s="501" t="s">
        <v>3381</v>
      </c>
      <c r="F10935" s="501" t="s">
        <v>1048</v>
      </c>
      <c r="G10935" s="501" t="s">
        <v>3368</v>
      </c>
      <c r="H10935" s="501" t="s">
        <v>14041</v>
      </c>
      <c r="I10935" s="501">
        <v>1</v>
      </c>
      <c r="J10935" s="501">
        <v>1</v>
      </c>
      <c r="K10935" s="501">
        <v>0</v>
      </c>
      <c r="L10935" s="501">
        <v>0</v>
      </c>
      <c r="M10935" s="501">
        <v>0</v>
      </c>
      <c r="N10935" s="501">
        <v>0</v>
      </c>
      <c r="O10935" s="506">
        <v>0</v>
      </c>
    </row>
    <row r="10936" spans="1:15" x14ac:dyDescent="0.35">
      <c r="A10936" s="503" t="s">
        <v>1526</v>
      </c>
      <c r="B10936" s="504" t="s">
        <v>3061</v>
      </c>
      <c r="C10936" s="504" t="s">
        <v>1089</v>
      </c>
      <c r="D10936" s="504" t="s">
        <v>3392</v>
      </c>
      <c r="E10936" s="504" t="s">
        <v>3381</v>
      </c>
      <c r="F10936" s="504" t="s">
        <v>416</v>
      </c>
      <c r="G10936" s="504" t="s">
        <v>3368</v>
      </c>
      <c r="H10936" s="504" t="s">
        <v>13272</v>
      </c>
      <c r="I10936" s="504">
        <v>30</v>
      </c>
      <c r="J10936" s="504">
        <v>0</v>
      </c>
      <c r="K10936" s="504">
        <v>0</v>
      </c>
      <c r="L10936" s="504">
        <v>0</v>
      </c>
      <c r="M10936" s="504">
        <v>30</v>
      </c>
      <c r="N10936" s="504">
        <v>0</v>
      </c>
      <c r="O10936" s="505">
        <v>0</v>
      </c>
    </row>
    <row r="10937" spans="1:15" x14ac:dyDescent="0.35">
      <c r="A10937" s="500" t="s">
        <v>2002</v>
      </c>
      <c r="B10937" s="501">
        <v>4747</v>
      </c>
      <c r="C10937" s="501" t="s">
        <v>1089</v>
      </c>
      <c r="D10937" s="501" t="s">
        <v>3392</v>
      </c>
      <c r="E10937" s="501" t="s">
        <v>3381</v>
      </c>
      <c r="F10937" s="501" t="s">
        <v>419</v>
      </c>
      <c r="G10937" s="501" t="s">
        <v>3368</v>
      </c>
      <c r="H10937" s="501" t="s">
        <v>13273</v>
      </c>
      <c r="I10937" s="501">
        <v>112</v>
      </c>
      <c r="J10937" s="501">
        <v>0</v>
      </c>
      <c r="K10937" s="501">
        <v>0</v>
      </c>
      <c r="L10937" s="501">
        <v>112</v>
      </c>
      <c r="M10937" s="501">
        <v>0</v>
      </c>
      <c r="N10937" s="501">
        <v>0</v>
      </c>
      <c r="O10937" s="506">
        <v>0</v>
      </c>
    </row>
    <row r="10938" spans="1:15" x14ac:dyDescent="0.35">
      <c r="A10938" s="503" t="s">
        <v>1122</v>
      </c>
      <c r="B10938" s="504" t="s">
        <v>2994</v>
      </c>
      <c r="C10938" s="504" t="s">
        <v>1094</v>
      </c>
      <c r="D10938" s="504" t="s">
        <v>3380</v>
      </c>
      <c r="E10938" s="504" t="s">
        <v>3381</v>
      </c>
      <c r="F10938" s="504" t="s">
        <v>2</v>
      </c>
      <c r="G10938" s="504" t="s">
        <v>3368</v>
      </c>
      <c r="H10938" s="504" t="s">
        <v>13278</v>
      </c>
      <c r="I10938" s="504">
        <v>4878</v>
      </c>
      <c r="J10938" s="504">
        <v>4301</v>
      </c>
      <c r="K10938" s="504">
        <v>0</v>
      </c>
      <c r="L10938" s="504">
        <v>0</v>
      </c>
      <c r="M10938" s="504">
        <v>82</v>
      </c>
      <c r="N10938" s="504">
        <v>0</v>
      </c>
      <c r="O10938" s="505">
        <v>495</v>
      </c>
    </row>
    <row r="10939" spans="1:15" x14ac:dyDescent="0.35">
      <c r="A10939" s="500" t="s">
        <v>1122</v>
      </c>
      <c r="B10939" s="501" t="s">
        <v>2994</v>
      </c>
      <c r="C10939" s="501" t="s">
        <v>1094</v>
      </c>
      <c r="D10939" s="501" t="s">
        <v>3380</v>
      </c>
      <c r="E10939" s="501" t="s">
        <v>3381</v>
      </c>
      <c r="F10939" s="501" t="s">
        <v>419</v>
      </c>
      <c r="G10939" s="501" t="s">
        <v>3368</v>
      </c>
      <c r="H10939" s="501" t="s">
        <v>13280</v>
      </c>
      <c r="I10939" s="501">
        <v>837</v>
      </c>
      <c r="J10939" s="501">
        <v>523</v>
      </c>
      <c r="K10939" s="501">
        <v>0</v>
      </c>
      <c r="L10939" s="501">
        <v>8</v>
      </c>
      <c r="M10939" s="501">
        <v>28</v>
      </c>
      <c r="N10939" s="501">
        <v>0</v>
      </c>
      <c r="O10939" s="506">
        <v>278</v>
      </c>
    </row>
    <row r="10940" spans="1:15" x14ac:dyDescent="0.35">
      <c r="A10940" s="503" t="s">
        <v>1122</v>
      </c>
      <c r="B10940" s="504" t="s">
        <v>2994</v>
      </c>
      <c r="C10940" s="504" t="s">
        <v>1094</v>
      </c>
      <c r="D10940" s="504" t="s">
        <v>3380</v>
      </c>
      <c r="E10940" s="504" t="s">
        <v>3381</v>
      </c>
      <c r="F10940" s="504" t="s">
        <v>420</v>
      </c>
      <c r="G10940" s="504" t="s">
        <v>3368</v>
      </c>
      <c r="H10940" s="504" t="s">
        <v>13275</v>
      </c>
      <c r="I10940" s="504">
        <v>86</v>
      </c>
      <c r="J10940" s="504">
        <v>73</v>
      </c>
      <c r="K10940" s="504">
        <v>0</v>
      </c>
      <c r="L10940" s="504">
        <v>0</v>
      </c>
      <c r="M10940" s="504">
        <v>0</v>
      </c>
      <c r="N10940" s="504">
        <v>0</v>
      </c>
      <c r="O10940" s="505">
        <v>13</v>
      </c>
    </row>
    <row r="10941" spans="1:15" x14ac:dyDescent="0.35">
      <c r="A10941" s="500" t="s">
        <v>1122</v>
      </c>
      <c r="B10941" s="501" t="s">
        <v>2994</v>
      </c>
      <c r="C10941" s="501" t="s">
        <v>1094</v>
      </c>
      <c r="D10941" s="501" t="s">
        <v>3380</v>
      </c>
      <c r="E10941" s="501" t="s">
        <v>3381</v>
      </c>
      <c r="F10941" s="501" t="s">
        <v>416</v>
      </c>
      <c r="G10941" s="501" t="s">
        <v>3368</v>
      </c>
      <c r="H10941" s="501" t="s">
        <v>13279</v>
      </c>
      <c r="I10941" s="501">
        <v>1785</v>
      </c>
      <c r="J10941" s="501">
        <v>1554</v>
      </c>
      <c r="K10941" s="501">
        <v>0</v>
      </c>
      <c r="L10941" s="501">
        <v>6</v>
      </c>
      <c r="M10941" s="501">
        <v>0</v>
      </c>
      <c r="N10941" s="501">
        <v>0</v>
      </c>
      <c r="O10941" s="506">
        <v>225</v>
      </c>
    </row>
    <row r="10942" spans="1:15" x14ac:dyDescent="0.35">
      <c r="A10942" s="503" t="s">
        <v>1122</v>
      </c>
      <c r="B10942" s="504" t="s">
        <v>2994</v>
      </c>
      <c r="C10942" s="504" t="s">
        <v>1094</v>
      </c>
      <c r="D10942" s="504" t="s">
        <v>3380</v>
      </c>
      <c r="E10942" s="504" t="s">
        <v>3381</v>
      </c>
      <c r="F10942" s="504" t="s">
        <v>415</v>
      </c>
      <c r="G10942" s="504" t="s">
        <v>3368</v>
      </c>
      <c r="H10942" s="504" t="s">
        <v>13281</v>
      </c>
      <c r="I10942" s="504">
        <v>2790</v>
      </c>
      <c r="J10942" s="504">
        <v>2603</v>
      </c>
      <c r="K10942" s="504">
        <v>0</v>
      </c>
      <c r="L10942" s="504">
        <v>27</v>
      </c>
      <c r="M10942" s="504">
        <v>40</v>
      </c>
      <c r="N10942" s="504">
        <v>0</v>
      </c>
      <c r="O10942" s="505">
        <v>120</v>
      </c>
    </row>
    <row r="10943" spans="1:15" x14ac:dyDescent="0.35">
      <c r="A10943" s="500" t="s">
        <v>1122</v>
      </c>
      <c r="B10943" s="501" t="s">
        <v>2994</v>
      </c>
      <c r="C10943" s="501" t="s">
        <v>1094</v>
      </c>
      <c r="D10943" s="501" t="s">
        <v>3380</v>
      </c>
      <c r="E10943" s="501" t="s">
        <v>3381</v>
      </c>
      <c r="F10943" s="501" t="s">
        <v>418</v>
      </c>
      <c r="G10943" s="501" t="s">
        <v>3368</v>
      </c>
      <c r="H10943" s="501" t="s">
        <v>13277</v>
      </c>
      <c r="I10943" s="501">
        <v>11297</v>
      </c>
      <c r="J10943" s="501">
        <v>9458</v>
      </c>
      <c r="K10943" s="501">
        <v>1</v>
      </c>
      <c r="L10943" s="501">
        <v>101</v>
      </c>
      <c r="M10943" s="501">
        <v>1111</v>
      </c>
      <c r="N10943" s="501">
        <v>0</v>
      </c>
      <c r="O10943" s="506">
        <v>626</v>
      </c>
    </row>
    <row r="10944" spans="1:15" x14ac:dyDescent="0.35">
      <c r="A10944" s="503" t="s">
        <v>1122</v>
      </c>
      <c r="B10944" s="504" t="s">
        <v>2994</v>
      </c>
      <c r="C10944" s="504" t="s">
        <v>1094</v>
      </c>
      <c r="D10944" s="504" t="s">
        <v>3380</v>
      </c>
      <c r="E10944" s="504" t="s">
        <v>3381</v>
      </c>
      <c r="F10944" s="504" t="s">
        <v>417</v>
      </c>
      <c r="G10944" s="504" t="s">
        <v>3368</v>
      </c>
      <c r="H10944" s="504" t="s">
        <v>13276</v>
      </c>
      <c r="I10944" s="504">
        <v>4840</v>
      </c>
      <c r="J10944" s="504">
        <v>4285</v>
      </c>
      <c r="K10944" s="504">
        <v>0</v>
      </c>
      <c r="L10944" s="504">
        <v>79</v>
      </c>
      <c r="M10944" s="504">
        <v>354</v>
      </c>
      <c r="N10944" s="504">
        <v>0</v>
      </c>
      <c r="O10944" s="505">
        <v>122</v>
      </c>
    </row>
    <row r="10945" spans="1:15" x14ac:dyDescent="0.35">
      <c r="A10945" s="500" t="s">
        <v>1122</v>
      </c>
      <c r="B10945" s="501" t="s">
        <v>2994</v>
      </c>
      <c r="C10945" s="501" t="s">
        <v>1094</v>
      </c>
      <c r="D10945" s="501" t="s">
        <v>3380</v>
      </c>
      <c r="E10945" s="501" t="s">
        <v>3381</v>
      </c>
      <c r="F10945" s="501" t="s">
        <v>414</v>
      </c>
      <c r="G10945" s="501" t="s">
        <v>3368</v>
      </c>
      <c r="H10945" s="501" t="s">
        <v>13274</v>
      </c>
      <c r="I10945" s="501">
        <v>2904</v>
      </c>
      <c r="J10945" s="501">
        <v>2612</v>
      </c>
      <c r="K10945" s="501">
        <v>0</v>
      </c>
      <c r="L10945" s="501">
        <v>110</v>
      </c>
      <c r="M10945" s="501">
        <v>78</v>
      </c>
      <c r="N10945" s="501">
        <v>0</v>
      </c>
      <c r="O10945" s="506">
        <v>104</v>
      </c>
    </row>
    <row r="10946" spans="1:15" x14ac:dyDescent="0.35">
      <c r="A10946" s="503" t="s">
        <v>1122</v>
      </c>
      <c r="B10946" s="504" t="s">
        <v>2994</v>
      </c>
      <c r="C10946" s="504" t="s">
        <v>1094</v>
      </c>
      <c r="D10946" s="504" t="s">
        <v>3380</v>
      </c>
      <c r="E10946" s="504" t="s">
        <v>3381</v>
      </c>
      <c r="F10946" s="504" t="s">
        <v>1048</v>
      </c>
      <c r="G10946" s="504" t="s">
        <v>3368</v>
      </c>
      <c r="H10946" s="504" t="s">
        <v>14042</v>
      </c>
      <c r="I10946" s="504">
        <v>9196</v>
      </c>
      <c r="J10946" s="504">
        <v>7752</v>
      </c>
      <c r="K10946" s="504">
        <v>0</v>
      </c>
      <c r="L10946" s="504">
        <v>93</v>
      </c>
      <c r="M10946" s="504">
        <v>573</v>
      </c>
      <c r="N10946" s="504">
        <v>0</v>
      </c>
      <c r="O10946" s="505">
        <v>778</v>
      </c>
    </row>
    <row r="10947" spans="1:15" x14ac:dyDescent="0.35">
      <c r="A10947" s="500" t="s">
        <v>1225</v>
      </c>
      <c r="B10947" s="501" t="s">
        <v>3315</v>
      </c>
      <c r="C10947" s="501" t="s">
        <v>1094</v>
      </c>
      <c r="D10947" s="501" t="s">
        <v>3380</v>
      </c>
      <c r="E10947" s="501" t="s">
        <v>3381</v>
      </c>
      <c r="F10947" s="501" t="s">
        <v>415</v>
      </c>
      <c r="G10947" s="501" t="s">
        <v>3368</v>
      </c>
      <c r="H10947" s="501" t="s">
        <v>13287</v>
      </c>
      <c r="I10947" s="501">
        <v>247</v>
      </c>
      <c r="J10947" s="501">
        <v>20</v>
      </c>
      <c r="K10947" s="501">
        <v>0</v>
      </c>
      <c r="L10947" s="501">
        <v>227</v>
      </c>
      <c r="M10947" s="501">
        <v>0</v>
      </c>
      <c r="N10947" s="501">
        <v>0</v>
      </c>
      <c r="O10947" s="506">
        <v>0</v>
      </c>
    </row>
    <row r="10948" spans="1:15" x14ac:dyDescent="0.35">
      <c r="A10948" s="503" t="s">
        <v>1225</v>
      </c>
      <c r="B10948" s="504" t="s">
        <v>3315</v>
      </c>
      <c r="C10948" s="504" t="s">
        <v>1094</v>
      </c>
      <c r="D10948" s="504" t="s">
        <v>3380</v>
      </c>
      <c r="E10948" s="504" t="s">
        <v>3381</v>
      </c>
      <c r="F10948" s="504" t="s">
        <v>420</v>
      </c>
      <c r="G10948" s="504" t="s">
        <v>3368</v>
      </c>
      <c r="H10948" s="504" t="s">
        <v>13282</v>
      </c>
      <c r="I10948" s="504">
        <v>1</v>
      </c>
      <c r="J10948" s="504">
        <v>0</v>
      </c>
      <c r="K10948" s="504">
        <v>0</v>
      </c>
      <c r="L10948" s="504">
        <v>1</v>
      </c>
      <c r="M10948" s="504">
        <v>0</v>
      </c>
      <c r="N10948" s="504">
        <v>0</v>
      </c>
      <c r="O10948" s="505">
        <v>0</v>
      </c>
    </row>
    <row r="10949" spans="1:15" x14ac:dyDescent="0.35">
      <c r="A10949" s="500" t="s">
        <v>1225</v>
      </c>
      <c r="B10949" s="501" t="s">
        <v>3315</v>
      </c>
      <c r="C10949" s="501" t="s">
        <v>1094</v>
      </c>
      <c r="D10949" s="501" t="s">
        <v>3380</v>
      </c>
      <c r="E10949" s="501" t="s">
        <v>3381</v>
      </c>
      <c r="F10949" s="501" t="s">
        <v>1048</v>
      </c>
      <c r="G10949" s="501" t="s">
        <v>3368</v>
      </c>
      <c r="H10949" s="501" t="s">
        <v>14043</v>
      </c>
      <c r="I10949" s="501">
        <v>833</v>
      </c>
      <c r="J10949" s="501">
        <v>352</v>
      </c>
      <c r="K10949" s="501">
        <v>1</v>
      </c>
      <c r="L10949" s="501">
        <v>378</v>
      </c>
      <c r="M10949" s="501">
        <v>102</v>
      </c>
      <c r="N10949" s="501">
        <v>0</v>
      </c>
      <c r="O10949" s="506">
        <v>0</v>
      </c>
    </row>
    <row r="10950" spans="1:15" x14ac:dyDescent="0.35">
      <c r="A10950" s="503" t="s">
        <v>1225</v>
      </c>
      <c r="B10950" s="504" t="s">
        <v>3315</v>
      </c>
      <c r="C10950" s="504" t="s">
        <v>1094</v>
      </c>
      <c r="D10950" s="504" t="s">
        <v>3380</v>
      </c>
      <c r="E10950" s="504" t="s">
        <v>3381</v>
      </c>
      <c r="F10950" s="504" t="s">
        <v>414</v>
      </c>
      <c r="G10950" s="504" t="s">
        <v>3368</v>
      </c>
      <c r="H10950" s="504" t="s">
        <v>13283</v>
      </c>
      <c r="I10950" s="504">
        <v>297</v>
      </c>
      <c r="J10950" s="504">
        <v>0</v>
      </c>
      <c r="K10950" s="504">
        <v>0</v>
      </c>
      <c r="L10950" s="504">
        <v>213</v>
      </c>
      <c r="M10950" s="504">
        <v>84</v>
      </c>
      <c r="N10950" s="504">
        <v>0</v>
      </c>
      <c r="O10950" s="505">
        <v>0</v>
      </c>
    </row>
    <row r="10951" spans="1:15" x14ac:dyDescent="0.35">
      <c r="A10951" s="500" t="s">
        <v>1225</v>
      </c>
      <c r="B10951" s="501" t="s">
        <v>3315</v>
      </c>
      <c r="C10951" s="501" t="s">
        <v>1094</v>
      </c>
      <c r="D10951" s="501" t="s">
        <v>3380</v>
      </c>
      <c r="E10951" s="501" t="s">
        <v>3381</v>
      </c>
      <c r="F10951" s="501" t="s">
        <v>419</v>
      </c>
      <c r="G10951" s="501" t="s">
        <v>3368</v>
      </c>
      <c r="H10951" s="501" t="s">
        <v>13289</v>
      </c>
      <c r="I10951" s="501">
        <v>2271</v>
      </c>
      <c r="J10951" s="501">
        <v>1723</v>
      </c>
      <c r="K10951" s="501">
        <v>0</v>
      </c>
      <c r="L10951" s="501">
        <v>452</v>
      </c>
      <c r="M10951" s="501">
        <v>46</v>
      </c>
      <c r="N10951" s="501">
        <v>0</v>
      </c>
      <c r="O10951" s="506">
        <v>50</v>
      </c>
    </row>
    <row r="10952" spans="1:15" x14ac:dyDescent="0.35">
      <c r="A10952" s="503" t="s">
        <v>1225</v>
      </c>
      <c r="B10952" s="504" t="s">
        <v>3315</v>
      </c>
      <c r="C10952" s="504" t="s">
        <v>1094</v>
      </c>
      <c r="D10952" s="504" t="s">
        <v>3380</v>
      </c>
      <c r="E10952" s="504" t="s">
        <v>3381</v>
      </c>
      <c r="F10952" s="504" t="s">
        <v>2</v>
      </c>
      <c r="G10952" s="504" t="s">
        <v>3368</v>
      </c>
      <c r="H10952" s="504" t="s">
        <v>13288</v>
      </c>
      <c r="I10952" s="504">
        <v>193</v>
      </c>
      <c r="J10952" s="504">
        <v>52</v>
      </c>
      <c r="K10952" s="504">
        <v>0</v>
      </c>
      <c r="L10952" s="504">
        <v>102</v>
      </c>
      <c r="M10952" s="504">
        <v>39</v>
      </c>
      <c r="N10952" s="504">
        <v>0</v>
      </c>
      <c r="O10952" s="505">
        <v>0</v>
      </c>
    </row>
    <row r="10953" spans="1:15" x14ac:dyDescent="0.35">
      <c r="A10953" s="500" t="s">
        <v>1225</v>
      </c>
      <c r="B10953" s="501" t="s">
        <v>3315</v>
      </c>
      <c r="C10953" s="501" t="s">
        <v>1094</v>
      </c>
      <c r="D10953" s="501" t="s">
        <v>3380</v>
      </c>
      <c r="E10953" s="501" t="s">
        <v>3381</v>
      </c>
      <c r="F10953" s="501" t="s">
        <v>418</v>
      </c>
      <c r="G10953" s="501" t="s">
        <v>3368</v>
      </c>
      <c r="H10953" s="501" t="s">
        <v>13286</v>
      </c>
      <c r="I10953" s="501">
        <v>1111</v>
      </c>
      <c r="J10953" s="501">
        <v>68</v>
      </c>
      <c r="K10953" s="501">
        <v>0</v>
      </c>
      <c r="L10953" s="501">
        <v>802</v>
      </c>
      <c r="M10953" s="501">
        <v>237</v>
      </c>
      <c r="N10953" s="501">
        <v>0</v>
      </c>
      <c r="O10953" s="506">
        <v>4</v>
      </c>
    </row>
    <row r="10954" spans="1:15" x14ac:dyDescent="0.35">
      <c r="A10954" s="503" t="s">
        <v>1225</v>
      </c>
      <c r="B10954" s="504" t="s">
        <v>3315</v>
      </c>
      <c r="C10954" s="504" t="s">
        <v>1094</v>
      </c>
      <c r="D10954" s="504" t="s">
        <v>3380</v>
      </c>
      <c r="E10954" s="504" t="s">
        <v>3381</v>
      </c>
      <c r="F10954" s="504" t="s">
        <v>416</v>
      </c>
      <c r="G10954" s="504" t="s">
        <v>3368</v>
      </c>
      <c r="H10954" s="504" t="s">
        <v>13284</v>
      </c>
      <c r="I10954" s="504">
        <v>762</v>
      </c>
      <c r="J10954" s="504">
        <v>716</v>
      </c>
      <c r="K10954" s="504">
        <v>0</v>
      </c>
      <c r="L10954" s="504">
        <v>42</v>
      </c>
      <c r="M10954" s="504">
        <v>0</v>
      </c>
      <c r="N10954" s="504">
        <v>0</v>
      </c>
      <c r="O10954" s="505">
        <v>4</v>
      </c>
    </row>
    <row r="10955" spans="1:15" x14ac:dyDescent="0.35">
      <c r="A10955" s="500" t="s">
        <v>1225</v>
      </c>
      <c r="B10955" s="501" t="s">
        <v>3315</v>
      </c>
      <c r="C10955" s="501" t="s">
        <v>1094</v>
      </c>
      <c r="D10955" s="501" t="s">
        <v>3380</v>
      </c>
      <c r="E10955" s="501" t="s">
        <v>3381</v>
      </c>
      <c r="F10955" s="501" t="s">
        <v>417</v>
      </c>
      <c r="G10955" s="501" t="s">
        <v>3368</v>
      </c>
      <c r="H10955" s="501" t="s">
        <v>13285</v>
      </c>
      <c r="I10955" s="501">
        <v>165</v>
      </c>
      <c r="J10955" s="501">
        <v>1</v>
      </c>
      <c r="K10955" s="501">
        <v>0</v>
      </c>
      <c r="L10955" s="501">
        <v>164</v>
      </c>
      <c r="M10955" s="501">
        <v>0</v>
      </c>
      <c r="N10955" s="501">
        <v>0</v>
      </c>
      <c r="O10955" s="506">
        <v>0</v>
      </c>
    </row>
    <row r="10956" spans="1:15" x14ac:dyDescent="0.35">
      <c r="A10956" s="503" t="s">
        <v>2093</v>
      </c>
      <c r="B10956" s="504">
        <v>4789</v>
      </c>
      <c r="C10956" s="504" t="s">
        <v>1094</v>
      </c>
      <c r="D10956" s="504" t="s">
        <v>3392</v>
      </c>
      <c r="E10956" s="504" t="s">
        <v>3381</v>
      </c>
      <c r="F10956" s="504" t="s">
        <v>420</v>
      </c>
      <c r="G10956" s="504" t="s">
        <v>3368</v>
      </c>
      <c r="H10956" s="504" t="s">
        <v>13290</v>
      </c>
      <c r="I10956" s="504">
        <v>2</v>
      </c>
      <c r="J10956" s="504">
        <v>2</v>
      </c>
      <c r="K10956" s="504">
        <v>0</v>
      </c>
      <c r="L10956" s="504">
        <v>0</v>
      </c>
      <c r="M10956" s="504">
        <v>0</v>
      </c>
      <c r="N10956" s="504">
        <v>0</v>
      </c>
      <c r="O10956" s="505">
        <v>0</v>
      </c>
    </row>
    <row r="10957" spans="1:15" x14ac:dyDescent="0.35">
      <c r="A10957" s="500" t="s">
        <v>1226</v>
      </c>
      <c r="B10957" s="501">
        <v>5084</v>
      </c>
      <c r="C10957" s="501" t="s">
        <v>1094</v>
      </c>
      <c r="D10957" s="501" t="s">
        <v>3380</v>
      </c>
      <c r="E10957" s="501" t="s">
        <v>3381</v>
      </c>
      <c r="F10957" s="501" t="s">
        <v>415</v>
      </c>
      <c r="G10957" s="501" t="s">
        <v>3368</v>
      </c>
      <c r="H10957" s="501" t="s">
        <v>15414</v>
      </c>
      <c r="I10957" s="501">
        <v>40</v>
      </c>
      <c r="J10957" s="501">
        <v>23</v>
      </c>
      <c r="K10957" s="501">
        <v>0</v>
      </c>
      <c r="L10957" s="501">
        <v>0</v>
      </c>
      <c r="M10957" s="501">
        <v>0</v>
      </c>
      <c r="N10957" s="501">
        <v>0</v>
      </c>
      <c r="O10957" s="506">
        <v>17</v>
      </c>
    </row>
    <row r="10958" spans="1:15" x14ac:dyDescent="0.35">
      <c r="A10958" s="503" t="s">
        <v>1226</v>
      </c>
      <c r="B10958" s="504">
        <v>5084</v>
      </c>
      <c r="C10958" s="504" t="s">
        <v>1094</v>
      </c>
      <c r="D10958" s="504" t="s">
        <v>3380</v>
      </c>
      <c r="E10958" s="504" t="s">
        <v>3381</v>
      </c>
      <c r="F10958" s="504" t="s">
        <v>419</v>
      </c>
      <c r="G10958" s="504" t="s">
        <v>3368</v>
      </c>
      <c r="H10958" s="504" t="s">
        <v>13294</v>
      </c>
      <c r="I10958" s="504">
        <v>323</v>
      </c>
      <c r="J10958" s="504">
        <v>226</v>
      </c>
      <c r="K10958" s="504">
        <v>0</v>
      </c>
      <c r="L10958" s="504">
        <v>0</v>
      </c>
      <c r="M10958" s="504">
        <v>0</v>
      </c>
      <c r="N10958" s="504">
        <v>0</v>
      </c>
      <c r="O10958" s="505">
        <v>97</v>
      </c>
    </row>
    <row r="10959" spans="1:15" x14ac:dyDescent="0.35">
      <c r="A10959" s="500" t="s">
        <v>1226</v>
      </c>
      <c r="B10959" s="501">
        <v>5084</v>
      </c>
      <c r="C10959" s="501" t="s">
        <v>1094</v>
      </c>
      <c r="D10959" s="501" t="s">
        <v>3380</v>
      </c>
      <c r="E10959" s="501" t="s">
        <v>3381</v>
      </c>
      <c r="F10959" s="501" t="s">
        <v>420</v>
      </c>
      <c r="G10959" s="501" t="s">
        <v>3368</v>
      </c>
      <c r="H10959" s="501" t="s">
        <v>13291</v>
      </c>
      <c r="I10959" s="501">
        <v>24771</v>
      </c>
      <c r="J10959" s="501">
        <v>19104</v>
      </c>
      <c r="K10959" s="501">
        <v>0</v>
      </c>
      <c r="L10959" s="501">
        <v>282</v>
      </c>
      <c r="M10959" s="501">
        <v>2125</v>
      </c>
      <c r="N10959" s="501">
        <v>0</v>
      </c>
      <c r="O10959" s="506">
        <v>3260</v>
      </c>
    </row>
    <row r="10960" spans="1:15" x14ac:dyDescent="0.35">
      <c r="A10960" s="503" t="s">
        <v>1226</v>
      </c>
      <c r="B10960" s="504">
        <v>5084</v>
      </c>
      <c r="C10960" s="504" t="s">
        <v>1094</v>
      </c>
      <c r="D10960" s="504" t="s">
        <v>3380</v>
      </c>
      <c r="E10960" s="504" t="s">
        <v>3381</v>
      </c>
      <c r="F10960" s="504" t="s">
        <v>2</v>
      </c>
      <c r="G10960" s="504" t="s">
        <v>3368</v>
      </c>
      <c r="H10960" s="504" t="s">
        <v>13292</v>
      </c>
      <c r="I10960" s="504">
        <v>182</v>
      </c>
      <c r="J10960" s="504">
        <v>107</v>
      </c>
      <c r="K10960" s="504">
        <v>0</v>
      </c>
      <c r="L10960" s="504">
        <v>0</v>
      </c>
      <c r="M10960" s="504">
        <v>0</v>
      </c>
      <c r="N10960" s="504">
        <v>0</v>
      </c>
      <c r="O10960" s="505">
        <v>75</v>
      </c>
    </row>
    <row r="10961" spans="1:15" x14ac:dyDescent="0.35">
      <c r="A10961" s="500" t="s">
        <v>1226</v>
      </c>
      <c r="B10961" s="501">
        <v>5084</v>
      </c>
      <c r="C10961" s="501" t="s">
        <v>1094</v>
      </c>
      <c r="D10961" s="501" t="s">
        <v>3380</v>
      </c>
      <c r="E10961" s="501" t="s">
        <v>3381</v>
      </c>
      <c r="F10961" s="501" t="s">
        <v>414</v>
      </c>
      <c r="G10961" s="501" t="s">
        <v>3368</v>
      </c>
      <c r="H10961" s="501" t="s">
        <v>13293</v>
      </c>
      <c r="I10961" s="501">
        <v>20141</v>
      </c>
      <c r="J10961" s="501">
        <v>16609</v>
      </c>
      <c r="K10961" s="501">
        <v>0</v>
      </c>
      <c r="L10961" s="501">
        <v>118</v>
      </c>
      <c r="M10961" s="501">
        <v>958</v>
      </c>
      <c r="N10961" s="501">
        <v>0</v>
      </c>
      <c r="O10961" s="506">
        <v>2456</v>
      </c>
    </row>
    <row r="10962" spans="1:15" x14ac:dyDescent="0.35">
      <c r="A10962" s="503" t="s">
        <v>1227</v>
      </c>
      <c r="B10962" s="504">
        <v>4757</v>
      </c>
      <c r="C10962" s="504" t="s">
        <v>1094</v>
      </c>
      <c r="D10962" s="504" t="s">
        <v>3392</v>
      </c>
      <c r="E10962" s="504" t="s">
        <v>3381</v>
      </c>
      <c r="F10962" s="504" t="s">
        <v>414</v>
      </c>
      <c r="G10962" s="504" t="s">
        <v>3368</v>
      </c>
      <c r="H10962" s="504" t="s">
        <v>13295</v>
      </c>
      <c r="I10962" s="504">
        <v>7</v>
      </c>
      <c r="J10962" s="504">
        <v>7</v>
      </c>
      <c r="K10962" s="504">
        <v>0</v>
      </c>
      <c r="L10962" s="504">
        <v>0</v>
      </c>
      <c r="M10962" s="504">
        <v>0</v>
      </c>
      <c r="N10962" s="504">
        <v>0</v>
      </c>
      <c r="O10962" s="505">
        <v>0</v>
      </c>
    </row>
    <row r="10963" spans="1:15" x14ac:dyDescent="0.35">
      <c r="A10963" s="500" t="s">
        <v>1227</v>
      </c>
      <c r="B10963" s="501">
        <v>4757</v>
      </c>
      <c r="C10963" s="501" t="s">
        <v>1094</v>
      </c>
      <c r="D10963" s="501" t="s">
        <v>3392</v>
      </c>
      <c r="E10963" s="501" t="s">
        <v>3381</v>
      </c>
      <c r="F10963" s="501" t="s">
        <v>2</v>
      </c>
      <c r="G10963" s="501" t="s">
        <v>3368</v>
      </c>
      <c r="H10963" s="501" t="s">
        <v>13296</v>
      </c>
      <c r="I10963" s="501">
        <v>60</v>
      </c>
      <c r="J10963" s="501">
        <v>60</v>
      </c>
      <c r="K10963" s="501">
        <v>0</v>
      </c>
      <c r="L10963" s="501">
        <v>0</v>
      </c>
      <c r="M10963" s="501">
        <v>0</v>
      </c>
      <c r="N10963" s="501">
        <v>0</v>
      </c>
      <c r="O10963" s="506">
        <v>0</v>
      </c>
    </row>
    <row r="10964" spans="1:15" x14ac:dyDescent="0.35">
      <c r="A10964" s="503" t="s">
        <v>1227</v>
      </c>
      <c r="B10964" s="504">
        <v>4757</v>
      </c>
      <c r="C10964" s="504" t="s">
        <v>1094</v>
      </c>
      <c r="D10964" s="504" t="s">
        <v>3392</v>
      </c>
      <c r="E10964" s="504" t="s">
        <v>3381</v>
      </c>
      <c r="F10964" s="504" t="s">
        <v>418</v>
      </c>
      <c r="G10964" s="504" t="s">
        <v>3368</v>
      </c>
      <c r="H10964" s="504" t="s">
        <v>13297</v>
      </c>
      <c r="I10964" s="504">
        <v>114</v>
      </c>
      <c r="J10964" s="504">
        <v>90</v>
      </c>
      <c r="K10964" s="504">
        <v>0</v>
      </c>
      <c r="L10964" s="504">
        <v>24</v>
      </c>
      <c r="M10964" s="504">
        <v>0</v>
      </c>
      <c r="N10964" s="504">
        <v>0</v>
      </c>
      <c r="O10964" s="505">
        <v>0</v>
      </c>
    </row>
    <row r="10965" spans="1:15" x14ac:dyDescent="0.35">
      <c r="A10965" s="500" t="s">
        <v>1227</v>
      </c>
      <c r="B10965" s="501">
        <v>4757</v>
      </c>
      <c r="C10965" s="501" t="s">
        <v>1094</v>
      </c>
      <c r="D10965" s="501" t="s">
        <v>3392</v>
      </c>
      <c r="E10965" s="501" t="s">
        <v>3381</v>
      </c>
      <c r="F10965" s="501" t="s">
        <v>419</v>
      </c>
      <c r="G10965" s="501" t="s">
        <v>3368</v>
      </c>
      <c r="H10965" s="501" t="s">
        <v>13298</v>
      </c>
      <c r="I10965" s="501">
        <v>1</v>
      </c>
      <c r="J10965" s="501">
        <v>1</v>
      </c>
      <c r="K10965" s="501">
        <v>0</v>
      </c>
      <c r="L10965" s="501">
        <v>0</v>
      </c>
      <c r="M10965" s="501">
        <v>0</v>
      </c>
      <c r="N10965" s="501">
        <v>0</v>
      </c>
      <c r="O10965" s="506">
        <v>0</v>
      </c>
    </row>
    <row r="10966" spans="1:15" x14ac:dyDescent="0.35">
      <c r="A10966" s="503" t="s">
        <v>1227</v>
      </c>
      <c r="B10966" s="504">
        <v>4757</v>
      </c>
      <c r="C10966" s="504" t="s">
        <v>1094</v>
      </c>
      <c r="D10966" s="504" t="s">
        <v>3392</v>
      </c>
      <c r="E10966" s="504" t="s">
        <v>3381</v>
      </c>
      <c r="F10966" s="504" t="s">
        <v>1048</v>
      </c>
      <c r="G10966" s="504" t="s">
        <v>3368</v>
      </c>
      <c r="H10966" s="504" t="s">
        <v>14044</v>
      </c>
      <c r="I10966" s="504">
        <v>120</v>
      </c>
      <c r="J10966" s="504">
        <v>51</v>
      </c>
      <c r="K10966" s="504">
        <v>0</v>
      </c>
      <c r="L10966" s="504">
        <v>0</v>
      </c>
      <c r="M10966" s="504">
        <v>69</v>
      </c>
      <c r="N10966" s="504">
        <v>0</v>
      </c>
      <c r="O10966" s="505">
        <v>0</v>
      </c>
    </row>
    <row r="10967" spans="1:15" x14ac:dyDescent="0.35">
      <c r="A10967" s="500" t="s">
        <v>1748</v>
      </c>
      <c r="B10967" s="501" t="s">
        <v>3233</v>
      </c>
      <c r="C10967" s="501" t="s">
        <v>1094</v>
      </c>
      <c r="D10967" s="501" t="s">
        <v>3380</v>
      </c>
      <c r="E10967" s="501" t="s">
        <v>3381</v>
      </c>
      <c r="F10967" s="501" t="s">
        <v>418</v>
      </c>
      <c r="G10967" s="501" t="s">
        <v>3368</v>
      </c>
      <c r="H10967" s="501" t="s">
        <v>13299</v>
      </c>
      <c r="I10967" s="501">
        <v>12997</v>
      </c>
      <c r="J10967" s="501">
        <v>11624</v>
      </c>
      <c r="K10967" s="501">
        <v>0</v>
      </c>
      <c r="L10967" s="501">
        <v>290</v>
      </c>
      <c r="M10967" s="501">
        <v>376</v>
      </c>
      <c r="N10967" s="501">
        <v>0</v>
      </c>
      <c r="O10967" s="506">
        <v>707</v>
      </c>
    </row>
    <row r="10968" spans="1:15" x14ac:dyDescent="0.35">
      <c r="A10968" s="503" t="s">
        <v>1748</v>
      </c>
      <c r="B10968" s="504" t="s">
        <v>3233</v>
      </c>
      <c r="C10968" s="504" t="s">
        <v>1094</v>
      </c>
      <c r="D10968" s="504" t="s">
        <v>3380</v>
      </c>
      <c r="E10968" s="504" t="s">
        <v>3381</v>
      </c>
      <c r="F10968" s="504" t="s">
        <v>420</v>
      </c>
      <c r="G10968" s="504" t="s">
        <v>3368</v>
      </c>
      <c r="H10968" s="504" t="s">
        <v>13300</v>
      </c>
      <c r="I10968" s="504">
        <v>19</v>
      </c>
      <c r="J10968" s="504">
        <v>15</v>
      </c>
      <c r="K10968" s="504">
        <v>0</v>
      </c>
      <c r="L10968" s="504">
        <v>4</v>
      </c>
      <c r="M10968" s="504">
        <v>0</v>
      </c>
      <c r="N10968" s="504">
        <v>0</v>
      </c>
      <c r="O10968" s="505">
        <v>0</v>
      </c>
    </row>
    <row r="10969" spans="1:15" x14ac:dyDescent="0.35">
      <c r="A10969" s="500" t="s">
        <v>2003</v>
      </c>
      <c r="B10969" s="501" t="s">
        <v>2643</v>
      </c>
      <c r="C10969" s="501" t="s">
        <v>1089</v>
      </c>
      <c r="D10969" s="501" t="s">
        <v>3392</v>
      </c>
      <c r="E10969" s="501" t="s">
        <v>3381</v>
      </c>
      <c r="F10969" s="501" t="s">
        <v>419</v>
      </c>
      <c r="G10969" s="501" t="s">
        <v>3368</v>
      </c>
      <c r="H10969" s="501" t="s">
        <v>13301</v>
      </c>
      <c r="I10969" s="501">
        <v>73</v>
      </c>
      <c r="J10969" s="501">
        <v>0</v>
      </c>
      <c r="K10969" s="501">
        <v>0</v>
      </c>
      <c r="L10969" s="501">
        <v>0</v>
      </c>
      <c r="M10969" s="501">
        <v>73</v>
      </c>
      <c r="N10969" s="501">
        <v>0</v>
      </c>
      <c r="O10969" s="506">
        <v>0</v>
      </c>
    </row>
    <row r="10970" spans="1:15" x14ac:dyDescent="0.35">
      <c r="A10970" s="503" t="s">
        <v>2004</v>
      </c>
      <c r="B10970" s="504" t="s">
        <v>3226</v>
      </c>
      <c r="C10970" s="504" t="s">
        <v>1094</v>
      </c>
      <c r="D10970" s="504" t="s">
        <v>3380</v>
      </c>
      <c r="E10970" s="504" t="s">
        <v>3381</v>
      </c>
      <c r="F10970" s="504" t="s">
        <v>419</v>
      </c>
      <c r="G10970" s="504" t="s">
        <v>3368</v>
      </c>
      <c r="H10970" s="504" t="s">
        <v>13302</v>
      </c>
      <c r="I10970" s="504">
        <v>14419</v>
      </c>
      <c r="J10970" s="504">
        <v>12324</v>
      </c>
      <c r="K10970" s="504">
        <v>0</v>
      </c>
      <c r="L10970" s="504">
        <v>1778</v>
      </c>
      <c r="M10970" s="504">
        <v>0</v>
      </c>
      <c r="N10970" s="504">
        <v>0</v>
      </c>
      <c r="O10970" s="505">
        <v>317</v>
      </c>
    </row>
    <row r="10971" spans="1:15" x14ac:dyDescent="0.35">
      <c r="A10971" s="500" t="s">
        <v>1527</v>
      </c>
      <c r="B10971" s="501" t="s">
        <v>2966</v>
      </c>
      <c r="C10971" s="501" t="s">
        <v>1089</v>
      </c>
      <c r="D10971" s="501" t="s">
        <v>3392</v>
      </c>
      <c r="E10971" s="501" t="s">
        <v>3381</v>
      </c>
      <c r="F10971" s="501" t="s">
        <v>416</v>
      </c>
      <c r="G10971" s="501" t="s">
        <v>3368</v>
      </c>
      <c r="H10971" s="501" t="s">
        <v>13303</v>
      </c>
      <c r="I10971" s="501">
        <v>42</v>
      </c>
      <c r="J10971" s="501">
        <v>0</v>
      </c>
      <c r="K10971" s="501">
        <v>0</v>
      </c>
      <c r="L10971" s="501">
        <v>0</v>
      </c>
      <c r="M10971" s="501">
        <v>42</v>
      </c>
      <c r="N10971" s="501">
        <v>0</v>
      </c>
      <c r="O10971" s="506">
        <v>0</v>
      </c>
    </row>
    <row r="10972" spans="1:15" x14ac:dyDescent="0.35">
      <c r="A10972" s="503" t="s">
        <v>2005</v>
      </c>
      <c r="B10972" s="504" t="s">
        <v>3098</v>
      </c>
      <c r="C10972" s="504" t="s">
        <v>1089</v>
      </c>
      <c r="D10972" s="504" t="s">
        <v>3392</v>
      </c>
      <c r="E10972" s="504" t="s">
        <v>3381</v>
      </c>
      <c r="F10972" s="504" t="s">
        <v>419</v>
      </c>
      <c r="G10972" s="504" t="s">
        <v>3368</v>
      </c>
      <c r="H10972" s="504" t="s">
        <v>13304</v>
      </c>
      <c r="I10972" s="504">
        <v>11</v>
      </c>
      <c r="J10972" s="504">
        <v>11</v>
      </c>
      <c r="K10972" s="504">
        <v>0</v>
      </c>
      <c r="L10972" s="504">
        <v>0</v>
      </c>
      <c r="M10972" s="504">
        <v>0</v>
      </c>
      <c r="N10972" s="504">
        <v>0</v>
      </c>
      <c r="O10972" s="505">
        <v>0</v>
      </c>
    </row>
    <row r="10973" spans="1:15" x14ac:dyDescent="0.35">
      <c r="A10973" s="500" t="s">
        <v>1528</v>
      </c>
      <c r="B10973" s="501" t="s">
        <v>3153</v>
      </c>
      <c r="C10973" s="501" t="s">
        <v>1094</v>
      </c>
      <c r="D10973" s="501" t="s">
        <v>3380</v>
      </c>
      <c r="E10973" s="501" t="s">
        <v>3381</v>
      </c>
      <c r="F10973" s="501" t="s">
        <v>416</v>
      </c>
      <c r="G10973" s="501" t="s">
        <v>3368</v>
      </c>
      <c r="H10973" s="501" t="s">
        <v>13305</v>
      </c>
      <c r="I10973" s="501">
        <v>5551</v>
      </c>
      <c r="J10973" s="501">
        <v>5294</v>
      </c>
      <c r="K10973" s="501">
        <v>0</v>
      </c>
      <c r="L10973" s="501">
        <v>0</v>
      </c>
      <c r="M10973" s="501">
        <v>0</v>
      </c>
      <c r="N10973" s="501">
        <v>0</v>
      </c>
      <c r="O10973" s="506">
        <v>257</v>
      </c>
    </row>
    <row r="10974" spans="1:15" x14ac:dyDescent="0.35">
      <c r="A10974" s="503" t="s">
        <v>11390</v>
      </c>
      <c r="B10974" s="504">
        <v>5114</v>
      </c>
      <c r="C10974" s="504" t="s">
        <v>1089</v>
      </c>
      <c r="D10974" s="504" t="s">
        <v>3392</v>
      </c>
      <c r="E10974" s="504" t="s">
        <v>3381</v>
      </c>
      <c r="F10974" s="504" t="s">
        <v>416</v>
      </c>
      <c r="G10974" s="504" t="s">
        <v>3368</v>
      </c>
      <c r="H10974" s="504" t="s">
        <v>13306</v>
      </c>
      <c r="I10974" s="504">
        <v>118</v>
      </c>
      <c r="J10974" s="504">
        <v>118</v>
      </c>
      <c r="K10974" s="504">
        <v>0</v>
      </c>
      <c r="L10974" s="504">
        <v>0</v>
      </c>
      <c r="M10974" s="504">
        <v>0</v>
      </c>
      <c r="N10974" s="504">
        <v>0</v>
      </c>
      <c r="O10974" s="505">
        <v>0</v>
      </c>
    </row>
    <row r="10975" spans="1:15" x14ac:dyDescent="0.35">
      <c r="A10975" s="500" t="s">
        <v>1878</v>
      </c>
      <c r="B10975" s="501" t="s">
        <v>2950</v>
      </c>
      <c r="C10975" s="501" t="s">
        <v>1089</v>
      </c>
      <c r="D10975" s="501" t="s">
        <v>3392</v>
      </c>
      <c r="E10975" s="501" t="s">
        <v>3381</v>
      </c>
      <c r="F10975" s="501" t="s">
        <v>2</v>
      </c>
      <c r="G10975" s="501" t="s">
        <v>3368</v>
      </c>
      <c r="H10975" s="501" t="s">
        <v>13307</v>
      </c>
      <c r="I10975" s="501">
        <v>44</v>
      </c>
      <c r="J10975" s="501">
        <v>0</v>
      </c>
      <c r="K10975" s="501">
        <v>0</v>
      </c>
      <c r="L10975" s="501">
        <v>0</v>
      </c>
      <c r="M10975" s="501">
        <v>44</v>
      </c>
      <c r="N10975" s="501">
        <v>0</v>
      </c>
      <c r="O10975" s="506">
        <v>0</v>
      </c>
    </row>
    <row r="10976" spans="1:15" x14ac:dyDescent="0.35">
      <c r="A10976" s="503" t="s">
        <v>1529</v>
      </c>
      <c r="B10976" s="504" t="s">
        <v>2870</v>
      </c>
      <c r="C10976" s="504" t="s">
        <v>1089</v>
      </c>
      <c r="D10976" s="504" t="s">
        <v>3392</v>
      </c>
      <c r="E10976" s="504" t="s">
        <v>3381</v>
      </c>
      <c r="F10976" s="504" t="s">
        <v>416</v>
      </c>
      <c r="G10976" s="504" t="s">
        <v>3368</v>
      </c>
      <c r="H10976" s="504" t="s">
        <v>13308</v>
      </c>
      <c r="I10976" s="504">
        <v>112</v>
      </c>
      <c r="J10976" s="504">
        <v>0</v>
      </c>
      <c r="K10976" s="504">
        <v>0</v>
      </c>
      <c r="L10976" s="504">
        <v>112</v>
      </c>
      <c r="M10976" s="504">
        <v>0</v>
      </c>
      <c r="N10976" s="504">
        <v>0</v>
      </c>
      <c r="O10976" s="505">
        <v>0</v>
      </c>
    </row>
    <row r="10977" spans="1:15" x14ac:dyDescent="0.35">
      <c r="A10977" s="500" t="s">
        <v>1530</v>
      </c>
      <c r="B10977" s="501" t="s">
        <v>2744</v>
      </c>
      <c r="C10977" s="501" t="s">
        <v>1089</v>
      </c>
      <c r="D10977" s="501" t="s">
        <v>3392</v>
      </c>
      <c r="E10977" s="501" t="s">
        <v>3381</v>
      </c>
      <c r="F10977" s="501" t="s">
        <v>416</v>
      </c>
      <c r="G10977" s="501" t="s">
        <v>3368</v>
      </c>
      <c r="H10977" s="501" t="s">
        <v>13309</v>
      </c>
      <c r="I10977" s="501">
        <v>18</v>
      </c>
      <c r="J10977" s="501">
        <v>18</v>
      </c>
      <c r="K10977" s="501">
        <v>0</v>
      </c>
      <c r="L10977" s="501">
        <v>0</v>
      </c>
      <c r="M10977" s="501">
        <v>0</v>
      </c>
      <c r="N10977" s="501">
        <v>0</v>
      </c>
      <c r="O10977" s="506">
        <v>0</v>
      </c>
    </row>
    <row r="10978" spans="1:15" x14ac:dyDescent="0.35">
      <c r="A10978" s="503" t="s">
        <v>1879</v>
      </c>
      <c r="B10978" s="504" t="s">
        <v>2894</v>
      </c>
      <c r="C10978" s="504" t="s">
        <v>1089</v>
      </c>
      <c r="D10978" s="504" t="s">
        <v>3392</v>
      </c>
      <c r="E10978" s="504" t="s">
        <v>3381</v>
      </c>
      <c r="F10978" s="504" t="s">
        <v>2</v>
      </c>
      <c r="G10978" s="504" t="s">
        <v>3368</v>
      </c>
      <c r="H10978" s="504" t="s">
        <v>13310</v>
      </c>
      <c r="I10978" s="504">
        <v>41</v>
      </c>
      <c r="J10978" s="504">
        <v>10</v>
      </c>
      <c r="K10978" s="504">
        <v>0</v>
      </c>
      <c r="L10978" s="504">
        <v>31</v>
      </c>
      <c r="M10978" s="504">
        <v>0</v>
      </c>
      <c r="N10978" s="504">
        <v>0</v>
      </c>
      <c r="O10978" s="505">
        <v>0</v>
      </c>
    </row>
    <row r="10979" spans="1:15" x14ac:dyDescent="0.35">
      <c r="A10979" s="500" t="s">
        <v>1880</v>
      </c>
      <c r="B10979" s="501" t="s">
        <v>2997</v>
      </c>
      <c r="C10979" s="501" t="s">
        <v>1089</v>
      </c>
      <c r="D10979" s="501" t="s">
        <v>3392</v>
      </c>
      <c r="E10979" s="501" t="s">
        <v>3381</v>
      </c>
      <c r="F10979" s="501" t="s">
        <v>2</v>
      </c>
      <c r="G10979" s="501" t="s">
        <v>3368</v>
      </c>
      <c r="H10979" s="501" t="s">
        <v>13311</v>
      </c>
      <c r="I10979" s="501">
        <v>158</v>
      </c>
      <c r="J10979" s="501">
        <v>47</v>
      </c>
      <c r="K10979" s="501">
        <v>0</v>
      </c>
      <c r="L10979" s="501">
        <v>0</v>
      </c>
      <c r="M10979" s="501">
        <v>111</v>
      </c>
      <c r="N10979" s="501">
        <v>0</v>
      </c>
      <c r="O10979" s="506">
        <v>0</v>
      </c>
    </row>
    <row r="10980" spans="1:15" x14ac:dyDescent="0.35">
      <c r="A10980" s="503" t="s">
        <v>11406</v>
      </c>
      <c r="B10980" s="504" t="s">
        <v>3091</v>
      </c>
      <c r="C10980" s="504" t="s">
        <v>1089</v>
      </c>
      <c r="D10980" s="504" t="s">
        <v>3392</v>
      </c>
      <c r="E10980" s="504" t="s">
        <v>3381</v>
      </c>
      <c r="F10980" s="504" t="s">
        <v>418</v>
      </c>
      <c r="G10980" s="504" t="s">
        <v>3368</v>
      </c>
      <c r="H10980" s="504" t="s">
        <v>13312</v>
      </c>
      <c r="I10980" s="504">
        <v>188</v>
      </c>
      <c r="J10980" s="504">
        <v>188</v>
      </c>
      <c r="K10980" s="504">
        <v>0</v>
      </c>
      <c r="L10980" s="504">
        <v>0</v>
      </c>
      <c r="M10980" s="504">
        <v>0</v>
      </c>
      <c r="N10980" s="504">
        <v>0</v>
      </c>
      <c r="O10980" s="505">
        <v>0</v>
      </c>
    </row>
    <row r="10981" spans="1:15" x14ac:dyDescent="0.35">
      <c r="A10981" s="500" t="s">
        <v>14287</v>
      </c>
      <c r="B10981" s="501" t="s">
        <v>3028</v>
      </c>
      <c r="C10981" s="501" t="s">
        <v>1094</v>
      </c>
      <c r="D10981" s="501" t="s">
        <v>3380</v>
      </c>
      <c r="E10981" s="501" t="s">
        <v>3381</v>
      </c>
      <c r="F10981" s="501" t="s">
        <v>418</v>
      </c>
      <c r="G10981" s="501" t="s">
        <v>3368</v>
      </c>
      <c r="H10981" s="501" t="s">
        <v>15415</v>
      </c>
      <c r="I10981" s="501">
        <v>1589</v>
      </c>
      <c r="J10981" s="501">
        <v>1314</v>
      </c>
      <c r="K10981" s="501">
        <v>0</v>
      </c>
      <c r="L10981" s="501">
        <v>49</v>
      </c>
      <c r="M10981" s="501">
        <v>206</v>
      </c>
      <c r="N10981" s="501">
        <v>1</v>
      </c>
      <c r="O10981" s="506">
        <v>20</v>
      </c>
    </row>
    <row r="10982" spans="1:15" x14ac:dyDescent="0.35">
      <c r="A10982" s="503" t="s">
        <v>1749</v>
      </c>
      <c r="B10982" s="504" t="s">
        <v>2725</v>
      </c>
      <c r="C10982" s="504" t="s">
        <v>1089</v>
      </c>
      <c r="D10982" s="504" t="s">
        <v>3392</v>
      </c>
      <c r="E10982" s="504" t="s">
        <v>3381</v>
      </c>
      <c r="F10982" s="504" t="s">
        <v>418</v>
      </c>
      <c r="G10982" s="504" t="s">
        <v>3368</v>
      </c>
      <c r="H10982" s="504" t="s">
        <v>13313</v>
      </c>
      <c r="I10982" s="504">
        <v>19</v>
      </c>
      <c r="J10982" s="504">
        <v>19</v>
      </c>
      <c r="K10982" s="504">
        <v>0</v>
      </c>
      <c r="L10982" s="504">
        <v>0</v>
      </c>
      <c r="M10982" s="504">
        <v>0</v>
      </c>
      <c r="N10982" s="504">
        <v>0</v>
      </c>
      <c r="O10982" s="505">
        <v>0</v>
      </c>
    </row>
    <row r="10983" spans="1:15" x14ac:dyDescent="0.35">
      <c r="A10983" s="500" t="s">
        <v>11407</v>
      </c>
      <c r="B10983" s="501" t="s">
        <v>2670</v>
      </c>
      <c r="C10983" s="501" t="s">
        <v>1089</v>
      </c>
      <c r="D10983" s="501" t="s">
        <v>3392</v>
      </c>
      <c r="E10983" s="501" t="s">
        <v>3381</v>
      </c>
      <c r="F10983" s="501" t="s">
        <v>418</v>
      </c>
      <c r="G10983" s="501" t="s">
        <v>3368</v>
      </c>
      <c r="H10983" s="501" t="s">
        <v>13314</v>
      </c>
      <c r="I10983" s="501">
        <v>99</v>
      </c>
      <c r="J10983" s="501">
        <v>99</v>
      </c>
      <c r="K10983" s="501">
        <v>0</v>
      </c>
      <c r="L10983" s="501">
        <v>0</v>
      </c>
      <c r="M10983" s="501">
        <v>0</v>
      </c>
      <c r="N10983" s="501">
        <v>0</v>
      </c>
      <c r="O10983" s="506">
        <v>0</v>
      </c>
    </row>
    <row r="10984" spans="1:15" x14ac:dyDescent="0.35">
      <c r="A10984" s="503" t="s">
        <v>1228</v>
      </c>
      <c r="B10984" s="504" t="s">
        <v>3321</v>
      </c>
      <c r="C10984" s="504" t="s">
        <v>1094</v>
      </c>
      <c r="D10984" s="504" t="s">
        <v>3380</v>
      </c>
      <c r="E10984" s="504" t="s">
        <v>3381</v>
      </c>
      <c r="F10984" s="504" t="s">
        <v>417</v>
      </c>
      <c r="G10984" s="504" t="s">
        <v>3368</v>
      </c>
      <c r="H10984" s="504" t="s">
        <v>13320</v>
      </c>
      <c r="I10984" s="504">
        <v>54</v>
      </c>
      <c r="J10984" s="504">
        <v>0</v>
      </c>
      <c r="K10984" s="504">
        <v>0</v>
      </c>
      <c r="L10984" s="504">
        <v>53</v>
      </c>
      <c r="M10984" s="504">
        <v>0</v>
      </c>
      <c r="N10984" s="504">
        <v>0</v>
      </c>
      <c r="O10984" s="505">
        <v>1</v>
      </c>
    </row>
    <row r="10985" spans="1:15" x14ac:dyDescent="0.35">
      <c r="A10985" s="500" t="s">
        <v>1228</v>
      </c>
      <c r="B10985" s="501" t="s">
        <v>3321</v>
      </c>
      <c r="C10985" s="501" t="s">
        <v>1094</v>
      </c>
      <c r="D10985" s="501" t="s">
        <v>3380</v>
      </c>
      <c r="E10985" s="501" t="s">
        <v>3381</v>
      </c>
      <c r="F10985" s="501" t="s">
        <v>1048</v>
      </c>
      <c r="G10985" s="501" t="s">
        <v>3368</v>
      </c>
      <c r="H10985" s="501" t="s">
        <v>14045</v>
      </c>
      <c r="I10985" s="501">
        <v>798</v>
      </c>
      <c r="J10985" s="501">
        <v>33</v>
      </c>
      <c r="K10985" s="501">
        <v>0</v>
      </c>
      <c r="L10985" s="501">
        <v>739</v>
      </c>
      <c r="M10985" s="501">
        <v>0</v>
      </c>
      <c r="N10985" s="501">
        <v>0</v>
      </c>
      <c r="O10985" s="506">
        <v>26</v>
      </c>
    </row>
    <row r="10986" spans="1:15" x14ac:dyDescent="0.35">
      <c r="A10986" s="503" t="s">
        <v>1228</v>
      </c>
      <c r="B10986" s="504" t="s">
        <v>3321</v>
      </c>
      <c r="C10986" s="504" t="s">
        <v>1094</v>
      </c>
      <c r="D10986" s="504" t="s">
        <v>3380</v>
      </c>
      <c r="E10986" s="504" t="s">
        <v>3381</v>
      </c>
      <c r="F10986" s="504" t="s">
        <v>416</v>
      </c>
      <c r="G10986" s="504" t="s">
        <v>3368</v>
      </c>
      <c r="H10986" s="504" t="s">
        <v>13322</v>
      </c>
      <c r="I10986" s="504">
        <v>38</v>
      </c>
      <c r="J10986" s="504">
        <v>0</v>
      </c>
      <c r="K10986" s="504">
        <v>0</v>
      </c>
      <c r="L10986" s="504">
        <v>38</v>
      </c>
      <c r="M10986" s="504">
        <v>0</v>
      </c>
      <c r="N10986" s="504">
        <v>0</v>
      </c>
      <c r="O10986" s="505">
        <v>0</v>
      </c>
    </row>
    <row r="10987" spans="1:15" x14ac:dyDescent="0.35">
      <c r="A10987" s="500" t="s">
        <v>1228</v>
      </c>
      <c r="B10987" s="501" t="s">
        <v>3321</v>
      </c>
      <c r="C10987" s="501" t="s">
        <v>1094</v>
      </c>
      <c r="D10987" s="501" t="s">
        <v>3380</v>
      </c>
      <c r="E10987" s="501" t="s">
        <v>3381</v>
      </c>
      <c r="F10987" s="501" t="s">
        <v>420</v>
      </c>
      <c r="G10987" s="501" t="s">
        <v>3368</v>
      </c>
      <c r="H10987" s="501" t="s">
        <v>13317</v>
      </c>
      <c r="I10987" s="501">
        <v>10</v>
      </c>
      <c r="J10987" s="501">
        <v>0</v>
      </c>
      <c r="K10987" s="501">
        <v>0</v>
      </c>
      <c r="L10987" s="501">
        <v>9</v>
      </c>
      <c r="M10987" s="501">
        <v>0</v>
      </c>
      <c r="N10987" s="501">
        <v>0</v>
      </c>
      <c r="O10987" s="506">
        <v>1</v>
      </c>
    </row>
    <row r="10988" spans="1:15" x14ac:dyDescent="0.35">
      <c r="A10988" s="503" t="s">
        <v>1228</v>
      </c>
      <c r="B10988" s="504" t="s">
        <v>3321</v>
      </c>
      <c r="C10988" s="504" t="s">
        <v>1094</v>
      </c>
      <c r="D10988" s="504" t="s">
        <v>3380</v>
      </c>
      <c r="E10988" s="504" t="s">
        <v>3381</v>
      </c>
      <c r="F10988" s="504" t="s">
        <v>415</v>
      </c>
      <c r="G10988" s="504" t="s">
        <v>3368</v>
      </c>
      <c r="H10988" s="504" t="s">
        <v>13318</v>
      </c>
      <c r="I10988" s="504">
        <v>179</v>
      </c>
      <c r="J10988" s="504">
        <v>0</v>
      </c>
      <c r="K10988" s="504">
        <v>0</v>
      </c>
      <c r="L10988" s="504">
        <v>179</v>
      </c>
      <c r="M10988" s="504">
        <v>0</v>
      </c>
      <c r="N10988" s="504">
        <v>0</v>
      </c>
      <c r="O10988" s="505">
        <v>0</v>
      </c>
    </row>
    <row r="10989" spans="1:15" x14ac:dyDescent="0.35">
      <c r="A10989" s="500" t="s">
        <v>1228</v>
      </c>
      <c r="B10989" s="501" t="s">
        <v>3321</v>
      </c>
      <c r="C10989" s="501" t="s">
        <v>1094</v>
      </c>
      <c r="D10989" s="501" t="s">
        <v>3380</v>
      </c>
      <c r="E10989" s="501" t="s">
        <v>3381</v>
      </c>
      <c r="F10989" s="501" t="s">
        <v>414</v>
      </c>
      <c r="G10989" s="501" t="s">
        <v>3368</v>
      </c>
      <c r="H10989" s="501" t="s">
        <v>13319</v>
      </c>
      <c r="I10989" s="501">
        <v>642</v>
      </c>
      <c r="J10989" s="501">
        <v>0</v>
      </c>
      <c r="K10989" s="501">
        <v>0</v>
      </c>
      <c r="L10989" s="501">
        <v>642</v>
      </c>
      <c r="M10989" s="501">
        <v>0</v>
      </c>
      <c r="N10989" s="501">
        <v>0</v>
      </c>
      <c r="O10989" s="506">
        <v>0</v>
      </c>
    </row>
    <row r="10990" spans="1:15" x14ac:dyDescent="0.35">
      <c r="A10990" s="503" t="s">
        <v>1228</v>
      </c>
      <c r="B10990" s="504" t="s">
        <v>3321</v>
      </c>
      <c r="C10990" s="504" t="s">
        <v>1094</v>
      </c>
      <c r="D10990" s="504" t="s">
        <v>3380</v>
      </c>
      <c r="E10990" s="504" t="s">
        <v>3381</v>
      </c>
      <c r="F10990" s="504" t="s">
        <v>2</v>
      </c>
      <c r="G10990" s="504" t="s">
        <v>3368</v>
      </c>
      <c r="H10990" s="504" t="s">
        <v>13315</v>
      </c>
      <c r="I10990" s="504">
        <v>60</v>
      </c>
      <c r="J10990" s="504">
        <v>0</v>
      </c>
      <c r="K10990" s="504">
        <v>0</v>
      </c>
      <c r="L10990" s="504">
        <v>60</v>
      </c>
      <c r="M10990" s="504">
        <v>0</v>
      </c>
      <c r="N10990" s="504">
        <v>0</v>
      </c>
      <c r="O10990" s="505">
        <v>0</v>
      </c>
    </row>
    <row r="10991" spans="1:15" x14ac:dyDescent="0.35">
      <c r="A10991" s="500" t="s">
        <v>1228</v>
      </c>
      <c r="B10991" s="501" t="s">
        <v>3321</v>
      </c>
      <c r="C10991" s="501" t="s">
        <v>1094</v>
      </c>
      <c r="D10991" s="501" t="s">
        <v>3380</v>
      </c>
      <c r="E10991" s="501" t="s">
        <v>3381</v>
      </c>
      <c r="F10991" s="501" t="s">
        <v>418</v>
      </c>
      <c r="G10991" s="501" t="s">
        <v>3368</v>
      </c>
      <c r="H10991" s="501" t="s">
        <v>13316</v>
      </c>
      <c r="I10991" s="501">
        <v>7671</v>
      </c>
      <c r="J10991" s="501">
        <v>5049</v>
      </c>
      <c r="K10991" s="501">
        <v>3</v>
      </c>
      <c r="L10991" s="501">
        <v>1141</v>
      </c>
      <c r="M10991" s="501">
        <v>1220</v>
      </c>
      <c r="N10991" s="501">
        <v>0</v>
      </c>
      <c r="O10991" s="506">
        <v>258</v>
      </c>
    </row>
    <row r="10992" spans="1:15" x14ac:dyDescent="0.35">
      <c r="A10992" s="503" t="s">
        <v>1228</v>
      </c>
      <c r="B10992" s="504" t="s">
        <v>3321</v>
      </c>
      <c r="C10992" s="504" t="s">
        <v>1094</v>
      </c>
      <c r="D10992" s="504" t="s">
        <v>3380</v>
      </c>
      <c r="E10992" s="504" t="s">
        <v>3381</v>
      </c>
      <c r="F10992" s="504" t="s">
        <v>419</v>
      </c>
      <c r="G10992" s="504" t="s">
        <v>3368</v>
      </c>
      <c r="H10992" s="504" t="s">
        <v>13321</v>
      </c>
      <c r="I10992" s="504">
        <v>92</v>
      </c>
      <c r="J10992" s="504">
        <v>0</v>
      </c>
      <c r="K10992" s="504">
        <v>0</v>
      </c>
      <c r="L10992" s="504">
        <v>89</v>
      </c>
      <c r="M10992" s="504">
        <v>0</v>
      </c>
      <c r="N10992" s="504">
        <v>0</v>
      </c>
      <c r="O10992" s="505">
        <v>3</v>
      </c>
    </row>
    <row r="10993" spans="1:15" x14ac:dyDescent="0.35">
      <c r="A10993" s="500" t="s">
        <v>1750</v>
      </c>
      <c r="B10993" s="501">
        <v>4800</v>
      </c>
      <c r="C10993" s="501" t="s">
        <v>1089</v>
      </c>
      <c r="D10993" s="501" t="s">
        <v>3392</v>
      </c>
      <c r="E10993" s="501" t="s">
        <v>3381</v>
      </c>
      <c r="F10993" s="501" t="s">
        <v>418</v>
      </c>
      <c r="G10993" s="501" t="s">
        <v>3368</v>
      </c>
      <c r="H10993" s="501" t="s">
        <v>13323</v>
      </c>
      <c r="I10993" s="501">
        <v>35</v>
      </c>
      <c r="J10993" s="501">
        <v>0</v>
      </c>
      <c r="K10993" s="501">
        <v>0</v>
      </c>
      <c r="L10993" s="501">
        <v>35</v>
      </c>
      <c r="M10993" s="501">
        <v>0</v>
      </c>
      <c r="N10993" s="501">
        <v>0</v>
      </c>
      <c r="O10993" s="506">
        <v>0</v>
      </c>
    </row>
    <row r="10994" spans="1:15" x14ac:dyDescent="0.35">
      <c r="A10994" s="503" t="s">
        <v>1531</v>
      </c>
      <c r="B10994" s="504" t="s">
        <v>3000</v>
      </c>
      <c r="C10994" s="504" t="s">
        <v>1089</v>
      </c>
      <c r="D10994" s="504" t="s">
        <v>3392</v>
      </c>
      <c r="E10994" s="504" t="s">
        <v>3381</v>
      </c>
      <c r="F10994" s="504" t="s">
        <v>416</v>
      </c>
      <c r="G10994" s="504" t="s">
        <v>3368</v>
      </c>
      <c r="H10994" s="504" t="s">
        <v>13324</v>
      </c>
      <c r="I10994" s="504">
        <v>516</v>
      </c>
      <c r="J10994" s="504">
        <v>88</v>
      </c>
      <c r="K10994" s="504">
        <v>0</v>
      </c>
      <c r="L10994" s="504">
        <v>395</v>
      </c>
      <c r="M10994" s="504">
        <v>33</v>
      </c>
      <c r="N10994" s="504">
        <v>0</v>
      </c>
      <c r="O10994" s="505">
        <v>0</v>
      </c>
    </row>
    <row r="10995" spans="1:15" x14ac:dyDescent="0.35">
      <c r="A10995" s="500" t="s">
        <v>1881</v>
      </c>
      <c r="B10995" s="501" t="s">
        <v>3016</v>
      </c>
      <c r="C10995" s="501" t="s">
        <v>1089</v>
      </c>
      <c r="D10995" s="501" t="s">
        <v>3392</v>
      </c>
      <c r="E10995" s="501" t="s">
        <v>3381</v>
      </c>
      <c r="F10995" s="501" t="s">
        <v>2</v>
      </c>
      <c r="G10995" s="501" t="s">
        <v>3368</v>
      </c>
      <c r="H10995" s="501" t="s">
        <v>13325</v>
      </c>
      <c r="I10995" s="501">
        <v>15</v>
      </c>
      <c r="J10995" s="501">
        <v>15</v>
      </c>
      <c r="K10995" s="501">
        <v>0</v>
      </c>
      <c r="L10995" s="501">
        <v>0</v>
      </c>
      <c r="M10995" s="501">
        <v>0</v>
      </c>
      <c r="N10995" s="501">
        <v>0</v>
      </c>
      <c r="O10995" s="506">
        <v>0</v>
      </c>
    </row>
    <row r="10996" spans="1:15" x14ac:dyDescent="0.35">
      <c r="A10996" s="503" t="s">
        <v>1532</v>
      </c>
      <c r="B10996" s="504" t="s">
        <v>2659</v>
      </c>
      <c r="C10996" s="504" t="s">
        <v>1089</v>
      </c>
      <c r="D10996" s="504" t="s">
        <v>3392</v>
      </c>
      <c r="E10996" s="504" t="s">
        <v>3381</v>
      </c>
      <c r="F10996" s="504" t="s">
        <v>416</v>
      </c>
      <c r="G10996" s="504" t="s">
        <v>3368</v>
      </c>
      <c r="H10996" s="504" t="s">
        <v>13326</v>
      </c>
      <c r="I10996" s="504">
        <v>138</v>
      </c>
      <c r="J10996" s="504">
        <v>138</v>
      </c>
      <c r="K10996" s="504">
        <v>0</v>
      </c>
      <c r="L10996" s="504">
        <v>0</v>
      </c>
      <c r="M10996" s="504">
        <v>0</v>
      </c>
      <c r="N10996" s="504">
        <v>0</v>
      </c>
      <c r="O10996" s="505">
        <v>0</v>
      </c>
    </row>
    <row r="10997" spans="1:15" x14ac:dyDescent="0.35">
      <c r="A10997" s="500" t="s">
        <v>1533</v>
      </c>
      <c r="B10997" s="501">
        <v>4703</v>
      </c>
      <c r="C10997" s="501" t="s">
        <v>1089</v>
      </c>
      <c r="D10997" s="501" t="s">
        <v>3392</v>
      </c>
      <c r="E10997" s="501" t="s">
        <v>3381</v>
      </c>
      <c r="F10997" s="501" t="s">
        <v>416</v>
      </c>
      <c r="G10997" s="501" t="s">
        <v>3368</v>
      </c>
      <c r="H10997" s="501" t="s">
        <v>13327</v>
      </c>
      <c r="I10997" s="501">
        <v>183</v>
      </c>
      <c r="J10997" s="501">
        <v>0</v>
      </c>
      <c r="K10997" s="501">
        <v>0</v>
      </c>
      <c r="L10997" s="501">
        <v>183</v>
      </c>
      <c r="M10997" s="501">
        <v>0</v>
      </c>
      <c r="N10997" s="501">
        <v>0</v>
      </c>
      <c r="O10997" s="506">
        <v>0</v>
      </c>
    </row>
    <row r="10998" spans="1:15" x14ac:dyDescent="0.35">
      <c r="A10998" s="503" t="s">
        <v>14293</v>
      </c>
      <c r="B10998" s="504">
        <v>5108</v>
      </c>
      <c r="C10998" s="504" t="s">
        <v>1089</v>
      </c>
      <c r="D10998" s="504" t="s">
        <v>3392</v>
      </c>
      <c r="E10998" s="504" t="s">
        <v>3381</v>
      </c>
      <c r="F10998" s="504" t="s">
        <v>417</v>
      </c>
      <c r="G10998" s="504" t="s">
        <v>3368</v>
      </c>
      <c r="H10998" s="504" t="s">
        <v>15416</v>
      </c>
      <c r="I10998" s="504">
        <v>8</v>
      </c>
      <c r="J10998" s="504">
        <v>0</v>
      </c>
      <c r="K10998" s="504">
        <v>0</v>
      </c>
      <c r="L10998" s="504">
        <v>8</v>
      </c>
      <c r="M10998" s="504">
        <v>0</v>
      </c>
      <c r="N10998" s="504">
        <v>0</v>
      </c>
      <c r="O10998" s="505">
        <v>0</v>
      </c>
    </row>
    <row r="10999" spans="1:15" x14ac:dyDescent="0.35">
      <c r="A10999" s="500" t="s">
        <v>1534</v>
      </c>
      <c r="B10999" s="501" t="s">
        <v>3092</v>
      </c>
      <c r="C10999" s="501" t="s">
        <v>1089</v>
      </c>
      <c r="D10999" s="501" t="s">
        <v>3392</v>
      </c>
      <c r="E10999" s="501" t="s">
        <v>3381</v>
      </c>
      <c r="F10999" s="501" t="s">
        <v>2</v>
      </c>
      <c r="G10999" s="501" t="s">
        <v>3368</v>
      </c>
      <c r="H10999" s="501" t="s">
        <v>13329</v>
      </c>
      <c r="I10999" s="501">
        <v>49</v>
      </c>
      <c r="J10999" s="501">
        <v>37</v>
      </c>
      <c r="K10999" s="501">
        <v>0</v>
      </c>
      <c r="L10999" s="501">
        <v>0</v>
      </c>
      <c r="M10999" s="501">
        <v>12</v>
      </c>
      <c r="N10999" s="501">
        <v>0</v>
      </c>
      <c r="O10999" s="506">
        <v>0</v>
      </c>
    </row>
    <row r="11000" spans="1:15" x14ac:dyDescent="0.35">
      <c r="A11000" s="503" t="s">
        <v>1534</v>
      </c>
      <c r="B11000" s="504" t="s">
        <v>3092</v>
      </c>
      <c r="C11000" s="504" t="s">
        <v>1089</v>
      </c>
      <c r="D11000" s="504" t="s">
        <v>3392</v>
      </c>
      <c r="E11000" s="504" t="s">
        <v>3381</v>
      </c>
      <c r="F11000" s="504" t="s">
        <v>416</v>
      </c>
      <c r="G11000" s="504" t="s">
        <v>3368</v>
      </c>
      <c r="H11000" s="504" t="s">
        <v>13328</v>
      </c>
      <c r="I11000" s="504">
        <v>310</v>
      </c>
      <c r="J11000" s="504">
        <v>249</v>
      </c>
      <c r="K11000" s="504">
        <v>0</v>
      </c>
      <c r="L11000" s="504">
        <v>0</v>
      </c>
      <c r="M11000" s="504">
        <v>61</v>
      </c>
      <c r="N11000" s="504">
        <v>0</v>
      </c>
      <c r="O11000" s="505">
        <v>0</v>
      </c>
    </row>
    <row r="11001" spans="1:15" x14ac:dyDescent="0.35">
      <c r="A11001" s="500" t="s">
        <v>1648</v>
      </c>
      <c r="B11001" s="501" t="s">
        <v>2496</v>
      </c>
      <c r="C11001" s="501" t="s">
        <v>1094</v>
      </c>
      <c r="D11001" s="501" t="s">
        <v>3380</v>
      </c>
      <c r="E11001" s="501" t="s">
        <v>3381</v>
      </c>
      <c r="F11001" s="501" t="s">
        <v>418</v>
      </c>
      <c r="G11001" s="501" t="s">
        <v>3368</v>
      </c>
      <c r="H11001" s="501" t="s">
        <v>13331</v>
      </c>
      <c r="I11001" s="501">
        <v>2</v>
      </c>
      <c r="J11001" s="501">
        <v>0</v>
      </c>
      <c r="K11001" s="501">
        <v>0</v>
      </c>
      <c r="L11001" s="501">
        <v>0</v>
      </c>
      <c r="M11001" s="501">
        <v>2</v>
      </c>
      <c r="N11001" s="501">
        <v>0</v>
      </c>
      <c r="O11001" s="506">
        <v>0</v>
      </c>
    </row>
    <row r="11002" spans="1:15" x14ac:dyDescent="0.35">
      <c r="A11002" s="503" t="s">
        <v>1648</v>
      </c>
      <c r="B11002" s="504" t="s">
        <v>2496</v>
      </c>
      <c r="C11002" s="504" t="s">
        <v>1094</v>
      </c>
      <c r="D11002" s="504" t="s">
        <v>3380</v>
      </c>
      <c r="E11002" s="504" t="s">
        <v>3381</v>
      </c>
      <c r="F11002" s="504" t="s">
        <v>417</v>
      </c>
      <c r="G11002" s="504" t="s">
        <v>3368</v>
      </c>
      <c r="H11002" s="504" t="s">
        <v>13332</v>
      </c>
      <c r="I11002" s="504">
        <v>916</v>
      </c>
      <c r="J11002" s="504">
        <v>415</v>
      </c>
      <c r="K11002" s="504">
        <v>0</v>
      </c>
      <c r="L11002" s="504">
        <v>203</v>
      </c>
      <c r="M11002" s="504">
        <v>267</v>
      </c>
      <c r="N11002" s="504">
        <v>0</v>
      </c>
      <c r="O11002" s="505">
        <v>31</v>
      </c>
    </row>
    <row r="11003" spans="1:15" x14ac:dyDescent="0.35">
      <c r="A11003" s="500" t="s">
        <v>1648</v>
      </c>
      <c r="B11003" s="501" t="s">
        <v>2496</v>
      </c>
      <c r="C11003" s="501" t="s">
        <v>1094</v>
      </c>
      <c r="D11003" s="501" t="s">
        <v>3380</v>
      </c>
      <c r="E11003" s="501" t="s">
        <v>3381</v>
      </c>
      <c r="F11003" s="501" t="s">
        <v>1048</v>
      </c>
      <c r="G11003" s="501" t="s">
        <v>3368</v>
      </c>
      <c r="H11003" s="501" t="s">
        <v>14046</v>
      </c>
      <c r="I11003" s="501">
        <v>643</v>
      </c>
      <c r="J11003" s="501">
        <v>143</v>
      </c>
      <c r="K11003" s="501">
        <v>0</v>
      </c>
      <c r="L11003" s="501">
        <v>259</v>
      </c>
      <c r="M11003" s="501">
        <v>197</v>
      </c>
      <c r="N11003" s="501">
        <v>0</v>
      </c>
      <c r="O11003" s="506">
        <v>44</v>
      </c>
    </row>
    <row r="11004" spans="1:15" x14ac:dyDescent="0.35">
      <c r="A11004" s="503" t="s">
        <v>1648</v>
      </c>
      <c r="B11004" s="504" t="s">
        <v>2496</v>
      </c>
      <c r="C11004" s="504" t="s">
        <v>1094</v>
      </c>
      <c r="D11004" s="504" t="s">
        <v>3380</v>
      </c>
      <c r="E11004" s="504" t="s">
        <v>3381</v>
      </c>
      <c r="F11004" s="504" t="s">
        <v>420</v>
      </c>
      <c r="G11004" s="504" t="s">
        <v>3368</v>
      </c>
      <c r="H11004" s="504" t="s">
        <v>13330</v>
      </c>
      <c r="I11004" s="504">
        <v>30</v>
      </c>
      <c r="J11004" s="504">
        <v>0</v>
      </c>
      <c r="K11004" s="504">
        <v>0</v>
      </c>
      <c r="L11004" s="504">
        <v>30</v>
      </c>
      <c r="M11004" s="504">
        <v>0</v>
      </c>
      <c r="N11004" s="504">
        <v>0</v>
      </c>
      <c r="O11004" s="505">
        <v>0</v>
      </c>
    </row>
    <row r="11005" spans="1:15" x14ac:dyDescent="0.35">
      <c r="A11005" s="500" t="s">
        <v>1335</v>
      </c>
      <c r="B11005" s="501" t="s">
        <v>2551</v>
      </c>
      <c r="C11005" s="501" t="s">
        <v>1089</v>
      </c>
      <c r="D11005" s="501" t="s">
        <v>3392</v>
      </c>
      <c r="E11005" s="501" t="s">
        <v>3381</v>
      </c>
      <c r="F11005" s="501" t="s">
        <v>415</v>
      </c>
      <c r="G11005" s="501" t="s">
        <v>3368</v>
      </c>
      <c r="H11005" s="501" t="s">
        <v>13333</v>
      </c>
      <c r="I11005" s="501">
        <v>44</v>
      </c>
      <c r="J11005" s="501">
        <v>0</v>
      </c>
      <c r="K11005" s="501">
        <v>0</v>
      </c>
      <c r="L11005" s="501">
        <v>0</v>
      </c>
      <c r="M11005" s="501">
        <v>44</v>
      </c>
      <c r="N11005" s="501">
        <v>0</v>
      </c>
      <c r="O11005" s="506">
        <v>0</v>
      </c>
    </row>
    <row r="11006" spans="1:15" x14ac:dyDescent="0.35">
      <c r="A11006" s="503" t="s">
        <v>1535</v>
      </c>
      <c r="B11006" s="504" t="s">
        <v>2885</v>
      </c>
      <c r="C11006" s="504" t="s">
        <v>1089</v>
      </c>
      <c r="D11006" s="504" t="s">
        <v>3392</v>
      </c>
      <c r="E11006" s="504" t="s">
        <v>3381</v>
      </c>
      <c r="F11006" s="504" t="s">
        <v>416</v>
      </c>
      <c r="G11006" s="504" t="s">
        <v>3368</v>
      </c>
      <c r="H11006" s="504" t="s">
        <v>13334</v>
      </c>
      <c r="I11006" s="504">
        <v>12</v>
      </c>
      <c r="J11006" s="504">
        <v>0</v>
      </c>
      <c r="K11006" s="504">
        <v>0</v>
      </c>
      <c r="L11006" s="504">
        <v>12</v>
      </c>
      <c r="M11006" s="504">
        <v>0</v>
      </c>
      <c r="N11006" s="504">
        <v>0</v>
      </c>
      <c r="O11006" s="505">
        <v>0</v>
      </c>
    </row>
    <row r="11007" spans="1:15" x14ac:dyDescent="0.35">
      <c r="A11007" s="500" t="s">
        <v>1535</v>
      </c>
      <c r="B11007" s="501" t="s">
        <v>2885</v>
      </c>
      <c r="C11007" s="501" t="s">
        <v>1089</v>
      </c>
      <c r="D11007" s="501" t="s">
        <v>3392</v>
      </c>
      <c r="E11007" s="501" t="s">
        <v>3381</v>
      </c>
      <c r="F11007" s="501" t="s">
        <v>2</v>
      </c>
      <c r="G11007" s="501" t="s">
        <v>3368</v>
      </c>
      <c r="H11007" s="501" t="s">
        <v>13335</v>
      </c>
      <c r="I11007" s="501">
        <v>199</v>
      </c>
      <c r="J11007" s="501">
        <v>0</v>
      </c>
      <c r="K11007" s="501">
        <v>0</v>
      </c>
      <c r="L11007" s="501">
        <v>10</v>
      </c>
      <c r="M11007" s="501">
        <v>189</v>
      </c>
      <c r="N11007" s="501">
        <v>0</v>
      </c>
      <c r="O11007" s="506">
        <v>0</v>
      </c>
    </row>
    <row r="11008" spans="1:15" x14ac:dyDescent="0.35">
      <c r="A11008" s="503" t="s">
        <v>1536</v>
      </c>
      <c r="B11008" s="504" t="s">
        <v>3178</v>
      </c>
      <c r="C11008" s="504" t="s">
        <v>1094</v>
      </c>
      <c r="D11008" s="504" t="s">
        <v>3380</v>
      </c>
      <c r="E11008" s="504" t="s">
        <v>3381</v>
      </c>
      <c r="F11008" s="504" t="s">
        <v>2</v>
      </c>
      <c r="G11008" s="504" t="s">
        <v>3368</v>
      </c>
      <c r="H11008" s="504" t="s">
        <v>13337</v>
      </c>
      <c r="I11008" s="504">
        <v>6307</v>
      </c>
      <c r="J11008" s="504">
        <v>5446</v>
      </c>
      <c r="K11008" s="504">
        <v>11</v>
      </c>
      <c r="L11008" s="504">
        <v>0</v>
      </c>
      <c r="M11008" s="504">
        <v>360</v>
      </c>
      <c r="N11008" s="504">
        <v>0</v>
      </c>
      <c r="O11008" s="505">
        <v>490</v>
      </c>
    </row>
    <row r="11009" spans="1:15" x14ac:dyDescent="0.35">
      <c r="A11009" s="500" t="s">
        <v>1536</v>
      </c>
      <c r="B11009" s="501" t="s">
        <v>3178</v>
      </c>
      <c r="C11009" s="501" t="s">
        <v>1094</v>
      </c>
      <c r="D11009" s="501" t="s">
        <v>3380</v>
      </c>
      <c r="E11009" s="501" t="s">
        <v>3381</v>
      </c>
      <c r="F11009" s="501" t="s">
        <v>416</v>
      </c>
      <c r="G11009" s="501" t="s">
        <v>3368</v>
      </c>
      <c r="H11009" s="501" t="s">
        <v>13336</v>
      </c>
      <c r="I11009" s="501">
        <v>29</v>
      </c>
      <c r="J11009" s="501">
        <v>29</v>
      </c>
      <c r="K11009" s="501">
        <v>0</v>
      </c>
      <c r="L11009" s="501">
        <v>0</v>
      </c>
      <c r="M11009" s="501">
        <v>0</v>
      </c>
      <c r="N11009" s="501">
        <v>0</v>
      </c>
      <c r="O11009" s="506">
        <v>0</v>
      </c>
    </row>
    <row r="11010" spans="1:15" x14ac:dyDescent="0.35">
      <c r="A11010" s="503" t="s">
        <v>2094</v>
      </c>
      <c r="B11010" s="504" t="s">
        <v>2907</v>
      </c>
      <c r="C11010" s="504" t="s">
        <v>1089</v>
      </c>
      <c r="D11010" s="504" t="s">
        <v>3392</v>
      </c>
      <c r="E11010" s="504" t="s">
        <v>3381</v>
      </c>
      <c r="F11010" s="504" t="s">
        <v>420</v>
      </c>
      <c r="G11010" s="504" t="s">
        <v>3368</v>
      </c>
      <c r="H11010" s="504" t="s">
        <v>13338</v>
      </c>
      <c r="I11010" s="504">
        <v>21</v>
      </c>
      <c r="J11010" s="504">
        <v>0</v>
      </c>
      <c r="K11010" s="504">
        <v>0</v>
      </c>
      <c r="L11010" s="504">
        <v>0</v>
      </c>
      <c r="M11010" s="504">
        <v>21</v>
      </c>
      <c r="N11010" s="504">
        <v>0</v>
      </c>
      <c r="O11010" s="505">
        <v>0</v>
      </c>
    </row>
    <row r="11011" spans="1:15" x14ac:dyDescent="0.35">
      <c r="A11011" s="500" t="s">
        <v>1882</v>
      </c>
      <c r="B11011" s="501" t="s">
        <v>3231</v>
      </c>
      <c r="C11011" s="501" t="s">
        <v>1089</v>
      </c>
      <c r="D11011" s="501" t="s">
        <v>3392</v>
      </c>
      <c r="E11011" s="501" t="s">
        <v>3381</v>
      </c>
      <c r="F11011" s="501" t="s">
        <v>2</v>
      </c>
      <c r="G11011" s="501" t="s">
        <v>3368</v>
      </c>
      <c r="H11011" s="501" t="s">
        <v>13339</v>
      </c>
      <c r="I11011" s="501">
        <v>40</v>
      </c>
      <c r="J11011" s="501">
        <v>0</v>
      </c>
      <c r="K11011" s="501">
        <v>0</v>
      </c>
      <c r="L11011" s="501">
        <v>40</v>
      </c>
      <c r="M11011" s="501">
        <v>0</v>
      </c>
      <c r="N11011" s="501">
        <v>0</v>
      </c>
      <c r="O11011" s="506">
        <v>0</v>
      </c>
    </row>
    <row r="11012" spans="1:15" x14ac:dyDescent="0.35">
      <c r="A11012" s="503" t="s">
        <v>14295</v>
      </c>
      <c r="B11012" s="504">
        <v>5136</v>
      </c>
      <c r="C11012" s="504" t="s">
        <v>1089</v>
      </c>
      <c r="D11012" s="504" t="s">
        <v>3392</v>
      </c>
      <c r="E11012" s="504" t="s">
        <v>3381</v>
      </c>
      <c r="F11012" s="504" t="s">
        <v>418</v>
      </c>
      <c r="G11012" s="504" t="s">
        <v>3368</v>
      </c>
      <c r="H11012" s="504" t="s">
        <v>15417</v>
      </c>
      <c r="I11012" s="504">
        <v>7</v>
      </c>
      <c r="J11012" s="504">
        <v>7</v>
      </c>
      <c r="K11012" s="504">
        <v>0</v>
      </c>
      <c r="L11012" s="504">
        <v>0</v>
      </c>
      <c r="M11012" s="504">
        <v>0</v>
      </c>
      <c r="N11012" s="504">
        <v>0</v>
      </c>
      <c r="O11012" s="505">
        <v>0</v>
      </c>
    </row>
    <row r="11013" spans="1:15" x14ac:dyDescent="0.35">
      <c r="A11013" s="500" t="s">
        <v>2006</v>
      </c>
      <c r="B11013" s="501" t="s">
        <v>2854</v>
      </c>
      <c r="C11013" s="501" t="s">
        <v>1089</v>
      </c>
      <c r="D11013" s="501" t="s">
        <v>3392</v>
      </c>
      <c r="E11013" s="501" t="s">
        <v>3381</v>
      </c>
      <c r="F11013" s="501" t="s">
        <v>419</v>
      </c>
      <c r="G11013" s="501" t="s">
        <v>3368</v>
      </c>
      <c r="H11013" s="501" t="s">
        <v>13340</v>
      </c>
      <c r="I11013" s="501">
        <v>37</v>
      </c>
      <c r="J11013" s="501">
        <v>0</v>
      </c>
      <c r="K11013" s="501">
        <v>0</v>
      </c>
      <c r="L11013" s="501">
        <v>21</v>
      </c>
      <c r="M11013" s="501">
        <v>16</v>
      </c>
      <c r="N11013" s="501">
        <v>0</v>
      </c>
      <c r="O11013" s="506">
        <v>0</v>
      </c>
    </row>
    <row r="11014" spans="1:15" x14ac:dyDescent="0.35">
      <c r="A11014" s="503" t="s">
        <v>1649</v>
      </c>
      <c r="B11014" s="504" t="s">
        <v>2802</v>
      </c>
      <c r="C11014" s="504" t="s">
        <v>1089</v>
      </c>
      <c r="D11014" s="504" t="s">
        <v>3392</v>
      </c>
      <c r="E11014" s="504" t="s">
        <v>3381</v>
      </c>
      <c r="F11014" s="504" t="s">
        <v>417</v>
      </c>
      <c r="G11014" s="504" t="s">
        <v>3368</v>
      </c>
      <c r="H11014" s="504" t="s">
        <v>13341</v>
      </c>
      <c r="I11014" s="504">
        <v>39</v>
      </c>
      <c r="J11014" s="504">
        <v>39</v>
      </c>
      <c r="K11014" s="504">
        <v>0</v>
      </c>
      <c r="L11014" s="504">
        <v>0</v>
      </c>
      <c r="M11014" s="504">
        <v>0</v>
      </c>
      <c r="N11014" s="504">
        <v>0</v>
      </c>
      <c r="O11014" s="505">
        <v>0</v>
      </c>
    </row>
    <row r="11015" spans="1:15" x14ac:dyDescent="0.35">
      <c r="A11015" s="500" t="s">
        <v>1883</v>
      </c>
      <c r="B11015" s="501">
        <v>4682</v>
      </c>
      <c r="C11015" s="501" t="s">
        <v>1094</v>
      </c>
      <c r="D11015" s="501" t="s">
        <v>3380</v>
      </c>
      <c r="E11015" s="501" t="s">
        <v>3381</v>
      </c>
      <c r="F11015" s="501" t="s">
        <v>2</v>
      </c>
      <c r="G11015" s="501" t="s">
        <v>3368</v>
      </c>
      <c r="H11015" s="501" t="s">
        <v>13342</v>
      </c>
      <c r="I11015" s="501">
        <v>5588</v>
      </c>
      <c r="J11015" s="501">
        <v>3821</v>
      </c>
      <c r="K11015" s="501">
        <v>0</v>
      </c>
      <c r="L11015" s="501">
        <v>0</v>
      </c>
      <c r="M11015" s="501">
        <v>1734</v>
      </c>
      <c r="N11015" s="501">
        <v>0</v>
      </c>
      <c r="O11015" s="506">
        <v>33</v>
      </c>
    </row>
    <row r="11016" spans="1:15" x14ac:dyDescent="0.35">
      <c r="A11016" s="503" t="s">
        <v>1751</v>
      </c>
      <c r="B11016" s="504" t="s">
        <v>3012</v>
      </c>
      <c r="C11016" s="504" t="s">
        <v>1094</v>
      </c>
      <c r="D11016" s="504" t="s">
        <v>3392</v>
      </c>
      <c r="E11016" s="504" t="s">
        <v>3381</v>
      </c>
      <c r="F11016" s="504" t="s">
        <v>418</v>
      </c>
      <c r="G11016" s="504" t="s">
        <v>3368</v>
      </c>
      <c r="H11016" s="504" t="s">
        <v>13343</v>
      </c>
      <c r="I11016" s="504">
        <v>196</v>
      </c>
      <c r="J11016" s="504">
        <v>129</v>
      </c>
      <c r="K11016" s="504">
        <v>0</v>
      </c>
      <c r="L11016" s="504">
        <v>67</v>
      </c>
      <c r="M11016" s="504">
        <v>0</v>
      </c>
      <c r="N11016" s="504">
        <v>0</v>
      </c>
      <c r="O11016" s="505">
        <v>0</v>
      </c>
    </row>
    <row r="11017" spans="1:15" x14ac:dyDescent="0.35">
      <c r="A11017" s="500" t="s">
        <v>1537</v>
      </c>
      <c r="B11017" s="501" t="s">
        <v>2785</v>
      </c>
      <c r="C11017" s="501" t="s">
        <v>1089</v>
      </c>
      <c r="D11017" s="501" t="s">
        <v>3392</v>
      </c>
      <c r="E11017" s="501" t="s">
        <v>3381</v>
      </c>
      <c r="F11017" s="501" t="s">
        <v>416</v>
      </c>
      <c r="G11017" s="501" t="s">
        <v>3368</v>
      </c>
      <c r="H11017" s="501" t="s">
        <v>13344</v>
      </c>
      <c r="I11017" s="501">
        <v>78</v>
      </c>
      <c r="J11017" s="501">
        <v>78</v>
      </c>
      <c r="K11017" s="501">
        <v>0</v>
      </c>
      <c r="L11017" s="501">
        <v>0</v>
      </c>
      <c r="M11017" s="501">
        <v>0</v>
      </c>
      <c r="N11017" s="501">
        <v>0</v>
      </c>
      <c r="O11017" s="506">
        <v>0</v>
      </c>
    </row>
    <row r="11018" spans="1:15" x14ac:dyDescent="0.35">
      <c r="A11018" s="503" t="s">
        <v>1229</v>
      </c>
      <c r="B11018" s="504">
        <v>4730</v>
      </c>
      <c r="C11018" s="504" t="s">
        <v>1089</v>
      </c>
      <c r="D11018" s="504" t="s">
        <v>3392</v>
      </c>
      <c r="E11018" s="504" t="s">
        <v>3381</v>
      </c>
      <c r="F11018" s="504" t="s">
        <v>416</v>
      </c>
      <c r="G11018" s="504" t="s">
        <v>3368</v>
      </c>
      <c r="H11018" s="504" t="s">
        <v>13345</v>
      </c>
      <c r="I11018" s="504">
        <v>8</v>
      </c>
      <c r="J11018" s="504">
        <v>0</v>
      </c>
      <c r="K11018" s="504">
        <v>0</v>
      </c>
      <c r="L11018" s="504">
        <v>8</v>
      </c>
      <c r="M11018" s="504">
        <v>0</v>
      </c>
      <c r="N11018" s="504">
        <v>0</v>
      </c>
      <c r="O11018" s="505">
        <v>0</v>
      </c>
    </row>
    <row r="11019" spans="1:15" x14ac:dyDescent="0.35">
      <c r="A11019" s="500" t="s">
        <v>1752</v>
      </c>
      <c r="B11019" s="501">
        <v>4653</v>
      </c>
      <c r="C11019" s="501" t="s">
        <v>1094</v>
      </c>
      <c r="D11019" s="501" t="s">
        <v>3380</v>
      </c>
      <c r="E11019" s="501" t="s">
        <v>3381</v>
      </c>
      <c r="F11019" s="501" t="s">
        <v>418</v>
      </c>
      <c r="G11019" s="501" t="s">
        <v>3368</v>
      </c>
      <c r="H11019" s="501" t="s">
        <v>13346</v>
      </c>
      <c r="I11019" s="501">
        <v>11350</v>
      </c>
      <c r="J11019" s="501">
        <v>9139</v>
      </c>
      <c r="K11019" s="501">
        <v>0</v>
      </c>
      <c r="L11019" s="501">
        <v>737</v>
      </c>
      <c r="M11019" s="501">
        <v>1036</v>
      </c>
      <c r="N11019" s="501">
        <v>49</v>
      </c>
      <c r="O11019" s="506">
        <v>438</v>
      </c>
    </row>
    <row r="11020" spans="1:15" x14ac:dyDescent="0.35">
      <c r="A11020" s="503" t="s">
        <v>2095</v>
      </c>
      <c r="B11020" s="504">
        <v>4778</v>
      </c>
      <c r="C11020" s="504" t="s">
        <v>1089</v>
      </c>
      <c r="D11020" s="504" t="s">
        <v>3392</v>
      </c>
      <c r="E11020" s="504" t="s">
        <v>3381</v>
      </c>
      <c r="F11020" s="504" t="s">
        <v>420</v>
      </c>
      <c r="G11020" s="504" t="s">
        <v>3368</v>
      </c>
      <c r="H11020" s="504" t="s">
        <v>13347</v>
      </c>
      <c r="I11020" s="504">
        <v>4</v>
      </c>
      <c r="J11020" s="504">
        <v>0</v>
      </c>
      <c r="K11020" s="504">
        <v>4</v>
      </c>
      <c r="L11020" s="504">
        <v>0</v>
      </c>
      <c r="M11020" s="504">
        <v>0</v>
      </c>
      <c r="N11020" s="504">
        <v>0</v>
      </c>
      <c r="O11020" s="505">
        <v>0</v>
      </c>
    </row>
    <row r="11021" spans="1:15" x14ac:dyDescent="0.35">
      <c r="A11021" s="500" t="s">
        <v>1124</v>
      </c>
      <c r="B11021" s="501">
        <v>4745</v>
      </c>
      <c r="C11021" s="501" t="s">
        <v>1094</v>
      </c>
      <c r="D11021" s="501" t="s">
        <v>3380</v>
      </c>
      <c r="E11021" s="501" t="s">
        <v>3381</v>
      </c>
      <c r="F11021" s="501" t="s">
        <v>1048</v>
      </c>
      <c r="G11021" s="501" t="s">
        <v>3368</v>
      </c>
      <c r="H11021" s="501" t="s">
        <v>14047</v>
      </c>
      <c r="I11021" s="501">
        <v>69</v>
      </c>
      <c r="J11021" s="501">
        <v>0</v>
      </c>
      <c r="K11021" s="501">
        <v>0</v>
      </c>
      <c r="L11021" s="501">
        <v>69</v>
      </c>
      <c r="M11021" s="501">
        <v>0</v>
      </c>
      <c r="N11021" s="501">
        <v>0</v>
      </c>
      <c r="O11021" s="506">
        <v>0</v>
      </c>
    </row>
    <row r="11022" spans="1:15" x14ac:dyDescent="0.35">
      <c r="A11022" s="503" t="s">
        <v>1124</v>
      </c>
      <c r="B11022" s="504">
        <v>4745</v>
      </c>
      <c r="C11022" s="504" t="s">
        <v>1094</v>
      </c>
      <c r="D11022" s="504" t="s">
        <v>3380</v>
      </c>
      <c r="E11022" s="504" t="s">
        <v>3381</v>
      </c>
      <c r="F11022" s="504" t="s">
        <v>416</v>
      </c>
      <c r="G11022" s="504" t="s">
        <v>3368</v>
      </c>
      <c r="H11022" s="504" t="s">
        <v>13349</v>
      </c>
      <c r="I11022" s="504">
        <v>179</v>
      </c>
      <c r="J11022" s="504">
        <v>0</v>
      </c>
      <c r="K11022" s="504">
        <v>0</v>
      </c>
      <c r="L11022" s="504">
        <v>179</v>
      </c>
      <c r="M11022" s="504">
        <v>0</v>
      </c>
      <c r="N11022" s="504">
        <v>0</v>
      </c>
      <c r="O11022" s="505">
        <v>0</v>
      </c>
    </row>
    <row r="11023" spans="1:15" x14ac:dyDescent="0.35">
      <c r="A11023" s="500" t="s">
        <v>1124</v>
      </c>
      <c r="B11023" s="501">
        <v>4745</v>
      </c>
      <c r="C11023" s="501" t="s">
        <v>1094</v>
      </c>
      <c r="D11023" s="501" t="s">
        <v>3380</v>
      </c>
      <c r="E11023" s="501" t="s">
        <v>3381</v>
      </c>
      <c r="F11023" s="501" t="s">
        <v>415</v>
      </c>
      <c r="G11023" s="501" t="s">
        <v>3368</v>
      </c>
      <c r="H11023" s="501" t="s">
        <v>13355</v>
      </c>
      <c r="I11023" s="501">
        <v>196</v>
      </c>
      <c r="J11023" s="501">
        <v>0</v>
      </c>
      <c r="K11023" s="501">
        <v>0</v>
      </c>
      <c r="L11023" s="501">
        <v>196</v>
      </c>
      <c r="M11023" s="501">
        <v>0</v>
      </c>
      <c r="N11023" s="501">
        <v>0</v>
      </c>
      <c r="O11023" s="506">
        <v>0</v>
      </c>
    </row>
    <row r="11024" spans="1:15" x14ac:dyDescent="0.35">
      <c r="A11024" s="503" t="s">
        <v>1124</v>
      </c>
      <c r="B11024" s="504">
        <v>4745</v>
      </c>
      <c r="C11024" s="504" t="s">
        <v>1094</v>
      </c>
      <c r="D11024" s="504" t="s">
        <v>3380</v>
      </c>
      <c r="E11024" s="504" t="s">
        <v>3381</v>
      </c>
      <c r="F11024" s="504" t="s">
        <v>419</v>
      </c>
      <c r="G11024" s="504" t="s">
        <v>3368</v>
      </c>
      <c r="H11024" s="504" t="s">
        <v>13352</v>
      </c>
      <c r="I11024" s="504">
        <v>63</v>
      </c>
      <c r="J11024" s="504">
        <v>0</v>
      </c>
      <c r="K11024" s="504">
        <v>0</v>
      </c>
      <c r="L11024" s="504">
        <v>63</v>
      </c>
      <c r="M11024" s="504">
        <v>0</v>
      </c>
      <c r="N11024" s="504">
        <v>0</v>
      </c>
      <c r="O11024" s="505">
        <v>0</v>
      </c>
    </row>
    <row r="11025" spans="1:15" x14ac:dyDescent="0.35">
      <c r="A11025" s="500" t="s">
        <v>1124</v>
      </c>
      <c r="B11025" s="501">
        <v>4745</v>
      </c>
      <c r="C11025" s="501" t="s">
        <v>1094</v>
      </c>
      <c r="D11025" s="501" t="s">
        <v>3380</v>
      </c>
      <c r="E11025" s="501" t="s">
        <v>3381</v>
      </c>
      <c r="F11025" s="501" t="s">
        <v>2</v>
      </c>
      <c r="G11025" s="501" t="s">
        <v>3368</v>
      </c>
      <c r="H11025" s="501" t="s">
        <v>13354</v>
      </c>
      <c r="I11025" s="501">
        <v>291</v>
      </c>
      <c r="J11025" s="501">
        <v>0</v>
      </c>
      <c r="K11025" s="501">
        <v>0</v>
      </c>
      <c r="L11025" s="501">
        <v>291</v>
      </c>
      <c r="M11025" s="501">
        <v>0</v>
      </c>
      <c r="N11025" s="501">
        <v>7</v>
      </c>
      <c r="O11025" s="506">
        <v>0</v>
      </c>
    </row>
    <row r="11026" spans="1:15" x14ac:dyDescent="0.35">
      <c r="A11026" s="503" t="s">
        <v>1124</v>
      </c>
      <c r="B11026" s="504">
        <v>4745</v>
      </c>
      <c r="C11026" s="504" t="s">
        <v>1094</v>
      </c>
      <c r="D11026" s="504" t="s">
        <v>3380</v>
      </c>
      <c r="E11026" s="504" t="s">
        <v>3381</v>
      </c>
      <c r="F11026" s="504" t="s">
        <v>420</v>
      </c>
      <c r="G11026" s="504" t="s">
        <v>3368</v>
      </c>
      <c r="H11026" s="504" t="s">
        <v>13353</v>
      </c>
      <c r="I11026" s="504">
        <v>43</v>
      </c>
      <c r="J11026" s="504">
        <v>0</v>
      </c>
      <c r="K11026" s="504">
        <v>0</v>
      </c>
      <c r="L11026" s="504">
        <v>43</v>
      </c>
      <c r="M11026" s="504">
        <v>0</v>
      </c>
      <c r="N11026" s="504">
        <v>0</v>
      </c>
      <c r="O11026" s="505">
        <v>0</v>
      </c>
    </row>
    <row r="11027" spans="1:15" x14ac:dyDescent="0.35">
      <c r="A11027" s="500" t="s">
        <v>1124</v>
      </c>
      <c r="B11027" s="501">
        <v>4745</v>
      </c>
      <c r="C11027" s="501" t="s">
        <v>1094</v>
      </c>
      <c r="D11027" s="501" t="s">
        <v>3380</v>
      </c>
      <c r="E11027" s="501" t="s">
        <v>3381</v>
      </c>
      <c r="F11027" s="501" t="s">
        <v>417</v>
      </c>
      <c r="G11027" s="501" t="s">
        <v>3368</v>
      </c>
      <c r="H11027" s="501" t="s">
        <v>13351</v>
      </c>
      <c r="I11027" s="501">
        <v>199</v>
      </c>
      <c r="J11027" s="501">
        <v>0</v>
      </c>
      <c r="K11027" s="501">
        <v>0</v>
      </c>
      <c r="L11027" s="501">
        <v>199</v>
      </c>
      <c r="M11027" s="501">
        <v>0</v>
      </c>
      <c r="N11027" s="501">
        <v>0</v>
      </c>
      <c r="O11027" s="506">
        <v>0</v>
      </c>
    </row>
    <row r="11028" spans="1:15" x14ac:dyDescent="0.35">
      <c r="A11028" s="503" t="s">
        <v>1124</v>
      </c>
      <c r="B11028" s="504">
        <v>4745</v>
      </c>
      <c r="C11028" s="504" t="s">
        <v>1094</v>
      </c>
      <c r="D11028" s="504" t="s">
        <v>3380</v>
      </c>
      <c r="E11028" s="504" t="s">
        <v>3381</v>
      </c>
      <c r="F11028" s="504" t="s">
        <v>414</v>
      </c>
      <c r="G11028" s="504" t="s">
        <v>3368</v>
      </c>
      <c r="H11028" s="504" t="s">
        <v>13350</v>
      </c>
      <c r="I11028" s="504">
        <v>72</v>
      </c>
      <c r="J11028" s="504">
        <v>0</v>
      </c>
      <c r="K11028" s="504">
        <v>0</v>
      </c>
      <c r="L11028" s="504">
        <v>72</v>
      </c>
      <c r="M11028" s="504">
        <v>0</v>
      </c>
      <c r="N11028" s="504">
        <v>0</v>
      </c>
      <c r="O11028" s="505">
        <v>0</v>
      </c>
    </row>
    <row r="11029" spans="1:15" x14ac:dyDescent="0.35">
      <c r="A11029" s="500" t="s">
        <v>1124</v>
      </c>
      <c r="B11029" s="501">
        <v>4745</v>
      </c>
      <c r="C11029" s="501" t="s">
        <v>1094</v>
      </c>
      <c r="D11029" s="501" t="s">
        <v>3380</v>
      </c>
      <c r="E11029" s="501" t="s">
        <v>3381</v>
      </c>
      <c r="F11029" s="501" t="s">
        <v>418</v>
      </c>
      <c r="G11029" s="501" t="s">
        <v>3368</v>
      </c>
      <c r="H11029" s="501" t="s">
        <v>13348</v>
      </c>
      <c r="I11029" s="501">
        <v>193</v>
      </c>
      <c r="J11029" s="501">
        <v>0</v>
      </c>
      <c r="K11029" s="501">
        <v>0</v>
      </c>
      <c r="L11029" s="501">
        <v>193</v>
      </c>
      <c r="M11029" s="501">
        <v>0</v>
      </c>
      <c r="N11029" s="501">
        <v>5</v>
      </c>
      <c r="O11029" s="506">
        <v>0</v>
      </c>
    </row>
    <row r="11030" spans="1:15" x14ac:dyDescent="0.35">
      <c r="A11030" s="503" t="s">
        <v>1884</v>
      </c>
      <c r="B11030" s="504" t="s">
        <v>2635</v>
      </c>
      <c r="C11030" s="504" t="s">
        <v>1089</v>
      </c>
      <c r="D11030" s="504" t="s">
        <v>3392</v>
      </c>
      <c r="E11030" s="504" t="s">
        <v>3381</v>
      </c>
      <c r="F11030" s="504" t="s">
        <v>2</v>
      </c>
      <c r="G11030" s="504" t="s">
        <v>3368</v>
      </c>
      <c r="H11030" s="504" t="s">
        <v>13356</v>
      </c>
      <c r="I11030" s="504">
        <v>6</v>
      </c>
      <c r="J11030" s="504">
        <v>0</v>
      </c>
      <c r="K11030" s="504">
        <v>0</v>
      </c>
      <c r="L11030" s="504">
        <v>0</v>
      </c>
      <c r="M11030" s="504">
        <v>6</v>
      </c>
      <c r="N11030" s="504">
        <v>0</v>
      </c>
      <c r="O11030" s="505">
        <v>0</v>
      </c>
    </row>
    <row r="11031" spans="1:15" x14ac:dyDescent="0.35">
      <c r="A11031" s="500" t="s">
        <v>1230</v>
      </c>
      <c r="B11031" s="501" t="s">
        <v>3182</v>
      </c>
      <c r="C11031" s="501" t="s">
        <v>1089</v>
      </c>
      <c r="D11031" s="501" t="s">
        <v>3392</v>
      </c>
      <c r="E11031" s="501" t="s">
        <v>3381</v>
      </c>
      <c r="F11031" s="501" t="s">
        <v>414</v>
      </c>
      <c r="G11031" s="501" t="s">
        <v>3368</v>
      </c>
      <c r="H11031" s="501" t="s">
        <v>13357</v>
      </c>
      <c r="I11031" s="501">
        <v>122</v>
      </c>
      <c r="J11031" s="501">
        <v>0</v>
      </c>
      <c r="K11031" s="501">
        <v>0</v>
      </c>
      <c r="L11031" s="501">
        <v>0</v>
      </c>
      <c r="M11031" s="501">
        <v>122</v>
      </c>
      <c r="N11031" s="501">
        <v>0</v>
      </c>
      <c r="O11031" s="506">
        <v>0</v>
      </c>
    </row>
    <row r="11032" spans="1:15" x14ac:dyDescent="0.35">
      <c r="A11032" s="503" t="s">
        <v>1230</v>
      </c>
      <c r="B11032" s="504" t="s">
        <v>3182</v>
      </c>
      <c r="C11032" s="504" t="s">
        <v>1089</v>
      </c>
      <c r="D11032" s="504" t="s">
        <v>3392</v>
      </c>
      <c r="E11032" s="504" t="s">
        <v>3381</v>
      </c>
      <c r="F11032" s="504" t="s">
        <v>418</v>
      </c>
      <c r="G11032" s="504" t="s">
        <v>3368</v>
      </c>
      <c r="H11032" s="504" t="s">
        <v>13358</v>
      </c>
      <c r="I11032" s="504">
        <v>97</v>
      </c>
      <c r="J11032" s="504">
        <v>0</v>
      </c>
      <c r="K11032" s="504">
        <v>0</v>
      </c>
      <c r="L11032" s="504">
        <v>0</v>
      </c>
      <c r="M11032" s="504">
        <v>97</v>
      </c>
      <c r="N11032" s="504">
        <v>0</v>
      </c>
      <c r="O11032" s="505">
        <v>0</v>
      </c>
    </row>
    <row r="11033" spans="1:15" x14ac:dyDescent="0.35">
      <c r="A11033" s="500" t="s">
        <v>1230</v>
      </c>
      <c r="B11033" s="501" t="s">
        <v>3182</v>
      </c>
      <c r="C11033" s="501" t="s">
        <v>1089</v>
      </c>
      <c r="D11033" s="501" t="s">
        <v>3392</v>
      </c>
      <c r="E11033" s="501" t="s">
        <v>3381</v>
      </c>
      <c r="F11033" s="501" t="s">
        <v>416</v>
      </c>
      <c r="G11033" s="501" t="s">
        <v>3368</v>
      </c>
      <c r="H11033" s="501" t="s">
        <v>13359</v>
      </c>
      <c r="I11033" s="501">
        <v>72</v>
      </c>
      <c r="J11033" s="501">
        <v>0</v>
      </c>
      <c r="K11033" s="501">
        <v>0</v>
      </c>
      <c r="L11033" s="501">
        <v>0</v>
      </c>
      <c r="M11033" s="501">
        <v>72</v>
      </c>
      <c r="N11033" s="501">
        <v>0</v>
      </c>
      <c r="O11033" s="506">
        <v>0</v>
      </c>
    </row>
    <row r="11034" spans="1:15" x14ac:dyDescent="0.35">
      <c r="A11034" s="503" t="s">
        <v>1336</v>
      </c>
      <c r="B11034" s="504">
        <v>4824</v>
      </c>
      <c r="C11034" s="504" t="s">
        <v>1089</v>
      </c>
      <c r="D11034" s="504" t="s">
        <v>3392</v>
      </c>
      <c r="E11034" s="504" t="s">
        <v>3381</v>
      </c>
      <c r="F11034" s="504" t="s">
        <v>415</v>
      </c>
      <c r="G11034" s="504" t="s">
        <v>3368</v>
      </c>
      <c r="H11034" s="504" t="s">
        <v>13360</v>
      </c>
      <c r="I11034" s="504">
        <v>12</v>
      </c>
      <c r="J11034" s="504">
        <v>12</v>
      </c>
      <c r="K11034" s="504">
        <v>0</v>
      </c>
      <c r="L11034" s="504">
        <v>0</v>
      </c>
      <c r="M11034" s="504">
        <v>0</v>
      </c>
      <c r="N11034" s="504">
        <v>0</v>
      </c>
      <c r="O11034" s="505">
        <v>0</v>
      </c>
    </row>
    <row r="11035" spans="1:15" x14ac:dyDescent="0.35">
      <c r="A11035" s="500" t="s">
        <v>1538</v>
      </c>
      <c r="B11035" s="501" t="s">
        <v>2716</v>
      </c>
      <c r="C11035" s="501" t="s">
        <v>1089</v>
      </c>
      <c r="D11035" s="501" t="s">
        <v>3392</v>
      </c>
      <c r="E11035" s="501" t="s">
        <v>3381</v>
      </c>
      <c r="F11035" s="501" t="s">
        <v>416</v>
      </c>
      <c r="G11035" s="501" t="s">
        <v>3368</v>
      </c>
      <c r="H11035" s="501" t="s">
        <v>13361</v>
      </c>
      <c r="I11035" s="501">
        <v>26</v>
      </c>
      <c r="J11035" s="501">
        <v>0</v>
      </c>
      <c r="K11035" s="501">
        <v>26</v>
      </c>
      <c r="L11035" s="501">
        <v>0</v>
      </c>
      <c r="M11035" s="501">
        <v>0</v>
      </c>
      <c r="N11035" s="501">
        <v>0</v>
      </c>
      <c r="O11035" s="506">
        <v>0</v>
      </c>
    </row>
    <row r="11036" spans="1:15" x14ac:dyDescent="0.35">
      <c r="A11036" s="503" t="s">
        <v>11391</v>
      </c>
      <c r="B11036" s="504" t="s">
        <v>11460</v>
      </c>
      <c r="C11036" s="504" t="s">
        <v>1089</v>
      </c>
      <c r="D11036" s="504" t="s">
        <v>3392</v>
      </c>
      <c r="E11036" s="504" t="s">
        <v>3381</v>
      </c>
      <c r="F11036" s="504" t="s">
        <v>416</v>
      </c>
      <c r="G11036" s="504" t="s">
        <v>3368</v>
      </c>
      <c r="H11036" s="504" t="s">
        <v>13362</v>
      </c>
      <c r="I11036" s="504">
        <v>25</v>
      </c>
      <c r="J11036" s="504">
        <v>25</v>
      </c>
      <c r="K11036" s="504">
        <v>0</v>
      </c>
      <c r="L11036" s="504">
        <v>0</v>
      </c>
      <c r="M11036" s="504">
        <v>0</v>
      </c>
      <c r="N11036" s="504">
        <v>0</v>
      </c>
      <c r="O11036" s="505">
        <v>0</v>
      </c>
    </row>
    <row r="11037" spans="1:15" x14ac:dyDescent="0.35">
      <c r="A11037" s="500" t="s">
        <v>1539</v>
      </c>
      <c r="B11037" s="501" t="s">
        <v>3171</v>
      </c>
      <c r="C11037" s="501" t="s">
        <v>1094</v>
      </c>
      <c r="D11037" s="501" t="s">
        <v>3380</v>
      </c>
      <c r="E11037" s="501" t="s">
        <v>3381</v>
      </c>
      <c r="F11037" s="501" t="s">
        <v>416</v>
      </c>
      <c r="G11037" s="501" t="s">
        <v>3368</v>
      </c>
      <c r="H11037" s="501" t="s">
        <v>13363</v>
      </c>
      <c r="I11037" s="501">
        <v>7198</v>
      </c>
      <c r="J11037" s="501">
        <v>6659</v>
      </c>
      <c r="K11037" s="501">
        <v>0</v>
      </c>
      <c r="L11037" s="501">
        <v>0</v>
      </c>
      <c r="M11037" s="501">
        <v>391</v>
      </c>
      <c r="N11037" s="501">
        <v>0</v>
      </c>
      <c r="O11037" s="506">
        <v>148</v>
      </c>
    </row>
    <row r="11038" spans="1:15" x14ac:dyDescent="0.35">
      <c r="A11038" s="503" t="s">
        <v>1337</v>
      </c>
      <c r="B11038" s="504" t="s">
        <v>3015</v>
      </c>
      <c r="C11038" s="504" t="s">
        <v>1089</v>
      </c>
      <c r="D11038" s="504" t="s">
        <v>3392</v>
      </c>
      <c r="E11038" s="504" t="s">
        <v>3381</v>
      </c>
      <c r="F11038" s="504" t="s">
        <v>415</v>
      </c>
      <c r="G11038" s="504" t="s">
        <v>3368</v>
      </c>
      <c r="H11038" s="504" t="s">
        <v>13364</v>
      </c>
      <c r="I11038" s="504">
        <v>27</v>
      </c>
      <c r="J11038" s="504">
        <v>0</v>
      </c>
      <c r="K11038" s="504">
        <v>0</v>
      </c>
      <c r="L11038" s="504">
        <v>0</v>
      </c>
      <c r="M11038" s="504">
        <v>27</v>
      </c>
      <c r="N11038" s="504">
        <v>0</v>
      </c>
      <c r="O11038" s="505">
        <v>0</v>
      </c>
    </row>
    <row r="11039" spans="1:15" x14ac:dyDescent="0.35">
      <c r="A11039" s="500" t="s">
        <v>2172</v>
      </c>
      <c r="B11039" s="501" t="s">
        <v>3296</v>
      </c>
      <c r="C11039" s="501" t="s">
        <v>1089</v>
      </c>
      <c r="D11039" s="501" t="s">
        <v>3392</v>
      </c>
      <c r="E11039" s="501" t="s">
        <v>3381</v>
      </c>
      <c r="F11039" s="501" t="s">
        <v>1048</v>
      </c>
      <c r="G11039" s="501" t="s">
        <v>3368</v>
      </c>
      <c r="H11039" s="501" t="s">
        <v>14048</v>
      </c>
      <c r="I11039" s="501">
        <v>19</v>
      </c>
      <c r="J11039" s="501">
        <v>4</v>
      </c>
      <c r="K11039" s="501">
        <v>0</v>
      </c>
      <c r="L11039" s="501">
        <v>15</v>
      </c>
      <c r="M11039" s="501">
        <v>0</v>
      </c>
      <c r="N11039" s="501">
        <v>0</v>
      </c>
      <c r="O11039" s="506">
        <v>0</v>
      </c>
    </row>
    <row r="11040" spans="1:15" x14ac:dyDescent="0.35">
      <c r="A11040" s="503" t="s">
        <v>1338</v>
      </c>
      <c r="B11040" s="504" t="s">
        <v>2528</v>
      </c>
      <c r="C11040" s="504" t="s">
        <v>1089</v>
      </c>
      <c r="D11040" s="504" t="s">
        <v>3392</v>
      </c>
      <c r="E11040" s="504" t="s">
        <v>3381</v>
      </c>
      <c r="F11040" s="504" t="s">
        <v>415</v>
      </c>
      <c r="G11040" s="504" t="s">
        <v>3368</v>
      </c>
      <c r="H11040" s="504" t="s">
        <v>13365</v>
      </c>
      <c r="I11040" s="504">
        <v>24</v>
      </c>
      <c r="J11040" s="504">
        <v>0</v>
      </c>
      <c r="K11040" s="504">
        <v>0</v>
      </c>
      <c r="L11040" s="504">
        <v>0</v>
      </c>
      <c r="M11040" s="504">
        <v>24</v>
      </c>
      <c r="N11040" s="504">
        <v>0</v>
      </c>
      <c r="O11040" s="505">
        <v>0</v>
      </c>
    </row>
    <row r="11041" spans="1:15" x14ac:dyDescent="0.35">
      <c r="A11041" s="500" t="s">
        <v>2007</v>
      </c>
      <c r="B11041" s="501">
        <v>4866</v>
      </c>
      <c r="C11041" s="501" t="s">
        <v>1089</v>
      </c>
      <c r="D11041" s="501" t="s">
        <v>3392</v>
      </c>
      <c r="E11041" s="501" t="s">
        <v>3381</v>
      </c>
      <c r="F11041" s="501" t="s">
        <v>419</v>
      </c>
      <c r="G11041" s="501" t="s">
        <v>3368</v>
      </c>
      <c r="H11041" s="501" t="s">
        <v>13366</v>
      </c>
      <c r="I11041" s="501">
        <v>4</v>
      </c>
      <c r="J11041" s="501">
        <v>4</v>
      </c>
      <c r="K11041" s="501">
        <v>0</v>
      </c>
      <c r="L11041" s="501">
        <v>0</v>
      </c>
      <c r="M11041" s="501">
        <v>0</v>
      </c>
      <c r="N11041" s="501">
        <v>0</v>
      </c>
      <c r="O11041" s="506">
        <v>0</v>
      </c>
    </row>
    <row r="11042" spans="1:15" x14ac:dyDescent="0.35">
      <c r="A11042" s="503" t="s">
        <v>1753</v>
      </c>
      <c r="B11042" s="504">
        <v>4607</v>
      </c>
      <c r="C11042" s="504" t="s">
        <v>1094</v>
      </c>
      <c r="D11042" s="504" t="s">
        <v>3380</v>
      </c>
      <c r="E11042" s="504" t="s">
        <v>3381</v>
      </c>
      <c r="F11042" s="504" t="s">
        <v>418</v>
      </c>
      <c r="G11042" s="504" t="s">
        <v>3368</v>
      </c>
      <c r="H11042" s="504" t="s">
        <v>13367</v>
      </c>
      <c r="I11042" s="504">
        <v>12521</v>
      </c>
      <c r="J11042" s="504">
        <v>11506</v>
      </c>
      <c r="K11042" s="504">
        <v>0</v>
      </c>
      <c r="L11042" s="504">
        <v>0</v>
      </c>
      <c r="M11042" s="504">
        <v>967</v>
      </c>
      <c r="N11042" s="504">
        <v>6</v>
      </c>
      <c r="O11042" s="505">
        <v>48</v>
      </c>
    </row>
    <row r="11043" spans="1:15" x14ac:dyDescent="0.35">
      <c r="A11043" s="500" t="s">
        <v>1885</v>
      </c>
      <c r="B11043" s="501" t="s">
        <v>3259</v>
      </c>
      <c r="C11043" s="501" t="s">
        <v>1089</v>
      </c>
      <c r="D11043" s="501" t="s">
        <v>3392</v>
      </c>
      <c r="E11043" s="501" t="s">
        <v>3381</v>
      </c>
      <c r="F11043" s="501" t="s">
        <v>2</v>
      </c>
      <c r="G11043" s="501" t="s">
        <v>3368</v>
      </c>
      <c r="H11043" s="501" t="s">
        <v>13368</v>
      </c>
      <c r="I11043" s="501">
        <v>124</v>
      </c>
      <c r="J11043" s="501">
        <v>0</v>
      </c>
      <c r="K11043" s="501">
        <v>0</v>
      </c>
      <c r="L11043" s="501">
        <v>0</v>
      </c>
      <c r="M11043" s="501">
        <v>124</v>
      </c>
      <c r="N11043" s="501">
        <v>0</v>
      </c>
      <c r="O11043" s="506">
        <v>0</v>
      </c>
    </row>
    <row r="11044" spans="1:15" x14ac:dyDescent="0.35">
      <c r="A11044" s="503" t="s">
        <v>1886</v>
      </c>
      <c r="B11044" s="504" t="s">
        <v>2967</v>
      </c>
      <c r="C11044" s="504" t="s">
        <v>1089</v>
      </c>
      <c r="D11044" s="504" t="s">
        <v>3392</v>
      </c>
      <c r="E11044" s="504" t="s">
        <v>3381</v>
      </c>
      <c r="F11044" s="504" t="s">
        <v>2</v>
      </c>
      <c r="G11044" s="504" t="s">
        <v>3368</v>
      </c>
      <c r="H11044" s="504" t="s">
        <v>13369</v>
      </c>
      <c r="I11044" s="504">
        <v>24</v>
      </c>
      <c r="J11044" s="504">
        <v>8</v>
      </c>
      <c r="K11044" s="504">
        <v>0</v>
      </c>
      <c r="L11044" s="504">
        <v>0</v>
      </c>
      <c r="M11044" s="504">
        <v>16</v>
      </c>
      <c r="N11044" s="504">
        <v>0</v>
      </c>
      <c r="O11044" s="505">
        <v>0</v>
      </c>
    </row>
    <row r="11045" spans="1:15" x14ac:dyDescent="0.35">
      <c r="A11045" s="500" t="s">
        <v>2173</v>
      </c>
      <c r="B11045" s="501" t="s">
        <v>2462</v>
      </c>
      <c r="C11045" s="501" t="s">
        <v>1089</v>
      </c>
      <c r="D11045" s="501" t="s">
        <v>3392</v>
      </c>
      <c r="E11045" s="501" t="s">
        <v>3381</v>
      </c>
      <c r="F11045" s="501" t="s">
        <v>1048</v>
      </c>
      <c r="G11045" s="501" t="s">
        <v>3368</v>
      </c>
      <c r="H11045" s="501" t="s">
        <v>14049</v>
      </c>
      <c r="I11045" s="501">
        <v>15</v>
      </c>
      <c r="J11045" s="501">
        <v>0</v>
      </c>
      <c r="K11045" s="501">
        <v>0</v>
      </c>
      <c r="L11045" s="501">
        <v>0</v>
      </c>
      <c r="M11045" s="501">
        <v>15</v>
      </c>
      <c r="N11045" s="501">
        <v>0</v>
      </c>
      <c r="O11045" s="506">
        <v>0</v>
      </c>
    </row>
    <row r="11046" spans="1:15" x14ac:dyDescent="0.35">
      <c r="A11046" s="503" t="s">
        <v>2008</v>
      </c>
      <c r="B11046" s="504" t="s">
        <v>3323</v>
      </c>
      <c r="C11046" s="504" t="s">
        <v>1094</v>
      </c>
      <c r="D11046" s="504" t="s">
        <v>3380</v>
      </c>
      <c r="E11046" s="504" t="s">
        <v>3381</v>
      </c>
      <c r="F11046" s="504" t="s">
        <v>419</v>
      </c>
      <c r="G11046" s="504" t="s">
        <v>3368</v>
      </c>
      <c r="H11046" s="504" t="s">
        <v>13371</v>
      </c>
      <c r="I11046" s="504">
        <v>1272</v>
      </c>
      <c r="J11046" s="504">
        <v>845</v>
      </c>
      <c r="K11046" s="504">
        <v>70</v>
      </c>
      <c r="L11046" s="504">
        <v>111</v>
      </c>
      <c r="M11046" s="504">
        <v>124</v>
      </c>
      <c r="N11046" s="504">
        <v>9</v>
      </c>
      <c r="O11046" s="505">
        <v>122</v>
      </c>
    </row>
    <row r="11047" spans="1:15" x14ac:dyDescent="0.35">
      <c r="A11047" s="500" t="s">
        <v>2008</v>
      </c>
      <c r="B11047" s="501" t="s">
        <v>3323</v>
      </c>
      <c r="C11047" s="501" t="s">
        <v>1094</v>
      </c>
      <c r="D11047" s="501" t="s">
        <v>3380</v>
      </c>
      <c r="E11047" s="501" t="s">
        <v>3381</v>
      </c>
      <c r="F11047" s="501" t="s">
        <v>420</v>
      </c>
      <c r="G11047" s="501" t="s">
        <v>3368</v>
      </c>
      <c r="H11047" s="501" t="s">
        <v>13370</v>
      </c>
      <c r="I11047" s="501">
        <v>5179</v>
      </c>
      <c r="J11047" s="501">
        <v>4378</v>
      </c>
      <c r="K11047" s="501">
        <v>65</v>
      </c>
      <c r="L11047" s="501">
        <v>66</v>
      </c>
      <c r="M11047" s="501">
        <v>464</v>
      </c>
      <c r="N11047" s="501">
        <v>36</v>
      </c>
      <c r="O11047" s="506">
        <v>206</v>
      </c>
    </row>
    <row r="11048" spans="1:15" x14ac:dyDescent="0.35">
      <c r="A11048" s="503" t="s">
        <v>1887</v>
      </c>
      <c r="B11048" s="504" t="s">
        <v>3320</v>
      </c>
      <c r="C11048" s="504" t="s">
        <v>1094</v>
      </c>
      <c r="D11048" s="504" t="s">
        <v>3380</v>
      </c>
      <c r="E11048" s="504" t="s">
        <v>3381</v>
      </c>
      <c r="F11048" s="504" t="s">
        <v>2</v>
      </c>
      <c r="G11048" s="504" t="s">
        <v>3368</v>
      </c>
      <c r="H11048" s="504" t="s">
        <v>13372</v>
      </c>
      <c r="I11048" s="504">
        <v>2284</v>
      </c>
      <c r="J11048" s="504">
        <v>1901</v>
      </c>
      <c r="K11048" s="504">
        <v>0</v>
      </c>
      <c r="L11048" s="504">
        <v>6</v>
      </c>
      <c r="M11048" s="504">
        <v>185</v>
      </c>
      <c r="N11048" s="504">
        <v>0</v>
      </c>
      <c r="O11048" s="505">
        <v>192</v>
      </c>
    </row>
    <row r="11049" spans="1:15" x14ac:dyDescent="0.35">
      <c r="A11049" s="500" t="s">
        <v>1540</v>
      </c>
      <c r="B11049" s="501" t="s">
        <v>3271</v>
      </c>
      <c r="C11049" s="501" t="s">
        <v>1089</v>
      </c>
      <c r="D11049" s="501" t="s">
        <v>3392</v>
      </c>
      <c r="E11049" s="501" t="s">
        <v>3381</v>
      </c>
      <c r="F11049" s="501" t="s">
        <v>416</v>
      </c>
      <c r="G11049" s="501" t="s">
        <v>3368</v>
      </c>
      <c r="H11049" s="501" t="s">
        <v>13373</v>
      </c>
      <c r="I11049" s="501">
        <v>88</v>
      </c>
      <c r="J11049" s="501">
        <v>88</v>
      </c>
      <c r="K11049" s="501">
        <v>0</v>
      </c>
      <c r="L11049" s="501">
        <v>0</v>
      </c>
      <c r="M11049" s="501">
        <v>0</v>
      </c>
      <c r="N11049" s="501">
        <v>1</v>
      </c>
      <c r="O11049" s="506">
        <v>0</v>
      </c>
    </row>
    <row r="11050" spans="1:15" x14ac:dyDescent="0.35">
      <c r="A11050" s="503" t="s">
        <v>1540</v>
      </c>
      <c r="B11050" s="504" t="s">
        <v>3271</v>
      </c>
      <c r="C11050" s="504" t="s">
        <v>1089</v>
      </c>
      <c r="D11050" s="504" t="s">
        <v>3392</v>
      </c>
      <c r="E11050" s="504" t="s">
        <v>3381</v>
      </c>
      <c r="F11050" s="504" t="s">
        <v>2</v>
      </c>
      <c r="G11050" s="504" t="s">
        <v>3368</v>
      </c>
      <c r="H11050" s="504" t="s">
        <v>13374</v>
      </c>
      <c r="I11050" s="504">
        <v>329</v>
      </c>
      <c r="J11050" s="504">
        <v>302</v>
      </c>
      <c r="K11050" s="504">
        <v>0</v>
      </c>
      <c r="L11050" s="504">
        <v>0</v>
      </c>
      <c r="M11050" s="504">
        <v>27</v>
      </c>
      <c r="N11050" s="504">
        <v>14</v>
      </c>
      <c r="O11050" s="505">
        <v>0</v>
      </c>
    </row>
    <row r="11051" spans="1:15" x14ac:dyDescent="0.35">
      <c r="A11051" s="500" t="s">
        <v>1888</v>
      </c>
      <c r="B11051" s="501">
        <v>5055</v>
      </c>
      <c r="C11051" s="501" t="s">
        <v>1089</v>
      </c>
      <c r="D11051" s="501" t="s">
        <v>3392</v>
      </c>
      <c r="E11051" s="501" t="s">
        <v>3381</v>
      </c>
      <c r="F11051" s="501" t="s">
        <v>415</v>
      </c>
      <c r="G11051" s="501" t="s">
        <v>3368</v>
      </c>
      <c r="H11051" s="501" t="s">
        <v>13376</v>
      </c>
      <c r="I11051" s="501">
        <v>8</v>
      </c>
      <c r="J11051" s="501">
        <v>8</v>
      </c>
      <c r="K11051" s="501">
        <v>0</v>
      </c>
      <c r="L11051" s="501">
        <v>0</v>
      </c>
      <c r="M11051" s="501">
        <v>0</v>
      </c>
      <c r="N11051" s="501">
        <v>0</v>
      </c>
      <c r="O11051" s="506">
        <v>0</v>
      </c>
    </row>
    <row r="11052" spans="1:15" x14ac:dyDescent="0.35">
      <c r="A11052" s="503" t="s">
        <v>1888</v>
      </c>
      <c r="B11052" s="504">
        <v>5055</v>
      </c>
      <c r="C11052" s="504" t="s">
        <v>1089</v>
      </c>
      <c r="D11052" s="504" t="s">
        <v>3392</v>
      </c>
      <c r="E11052" s="504" t="s">
        <v>3381</v>
      </c>
      <c r="F11052" s="504" t="s">
        <v>2</v>
      </c>
      <c r="G11052" s="504" t="s">
        <v>3368</v>
      </c>
      <c r="H11052" s="504" t="s">
        <v>13375</v>
      </c>
      <c r="I11052" s="504">
        <v>1</v>
      </c>
      <c r="J11052" s="504">
        <v>1</v>
      </c>
      <c r="K11052" s="504">
        <v>0</v>
      </c>
      <c r="L11052" s="504">
        <v>0</v>
      </c>
      <c r="M11052" s="504">
        <v>0</v>
      </c>
      <c r="N11052" s="504">
        <v>0</v>
      </c>
      <c r="O11052" s="505">
        <v>0</v>
      </c>
    </row>
    <row r="11053" spans="1:15" x14ac:dyDescent="0.35">
      <c r="A11053" s="500" t="s">
        <v>1231</v>
      </c>
      <c r="B11053" s="501" t="s">
        <v>2708</v>
      </c>
      <c r="C11053" s="501" t="s">
        <v>1089</v>
      </c>
      <c r="D11053" s="501" t="s">
        <v>3392</v>
      </c>
      <c r="E11053" s="501" t="s">
        <v>3381</v>
      </c>
      <c r="F11053" s="501" t="s">
        <v>414</v>
      </c>
      <c r="G11053" s="501" t="s">
        <v>3368</v>
      </c>
      <c r="H11053" s="501" t="s">
        <v>13377</v>
      </c>
      <c r="I11053" s="501">
        <v>119</v>
      </c>
      <c r="J11053" s="501">
        <v>119</v>
      </c>
      <c r="K11053" s="501">
        <v>0</v>
      </c>
      <c r="L11053" s="501">
        <v>0</v>
      </c>
      <c r="M11053" s="501">
        <v>0</v>
      </c>
      <c r="N11053" s="501">
        <v>0</v>
      </c>
      <c r="O11053" s="506">
        <v>0</v>
      </c>
    </row>
    <row r="11054" spans="1:15" x14ac:dyDescent="0.35">
      <c r="A11054" s="503" t="s">
        <v>1541</v>
      </c>
      <c r="B11054" s="504" t="s">
        <v>2920</v>
      </c>
      <c r="C11054" s="504" t="s">
        <v>1089</v>
      </c>
      <c r="D11054" s="504" t="s">
        <v>3392</v>
      </c>
      <c r="E11054" s="504" t="s">
        <v>3381</v>
      </c>
      <c r="F11054" s="504" t="s">
        <v>416</v>
      </c>
      <c r="G11054" s="504" t="s">
        <v>3368</v>
      </c>
      <c r="H11054" s="504" t="s">
        <v>13378</v>
      </c>
      <c r="I11054" s="504">
        <v>16</v>
      </c>
      <c r="J11054" s="504">
        <v>0</v>
      </c>
      <c r="K11054" s="504">
        <v>0</v>
      </c>
      <c r="L11054" s="504">
        <v>16</v>
      </c>
      <c r="M11054" s="504">
        <v>0</v>
      </c>
      <c r="N11054" s="504">
        <v>0</v>
      </c>
      <c r="O11054" s="505">
        <v>0</v>
      </c>
    </row>
    <row r="11055" spans="1:15" x14ac:dyDescent="0.35">
      <c r="A11055" s="500" t="s">
        <v>1889</v>
      </c>
      <c r="B11055" s="501" t="s">
        <v>2584</v>
      </c>
      <c r="C11055" s="501" t="s">
        <v>1089</v>
      </c>
      <c r="D11055" s="501" t="s">
        <v>3392</v>
      </c>
      <c r="E11055" s="501" t="s">
        <v>3381</v>
      </c>
      <c r="F11055" s="501" t="s">
        <v>2</v>
      </c>
      <c r="G11055" s="501" t="s">
        <v>3368</v>
      </c>
      <c r="H11055" s="501" t="s">
        <v>13379</v>
      </c>
      <c r="I11055" s="501">
        <v>25</v>
      </c>
      <c r="J11055" s="501">
        <v>0</v>
      </c>
      <c r="K11055" s="501">
        <v>0</v>
      </c>
      <c r="L11055" s="501">
        <v>0</v>
      </c>
      <c r="M11055" s="501">
        <v>25</v>
      </c>
      <c r="N11055" s="501">
        <v>0</v>
      </c>
      <c r="O11055" s="506">
        <v>0</v>
      </c>
    </row>
    <row r="11056" spans="1:15" x14ac:dyDescent="0.35">
      <c r="A11056" s="503" t="s">
        <v>1890</v>
      </c>
      <c r="B11056" s="504" t="s">
        <v>3055</v>
      </c>
      <c r="C11056" s="504" t="s">
        <v>1089</v>
      </c>
      <c r="D11056" s="504" t="s">
        <v>3392</v>
      </c>
      <c r="E11056" s="504" t="s">
        <v>3381</v>
      </c>
      <c r="F11056" s="504" t="s">
        <v>2</v>
      </c>
      <c r="G11056" s="504" t="s">
        <v>3368</v>
      </c>
      <c r="H11056" s="504" t="s">
        <v>13380</v>
      </c>
      <c r="I11056" s="504">
        <v>32</v>
      </c>
      <c r="J11056" s="504">
        <v>0</v>
      </c>
      <c r="K11056" s="504">
        <v>0</v>
      </c>
      <c r="L11056" s="504">
        <v>0</v>
      </c>
      <c r="M11056" s="504">
        <v>32</v>
      </c>
      <c r="N11056" s="504">
        <v>0</v>
      </c>
      <c r="O11056" s="505">
        <v>0</v>
      </c>
    </row>
    <row r="11057" spans="1:15" x14ac:dyDescent="0.35">
      <c r="A11057" s="500" t="s">
        <v>1754</v>
      </c>
      <c r="B11057" s="501" t="s">
        <v>2787</v>
      </c>
      <c r="C11057" s="501" t="s">
        <v>1089</v>
      </c>
      <c r="D11057" s="501" t="s">
        <v>3392</v>
      </c>
      <c r="E11057" s="501" t="s">
        <v>3381</v>
      </c>
      <c r="F11057" s="501" t="s">
        <v>418</v>
      </c>
      <c r="G11057" s="501" t="s">
        <v>3368</v>
      </c>
      <c r="H11057" s="501" t="s">
        <v>13381</v>
      </c>
      <c r="I11057" s="501">
        <v>37</v>
      </c>
      <c r="J11057" s="501">
        <v>37</v>
      </c>
      <c r="K11057" s="501">
        <v>0</v>
      </c>
      <c r="L11057" s="501">
        <v>0</v>
      </c>
      <c r="M11057" s="501">
        <v>0</v>
      </c>
      <c r="N11057" s="501">
        <v>0</v>
      </c>
      <c r="O11057" s="506">
        <v>0</v>
      </c>
    </row>
    <row r="11058" spans="1:15" x14ac:dyDescent="0.35">
      <c r="A11058" s="503" t="s">
        <v>1232</v>
      </c>
      <c r="B11058" s="504">
        <v>4608</v>
      </c>
      <c r="C11058" s="504" t="s">
        <v>1089</v>
      </c>
      <c r="D11058" s="504" t="s">
        <v>3392</v>
      </c>
      <c r="E11058" s="504" t="s">
        <v>3381</v>
      </c>
      <c r="F11058" s="504" t="s">
        <v>414</v>
      </c>
      <c r="G11058" s="504" t="s">
        <v>3368</v>
      </c>
      <c r="H11058" s="504" t="s">
        <v>13382</v>
      </c>
      <c r="I11058" s="504">
        <v>132</v>
      </c>
      <c r="J11058" s="504">
        <v>132</v>
      </c>
      <c r="K11058" s="504">
        <v>0</v>
      </c>
      <c r="L11058" s="504">
        <v>0</v>
      </c>
      <c r="M11058" s="504">
        <v>0</v>
      </c>
      <c r="N11058" s="504">
        <v>2</v>
      </c>
      <c r="O11058" s="505">
        <v>0</v>
      </c>
    </row>
    <row r="11059" spans="1:15" x14ac:dyDescent="0.35">
      <c r="A11059" s="500" t="s">
        <v>2011</v>
      </c>
      <c r="B11059" s="501" t="s">
        <v>3322</v>
      </c>
      <c r="C11059" s="501" t="s">
        <v>1089</v>
      </c>
      <c r="D11059" s="501" t="s">
        <v>3392</v>
      </c>
      <c r="E11059" s="501" t="s">
        <v>3381</v>
      </c>
      <c r="F11059" s="501" t="s">
        <v>419</v>
      </c>
      <c r="G11059" s="501" t="s">
        <v>3368</v>
      </c>
      <c r="H11059" s="501" t="s">
        <v>13383</v>
      </c>
      <c r="I11059" s="501">
        <v>746</v>
      </c>
      <c r="J11059" s="501">
        <v>746</v>
      </c>
      <c r="K11059" s="501">
        <v>0</v>
      </c>
      <c r="L11059" s="501">
        <v>0</v>
      </c>
      <c r="M11059" s="501">
        <v>0</v>
      </c>
      <c r="N11059" s="501">
        <v>0</v>
      </c>
      <c r="O11059" s="506">
        <v>0</v>
      </c>
    </row>
    <row r="11060" spans="1:15" x14ac:dyDescent="0.35">
      <c r="A11060" s="503" t="s">
        <v>1891</v>
      </c>
      <c r="B11060" s="504" t="s">
        <v>2465</v>
      </c>
      <c r="C11060" s="504" t="s">
        <v>1089</v>
      </c>
      <c r="D11060" s="504" t="s">
        <v>3392</v>
      </c>
      <c r="E11060" s="504" t="s">
        <v>3381</v>
      </c>
      <c r="F11060" s="504" t="s">
        <v>2</v>
      </c>
      <c r="G11060" s="504" t="s">
        <v>3368</v>
      </c>
      <c r="H11060" s="504" t="s">
        <v>13384</v>
      </c>
      <c r="I11060" s="504">
        <v>15</v>
      </c>
      <c r="J11060" s="504">
        <v>0</v>
      </c>
      <c r="K11060" s="504">
        <v>0</v>
      </c>
      <c r="L11060" s="504">
        <v>0</v>
      </c>
      <c r="M11060" s="504">
        <v>15</v>
      </c>
      <c r="N11060" s="504">
        <v>0</v>
      </c>
      <c r="O11060" s="505">
        <v>0</v>
      </c>
    </row>
    <row r="11061" spans="1:15" x14ac:dyDescent="0.35">
      <c r="A11061" s="500" t="s">
        <v>1339</v>
      </c>
      <c r="B11061" s="501" t="s">
        <v>3358</v>
      </c>
      <c r="C11061" s="501" t="s">
        <v>1094</v>
      </c>
      <c r="D11061" s="501" t="s">
        <v>3380</v>
      </c>
      <c r="E11061" s="501" t="s">
        <v>3381</v>
      </c>
      <c r="F11061" s="501" t="s">
        <v>415</v>
      </c>
      <c r="G11061" s="501" t="s">
        <v>3368</v>
      </c>
      <c r="H11061" s="501" t="s">
        <v>13385</v>
      </c>
      <c r="I11061" s="501">
        <v>6359</v>
      </c>
      <c r="J11061" s="501">
        <v>5425</v>
      </c>
      <c r="K11061" s="501">
        <v>0</v>
      </c>
      <c r="L11061" s="501">
        <v>138</v>
      </c>
      <c r="M11061" s="501">
        <v>575</v>
      </c>
      <c r="N11061" s="501">
        <v>0</v>
      </c>
      <c r="O11061" s="506">
        <v>221</v>
      </c>
    </row>
    <row r="11062" spans="1:15" x14ac:dyDescent="0.35">
      <c r="A11062" s="503" t="s">
        <v>1233</v>
      </c>
      <c r="B11062" s="504">
        <v>4636</v>
      </c>
      <c r="C11062" s="504" t="s">
        <v>1094</v>
      </c>
      <c r="D11062" s="504" t="s">
        <v>3380</v>
      </c>
      <c r="E11062" s="504" t="s">
        <v>3381</v>
      </c>
      <c r="F11062" s="504" t="s">
        <v>417</v>
      </c>
      <c r="G11062" s="504" t="s">
        <v>3368</v>
      </c>
      <c r="H11062" s="504" t="s">
        <v>15418</v>
      </c>
      <c r="I11062" s="504">
        <v>4</v>
      </c>
      <c r="J11062" s="504">
        <v>4</v>
      </c>
      <c r="K11062" s="504">
        <v>0</v>
      </c>
      <c r="L11062" s="504">
        <v>0</v>
      </c>
      <c r="M11062" s="504">
        <v>0</v>
      </c>
      <c r="N11062" s="504">
        <v>0</v>
      </c>
      <c r="O11062" s="505">
        <v>0</v>
      </c>
    </row>
    <row r="11063" spans="1:15" x14ac:dyDescent="0.35">
      <c r="A11063" s="500" t="s">
        <v>1233</v>
      </c>
      <c r="B11063" s="501">
        <v>4636</v>
      </c>
      <c r="C11063" s="501" t="s">
        <v>1094</v>
      </c>
      <c r="D11063" s="501" t="s">
        <v>3380</v>
      </c>
      <c r="E11063" s="501" t="s">
        <v>3381</v>
      </c>
      <c r="F11063" s="501" t="s">
        <v>419</v>
      </c>
      <c r="G11063" s="501" t="s">
        <v>3368</v>
      </c>
      <c r="H11063" s="501" t="s">
        <v>13389</v>
      </c>
      <c r="I11063" s="501">
        <v>218</v>
      </c>
      <c r="J11063" s="501">
        <v>63</v>
      </c>
      <c r="K11063" s="501">
        <v>0</v>
      </c>
      <c r="L11063" s="501">
        <v>0</v>
      </c>
      <c r="M11063" s="501">
        <v>0</v>
      </c>
      <c r="N11063" s="501">
        <v>0</v>
      </c>
      <c r="O11063" s="506">
        <v>155</v>
      </c>
    </row>
    <row r="11064" spans="1:15" x14ac:dyDescent="0.35">
      <c r="A11064" s="503" t="s">
        <v>1233</v>
      </c>
      <c r="B11064" s="504">
        <v>4636</v>
      </c>
      <c r="C11064" s="504" t="s">
        <v>1094</v>
      </c>
      <c r="D11064" s="504" t="s">
        <v>3380</v>
      </c>
      <c r="E11064" s="504" t="s">
        <v>3381</v>
      </c>
      <c r="F11064" s="504" t="s">
        <v>416</v>
      </c>
      <c r="G11064" s="504" t="s">
        <v>3368</v>
      </c>
      <c r="H11064" s="504" t="s">
        <v>13392</v>
      </c>
      <c r="I11064" s="504">
        <v>165</v>
      </c>
      <c r="J11064" s="504">
        <v>56</v>
      </c>
      <c r="K11064" s="504">
        <v>0</v>
      </c>
      <c r="L11064" s="504">
        <v>0</v>
      </c>
      <c r="M11064" s="504">
        <v>0</v>
      </c>
      <c r="N11064" s="504">
        <v>0</v>
      </c>
      <c r="O11064" s="505">
        <v>109</v>
      </c>
    </row>
    <row r="11065" spans="1:15" x14ac:dyDescent="0.35">
      <c r="A11065" s="500" t="s">
        <v>1233</v>
      </c>
      <c r="B11065" s="501">
        <v>4636</v>
      </c>
      <c r="C11065" s="501" t="s">
        <v>1094</v>
      </c>
      <c r="D11065" s="501" t="s">
        <v>3380</v>
      </c>
      <c r="E11065" s="501" t="s">
        <v>3381</v>
      </c>
      <c r="F11065" s="501" t="s">
        <v>420</v>
      </c>
      <c r="G11065" s="501" t="s">
        <v>3368</v>
      </c>
      <c r="H11065" s="501" t="s">
        <v>13386</v>
      </c>
      <c r="I11065" s="501">
        <v>371</v>
      </c>
      <c r="J11065" s="501">
        <v>154</v>
      </c>
      <c r="K11065" s="501">
        <v>0</v>
      </c>
      <c r="L11065" s="501">
        <v>0</v>
      </c>
      <c r="M11065" s="501">
        <v>0</v>
      </c>
      <c r="N11065" s="501">
        <v>0</v>
      </c>
      <c r="O11065" s="506">
        <v>217</v>
      </c>
    </row>
    <row r="11066" spans="1:15" x14ac:dyDescent="0.35">
      <c r="A11066" s="503" t="s">
        <v>1233</v>
      </c>
      <c r="B11066" s="504">
        <v>4636</v>
      </c>
      <c r="C11066" s="504" t="s">
        <v>1094</v>
      </c>
      <c r="D11066" s="504" t="s">
        <v>3380</v>
      </c>
      <c r="E11066" s="504" t="s">
        <v>3381</v>
      </c>
      <c r="F11066" s="504" t="s">
        <v>2</v>
      </c>
      <c r="G11066" s="504" t="s">
        <v>3368</v>
      </c>
      <c r="H11066" s="504" t="s">
        <v>13388</v>
      </c>
      <c r="I11066" s="504">
        <v>1267</v>
      </c>
      <c r="J11066" s="504">
        <v>373</v>
      </c>
      <c r="K11066" s="504">
        <v>0</v>
      </c>
      <c r="L11066" s="504">
        <v>0</v>
      </c>
      <c r="M11066" s="504">
        <v>0</v>
      </c>
      <c r="N11066" s="504">
        <v>0</v>
      </c>
      <c r="O11066" s="505">
        <v>894</v>
      </c>
    </row>
    <row r="11067" spans="1:15" x14ac:dyDescent="0.35">
      <c r="A11067" s="500" t="s">
        <v>1233</v>
      </c>
      <c r="B11067" s="501">
        <v>4636</v>
      </c>
      <c r="C11067" s="501" t="s">
        <v>1094</v>
      </c>
      <c r="D11067" s="501" t="s">
        <v>3380</v>
      </c>
      <c r="E11067" s="501" t="s">
        <v>3381</v>
      </c>
      <c r="F11067" s="501" t="s">
        <v>1048</v>
      </c>
      <c r="G11067" s="501" t="s">
        <v>3368</v>
      </c>
      <c r="H11067" s="501" t="s">
        <v>14050</v>
      </c>
      <c r="I11067" s="501">
        <v>138</v>
      </c>
      <c r="J11067" s="501">
        <v>79</v>
      </c>
      <c r="K11067" s="501">
        <v>0</v>
      </c>
      <c r="L11067" s="501">
        <v>0</v>
      </c>
      <c r="M11067" s="501">
        <v>0</v>
      </c>
      <c r="N11067" s="501">
        <v>0</v>
      </c>
      <c r="O11067" s="506">
        <v>59</v>
      </c>
    </row>
    <row r="11068" spans="1:15" x14ac:dyDescent="0.35">
      <c r="A11068" s="503" t="s">
        <v>1233</v>
      </c>
      <c r="B11068" s="504">
        <v>4636</v>
      </c>
      <c r="C11068" s="504" t="s">
        <v>1094</v>
      </c>
      <c r="D11068" s="504" t="s">
        <v>3380</v>
      </c>
      <c r="E11068" s="504" t="s">
        <v>3381</v>
      </c>
      <c r="F11068" s="504" t="s">
        <v>418</v>
      </c>
      <c r="G11068" s="504" t="s">
        <v>3368</v>
      </c>
      <c r="H11068" s="504" t="s">
        <v>13387</v>
      </c>
      <c r="I11068" s="504">
        <v>452</v>
      </c>
      <c r="J11068" s="504">
        <v>93</v>
      </c>
      <c r="K11068" s="504">
        <v>0</v>
      </c>
      <c r="L11068" s="504">
        <v>0</v>
      </c>
      <c r="M11068" s="504">
        <v>0</v>
      </c>
      <c r="N11068" s="504">
        <v>0</v>
      </c>
      <c r="O11068" s="505">
        <v>359</v>
      </c>
    </row>
    <row r="11069" spans="1:15" x14ac:dyDescent="0.35">
      <c r="A11069" s="500" t="s">
        <v>1233</v>
      </c>
      <c r="B11069" s="501">
        <v>4636</v>
      </c>
      <c r="C11069" s="501" t="s">
        <v>1094</v>
      </c>
      <c r="D11069" s="501" t="s">
        <v>3380</v>
      </c>
      <c r="E11069" s="501" t="s">
        <v>3381</v>
      </c>
      <c r="F11069" s="501" t="s">
        <v>414</v>
      </c>
      <c r="G11069" s="501" t="s">
        <v>3368</v>
      </c>
      <c r="H11069" s="501" t="s">
        <v>13390</v>
      </c>
      <c r="I11069" s="501">
        <v>559</v>
      </c>
      <c r="J11069" s="501">
        <v>140</v>
      </c>
      <c r="K11069" s="501">
        <v>0</v>
      </c>
      <c r="L11069" s="501">
        <v>0</v>
      </c>
      <c r="M11069" s="501">
        <v>0</v>
      </c>
      <c r="N11069" s="501">
        <v>0</v>
      </c>
      <c r="O11069" s="506">
        <v>419</v>
      </c>
    </row>
    <row r="11070" spans="1:15" x14ac:dyDescent="0.35">
      <c r="A11070" s="503" t="s">
        <v>1233</v>
      </c>
      <c r="B11070" s="504">
        <v>4636</v>
      </c>
      <c r="C11070" s="504" t="s">
        <v>1094</v>
      </c>
      <c r="D11070" s="504" t="s">
        <v>3380</v>
      </c>
      <c r="E11070" s="504" t="s">
        <v>3381</v>
      </c>
      <c r="F11070" s="504" t="s">
        <v>415</v>
      </c>
      <c r="G11070" s="504" t="s">
        <v>3368</v>
      </c>
      <c r="H11070" s="504" t="s">
        <v>13391</v>
      </c>
      <c r="I11070" s="504">
        <v>1386</v>
      </c>
      <c r="J11070" s="504">
        <v>492</v>
      </c>
      <c r="K11070" s="504">
        <v>0</v>
      </c>
      <c r="L11070" s="504">
        <v>0</v>
      </c>
      <c r="M11070" s="504">
        <v>0</v>
      </c>
      <c r="N11070" s="504">
        <v>0</v>
      </c>
      <c r="O11070" s="505">
        <v>894</v>
      </c>
    </row>
    <row r="11071" spans="1:15" x14ac:dyDescent="0.35">
      <c r="A11071" s="500" t="s">
        <v>11368</v>
      </c>
      <c r="B11071" s="501">
        <v>5083</v>
      </c>
      <c r="C11071" s="501" t="s">
        <v>1094</v>
      </c>
      <c r="D11071" s="501" t="s">
        <v>3380</v>
      </c>
      <c r="E11071" s="501" t="s">
        <v>3381</v>
      </c>
      <c r="F11071" s="501" t="s">
        <v>1048</v>
      </c>
      <c r="G11071" s="501" t="s">
        <v>3368</v>
      </c>
      <c r="H11071" s="501" t="s">
        <v>14051</v>
      </c>
      <c r="I11071" s="501">
        <v>48</v>
      </c>
      <c r="J11071" s="501">
        <v>48</v>
      </c>
      <c r="K11071" s="501">
        <v>0</v>
      </c>
      <c r="L11071" s="501">
        <v>0</v>
      </c>
      <c r="M11071" s="501">
        <v>0</v>
      </c>
      <c r="N11071" s="501">
        <v>0</v>
      </c>
      <c r="O11071" s="506">
        <v>0</v>
      </c>
    </row>
    <row r="11072" spans="1:15" x14ac:dyDescent="0.35">
      <c r="A11072" s="503" t="s">
        <v>11368</v>
      </c>
      <c r="B11072" s="504">
        <v>5083</v>
      </c>
      <c r="C11072" s="504" t="s">
        <v>1094</v>
      </c>
      <c r="D11072" s="504" t="s">
        <v>3380</v>
      </c>
      <c r="E11072" s="504" t="s">
        <v>3381</v>
      </c>
      <c r="F11072" s="504" t="s">
        <v>2</v>
      </c>
      <c r="G11072" s="504" t="s">
        <v>3368</v>
      </c>
      <c r="H11072" s="504" t="s">
        <v>13397</v>
      </c>
      <c r="I11072" s="504">
        <v>1032</v>
      </c>
      <c r="J11072" s="504">
        <v>1032</v>
      </c>
      <c r="K11072" s="504">
        <v>0</v>
      </c>
      <c r="L11072" s="504">
        <v>0</v>
      </c>
      <c r="M11072" s="504">
        <v>0</v>
      </c>
      <c r="N11072" s="504">
        <v>0</v>
      </c>
      <c r="O11072" s="505">
        <v>0</v>
      </c>
    </row>
    <row r="11073" spans="1:15" x14ac:dyDescent="0.35">
      <c r="A11073" s="500" t="s">
        <v>11368</v>
      </c>
      <c r="B11073" s="501">
        <v>5083</v>
      </c>
      <c r="C11073" s="501" t="s">
        <v>1094</v>
      </c>
      <c r="D11073" s="501" t="s">
        <v>3380</v>
      </c>
      <c r="E11073" s="501" t="s">
        <v>3381</v>
      </c>
      <c r="F11073" s="501" t="s">
        <v>418</v>
      </c>
      <c r="G11073" s="501" t="s">
        <v>3368</v>
      </c>
      <c r="H11073" s="501" t="s">
        <v>13395</v>
      </c>
      <c r="I11073" s="501">
        <v>303</v>
      </c>
      <c r="J11073" s="501">
        <v>303</v>
      </c>
      <c r="K11073" s="501">
        <v>0</v>
      </c>
      <c r="L11073" s="501">
        <v>0</v>
      </c>
      <c r="M11073" s="501">
        <v>0</v>
      </c>
      <c r="N11073" s="501">
        <v>0</v>
      </c>
      <c r="O11073" s="506">
        <v>0</v>
      </c>
    </row>
    <row r="11074" spans="1:15" x14ac:dyDescent="0.35">
      <c r="A11074" s="503" t="s">
        <v>11368</v>
      </c>
      <c r="B11074" s="504">
        <v>5083</v>
      </c>
      <c r="C11074" s="504" t="s">
        <v>1094</v>
      </c>
      <c r="D11074" s="504" t="s">
        <v>3380</v>
      </c>
      <c r="E11074" s="504" t="s">
        <v>3381</v>
      </c>
      <c r="F11074" s="504" t="s">
        <v>414</v>
      </c>
      <c r="G11074" s="504" t="s">
        <v>3368</v>
      </c>
      <c r="H11074" s="504" t="s">
        <v>13396</v>
      </c>
      <c r="I11074" s="504">
        <v>445</v>
      </c>
      <c r="J11074" s="504">
        <v>445</v>
      </c>
      <c r="K11074" s="504">
        <v>0</v>
      </c>
      <c r="L11074" s="504">
        <v>0</v>
      </c>
      <c r="M11074" s="504">
        <v>0</v>
      </c>
      <c r="N11074" s="504">
        <v>0</v>
      </c>
      <c r="O11074" s="505">
        <v>0</v>
      </c>
    </row>
    <row r="11075" spans="1:15" x14ac:dyDescent="0.35">
      <c r="A11075" s="500" t="s">
        <v>11368</v>
      </c>
      <c r="B11075" s="501">
        <v>5083</v>
      </c>
      <c r="C11075" s="501" t="s">
        <v>1094</v>
      </c>
      <c r="D11075" s="501" t="s">
        <v>3380</v>
      </c>
      <c r="E11075" s="501" t="s">
        <v>3381</v>
      </c>
      <c r="F11075" s="501" t="s">
        <v>420</v>
      </c>
      <c r="G11075" s="501" t="s">
        <v>3368</v>
      </c>
      <c r="H11075" s="501" t="s">
        <v>13399</v>
      </c>
      <c r="I11075" s="501">
        <v>233</v>
      </c>
      <c r="J11075" s="501">
        <v>233</v>
      </c>
      <c r="K11075" s="501">
        <v>0</v>
      </c>
      <c r="L11075" s="501">
        <v>0</v>
      </c>
      <c r="M11075" s="501">
        <v>0</v>
      </c>
      <c r="N11075" s="501">
        <v>0</v>
      </c>
      <c r="O11075" s="506">
        <v>0</v>
      </c>
    </row>
    <row r="11076" spans="1:15" x14ac:dyDescent="0.35">
      <c r="A11076" s="503" t="s">
        <v>11368</v>
      </c>
      <c r="B11076" s="504">
        <v>5083</v>
      </c>
      <c r="C11076" s="504" t="s">
        <v>1094</v>
      </c>
      <c r="D11076" s="504" t="s">
        <v>3380</v>
      </c>
      <c r="E11076" s="504" t="s">
        <v>3381</v>
      </c>
      <c r="F11076" s="504" t="s">
        <v>416</v>
      </c>
      <c r="G11076" s="504" t="s">
        <v>3368</v>
      </c>
      <c r="H11076" s="504" t="s">
        <v>13398</v>
      </c>
      <c r="I11076" s="504">
        <v>100</v>
      </c>
      <c r="J11076" s="504">
        <v>100</v>
      </c>
      <c r="K11076" s="504">
        <v>0</v>
      </c>
      <c r="L11076" s="504">
        <v>0</v>
      </c>
      <c r="M11076" s="504">
        <v>0</v>
      </c>
      <c r="N11076" s="504">
        <v>0</v>
      </c>
      <c r="O11076" s="505">
        <v>0</v>
      </c>
    </row>
    <row r="11077" spans="1:15" x14ac:dyDescent="0.35">
      <c r="A11077" s="500" t="s">
        <v>11368</v>
      </c>
      <c r="B11077" s="501">
        <v>5083</v>
      </c>
      <c r="C11077" s="501" t="s">
        <v>1094</v>
      </c>
      <c r="D11077" s="501" t="s">
        <v>3380</v>
      </c>
      <c r="E11077" s="501" t="s">
        <v>3381</v>
      </c>
      <c r="F11077" s="501" t="s">
        <v>415</v>
      </c>
      <c r="G11077" s="501" t="s">
        <v>3368</v>
      </c>
      <c r="H11077" s="501" t="s">
        <v>13394</v>
      </c>
      <c r="I11077" s="501">
        <v>1044</v>
      </c>
      <c r="J11077" s="501">
        <v>1044</v>
      </c>
      <c r="K11077" s="501">
        <v>0</v>
      </c>
      <c r="L11077" s="501">
        <v>0</v>
      </c>
      <c r="M11077" s="501">
        <v>0</v>
      </c>
      <c r="N11077" s="501">
        <v>0</v>
      </c>
      <c r="O11077" s="506">
        <v>0</v>
      </c>
    </row>
    <row r="11078" spans="1:15" x14ac:dyDescent="0.35">
      <c r="A11078" s="503" t="s">
        <v>11368</v>
      </c>
      <c r="B11078" s="504">
        <v>5083</v>
      </c>
      <c r="C11078" s="504" t="s">
        <v>1094</v>
      </c>
      <c r="D11078" s="504" t="s">
        <v>3380</v>
      </c>
      <c r="E11078" s="504" t="s">
        <v>3381</v>
      </c>
      <c r="F11078" s="504" t="s">
        <v>419</v>
      </c>
      <c r="G11078" s="504" t="s">
        <v>3368</v>
      </c>
      <c r="H11078" s="504" t="s">
        <v>13393</v>
      </c>
      <c r="I11078" s="504">
        <v>116</v>
      </c>
      <c r="J11078" s="504">
        <v>116</v>
      </c>
      <c r="K11078" s="504">
        <v>0</v>
      </c>
      <c r="L11078" s="504">
        <v>0</v>
      </c>
      <c r="M11078" s="504">
        <v>0</v>
      </c>
      <c r="N11078" s="504">
        <v>0</v>
      </c>
      <c r="O11078" s="505">
        <v>0</v>
      </c>
    </row>
    <row r="11079" spans="1:15" x14ac:dyDescent="0.35">
      <c r="A11079" s="500" t="s">
        <v>2009</v>
      </c>
      <c r="B11079" s="501" t="s">
        <v>2431</v>
      </c>
      <c r="C11079" s="501" t="s">
        <v>1089</v>
      </c>
      <c r="D11079" s="501" t="s">
        <v>3392</v>
      </c>
      <c r="E11079" s="501" t="s">
        <v>3381</v>
      </c>
      <c r="F11079" s="501" t="s">
        <v>419</v>
      </c>
      <c r="G11079" s="501" t="s">
        <v>3368</v>
      </c>
      <c r="H11079" s="501" t="s">
        <v>13400</v>
      </c>
      <c r="I11079" s="501">
        <v>226</v>
      </c>
      <c r="J11079" s="501">
        <v>35</v>
      </c>
      <c r="K11079" s="501">
        <v>0</v>
      </c>
      <c r="L11079" s="501">
        <v>0</v>
      </c>
      <c r="M11079" s="501">
        <v>191</v>
      </c>
      <c r="N11079" s="501">
        <v>0</v>
      </c>
      <c r="O11079" s="506">
        <v>0</v>
      </c>
    </row>
    <row r="11080" spans="1:15" x14ac:dyDescent="0.35">
      <c r="A11080" s="503" t="s">
        <v>1755</v>
      </c>
      <c r="B11080" s="504">
        <v>4609</v>
      </c>
      <c r="C11080" s="504" t="s">
        <v>1094</v>
      </c>
      <c r="D11080" s="504" t="s">
        <v>3380</v>
      </c>
      <c r="E11080" s="504" t="s">
        <v>3381</v>
      </c>
      <c r="F11080" s="504" t="s">
        <v>418</v>
      </c>
      <c r="G11080" s="504" t="s">
        <v>3368</v>
      </c>
      <c r="H11080" s="504" t="s">
        <v>13401</v>
      </c>
      <c r="I11080" s="504">
        <v>7935</v>
      </c>
      <c r="J11080" s="504">
        <v>7624</v>
      </c>
      <c r="K11080" s="504">
        <v>14</v>
      </c>
      <c r="L11080" s="504">
        <v>0</v>
      </c>
      <c r="M11080" s="504">
        <v>297</v>
      </c>
      <c r="N11080" s="504">
        <v>0</v>
      </c>
      <c r="O11080" s="505">
        <v>0</v>
      </c>
    </row>
    <row r="11081" spans="1:15" x14ac:dyDescent="0.35">
      <c r="A11081" s="500" t="s">
        <v>1234</v>
      </c>
      <c r="B11081" s="501" t="s">
        <v>3291</v>
      </c>
      <c r="C11081" s="501" t="s">
        <v>1094</v>
      </c>
      <c r="D11081" s="501" t="s">
        <v>3380</v>
      </c>
      <c r="E11081" s="501" t="s">
        <v>3381</v>
      </c>
      <c r="F11081" s="501" t="s">
        <v>420</v>
      </c>
      <c r="G11081" s="501" t="s">
        <v>3368</v>
      </c>
      <c r="H11081" s="501" t="s">
        <v>13403</v>
      </c>
      <c r="I11081" s="501">
        <v>205</v>
      </c>
      <c r="J11081" s="501">
        <v>13</v>
      </c>
      <c r="K11081" s="501">
        <v>0</v>
      </c>
      <c r="L11081" s="501">
        <v>192</v>
      </c>
      <c r="M11081" s="501">
        <v>0</v>
      </c>
      <c r="N11081" s="501">
        <v>0</v>
      </c>
      <c r="O11081" s="506">
        <v>0</v>
      </c>
    </row>
    <row r="11082" spans="1:15" x14ac:dyDescent="0.35">
      <c r="A11082" s="503" t="s">
        <v>1234</v>
      </c>
      <c r="B11082" s="504" t="s">
        <v>3291</v>
      </c>
      <c r="C11082" s="504" t="s">
        <v>1094</v>
      </c>
      <c r="D11082" s="504" t="s">
        <v>3380</v>
      </c>
      <c r="E11082" s="504" t="s">
        <v>3381</v>
      </c>
      <c r="F11082" s="504" t="s">
        <v>418</v>
      </c>
      <c r="G11082" s="504" t="s">
        <v>3368</v>
      </c>
      <c r="H11082" s="504" t="s">
        <v>13404</v>
      </c>
      <c r="I11082" s="504">
        <v>816</v>
      </c>
      <c r="J11082" s="504">
        <v>294</v>
      </c>
      <c r="K11082" s="504">
        <v>0</v>
      </c>
      <c r="L11082" s="504">
        <v>416</v>
      </c>
      <c r="M11082" s="504">
        <v>106</v>
      </c>
      <c r="N11082" s="504">
        <v>0</v>
      </c>
      <c r="O11082" s="505">
        <v>0</v>
      </c>
    </row>
    <row r="11083" spans="1:15" x14ac:dyDescent="0.35">
      <c r="A11083" s="500" t="s">
        <v>1234</v>
      </c>
      <c r="B11083" s="501" t="s">
        <v>3291</v>
      </c>
      <c r="C11083" s="501" t="s">
        <v>1094</v>
      </c>
      <c r="D11083" s="501" t="s">
        <v>3380</v>
      </c>
      <c r="E11083" s="501" t="s">
        <v>3381</v>
      </c>
      <c r="F11083" s="501" t="s">
        <v>1048</v>
      </c>
      <c r="G11083" s="501" t="s">
        <v>3368</v>
      </c>
      <c r="H11083" s="501" t="s">
        <v>14052</v>
      </c>
      <c r="I11083" s="501">
        <v>295</v>
      </c>
      <c r="J11083" s="501">
        <v>82</v>
      </c>
      <c r="K11083" s="501">
        <v>0</v>
      </c>
      <c r="L11083" s="501">
        <v>205</v>
      </c>
      <c r="M11083" s="501">
        <v>8</v>
      </c>
      <c r="N11083" s="501">
        <v>0</v>
      </c>
      <c r="O11083" s="506">
        <v>0</v>
      </c>
    </row>
    <row r="11084" spans="1:15" x14ac:dyDescent="0.35">
      <c r="A11084" s="503" t="s">
        <v>1234</v>
      </c>
      <c r="B11084" s="504" t="s">
        <v>3291</v>
      </c>
      <c r="C11084" s="504" t="s">
        <v>1094</v>
      </c>
      <c r="D11084" s="504" t="s">
        <v>3380</v>
      </c>
      <c r="E11084" s="504" t="s">
        <v>3381</v>
      </c>
      <c r="F11084" s="504" t="s">
        <v>416</v>
      </c>
      <c r="G11084" s="504" t="s">
        <v>3368</v>
      </c>
      <c r="H11084" s="504" t="s">
        <v>13402</v>
      </c>
      <c r="I11084" s="504">
        <v>691</v>
      </c>
      <c r="J11084" s="504">
        <v>78</v>
      </c>
      <c r="K11084" s="504">
        <v>0</v>
      </c>
      <c r="L11084" s="504">
        <v>515</v>
      </c>
      <c r="M11084" s="504">
        <v>98</v>
      </c>
      <c r="N11084" s="504">
        <v>0</v>
      </c>
      <c r="O11084" s="505">
        <v>0</v>
      </c>
    </row>
    <row r="11085" spans="1:15" x14ac:dyDescent="0.35">
      <c r="A11085" s="500" t="s">
        <v>1234</v>
      </c>
      <c r="B11085" s="501" t="s">
        <v>3291</v>
      </c>
      <c r="C11085" s="501" t="s">
        <v>1094</v>
      </c>
      <c r="D11085" s="501" t="s">
        <v>3380</v>
      </c>
      <c r="E11085" s="501" t="s">
        <v>3381</v>
      </c>
      <c r="F11085" s="501" t="s">
        <v>417</v>
      </c>
      <c r="G11085" s="501" t="s">
        <v>3368</v>
      </c>
      <c r="H11085" s="501" t="s">
        <v>13405</v>
      </c>
      <c r="I11085" s="501">
        <v>133</v>
      </c>
      <c r="J11085" s="501">
        <v>55</v>
      </c>
      <c r="K11085" s="501">
        <v>0</v>
      </c>
      <c r="L11085" s="501">
        <v>78</v>
      </c>
      <c r="M11085" s="501">
        <v>0</v>
      </c>
      <c r="N11085" s="501">
        <v>0</v>
      </c>
      <c r="O11085" s="506">
        <v>0</v>
      </c>
    </row>
    <row r="11086" spans="1:15" x14ac:dyDescent="0.35">
      <c r="A11086" s="503" t="s">
        <v>1234</v>
      </c>
      <c r="B11086" s="504" t="s">
        <v>3291</v>
      </c>
      <c r="C11086" s="504" t="s">
        <v>1094</v>
      </c>
      <c r="D11086" s="504" t="s">
        <v>3380</v>
      </c>
      <c r="E11086" s="504" t="s">
        <v>3381</v>
      </c>
      <c r="F11086" s="504" t="s">
        <v>415</v>
      </c>
      <c r="G11086" s="504" t="s">
        <v>3368</v>
      </c>
      <c r="H11086" s="504" t="s">
        <v>13406</v>
      </c>
      <c r="I11086" s="504">
        <v>402</v>
      </c>
      <c r="J11086" s="504">
        <v>234</v>
      </c>
      <c r="K11086" s="504">
        <v>0</v>
      </c>
      <c r="L11086" s="504">
        <v>143</v>
      </c>
      <c r="M11086" s="504">
        <v>25</v>
      </c>
      <c r="N11086" s="504">
        <v>0</v>
      </c>
      <c r="O11086" s="505">
        <v>0</v>
      </c>
    </row>
    <row r="11087" spans="1:15" x14ac:dyDescent="0.35">
      <c r="A11087" s="500" t="s">
        <v>1234</v>
      </c>
      <c r="B11087" s="501" t="s">
        <v>3291</v>
      </c>
      <c r="C11087" s="501" t="s">
        <v>1094</v>
      </c>
      <c r="D11087" s="501" t="s">
        <v>3380</v>
      </c>
      <c r="E11087" s="501" t="s">
        <v>3381</v>
      </c>
      <c r="F11087" s="501" t="s">
        <v>419</v>
      </c>
      <c r="G11087" s="501" t="s">
        <v>3368</v>
      </c>
      <c r="H11087" s="501" t="s">
        <v>13407</v>
      </c>
      <c r="I11087" s="501">
        <v>473</v>
      </c>
      <c r="J11087" s="501">
        <v>241</v>
      </c>
      <c r="K11087" s="501">
        <v>11</v>
      </c>
      <c r="L11087" s="501">
        <v>221</v>
      </c>
      <c r="M11087" s="501">
        <v>0</v>
      </c>
      <c r="N11087" s="501">
        <v>0</v>
      </c>
      <c r="O11087" s="506">
        <v>0</v>
      </c>
    </row>
    <row r="11088" spans="1:15" x14ac:dyDescent="0.35">
      <c r="A11088" s="503" t="s">
        <v>1234</v>
      </c>
      <c r="B11088" s="504" t="s">
        <v>3291</v>
      </c>
      <c r="C11088" s="504" t="s">
        <v>1094</v>
      </c>
      <c r="D11088" s="504" t="s">
        <v>3380</v>
      </c>
      <c r="E11088" s="504" t="s">
        <v>3381</v>
      </c>
      <c r="F11088" s="504" t="s">
        <v>414</v>
      </c>
      <c r="G11088" s="504" t="s">
        <v>3368</v>
      </c>
      <c r="H11088" s="504" t="s">
        <v>13408</v>
      </c>
      <c r="I11088" s="504">
        <v>170</v>
      </c>
      <c r="J11088" s="504">
        <v>122</v>
      </c>
      <c r="K11088" s="504">
        <v>0</v>
      </c>
      <c r="L11088" s="504">
        <v>30</v>
      </c>
      <c r="M11088" s="504">
        <v>18</v>
      </c>
      <c r="N11088" s="504">
        <v>0</v>
      </c>
      <c r="O11088" s="505">
        <v>0</v>
      </c>
    </row>
    <row r="11089" spans="1:15" x14ac:dyDescent="0.35">
      <c r="A11089" s="500" t="s">
        <v>1234</v>
      </c>
      <c r="B11089" s="501" t="s">
        <v>3291</v>
      </c>
      <c r="C11089" s="501" t="s">
        <v>1094</v>
      </c>
      <c r="D11089" s="501" t="s">
        <v>3380</v>
      </c>
      <c r="E11089" s="501" t="s">
        <v>3381</v>
      </c>
      <c r="F11089" s="501" t="s">
        <v>2</v>
      </c>
      <c r="G11089" s="501" t="s">
        <v>3368</v>
      </c>
      <c r="H11089" s="501" t="s">
        <v>13409</v>
      </c>
      <c r="I11089" s="501">
        <v>338</v>
      </c>
      <c r="J11089" s="501">
        <v>135</v>
      </c>
      <c r="K11089" s="501">
        <v>0</v>
      </c>
      <c r="L11089" s="501">
        <v>167</v>
      </c>
      <c r="M11089" s="501">
        <v>36</v>
      </c>
      <c r="N11089" s="501">
        <v>0</v>
      </c>
      <c r="O11089" s="506">
        <v>0</v>
      </c>
    </row>
    <row r="11090" spans="1:15" x14ac:dyDescent="0.35">
      <c r="A11090" s="503" t="s">
        <v>2096</v>
      </c>
      <c r="B11090" s="504" t="s">
        <v>2564</v>
      </c>
      <c r="C11090" s="504" t="s">
        <v>1089</v>
      </c>
      <c r="D11090" s="504" t="s">
        <v>3392</v>
      </c>
      <c r="E11090" s="504" t="s">
        <v>3381</v>
      </c>
      <c r="F11090" s="504" t="s">
        <v>420</v>
      </c>
      <c r="G11090" s="504" t="s">
        <v>3368</v>
      </c>
      <c r="H11090" s="504" t="s">
        <v>13410</v>
      </c>
      <c r="I11090" s="504">
        <v>10</v>
      </c>
      <c r="J11090" s="504">
        <v>10</v>
      </c>
      <c r="K11090" s="504">
        <v>0</v>
      </c>
      <c r="L11090" s="504">
        <v>0</v>
      </c>
      <c r="M11090" s="504">
        <v>0</v>
      </c>
      <c r="N11090" s="504">
        <v>0</v>
      </c>
      <c r="O11090" s="505">
        <v>0</v>
      </c>
    </row>
    <row r="11091" spans="1:15" x14ac:dyDescent="0.35">
      <c r="A11091" s="500" t="s">
        <v>1235</v>
      </c>
      <c r="B11091" s="501">
        <v>4684</v>
      </c>
      <c r="C11091" s="501" t="s">
        <v>1094</v>
      </c>
      <c r="D11091" s="501" t="s">
        <v>3380</v>
      </c>
      <c r="E11091" s="501" t="s">
        <v>3381</v>
      </c>
      <c r="F11091" s="501" t="s">
        <v>417</v>
      </c>
      <c r="G11091" s="501" t="s">
        <v>3368</v>
      </c>
      <c r="H11091" s="501" t="s">
        <v>13418</v>
      </c>
      <c r="I11091" s="501">
        <v>30</v>
      </c>
      <c r="J11091" s="501">
        <v>0</v>
      </c>
      <c r="K11091" s="501">
        <v>0</v>
      </c>
      <c r="L11091" s="501">
        <v>30</v>
      </c>
      <c r="M11091" s="501">
        <v>0</v>
      </c>
      <c r="N11091" s="501">
        <v>0</v>
      </c>
      <c r="O11091" s="506">
        <v>0</v>
      </c>
    </row>
    <row r="11092" spans="1:15" x14ac:dyDescent="0.35">
      <c r="A11092" s="503" t="s">
        <v>1235</v>
      </c>
      <c r="B11092" s="504">
        <v>4684</v>
      </c>
      <c r="C11092" s="504" t="s">
        <v>1094</v>
      </c>
      <c r="D11092" s="504" t="s">
        <v>3380</v>
      </c>
      <c r="E11092" s="504" t="s">
        <v>3381</v>
      </c>
      <c r="F11092" s="504" t="s">
        <v>419</v>
      </c>
      <c r="G11092" s="504" t="s">
        <v>3368</v>
      </c>
      <c r="H11092" s="504" t="s">
        <v>13411</v>
      </c>
      <c r="I11092" s="504">
        <v>1149</v>
      </c>
      <c r="J11092" s="504">
        <v>816</v>
      </c>
      <c r="K11092" s="504">
        <v>0</v>
      </c>
      <c r="L11092" s="504">
        <v>2</v>
      </c>
      <c r="M11092" s="504">
        <v>78</v>
      </c>
      <c r="N11092" s="504">
        <v>0</v>
      </c>
      <c r="O11092" s="505">
        <v>253</v>
      </c>
    </row>
    <row r="11093" spans="1:15" x14ac:dyDescent="0.35">
      <c r="A11093" s="500" t="s">
        <v>1235</v>
      </c>
      <c r="B11093" s="501">
        <v>4684</v>
      </c>
      <c r="C11093" s="501" t="s">
        <v>1094</v>
      </c>
      <c r="D11093" s="501" t="s">
        <v>3380</v>
      </c>
      <c r="E11093" s="501" t="s">
        <v>3381</v>
      </c>
      <c r="F11093" s="501" t="s">
        <v>418</v>
      </c>
      <c r="G11093" s="501" t="s">
        <v>3368</v>
      </c>
      <c r="H11093" s="501" t="s">
        <v>13416</v>
      </c>
      <c r="I11093" s="501">
        <v>301</v>
      </c>
      <c r="J11093" s="501">
        <v>174</v>
      </c>
      <c r="K11093" s="501">
        <v>0</v>
      </c>
      <c r="L11093" s="501">
        <v>76</v>
      </c>
      <c r="M11093" s="501">
        <v>0</v>
      </c>
      <c r="N11093" s="501">
        <v>0</v>
      </c>
      <c r="O11093" s="506">
        <v>51</v>
      </c>
    </row>
    <row r="11094" spans="1:15" x14ac:dyDescent="0.35">
      <c r="A11094" s="503" t="s">
        <v>1235</v>
      </c>
      <c r="B11094" s="504">
        <v>4684</v>
      </c>
      <c r="C11094" s="504" t="s">
        <v>1094</v>
      </c>
      <c r="D11094" s="504" t="s">
        <v>3380</v>
      </c>
      <c r="E11094" s="504" t="s">
        <v>3381</v>
      </c>
      <c r="F11094" s="504" t="s">
        <v>1048</v>
      </c>
      <c r="G11094" s="504" t="s">
        <v>3368</v>
      </c>
      <c r="H11094" s="504" t="s">
        <v>14053</v>
      </c>
      <c r="I11094" s="504">
        <v>915</v>
      </c>
      <c r="J11094" s="504">
        <v>668</v>
      </c>
      <c r="K11094" s="504">
        <v>0</v>
      </c>
      <c r="L11094" s="504">
        <v>158</v>
      </c>
      <c r="M11094" s="504">
        <v>71</v>
      </c>
      <c r="N11094" s="504">
        <v>0</v>
      </c>
      <c r="O11094" s="505">
        <v>18</v>
      </c>
    </row>
    <row r="11095" spans="1:15" x14ac:dyDescent="0.35">
      <c r="A11095" s="500" t="s">
        <v>1235</v>
      </c>
      <c r="B11095" s="501">
        <v>4684</v>
      </c>
      <c r="C11095" s="501" t="s">
        <v>1094</v>
      </c>
      <c r="D11095" s="501" t="s">
        <v>3380</v>
      </c>
      <c r="E11095" s="501" t="s">
        <v>3381</v>
      </c>
      <c r="F11095" s="501" t="s">
        <v>420</v>
      </c>
      <c r="G11095" s="501" t="s">
        <v>3368</v>
      </c>
      <c r="H11095" s="501" t="s">
        <v>13414</v>
      </c>
      <c r="I11095" s="501">
        <v>953</v>
      </c>
      <c r="J11095" s="501">
        <v>568</v>
      </c>
      <c r="K11095" s="501">
        <v>0</v>
      </c>
      <c r="L11095" s="501">
        <v>36</v>
      </c>
      <c r="M11095" s="501">
        <v>210</v>
      </c>
      <c r="N11095" s="501">
        <v>0</v>
      </c>
      <c r="O11095" s="506">
        <v>139</v>
      </c>
    </row>
    <row r="11096" spans="1:15" x14ac:dyDescent="0.35">
      <c r="A11096" s="503" t="s">
        <v>1235</v>
      </c>
      <c r="B11096" s="504">
        <v>4684</v>
      </c>
      <c r="C11096" s="504" t="s">
        <v>1094</v>
      </c>
      <c r="D11096" s="504" t="s">
        <v>3380</v>
      </c>
      <c r="E11096" s="504" t="s">
        <v>3381</v>
      </c>
      <c r="F11096" s="504" t="s">
        <v>2</v>
      </c>
      <c r="G11096" s="504" t="s">
        <v>3368</v>
      </c>
      <c r="H11096" s="504" t="s">
        <v>13415</v>
      </c>
      <c r="I11096" s="504">
        <v>550</v>
      </c>
      <c r="J11096" s="504">
        <v>266</v>
      </c>
      <c r="K11096" s="504">
        <v>0</v>
      </c>
      <c r="L11096" s="504">
        <v>31</v>
      </c>
      <c r="M11096" s="504">
        <v>101</v>
      </c>
      <c r="N11096" s="504">
        <v>0</v>
      </c>
      <c r="O11096" s="505">
        <v>152</v>
      </c>
    </row>
    <row r="11097" spans="1:15" x14ac:dyDescent="0.35">
      <c r="A11097" s="500" t="s">
        <v>1235</v>
      </c>
      <c r="B11097" s="501">
        <v>4684</v>
      </c>
      <c r="C11097" s="501" t="s">
        <v>1094</v>
      </c>
      <c r="D11097" s="501" t="s">
        <v>3380</v>
      </c>
      <c r="E11097" s="501" t="s">
        <v>3381</v>
      </c>
      <c r="F11097" s="501" t="s">
        <v>416</v>
      </c>
      <c r="G11097" s="501" t="s">
        <v>3368</v>
      </c>
      <c r="H11097" s="501" t="s">
        <v>13412</v>
      </c>
      <c r="I11097" s="501">
        <v>537</v>
      </c>
      <c r="J11097" s="501">
        <v>331</v>
      </c>
      <c r="K11097" s="501">
        <v>0</v>
      </c>
      <c r="L11097" s="501">
        <v>0</v>
      </c>
      <c r="M11097" s="501">
        <v>0</v>
      </c>
      <c r="N11097" s="501">
        <v>0</v>
      </c>
      <c r="O11097" s="506">
        <v>206</v>
      </c>
    </row>
    <row r="11098" spans="1:15" x14ac:dyDescent="0.35">
      <c r="A11098" s="503" t="s">
        <v>1235</v>
      </c>
      <c r="B11098" s="504">
        <v>4684</v>
      </c>
      <c r="C11098" s="504" t="s">
        <v>1094</v>
      </c>
      <c r="D11098" s="504" t="s">
        <v>3380</v>
      </c>
      <c r="E11098" s="504" t="s">
        <v>3381</v>
      </c>
      <c r="F11098" s="504" t="s">
        <v>415</v>
      </c>
      <c r="G11098" s="504" t="s">
        <v>3368</v>
      </c>
      <c r="H11098" s="504" t="s">
        <v>13417</v>
      </c>
      <c r="I11098" s="504">
        <v>1308</v>
      </c>
      <c r="J11098" s="504">
        <v>548</v>
      </c>
      <c r="K11098" s="504">
        <v>0</v>
      </c>
      <c r="L11098" s="504">
        <v>576</v>
      </c>
      <c r="M11098" s="504">
        <v>35</v>
      </c>
      <c r="N11098" s="504">
        <v>0</v>
      </c>
      <c r="O11098" s="505">
        <v>149</v>
      </c>
    </row>
    <row r="11099" spans="1:15" x14ac:dyDescent="0.35">
      <c r="A11099" s="500" t="s">
        <v>1235</v>
      </c>
      <c r="B11099" s="501">
        <v>4684</v>
      </c>
      <c r="C11099" s="501" t="s">
        <v>1094</v>
      </c>
      <c r="D11099" s="501" t="s">
        <v>3380</v>
      </c>
      <c r="E11099" s="501" t="s">
        <v>3381</v>
      </c>
      <c r="F11099" s="501" t="s">
        <v>414</v>
      </c>
      <c r="G11099" s="501" t="s">
        <v>3368</v>
      </c>
      <c r="H11099" s="501" t="s">
        <v>13413</v>
      </c>
      <c r="I11099" s="501">
        <v>101</v>
      </c>
      <c r="J11099" s="501">
        <v>79</v>
      </c>
      <c r="K11099" s="501">
        <v>0</v>
      </c>
      <c r="L11099" s="501">
        <v>0</v>
      </c>
      <c r="M11099" s="501">
        <v>0</v>
      </c>
      <c r="N11099" s="501">
        <v>0</v>
      </c>
      <c r="O11099" s="506">
        <v>22</v>
      </c>
    </row>
    <row r="11100" spans="1:15" x14ac:dyDescent="0.35">
      <c r="A11100" s="503" t="s">
        <v>1126</v>
      </c>
      <c r="B11100" s="504" t="s">
        <v>2974</v>
      </c>
      <c r="C11100" s="504" t="s">
        <v>1094</v>
      </c>
      <c r="D11100" s="504" t="s">
        <v>3380</v>
      </c>
      <c r="E11100" s="504" t="s">
        <v>3381</v>
      </c>
      <c r="F11100" s="504" t="s">
        <v>419</v>
      </c>
      <c r="G11100" s="504" t="s">
        <v>3368</v>
      </c>
      <c r="H11100" s="504" t="s">
        <v>13422</v>
      </c>
      <c r="I11100" s="504">
        <v>9363</v>
      </c>
      <c r="J11100" s="504">
        <v>7231</v>
      </c>
      <c r="K11100" s="504">
        <v>0</v>
      </c>
      <c r="L11100" s="504">
        <v>381</v>
      </c>
      <c r="M11100" s="504">
        <v>1475</v>
      </c>
      <c r="N11100" s="504">
        <v>97</v>
      </c>
      <c r="O11100" s="505">
        <v>276</v>
      </c>
    </row>
    <row r="11101" spans="1:15" x14ac:dyDescent="0.35">
      <c r="A11101" s="500" t="s">
        <v>1126</v>
      </c>
      <c r="B11101" s="501" t="s">
        <v>2974</v>
      </c>
      <c r="C11101" s="501" t="s">
        <v>1094</v>
      </c>
      <c r="D11101" s="501" t="s">
        <v>3380</v>
      </c>
      <c r="E11101" s="501" t="s">
        <v>3381</v>
      </c>
      <c r="F11101" s="501" t="s">
        <v>414</v>
      </c>
      <c r="G11101" s="501" t="s">
        <v>3368</v>
      </c>
      <c r="H11101" s="501" t="s">
        <v>13421</v>
      </c>
      <c r="I11101" s="501">
        <v>1029</v>
      </c>
      <c r="J11101" s="501">
        <v>766</v>
      </c>
      <c r="K11101" s="501">
        <v>0</v>
      </c>
      <c r="L11101" s="501">
        <v>74</v>
      </c>
      <c r="M11101" s="501">
        <v>148</v>
      </c>
      <c r="N11101" s="501">
        <v>0</v>
      </c>
      <c r="O11101" s="506">
        <v>41</v>
      </c>
    </row>
    <row r="11102" spans="1:15" x14ac:dyDescent="0.35">
      <c r="A11102" s="503" t="s">
        <v>1126</v>
      </c>
      <c r="B11102" s="504" t="s">
        <v>2974</v>
      </c>
      <c r="C11102" s="504" t="s">
        <v>1094</v>
      </c>
      <c r="D11102" s="504" t="s">
        <v>3380</v>
      </c>
      <c r="E11102" s="504" t="s">
        <v>3381</v>
      </c>
      <c r="F11102" s="504" t="s">
        <v>415</v>
      </c>
      <c r="G11102" s="504" t="s">
        <v>3368</v>
      </c>
      <c r="H11102" s="504" t="s">
        <v>13423</v>
      </c>
      <c r="I11102" s="504">
        <v>11567</v>
      </c>
      <c r="J11102" s="504">
        <v>8265</v>
      </c>
      <c r="K11102" s="504">
        <v>501</v>
      </c>
      <c r="L11102" s="504">
        <v>517</v>
      </c>
      <c r="M11102" s="504">
        <v>2008</v>
      </c>
      <c r="N11102" s="504">
        <v>15</v>
      </c>
      <c r="O11102" s="505">
        <v>276</v>
      </c>
    </row>
    <row r="11103" spans="1:15" x14ac:dyDescent="0.35">
      <c r="A11103" s="500" t="s">
        <v>1126</v>
      </c>
      <c r="B11103" s="501" t="s">
        <v>2974</v>
      </c>
      <c r="C11103" s="501" t="s">
        <v>1094</v>
      </c>
      <c r="D11103" s="501" t="s">
        <v>3380</v>
      </c>
      <c r="E11103" s="501" t="s">
        <v>3381</v>
      </c>
      <c r="F11103" s="501" t="s">
        <v>2</v>
      </c>
      <c r="G11103" s="501" t="s">
        <v>3368</v>
      </c>
      <c r="H11103" s="501" t="s">
        <v>13424</v>
      </c>
      <c r="I11103" s="501">
        <v>10105</v>
      </c>
      <c r="J11103" s="501">
        <v>7426</v>
      </c>
      <c r="K11103" s="501">
        <v>9</v>
      </c>
      <c r="L11103" s="501">
        <v>624</v>
      </c>
      <c r="M11103" s="501">
        <v>1571</v>
      </c>
      <c r="N11103" s="501">
        <v>54</v>
      </c>
      <c r="O11103" s="506">
        <v>475</v>
      </c>
    </row>
    <row r="11104" spans="1:15" x14ac:dyDescent="0.35">
      <c r="A11104" s="503" t="s">
        <v>1126</v>
      </c>
      <c r="B11104" s="504" t="s">
        <v>2974</v>
      </c>
      <c r="C11104" s="504" t="s">
        <v>1094</v>
      </c>
      <c r="D11104" s="504" t="s">
        <v>3380</v>
      </c>
      <c r="E11104" s="504" t="s">
        <v>3381</v>
      </c>
      <c r="F11104" s="504" t="s">
        <v>416</v>
      </c>
      <c r="G11104" s="504" t="s">
        <v>3368</v>
      </c>
      <c r="H11104" s="504" t="s">
        <v>13425</v>
      </c>
      <c r="I11104" s="504">
        <v>6875</v>
      </c>
      <c r="J11104" s="504">
        <v>4890</v>
      </c>
      <c r="K11104" s="504">
        <v>8</v>
      </c>
      <c r="L11104" s="504">
        <v>705</v>
      </c>
      <c r="M11104" s="504">
        <v>1160</v>
      </c>
      <c r="N11104" s="504">
        <v>8</v>
      </c>
      <c r="O11104" s="505">
        <v>112</v>
      </c>
    </row>
    <row r="11105" spans="1:15" x14ac:dyDescent="0.35">
      <c r="A11105" s="500" t="s">
        <v>1126</v>
      </c>
      <c r="B11105" s="501" t="s">
        <v>2974</v>
      </c>
      <c r="C11105" s="501" t="s">
        <v>1094</v>
      </c>
      <c r="D11105" s="501" t="s">
        <v>3380</v>
      </c>
      <c r="E11105" s="501" t="s">
        <v>3381</v>
      </c>
      <c r="F11105" s="501" t="s">
        <v>417</v>
      </c>
      <c r="G11105" s="501" t="s">
        <v>3368</v>
      </c>
      <c r="H11105" s="501" t="s">
        <v>13426</v>
      </c>
      <c r="I11105" s="501">
        <v>58</v>
      </c>
      <c r="J11105" s="501">
        <v>0</v>
      </c>
      <c r="K11105" s="501">
        <v>0</v>
      </c>
      <c r="L11105" s="501">
        <v>58</v>
      </c>
      <c r="M11105" s="501">
        <v>0</v>
      </c>
      <c r="N11105" s="501">
        <v>0</v>
      </c>
      <c r="O11105" s="506">
        <v>0</v>
      </c>
    </row>
    <row r="11106" spans="1:15" x14ac:dyDescent="0.35">
      <c r="A11106" s="503" t="s">
        <v>1126</v>
      </c>
      <c r="B11106" s="504" t="s">
        <v>2974</v>
      </c>
      <c r="C11106" s="504" t="s">
        <v>1094</v>
      </c>
      <c r="D11106" s="504" t="s">
        <v>3380</v>
      </c>
      <c r="E11106" s="504" t="s">
        <v>3381</v>
      </c>
      <c r="F11106" s="504" t="s">
        <v>420</v>
      </c>
      <c r="G11106" s="504" t="s">
        <v>3368</v>
      </c>
      <c r="H11106" s="504" t="s">
        <v>13420</v>
      </c>
      <c r="I11106" s="504">
        <v>8910</v>
      </c>
      <c r="J11106" s="504">
        <v>6616</v>
      </c>
      <c r="K11106" s="504">
        <v>0</v>
      </c>
      <c r="L11106" s="504">
        <v>334</v>
      </c>
      <c r="M11106" s="504">
        <v>1191</v>
      </c>
      <c r="N11106" s="504">
        <v>3</v>
      </c>
      <c r="O11106" s="505">
        <v>769</v>
      </c>
    </row>
    <row r="11107" spans="1:15" x14ac:dyDescent="0.35">
      <c r="A11107" s="500" t="s">
        <v>1126</v>
      </c>
      <c r="B11107" s="501" t="s">
        <v>2974</v>
      </c>
      <c r="C11107" s="501" t="s">
        <v>1094</v>
      </c>
      <c r="D11107" s="501" t="s">
        <v>3380</v>
      </c>
      <c r="E11107" s="501" t="s">
        <v>3381</v>
      </c>
      <c r="F11107" s="501" t="s">
        <v>418</v>
      </c>
      <c r="G11107" s="501" t="s">
        <v>3368</v>
      </c>
      <c r="H11107" s="501" t="s">
        <v>13419</v>
      </c>
      <c r="I11107" s="501">
        <v>9718</v>
      </c>
      <c r="J11107" s="501">
        <v>6887</v>
      </c>
      <c r="K11107" s="501">
        <v>0</v>
      </c>
      <c r="L11107" s="501">
        <v>493</v>
      </c>
      <c r="M11107" s="501">
        <v>2100</v>
      </c>
      <c r="N11107" s="501">
        <v>4</v>
      </c>
      <c r="O11107" s="506">
        <v>238</v>
      </c>
    </row>
    <row r="11108" spans="1:15" x14ac:dyDescent="0.35">
      <c r="A11108" s="503" t="s">
        <v>1126</v>
      </c>
      <c r="B11108" s="504" t="s">
        <v>2974</v>
      </c>
      <c r="C11108" s="504" t="s">
        <v>1094</v>
      </c>
      <c r="D11108" s="504" t="s">
        <v>3380</v>
      </c>
      <c r="E11108" s="504" t="s">
        <v>3381</v>
      </c>
      <c r="F11108" s="504" t="s">
        <v>1048</v>
      </c>
      <c r="G11108" s="504" t="s">
        <v>3368</v>
      </c>
      <c r="H11108" s="504" t="s">
        <v>14054</v>
      </c>
      <c r="I11108" s="504">
        <v>8099</v>
      </c>
      <c r="J11108" s="504">
        <v>6729</v>
      </c>
      <c r="K11108" s="504">
        <v>0</v>
      </c>
      <c r="L11108" s="504">
        <v>253</v>
      </c>
      <c r="M11108" s="504">
        <v>770</v>
      </c>
      <c r="N11108" s="504">
        <v>6</v>
      </c>
      <c r="O11108" s="505">
        <v>347</v>
      </c>
    </row>
    <row r="11109" spans="1:15" x14ac:dyDescent="0.35">
      <c r="A11109" s="500" t="s">
        <v>1128</v>
      </c>
      <c r="B11109" s="501" t="s">
        <v>3250</v>
      </c>
      <c r="C11109" s="501" t="s">
        <v>1089</v>
      </c>
      <c r="D11109" s="501" t="s">
        <v>3392</v>
      </c>
      <c r="E11109" s="501" t="s">
        <v>3381</v>
      </c>
      <c r="F11109" s="501" t="s">
        <v>2</v>
      </c>
      <c r="G11109" s="501" t="s">
        <v>3368</v>
      </c>
      <c r="H11109" s="501" t="s">
        <v>13427</v>
      </c>
      <c r="I11109" s="501">
        <v>45</v>
      </c>
      <c r="J11109" s="501">
        <v>45</v>
      </c>
      <c r="K11109" s="501">
        <v>0</v>
      </c>
      <c r="L11109" s="501">
        <v>0</v>
      </c>
      <c r="M11109" s="501">
        <v>0</v>
      </c>
      <c r="N11109" s="501">
        <v>0</v>
      </c>
      <c r="O11109" s="506">
        <v>0</v>
      </c>
    </row>
    <row r="11110" spans="1:15" x14ac:dyDescent="0.35">
      <c r="A11110" s="503" t="s">
        <v>1128</v>
      </c>
      <c r="B11110" s="504" t="s">
        <v>3250</v>
      </c>
      <c r="C11110" s="504" t="s">
        <v>1089</v>
      </c>
      <c r="D11110" s="504" t="s">
        <v>3392</v>
      </c>
      <c r="E11110" s="504" t="s">
        <v>3381</v>
      </c>
      <c r="F11110" s="504" t="s">
        <v>419</v>
      </c>
      <c r="G11110" s="504" t="s">
        <v>3368</v>
      </c>
      <c r="H11110" s="504" t="s">
        <v>13428</v>
      </c>
      <c r="I11110" s="504">
        <v>375</v>
      </c>
      <c r="J11110" s="504">
        <v>343</v>
      </c>
      <c r="K11110" s="504">
        <v>0</v>
      </c>
      <c r="L11110" s="504">
        <v>0</v>
      </c>
      <c r="M11110" s="504">
        <v>32</v>
      </c>
      <c r="N11110" s="504">
        <v>3</v>
      </c>
      <c r="O11110" s="505">
        <v>0</v>
      </c>
    </row>
    <row r="11111" spans="1:15" x14ac:dyDescent="0.35">
      <c r="A11111" s="500" t="s">
        <v>2097</v>
      </c>
      <c r="B11111" s="501">
        <v>5054</v>
      </c>
      <c r="C11111" s="501" t="s">
        <v>1089</v>
      </c>
      <c r="D11111" s="501" t="s">
        <v>3392</v>
      </c>
      <c r="E11111" s="501" t="s">
        <v>3381</v>
      </c>
      <c r="F11111" s="501" t="s">
        <v>420</v>
      </c>
      <c r="G11111" s="501" t="s">
        <v>3368</v>
      </c>
      <c r="H11111" s="501" t="s">
        <v>13429</v>
      </c>
      <c r="I11111" s="501">
        <v>20</v>
      </c>
      <c r="J11111" s="501">
        <v>2</v>
      </c>
      <c r="K11111" s="501">
        <v>0</v>
      </c>
      <c r="L11111" s="501">
        <v>18</v>
      </c>
      <c r="M11111" s="501">
        <v>0</v>
      </c>
      <c r="N11111" s="501">
        <v>0</v>
      </c>
      <c r="O11111" s="506">
        <v>0</v>
      </c>
    </row>
    <row r="11112" spans="1:15" x14ac:dyDescent="0.35">
      <c r="A11112" s="503" t="s">
        <v>1340</v>
      </c>
      <c r="B11112" s="504" t="s">
        <v>2862</v>
      </c>
      <c r="C11112" s="504" t="s">
        <v>1089</v>
      </c>
      <c r="D11112" s="504" t="s">
        <v>3392</v>
      </c>
      <c r="E11112" s="504" t="s">
        <v>3381</v>
      </c>
      <c r="F11112" s="504" t="s">
        <v>416</v>
      </c>
      <c r="G11112" s="504" t="s">
        <v>3368</v>
      </c>
      <c r="H11112" s="504" t="s">
        <v>13431</v>
      </c>
      <c r="I11112" s="504">
        <v>254</v>
      </c>
      <c r="J11112" s="504">
        <v>93</v>
      </c>
      <c r="K11112" s="504">
        <v>41</v>
      </c>
      <c r="L11112" s="504">
        <v>120</v>
      </c>
      <c r="M11112" s="504">
        <v>0</v>
      </c>
      <c r="N11112" s="504">
        <v>0</v>
      </c>
      <c r="O11112" s="505">
        <v>0</v>
      </c>
    </row>
    <row r="11113" spans="1:15" x14ac:dyDescent="0.35">
      <c r="A11113" s="500" t="s">
        <v>1340</v>
      </c>
      <c r="B11113" s="501" t="s">
        <v>2862</v>
      </c>
      <c r="C11113" s="501" t="s">
        <v>1089</v>
      </c>
      <c r="D11113" s="501" t="s">
        <v>3392</v>
      </c>
      <c r="E11113" s="501" t="s">
        <v>3381</v>
      </c>
      <c r="F11113" s="501" t="s">
        <v>415</v>
      </c>
      <c r="G11113" s="501" t="s">
        <v>3368</v>
      </c>
      <c r="H11113" s="501" t="s">
        <v>13430</v>
      </c>
      <c r="I11113" s="501">
        <v>30</v>
      </c>
      <c r="J11113" s="501">
        <v>0</v>
      </c>
      <c r="K11113" s="501">
        <v>0</v>
      </c>
      <c r="L11113" s="501">
        <v>30</v>
      </c>
      <c r="M11113" s="501">
        <v>0</v>
      </c>
      <c r="N11113" s="501">
        <v>0</v>
      </c>
      <c r="O11113" s="506">
        <v>0</v>
      </c>
    </row>
    <row r="11114" spans="1:15" x14ac:dyDescent="0.35">
      <c r="A11114" s="503" t="s">
        <v>1892</v>
      </c>
      <c r="B11114" s="504" t="s">
        <v>3172</v>
      </c>
      <c r="C11114" s="504" t="s">
        <v>1094</v>
      </c>
      <c r="D11114" s="504" t="s">
        <v>3380</v>
      </c>
      <c r="E11114" s="504" t="s">
        <v>3381</v>
      </c>
      <c r="F11114" s="504" t="s">
        <v>2</v>
      </c>
      <c r="G11114" s="504" t="s">
        <v>3368</v>
      </c>
      <c r="H11114" s="504" t="s">
        <v>13432</v>
      </c>
      <c r="I11114" s="504">
        <v>6117</v>
      </c>
      <c r="J11114" s="504">
        <v>4241</v>
      </c>
      <c r="K11114" s="504">
        <v>0</v>
      </c>
      <c r="L11114" s="504">
        <v>73</v>
      </c>
      <c r="M11114" s="504">
        <v>1408</v>
      </c>
      <c r="N11114" s="504">
        <v>0</v>
      </c>
      <c r="O11114" s="505">
        <v>395</v>
      </c>
    </row>
    <row r="11115" spans="1:15" x14ac:dyDescent="0.35">
      <c r="A11115" s="500" t="s">
        <v>2010</v>
      </c>
      <c r="B11115" s="501" t="s">
        <v>3327</v>
      </c>
      <c r="C11115" s="501" t="s">
        <v>1094</v>
      </c>
      <c r="D11115" s="501" t="s">
        <v>3380</v>
      </c>
      <c r="E11115" s="501" t="s">
        <v>3381</v>
      </c>
      <c r="F11115" s="501" t="s">
        <v>419</v>
      </c>
      <c r="G11115" s="501" t="s">
        <v>3368</v>
      </c>
      <c r="H11115" s="501" t="s">
        <v>13433</v>
      </c>
      <c r="I11115" s="501">
        <v>6777</v>
      </c>
      <c r="J11115" s="501">
        <v>4972</v>
      </c>
      <c r="K11115" s="501">
        <v>0</v>
      </c>
      <c r="L11115" s="501">
        <v>82</v>
      </c>
      <c r="M11115" s="501">
        <v>1415</v>
      </c>
      <c r="N11115" s="501">
        <v>3</v>
      </c>
      <c r="O11115" s="506">
        <v>308</v>
      </c>
    </row>
    <row r="11116" spans="1:15" x14ac:dyDescent="0.35">
      <c r="A11116" s="503" t="s">
        <v>1893</v>
      </c>
      <c r="B11116" s="504" t="s">
        <v>2764</v>
      </c>
      <c r="C11116" s="504" t="s">
        <v>1089</v>
      </c>
      <c r="D11116" s="504" t="s">
        <v>3392</v>
      </c>
      <c r="E11116" s="504" t="s">
        <v>3381</v>
      </c>
      <c r="F11116" s="504" t="s">
        <v>2</v>
      </c>
      <c r="G11116" s="504" t="s">
        <v>3368</v>
      </c>
      <c r="H11116" s="504" t="s">
        <v>13434</v>
      </c>
      <c r="I11116" s="504">
        <v>77</v>
      </c>
      <c r="J11116" s="504">
        <v>77</v>
      </c>
      <c r="K11116" s="504">
        <v>0</v>
      </c>
      <c r="L11116" s="504">
        <v>0</v>
      </c>
      <c r="M11116" s="504">
        <v>0</v>
      </c>
      <c r="N11116" s="504">
        <v>0</v>
      </c>
      <c r="O11116" s="505">
        <v>0</v>
      </c>
    </row>
    <row r="11117" spans="1:15" x14ac:dyDescent="0.35">
      <c r="A11117" s="500" t="s">
        <v>1756</v>
      </c>
      <c r="B11117" s="501" t="s">
        <v>2757</v>
      </c>
      <c r="C11117" s="501" t="s">
        <v>1089</v>
      </c>
      <c r="D11117" s="501" t="s">
        <v>3392</v>
      </c>
      <c r="E11117" s="501" t="s">
        <v>3381</v>
      </c>
      <c r="F11117" s="501" t="s">
        <v>418</v>
      </c>
      <c r="G11117" s="501" t="s">
        <v>3368</v>
      </c>
      <c r="H11117" s="501" t="s">
        <v>13435</v>
      </c>
      <c r="I11117" s="501">
        <v>28</v>
      </c>
      <c r="J11117" s="501">
        <v>28</v>
      </c>
      <c r="K11117" s="501">
        <v>0</v>
      </c>
      <c r="L11117" s="501">
        <v>0</v>
      </c>
      <c r="M11117" s="501">
        <v>0</v>
      </c>
      <c r="N11117" s="501">
        <v>0</v>
      </c>
      <c r="O11117" s="506">
        <v>0</v>
      </c>
    </row>
    <row r="11118" spans="1:15" x14ac:dyDescent="0.35">
      <c r="A11118" s="503" t="s">
        <v>1341</v>
      </c>
      <c r="B11118" s="504" t="s">
        <v>3183</v>
      </c>
      <c r="C11118" s="504" t="s">
        <v>1094</v>
      </c>
      <c r="D11118" s="504" t="s">
        <v>3380</v>
      </c>
      <c r="E11118" s="504" t="s">
        <v>3381</v>
      </c>
      <c r="F11118" s="504" t="s">
        <v>415</v>
      </c>
      <c r="G11118" s="504" t="s">
        <v>3368</v>
      </c>
      <c r="H11118" s="504" t="s">
        <v>13437</v>
      </c>
      <c r="I11118" s="504">
        <v>8957</v>
      </c>
      <c r="J11118" s="504">
        <v>7601</v>
      </c>
      <c r="K11118" s="504">
        <v>0</v>
      </c>
      <c r="L11118" s="504">
        <v>105</v>
      </c>
      <c r="M11118" s="504">
        <v>743</v>
      </c>
      <c r="N11118" s="504">
        <v>0</v>
      </c>
      <c r="O11118" s="505">
        <v>508</v>
      </c>
    </row>
    <row r="11119" spans="1:15" x14ac:dyDescent="0.35">
      <c r="A11119" s="500" t="s">
        <v>1341</v>
      </c>
      <c r="B11119" s="501" t="s">
        <v>3183</v>
      </c>
      <c r="C11119" s="501" t="s">
        <v>1094</v>
      </c>
      <c r="D11119" s="501" t="s">
        <v>3380</v>
      </c>
      <c r="E11119" s="501" t="s">
        <v>3381</v>
      </c>
      <c r="F11119" s="501" t="s">
        <v>2</v>
      </c>
      <c r="G11119" s="501" t="s">
        <v>3368</v>
      </c>
      <c r="H11119" s="501" t="s">
        <v>13436</v>
      </c>
      <c r="I11119" s="501">
        <v>6</v>
      </c>
      <c r="J11119" s="501">
        <v>0</v>
      </c>
      <c r="K11119" s="501">
        <v>0</v>
      </c>
      <c r="L11119" s="501">
        <v>0</v>
      </c>
      <c r="M11119" s="501">
        <v>0</v>
      </c>
      <c r="N11119" s="501">
        <v>0</v>
      </c>
      <c r="O11119" s="506">
        <v>6</v>
      </c>
    </row>
    <row r="11120" spans="1:15" x14ac:dyDescent="0.35">
      <c r="A11120" s="503" t="s">
        <v>11392</v>
      </c>
      <c r="B11120" s="504" t="s">
        <v>11462</v>
      </c>
      <c r="C11120" s="504" t="s">
        <v>1089</v>
      </c>
      <c r="D11120" s="504" t="s">
        <v>3392</v>
      </c>
      <c r="E11120" s="504" t="s">
        <v>3381</v>
      </c>
      <c r="F11120" s="504" t="s">
        <v>416</v>
      </c>
      <c r="G11120" s="504" t="s">
        <v>3368</v>
      </c>
      <c r="H11120" s="504" t="s">
        <v>13438</v>
      </c>
      <c r="I11120" s="504">
        <v>3</v>
      </c>
      <c r="J11120" s="504">
        <v>3</v>
      </c>
      <c r="K11120" s="504">
        <v>0</v>
      </c>
      <c r="L11120" s="504">
        <v>0</v>
      </c>
      <c r="M11120" s="504">
        <v>0</v>
      </c>
      <c r="N11120" s="504">
        <v>0</v>
      </c>
      <c r="O11120" s="505">
        <v>0</v>
      </c>
    </row>
    <row r="11121" spans="1:15" x14ac:dyDescent="0.35">
      <c r="A11121" s="500" t="s">
        <v>1236</v>
      </c>
      <c r="B11121" s="501" t="s">
        <v>2468</v>
      </c>
      <c r="C11121" s="501" t="s">
        <v>1089</v>
      </c>
      <c r="D11121" s="501" t="s">
        <v>3392</v>
      </c>
      <c r="E11121" s="501" t="s">
        <v>3381</v>
      </c>
      <c r="F11121" s="501" t="s">
        <v>414</v>
      </c>
      <c r="G11121" s="501" t="s">
        <v>3368</v>
      </c>
      <c r="H11121" s="501" t="s">
        <v>13439</v>
      </c>
      <c r="I11121" s="501">
        <v>8</v>
      </c>
      <c r="J11121" s="501">
        <v>0</v>
      </c>
      <c r="K11121" s="501">
        <v>0</v>
      </c>
      <c r="L11121" s="501">
        <v>0</v>
      </c>
      <c r="M11121" s="501">
        <v>8</v>
      </c>
      <c r="N11121" s="501">
        <v>0</v>
      </c>
      <c r="O11121" s="506">
        <v>0</v>
      </c>
    </row>
    <row r="11122" spans="1:15" x14ac:dyDescent="0.35">
      <c r="A11122" s="503" t="s">
        <v>14309</v>
      </c>
      <c r="B11122" s="504" t="s">
        <v>14308</v>
      </c>
      <c r="C11122" s="504" t="s">
        <v>1089</v>
      </c>
      <c r="D11122" s="504" t="s">
        <v>3392</v>
      </c>
      <c r="E11122" s="504" t="s">
        <v>3381</v>
      </c>
      <c r="F11122" s="504" t="s">
        <v>416</v>
      </c>
      <c r="G11122" s="504" t="s">
        <v>3368</v>
      </c>
      <c r="H11122" s="504" t="s">
        <v>15419</v>
      </c>
      <c r="I11122" s="504">
        <v>88</v>
      </c>
      <c r="J11122" s="504">
        <v>88</v>
      </c>
      <c r="K11122" s="504">
        <v>0</v>
      </c>
      <c r="L11122" s="504">
        <v>0</v>
      </c>
      <c r="M11122" s="504">
        <v>0</v>
      </c>
      <c r="N11122" s="504">
        <v>0</v>
      </c>
      <c r="O11122" s="505">
        <v>0</v>
      </c>
    </row>
    <row r="11123" spans="1:15" x14ac:dyDescent="0.35">
      <c r="A11123" s="500" t="s">
        <v>1542</v>
      </c>
      <c r="B11123" s="501">
        <v>4848</v>
      </c>
      <c r="C11123" s="501" t="s">
        <v>1089</v>
      </c>
      <c r="D11123" s="501" t="s">
        <v>3392</v>
      </c>
      <c r="E11123" s="501" t="s">
        <v>3381</v>
      </c>
      <c r="F11123" s="501" t="s">
        <v>416</v>
      </c>
      <c r="G11123" s="501" t="s">
        <v>3368</v>
      </c>
      <c r="H11123" s="501" t="s">
        <v>13440</v>
      </c>
      <c r="I11123" s="501">
        <v>11</v>
      </c>
      <c r="J11123" s="501">
        <v>11</v>
      </c>
      <c r="K11123" s="501">
        <v>0</v>
      </c>
      <c r="L11123" s="501">
        <v>0</v>
      </c>
      <c r="M11123" s="501">
        <v>0</v>
      </c>
      <c r="N11123" s="501">
        <v>0</v>
      </c>
      <c r="O11123" s="506">
        <v>0</v>
      </c>
    </row>
    <row r="11124" spans="1:15" x14ac:dyDescent="0.35">
      <c r="A11124" s="503" t="s">
        <v>2099</v>
      </c>
      <c r="B11124" s="504" t="s">
        <v>2701</v>
      </c>
      <c r="C11124" s="504" t="s">
        <v>1089</v>
      </c>
      <c r="D11124" s="504" t="s">
        <v>3392</v>
      </c>
      <c r="E11124" s="504" t="s">
        <v>3381</v>
      </c>
      <c r="F11124" s="504" t="s">
        <v>420</v>
      </c>
      <c r="G11124" s="504" t="s">
        <v>3368</v>
      </c>
      <c r="H11124" s="504" t="s">
        <v>13441</v>
      </c>
      <c r="I11124" s="504">
        <v>76</v>
      </c>
      <c r="J11124" s="504">
        <v>76</v>
      </c>
      <c r="K11124" s="504">
        <v>0</v>
      </c>
      <c r="L11124" s="504">
        <v>0</v>
      </c>
      <c r="M11124" s="504">
        <v>0</v>
      </c>
      <c r="N11124" s="504">
        <v>0</v>
      </c>
      <c r="O11124" s="505">
        <v>0</v>
      </c>
    </row>
    <row r="11125" spans="1:15" x14ac:dyDescent="0.35">
      <c r="A11125" s="500" t="s">
        <v>1342</v>
      </c>
      <c r="B11125" s="501" t="s">
        <v>3237</v>
      </c>
      <c r="C11125" s="501" t="s">
        <v>1094</v>
      </c>
      <c r="D11125" s="501" t="s">
        <v>3380</v>
      </c>
      <c r="E11125" s="501" t="s">
        <v>3381</v>
      </c>
      <c r="F11125" s="501" t="s">
        <v>2</v>
      </c>
      <c r="G11125" s="501" t="s">
        <v>3368</v>
      </c>
      <c r="H11125" s="501" t="s">
        <v>13443</v>
      </c>
      <c r="I11125" s="501">
        <v>12</v>
      </c>
      <c r="J11125" s="501">
        <v>0</v>
      </c>
      <c r="K11125" s="501">
        <v>0</v>
      </c>
      <c r="L11125" s="501">
        <v>0</v>
      </c>
      <c r="M11125" s="501">
        <v>0</v>
      </c>
      <c r="N11125" s="501">
        <v>0</v>
      </c>
      <c r="O11125" s="506">
        <v>12</v>
      </c>
    </row>
    <row r="11126" spans="1:15" x14ac:dyDescent="0.35">
      <c r="A11126" s="503" t="s">
        <v>1342</v>
      </c>
      <c r="B11126" s="504" t="s">
        <v>3237</v>
      </c>
      <c r="C11126" s="504" t="s">
        <v>1094</v>
      </c>
      <c r="D11126" s="504" t="s">
        <v>3380</v>
      </c>
      <c r="E11126" s="504" t="s">
        <v>3381</v>
      </c>
      <c r="F11126" s="504" t="s">
        <v>416</v>
      </c>
      <c r="G11126" s="504" t="s">
        <v>3368</v>
      </c>
      <c r="H11126" s="504" t="s">
        <v>13442</v>
      </c>
      <c r="I11126" s="504">
        <v>4431</v>
      </c>
      <c r="J11126" s="504">
        <v>3434</v>
      </c>
      <c r="K11126" s="504">
        <v>0</v>
      </c>
      <c r="L11126" s="504">
        <v>232</v>
      </c>
      <c r="M11126" s="504">
        <v>73</v>
      </c>
      <c r="N11126" s="504">
        <v>322</v>
      </c>
      <c r="O11126" s="505">
        <v>692</v>
      </c>
    </row>
    <row r="11127" spans="1:15" x14ac:dyDescent="0.35">
      <c r="A11127" s="500" t="s">
        <v>1342</v>
      </c>
      <c r="B11127" s="501" t="s">
        <v>3237</v>
      </c>
      <c r="C11127" s="501" t="s">
        <v>1094</v>
      </c>
      <c r="D11127" s="501" t="s">
        <v>3380</v>
      </c>
      <c r="E11127" s="501" t="s">
        <v>3381</v>
      </c>
      <c r="F11127" s="501" t="s">
        <v>419</v>
      </c>
      <c r="G11127" s="501" t="s">
        <v>3368</v>
      </c>
      <c r="H11127" s="501" t="s">
        <v>13445</v>
      </c>
      <c r="I11127" s="501">
        <v>2</v>
      </c>
      <c r="J11127" s="501">
        <v>0</v>
      </c>
      <c r="K11127" s="501">
        <v>0</v>
      </c>
      <c r="L11127" s="501">
        <v>0</v>
      </c>
      <c r="M11127" s="501">
        <v>0</v>
      </c>
      <c r="N11127" s="501">
        <v>0</v>
      </c>
      <c r="O11127" s="506">
        <v>2</v>
      </c>
    </row>
    <row r="11128" spans="1:15" x14ac:dyDescent="0.35">
      <c r="A11128" s="503" t="s">
        <v>1342</v>
      </c>
      <c r="B11128" s="504" t="s">
        <v>3237</v>
      </c>
      <c r="C11128" s="504" t="s">
        <v>1094</v>
      </c>
      <c r="D11128" s="504" t="s">
        <v>3380</v>
      </c>
      <c r="E11128" s="504" t="s">
        <v>3381</v>
      </c>
      <c r="F11128" s="504" t="s">
        <v>415</v>
      </c>
      <c r="G11128" s="504" t="s">
        <v>3368</v>
      </c>
      <c r="H11128" s="504" t="s">
        <v>13444</v>
      </c>
      <c r="I11128" s="504">
        <v>6</v>
      </c>
      <c r="J11128" s="504">
        <v>0</v>
      </c>
      <c r="K11128" s="504">
        <v>0</v>
      </c>
      <c r="L11128" s="504">
        <v>0</v>
      </c>
      <c r="M11128" s="504">
        <v>0</v>
      </c>
      <c r="N11128" s="504">
        <v>0</v>
      </c>
      <c r="O11128" s="505">
        <v>6</v>
      </c>
    </row>
    <row r="11129" spans="1:15" x14ac:dyDescent="0.35">
      <c r="A11129" s="500" t="s">
        <v>2012</v>
      </c>
      <c r="B11129" s="501">
        <v>5142</v>
      </c>
      <c r="C11129" s="501" t="s">
        <v>1089</v>
      </c>
      <c r="D11129" s="501" t="s">
        <v>3392</v>
      </c>
      <c r="E11129" s="501" t="s">
        <v>3381</v>
      </c>
      <c r="F11129" s="501" t="s">
        <v>419</v>
      </c>
      <c r="G11129" s="501" t="s">
        <v>3368</v>
      </c>
      <c r="H11129" s="501" t="s">
        <v>13446</v>
      </c>
      <c r="I11129" s="501">
        <v>12</v>
      </c>
      <c r="J11129" s="501">
        <v>0</v>
      </c>
      <c r="K11129" s="501">
        <v>0</v>
      </c>
      <c r="L11129" s="501">
        <v>0</v>
      </c>
      <c r="M11129" s="501">
        <v>12</v>
      </c>
      <c r="N11129" s="501">
        <v>0</v>
      </c>
      <c r="O11129" s="506">
        <v>0</v>
      </c>
    </row>
    <row r="11130" spans="1:15" x14ac:dyDescent="0.35">
      <c r="A11130" s="503" t="s">
        <v>1894</v>
      </c>
      <c r="B11130" s="504" t="s">
        <v>3010</v>
      </c>
      <c r="C11130" s="504" t="s">
        <v>1089</v>
      </c>
      <c r="D11130" s="504" t="s">
        <v>3392</v>
      </c>
      <c r="E11130" s="504" t="s">
        <v>3381</v>
      </c>
      <c r="F11130" s="504" t="s">
        <v>2</v>
      </c>
      <c r="G11130" s="504" t="s">
        <v>3368</v>
      </c>
      <c r="H11130" s="504" t="s">
        <v>13447</v>
      </c>
      <c r="I11130" s="504">
        <v>94</v>
      </c>
      <c r="J11130" s="504">
        <v>0</v>
      </c>
      <c r="K11130" s="504">
        <v>0</v>
      </c>
      <c r="L11130" s="504">
        <v>0</v>
      </c>
      <c r="M11130" s="504">
        <v>94</v>
      </c>
      <c r="N11130" s="504">
        <v>0</v>
      </c>
      <c r="O11130" s="505">
        <v>0</v>
      </c>
    </row>
    <row r="11131" spans="1:15" x14ac:dyDescent="0.35">
      <c r="A11131" s="500" t="s">
        <v>1650</v>
      </c>
      <c r="B11131" s="501" t="s">
        <v>2580</v>
      </c>
      <c r="C11131" s="501" t="s">
        <v>1089</v>
      </c>
      <c r="D11131" s="501" t="s">
        <v>3392</v>
      </c>
      <c r="E11131" s="501" t="s">
        <v>3381</v>
      </c>
      <c r="F11131" s="501" t="s">
        <v>417</v>
      </c>
      <c r="G11131" s="501" t="s">
        <v>3368</v>
      </c>
      <c r="H11131" s="501" t="s">
        <v>13448</v>
      </c>
      <c r="I11131" s="501">
        <v>25</v>
      </c>
      <c r="J11131" s="501">
        <v>0</v>
      </c>
      <c r="K11131" s="501">
        <v>0</v>
      </c>
      <c r="L11131" s="501">
        <v>18</v>
      </c>
      <c r="M11131" s="501">
        <v>7</v>
      </c>
      <c r="N11131" s="501">
        <v>0</v>
      </c>
      <c r="O11131" s="506">
        <v>0</v>
      </c>
    </row>
    <row r="11132" spans="1:15" x14ac:dyDescent="0.35">
      <c r="A11132" s="503" t="s">
        <v>1543</v>
      </c>
      <c r="B11132" s="504" t="s">
        <v>3309</v>
      </c>
      <c r="C11132" s="504" t="s">
        <v>1089</v>
      </c>
      <c r="D11132" s="504" t="s">
        <v>3392</v>
      </c>
      <c r="E11132" s="504" t="s">
        <v>3381</v>
      </c>
      <c r="F11132" s="504" t="s">
        <v>416</v>
      </c>
      <c r="G11132" s="504" t="s">
        <v>3368</v>
      </c>
      <c r="H11132" s="504" t="s">
        <v>13449</v>
      </c>
      <c r="I11132" s="504">
        <v>489</v>
      </c>
      <c r="J11132" s="504">
        <v>455</v>
      </c>
      <c r="K11132" s="504">
        <v>0</v>
      </c>
      <c r="L11132" s="504">
        <v>34</v>
      </c>
      <c r="M11132" s="504">
        <v>0</v>
      </c>
      <c r="N11132" s="504">
        <v>0</v>
      </c>
      <c r="O11132" s="505">
        <v>0</v>
      </c>
    </row>
    <row r="11133" spans="1:15" x14ac:dyDescent="0.35">
      <c r="A11133" s="500" t="s">
        <v>1757</v>
      </c>
      <c r="B11133" s="501" t="s">
        <v>2753</v>
      </c>
      <c r="C11133" s="501" t="s">
        <v>1089</v>
      </c>
      <c r="D11133" s="501" t="s">
        <v>3392</v>
      </c>
      <c r="E11133" s="501" t="s">
        <v>3381</v>
      </c>
      <c r="F11133" s="501" t="s">
        <v>418</v>
      </c>
      <c r="G11133" s="501" t="s">
        <v>3368</v>
      </c>
      <c r="H11133" s="501" t="s">
        <v>13450</v>
      </c>
      <c r="I11133" s="501">
        <v>46</v>
      </c>
      <c r="J11133" s="501">
        <v>46</v>
      </c>
      <c r="K11133" s="501">
        <v>0</v>
      </c>
      <c r="L11133" s="501">
        <v>0</v>
      </c>
      <c r="M11133" s="501">
        <v>0</v>
      </c>
      <c r="N11133" s="501">
        <v>0</v>
      </c>
      <c r="O11133" s="506">
        <v>0</v>
      </c>
    </row>
    <row r="11134" spans="1:15" x14ac:dyDescent="0.35">
      <c r="A11134" s="503" t="s">
        <v>1895</v>
      </c>
      <c r="B11134" s="504" t="s">
        <v>2823</v>
      </c>
      <c r="C11134" s="504" t="s">
        <v>1089</v>
      </c>
      <c r="D11134" s="504" t="s">
        <v>3392</v>
      </c>
      <c r="E11134" s="504" t="s">
        <v>3381</v>
      </c>
      <c r="F11134" s="504" t="s">
        <v>2</v>
      </c>
      <c r="G11134" s="504" t="s">
        <v>3368</v>
      </c>
      <c r="H11134" s="504" t="s">
        <v>13451</v>
      </c>
      <c r="I11134" s="504">
        <v>19</v>
      </c>
      <c r="J11134" s="504">
        <v>19</v>
      </c>
      <c r="K11134" s="504">
        <v>0</v>
      </c>
      <c r="L11134" s="504">
        <v>0</v>
      </c>
      <c r="M11134" s="504">
        <v>0</v>
      </c>
      <c r="N11134" s="504">
        <v>0</v>
      </c>
      <c r="O11134" s="505">
        <v>0</v>
      </c>
    </row>
    <row r="11135" spans="1:15" x14ac:dyDescent="0.35">
      <c r="A11135" s="500" t="s">
        <v>2100</v>
      </c>
      <c r="B11135" s="501">
        <v>4809</v>
      </c>
      <c r="C11135" s="501" t="s">
        <v>1089</v>
      </c>
      <c r="D11135" s="501" t="s">
        <v>3392</v>
      </c>
      <c r="E11135" s="501" t="s">
        <v>3381</v>
      </c>
      <c r="F11135" s="501" t="s">
        <v>420</v>
      </c>
      <c r="G11135" s="501" t="s">
        <v>3368</v>
      </c>
      <c r="H11135" s="501" t="s">
        <v>13452</v>
      </c>
      <c r="I11135" s="501">
        <v>51</v>
      </c>
      <c r="J11135" s="501">
        <v>0</v>
      </c>
      <c r="K11135" s="501">
        <v>0</v>
      </c>
      <c r="L11135" s="501">
        <v>0</v>
      </c>
      <c r="M11135" s="501">
        <v>51</v>
      </c>
      <c r="N11135" s="501">
        <v>0</v>
      </c>
      <c r="O11135" s="506">
        <v>0</v>
      </c>
    </row>
    <row r="11136" spans="1:15" x14ac:dyDescent="0.35">
      <c r="A11136" s="503" t="s">
        <v>2101</v>
      </c>
      <c r="B11136" s="504" t="s">
        <v>2834</v>
      </c>
      <c r="C11136" s="504" t="s">
        <v>1089</v>
      </c>
      <c r="D11136" s="504" t="s">
        <v>3392</v>
      </c>
      <c r="E11136" s="504" t="s">
        <v>3381</v>
      </c>
      <c r="F11136" s="504" t="s">
        <v>420</v>
      </c>
      <c r="G11136" s="504" t="s">
        <v>3368</v>
      </c>
      <c r="H11136" s="504" t="s">
        <v>13453</v>
      </c>
      <c r="I11136" s="504">
        <v>21</v>
      </c>
      <c r="J11136" s="504">
        <v>0</v>
      </c>
      <c r="K11136" s="504">
        <v>0</v>
      </c>
      <c r="L11136" s="504">
        <v>21</v>
      </c>
      <c r="M11136" s="504">
        <v>0</v>
      </c>
      <c r="N11136" s="504">
        <v>0</v>
      </c>
      <c r="O11136" s="505">
        <v>0</v>
      </c>
    </row>
    <row r="11137" spans="1:15" x14ac:dyDescent="0.35">
      <c r="A11137" s="500" t="s">
        <v>2102</v>
      </c>
      <c r="B11137" s="501" t="s">
        <v>3054</v>
      </c>
      <c r="C11137" s="501" t="s">
        <v>1089</v>
      </c>
      <c r="D11137" s="501" t="s">
        <v>3392</v>
      </c>
      <c r="E11137" s="501" t="s">
        <v>3381</v>
      </c>
      <c r="F11137" s="501" t="s">
        <v>420</v>
      </c>
      <c r="G11137" s="501" t="s">
        <v>3368</v>
      </c>
      <c r="H11137" s="501" t="s">
        <v>13454</v>
      </c>
      <c r="I11137" s="501">
        <v>301</v>
      </c>
      <c r="J11137" s="501">
        <v>281</v>
      </c>
      <c r="K11137" s="501">
        <v>0</v>
      </c>
      <c r="L11137" s="501">
        <v>0</v>
      </c>
      <c r="M11137" s="501">
        <v>20</v>
      </c>
      <c r="N11137" s="501">
        <v>0</v>
      </c>
      <c r="O11137" s="506">
        <v>0</v>
      </c>
    </row>
    <row r="11138" spans="1:15" x14ac:dyDescent="0.35">
      <c r="A11138" s="503" t="s">
        <v>2013</v>
      </c>
      <c r="B11138" s="504" t="s">
        <v>2837</v>
      </c>
      <c r="C11138" s="504" t="s">
        <v>1089</v>
      </c>
      <c r="D11138" s="504" t="s">
        <v>3392</v>
      </c>
      <c r="E11138" s="504" t="s">
        <v>3381</v>
      </c>
      <c r="F11138" s="504" t="s">
        <v>419</v>
      </c>
      <c r="G11138" s="504" t="s">
        <v>3368</v>
      </c>
      <c r="H11138" s="504" t="s">
        <v>13455</v>
      </c>
      <c r="I11138" s="504">
        <v>25</v>
      </c>
      <c r="J11138" s="504">
        <v>0</v>
      </c>
      <c r="K11138" s="504">
        <v>0</v>
      </c>
      <c r="L11138" s="504">
        <v>0</v>
      </c>
      <c r="M11138" s="504">
        <v>25</v>
      </c>
      <c r="N11138" s="504">
        <v>0</v>
      </c>
      <c r="O11138" s="505">
        <v>0</v>
      </c>
    </row>
    <row r="11139" spans="1:15" x14ac:dyDescent="0.35">
      <c r="A11139" s="500" t="s">
        <v>1896</v>
      </c>
      <c r="B11139" s="501" t="s">
        <v>3216</v>
      </c>
      <c r="C11139" s="501" t="s">
        <v>1094</v>
      </c>
      <c r="D11139" s="501" t="s">
        <v>3380</v>
      </c>
      <c r="E11139" s="501" t="s">
        <v>3381</v>
      </c>
      <c r="F11139" s="501" t="s">
        <v>2</v>
      </c>
      <c r="G11139" s="501" t="s">
        <v>3368</v>
      </c>
      <c r="H11139" s="501" t="s">
        <v>13456</v>
      </c>
      <c r="I11139" s="501">
        <v>6864</v>
      </c>
      <c r="J11139" s="501">
        <v>6059</v>
      </c>
      <c r="K11139" s="501">
        <v>0</v>
      </c>
      <c r="L11139" s="501">
        <v>47</v>
      </c>
      <c r="M11139" s="501">
        <v>350</v>
      </c>
      <c r="N11139" s="501">
        <v>0</v>
      </c>
      <c r="O11139" s="506">
        <v>408</v>
      </c>
    </row>
    <row r="11140" spans="1:15" x14ac:dyDescent="0.35">
      <c r="A11140" s="503" t="s">
        <v>1651</v>
      </c>
      <c r="B11140" s="504" t="s">
        <v>2450</v>
      </c>
      <c r="C11140" s="504" t="s">
        <v>1089</v>
      </c>
      <c r="D11140" s="504" t="s">
        <v>3392</v>
      </c>
      <c r="E11140" s="504" t="s">
        <v>3381</v>
      </c>
      <c r="F11140" s="504" t="s">
        <v>417</v>
      </c>
      <c r="G11140" s="504" t="s">
        <v>3368</v>
      </c>
      <c r="H11140" s="504" t="s">
        <v>13457</v>
      </c>
      <c r="I11140" s="504">
        <v>55</v>
      </c>
      <c r="J11140" s="504">
        <v>0</v>
      </c>
      <c r="K11140" s="504">
        <v>0</v>
      </c>
      <c r="L11140" s="504">
        <v>0</v>
      </c>
      <c r="M11140" s="504">
        <v>55</v>
      </c>
      <c r="N11140" s="504">
        <v>0</v>
      </c>
      <c r="O11140" s="505">
        <v>0</v>
      </c>
    </row>
    <row r="11141" spans="1:15" x14ac:dyDescent="0.35">
      <c r="A11141" s="500" t="s">
        <v>11432</v>
      </c>
      <c r="B11141" s="501" t="s">
        <v>11463</v>
      </c>
      <c r="C11141" s="501" t="s">
        <v>1089</v>
      </c>
      <c r="D11141" s="501" t="s">
        <v>3392</v>
      </c>
      <c r="E11141" s="501" t="s">
        <v>3381</v>
      </c>
      <c r="F11141" s="501" t="s">
        <v>420</v>
      </c>
      <c r="G11141" s="501" t="s">
        <v>3368</v>
      </c>
      <c r="H11141" s="501" t="s">
        <v>13458</v>
      </c>
      <c r="I11141" s="501">
        <v>6</v>
      </c>
      <c r="J11141" s="501">
        <v>0</v>
      </c>
      <c r="K11141" s="501">
        <v>0</v>
      </c>
      <c r="L11141" s="501">
        <v>0</v>
      </c>
      <c r="M11141" s="501">
        <v>6</v>
      </c>
      <c r="N11141" s="501">
        <v>0</v>
      </c>
      <c r="O11141" s="506">
        <v>0</v>
      </c>
    </row>
    <row r="11142" spans="1:15" x14ac:dyDescent="0.35">
      <c r="A11142" s="503" t="s">
        <v>2103</v>
      </c>
      <c r="B11142" s="504" t="s">
        <v>2458</v>
      </c>
      <c r="C11142" s="504" t="s">
        <v>1089</v>
      </c>
      <c r="D11142" s="504" t="s">
        <v>3392</v>
      </c>
      <c r="E11142" s="504" t="s">
        <v>3381</v>
      </c>
      <c r="F11142" s="504" t="s">
        <v>420</v>
      </c>
      <c r="G11142" s="504" t="s">
        <v>3368</v>
      </c>
      <c r="H11142" s="504" t="s">
        <v>13459</v>
      </c>
      <c r="I11142" s="504">
        <v>182</v>
      </c>
      <c r="J11142" s="504">
        <v>0</v>
      </c>
      <c r="K11142" s="504">
        <v>0</v>
      </c>
      <c r="L11142" s="504">
        <v>0</v>
      </c>
      <c r="M11142" s="504">
        <v>182</v>
      </c>
      <c r="N11142" s="504">
        <v>0</v>
      </c>
      <c r="O11142" s="505">
        <v>0</v>
      </c>
    </row>
    <row r="11143" spans="1:15" x14ac:dyDescent="0.35">
      <c r="A11143" s="500" t="s">
        <v>1237</v>
      </c>
      <c r="B11143" s="501">
        <v>4812</v>
      </c>
      <c r="C11143" s="501" t="s">
        <v>1089</v>
      </c>
      <c r="D11143" s="501" t="s">
        <v>3392</v>
      </c>
      <c r="E11143" s="501" t="s">
        <v>3381</v>
      </c>
      <c r="F11143" s="501" t="s">
        <v>414</v>
      </c>
      <c r="G11143" s="501" t="s">
        <v>3368</v>
      </c>
      <c r="H11143" s="501" t="s">
        <v>13460</v>
      </c>
      <c r="I11143" s="501">
        <v>3</v>
      </c>
      <c r="J11143" s="501">
        <v>3</v>
      </c>
      <c r="K11143" s="501">
        <v>0</v>
      </c>
      <c r="L11143" s="501">
        <v>0</v>
      </c>
      <c r="M11143" s="501">
        <v>0</v>
      </c>
      <c r="N11143" s="501">
        <v>0</v>
      </c>
      <c r="O11143" s="506">
        <v>0</v>
      </c>
    </row>
    <row r="11144" spans="1:15" x14ac:dyDescent="0.35">
      <c r="A11144" s="503" t="s">
        <v>1897</v>
      </c>
      <c r="B11144" s="504" t="s">
        <v>2502</v>
      </c>
      <c r="C11144" s="504" t="s">
        <v>1089</v>
      </c>
      <c r="D11144" s="504" t="s">
        <v>3392</v>
      </c>
      <c r="E11144" s="504" t="s">
        <v>3381</v>
      </c>
      <c r="F11144" s="504" t="s">
        <v>2</v>
      </c>
      <c r="G11144" s="504" t="s">
        <v>3368</v>
      </c>
      <c r="H11144" s="504" t="s">
        <v>13461</v>
      </c>
      <c r="I11144" s="504">
        <v>102</v>
      </c>
      <c r="J11144" s="504">
        <v>0</v>
      </c>
      <c r="K11144" s="504">
        <v>0</v>
      </c>
      <c r="L11144" s="504">
        <v>0</v>
      </c>
      <c r="M11144" s="504">
        <v>102</v>
      </c>
      <c r="N11144" s="504">
        <v>0</v>
      </c>
      <c r="O11144" s="505">
        <v>0</v>
      </c>
    </row>
    <row r="11145" spans="1:15" x14ac:dyDescent="0.35">
      <c r="A11145" s="500" t="s">
        <v>1652</v>
      </c>
      <c r="B11145" s="501" t="s">
        <v>2644</v>
      </c>
      <c r="C11145" s="501" t="s">
        <v>1089</v>
      </c>
      <c r="D11145" s="501" t="s">
        <v>3392</v>
      </c>
      <c r="E11145" s="501" t="s">
        <v>3381</v>
      </c>
      <c r="F11145" s="501" t="s">
        <v>417</v>
      </c>
      <c r="G11145" s="501" t="s">
        <v>3368</v>
      </c>
      <c r="H11145" s="501" t="s">
        <v>13462</v>
      </c>
      <c r="I11145" s="501">
        <v>25</v>
      </c>
      <c r="J11145" s="501">
        <v>0</v>
      </c>
      <c r="K11145" s="501">
        <v>0</v>
      </c>
      <c r="L11145" s="501">
        <v>0</v>
      </c>
      <c r="M11145" s="501">
        <v>25</v>
      </c>
      <c r="N11145" s="501">
        <v>0</v>
      </c>
      <c r="O11145" s="506">
        <v>0</v>
      </c>
    </row>
    <row r="11146" spans="1:15" x14ac:dyDescent="0.35">
      <c r="A11146" s="503" t="s">
        <v>2104</v>
      </c>
      <c r="B11146" s="504" t="s">
        <v>2527</v>
      </c>
      <c r="C11146" s="504" t="s">
        <v>1089</v>
      </c>
      <c r="D11146" s="504" t="s">
        <v>3392</v>
      </c>
      <c r="E11146" s="504" t="s">
        <v>3381</v>
      </c>
      <c r="F11146" s="504" t="s">
        <v>420</v>
      </c>
      <c r="G11146" s="504" t="s">
        <v>3368</v>
      </c>
      <c r="H11146" s="504" t="s">
        <v>13463</v>
      </c>
      <c r="I11146" s="504">
        <v>23</v>
      </c>
      <c r="J11146" s="504">
        <v>0</v>
      </c>
      <c r="K11146" s="504">
        <v>0</v>
      </c>
      <c r="L11146" s="504">
        <v>0</v>
      </c>
      <c r="M11146" s="504">
        <v>23</v>
      </c>
      <c r="N11146" s="504">
        <v>0</v>
      </c>
      <c r="O11146" s="505">
        <v>0</v>
      </c>
    </row>
    <row r="11147" spans="1:15" x14ac:dyDescent="0.35">
      <c r="A11147" s="500" t="s">
        <v>1758</v>
      </c>
      <c r="B11147" s="501">
        <v>4612</v>
      </c>
      <c r="C11147" s="501" t="s">
        <v>1089</v>
      </c>
      <c r="D11147" s="501" t="s">
        <v>3392</v>
      </c>
      <c r="E11147" s="501" t="s">
        <v>3381</v>
      </c>
      <c r="F11147" s="501" t="s">
        <v>418</v>
      </c>
      <c r="G11147" s="501" t="s">
        <v>3368</v>
      </c>
      <c r="H11147" s="501" t="s">
        <v>13464</v>
      </c>
      <c r="I11147" s="501">
        <v>149</v>
      </c>
      <c r="J11147" s="501">
        <v>97</v>
      </c>
      <c r="K11147" s="501">
        <v>12</v>
      </c>
      <c r="L11147" s="501">
        <v>40</v>
      </c>
      <c r="M11147" s="501">
        <v>0</v>
      </c>
      <c r="N11147" s="501">
        <v>0</v>
      </c>
      <c r="O11147" s="506">
        <v>0</v>
      </c>
    </row>
    <row r="11148" spans="1:15" x14ac:dyDescent="0.35">
      <c r="A11148" s="503" t="s">
        <v>2105</v>
      </c>
      <c r="B11148" s="504" t="s">
        <v>2679</v>
      </c>
      <c r="C11148" s="504" t="s">
        <v>1089</v>
      </c>
      <c r="D11148" s="504" t="s">
        <v>3392</v>
      </c>
      <c r="E11148" s="504" t="s">
        <v>3381</v>
      </c>
      <c r="F11148" s="504" t="s">
        <v>420</v>
      </c>
      <c r="G11148" s="504" t="s">
        <v>3368</v>
      </c>
      <c r="H11148" s="504" t="s">
        <v>13465</v>
      </c>
      <c r="I11148" s="504">
        <v>47</v>
      </c>
      <c r="J11148" s="504">
        <v>47</v>
      </c>
      <c r="K11148" s="504">
        <v>0</v>
      </c>
      <c r="L11148" s="504">
        <v>0</v>
      </c>
      <c r="M11148" s="504">
        <v>0</v>
      </c>
      <c r="N11148" s="504">
        <v>0</v>
      </c>
      <c r="O11148" s="505">
        <v>0</v>
      </c>
    </row>
    <row r="11149" spans="1:15" x14ac:dyDescent="0.35">
      <c r="A11149" s="500" t="s">
        <v>1898</v>
      </c>
      <c r="B11149" s="501" t="s">
        <v>3148</v>
      </c>
      <c r="C11149" s="501" t="s">
        <v>1094</v>
      </c>
      <c r="D11149" s="501" t="s">
        <v>3380</v>
      </c>
      <c r="E11149" s="501" t="s">
        <v>3381</v>
      </c>
      <c r="F11149" s="501" t="s">
        <v>2</v>
      </c>
      <c r="G11149" s="501" t="s">
        <v>3368</v>
      </c>
      <c r="H11149" s="501" t="s">
        <v>13467</v>
      </c>
      <c r="I11149" s="501">
        <v>6843</v>
      </c>
      <c r="J11149" s="501">
        <v>5406</v>
      </c>
      <c r="K11149" s="501">
        <v>0</v>
      </c>
      <c r="L11149" s="501">
        <v>117</v>
      </c>
      <c r="M11149" s="501">
        <v>567</v>
      </c>
      <c r="N11149" s="501">
        <v>0</v>
      </c>
      <c r="O11149" s="506">
        <v>753</v>
      </c>
    </row>
    <row r="11150" spans="1:15" x14ac:dyDescent="0.35">
      <c r="A11150" s="503" t="s">
        <v>1898</v>
      </c>
      <c r="B11150" s="504" t="s">
        <v>3148</v>
      </c>
      <c r="C11150" s="504" t="s">
        <v>1094</v>
      </c>
      <c r="D11150" s="504" t="s">
        <v>3380</v>
      </c>
      <c r="E11150" s="504" t="s">
        <v>3381</v>
      </c>
      <c r="F11150" s="504" t="s">
        <v>419</v>
      </c>
      <c r="G11150" s="504" t="s">
        <v>3368</v>
      </c>
      <c r="H11150" s="504" t="s">
        <v>13466</v>
      </c>
      <c r="I11150" s="504">
        <v>235</v>
      </c>
      <c r="J11150" s="504">
        <v>195</v>
      </c>
      <c r="K11150" s="504">
        <v>0</v>
      </c>
      <c r="L11150" s="504">
        <v>0</v>
      </c>
      <c r="M11150" s="504">
        <v>0</v>
      </c>
      <c r="N11150" s="504">
        <v>0</v>
      </c>
      <c r="O11150" s="505">
        <v>40</v>
      </c>
    </row>
    <row r="11151" spans="1:15" x14ac:dyDescent="0.35">
      <c r="A11151" s="500" t="s">
        <v>1544</v>
      </c>
      <c r="B11151" s="501" t="s">
        <v>3273</v>
      </c>
      <c r="C11151" s="501" t="s">
        <v>1089</v>
      </c>
      <c r="D11151" s="501" t="s">
        <v>3392</v>
      </c>
      <c r="E11151" s="501" t="s">
        <v>3381</v>
      </c>
      <c r="F11151" s="501" t="s">
        <v>416</v>
      </c>
      <c r="G11151" s="501" t="s">
        <v>3368</v>
      </c>
      <c r="H11151" s="501" t="s">
        <v>13468</v>
      </c>
      <c r="I11151" s="501">
        <v>732</v>
      </c>
      <c r="J11151" s="501">
        <v>713</v>
      </c>
      <c r="K11151" s="501">
        <v>0</v>
      </c>
      <c r="L11151" s="501">
        <v>0</v>
      </c>
      <c r="M11151" s="501">
        <v>19</v>
      </c>
      <c r="N11151" s="501">
        <v>3</v>
      </c>
      <c r="O11151" s="506">
        <v>0</v>
      </c>
    </row>
    <row r="11152" spans="1:15" x14ac:dyDescent="0.35">
      <c r="A11152" s="503" t="s">
        <v>2106</v>
      </c>
      <c r="B11152" s="504" t="s">
        <v>3155</v>
      </c>
      <c r="C11152" s="504" t="s">
        <v>1089</v>
      </c>
      <c r="D11152" s="504" t="s">
        <v>3392</v>
      </c>
      <c r="E11152" s="504" t="s">
        <v>3381</v>
      </c>
      <c r="F11152" s="504" t="s">
        <v>420</v>
      </c>
      <c r="G11152" s="504" t="s">
        <v>3368</v>
      </c>
      <c r="H11152" s="504" t="s">
        <v>13469</v>
      </c>
      <c r="I11152" s="504">
        <v>113</v>
      </c>
      <c r="J11152" s="504">
        <v>0</v>
      </c>
      <c r="K11152" s="504">
        <v>0</v>
      </c>
      <c r="L11152" s="504">
        <v>32</v>
      </c>
      <c r="M11152" s="504">
        <v>81</v>
      </c>
      <c r="N11152" s="504">
        <v>0</v>
      </c>
      <c r="O11152" s="505">
        <v>0</v>
      </c>
    </row>
    <row r="11153" spans="1:15" x14ac:dyDescent="0.35">
      <c r="A11153" s="500" t="s">
        <v>11375</v>
      </c>
      <c r="B11153" s="501">
        <v>4696</v>
      </c>
      <c r="C11153" s="501" t="s">
        <v>1089</v>
      </c>
      <c r="D11153" s="501" t="s">
        <v>3392</v>
      </c>
      <c r="E11153" s="501" t="s">
        <v>3381</v>
      </c>
      <c r="F11153" s="501" t="s">
        <v>415</v>
      </c>
      <c r="G11153" s="501" t="s">
        <v>3368</v>
      </c>
      <c r="H11153" s="501" t="s">
        <v>13470</v>
      </c>
      <c r="I11153" s="501">
        <v>137</v>
      </c>
      <c r="J11153" s="501">
        <v>4</v>
      </c>
      <c r="K11153" s="501">
        <v>0</v>
      </c>
      <c r="L11153" s="501">
        <v>133</v>
      </c>
      <c r="M11153" s="501">
        <v>0</v>
      </c>
      <c r="N11153" s="501">
        <v>10</v>
      </c>
      <c r="O11153" s="506">
        <v>0</v>
      </c>
    </row>
    <row r="11154" spans="1:15" x14ac:dyDescent="0.35">
      <c r="A11154" s="503" t="s">
        <v>2015</v>
      </c>
      <c r="B11154" s="504" t="s">
        <v>2714</v>
      </c>
      <c r="C11154" s="504" t="s">
        <v>1089</v>
      </c>
      <c r="D11154" s="504" t="s">
        <v>3392</v>
      </c>
      <c r="E11154" s="504" t="s">
        <v>3381</v>
      </c>
      <c r="F11154" s="504" t="s">
        <v>419</v>
      </c>
      <c r="G11154" s="504" t="s">
        <v>3368</v>
      </c>
      <c r="H11154" s="504" t="s">
        <v>13471</v>
      </c>
      <c r="I11154" s="504">
        <v>17</v>
      </c>
      <c r="J11154" s="504">
        <v>13</v>
      </c>
      <c r="K11154" s="504">
        <v>4</v>
      </c>
      <c r="L11154" s="504">
        <v>0</v>
      </c>
      <c r="M11154" s="504">
        <v>0</v>
      </c>
      <c r="N11154" s="504">
        <v>0</v>
      </c>
      <c r="O11154" s="505">
        <v>0</v>
      </c>
    </row>
    <row r="11155" spans="1:15" x14ac:dyDescent="0.35">
      <c r="A11155" s="500" t="s">
        <v>1545</v>
      </c>
      <c r="B11155" s="501" t="s">
        <v>2735</v>
      </c>
      <c r="C11155" s="501" t="s">
        <v>1089</v>
      </c>
      <c r="D11155" s="501" t="s">
        <v>3392</v>
      </c>
      <c r="E11155" s="501" t="s">
        <v>3381</v>
      </c>
      <c r="F11155" s="501" t="s">
        <v>416</v>
      </c>
      <c r="G11155" s="501" t="s">
        <v>3368</v>
      </c>
      <c r="H11155" s="501" t="s">
        <v>13472</v>
      </c>
      <c r="I11155" s="501">
        <v>29</v>
      </c>
      <c r="J11155" s="501">
        <v>26</v>
      </c>
      <c r="K11155" s="501">
        <v>0</v>
      </c>
      <c r="L11155" s="501">
        <v>3</v>
      </c>
      <c r="M11155" s="501">
        <v>0</v>
      </c>
      <c r="N11155" s="501">
        <v>0</v>
      </c>
      <c r="O11155" s="506">
        <v>0</v>
      </c>
    </row>
    <row r="11156" spans="1:15" x14ac:dyDescent="0.35">
      <c r="A11156" s="503" t="s">
        <v>1759</v>
      </c>
      <c r="B11156" s="504" t="s">
        <v>3090</v>
      </c>
      <c r="C11156" s="504" t="s">
        <v>1089</v>
      </c>
      <c r="D11156" s="504" t="s">
        <v>3392</v>
      </c>
      <c r="E11156" s="504" t="s">
        <v>3381</v>
      </c>
      <c r="F11156" s="504" t="s">
        <v>418</v>
      </c>
      <c r="G11156" s="504" t="s">
        <v>3368</v>
      </c>
      <c r="H11156" s="504" t="s">
        <v>13473</v>
      </c>
      <c r="I11156" s="504">
        <v>115</v>
      </c>
      <c r="J11156" s="504">
        <v>115</v>
      </c>
      <c r="K11156" s="504">
        <v>0</v>
      </c>
      <c r="L11156" s="504">
        <v>0</v>
      </c>
      <c r="M11156" s="504">
        <v>0</v>
      </c>
      <c r="N11156" s="504">
        <v>0</v>
      </c>
      <c r="O11156" s="505">
        <v>0</v>
      </c>
    </row>
    <row r="11157" spans="1:15" x14ac:dyDescent="0.35">
      <c r="A11157" s="500" t="s">
        <v>2016</v>
      </c>
      <c r="B11157" s="501" t="s">
        <v>3265</v>
      </c>
      <c r="C11157" s="501" t="s">
        <v>1089</v>
      </c>
      <c r="D11157" s="501" t="s">
        <v>3392</v>
      </c>
      <c r="E11157" s="501" t="s">
        <v>3381</v>
      </c>
      <c r="F11157" s="501" t="s">
        <v>419</v>
      </c>
      <c r="G11157" s="501" t="s">
        <v>3368</v>
      </c>
      <c r="H11157" s="501" t="s">
        <v>13474</v>
      </c>
      <c r="I11157" s="501">
        <v>299</v>
      </c>
      <c r="J11157" s="501">
        <v>201</v>
      </c>
      <c r="K11157" s="501">
        <v>0</v>
      </c>
      <c r="L11157" s="501">
        <v>21</v>
      </c>
      <c r="M11157" s="501">
        <v>77</v>
      </c>
      <c r="N11157" s="501">
        <v>0</v>
      </c>
      <c r="O11157" s="506">
        <v>0</v>
      </c>
    </row>
    <row r="11158" spans="1:15" x14ac:dyDescent="0.35">
      <c r="A11158" s="503" t="s">
        <v>1760</v>
      </c>
      <c r="B11158" s="504">
        <v>4686</v>
      </c>
      <c r="C11158" s="504" t="s">
        <v>1094</v>
      </c>
      <c r="D11158" s="504" t="s">
        <v>3380</v>
      </c>
      <c r="E11158" s="504" t="s">
        <v>3381</v>
      </c>
      <c r="F11158" s="504" t="s">
        <v>418</v>
      </c>
      <c r="G11158" s="504" t="s">
        <v>3368</v>
      </c>
      <c r="H11158" s="504" t="s">
        <v>13475</v>
      </c>
      <c r="I11158" s="504">
        <v>3241</v>
      </c>
      <c r="J11158" s="504">
        <v>2777</v>
      </c>
      <c r="K11158" s="504">
        <v>0</v>
      </c>
      <c r="L11158" s="504">
        <v>0</v>
      </c>
      <c r="M11158" s="504">
        <v>420</v>
      </c>
      <c r="N11158" s="504">
        <v>0</v>
      </c>
      <c r="O11158" s="505">
        <v>44</v>
      </c>
    </row>
    <row r="11159" spans="1:15" x14ac:dyDescent="0.35">
      <c r="A11159" s="500" t="s">
        <v>1761</v>
      </c>
      <c r="B11159" s="501" t="s">
        <v>3165</v>
      </c>
      <c r="C11159" s="501" t="s">
        <v>1094</v>
      </c>
      <c r="D11159" s="501" t="s">
        <v>3380</v>
      </c>
      <c r="E11159" s="501" t="s">
        <v>3381</v>
      </c>
      <c r="F11159" s="501" t="s">
        <v>418</v>
      </c>
      <c r="G11159" s="501" t="s">
        <v>3368</v>
      </c>
      <c r="H11159" s="501" t="s">
        <v>13476</v>
      </c>
      <c r="I11159" s="501">
        <v>3837</v>
      </c>
      <c r="J11159" s="501">
        <v>3673</v>
      </c>
      <c r="K11159" s="501">
        <v>0</v>
      </c>
      <c r="L11159" s="501">
        <v>3</v>
      </c>
      <c r="M11159" s="501">
        <v>118</v>
      </c>
      <c r="N11159" s="501">
        <v>0</v>
      </c>
      <c r="O11159" s="506">
        <v>43</v>
      </c>
    </row>
    <row r="11160" spans="1:15" x14ac:dyDescent="0.35">
      <c r="A11160" s="503" t="s">
        <v>1546</v>
      </c>
      <c r="B11160" s="504" t="s">
        <v>2687</v>
      </c>
      <c r="C11160" s="504" t="s">
        <v>1089</v>
      </c>
      <c r="D11160" s="504" t="s">
        <v>3392</v>
      </c>
      <c r="E11160" s="504" t="s">
        <v>3381</v>
      </c>
      <c r="F11160" s="504" t="s">
        <v>416</v>
      </c>
      <c r="G11160" s="504" t="s">
        <v>3368</v>
      </c>
      <c r="H11160" s="504" t="s">
        <v>13477</v>
      </c>
      <c r="I11160" s="504">
        <v>107</v>
      </c>
      <c r="J11160" s="504">
        <v>107</v>
      </c>
      <c r="K11160" s="504">
        <v>0</v>
      </c>
      <c r="L11160" s="504">
        <v>0</v>
      </c>
      <c r="M11160" s="504">
        <v>0</v>
      </c>
      <c r="N11160" s="504">
        <v>0</v>
      </c>
      <c r="O11160" s="505">
        <v>0</v>
      </c>
    </row>
    <row r="11161" spans="1:15" x14ac:dyDescent="0.35">
      <c r="A11161" s="500" t="s">
        <v>2107</v>
      </c>
      <c r="B11161" s="501" t="s">
        <v>2727</v>
      </c>
      <c r="C11161" s="501" t="s">
        <v>1089</v>
      </c>
      <c r="D11161" s="501" t="s">
        <v>3392</v>
      </c>
      <c r="E11161" s="501" t="s">
        <v>3381</v>
      </c>
      <c r="F11161" s="501" t="s">
        <v>420</v>
      </c>
      <c r="G11161" s="501" t="s">
        <v>3368</v>
      </c>
      <c r="H11161" s="501" t="s">
        <v>13478</v>
      </c>
      <c r="I11161" s="501">
        <v>33</v>
      </c>
      <c r="J11161" s="501">
        <v>33</v>
      </c>
      <c r="K11161" s="501">
        <v>0</v>
      </c>
      <c r="L11161" s="501">
        <v>0</v>
      </c>
      <c r="M11161" s="501">
        <v>0</v>
      </c>
      <c r="N11161" s="501">
        <v>0</v>
      </c>
      <c r="O11161" s="506">
        <v>0</v>
      </c>
    </row>
    <row r="11162" spans="1:15" x14ac:dyDescent="0.35">
      <c r="A11162" s="503" t="s">
        <v>1653</v>
      </c>
      <c r="B11162" s="504">
        <v>4786</v>
      </c>
      <c r="C11162" s="504" t="s">
        <v>1089</v>
      </c>
      <c r="D11162" s="504" t="s">
        <v>3392</v>
      </c>
      <c r="E11162" s="504" t="s">
        <v>3381</v>
      </c>
      <c r="F11162" s="504" t="s">
        <v>417</v>
      </c>
      <c r="G11162" s="504" t="s">
        <v>3368</v>
      </c>
      <c r="H11162" s="504" t="s">
        <v>13479</v>
      </c>
      <c r="I11162" s="504">
        <v>441</v>
      </c>
      <c r="J11162" s="504">
        <v>157</v>
      </c>
      <c r="K11162" s="504">
        <v>0</v>
      </c>
      <c r="L11162" s="504">
        <v>11</v>
      </c>
      <c r="M11162" s="504">
        <v>273</v>
      </c>
      <c r="N11162" s="504">
        <v>0</v>
      </c>
      <c r="O11162" s="505">
        <v>0</v>
      </c>
    </row>
    <row r="11163" spans="1:15" x14ac:dyDescent="0.35">
      <c r="A11163" s="500" t="s">
        <v>2017</v>
      </c>
      <c r="B11163" s="501" t="s">
        <v>3101</v>
      </c>
      <c r="C11163" s="501" t="s">
        <v>1089</v>
      </c>
      <c r="D11163" s="501" t="s">
        <v>3392</v>
      </c>
      <c r="E11163" s="501" t="s">
        <v>3381</v>
      </c>
      <c r="F11163" s="501" t="s">
        <v>419</v>
      </c>
      <c r="G11163" s="501" t="s">
        <v>3368</v>
      </c>
      <c r="H11163" s="501" t="s">
        <v>13480</v>
      </c>
      <c r="I11163" s="501">
        <v>660</v>
      </c>
      <c r="J11163" s="501">
        <v>599</v>
      </c>
      <c r="K11163" s="501">
        <v>0</v>
      </c>
      <c r="L11163" s="501">
        <v>0</v>
      </c>
      <c r="M11163" s="501">
        <v>61</v>
      </c>
      <c r="N11163" s="501">
        <v>0</v>
      </c>
      <c r="O11163" s="506">
        <v>0</v>
      </c>
    </row>
    <row r="11164" spans="1:15" x14ac:dyDescent="0.35">
      <c r="A11164" s="503" t="s">
        <v>1238</v>
      </c>
      <c r="B11164" s="504" t="s">
        <v>2963</v>
      </c>
      <c r="C11164" s="504" t="s">
        <v>1094</v>
      </c>
      <c r="D11164" s="504" t="s">
        <v>3380</v>
      </c>
      <c r="E11164" s="504" t="s">
        <v>3381</v>
      </c>
      <c r="F11164" s="504" t="s">
        <v>1048</v>
      </c>
      <c r="G11164" s="504" t="s">
        <v>3368</v>
      </c>
      <c r="H11164" s="504" t="s">
        <v>14055</v>
      </c>
      <c r="I11164" s="504">
        <v>4649</v>
      </c>
      <c r="J11164" s="504">
        <v>3118</v>
      </c>
      <c r="K11164" s="504">
        <v>0</v>
      </c>
      <c r="L11164" s="504">
        <v>1062</v>
      </c>
      <c r="M11164" s="504">
        <v>257</v>
      </c>
      <c r="N11164" s="504">
        <v>0</v>
      </c>
      <c r="O11164" s="505">
        <v>212</v>
      </c>
    </row>
    <row r="11165" spans="1:15" x14ac:dyDescent="0.35">
      <c r="A11165" s="500" t="s">
        <v>1238</v>
      </c>
      <c r="B11165" s="501" t="s">
        <v>2963</v>
      </c>
      <c r="C11165" s="501" t="s">
        <v>1094</v>
      </c>
      <c r="D11165" s="501" t="s">
        <v>3380</v>
      </c>
      <c r="E11165" s="501" t="s">
        <v>3381</v>
      </c>
      <c r="F11165" s="501" t="s">
        <v>414</v>
      </c>
      <c r="G11165" s="501" t="s">
        <v>3368</v>
      </c>
      <c r="H11165" s="501" t="s">
        <v>13481</v>
      </c>
      <c r="I11165" s="501">
        <v>551</v>
      </c>
      <c r="J11165" s="501">
        <v>417</v>
      </c>
      <c r="K11165" s="501">
        <v>0</v>
      </c>
      <c r="L11165" s="501">
        <v>6</v>
      </c>
      <c r="M11165" s="501">
        <v>56</v>
      </c>
      <c r="N11165" s="501">
        <v>0</v>
      </c>
      <c r="O11165" s="506">
        <v>72</v>
      </c>
    </row>
    <row r="11166" spans="1:15" x14ac:dyDescent="0.35">
      <c r="A11166" s="503" t="s">
        <v>1762</v>
      </c>
      <c r="B11166" s="504" t="s">
        <v>2769</v>
      </c>
      <c r="C11166" s="504" t="s">
        <v>1089</v>
      </c>
      <c r="D11166" s="504" t="s">
        <v>3392</v>
      </c>
      <c r="E11166" s="504" t="s">
        <v>3381</v>
      </c>
      <c r="F11166" s="504" t="s">
        <v>418</v>
      </c>
      <c r="G11166" s="504" t="s">
        <v>3368</v>
      </c>
      <c r="H11166" s="504" t="s">
        <v>13482</v>
      </c>
      <c r="I11166" s="504">
        <v>23</v>
      </c>
      <c r="J11166" s="504">
        <v>23</v>
      </c>
      <c r="K11166" s="504">
        <v>0</v>
      </c>
      <c r="L11166" s="504">
        <v>0</v>
      </c>
      <c r="M11166" s="504">
        <v>0</v>
      </c>
      <c r="N11166" s="504">
        <v>0</v>
      </c>
      <c r="O11166" s="505">
        <v>0</v>
      </c>
    </row>
    <row r="11167" spans="1:15" x14ac:dyDescent="0.35">
      <c r="A11167" s="500" t="s">
        <v>1899</v>
      </c>
      <c r="B11167" s="501" t="s">
        <v>3078</v>
      </c>
      <c r="C11167" s="501" t="s">
        <v>1089</v>
      </c>
      <c r="D11167" s="501" t="s">
        <v>3392</v>
      </c>
      <c r="E11167" s="501" t="s">
        <v>3381</v>
      </c>
      <c r="F11167" s="501" t="s">
        <v>2</v>
      </c>
      <c r="G11167" s="501" t="s">
        <v>3368</v>
      </c>
      <c r="H11167" s="501" t="s">
        <v>13483</v>
      </c>
      <c r="I11167" s="501">
        <v>476</v>
      </c>
      <c r="J11167" s="501">
        <v>0</v>
      </c>
      <c r="K11167" s="501">
        <v>0</v>
      </c>
      <c r="L11167" s="501">
        <v>476</v>
      </c>
      <c r="M11167" s="501">
        <v>0</v>
      </c>
      <c r="N11167" s="501">
        <v>0</v>
      </c>
      <c r="O11167" s="506">
        <v>0</v>
      </c>
    </row>
    <row r="11168" spans="1:15" x14ac:dyDescent="0.35">
      <c r="A11168" s="503" t="s">
        <v>1343</v>
      </c>
      <c r="B11168" s="504">
        <v>4853</v>
      </c>
      <c r="C11168" s="504" t="s">
        <v>1089</v>
      </c>
      <c r="D11168" s="504" t="s">
        <v>3392</v>
      </c>
      <c r="E11168" s="504" t="s">
        <v>3381</v>
      </c>
      <c r="F11168" s="504" t="s">
        <v>415</v>
      </c>
      <c r="G11168" s="504" t="s">
        <v>3368</v>
      </c>
      <c r="H11168" s="504" t="s">
        <v>13484</v>
      </c>
      <c r="I11168" s="504">
        <v>36</v>
      </c>
      <c r="J11168" s="504">
        <v>0</v>
      </c>
      <c r="K11168" s="504">
        <v>0</v>
      </c>
      <c r="L11168" s="504">
        <v>36</v>
      </c>
      <c r="M11168" s="504">
        <v>0</v>
      </c>
      <c r="N11168" s="504">
        <v>0</v>
      </c>
      <c r="O11168" s="505">
        <v>0</v>
      </c>
    </row>
    <row r="11169" spans="1:15" x14ac:dyDescent="0.35">
      <c r="A11169" s="500" t="s">
        <v>1763</v>
      </c>
      <c r="B11169" s="501" t="s">
        <v>2741</v>
      </c>
      <c r="C11169" s="501" t="s">
        <v>1089</v>
      </c>
      <c r="D11169" s="501" t="s">
        <v>3392</v>
      </c>
      <c r="E11169" s="501" t="s">
        <v>3381</v>
      </c>
      <c r="F11169" s="501" t="s">
        <v>418</v>
      </c>
      <c r="G11169" s="501" t="s">
        <v>3368</v>
      </c>
      <c r="H11169" s="501" t="s">
        <v>13485</v>
      </c>
      <c r="I11169" s="501">
        <v>40</v>
      </c>
      <c r="J11169" s="501">
        <v>40</v>
      </c>
      <c r="K11169" s="501">
        <v>0</v>
      </c>
      <c r="L11169" s="501">
        <v>0</v>
      </c>
      <c r="M11169" s="501">
        <v>0</v>
      </c>
      <c r="N11169" s="501">
        <v>0</v>
      </c>
      <c r="O11169" s="506">
        <v>0</v>
      </c>
    </row>
    <row r="11170" spans="1:15" x14ac:dyDescent="0.35">
      <c r="A11170" s="503" t="s">
        <v>1547</v>
      </c>
      <c r="B11170" s="504" t="s">
        <v>3279</v>
      </c>
      <c r="C11170" s="504" t="s">
        <v>1089</v>
      </c>
      <c r="D11170" s="504" t="s">
        <v>3392</v>
      </c>
      <c r="E11170" s="504" t="s">
        <v>3381</v>
      </c>
      <c r="F11170" s="504" t="s">
        <v>416</v>
      </c>
      <c r="G11170" s="504" t="s">
        <v>3368</v>
      </c>
      <c r="H11170" s="504" t="s">
        <v>13486</v>
      </c>
      <c r="I11170" s="504">
        <v>43</v>
      </c>
      <c r="J11170" s="504">
        <v>43</v>
      </c>
      <c r="K11170" s="504">
        <v>0</v>
      </c>
      <c r="L11170" s="504">
        <v>0</v>
      </c>
      <c r="M11170" s="504">
        <v>0</v>
      </c>
      <c r="N11170" s="504">
        <v>0</v>
      </c>
      <c r="O11170" s="505">
        <v>0</v>
      </c>
    </row>
    <row r="11171" spans="1:15" x14ac:dyDescent="0.35">
      <c r="A11171" s="500" t="s">
        <v>1547</v>
      </c>
      <c r="B11171" s="501" t="s">
        <v>3279</v>
      </c>
      <c r="C11171" s="501" t="s">
        <v>1089</v>
      </c>
      <c r="D11171" s="501" t="s">
        <v>3392</v>
      </c>
      <c r="E11171" s="501" t="s">
        <v>3381</v>
      </c>
      <c r="F11171" s="501" t="s">
        <v>2</v>
      </c>
      <c r="G11171" s="501" t="s">
        <v>3368</v>
      </c>
      <c r="H11171" s="501" t="s">
        <v>15420</v>
      </c>
      <c r="I11171" s="501">
        <v>49</v>
      </c>
      <c r="J11171" s="501">
        <v>49</v>
      </c>
      <c r="K11171" s="501">
        <v>0</v>
      </c>
      <c r="L11171" s="501">
        <v>0</v>
      </c>
      <c r="M11171" s="501">
        <v>0</v>
      </c>
      <c r="N11171" s="501">
        <v>0</v>
      </c>
      <c r="O11171" s="506">
        <v>0</v>
      </c>
    </row>
    <row r="11172" spans="1:15" x14ac:dyDescent="0.35">
      <c r="A11172" s="503" t="s">
        <v>1130</v>
      </c>
      <c r="B11172" s="504" t="s">
        <v>3234</v>
      </c>
      <c r="C11172" s="504" t="s">
        <v>1094</v>
      </c>
      <c r="D11172" s="504" t="s">
        <v>3380</v>
      </c>
      <c r="E11172" s="504" t="s">
        <v>3381</v>
      </c>
      <c r="F11172" s="504" t="s">
        <v>1048</v>
      </c>
      <c r="G11172" s="504" t="s">
        <v>3368</v>
      </c>
      <c r="H11172" s="504" t="s">
        <v>14056</v>
      </c>
      <c r="I11172" s="504">
        <v>1</v>
      </c>
      <c r="J11172" s="504">
        <v>0</v>
      </c>
      <c r="K11172" s="504">
        <v>0</v>
      </c>
      <c r="L11172" s="504">
        <v>0</v>
      </c>
      <c r="M11172" s="504">
        <v>0</v>
      </c>
      <c r="N11172" s="504">
        <v>0</v>
      </c>
      <c r="O11172" s="505">
        <v>1</v>
      </c>
    </row>
    <row r="11173" spans="1:15" x14ac:dyDescent="0.35">
      <c r="A11173" s="500" t="s">
        <v>1130</v>
      </c>
      <c r="B11173" s="501" t="s">
        <v>3234</v>
      </c>
      <c r="C11173" s="501" t="s">
        <v>1094</v>
      </c>
      <c r="D11173" s="501" t="s">
        <v>3380</v>
      </c>
      <c r="E11173" s="501" t="s">
        <v>3381</v>
      </c>
      <c r="F11173" s="501" t="s">
        <v>416</v>
      </c>
      <c r="G11173" s="501" t="s">
        <v>3368</v>
      </c>
      <c r="H11173" s="501" t="s">
        <v>13489</v>
      </c>
      <c r="I11173" s="501">
        <v>9552</v>
      </c>
      <c r="J11173" s="501">
        <v>7395</v>
      </c>
      <c r="K11173" s="501">
        <v>3</v>
      </c>
      <c r="L11173" s="501">
        <v>1</v>
      </c>
      <c r="M11173" s="501">
        <v>496</v>
      </c>
      <c r="N11173" s="501">
        <v>236</v>
      </c>
      <c r="O11173" s="506">
        <v>1657</v>
      </c>
    </row>
    <row r="11174" spans="1:15" x14ac:dyDescent="0.35">
      <c r="A11174" s="503" t="s">
        <v>1130</v>
      </c>
      <c r="B11174" s="504" t="s">
        <v>3234</v>
      </c>
      <c r="C11174" s="504" t="s">
        <v>1094</v>
      </c>
      <c r="D11174" s="504" t="s">
        <v>3380</v>
      </c>
      <c r="E11174" s="504" t="s">
        <v>3381</v>
      </c>
      <c r="F11174" s="504" t="s">
        <v>415</v>
      </c>
      <c r="G11174" s="504" t="s">
        <v>3368</v>
      </c>
      <c r="H11174" s="504" t="s">
        <v>13487</v>
      </c>
      <c r="I11174" s="504">
        <v>402</v>
      </c>
      <c r="J11174" s="504">
        <v>354</v>
      </c>
      <c r="K11174" s="504">
        <v>0</v>
      </c>
      <c r="L11174" s="504">
        <v>0</v>
      </c>
      <c r="M11174" s="504">
        <v>2</v>
      </c>
      <c r="N11174" s="504">
        <v>21</v>
      </c>
      <c r="O11174" s="505">
        <v>46</v>
      </c>
    </row>
    <row r="11175" spans="1:15" x14ac:dyDescent="0.35">
      <c r="A11175" s="500" t="s">
        <v>1130</v>
      </c>
      <c r="B11175" s="501" t="s">
        <v>3234</v>
      </c>
      <c r="C11175" s="501" t="s">
        <v>1094</v>
      </c>
      <c r="D11175" s="501" t="s">
        <v>3380</v>
      </c>
      <c r="E11175" s="501" t="s">
        <v>3381</v>
      </c>
      <c r="F11175" s="501" t="s">
        <v>2</v>
      </c>
      <c r="G11175" s="501" t="s">
        <v>3368</v>
      </c>
      <c r="H11175" s="501" t="s">
        <v>13488</v>
      </c>
      <c r="I11175" s="501">
        <v>15750</v>
      </c>
      <c r="J11175" s="501">
        <v>12025</v>
      </c>
      <c r="K11175" s="501">
        <v>8</v>
      </c>
      <c r="L11175" s="501">
        <v>458</v>
      </c>
      <c r="M11175" s="501">
        <v>1818</v>
      </c>
      <c r="N11175" s="501">
        <v>348</v>
      </c>
      <c r="O11175" s="506">
        <v>1441</v>
      </c>
    </row>
    <row r="11176" spans="1:15" x14ac:dyDescent="0.35">
      <c r="A11176" s="503" t="s">
        <v>1900</v>
      </c>
      <c r="B11176" s="504" t="s">
        <v>2507</v>
      </c>
      <c r="C11176" s="504" t="s">
        <v>1089</v>
      </c>
      <c r="D11176" s="504" t="s">
        <v>3392</v>
      </c>
      <c r="E11176" s="504" t="s">
        <v>3381</v>
      </c>
      <c r="F11176" s="504" t="s">
        <v>2</v>
      </c>
      <c r="G11176" s="504" t="s">
        <v>3368</v>
      </c>
      <c r="H11176" s="504" t="s">
        <v>13490</v>
      </c>
      <c r="I11176" s="504">
        <v>10</v>
      </c>
      <c r="J11176" s="504">
        <v>10</v>
      </c>
      <c r="K11176" s="504">
        <v>0</v>
      </c>
      <c r="L11176" s="504">
        <v>0</v>
      </c>
      <c r="M11176" s="504">
        <v>0</v>
      </c>
      <c r="N11176" s="504">
        <v>0</v>
      </c>
      <c r="O11176" s="505">
        <v>0</v>
      </c>
    </row>
    <row r="11177" spans="1:15" x14ac:dyDescent="0.35">
      <c r="A11177" s="500" t="s">
        <v>1901</v>
      </c>
      <c r="B11177" s="501" t="s">
        <v>2766</v>
      </c>
      <c r="C11177" s="501" t="s">
        <v>1089</v>
      </c>
      <c r="D11177" s="501" t="s">
        <v>3392</v>
      </c>
      <c r="E11177" s="501" t="s">
        <v>3381</v>
      </c>
      <c r="F11177" s="501" t="s">
        <v>2</v>
      </c>
      <c r="G11177" s="501" t="s">
        <v>3368</v>
      </c>
      <c r="H11177" s="501" t="s">
        <v>13491</v>
      </c>
      <c r="I11177" s="501">
        <v>37</v>
      </c>
      <c r="J11177" s="501">
        <v>33</v>
      </c>
      <c r="K11177" s="501">
        <v>4</v>
      </c>
      <c r="L11177" s="501">
        <v>0</v>
      </c>
      <c r="M11177" s="501">
        <v>0</v>
      </c>
      <c r="N11177" s="501">
        <v>0</v>
      </c>
      <c r="O11177" s="506">
        <v>0</v>
      </c>
    </row>
    <row r="11178" spans="1:15" x14ac:dyDescent="0.35">
      <c r="A11178" s="503" t="s">
        <v>1548</v>
      </c>
      <c r="B11178" s="504" t="s">
        <v>2684</v>
      </c>
      <c r="C11178" s="504" t="s">
        <v>1089</v>
      </c>
      <c r="D11178" s="504" t="s">
        <v>3392</v>
      </c>
      <c r="E11178" s="504" t="s">
        <v>3381</v>
      </c>
      <c r="F11178" s="504" t="s">
        <v>416</v>
      </c>
      <c r="G11178" s="504" t="s">
        <v>3368</v>
      </c>
      <c r="H11178" s="504" t="s">
        <v>13492</v>
      </c>
      <c r="I11178" s="504">
        <v>36</v>
      </c>
      <c r="J11178" s="504">
        <v>36</v>
      </c>
      <c r="K11178" s="504">
        <v>0</v>
      </c>
      <c r="L11178" s="504">
        <v>0</v>
      </c>
      <c r="M11178" s="504">
        <v>0</v>
      </c>
      <c r="N11178" s="504">
        <v>0</v>
      </c>
      <c r="O11178" s="505">
        <v>0</v>
      </c>
    </row>
    <row r="11179" spans="1:15" x14ac:dyDescent="0.35">
      <c r="A11179" s="500" t="s">
        <v>1764</v>
      </c>
      <c r="B11179" s="501" t="s">
        <v>3214</v>
      </c>
      <c r="C11179" s="501" t="s">
        <v>1094</v>
      </c>
      <c r="D11179" s="501" t="s">
        <v>3380</v>
      </c>
      <c r="E11179" s="501" t="s">
        <v>3381</v>
      </c>
      <c r="F11179" s="501" t="s">
        <v>418</v>
      </c>
      <c r="G11179" s="501" t="s">
        <v>3368</v>
      </c>
      <c r="H11179" s="501" t="s">
        <v>13493</v>
      </c>
      <c r="I11179" s="501">
        <v>6092</v>
      </c>
      <c r="J11179" s="501">
        <v>5741</v>
      </c>
      <c r="K11179" s="501">
        <v>0</v>
      </c>
      <c r="L11179" s="501">
        <v>0</v>
      </c>
      <c r="M11179" s="501">
        <v>219</v>
      </c>
      <c r="N11179" s="501">
        <v>0</v>
      </c>
      <c r="O11179" s="506">
        <v>132</v>
      </c>
    </row>
    <row r="11180" spans="1:15" x14ac:dyDescent="0.35">
      <c r="A11180" s="503" t="s">
        <v>1132</v>
      </c>
      <c r="B11180" s="504">
        <v>4837</v>
      </c>
      <c r="C11180" s="504" t="s">
        <v>1094</v>
      </c>
      <c r="D11180" s="504" t="s">
        <v>3380</v>
      </c>
      <c r="E11180" s="504" t="s">
        <v>3381</v>
      </c>
      <c r="F11180" s="504" t="s">
        <v>419</v>
      </c>
      <c r="G11180" s="504" t="s">
        <v>3368</v>
      </c>
      <c r="H11180" s="504" t="s">
        <v>13494</v>
      </c>
      <c r="I11180" s="504">
        <v>23800</v>
      </c>
      <c r="J11180" s="504">
        <v>18464</v>
      </c>
      <c r="K11180" s="504">
        <v>1</v>
      </c>
      <c r="L11180" s="504">
        <v>497</v>
      </c>
      <c r="M11180" s="504">
        <v>664</v>
      </c>
      <c r="N11180" s="504">
        <v>2</v>
      </c>
      <c r="O11180" s="505">
        <v>4174</v>
      </c>
    </row>
    <row r="11181" spans="1:15" x14ac:dyDescent="0.35">
      <c r="A11181" s="500" t="s">
        <v>1132</v>
      </c>
      <c r="B11181" s="501">
        <v>4837</v>
      </c>
      <c r="C11181" s="501" t="s">
        <v>1094</v>
      </c>
      <c r="D11181" s="501" t="s">
        <v>3380</v>
      </c>
      <c r="E11181" s="501" t="s">
        <v>3381</v>
      </c>
      <c r="F11181" s="501" t="s">
        <v>2</v>
      </c>
      <c r="G11181" s="501" t="s">
        <v>3368</v>
      </c>
      <c r="H11181" s="501" t="s">
        <v>13495</v>
      </c>
      <c r="I11181" s="501">
        <v>32406</v>
      </c>
      <c r="J11181" s="501">
        <v>26924</v>
      </c>
      <c r="K11181" s="501">
        <v>0</v>
      </c>
      <c r="L11181" s="501">
        <v>647</v>
      </c>
      <c r="M11181" s="501">
        <v>1630</v>
      </c>
      <c r="N11181" s="501">
        <v>5</v>
      </c>
      <c r="O11181" s="506">
        <v>3205</v>
      </c>
    </row>
    <row r="11182" spans="1:15" x14ac:dyDescent="0.35">
      <c r="A11182" s="503" t="s">
        <v>1132</v>
      </c>
      <c r="B11182" s="504">
        <v>4837</v>
      </c>
      <c r="C11182" s="504" t="s">
        <v>1094</v>
      </c>
      <c r="D11182" s="504" t="s">
        <v>3380</v>
      </c>
      <c r="E11182" s="504" t="s">
        <v>3381</v>
      </c>
      <c r="F11182" s="504" t="s">
        <v>414</v>
      </c>
      <c r="G11182" s="504" t="s">
        <v>3368</v>
      </c>
      <c r="H11182" s="504" t="s">
        <v>13497</v>
      </c>
      <c r="I11182" s="504">
        <v>1</v>
      </c>
      <c r="J11182" s="504">
        <v>0</v>
      </c>
      <c r="K11182" s="504">
        <v>0</v>
      </c>
      <c r="L11182" s="504">
        <v>0</v>
      </c>
      <c r="M11182" s="504">
        <v>0</v>
      </c>
      <c r="N11182" s="504">
        <v>0</v>
      </c>
      <c r="O11182" s="505">
        <v>1</v>
      </c>
    </row>
    <row r="11183" spans="1:15" x14ac:dyDescent="0.35">
      <c r="A11183" s="500" t="s">
        <v>1132</v>
      </c>
      <c r="B11183" s="501">
        <v>4837</v>
      </c>
      <c r="C11183" s="501" t="s">
        <v>1094</v>
      </c>
      <c r="D11183" s="501" t="s">
        <v>3380</v>
      </c>
      <c r="E11183" s="501" t="s">
        <v>3381</v>
      </c>
      <c r="F11183" s="501" t="s">
        <v>415</v>
      </c>
      <c r="G11183" s="501" t="s">
        <v>3368</v>
      </c>
      <c r="H11183" s="501" t="s">
        <v>13496</v>
      </c>
      <c r="I11183" s="501">
        <v>1</v>
      </c>
      <c r="J11183" s="501">
        <v>0</v>
      </c>
      <c r="K11183" s="501">
        <v>0</v>
      </c>
      <c r="L11183" s="501">
        <v>0</v>
      </c>
      <c r="M11183" s="501">
        <v>0</v>
      </c>
      <c r="N11183" s="501">
        <v>0</v>
      </c>
      <c r="O11183" s="506">
        <v>1</v>
      </c>
    </row>
    <row r="11184" spans="1:15" x14ac:dyDescent="0.35">
      <c r="A11184" s="503" t="s">
        <v>2018</v>
      </c>
      <c r="B11184" s="504" t="s">
        <v>3136</v>
      </c>
      <c r="C11184" s="504" t="s">
        <v>1089</v>
      </c>
      <c r="D11184" s="504" t="s">
        <v>3392</v>
      </c>
      <c r="E11184" s="504" t="s">
        <v>3381</v>
      </c>
      <c r="F11184" s="504" t="s">
        <v>419</v>
      </c>
      <c r="G11184" s="504" t="s">
        <v>3368</v>
      </c>
      <c r="H11184" s="504" t="s">
        <v>13498</v>
      </c>
      <c r="I11184" s="504">
        <v>3</v>
      </c>
      <c r="J11184" s="504">
        <v>3</v>
      </c>
      <c r="K11184" s="504">
        <v>0</v>
      </c>
      <c r="L11184" s="504">
        <v>0</v>
      </c>
      <c r="M11184" s="504">
        <v>0</v>
      </c>
      <c r="N11184" s="504">
        <v>0</v>
      </c>
      <c r="O11184" s="505">
        <v>0</v>
      </c>
    </row>
    <row r="11185" spans="1:15" x14ac:dyDescent="0.35">
      <c r="A11185" s="500" t="s">
        <v>1549</v>
      </c>
      <c r="B11185" s="501" t="s">
        <v>2710</v>
      </c>
      <c r="C11185" s="501" t="s">
        <v>1089</v>
      </c>
      <c r="D11185" s="501" t="s">
        <v>3392</v>
      </c>
      <c r="E11185" s="501" t="s">
        <v>3381</v>
      </c>
      <c r="F11185" s="501" t="s">
        <v>416</v>
      </c>
      <c r="G11185" s="501" t="s">
        <v>3368</v>
      </c>
      <c r="H11185" s="501" t="s">
        <v>13499</v>
      </c>
      <c r="I11185" s="501">
        <v>678</v>
      </c>
      <c r="J11185" s="501">
        <v>678</v>
      </c>
      <c r="K11185" s="501">
        <v>0</v>
      </c>
      <c r="L11185" s="501">
        <v>0</v>
      </c>
      <c r="M11185" s="501">
        <v>0</v>
      </c>
      <c r="N11185" s="501">
        <v>0</v>
      </c>
      <c r="O11185" s="506">
        <v>0</v>
      </c>
    </row>
    <row r="11186" spans="1:15" x14ac:dyDescent="0.35">
      <c r="A11186" s="503" t="s">
        <v>1765</v>
      </c>
      <c r="B11186" s="504" t="s">
        <v>3363</v>
      </c>
      <c r="C11186" s="504" t="s">
        <v>1089</v>
      </c>
      <c r="D11186" s="504" t="s">
        <v>3392</v>
      </c>
      <c r="E11186" s="504" t="s">
        <v>3381</v>
      </c>
      <c r="F11186" s="504" t="s">
        <v>418</v>
      </c>
      <c r="G11186" s="504" t="s">
        <v>3368</v>
      </c>
      <c r="H11186" s="504" t="s">
        <v>13500</v>
      </c>
      <c r="I11186" s="504">
        <v>30</v>
      </c>
      <c r="J11186" s="504">
        <v>30</v>
      </c>
      <c r="K11186" s="504">
        <v>0</v>
      </c>
      <c r="L11186" s="504">
        <v>0</v>
      </c>
      <c r="M11186" s="504">
        <v>0</v>
      </c>
      <c r="N11186" s="504">
        <v>0</v>
      </c>
      <c r="O11186" s="505">
        <v>0</v>
      </c>
    </row>
    <row r="11187" spans="1:15" x14ac:dyDescent="0.35">
      <c r="A11187" s="500" t="s">
        <v>1766</v>
      </c>
      <c r="B11187" s="501" t="s">
        <v>2788</v>
      </c>
      <c r="C11187" s="501" t="s">
        <v>1089</v>
      </c>
      <c r="D11187" s="501" t="s">
        <v>3392</v>
      </c>
      <c r="E11187" s="501" t="s">
        <v>3381</v>
      </c>
      <c r="F11187" s="501" t="s">
        <v>418</v>
      </c>
      <c r="G11187" s="501" t="s">
        <v>3368</v>
      </c>
      <c r="H11187" s="501" t="s">
        <v>13501</v>
      </c>
      <c r="I11187" s="501">
        <v>24</v>
      </c>
      <c r="J11187" s="501">
        <v>24</v>
      </c>
      <c r="K11187" s="501">
        <v>0</v>
      </c>
      <c r="L11187" s="501">
        <v>0</v>
      </c>
      <c r="M11187" s="501">
        <v>0</v>
      </c>
      <c r="N11187" s="501">
        <v>0</v>
      </c>
      <c r="O11187" s="506">
        <v>0</v>
      </c>
    </row>
    <row r="11188" spans="1:15" x14ac:dyDescent="0.35">
      <c r="A11188" s="503" t="s">
        <v>1654</v>
      </c>
      <c r="B11188" s="504" t="s">
        <v>3037</v>
      </c>
      <c r="C11188" s="504" t="s">
        <v>1089</v>
      </c>
      <c r="D11188" s="504" t="s">
        <v>3392</v>
      </c>
      <c r="E11188" s="504" t="s">
        <v>3381</v>
      </c>
      <c r="F11188" s="504" t="s">
        <v>417</v>
      </c>
      <c r="G11188" s="504" t="s">
        <v>3368</v>
      </c>
      <c r="H11188" s="504" t="s">
        <v>13502</v>
      </c>
      <c r="I11188" s="504">
        <v>115</v>
      </c>
      <c r="J11188" s="504">
        <v>90</v>
      </c>
      <c r="K11188" s="504">
        <v>0</v>
      </c>
      <c r="L11188" s="504">
        <v>25</v>
      </c>
      <c r="M11188" s="504">
        <v>0</v>
      </c>
      <c r="N11188" s="504">
        <v>0</v>
      </c>
      <c r="O11188" s="505">
        <v>0</v>
      </c>
    </row>
    <row r="11189" spans="1:15" x14ac:dyDescent="0.35">
      <c r="A11189" s="500" t="s">
        <v>2174</v>
      </c>
      <c r="B11189" s="501" t="s">
        <v>2677</v>
      </c>
      <c r="C11189" s="501" t="s">
        <v>1089</v>
      </c>
      <c r="D11189" s="501" t="s">
        <v>3392</v>
      </c>
      <c r="E11189" s="501" t="s">
        <v>3381</v>
      </c>
      <c r="F11189" s="501" t="s">
        <v>1048</v>
      </c>
      <c r="G11189" s="501" t="s">
        <v>3368</v>
      </c>
      <c r="H11189" s="501" t="s">
        <v>14057</v>
      </c>
      <c r="I11189" s="501">
        <v>78</v>
      </c>
      <c r="J11189" s="501">
        <v>41</v>
      </c>
      <c r="K11189" s="501">
        <v>0</v>
      </c>
      <c r="L11189" s="501">
        <v>0</v>
      </c>
      <c r="M11189" s="501">
        <v>37</v>
      </c>
      <c r="N11189" s="501">
        <v>0</v>
      </c>
      <c r="O11189" s="506">
        <v>0</v>
      </c>
    </row>
    <row r="11190" spans="1:15" x14ac:dyDescent="0.35">
      <c r="A11190" s="503" t="s">
        <v>11393</v>
      </c>
      <c r="B11190" s="504" t="s">
        <v>3227</v>
      </c>
      <c r="C11190" s="504" t="s">
        <v>1089</v>
      </c>
      <c r="D11190" s="504" t="s">
        <v>3392</v>
      </c>
      <c r="E11190" s="504" t="s">
        <v>3381</v>
      </c>
      <c r="F11190" s="504" t="s">
        <v>416</v>
      </c>
      <c r="G11190" s="504" t="s">
        <v>3368</v>
      </c>
      <c r="H11190" s="504" t="s">
        <v>13503</v>
      </c>
      <c r="I11190" s="504">
        <v>2</v>
      </c>
      <c r="J11190" s="504">
        <v>2</v>
      </c>
      <c r="K11190" s="504">
        <v>0</v>
      </c>
      <c r="L11190" s="504">
        <v>0</v>
      </c>
      <c r="M11190" s="504">
        <v>0</v>
      </c>
      <c r="N11190" s="504">
        <v>0</v>
      </c>
      <c r="O11190" s="505">
        <v>0</v>
      </c>
    </row>
    <row r="11191" spans="1:15" x14ac:dyDescent="0.35">
      <c r="A11191" s="500" t="s">
        <v>11393</v>
      </c>
      <c r="B11191" s="501" t="s">
        <v>3227</v>
      </c>
      <c r="C11191" s="501" t="s">
        <v>1089</v>
      </c>
      <c r="D11191" s="501" t="s">
        <v>3392</v>
      </c>
      <c r="E11191" s="501" t="s">
        <v>3381</v>
      </c>
      <c r="F11191" s="501" t="s">
        <v>2</v>
      </c>
      <c r="G11191" s="501" t="s">
        <v>3368</v>
      </c>
      <c r="H11191" s="501" t="s">
        <v>15421</v>
      </c>
      <c r="I11191" s="501">
        <v>1</v>
      </c>
      <c r="J11191" s="501">
        <v>1</v>
      </c>
      <c r="K11191" s="501">
        <v>0</v>
      </c>
      <c r="L11191" s="501">
        <v>0</v>
      </c>
      <c r="M11191" s="501">
        <v>0</v>
      </c>
      <c r="N11191" s="501">
        <v>0</v>
      </c>
      <c r="O11191" s="506">
        <v>0</v>
      </c>
    </row>
    <row r="11192" spans="1:15" x14ac:dyDescent="0.35">
      <c r="A11192" s="503" t="s">
        <v>11439</v>
      </c>
      <c r="B11192" s="504" t="s">
        <v>2905</v>
      </c>
      <c r="C11192" s="504" t="s">
        <v>1089</v>
      </c>
      <c r="D11192" s="504" t="s">
        <v>3392</v>
      </c>
      <c r="E11192" s="504" t="s">
        <v>3381</v>
      </c>
      <c r="F11192" s="504" t="s">
        <v>1048</v>
      </c>
      <c r="G11192" s="504" t="s">
        <v>3368</v>
      </c>
      <c r="H11192" s="504" t="s">
        <v>14058</v>
      </c>
      <c r="I11192" s="504">
        <v>272</v>
      </c>
      <c r="J11192" s="504">
        <v>0</v>
      </c>
      <c r="K11192" s="504">
        <v>0</v>
      </c>
      <c r="L11192" s="504">
        <v>272</v>
      </c>
      <c r="M11192" s="504">
        <v>0</v>
      </c>
      <c r="N11192" s="504">
        <v>0</v>
      </c>
      <c r="O11192" s="505">
        <v>0</v>
      </c>
    </row>
    <row r="11193" spans="1:15" x14ac:dyDescent="0.35">
      <c r="A11193" s="500" t="s">
        <v>2108</v>
      </c>
      <c r="B11193" s="501" t="s">
        <v>2942</v>
      </c>
      <c r="C11193" s="501" t="s">
        <v>1089</v>
      </c>
      <c r="D11193" s="501" t="s">
        <v>3392</v>
      </c>
      <c r="E11193" s="501" t="s">
        <v>3381</v>
      </c>
      <c r="F11193" s="501" t="s">
        <v>420</v>
      </c>
      <c r="G11193" s="501" t="s">
        <v>3368</v>
      </c>
      <c r="H11193" s="501" t="s">
        <v>13504</v>
      </c>
      <c r="I11193" s="501">
        <v>51</v>
      </c>
      <c r="J11193" s="501">
        <v>0</v>
      </c>
      <c r="K11193" s="501">
        <v>0</v>
      </c>
      <c r="L11193" s="501">
        <v>51</v>
      </c>
      <c r="M11193" s="501">
        <v>0</v>
      </c>
      <c r="N11193" s="501">
        <v>0</v>
      </c>
      <c r="O11193" s="506">
        <v>0</v>
      </c>
    </row>
    <row r="11194" spans="1:15" x14ac:dyDescent="0.35">
      <c r="A11194" s="503" t="s">
        <v>2109</v>
      </c>
      <c r="B11194" s="504" t="s">
        <v>2931</v>
      </c>
      <c r="C11194" s="504" t="s">
        <v>1089</v>
      </c>
      <c r="D11194" s="504" t="s">
        <v>3392</v>
      </c>
      <c r="E11194" s="504" t="s">
        <v>3381</v>
      </c>
      <c r="F11194" s="504" t="s">
        <v>420</v>
      </c>
      <c r="G11194" s="504" t="s">
        <v>3368</v>
      </c>
      <c r="H11194" s="504" t="s">
        <v>13505</v>
      </c>
      <c r="I11194" s="504">
        <v>476</v>
      </c>
      <c r="J11194" s="504">
        <v>0</v>
      </c>
      <c r="K11194" s="504">
        <v>0</v>
      </c>
      <c r="L11194" s="504">
        <v>476</v>
      </c>
      <c r="M11194" s="504">
        <v>0</v>
      </c>
      <c r="N11194" s="504">
        <v>0</v>
      </c>
      <c r="O11194" s="505">
        <v>0</v>
      </c>
    </row>
    <row r="11195" spans="1:15" x14ac:dyDescent="0.35">
      <c r="A11195" s="500" t="s">
        <v>1550</v>
      </c>
      <c r="B11195" s="501" t="s">
        <v>3282</v>
      </c>
      <c r="C11195" s="501" t="s">
        <v>1089</v>
      </c>
      <c r="D11195" s="501" t="s">
        <v>3392</v>
      </c>
      <c r="E11195" s="501" t="s">
        <v>3381</v>
      </c>
      <c r="F11195" s="501" t="s">
        <v>416</v>
      </c>
      <c r="G11195" s="501" t="s">
        <v>3368</v>
      </c>
      <c r="H11195" s="501" t="s">
        <v>13506</v>
      </c>
      <c r="I11195" s="501">
        <v>75</v>
      </c>
      <c r="J11195" s="501">
        <v>4</v>
      </c>
      <c r="K11195" s="501">
        <v>0</v>
      </c>
      <c r="L11195" s="501">
        <v>71</v>
      </c>
      <c r="M11195" s="501">
        <v>0</v>
      </c>
      <c r="N11195" s="501">
        <v>0</v>
      </c>
      <c r="O11195" s="506">
        <v>0</v>
      </c>
    </row>
    <row r="11196" spans="1:15" x14ac:dyDescent="0.35">
      <c r="A11196" s="503" t="s">
        <v>1551</v>
      </c>
      <c r="B11196" s="504" t="s">
        <v>2819</v>
      </c>
      <c r="C11196" s="504" t="s">
        <v>1089</v>
      </c>
      <c r="D11196" s="504" t="s">
        <v>3392</v>
      </c>
      <c r="E11196" s="504" t="s">
        <v>3381</v>
      </c>
      <c r="F11196" s="504" t="s">
        <v>416</v>
      </c>
      <c r="G11196" s="504" t="s">
        <v>3368</v>
      </c>
      <c r="H11196" s="504" t="s">
        <v>13507</v>
      </c>
      <c r="I11196" s="504">
        <v>30</v>
      </c>
      <c r="J11196" s="504">
        <v>30</v>
      </c>
      <c r="K11196" s="504">
        <v>0</v>
      </c>
      <c r="L11196" s="504">
        <v>0</v>
      </c>
      <c r="M11196" s="504">
        <v>0</v>
      </c>
      <c r="N11196" s="504">
        <v>0</v>
      </c>
      <c r="O11196" s="505">
        <v>0</v>
      </c>
    </row>
    <row r="11197" spans="1:15" x14ac:dyDescent="0.35">
      <c r="A11197" s="500" t="s">
        <v>1344</v>
      </c>
      <c r="B11197" s="501" t="s">
        <v>2547</v>
      </c>
      <c r="C11197" s="501" t="s">
        <v>1089</v>
      </c>
      <c r="D11197" s="501" t="s">
        <v>3392</v>
      </c>
      <c r="E11197" s="501" t="s">
        <v>3381</v>
      </c>
      <c r="F11197" s="501" t="s">
        <v>415</v>
      </c>
      <c r="G11197" s="501" t="s">
        <v>3368</v>
      </c>
      <c r="H11197" s="501" t="s">
        <v>13508</v>
      </c>
      <c r="I11197" s="501">
        <v>20</v>
      </c>
      <c r="J11197" s="501">
        <v>20</v>
      </c>
      <c r="K11197" s="501">
        <v>0</v>
      </c>
      <c r="L11197" s="501">
        <v>0</v>
      </c>
      <c r="M11197" s="501">
        <v>0</v>
      </c>
      <c r="N11197" s="501">
        <v>0</v>
      </c>
      <c r="O11197" s="506">
        <v>0</v>
      </c>
    </row>
    <row r="11198" spans="1:15" x14ac:dyDescent="0.35">
      <c r="A11198" s="503" t="s">
        <v>1552</v>
      </c>
      <c r="B11198" s="504" t="s">
        <v>2576</v>
      </c>
      <c r="C11198" s="504" t="s">
        <v>1089</v>
      </c>
      <c r="D11198" s="504" t="s">
        <v>3392</v>
      </c>
      <c r="E11198" s="504" t="s">
        <v>3381</v>
      </c>
      <c r="F11198" s="504" t="s">
        <v>416</v>
      </c>
      <c r="G11198" s="504" t="s">
        <v>3368</v>
      </c>
      <c r="H11198" s="504" t="s">
        <v>13509</v>
      </c>
      <c r="I11198" s="504">
        <v>10</v>
      </c>
      <c r="J11198" s="504">
        <v>0</v>
      </c>
      <c r="K11198" s="504">
        <v>0</v>
      </c>
      <c r="L11198" s="504">
        <v>0</v>
      </c>
      <c r="M11198" s="504">
        <v>10</v>
      </c>
      <c r="N11198" s="504">
        <v>0</v>
      </c>
      <c r="O11198" s="505">
        <v>0</v>
      </c>
    </row>
    <row r="11199" spans="1:15" x14ac:dyDescent="0.35">
      <c r="A11199" s="500" t="s">
        <v>1239</v>
      </c>
      <c r="B11199" s="501" t="s">
        <v>2485</v>
      </c>
      <c r="C11199" s="501" t="s">
        <v>1089</v>
      </c>
      <c r="D11199" s="501" t="s">
        <v>3392</v>
      </c>
      <c r="E11199" s="501" t="s">
        <v>3381</v>
      </c>
      <c r="F11199" s="501" t="s">
        <v>414</v>
      </c>
      <c r="G11199" s="501" t="s">
        <v>3368</v>
      </c>
      <c r="H11199" s="501" t="s">
        <v>13510</v>
      </c>
      <c r="I11199" s="501">
        <v>10</v>
      </c>
      <c r="J11199" s="501">
        <v>0</v>
      </c>
      <c r="K11199" s="501">
        <v>0</v>
      </c>
      <c r="L11199" s="501">
        <v>0</v>
      </c>
      <c r="M11199" s="501">
        <v>10</v>
      </c>
      <c r="N11199" s="501">
        <v>0</v>
      </c>
      <c r="O11199" s="506">
        <v>0</v>
      </c>
    </row>
    <row r="11200" spans="1:15" x14ac:dyDescent="0.35">
      <c r="A11200" s="503" t="s">
        <v>1902</v>
      </c>
      <c r="B11200" s="504" t="s">
        <v>3077</v>
      </c>
      <c r="C11200" s="504" t="s">
        <v>1089</v>
      </c>
      <c r="D11200" s="504" t="s">
        <v>3392</v>
      </c>
      <c r="E11200" s="504" t="s">
        <v>3381</v>
      </c>
      <c r="F11200" s="504" t="s">
        <v>2</v>
      </c>
      <c r="G11200" s="504" t="s">
        <v>3368</v>
      </c>
      <c r="H11200" s="504" t="s">
        <v>13511</v>
      </c>
      <c r="I11200" s="504">
        <v>38</v>
      </c>
      <c r="J11200" s="504">
        <v>0</v>
      </c>
      <c r="K11200" s="504">
        <v>0</v>
      </c>
      <c r="L11200" s="504">
        <v>0</v>
      </c>
      <c r="M11200" s="504">
        <v>38</v>
      </c>
      <c r="N11200" s="504">
        <v>0</v>
      </c>
      <c r="O11200" s="505">
        <v>0</v>
      </c>
    </row>
    <row r="11201" spans="1:15" x14ac:dyDescent="0.35">
      <c r="A11201" s="500" t="s">
        <v>1553</v>
      </c>
      <c r="B11201" s="501" t="s">
        <v>2904</v>
      </c>
      <c r="C11201" s="501" t="s">
        <v>1089</v>
      </c>
      <c r="D11201" s="501" t="s">
        <v>3392</v>
      </c>
      <c r="E11201" s="501" t="s">
        <v>3381</v>
      </c>
      <c r="F11201" s="501" t="s">
        <v>416</v>
      </c>
      <c r="G11201" s="501" t="s">
        <v>3368</v>
      </c>
      <c r="H11201" s="501" t="s">
        <v>13512</v>
      </c>
      <c r="I11201" s="501">
        <v>40</v>
      </c>
      <c r="J11201" s="501">
        <v>0</v>
      </c>
      <c r="K11201" s="501">
        <v>0</v>
      </c>
      <c r="L11201" s="501">
        <v>40</v>
      </c>
      <c r="M11201" s="501">
        <v>0</v>
      </c>
      <c r="N11201" s="501">
        <v>0</v>
      </c>
      <c r="O11201" s="506">
        <v>0</v>
      </c>
    </row>
    <row r="11202" spans="1:15" x14ac:dyDescent="0.35">
      <c r="A11202" s="503" t="s">
        <v>1345</v>
      </c>
      <c r="B11202" s="504" t="s">
        <v>3247</v>
      </c>
      <c r="C11202" s="504" t="s">
        <v>1094</v>
      </c>
      <c r="D11202" s="504" t="s">
        <v>3380</v>
      </c>
      <c r="E11202" s="504" t="s">
        <v>3381</v>
      </c>
      <c r="F11202" s="504" t="s">
        <v>2</v>
      </c>
      <c r="G11202" s="504" t="s">
        <v>3368</v>
      </c>
      <c r="H11202" s="504" t="s">
        <v>13516</v>
      </c>
      <c r="I11202" s="504">
        <v>97</v>
      </c>
      <c r="J11202" s="504">
        <v>75</v>
      </c>
      <c r="K11202" s="504">
        <v>0</v>
      </c>
      <c r="L11202" s="504">
        <v>22</v>
      </c>
      <c r="M11202" s="504">
        <v>0</v>
      </c>
      <c r="N11202" s="504">
        <v>0</v>
      </c>
      <c r="O11202" s="505">
        <v>0</v>
      </c>
    </row>
    <row r="11203" spans="1:15" x14ac:dyDescent="0.35">
      <c r="A11203" s="500" t="s">
        <v>1345</v>
      </c>
      <c r="B11203" s="501" t="s">
        <v>3247</v>
      </c>
      <c r="C11203" s="501" t="s">
        <v>1094</v>
      </c>
      <c r="D11203" s="501" t="s">
        <v>3380</v>
      </c>
      <c r="E11203" s="501" t="s">
        <v>3381</v>
      </c>
      <c r="F11203" s="501" t="s">
        <v>416</v>
      </c>
      <c r="G11203" s="501" t="s">
        <v>3368</v>
      </c>
      <c r="H11203" s="501" t="s">
        <v>13514</v>
      </c>
      <c r="I11203" s="501">
        <v>1486</v>
      </c>
      <c r="J11203" s="501">
        <v>28</v>
      </c>
      <c r="K11203" s="501">
        <v>154</v>
      </c>
      <c r="L11203" s="501">
        <v>1304</v>
      </c>
      <c r="M11203" s="501">
        <v>0</v>
      </c>
      <c r="N11203" s="501">
        <v>0</v>
      </c>
      <c r="O11203" s="506">
        <v>0</v>
      </c>
    </row>
    <row r="11204" spans="1:15" x14ac:dyDescent="0.35">
      <c r="A11204" s="503" t="s">
        <v>1345</v>
      </c>
      <c r="B11204" s="504" t="s">
        <v>3247</v>
      </c>
      <c r="C11204" s="504" t="s">
        <v>1094</v>
      </c>
      <c r="D11204" s="504" t="s">
        <v>3380</v>
      </c>
      <c r="E11204" s="504" t="s">
        <v>3381</v>
      </c>
      <c r="F11204" s="504" t="s">
        <v>415</v>
      </c>
      <c r="G11204" s="504" t="s">
        <v>3368</v>
      </c>
      <c r="H11204" s="504" t="s">
        <v>13513</v>
      </c>
      <c r="I11204" s="504">
        <v>5</v>
      </c>
      <c r="J11204" s="504">
        <v>0</v>
      </c>
      <c r="K11204" s="504">
        <v>0</v>
      </c>
      <c r="L11204" s="504">
        <v>5</v>
      </c>
      <c r="M11204" s="504">
        <v>0</v>
      </c>
      <c r="N11204" s="504">
        <v>0</v>
      </c>
      <c r="O11204" s="505">
        <v>0</v>
      </c>
    </row>
    <row r="11205" spans="1:15" x14ac:dyDescent="0.35">
      <c r="A11205" s="500" t="s">
        <v>1345</v>
      </c>
      <c r="B11205" s="501" t="s">
        <v>3247</v>
      </c>
      <c r="C11205" s="501" t="s">
        <v>1094</v>
      </c>
      <c r="D11205" s="501" t="s">
        <v>3380</v>
      </c>
      <c r="E11205" s="501" t="s">
        <v>3381</v>
      </c>
      <c r="F11205" s="501" t="s">
        <v>419</v>
      </c>
      <c r="G11205" s="501" t="s">
        <v>3368</v>
      </c>
      <c r="H11205" s="501" t="s">
        <v>13515</v>
      </c>
      <c r="I11205" s="501">
        <v>94</v>
      </c>
      <c r="J11205" s="501">
        <v>1</v>
      </c>
      <c r="K11205" s="501">
        <v>2</v>
      </c>
      <c r="L11205" s="501">
        <v>91</v>
      </c>
      <c r="M11205" s="501">
        <v>0</v>
      </c>
      <c r="N11205" s="501">
        <v>0</v>
      </c>
      <c r="O11205" s="506">
        <v>0</v>
      </c>
    </row>
    <row r="11206" spans="1:15" x14ac:dyDescent="0.35">
      <c r="A11206" s="503" t="s">
        <v>2110</v>
      </c>
      <c r="B11206" s="504" t="s">
        <v>3113</v>
      </c>
      <c r="C11206" s="504" t="s">
        <v>1089</v>
      </c>
      <c r="D11206" s="504" t="s">
        <v>3392</v>
      </c>
      <c r="E11206" s="504" t="s">
        <v>3381</v>
      </c>
      <c r="F11206" s="504" t="s">
        <v>420</v>
      </c>
      <c r="G11206" s="504" t="s">
        <v>3368</v>
      </c>
      <c r="H11206" s="504" t="s">
        <v>13517</v>
      </c>
      <c r="I11206" s="504">
        <v>625</v>
      </c>
      <c r="J11206" s="504">
        <v>64</v>
      </c>
      <c r="K11206" s="504">
        <v>0</v>
      </c>
      <c r="L11206" s="504">
        <v>520</v>
      </c>
      <c r="M11206" s="504">
        <v>41</v>
      </c>
      <c r="N11206" s="504">
        <v>0</v>
      </c>
      <c r="O11206" s="505">
        <v>0</v>
      </c>
    </row>
    <row r="11207" spans="1:15" x14ac:dyDescent="0.35">
      <c r="A11207" s="500" t="s">
        <v>11416</v>
      </c>
      <c r="B11207" s="501">
        <v>4738</v>
      </c>
      <c r="C11207" s="501" t="s">
        <v>1089</v>
      </c>
      <c r="D11207" s="501" t="s">
        <v>3392</v>
      </c>
      <c r="E11207" s="501" t="s">
        <v>3381</v>
      </c>
      <c r="F11207" s="501" t="s">
        <v>2</v>
      </c>
      <c r="G11207" s="501" t="s">
        <v>3368</v>
      </c>
      <c r="H11207" s="501" t="s">
        <v>13518</v>
      </c>
      <c r="I11207" s="501">
        <v>99</v>
      </c>
      <c r="J11207" s="501">
        <v>0</v>
      </c>
      <c r="K11207" s="501">
        <v>0</v>
      </c>
      <c r="L11207" s="501">
        <v>99</v>
      </c>
      <c r="M11207" s="501">
        <v>0</v>
      </c>
      <c r="N11207" s="501">
        <v>0</v>
      </c>
      <c r="O11207" s="506">
        <v>0</v>
      </c>
    </row>
    <row r="11208" spans="1:15" x14ac:dyDescent="0.35">
      <c r="A11208" s="503" t="s">
        <v>14319</v>
      </c>
      <c r="B11208" s="504" t="s">
        <v>2611</v>
      </c>
      <c r="C11208" s="504" t="s">
        <v>1089</v>
      </c>
      <c r="D11208" s="504" t="s">
        <v>3392</v>
      </c>
      <c r="E11208" s="504" t="s">
        <v>3381</v>
      </c>
      <c r="F11208" s="504" t="s">
        <v>418</v>
      </c>
      <c r="G11208" s="504" t="s">
        <v>3368</v>
      </c>
      <c r="H11208" s="504" t="s">
        <v>15422</v>
      </c>
      <c r="I11208" s="504">
        <v>12</v>
      </c>
      <c r="J11208" s="504">
        <v>0</v>
      </c>
      <c r="K11208" s="504">
        <v>0</v>
      </c>
      <c r="L11208" s="504">
        <v>0</v>
      </c>
      <c r="M11208" s="504">
        <v>12</v>
      </c>
      <c r="N11208" s="504">
        <v>0</v>
      </c>
      <c r="O11208" s="505">
        <v>0</v>
      </c>
    </row>
    <row r="11209" spans="1:15" x14ac:dyDescent="0.35">
      <c r="A11209" s="500" t="s">
        <v>2111</v>
      </c>
      <c r="B11209" s="501" t="s">
        <v>2693</v>
      </c>
      <c r="C11209" s="501" t="s">
        <v>1089</v>
      </c>
      <c r="D11209" s="501" t="s">
        <v>3392</v>
      </c>
      <c r="E11209" s="501" t="s">
        <v>3381</v>
      </c>
      <c r="F11209" s="501" t="s">
        <v>420</v>
      </c>
      <c r="G11209" s="501" t="s">
        <v>3368</v>
      </c>
      <c r="H11209" s="501" t="s">
        <v>13519</v>
      </c>
      <c r="I11209" s="501">
        <v>125</v>
      </c>
      <c r="J11209" s="501">
        <v>125</v>
      </c>
      <c r="K11209" s="501">
        <v>0</v>
      </c>
      <c r="L11209" s="501">
        <v>0</v>
      </c>
      <c r="M11209" s="501">
        <v>0</v>
      </c>
      <c r="N11209" s="501">
        <v>0</v>
      </c>
      <c r="O11209" s="506">
        <v>0</v>
      </c>
    </row>
    <row r="11210" spans="1:15" x14ac:dyDescent="0.35">
      <c r="A11210" s="503" t="s">
        <v>2019</v>
      </c>
      <c r="B11210" s="504" t="s">
        <v>2623</v>
      </c>
      <c r="C11210" s="504" t="s">
        <v>1089</v>
      </c>
      <c r="D11210" s="504" t="s">
        <v>3392</v>
      </c>
      <c r="E11210" s="504" t="s">
        <v>3381</v>
      </c>
      <c r="F11210" s="504" t="s">
        <v>419</v>
      </c>
      <c r="G11210" s="504" t="s">
        <v>3368</v>
      </c>
      <c r="H11210" s="504" t="s">
        <v>13520</v>
      </c>
      <c r="I11210" s="504">
        <v>8</v>
      </c>
      <c r="J11210" s="504">
        <v>0</v>
      </c>
      <c r="K11210" s="504">
        <v>0</v>
      </c>
      <c r="L11210" s="504">
        <v>0</v>
      </c>
      <c r="M11210" s="504">
        <v>8</v>
      </c>
      <c r="N11210" s="504">
        <v>0</v>
      </c>
      <c r="O11210" s="505">
        <v>0</v>
      </c>
    </row>
    <row r="11211" spans="1:15" x14ac:dyDescent="0.35">
      <c r="A11211" s="500" t="s">
        <v>1767</v>
      </c>
      <c r="B11211" s="501" t="s">
        <v>3124</v>
      </c>
      <c r="C11211" s="501" t="s">
        <v>1089</v>
      </c>
      <c r="D11211" s="501" t="s">
        <v>3392</v>
      </c>
      <c r="E11211" s="501" t="s">
        <v>3381</v>
      </c>
      <c r="F11211" s="501" t="s">
        <v>418</v>
      </c>
      <c r="G11211" s="501" t="s">
        <v>3368</v>
      </c>
      <c r="H11211" s="501" t="s">
        <v>13521</v>
      </c>
      <c r="I11211" s="501">
        <v>277</v>
      </c>
      <c r="J11211" s="501">
        <v>195</v>
      </c>
      <c r="K11211" s="501">
        <v>0</v>
      </c>
      <c r="L11211" s="501">
        <v>82</v>
      </c>
      <c r="M11211" s="501">
        <v>0</v>
      </c>
      <c r="N11211" s="501">
        <v>0</v>
      </c>
      <c r="O11211" s="506">
        <v>0</v>
      </c>
    </row>
    <row r="11212" spans="1:15" x14ac:dyDescent="0.35">
      <c r="A11212" s="503" t="s">
        <v>1903</v>
      </c>
      <c r="B11212" s="504" t="s">
        <v>2601</v>
      </c>
      <c r="C11212" s="504" t="s">
        <v>1089</v>
      </c>
      <c r="D11212" s="504" t="s">
        <v>3392</v>
      </c>
      <c r="E11212" s="504" t="s">
        <v>3381</v>
      </c>
      <c r="F11212" s="504" t="s">
        <v>2</v>
      </c>
      <c r="G11212" s="504" t="s">
        <v>3368</v>
      </c>
      <c r="H11212" s="504" t="s">
        <v>13522</v>
      </c>
      <c r="I11212" s="504">
        <v>11</v>
      </c>
      <c r="J11212" s="504">
        <v>11</v>
      </c>
      <c r="K11212" s="504">
        <v>0</v>
      </c>
      <c r="L11212" s="504">
        <v>0</v>
      </c>
      <c r="M11212" s="504">
        <v>0</v>
      </c>
      <c r="N11212" s="504">
        <v>0</v>
      </c>
      <c r="O11212" s="505">
        <v>0</v>
      </c>
    </row>
    <row r="11213" spans="1:15" x14ac:dyDescent="0.35">
      <c r="A11213" s="500" t="s">
        <v>1768</v>
      </c>
      <c r="B11213" s="501">
        <v>4619</v>
      </c>
      <c r="C11213" s="501" t="s">
        <v>1089</v>
      </c>
      <c r="D11213" s="501" t="s">
        <v>3392</v>
      </c>
      <c r="E11213" s="501" t="s">
        <v>3381</v>
      </c>
      <c r="F11213" s="501" t="s">
        <v>418</v>
      </c>
      <c r="G11213" s="501" t="s">
        <v>3368</v>
      </c>
      <c r="H11213" s="501" t="s">
        <v>13523</v>
      </c>
      <c r="I11213" s="501">
        <v>487</v>
      </c>
      <c r="J11213" s="501">
        <v>476</v>
      </c>
      <c r="K11213" s="501">
        <v>0</v>
      </c>
      <c r="L11213" s="501">
        <v>11</v>
      </c>
      <c r="M11213" s="501">
        <v>0</v>
      </c>
      <c r="N11213" s="501">
        <v>0</v>
      </c>
      <c r="O11213" s="506">
        <v>0</v>
      </c>
    </row>
    <row r="11214" spans="1:15" x14ac:dyDescent="0.35">
      <c r="A11214" s="503" t="s">
        <v>2112</v>
      </c>
      <c r="B11214" s="504" t="s">
        <v>2952</v>
      </c>
      <c r="C11214" s="504" t="s">
        <v>1089</v>
      </c>
      <c r="D11214" s="504" t="s">
        <v>3392</v>
      </c>
      <c r="E11214" s="504" t="s">
        <v>3381</v>
      </c>
      <c r="F11214" s="504" t="s">
        <v>420</v>
      </c>
      <c r="G11214" s="504" t="s">
        <v>3368</v>
      </c>
      <c r="H11214" s="504" t="s">
        <v>13524</v>
      </c>
      <c r="I11214" s="504">
        <v>569</v>
      </c>
      <c r="J11214" s="504">
        <v>569</v>
      </c>
      <c r="K11214" s="504">
        <v>0</v>
      </c>
      <c r="L11214" s="504">
        <v>0</v>
      </c>
      <c r="M11214" s="504">
        <v>0</v>
      </c>
      <c r="N11214" s="504">
        <v>0</v>
      </c>
      <c r="O11214" s="505">
        <v>0</v>
      </c>
    </row>
    <row r="11215" spans="1:15" x14ac:dyDescent="0.35">
      <c r="A11215" s="500" t="s">
        <v>1240</v>
      </c>
      <c r="B11215" s="501" t="s">
        <v>2972</v>
      </c>
      <c r="C11215" s="501" t="s">
        <v>1094</v>
      </c>
      <c r="D11215" s="501" t="s">
        <v>3380</v>
      </c>
      <c r="E11215" s="501" t="s">
        <v>3381</v>
      </c>
      <c r="F11215" s="501" t="s">
        <v>414</v>
      </c>
      <c r="G11215" s="501" t="s">
        <v>3368</v>
      </c>
      <c r="H11215" s="501" t="s">
        <v>13526</v>
      </c>
      <c r="I11215" s="501">
        <v>293</v>
      </c>
      <c r="J11215" s="501">
        <v>206</v>
      </c>
      <c r="K11215" s="501">
        <v>0</v>
      </c>
      <c r="L11215" s="501">
        <v>0</v>
      </c>
      <c r="M11215" s="501">
        <v>0</v>
      </c>
      <c r="N11215" s="501">
        <v>0</v>
      </c>
      <c r="O11215" s="506">
        <v>87</v>
      </c>
    </row>
    <row r="11216" spans="1:15" x14ac:dyDescent="0.35">
      <c r="A11216" s="503" t="s">
        <v>1240</v>
      </c>
      <c r="B11216" s="504" t="s">
        <v>2972</v>
      </c>
      <c r="C11216" s="504" t="s">
        <v>1094</v>
      </c>
      <c r="D11216" s="504" t="s">
        <v>3380</v>
      </c>
      <c r="E11216" s="504" t="s">
        <v>3381</v>
      </c>
      <c r="F11216" s="504" t="s">
        <v>1048</v>
      </c>
      <c r="G11216" s="504" t="s">
        <v>3368</v>
      </c>
      <c r="H11216" s="504" t="s">
        <v>14059</v>
      </c>
      <c r="I11216" s="504">
        <v>659</v>
      </c>
      <c r="J11216" s="504">
        <v>604</v>
      </c>
      <c r="K11216" s="504">
        <v>0</v>
      </c>
      <c r="L11216" s="504">
        <v>3</v>
      </c>
      <c r="M11216" s="504">
        <v>0</v>
      </c>
      <c r="N11216" s="504">
        <v>0</v>
      </c>
      <c r="O11216" s="505">
        <v>52</v>
      </c>
    </row>
    <row r="11217" spans="1:15" x14ac:dyDescent="0.35">
      <c r="A11217" s="500" t="s">
        <v>1240</v>
      </c>
      <c r="B11217" s="501" t="s">
        <v>2972</v>
      </c>
      <c r="C11217" s="501" t="s">
        <v>1094</v>
      </c>
      <c r="D11217" s="501" t="s">
        <v>3380</v>
      </c>
      <c r="E11217" s="501" t="s">
        <v>3381</v>
      </c>
      <c r="F11217" s="501" t="s">
        <v>415</v>
      </c>
      <c r="G11217" s="501" t="s">
        <v>3368</v>
      </c>
      <c r="H11217" s="501" t="s">
        <v>13529</v>
      </c>
      <c r="I11217" s="501">
        <v>2069</v>
      </c>
      <c r="J11217" s="501">
        <v>1866</v>
      </c>
      <c r="K11217" s="501">
        <v>0</v>
      </c>
      <c r="L11217" s="501">
        <v>0</v>
      </c>
      <c r="M11217" s="501">
        <v>0</v>
      </c>
      <c r="N11217" s="501">
        <v>0</v>
      </c>
      <c r="O11217" s="506">
        <v>203</v>
      </c>
    </row>
    <row r="11218" spans="1:15" x14ac:dyDescent="0.35">
      <c r="A11218" s="503" t="s">
        <v>1240</v>
      </c>
      <c r="B11218" s="504" t="s">
        <v>2972</v>
      </c>
      <c r="C11218" s="504" t="s">
        <v>1094</v>
      </c>
      <c r="D11218" s="504" t="s">
        <v>3380</v>
      </c>
      <c r="E11218" s="504" t="s">
        <v>3381</v>
      </c>
      <c r="F11218" s="504" t="s">
        <v>420</v>
      </c>
      <c r="G11218" s="504" t="s">
        <v>3368</v>
      </c>
      <c r="H11218" s="504" t="s">
        <v>13527</v>
      </c>
      <c r="I11218" s="504">
        <v>3346</v>
      </c>
      <c r="J11218" s="504">
        <v>2698</v>
      </c>
      <c r="K11218" s="504">
        <v>0</v>
      </c>
      <c r="L11218" s="504">
        <v>49</v>
      </c>
      <c r="M11218" s="504">
        <v>81</v>
      </c>
      <c r="N11218" s="504">
        <v>0</v>
      </c>
      <c r="O11218" s="505">
        <v>518</v>
      </c>
    </row>
    <row r="11219" spans="1:15" x14ac:dyDescent="0.35">
      <c r="A11219" s="500" t="s">
        <v>1240</v>
      </c>
      <c r="B11219" s="501" t="s">
        <v>2972</v>
      </c>
      <c r="C11219" s="501" t="s">
        <v>1094</v>
      </c>
      <c r="D11219" s="501" t="s">
        <v>3380</v>
      </c>
      <c r="E11219" s="501" t="s">
        <v>3381</v>
      </c>
      <c r="F11219" s="501" t="s">
        <v>419</v>
      </c>
      <c r="G11219" s="501" t="s">
        <v>3368</v>
      </c>
      <c r="H11219" s="501" t="s">
        <v>13528</v>
      </c>
      <c r="I11219" s="501">
        <v>2470</v>
      </c>
      <c r="J11219" s="501">
        <v>1906</v>
      </c>
      <c r="K11219" s="501">
        <v>0</v>
      </c>
      <c r="L11219" s="501">
        <v>98</v>
      </c>
      <c r="M11219" s="501">
        <v>195</v>
      </c>
      <c r="N11219" s="501">
        <v>0</v>
      </c>
      <c r="O11219" s="506">
        <v>271</v>
      </c>
    </row>
    <row r="11220" spans="1:15" x14ac:dyDescent="0.35">
      <c r="A11220" s="503" t="s">
        <v>1240</v>
      </c>
      <c r="B11220" s="504" t="s">
        <v>2972</v>
      </c>
      <c r="C11220" s="504" t="s">
        <v>1094</v>
      </c>
      <c r="D11220" s="504" t="s">
        <v>3380</v>
      </c>
      <c r="E11220" s="504" t="s">
        <v>3381</v>
      </c>
      <c r="F11220" s="504" t="s">
        <v>2</v>
      </c>
      <c r="G11220" s="504" t="s">
        <v>3368</v>
      </c>
      <c r="H11220" s="504" t="s">
        <v>13525</v>
      </c>
      <c r="I11220" s="504">
        <v>1350</v>
      </c>
      <c r="J11220" s="504">
        <v>1147</v>
      </c>
      <c r="K11220" s="504">
        <v>0</v>
      </c>
      <c r="L11220" s="504">
        <v>7</v>
      </c>
      <c r="M11220" s="504">
        <v>74</v>
      </c>
      <c r="N11220" s="504">
        <v>0</v>
      </c>
      <c r="O11220" s="505">
        <v>122</v>
      </c>
    </row>
    <row r="11221" spans="1:15" x14ac:dyDescent="0.35">
      <c r="A11221" s="500" t="s">
        <v>1241</v>
      </c>
      <c r="B11221" s="501">
        <v>4717</v>
      </c>
      <c r="C11221" s="501" t="s">
        <v>1094</v>
      </c>
      <c r="D11221" s="501" t="s">
        <v>3380</v>
      </c>
      <c r="E11221" s="501" t="s">
        <v>3381</v>
      </c>
      <c r="F11221" s="501" t="s">
        <v>415</v>
      </c>
      <c r="G11221" s="501" t="s">
        <v>3368</v>
      </c>
      <c r="H11221" s="501" t="s">
        <v>13533</v>
      </c>
      <c r="I11221" s="501">
        <v>101</v>
      </c>
      <c r="J11221" s="501">
        <v>96</v>
      </c>
      <c r="K11221" s="501">
        <v>0</v>
      </c>
      <c r="L11221" s="501">
        <v>0</v>
      </c>
      <c r="M11221" s="501">
        <v>0</v>
      </c>
      <c r="N11221" s="501">
        <v>0</v>
      </c>
      <c r="O11221" s="506">
        <v>5</v>
      </c>
    </row>
    <row r="11222" spans="1:15" x14ac:dyDescent="0.35">
      <c r="A11222" s="503" t="s">
        <v>1241</v>
      </c>
      <c r="B11222" s="504">
        <v>4717</v>
      </c>
      <c r="C11222" s="504" t="s">
        <v>1094</v>
      </c>
      <c r="D11222" s="504" t="s">
        <v>3380</v>
      </c>
      <c r="E11222" s="504" t="s">
        <v>3381</v>
      </c>
      <c r="F11222" s="504" t="s">
        <v>420</v>
      </c>
      <c r="G11222" s="504" t="s">
        <v>3368</v>
      </c>
      <c r="H11222" s="504" t="s">
        <v>13531</v>
      </c>
      <c r="I11222" s="504">
        <v>21</v>
      </c>
      <c r="J11222" s="504">
        <v>21</v>
      </c>
      <c r="K11222" s="504">
        <v>0</v>
      </c>
      <c r="L11222" s="504">
        <v>0</v>
      </c>
      <c r="M11222" s="504">
        <v>0</v>
      </c>
      <c r="N11222" s="504">
        <v>0</v>
      </c>
      <c r="O11222" s="505">
        <v>0</v>
      </c>
    </row>
    <row r="11223" spans="1:15" x14ac:dyDescent="0.35">
      <c r="A11223" s="500" t="s">
        <v>1241</v>
      </c>
      <c r="B11223" s="501">
        <v>4717</v>
      </c>
      <c r="C11223" s="501" t="s">
        <v>1094</v>
      </c>
      <c r="D11223" s="501" t="s">
        <v>3380</v>
      </c>
      <c r="E11223" s="501" t="s">
        <v>3381</v>
      </c>
      <c r="F11223" s="501" t="s">
        <v>419</v>
      </c>
      <c r="G11223" s="501" t="s">
        <v>3368</v>
      </c>
      <c r="H11223" s="501" t="s">
        <v>13532</v>
      </c>
      <c r="I11223" s="501">
        <v>730</v>
      </c>
      <c r="J11223" s="501">
        <v>545</v>
      </c>
      <c r="K11223" s="501">
        <v>0</v>
      </c>
      <c r="L11223" s="501">
        <v>8</v>
      </c>
      <c r="M11223" s="501">
        <v>132</v>
      </c>
      <c r="N11223" s="501">
        <v>0</v>
      </c>
      <c r="O11223" s="506">
        <v>45</v>
      </c>
    </row>
    <row r="11224" spans="1:15" x14ac:dyDescent="0.35">
      <c r="A11224" s="503" t="s">
        <v>1241</v>
      </c>
      <c r="B11224" s="504">
        <v>4717</v>
      </c>
      <c r="C11224" s="504" t="s">
        <v>1094</v>
      </c>
      <c r="D11224" s="504" t="s">
        <v>3380</v>
      </c>
      <c r="E11224" s="504" t="s">
        <v>3381</v>
      </c>
      <c r="F11224" s="504" t="s">
        <v>2</v>
      </c>
      <c r="G11224" s="504" t="s">
        <v>3368</v>
      </c>
      <c r="H11224" s="504" t="s">
        <v>13534</v>
      </c>
      <c r="I11224" s="504">
        <v>153</v>
      </c>
      <c r="J11224" s="504">
        <v>144</v>
      </c>
      <c r="K11224" s="504">
        <v>0</v>
      </c>
      <c r="L11224" s="504">
        <v>0</v>
      </c>
      <c r="M11224" s="504">
        <v>0</v>
      </c>
      <c r="N11224" s="504">
        <v>0</v>
      </c>
      <c r="O11224" s="505">
        <v>9</v>
      </c>
    </row>
    <row r="11225" spans="1:15" x14ac:dyDescent="0.35">
      <c r="A11225" s="500" t="s">
        <v>1241</v>
      </c>
      <c r="B11225" s="501">
        <v>4717</v>
      </c>
      <c r="C11225" s="501" t="s">
        <v>1094</v>
      </c>
      <c r="D11225" s="501" t="s">
        <v>3380</v>
      </c>
      <c r="E11225" s="501" t="s">
        <v>3381</v>
      </c>
      <c r="F11225" s="501" t="s">
        <v>414</v>
      </c>
      <c r="G11225" s="501" t="s">
        <v>3368</v>
      </c>
      <c r="H11225" s="501" t="s">
        <v>13530</v>
      </c>
      <c r="I11225" s="501">
        <v>279</v>
      </c>
      <c r="J11225" s="501">
        <v>279</v>
      </c>
      <c r="K11225" s="501">
        <v>0</v>
      </c>
      <c r="L11225" s="501">
        <v>0</v>
      </c>
      <c r="M11225" s="501">
        <v>0</v>
      </c>
      <c r="N11225" s="501">
        <v>0</v>
      </c>
      <c r="O11225" s="506">
        <v>0</v>
      </c>
    </row>
    <row r="11226" spans="1:15" x14ac:dyDescent="0.35">
      <c r="A11226" s="503" t="s">
        <v>1134</v>
      </c>
      <c r="B11226" s="504" t="s">
        <v>3066</v>
      </c>
      <c r="C11226" s="504" t="s">
        <v>1094</v>
      </c>
      <c r="D11226" s="504" t="s">
        <v>3380</v>
      </c>
      <c r="E11226" s="504" t="s">
        <v>3381</v>
      </c>
      <c r="F11226" s="504" t="s">
        <v>1048</v>
      </c>
      <c r="G11226" s="504" t="s">
        <v>3368</v>
      </c>
      <c r="H11226" s="504" t="s">
        <v>14060</v>
      </c>
      <c r="I11226" s="504">
        <v>1098</v>
      </c>
      <c r="J11226" s="504">
        <v>888</v>
      </c>
      <c r="K11226" s="504">
        <v>0</v>
      </c>
      <c r="L11226" s="504">
        <v>23</v>
      </c>
      <c r="M11226" s="504">
        <v>56</v>
      </c>
      <c r="N11226" s="504">
        <v>0</v>
      </c>
      <c r="O11226" s="505">
        <v>131</v>
      </c>
    </row>
    <row r="11227" spans="1:15" x14ac:dyDescent="0.35">
      <c r="A11227" s="500" t="s">
        <v>1134</v>
      </c>
      <c r="B11227" s="501" t="s">
        <v>3066</v>
      </c>
      <c r="C11227" s="501" t="s">
        <v>1094</v>
      </c>
      <c r="D11227" s="501" t="s">
        <v>3380</v>
      </c>
      <c r="E11227" s="501" t="s">
        <v>3381</v>
      </c>
      <c r="F11227" s="501" t="s">
        <v>416</v>
      </c>
      <c r="G11227" s="501" t="s">
        <v>3368</v>
      </c>
      <c r="H11227" s="501" t="s">
        <v>13536</v>
      </c>
      <c r="I11227" s="501">
        <v>1</v>
      </c>
      <c r="J11227" s="501">
        <v>1</v>
      </c>
      <c r="K11227" s="501">
        <v>0</v>
      </c>
      <c r="L11227" s="501">
        <v>0</v>
      </c>
      <c r="M11227" s="501">
        <v>0</v>
      </c>
      <c r="N11227" s="501">
        <v>0</v>
      </c>
      <c r="O11227" s="506">
        <v>0</v>
      </c>
    </row>
    <row r="11228" spans="1:15" x14ac:dyDescent="0.35">
      <c r="A11228" s="503" t="s">
        <v>1134</v>
      </c>
      <c r="B11228" s="504" t="s">
        <v>3066</v>
      </c>
      <c r="C11228" s="504" t="s">
        <v>1094</v>
      </c>
      <c r="D11228" s="504" t="s">
        <v>3380</v>
      </c>
      <c r="E11228" s="504" t="s">
        <v>3381</v>
      </c>
      <c r="F11228" s="504" t="s">
        <v>2</v>
      </c>
      <c r="G11228" s="504" t="s">
        <v>3368</v>
      </c>
      <c r="H11228" s="504" t="s">
        <v>13535</v>
      </c>
      <c r="I11228" s="504">
        <v>5284</v>
      </c>
      <c r="J11228" s="504">
        <v>4052</v>
      </c>
      <c r="K11228" s="504">
        <v>8</v>
      </c>
      <c r="L11228" s="504">
        <v>82</v>
      </c>
      <c r="M11228" s="504">
        <v>669</v>
      </c>
      <c r="N11228" s="504">
        <v>1</v>
      </c>
      <c r="O11228" s="505">
        <v>473</v>
      </c>
    </row>
    <row r="11229" spans="1:15" x14ac:dyDescent="0.35">
      <c r="A11229" s="500" t="s">
        <v>1134</v>
      </c>
      <c r="B11229" s="501" t="s">
        <v>3066</v>
      </c>
      <c r="C11229" s="501" t="s">
        <v>1094</v>
      </c>
      <c r="D11229" s="501" t="s">
        <v>3380</v>
      </c>
      <c r="E11229" s="501" t="s">
        <v>3381</v>
      </c>
      <c r="F11229" s="501" t="s">
        <v>419</v>
      </c>
      <c r="G11229" s="501" t="s">
        <v>3368</v>
      </c>
      <c r="H11229" s="501" t="s">
        <v>13540</v>
      </c>
      <c r="I11229" s="501">
        <v>6017</v>
      </c>
      <c r="J11229" s="501">
        <v>4902</v>
      </c>
      <c r="K11229" s="501">
        <v>0</v>
      </c>
      <c r="L11229" s="501">
        <v>239</v>
      </c>
      <c r="M11229" s="501">
        <v>292</v>
      </c>
      <c r="N11229" s="501">
        <v>0</v>
      </c>
      <c r="O11229" s="506">
        <v>584</v>
      </c>
    </row>
    <row r="11230" spans="1:15" x14ac:dyDescent="0.35">
      <c r="A11230" s="503" t="s">
        <v>1134</v>
      </c>
      <c r="B11230" s="504" t="s">
        <v>3066</v>
      </c>
      <c r="C11230" s="504" t="s">
        <v>1094</v>
      </c>
      <c r="D11230" s="504" t="s">
        <v>3380</v>
      </c>
      <c r="E11230" s="504" t="s">
        <v>3381</v>
      </c>
      <c r="F11230" s="504" t="s">
        <v>415</v>
      </c>
      <c r="G11230" s="504" t="s">
        <v>3368</v>
      </c>
      <c r="H11230" s="504" t="s">
        <v>13537</v>
      </c>
      <c r="I11230" s="504">
        <v>1744</v>
      </c>
      <c r="J11230" s="504">
        <v>1368</v>
      </c>
      <c r="K11230" s="504">
        <v>0</v>
      </c>
      <c r="L11230" s="504">
        <v>66</v>
      </c>
      <c r="M11230" s="504">
        <v>196</v>
      </c>
      <c r="N11230" s="504">
        <v>0</v>
      </c>
      <c r="O11230" s="505">
        <v>114</v>
      </c>
    </row>
    <row r="11231" spans="1:15" x14ac:dyDescent="0.35">
      <c r="A11231" s="500" t="s">
        <v>1134</v>
      </c>
      <c r="B11231" s="501" t="s">
        <v>3066</v>
      </c>
      <c r="C11231" s="501" t="s">
        <v>1094</v>
      </c>
      <c r="D11231" s="501" t="s">
        <v>3380</v>
      </c>
      <c r="E11231" s="501" t="s">
        <v>3381</v>
      </c>
      <c r="F11231" s="501" t="s">
        <v>420</v>
      </c>
      <c r="G11231" s="501" t="s">
        <v>3368</v>
      </c>
      <c r="H11231" s="501" t="s">
        <v>13539</v>
      </c>
      <c r="I11231" s="501">
        <v>4719</v>
      </c>
      <c r="J11231" s="501">
        <v>3972</v>
      </c>
      <c r="K11231" s="501">
        <v>0</v>
      </c>
      <c r="L11231" s="501">
        <v>32</v>
      </c>
      <c r="M11231" s="501">
        <v>365</v>
      </c>
      <c r="N11231" s="501">
        <v>0</v>
      </c>
      <c r="O11231" s="506">
        <v>350</v>
      </c>
    </row>
    <row r="11232" spans="1:15" x14ac:dyDescent="0.35">
      <c r="A11232" s="503" t="s">
        <v>1134</v>
      </c>
      <c r="B11232" s="504" t="s">
        <v>3066</v>
      </c>
      <c r="C11232" s="504" t="s">
        <v>1094</v>
      </c>
      <c r="D11232" s="504" t="s">
        <v>3380</v>
      </c>
      <c r="E11232" s="504" t="s">
        <v>3381</v>
      </c>
      <c r="F11232" s="504" t="s">
        <v>414</v>
      </c>
      <c r="G11232" s="504" t="s">
        <v>3368</v>
      </c>
      <c r="H11232" s="504" t="s">
        <v>13538</v>
      </c>
      <c r="I11232" s="504">
        <v>1102</v>
      </c>
      <c r="J11232" s="504">
        <v>748</v>
      </c>
      <c r="K11232" s="504">
        <v>0</v>
      </c>
      <c r="L11232" s="504">
        <v>0</v>
      </c>
      <c r="M11232" s="504">
        <v>211</v>
      </c>
      <c r="N11232" s="504">
        <v>0</v>
      </c>
      <c r="O11232" s="505">
        <v>143</v>
      </c>
    </row>
    <row r="11233" spans="1:15" x14ac:dyDescent="0.35">
      <c r="A11233" s="500" t="s">
        <v>1554</v>
      </c>
      <c r="B11233" s="501" t="s">
        <v>2672</v>
      </c>
      <c r="C11233" s="501" t="s">
        <v>1089</v>
      </c>
      <c r="D11233" s="501" t="s">
        <v>3392</v>
      </c>
      <c r="E11233" s="501" t="s">
        <v>3381</v>
      </c>
      <c r="F11233" s="501" t="s">
        <v>416</v>
      </c>
      <c r="G11233" s="501" t="s">
        <v>3368</v>
      </c>
      <c r="H11233" s="501" t="s">
        <v>13541</v>
      </c>
      <c r="I11233" s="501">
        <v>63</v>
      </c>
      <c r="J11233" s="501">
        <v>63</v>
      </c>
      <c r="K11233" s="501">
        <v>0</v>
      </c>
      <c r="L11233" s="501">
        <v>0</v>
      </c>
      <c r="M11233" s="501">
        <v>0</v>
      </c>
      <c r="N11233" s="501">
        <v>2</v>
      </c>
      <c r="O11233" s="506">
        <v>0</v>
      </c>
    </row>
    <row r="11234" spans="1:15" x14ac:dyDescent="0.35">
      <c r="A11234" s="503" t="s">
        <v>2020</v>
      </c>
      <c r="B11234" s="504">
        <v>5089</v>
      </c>
      <c r="C11234" s="504" t="s">
        <v>1089</v>
      </c>
      <c r="D11234" s="504" t="s">
        <v>3392</v>
      </c>
      <c r="E11234" s="504" t="s">
        <v>3381</v>
      </c>
      <c r="F11234" s="504" t="s">
        <v>419</v>
      </c>
      <c r="G11234" s="504" t="s">
        <v>3368</v>
      </c>
      <c r="H11234" s="504" t="s">
        <v>13542</v>
      </c>
      <c r="I11234" s="504">
        <v>35</v>
      </c>
      <c r="J11234" s="504">
        <v>9</v>
      </c>
      <c r="K11234" s="504">
        <v>0</v>
      </c>
      <c r="L11234" s="504">
        <v>26</v>
      </c>
      <c r="M11234" s="504">
        <v>0</v>
      </c>
      <c r="N11234" s="504">
        <v>0</v>
      </c>
      <c r="O11234" s="505">
        <v>0</v>
      </c>
    </row>
    <row r="11235" spans="1:15" x14ac:dyDescent="0.35">
      <c r="A11235" s="500" t="s">
        <v>11397</v>
      </c>
      <c r="B11235" s="501" t="s">
        <v>2724</v>
      </c>
      <c r="C11235" s="501" t="s">
        <v>1089</v>
      </c>
      <c r="D11235" s="501" t="s">
        <v>3392</v>
      </c>
      <c r="E11235" s="501" t="s">
        <v>3381</v>
      </c>
      <c r="F11235" s="501" t="s">
        <v>417</v>
      </c>
      <c r="G11235" s="501" t="s">
        <v>3368</v>
      </c>
      <c r="H11235" s="501" t="s">
        <v>13543</v>
      </c>
      <c r="I11235" s="501">
        <v>12</v>
      </c>
      <c r="J11235" s="501">
        <v>0</v>
      </c>
      <c r="K11235" s="501">
        <v>12</v>
      </c>
      <c r="L11235" s="501">
        <v>0</v>
      </c>
      <c r="M11235" s="501">
        <v>0</v>
      </c>
      <c r="N11235" s="501">
        <v>0</v>
      </c>
      <c r="O11235" s="506">
        <v>0</v>
      </c>
    </row>
    <row r="11236" spans="1:15" x14ac:dyDescent="0.35">
      <c r="A11236" s="503" t="s">
        <v>1655</v>
      </c>
      <c r="B11236" s="504" t="s">
        <v>2747</v>
      </c>
      <c r="C11236" s="504" t="s">
        <v>1089</v>
      </c>
      <c r="D11236" s="504" t="s">
        <v>3392</v>
      </c>
      <c r="E11236" s="504" t="s">
        <v>3381</v>
      </c>
      <c r="F11236" s="504" t="s">
        <v>417</v>
      </c>
      <c r="G11236" s="504" t="s">
        <v>3368</v>
      </c>
      <c r="H11236" s="504" t="s">
        <v>13544</v>
      </c>
      <c r="I11236" s="504">
        <v>87</v>
      </c>
      <c r="J11236" s="504">
        <v>87</v>
      </c>
      <c r="K11236" s="504">
        <v>0</v>
      </c>
      <c r="L11236" s="504">
        <v>0</v>
      </c>
      <c r="M11236" s="504">
        <v>0</v>
      </c>
      <c r="N11236" s="504">
        <v>0</v>
      </c>
      <c r="O11236" s="505">
        <v>0</v>
      </c>
    </row>
    <row r="11237" spans="1:15" x14ac:dyDescent="0.35">
      <c r="A11237" s="500" t="s">
        <v>14418</v>
      </c>
      <c r="B11237" s="501">
        <v>4749</v>
      </c>
      <c r="C11237" s="501" t="s">
        <v>1089</v>
      </c>
      <c r="D11237" s="501" t="s">
        <v>3392</v>
      </c>
      <c r="E11237" s="501" t="s">
        <v>3381</v>
      </c>
      <c r="F11237" s="501" t="s">
        <v>2</v>
      </c>
      <c r="G11237" s="501" t="s">
        <v>3368</v>
      </c>
      <c r="H11237" s="501" t="s">
        <v>15423</v>
      </c>
      <c r="I11237" s="501">
        <v>4</v>
      </c>
      <c r="J11237" s="501">
        <v>0</v>
      </c>
      <c r="K11237" s="501">
        <v>0</v>
      </c>
      <c r="L11237" s="501">
        <v>4</v>
      </c>
      <c r="M11237" s="501">
        <v>0</v>
      </c>
      <c r="N11237" s="501">
        <v>0</v>
      </c>
      <c r="O11237" s="506">
        <v>0</v>
      </c>
    </row>
    <row r="11238" spans="1:15" x14ac:dyDescent="0.35">
      <c r="A11238" s="503" t="s">
        <v>14418</v>
      </c>
      <c r="B11238" s="504">
        <v>4749</v>
      </c>
      <c r="C11238" s="504" t="s">
        <v>1089</v>
      </c>
      <c r="D11238" s="504" t="s">
        <v>3392</v>
      </c>
      <c r="E11238" s="504" t="s">
        <v>3381</v>
      </c>
      <c r="F11238" s="504" t="s">
        <v>418</v>
      </c>
      <c r="G11238" s="504" t="s">
        <v>3368</v>
      </c>
      <c r="H11238" s="504" t="s">
        <v>15424</v>
      </c>
      <c r="I11238" s="504">
        <v>38</v>
      </c>
      <c r="J11238" s="504">
        <v>0</v>
      </c>
      <c r="K11238" s="504">
        <v>0</v>
      </c>
      <c r="L11238" s="504">
        <v>38</v>
      </c>
      <c r="M11238" s="504">
        <v>0</v>
      </c>
      <c r="N11238" s="504">
        <v>0</v>
      </c>
      <c r="O11238" s="505">
        <v>0</v>
      </c>
    </row>
    <row r="11239" spans="1:15" x14ac:dyDescent="0.35">
      <c r="A11239" s="500" t="s">
        <v>14418</v>
      </c>
      <c r="B11239" s="501">
        <v>4749</v>
      </c>
      <c r="C11239" s="501" t="s">
        <v>1089</v>
      </c>
      <c r="D11239" s="501" t="s">
        <v>3392</v>
      </c>
      <c r="E11239" s="501" t="s">
        <v>3381</v>
      </c>
      <c r="F11239" s="501" t="s">
        <v>419</v>
      </c>
      <c r="G11239" s="501" t="s">
        <v>3368</v>
      </c>
      <c r="H11239" s="501" t="s">
        <v>15425</v>
      </c>
      <c r="I11239" s="501">
        <v>6</v>
      </c>
      <c r="J11239" s="501">
        <v>0</v>
      </c>
      <c r="K11239" s="501">
        <v>0</v>
      </c>
      <c r="L11239" s="501">
        <v>6</v>
      </c>
      <c r="M11239" s="501">
        <v>0</v>
      </c>
      <c r="N11239" s="501">
        <v>0</v>
      </c>
      <c r="O11239" s="506">
        <v>0</v>
      </c>
    </row>
    <row r="11240" spans="1:15" x14ac:dyDescent="0.35">
      <c r="A11240" s="503" t="s">
        <v>1904</v>
      </c>
      <c r="B11240" s="504" t="s">
        <v>3238</v>
      </c>
      <c r="C11240" s="504" t="s">
        <v>1089</v>
      </c>
      <c r="D11240" s="504" t="s">
        <v>3392</v>
      </c>
      <c r="E11240" s="504" t="s">
        <v>3381</v>
      </c>
      <c r="F11240" s="504" t="s">
        <v>2</v>
      </c>
      <c r="G11240" s="504" t="s">
        <v>3368</v>
      </c>
      <c r="H11240" s="504" t="s">
        <v>13545</v>
      </c>
      <c r="I11240" s="504">
        <v>429</v>
      </c>
      <c r="J11240" s="504">
        <v>0</v>
      </c>
      <c r="K11240" s="504">
        <v>0</v>
      </c>
      <c r="L11240" s="504">
        <v>0</v>
      </c>
      <c r="M11240" s="504">
        <v>429</v>
      </c>
      <c r="N11240" s="504">
        <v>0</v>
      </c>
      <c r="O11240" s="505">
        <v>0</v>
      </c>
    </row>
    <row r="11241" spans="1:15" x14ac:dyDescent="0.35">
      <c r="A11241" s="500" t="s">
        <v>1905</v>
      </c>
      <c r="B11241" s="501" t="s">
        <v>3283</v>
      </c>
      <c r="C11241" s="501" t="s">
        <v>1089</v>
      </c>
      <c r="D11241" s="501" t="s">
        <v>3392</v>
      </c>
      <c r="E11241" s="501" t="s">
        <v>3381</v>
      </c>
      <c r="F11241" s="501" t="s">
        <v>2</v>
      </c>
      <c r="G11241" s="501" t="s">
        <v>3368</v>
      </c>
      <c r="H11241" s="501" t="s">
        <v>13546</v>
      </c>
      <c r="I11241" s="501">
        <v>14</v>
      </c>
      <c r="J11241" s="501">
        <v>14</v>
      </c>
      <c r="K11241" s="501">
        <v>0</v>
      </c>
      <c r="L11241" s="501">
        <v>0</v>
      </c>
      <c r="M11241" s="501">
        <v>0</v>
      </c>
      <c r="N11241" s="501">
        <v>0</v>
      </c>
      <c r="O11241" s="506">
        <v>0</v>
      </c>
    </row>
    <row r="11242" spans="1:15" x14ac:dyDescent="0.35">
      <c r="A11242" s="503" t="s">
        <v>1242</v>
      </c>
      <c r="B11242" s="504">
        <v>4687</v>
      </c>
      <c r="C11242" s="504" t="s">
        <v>1094</v>
      </c>
      <c r="D11242" s="504" t="s">
        <v>3380</v>
      </c>
      <c r="E11242" s="504" t="s">
        <v>3381</v>
      </c>
      <c r="F11242" s="504" t="s">
        <v>414</v>
      </c>
      <c r="G11242" s="504" t="s">
        <v>3368</v>
      </c>
      <c r="H11242" s="504" t="s">
        <v>13548</v>
      </c>
      <c r="I11242" s="504">
        <v>5</v>
      </c>
      <c r="J11242" s="504">
        <v>0</v>
      </c>
      <c r="K11242" s="504">
        <v>0</v>
      </c>
      <c r="L11242" s="504">
        <v>5</v>
      </c>
      <c r="M11242" s="504">
        <v>0</v>
      </c>
      <c r="N11242" s="504">
        <v>0</v>
      </c>
      <c r="O11242" s="505">
        <v>0</v>
      </c>
    </row>
    <row r="11243" spans="1:15" x14ac:dyDescent="0.35">
      <c r="A11243" s="500" t="s">
        <v>1242</v>
      </c>
      <c r="B11243" s="501">
        <v>4687</v>
      </c>
      <c r="C11243" s="501" t="s">
        <v>1094</v>
      </c>
      <c r="D11243" s="501" t="s">
        <v>3380</v>
      </c>
      <c r="E11243" s="501" t="s">
        <v>3381</v>
      </c>
      <c r="F11243" s="501" t="s">
        <v>420</v>
      </c>
      <c r="G11243" s="501" t="s">
        <v>3368</v>
      </c>
      <c r="H11243" s="501" t="s">
        <v>13547</v>
      </c>
      <c r="I11243" s="501">
        <v>2158</v>
      </c>
      <c r="J11243" s="501">
        <v>0</v>
      </c>
      <c r="K11243" s="501">
        <v>0</v>
      </c>
      <c r="L11243" s="501">
        <v>2158</v>
      </c>
      <c r="M11243" s="501">
        <v>0</v>
      </c>
      <c r="N11243" s="501">
        <v>0</v>
      </c>
      <c r="O11243" s="506">
        <v>0</v>
      </c>
    </row>
    <row r="11244" spans="1:15" x14ac:dyDescent="0.35">
      <c r="A11244" s="503" t="s">
        <v>14420</v>
      </c>
      <c r="B11244" s="504" t="s">
        <v>14419</v>
      </c>
      <c r="C11244" s="504" t="s">
        <v>1089</v>
      </c>
      <c r="D11244" s="504" t="s">
        <v>3392</v>
      </c>
      <c r="E11244" s="504" t="s">
        <v>3381</v>
      </c>
      <c r="F11244" s="504" t="s">
        <v>414</v>
      </c>
      <c r="G11244" s="504" t="s">
        <v>3368</v>
      </c>
      <c r="H11244" s="504" t="s">
        <v>15426</v>
      </c>
      <c r="I11244" s="504">
        <v>12</v>
      </c>
      <c r="J11244" s="504">
        <v>0</v>
      </c>
      <c r="K11244" s="504">
        <v>0</v>
      </c>
      <c r="L11244" s="504">
        <v>0</v>
      </c>
      <c r="M11244" s="504">
        <v>12</v>
      </c>
      <c r="N11244" s="504">
        <v>0</v>
      </c>
      <c r="O11244" s="505">
        <v>0</v>
      </c>
    </row>
    <row r="11245" spans="1:15" x14ac:dyDescent="0.35">
      <c r="A11245" s="500" t="s">
        <v>1555</v>
      </c>
      <c r="B11245" s="501" t="s">
        <v>3007</v>
      </c>
      <c r="C11245" s="501" t="s">
        <v>1089</v>
      </c>
      <c r="D11245" s="501" t="s">
        <v>3392</v>
      </c>
      <c r="E11245" s="501" t="s">
        <v>3381</v>
      </c>
      <c r="F11245" s="501" t="s">
        <v>416</v>
      </c>
      <c r="G11245" s="501" t="s">
        <v>3368</v>
      </c>
      <c r="H11245" s="501" t="s">
        <v>13549</v>
      </c>
      <c r="I11245" s="501">
        <v>487</v>
      </c>
      <c r="J11245" s="501">
        <v>108</v>
      </c>
      <c r="K11245" s="501">
        <v>0</v>
      </c>
      <c r="L11245" s="501">
        <v>6</v>
      </c>
      <c r="M11245" s="501">
        <v>373</v>
      </c>
      <c r="N11245" s="501">
        <v>0</v>
      </c>
      <c r="O11245" s="506">
        <v>0</v>
      </c>
    </row>
    <row r="11246" spans="1:15" x14ac:dyDescent="0.35">
      <c r="A11246" s="503" t="s">
        <v>1346</v>
      </c>
      <c r="B11246" s="504" t="s">
        <v>3150</v>
      </c>
      <c r="C11246" s="504" t="s">
        <v>1094</v>
      </c>
      <c r="D11246" s="504" t="s">
        <v>3380</v>
      </c>
      <c r="E11246" s="504" t="s">
        <v>3381</v>
      </c>
      <c r="F11246" s="504" t="s">
        <v>416</v>
      </c>
      <c r="G11246" s="504" t="s">
        <v>3368</v>
      </c>
      <c r="H11246" s="504" t="s">
        <v>13550</v>
      </c>
      <c r="I11246" s="504">
        <v>3205</v>
      </c>
      <c r="J11246" s="504">
        <v>2626</v>
      </c>
      <c r="K11246" s="504">
        <v>354</v>
      </c>
      <c r="L11246" s="504">
        <v>46</v>
      </c>
      <c r="M11246" s="504">
        <v>0</v>
      </c>
      <c r="N11246" s="504">
        <v>28</v>
      </c>
      <c r="O11246" s="505">
        <v>179</v>
      </c>
    </row>
    <row r="11247" spans="1:15" x14ac:dyDescent="0.35">
      <c r="A11247" s="500" t="s">
        <v>1346</v>
      </c>
      <c r="B11247" s="501" t="s">
        <v>3150</v>
      </c>
      <c r="C11247" s="501" t="s">
        <v>1094</v>
      </c>
      <c r="D11247" s="501" t="s">
        <v>3380</v>
      </c>
      <c r="E11247" s="501" t="s">
        <v>3381</v>
      </c>
      <c r="F11247" s="501" t="s">
        <v>415</v>
      </c>
      <c r="G11247" s="501" t="s">
        <v>3368</v>
      </c>
      <c r="H11247" s="501" t="s">
        <v>13551</v>
      </c>
      <c r="I11247" s="501">
        <v>5272</v>
      </c>
      <c r="J11247" s="501">
        <v>4414</v>
      </c>
      <c r="K11247" s="501">
        <v>385</v>
      </c>
      <c r="L11247" s="501">
        <v>360</v>
      </c>
      <c r="M11247" s="501">
        <v>79</v>
      </c>
      <c r="N11247" s="501">
        <v>64</v>
      </c>
      <c r="O11247" s="506">
        <v>34</v>
      </c>
    </row>
    <row r="11248" spans="1:15" x14ac:dyDescent="0.35">
      <c r="A11248" s="503" t="s">
        <v>1556</v>
      </c>
      <c r="B11248" s="504" t="s">
        <v>2796</v>
      </c>
      <c r="C11248" s="504" t="s">
        <v>1089</v>
      </c>
      <c r="D11248" s="504" t="s">
        <v>3392</v>
      </c>
      <c r="E11248" s="504" t="s">
        <v>3381</v>
      </c>
      <c r="F11248" s="504" t="s">
        <v>416</v>
      </c>
      <c r="G11248" s="504" t="s">
        <v>3368</v>
      </c>
      <c r="H11248" s="504" t="s">
        <v>13552</v>
      </c>
      <c r="I11248" s="504">
        <v>44</v>
      </c>
      <c r="J11248" s="504">
        <v>44</v>
      </c>
      <c r="K11248" s="504">
        <v>0</v>
      </c>
      <c r="L11248" s="504">
        <v>0</v>
      </c>
      <c r="M11248" s="504">
        <v>0</v>
      </c>
      <c r="N11248" s="504">
        <v>0</v>
      </c>
      <c r="O11248" s="505">
        <v>0</v>
      </c>
    </row>
    <row r="11249" spans="1:15" x14ac:dyDescent="0.35">
      <c r="A11249" s="500" t="s">
        <v>1243</v>
      </c>
      <c r="B11249" s="501">
        <v>4864</v>
      </c>
      <c r="C11249" s="501" t="s">
        <v>1089</v>
      </c>
      <c r="D11249" s="501" t="s">
        <v>3392</v>
      </c>
      <c r="E11249" s="501" t="s">
        <v>3381</v>
      </c>
      <c r="F11249" s="501" t="s">
        <v>414</v>
      </c>
      <c r="G11249" s="501" t="s">
        <v>3368</v>
      </c>
      <c r="H11249" s="501" t="s">
        <v>13553</v>
      </c>
      <c r="I11249" s="501">
        <v>2</v>
      </c>
      <c r="J11249" s="501">
        <v>2</v>
      </c>
      <c r="K11249" s="501">
        <v>0</v>
      </c>
      <c r="L11249" s="501">
        <v>0</v>
      </c>
      <c r="M11249" s="501">
        <v>0</v>
      </c>
      <c r="N11249" s="501">
        <v>0</v>
      </c>
      <c r="O11249" s="506">
        <v>0</v>
      </c>
    </row>
    <row r="11250" spans="1:15" x14ac:dyDescent="0.35">
      <c r="A11250" s="503" t="s">
        <v>1557</v>
      </c>
      <c r="B11250" s="504" t="s">
        <v>2726</v>
      </c>
      <c r="C11250" s="504" t="s">
        <v>1089</v>
      </c>
      <c r="D11250" s="504" t="s">
        <v>3392</v>
      </c>
      <c r="E11250" s="504" t="s">
        <v>3381</v>
      </c>
      <c r="F11250" s="504" t="s">
        <v>416</v>
      </c>
      <c r="G11250" s="504" t="s">
        <v>3368</v>
      </c>
      <c r="H11250" s="504" t="s">
        <v>13554</v>
      </c>
      <c r="I11250" s="504">
        <v>23</v>
      </c>
      <c r="J11250" s="504">
        <v>23</v>
      </c>
      <c r="K11250" s="504">
        <v>0</v>
      </c>
      <c r="L11250" s="504">
        <v>0</v>
      </c>
      <c r="M11250" s="504">
        <v>0</v>
      </c>
      <c r="N11250" s="504">
        <v>0</v>
      </c>
      <c r="O11250" s="505">
        <v>0</v>
      </c>
    </row>
    <row r="11251" spans="1:15" x14ac:dyDescent="0.35">
      <c r="A11251" s="500" t="s">
        <v>1136</v>
      </c>
      <c r="B11251" s="501">
        <v>4680</v>
      </c>
      <c r="C11251" s="501" t="s">
        <v>1094</v>
      </c>
      <c r="D11251" s="501" t="s">
        <v>3380</v>
      </c>
      <c r="E11251" s="501" t="s">
        <v>3381</v>
      </c>
      <c r="F11251" s="501" t="s">
        <v>2</v>
      </c>
      <c r="G11251" s="501" t="s">
        <v>3368</v>
      </c>
      <c r="H11251" s="501" t="s">
        <v>13556</v>
      </c>
      <c r="I11251" s="501">
        <v>1041</v>
      </c>
      <c r="J11251" s="501">
        <v>602</v>
      </c>
      <c r="K11251" s="501">
        <v>0</v>
      </c>
      <c r="L11251" s="501">
        <v>82</v>
      </c>
      <c r="M11251" s="501">
        <v>22</v>
      </c>
      <c r="N11251" s="501">
        <v>0</v>
      </c>
      <c r="O11251" s="506">
        <v>335</v>
      </c>
    </row>
    <row r="11252" spans="1:15" x14ac:dyDescent="0.35">
      <c r="A11252" s="503" t="s">
        <v>1136</v>
      </c>
      <c r="B11252" s="504">
        <v>4680</v>
      </c>
      <c r="C11252" s="504" t="s">
        <v>1094</v>
      </c>
      <c r="D11252" s="504" t="s">
        <v>3380</v>
      </c>
      <c r="E11252" s="504" t="s">
        <v>3381</v>
      </c>
      <c r="F11252" s="504" t="s">
        <v>419</v>
      </c>
      <c r="G11252" s="504" t="s">
        <v>3368</v>
      </c>
      <c r="H11252" s="504" t="s">
        <v>13555</v>
      </c>
      <c r="I11252" s="504">
        <v>8981</v>
      </c>
      <c r="J11252" s="504">
        <v>6728</v>
      </c>
      <c r="K11252" s="504">
        <v>16</v>
      </c>
      <c r="L11252" s="504">
        <v>404</v>
      </c>
      <c r="M11252" s="504">
        <v>1299</v>
      </c>
      <c r="N11252" s="504">
        <v>1</v>
      </c>
      <c r="O11252" s="505">
        <v>534</v>
      </c>
    </row>
    <row r="11253" spans="1:15" x14ac:dyDescent="0.35">
      <c r="A11253" s="500" t="s">
        <v>1558</v>
      </c>
      <c r="B11253" s="501">
        <v>4843</v>
      </c>
      <c r="C11253" s="501" t="s">
        <v>1089</v>
      </c>
      <c r="D11253" s="501" t="s">
        <v>3392</v>
      </c>
      <c r="E11253" s="501" t="s">
        <v>3381</v>
      </c>
      <c r="F11253" s="501" t="s">
        <v>416</v>
      </c>
      <c r="G11253" s="501" t="s">
        <v>3368</v>
      </c>
      <c r="H11253" s="501" t="s">
        <v>13557</v>
      </c>
      <c r="I11253" s="501">
        <v>407</v>
      </c>
      <c r="J11253" s="501">
        <v>407</v>
      </c>
      <c r="K11253" s="501">
        <v>0</v>
      </c>
      <c r="L11253" s="501">
        <v>0</v>
      </c>
      <c r="M11253" s="501">
        <v>0</v>
      </c>
      <c r="N11253" s="501">
        <v>0</v>
      </c>
      <c r="O11253" s="506">
        <v>0</v>
      </c>
    </row>
    <row r="11254" spans="1:15" x14ac:dyDescent="0.35">
      <c r="A11254" s="503" t="s">
        <v>1558</v>
      </c>
      <c r="B11254" s="504">
        <v>4843</v>
      </c>
      <c r="C11254" s="504" t="s">
        <v>1089</v>
      </c>
      <c r="D11254" s="504" t="s">
        <v>3392</v>
      </c>
      <c r="E11254" s="504" t="s">
        <v>3381</v>
      </c>
      <c r="F11254" s="504" t="s">
        <v>415</v>
      </c>
      <c r="G11254" s="504" t="s">
        <v>3368</v>
      </c>
      <c r="H11254" s="504" t="s">
        <v>15427</v>
      </c>
      <c r="I11254" s="504">
        <v>8</v>
      </c>
      <c r="J11254" s="504">
        <v>8</v>
      </c>
      <c r="K11254" s="504">
        <v>0</v>
      </c>
      <c r="L11254" s="504">
        <v>0</v>
      </c>
      <c r="M11254" s="504">
        <v>0</v>
      </c>
      <c r="N11254" s="504">
        <v>0</v>
      </c>
      <c r="O11254" s="505">
        <v>0</v>
      </c>
    </row>
    <row r="11255" spans="1:15" x14ac:dyDescent="0.35">
      <c r="A11255" s="500" t="s">
        <v>1656</v>
      </c>
      <c r="B11255" s="501">
        <v>4756</v>
      </c>
      <c r="C11255" s="501" t="s">
        <v>1089</v>
      </c>
      <c r="D11255" s="501" t="s">
        <v>3392</v>
      </c>
      <c r="E11255" s="501" t="s">
        <v>3381</v>
      </c>
      <c r="F11255" s="501" t="s">
        <v>417</v>
      </c>
      <c r="G11255" s="501" t="s">
        <v>3368</v>
      </c>
      <c r="H11255" s="501" t="s">
        <v>13558</v>
      </c>
      <c r="I11255" s="501">
        <v>357</v>
      </c>
      <c r="J11255" s="501">
        <v>84</v>
      </c>
      <c r="K11255" s="501">
        <v>0</v>
      </c>
      <c r="L11255" s="501">
        <v>273</v>
      </c>
      <c r="M11255" s="501">
        <v>0</v>
      </c>
      <c r="N11255" s="501">
        <v>0</v>
      </c>
      <c r="O11255" s="506">
        <v>0</v>
      </c>
    </row>
    <row r="11256" spans="1:15" x14ac:dyDescent="0.35">
      <c r="A11256" s="503" t="s">
        <v>1656</v>
      </c>
      <c r="B11256" s="504">
        <v>4756</v>
      </c>
      <c r="C11256" s="504" t="s">
        <v>1089</v>
      </c>
      <c r="D11256" s="504" t="s">
        <v>3392</v>
      </c>
      <c r="E11256" s="504" t="s">
        <v>3381</v>
      </c>
      <c r="F11256" s="504" t="s">
        <v>1048</v>
      </c>
      <c r="G11256" s="504" t="s">
        <v>3368</v>
      </c>
      <c r="H11256" s="504" t="s">
        <v>14061</v>
      </c>
      <c r="I11256" s="504">
        <v>2</v>
      </c>
      <c r="J11256" s="504">
        <v>0</v>
      </c>
      <c r="K11256" s="504">
        <v>0</v>
      </c>
      <c r="L11256" s="504">
        <v>2</v>
      </c>
      <c r="M11256" s="504">
        <v>0</v>
      </c>
      <c r="N11256" s="504">
        <v>0</v>
      </c>
      <c r="O11256" s="505">
        <v>0</v>
      </c>
    </row>
    <row r="11257" spans="1:15" x14ac:dyDescent="0.35">
      <c r="A11257" s="500" t="s">
        <v>1778</v>
      </c>
      <c r="B11257" s="501">
        <v>5052</v>
      </c>
      <c r="C11257" s="501" t="s">
        <v>1089</v>
      </c>
      <c r="D11257" s="501" t="s">
        <v>3392</v>
      </c>
      <c r="E11257" s="501" t="s">
        <v>3381</v>
      </c>
      <c r="F11257" s="501" t="s">
        <v>418</v>
      </c>
      <c r="G11257" s="501" t="s">
        <v>3368</v>
      </c>
      <c r="H11257" s="501" t="s">
        <v>13559</v>
      </c>
      <c r="I11257" s="501">
        <v>161</v>
      </c>
      <c r="J11257" s="501">
        <v>161</v>
      </c>
      <c r="K11257" s="501">
        <v>0</v>
      </c>
      <c r="L11257" s="501">
        <v>0</v>
      </c>
      <c r="M11257" s="501">
        <v>0</v>
      </c>
      <c r="N11257" s="501">
        <v>0</v>
      </c>
      <c r="O11257" s="506">
        <v>0</v>
      </c>
    </row>
    <row r="11258" spans="1:15" x14ac:dyDescent="0.35">
      <c r="A11258" s="503" t="s">
        <v>1929</v>
      </c>
      <c r="B11258" s="504" t="s">
        <v>3364</v>
      </c>
      <c r="C11258" s="504" t="s">
        <v>1089</v>
      </c>
      <c r="D11258" s="504" t="s">
        <v>3392</v>
      </c>
      <c r="E11258" s="504" t="s">
        <v>3381</v>
      </c>
      <c r="F11258" s="504" t="s">
        <v>2</v>
      </c>
      <c r="G11258" s="504" t="s">
        <v>3368</v>
      </c>
      <c r="H11258" s="504" t="s">
        <v>13560</v>
      </c>
      <c r="I11258" s="504">
        <v>1</v>
      </c>
      <c r="J11258" s="504">
        <v>1</v>
      </c>
      <c r="K11258" s="504">
        <v>0</v>
      </c>
      <c r="L11258" s="504">
        <v>0</v>
      </c>
      <c r="M11258" s="504">
        <v>0</v>
      </c>
      <c r="N11258" s="504">
        <v>0</v>
      </c>
      <c r="O11258" s="505">
        <v>0</v>
      </c>
    </row>
    <row r="11259" spans="1:15" x14ac:dyDescent="0.35">
      <c r="A11259" s="500" t="s">
        <v>2021</v>
      </c>
      <c r="B11259" s="501" t="s">
        <v>3099</v>
      </c>
      <c r="C11259" s="501" t="s">
        <v>1089</v>
      </c>
      <c r="D11259" s="501" t="s">
        <v>3392</v>
      </c>
      <c r="E11259" s="501" t="s">
        <v>3381</v>
      </c>
      <c r="F11259" s="501" t="s">
        <v>419</v>
      </c>
      <c r="G11259" s="501" t="s">
        <v>3368</v>
      </c>
      <c r="H11259" s="501" t="s">
        <v>13561</v>
      </c>
      <c r="I11259" s="501">
        <v>743</v>
      </c>
      <c r="J11259" s="501">
        <v>743</v>
      </c>
      <c r="K11259" s="501">
        <v>0</v>
      </c>
      <c r="L11259" s="501">
        <v>0</v>
      </c>
      <c r="M11259" s="501">
        <v>0</v>
      </c>
      <c r="N11259" s="501">
        <v>0</v>
      </c>
      <c r="O11259" s="506">
        <v>0</v>
      </c>
    </row>
    <row r="11260" spans="1:15" x14ac:dyDescent="0.35">
      <c r="A11260" s="503" t="s">
        <v>1347</v>
      </c>
      <c r="B11260" s="504" t="s">
        <v>3185</v>
      </c>
      <c r="C11260" s="504" t="s">
        <v>1089</v>
      </c>
      <c r="D11260" s="504" t="s">
        <v>3392</v>
      </c>
      <c r="E11260" s="504" t="s">
        <v>3381</v>
      </c>
      <c r="F11260" s="504" t="s">
        <v>415</v>
      </c>
      <c r="G11260" s="504" t="s">
        <v>3368</v>
      </c>
      <c r="H11260" s="504" t="s">
        <v>13563</v>
      </c>
      <c r="I11260" s="504">
        <v>36</v>
      </c>
      <c r="J11260" s="504">
        <v>36</v>
      </c>
      <c r="K11260" s="504">
        <v>0</v>
      </c>
      <c r="L11260" s="504">
        <v>0</v>
      </c>
      <c r="M11260" s="504">
        <v>0</v>
      </c>
      <c r="N11260" s="504">
        <v>0</v>
      </c>
      <c r="O11260" s="505">
        <v>0</v>
      </c>
    </row>
    <row r="11261" spans="1:15" x14ac:dyDescent="0.35">
      <c r="A11261" s="500" t="s">
        <v>1347</v>
      </c>
      <c r="B11261" s="501" t="s">
        <v>3185</v>
      </c>
      <c r="C11261" s="501" t="s">
        <v>1089</v>
      </c>
      <c r="D11261" s="501" t="s">
        <v>3392</v>
      </c>
      <c r="E11261" s="501" t="s">
        <v>3381</v>
      </c>
      <c r="F11261" s="501" t="s">
        <v>416</v>
      </c>
      <c r="G11261" s="501" t="s">
        <v>3368</v>
      </c>
      <c r="H11261" s="501" t="s">
        <v>13562</v>
      </c>
      <c r="I11261" s="501">
        <v>148</v>
      </c>
      <c r="J11261" s="501">
        <v>148</v>
      </c>
      <c r="K11261" s="501">
        <v>0</v>
      </c>
      <c r="L11261" s="501">
        <v>0</v>
      </c>
      <c r="M11261" s="501">
        <v>0</v>
      </c>
      <c r="N11261" s="501">
        <v>0</v>
      </c>
      <c r="O11261" s="506">
        <v>0</v>
      </c>
    </row>
    <row r="11262" spans="1:15" x14ac:dyDescent="0.35">
      <c r="A11262" s="503" t="s">
        <v>2113</v>
      </c>
      <c r="B11262" s="504">
        <v>4659</v>
      </c>
      <c r="C11262" s="504" t="s">
        <v>1089</v>
      </c>
      <c r="D11262" s="504" t="s">
        <v>3392</v>
      </c>
      <c r="E11262" s="504" t="s">
        <v>3381</v>
      </c>
      <c r="F11262" s="504" t="s">
        <v>420</v>
      </c>
      <c r="G11262" s="504" t="s">
        <v>3368</v>
      </c>
      <c r="H11262" s="504" t="s">
        <v>13564</v>
      </c>
      <c r="I11262" s="504">
        <v>49</v>
      </c>
      <c r="J11262" s="504">
        <v>0</v>
      </c>
      <c r="K11262" s="504">
        <v>0</v>
      </c>
      <c r="L11262" s="504">
        <v>49</v>
      </c>
      <c r="M11262" s="504">
        <v>0</v>
      </c>
      <c r="N11262" s="504">
        <v>0</v>
      </c>
      <c r="O11262" s="505">
        <v>0</v>
      </c>
    </row>
    <row r="11263" spans="1:15" x14ac:dyDescent="0.35">
      <c r="A11263" s="500" t="s">
        <v>2175</v>
      </c>
      <c r="B11263" s="501" t="s">
        <v>2709</v>
      </c>
      <c r="C11263" s="501" t="s">
        <v>1089</v>
      </c>
      <c r="D11263" s="501" t="s">
        <v>3392</v>
      </c>
      <c r="E11263" s="501" t="s">
        <v>3381</v>
      </c>
      <c r="F11263" s="501" t="s">
        <v>1048</v>
      </c>
      <c r="G11263" s="501" t="s">
        <v>3368</v>
      </c>
      <c r="H11263" s="501" t="s">
        <v>14062</v>
      </c>
      <c r="I11263" s="501">
        <v>38</v>
      </c>
      <c r="J11263" s="501">
        <v>38</v>
      </c>
      <c r="K11263" s="501">
        <v>0</v>
      </c>
      <c r="L11263" s="501">
        <v>0</v>
      </c>
      <c r="M11263" s="501">
        <v>0</v>
      </c>
      <c r="N11263" s="501">
        <v>0</v>
      </c>
      <c r="O11263" s="506">
        <v>0</v>
      </c>
    </row>
    <row r="11264" spans="1:15" x14ac:dyDescent="0.35">
      <c r="A11264" s="503" t="s">
        <v>2176</v>
      </c>
      <c r="B11264" s="504">
        <v>4679</v>
      </c>
      <c r="C11264" s="504" t="s">
        <v>1089</v>
      </c>
      <c r="D11264" s="504" t="s">
        <v>3392</v>
      </c>
      <c r="E11264" s="504" t="s">
        <v>3381</v>
      </c>
      <c r="F11264" s="504" t="s">
        <v>1048</v>
      </c>
      <c r="G11264" s="504" t="s">
        <v>3368</v>
      </c>
      <c r="H11264" s="504" t="s">
        <v>14063</v>
      </c>
      <c r="I11264" s="504">
        <v>75</v>
      </c>
      <c r="J11264" s="504">
        <v>0</v>
      </c>
      <c r="K11264" s="504">
        <v>0</v>
      </c>
      <c r="L11264" s="504">
        <v>75</v>
      </c>
      <c r="M11264" s="504">
        <v>0</v>
      </c>
      <c r="N11264" s="504">
        <v>0</v>
      </c>
      <c r="O11264" s="505">
        <v>0</v>
      </c>
    </row>
    <row r="11265" spans="1:15" x14ac:dyDescent="0.35">
      <c r="A11265" s="500" t="s">
        <v>2022</v>
      </c>
      <c r="B11265" s="501">
        <v>5059</v>
      </c>
      <c r="C11265" s="501" t="s">
        <v>1089</v>
      </c>
      <c r="D11265" s="501" t="s">
        <v>3392</v>
      </c>
      <c r="E11265" s="501" t="s">
        <v>3381</v>
      </c>
      <c r="F11265" s="501" t="s">
        <v>419</v>
      </c>
      <c r="G11265" s="501" t="s">
        <v>3368</v>
      </c>
      <c r="H11265" s="501" t="s">
        <v>13565</v>
      </c>
      <c r="I11265" s="501">
        <v>66</v>
      </c>
      <c r="J11265" s="501">
        <v>0</v>
      </c>
      <c r="K11265" s="501">
        <v>0</v>
      </c>
      <c r="L11265" s="501">
        <v>0</v>
      </c>
      <c r="M11265" s="501">
        <v>66</v>
      </c>
      <c r="N11265" s="501">
        <v>0</v>
      </c>
      <c r="O11265" s="506">
        <v>0</v>
      </c>
    </row>
    <row r="11266" spans="1:15" x14ac:dyDescent="0.35">
      <c r="A11266" s="503" t="s">
        <v>1559</v>
      </c>
      <c r="B11266" s="504" t="s">
        <v>3252</v>
      </c>
      <c r="C11266" s="504" t="s">
        <v>1089</v>
      </c>
      <c r="D11266" s="504" t="s">
        <v>3392</v>
      </c>
      <c r="E11266" s="504" t="s">
        <v>3381</v>
      </c>
      <c r="F11266" s="504" t="s">
        <v>1048</v>
      </c>
      <c r="G11266" s="504" t="s">
        <v>3368</v>
      </c>
      <c r="H11266" s="504" t="s">
        <v>14064</v>
      </c>
      <c r="I11266" s="504">
        <v>35</v>
      </c>
      <c r="J11266" s="504">
        <v>0</v>
      </c>
      <c r="K11266" s="504">
        <v>0</v>
      </c>
      <c r="L11266" s="504">
        <v>0</v>
      </c>
      <c r="M11266" s="504">
        <v>35</v>
      </c>
      <c r="N11266" s="504">
        <v>0</v>
      </c>
      <c r="O11266" s="505">
        <v>0</v>
      </c>
    </row>
    <row r="11267" spans="1:15" x14ac:dyDescent="0.35">
      <c r="A11267" s="500" t="s">
        <v>1559</v>
      </c>
      <c r="B11267" s="501" t="s">
        <v>3252</v>
      </c>
      <c r="C11267" s="501" t="s">
        <v>1089</v>
      </c>
      <c r="D11267" s="501" t="s">
        <v>3392</v>
      </c>
      <c r="E11267" s="501" t="s">
        <v>3381</v>
      </c>
      <c r="F11267" s="501" t="s">
        <v>2</v>
      </c>
      <c r="G11267" s="501" t="s">
        <v>3368</v>
      </c>
      <c r="H11267" s="501" t="s">
        <v>13567</v>
      </c>
      <c r="I11267" s="501">
        <v>27</v>
      </c>
      <c r="J11267" s="501">
        <v>0</v>
      </c>
      <c r="K11267" s="501">
        <v>0</v>
      </c>
      <c r="L11267" s="501">
        <v>0</v>
      </c>
      <c r="M11267" s="501">
        <v>27</v>
      </c>
      <c r="N11267" s="501">
        <v>0</v>
      </c>
      <c r="O11267" s="506">
        <v>0</v>
      </c>
    </row>
    <row r="11268" spans="1:15" x14ac:dyDescent="0.35">
      <c r="A11268" s="503" t="s">
        <v>1559</v>
      </c>
      <c r="B11268" s="504" t="s">
        <v>3252</v>
      </c>
      <c r="C11268" s="504" t="s">
        <v>1089</v>
      </c>
      <c r="D11268" s="504" t="s">
        <v>3392</v>
      </c>
      <c r="E11268" s="504" t="s">
        <v>3381</v>
      </c>
      <c r="F11268" s="504" t="s">
        <v>416</v>
      </c>
      <c r="G11268" s="504" t="s">
        <v>3368</v>
      </c>
      <c r="H11268" s="504" t="s">
        <v>13566</v>
      </c>
      <c r="I11268" s="504">
        <v>370</v>
      </c>
      <c r="J11268" s="504">
        <v>293</v>
      </c>
      <c r="K11268" s="504">
        <v>15</v>
      </c>
      <c r="L11268" s="504">
        <v>0</v>
      </c>
      <c r="M11268" s="504">
        <v>62</v>
      </c>
      <c r="N11268" s="504">
        <v>0</v>
      </c>
      <c r="O11268" s="505">
        <v>0</v>
      </c>
    </row>
    <row r="11269" spans="1:15" x14ac:dyDescent="0.35">
      <c r="A11269" s="500" t="s">
        <v>1559</v>
      </c>
      <c r="B11269" s="501" t="s">
        <v>3252</v>
      </c>
      <c r="C11269" s="501" t="s">
        <v>1089</v>
      </c>
      <c r="D11269" s="501" t="s">
        <v>3392</v>
      </c>
      <c r="E11269" s="501" t="s">
        <v>3381</v>
      </c>
      <c r="F11269" s="501" t="s">
        <v>420</v>
      </c>
      <c r="G11269" s="501" t="s">
        <v>3368</v>
      </c>
      <c r="H11269" s="501" t="s">
        <v>13568</v>
      </c>
      <c r="I11269" s="501">
        <v>62</v>
      </c>
      <c r="J11269" s="501">
        <v>0</v>
      </c>
      <c r="K11269" s="501">
        <v>0</v>
      </c>
      <c r="L11269" s="501">
        <v>0</v>
      </c>
      <c r="M11269" s="501">
        <v>62</v>
      </c>
      <c r="N11269" s="501">
        <v>0</v>
      </c>
      <c r="O11269" s="506">
        <v>0</v>
      </c>
    </row>
    <row r="11270" spans="1:15" x14ac:dyDescent="0.35">
      <c r="A11270" s="503" t="s">
        <v>1559</v>
      </c>
      <c r="B11270" s="504" t="s">
        <v>3252</v>
      </c>
      <c r="C11270" s="504" t="s">
        <v>1089</v>
      </c>
      <c r="D11270" s="504" t="s">
        <v>3392</v>
      </c>
      <c r="E11270" s="504" t="s">
        <v>3381</v>
      </c>
      <c r="F11270" s="504" t="s">
        <v>419</v>
      </c>
      <c r="G11270" s="504" t="s">
        <v>3368</v>
      </c>
      <c r="H11270" s="504" t="s">
        <v>13569</v>
      </c>
      <c r="I11270" s="504">
        <v>87</v>
      </c>
      <c r="J11270" s="504">
        <v>0</v>
      </c>
      <c r="K11270" s="504">
        <v>0</v>
      </c>
      <c r="L11270" s="504">
        <v>0</v>
      </c>
      <c r="M11270" s="504">
        <v>87</v>
      </c>
      <c r="N11270" s="504">
        <v>0</v>
      </c>
      <c r="O11270" s="505">
        <v>0</v>
      </c>
    </row>
    <row r="11271" spans="1:15" x14ac:dyDescent="0.35">
      <c r="A11271" s="500" t="s">
        <v>2023</v>
      </c>
      <c r="B11271" s="501" t="s">
        <v>3357</v>
      </c>
      <c r="C11271" s="501" t="s">
        <v>1094</v>
      </c>
      <c r="D11271" s="501" t="s">
        <v>3380</v>
      </c>
      <c r="E11271" s="501" t="s">
        <v>3381</v>
      </c>
      <c r="F11271" s="501" t="s">
        <v>419</v>
      </c>
      <c r="G11271" s="501" t="s">
        <v>3368</v>
      </c>
      <c r="H11271" s="501" t="s">
        <v>13570</v>
      </c>
      <c r="I11271" s="501">
        <v>3740</v>
      </c>
      <c r="J11271" s="501">
        <v>2627</v>
      </c>
      <c r="K11271" s="501">
        <v>0</v>
      </c>
      <c r="L11271" s="501">
        <v>0</v>
      </c>
      <c r="M11271" s="501">
        <v>999</v>
      </c>
      <c r="N11271" s="501">
        <v>0</v>
      </c>
      <c r="O11271" s="506">
        <v>114</v>
      </c>
    </row>
    <row r="11272" spans="1:15" x14ac:dyDescent="0.35">
      <c r="A11272" s="503" t="s">
        <v>1906</v>
      </c>
      <c r="B11272" s="504" t="s">
        <v>3062</v>
      </c>
      <c r="C11272" s="504" t="s">
        <v>1089</v>
      </c>
      <c r="D11272" s="504" t="s">
        <v>3392</v>
      </c>
      <c r="E11272" s="504" t="s">
        <v>3381</v>
      </c>
      <c r="F11272" s="504" t="s">
        <v>2</v>
      </c>
      <c r="G11272" s="504" t="s">
        <v>3368</v>
      </c>
      <c r="H11272" s="504" t="s">
        <v>13571</v>
      </c>
      <c r="I11272" s="504">
        <v>96</v>
      </c>
      <c r="J11272" s="504">
        <v>0</v>
      </c>
      <c r="K11272" s="504">
        <v>0</v>
      </c>
      <c r="L11272" s="504">
        <v>0</v>
      </c>
      <c r="M11272" s="504">
        <v>96</v>
      </c>
      <c r="N11272" s="504">
        <v>0</v>
      </c>
      <c r="O11272" s="505">
        <v>0</v>
      </c>
    </row>
    <row r="11273" spans="1:15" x14ac:dyDescent="0.35">
      <c r="A11273" s="500" t="s">
        <v>1907</v>
      </c>
      <c r="B11273" s="501" t="s">
        <v>2971</v>
      </c>
      <c r="C11273" s="501" t="s">
        <v>1089</v>
      </c>
      <c r="D11273" s="501" t="s">
        <v>3392</v>
      </c>
      <c r="E11273" s="501" t="s">
        <v>3381</v>
      </c>
      <c r="F11273" s="501" t="s">
        <v>2</v>
      </c>
      <c r="G11273" s="501" t="s">
        <v>3368</v>
      </c>
      <c r="H11273" s="501" t="s">
        <v>13572</v>
      </c>
      <c r="I11273" s="501">
        <v>15</v>
      </c>
      <c r="J11273" s="501">
        <v>0</v>
      </c>
      <c r="K11273" s="501">
        <v>0</v>
      </c>
      <c r="L11273" s="501">
        <v>0</v>
      </c>
      <c r="M11273" s="501">
        <v>15</v>
      </c>
      <c r="N11273" s="501">
        <v>0</v>
      </c>
      <c r="O11273" s="506">
        <v>0</v>
      </c>
    </row>
    <row r="11274" spans="1:15" x14ac:dyDescent="0.35">
      <c r="A11274" s="503" t="s">
        <v>1560</v>
      </c>
      <c r="B11274" s="504" t="s">
        <v>2990</v>
      </c>
      <c r="C11274" s="504" t="s">
        <v>1094</v>
      </c>
      <c r="D11274" s="504" t="s">
        <v>3380</v>
      </c>
      <c r="E11274" s="504" t="s">
        <v>3381</v>
      </c>
      <c r="F11274" s="504" t="s">
        <v>2</v>
      </c>
      <c r="G11274" s="504" t="s">
        <v>3368</v>
      </c>
      <c r="H11274" s="504" t="s">
        <v>13573</v>
      </c>
      <c r="I11274" s="504">
        <v>224</v>
      </c>
      <c r="J11274" s="504">
        <v>224</v>
      </c>
      <c r="K11274" s="504">
        <v>0</v>
      </c>
      <c r="L11274" s="504">
        <v>0</v>
      </c>
      <c r="M11274" s="504">
        <v>0</v>
      </c>
      <c r="N11274" s="504">
        <v>0</v>
      </c>
      <c r="O11274" s="505">
        <v>0</v>
      </c>
    </row>
    <row r="11275" spans="1:15" x14ac:dyDescent="0.35">
      <c r="A11275" s="500" t="s">
        <v>1560</v>
      </c>
      <c r="B11275" s="501" t="s">
        <v>2990</v>
      </c>
      <c r="C11275" s="501" t="s">
        <v>1094</v>
      </c>
      <c r="D11275" s="501" t="s">
        <v>3380</v>
      </c>
      <c r="E11275" s="501" t="s">
        <v>3381</v>
      </c>
      <c r="F11275" s="501" t="s">
        <v>416</v>
      </c>
      <c r="G11275" s="501" t="s">
        <v>3368</v>
      </c>
      <c r="H11275" s="501" t="s">
        <v>13574</v>
      </c>
      <c r="I11275" s="501">
        <v>1206</v>
      </c>
      <c r="J11275" s="501">
        <v>946</v>
      </c>
      <c r="K11275" s="501">
        <v>0</v>
      </c>
      <c r="L11275" s="501">
        <v>0</v>
      </c>
      <c r="M11275" s="501">
        <v>0</v>
      </c>
      <c r="N11275" s="501">
        <v>0</v>
      </c>
      <c r="O11275" s="506">
        <v>260</v>
      </c>
    </row>
    <row r="11276" spans="1:15" x14ac:dyDescent="0.35">
      <c r="A11276" s="503" t="s">
        <v>1348</v>
      </c>
      <c r="B11276" s="504" t="s">
        <v>2860</v>
      </c>
      <c r="C11276" s="504" t="s">
        <v>1089</v>
      </c>
      <c r="D11276" s="504" t="s">
        <v>3392</v>
      </c>
      <c r="E11276" s="504" t="s">
        <v>3381</v>
      </c>
      <c r="F11276" s="504" t="s">
        <v>415</v>
      </c>
      <c r="G11276" s="504" t="s">
        <v>3368</v>
      </c>
      <c r="H11276" s="504" t="s">
        <v>13575</v>
      </c>
      <c r="I11276" s="504">
        <v>34</v>
      </c>
      <c r="J11276" s="504">
        <v>0</v>
      </c>
      <c r="K11276" s="504">
        <v>0</v>
      </c>
      <c r="L11276" s="504">
        <v>0</v>
      </c>
      <c r="M11276" s="504">
        <v>34</v>
      </c>
      <c r="N11276" s="504">
        <v>0</v>
      </c>
      <c r="O11276" s="505">
        <v>0</v>
      </c>
    </row>
    <row r="11277" spans="1:15" x14ac:dyDescent="0.35">
      <c r="A11277" s="500" t="s">
        <v>2024</v>
      </c>
      <c r="B11277" s="501" t="s">
        <v>2896</v>
      </c>
      <c r="C11277" s="501" t="s">
        <v>1089</v>
      </c>
      <c r="D11277" s="501" t="s">
        <v>3392</v>
      </c>
      <c r="E11277" s="501" t="s">
        <v>3381</v>
      </c>
      <c r="F11277" s="501" t="s">
        <v>419</v>
      </c>
      <c r="G11277" s="501" t="s">
        <v>3368</v>
      </c>
      <c r="H11277" s="501" t="s">
        <v>13576</v>
      </c>
      <c r="I11277" s="501">
        <v>15</v>
      </c>
      <c r="J11277" s="501">
        <v>0</v>
      </c>
      <c r="K11277" s="501">
        <v>0</v>
      </c>
      <c r="L11277" s="501">
        <v>15</v>
      </c>
      <c r="M11277" s="501">
        <v>0</v>
      </c>
      <c r="N11277" s="501">
        <v>0</v>
      </c>
      <c r="O11277" s="506">
        <v>0</v>
      </c>
    </row>
    <row r="11278" spans="1:15" x14ac:dyDescent="0.35">
      <c r="A11278" s="503" t="s">
        <v>14323</v>
      </c>
      <c r="B11278" s="504" t="s">
        <v>14322</v>
      </c>
      <c r="C11278" s="504" t="s">
        <v>1089</v>
      </c>
      <c r="D11278" s="504" t="s">
        <v>3392</v>
      </c>
      <c r="E11278" s="504" t="s">
        <v>3381</v>
      </c>
      <c r="F11278" s="504" t="s">
        <v>417</v>
      </c>
      <c r="G11278" s="504" t="s">
        <v>3368</v>
      </c>
      <c r="H11278" s="504" t="s">
        <v>15428</v>
      </c>
      <c r="I11278" s="504">
        <v>26</v>
      </c>
      <c r="J11278" s="504">
        <v>0</v>
      </c>
      <c r="K11278" s="504">
        <v>0</v>
      </c>
      <c r="L11278" s="504">
        <v>26</v>
      </c>
      <c r="M11278" s="504">
        <v>0</v>
      </c>
      <c r="N11278" s="504">
        <v>0</v>
      </c>
      <c r="O11278" s="505">
        <v>0</v>
      </c>
    </row>
    <row r="11279" spans="1:15" x14ac:dyDescent="0.35">
      <c r="A11279" s="500" t="s">
        <v>11425</v>
      </c>
      <c r="B11279" s="501" t="s">
        <v>2893</v>
      </c>
      <c r="C11279" s="501" t="s">
        <v>1089</v>
      </c>
      <c r="D11279" s="501" t="s">
        <v>3392</v>
      </c>
      <c r="E11279" s="501" t="s">
        <v>3381</v>
      </c>
      <c r="F11279" s="501" t="s">
        <v>419</v>
      </c>
      <c r="G11279" s="501" t="s">
        <v>3368</v>
      </c>
      <c r="H11279" s="501" t="s">
        <v>13577</v>
      </c>
      <c r="I11279" s="501">
        <v>9</v>
      </c>
      <c r="J11279" s="501">
        <v>0</v>
      </c>
      <c r="K11279" s="501">
        <v>0</v>
      </c>
      <c r="L11279" s="501">
        <v>0</v>
      </c>
      <c r="M11279" s="501">
        <v>9</v>
      </c>
      <c r="N11279" s="501">
        <v>0</v>
      </c>
      <c r="O11279" s="506">
        <v>0</v>
      </c>
    </row>
    <row r="11280" spans="1:15" x14ac:dyDescent="0.35">
      <c r="A11280" s="503" t="s">
        <v>2177</v>
      </c>
      <c r="B11280" s="504" t="s">
        <v>2836</v>
      </c>
      <c r="C11280" s="504" t="s">
        <v>1089</v>
      </c>
      <c r="D11280" s="504" t="s">
        <v>3392</v>
      </c>
      <c r="E11280" s="504" t="s">
        <v>3381</v>
      </c>
      <c r="F11280" s="504" t="s">
        <v>1048</v>
      </c>
      <c r="G11280" s="504" t="s">
        <v>3368</v>
      </c>
      <c r="H11280" s="504" t="s">
        <v>14065</v>
      </c>
      <c r="I11280" s="504">
        <v>10</v>
      </c>
      <c r="J11280" s="504">
        <v>0</v>
      </c>
      <c r="K11280" s="504">
        <v>0</v>
      </c>
      <c r="L11280" s="504">
        <v>0</v>
      </c>
      <c r="M11280" s="504">
        <v>10</v>
      </c>
      <c r="N11280" s="504">
        <v>0</v>
      </c>
      <c r="O11280" s="505">
        <v>0</v>
      </c>
    </row>
    <row r="11281" spans="1:15" x14ac:dyDescent="0.35">
      <c r="A11281" s="500" t="s">
        <v>2025</v>
      </c>
      <c r="B11281" s="501" t="s">
        <v>2889</v>
      </c>
      <c r="C11281" s="501" t="s">
        <v>1089</v>
      </c>
      <c r="D11281" s="501" t="s">
        <v>3392</v>
      </c>
      <c r="E11281" s="501" t="s">
        <v>3381</v>
      </c>
      <c r="F11281" s="501" t="s">
        <v>419</v>
      </c>
      <c r="G11281" s="501" t="s">
        <v>3368</v>
      </c>
      <c r="H11281" s="501" t="s">
        <v>13578</v>
      </c>
      <c r="I11281" s="501">
        <v>9</v>
      </c>
      <c r="J11281" s="501">
        <v>0</v>
      </c>
      <c r="K11281" s="501">
        <v>0</v>
      </c>
      <c r="L11281" s="501">
        <v>0</v>
      </c>
      <c r="M11281" s="501">
        <v>9</v>
      </c>
      <c r="N11281" s="501">
        <v>0</v>
      </c>
      <c r="O11281" s="506">
        <v>0</v>
      </c>
    </row>
    <row r="11282" spans="1:15" x14ac:dyDescent="0.35">
      <c r="A11282" s="503" t="s">
        <v>2026</v>
      </c>
      <c r="B11282" s="504" t="s">
        <v>2832</v>
      </c>
      <c r="C11282" s="504" t="s">
        <v>1089</v>
      </c>
      <c r="D11282" s="504" t="s">
        <v>3392</v>
      </c>
      <c r="E11282" s="504" t="s">
        <v>3381</v>
      </c>
      <c r="F11282" s="504" t="s">
        <v>419</v>
      </c>
      <c r="G11282" s="504" t="s">
        <v>3368</v>
      </c>
      <c r="H11282" s="504" t="s">
        <v>13579</v>
      </c>
      <c r="I11282" s="504">
        <v>10</v>
      </c>
      <c r="J11282" s="504">
        <v>0</v>
      </c>
      <c r="K11282" s="504">
        <v>0</v>
      </c>
      <c r="L11282" s="504">
        <v>0</v>
      </c>
      <c r="M11282" s="504">
        <v>10</v>
      </c>
      <c r="N11282" s="504">
        <v>0</v>
      </c>
      <c r="O11282" s="505">
        <v>0</v>
      </c>
    </row>
    <row r="11283" spans="1:15" x14ac:dyDescent="0.35">
      <c r="A11283" s="500" t="s">
        <v>1908</v>
      </c>
      <c r="B11283" s="501" t="s">
        <v>2916</v>
      </c>
      <c r="C11283" s="501" t="s">
        <v>1089</v>
      </c>
      <c r="D11283" s="501" t="s">
        <v>3392</v>
      </c>
      <c r="E11283" s="501" t="s">
        <v>3381</v>
      </c>
      <c r="F11283" s="501" t="s">
        <v>2</v>
      </c>
      <c r="G11283" s="501" t="s">
        <v>3368</v>
      </c>
      <c r="H11283" s="501" t="s">
        <v>13580</v>
      </c>
      <c r="I11283" s="501">
        <v>10</v>
      </c>
      <c r="J11283" s="501">
        <v>0</v>
      </c>
      <c r="K11283" s="501">
        <v>0</v>
      </c>
      <c r="L11283" s="501">
        <v>0</v>
      </c>
      <c r="M11283" s="501">
        <v>10</v>
      </c>
      <c r="N11283" s="501">
        <v>0</v>
      </c>
      <c r="O11283" s="506">
        <v>0</v>
      </c>
    </row>
    <row r="11284" spans="1:15" x14ac:dyDescent="0.35">
      <c r="A11284" s="503" t="s">
        <v>1769</v>
      </c>
      <c r="B11284" s="504" t="s">
        <v>2847</v>
      </c>
      <c r="C11284" s="504" t="s">
        <v>1089</v>
      </c>
      <c r="D11284" s="504" t="s">
        <v>3392</v>
      </c>
      <c r="E11284" s="504" t="s">
        <v>3381</v>
      </c>
      <c r="F11284" s="504" t="s">
        <v>418</v>
      </c>
      <c r="G11284" s="504" t="s">
        <v>3368</v>
      </c>
      <c r="H11284" s="504" t="s">
        <v>13581</v>
      </c>
      <c r="I11284" s="504">
        <v>12</v>
      </c>
      <c r="J11284" s="504">
        <v>0</v>
      </c>
      <c r="K11284" s="504">
        <v>0</v>
      </c>
      <c r="L11284" s="504">
        <v>12</v>
      </c>
      <c r="M11284" s="504">
        <v>0</v>
      </c>
      <c r="N11284" s="504">
        <v>0</v>
      </c>
      <c r="O11284" s="505">
        <v>0</v>
      </c>
    </row>
    <row r="11285" spans="1:15" x14ac:dyDescent="0.35">
      <c r="A11285" s="500" t="s">
        <v>1349</v>
      </c>
      <c r="B11285" s="501" t="s">
        <v>2849</v>
      </c>
      <c r="C11285" s="501" t="s">
        <v>1089</v>
      </c>
      <c r="D11285" s="501" t="s">
        <v>3392</v>
      </c>
      <c r="E11285" s="501" t="s">
        <v>3381</v>
      </c>
      <c r="F11285" s="501" t="s">
        <v>415</v>
      </c>
      <c r="G11285" s="501" t="s">
        <v>3368</v>
      </c>
      <c r="H11285" s="501" t="s">
        <v>13582</v>
      </c>
      <c r="I11285" s="501">
        <v>23</v>
      </c>
      <c r="J11285" s="501">
        <v>0</v>
      </c>
      <c r="K11285" s="501">
        <v>0</v>
      </c>
      <c r="L11285" s="501">
        <v>23</v>
      </c>
      <c r="M11285" s="501">
        <v>0</v>
      </c>
      <c r="N11285" s="501">
        <v>0</v>
      </c>
      <c r="O11285" s="506">
        <v>0</v>
      </c>
    </row>
    <row r="11286" spans="1:15" x14ac:dyDescent="0.35">
      <c r="A11286" s="503" t="s">
        <v>1657</v>
      </c>
      <c r="B11286" s="504" t="s">
        <v>2886</v>
      </c>
      <c r="C11286" s="504" t="s">
        <v>1089</v>
      </c>
      <c r="D11286" s="504" t="s">
        <v>3392</v>
      </c>
      <c r="E11286" s="504" t="s">
        <v>3381</v>
      </c>
      <c r="F11286" s="504" t="s">
        <v>417</v>
      </c>
      <c r="G11286" s="504" t="s">
        <v>3368</v>
      </c>
      <c r="H11286" s="504" t="s">
        <v>13583</v>
      </c>
      <c r="I11286" s="504">
        <v>9</v>
      </c>
      <c r="J11286" s="504">
        <v>0</v>
      </c>
      <c r="K11286" s="504">
        <v>0</v>
      </c>
      <c r="L11286" s="504">
        <v>0</v>
      </c>
      <c r="M11286" s="504">
        <v>9</v>
      </c>
      <c r="N11286" s="504">
        <v>0</v>
      </c>
      <c r="O11286" s="505">
        <v>0</v>
      </c>
    </row>
    <row r="11287" spans="1:15" x14ac:dyDescent="0.35">
      <c r="A11287" s="500" t="s">
        <v>11464</v>
      </c>
      <c r="B11287" s="501" t="s">
        <v>2937</v>
      </c>
      <c r="C11287" s="501" t="s">
        <v>1089</v>
      </c>
      <c r="D11287" s="501" t="s">
        <v>3392</v>
      </c>
      <c r="E11287" s="501" t="s">
        <v>3381</v>
      </c>
      <c r="F11287" s="501" t="s">
        <v>420</v>
      </c>
      <c r="G11287" s="501" t="s">
        <v>3368</v>
      </c>
      <c r="H11287" s="501" t="s">
        <v>13584</v>
      </c>
      <c r="I11287" s="501">
        <v>11</v>
      </c>
      <c r="J11287" s="501">
        <v>0</v>
      </c>
      <c r="K11287" s="501">
        <v>0</v>
      </c>
      <c r="L11287" s="501">
        <v>0</v>
      </c>
      <c r="M11287" s="501">
        <v>11</v>
      </c>
      <c r="N11287" s="501">
        <v>0</v>
      </c>
      <c r="O11287" s="506">
        <v>0</v>
      </c>
    </row>
    <row r="11288" spans="1:15" x14ac:dyDescent="0.35">
      <c r="A11288" s="503" t="s">
        <v>2027</v>
      </c>
      <c r="B11288" s="504" t="s">
        <v>2902</v>
      </c>
      <c r="C11288" s="504" t="s">
        <v>1089</v>
      </c>
      <c r="D11288" s="504" t="s">
        <v>3392</v>
      </c>
      <c r="E11288" s="504" t="s">
        <v>3381</v>
      </c>
      <c r="F11288" s="504" t="s">
        <v>419</v>
      </c>
      <c r="G11288" s="504" t="s">
        <v>3368</v>
      </c>
      <c r="H11288" s="504" t="s">
        <v>13585</v>
      </c>
      <c r="I11288" s="504">
        <v>12</v>
      </c>
      <c r="J11288" s="504">
        <v>0</v>
      </c>
      <c r="K11288" s="504">
        <v>0</v>
      </c>
      <c r="L11288" s="504">
        <v>0</v>
      </c>
      <c r="M11288" s="504">
        <v>12</v>
      </c>
      <c r="N11288" s="504">
        <v>0</v>
      </c>
      <c r="O11288" s="505">
        <v>0</v>
      </c>
    </row>
    <row r="11289" spans="1:15" x14ac:dyDescent="0.35">
      <c r="A11289" s="500" t="s">
        <v>2028</v>
      </c>
      <c r="B11289" s="501" t="s">
        <v>2863</v>
      </c>
      <c r="C11289" s="501" t="s">
        <v>1089</v>
      </c>
      <c r="D11289" s="501" t="s">
        <v>3392</v>
      </c>
      <c r="E11289" s="501" t="s">
        <v>3381</v>
      </c>
      <c r="F11289" s="501" t="s">
        <v>419</v>
      </c>
      <c r="G11289" s="501" t="s">
        <v>3368</v>
      </c>
      <c r="H11289" s="501" t="s">
        <v>13586</v>
      </c>
      <c r="I11289" s="501">
        <v>7</v>
      </c>
      <c r="J11289" s="501">
        <v>0</v>
      </c>
      <c r="K11289" s="501">
        <v>0</v>
      </c>
      <c r="L11289" s="501">
        <v>0</v>
      </c>
      <c r="M11289" s="501">
        <v>7</v>
      </c>
      <c r="N11289" s="501">
        <v>0</v>
      </c>
      <c r="O11289" s="506">
        <v>0</v>
      </c>
    </row>
    <row r="11290" spans="1:15" x14ac:dyDescent="0.35">
      <c r="A11290" s="503" t="s">
        <v>14331</v>
      </c>
      <c r="B11290" s="504" t="s">
        <v>14330</v>
      </c>
      <c r="C11290" s="504" t="s">
        <v>1089</v>
      </c>
      <c r="D11290" s="504" t="s">
        <v>3392</v>
      </c>
      <c r="E11290" s="504" t="s">
        <v>3381</v>
      </c>
      <c r="F11290" s="504" t="s">
        <v>419</v>
      </c>
      <c r="G11290" s="504" t="s">
        <v>3368</v>
      </c>
      <c r="H11290" s="504" t="s">
        <v>15429</v>
      </c>
      <c r="I11290" s="504">
        <v>8</v>
      </c>
      <c r="J11290" s="504">
        <v>0</v>
      </c>
      <c r="K11290" s="504">
        <v>0</v>
      </c>
      <c r="L11290" s="504">
        <v>0</v>
      </c>
      <c r="M11290" s="504">
        <v>8</v>
      </c>
      <c r="N11290" s="504">
        <v>0</v>
      </c>
      <c r="O11290" s="505">
        <v>0</v>
      </c>
    </row>
    <row r="11291" spans="1:15" x14ac:dyDescent="0.35">
      <c r="A11291" s="500" t="s">
        <v>11408</v>
      </c>
      <c r="B11291" s="501" t="s">
        <v>11465</v>
      </c>
      <c r="C11291" s="501" t="s">
        <v>1089</v>
      </c>
      <c r="D11291" s="501" t="s">
        <v>3392</v>
      </c>
      <c r="E11291" s="501" t="s">
        <v>3381</v>
      </c>
      <c r="F11291" s="501" t="s">
        <v>418</v>
      </c>
      <c r="G11291" s="501" t="s">
        <v>3368</v>
      </c>
      <c r="H11291" s="501" t="s">
        <v>13587</v>
      </c>
      <c r="I11291" s="501">
        <v>22</v>
      </c>
      <c r="J11291" s="501">
        <v>22</v>
      </c>
      <c r="K11291" s="501">
        <v>0</v>
      </c>
      <c r="L11291" s="501">
        <v>0</v>
      </c>
      <c r="M11291" s="501">
        <v>0</v>
      </c>
      <c r="N11291" s="501">
        <v>0</v>
      </c>
      <c r="O11291" s="506">
        <v>0</v>
      </c>
    </row>
    <row r="11292" spans="1:15" x14ac:dyDescent="0.35">
      <c r="A11292" s="503" t="s">
        <v>1770</v>
      </c>
      <c r="B11292" s="504" t="s">
        <v>2890</v>
      </c>
      <c r="C11292" s="504" t="s">
        <v>1089</v>
      </c>
      <c r="D11292" s="504" t="s">
        <v>3392</v>
      </c>
      <c r="E11292" s="504" t="s">
        <v>3381</v>
      </c>
      <c r="F11292" s="504" t="s">
        <v>418</v>
      </c>
      <c r="G11292" s="504" t="s">
        <v>3368</v>
      </c>
      <c r="H11292" s="504" t="s">
        <v>13588</v>
      </c>
      <c r="I11292" s="504">
        <v>33</v>
      </c>
      <c r="J11292" s="504">
        <v>0</v>
      </c>
      <c r="K11292" s="504">
        <v>0</v>
      </c>
      <c r="L11292" s="504">
        <v>0</v>
      </c>
      <c r="M11292" s="504">
        <v>33</v>
      </c>
      <c r="N11292" s="504">
        <v>0</v>
      </c>
      <c r="O11292" s="505">
        <v>0</v>
      </c>
    </row>
    <row r="11293" spans="1:15" x14ac:dyDescent="0.35">
      <c r="A11293" s="500" t="s">
        <v>11426</v>
      </c>
      <c r="B11293" s="501" t="s">
        <v>2846</v>
      </c>
      <c r="C11293" s="501" t="s">
        <v>1089</v>
      </c>
      <c r="D11293" s="501" t="s">
        <v>3392</v>
      </c>
      <c r="E11293" s="501" t="s">
        <v>3381</v>
      </c>
      <c r="F11293" s="501" t="s">
        <v>419</v>
      </c>
      <c r="G11293" s="501" t="s">
        <v>3368</v>
      </c>
      <c r="H11293" s="501" t="s">
        <v>13589</v>
      </c>
      <c r="I11293" s="501">
        <v>7</v>
      </c>
      <c r="J11293" s="501">
        <v>0</v>
      </c>
      <c r="K11293" s="501">
        <v>0</v>
      </c>
      <c r="L11293" s="501">
        <v>0</v>
      </c>
      <c r="M11293" s="501">
        <v>7</v>
      </c>
      <c r="N11293" s="501">
        <v>0</v>
      </c>
      <c r="O11293" s="506">
        <v>0</v>
      </c>
    </row>
    <row r="11294" spans="1:15" x14ac:dyDescent="0.35">
      <c r="A11294" s="503" t="s">
        <v>1350</v>
      </c>
      <c r="B11294" s="504" t="s">
        <v>2864</v>
      </c>
      <c r="C11294" s="504" t="s">
        <v>1089</v>
      </c>
      <c r="D11294" s="504" t="s">
        <v>3392</v>
      </c>
      <c r="E11294" s="504" t="s">
        <v>3381</v>
      </c>
      <c r="F11294" s="504" t="s">
        <v>415</v>
      </c>
      <c r="G11294" s="504" t="s">
        <v>3368</v>
      </c>
      <c r="H11294" s="504" t="s">
        <v>13590</v>
      </c>
      <c r="I11294" s="504">
        <v>11</v>
      </c>
      <c r="J11294" s="504">
        <v>0</v>
      </c>
      <c r="K11294" s="504">
        <v>0</v>
      </c>
      <c r="L11294" s="504">
        <v>0</v>
      </c>
      <c r="M11294" s="504">
        <v>11</v>
      </c>
      <c r="N11294" s="504">
        <v>0</v>
      </c>
      <c r="O11294" s="505">
        <v>0</v>
      </c>
    </row>
    <row r="11295" spans="1:15" x14ac:dyDescent="0.35">
      <c r="A11295" s="500" t="s">
        <v>1909</v>
      </c>
      <c r="B11295" s="501" t="s">
        <v>2867</v>
      </c>
      <c r="C11295" s="501" t="s">
        <v>1089</v>
      </c>
      <c r="D11295" s="501" t="s">
        <v>3392</v>
      </c>
      <c r="E11295" s="501" t="s">
        <v>3381</v>
      </c>
      <c r="F11295" s="501" t="s">
        <v>2</v>
      </c>
      <c r="G11295" s="501" t="s">
        <v>3368</v>
      </c>
      <c r="H11295" s="501" t="s">
        <v>13591</v>
      </c>
      <c r="I11295" s="501">
        <v>11</v>
      </c>
      <c r="J11295" s="501">
        <v>0</v>
      </c>
      <c r="K11295" s="501">
        <v>0</v>
      </c>
      <c r="L11295" s="501">
        <v>11</v>
      </c>
      <c r="M11295" s="501">
        <v>0</v>
      </c>
      <c r="N11295" s="501">
        <v>0</v>
      </c>
      <c r="O11295" s="506">
        <v>0</v>
      </c>
    </row>
    <row r="11296" spans="1:15" x14ac:dyDescent="0.35">
      <c r="A11296" s="503" t="s">
        <v>11394</v>
      </c>
      <c r="B11296" s="504" t="s">
        <v>2881</v>
      </c>
      <c r="C11296" s="504" t="s">
        <v>1089</v>
      </c>
      <c r="D11296" s="504" t="s">
        <v>3392</v>
      </c>
      <c r="E11296" s="504" t="s">
        <v>3381</v>
      </c>
      <c r="F11296" s="504" t="s">
        <v>416</v>
      </c>
      <c r="G11296" s="504" t="s">
        <v>3368</v>
      </c>
      <c r="H11296" s="504" t="s">
        <v>13592</v>
      </c>
      <c r="I11296" s="504">
        <v>8</v>
      </c>
      <c r="J11296" s="504">
        <v>0</v>
      </c>
      <c r="K11296" s="504">
        <v>0</v>
      </c>
      <c r="L11296" s="504">
        <v>0</v>
      </c>
      <c r="M11296" s="504">
        <v>8</v>
      </c>
      <c r="N11296" s="504">
        <v>0</v>
      </c>
      <c r="O11296" s="505">
        <v>0</v>
      </c>
    </row>
    <row r="11297" spans="1:15" x14ac:dyDescent="0.35">
      <c r="A11297" s="500" t="s">
        <v>11409</v>
      </c>
      <c r="B11297" s="501" t="s">
        <v>2831</v>
      </c>
      <c r="C11297" s="501" t="s">
        <v>1089</v>
      </c>
      <c r="D11297" s="501" t="s">
        <v>3392</v>
      </c>
      <c r="E11297" s="501" t="s">
        <v>3381</v>
      </c>
      <c r="F11297" s="501" t="s">
        <v>418</v>
      </c>
      <c r="G11297" s="501" t="s">
        <v>3368</v>
      </c>
      <c r="H11297" s="501" t="s">
        <v>13593</v>
      </c>
      <c r="I11297" s="501">
        <v>12</v>
      </c>
      <c r="J11297" s="501">
        <v>0</v>
      </c>
      <c r="K11297" s="501">
        <v>0</v>
      </c>
      <c r="L11297" s="501">
        <v>0</v>
      </c>
      <c r="M11297" s="501">
        <v>12</v>
      </c>
      <c r="N11297" s="501">
        <v>0</v>
      </c>
      <c r="O11297" s="506">
        <v>0</v>
      </c>
    </row>
    <row r="11298" spans="1:15" x14ac:dyDescent="0.35">
      <c r="A11298" s="503" t="s">
        <v>1910</v>
      </c>
      <c r="B11298" s="504" t="s">
        <v>2882</v>
      </c>
      <c r="C11298" s="504" t="s">
        <v>1089</v>
      </c>
      <c r="D11298" s="504" t="s">
        <v>3392</v>
      </c>
      <c r="E11298" s="504" t="s">
        <v>3381</v>
      </c>
      <c r="F11298" s="504" t="s">
        <v>2</v>
      </c>
      <c r="G11298" s="504" t="s">
        <v>3368</v>
      </c>
      <c r="H11298" s="504" t="s">
        <v>13594</v>
      </c>
      <c r="I11298" s="504">
        <v>9</v>
      </c>
      <c r="J11298" s="504">
        <v>0</v>
      </c>
      <c r="K11298" s="504">
        <v>0</v>
      </c>
      <c r="L11298" s="504">
        <v>9</v>
      </c>
      <c r="M11298" s="504">
        <v>0</v>
      </c>
      <c r="N11298" s="504">
        <v>0</v>
      </c>
      <c r="O11298" s="505">
        <v>0</v>
      </c>
    </row>
    <row r="11299" spans="1:15" x14ac:dyDescent="0.35">
      <c r="A11299" s="500" t="s">
        <v>1561</v>
      </c>
      <c r="B11299" s="501" t="s">
        <v>2899</v>
      </c>
      <c r="C11299" s="501" t="s">
        <v>1089</v>
      </c>
      <c r="D11299" s="501" t="s">
        <v>3392</v>
      </c>
      <c r="E11299" s="501" t="s">
        <v>3381</v>
      </c>
      <c r="F11299" s="501" t="s">
        <v>416</v>
      </c>
      <c r="G11299" s="501" t="s">
        <v>3368</v>
      </c>
      <c r="H11299" s="501" t="s">
        <v>13595</v>
      </c>
      <c r="I11299" s="501">
        <v>5</v>
      </c>
      <c r="J11299" s="501">
        <v>0</v>
      </c>
      <c r="K11299" s="501">
        <v>0</v>
      </c>
      <c r="L11299" s="501">
        <v>0</v>
      </c>
      <c r="M11299" s="501">
        <v>5</v>
      </c>
      <c r="N11299" s="501">
        <v>0</v>
      </c>
      <c r="O11299" s="506">
        <v>0</v>
      </c>
    </row>
    <row r="11300" spans="1:15" x14ac:dyDescent="0.35">
      <c r="A11300" s="503" t="s">
        <v>1562</v>
      </c>
      <c r="B11300" s="504" t="s">
        <v>2833</v>
      </c>
      <c r="C11300" s="504" t="s">
        <v>1089</v>
      </c>
      <c r="D11300" s="504" t="s">
        <v>3392</v>
      </c>
      <c r="E11300" s="504" t="s">
        <v>3381</v>
      </c>
      <c r="F11300" s="504" t="s">
        <v>416</v>
      </c>
      <c r="G11300" s="504" t="s">
        <v>3368</v>
      </c>
      <c r="H11300" s="504" t="s">
        <v>13596</v>
      </c>
      <c r="I11300" s="504">
        <v>7</v>
      </c>
      <c r="J11300" s="504">
        <v>0</v>
      </c>
      <c r="K11300" s="504">
        <v>0</v>
      </c>
      <c r="L11300" s="504">
        <v>0</v>
      </c>
      <c r="M11300" s="504">
        <v>7</v>
      </c>
      <c r="N11300" s="504">
        <v>0</v>
      </c>
      <c r="O11300" s="505">
        <v>0</v>
      </c>
    </row>
    <row r="11301" spans="1:15" x14ac:dyDescent="0.35">
      <c r="A11301" s="500" t="s">
        <v>1771</v>
      </c>
      <c r="B11301" s="501" t="s">
        <v>2922</v>
      </c>
      <c r="C11301" s="501" t="s">
        <v>1089</v>
      </c>
      <c r="D11301" s="501" t="s">
        <v>3392</v>
      </c>
      <c r="E11301" s="501" t="s">
        <v>3381</v>
      </c>
      <c r="F11301" s="501" t="s">
        <v>418</v>
      </c>
      <c r="G11301" s="501" t="s">
        <v>3368</v>
      </c>
      <c r="H11301" s="501" t="s">
        <v>13597</v>
      </c>
      <c r="I11301" s="501">
        <v>10</v>
      </c>
      <c r="J11301" s="501">
        <v>0</v>
      </c>
      <c r="K11301" s="501">
        <v>0</v>
      </c>
      <c r="L11301" s="501">
        <v>0</v>
      </c>
      <c r="M11301" s="501">
        <v>10</v>
      </c>
      <c r="N11301" s="501">
        <v>0</v>
      </c>
      <c r="O11301" s="506">
        <v>0</v>
      </c>
    </row>
    <row r="11302" spans="1:15" x14ac:dyDescent="0.35">
      <c r="A11302" s="503" t="s">
        <v>1911</v>
      </c>
      <c r="B11302" s="504" t="s">
        <v>2838</v>
      </c>
      <c r="C11302" s="504" t="s">
        <v>1089</v>
      </c>
      <c r="D11302" s="504" t="s">
        <v>3392</v>
      </c>
      <c r="E11302" s="504" t="s">
        <v>3381</v>
      </c>
      <c r="F11302" s="504" t="s">
        <v>2</v>
      </c>
      <c r="G11302" s="504" t="s">
        <v>3368</v>
      </c>
      <c r="H11302" s="504" t="s">
        <v>13598</v>
      </c>
      <c r="I11302" s="504">
        <v>16</v>
      </c>
      <c r="J11302" s="504">
        <v>0</v>
      </c>
      <c r="K11302" s="504">
        <v>0</v>
      </c>
      <c r="L11302" s="504">
        <v>0</v>
      </c>
      <c r="M11302" s="504">
        <v>16</v>
      </c>
      <c r="N11302" s="504">
        <v>0</v>
      </c>
      <c r="O11302" s="505">
        <v>0</v>
      </c>
    </row>
    <row r="11303" spans="1:15" x14ac:dyDescent="0.35">
      <c r="A11303" s="500" t="s">
        <v>1912</v>
      </c>
      <c r="B11303" s="501" t="s">
        <v>2869</v>
      </c>
      <c r="C11303" s="501" t="s">
        <v>1089</v>
      </c>
      <c r="D11303" s="501" t="s">
        <v>3392</v>
      </c>
      <c r="E11303" s="501" t="s">
        <v>3381</v>
      </c>
      <c r="F11303" s="501" t="s">
        <v>2</v>
      </c>
      <c r="G11303" s="501" t="s">
        <v>3368</v>
      </c>
      <c r="H11303" s="501" t="s">
        <v>13599</v>
      </c>
      <c r="I11303" s="501">
        <v>13</v>
      </c>
      <c r="J11303" s="501">
        <v>0</v>
      </c>
      <c r="K11303" s="501">
        <v>0</v>
      </c>
      <c r="L11303" s="501">
        <v>0</v>
      </c>
      <c r="M11303" s="501">
        <v>13</v>
      </c>
      <c r="N11303" s="501">
        <v>0</v>
      </c>
      <c r="O11303" s="506">
        <v>0</v>
      </c>
    </row>
    <row r="11304" spans="1:15" x14ac:dyDescent="0.35">
      <c r="A11304" s="503" t="s">
        <v>2029</v>
      </c>
      <c r="B11304" s="504" t="s">
        <v>2878</v>
      </c>
      <c r="C11304" s="504" t="s">
        <v>1089</v>
      </c>
      <c r="D11304" s="504" t="s">
        <v>3392</v>
      </c>
      <c r="E11304" s="504" t="s">
        <v>3381</v>
      </c>
      <c r="F11304" s="504" t="s">
        <v>419</v>
      </c>
      <c r="G11304" s="504" t="s">
        <v>3368</v>
      </c>
      <c r="H11304" s="504" t="s">
        <v>13600</v>
      </c>
      <c r="I11304" s="504">
        <v>22</v>
      </c>
      <c r="J11304" s="504">
        <v>0</v>
      </c>
      <c r="K11304" s="504">
        <v>0</v>
      </c>
      <c r="L11304" s="504">
        <v>0</v>
      </c>
      <c r="M11304" s="504">
        <v>22</v>
      </c>
      <c r="N11304" s="504">
        <v>0</v>
      </c>
      <c r="O11304" s="505">
        <v>0</v>
      </c>
    </row>
    <row r="11305" spans="1:15" x14ac:dyDescent="0.35">
      <c r="A11305" s="500" t="s">
        <v>1913</v>
      </c>
      <c r="B11305" s="501" t="s">
        <v>2850</v>
      </c>
      <c r="C11305" s="501" t="s">
        <v>1089</v>
      </c>
      <c r="D11305" s="501" t="s">
        <v>3392</v>
      </c>
      <c r="E11305" s="501" t="s">
        <v>3381</v>
      </c>
      <c r="F11305" s="501" t="s">
        <v>2</v>
      </c>
      <c r="G11305" s="501" t="s">
        <v>3368</v>
      </c>
      <c r="H11305" s="501" t="s">
        <v>13601</v>
      </c>
      <c r="I11305" s="501">
        <v>15</v>
      </c>
      <c r="J11305" s="501">
        <v>0</v>
      </c>
      <c r="K11305" s="501">
        <v>0</v>
      </c>
      <c r="L11305" s="501">
        <v>0</v>
      </c>
      <c r="M11305" s="501">
        <v>15</v>
      </c>
      <c r="N11305" s="501">
        <v>0</v>
      </c>
      <c r="O11305" s="506">
        <v>0</v>
      </c>
    </row>
    <row r="11306" spans="1:15" x14ac:dyDescent="0.35">
      <c r="A11306" s="503" t="s">
        <v>2030</v>
      </c>
      <c r="B11306" s="504" t="s">
        <v>2903</v>
      </c>
      <c r="C11306" s="504" t="s">
        <v>1089</v>
      </c>
      <c r="D11306" s="504" t="s">
        <v>3392</v>
      </c>
      <c r="E11306" s="504" t="s">
        <v>3381</v>
      </c>
      <c r="F11306" s="504" t="s">
        <v>419</v>
      </c>
      <c r="G11306" s="504" t="s">
        <v>3368</v>
      </c>
      <c r="H11306" s="504" t="s">
        <v>13602</v>
      </c>
      <c r="I11306" s="504">
        <v>10</v>
      </c>
      <c r="J11306" s="504">
        <v>0</v>
      </c>
      <c r="K11306" s="504">
        <v>0</v>
      </c>
      <c r="L11306" s="504">
        <v>0</v>
      </c>
      <c r="M11306" s="504">
        <v>10</v>
      </c>
      <c r="N11306" s="504">
        <v>0</v>
      </c>
      <c r="O11306" s="505">
        <v>0</v>
      </c>
    </row>
    <row r="11307" spans="1:15" x14ac:dyDescent="0.35">
      <c r="A11307" s="500" t="s">
        <v>1351</v>
      </c>
      <c r="B11307" s="501" t="s">
        <v>2915</v>
      </c>
      <c r="C11307" s="501" t="s">
        <v>1089</v>
      </c>
      <c r="D11307" s="501" t="s">
        <v>3392</v>
      </c>
      <c r="E11307" s="501" t="s">
        <v>3381</v>
      </c>
      <c r="F11307" s="501" t="s">
        <v>415</v>
      </c>
      <c r="G11307" s="501" t="s">
        <v>3368</v>
      </c>
      <c r="H11307" s="501" t="s">
        <v>13603</v>
      </c>
      <c r="I11307" s="501">
        <v>12</v>
      </c>
      <c r="J11307" s="501">
        <v>0</v>
      </c>
      <c r="K11307" s="501">
        <v>0</v>
      </c>
      <c r="L11307" s="501">
        <v>0</v>
      </c>
      <c r="M11307" s="501">
        <v>12</v>
      </c>
      <c r="N11307" s="501">
        <v>0</v>
      </c>
      <c r="O11307" s="506">
        <v>0</v>
      </c>
    </row>
    <row r="11308" spans="1:15" x14ac:dyDescent="0.35">
      <c r="A11308" s="503" t="s">
        <v>1563</v>
      </c>
      <c r="B11308" s="504" t="s">
        <v>2917</v>
      </c>
      <c r="C11308" s="504" t="s">
        <v>1089</v>
      </c>
      <c r="D11308" s="504" t="s">
        <v>3392</v>
      </c>
      <c r="E11308" s="504" t="s">
        <v>3381</v>
      </c>
      <c r="F11308" s="504" t="s">
        <v>416</v>
      </c>
      <c r="G11308" s="504" t="s">
        <v>3368</v>
      </c>
      <c r="H11308" s="504" t="s">
        <v>13604</v>
      </c>
      <c r="I11308" s="504">
        <v>22</v>
      </c>
      <c r="J11308" s="504">
        <v>0</v>
      </c>
      <c r="K11308" s="504">
        <v>0</v>
      </c>
      <c r="L11308" s="504">
        <v>22</v>
      </c>
      <c r="M11308" s="504">
        <v>0</v>
      </c>
      <c r="N11308" s="504">
        <v>0</v>
      </c>
      <c r="O11308" s="505">
        <v>0</v>
      </c>
    </row>
    <row r="11309" spans="1:15" x14ac:dyDescent="0.35">
      <c r="A11309" s="500" t="s">
        <v>1914</v>
      </c>
      <c r="B11309" s="501" t="s">
        <v>2912</v>
      </c>
      <c r="C11309" s="501" t="s">
        <v>1089</v>
      </c>
      <c r="D11309" s="501" t="s">
        <v>3392</v>
      </c>
      <c r="E11309" s="501" t="s">
        <v>3381</v>
      </c>
      <c r="F11309" s="501" t="s">
        <v>2</v>
      </c>
      <c r="G11309" s="501" t="s">
        <v>3368</v>
      </c>
      <c r="H11309" s="501" t="s">
        <v>13605</v>
      </c>
      <c r="I11309" s="501">
        <v>5</v>
      </c>
      <c r="J11309" s="501">
        <v>0</v>
      </c>
      <c r="K11309" s="501">
        <v>0</v>
      </c>
      <c r="L11309" s="501">
        <v>0</v>
      </c>
      <c r="M11309" s="501">
        <v>5</v>
      </c>
      <c r="N11309" s="501">
        <v>0</v>
      </c>
      <c r="O11309" s="506">
        <v>0</v>
      </c>
    </row>
    <row r="11310" spans="1:15" x14ac:dyDescent="0.35">
      <c r="A11310" s="503" t="s">
        <v>1352</v>
      </c>
      <c r="B11310" s="504" t="s">
        <v>2935</v>
      </c>
      <c r="C11310" s="504" t="s">
        <v>1089</v>
      </c>
      <c r="D11310" s="504" t="s">
        <v>3392</v>
      </c>
      <c r="E11310" s="504" t="s">
        <v>3381</v>
      </c>
      <c r="F11310" s="504" t="s">
        <v>415</v>
      </c>
      <c r="G11310" s="504" t="s">
        <v>3368</v>
      </c>
      <c r="H11310" s="504" t="s">
        <v>13606</v>
      </c>
      <c r="I11310" s="504">
        <v>36</v>
      </c>
      <c r="J11310" s="504">
        <v>0</v>
      </c>
      <c r="K11310" s="504">
        <v>0</v>
      </c>
      <c r="L11310" s="504">
        <v>0</v>
      </c>
      <c r="M11310" s="504">
        <v>36</v>
      </c>
      <c r="N11310" s="504">
        <v>0</v>
      </c>
      <c r="O11310" s="505">
        <v>0</v>
      </c>
    </row>
    <row r="11311" spans="1:15" x14ac:dyDescent="0.35">
      <c r="A11311" s="500" t="s">
        <v>11417</v>
      </c>
      <c r="B11311" s="501" t="s">
        <v>2898</v>
      </c>
      <c r="C11311" s="501" t="s">
        <v>1089</v>
      </c>
      <c r="D11311" s="501" t="s">
        <v>3392</v>
      </c>
      <c r="E11311" s="501" t="s">
        <v>3381</v>
      </c>
      <c r="F11311" s="501" t="s">
        <v>2</v>
      </c>
      <c r="G11311" s="501" t="s">
        <v>3368</v>
      </c>
      <c r="H11311" s="501" t="s">
        <v>13607</v>
      </c>
      <c r="I11311" s="501">
        <v>11</v>
      </c>
      <c r="J11311" s="501">
        <v>0</v>
      </c>
      <c r="K11311" s="501">
        <v>0</v>
      </c>
      <c r="L11311" s="501">
        <v>0</v>
      </c>
      <c r="M11311" s="501">
        <v>11</v>
      </c>
      <c r="N11311" s="501">
        <v>0</v>
      </c>
      <c r="O11311" s="506">
        <v>0</v>
      </c>
    </row>
    <row r="11312" spans="1:15" x14ac:dyDescent="0.35">
      <c r="A11312" s="503" t="s">
        <v>1915</v>
      </c>
      <c r="B11312" s="504" t="s">
        <v>2901</v>
      </c>
      <c r="C11312" s="504" t="s">
        <v>1089</v>
      </c>
      <c r="D11312" s="504" t="s">
        <v>3392</v>
      </c>
      <c r="E11312" s="504" t="s">
        <v>3381</v>
      </c>
      <c r="F11312" s="504" t="s">
        <v>2</v>
      </c>
      <c r="G11312" s="504" t="s">
        <v>3368</v>
      </c>
      <c r="H11312" s="504" t="s">
        <v>13608</v>
      </c>
      <c r="I11312" s="504">
        <v>9</v>
      </c>
      <c r="J11312" s="504">
        <v>0</v>
      </c>
      <c r="K11312" s="504">
        <v>0</v>
      </c>
      <c r="L11312" s="504">
        <v>0</v>
      </c>
      <c r="M11312" s="504">
        <v>9</v>
      </c>
      <c r="N11312" s="504">
        <v>0</v>
      </c>
      <c r="O11312" s="505">
        <v>0</v>
      </c>
    </row>
    <row r="11313" spans="1:15" x14ac:dyDescent="0.35">
      <c r="A11313" s="500" t="s">
        <v>1772</v>
      </c>
      <c r="B11313" s="501" t="s">
        <v>2930</v>
      </c>
      <c r="C11313" s="501" t="s">
        <v>1089</v>
      </c>
      <c r="D11313" s="501" t="s">
        <v>3392</v>
      </c>
      <c r="E11313" s="501" t="s">
        <v>3381</v>
      </c>
      <c r="F11313" s="501" t="s">
        <v>418</v>
      </c>
      <c r="G11313" s="501" t="s">
        <v>3368</v>
      </c>
      <c r="H11313" s="501" t="s">
        <v>13609</v>
      </c>
      <c r="I11313" s="501">
        <v>10</v>
      </c>
      <c r="J11313" s="501">
        <v>0</v>
      </c>
      <c r="K11313" s="501">
        <v>0</v>
      </c>
      <c r="L11313" s="501">
        <v>0</v>
      </c>
      <c r="M11313" s="501">
        <v>10</v>
      </c>
      <c r="N11313" s="501">
        <v>0</v>
      </c>
      <c r="O11313" s="506">
        <v>0</v>
      </c>
    </row>
    <row r="11314" spans="1:15" x14ac:dyDescent="0.35">
      <c r="A11314" s="503" t="s">
        <v>2031</v>
      </c>
      <c r="B11314" s="504" t="s">
        <v>2883</v>
      </c>
      <c r="C11314" s="504" t="s">
        <v>1089</v>
      </c>
      <c r="D11314" s="504" t="s">
        <v>3392</v>
      </c>
      <c r="E11314" s="504" t="s">
        <v>3381</v>
      </c>
      <c r="F11314" s="504" t="s">
        <v>419</v>
      </c>
      <c r="G11314" s="504" t="s">
        <v>3368</v>
      </c>
      <c r="H11314" s="504" t="s">
        <v>13610</v>
      </c>
      <c r="I11314" s="504">
        <v>13</v>
      </c>
      <c r="J11314" s="504">
        <v>0</v>
      </c>
      <c r="K11314" s="504">
        <v>0</v>
      </c>
      <c r="L11314" s="504">
        <v>0</v>
      </c>
      <c r="M11314" s="504">
        <v>13</v>
      </c>
      <c r="N11314" s="504">
        <v>0</v>
      </c>
      <c r="O11314" s="505">
        <v>0</v>
      </c>
    </row>
    <row r="11315" spans="1:15" x14ac:dyDescent="0.35">
      <c r="A11315" s="500" t="s">
        <v>1564</v>
      </c>
      <c r="B11315" s="501" t="s">
        <v>2853</v>
      </c>
      <c r="C11315" s="501" t="s">
        <v>1089</v>
      </c>
      <c r="D11315" s="501" t="s">
        <v>3392</v>
      </c>
      <c r="E11315" s="501" t="s">
        <v>3381</v>
      </c>
      <c r="F11315" s="501" t="s">
        <v>416</v>
      </c>
      <c r="G11315" s="501" t="s">
        <v>3368</v>
      </c>
      <c r="H11315" s="501" t="s">
        <v>13611</v>
      </c>
      <c r="I11315" s="501">
        <v>9</v>
      </c>
      <c r="J11315" s="501">
        <v>0</v>
      </c>
      <c r="K11315" s="501">
        <v>0</v>
      </c>
      <c r="L11315" s="501">
        <v>0</v>
      </c>
      <c r="M11315" s="501">
        <v>9</v>
      </c>
      <c r="N11315" s="501">
        <v>0</v>
      </c>
      <c r="O11315" s="506">
        <v>0</v>
      </c>
    </row>
    <row r="11316" spans="1:15" x14ac:dyDescent="0.35">
      <c r="A11316" s="503" t="s">
        <v>1916</v>
      </c>
      <c r="B11316" s="504" t="s">
        <v>2877</v>
      </c>
      <c r="C11316" s="504" t="s">
        <v>1089</v>
      </c>
      <c r="D11316" s="504" t="s">
        <v>3392</v>
      </c>
      <c r="E11316" s="504" t="s">
        <v>3381</v>
      </c>
      <c r="F11316" s="504" t="s">
        <v>2</v>
      </c>
      <c r="G11316" s="504" t="s">
        <v>3368</v>
      </c>
      <c r="H11316" s="504" t="s">
        <v>13612</v>
      </c>
      <c r="I11316" s="504">
        <v>16</v>
      </c>
      <c r="J11316" s="504">
        <v>0</v>
      </c>
      <c r="K11316" s="504">
        <v>0</v>
      </c>
      <c r="L11316" s="504">
        <v>0</v>
      </c>
      <c r="M11316" s="504">
        <v>16</v>
      </c>
      <c r="N11316" s="504">
        <v>16</v>
      </c>
      <c r="O11316" s="505">
        <v>0</v>
      </c>
    </row>
    <row r="11317" spans="1:15" x14ac:dyDescent="0.35">
      <c r="A11317" s="500" t="s">
        <v>2032</v>
      </c>
      <c r="B11317" s="501" t="s">
        <v>2841</v>
      </c>
      <c r="C11317" s="501" t="s">
        <v>1089</v>
      </c>
      <c r="D11317" s="501" t="s">
        <v>3392</v>
      </c>
      <c r="E11317" s="501" t="s">
        <v>3381</v>
      </c>
      <c r="F11317" s="501" t="s">
        <v>419</v>
      </c>
      <c r="G11317" s="501" t="s">
        <v>3368</v>
      </c>
      <c r="H11317" s="501" t="s">
        <v>13613</v>
      </c>
      <c r="I11317" s="501">
        <v>57</v>
      </c>
      <c r="J11317" s="501">
        <v>0</v>
      </c>
      <c r="K11317" s="501">
        <v>0</v>
      </c>
      <c r="L11317" s="501">
        <v>0</v>
      </c>
      <c r="M11317" s="501">
        <v>57</v>
      </c>
      <c r="N11317" s="501">
        <v>0</v>
      </c>
      <c r="O11317" s="506">
        <v>0</v>
      </c>
    </row>
    <row r="11318" spans="1:15" x14ac:dyDescent="0.35">
      <c r="A11318" s="503" t="s">
        <v>1245</v>
      </c>
      <c r="B11318" s="504" t="s">
        <v>2859</v>
      </c>
      <c r="C11318" s="504" t="s">
        <v>1094</v>
      </c>
      <c r="D11318" s="504" t="s">
        <v>3380</v>
      </c>
      <c r="E11318" s="504" t="s">
        <v>3381</v>
      </c>
      <c r="F11318" s="504" t="s">
        <v>415</v>
      </c>
      <c r="G11318" s="504" t="s">
        <v>3368</v>
      </c>
      <c r="H11318" s="504" t="s">
        <v>13619</v>
      </c>
      <c r="I11318" s="504">
        <v>84</v>
      </c>
      <c r="J11318" s="504">
        <v>0</v>
      </c>
      <c r="K11318" s="504">
        <v>0</v>
      </c>
      <c r="L11318" s="504">
        <v>0</v>
      </c>
      <c r="M11318" s="504">
        <v>84</v>
      </c>
      <c r="N11318" s="504">
        <v>0</v>
      </c>
      <c r="O11318" s="505">
        <v>0</v>
      </c>
    </row>
    <row r="11319" spans="1:15" x14ac:dyDescent="0.35">
      <c r="A11319" s="500" t="s">
        <v>1245</v>
      </c>
      <c r="B11319" s="501" t="s">
        <v>2859</v>
      </c>
      <c r="C11319" s="501" t="s">
        <v>1094</v>
      </c>
      <c r="D11319" s="501" t="s">
        <v>3380</v>
      </c>
      <c r="E11319" s="501" t="s">
        <v>3381</v>
      </c>
      <c r="F11319" s="501" t="s">
        <v>2</v>
      </c>
      <c r="G11319" s="501" t="s">
        <v>3368</v>
      </c>
      <c r="H11319" s="501" t="s">
        <v>13616</v>
      </c>
      <c r="I11319" s="501">
        <v>195</v>
      </c>
      <c r="J11319" s="501">
        <v>0</v>
      </c>
      <c r="K11319" s="501">
        <v>0</v>
      </c>
      <c r="L11319" s="501">
        <v>0</v>
      </c>
      <c r="M11319" s="501">
        <v>193</v>
      </c>
      <c r="N11319" s="501">
        <v>0</v>
      </c>
      <c r="O11319" s="506">
        <v>2</v>
      </c>
    </row>
    <row r="11320" spans="1:15" x14ac:dyDescent="0.35">
      <c r="A11320" s="503" t="s">
        <v>1245</v>
      </c>
      <c r="B11320" s="504" t="s">
        <v>2859</v>
      </c>
      <c r="C11320" s="504" t="s">
        <v>1094</v>
      </c>
      <c r="D11320" s="504" t="s">
        <v>3380</v>
      </c>
      <c r="E11320" s="504" t="s">
        <v>3381</v>
      </c>
      <c r="F11320" s="504" t="s">
        <v>420</v>
      </c>
      <c r="G11320" s="504" t="s">
        <v>3368</v>
      </c>
      <c r="H11320" s="504" t="s">
        <v>13617</v>
      </c>
      <c r="I11320" s="504">
        <v>81</v>
      </c>
      <c r="J11320" s="504">
        <v>0</v>
      </c>
      <c r="K11320" s="504">
        <v>0</v>
      </c>
      <c r="L11320" s="504">
        <v>0</v>
      </c>
      <c r="M11320" s="504">
        <v>78</v>
      </c>
      <c r="N11320" s="504">
        <v>0</v>
      </c>
      <c r="O11320" s="505">
        <v>3</v>
      </c>
    </row>
    <row r="11321" spans="1:15" x14ac:dyDescent="0.35">
      <c r="A11321" s="500" t="s">
        <v>1245</v>
      </c>
      <c r="B11321" s="501" t="s">
        <v>2859</v>
      </c>
      <c r="C11321" s="501" t="s">
        <v>1094</v>
      </c>
      <c r="D11321" s="501" t="s">
        <v>3380</v>
      </c>
      <c r="E11321" s="501" t="s">
        <v>3381</v>
      </c>
      <c r="F11321" s="501" t="s">
        <v>417</v>
      </c>
      <c r="G11321" s="501" t="s">
        <v>3368</v>
      </c>
      <c r="H11321" s="501" t="s">
        <v>13618</v>
      </c>
      <c r="I11321" s="501">
        <v>94</v>
      </c>
      <c r="J11321" s="501">
        <v>0</v>
      </c>
      <c r="K11321" s="501">
        <v>0</v>
      </c>
      <c r="L11321" s="501">
        <v>0</v>
      </c>
      <c r="M11321" s="501">
        <v>94</v>
      </c>
      <c r="N11321" s="501">
        <v>0</v>
      </c>
      <c r="O11321" s="506">
        <v>0</v>
      </c>
    </row>
    <row r="11322" spans="1:15" x14ac:dyDescent="0.35">
      <c r="A11322" s="503" t="s">
        <v>1245</v>
      </c>
      <c r="B11322" s="504" t="s">
        <v>2859</v>
      </c>
      <c r="C11322" s="504" t="s">
        <v>1094</v>
      </c>
      <c r="D11322" s="504" t="s">
        <v>3380</v>
      </c>
      <c r="E11322" s="504" t="s">
        <v>3381</v>
      </c>
      <c r="F11322" s="504" t="s">
        <v>416</v>
      </c>
      <c r="G11322" s="504" t="s">
        <v>3368</v>
      </c>
      <c r="H11322" s="504" t="s">
        <v>13621</v>
      </c>
      <c r="I11322" s="504">
        <v>43</v>
      </c>
      <c r="J11322" s="504">
        <v>0</v>
      </c>
      <c r="K11322" s="504">
        <v>0</v>
      </c>
      <c r="L11322" s="504">
        <v>0</v>
      </c>
      <c r="M11322" s="504">
        <v>43</v>
      </c>
      <c r="N11322" s="504">
        <v>0</v>
      </c>
      <c r="O11322" s="505">
        <v>0</v>
      </c>
    </row>
    <row r="11323" spans="1:15" x14ac:dyDescent="0.35">
      <c r="A11323" s="500" t="s">
        <v>1245</v>
      </c>
      <c r="B11323" s="501" t="s">
        <v>2859</v>
      </c>
      <c r="C11323" s="501" t="s">
        <v>1094</v>
      </c>
      <c r="D11323" s="501" t="s">
        <v>3380</v>
      </c>
      <c r="E11323" s="501" t="s">
        <v>3381</v>
      </c>
      <c r="F11323" s="501" t="s">
        <v>418</v>
      </c>
      <c r="G11323" s="501" t="s">
        <v>3368</v>
      </c>
      <c r="H11323" s="501" t="s">
        <v>13620</v>
      </c>
      <c r="I11323" s="501">
        <v>190</v>
      </c>
      <c r="J11323" s="501">
        <v>0</v>
      </c>
      <c r="K11323" s="501">
        <v>0</v>
      </c>
      <c r="L11323" s="501">
        <v>0</v>
      </c>
      <c r="M11323" s="501">
        <v>190</v>
      </c>
      <c r="N11323" s="501">
        <v>0</v>
      </c>
      <c r="O11323" s="506">
        <v>0</v>
      </c>
    </row>
    <row r="11324" spans="1:15" x14ac:dyDescent="0.35">
      <c r="A11324" s="503" t="s">
        <v>1245</v>
      </c>
      <c r="B11324" s="504" t="s">
        <v>2859</v>
      </c>
      <c r="C11324" s="504" t="s">
        <v>1094</v>
      </c>
      <c r="D11324" s="504" t="s">
        <v>3380</v>
      </c>
      <c r="E11324" s="504" t="s">
        <v>3381</v>
      </c>
      <c r="F11324" s="504" t="s">
        <v>419</v>
      </c>
      <c r="G11324" s="504" t="s">
        <v>3368</v>
      </c>
      <c r="H11324" s="504" t="s">
        <v>13614</v>
      </c>
      <c r="I11324" s="504">
        <v>260</v>
      </c>
      <c r="J11324" s="504">
        <v>0</v>
      </c>
      <c r="K11324" s="504">
        <v>0</v>
      </c>
      <c r="L11324" s="504">
        <v>0</v>
      </c>
      <c r="M11324" s="504">
        <v>260</v>
      </c>
      <c r="N11324" s="504">
        <v>0</v>
      </c>
      <c r="O11324" s="505">
        <v>0</v>
      </c>
    </row>
    <row r="11325" spans="1:15" x14ac:dyDescent="0.35">
      <c r="A11325" s="500" t="s">
        <v>1245</v>
      </c>
      <c r="B11325" s="501" t="s">
        <v>2859</v>
      </c>
      <c r="C11325" s="501" t="s">
        <v>1094</v>
      </c>
      <c r="D11325" s="501" t="s">
        <v>3380</v>
      </c>
      <c r="E11325" s="501" t="s">
        <v>3381</v>
      </c>
      <c r="F11325" s="501" t="s">
        <v>414</v>
      </c>
      <c r="G11325" s="501" t="s">
        <v>3368</v>
      </c>
      <c r="H11325" s="501" t="s">
        <v>13615</v>
      </c>
      <c r="I11325" s="501">
        <v>103</v>
      </c>
      <c r="J11325" s="501">
        <v>0</v>
      </c>
      <c r="K11325" s="501">
        <v>0</v>
      </c>
      <c r="L11325" s="501">
        <v>0</v>
      </c>
      <c r="M11325" s="501">
        <v>103</v>
      </c>
      <c r="N11325" s="501">
        <v>0</v>
      </c>
      <c r="O11325" s="506">
        <v>0</v>
      </c>
    </row>
    <row r="11326" spans="1:15" x14ac:dyDescent="0.35">
      <c r="A11326" s="503" t="s">
        <v>1245</v>
      </c>
      <c r="B11326" s="504" t="s">
        <v>2859</v>
      </c>
      <c r="C11326" s="504" t="s">
        <v>1094</v>
      </c>
      <c r="D11326" s="504" t="s">
        <v>3380</v>
      </c>
      <c r="E11326" s="504" t="s">
        <v>3381</v>
      </c>
      <c r="F11326" s="504" t="s">
        <v>1048</v>
      </c>
      <c r="G11326" s="504" t="s">
        <v>3368</v>
      </c>
      <c r="H11326" s="504" t="s">
        <v>14066</v>
      </c>
      <c r="I11326" s="504">
        <v>40</v>
      </c>
      <c r="J11326" s="504">
        <v>0</v>
      </c>
      <c r="K11326" s="504">
        <v>0</v>
      </c>
      <c r="L11326" s="504">
        <v>0</v>
      </c>
      <c r="M11326" s="504">
        <v>40</v>
      </c>
      <c r="N11326" s="504">
        <v>0</v>
      </c>
      <c r="O11326" s="505">
        <v>0</v>
      </c>
    </row>
    <row r="11327" spans="1:15" x14ac:dyDescent="0.35">
      <c r="A11327" s="500" t="s">
        <v>2033</v>
      </c>
      <c r="B11327" s="501" t="s">
        <v>2909</v>
      </c>
      <c r="C11327" s="501" t="s">
        <v>1089</v>
      </c>
      <c r="D11327" s="501" t="s">
        <v>3392</v>
      </c>
      <c r="E11327" s="501" t="s">
        <v>3381</v>
      </c>
      <c r="F11327" s="501" t="s">
        <v>419</v>
      </c>
      <c r="G11327" s="501" t="s">
        <v>3368</v>
      </c>
      <c r="H11327" s="501" t="s">
        <v>13622</v>
      </c>
      <c r="I11327" s="501">
        <v>9</v>
      </c>
      <c r="J11327" s="501">
        <v>0</v>
      </c>
      <c r="K11327" s="501">
        <v>0</v>
      </c>
      <c r="L11327" s="501">
        <v>0</v>
      </c>
      <c r="M11327" s="501">
        <v>9</v>
      </c>
      <c r="N11327" s="501">
        <v>0</v>
      </c>
      <c r="O11327" s="506">
        <v>0</v>
      </c>
    </row>
    <row r="11328" spans="1:15" x14ac:dyDescent="0.35">
      <c r="A11328" s="503" t="s">
        <v>2034</v>
      </c>
      <c r="B11328" s="504" t="s">
        <v>2913</v>
      </c>
      <c r="C11328" s="504" t="s">
        <v>1089</v>
      </c>
      <c r="D11328" s="504" t="s">
        <v>3392</v>
      </c>
      <c r="E11328" s="504" t="s">
        <v>3381</v>
      </c>
      <c r="F11328" s="504" t="s">
        <v>419</v>
      </c>
      <c r="G11328" s="504" t="s">
        <v>3368</v>
      </c>
      <c r="H11328" s="504" t="s">
        <v>13623</v>
      </c>
      <c r="I11328" s="504">
        <v>57</v>
      </c>
      <c r="J11328" s="504">
        <v>0</v>
      </c>
      <c r="K11328" s="504">
        <v>0</v>
      </c>
      <c r="L11328" s="504">
        <v>0</v>
      </c>
      <c r="M11328" s="504">
        <v>57</v>
      </c>
      <c r="N11328" s="504">
        <v>0</v>
      </c>
      <c r="O11328" s="505">
        <v>0</v>
      </c>
    </row>
    <row r="11329" spans="1:15" x14ac:dyDescent="0.35">
      <c r="A11329" s="500" t="s">
        <v>1353</v>
      </c>
      <c r="B11329" s="501" t="s">
        <v>2856</v>
      </c>
      <c r="C11329" s="501" t="s">
        <v>1089</v>
      </c>
      <c r="D11329" s="501" t="s">
        <v>3392</v>
      </c>
      <c r="E11329" s="501" t="s">
        <v>3381</v>
      </c>
      <c r="F11329" s="501" t="s">
        <v>415</v>
      </c>
      <c r="G11329" s="501" t="s">
        <v>3368</v>
      </c>
      <c r="H11329" s="501" t="s">
        <v>13624</v>
      </c>
      <c r="I11329" s="501">
        <v>33</v>
      </c>
      <c r="J11329" s="501">
        <v>0</v>
      </c>
      <c r="K11329" s="501">
        <v>0</v>
      </c>
      <c r="L11329" s="501">
        <v>0</v>
      </c>
      <c r="M11329" s="501">
        <v>33</v>
      </c>
      <c r="N11329" s="501">
        <v>0</v>
      </c>
      <c r="O11329" s="506">
        <v>0</v>
      </c>
    </row>
    <row r="11330" spans="1:15" x14ac:dyDescent="0.35">
      <c r="A11330" s="503" t="s">
        <v>2035</v>
      </c>
      <c r="B11330" s="504" t="s">
        <v>2895</v>
      </c>
      <c r="C11330" s="504" t="s">
        <v>1089</v>
      </c>
      <c r="D11330" s="504" t="s">
        <v>3392</v>
      </c>
      <c r="E11330" s="504" t="s">
        <v>3381</v>
      </c>
      <c r="F11330" s="504" t="s">
        <v>419</v>
      </c>
      <c r="G11330" s="504" t="s">
        <v>3368</v>
      </c>
      <c r="H11330" s="504" t="s">
        <v>13625</v>
      </c>
      <c r="I11330" s="504">
        <v>18</v>
      </c>
      <c r="J11330" s="504">
        <v>0</v>
      </c>
      <c r="K11330" s="504">
        <v>0</v>
      </c>
      <c r="L11330" s="504">
        <v>0</v>
      </c>
      <c r="M11330" s="504">
        <v>18</v>
      </c>
      <c r="N11330" s="504">
        <v>0</v>
      </c>
      <c r="O11330" s="505">
        <v>0</v>
      </c>
    </row>
    <row r="11331" spans="1:15" x14ac:dyDescent="0.35">
      <c r="A11331" s="500" t="s">
        <v>2178</v>
      </c>
      <c r="B11331" s="501" t="s">
        <v>2914</v>
      </c>
      <c r="C11331" s="501" t="s">
        <v>1089</v>
      </c>
      <c r="D11331" s="501" t="s">
        <v>3392</v>
      </c>
      <c r="E11331" s="501" t="s">
        <v>3381</v>
      </c>
      <c r="F11331" s="501" t="s">
        <v>1048</v>
      </c>
      <c r="G11331" s="501" t="s">
        <v>3368</v>
      </c>
      <c r="H11331" s="501" t="s">
        <v>14067</v>
      </c>
      <c r="I11331" s="501">
        <v>20</v>
      </c>
      <c r="J11331" s="501">
        <v>8</v>
      </c>
      <c r="K11331" s="501">
        <v>0</v>
      </c>
      <c r="L11331" s="501">
        <v>0</v>
      </c>
      <c r="M11331" s="501">
        <v>12</v>
      </c>
      <c r="N11331" s="501">
        <v>0</v>
      </c>
      <c r="O11331" s="506">
        <v>0</v>
      </c>
    </row>
    <row r="11332" spans="1:15" x14ac:dyDescent="0.35">
      <c r="A11332" s="503" t="s">
        <v>2036</v>
      </c>
      <c r="B11332" s="504" t="s">
        <v>2851</v>
      </c>
      <c r="C11332" s="504" t="s">
        <v>1089</v>
      </c>
      <c r="D11332" s="504" t="s">
        <v>3392</v>
      </c>
      <c r="E11332" s="504" t="s">
        <v>3381</v>
      </c>
      <c r="F11332" s="504" t="s">
        <v>419</v>
      </c>
      <c r="G11332" s="504" t="s">
        <v>3368</v>
      </c>
      <c r="H11332" s="504" t="s">
        <v>13626</v>
      </c>
      <c r="I11332" s="504">
        <v>10</v>
      </c>
      <c r="J11332" s="504">
        <v>0</v>
      </c>
      <c r="K11332" s="504">
        <v>0</v>
      </c>
      <c r="L11332" s="504">
        <v>0</v>
      </c>
      <c r="M11332" s="504">
        <v>10</v>
      </c>
      <c r="N11332" s="504">
        <v>0</v>
      </c>
      <c r="O11332" s="505">
        <v>0</v>
      </c>
    </row>
    <row r="11333" spans="1:15" x14ac:dyDescent="0.35">
      <c r="A11333" s="500" t="s">
        <v>1565</v>
      </c>
      <c r="B11333" s="501" t="s">
        <v>2848</v>
      </c>
      <c r="C11333" s="501" t="s">
        <v>1089</v>
      </c>
      <c r="D11333" s="501" t="s">
        <v>3392</v>
      </c>
      <c r="E11333" s="501" t="s">
        <v>3381</v>
      </c>
      <c r="F11333" s="501" t="s">
        <v>416</v>
      </c>
      <c r="G11333" s="501" t="s">
        <v>3368</v>
      </c>
      <c r="H11333" s="501" t="s">
        <v>13627</v>
      </c>
      <c r="I11333" s="501">
        <v>30</v>
      </c>
      <c r="J11333" s="501">
        <v>0</v>
      </c>
      <c r="K11333" s="501">
        <v>0</v>
      </c>
      <c r="L11333" s="501">
        <v>0</v>
      </c>
      <c r="M11333" s="501">
        <v>30</v>
      </c>
      <c r="N11333" s="501">
        <v>0</v>
      </c>
      <c r="O11333" s="506">
        <v>0</v>
      </c>
    </row>
    <row r="11334" spans="1:15" x14ac:dyDescent="0.35">
      <c r="A11334" s="503" t="s">
        <v>1354</v>
      </c>
      <c r="B11334" s="504" t="s">
        <v>2835</v>
      </c>
      <c r="C11334" s="504" t="s">
        <v>1089</v>
      </c>
      <c r="D11334" s="504" t="s">
        <v>3392</v>
      </c>
      <c r="E11334" s="504" t="s">
        <v>3381</v>
      </c>
      <c r="F11334" s="504" t="s">
        <v>415</v>
      </c>
      <c r="G11334" s="504" t="s">
        <v>3368</v>
      </c>
      <c r="H11334" s="504" t="s">
        <v>13628</v>
      </c>
      <c r="I11334" s="504">
        <v>12</v>
      </c>
      <c r="J11334" s="504">
        <v>0</v>
      </c>
      <c r="K11334" s="504">
        <v>0</v>
      </c>
      <c r="L11334" s="504">
        <v>0</v>
      </c>
      <c r="M11334" s="504">
        <v>12</v>
      </c>
      <c r="N11334" s="504">
        <v>0</v>
      </c>
      <c r="O11334" s="505">
        <v>0</v>
      </c>
    </row>
    <row r="11335" spans="1:15" x14ac:dyDescent="0.35">
      <c r="A11335" s="500" t="s">
        <v>1773</v>
      </c>
      <c r="B11335" s="501" t="s">
        <v>2843</v>
      </c>
      <c r="C11335" s="501" t="s">
        <v>1089</v>
      </c>
      <c r="D11335" s="501" t="s">
        <v>3392</v>
      </c>
      <c r="E11335" s="501" t="s">
        <v>3381</v>
      </c>
      <c r="F11335" s="501" t="s">
        <v>418</v>
      </c>
      <c r="G11335" s="501" t="s">
        <v>3368</v>
      </c>
      <c r="H11335" s="501" t="s">
        <v>13629</v>
      </c>
      <c r="I11335" s="501">
        <v>20</v>
      </c>
      <c r="J11335" s="501">
        <v>20</v>
      </c>
      <c r="K11335" s="501">
        <v>0</v>
      </c>
      <c r="L11335" s="501">
        <v>0</v>
      </c>
      <c r="M11335" s="501">
        <v>0</v>
      </c>
      <c r="N11335" s="501">
        <v>0</v>
      </c>
      <c r="O11335" s="506">
        <v>0</v>
      </c>
    </row>
    <row r="11336" spans="1:15" x14ac:dyDescent="0.35">
      <c r="A11336" s="503" t="s">
        <v>2114</v>
      </c>
      <c r="B11336" s="504" t="s">
        <v>2900</v>
      </c>
      <c r="C11336" s="504" t="s">
        <v>1089</v>
      </c>
      <c r="D11336" s="504" t="s">
        <v>3392</v>
      </c>
      <c r="E11336" s="504" t="s">
        <v>3381</v>
      </c>
      <c r="F11336" s="504" t="s">
        <v>420</v>
      </c>
      <c r="G11336" s="504" t="s">
        <v>3368</v>
      </c>
      <c r="H11336" s="504" t="s">
        <v>13630</v>
      </c>
      <c r="I11336" s="504">
        <v>11</v>
      </c>
      <c r="J11336" s="504">
        <v>0</v>
      </c>
      <c r="K11336" s="504">
        <v>0</v>
      </c>
      <c r="L11336" s="504">
        <v>0</v>
      </c>
      <c r="M11336" s="504">
        <v>11</v>
      </c>
      <c r="N11336" s="504">
        <v>0</v>
      </c>
      <c r="O11336" s="505">
        <v>0</v>
      </c>
    </row>
    <row r="11337" spans="1:15" x14ac:dyDescent="0.35">
      <c r="A11337" s="500" t="s">
        <v>2179</v>
      </c>
      <c r="B11337" s="501" t="s">
        <v>2876</v>
      </c>
      <c r="C11337" s="501" t="s">
        <v>1089</v>
      </c>
      <c r="D11337" s="501" t="s">
        <v>3392</v>
      </c>
      <c r="E11337" s="501" t="s">
        <v>3381</v>
      </c>
      <c r="F11337" s="501" t="s">
        <v>1048</v>
      </c>
      <c r="G11337" s="501" t="s">
        <v>3368</v>
      </c>
      <c r="H11337" s="501" t="s">
        <v>14068</v>
      </c>
      <c r="I11337" s="501">
        <v>31</v>
      </c>
      <c r="J11337" s="501">
        <v>0</v>
      </c>
      <c r="K11337" s="501">
        <v>0</v>
      </c>
      <c r="L11337" s="501">
        <v>0</v>
      </c>
      <c r="M11337" s="501">
        <v>31</v>
      </c>
      <c r="N11337" s="501">
        <v>0</v>
      </c>
      <c r="O11337" s="506">
        <v>0</v>
      </c>
    </row>
    <row r="11338" spans="1:15" x14ac:dyDescent="0.35">
      <c r="A11338" s="503" t="s">
        <v>11466</v>
      </c>
      <c r="B11338" s="504" t="s">
        <v>2435</v>
      </c>
      <c r="C11338" s="504" t="s">
        <v>1089</v>
      </c>
      <c r="D11338" s="504" t="s">
        <v>3392</v>
      </c>
      <c r="E11338" s="504" t="s">
        <v>3381</v>
      </c>
      <c r="F11338" s="504" t="s">
        <v>1048</v>
      </c>
      <c r="G11338" s="504" t="s">
        <v>3368</v>
      </c>
      <c r="H11338" s="504" t="s">
        <v>14069</v>
      </c>
      <c r="I11338" s="504">
        <v>28</v>
      </c>
      <c r="J11338" s="504">
        <v>0</v>
      </c>
      <c r="K11338" s="504">
        <v>0</v>
      </c>
      <c r="L11338" s="504">
        <v>0</v>
      </c>
      <c r="M11338" s="504">
        <v>28</v>
      </c>
      <c r="N11338" s="504">
        <v>0</v>
      </c>
      <c r="O11338" s="505">
        <v>0</v>
      </c>
    </row>
    <row r="11339" spans="1:15" x14ac:dyDescent="0.35">
      <c r="A11339" s="500" t="s">
        <v>1917</v>
      </c>
      <c r="B11339" s="501" t="s">
        <v>2459</v>
      </c>
      <c r="C11339" s="501" t="s">
        <v>1089</v>
      </c>
      <c r="D11339" s="501" t="s">
        <v>3392</v>
      </c>
      <c r="E11339" s="501" t="s">
        <v>3381</v>
      </c>
      <c r="F11339" s="501" t="s">
        <v>2</v>
      </c>
      <c r="G11339" s="501" t="s">
        <v>3368</v>
      </c>
      <c r="H11339" s="501" t="s">
        <v>13631</v>
      </c>
      <c r="I11339" s="501">
        <v>18</v>
      </c>
      <c r="J11339" s="501">
        <v>18</v>
      </c>
      <c r="K11339" s="501">
        <v>0</v>
      </c>
      <c r="L11339" s="501">
        <v>0</v>
      </c>
      <c r="M11339" s="501">
        <v>0</v>
      </c>
      <c r="N11339" s="501">
        <v>4</v>
      </c>
      <c r="O11339" s="506">
        <v>0</v>
      </c>
    </row>
    <row r="11340" spans="1:15" x14ac:dyDescent="0.35">
      <c r="A11340" s="503" t="s">
        <v>2115</v>
      </c>
      <c r="B11340" s="504" t="s">
        <v>2557</v>
      </c>
      <c r="C11340" s="504" t="s">
        <v>1089</v>
      </c>
      <c r="D11340" s="504" t="s">
        <v>3392</v>
      </c>
      <c r="E11340" s="504" t="s">
        <v>3381</v>
      </c>
      <c r="F11340" s="504" t="s">
        <v>420</v>
      </c>
      <c r="G11340" s="504" t="s">
        <v>3368</v>
      </c>
      <c r="H11340" s="504" t="s">
        <v>13632</v>
      </c>
      <c r="I11340" s="504">
        <v>14</v>
      </c>
      <c r="J11340" s="504">
        <v>14</v>
      </c>
      <c r="K11340" s="504">
        <v>0</v>
      </c>
      <c r="L11340" s="504">
        <v>0</v>
      </c>
      <c r="M11340" s="504">
        <v>0</v>
      </c>
      <c r="N11340" s="504">
        <v>0</v>
      </c>
      <c r="O11340" s="505">
        <v>0</v>
      </c>
    </row>
    <row r="11341" spans="1:15" x14ac:dyDescent="0.35">
      <c r="A11341" s="500" t="s">
        <v>1355</v>
      </c>
      <c r="B11341" s="501" t="s">
        <v>2476</v>
      </c>
      <c r="C11341" s="501" t="s">
        <v>1089</v>
      </c>
      <c r="D11341" s="501" t="s">
        <v>3392</v>
      </c>
      <c r="E11341" s="501" t="s">
        <v>3381</v>
      </c>
      <c r="F11341" s="501" t="s">
        <v>415</v>
      </c>
      <c r="G11341" s="501" t="s">
        <v>3368</v>
      </c>
      <c r="H11341" s="501" t="s">
        <v>13633</v>
      </c>
      <c r="I11341" s="501">
        <v>47</v>
      </c>
      <c r="J11341" s="501">
        <v>0</v>
      </c>
      <c r="K11341" s="501">
        <v>0</v>
      </c>
      <c r="L11341" s="501">
        <v>47</v>
      </c>
      <c r="M11341" s="501">
        <v>0</v>
      </c>
      <c r="N11341" s="501">
        <v>0</v>
      </c>
      <c r="O11341" s="506">
        <v>0</v>
      </c>
    </row>
    <row r="11342" spans="1:15" x14ac:dyDescent="0.35">
      <c r="A11342" s="503" t="s">
        <v>2037</v>
      </c>
      <c r="B11342" s="504" t="s">
        <v>2544</v>
      </c>
      <c r="C11342" s="504" t="s">
        <v>1089</v>
      </c>
      <c r="D11342" s="504" t="s">
        <v>3392</v>
      </c>
      <c r="E11342" s="504" t="s">
        <v>3381</v>
      </c>
      <c r="F11342" s="504" t="s">
        <v>419</v>
      </c>
      <c r="G11342" s="504" t="s">
        <v>3368</v>
      </c>
      <c r="H11342" s="504" t="s">
        <v>13634</v>
      </c>
      <c r="I11342" s="504">
        <v>2</v>
      </c>
      <c r="J11342" s="504">
        <v>2</v>
      </c>
      <c r="K11342" s="504">
        <v>0</v>
      </c>
      <c r="L11342" s="504">
        <v>0</v>
      </c>
      <c r="M11342" s="504">
        <v>0</v>
      </c>
      <c r="N11342" s="504">
        <v>0</v>
      </c>
      <c r="O11342" s="505">
        <v>0</v>
      </c>
    </row>
    <row r="11343" spans="1:15" x14ac:dyDescent="0.35">
      <c r="A11343" s="500" t="s">
        <v>1566</v>
      </c>
      <c r="B11343" s="501" t="s">
        <v>2503</v>
      </c>
      <c r="C11343" s="501" t="s">
        <v>1089</v>
      </c>
      <c r="D11343" s="501" t="s">
        <v>3392</v>
      </c>
      <c r="E11343" s="501" t="s">
        <v>3381</v>
      </c>
      <c r="F11343" s="501" t="s">
        <v>416</v>
      </c>
      <c r="G11343" s="501" t="s">
        <v>3368</v>
      </c>
      <c r="H11343" s="501" t="s">
        <v>13635</v>
      </c>
      <c r="I11343" s="501">
        <v>33</v>
      </c>
      <c r="J11343" s="501">
        <v>0</v>
      </c>
      <c r="K11343" s="501">
        <v>0</v>
      </c>
      <c r="L11343" s="501">
        <v>0</v>
      </c>
      <c r="M11343" s="501">
        <v>33</v>
      </c>
      <c r="N11343" s="501">
        <v>0</v>
      </c>
      <c r="O11343" s="506">
        <v>0</v>
      </c>
    </row>
    <row r="11344" spans="1:15" x14ac:dyDescent="0.35">
      <c r="A11344" s="503" t="s">
        <v>2116</v>
      </c>
      <c r="B11344" s="504">
        <v>5051</v>
      </c>
      <c r="C11344" s="504" t="s">
        <v>1089</v>
      </c>
      <c r="D11344" s="504" t="s">
        <v>3392</v>
      </c>
      <c r="E11344" s="504" t="s">
        <v>3381</v>
      </c>
      <c r="F11344" s="504" t="s">
        <v>420</v>
      </c>
      <c r="G11344" s="504" t="s">
        <v>3368</v>
      </c>
      <c r="H11344" s="504" t="s">
        <v>13636</v>
      </c>
      <c r="I11344" s="504">
        <v>29</v>
      </c>
      <c r="J11344" s="504">
        <v>29</v>
      </c>
      <c r="K11344" s="504">
        <v>0</v>
      </c>
      <c r="L11344" s="504">
        <v>0</v>
      </c>
      <c r="M11344" s="504">
        <v>0</v>
      </c>
      <c r="N11344" s="504">
        <v>0</v>
      </c>
      <c r="O11344" s="505">
        <v>0</v>
      </c>
    </row>
    <row r="11345" spans="1:15" x14ac:dyDescent="0.35">
      <c r="A11345" s="500" t="s">
        <v>2117</v>
      </c>
      <c r="B11345" s="501" t="s">
        <v>2624</v>
      </c>
      <c r="C11345" s="501" t="s">
        <v>1089</v>
      </c>
      <c r="D11345" s="501" t="s">
        <v>3392</v>
      </c>
      <c r="E11345" s="501" t="s">
        <v>3381</v>
      </c>
      <c r="F11345" s="501" t="s">
        <v>420</v>
      </c>
      <c r="G11345" s="501" t="s">
        <v>3368</v>
      </c>
      <c r="H11345" s="501" t="s">
        <v>13637</v>
      </c>
      <c r="I11345" s="501">
        <v>13</v>
      </c>
      <c r="J11345" s="501">
        <v>13</v>
      </c>
      <c r="K11345" s="501">
        <v>0</v>
      </c>
      <c r="L11345" s="501">
        <v>0</v>
      </c>
      <c r="M11345" s="501">
        <v>0</v>
      </c>
      <c r="N11345" s="501">
        <v>0</v>
      </c>
      <c r="O11345" s="506">
        <v>0</v>
      </c>
    </row>
    <row r="11346" spans="1:15" x14ac:dyDescent="0.35">
      <c r="A11346" s="503" t="s">
        <v>2038</v>
      </c>
      <c r="B11346" s="504">
        <v>4859</v>
      </c>
      <c r="C11346" s="504" t="s">
        <v>1089</v>
      </c>
      <c r="D11346" s="504" t="s">
        <v>3392</v>
      </c>
      <c r="E11346" s="504" t="s">
        <v>3381</v>
      </c>
      <c r="F11346" s="504" t="s">
        <v>419</v>
      </c>
      <c r="G11346" s="504" t="s">
        <v>3368</v>
      </c>
      <c r="H11346" s="504" t="s">
        <v>13638</v>
      </c>
      <c r="I11346" s="504">
        <v>17</v>
      </c>
      <c r="J11346" s="504">
        <v>0</v>
      </c>
      <c r="K11346" s="504">
        <v>0</v>
      </c>
      <c r="L11346" s="504">
        <v>0</v>
      </c>
      <c r="M11346" s="504">
        <v>17</v>
      </c>
      <c r="N11346" s="504">
        <v>0</v>
      </c>
      <c r="O11346" s="505">
        <v>0</v>
      </c>
    </row>
    <row r="11347" spans="1:15" x14ac:dyDescent="0.35">
      <c r="A11347" s="500" t="s">
        <v>11433</v>
      </c>
      <c r="B11347" s="501">
        <v>4874</v>
      </c>
      <c r="C11347" s="501" t="s">
        <v>1089</v>
      </c>
      <c r="D11347" s="501" t="s">
        <v>3392</v>
      </c>
      <c r="E11347" s="501" t="s">
        <v>3381</v>
      </c>
      <c r="F11347" s="501" t="s">
        <v>420</v>
      </c>
      <c r="G11347" s="501" t="s">
        <v>3368</v>
      </c>
      <c r="H11347" s="501" t="s">
        <v>13639</v>
      </c>
      <c r="I11347" s="501">
        <v>14</v>
      </c>
      <c r="J11347" s="501">
        <v>14</v>
      </c>
      <c r="K11347" s="501">
        <v>0</v>
      </c>
      <c r="L11347" s="501">
        <v>0</v>
      </c>
      <c r="M11347" s="501">
        <v>0</v>
      </c>
      <c r="N11347" s="501">
        <v>0</v>
      </c>
      <c r="O11347" s="506">
        <v>0</v>
      </c>
    </row>
    <row r="11348" spans="1:15" x14ac:dyDescent="0.35">
      <c r="A11348" s="503" t="s">
        <v>1356</v>
      </c>
      <c r="B11348" s="504" t="s">
        <v>3026</v>
      </c>
      <c r="C11348" s="504" t="s">
        <v>1094</v>
      </c>
      <c r="D11348" s="504" t="s">
        <v>3380</v>
      </c>
      <c r="E11348" s="504" t="s">
        <v>3381</v>
      </c>
      <c r="F11348" s="504" t="s">
        <v>415</v>
      </c>
      <c r="G11348" s="504" t="s">
        <v>3368</v>
      </c>
      <c r="H11348" s="504" t="s">
        <v>13640</v>
      </c>
      <c r="I11348" s="504">
        <v>2937</v>
      </c>
      <c r="J11348" s="504">
        <v>2091</v>
      </c>
      <c r="K11348" s="504">
        <v>0</v>
      </c>
      <c r="L11348" s="504">
        <v>188</v>
      </c>
      <c r="M11348" s="504">
        <v>215</v>
      </c>
      <c r="N11348" s="504">
        <v>0</v>
      </c>
      <c r="O11348" s="505">
        <v>443</v>
      </c>
    </row>
    <row r="11349" spans="1:15" x14ac:dyDescent="0.35">
      <c r="A11349" s="500" t="s">
        <v>1357</v>
      </c>
      <c r="B11349" s="501" t="s">
        <v>3013</v>
      </c>
      <c r="C11349" s="501" t="s">
        <v>1089</v>
      </c>
      <c r="D11349" s="501" t="s">
        <v>3392</v>
      </c>
      <c r="E11349" s="501" t="s">
        <v>3381</v>
      </c>
      <c r="F11349" s="501" t="s">
        <v>415</v>
      </c>
      <c r="G11349" s="501" t="s">
        <v>3368</v>
      </c>
      <c r="H11349" s="501" t="s">
        <v>13641</v>
      </c>
      <c r="I11349" s="501">
        <v>64</v>
      </c>
      <c r="J11349" s="501">
        <v>64</v>
      </c>
      <c r="K11349" s="501">
        <v>0</v>
      </c>
      <c r="L11349" s="501">
        <v>0</v>
      </c>
      <c r="M11349" s="501">
        <v>0</v>
      </c>
      <c r="N11349" s="501">
        <v>0</v>
      </c>
      <c r="O11349" s="506">
        <v>0</v>
      </c>
    </row>
    <row r="11350" spans="1:15" x14ac:dyDescent="0.35">
      <c r="A11350" s="503" t="s">
        <v>1918</v>
      </c>
      <c r="B11350" s="504">
        <v>4840</v>
      </c>
      <c r="C11350" s="504" t="s">
        <v>1089</v>
      </c>
      <c r="D11350" s="504" t="s">
        <v>3392</v>
      </c>
      <c r="E11350" s="504" t="s">
        <v>3381</v>
      </c>
      <c r="F11350" s="504" t="s">
        <v>2</v>
      </c>
      <c r="G11350" s="504" t="s">
        <v>3368</v>
      </c>
      <c r="H11350" s="504" t="s">
        <v>13642</v>
      </c>
      <c r="I11350" s="504">
        <v>16</v>
      </c>
      <c r="J11350" s="504">
        <v>16</v>
      </c>
      <c r="K11350" s="504">
        <v>0</v>
      </c>
      <c r="L11350" s="504">
        <v>0</v>
      </c>
      <c r="M11350" s="504">
        <v>0</v>
      </c>
      <c r="N11350" s="504">
        <v>0</v>
      </c>
      <c r="O11350" s="505">
        <v>0</v>
      </c>
    </row>
    <row r="11351" spans="1:15" x14ac:dyDescent="0.35">
      <c r="A11351" s="500" t="s">
        <v>1246</v>
      </c>
      <c r="B11351" s="501" t="s">
        <v>2510</v>
      </c>
      <c r="C11351" s="501" t="s">
        <v>1089</v>
      </c>
      <c r="D11351" s="501" t="s">
        <v>3392</v>
      </c>
      <c r="E11351" s="501" t="s">
        <v>3381</v>
      </c>
      <c r="F11351" s="501" t="s">
        <v>414</v>
      </c>
      <c r="G11351" s="501" t="s">
        <v>3368</v>
      </c>
      <c r="H11351" s="501" t="s">
        <v>13643</v>
      </c>
      <c r="I11351" s="501">
        <v>69</v>
      </c>
      <c r="J11351" s="501">
        <v>0</v>
      </c>
      <c r="K11351" s="501">
        <v>0</v>
      </c>
      <c r="L11351" s="501">
        <v>0</v>
      </c>
      <c r="M11351" s="501">
        <v>69</v>
      </c>
      <c r="N11351" s="501">
        <v>0</v>
      </c>
      <c r="O11351" s="506">
        <v>0</v>
      </c>
    </row>
    <row r="11352" spans="1:15" x14ac:dyDescent="0.35">
      <c r="A11352" s="503" t="s">
        <v>2180</v>
      </c>
      <c r="B11352" s="504" t="s">
        <v>2553</v>
      </c>
      <c r="C11352" s="504" t="s">
        <v>1089</v>
      </c>
      <c r="D11352" s="504" t="s">
        <v>3392</v>
      </c>
      <c r="E11352" s="504" t="s">
        <v>3381</v>
      </c>
      <c r="F11352" s="504" t="s">
        <v>1048</v>
      </c>
      <c r="G11352" s="504" t="s">
        <v>3368</v>
      </c>
      <c r="H11352" s="504" t="s">
        <v>14070</v>
      </c>
      <c r="I11352" s="504">
        <v>4</v>
      </c>
      <c r="J11352" s="504">
        <v>0</v>
      </c>
      <c r="K11352" s="504">
        <v>0</v>
      </c>
      <c r="L11352" s="504">
        <v>0</v>
      </c>
      <c r="M11352" s="504">
        <v>4</v>
      </c>
      <c r="N11352" s="504">
        <v>0</v>
      </c>
      <c r="O11352" s="505">
        <v>0</v>
      </c>
    </row>
    <row r="11353" spans="1:15" x14ac:dyDescent="0.35">
      <c r="A11353" s="500" t="s">
        <v>1567</v>
      </c>
      <c r="B11353" s="501" t="s">
        <v>2598</v>
      </c>
      <c r="C11353" s="501" t="s">
        <v>1089</v>
      </c>
      <c r="D11353" s="501" t="s">
        <v>3392</v>
      </c>
      <c r="E11353" s="501" t="s">
        <v>3381</v>
      </c>
      <c r="F11353" s="501" t="s">
        <v>416</v>
      </c>
      <c r="G11353" s="501" t="s">
        <v>3368</v>
      </c>
      <c r="H11353" s="501" t="s">
        <v>13644</v>
      </c>
      <c r="I11353" s="501">
        <v>8</v>
      </c>
      <c r="J11353" s="501">
        <v>8</v>
      </c>
      <c r="K11353" s="501">
        <v>0</v>
      </c>
      <c r="L11353" s="501">
        <v>0</v>
      </c>
      <c r="M11353" s="501">
        <v>0</v>
      </c>
      <c r="N11353" s="501">
        <v>0</v>
      </c>
      <c r="O11353" s="506">
        <v>0</v>
      </c>
    </row>
    <row r="11354" spans="1:15" x14ac:dyDescent="0.35">
      <c r="A11354" s="503" t="s">
        <v>2118</v>
      </c>
      <c r="B11354" s="504" t="s">
        <v>3343</v>
      </c>
      <c r="C11354" s="504" t="s">
        <v>1094</v>
      </c>
      <c r="D11354" s="504" t="s">
        <v>3380</v>
      </c>
      <c r="E11354" s="504" t="s">
        <v>3381</v>
      </c>
      <c r="F11354" s="504" t="s">
        <v>420</v>
      </c>
      <c r="G11354" s="504" t="s">
        <v>3368</v>
      </c>
      <c r="H11354" s="504" t="s">
        <v>13645</v>
      </c>
      <c r="I11354" s="504">
        <v>5976</v>
      </c>
      <c r="J11354" s="504">
        <v>3606</v>
      </c>
      <c r="K11354" s="504">
        <v>0</v>
      </c>
      <c r="L11354" s="504">
        <v>2059</v>
      </c>
      <c r="M11354" s="504">
        <v>0</v>
      </c>
      <c r="N11354" s="504">
        <v>44</v>
      </c>
      <c r="O11354" s="505">
        <v>311</v>
      </c>
    </row>
    <row r="11355" spans="1:15" x14ac:dyDescent="0.35">
      <c r="A11355" s="500" t="s">
        <v>14352</v>
      </c>
      <c r="B11355" s="501" t="s">
        <v>2606</v>
      </c>
      <c r="C11355" s="501" t="s">
        <v>1089</v>
      </c>
      <c r="D11355" s="501" t="s">
        <v>3392</v>
      </c>
      <c r="E11355" s="501" t="s">
        <v>3381</v>
      </c>
      <c r="F11355" s="501" t="s">
        <v>2</v>
      </c>
      <c r="G11355" s="501" t="s">
        <v>3368</v>
      </c>
      <c r="H11355" s="501" t="s">
        <v>15430</v>
      </c>
      <c r="I11355" s="501">
        <v>6</v>
      </c>
      <c r="J11355" s="501">
        <v>6</v>
      </c>
      <c r="K11355" s="501">
        <v>0</v>
      </c>
      <c r="L11355" s="501">
        <v>0</v>
      </c>
      <c r="M11355" s="501">
        <v>0</v>
      </c>
      <c r="N11355" s="501">
        <v>0</v>
      </c>
      <c r="O11355" s="506">
        <v>0</v>
      </c>
    </row>
    <row r="11356" spans="1:15" x14ac:dyDescent="0.35">
      <c r="A11356" s="503" t="s">
        <v>1568</v>
      </c>
      <c r="B11356" s="504" t="s">
        <v>2591</v>
      </c>
      <c r="C11356" s="504" t="s">
        <v>1089</v>
      </c>
      <c r="D11356" s="504" t="s">
        <v>3392</v>
      </c>
      <c r="E11356" s="504" t="s">
        <v>3381</v>
      </c>
      <c r="F11356" s="504" t="s">
        <v>416</v>
      </c>
      <c r="G11356" s="504" t="s">
        <v>3368</v>
      </c>
      <c r="H11356" s="504" t="s">
        <v>13646</v>
      </c>
      <c r="I11356" s="504">
        <v>172</v>
      </c>
      <c r="J11356" s="504">
        <v>0</v>
      </c>
      <c r="K11356" s="504">
        <v>0</v>
      </c>
      <c r="L11356" s="504">
        <v>0</v>
      </c>
      <c r="M11356" s="504">
        <v>172</v>
      </c>
      <c r="N11356" s="504">
        <v>28</v>
      </c>
      <c r="O11356" s="505">
        <v>0</v>
      </c>
    </row>
    <row r="11357" spans="1:15" x14ac:dyDescent="0.35">
      <c r="A11357" s="500" t="s">
        <v>2039</v>
      </c>
      <c r="B11357" s="501" t="s">
        <v>2561</v>
      </c>
      <c r="C11357" s="501" t="s">
        <v>1089</v>
      </c>
      <c r="D11357" s="501" t="s">
        <v>3392</v>
      </c>
      <c r="E11357" s="501" t="s">
        <v>3381</v>
      </c>
      <c r="F11357" s="501" t="s">
        <v>419</v>
      </c>
      <c r="G11357" s="501" t="s">
        <v>3368</v>
      </c>
      <c r="H11357" s="501" t="s">
        <v>13647</v>
      </c>
      <c r="I11357" s="501">
        <v>49</v>
      </c>
      <c r="J11357" s="501">
        <v>0</v>
      </c>
      <c r="K11357" s="501">
        <v>0</v>
      </c>
      <c r="L11357" s="501">
        <v>0</v>
      </c>
      <c r="M11357" s="501">
        <v>49</v>
      </c>
      <c r="N11357" s="501">
        <v>0</v>
      </c>
      <c r="O11357" s="506">
        <v>0</v>
      </c>
    </row>
    <row r="11358" spans="1:15" x14ac:dyDescent="0.35">
      <c r="A11358" s="503" t="s">
        <v>1774</v>
      </c>
      <c r="B11358" s="504">
        <v>4767</v>
      </c>
      <c r="C11358" s="504" t="s">
        <v>1089</v>
      </c>
      <c r="D11358" s="504" t="s">
        <v>3392</v>
      </c>
      <c r="E11358" s="504" t="s">
        <v>3381</v>
      </c>
      <c r="F11358" s="504" t="s">
        <v>418</v>
      </c>
      <c r="G11358" s="504" t="s">
        <v>3368</v>
      </c>
      <c r="H11358" s="504" t="s">
        <v>13648</v>
      </c>
      <c r="I11358" s="504">
        <v>48</v>
      </c>
      <c r="J11358" s="504">
        <v>48</v>
      </c>
      <c r="K11358" s="504">
        <v>0</v>
      </c>
      <c r="L11358" s="504">
        <v>0</v>
      </c>
      <c r="M11358" s="504">
        <v>0</v>
      </c>
      <c r="N11358" s="504">
        <v>0</v>
      </c>
      <c r="O11358" s="505">
        <v>0</v>
      </c>
    </row>
    <row r="11359" spans="1:15" x14ac:dyDescent="0.35">
      <c r="A11359" s="500" t="s">
        <v>1247</v>
      </c>
      <c r="B11359" s="501">
        <v>4838</v>
      </c>
      <c r="C11359" s="501" t="s">
        <v>1089</v>
      </c>
      <c r="D11359" s="501" t="s">
        <v>3392</v>
      </c>
      <c r="E11359" s="501" t="s">
        <v>3381</v>
      </c>
      <c r="F11359" s="501" t="s">
        <v>420</v>
      </c>
      <c r="G11359" s="501" t="s">
        <v>3368</v>
      </c>
      <c r="H11359" s="501" t="s">
        <v>13649</v>
      </c>
      <c r="I11359" s="501">
        <v>48</v>
      </c>
      <c r="J11359" s="501">
        <v>0</v>
      </c>
      <c r="K11359" s="501">
        <v>0</v>
      </c>
      <c r="L11359" s="501">
        <v>48</v>
      </c>
      <c r="M11359" s="501">
        <v>0</v>
      </c>
      <c r="N11359" s="501">
        <v>0</v>
      </c>
      <c r="O11359" s="506">
        <v>0</v>
      </c>
    </row>
    <row r="11360" spans="1:15" x14ac:dyDescent="0.35">
      <c r="A11360" s="503" t="s">
        <v>1247</v>
      </c>
      <c r="B11360" s="504">
        <v>4838</v>
      </c>
      <c r="C11360" s="504" t="s">
        <v>1089</v>
      </c>
      <c r="D11360" s="504" t="s">
        <v>3392</v>
      </c>
      <c r="E11360" s="504" t="s">
        <v>3381</v>
      </c>
      <c r="F11360" s="504" t="s">
        <v>414</v>
      </c>
      <c r="G11360" s="504" t="s">
        <v>3368</v>
      </c>
      <c r="H11360" s="504" t="s">
        <v>13650</v>
      </c>
      <c r="I11360" s="504">
        <v>77</v>
      </c>
      <c r="J11360" s="504">
        <v>0</v>
      </c>
      <c r="K11360" s="504">
        <v>0</v>
      </c>
      <c r="L11360" s="504">
        <v>77</v>
      </c>
      <c r="M11360" s="504">
        <v>0</v>
      </c>
      <c r="N11360" s="504">
        <v>1</v>
      </c>
      <c r="O11360" s="505">
        <v>0</v>
      </c>
    </row>
    <row r="11361" spans="1:15" x14ac:dyDescent="0.35">
      <c r="A11361" s="500" t="s">
        <v>1247</v>
      </c>
      <c r="B11361" s="501">
        <v>4838</v>
      </c>
      <c r="C11361" s="501" t="s">
        <v>1089</v>
      </c>
      <c r="D11361" s="501" t="s">
        <v>3392</v>
      </c>
      <c r="E11361" s="501" t="s">
        <v>3381</v>
      </c>
      <c r="F11361" s="501" t="s">
        <v>418</v>
      </c>
      <c r="G11361" s="501" t="s">
        <v>3368</v>
      </c>
      <c r="H11361" s="501" t="s">
        <v>13651</v>
      </c>
      <c r="I11361" s="501">
        <v>2</v>
      </c>
      <c r="J11361" s="501">
        <v>0</v>
      </c>
      <c r="K11361" s="501">
        <v>0</v>
      </c>
      <c r="L11361" s="501">
        <v>2</v>
      </c>
      <c r="M11361" s="501">
        <v>0</v>
      </c>
      <c r="N11361" s="501">
        <v>0</v>
      </c>
      <c r="O11361" s="506">
        <v>0</v>
      </c>
    </row>
    <row r="11362" spans="1:15" x14ac:dyDescent="0.35">
      <c r="A11362" s="503" t="s">
        <v>1248</v>
      </c>
      <c r="B11362" s="504">
        <v>4706</v>
      </c>
      <c r="C11362" s="504" t="s">
        <v>1089</v>
      </c>
      <c r="D11362" s="504" t="s">
        <v>3392</v>
      </c>
      <c r="E11362" s="504" t="s">
        <v>3381</v>
      </c>
      <c r="F11362" s="504" t="s">
        <v>415</v>
      </c>
      <c r="G11362" s="504" t="s">
        <v>3368</v>
      </c>
      <c r="H11362" s="504" t="s">
        <v>13652</v>
      </c>
      <c r="I11362" s="504">
        <v>46</v>
      </c>
      <c r="J11362" s="504">
        <v>0</v>
      </c>
      <c r="K11362" s="504">
        <v>0</v>
      </c>
      <c r="L11362" s="504">
        <v>0</v>
      </c>
      <c r="M11362" s="504">
        <v>46</v>
      </c>
      <c r="N11362" s="504">
        <v>0</v>
      </c>
      <c r="O11362" s="505">
        <v>0</v>
      </c>
    </row>
    <row r="11363" spans="1:15" x14ac:dyDescent="0.35">
      <c r="A11363" s="500" t="s">
        <v>1248</v>
      </c>
      <c r="B11363" s="501">
        <v>4706</v>
      </c>
      <c r="C11363" s="501" t="s">
        <v>1089</v>
      </c>
      <c r="D11363" s="501" t="s">
        <v>3392</v>
      </c>
      <c r="E11363" s="501" t="s">
        <v>3381</v>
      </c>
      <c r="F11363" s="501" t="s">
        <v>420</v>
      </c>
      <c r="G11363" s="501" t="s">
        <v>3368</v>
      </c>
      <c r="H11363" s="501" t="s">
        <v>13653</v>
      </c>
      <c r="I11363" s="501">
        <v>387</v>
      </c>
      <c r="J11363" s="501">
        <v>0</v>
      </c>
      <c r="K11363" s="501">
        <v>0</v>
      </c>
      <c r="L11363" s="501">
        <v>0</v>
      </c>
      <c r="M11363" s="501">
        <v>387</v>
      </c>
      <c r="N11363" s="501">
        <v>0</v>
      </c>
      <c r="O11363" s="506">
        <v>0</v>
      </c>
    </row>
    <row r="11364" spans="1:15" x14ac:dyDescent="0.35">
      <c r="A11364" s="503" t="s">
        <v>1248</v>
      </c>
      <c r="B11364" s="504">
        <v>4706</v>
      </c>
      <c r="C11364" s="504" t="s">
        <v>1089</v>
      </c>
      <c r="D11364" s="504" t="s">
        <v>3392</v>
      </c>
      <c r="E11364" s="504" t="s">
        <v>3381</v>
      </c>
      <c r="F11364" s="504" t="s">
        <v>414</v>
      </c>
      <c r="G11364" s="504" t="s">
        <v>3368</v>
      </c>
      <c r="H11364" s="504" t="s">
        <v>13655</v>
      </c>
      <c r="I11364" s="504">
        <v>100</v>
      </c>
      <c r="J11364" s="504">
        <v>0</v>
      </c>
      <c r="K11364" s="504">
        <v>0</v>
      </c>
      <c r="L11364" s="504">
        <v>0</v>
      </c>
      <c r="M11364" s="504">
        <v>100</v>
      </c>
      <c r="N11364" s="504">
        <v>0</v>
      </c>
      <c r="O11364" s="505">
        <v>0</v>
      </c>
    </row>
    <row r="11365" spans="1:15" x14ac:dyDescent="0.35">
      <c r="A11365" s="500" t="s">
        <v>1248</v>
      </c>
      <c r="B11365" s="501">
        <v>4706</v>
      </c>
      <c r="C11365" s="501" t="s">
        <v>1089</v>
      </c>
      <c r="D11365" s="501" t="s">
        <v>3392</v>
      </c>
      <c r="E11365" s="501" t="s">
        <v>3381</v>
      </c>
      <c r="F11365" s="501" t="s">
        <v>419</v>
      </c>
      <c r="G11365" s="501" t="s">
        <v>3368</v>
      </c>
      <c r="H11365" s="501" t="s">
        <v>13656</v>
      </c>
      <c r="I11365" s="501">
        <v>81</v>
      </c>
      <c r="J11365" s="501">
        <v>0</v>
      </c>
      <c r="K11365" s="501">
        <v>0</v>
      </c>
      <c r="L11365" s="501">
        <v>0</v>
      </c>
      <c r="M11365" s="501">
        <v>81</v>
      </c>
      <c r="N11365" s="501">
        <v>0</v>
      </c>
      <c r="O11365" s="506">
        <v>0</v>
      </c>
    </row>
    <row r="11366" spans="1:15" x14ac:dyDescent="0.35">
      <c r="A11366" s="503" t="s">
        <v>1248</v>
      </c>
      <c r="B11366" s="504">
        <v>4706</v>
      </c>
      <c r="C11366" s="504" t="s">
        <v>1089</v>
      </c>
      <c r="D11366" s="504" t="s">
        <v>3392</v>
      </c>
      <c r="E11366" s="504" t="s">
        <v>3381</v>
      </c>
      <c r="F11366" s="504" t="s">
        <v>2</v>
      </c>
      <c r="G11366" s="504" t="s">
        <v>3368</v>
      </c>
      <c r="H11366" s="504" t="s">
        <v>13654</v>
      </c>
      <c r="I11366" s="504">
        <v>131</v>
      </c>
      <c r="J11366" s="504">
        <v>0</v>
      </c>
      <c r="K11366" s="504">
        <v>0</v>
      </c>
      <c r="L11366" s="504">
        <v>0</v>
      </c>
      <c r="M11366" s="504">
        <v>131</v>
      </c>
      <c r="N11366" s="504">
        <v>0</v>
      </c>
      <c r="O11366" s="505">
        <v>0</v>
      </c>
    </row>
    <row r="11367" spans="1:15" x14ac:dyDescent="0.35">
      <c r="A11367" s="500" t="s">
        <v>11398</v>
      </c>
      <c r="B11367" s="501" t="s">
        <v>3224</v>
      </c>
      <c r="C11367" s="501" t="s">
        <v>1089</v>
      </c>
      <c r="D11367" s="501" t="s">
        <v>3392</v>
      </c>
      <c r="E11367" s="501" t="s">
        <v>3381</v>
      </c>
      <c r="F11367" s="501" t="s">
        <v>418</v>
      </c>
      <c r="G11367" s="501" t="s">
        <v>3368</v>
      </c>
      <c r="H11367" s="501" t="s">
        <v>13657</v>
      </c>
      <c r="I11367" s="501">
        <v>71</v>
      </c>
      <c r="J11367" s="501">
        <v>0</v>
      </c>
      <c r="K11367" s="501">
        <v>0</v>
      </c>
      <c r="L11367" s="501">
        <v>71</v>
      </c>
      <c r="M11367" s="501">
        <v>0</v>
      </c>
      <c r="N11367" s="501">
        <v>0</v>
      </c>
      <c r="O11367" s="506">
        <v>0</v>
      </c>
    </row>
    <row r="11368" spans="1:15" x14ac:dyDescent="0.35">
      <c r="A11368" s="503" t="s">
        <v>11398</v>
      </c>
      <c r="B11368" s="504" t="s">
        <v>3224</v>
      </c>
      <c r="C11368" s="504" t="s">
        <v>1089</v>
      </c>
      <c r="D11368" s="504" t="s">
        <v>3392</v>
      </c>
      <c r="E11368" s="504" t="s">
        <v>3381</v>
      </c>
      <c r="F11368" s="504" t="s">
        <v>417</v>
      </c>
      <c r="G11368" s="504" t="s">
        <v>3368</v>
      </c>
      <c r="H11368" s="504" t="s">
        <v>13658</v>
      </c>
      <c r="I11368" s="504">
        <v>20</v>
      </c>
      <c r="J11368" s="504">
        <v>0</v>
      </c>
      <c r="K11368" s="504">
        <v>0</v>
      </c>
      <c r="L11368" s="504">
        <v>20</v>
      </c>
      <c r="M11368" s="504">
        <v>0</v>
      </c>
      <c r="N11368" s="504">
        <v>0</v>
      </c>
      <c r="O11368" s="505">
        <v>0</v>
      </c>
    </row>
    <row r="11369" spans="1:15" x14ac:dyDescent="0.35">
      <c r="A11369" s="500" t="s">
        <v>11468</v>
      </c>
      <c r="B11369" s="501" t="s">
        <v>2491</v>
      </c>
      <c r="C11369" s="501" t="s">
        <v>1089</v>
      </c>
      <c r="D11369" s="501" t="s">
        <v>3392</v>
      </c>
      <c r="E11369" s="501" t="s">
        <v>3381</v>
      </c>
      <c r="F11369" s="501" t="s">
        <v>2</v>
      </c>
      <c r="G11369" s="501" t="s">
        <v>3368</v>
      </c>
      <c r="H11369" s="501" t="s">
        <v>13659</v>
      </c>
      <c r="I11369" s="501">
        <v>69</v>
      </c>
      <c r="J11369" s="501">
        <v>0</v>
      </c>
      <c r="K11369" s="501">
        <v>0</v>
      </c>
      <c r="L11369" s="501">
        <v>0</v>
      </c>
      <c r="M11369" s="501">
        <v>69</v>
      </c>
      <c r="N11369" s="501">
        <v>0</v>
      </c>
      <c r="O11369" s="506">
        <v>0</v>
      </c>
    </row>
    <row r="11370" spans="1:15" x14ac:dyDescent="0.35">
      <c r="A11370" s="503" t="s">
        <v>1919</v>
      </c>
      <c r="B11370" s="504" t="s">
        <v>3076</v>
      </c>
      <c r="C11370" s="504" t="s">
        <v>1089</v>
      </c>
      <c r="D11370" s="504" t="s">
        <v>3392</v>
      </c>
      <c r="E11370" s="504" t="s">
        <v>3381</v>
      </c>
      <c r="F11370" s="504" t="s">
        <v>2</v>
      </c>
      <c r="G11370" s="504" t="s">
        <v>3368</v>
      </c>
      <c r="H11370" s="504" t="s">
        <v>13660</v>
      </c>
      <c r="I11370" s="504">
        <v>58</v>
      </c>
      <c r="J11370" s="504">
        <v>58</v>
      </c>
      <c r="K11370" s="504">
        <v>0</v>
      </c>
      <c r="L11370" s="504">
        <v>0</v>
      </c>
      <c r="M11370" s="504">
        <v>0</v>
      </c>
      <c r="N11370" s="504">
        <v>2</v>
      </c>
      <c r="O11370" s="505">
        <v>0</v>
      </c>
    </row>
    <row r="11371" spans="1:15" x14ac:dyDescent="0.35">
      <c r="A11371" s="500" t="s">
        <v>14354</v>
      </c>
      <c r="B11371" s="501" t="s">
        <v>14353</v>
      </c>
      <c r="C11371" s="501" t="s">
        <v>1089</v>
      </c>
      <c r="D11371" s="501" t="s">
        <v>3392</v>
      </c>
      <c r="E11371" s="501" t="s">
        <v>3381</v>
      </c>
      <c r="F11371" s="501" t="s">
        <v>419</v>
      </c>
      <c r="G11371" s="501" t="s">
        <v>3368</v>
      </c>
      <c r="H11371" s="501" t="s">
        <v>15431</v>
      </c>
      <c r="I11371" s="501">
        <v>8</v>
      </c>
      <c r="J11371" s="501">
        <v>8</v>
      </c>
      <c r="K11371" s="501">
        <v>0</v>
      </c>
      <c r="L11371" s="501">
        <v>0</v>
      </c>
      <c r="M11371" s="501">
        <v>0</v>
      </c>
      <c r="N11371" s="501">
        <v>0</v>
      </c>
      <c r="O11371" s="506">
        <v>0</v>
      </c>
    </row>
    <row r="11372" spans="1:15" x14ac:dyDescent="0.35">
      <c r="A11372" s="503" t="s">
        <v>1358</v>
      </c>
      <c r="B11372" s="504" t="s">
        <v>3293</v>
      </c>
      <c r="C11372" s="504" t="s">
        <v>1089</v>
      </c>
      <c r="D11372" s="504" t="s">
        <v>3392</v>
      </c>
      <c r="E11372" s="504" t="s">
        <v>3381</v>
      </c>
      <c r="F11372" s="504" t="s">
        <v>416</v>
      </c>
      <c r="G11372" s="504" t="s">
        <v>3368</v>
      </c>
      <c r="H11372" s="504" t="s">
        <v>13663</v>
      </c>
      <c r="I11372" s="504">
        <v>19</v>
      </c>
      <c r="J11372" s="504">
        <v>0</v>
      </c>
      <c r="K11372" s="504">
        <v>0</v>
      </c>
      <c r="L11372" s="504">
        <v>19</v>
      </c>
      <c r="M11372" s="504">
        <v>0</v>
      </c>
      <c r="N11372" s="504">
        <v>0</v>
      </c>
      <c r="O11372" s="505">
        <v>0</v>
      </c>
    </row>
    <row r="11373" spans="1:15" x14ac:dyDescent="0.35">
      <c r="A11373" s="500" t="s">
        <v>1358</v>
      </c>
      <c r="B11373" s="501" t="s">
        <v>3293</v>
      </c>
      <c r="C11373" s="501" t="s">
        <v>1089</v>
      </c>
      <c r="D11373" s="501" t="s">
        <v>3392</v>
      </c>
      <c r="E11373" s="501" t="s">
        <v>3381</v>
      </c>
      <c r="F11373" s="501" t="s">
        <v>2</v>
      </c>
      <c r="G11373" s="501" t="s">
        <v>3368</v>
      </c>
      <c r="H11373" s="501" t="s">
        <v>13661</v>
      </c>
      <c r="I11373" s="501">
        <v>64</v>
      </c>
      <c r="J11373" s="501">
        <v>0</v>
      </c>
      <c r="K11373" s="501">
        <v>0</v>
      </c>
      <c r="L11373" s="501">
        <v>57</v>
      </c>
      <c r="M11373" s="501">
        <v>7</v>
      </c>
      <c r="N11373" s="501">
        <v>0</v>
      </c>
      <c r="O11373" s="506">
        <v>0</v>
      </c>
    </row>
    <row r="11374" spans="1:15" x14ac:dyDescent="0.35">
      <c r="A11374" s="503" t="s">
        <v>1358</v>
      </c>
      <c r="B11374" s="504" t="s">
        <v>3293</v>
      </c>
      <c r="C11374" s="504" t="s">
        <v>1089</v>
      </c>
      <c r="D11374" s="504" t="s">
        <v>3392</v>
      </c>
      <c r="E11374" s="504" t="s">
        <v>3381</v>
      </c>
      <c r="F11374" s="504" t="s">
        <v>415</v>
      </c>
      <c r="G11374" s="504" t="s">
        <v>3368</v>
      </c>
      <c r="H11374" s="504" t="s">
        <v>13662</v>
      </c>
      <c r="I11374" s="504">
        <v>12</v>
      </c>
      <c r="J11374" s="504">
        <v>0</v>
      </c>
      <c r="K11374" s="504">
        <v>0</v>
      </c>
      <c r="L11374" s="504">
        <v>12</v>
      </c>
      <c r="M11374" s="504">
        <v>0</v>
      </c>
      <c r="N11374" s="504">
        <v>0</v>
      </c>
      <c r="O11374" s="505">
        <v>0</v>
      </c>
    </row>
    <row r="11375" spans="1:15" x14ac:dyDescent="0.35">
      <c r="A11375" s="500" t="s">
        <v>1569</v>
      </c>
      <c r="B11375" s="501" t="s">
        <v>2430</v>
      </c>
      <c r="C11375" s="501" t="s">
        <v>1089</v>
      </c>
      <c r="D11375" s="501" t="s">
        <v>3392</v>
      </c>
      <c r="E11375" s="501" t="s">
        <v>3381</v>
      </c>
      <c r="F11375" s="501" t="s">
        <v>416</v>
      </c>
      <c r="G11375" s="501" t="s">
        <v>3368</v>
      </c>
      <c r="H11375" s="501" t="s">
        <v>13664</v>
      </c>
      <c r="I11375" s="501">
        <v>172</v>
      </c>
      <c r="J11375" s="501">
        <v>0</v>
      </c>
      <c r="K11375" s="501">
        <v>0</v>
      </c>
      <c r="L11375" s="501">
        <v>0</v>
      </c>
      <c r="M11375" s="501">
        <v>172</v>
      </c>
      <c r="N11375" s="501">
        <v>0</v>
      </c>
      <c r="O11375" s="506">
        <v>0</v>
      </c>
    </row>
    <row r="11376" spans="1:15" x14ac:dyDescent="0.35">
      <c r="A11376" s="503" t="s">
        <v>1359</v>
      </c>
      <c r="B11376" s="504" t="s">
        <v>2579</v>
      </c>
      <c r="C11376" s="504" t="s">
        <v>1089</v>
      </c>
      <c r="D11376" s="504" t="s">
        <v>3392</v>
      </c>
      <c r="E11376" s="504" t="s">
        <v>3381</v>
      </c>
      <c r="F11376" s="504" t="s">
        <v>415</v>
      </c>
      <c r="G11376" s="504" t="s">
        <v>3368</v>
      </c>
      <c r="H11376" s="504" t="s">
        <v>13665</v>
      </c>
      <c r="I11376" s="504">
        <v>8</v>
      </c>
      <c r="J11376" s="504">
        <v>0</v>
      </c>
      <c r="K11376" s="504">
        <v>0</v>
      </c>
      <c r="L11376" s="504">
        <v>0</v>
      </c>
      <c r="M11376" s="504">
        <v>8</v>
      </c>
      <c r="N11376" s="504">
        <v>0</v>
      </c>
      <c r="O11376" s="505">
        <v>0</v>
      </c>
    </row>
    <row r="11377" spans="1:15" x14ac:dyDescent="0.35">
      <c r="A11377" s="500" t="s">
        <v>2040</v>
      </c>
      <c r="B11377" s="501" t="s">
        <v>2626</v>
      </c>
      <c r="C11377" s="501" t="s">
        <v>1089</v>
      </c>
      <c r="D11377" s="501" t="s">
        <v>3392</v>
      </c>
      <c r="E11377" s="501" t="s">
        <v>3381</v>
      </c>
      <c r="F11377" s="501" t="s">
        <v>419</v>
      </c>
      <c r="G11377" s="501" t="s">
        <v>3368</v>
      </c>
      <c r="H11377" s="501" t="s">
        <v>13666</v>
      </c>
      <c r="I11377" s="501">
        <v>12</v>
      </c>
      <c r="J11377" s="501">
        <v>12</v>
      </c>
      <c r="K11377" s="501">
        <v>0</v>
      </c>
      <c r="L11377" s="501">
        <v>0</v>
      </c>
      <c r="M11377" s="501">
        <v>0</v>
      </c>
      <c r="N11377" s="501">
        <v>0</v>
      </c>
      <c r="O11377" s="506">
        <v>0</v>
      </c>
    </row>
    <row r="11378" spans="1:15" x14ac:dyDescent="0.35">
      <c r="A11378" s="503" t="s">
        <v>1658</v>
      </c>
      <c r="B11378" s="504">
        <v>4683</v>
      </c>
      <c r="C11378" s="504" t="s">
        <v>1089</v>
      </c>
      <c r="D11378" s="504" t="s">
        <v>3392</v>
      </c>
      <c r="E11378" s="504" t="s">
        <v>3381</v>
      </c>
      <c r="F11378" s="504" t="s">
        <v>417</v>
      </c>
      <c r="G11378" s="504" t="s">
        <v>3368</v>
      </c>
      <c r="H11378" s="504" t="s">
        <v>13667</v>
      </c>
      <c r="I11378" s="504">
        <v>20</v>
      </c>
      <c r="J11378" s="504">
        <v>20</v>
      </c>
      <c r="K11378" s="504">
        <v>0</v>
      </c>
      <c r="L11378" s="504">
        <v>0</v>
      </c>
      <c r="M11378" s="504">
        <v>0</v>
      </c>
      <c r="N11378" s="504">
        <v>0</v>
      </c>
      <c r="O11378" s="505">
        <v>0</v>
      </c>
    </row>
    <row r="11379" spans="1:15" x14ac:dyDescent="0.35">
      <c r="A11379" s="500" t="s">
        <v>2041</v>
      </c>
      <c r="B11379" s="501" t="s">
        <v>2434</v>
      </c>
      <c r="C11379" s="501" t="s">
        <v>1089</v>
      </c>
      <c r="D11379" s="501" t="s">
        <v>3392</v>
      </c>
      <c r="E11379" s="501" t="s">
        <v>3381</v>
      </c>
      <c r="F11379" s="501" t="s">
        <v>419</v>
      </c>
      <c r="G11379" s="501" t="s">
        <v>3368</v>
      </c>
      <c r="H11379" s="501" t="s">
        <v>13668</v>
      </c>
      <c r="I11379" s="501">
        <v>137</v>
      </c>
      <c r="J11379" s="501">
        <v>0</v>
      </c>
      <c r="K11379" s="501">
        <v>0</v>
      </c>
      <c r="L11379" s="501">
        <v>0</v>
      </c>
      <c r="M11379" s="501">
        <v>137</v>
      </c>
      <c r="N11379" s="501">
        <v>0</v>
      </c>
      <c r="O11379" s="506">
        <v>0</v>
      </c>
    </row>
    <row r="11380" spans="1:15" x14ac:dyDescent="0.35">
      <c r="A11380" s="503" t="s">
        <v>1920</v>
      </c>
      <c r="B11380" s="504" t="s">
        <v>2919</v>
      </c>
      <c r="C11380" s="504" t="s">
        <v>1089</v>
      </c>
      <c r="D11380" s="504" t="s">
        <v>3392</v>
      </c>
      <c r="E11380" s="504" t="s">
        <v>3381</v>
      </c>
      <c r="F11380" s="504" t="s">
        <v>2</v>
      </c>
      <c r="G11380" s="504" t="s">
        <v>3368</v>
      </c>
      <c r="H11380" s="504" t="s">
        <v>13669</v>
      </c>
      <c r="I11380" s="504">
        <v>66</v>
      </c>
      <c r="J11380" s="504">
        <v>0</v>
      </c>
      <c r="K11380" s="504">
        <v>0</v>
      </c>
      <c r="L11380" s="504">
        <v>66</v>
      </c>
      <c r="M11380" s="504">
        <v>0</v>
      </c>
      <c r="N11380" s="504">
        <v>0</v>
      </c>
      <c r="O11380" s="505">
        <v>0</v>
      </c>
    </row>
    <row r="11381" spans="1:15" x14ac:dyDescent="0.35">
      <c r="A11381" s="500" t="s">
        <v>1249</v>
      </c>
      <c r="B11381" s="501">
        <v>4729</v>
      </c>
      <c r="C11381" s="501" t="s">
        <v>1094</v>
      </c>
      <c r="D11381" s="501" t="s">
        <v>3380</v>
      </c>
      <c r="E11381" s="501" t="s">
        <v>3381</v>
      </c>
      <c r="F11381" s="501" t="s">
        <v>416</v>
      </c>
      <c r="G11381" s="501" t="s">
        <v>3368</v>
      </c>
      <c r="H11381" s="501" t="s">
        <v>13674</v>
      </c>
      <c r="I11381" s="501">
        <v>6455</v>
      </c>
      <c r="J11381" s="501">
        <v>5697</v>
      </c>
      <c r="K11381" s="501">
        <v>0</v>
      </c>
      <c r="L11381" s="501">
        <v>71</v>
      </c>
      <c r="M11381" s="501">
        <v>270</v>
      </c>
      <c r="N11381" s="501">
        <v>2</v>
      </c>
      <c r="O11381" s="506">
        <v>417</v>
      </c>
    </row>
    <row r="11382" spans="1:15" x14ac:dyDescent="0.35">
      <c r="A11382" s="503" t="s">
        <v>1249</v>
      </c>
      <c r="B11382" s="504">
        <v>4729</v>
      </c>
      <c r="C11382" s="504" t="s">
        <v>1094</v>
      </c>
      <c r="D11382" s="504" t="s">
        <v>3380</v>
      </c>
      <c r="E11382" s="504" t="s">
        <v>3381</v>
      </c>
      <c r="F11382" s="504" t="s">
        <v>419</v>
      </c>
      <c r="G11382" s="504" t="s">
        <v>3368</v>
      </c>
      <c r="H11382" s="504" t="s">
        <v>13673</v>
      </c>
      <c r="I11382" s="504">
        <v>8571</v>
      </c>
      <c r="J11382" s="504">
        <v>6722</v>
      </c>
      <c r="K11382" s="504">
        <v>0</v>
      </c>
      <c r="L11382" s="504">
        <v>91</v>
      </c>
      <c r="M11382" s="504">
        <v>717</v>
      </c>
      <c r="N11382" s="504">
        <v>0</v>
      </c>
      <c r="O11382" s="505">
        <v>1041</v>
      </c>
    </row>
    <row r="11383" spans="1:15" x14ac:dyDescent="0.35">
      <c r="A11383" s="500" t="s">
        <v>1249</v>
      </c>
      <c r="B11383" s="501">
        <v>4729</v>
      </c>
      <c r="C11383" s="501" t="s">
        <v>1094</v>
      </c>
      <c r="D11383" s="501" t="s">
        <v>3380</v>
      </c>
      <c r="E11383" s="501" t="s">
        <v>3381</v>
      </c>
      <c r="F11383" s="501" t="s">
        <v>417</v>
      </c>
      <c r="G11383" s="501" t="s">
        <v>3368</v>
      </c>
      <c r="H11383" s="501" t="s">
        <v>13677</v>
      </c>
      <c r="I11383" s="501">
        <v>1</v>
      </c>
      <c r="J11383" s="501">
        <v>0</v>
      </c>
      <c r="K11383" s="501">
        <v>0</v>
      </c>
      <c r="L11383" s="501">
        <v>0</v>
      </c>
      <c r="M11383" s="501">
        <v>0</v>
      </c>
      <c r="N11383" s="501">
        <v>0</v>
      </c>
      <c r="O11383" s="506">
        <v>1</v>
      </c>
    </row>
    <row r="11384" spans="1:15" x14ac:dyDescent="0.35">
      <c r="A11384" s="503" t="s">
        <v>1249</v>
      </c>
      <c r="B11384" s="504">
        <v>4729</v>
      </c>
      <c r="C11384" s="504" t="s">
        <v>1094</v>
      </c>
      <c r="D11384" s="504" t="s">
        <v>3380</v>
      </c>
      <c r="E11384" s="504" t="s">
        <v>3381</v>
      </c>
      <c r="F11384" s="504" t="s">
        <v>2</v>
      </c>
      <c r="G11384" s="504" t="s">
        <v>3368</v>
      </c>
      <c r="H11384" s="504" t="s">
        <v>13671</v>
      </c>
      <c r="I11384" s="504">
        <v>12855</v>
      </c>
      <c r="J11384" s="504">
        <v>8510</v>
      </c>
      <c r="K11384" s="504">
        <v>0</v>
      </c>
      <c r="L11384" s="504">
        <v>89</v>
      </c>
      <c r="M11384" s="504">
        <v>1244</v>
      </c>
      <c r="N11384" s="504">
        <v>3</v>
      </c>
      <c r="O11384" s="505">
        <v>3012</v>
      </c>
    </row>
    <row r="11385" spans="1:15" x14ac:dyDescent="0.35">
      <c r="A11385" s="500" t="s">
        <v>1249</v>
      </c>
      <c r="B11385" s="501">
        <v>4729</v>
      </c>
      <c r="C11385" s="501" t="s">
        <v>1094</v>
      </c>
      <c r="D11385" s="501" t="s">
        <v>3380</v>
      </c>
      <c r="E11385" s="501" t="s">
        <v>3381</v>
      </c>
      <c r="F11385" s="501" t="s">
        <v>420</v>
      </c>
      <c r="G11385" s="501" t="s">
        <v>3368</v>
      </c>
      <c r="H11385" s="501" t="s">
        <v>13670</v>
      </c>
      <c r="I11385" s="501">
        <v>95</v>
      </c>
      <c r="J11385" s="501">
        <v>76</v>
      </c>
      <c r="K11385" s="501">
        <v>0</v>
      </c>
      <c r="L11385" s="501">
        <v>0</v>
      </c>
      <c r="M11385" s="501">
        <v>0</v>
      </c>
      <c r="N11385" s="501">
        <v>0</v>
      </c>
      <c r="O11385" s="506">
        <v>19</v>
      </c>
    </row>
    <row r="11386" spans="1:15" x14ac:dyDescent="0.35">
      <c r="A11386" s="503" t="s">
        <v>1249</v>
      </c>
      <c r="B11386" s="504">
        <v>4729</v>
      </c>
      <c r="C11386" s="504" t="s">
        <v>1094</v>
      </c>
      <c r="D11386" s="504" t="s">
        <v>3380</v>
      </c>
      <c r="E11386" s="504" t="s">
        <v>3381</v>
      </c>
      <c r="F11386" s="504" t="s">
        <v>415</v>
      </c>
      <c r="G11386" s="504" t="s">
        <v>3368</v>
      </c>
      <c r="H11386" s="504" t="s">
        <v>13672</v>
      </c>
      <c r="I11386" s="504">
        <v>2993</v>
      </c>
      <c r="J11386" s="504">
        <v>2697</v>
      </c>
      <c r="K11386" s="504">
        <v>0</v>
      </c>
      <c r="L11386" s="504">
        <v>1</v>
      </c>
      <c r="M11386" s="504">
        <v>62</v>
      </c>
      <c r="N11386" s="504">
        <v>1</v>
      </c>
      <c r="O11386" s="505">
        <v>233</v>
      </c>
    </row>
    <row r="11387" spans="1:15" x14ac:dyDescent="0.35">
      <c r="A11387" s="500" t="s">
        <v>1249</v>
      </c>
      <c r="B11387" s="501">
        <v>4729</v>
      </c>
      <c r="C11387" s="501" t="s">
        <v>1094</v>
      </c>
      <c r="D11387" s="501" t="s">
        <v>3380</v>
      </c>
      <c r="E11387" s="501" t="s">
        <v>3381</v>
      </c>
      <c r="F11387" s="501" t="s">
        <v>418</v>
      </c>
      <c r="G11387" s="501" t="s">
        <v>3368</v>
      </c>
      <c r="H11387" s="501" t="s">
        <v>13676</v>
      </c>
      <c r="I11387" s="501">
        <v>17021</v>
      </c>
      <c r="J11387" s="501">
        <v>13401</v>
      </c>
      <c r="K11387" s="501">
        <v>5</v>
      </c>
      <c r="L11387" s="501">
        <v>207</v>
      </c>
      <c r="M11387" s="501">
        <v>2536</v>
      </c>
      <c r="N11387" s="501">
        <v>2</v>
      </c>
      <c r="O11387" s="506">
        <v>872</v>
      </c>
    </row>
    <row r="11388" spans="1:15" x14ac:dyDescent="0.35">
      <c r="A11388" s="503" t="s">
        <v>1249</v>
      </c>
      <c r="B11388" s="504">
        <v>4729</v>
      </c>
      <c r="C11388" s="504" t="s">
        <v>1094</v>
      </c>
      <c r="D11388" s="504" t="s">
        <v>3380</v>
      </c>
      <c r="E11388" s="504" t="s">
        <v>3381</v>
      </c>
      <c r="F11388" s="504" t="s">
        <v>414</v>
      </c>
      <c r="G11388" s="504" t="s">
        <v>3368</v>
      </c>
      <c r="H11388" s="504" t="s">
        <v>13675</v>
      </c>
      <c r="I11388" s="504">
        <v>4612</v>
      </c>
      <c r="J11388" s="504">
        <v>3419</v>
      </c>
      <c r="K11388" s="504">
        <v>1</v>
      </c>
      <c r="L11388" s="504">
        <v>38</v>
      </c>
      <c r="M11388" s="504">
        <v>837</v>
      </c>
      <c r="N11388" s="504">
        <v>1</v>
      </c>
      <c r="O11388" s="505">
        <v>317</v>
      </c>
    </row>
    <row r="11389" spans="1:15" x14ac:dyDescent="0.35">
      <c r="A11389" s="500" t="s">
        <v>1249</v>
      </c>
      <c r="B11389" s="501">
        <v>4729</v>
      </c>
      <c r="C11389" s="501" t="s">
        <v>1094</v>
      </c>
      <c r="D11389" s="501" t="s">
        <v>3380</v>
      </c>
      <c r="E11389" s="501" t="s">
        <v>3381</v>
      </c>
      <c r="F11389" s="501" t="s">
        <v>1048</v>
      </c>
      <c r="G11389" s="501" t="s">
        <v>3368</v>
      </c>
      <c r="H11389" s="501" t="s">
        <v>14071</v>
      </c>
      <c r="I11389" s="501">
        <v>6033</v>
      </c>
      <c r="J11389" s="501">
        <v>4177</v>
      </c>
      <c r="K11389" s="501">
        <v>1</v>
      </c>
      <c r="L11389" s="501">
        <v>185</v>
      </c>
      <c r="M11389" s="501">
        <v>1226</v>
      </c>
      <c r="N11389" s="501">
        <v>0</v>
      </c>
      <c r="O11389" s="506">
        <v>444</v>
      </c>
    </row>
    <row r="11390" spans="1:15" x14ac:dyDescent="0.35">
      <c r="A11390" s="503" t="s">
        <v>1570</v>
      </c>
      <c r="B11390" s="504" t="s">
        <v>2490</v>
      </c>
      <c r="C11390" s="504" t="s">
        <v>1089</v>
      </c>
      <c r="D11390" s="504" t="s">
        <v>3392</v>
      </c>
      <c r="E11390" s="504" t="s">
        <v>3381</v>
      </c>
      <c r="F11390" s="504" t="s">
        <v>416</v>
      </c>
      <c r="G11390" s="504" t="s">
        <v>3368</v>
      </c>
      <c r="H11390" s="504" t="s">
        <v>13678</v>
      </c>
      <c r="I11390" s="504">
        <v>12</v>
      </c>
      <c r="J11390" s="504">
        <v>0</v>
      </c>
      <c r="K11390" s="504">
        <v>0</v>
      </c>
      <c r="L11390" s="504">
        <v>0</v>
      </c>
      <c r="M11390" s="504">
        <v>12</v>
      </c>
      <c r="N11390" s="504">
        <v>0</v>
      </c>
      <c r="O11390" s="505">
        <v>0</v>
      </c>
    </row>
    <row r="11391" spans="1:15" x14ac:dyDescent="0.35">
      <c r="A11391" s="500" t="s">
        <v>2119</v>
      </c>
      <c r="B11391" s="501" t="s">
        <v>2558</v>
      </c>
      <c r="C11391" s="501" t="s">
        <v>1089</v>
      </c>
      <c r="D11391" s="501" t="s">
        <v>3392</v>
      </c>
      <c r="E11391" s="501" t="s">
        <v>3381</v>
      </c>
      <c r="F11391" s="501" t="s">
        <v>420</v>
      </c>
      <c r="G11391" s="501" t="s">
        <v>3368</v>
      </c>
      <c r="H11391" s="501" t="s">
        <v>13679</v>
      </c>
      <c r="I11391" s="501">
        <v>99</v>
      </c>
      <c r="J11391" s="501">
        <v>0</v>
      </c>
      <c r="K11391" s="501">
        <v>0</v>
      </c>
      <c r="L11391" s="501">
        <v>0</v>
      </c>
      <c r="M11391" s="501">
        <v>99</v>
      </c>
      <c r="N11391" s="501">
        <v>0</v>
      </c>
      <c r="O11391" s="506">
        <v>0</v>
      </c>
    </row>
    <row r="11392" spans="1:15" x14ac:dyDescent="0.35">
      <c r="A11392" s="503" t="s">
        <v>2181</v>
      </c>
      <c r="B11392" s="504" t="s">
        <v>2618</v>
      </c>
      <c r="C11392" s="504" t="s">
        <v>1089</v>
      </c>
      <c r="D11392" s="504" t="s">
        <v>3392</v>
      </c>
      <c r="E11392" s="504" t="s">
        <v>3381</v>
      </c>
      <c r="F11392" s="504" t="s">
        <v>1048</v>
      </c>
      <c r="G11392" s="504" t="s">
        <v>3368</v>
      </c>
      <c r="H11392" s="504" t="s">
        <v>14072</v>
      </c>
      <c r="I11392" s="504">
        <v>8</v>
      </c>
      <c r="J11392" s="504">
        <v>0</v>
      </c>
      <c r="K11392" s="504">
        <v>0</v>
      </c>
      <c r="L11392" s="504">
        <v>0</v>
      </c>
      <c r="M11392" s="504">
        <v>8</v>
      </c>
      <c r="N11392" s="504">
        <v>0</v>
      </c>
      <c r="O11392" s="505">
        <v>0</v>
      </c>
    </row>
    <row r="11393" spans="1:15" x14ac:dyDescent="0.35">
      <c r="A11393" s="500" t="s">
        <v>11399</v>
      </c>
      <c r="B11393" s="501" t="s">
        <v>2469</v>
      </c>
      <c r="C11393" s="501" t="s">
        <v>1089</v>
      </c>
      <c r="D11393" s="501" t="s">
        <v>3392</v>
      </c>
      <c r="E11393" s="501" t="s">
        <v>3381</v>
      </c>
      <c r="F11393" s="501" t="s">
        <v>417</v>
      </c>
      <c r="G11393" s="501" t="s">
        <v>3368</v>
      </c>
      <c r="H11393" s="501" t="s">
        <v>13680</v>
      </c>
      <c r="I11393" s="501">
        <v>29</v>
      </c>
      <c r="J11393" s="501">
        <v>29</v>
      </c>
      <c r="K11393" s="501">
        <v>0</v>
      </c>
      <c r="L11393" s="501">
        <v>0</v>
      </c>
      <c r="M11393" s="501">
        <v>0</v>
      </c>
      <c r="N11393" s="501">
        <v>0</v>
      </c>
      <c r="O11393" s="506">
        <v>0</v>
      </c>
    </row>
    <row r="11394" spans="1:15" x14ac:dyDescent="0.35">
      <c r="A11394" s="503" t="s">
        <v>1360</v>
      </c>
      <c r="B11394" s="504" t="s">
        <v>3350</v>
      </c>
      <c r="C11394" s="504" t="s">
        <v>1094</v>
      </c>
      <c r="D11394" s="504" t="s">
        <v>3380</v>
      </c>
      <c r="E11394" s="504" t="s">
        <v>3381</v>
      </c>
      <c r="F11394" s="504" t="s">
        <v>415</v>
      </c>
      <c r="G11394" s="504" t="s">
        <v>3368</v>
      </c>
      <c r="H11394" s="504" t="s">
        <v>13681</v>
      </c>
      <c r="I11394" s="504">
        <v>7090</v>
      </c>
      <c r="J11394" s="504">
        <v>6430</v>
      </c>
      <c r="K11394" s="504">
        <v>0</v>
      </c>
      <c r="L11394" s="504">
        <v>99</v>
      </c>
      <c r="M11394" s="504">
        <v>265</v>
      </c>
      <c r="N11394" s="504">
        <v>0</v>
      </c>
      <c r="O11394" s="505">
        <v>296</v>
      </c>
    </row>
    <row r="11395" spans="1:15" x14ac:dyDescent="0.35">
      <c r="A11395" s="500" t="s">
        <v>14355</v>
      </c>
      <c r="B11395" s="501" t="s">
        <v>2631</v>
      </c>
      <c r="C11395" s="501" t="s">
        <v>1089</v>
      </c>
      <c r="D11395" s="501" t="s">
        <v>3392</v>
      </c>
      <c r="E11395" s="501" t="s">
        <v>3381</v>
      </c>
      <c r="F11395" s="501" t="s">
        <v>420</v>
      </c>
      <c r="G11395" s="501" t="s">
        <v>3368</v>
      </c>
      <c r="H11395" s="501" t="s">
        <v>15432</v>
      </c>
      <c r="I11395" s="501">
        <v>12</v>
      </c>
      <c r="J11395" s="501">
        <v>12</v>
      </c>
      <c r="K11395" s="501">
        <v>0</v>
      </c>
      <c r="L11395" s="501">
        <v>0</v>
      </c>
      <c r="M11395" s="501">
        <v>0</v>
      </c>
      <c r="N11395" s="501">
        <v>0</v>
      </c>
      <c r="O11395" s="506">
        <v>0</v>
      </c>
    </row>
    <row r="11396" spans="1:15" x14ac:dyDescent="0.35">
      <c r="A11396" s="503" t="s">
        <v>1361</v>
      </c>
      <c r="B11396" s="504" t="s">
        <v>2613</v>
      </c>
      <c r="C11396" s="504" t="s">
        <v>1089</v>
      </c>
      <c r="D11396" s="504" t="s">
        <v>3392</v>
      </c>
      <c r="E11396" s="504" t="s">
        <v>3381</v>
      </c>
      <c r="F11396" s="504" t="s">
        <v>415</v>
      </c>
      <c r="G11396" s="504" t="s">
        <v>3368</v>
      </c>
      <c r="H11396" s="504" t="s">
        <v>13682</v>
      </c>
      <c r="I11396" s="504">
        <v>16</v>
      </c>
      <c r="J11396" s="504">
        <v>16</v>
      </c>
      <c r="K11396" s="504">
        <v>0</v>
      </c>
      <c r="L11396" s="504">
        <v>0</v>
      </c>
      <c r="M11396" s="504">
        <v>0</v>
      </c>
      <c r="N11396" s="504">
        <v>0</v>
      </c>
      <c r="O11396" s="505">
        <v>0</v>
      </c>
    </row>
    <row r="11397" spans="1:15" x14ac:dyDescent="0.35">
      <c r="A11397" s="500" t="s">
        <v>11418</v>
      </c>
      <c r="B11397" s="501" t="s">
        <v>2614</v>
      </c>
      <c r="C11397" s="501" t="s">
        <v>1089</v>
      </c>
      <c r="D11397" s="501" t="s">
        <v>3392</v>
      </c>
      <c r="E11397" s="501" t="s">
        <v>3381</v>
      </c>
      <c r="F11397" s="501" t="s">
        <v>2</v>
      </c>
      <c r="G11397" s="501" t="s">
        <v>3368</v>
      </c>
      <c r="H11397" s="501" t="s">
        <v>13683</v>
      </c>
      <c r="I11397" s="501">
        <v>60</v>
      </c>
      <c r="J11397" s="501">
        <v>0</v>
      </c>
      <c r="K11397" s="501">
        <v>0</v>
      </c>
      <c r="L11397" s="501">
        <v>0</v>
      </c>
      <c r="M11397" s="501">
        <v>60</v>
      </c>
      <c r="N11397" s="501">
        <v>0</v>
      </c>
      <c r="O11397" s="506">
        <v>0</v>
      </c>
    </row>
    <row r="11398" spans="1:15" x14ac:dyDescent="0.35">
      <c r="A11398" s="503" t="s">
        <v>1921</v>
      </c>
      <c r="B11398" s="504" t="s">
        <v>2620</v>
      </c>
      <c r="C11398" s="504" t="s">
        <v>1089</v>
      </c>
      <c r="D11398" s="504" t="s">
        <v>3392</v>
      </c>
      <c r="E11398" s="504" t="s">
        <v>3381</v>
      </c>
      <c r="F11398" s="504" t="s">
        <v>2</v>
      </c>
      <c r="G11398" s="504" t="s">
        <v>3368</v>
      </c>
      <c r="H11398" s="504" t="s">
        <v>13684</v>
      </c>
      <c r="I11398" s="504">
        <v>26</v>
      </c>
      <c r="J11398" s="504">
        <v>26</v>
      </c>
      <c r="K11398" s="504">
        <v>0</v>
      </c>
      <c r="L11398" s="504">
        <v>0</v>
      </c>
      <c r="M11398" s="504">
        <v>0</v>
      </c>
      <c r="N11398" s="504">
        <v>0</v>
      </c>
      <c r="O11398" s="505">
        <v>0</v>
      </c>
    </row>
    <row r="11399" spans="1:15" x14ac:dyDescent="0.35">
      <c r="A11399" s="500" t="s">
        <v>11434</v>
      </c>
      <c r="B11399" s="501" t="s">
        <v>2529</v>
      </c>
      <c r="C11399" s="501" t="s">
        <v>1089</v>
      </c>
      <c r="D11399" s="501" t="s">
        <v>3392</v>
      </c>
      <c r="E11399" s="501" t="s">
        <v>3381</v>
      </c>
      <c r="F11399" s="501" t="s">
        <v>420</v>
      </c>
      <c r="G11399" s="501" t="s">
        <v>3368</v>
      </c>
      <c r="H11399" s="501" t="s">
        <v>13685</v>
      </c>
      <c r="I11399" s="501">
        <v>47</v>
      </c>
      <c r="J11399" s="501">
        <v>11</v>
      </c>
      <c r="K11399" s="501">
        <v>0</v>
      </c>
      <c r="L11399" s="501">
        <v>0</v>
      </c>
      <c r="M11399" s="501">
        <v>36</v>
      </c>
      <c r="N11399" s="501">
        <v>0</v>
      </c>
      <c r="O11399" s="506">
        <v>0</v>
      </c>
    </row>
    <row r="11400" spans="1:15" x14ac:dyDescent="0.35">
      <c r="A11400" s="503" t="s">
        <v>2182</v>
      </c>
      <c r="B11400" s="504" t="s">
        <v>2545</v>
      </c>
      <c r="C11400" s="504" t="s">
        <v>1089</v>
      </c>
      <c r="D11400" s="504" t="s">
        <v>3392</v>
      </c>
      <c r="E11400" s="504" t="s">
        <v>3381</v>
      </c>
      <c r="F11400" s="504" t="s">
        <v>1048</v>
      </c>
      <c r="G11400" s="504" t="s">
        <v>3368</v>
      </c>
      <c r="H11400" s="504" t="s">
        <v>14073</v>
      </c>
      <c r="I11400" s="504">
        <v>20</v>
      </c>
      <c r="J11400" s="504">
        <v>20</v>
      </c>
      <c r="K11400" s="504">
        <v>0</v>
      </c>
      <c r="L11400" s="504">
        <v>0</v>
      </c>
      <c r="M11400" s="504">
        <v>0</v>
      </c>
      <c r="N11400" s="504">
        <v>0</v>
      </c>
      <c r="O11400" s="505">
        <v>0</v>
      </c>
    </row>
    <row r="11401" spans="1:15" x14ac:dyDescent="0.35">
      <c r="A11401" s="500" t="s">
        <v>1250</v>
      </c>
      <c r="B11401" s="501" t="s">
        <v>2456</v>
      </c>
      <c r="C11401" s="501" t="s">
        <v>1089</v>
      </c>
      <c r="D11401" s="501" t="s">
        <v>3392</v>
      </c>
      <c r="E11401" s="501" t="s">
        <v>3381</v>
      </c>
      <c r="F11401" s="501" t="s">
        <v>414</v>
      </c>
      <c r="G11401" s="501" t="s">
        <v>3368</v>
      </c>
      <c r="H11401" s="501" t="s">
        <v>13686</v>
      </c>
      <c r="I11401" s="501">
        <v>103</v>
      </c>
      <c r="J11401" s="501">
        <v>0</v>
      </c>
      <c r="K11401" s="501">
        <v>0</v>
      </c>
      <c r="L11401" s="501">
        <v>0</v>
      </c>
      <c r="M11401" s="501">
        <v>103</v>
      </c>
      <c r="N11401" s="501">
        <v>1</v>
      </c>
      <c r="O11401" s="506">
        <v>0</v>
      </c>
    </row>
    <row r="11402" spans="1:15" x14ac:dyDescent="0.35">
      <c r="A11402" s="503" t="s">
        <v>2183</v>
      </c>
      <c r="B11402" s="504" t="s">
        <v>2484</v>
      </c>
      <c r="C11402" s="504" t="s">
        <v>1089</v>
      </c>
      <c r="D11402" s="504" t="s">
        <v>3392</v>
      </c>
      <c r="E11402" s="504" t="s">
        <v>3381</v>
      </c>
      <c r="F11402" s="504" t="s">
        <v>1048</v>
      </c>
      <c r="G11402" s="504" t="s">
        <v>3368</v>
      </c>
      <c r="H11402" s="504" t="s">
        <v>14074</v>
      </c>
      <c r="I11402" s="504">
        <v>15</v>
      </c>
      <c r="J11402" s="504">
        <v>15</v>
      </c>
      <c r="K11402" s="504">
        <v>0</v>
      </c>
      <c r="L11402" s="504">
        <v>0</v>
      </c>
      <c r="M11402" s="504">
        <v>0</v>
      </c>
      <c r="N11402" s="504">
        <v>0</v>
      </c>
      <c r="O11402" s="505">
        <v>0</v>
      </c>
    </row>
    <row r="11403" spans="1:15" x14ac:dyDescent="0.35">
      <c r="A11403" s="500" t="s">
        <v>14357</v>
      </c>
      <c r="B11403" s="501">
        <v>5131</v>
      </c>
      <c r="C11403" s="501" t="s">
        <v>1089</v>
      </c>
      <c r="D11403" s="501" t="s">
        <v>3392</v>
      </c>
      <c r="E11403" s="501" t="s">
        <v>3381</v>
      </c>
      <c r="F11403" s="501" t="s">
        <v>2</v>
      </c>
      <c r="G11403" s="501" t="s">
        <v>3368</v>
      </c>
      <c r="H11403" s="501" t="s">
        <v>15433</v>
      </c>
      <c r="I11403" s="501">
        <v>14</v>
      </c>
      <c r="J11403" s="501">
        <v>0</v>
      </c>
      <c r="K11403" s="501">
        <v>0</v>
      </c>
      <c r="L11403" s="501">
        <v>0</v>
      </c>
      <c r="M11403" s="501">
        <v>14</v>
      </c>
      <c r="N11403" s="501">
        <v>0</v>
      </c>
      <c r="O11403" s="506">
        <v>0</v>
      </c>
    </row>
    <row r="11404" spans="1:15" x14ac:dyDescent="0.35">
      <c r="A11404" s="503" t="s">
        <v>1922</v>
      </c>
      <c r="B11404" s="504" t="s">
        <v>2585</v>
      </c>
      <c r="C11404" s="504" t="s">
        <v>1089</v>
      </c>
      <c r="D11404" s="504" t="s">
        <v>3392</v>
      </c>
      <c r="E11404" s="504" t="s">
        <v>3381</v>
      </c>
      <c r="F11404" s="504" t="s">
        <v>2</v>
      </c>
      <c r="G11404" s="504" t="s">
        <v>3368</v>
      </c>
      <c r="H11404" s="504" t="s">
        <v>13687</v>
      </c>
      <c r="I11404" s="504">
        <v>14</v>
      </c>
      <c r="J11404" s="504">
        <v>0</v>
      </c>
      <c r="K11404" s="504">
        <v>0</v>
      </c>
      <c r="L11404" s="504">
        <v>0</v>
      </c>
      <c r="M11404" s="504">
        <v>14</v>
      </c>
      <c r="N11404" s="504">
        <v>0</v>
      </c>
      <c r="O11404" s="505">
        <v>0</v>
      </c>
    </row>
    <row r="11405" spans="1:15" x14ac:dyDescent="0.35">
      <c r="A11405" s="500" t="s">
        <v>11435</v>
      </c>
      <c r="B11405" s="501" t="s">
        <v>11469</v>
      </c>
      <c r="C11405" s="501" t="s">
        <v>1089</v>
      </c>
      <c r="D11405" s="501" t="s">
        <v>3392</v>
      </c>
      <c r="E11405" s="501" t="s">
        <v>3381</v>
      </c>
      <c r="F11405" s="501" t="s">
        <v>420</v>
      </c>
      <c r="G11405" s="501" t="s">
        <v>3368</v>
      </c>
      <c r="H11405" s="501" t="s">
        <v>13688</v>
      </c>
      <c r="I11405" s="501">
        <v>22</v>
      </c>
      <c r="J11405" s="501">
        <v>0</v>
      </c>
      <c r="K11405" s="501">
        <v>0</v>
      </c>
      <c r="L11405" s="501">
        <v>0</v>
      </c>
      <c r="M11405" s="501">
        <v>22</v>
      </c>
      <c r="N11405" s="501">
        <v>0</v>
      </c>
      <c r="O11405" s="506">
        <v>0</v>
      </c>
    </row>
    <row r="11406" spans="1:15" x14ac:dyDescent="0.35">
      <c r="A11406" s="503" t="s">
        <v>1659</v>
      </c>
      <c r="B11406" s="504" t="s">
        <v>2531</v>
      </c>
      <c r="C11406" s="504" t="s">
        <v>1089</v>
      </c>
      <c r="D11406" s="504" t="s">
        <v>3392</v>
      </c>
      <c r="E11406" s="504" t="s">
        <v>3381</v>
      </c>
      <c r="F11406" s="504" t="s">
        <v>417</v>
      </c>
      <c r="G11406" s="504" t="s">
        <v>3368</v>
      </c>
      <c r="H11406" s="504" t="s">
        <v>13689</v>
      </c>
      <c r="I11406" s="504">
        <v>10</v>
      </c>
      <c r="J11406" s="504">
        <v>10</v>
      </c>
      <c r="K11406" s="504">
        <v>0</v>
      </c>
      <c r="L11406" s="504">
        <v>0</v>
      </c>
      <c r="M11406" s="504">
        <v>0</v>
      </c>
      <c r="N11406" s="504">
        <v>0</v>
      </c>
      <c r="O11406" s="505">
        <v>0</v>
      </c>
    </row>
    <row r="11407" spans="1:15" x14ac:dyDescent="0.35">
      <c r="A11407" s="500" t="s">
        <v>1362</v>
      </c>
      <c r="B11407" s="501" t="s">
        <v>2977</v>
      </c>
      <c r="C11407" s="501" t="s">
        <v>1094</v>
      </c>
      <c r="D11407" s="501" t="s">
        <v>3380</v>
      </c>
      <c r="E11407" s="501" t="s">
        <v>3381</v>
      </c>
      <c r="F11407" s="501" t="s">
        <v>415</v>
      </c>
      <c r="G11407" s="501" t="s">
        <v>3368</v>
      </c>
      <c r="H11407" s="501" t="s">
        <v>13690</v>
      </c>
      <c r="I11407" s="501">
        <v>12</v>
      </c>
      <c r="J11407" s="501">
        <v>12</v>
      </c>
      <c r="K11407" s="501">
        <v>0</v>
      </c>
      <c r="L11407" s="501">
        <v>0</v>
      </c>
      <c r="M11407" s="501">
        <v>0</v>
      </c>
      <c r="N11407" s="501">
        <v>0</v>
      </c>
      <c r="O11407" s="506">
        <v>0</v>
      </c>
    </row>
    <row r="11408" spans="1:15" x14ac:dyDescent="0.35">
      <c r="A11408" s="503" t="s">
        <v>1362</v>
      </c>
      <c r="B11408" s="504" t="s">
        <v>2977</v>
      </c>
      <c r="C11408" s="504" t="s">
        <v>1094</v>
      </c>
      <c r="D11408" s="504" t="s">
        <v>3380</v>
      </c>
      <c r="E11408" s="504" t="s">
        <v>3381</v>
      </c>
      <c r="F11408" s="504" t="s">
        <v>416</v>
      </c>
      <c r="G11408" s="504" t="s">
        <v>3368</v>
      </c>
      <c r="H11408" s="504" t="s">
        <v>13691</v>
      </c>
      <c r="I11408" s="504">
        <v>1392</v>
      </c>
      <c r="J11408" s="504">
        <v>1167</v>
      </c>
      <c r="K11408" s="504">
        <v>0</v>
      </c>
      <c r="L11408" s="504">
        <v>3</v>
      </c>
      <c r="M11408" s="504">
        <v>196</v>
      </c>
      <c r="N11408" s="504">
        <v>72</v>
      </c>
      <c r="O11408" s="505">
        <v>26</v>
      </c>
    </row>
    <row r="11409" spans="1:15" x14ac:dyDescent="0.35">
      <c r="A11409" s="500" t="s">
        <v>2120</v>
      </c>
      <c r="B11409" s="501" t="s">
        <v>2509</v>
      </c>
      <c r="C11409" s="501" t="s">
        <v>1089</v>
      </c>
      <c r="D11409" s="501" t="s">
        <v>3392</v>
      </c>
      <c r="E11409" s="501" t="s">
        <v>3381</v>
      </c>
      <c r="F11409" s="501" t="s">
        <v>420</v>
      </c>
      <c r="G11409" s="501" t="s">
        <v>3368</v>
      </c>
      <c r="H11409" s="501" t="s">
        <v>13692</v>
      </c>
      <c r="I11409" s="501">
        <v>31</v>
      </c>
      <c r="J11409" s="501">
        <v>0</v>
      </c>
      <c r="K11409" s="501">
        <v>0</v>
      </c>
      <c r="L11409" s="501">
        <v>0</v>
      </c>
      <c r="M11409" s="501">
        <v>31</v>
      </c>
      <c r="N11409" s="501">
        <v>0</v>
      </c>
      <c r="O11409" s="506">
        <v>0</v>
      </c>
    </row>
    <row r="11410" spans="1:15" x14ac:dyDescent="0.35">
      <c r="A11410" s="503" t="s">
        <v>1775</v>
      </c>
      <c r="B11410" s="504" t="s">
        <v>2647</v>
      </c>
      <c r="C11410" s="504" t="s">
        <v>1089</v>
      </c>
      <c r="D11410" s="504" t="s">
        <v>3392</v>
      </c>
      <c r="E11410" s="504" t="s">
        <v>3381</v>
      </c>
      <c r="F11410" s="504" t="s">
        <v>418</v>
      </c>
      <c r="G11410" s="504" t="s">
        <v>3368</v>
      </c>
      <c r="H11410" s="504" t="s">
        <v>13693</v>
      </c>
      <c r="I11410" s="504">
        <v>5</v>
      </c>
      <c r="J11410" s="504">
        <v>0</v>
      </c>
      <c r="K11410" s="504">
        <v>0</v>
      </c>
      <c r="L11410" s="504">
        <v>0</v>
      </c>
      <c r="M11410" s="504">
        <v>5</v>
      </c>
      <c r="N11410" s="504">
        <v>0</v>
      </c>
      <c r="O11410" s="505">
        <v>0</v>
      </c>
    </row>
    <row r="11411" spans="1:15" x14ac:dyDescent="0.35">
      <c r="A11411" s="500" t="s">
        <v>1363</v>
      </c>
      <c r="B11411" s="501" t="s">
        <v>2612</v>
      </c>
      <c r="C11411" s="501" t="s">
        <v>1089</v>
      </c>
      <c r="D11411" s="501" t="s">
        <v>3392</v>
      </c>
      <c r="E11411" s="501" t="s">
        <v>3381</v>
      </c>
      <c r="F11411" s="501" t="s">
        <v>415</v>
      </c>
      <c r="G11411" s="501" t="s">
        <v>3368</v>
      </c>
      <c r="H11411" s="501" t="s">
        <v>13694</v>
      </c>
      <c r="I11411" s="501">
        <v>41</v>
      </c>
      <c r="J11411" s="501">
        <v>0</v>
      </c>
      <c r="K11411" s="501">
        <v>0</v>
      </c>
      <c r="L11411" s="501">
        <v>0</v>
      </c>
      <c r="M11411" s="501">
        <v>41</v>
      </c>
      <c r="N11411" s="501">
        <v>0</v>
      </c>
      <c r="O11411" s="506">
        <v>0</v>
      </c>
    </row>
    <row r="11412" spans="1:15" x14ac:dyDescent="0.35">
      <c r="A11412" s="503" t="s">
        <v>11419</v>
      </c>
      <c r="B11412" s="504" t="s">
        <v>3159</v>
      </c>
      <c r="C11412" s="504" t="s">
        <v>1089</v>
      </c>
      <c r="D11412" s="504" t="s">
        <v>3392</v>
      </c>
      <c r="E11412" s="504" t="s">
        <v>3381</v>
      </c>
      <c r="F11412" s="504" t="s">
        <v>2</v>
      </c>
      <c r="G11412" s="504" t="s">
        <v>3368</v>
      </c>
      <c r="H11412" s="504" t="s">
        <v>13695</v>
      </c>
      <c r="I11412" s="504">
        <v>82</v>
      </c>
      <c r="J11412" s="504">
        <v>0</v>
      </c>
      <c r="K11412" s="504">
        <v>0</v>
      </c>
      <c r="L11412" s="504">
        <v>0</v>
      </c>
      <c r="M11412" s="504">
        <v>82</v>
      </c>
      <c r="N11412" s="504">
        <v>0</v>
      </c>
      <c r="O11412" s="505">
        <v>0</v>
      </c>
    </row>
    <row r="11413" spans="1:15" x14ac:dyDescent="0.35">
      <c r="A11413" s="500" t="s">
        <v>1251</v>
      </c>
      <c r="B11413" s="501" t="s">
        <v>2487</v>
      </c>
      <c r="C11413" s="501" t="s">
        <v>1089</v>
      </c>
      <c r="D11413" s="501" t="s">
        <v>3392</v>
      </c>
      <c r="E11413" s="501" t="s">
        <v>3381</v>
      </c>
      <c r="F11413" s="501" t="s">
        <v>414</v>
      </c>
      <c r="G11413" s="501" t="s">
        <v>3368</v>
      </c>
      <c r="H11413" s="501" t="s">
        <v>13696</v>
      </c>
      <c r="I11413" s="501">
        <v>20</v>
      </c>
      <c r="J11413" s="501">
        <v>20</v>
      </c>
      <c r="K11413" s="501">
        <v>0</v>
      </c>
      <c r="L11413" s="501">
        <v>0</v>
      </c>
      <c r="M11413" s="501">
        <v>0</v>
      </c>
      <c r="N11413" s="501">
        <v>0</v>
      </c>
      <c r="O11413" s="506">
        <v>0</v>
      </c>
    </row>
    <row r="11414" spans="1:15" x14ac:dyDescent="0.35">
      <c r="A11414" s="503" t="s">
        <v>11376</v>
      </c>
      <c r="B11414" s="504" t="s">
        <v>2478</v>
      </c>
      <c r="C11414" s="504" t="s">
        <v>1089</v>
      </c>
      <c r="D11414" s="504" t="s">
        <v>3392</v>
      </c>
      <c r="E11414" s="504" t="s">
        <v>3381</v>
      </c>
      <c r="F11414" s="504" t="s">
        <v>415</v>
      </c>
      <c r="G11414" s="504" t="s">
        <v>3368</v>
      </c>
      <c r="H11414" s="504" t="s">
        <v>13697</v>
      </c>
      <c r="I11414" s="504">
        <v>68</v>
      </c>
      <c r="J11414" s="504">
        <v>0</v>
      </c>
      <c r="K11414" s="504">
        <v>0</v>
      </c>
      <c r="L11414" s="504">
        <v>0</v>
      </c>
      <c r="M11414" s="504">
        <v>68</v>
      </c>
      <c r="N11414" s="504">
        <v>0</v>
      </c>
      <c r="O11414" s="505">
        <v>0</v>
      </c>
    </row>
    <row r="11415" spans="1:15" x14ac:dyDescent="0.35">
      <c r="A11415" s="500" t="s">
        <v>11395</v>
      </c>
      <c r="B11415" s="501" t="s">
        <v>11470</v>
      </c>
      <c r="C11415" s="501" t="s">
        <v>1089</v>
      </c>
      <c r="D11415" s="501" t="s">
        <v>3392</v>
      </c>
      <c r="E11415" s="501" t="s">
        <v>3381</v>
      </c>
      <c r="F11415" s="501" t="s">
        <v>416</v>
      </c>
      <c r="G11415" s="501" t="s">
        <v>3368</v>
      </c>
      <c r="H11415" s="501" t="s">
        <v>13698</v>
      </c>
      <c r="I11415" s="501">
        <v>40</v>
      </c>
      <c r="J11415" s="501">
        <v>0</v>
      </c>
      <c r="K11415" s="501">
        <v>0</v>
      </c>
      <c r="L11415" s="501">
        <v>0</v>
      </c>
      <c r="M11415" s="501">
        <v>40</v>
      </c>
      <c r="N11415" s="501">
        <v>0</v>
      </c>
      <c r="O11415" s="506">
        <v>0</v>
      </c>
    </row>
    <row r="11416" spans="1:15" x14ac:dyDescent="0.35">
      <c r="A11416" s="503" t="s">
        <v>2042</v>
      </c>
      <c r="B11416" s="504" t="s">
        <v>2619</v>
      </c>
      <c r="C11416" s="504" t="s">
        <v>1089</v>
      </c>
      <c r="D11416" s="504" t="s">
        <v>3392</v>
      </c>
      <c r="E11416" s="504" t="s">
        <v>3381</v>
      </c>
      <c r="F11416" s="504" t="s">
        <v>419</v>
      </c>
      <c r="G11416" s="504" t="s">
        <v>3368</v>
      </c>
      <c r="H11416" s="504" t="s">
        <v>13699</v>
      </c>
      <c r="I11416" s="504">
        <v>3</v>
      </c>
      <c r="J11416" s="504">
        <v>3</v>
      </c>
      <c r="K11416" s="504">
        <v>0</v>
      </c>
      <c r="L11416" s="504">
        <v>0</v>
      </c>
      <c r="M11416" s="504">
        <v>0</v>
      </c>
      <c r="N11416" s="504">
        <v>0</v>
      </c>
      <c r="O11416" s="505">
        <v>0</v>
      </c>
    </row>
    <row r="11417" spans="1:15" x14ac:dyDescent="0.35">
      <c r="A11417" s="500" t="s">
        <v>11377</v>
      </c>
      <c r="B11417" s="501" t="s">
        <v>2609</v>
      </c>
      <c r="C11417" s="501" t="s">
        <v>1089</v>
      </c>
      <c r="D11417" s="501" t="s">
        <v>3392</v>
      </c>
      <c r="E11417" s="501" t="s">
        <v>3381</v>
      </c>
      <c r="F11417" s="501" t="s">
        <v>415</v>
      </c>
      <c r="G11417" s="501" t="s">
        <v>3368</v>
      </c>
      <c r="H11417" s="501" t="s">
        <v>13700</v>
      </c>
      <c r="I11417" s="501">
        <v>6</v>
      </c>
      <c r="J11417" s="501">
        <v>0</v>
      </c>
      <c r="K11417" s="501">
        <v>0</v>
      </c>
      <c r="L11417" s="501">
        <v>0</v>
      </c>
      <c r="M11417" s="501">
        <v>6</v>
      </c>
      <c r="N11417" s="501">
        <v>0</v>
      </c>
      <c r="O11417" s="506">
        <v>0</v>
      </c>
    </row>
    <row r="11418" spans="1:15" x14ac:dyDescent="0.35">
      <c r="A11418" s="503" t="s">
        <v>1571</v>
      </c>
      <c r="B11418" s="504" t="s">
        <v>2511</v>
      </c>
      <c r="C11418" s="504" t="s">
        <v>1089</v>
      </c>
      <c r="D11418" s="504" t="s">
        <v>3392</v>
      </c>
      <c r="E11418" s="504" t="s">
        <v>3381</v>
      </c>
      <c r="F11418" s="504" t="s">
        <v>416</v>
      </c>
      <c r="G11418" s="504" t="s">
        <v>3368</v>
      </c>
      <c r="H11418" s="504" t="s">
        <v>13701</v>
      </c>
      <c r="I11418" s="504">
        <v>76</v>
      </c>
      <c r="J11418" s="504">
        <v>76</v>
      </c>
      <c r="K11418" s="504">
        <v>0</v>
      </c>
      <c r="L11418" s="504">
        <v>0</v>
      </c>
      <c r="M11418" s="504">
        <v>0</v>
      </c>
      <c r="N11418" s="504">
        <v>0</v>
      </c>
      <c r="O11418" s="505">
        <v>0</v>
      </c>
    </row>
    <row r="11419" spans="1:15" x14ac:dyDescent="0.35">
      <c r="A11419" s="500" t="s">
        <v>14363</v>
      </c>
      <c r="B11419" s="501" t="s">
        <v>14362</v>
      </c>
      <c r="C11419" s="501" t="s">
        <v>1089</v>
      </c>
      <c r="D11419" s="501" t="s">
        <v>3392</v>
      </c>
      <c r="E11419" s="501" t="s">
        <v>3381</v>
      </c>
      <c r="F11419" s="501" t="s">
        <v>416</v>
      </c>
      <c r="G11419" s="501" t="s">
        <v>3368</v>
      </c>
      <c r="H11419" s="501" t="s">
        <v>15434</v>
      </c>
      <c r="I11419" s="501">
        <v>25</v>
      </c>
      <c r="J11419" s="501">
        <v>25</v>
      </c>
      <c r="K11419" s="501">
        <v>0</v>
      </c>
      <c r="L11419" s="501">
        <v>0</v>
      </c>
      <c r="M11419" s="501">
        <v>0</v>
      </c>
      <c r="N11419" s="501">
        <v>0</v>
      </c>
      <c r="O11419" s="506">
        <v>0</v>
      </c>
    </row>
    <row r="11420" spans="1:15" x14ac:dyDescent="0.35">
      <c r="A11420" s="503" t="s">
        <v>11378</v>
      </c>
      <c r="B11420" s="504">
        <v>5122</v>
      </c>
      <c r="C11420" s="504" t="s">
        <v>1089</v>
      </c>
      <c r="D11420" s="504" t="s">
        <v>3392</v>
      </c>
      <c r="E11420" s="504" t="s">
        <v>3381</v>
      </c>
      <c r="F11420" s="504" t="s">
        <v>415</v>
      </c>
      <c r="G11420" s="504" t="s">
        <v>3368</v>
      </c>
      <c r="H11420" s="504" t="s">
        <v>13702</v>
      </c>
      <c r="I11420" s="504">
        <v>28</v>
      </c>
      <c r="J11420" s="504">
        <v>28</v>
      </c>
      <c r="K11420" s="504">
        <v>0</v>
      </c>
      <c r="L11420" s="504">
        <v>0</v>
      </c>
      <c r="M11420" s="504">
        <v>0</v>
      </c>
      <c r="N11420" s="504">
        <v>0</v>
      </c>
      <c r="O11420" s="505">
        <v>0</v>
      </c>
    </row>
    <row r="11421" spans="1:15" x14ac:dyDescent="0.35">
      <c r="A11421" s="500" t="s">
        <v>1923</v>
      </c>
      <c r="B11421" s="501" t="s">
        <v>2638</v>
      </c>
      <c r="C11421" s="501" t="s">
        <v>1089</v>
      </c>
      <c r="D11421" s="501" t="s">
        <v>3392</v>
      </c>
      <c r="E11421" s="501" t="s">
        <v>3381</v>
      </c>
      <c r="F11421" s="501" t="s">
        <v>2</v>
      </c>
      <c r="G11421" s="501" t="s">
        <v>3368</v>
      </c>
      <c r="H11421" s="501" t="s">
        <v>13703</v>
      </c>
      <c r="I11421" s="501">
        <v>16</v>
      </c>
      <c r="J11421" s="501">
        <v>16</v>
      </c>
      <c r="K11421" s="501">
        <v>0</v>
      </c>
      <c r="L11421" s="501">
        <v>0</v>
      </c>
      <c r="M11421" s="501">
        <v>0</v>
      </c>
      <c r="N11421" s="501">
        <v>0</v>
      </c>
      <c r="O11421" s="506">
        <v>0</v>
      </c>
    </row>
    <row r="11422" spans="1:15" x14ac:dyDescent="0.35">
      <c r="A11422" s="503" t="s">
        <v>11472</v>
      </c>
      <c r="B11422" s="504" t="s">
        <v>2424</v>
      </c>
      <c r="C11422" s="504" t="s">
        <v>1089</v>
      </c>
      <c r="D11422" s="504" t="s">
        <v>3392</v>
      </c>
      <c r="E11422" s="504" t="s">
        <v>3381</v>
      </c>
      <c r="F11422" s="504" t="s">
        <v>2</v>
      </c>
      <c r="G11422" s="504" t="s">
        <v>3368</v>
      </c>
      <c r="H11422" s="504" t="s">
        <v>13704</v>
      </c>
      <c r="I11422" s="504">
        <v>43</v>
      </c>
      <c r="J11422" s="504">
        <v>0</v>
      </c>
      <c r="K11422" s="504">
        <v>0</v>
      </c>
      <c r="L11422" s="504">
        <v>0</v>
      </c>
      <c r="M11422" s="504">
        <v>43</v>
      </c>
      <c r="N11422" s="504">
        <v>0</v>
      </c>
      <c r="O11422" s="505">
        <v>0</v>
      </c>
    </row>
    <row r="11423" spans="1:15" x14ac:dyDescent="0.35">
      <c r="A11423" s="500" t="s">
        <v>2121</v>
      </c>
      <c r="B11423" s="501" t="s">
        <v>2539</v>
      </c>
      <c r="C11423" s="501" t="s">
        <v>1089</v>
      </c>
      <c r="D11423" s="501" t="s">
        <v>3392</v>
      </c>
      <c r="E11423" s="501" t="s">
        <v>3381</v>
      </c>
      <c r="F11423" s="501" t="s">
        <v>420</v>
      </c>
      <c r="G11423" s="501" t="s">
        <v>3368</v>
      </c>
      <c r="H11423" s="501" t="s">
        <v>13705</v>
      </c>
      <c r="I11423" s="501">
        <v>46</v>
      </c>
      <c r="J11423" s="501">
        <v>0</v>
      </c>
      <c r="K11423" s="501">
        <v>0</v>
      </c>
      <c r="L11423" s="501">
        <v>0</v>
      </c>
      <c r="M11423" s="501">
        <v>46</v>
      </c>
      <c r="N11423" s="501">
        <v>0</v>
      </c>
      <c r="O11423" s="506">
        <v>0</v>
      </c>
    </row>
    <row r="11424" spans="1:15" x14ac:dyDescent="0.35">
      <c r="A11424" s="503" t="s">
        <v>1572</v>
      </c>
      <c r="B11424" s="504" t="s">
        <v>2781</v>
      </c>
      <c r="C11424" s="504" t="s">
        <v>1089</v>
      </c>
      <c r="D11424" s="504" t="s">
        <v>3392</v>
      </c>
      <c r="E11424" s="504" t="s">
        <v>3381</v>
      </c>
      <c r="F11424" s="504" t="s">
        <v>416</v>
      </c>
      <c r="G11424" s="504" t="s">
        <v>3368</v>
      </c>
      <c r="H11424" s="504" t="s">
        <v>13706</v>
      </c>
      <c r="I11424" s="504">
        <v>41</v>
      </c>
      <c r="J11424" s="504">
        <v>41</v>
      </c>
      <c r="K11424" s="504">
        <v>0</v>
      </c>
      <c r="L11424" s="504">
        <v>0</v>
      </c>
      <c r="M11424" s="504">
        <v>0</v>
      </c>
      <c r="N11424" s="504">
        <v>0</v>
      </c>
      <c r="O11424" s="505">
        <v>0</v>
      </c>
    </row>
    <row r="11425" spans="1:15" x14ac:dyDescent="0.35">
      <c r="A11425" s="500" t="s">
        <v>14364</v>
      </c>
      <c r="B11425" s="501">
        <v>4640</v>
      </c>
      <c r="C11425" s="501" t="s">
        <v>1089</v>
      </c>
      <c r="D11425" s="501" t="s">
        <v>3392</v>
      </c>
      <c r="E11425" s="501" t="s">
        <v>3381</v>
      </c>
      <c r="F11425" s="501" t="s">
        <v>414</v>
      </c>
      <c r="G11425" s="501" t="s">
        <v>3368</v>
      </c>
      <c r="H11425" s="501" t="s">
        <v>15435</v>
      </c>
      <c r="I11425" s="501">
        <v>36</v>
      </c>
      <c r="J11425" s="501">
        <v>0</v>
      </c>
      <c r="K11425" s="501">
        <v>0</v>
      </c>
      <c r="L11425" s="501">
        <v>36</v>
      </c>
      <c r="M11425" s="501">
        <v>0</v>
      </c>
      <c r="N11425" s="501">
        <v>0</v>
      </c>
      <c r="O11425" s="506">
        <v>0</v>
      </c>
    </row>
    <row r="11426" spans="1:15" x14ac:dyDescent="0.35">
      <c r="A11426" s="503" t="s">
        <v>11369</v>
      </c>
      <c r="B11426" s="504" t="s">
        <v>3107</v>
      </c>
      <c r="C11426" s="504" t="s">
        <v>1089</v>
      </c>
      <c r="D11426" s="504" t="s">
        <v>3392</v>
      </c>
      <c r="E11426" s="504" t="s">
        <v>3381</v>
      </c>
      <c r="F11426" s="504" t="s">
        <v>414</v>
      </c>
      <c r="G11426" s="504" t="s">
        <v>3368</v>
      </c>
      <c r="H11426" s="504" t="s">
        <v>13707</v>
      </c>
      <c r="I11426" s="504">
        <v>35</v>
      </c>
      <c r="J11426" s="504">
        <v>35</v>
      </c>
      <c r="K11426" s="504">
        <v>0</v>
      </c>
      <c r="L11426" s="504">
        <v>0</v>
      </c>
      <c r="M11426" s="504">
        <v>0</v>
      </c>
      <c r="N11426" s="504">
        <v>0</v>
      </c>
      <c r="O11426" s="505">
        <v>0</v>
      </c>
    </row>
    <row r="11427" spans="1:15" x14ac:dyDescent="0.35">
      <c r="A11427" s="500" t="s">
        <v>11473</v>
      </c>
      <c r="B11427" s="501" t="s">
        <v>2542</v>
      </c>
      <c r="C11427" s="501" t="s">
        <v>1089</v>
      </c>
      <c r="D11427" s="501" t="s">
        <v>3392</v>
      </c>
      <c r="E11427" s="501" t="s">
        <v>3381</v>
      </c>
      <c r="F11427" s="501" t="s">
        <v>415</v>
      </c>
      <c r="G11427" s="501" t="s">
        <v>3368</v>
      </c>
      <c r="H11427" s="501" t="s">
        <v>13708</v>
      </c>
      <c r="I11427" s="501">
        <v>57</v>
      </c>
      <c r="J11427" s="501">
        <v>0</v>
      </c>
      <c r="K11427" s="501">
        <v>0</v>
      </c>
      <c r="L11427" s="501">
        <v>0</v>
      </c>
      <c r="M11427" s="501">
        <v>57</v>
      </c>
      <c r="N11427" s="501">
        <v>0</v>
      </c>
      <c r="O11427" s="506">
        <v>0</v>
      </c>
    </row>
    <row r="11428" spans="1:15" x14ac:dyDescent="0.35">
      <c r="A11428" s="503" t="s">
        <v>1364</v>
      </c>
      <c r="B11428" s="504" t="s">
        <v>3277</v>
      </c>
      <c r="C11428" s="504" t="s">
        <v>1089</v>
      </c>
      <c r="D11428" s="504" t="s">
        <v>3392</v>
      </c>
      <c r="E11428" s="504" t="s">
        <v>3381</v>
      </c>
      <c r="F11428" s="504" t="s">
        <v>415</v>
      </c>
      <c r="G11428" s="504" t="s">
        <v>3368</v>
      </c>
      <c r="H11428" s="504" t="s">
        <v>13709</v>
      </c>
      <c r="I11428" s="504">
        <v>658</v>
      </c>
      <c r="J11428" s="504">
        <v>173</v>
      </c>
      <c r="K11428" s="504">
        <v>0</v>
      </c>
      <c r="L11428" s="504">
        <v>485</v>
      </c>
      <c r="M11428" s="504">
        <v>0</v>
      </c>
      <c r="N11428" s="504">
        <v>11</v>
      </c>
      <c r="O11428" s="505">
        <v>0</v>
      </c>
    </row>
    <row r="11429" spans="1:15" x14ac:dyDescent="0.35">
      <c r="A11429" s="500" t="s">
        <v>1573</v>
      </c>
      <c r="B11429" s="501" t="s">
        <v>2473</v>
      </c>
      <c r="C11429" s="501" t="s">
        <v>1089</v>
      </c>
      <c r="D11429" s="501" t="s">
        <v>3392</v>
      </c>
      <c r="E11429" s="501" t="s">
        <v>3381</v>
      </c>
      <c r="F11429" s="501" t="s">
        <v>416</v>
      </c>
      <c r="G11429" s="501" t="s">
        <v>3368</v>
      </c>
      <c r="H11429" s="501" t="s">
        <v>13710</v>
      </c>
      <c r="I11429" s="501">
        <v>104</v>
      </c>
      <c r="J11429" s="501">
        <v>0</v>
      </c>
      <c r="K11429" s="501">
        <v>0</v>
      </c>
      <c r="L11429" s="501">
        <v>0</v>
      </c>
      <c r="M11429" s="501">
        <v>104</v>
      </c>
      <c r="N11429" s="501">
        <v>0</v>
      </c>
      <c r="O11429" s="506">
        <v>0</v>
      </c>
    </row>
    <row r="11430" spans="1:15" x14ac:dyDescent="0.35">
      <c r="A11430" s="503" t="s">
        <v>11427</v>
      </c>
      <c r="B11430" s="504">
        <v>5113</v>
      </c>
      <c r="C11430" s="504" t="s">
        <v>1089</v>
      </c>
      <c r="D11430" s="504" t="s">
        <v>3392</v>
      </c>
      <c r="E11430" s="504" t="s">
        <v>3381</v>
      </c>
      <c r="F11430" s="504" t="s">
        <v>419</v>
      </c>
      <c r="G11430" s="504" t="s">
        <v>3368</v>
      </c>
      <c r="H11430" s="504" t="s">
        <v>13711</v>
      </c>
      <c r="I11430" s="504">
        <v>3</v>
      </c>
      <c r="J11430" s="504">
        <v>3</v>
      </c>
      <c r="K11430" s="504">
        <v>0</v>
      </c>
      <c r="L11430" s="504">
        <v>0</v>
      </c>
      <c r="M11430" s="504">
        <v>0</v>
      </c>
      <c r="N11430" s="504">
        <v>0</v>
      </c>
      <c r="O11430" s="505">
        <v>0</v>
      </c>
    </row>
    <row r="11431" spans="1:15" x14ac:dyDescent="0.35">
      <c r="A11431" s="500" t="s">
        <v>11475</v>
      </c>
      <c r="B11431" s="501" t="s">
        <v>2884</v>
      </c>
      <c r="C11431" s="501" t="s">
        <v>1089</v>
      </c>
      <c r="D11431" s="501" t="s">
        <v>3392</v>
      </c>
      <c r="E11431" s="501" t="s">
        <v>3381</v>
      </c>
      <c r="F11431" s="501" t="s">
        <v>419</v>
      </c>
      <c r="G11431" s="501" t="s">
        <v>3368</v>
      </c>
      <c r="H11431" s="501" t="s">
        <v>13712</v>
      </c>
      <c r="I11431" s="501">
        <v>15</v>
      </c>
      <c r="J11431" s="501">
        <v>0</v>
      </c>
      <c r="K11431" s="501">
        <v>0</v>
      </c>
      <c r="L11431" s="501">
        <v>15</v>
      </c>
      <c r="M11431" s="501">
        <v>0</v>
      </c>
      <c r="N11431" s="501">
        <v>0</v>
      </c>
      <c r="O11431" s="506">
        <v>0</v>
      </c>
    </row>
    <row r="11432" spans="1:15" x14ac:dyDescent="0.35">
      <c r="A11432" s="503" t="s">
        <v>14421</v>
      </c>
      <c r="B11432" s="504" t="s">
        <v>2454</v>
      </c>
      <c r="C11432" s="504" t="s">
        <v>1089</v>
      </c>
      <c r="D11432" s="504" t="s">
        <v>3392</v>
      </c>
      <c r="E11432" s="504" t="s">
        <v>3381</v>
      </c>
      <c r="F11432" s="504" t="s">
        <v>419</v>
      </c>
      <c r="G11432" s="504" t="s">
        <v>3368</v>
      </c>
      <c r="H11432" s="504" t="s">
        <v>15436</v>
      </c>
      <c r="I11432" s="504">
        <v>10</v>
      </c>
      <c r="J11432" s="504">
        <v>10</v>
      </c>
      <c r="K11432" s="504">
        <v>0</v>
      </c>
      <c r="L11432" s="504">
        <v>0</v>
      </c>
      <c r="M11432" s="504">
        <v>0</v>
      </c>
      <c r="N11432" s="504">
        <v>0</v>
      </c>
      <c r="O11432" s="505">
        <v>0</v>
      </c>
    </row>
    <row r="11433" spans="1:15" x14ac:dyDescent="0.35">
      <c r="A11433" s="500" t="s">
        <v>2122</v>
      </c>
      <c r="B11433" s="501" t="s">
        <v>3146</v>
      </c>
      <c r="C11433" s="501" t="s">
        <v>1094</v>
      </c>
      <c r="D11433" s="501" t="s">
        <v>3380</v>
      </c>
      <c r="E11433" s="501" t="s">
        <v>3381</v>
      </c>
      <c r="F11433" s="501" t="s">
        <v>420</v>
      </c>
      <c r="G11433" s="501" t="s">
        <v>3368</v>
      </c>
      <c r="H11433" s="501" t="s">
        <v>13713</v>
      </c>
      <c r="I11433" s="501">
        <v>2387</v>
      </c>
      <c r="J11433" s="501">
        <v>2228</v>
      </c>
      <c r="K11433" s="501">
        <v>0</v>
      </c>
      <c r="L11433" s="501">
        <v>0</v>
      </c>
      <c r="M11433" s="501">
        <v>128</v>
      </c>
      <c r="N11433" s="501">
        <v>0</v>
      </c>
      <c r="O11433" s="506">
        <v>31</v>
      </c>
    </row>
    <row r="11434" spans="1:15" x14ac:dyDescent="0.35">
      <c r="A11434" s="503" t="s">
        <v>1776</v>
      </c>
      <c r="B11434" s="504" t="s">
        <v>2602</v>
      </c>
      <c r="C11434" s="504" t="s">
        <v>1089</v>
      </c>
      <c r="D11434" s="504" t="s">
        <v>3392</v>
      </c>
      <c r="E11434" s="504" t="s">
        <v>3381</v>
      </c>
      <c r="F11434" s="504" t="s">
        <v>418</v>
      </c>
      <c r="G11434" s="504" t="s">
        <v>3368</v>
      </c>
      <c r="H11434" s="504" t="s">
        <v>13714</v>
      </c>
      <c r="I11434" s="504">
        <v>6</v>
      </c>
      <c r="J11434" s="504">
        <v>0</v>
      </c>
      <c r="K11434" s="504">
        <v>0</v>
      </c>
      <c r="L11434" s="504">
        <v>0</v>
      </c>
      <c r="M11434" s="504">
        <v>6</v>
      </c>
      <c r="N11434" s="504">
        <v>0</v>
      </c>
      <c r="O11434" s="505">
        <v>0</v>
      </c>
    </row>
    <row r="11435" spans="1:15" x14ac:dyDescent="0.35">
      <c r="A11435" s="500" t="s">
        <v>2043</v>
      </c>
      <c r="B11435" s="501" t="s">
        <v>2438</v>
      </c>
      <c r="C11435" s="501" t="s">
        <v>1089</v>
      </c>
      <c r="D11435" s="501" t="s">
        <v>3392</v>
      </c>
      <c r="E11435" s="501" t="s">
        <v>3381</v>
      </c>
      <c r="F11435" s="501" t="s">
        <v>419</v>
      </c>
      <c r="G11435" s="501" t="s">
        <v>3368</v>
      </c>
      <c r="H11435" s="501" t="s">
        <v>13715</v>
      </c>
      <c r="I11435" s="501">
        <v>7</v>
      </c>
      <c r="J11435" s="501">
        <v>7</v>
      </c>
      <c r="K11435" s="501">
        <v>0</v>
      </c>
      <c r="L11435" s="501">
        <v>0</v>
      </c>
      <c r="M11435" s="501">
        <v>0</v>
      </c>
      <c r="N11435" s="501">
        <v>0</v>
      </c>
      <c r="O11435" s="506">
        <v>0</v>
      </c>
    </row>
    <row r="11436" spans="1:15" x14ac:dyDescent="0.35">
      <c r="A11436" s="503" t="s">
        <v>1252</v>
      </c>
      <c r="B11436" s="504" t="s">
        <v>2875</v>
      </c>
      <c r="C11436" s="504" t="s">
        <v>1089</v>
      </c>
      <c r="D11436" s="504" t="s">
        <v>3392</v>
      </c>
      <c r="E11436" s="504" t="s">
        <v>3381</v>
      </c>
      <c r="F11436" s="504" t="s">
        <v>418</v>
      </c>
      <c r="G11436" s="504" t="s">
        <v>3368</v>
      </c>
      <c r="H11436" s="504" t="s">
        <v>13721</v>
      </c>
      <c r="I11436" s="504">
        <v>86</v>
      </c>
      <c r="J11436" s="504">
        <v>0</v>
      </c>
      <c r="K11436" s="504">
        <v>0</v>
      </c>
      <c r="L11436" s="504">
        <v>86</v>
      </c>
      <c r="M11436" s="504">
        <v>0</v>
      </c>
      <c r="N11436" s="504">
        <v>0</v>
      </c>
      <c r="O11436" s="505">
        <v>0</v>
      </c>
    </row>
    <row r="11437" spans="1:15" x14ac:dyDescent="0.35">
      <c r="A11437" s="500" t="s">
        <v>1252</v>
      </c>
      <c r="B11437" s="501" t="s">
        <v>2875</v>
      </c>
      <c r="C11437" s="501" t="s">
        <v>1089</v>
      </c>
      <c r="D11437" s="501" t="s">
        <v>3392</v>
      </c>
      <c r="E11437" s="501" t="s">
        <v>3381</v>
      </c>
      <c r="F11437" s="501" t="s">
        <v>417</v>
      </c>
      <c r="G11437" s="501" t="s">
        <v>3368</v>
      </c>
      <c r="H11437" s="501" t="s">
        <v>13716</v>
      </c>
      <c r="I11437" s="501">
        <v>25</v>
      </c>
      <c r="J11437" s="501">
        <v>0</v>
      </c>
      <c r="K11437" s="501">
        <v>0</v>
      </c>
      <c r="L11437" s="501">
        <v>25</v>
      </c>
      <c r="M11437" s="501">
        <v>0</v>
      </c>
      <c r="N11437" s="501">
        <v>0</v>
      </c>
      <c r="O11437" s="506">
        <v>0</v>
      </c>
    </row>
    <row r="11438" spans="1:15" x14ac:dyDescent="0.35">
      <c r="A11438" s="503" t="s">
        <v>1252</v>
      </c>
      <c r="B11438" s="504" t="s">
        <v>2875</v>
      </c>
      <c r="C11438" s="504" t="s">
        <v>1089</v>
      </c>
      <c r="D11438" s="504" t="s">
        <v>3392</v>
      </c>
      <c r="E11438" s="504" t="s">
        <v>3381</v>
      </c>
      <c r="F11438" s="504" t="s">
        <v>419</v>
      </c>
      <c r="G11438" s="504" t="s">
        <v>3368</v>
      </c>
      <c r="H11438" s="504" t="s">
        <v>13719</v>
      </c>
      <c r="I11438" s="504">
        <v>10</v>
      </c>
      <c r="J11438" s="504">
        <v>0</v>
      </c>
      <c r="K11438" s="504">
        <v>0</v>
      </c>
      <c r="L11438" s="504">
        <v>10</v>
      </c>
      <c r="M11438" s="504">
        <v>0</v>
      </c>
      <c r="N11438" s="504">
        <v>0</v>
      </c>
      <c r="O11438" s="505">
        <v>0</v>
      </c>
    </row>
    <row r="11439" spans="1:15" x14ac:dyDescent="0.35">
      <c r="A11439" s="500" t="s">
        <v>1252</v>
      </c>
      <c r="B11439" s="501" t="s">
        <v>2875</v>
      </c>
      <c r="C11439" s="501" t="s">
        <v>1089</v>
      </c>
      <c r="D11439" s="501" t="s">
        <v>3392</v>
      </c>
      <c r="E11439" s="501" t="s">
        <v>3381</v>
      </c>
      <c r="F11439" s="501" t="s">
        <v>414</v>
      </c>
      <c r="G11439" s="501" t="s">
        <v>3368</v>
      </c>
      <c r="H11439" s="501" t="s">
        <v>13722</v>
      </c>
      <c r="I11439" s="501">
        <v>27</v>
      </c>
      <c r="J11439" s="501">
        <v>0</v>
      </c>
      <c r="K11439" s="501">
        <v>0</v>
      </c>
      <c r="L11439" s="501">
        <v>27</v>
      </c>
      <c r="M11439" s="501">
        <v>0</v>
      </c>
      <c r="N11439" s="501">
        <v>0</v>
      </c>
      <c r="O11439" s="506">
        <v>0</v>
      </c>
    </row>
    <row r="11440" spans="1:15" x14ac:dyDescent="0.35">
      <c r="A11440" s="503" t="s">
        <v>1252</v>
      </c>
      <c r="B11440" s="504" t="s">
        <v>2875</v>
      </c>
      <c r="C11440" s="504" t="s">
        <v>1089</v>
      </c>
      <c r="D11440" s="504" t="s">
        <v>3392</v>
      </c>
      <c r="E11440" s="504" t="s">
        <v>3381</v>
      </c>
      <c r="F11440" s="504" t="s">
        <v>416</v>
      </c>
      <c r="G11440" s="504" t="s">
        <v>3368</v>
      </c>
      <c r="H11440" s="504" t="s">
        <v>13718</v>
      </c>
      <c r="I11440" s="504">
        <v>48</v>
      </c>
      <c r="J11440" s="504">
        <v>0</v>
      </c>
      <c r="K11440" s="504">
        <v>0</v>
      </c>
      <c r="L11440" s="504">
        <v>48</v>
      </c>
      <c r="M11440" s="504">
        <v>0</v>
      </c>
      <c r="N11440" s="504">
        <v>0</v>
      </c>
      <c r="O11440" s="505">
        <v>0</v>
      </c>
    </row>
    <row r="11441" spans="1:15" x14ac:dyDescent="0.35">
      <c r="A11441" s="500" t="s">
        <v>1252</v>
      </c>
      <c r="B11441" s="501" t="s">
        <v>2875</v>
      </c>
      <c r="C11441" s="501" t="s">
        <v>1089</v>
      </c>
      <c r="D11441" s="501" t="s">
        <v>3392</v>
      </c>
      <c r="E11441" s="501" t="s">
        <v>3381</v>
      </c>
      <c r="F11441" s="501" t="s">
        <v>415</v>
      </c>
      <c r="G11441" s="501" t="s">
        <v>3368</v>
      </c>
      <c r="H11441" s="501" t="s">
        <v>13717</v>
      </c>
      <c r="I11441" s="501">
        <v>28</v>
      </c>
      <c r="J11441" s="501">
        <v>0</v>
      </c>
      <c r="K11441" s="501">
        <v>0</v>
      </c>
      <c r="L11441" s="501">
        <v>28</v>
      </c>
      <c r="M11441" s="501">
        <v>0</v>
      </c>
      <c r="N11441" s="501">
        <v>0</v>
      </c>
      <c r="O11441" s="506">
        <v>0</v>
      </c>
    </row>
    <row r="11442" spans="1:15" x14ac:dyDescent="0.35">
      <c r="A11442" s="503" t="s">
        <v>1252</v>
      </c>
      <c r="B11442" s="504" t="s">
        <v>2875</v>
      </c>
      <c r="C11442" s="504" t="s">
        <v>1089</v>
      </c>
      <c r="D11442" s="504" t="s">
        <v>3392</v>
      </c>
      <c r="E11442" s="504" t="s">
        <v>3381</v>
      </c>
      <c r="F11442" s="504" t="s">
        <v>2</v>
      </c>
      <c r="G11442" s="504" t="s">
        <v>3368</v>
      </c>
      <c r="H11442" s="504" t="s">
        <v>13720</v>
      </c>
      <c r="I11442" s="504">
        <v>51</v>
      </c>
      <c r="J11442" s="504">
        <v>0</v>
      </c>
      <c r="K11442" s="504">
        <v>0</v>
      </c>
      <c r="L11442" s="504">
        <v>51</v>
      </c>
      <c r="M11442" s="504">
        <v>0</v>
      </c>
      <c r="N11442" s="504">
        <v>0</v>
      </c>
      <c r="O11442" s="505">
        <v>0</v>
      </c>
    </row>
    <row r="11443" spans="1:15" x14ac:dyDescent="0.35">
      <c r="A11443" s="500" t="s">
        <v>1253</v>
      </c>
      <c r="B11443" s="501" t="s">
        <v>3232</v>
      </c>
      <c r="C11443" s="501" t="s">
        <v>1094</v>
      </c>
      <c r="D11443" s="501" t="s">
        <v>3380</v>
      </c>
      <c r="E11443" s="501" t="s">
        <v>3381</v>
      </c>
      <c r="F11443" s="501" t="s">
        <v>416</v>
      </c>
      <c r="G11443" s="501" t="s">
        <v>3368</v>
      </c>
      <c r="H11443" s="501" t="s">
        <v>13724</v>
      </c>
      <c r="I11443" s="501">
        <v>2696</v>
      </c>
      <c r="J11443" s="501">
        <v>1655</v>
      </c>
      <c r="K11443" s="501">
        <v>0</v>
      </c>
      <c r="L11443" s="501">
        <v>572</v>
      </c>
      <c r="M11443" s="501">
        <v>469</v>
      </c>
      <c r="N11443" s="501">
        <v>1</v>
      </c>
      <c r="O11443" s="506">
        <v>0</v>
      </c>
    </row>
    <row r="11444" spans="1:15" x14ac:dyDescent="0.35">
      <c r="A11444" s="503" t="s">
        <v>1253</v>
      </c>
      <c r="B11444" s="504" t="s">
        <v>3232</v>
      </c>
      <c r="C11444" s="504" t="s">
        <v>1094</v>
      </c>
      <c r="D11444" s="504" t="s">
        <v>3380</v>
      </c>
      <c r="E11444" s="504" t="s">
        <v>3381</v>
      </c>
      <c r="F11444" s="504" t="s">
        <v>419</v>
      </c>
      <c r="G11444" s="504" t="s">
        <v>3368</v>
      </c>
      <c r="H11444" s="504" t="s">
        <v>13730</v>
      </c>
      <c r="I11444" s="504">
        <v>343</v>
      </c>
      <c r="J11444" s="504">
        <v>0</v>
      </c>
      <c r="K11444" s="504">
        <v>0</v>
      </c>
      <c r="L11444" s="504">
        <v>238</v>
      </c>
      <c r="M11444" s="504">
        <v>105</v>
      </c>
      <c r="N11444" s="504">
        <v>0</v>
      </c>
      <c r="O11444" s="505">
        <v>0</v>
      </c>
    </row>
    <row r="11445" spans="1:15" x14ac:dyDescent="0.35">
      <c r="A11445" s="500" t="s">
        <v>1253</v>
      </c>
      <c r="B11445" s="501" t="s">
        <v>3232</v>
      </c>
      <c r="C11445" s="501" t="s">
        <v>1094</v>
      </c>
      <c r="D11445" s="501" t="s">
        <v>3380</v>
      </c>
      <c r="E11445" s="501" t="s">
        <v>3381</v>
      </c>
      <c r="F11445" s="501" t="s">
        <v>420</v>
      </c>
      <c r="G11445" s="501" t="s">
        <v>3368</v>
      </c>
      <c r="H11445" s="501" t="s">
        <v>13729</v>
      </c>
      <c r="I11445" s="501">
        <v>847</v>
      </c>
      <c r="J11445" s="501">
        <v>557</v>
      </c>
      <c r="K11445" s="501">
        <v>25</v>
      </c>
      <c r="L11445" s="501">
        <v>122</v>
      </c>
      <c r="M11445" s="501">
        <v>111</v>
      </c>
      <c r="N11445" s="501">
        <v>0</v>
      </c>
      <c r="O11445" s="506">
        <v>32</v>
      </c>
    </row>
    <row r="11446" spans="1:15" x14ac:dyDescent="0.35">
      <c r="A11446" s="503" t="s">
        <v>1253</v>
      </c>
      <c r="B11446" s="504" t="s">
        <v>3232</v>
      </c>
      <c r="C11446" s="504" t="s">
        <v>1094</v>
      </c>
      <c r="D11446" s="504" t="s">
        <v>3380</v>
      </c>
      <c r="E11446" s="504" t="s">
        <v>3381</v>
      </c>
      <c r="F11446" s="504" t="s">
        <v>2</v>
      </c>
      <c r="G11446" s="504" t="s">
        <v>3368</v>
      </c>
      <c r="H11446" s="504" t="s">
        <v>13726</v>
      </c>
      <c r="I11446" s="504">
        <v>1989</v>
      </c>
      <c r="J11446" s="504">
        <v>1238</v>
      </c>
      <c r="K11446" s="504">
        <v>0</v>
      </c>
      <c r="L11446" s="504">
        <v>498</v>
      </c>
      <c r="M11446" s="504">
        <v>220</v>
      </c>
      <c r="N11446" s="504">
        <v>2</v>
      </c>
      <c r="O11446" s="505">
        <v>33</v>
      </c>
    </row>
    <row r="11447" spans="1:15" x14ac:dyDescent="0.35">
      <c r="A11447" s="500" t="s">
        <v>1253</v>
      </c>
      <c r="B11447" s="501" t="s">
        <v>3232</v>
      </c>
      <c r="C11447" s="501" t="s">
        <v>1094</v>
      </c>
      <c r="D11447" s="501" t="s">
        <v>3380</v>
      </c>
      <c r="E11447" s="501" t="s">
        <v>3381</v>
      </c>
      <c r="F11447" s="501" t="s">
        <v>415</v>
      </c>
      <c r="G11447" s="501" t="s">
        <v>3368</v>
      </c>
      <c r="H11447" s="501" t="s">
        <v>13728</v>
      </c>
      <c r="I11447" s="501">
        <v>485</v>
      </c>
      <c r="J11447" s="501">
        <v>81</v>
      </c>
      <c r="K11447" s="501">
        <v>0</v>
      </c>
      <c r="L11447" s="501">
        <v>179</v>
      </c>
      <c r="M11447" s="501">
        <v>225</v>
      </c>
      <c r="N11447" s="501">
        <v>0</v>
      </c>
      <c r="O11447" s="506">
        <v>0</v>
      </c>
    </row>
    <row r="11448" spans="1:15" x14ac:dyDescent="0.35">
      <c r="A11448" s="503" t="s">
        <v>1253</v>
      </c>
      <c r="B11448" s="504" t="s">
        <v>3232</v>
      </c>
      <c r="C11448" s="504" t="s">
        <v>1094</v>
      </c>
      <c r="D11448" s="504" t="s">
        <v>3380</v>
      </c>
      <c r="E11448" s="504" t="s">
        <v>3381</v>
      </c>
      <c r="F11448" s="504" t="s">
        <v>418</v>
      </c>
      <c r="G11448" s="504" t="s">
        <v>3368</v>
      </c>
      <c r="H11448" s="504" t="s">
        <v>13725</v>
      </c>
      <c r="I11448" s="504">
        <v>34675</v>
      </c>
      <c r="J11448" s="504">
        <v>28816</v>
      </c>
      <c r="K11448" s="504">
        <v>0</v>
      </c>
      <c r="L11448" s="504">
        <v>1444</v>
      </c>
      <c r="M11448" s="504">
        <v>2911</v>
      </c>
      <c r="N11448" s="504">
        <v>10</v>
      </c>
      <c r="O11448" s="505">
        <v>1504</v>
      </c>
    </row>
    <row r="11449" spans="1:15" x14ac:dyDescent="0.35">
      <c r="A11449" s="500" t="s">
        <v>1253</v>
      </c>
      <c r="B11449" s="501" t="s">
        <v>3232</v>
      </c>
      <c r="C11449" s="501" t="s">
        <v>1094</v>
      </c>
      <c r="D11449" s="501" t="s">
        <v>3380</v>
      </c>
      <c r="E11449" s="501" t="s">
        <v>3381</v>
      </c>
      <c r="F11449" s="501" t="s">
        <v>417</v>
      </c>
      <c r="G11449" s="501" t="s">
        <v>3368</v>
      </c>
      <c r="H11449" s="501" t="s">
        <v>13727</v>
      </c>
      <c r="I11449" s="501">
        <v>3978</v>
      </c>
      <c r="J11449" s="501">
        <v>2532</v>
      </c>
      <c r="K11449" s="501">
        <v>0</v>
      </c>
      <c r="L11449" s="501">
        <v>464</v>
      </c>
      <c r="M11449" s="501">
        <v>517</v>
      </c>
      <c r="N11449" s="501">
        <v>1</v>
      </c>
      <c r="O11449" s="506">
        <v>465</v>
      </c>
    </row>
    <row r="11450" spans="1:15" x14ac:dyDescent="0.35">
      <c r="A11450" s="503" t="s">
        <v>1253</v>
      </c>
      <c r="B11450" s="504" t="s">
        <v>3232</v>
      </c>
      <c r="C11450" s="504" t="s">
        <v>1094</v>
      </c>
      <c r="D11450" s="504" t="s">
        <v>3380</v>
      </c>
      <c r="E11450" s="504" t="s">
        <v>3381</v>
      </c>
      <c r="F11450" s="504" t="s">
        <v>414</v>
      </c>
      <c r="G11450" s="504" t="s">
        <v>3368</v>
      </c>
      <c r="H11450" s="504" t="s">
        <v>13723</v>
      </c>
      <c r="I11450" s="504">
        <v>4305</v>
      </c>
      <c r="J11450" s="504">
        <v>3181</v>
      </c>
      <c r="K11450" s="504">
        <v>0</v>
      </c>
      <c r="L11450" s="504">
        <v>277</v>
      </c>
      <c r="M11450" s="504">
        <v>273</v>
      </c>
      <c r="N11450" s="504">
        <v>1</v>
      </c>
      <c r="O11450" s="505">
        <v>574</v>
      </c>
    </row>
    <row r="11451" spans="1:15" x14ac:dyDescent="0.35">
      <c r="A11451" s="500" t="s">
        <v>1253</v>
      </c>
      <c r="B11451" s="501" t="s">
        <v>3232</v>
      </c>
      <c r="C11451" s="501" t="s">
        <v>1094</v>
      </c>
      <c r="D11451" s="501" t="s">
        <v>3380</v>
      </c>
      <c r="E11451" s="501" t="s">
        <v>3381</v>
      </c>
      <c r="F11451" s="501" t="s">
        <v>1048</v>
      </c>
      <c r="G11451" s="501" t="s">
        <v>3368</v>
      </c>
      <c r="H11451" s="501" t="s">
        <v>14075</v>
      </c>
      <c r="I11451" s="501">
        <v>2497</v>
      </c>
      <c r="J11451" s="501">
        <v>1617</v>
      </c>
      <c r="K11451" s="501">
        <v>0</v>
      </c>
      <c r="L11451" s="501">
        <v>633</v>
      </c>
      <c r="M11451" s="501">
        <v>237</v>
      </c>
      <c r="N11451" s="501">
        <v>0</v>
      </c>
      <c r="O11451" s="506">
        <v>10</v>
      </c>
    </row>
    <row r="11452" spans="1:15" x14ac:dyDescent="0.35">
      <c r="A11452" s="503" t="s">
        <v>2184</v>
      </c>
      <c r="B11452" s="504" t="s">
        <v>2589</v>
      </c>
      <c r="C11452" s="504" t="s">
        <v>1089</v>
      </c>
      <c r="D11452" s="504" t="s">
        <v>3392</v>
      </c>
      <c r="E11452" s="504" t="s">
        <v>3381</v>
      </c>
      <c r="F11452" s="504" t="s">
        <v>1048</v>
      </c>
      <c r="G11452" s="504" t="s">
        <v>3368</v>
      </c>
      <c r="H11452" s="504" t="s">
        <v>14076</v>
      </c>
      <c r="I11452" s="504">
        <v>7</v>
      </c>
      <c r="J11452" s="504">
        <v>0</v>
      </c>
      <c r="K11452" s="504">
        <v>0</v>
      </c>
      <c r="L11452" s="504">
        <v>0</v>
      </c>
      <c r="M11452" s="504">
        <v>7</v>
      </c>
      <c r="N11452" s="504">
        <v>0</v>
      </c>
      <c r="O11452" s="505">
        <v>0</v>
      </c>
    </row>
    <row r="11453" spans="1:15" x14ac:dyDescent="0.35">
      <c r="A11453" s="500" t="s">
        <v>1365</v>
      </c>
      <c r="B11453" s="501" t="s">
        <v>2634</v>
      </c>
      <c r="C11453" s="501" t="s">
        <v>1089</v>
      </c>
      <c r="D11453" s="501" t="s">
        <v>3392</v>
      </c>
      <c r="E11453" s="501" t="s">
        <v>3381</v>
      </c>
      <c r="F11453" s="501" t="s">
        <v>415</v>
      </c>
      <c r="G11453" s="501" t="s">
        <v>3368</v>
      </c>
      <c r="H11453" s="501" t="s">
        <v>13731</v>
      </c>
      <c r="I11453" s="501">
        <v>6</v>
      </c>
      <c r="J11453" s="501">
        <v>6</v>
      </c>
      <c r="K11453" s="501">
        <v>0</v>
      </c>
      <c r="L11453" s="501">
        <v>0</v>
      </c>
      <c r="M11453" s="501">
        <v>0</v>
      </c>
      <c r="N11453" s="501">
        <v>0</v>
      </c>
      <c r="O11453" s="506">
        <v>0</v>
      </c>
    </row>
    <row r="11454" spans="1:15" x14ac:dyDescent="0.35">
      <c r="A11454" s="503" t="s">
        <v>1366</v>
      </c>
      <c r="B11454" s="504" t="s">
        <v>2594</v>
      </c>
      <c r="C11454" s="504" t="s">
        <v>1089</v>
      </c>
      <c r="D11454" s="504" t="s">
        <v>3392</v>
      </c>
      <c r="E11454" s="504" t="s">
        <v>3381</v>
      </c>
      <c r="F11454" s="504" t="s">
        <v>415</v>
      </c>
      <c r="G11454" s="504" t="s">
        <v>3368</v>
      </c>
      <c r="H11454" s="504" t="s">
        <v>13732</v>
      </c>
      <c r="I11454" s="504">
        <v>6</v>
      </c>
      <c r="J11454" s="504">
        <v>6</v>
      </c>
      <c r="K11454" s="504">
        <v>0</v>
      </c>
      <c r="L11454" s="504">
        <v>0</v>
      </c>
      <c r="M11454" s="504">
        <v>0</v>
      </c>
      <c r="N11454" s="504">
        <v>0</v>
      </c>
      <c r="O11454" s="505">
        <v>0</v>
      </c>
    </row>
    <row r="11455" spans="1:15" x14ac:dyDescent="0.35">
      <c r="A11455" s="500" t="s">
        <v>14365</v>
      </c>
      <c r="B11455" s="501" t="s">
        <v>2574</v>
      </c>
      <c r="C11455" s="501" t="s">
        <v>1089</v>
      </c>
      <c r="D11455" s="501" t="s">
        <v>3392</v>
      </c>
      <c r="E11455" s="501" t="s">
        <v>3381</v>
      </c>
      <c r="F11455" s="501" t="s">
        <v>2</v>
      </c>
      <c r="G11455" s="501" t="s">
        <v>3368</v>
      </c>
      <c r="H11455" s="501" t="s">
        <v>15437</v>
      </c>
      <c r="I11455" s="501">
        <v>34</v>
      </c>
      <c r="J11455" s="501">
        <v>0</v>
      </c>
      <c r="K11455" s="501">
        <v>0</v>
      </c>
      <c r="L11455" s="501">
        <v>34</v>
      </c>
      <c r="M11455" s="501">
        <v>0</v>
      </c>
      <c r="N11455" s="501">
        <v>0</v>
      </c>
      <c r="O11455" s="506">
        <v>0</v>
      </c>
    </row>
    <row r="11456" spans="1:15" x14ac:dyDescent="0.35">
      <c r="A11456" s="503" t="s">
        <v>14365</v>
      </c>
      <c r="B11456" s="504" t="s">
        <v>2574</v>
      </c>
      <c r="C11456" s="504" t="s">
        <v>1089</v>
      </c>
      <c r="D11456" s="504" t="s">
        <v>3392</v>
      </c>
      <c r="E11456" s="504" t="s">
        <v>3381</v>
      </c>
      <c r="F11456" s="504" t="s">
        <v>416</v>
      </c>
      <c r="G11456" s="504" t="s">
        <v>3368</v>
      </c>
      <c r="H11456" s="504" t="s">
        <v>15438</v>
      </c>
      <c r="I11456" s="504">
        <v>253</v>
      </c>
      <c r="J11456" s="504">
        <v>4</v>
      </c>
      <c r="K11456" s="504">
        <v>0</v>
      </c>
      <c r="L11456" s="504">
        <v>249</v>
      </c>
      <c r="M11456" s="504">
        <v>0</v>
      </c>
      <c r="N11456" s="504">
        <v>0</v>
      </c>
      <c r="O11456" s="505">
        <v>0</v>
      </c>
    </row>
    <row r="11457" spans="1:15" x14ac:dyDescent="0.35">
      <c r="A11457" s="500" t="s">
        <v>1574</v>
      </c>
      <c r="B11457" s="501" t="s">
        <v>2552</v>
      </c>
      <c r="C11457" s="501" t="s">
        <v>1089</v>
      </c>
      <c r="D11457" s="501" t="s">
        <v>3392</v>
      </c>
      <c r="E11457" s="501" t="s">
        <v>3381</v>
      </c>
      <c r="F11457" s="501" t="s">
        <v>416</v>
      </c>
      <c r="G11457" s="501" t="s">
        <v>3368</v>
      </c>
      <c r="H11457" s="501" t="s">
        <v>13733</v>
      </c>
      <c r="I11457" s="501">
        <v>87</v>
      </c>
      <c r="J11457" s="501">
        <v>0</v>
      </c>
      <c r="K11457" s="501">
        <v>0</v>
      </c>
      <c r="L11457" s="501">
        <v>0</v>
      </c>
      <c r="M11457" s="501">
        <v>87</v>
      </c>
      <c r="N11457" s="501">
        <v>0</v>
      </c>
      <c r="O11457" s="506">
        <v>0</v>
      </c>
    </row>
    <row r="11458" spans="1:15" x14ac:dyDescent="0.35">
      <c r="A11458" s="503" t="s">
        <v>2044</v>
      </c>
      <c r="B11458" s="504" t="s">
        <v>2590</v>
      </c>
      <c r="C11458" s="504" t="s">
        <v>1089</v>
      </c>
      <c r="D11458" s="504" t="s">
        <v>3392</v>
      </c>
      <c r="E11458" s="504" t="s">
        <v>3381</v>
      </c>
      <c r="F11458" s="504" t="s">
        <v>419</v>
      </c>
      <c r="G11458" s="504" t="s">
        <v>3368</v>
      </c>
      <c r="H11458" s="504" t="s">
        <v>13734</v>
      </c>
      <c r="I11458" s="504">
        <v>12</v>
      </c>
      <c r="J11458" s="504">
        <v>12</v>
      </c>
      <c r="K11458" s="504">
        <v>0</v>
      </c>
      <c r="L11458" s="504">
        <v>0</v>
      </c>
      <c r="M11458" s="504">
        <v>0</v>
      </c>
      <c r="N11458" s="504">
        <v>0</v>
      </c>
      <c r="O11458" s="505">
        <v>0</v>
      </c>
    </row>
    <row r="11459" spans="1:15" x14ac:dyDescent="0.35">
      <c r="A11459" s="500" t="s">
        <v>1924</v>
      </c>
      <c r="B11459" s="501" t="s">
        <v>3348</v>
      </c>
      <c r="C11459" s="501" t="s">
        <v>1089</v>
      </c>
      <c r="D11459" s="501" t="s">
        <v>3392</v>
      </c>
      <c r="E11459" s="501" t="s">
        <v>3381</v>
      </c>
      <c r="F11459" s="501" t="s">
        <v>2</v>
      </c>
      <c r="G11459" s="501" t="s">
        <v>3368</v>
      </c>
      <c r="H11459" s="501" t="s">
        <v>13735</v>
      </c>
      <c r="I11459" s="501">
        <v>428</v>
      </c>
      <c r="J11459" s="501">
        <v>119</v>
      </c>
      <c r="K11459" s="501">
        <v>100</v>
      </c>
      <c r="L11459" s="501">
        <v>209</v>
      </c>
      <c r="M11459" s="501">
        <v>0</v>
      </c>
      <c r="N11459" s="501">
        <v>0</v>
      </c>
      <c r="O11459" s="506">
        <v>0</v>
      </c>
    </row>
    <row r="11460" spans="1:15" x14ac:dyDescent="0.35">
      <c r="A11460" s="503" t="s">
        <v>1575</v>
      </c>
      <c r="B11460" s="504" t="s">
        <v>3349</v>
      </c>
      <c r="C11460" s="504" t="s">
        <v>1089</v>
      </c>
      <c r="D11460" s="504" t="s">
        <v>3392</v>
      </c>
      <c r="E11460" s="504" t="s">
        <v>3381</v>
      </c>
      <c r="F11460" s="504" t="s">
        <v>2</v>
      </c>
      <c r="G11460" s="504" t="s">
        <v>3368</v>
      </c>
      <c r="H11460" s="504" t="s">
        <v>13738</v>
      </c>
      <c r="I11460" s="504">
        <v>16</v>
      </c>
      <c r="J11460" s="504">
        <v>10</v>
      </c>
      <c r="K11460" s="504">
        <v>6</v>
      </c>
      <c r="L11460" s="504">
        <v>0</v>
      </c>
      <c r="M11460" s="504">
        <v>0</v>
      </c>
      <c r="N11460" s="504">
        <v>0</v>
      </c>
      <c r="O11460" s="505">
        <v>0</v>
      </c>
    </row>
    <row r="11461" spans="1:15" x14ac:dyDescent="0.35">
      <c r="A11461" s="500" t="s">
        <v>1575</v>
      </c>
      <c r="B11461" s="501" t="s">
        <v>3349</v>
      </c>
      <c r="C11461" s="501" t="s">
        <v>1089</v>
      </c>
      <c r="D11461" s="501" t="s">
        <v>3392</v>
      </c>
      <c r="E11461" s="501" t="s">
        <v>3381</v>
      </c>
      <c r="F11461" s="501" t="s">
        <v>416</v>
      </c>
      <c r="G11461" s="501" t="s">
        <v>3368</v>
      </c>
      <c r="H11461" s="501" t="s">
        <v>13736</v>
      </c>
      <c r="I11461" s="501">
        <v>47</v>
      </c>
      <c r="J11461" s="501">
        <v>21</v>
      </c>
      <c r="K11461" s="501">
        <v>10</v>
      </c>
      <c r="L11461" s="501">
        <v>16</v>
      </c>
      <c r="M11461" s="501">
        <v>0</v>
      </c>
      <c r="N11461" s="501">
        <v>0</v>
      </c>
      <c r="O11461" s="506">
        <v>0</v>
      </c>
    </row>
    <row r="11462" spans="1:15" x14ac:dyDescent="0.35">
      <c r="A11462" s="503" t="s">
        <v>1575</v>
      </c>
      <c r="B11462" s="504" t="s">
        <v>3349</v>
      </c>
      <c r="C11462" s="504" t="s">
        <v>1089</v>
      </c>
      <c r="D11462" s="504" t="s">
        <v>3392</v>
      </c>
      <c r="E11462" s="504" t="s">
        <v>3381</v>
      </c>
      <c r="F11462" s="504" t="s">
        <v>418</v>
      </c>
      <c r="G11462" s="504" t="s">
        <v>3368</v>
      </c>
      <c r="H11462" s="504" t="s">
        <v>13737</v>
      </c>
      <c r="I11462" s="504">
        <v>10</v>
      </c>
      <c r="J11462" s="504">
        <v>10</v>
      </c>
      <c r="K11462" s="504">
        <v>0</v>
      </c>
      <c r="L11462" s="504">
        <v>0</v>
      </c>
      <c r="M11462" s="504">
        <v>0</v>
      </c>
      <c r="N11462" s="504">
        <v>0</v>
      </c>
      <c r="O11462" s="505">
        <v>0</v>
      </c>
    </row>
    <row r="11463" spans="1:15" x14ac:dyDescent="0.35">
      <c r="A11463" s="500" t="s">
        <v>1254</v>
      </c>
      <c r="B11463" s="501" t="s">
        <v>2866</v>
      </c>
      <c r="C11463" s="501" t="s">
        <v>1089</v>
      </c>
      <c r="D11463" s="501" t="s">
        <v>3392</v>
      </c>
      <c r="E11463" s="501" t="s">
        <v>3381</v>
      </c>
      <c r="F11463" s="501" t="s">
        <v>414</v>
      </c>
      <c r="G11463" s="501" t="s">
        <v>3368</v>
      </c>
      <c r="H11463" s="501" t="s">
        <v>13739</v>
      </c>
      <c r="I11463" s="501">
        <v>14</v>
      </c>
      <c r="J11463" s="501">
        <v>0</v>
      </c>
      <c r="K11463" s="501">
        <v>0</v>
      </c>
      <c r="L11463" s="501">
        <v>14</v>
      </c>
      <c r="M11463" s="501">
        <v>0</v>
      </c>
      <c r="N11463" s="501">
        <v>0</v>
      </c>
      <c r="O11463" s="506">
        <v>0</v>
      </c>
    </row>
    <row r="11464" spans="1:15" x14ac:dyDescent="0.35">
      <c r="A11464" s="503" t="s">
        <v>1367</v>
      </c>
      <c r="B11464" s="504" t="s">
        <v>2541</v>
      </c>
      <c r="C11464" s="504" t="s">
        <v>1089</v>
      </c>
      <c r="D11464" s="504" t="s">
        <v>3392</v>
      </c>
      <c r="E11464" s="504" t="s">
        <v>3381</v>
      </c>
      <c r="F11464" s="504" t="s">
        <v>415</v>
      </c>
      <c r="G11464" s="504" t="s">
        <v>3368</v>
      </c>
      <c r="H11464" s="504" t="s">
        <v>13740</v>
      </c>
      <c r="I11464" s="504">
        <v>25</v>
      </c>
      <c r="J11464" s="504">
        <v>3</v>
      </c>
      <c r="K11464" s="504">
        <v>0</v>
      </c>
      <c r="L11464" s="504">
        <v>0</v>
      </c>
      <c r="M11464" s="504">
        <v>22</v>
      </c>
      <c r="N11464" s="504">
        <v>0</v>
      </c>
      <c r="O11464" s="505">
        <v>0</v>
      </c>
    </row>
    <row r="11465" spans="1:15" x14ac:dyDescent="0.35">
      <c r="A11465" s="500" t="s">
        <v>1138</v>
      </c>
      <c r="B11465" s="501" t="s">
        <v>2998</v>
      </c>
      <c r="C11465" s="501" t="s">
        <v>1094</v>
      </c>
      <c r="D11465" s="501" t="s">
        <v>3380</v>
      </c>
      <c r="E11465" s="501" t="s">
        <v>3381</v>
      </c>
      <c r="F11465" s="501" t="s">
        <v>2</v>
      </c>
      <c r="G11465" s="501" t="s">
        <v>3368</v>
      </c>
      <c r="H11465" s="501" t="s">
        <v>13742</v>
      </c>
      <c r="I11465" s="501">
        <v>5602</v>
      </c>
      <c r="J11465" s="501">
        <v>3991</v>
      </c>
      <c r="K11465" s="501">
        <v>0</v>
      </c>
      <c r="L11465" s="501">
        <v>31</v>
      </c>
      <c r="M11465" s="501">
        <v>161</v>
      </c>
      <c r="N11465" s="501">
        <v>0</v>
      </c>
      <c r="O11465" s="506">
        <v>1419</v>
      </c>
    </row>
    <row r="11466" spans="1:15" x14ac:dyDescent="0.35">
      <c r="A11466" s="503" t="s">
        <v>1138</v>
      </c>
      <c r="B11466" s="504" t="s">
        <v>2998</v>
      </c>
      <c r="C11466" s="504" t="s">
        <v>1094</v>
      </c>
      <c r="D11466" s="504" t="s">
        <v>3380</v>
      </c>
      <c r="E11466" s="504" t="s">
        <v>3381</v>
      </c>
      <c r="F11466" s="504" t="s">
        <v>419</v>
      </c>
      <c r="G11466" s="504" t="s">
        <v>3368</v>
      </c>
      <c r="H11466" s="504" t="s">
        <v>13741</v>
      </c>
      <c r="I11466" s="504">
        <v>1569</v>
      </c>
      <c r="J11466" s="504">
        <v>1056</v>
      </c>
      <c r="K11466" s="504">
        <v>0</v>
      </c>
      <c r="L11466" s="504">
        <v>4</v>
      </c>
      <c r="M11466" s="504">
        <v>0</v>
      </c>
      <c r="N11466" s="504">
        <v>0</v>
      </c>
      <c r="O11466" s="505">
        <v>509</v>
      </c>
    </row>
    <row r="11467" spans="1:15" x14ac:dyDescent="0.35">
      <c r="A11467" s="500" t="s">
        <v>11379</v>
      </c>
      <c r="B11467" s="501" t="s">
        <v>2534</v>
      </c>
      <c r="C11467" s="501" t="s">
        <v>1089</v>
      </c>
      <c r="D11467" s="501" t="s">
        <v>3392</v>
      </c>
      <c r="E11467" s="501" t="s">
        <v>3381</v>
      </c>
      <c r="F11467" s="501" t="s">
        <v>415</v>
      </c>
      <c r="G11467" s="501" t="s">
        <v>3368</v>
      </c>
      <c r="H11467" s="501" t="s">
        <v>13743</v>
      </c>
      <c r="I11467" s="501">
        <v>15</v>
      </c>
      <c r="J11467" s="501">
        <v>0</v>
      </c>
      <c r="K11467" s="501">
        <v>0</v>
      </c>
      <c r="L11467" s="501">
        <v>15</v>
      </c>
      <c r="M11467" s="501">
        <v>0</v>
      </c>
      <c r="N11467" s="501">
        <v>0</v>
      </c>
      <c r="O11467" s="506">
        <v>0</v>
      </c>
    </row>
    <row r="11468" spans="1:15" x14ac:dyDescent="0.35">
      <c r="A11468" s="503" t="s">
        <v>1255</v>
      </c>
      <c r="B11468" s="504" t="s">
        <v>2595</v>
      </c>
      <c r="C11468" s="504" t="s">
        <v>1089</v>
      </c>
      <c r="D11468" s="504" t="s">
        <v>3392</v>
      </c>
      <c r="E11468" s="504" t="s">
        <v>3381</v>
      </c>
      <c r="F11468" s="504" t="s">
        <v>414</v>
      </c>
      <c r="G11468" s="504" t="s">
        <v>3368</v>
      </c>
      <c r="H11468" s="504" t="s">
        <v>13744</v>
      </c>
      <c r="I11468" s="504">
        <v>4</v>
      </c>
      <c r="J11468" s="504">
        <v>4</v>
      </c>
      <c r="K11468" s="504">
        <v>0</v>
      </c>
      <c r="L11468" s="504">
        <v>0</v>
      </c>
      <c r="M11468" s="504">
        <v>0</v>
      </c>
      <c r="N11468" s="504">
        <v>2</v>
      </c>
      <c r="O11468" s="505">
        <v>0</v>
      </c>
    </row>
    <row r="11469" spans="1:15" x14ac:dyDescent="0.35">
      <c r="A11469" s="500" t="s">
        <v>11476</v>
      </c>
      <c r="B11469" s="501" t="s">
        <v>2649</v>
      </c>
      <c r="C11469" s="501" t="s">
        <v>1089</v>
      </c>
      <c r="D11469" s="501" t="s">
        <v>3392</v>
      </c>
      <c r="E11469" s="501" t="s">
        <v>3381</v>
      </c>
      <c r="F11469" s="501" t="s">
        <v>1048</v>
      </c>
      <c r="G11469" s="501" t="s">
        <v>3368</v>
      </c>
      <c r="H11469" s="501" t="s">
        <v>14077</v>
      </c>
      <c r="I11469" s="501">
        <v>4</v>
      </c>
      <c r="J11469" s="501">
        <v>0</v>
      </c>
      <c r="K11469" s="501">
        <v>0</v>
      </c>
      <c r="L11469" s="501">
        <v>0</v>
      </c>
      <c r="M11469" s="501">
        <v>4</v>
      </c>
      <c r="N11469" s="501">
        <v>0</v>
      </c>
      <c r="O11469" s="506">
        <v>0</v>
      </c>
    </row>
    <row r="11470" spans="1:15" x14ac:dyDescent="0.35">
      <c r="A11470" s="503" t="s">
        <v>14366</v>
      </c>
      <c r="B11470" s="504" t="s">
        <v>2457</v>
      </c>
      <c r="C11470" s="504" t="s">
        <v>1089</v>
      </c>
      <c r="D11470" s="504" t="s">
        <v>3392</v>
      </c>
      <c r="E11470" s="504" t="s">
        <v>3381</v>
      </c>
      <c r="F11470" s="504" t="s">
        <v>418</v>
      </c>
      <c r="G11470" s="504" t="s">
        <v>3368</v>
      </c>
      <c r="H11470" s="504" t="s">
        <v>15439</v>
      </c>
      <c r="I11470" s="504">
        <v>6</v>
      </c>
      <c r="J11470" s="504">
        <v>0</v>
      </c>
      <c r="K11470" s="504">
        <v>0</v>
      </c>
      <c r="L11470" s="504">
        <v>0</v>
      </c>
      <c r="M11470" s="504">
        <v>6</v>
      </c>
      <c r="N11470" s="504">
        <v>0</v>
      </c>
      <c r="O11470" s="505">
        <v>0</v>
      </c>
    </row>
    <row r="11471" spans="1:15" x14ac:dyDescent="0.35">
      <c r="A11471" s="500" t="s">
        <v>2185</v>
      </c>
      <c r="B11471" s="501" t="s">
        <v>2483</v>
      </c>
      <c r="C11471" s="501" t="s">
        <v>1089</v>
      </c>
      <c r="D11471" s="501" t="s">
        <v>3392</v>
      </c>
      <c r="E11471" s="501" t="s">
        <v>3381</v>
      </c>
      <c r="F11471" s="501" t="s">
        <v>1048</v>
      </c>
      <c r="G11471" s="501" t="s">
        <v>3368</v>
      </c>
      <c r="H11471" s="501" t="s">
        <v>14078</v>
      </c>
      <c r="I11471" s="501">
        <v>19</v>
      </c>
      <c r="J11471" s="501">
        <v>19</v>
      </c>
      <c r="K11471" s="501">
        <v>0</v>
      </c>
      <c r="L11471" s="501">
        <v>0</v>
      </c>
      <c r="M11471" s="501">
        <v>0</v>
      </c>
      <c r="N11471" s="501">
        <v>0</v>
      </c>
      <c r="O11471" s="506">
        <v>0</v>
      </c>
    </row>
    <row r="11472" spans="1:15" x14ac:dyDescent="0.35">
      <c r="A11472" s="503" t="s">
        <v>1576</v>
      </c>
      <c r="B11472" s="504">
        <v>5154</v>
      </c>
      <c r="C11472" s="504" t="s">
        <v>1089</v>
      </c>
      <c r="D11472" s="504" t="s">
        <v>3392</v>
      </c>
      <c r="E11472" s="504" t="s">
        <v>3381</v>
      </c>
      <c r="F11472" s="504" t="s">
        <v>416</v>
      </c>
      <c r="G11472" s="504" t="s">
        <v>3368</v>
      </c>
      <c r="H11472" s="504" t="s">
        <v>13745</v>
      </c>
      <c r="I11472" s="504">
        <v>9</v>
      </c>
      <c r="J11472" s="504">
        <v>9</v>
      </c>
      <c r="K11472" s="504">
        <v>0</v>
      </c>
      <c r="L11472" s="504">
        <v>0</v>
      </c>
      <c r="M11472" s="504">
        <v>0</v>
      </c>
      <c r="N11472" s="504">
        <v>0</v>
      </c>
      <c r="O11472" s="505">
        <v>0</v>
      </c>
    </row>
    <row r="11473" spans="1:15" x14ac:dyDescent="0.35">
      <c r="A11473" s="500" t="s">
        <v>1256</v>
      </c>
      <c r="B11473" s="501" t="s">
        <v>2573</v>
      </c>
      <c r="C11473" s="501" t="s">
        <v>1089</v>
      </c>
      <c r="D11473" s="501" t="s">
        <v>3392</v>
      </c>
      <c r="E11473" s="501" t="s">
        <v>3381</v>
      </c>
      <c r="F11473" s="501" t="s">
        <v>414</v>
      </c>
      <c r="G11473" s="501" t="s">
        <v>3368</v>
      </c>
      <c r="H11473" s="501" t="s">
        <v>13746</v>
      </c>
      <c r="I11473" s="501">
        <v>6</v>
      </c>
      <c r="J11473" s="501">
        <v>6</v>
      </c>
      <c r="K11473" s="501">
        <v>0</v>
      </c>
      <c r="L11473" s="501">
        <v>0</v>
      </c>
      <c r="M11473" s="501">
        <v>0</v>
      </c>
      <c r="N11473" s="501">
        <v>0</v>
      </c>
      <c r="O11473" s="506">
        <v>0</v>
      </c>
    </row>
    <row r="11474" spans="1:15" x14ac:dyDescent="0.35">
      <c r="A11474" s="503" t="s">
        <v>2123</v>
      </c>
      <c r="B11474" s="504" t="s">
        <v>3338</v>
      </c>
      <c r="C11474" s="504" t="s">
        <v>1094</v>
      </c>
      <c r="D11474" s="504" t="s">
        <v>3380</v>
      </c>
      <c r="E11474" s="504" t="s">
        <v>3381</v>
      </c>
      <c r="F11474" s="504" t="s">
        <v>417</v>
      </c>
      <c r="G11474" s="504" t="s">
        <v>3368</v>
      </c>
      <c r="H11474" s="504" t="s">
        <v>15440</v>
      </c>
      <c r="I11474" s="504">
        <v>1</v>
      </c>
      <c r="J11474" s="504">
        <v>0</v>
      </c>
      <c r="K11474" s="504">
        <v>0</v>
      </c>
      <c r="L11474" s="504">
        <v>0</v>
      </c>
      <c r="M11474" s="504">
        <v>0</v>
      </c>
      <c r="N11474" s="504">
        <v>0</v>
      </c>
      <c r="O11474" s="505">
        <v>1</v>
      </c>
    </row>
    <row r="11475" spans="1:15" x14ac:dyDescent="0.35">
      <c r="A11475" s="500" t="s">
        <v>2123</v>
      </c>
      <c r="B11475" s="501" t="s">
        <v>3338</v>
      </c>
      <c r="C11475" s="501" t="s">
        <v>1094</v>
      </c>
      <c r="D11475" s="501" t="s">
        <v>3380</v>
      </c>
      <c r="E11475" s="501" t="s">
        <v>3381</v>
      </c>
      <c r="F11475" s="501" t="s">
        <v>420</v>
      </c>
      <c r="G11475" s="501" t="s">
        <v>3368</v>
      </c>
      <c r="H11475" s="501" t="s">
        <v>13747</v>
      </c>
      <c r="I11475" s="501">
        <v>12803</v>
      </c>
      <c r="J11475" s="501">
        <v>10457</v>
      </c>
      <c r="K11475" s="501">
        <v>0</v>
      </c>
      <c r="L11475" s="501">
        <v>658</v>
      </c>
      <c r="M11475" s="501">
        <v>1396</v>
      </c>
      <c r="N11475" s="501">
        <v>132</v>
      </c>
      <c r="O11475" s="506">
        <v>292</v>
      </c>
    </row>
    <row r="11476" spans="1:15" x14ac:dyDescent="0.35">
      <c r="A11476" s="503" t="s">
        <v>1777</v>
      </c>
      <c r="B11476" s="504" t="s">
        <v>2730</v>
      </c>
      <c r="C11476" s="504" t="s">
        <v>1089</v>
      </c>
      <c r="D11476" s="504" t="s">
        <v>3392</v>
      </c>
      <c r="E11476" s="504" t="s">
        <v>3381</v>
      </c>
      <c r="F11476" s="504" t="s">
        <v>418</v>
      </c>
      <c r="G11476" s="504" t="s">
        <v>3368</v>
      </c>
      <c r="H11476" s="504" t="s">
        <v>13748</v>
      </c>
      <c r="I11476" s="504">
        <v>40</v>
      </c>
      <c r="J11476" s="504">
        <v>40</v>
      </c>
      <c r="K11476" s="504">
        <v>0</v>
      </c>
      <c r="L11476" s="504">
        <v>0</v>
      </c>
      <c r="M11476" s="504">
        <v>0</v>
      </c>
      <c r="N11476" s="504">
        <v>0</v>
      </c>
      <c r="O11476" s="505">
        <v>0</v>
      </c>
    </row>
    <row r="11477" spans="1:15" x14ac:dyDescent="0.35">
      <c r="A11477" s="500" t="s">
        <v>1368</v>
      </c>
      <c r="B11477" s="501" t="s">
        <v>3220</v>
      </c>
      <c r="C11477" s="501" t="s">
        <v>1094</v>
      </c>
      <c r="D11477" s="501" t="s">
        <v>3380</v>
      </c>
      <c r="E11477" s="501" t="s">
        <v>3381</v>
      </c>
      <c r="F11477" s="501" t="s">
        <v>1048</v>
      </c>
      <c r="G11477" s="501" t="s">
        <v>3368</v>
      </c>
      <c r="H11477" s="501" t="s">
        <v>14079</v>
      </c>
      <c r="I11477" s="501">
        <v>1483</v>
      </c>
      <c r="J11477" s="501">
        <v>1241</v>
      </c>
      <c r="K11477" s="501">
        <v>0</v>
      </c>
      <c r="L11477" s="501">
        <v>0</v>
      </c>
      <c r="M11477" s="501">
        <v>107</v>
      </c>
      <c r="N11477" s="501">
        <v>0</v>
      </c>
      <c r="O11477" s="506">
        <v>135</v>
      </c>
    </row>
    <row r="11478" spans="1:15" x14ac:dyDescent="0.35">
      <c r="A11478" s="503" t="s">
        <v>1368</v>
      </c>
      <c r="B11478" s="504" t="s">
        <v>3220</v>
      </c>
      <c r="C11478" s="504" t="s">
        <v>1094</v>
      </c>
      <c r="D11478" s="504" t="s">
        <v>3380</v>
      </c>
      <c r="E11478" s="504" t="s">
        <v>3381</v>
      </c>
      <c r="F11478" s="504" t="s">
        <v>415</v>
      </c>
      <c r="G11478" s="504" t="s">
        <v>3368</v>
      </c>
      <c r="H11478" s="504" t="s">
        <v>13749</v>
      </c>
      <c r="I11478" s="504">
        <v>1</v>
      </c>
      <c r="J11478" s="504">
        <v>0</v>
      </c>
      <c r="K11478" s="504">
        <v>0</v>
      </c>
      <c r="L11478" s="504">
        <v>0</v>
      </c>
      <c r="M11478" s="504">
        <v>0</v>
      </c>
      <c r="N11478" s="504">
        <v>0</v>
      </c>
      <c r="O11478" s="505">
        <v>1</v>
      </c>
    </row>
    <row r="11479" spans="1:15" x14ac:dyDescent="0.35">
      <c r="A11479" s="500" t="s">
        <v>1368</v>
      </c>
      <c r="B11479" s="501" t="s">
        <v>3220</v>
      </c>
      <c r="C11479" s="501" t="s">
        <v>1094</v>
      </c>
      <c r="D11479" s="501" t="s">
        <v>3380</v>
      </c>
      <c r="E11479" s="501" t="s">
        <v>3381</v>
      </c>
      <c r="F11479" s="501" t="s">
        <v>417</v>
      </c>
      <c r="G11479" s="501" t="s">
        <v>3368</v>
      </c>
      <c r="H11479" s="501" t="s">
        <v>13750</v>
      </c>
      <c r="I11479" s="501">
        <v>32804</v>
      </c>
      <c r="J11479" s="501">
        <v>28949</v>
      </c>
      <c r="K11479" s="501">
        <v>6</v>
      </c>
      <c r="L11479" s="501">
        <v>321</v>
      </c>
      <c r="M11479" s="501">
        <v>2658</v>
      </c>
      <c r="N11479" s="501">
        <v>0</v>
      </c>
      <c r="O11479" s="506">
        <v>870</v>
      </c>
    </row>
    <row r="11480" spans="1:15" x14ac:dyDescent="0.35">
      <c r="A11480" s="503" t="s">
        <v>14371</v>
      </c>
      <c r="B11480" s="504">
        <v>5111</v>
      </c>
      <c r="C11480" s="504" t="s">
        <v>1089</v>
      </c>
      <c r="D11480" s="504" t="s">
        <v>3392</v>
      </c>
      <c r="E11480" s="504" t="s">
        <v>3381</v>
      </c>
      <c r="F11480" s="504" t="s">
        <v>2</v>
      </c>
      <c r="G11480" s="504" t="s">
        <v>3368</v>
      </c>
      <c r="H11480" s="504" t="s">
        <v>15441</v>
      </c>
      <c r="I11480" s="504">
        <v>98</v>
      </c>
      <c r="J11480" s="504">
        <v>0</v>
      </c>
      <c r="K11480" s="504">
        <v>0</v>
      </c>
      <c r="L11480" s="504">
        <v>0</v>
      </c>
      <c r="M11480" s="504">
        <v>98</v>
      </c>
      <c r="N11480" s="504">
        <v>0</v>
      </c>
      <c r="O11480" s="505">
        <v>0</v>
      </c>
    </row>
    <row r="11481" spans="1:15" x14ac:dyDescent="0.35">
      <c r="A11481" s="500" t="s">
        <v>1926</v>
      </c>
      <c r="B11481" s="501">
        <v>4839</v>
      </c>
      <c r="C11481" s="501" t="s">
        <v>1089</v>
      </c>
      <c r="D11481" s="501" t="s">
        <v>3392</v>
      </c>
      <c r="E11481" s="501" t="s">
        <v>3381</v>
      </c>
      <c r="F11481" s="501" t="s">
        <v>2</v>
      </c>
      <c r="G11481" s="501" t="s">
        <v>3368</v>
      </c>
      <c r="H11481" s="501" t="s">
        <v>13751</v>
      </c>
      <c r="I11481" s="501">
        <v>124</v>
      </c>
      <c r="J11481" s="501">
        <v>0</v>
      </c>
      <c r="K11481" s="501">
        <v>0</v>
      </c>
      <c r="L11481" s="501">
        <v>0</v>
      </c>
      <c r="M11481" s="501">
        <v>124</v>
      </c>
      <c r="N11481" s="501">
        <v>0</v>
      </c>
      <c r="O11481" s="506">
        <v>0</v>
      </c>
    </row>
    <row r="11482" spans="1:15" x14ac:dyDescent="0.35">
      <c r="A11482" s="503" t="s">
        <v>1660</v>
      </c>
      <c r="B11482" s="504" t="s">
        <v>2762</v>
      </c>
      <c r="C11482" s="504" t="s">
        <v>1089</v>
      </c>
      <c r="D11482" s="504" t="s">
        <v>3392</v>
      </c>
      <c r="E11482" s="504" t="s">
        <v>3381</v>
      </c>
      <c r="F11482" s="504" t="s">
        <v>417</v>
      </c>
      <c r="G11482" s="504" t="s">
        <v>3368</v>
      </c>
      <c r="H11482" s="504" t="s">
        <v>13752</v>
      </c>
      <c r="I11482" s="504">
        <v>30</v>
      </c>
      <c r="J11482" s="504">
        <v>30</v>
      </c>
      <c r="K11482" s="504">
        <v>0</v>
      </c>
      <c r="L11482" s="504">
        <v>0</v>
      </c>
      <c r="M11482" s="504">
        <v>0</v>
      </c>
      <c r="N11482" s="504">
        <v>0</v>
      </c>
      <c r="O11482" s="505">
        <v>0</v>
      </c>
    </row>
    <row r="11483" spans="1:15" x14ac:dyDescent="0.35">
      <c r="A11483" s="500" t="s">
        <v>1577</v>
      </c>
      <c r="B11483" s="501">
        <v>4814</v>
      </c>
      <c r="C11483" s="501" t="s">
        <v>1089</v>
      </c>
      <c r="D11483" s="501" t="s">
        <v>3392</v>
      </c>
      <c r="E11483" s="501" t="s">
        <v>3381</v>
      </c>
      <c r="F11483" s="501" t="s">
        <v>416</v>
      </c>
      <c r="G11483" s="501" t="s">
        <v>3368</v>
      </c>
      <c r="H11483" s="501" t="s">
        <v>13753</v>
      </c>
      <c r="I11483" s="501">
        <v>17</v>
      </c>
      <c r="J11483" s="501">
        <v>0</v>
      </c>
      <c r="K11483" s="501">
        <v>0</v>
      </c>
      <c r="L11483" s="501">
        <v>0</v>
      </c>
      <c r="M11483" s="501">
        <v>17</v>
      </c>
      <c r="N11483" s="501">
        <v>0</v>
      </c>
      <c r="O11483" s="506">
        <v>0</v>
      </c>
    </row>
    <row r="11484" spans="1:15" x14ac:dyDescent="0.35">
      <c r="A11484" s="503" t="s">
        <v>1369</v>
      </c>
      <c r="B11484" s="504" t="s">
        <v>3218</v>
      </c>
      <c r="C11484" s="504" t="s">
        <v>1094</v>
      </c>
      <c r="D11484" s="504" t="s">
        <v>3380</v>
      </c>
      <c r="E11484" s="504" t="s">
        <v>3381</v>
      </c>
      <c r="F11484" s="504" t="s">
        <v>415</v>
      </c>
      <c r="G11484" s="504" t="s">
        <v>3368</v>
      </c>
      <c r="H11484" s="504" t="s">
        <v>13755</v>
      </c>
      <c r="I11484" s="504">
        <v>4111</v>
      </c>
      <c r="J11484" s="504">
        <v>3368</v>
      </c>
      <c r="K11484" s="504">
        <v>0</v>
      </c>
      <c r="L11484" s="504">
        <v>0</v>
      </c>
      <c r="M11484" s="504">
        <v>571</v>
      </c>
      <c r="N11484" s="504">
        <v>1</v>
      </c>
      <c r="O11484" s="505">
        <v>172</v>
      </c>
    </row>
    <row r="11485" spans="1:15" x14ac:dyDescent="0.35">
      <c r="A11485" s="500" t="s">
        <v>1369</v>
      </c>
      <c r="B11485" s="501" t="s">
        <v>3218</v>
      </c>
      <c r="C11485" s="501" t="s">
        <v>1094</v>
      </c>
      <c r="D11485" s="501" t="s">
        <v>3380</v>
      </c>
      <c r="E11485" s="501" t="s">
        <v>3381</v>
      </c>
      <c r="F11485" s="501" t="s">
        <v>2</v>
      </c>
      <c r="G11485" s="501" t="s">
        <v>3368</v>
      </c>
      <c r="H11485" s="501" t="s">
        <v>13754</v>
      </c>
      <c r="I11485" s="501">
        <v>226</v>
      </c>
      <c r="J11485" s="501">
        <v>182</v>
      </c>
      <c r="K11485" s="501">
        <v>0</v>
      </c>
      <c r="L11485" s="501">
        <v>0</v>
      </c>
      <c r="M11485" s="501">
        <v>0</v>
      </c>
      <c r="N11485" s="501">
        <v>0</v>
      </c>
      <c r="O11485" s="506">
        <v>44</v>
      </c>
    </row>
    <row r="11486" spans="1:15" x14ac:dyDescent="0.35">
      <c r="A11486" s="503" t="s">
        <v>2045</v>
      </c>
      <c r="B11486" s="504" t="s">
        <v>2474</v>
      </c>
      <c r="C11486" s="504" t="s">
        <v>1089</v>
      </c>
      <c r="D11486" s="504" t="s">
        <v>3392</v>
      </c>
      <c r="E11486" s="504" t="s">
        <v>3381</v>
      </c>
      <c r="F11486" s="504" t="s">
        <v>419</v>
      </c>
      <c r="G11486" s="504" t="s">
        <v>3368</v>
      </c>
      <c r="H11486" s="504" t="s">
        <v>13756</v>
      </c>
      <c r="I11486" s="504">
        <v>83</v>
      </c>
      <c r="J11486" s="504">
        <v>0</v>
      </c>
      <c r="K11486" s="504">
        <v>0</v>
      </c>
      <c r="L11486" s="504">
        <v>0</v>
      </c>
      <c r="M11486" s="504">
        <v>83</v>
      </c>
      <c r="N11486" s="504">
        <v>0</v>
      </c>
      <c r="O11486" s="505">
        <v>0</v>
      </c>
    </row>
    <row r="11487" spans="1:15" x14ac:dyDescent="0.35">
      <c r="A11487" s="500" t="s">
        <v>1370</v>
      </c>
      <c r="B11487" s="501" t="s">
        <v>2471</v>
      </c>
      <c r="C11487" s="501" t="s">
        <v>1089</v>
      </c>
      <c r="D11487" s="501" t="s">
        <v>3392</v>
      </c>
      <c r="E11487" s="501" t="s">
        <v>3381</v>
      </c>
      <c r="F11487" s="501" t="s">
        <v>415</v>
      </c>
      <c r="G11487" s="501" t="s">
        <v>3368</v>
      </c>
      <c r="H11487" s="501" t="s">
        <v>13757</v>
      </c>
      <c r="I11487" s="501">
        <v>4</v>
      </c>
      <c r="J11487" s="501">
        <v>0</v>
      </c>
      <c r="K11487" s="501">
        <v>0</v>
      </c>
      <c r="L11487" s="501">
        <v>0</v>
      </c>
      <c r="M11487" s="501">
        <v>4</v>
      </c>
      <c r="N11487" s="501">
        <v>0</v>
      </c>
      <c r="O11487" s="506">
        <v>0</v>
      </c>
    </row>
    <row r="11488" spans="1:15" x14ac:dyDescent="0.35">
      <c r="A11488" s="503" t="s">
        <v>1257</v>
      </c>
      <c r="B11488" s="504" t="s">
        <v>3151</v>
      </c>
      <c r="C11488" s="504" t="s">
        <v>1094</v>
      </c>
      <c r="D11488" s="504" t="s">
        <v>3380</v>
      </c>
      <c r="E11488" s="504" t="s">
        <v>3381</v>
      </c>
      <c r="F11488" s="504" t="s">
        <v>414</v>
      </c>
      <c r="G11488" s="504" t="s">
        <v>3368</v>
      </c>
      <c r="H11488" s="504" t="s">
        <v>13759</v>
      </c>
      <c r="I11488" s="504">
        <v>266</v>
      </c>
      <c r="J11488" s="504">
        <v>226</v>
      </c>
      <c r="K11488" s="504">
        <v>0</v>
      </c>
      <c r="L11488" s="504">
        <v>11</v>
      </c>
      <c r="M11488" s="504">
        <v>0</v>
      </c>
      <c r="N11488" s="504">
        <v>0</v>
      </c>
      <c r="O11488" s="505">
        <v>29</v>
      </c>
    </row>
    <row r="11489" spans="1:15" x14ac:dyDescent="0.35">
      <c r="A11489" s="500" t="s">
        <v>1257</v>
      </c>
      <c r="B11489" s="501" t="s">
        <v>3151</v>
      </c>
      <c r="C11489" s="501" t="s">
        <v>1094</v>
      </c>
      <c r="D11489" s="501" t="s">
        <v>3380</v>
      </c>
      <c r="E11489" s="501" t="s">
        <v>3381</v>
      </c>
      <c r="F11489" s="501" t="s">
        <v>1048</v>
      </c>
      <c r="G11489" s="501" t="s">
        <v>3368</v>
      </c>
      <c r="H11489" s="501" t="s">
        <v>14080</v>
      </c>
      <c r="I11489" s="501">
        <v>20567</v>
      </c>
      <c r="J11489" s="501">
        <v>18426</v>
      </c>
      <c r="K11489" s="501">
        <v>0</v>
      </c>
      <c r="L11489" s="501">
        <v>453</v>
      </c>
      <c r="M11489" s="501">
        <v>678</v>
      </c>
      <c r="N11489" s="501">
        <v>1</v>
      </c>
      <c r="O11489" s="506">
        <v>1010</v>
      </c>
    </row>
    <row r="11490" spans="1:15" x14ac:dyDescent="0.35">
      <c r="A11490" s="503" t="s">
        <v>1257</v>
      </c>
      <c r="B11490" s="504" t="s">
        <v>3151</v>
      </c>
      <c r="C11490" s="504" t="s">
        <v>1094</v>
      </c>
      <c r="D11490" s="504" t="s">
        <v>3380</v>
      </c>
      <c r="E11490" s="504" t="s">
        <v>3381</v>
      </c>
      <c r="F11490" s="504" t="s">
        <v>418</v>
      </c>
      <c r="G11490" s="504" t="s">
        <v>3368</v>
      </c>
      <c r="H11490" s="504" t="s">
        <v>13758</v>
      </c>
      <c r="I11490" s="504">
        <v>14989</v>
      </c>
      <c r="J11490" s="504">
        <v>14418</v>
      </c>
      <c r="K11490" s="504">
        <v>0</v>
      </c>
      <c r="L11490" s="504">
        <v>59</v>
      </c>
      <c r="M11490" s="504">
        <v>278</v>
      </c>
      <c r="N11490" s="504">
        <v>0</v>
      </c>
      <c r="O11490" s="505">
        <v>234</v>
      </c>
    </row>
    <row r="11491" spans="1:15" x14ac:dyDescent="0.35">
      <c r="A11491" s="500" t="s">
        <v>1927</v>
      </c>
      <c r="B11491" s="501" t="s">
        <v>2505</v>
      </c>
      <c r="C11491" s="501" t="s">
        <v>1089</v>
      </c>
      <c r="D11491" s="501" t="s">
        <v>3392</v>
      </c>
      <c r="E11491" s="501" t="s">
        <v>3381</v>
      </c>
      <c r="F11491" s="501" t="s">
        <v>2</v>
      </c>
      <c r="G11491" s="501" t="s">
        <v>3368</v>
      </c>
      <c r="H11491" s="501" t="s">
        <v>13760</v>
      </c>
      <c r="I11491" s="501">
        <v>6</v>
      </c>
      <c r="J11491" s="501">
        <v>6</v>
      </c>
      <c r="K11491" s="501">
        <v>0</v>
      </c>
      <c r="L11491" s="501">
        <v>0</v>
      </c>
      <c r="M11491" s="501">
        <v>0</v>
      </c>
      <c r="N11491" s="501">
        <v>0</v>
      </c>
      <c r="O11491" s="506">
        <v>0</v>
      </c>
    </row>
    <row r="11492" spans="1:15" x14ac:dyDescent="0.35">
      <c r="A11492" s="503" t="s">
        <v>1578</v>
      </c>
      <c r="B11492" s="504" t="s">
        <v>2688</v>
      </c>
      <c r="C11492" s="504" t="s">
        <v>1089</v>
      </c>
      <c r="D11492" s="504" t="s">
        <v>3392</v>
      </c>
      <c r="E11492" s="504" t="s">
        <v>3381</v>
      </c>
      <c r="F11492" s="504" t="s">
        <v>416</v>
      </c>
      <c r="G11492" s="504" t="s">
        <v>3368</v>
      </c>
      <c r="H11492" s="504" t="s">
        <v>13761</v>
      </c>
      <c r="I11492" s="504">
        <v>70</v>
      </c>
      <c r="J11492" s="504">
        <v>70</v>
      </c>
      <c r="K11492" s="504">
        <v>0</v>
      </c>
      <c r="L11492" s="504">
        <v>0</v>
      </c>
      <c r="M11492" s="504">
        <v>0</v>
      </c>
      <c r="N11492" s="504">
        <v>0</v>
      </c>
      <c r="O11492" s="505">
        <v>0</v>
      </c>
    </row>
    <row r="11493" spans="1:15" x14ac:dyDescent="0.35">
      <c r="A11493" s="500" t="s">
        <v>1779</v>
      </c>
      <c r="B11493" s="501">
        <v>5065</v>
      </c>
      <c r="C11493" s="501" t="s">
        <v>1094</v>
      </c>
      <c r="D11493" s="501" t="s">
        <v>3380</v>
      </c>
      <c r="E11493" s="501" t="s">
        <v>3381</v>
      </c>
      <c r="F11493" s="501" t="s">
        <v>418</v>
      </c>
      <c r="G11493" s="501" t="s">
        <v>3368</v>
      </c>
      <c r="H11493" s="501" t="s">
        <v>13762</v>
      </c>
      <c r="I11493" s="501">
        <v>38180</v>
      </c>
      <c r="J11493" s="501">
        <v>33282</v>
      </c>
      <c r="K11493" s="501">
        <v>0</v>
      </c>
      <c r="L11493" s="501">
        <v>192</v>
      </c>
      <c r="M11493" s="501">
        <v>3714</v>
      </c>
      <c r="N11493" s="501">
        <v>3</v>
      </c>
      <c r="O11493" s="506">
        <v>992</v>
      </c>
    </row>
    <row r="11494" spans="1:15" x14ac:dyDescent="0.35">
      <c r="A11494" s="503" t="s">
        <v>11428</v>
      </c>
      <c r="B11494" s="504">
        <v>5126</v>
      </c>
      <c r="C11494" s="504" t="s">
        <v>1089</v>
      </c>
      <c r="D11494" s="504" t="s">
        <v>3392</v>
      </c>
      <c r="E11494" s="504" t="s">
        <v>3381</v>
      </c>
      <c r="F11494" s="504" t="s">
        <v>419</v>
      </c>
      <c r="G11494" s="504" t="s">
        <v>3368</v>
      </c>
      <c r="H11494" s="504" t="s">
        <v>13763</v>
      </c>
      <c r="I11494" s="504">
        <v>23</v>
      </c>
      <c r="J11494" s="504">
        <v>9</v>
      </c>
      <c r="K11494" s="504">
        <v>0</v>
      </c>
      <c r="L11494" s="504">
        <v>14</v>
      </c>
      <c r="M11494" s="504">
        <v>0</v>
      </c>
      <c r="N11494" s="504">
        <v>0</v>
      </c>
      <c r="O11494" s="505">
        <v>0</v>
      </c>
    </row>
    <row r="11495" spans="1:15" x14ac:dyDescent="0.35">
      <c r="A11495" s="500" t="s">
        <v>1579</v>
      </c>
      <c r="B11495" s="501" t="s">
        <v>3169</v>
      </c>
      <c r="C11495" s="501" t="s">
        <v>1094</v>
      </c>
      <c r="D11495" s="501" t="s">
        <v>3380</v>
      </c>
      <c r="E11495" s="501" t="s">
        <v>3381</v>
      </c>
      <c r="F11495" s="501" t="s">
        <v>416</v>
      </c>
      <c r="G11495" s="501" t="s">
        <v>3368</v>
      </c>
      <c r="H11495" s="501" t="s">
        <v>13764</v>
      </c>
      <c r="I11495" s="501">
        <v>2058</v>
      </c>
      <c r="J11495" s="501">
        <v>2002</v>
      </c>
      <c r="K11495" s="501">
        <v>0</v>
      </c>
      <c r="L11495" s="501">
        <v>0</v>
      </c>
      <c r="M11495" s="501">
        <v>0</v>
      </c>
      <c r="N11495" s="501">
        <v>0</v>
      </c>
      <c r="O11495" s="506">
        <v>56</v>
      </c>
    </row>
    <row r="11496" spans="1:15" x14ac:dyDescent="0.35">
      <c r="A11496" s="503" t="s">
        <v>1928</v>
      </c>
      <c r="B11496" s="504" t="s">
        <v>3167</v>
      </c>
      <c r="C11496" s="504" t="s">
        <v>1094</v>
      </c>
      <c r="D11496" s="504" t="s">
        <v>3380</v>
      </c>
      <c r="E11496" s="504" t="s">
        <v>3381</v>
      </c>
      <c r="F11496" s="504" t="s">
        <v>2</v>
      </c>
      <c r="G11496" s="504" t="s">
        <v>3368</v>
      </c>
      <c r="H11496" s="504" t="s">
        <v>13765</v>
      </c>
      <c r="I11496" s="504">
        <v>9397</v>
      </c>
      <c r="J11496" s="504">
        <v>7991</v>
      </c>
      <c r="K11496" s="504">
        <v>0</v>
      </c>
      <c r="L11496" s="504">
        <v>75</v>
      </c>
      <c r="M11496" s="504">
        <v>475</v>
      </c>
      <c r="N11496" s="504">
        <v>11</v>
      </c>
      <c r="O11496" s="505">
        <v>856</v>
      </c>
    </row>
    <row r="11497" spans="1:15" x14ac:dyDescent="0.35">
      <c r="A11497" s="500" t="s">
        <v>1580</v>
      </c>
      <c r="B11497" s="501" t="s">
        <v>2812</v>
      </c>
      <c r="C11497" s="501" t="s">
        <v>1089</v>
      </c>
      <c r="D11497" s="501" t="s">
        <v>3392</v>
      </c>
      <c r="E11497" s="501" t="s">
        <v>3381</v>
      </c>
      <c r="F11497" s="501" t="s">
        <v>416</v>
      </c>
      <c r="G11497" s="501" t="s">
        <v>3368</v>
      </c>
      <c r="H11497" s="501" t="s">
        <v>13766</v>
      </c>
      <c r="I11497" s="501">
        <v>32</v>
      </c>
      <c r="J11497" s="501">
        <v>32</v>
      </c>
      <c r="K11497" s="501">
        <v>0</v>
      </c>
      <c r="L11497" s="501">
        <v>0</v>
      </c>
      <c r="M11497" s="501">
        <v>0</v>
      </c>
      <c r="N11497" s="501">
        <v>0</v>
      </c>
      <c r="O11497" s="506">
        <v>0</v>
      </c>
    </row>
    <row r="11498" spans="1:15" x14ac:dyDescent="0.35">
      <c r="A11498" s="503" t="s">
        <v>1780</v>
      </c>
      <c r="B11498" s="504" t="s">
        <v>3192</v>
      </c>
      <c r="C11498" s="504" t="s">
        <v>1094</v>
      </c>
      <c r="D11498" s="504" t="s">
        <v>3380</v>
      </c>
      <c r="E11498" s="504" t="s">
        <v>3381</v>
      </c>
      <c r="F11498" s="504" t="s">
        <v>418</v>
      </c>
      <c r="G11498" s="504" t="s">
        <v>3368</v>
      </c>
      <c r="H11498" s="504" t="s">
        <v>13767</v>
      </c>
      <c r="I11498" s="504">
        <v>8901</v>
      </c>
      <c r="J11498" s="504">
        <v>6068</v>
      </c>
      <c r="K11498" s="504">
        <v>0</v>
      </c>
      <c r="L11498" s="504">
        <v>136</v>
      </c>
      <c r="M11498" s="504">
        <v>2542</v>
      </c>
      <c r="N11498" s="504">
        <v>0</v>
      </c>
      <c r="O11498" s="505">
        <v>155</v>
      </c>
    </row>
    <row r="11499" spans="1:15" x14ac:dyDescent="0.35">
      <c r="A11499" s="500" t="s">
        <v>1581</v>
      </c>
      <c r="B11499" s="501" t="s">
        <v>2888</v>
      </c>
      <c r="C11499" s="501" t="s">
        <v>1089</v>
      </c>
      <c r="D11499" s="501" t="s">
        <v>3392</v>
      </c>
      <c r="E11499" s="501" t="s">
        <v>3381</v>
      </c>
      <c r="F11499" s="501" t="s">
        <v>416</v>
      </c>
      <c r="G11499" s="501" t="s">
        <v>3368</v>
      </c>
      <c r="H11499" s="501" t="s">
        <v>13768</v>
      </c>
      <c r="I11499" s="501">
        <v>73</v>
      </c>
      <c r="J11499" s="501">
        <v>0</v>
      </c>
      <c r="K11499" s="501">
        <v>0</v>
      </c>
      <c r="L11499" s="501">
        <v>73</v>
      </c>
      <c r="M11499" s="501">
        <v>0</v>
      </c>
      <c r="N11499" s="501">
        <v>0</v>
      </c>
      <c r="O11499" s="506">
        <v>0</v>
      </c>
    </row>
    <row r="11500" spans="1:15" x14ac:dyDescent="0.35">
      <c r="A11500" s="503" t="s">
        <v>1581</v>
      </c>
      <c r="B11500" s="504" t="s">
        <v>2888</v>
      </c>
      <c r="C11500" s="504" t="s">
        <v>1089</v>
      </c>
      <c r="D11500" s="504" t="s">
        <v>3392</v>
      </c>
      <c r="E11500" s="504" t="s">
        <v>3381</v>
      </c>
      <c r="F11500" s="504" t="s">
        <v>2</v>
      </c>
      <c r="G11500" s="504" t="s">
        <v>3368</v>
      </c>
      <c r="H11500" s="504" t="s">
        <v>13769</v>
      </c>
      <c r="I11500" s="504">
        <v>832</v>
      </c>
      <c r="J11500" s="504">
        <v>2</v>
      </c>
      <c r="K11500" s="504">
        <v>0</v>
      </c>
      <c r="L11500" s="504">
        <v>794</v>
      </c>
      <c r="M11500" s="504">
        <v>36</v>
      </c>
      <c r="N11500" s="504">
        <v>16</v>
      </c>
      <c r="O11500" s="505">
        <v>0</v>
      </c>
    </row>
    <row r="11501" spans="1:15" x14ac:dyDescent="0.35">
      <c r="A11501" s="500" t="s">
        <v>2046</v>
      </c>
      <c r="B11501" s="501" t="s">
        <v>2425</v>
      </c>
      <c r="C11501" s="501" t="s">
        <v>1089</v>
      </c>
      <c r="D11501" s="501" t="s">
        <v>3392</v>
      </c>
      <c r="E11501" s="501" t="s">
        <v>3381</v>
      </c>
      <c r="F11501" s="501" t="s">
        <v>419</v>
      </c>
      <c r="G11501" s="501" t="s">
        <v>3368</v>
      </c>
      <c r="H11501" s="501" t="s">
        <v>13770</v>
      </c>
      <c r="I11501" s="501">
        <v>4</v>
      </c>
      <c r="J11501" s="501">
        <v>0</v>
      </c>
      <c r="K11501" s="501">
        <v>0</v>
      </c>
      <c r="L11501" s="501">
        <v>0</v>
      </c>
      <c r="M11501" s="501">
        <v>4</v>
      </c>
      <c r="N11501" s="501">
        <v>0</v>
      </c>
      <c r="O11501" s="506">
        <v>0</v>
      </c>
    </row>
    <row r="11502" spans="1:15" x14ac:dyDescent="0.35">
      <c r="A11502" s="503" t="s">
        <v>1258</v>
      </c>
      <c r="B11502" s="504" t="s">
        <v>3174</v>
      </c>
      <c r="C11502" s="504" t="s">
        <v>1094</v>
      </c>
      <c r="D11502" s="504" t="s">
        <v>3380</v>
      </c>
      <c r="E11502" s="504" t="s">
        <v>3381</v>
      </c>
      <c r="F11502" s="504" t="s">
        <v>414</v>
      </c>
      <c r="G11502" s="504" t="s">
        <v>3368</v>
      </c>
      <c r="H11502" s="504" t="s">
        <v>13772</v>
      </c>
      <c r="I11502" s="504">
        <v>564</v>
      </c>
      <c r="J11502" s="504">
        <v>458</v>
      </c>
      <c r="K11502" s="504">
        <v>0</v>
      </c>
      <c r="L11502" s="504">
        <v>0</v>
      </c>
      <c r="M11502" s="504">
        <v>0</v>
      </c>
      <c r="N11502" s="504">
        <v>0</v>
      </c>
      <c r="O11502" s="505">
        <v>106</v>
      </c>
    </row>
    <row r="11503" spans="1:15" x14ac:dyDescent="0.35">
      <c r="A11503" s="500" t="s">
        <v>1258</v>
      </c>
      <c r="B11503" s="501" t="s">
        <v>3174</v>
      </c>
      <c r="C11503" s="501" t="s">
        <v>1094</v>
      </c>
      <c r="D11503" s="501" t="s">
        <v>3380</v>
      </c>
      <c r="E11503" s="501" t="s">
        <v>3381</v>
      </c>
      <c r="F11503" s="501" t="s">
        <v>420</v>
      </c>
      <c r="G11503" s="501" t="s">
        <v>3368</v>
      </c>
      <c r="H11503" s="501" t="s">
        <v>13771</v>
      </c>
      <c r="I11503" s="501">
        <v>5910</v>
      </c>
      <c r="J11503" s="501">
        <v>5561</v>
      </c>
      <c r="K11503" s="501">
        <v>0</v>
      </c>
      <c r="L11503" s="501">
        <v>2</v>
      </c>
      <c r="M11503" s="501">
        <v>165</v>
      </c>
      <c r="N11503" s="501">
        <v>0</v>
      </c>
      <c r="O11503" s="506">
        <v>182</v>
      </c>
    </row>
    <row r="11504" spans="1:15" x14ac:dyDescent="0.35">
      <c r="A11504" s="503" t="s">
        <v>2124</v>
      </c>
      <c r="B11504" s="504" t="s">
        <v>2685</v>
      </c>
      <c r="C11504" s="504" t="s">
        <v>1089</v>
      </c>
      <c r="D11504" s="504" t="s">
        <v>3392</v>
      </c>
      <c r="E11504" s="504" t="s">
        <v>3381</v>
      </c>
      <c r="F11504" s="504" t="s">
        <v>420</v>
      </c>
      <c r="G11504" s="504" t="s">
        <v>3368</v>
      </c>
      <c r="H11504" s="504" t="s">
        <v>13773</v>
      </c>
      <c r="I11504" s="504">
        <v>90</v>
      </c>
      <c r="J11504" s="504">
        <v>90</v>
      </c>
      <c r="K11504" s="504">
        <v>0</v>
      </c>
      <c r="L11504" s="504">
        <v>0</v>
      </c>
      <c r="M11504" s="504">
        <v>0</v>
      </c>
      <c r="N11504" s="504">
        <v>0</v>
      </c>
      <c r="O11504" s="505">
        <v>0</v>
      </c>
    </row>
    <row r="11505" spans="1:15" x14ac:dyDescent="0.35">
      <c r="A11505" s="500" t="s">
        <v>1259</v>
      </c>
      <c r="B11505" s="501" t="s">
        <v>3025</v>
      </c>
      <c r="C11505" s="501" t="s">
        <v>1094</v>
      </c>
      <c r="D11505" s="501" t="s">
        <v>3380</v>
      </c>
      <c r="E11505" s="501" t="s">
        <v>3381</v>
      </c>
      <c r="F11505" s="501" t="s">
        <v>420</v>
      </c>
      <c r="G11505" s="501" t="s">
        <v>3368</v>
      </c>
      <c r="H11505" s="501" t="s">
        <v>13774</v>
      </c>
      <c r="I11505" s="501">
        <v>2802</v>
      </c>
      <c r="J11505" s="501">
        <v>1764</v>
      </c>
      <c r="K11505" s="501">
        <v>0</v>
      </c>
      <c r="L11505" s="501">
        <v>594</v>
      </c>
      <c r="M11505" s="501">
        <v>377</v>
      </c>
      <c r="N11505" s="501">
        <v>0</v>
      </c>
      <c r="O11505" s="506">
        <v>67</v>
      </c>
    </row>
    <row r="11506" spans="1:15" x14ac:dyDescent="0.35">
      <c r="A11506" s="503" t="s">
        <v>1259</v>
      </c>
      <c r="B11506" s="504" t="s">
        <v>3025</v>
      </c>
      <c r="C11506" s="504" t="s">
        <v>1094</v>
      </c>
      <c r="D11506" s="504" t="s">
        <v>3380</v>
      </c>
      <c r="E11506" s="504" t="s">
        <v>3381</v>
      </c>
      <c r="F11506" s="504" t="s">
        <v>414</v>
      </c>
      <c r="G11506" s="504" t="s">
        <v>3368</v>
      </c>
      <c r="H11506" s="504" t="s">
        <v>13775</v>
      </c>
      <c r="I11506" s="504">
        <v>357</v>
      </c>
      <c r="J11506" s="504">
        <v>249</v>
      </c>
      <c r="K11506" s="504">
        <v>0</v>
      </c>
      <c r="L11506" s="504">
        <v>19</v>
      </c>
      <c r="M11506" s="504">
        <v>69</v>
      </c>
      <c r="N11506" s="504">
        <v>0</v>
      </c>
      <c r="O11506" s="505">
        <v>20</v>
      </c>
    </row>
    <row r="11507" spans="1:15" x14ac:dyDescent="0.35">
      <c r="A11507" s="500" t="s">
        <v>1582</v>
      </c>
      <c r="B11507" s="501" t="s">
        <v>2523</v>
      </c>
      <c r="C11507" s="501" t="s">
        <v>1089</v>
      </c>
      <c r="D11507" s="501" t="s">
        <v>3392</v>
      </c>
      <c r="E11507" s="501" t="s">
        <v>3381</v>
      </c>
      <c r="F11507" s="501" t="s">
        <v>416</v>
      </c>
      <c r="G11507" s="501" t="s">
        <v>3368</v>
      </c>
      <c r="H11507" s="501" t="s">
        <v>13776</v>
      </c>
      <c r="I11507" s="501">
        <v>17</v>
      </c>
      <c r="J11507" s="501">
        <v>0</v>
      </c>
      <c r="K11507" s="501">
        <v>0</v>
      </c>
      <c r="L11507" s="501">
        <v>0</v>
      </c>
      <c r="M11507" s="501">
        <v>17</v>
      </c>
      <c r="N11507" s="501">
        <v>0</v>
      </c>
      <c r="O11507" s="506">
        <v>0</v>
      </c>
    </row>
    <row r="11508" spans="1:15" x14ac:dyDescent="0.35">
      <c r="A11508" s="503" t="s">
        <v>2125</v>
      </c>
      <c r="B11508" s="504" t="s">
        <v>2622</v>
      </c>
      <c r="C11508" s="504" t="s">
        <v>1089</v>
      </c>
      <c r="D11508" s="504" t="s">
        <v>3392</v>
      </c>
      <c r="E11508" s="504" t="s">
        <v>3381</v>
      </c>
      <c r="F11508" s="504" t="s">
        <v>420</v>
      </c>
      <c r="G11508" s="504" t="s">
        <v>3368</v>
      </c>
      <c r="H11508" s="504" t="s">
        <v>13777</v>
      </c>
      <c r="I11508" s="504">
        <v>13</v>
      </c>
      <c r="J11508" s="504">
        <v>0</v>
      </c>
      <c r="K11508" s="504">
        <v>0</v>
      </c>
      <c r="L11508" s="504">
        <v>0</v>
      </c>
      <c r="M11508" s="504">
        <v>13</v>
      </c>
      <c r="N11508" s="504">
        <v>0</v>
      </c>
      <c r="O11508" s="505">
        <v>0</v>
      </c>
    </row>
    <row r="11509" spans="1:15" x14ac:dyDescent="0.35">
      <c r="A11509" s="500" t="s">
        <v>1260</v>
      </c>
      <c r="B11509" s="501">
        <v>4645</v>
      </c>
      <c r="C11509" s="501" t="s">
        <v>1089</v>
      </c>
      <c r="D11509" s="501" t="s">
        <v>3392</v>
      </c>
      <c r="E11509" s="501" t="s">
        <v>3381</v>
      </c>
      <c r="F11509" s="501" t="s">
        <v>1048</v>
      </c>
      <c r="G11509" s="501" t="s">
        <v>3368</v>
      </c>
      <c r="H11509" s="501" t="s">
        <v>14081</v>
      </c>
      <c r="I11509" s="501">
        <v>32</v>
      </c>
      <c r="J11509" s="501">
        <v>0</v>
      </c>
      <c r="K11509" s="501">
        <v>0</v>
      </c>
      <c r="L11509" s="501">
        <v>32</v>
      </c>
      <c r="M11509" s="501">
        <v>0</v>
      </c>
      <c r="N11509" s="501">
        <v>0</v>
      </c>
      <c r="O11509" s="506">
        <v>0</v>
      </c>
    </row>
    <row r="11510" spans="1:15" x14ac:dyDescent="0.35">
      <c r="A11510" s="503" t="s">
        <v>1260</v>
      </c>
      <c r="B11510" s="504">
        <v>4645</v>
      </c>
      <c r="C11510" s="504" t="s">
        <v>1089</v>
      </c>
      <c r="D11510" s="504" t="s">
        <v>3392</v>
      </c>
      <c r="E11510" s="504" t="s">
        <v>3381</v>
      </c>
      <c r="F11510" s="504" t="s">
        <v>416</v>
      </c>
      <c r="G11510" s="504" t="s">
        <v>3368</v>
      </c>
      <c r="H11510" s="504" t="s">
        <v>13782</v>
      </c>
      <c r="I11510" s="504">
        <v>28</v>
      </c>
      <c r="J11510" s="504">
        <v>0</v>
      </c>
      <c r="K11510" s="504">
        <v>0</v>
      </c>
      <c r="L11510" s="504">
        <v>28</v>
      </c>
      <c r="M11510" s="504">
        <v>0</v>
      </c>
      <c r="N11510" s="504">
        <v>0</v>
      </c>
      <c r="O11510" s="505">
        <v>0</v>
      </c>
    </row>
    <row r="11511" spans="1:15" x14ac:dyDescent="0.35">
      <c r="A11511" s="500" t="s">
        <v>1260</v>
      </c>
      <c r="B11511" s="501">
        <v>4645</v>
      </c>
      <c r="C11511" s="501" t="s">
        <v>1089</v>
      </c>
      <c r="D11511" s="501" t="s">
        <v>3392</v>
      </c>
      <c r="E11511" s="501" t="s">
        <v>3381</v>
      </c>
      <c r="F11511" s="501" t="s">
        <v>419</v>
      </c>
      <c r="G11511" s="501" t="s">
        <v>3368</v>
      </c>
      <c r="H11511" s="501" t="s">
        <v>13781</v>
      </c>
      <c r="I11511" s="501">
        <v>43</v>
      </c>
      <c r="J11511" s="501">
        <v>0</v>
      </c>
      <c r="K11511" s="501">
        <v>0</v>
      </c>
      <c r="L11511" s="501">
        <v>43</v>
      </c>
      <c r="M11511" s="501">
        <v>0</v>
      </c>
      <c r="N11511" s="501">
        <v>0</v>
      </c>
      <c r="O11511" s="506">
        <v>0</v>
      </c>
    </row>
    <row r="11512" spans="1:15" x14ac:dyDescent="0.35">
      <c r="A11512" s="503" t="s">
        <v>1260</v>
      </c>
      <c r="B11512" s="504">
        <v>4645</v>
      </c>
      <c r="C11512" s="504" t="s">
        <v>1089</v>
      </c>
      <c r="D11512" s="504" t="s">
        <v>3392</v>
      </c>
      <c r="E11512" s="504" t="s">
        <v>3381</v>
      </c>
      <c r="F11512" s="504" t="s">
        <v>414</v>
      </c>
      <c r="G11512" s="504" t="s">
        <v>3368</v>
      </c>
      <c r="H11512" s="504" t="s">
        <v>13779</v>
      </c>
      <c r="I11512" s="504">
        <v>78</v>
      </c>
      <c r="J11512" s="504">
        <v>0</v>
      </c>
      <c r="K11512" s="504">
        <v>0</v>
      </c>
      <c r="L11512" s="504">
        <v>78</v>
      </c>
      <c r="M11512" s="504">
        <v>0</v>
      </c>
      <c r="N11512" s="504">
        <v>0</v>
      </c>
      <c r="O11512" s="505">
        <v>0</v>
      </c>
    </row>
    <row r="11513" spans="1:15" x14ac:dyDescent="0.35">
      <c r="A11513" s="500" t="s">
        <v>1260</v>
      </c>
      <c r="B11513" s="501">
        <v>4645</v>
      </c>
      <c r="C11513" s="501" t="s">
        <v>1089</v>
      </c>
      <c r="D11513" s="501" t="s">
        <v>3392</v>
      </c>
      <c r="E11513" s="501" t="s">
        <v>3381</v>
      </c>
      <c r="F11513" s="501" t="s">
        <v>418</v>
      </c>
      <c r="G11513" s="501" t="s">
        <v>3368</v>
      </c>
      <c r="H11513" s="501" t="s">
        <v>13780</v>
      </c>
      <c r="I11513" s="501">
        <v>67</v>
      </c>
      <c r="J11513" s="501">
        <v>0</v>
      </c>
      <c r="K11513" s="501">
        <v>0</v>
      </c>
      <c r="L11513" s="501">
        <v>67</v>
      </c>
      <c r="M11513" s="501">
        <v>0</v>
      </c>
      <c r="N11513" s="501">
        <v>0</v>
      </c>
      <c r="O11513" s="506">
        <v>0</v>
      </c>
    </row>
    <row r="11514" spans="1:15" x14ac:dyDescent="0.35">
      <c r="A11514" s="503" t="s">
        <v>1260</v>
      </c>
      <c r="B11514" s="504">
        <v>4645</v>
      </c>
      <c r="C11514" s="504" t="s">
        <v>1089</v>
      </c>
      <c r="D11514" s="504" t="s">
        <v>3392</v>
      </c>
      <c r="E11514" s="504" t="s">
        <v>3381</v>
      </c>
      <c r="F11514" s="504" t="s">
        <v>2</v>
      </c>
      <c r="G11514" s="504" t="s">
        <v>3368</v>
      </c>
      <c r="H11514" s="504" t="s">
        <v>13778</v>
      </c>
      <c r="I11514" s="504">
        <v>49</v>
      </c>
      <c r="J11514" s="504">
        <v>0</v>
      </c>
      <c r="K11514" s="504">
        <v>0</v>
      </c>
      <c r="L11514" s="504">
        <v>49</v>
      </c>
      <c r="M11514" s="504">
        <v>0</v>
      </c>
      <c r="N11514" s="504">
        <v>0</v>
      </c>
      <c r="O11514" s="505">
        <v>0</v>
      </c>
    </row>
    <row r="11515" spans="1:15" x14ac:dyDescent="0.35">
      <c r="A11515" s="500" t="s">
        <v>1260</v>
      </c>
      <c r="B11515" s="501">
        <v>4645</v>
      </c>
      <c r="C11515" s="501" t="s">
        <v>1089</v>
      </c>
      <c r="D11515" s="501" t="s">
        <v>3392</v>
      </c>
      <c r="E11515" s="501" t="s">
        <v>3381</v>
      </c>
      <c r="F11515" s="501" t="s">
        <v>420</v>
      </c>
      <c r="G11515" s="501" t="s">
        <v>3368</v>
      </c>
      <c r="H11515" s="501" t="s">
        <v>13784</v>
      </c>
      <c r="I11515" s="501">
        <v>260</v>
      </c>
      <c r="J11515" s="501">
        <v>0</v>
      </c>
      <c r="K11515" s="501">
        <v>0</v>
      </c>
      <c r="L11515" s="501">
        <v>260</v>
      </c>
      <c r="M11515" s="501">
        <v>0</v>
      </c>
      <c r="N11515" s="501">
        <v>0</v>
      </c>
      <c r="O11515" s="506">
        <v>0</v>
      </c>
    </row>
    <row r="11516" spans="1:15" x14ac:dyDescent="0.35">
      <c r="A11516" s="503" t="s">
        <v>1260</v>
      </c>
      <c r="B11516" s="504">
        <v>4645</v>
      </c>
      <c r="C11516" s="504" t="s">
        <v>1089</v>
      </c>
      <c r="D11516" s="504" t="s">
        <v>3392</v>
      </c>
      <c r="E11516" s="504" t="s">
        <v>3381</v>
      </c>
      <c r="F11516" s="504" t="s">
        <v>415</v>
      </c>
      <c r="G11516" s="504" t="s">
        <v>3368</v>
      </c>
      <c r="H11516" s="504" t="s">
        <v>13783</v>
      </c>
      <c r="I11516" s="504">
        <v>3</v>
      </c>
      <c r="J11516" s="504">
        <v>0</v>
      </c>
      <c r="K11516" s="504">
        <v>0</v>
      </c>
      <c r="L11516" s="504">
        <v>3</v>
      </c>
      <c r="M11516" s="504">
        <v>0</v>
      </c>
      <c r="N11516" s="504">
        <v>0</v>
      </c>
      <c r="O11516" s="505">
        <v>0</v>
      </c>
    </row>
    <row r="11517" spans="1:15" x14ac:dyDescent="0.35">
      <c r="A11517" s="500" t="s">
        <v>1261</v>
      </c>
      <c r="B11517" s="501" t="s">
        <v>3130</v>
      </c>
      <c r="C11517" s="501" t="s">
        <v>1094</v>
      </c>
      <c r="D11517" s="501" t="s">
        <v>3380</v>
      </c>
      <c r="E11517" s="501" t="s">
        <v>3381</v>
      </c>
      <c r="F11517" s="501" t="s">
        <v>420</v>
      </c>
      <c r="G11517" s="501" t="s">
        <v>3368</v>
      </c>
      <c r="H11517" s="501" t="s">
        <v>13785</v>
      </c>
      <c r="I11517" s="501">
        <v>35</v>
      </c>
      <c r="J11517" s="501">
        <v>35</v>
      </c>
      <c r="K11517" s="501">
        <v>0</v>
      </c>
      <c r="L11517" s="501">
        <v>0</v>
      </c>
      <c r="M11517" s="501">
        <v>0</v>
      </c>
      <c r="N11517" s="501">
        <v>0</v>
      </c>
      <c r="O11517" s="506">
        <v>0</v>
      </c>
    </row>
    <row r="11518" spans="1:15" x14ac:dyDescent="0.35">
      <c r="A11518" s="503" t="s">
        <v>1261</v>
      </c>
      <c r="B11518" s="504" t="s">
        <v>3130</v>
      </c>
      <c r="C11518" s="504" t="s">
        <v>1094</v>
      </c>
      <c r="D11518" s="504" t="s">
        <v>3380</v>
      </c>
      <c r="E11518" s="504" t="s">
        <v>3381</v>
      </c>
      <c r="F11518" s="504" t="s">
        <v>414</v>
      </c>
      <c r="G11518" s="504" t="s">
        <v>3368</v>
      </c>
      <c r="H11518" s="504" t="s">
        <v>13786</v>
      </c>
      <c r="I11518" s="504">
        <v>1503</v>
      </c>
      <c r="J11518" s="504">
        <v>1221</v>
      </c>
      <c r="K11518" s="504">
        <v>0</v>
      </c>
      <c r="L11518" s="504">
        <v>102</v>
      </c>
      <c r="M11518" s="504">
        <v>92</v>
      </c>
      <c r="N11518" s="504">
        <v>28</v>
      </c>
      <c r="O11518" s="505">
        <v>88</v>
      </c>
    </row>
    <row r="11519" spans="1:15" x14ac:dyDescent="0.35">
      <c r="A11519" s="500" t="s">
        <v>1371</v>
      </c>
      <c r="B11519" s="501" t="s">
        <v>2891</v>
      </c>
      <c r="C11519" s="501" t="s">
        <v>1089</v>
      </c>
      <c r="D11519" s="501" t="s">
        <v>3392</v>
      </c>
      <c r="E11519" s="501" t="s">
        <v>3381</v>
      </c>
      <c r="F11519" s="501" t="s">
        <v>416</v>
      </c>
      <c r="G11519" s="501" t="s">
        <v>3368</v>
      </c>
      <c r="H11519" s="501" t="s">
        <v>13789</v>
      </c>
      <c r="I11519" s="501">
        <v>26</v>
      </c>
      <c r="J11519" s="501">
        <v>0</v>
      </c>
      <c r="K11519" s="501">
        <v>0</v>
      </c>
      <c r="L11519" s="501">
        <v>26</v>
      </c>
      <c r="M11519" s="501">
        <v>0</v>
      </c>
      <c r="N11519" s="501">
        <v>0</v>
      </c>
      <c r="O11519" s="506">
        <v>0</v>
      </c>
    </row>
    <row r="11520" spans="1:15" x14ac:dyDescent="0.35">
      <c r="A11520" s="503" t="s">
        <v>1371</v>
      </c>
      <c r="B11520" s="504" t="s">
        <v>2891</v>
      </c>
      <c r="C11520" s="504" t="s">
        <v>1089</v>
      </c>
      <c r="D11520" s="504" t="s">
        <v>3392</v>
      </c>
      <c r="E11520" s="504" t="s">
        <v>3381</v>
      </c>
      <c r="F11520" s="504" t="s">
        <v>419</v>
      </c>
      <c r="G11520" s="504" t="s">
        <v>3368</v>
      </c>
      <c r="H11520" s="504" t="s">
        <v>13791</v>
      </c>
      <c r="I11520" s="504">
        <v>10</v>
      </c>
      <c r="J11520" s="504">
        <v>0</v>
      </c>
      <c r="K11520" s="504">
        <v>0</v>
      </c>
      <c r="L11520" s="504">
        <v>10</v>
      </c>
      <c r="M11520" s="504">
        <v>0</v>
      </c>
      <c r="N11520" s="504">
        <v>0</v>
      </c>
      <c r="O11520" s="505">
        <v>0</v>
      </c>
    </row>
    <row r="11521" spans="1:15" x14ac:dyDescent="0.35">
      <c r="A11521" s="500" t="s">
        <v>1371</v>
      </c>
      <c r="B11521" s="501" t="s">
        <v>2891</v>
      </c>
      <c r="C11521" s="501" t="s">
        <v>1089</v>
      </c>
      <c r="D11521" s="501" t="s">
        <v>3392</v>
      </c>
      <c r="E11521" s="501" t="s">
        <v>3381</v>
      </c>
      <c r="F11521" s="501" t="s">
        <v>417</v>
      </c>
      <c r="G11521" s="501" t="s">
        <v>3368</v>
      </c>
      <c r="H11521" s="501" t="s">
        <v>13793</v>
      </c>
      <c r="I11521" s="501">
        <v>9</v>
      </c>
      <c r="J11521" s="501">
        <v>0</v>
      </c>
      <c r="K11521" s="501">
        <v>0</v>
      </c>
      <c r="L11521" s="501">
        <v>9</v>
      </c>
      <c r="M11521" s="501">
        <v>0</v>
      </c>
      <c r="N11521" s="501">
        <v>0</v>
      </c>
      <c r="O11521" s="506">
        <v>0</v>
      </c>
    </row>
    <row r="11522" spans="1:15" x14ac:dyDescent="0.35">
      <c r="A11522" s="503" t="s">
        <v>1371</v>
      </c>
      <c r="B11522" s="504" t="s">
        <v>2891</v>
      </c>
      <c r="C11522" s="504" t="s">
        <v>1089</v>
      </c>
      <c r="D11522" s="504" t="s">
        <v>3392</v>
      </c>
      <c r="E11522" s="504" t="s">
        <v>3381</v>
      </c>
      <c r="F11522" s="504" t="s">
        <v>2</v>
      </c>
      <c r="G11522" s="504" t="s">
        <v>3368</v>
      </c>
      <c r="H11522" s="504" t="s">
        <v>13790</v>
      </c>
      <c r="I11522" s="504">
        <v>2</v>
      </c>
      <c r="J11522" s="504">
        <v>0</v>
      </c>
      <c r="K11522" s="504">
        <v>0</v>
      </c>
      <c r="L11522" s="504">
        <v>2</v>
      </c>
      <c r="M11522" s="504">
        <v>0</v>
      </c>
      <c r="N11522" s="504">
        <v>0</v>
      </c>
      <c r="O11522" s="505">
        <v>0</v>
      </c>
    </row>
    <row r="11523" spans="1:15" x14ac:dyDescent="0.35">
      <c r="A11523" s="500" t="s">
        <v>1371</v>
      </c>
      <c r="B11523" s="501" t="s">
        <v>2891</v>
      </c>
      <c r="C11523" s="501" t="s">
        <v>1089</v>
      </c>
      <c r="D11523" s="501" t="s">
        <v>3392</v>
      </c>
      <c r="E11523" s="501" t="s">
        <v>3381</v>
      </c>
      <c r="F11523" s="501" t="s">
        <v>418</v>
      </c>
      <c r="G11523" s="501" t="s">
        <v>3368</v>
      </c>
      <c r="H11523" s="501" t="s">
        <v>13792</v>
      </c>
      <c r="I11523" s="501">
        <v>27</v>
      </c>
      <c r="J11523" s="501">
        <v>0</v>
      </c>
      <c r="K11523" s="501">
        <v>0</v>
      </c>
      <c r="L11523" s="501">
        <v>27</v>
      </c>
      <c r="M11523" s="501">
        <v>0</v>
      </c>
      <c r="N11523" s="501">
        <v>0</v>
      </c>
      <c r="O11523" s="506">
        <v>0</v>
      </c>
    </row>
    <row r="11524" spans="1:15" x14ac:dyDescent="0.35">
      <c r="A11524" s="503" t="s">
        <v>1371</v>
      </c>
      <c r="B11524" s="504" t="s">
        <v>2891</v>
      </c>
      <c r="C11524" s="504" t="s">
        <v>1089</v>
      </c>
      <c r="D11524" s="504" t="s">
        <v>3392</v>
      </c>
      <c r="E11524" s="504" t="s">
        <v>3381</v>
      </c>
      <c r="F11524" s="504" t="s">
        <v>420</v>
      </c>
      <c r="G11524" s="504" t="s">
        <v>3368</v>
      </c>
      <c r="H11524" s="504" t="s">
        <v>13787</v>
      </c>
      <c r="I11524" s="504">
        <v>2</v>
      </c>
      <c r="J11524" s="504">
        <v>0</v>
      </c>
      <c r="K11524" s="504">
        <v>0</v>
      </c>
      <c r="L11524" s="504">
        <v>2</v>
      </c>
      <c r="M11524" s="504">
        <v>0</v>
      </c>
      <c r="N11524" s="504">
        <v>0</v>
      </c>
      <c r="O11524" s="505">
        <v>0</v>
      </c>
    </row>
    <row r="11525" spans="1:15" x14ac:dyDescent="0.35">
      <c r="A11525" s="500" t="s">
        <v>1371</v>
      </c>
      <c r="B11525" s="501" t="s">
        <v>2891</v>
      </c>
      <c r="C11525" s="501" t="s">
        <v>1089</v>
      </c>
      <c r="D11525" s="501" t="s">
        <v>3392</v>
      </c>
      <c r="E11525" s="501" t="s">
        <v>3381</v>
      </c>
      <c r="F11525" s="501" t="s">
        <v>415</v>
      </c>
      <c r="G11525" s="501" t="s">
        <v>3368</v>
      </c>
      <c r="H11525" s="501" t="s">
        <v>13788</v>
      </c>
      <c r="I11525" s="501">
        <v>14</v>
      </c>
      <c r="J11525" s="501">
        <v>0</v>
      </c>
      <c r="K11525" s="501">
        <v>0</v>
      </c>
      <c r="L11525" s="501">
        <v>14</v>
      </c>
      <c r="M11525" s="501">
        <v>0</v>
      </c>
      <c r="N11525" s="501">
        <v>0</v>
      </c>
      <c r="O11525" s="506">
        <v>0</v>
      </c>
    </row>
    <row r="11526" spans="1:15" x14ac:dyDescent="0.35">
      <c r="A11526" s="503" t="s">
        <v>14375</v>
      </c>
      <c r="B11526" s="504" t="s">
        <v>14374</v>
      </c>
      <c r="C11526" s="504" t="s">
        <v>1089</v>
      </c>
      <c r="D11526" s="504" t="s">
        <v>3392</v>
      </c>
      <c r="E11526" s="504" t="s">
        <v>3381</v>
      </c>
      <c r="F11526" s="504" t="s">
        <v>2</v>
      </c>
      <c r="G11526" s="504" t="s">
        <v>3368</v>
      </c>
      <c r="H11526" s="504" t="s">
        <v>15442</v>
      </c>
      <c r="I11526" s="504">
        <v>67</v>
      </c>
      <c r="J11526" s="504">
        <v>12</v>
      </c>
      <c r="K11526" s="504">
        <v>55</v>
      </c>
      <c r="L11526" s="504">
        <v>0</v>
      </c>
      <c r="M11526" s="504">
        <v>0</v>
      </c>
      <c r="N11526" s="504">
        <v>0</v>
      </c>
      <c r="O11526" s="505">
        <v>0</v>
      </c>
    </row>
    <row r="11527" spans="1:15" x14ac:dyDescent="0.35">
      <c r="A11527" s="500" t="s">
        <v>2047</v>
      </c>
      <c r="B11527" s="501" t="s">
        <v>3187</v>
      </c>
      <c r="C11527" s="501" t="s">
        <v>1094</v>
      </c>
      <c r="D11527" s="501" t="s">
        <v>3380</v>
      </c>
      <c r="E11527" s="501" t="s">
        <v>3381</v>
      </c>
      <c r="F11527" s="501" t="s">
        <v>419</v>
      </c>
      <c r="G11527" s="501" t="s">
        <v>3368</v>
      </c>
      <c r="H11527" s="501" t="s">
        <v>13794</v>
      </c>
      <c r="I11527" s="501">
        <v>4278</v>
      </c>
      <c r="J11527" s="501">
        <v>3445</v>
      </c>
      <c r="K11527" s="501">
        <v>0</v>
      </c>
      <c r="L11527" s="501">
        <v>0</v>
      </c>
      <c r="M11527" s="501">
        <v>595</v>
      </c>
      <c r="N11527" s="501">
        <v>0</v>
      </c>
      <c r="O11527" s="506">
        <v>238</v>
      </c>
    </row>
    <row r="11528" spans="1:15" x14ac:dyDescent="0.35">
      <c r="A11528" s="503" t="s">
        <v>2047</v>
      </c>
      <c r="B11528" s="504" t="s">
        <v>3187</v>
      </c>
      <c r="C11528" s="504" t="s">
        <v>1094</v>
      </c>
      <c r="D11528" s="504" t="s">
        <v>3380</v>
      </c>
      <c r="E11528" s="504" t="s">
        <v>3381</v>
      </c>
      <c r="F11528" s="504" t="s">
        <v>420</v>
      </c>
      <c r="G11528" s="504" t="s">
        <v>3368</v>
      </c>
      <c r="H11528" s="504" t="s">
        <v>13795</v>
      </c>
      <c r="I11528" s="504">
        <v>33</v>
      </c>
      <c r="J11528" s="504">
        <v>21</v>
      </c>
      <c r="K11528" s="504">
        <v>0</v>
      </c>
      <c r="L11528" s="504">
        <v>0</v>
      </c>
      <c r="M11528" s="504">
        <v>0</v>
      </c>
      <c r="N11528" s="504">
        <v>0</v>
      </c>
      <c r="O11528" s="505">
        <v>12</v>
      </c>
    </row>
    <row r="11529" spans="1:15" x14ac:dyDescent="0.35">
      <c r="A11529" s="500" t="s">
        <v>1930</v>
      </c>
      <c r="B11529" s="501" t="s">
        <v>3313</v>
      </c>
      <c r="C11529" s="501" t="s">
        <v>1089</v>
      </c>
      <c r="D11529" s="501" t="s">
        <v>3392</v>
      </c>
      <c r="E11529" s="501" t="s">
        <v>3381</v>
      </c>
      <c r="F11529" s="501" t="s">
        <v>2</v>
      </c>
      <c r="G11529" s="501" t="s">
        <v>3368</v>
      </c>
      <c r="H11529" s="501" t="s">
        <v>13796</v>
      </c>
      <c r="I11529" s="501">
        <v>630</v>
      </c>
      <c r="J11529" s="501">
        <v>0</v>
      </c>
      <c r="K11529" s="501">
        <v>0</v>
      </c>
      <c r="L11529" s="501">
        <v>630</v>
      </c>
      <c r="M11529" s="501">
        <v>0</v>
      </c>
      <c r="N11529" s="501">
        <v>0</v>
      </c>
      <c r="O11529" s="506">
        <v>0</v>
      </c>
    </row>
    <row r="11530" spans="1:15" x14ac:dyDescent="0.35">
      <c r="A11530" s="503" t="s">
        <v>1661</v>
      </c>
      <c r="B11530" s="504" t="s">
        <v>3345</v>
      </c>
      <c r="C11530" s="504" t="s">
        <v>1089</v>
      </c>
      <c r="D11530" s="504" t="s">
        <v>3392</v>
      </c>
      <c r="E11530" s="504" t="s">
        <v>3381</v>
      </c>
      <c r="F11530" s="504" t="s">
        <v>417</v>
      </c>
      <c r="G11530" s="504" t="s">
        <v>3368</v>
      </c>
      <c r="H11530" s="504" t="s">
        <v>13797</v>
      </c>
      <c r="I11530" s="504">
        <v>342</v>
      </c>
      <c r="J11530" s="504">
        <v>17</v>
      </c>
      <c r="K11530" s="504">
        <v>0</v>
      </c>
      <c r="L11530" s="504">
        <v>325</v>
      </c>
      <c r="M11530" s="504">
        <v>0</v>
      </c>
      <c r="N11530" s="504">
        <v>0</v>
      </c>
      <c r="O11530" s="505">
        <v>0</v>
      </c>
    </row>
    <row r="11531" spans="1:15" x14ac:dyDescent="0.35">
      <c r="A11531" s="500" t="s">
        <v>1662</v>
      </c>
      <c r="B11531" s="501" t="s">
        <v>2600</v>
      </c>
      <c r="C11531" s="501" t="s">
        <v>1089</v>
      </c>
      <c r="D11531" s="501" t="s">
        <v>3392</v>
      </c>
      <c r="E11531" s="501" t="s">
        <v>3381</v>
      </c>
      <c r="F11531" s="501" t="s">
        <v>417</v>
      </c>
      <c r="G11531" s="501" t="s">
        <v>3368</v>
      </c>
      <c r="H11531" s="501" t="s">
        <v>13798</v>
      </c>
      <c r="I11531" s="501">
        <v>30</v>
      </c>
      <c r="J11531" s="501">
        <v>30</v>
      </c>
      <c r="K11531" s="501">
        <v>0</v>
      </c>
      <c r="L11531" s="501">
        <v>0</v>
      </c>
      <c r="M11531" s="501">
        <v>0</v>
      </c>
      <c r="N11531" s="501">
        <v>0</v>
      </c>
      <c r="O11531" s="506">
        <v>0</v>
      </c>
    </row>
    <row r="11532" spans="1:15" x14ac:dyDescent="0.35">
      <c r="A11532" s="503" t="s">
        <v>2048</v>
      </c>
      <c r="B11532" s="504">
        <v>4861</v>
      </c>
      <c r="C11532" s="504" t="s">
        <v>1089</v>
      </c>
      <c r="D11532" s="504" t="s">
        <v>3392</v>
      </c>
      <c r="E11532" s="504" t="s">
        <v>3381</v>
      </c>
      <c r="F11532" s="504" t="s">
        <v>419</v>
      </c>
      <c r="G11532" s="504" t="s">
        <v>3368</v>
      </c>
      <c r="H11532" s="504" t="s">
        <v>13799</v>
      </c>
      <c r="I11532" s="504">
        <v>4</v>
      </c>
      <c r="J11532" s="504">
        <v>4</v>
      </c>
      <c r="K11532" s="504">
        <v>0</v>
      </c>
      <c r="L11532" s="504">
        <v>0</v>
      </c>
      <c r="M11532" s="504">
        <v>0</v>
      </c>
      <c r="N11532" s="504">
        <v>0</v>
      </c>
      <c r="O11532" s="505">
        <v>0</v>
      </c>
    </row>
    <row r="11533" spans="1:15" x14ac:dyDescent="0.35">
      <c r="A11533" s="500" t="s">
        <v>11420</v>
      </c>
      <c r="B11533" s="501" t="s">
        <v>2983</v>
      </c>
      <c r="C11533" s="501" t="s">
        <v>1089</v>
      </c>
      <c r="D11533" s="501" t="s">
        <v>3392</v>
      </c>
      <c r="E11533" s="501" t="s">
        <v>3381</v>
      </c>
      <c r="F11533" s="501" t="s">
        <v>2</v>
      </c>
      <c r="G11533" s="501" t="s">
        <v>3368</v>
      </c>
      <c r="H11533" s="501" t="s">
        <v>13800</v>
      </c>
      <c r="I11533" s="501">
        <v>17</v>
      </c>
      <c r="J11533" s="501">
        <v>0</v>
      </c>
      <c r="K11533" s="501">
        <v>0</v>
      </c>
      <c r="L11533" s="501">
        <v>0</v>
      </c>
      <c r="M11533" s="501">
        <v>17</v>
      </c>
      <c r="N11533" s="501">
        <v>0</v>
      </c>
      <c r="O11533" s="506">
        <v>0</v>
      </c>
    </row>
    <row r="11534" spans="1:15" x14ac:dyDescent="0.35">
      <c r="A11534" s="503" t="s">
        <v>2186</v>
      </c>
      <c r="B11534" s="504" t="s">
        <v>3301</v>
      </c>
      <c r="C11534" s="504" t="s">
        <v>1094</v>
      </c>
      <c r="D11534" s="504" t="s">
        <v>3380</v>
      </c>
      <c r="E11534" s="504" t="s">
        <v>3381</v>
      </c>
      <c r="F11534" s="504" t="s">
        <v>1048</v>
      </c>
      <c r="G11534" s="504" t="s">
        <v>3368</v>
      </c>
      <c r="H11534" s="504" t="s">
        <v>14082</v>
      </c>
      <c r="I11534" s="504">
        <v>1367</v>
      </c>
      <c r="J11534" s="504">
        <v>1289</v>
      </c>
      <c r="K11534" s="504">
        <v>0</v>
      </c>
      <c r="L11534" s="504">
        <v>17</v>
      </c>
      <c r="M11534" s="504">
        <v>0</v>
      </c>
      <c r="N11534" s="504">
        <v>0</v>
      </c>
      <c r="O11534" s="505">
        <v>61</v>
      </c>
    </row>
    <row r="11535" spans="1:15" x14ac:dyDescent="0.35">
      <c r="A11535" s="500" t="s">
        <v>1372</v>
      </c>
      <c r="B11535" s="501">
        <v>4867</v>
      </c>
      <c r="C11535" s="501" t="s">
        <v>1089</v>
      </c>
      <c r="D11535" s="501" t="s">
        <v>3392</v>
      </c>
      <c r="E11535" s="501" t="s">
        <v>3381</v>
      </c>
      <c r="F11535" s="501" t="s">
        <v>415</v>
      </c>
      <c r="G11535" s="501" t="s">
        <v>3368</v>
      </c>
      <c r="H11535" s="501" t="s">
        <v>13801</v>
      </c>
      <c r="I11535" s="501">
        <v>10</v>
      </c>
      <c r="J11535" s="501">
        <v>10</v>
      </c>
      <c r="K11535" s="501">
        <v>0</v>
      </c>
      <c r="L11535" s="501">
        <v>0</v>
      </c>
      <c r="M11535" s="501">
        <v>0</v>
      </c>
      <c r="N11535" s="501">
        <v>0</v>
      </c>
      <c r="O11535" s="506">
        <v>0</v>
      </c>
    </row>
    <row r="11536" spans="1:15" x14ac:dyDescent="0.35">
      <c r="A11536" s="503" t="s">
        <v>1931</v>
      </c>
      <c r="B11536" s="504" t="s">
        <v>3030</v>
      </c>
      <c r="C11536" s="504" t="s">
        <v>1089</v>
      </c>
      <c r="D11536" s="504" t="s">
        <v>3392</v>
      </c>
      <c r="E11536" s="504" t="s">
        <v>3381</v>
      </c>
      <c r="F11536" s="504" t="s">
        <v>2</v>
      </c>
      <c r="G11536" s="504" t="s">
        <v>3368</v>
      </c>
      <c r="H11536" s="504" t="s">
        <v>13802</v>
      </c>
      <c r="I11536" s="504">
        <v>421</v>
      </c>
      <c r="J11536" s="504">
        <v>411</v>
      </c>
      <c r="K11536" s="504">
        <v>0</v>
      </c>
      <c r="L11536" s="504">
        <v>10</v>
      </c>
      <c r="M11536" s="504">
        <v>0</v>
      </c>
      <c r="N11536" s="504">
        <v>0</v>
      </c>
      <c r="O11536" s="505">
        <v>0</v>
      </c>
    </row>
    <row r="11537" spans="1:15" x14ac:dyDescent="0.35">
      <c r="A11537" s="500" t="s">
        <v>1583</v>
      </c>
      <c r="B11537" s="501" t="s">
        <v>3256</v>
      </c>
      <c r="C11537" s="501" t="s">
        <v>1089</v>
      </c>
      <c r="D11537" s="501" t="s">
        <v>3392</v>
      </c>
      <c r="E11537" s="501" t="s">
        <v>3381</v>
      </c>
      <c r="F11537" s="501" t="s">
        <v>416</v>
      </c>
      <c r="G11537" s="501" t="s">
        <v>3368</v>
      </c>
      <c r="H11537" s="501" t="s">
        <v>13803</v>
      </c>
      <c r="I11537" s="501">
        <v>66</v>
      </c>
      <c r="J11537" s="501">
        <v>0</v>
      </c>
      <c r="K11537" s="501">
        <v>66</v>
      </c>
      <c r="L11537" s="501">
        <v>0</v>
      </c>
      <c r="M11537" s="501">
        <v>0</v>
      </c>
      <c r="N11537" s="501">
        <v>0</v>
      </c>
      <c r="O11537" s="506">
        <v>0</v>
      </c>
    </row>
    <row r="11538" spans="1:15" x14ac:dyDescent="0.35">
      <c r="A11538" s="503" t="s">
        <v>14377</v>
      </c>
      <c r="B11538" s="504" t="s">
        <v>14376</v>
      </c>
      <c r="C11538" s="504" t="s">
        <v>1089</v>
      </c>
      <c r="D11538" s="504" t="s">
        <v>3392</v>
      </c>
      <c r="E11538" s="504" t="s">
        <v>3381</v>
      </c>
      <c r="F11538" s="504" t="s">
        <v>417</v>
      </c>
      <c r="G11538" s="504" t="s">
        <v>3368</v>
      </c>
      <c r="H11538" s="504" t="s">
        <v>15443</v>
      </c>
      <c r="I11538" s="504">
        <v>26</v>
      </c>
      <c r="J11538" s="504">
        <v>0</v>
      </c>
      <c r="K11538" s="504">
        <v>0</v>
      </c>
      <c r="L11538" s="504">
        <v>0</v>
      </c>
      <c r="M11538" s="504">
        <v>26</v>
      </c>
      <c r="N11538" s="504">
        <v>0</v>
      </c>
      <c r="O11538" s="505">
        <v>0</v>
      </c>
    </row>
    <row r="11539" spans="1:15" x14ac:dyDescent="0.35">
      <c r="A11539" s="500" t="s">
        <v>2126</v>
      </c>
      <c r="B11539" s="501" t="s">
        <v>2678</v>
      </c>
      <c r="C11539" s="501" t="s">
        <v>1089</v>
      </c>
      <c r="D11539" s="501" t="s">
        <v>3392</v>
      </c>
      <c r="E11539" s="501" t="s">
        <v>3381</v>
      </c>
      <c r="F11539" s="501" t="s">
        <v>420</v>
      </c>
      <c r="G11539" s="501" t="s">
        <v>3368</v>
      </c>
      <c r="H11539" s="501" t="s">
        <v>13804</v>
      </c>
      <c r="I11539" s="501">
        <v>136</v>
      </c>
      <c r="J11539" s="501">
        <v>136</v>
      </c>
      <c r="K11539" s="501">
        <v>0</v>
      </c>
      <c r="L11539" s="501">
        <v>0</v>
      </c>
      <c r="M11539" s="501">
        <v>0</v>
      </c>
      <c r="N11539" s="501">
        <v>0</v>
      </c>
      <c r="O11539" s="506">
        <v>0</v>
      </c>
    </row>
    <row r="11540" spans="1:15" x14ac:dyDescent="0.35">
      <c r="A11540" s="503" t="s">
        <v>1584</v>
      </c>
      <c r="B11540" s="504" t="s">
        <v>2760</v>
      </c>
      <c r="C11540" s="504" t="s">
        <v>1089</v>
      </c>
      <c r="D11540" s="504" t="s">
        <v>3392</v>
      </c>
      <c r="E11540" s="504" t="s">
        <v>3381</v>
      </c>
      <c r="F11540" s="504" t="s">
        <v>416</v>
      </c>
      <c r="G11540" s="504" t="s">
        <v>3368</v>
      </c>
      <c r="H11540" s="504" t="s">
        <v>13805</v>
      </c>
      <c r="I11540" s="504">
        <v>50</v>
      </c>
      <c r="J11540" s="504">
        <v>50</v>
      </c>
      <c r="K11540" s="504">
        <v>0</v>
      </c>
      <c r="L11540" s="504">
        <v>0</v>
      </c>
      <c r="M11540" s="504">
        <v>0</v>
      </c>
      <c r="N11540" s="504">
        <v>0</v>
      </c>
      <c r="O11540" s="505">
        <v>0</v>
      </c>
    </row>
    <row r="11541" spans="1:15" x14ac:dyDescent="0.35">
      <c r="A11541" s="500" t="s">
        <v>1140</v>
      </c>
      <c r="B11541" s="501">
        <v>4850</v>
      </c>
      <c r="C11541" s="501" t="s">
        <v>1094</v>
      </c>
      <c r="D11541" s="501" t="s">
        <v>3380</v>
      </c>
      <c r="E11541" s="501" t="s">
        <v>3381</v>
      </c>
      <c r="F11541" s="501" t="s">
        <v>419</v>
      </c>
      <c r="G11541" s="501" t="s">
        <v>3368</v>
      </c>
      <c r="H11541" s="501" t="s">
        <v>15444</v>
      </c>
      <c r="I11541" s="501">
        <v>18</v>
      </c>
      <c r="J11541" s="501">
        <v>10</v>
      </c>
      <c r="K11541" s="501">
        <v>0</v>
      </c>
      <c r="L11541" s="501">
        <v>0</v>
      </c>
      <c r="M11541" s="501">
        <v>0</v>
      </c>
      <c r="N11541" s="501">
        <v>0</v>
      </c>
      <c r="O11541" s="506">
        <v>8</v>
      </c>
    </row>
    <row r="11542" spans="1:15" x14ac:dyDescent="0.35">
      <c r="A11542" s="503" t="s">
        <v>1140</v>
      </c>
      <c r="B11542" s="504">
        <v>4850</v>
      </c>
      <c r="C11542" s="504" t="s">
        <v>1094</v>
      </c>
      <c r="D11542" s="504" t="s">
        <v>3380</v>
      </c>
      <c r="E11542" s="504" t="s">
        <v>3381</v>
      </c>
      <c r="F11542" s="504" t="s">
        <v>2</v>
      </c>
      <c r="G11542" s="504" t="s">
        <v>3368</v>
      </c>
      <c r="H11542" s="504" t="s">
        <v>13806</v>
      </c>
      <c r="I11542" s="504">
        <v>30019</v>
      </c>
      <c r="J11542" s="504">
        <v>24629</v>
      </c>
      <c r="K11542" s="504">
        <v>0</v>
      </c>
      <c r="L11542" s="504">
        <v>272</v>
      </c>
      <c r="M11542" s="504">
        <v>1234</v>
      </c>
      <c r="N11542" s="504">
        <v>0</v>
      </c>
      <c r="O11542" s="505">
        <v>3884</v>
      </c>
    </row>
    <row r="11543" spans="1:15" x14ac:dyDescent="0.35">
      <c r="A11543" s="500" t="s">
        <v>14422</v>
      </c>
      <c r="B11543" s="501" t="s">
        <v>2448</v>
      </c>
      <c r="C11543" s="501" t="s">
        <v>1089</v>
      </c>
      <c r="D11543" s="501" t="s">
        <v>3392</v>
      </c>
      <c r="E11543" s="501" t="s">
        <v>3381</v>
      </c>
      <c r="F11543" s="501" t="s">
        <v>419</v>
      </c>
      <c r="G11543" s="501" t="s">
        <v>3368</v>
      </c>
      <c r="H11543" s="501" t="s">
        <v>15445</v>
      </c>
      <c r="I11543" s="501">
        <v>21</v>
      </c>
      <c r="J11543" s="501">
        <v>0</v>
      </c>
      <c r="K11543" s="501">
        <v>0</v>
      </c>
      <c r="L11543" s="501">
        <v>0</v>
      </c>
      <c r="M11543" s="501">
        <v>21</v>
      </c>
      <c r="N11543" s="501">
        <v>0</v>
      </c>
      <c r="O11543" s="506">
        <v>0</v>
      </c>
    </row>
    <row r="11544" spans="1:15" x14ac:dyDescent="0.35">
      <c r="A11544" s="503" t="s">
        <v>1590</v>
      </c>
      <c r="B11544" s="504" t="s">
        <v>3186</v>
      </c>
      <c r="C11544" s="504" t="s">
        <v>1094</v>
      </c>
      <c r="D11544" s="504" t="s">
        <v>3380</v>
      </c>
      <c r="E11544" s="504" t="s">
        <v>3381</v>
      </c>
      <c r="F11544" s="504" t="s">
        <v>420</v>
      </c>
      <c r="G11544" s="504" t="s">
        <v>3368</v>
      </c>
      <c r="H11544" s="504" t="s">
        <v>13808</v>
      </c>
      <c r="I11544" s="504">
        <v>1694</v>
      </c>
      <c r="J11544" s="504">
        <v>1694</v>
      </c>
      <c r="K11544" s="504">
        <v>0</v>
      </c>
      <c r="L11544" s="504">
        <v>0</v>
      </c>
      <c r="M11544" s="504">
        <v>0</v>
      </c>
      <c r="N11544" s="504">
        <v>0</v>
      </c>
      <c r="O11544" s="505">
        <v>0</v>
      </c>
    </row>
    <row r="11545" spans="1:15" x14ac:dyDescent="0.35">
      <c r="A11545" s="500" t="s">
        <v>1590</v>
      </c>
      <c r="B11545" s="501" t="s">
        <v>3186</v>
      </c>
      <c r="C11545" s="501" t="s">
        <v>1094</v>
      </c>
      <c r="D11545" s="501" t="s">
        <v>3380</v>
      </c>
      <c r="E11545" s="501" t="s">
        <v>3381</v>
      </c>
      <c r="F11545" s="501" t="s">
        <v>416</v>
      </c>
      <c r="G11545" s="501" t="s">
        <v>3368</v>
      </c>
      <c r="H11545" s="501" t="s">
        <v>13807</v>
      </c>
      <c r="I11545" s="501">
        <v>928</v>
      </c>
      <c r="J11545" s="501">
        <v>842</v>
      </c>
      <c r="K11545" s="501">
        <v>0</v>
      </c>
      <c r="L11545" s="501">
        <v>0</v>
      </c>
      <c r="M11545" s="501">
        <v>86</v>
      </c>
      <c r="N11545" s="501">
        <v>0</v>
      </c>
      <c r="O11545" s="506">
        <v>0</v>
      </c>
    </row>
    <row r="11546" spans="1:15" x14ac:dyDescent="0.35">
      <c r="A11546" s="503" t="s">
        <v>1781</v>
      </c>
      <c r="B11546" s="504" t="s">
        <v>2587</v>
      </c>
      <c r="C11546" s="504" t="s">
        <v>1089</v>
      </c>
      <c r="D11546" s="504" t="s">
        <v>3392</v>
      </c>
      <c r="E11546" s="504" t="s">
        <v>3381</v>
      </c>
      <c r="F11546" s="504" t="s">
        <v>418</v>
      </c>
      <c r="G11546" s="504" t="s">
        <v>3368</v>
      </c>
      <c r="H11546" s="504" t="s">
        <v>13809</v>
      </c>
      <c r="I11546" s="504">
        <v>24</v>
      </c>
      <c r="J11546" s="504">
        <v>0</v>
      </c>
      <c r="K11546" s="504">
        <v>0</v>
      </c>
      <c r="L11546" s="504">
        <v>0</v>
      </c>
      <c r="M11546" s="504">
        <v>24</v>
      </c>
      <c r="N11546" s="504">
        <v>0</v>
      </c>
      <c r="O11546" s="505">
        <v>0</v>
      </c>
    </row>
    <row r="11547" spans="1:15" x14ac:dyDescent="0.35">
      <c r="A11547" s="500" t="s">
        <v>2187</v>
      </c>
      <c r="B11547" s="501" t="s">
        <v>3193</v>
      </c>
      <c r="C11547" s="501" t="s">
        <v>1094</v>
      </c>
      <c r="D11547" s="501" t="s">
        <v>3380</v>
      </c>
      <c r="E11547" s="501" t="s">
        <v>3381</v>
      </c>
      <c r="F11547" s="501" t="s">
        <v>1048</v>
      </c>
      <c r="G11547" s="501" t="s">
        <v>3368</v>
      </c>
      <c r="H11547" s="501" t="s">
        <v>14083</v>
      </c>
      <c r="I11547" s="501">
        <v>31744</v>
      </c>
      <c r="J11547" s="501">
        <v>29403</v>
      </c>
      <c r="K11547" s="501">
        <v>0</v>
      </c>
      <c r="L11547" s="501">
        <v>1572</v>
      </c>
      <c r="M11547" s="501">
        <v>0</v>
      </c>
      <c r="N11547" s="501">
        <v>0</v>
      </c>
      <c r="O11547" s="506">
        <v>769</v>
      </c>
    </row>
    <row r="11548" spans="1:15" x14ac:dyDescent="0.35">
      <c r="A11548" s="503" t="s">
        <v>2188</v>
      </c>
      <c r="B11548" s="504" t="s">
        <v>2550</v>
      </c>
      <c r="C11548" s="504" t="s">
        <v>1089</v>
      </c>
      <c r="D11548" s="504" t="s">
        <v>3392</v>
      </c>
      <c r="E11548" s="504" t="s">
        <v>3381</v>
      </c>
      <c r="F11548" s="504" t="s">
        <v>1048</v>
      </c>
      <c r="G11548" s="504" t="s">
        <v>3368</v>
      </c>
      <c r="H11548" s="504" t="s">
        <v>14084</v>
      </c>
      <c r="I11548" s="504">
        <v>31</v>
      </c>
      <c r="J11548" s="504">
        <v>0</v>
      </c>
      <c r="K11548" s="504">
        <v>0</v>
      </c>
      <c r="L11548" s="504">
        <v>0</v>
      </c>
      <c r="M11548" s="504">
        <v>31</v>
      </c>
      <c r="N11548" s="504">
        <v>0</v>
      </c>
      <c r="O11548" s="505">
        <v>0</v>
      </c>
    </row>
    <row r="11549" spans="1:15" x14ac:dyDescent="0.35">
      <c r="A11549" s="500" t="s">
        <v>2127</v>
      </c>
      <c r="B11549" s="501" t="s">
        <v>3188</v>
      </c>
      <c r="C11549" s="501" t="s">
        <v>1094</v>
      </c>
      <c r="D11549" s="501" t="s">
        <v>3380</v>
      </c>
      <c r="E11549" s="501" t="s">
        <v>3381</v>
      </c>
      <c r="F11549" s="501" t="s">
        <v>420</v>
      </c>
      <c r="G11549" s="501" t="s">
        <v>3368</v>
      </c>
      <c r="H11549" s="501" t="s">
        <v>13810</v>
      </c>
      <c r="I11549" s="501">
        <v>21185</v>
      </c>
      <c r="J11549" s="501">
        <v>20265</v>
      </c>
      <c r="K11549" s="501">
        <v>0</v>
      </c>
      <c r="L11549" s="501">
        <v>300</v>
      </c>
      <c r="M11549" s="501">
        <v>0</v>
      </c>
      <c r="N11549" s="501">
        <v>0</v>
      </c>
      <c r="O11549" s="506">
        <v>620</v>
      </c>
    </row>
    <row r="11550" spans="1:15" x14ac:dyDescent="0.35">
      <c r="A11550" s="503" t="s">
        <v>1585</v>
      </c>
      <c r="B11550" s="504" t="s">
        <v>3137</v>
      </c>
      <c r="C11550" s="504" t="s">
        <v>1089</v>
      </c>
      <c r="D11550" s="504" t="s">
        <v>3392</v>
      </c>
      <c r="E11550" s="504" t="s">
        <v>3381</v>
      </c>
      <c r="F11550" s="504" t="s">
        <v>416</v>
      </c>
      <c r="G11550" s="504" t="s">
        <v>3368</v>
      </c>
      <c r="H11550" s="504" t="s">
        <v>13811</v>
      </c>
      <c r="I11550" s="504">
        <v>501</v>
      </c>
      <c r="J11550" s="504">
        <v>501</v>
      </c>
      <c r="K11550" s="504">
        <v>0</v>
      </c>
      <c r="L11550" s="504">
        <v>0</v>
      </c>
      <c r="M11550" s="504">
        <v>0</v>
      </c>
      <c r="N11550" s="504">
        <v>0</v>
      </c>
      <c r="O11550" s="505">
        <v>0</v>
      </c>
    </row>
    <row r="11551" spans="1:15" x14ac:dyDescent="0.35">
      <c r="A11551" s="500" t="s">
        <v>1586</v>
      </c>
      <c r="B11551" s="501" t="s">
        <v>2989</v>
      </c>
      <c r="C11551" s="501" t="s">
        <v>1089</v>
      </c>
      <c r="D11551" s="501" t="s">
        <v>3392</v>
      </c>
      <c r="E11551" s="501" t="s">
        <v>3381</v>
      </c>
      <c r="F11551" s="501" t="s">
        <v>416</v>
      </c>
      <c r="G11551" s="501" t="s">
        <v>3368</v>
      </c>
      <c r="H11551" s="501" t="s">
        <v>13812</v>
      </c>
      <c r="I11551" s="501">
        <v>331</v>
      </c>
      <c r="J11551" s="501">
        <v>156</v>
      </c>
      <c r="K11551" s="501">
        <v>0</v>
      </c>
      <c r="L11551" s="501">
        <v>21</v>
      </c>
      <c r="M11551" s="501">
        <v>154</v>
      </c>
      <c r="N11551" s="501">
        <v>0</v>
      </c>
      <c r="O11551" s="506">
        <v>0</v>
      </c>
    </row>
    <row r="11552" spans="1:15" x14ac:dyDescent="0.35">
      <c r="A11552" s="503" t="s">
        <v>1932</v>
      </c>
      <c r="B11552" s="504" t="s">
        <v>2428</v>
      </c>
      <c r="C11552" s="504" t="s">
        <v>1089</v>
      </c>
      <c r="D11552" s="504" t="s">
        <v>3392</v>
      </c>
      <c r="E11552" s="504" t="s">
        <v>3381</v>
      </c>
      <c r="F11552" s="504" t="s">
        <v>2</v>
      </c>
      <c r="G11552" s="504" t="s">
        <v>3368</v>
      </c>
      <c r="H11552" s="504" t="s">
        <v>13813</v>
      </c>
      <c r="I11552" s="504">
        <v>104</v>
      </c>
      <c r="J11552" s="504">
        <v>0</v>
      </c>
      <c r="K11552" s="504">
        <v>0</v>
      </c>
      <c r="L11552" s="504">
        <v>0</v>
      </c>
      <c r="M11552" s="504">
        <v>104</v>
      </c>
      <c r="N11552" s="504">
        <v>0</v>
      </c>
      <c r="O11552" s="505">
        <v>0</v>
      </c>
    </row>
    <row r="11553" spans="1:15" x14ac:dyDescent="0.35">
      <c r="A11553" s="500" t="s">
        <v>1587</v>
      </c>
      <c r="B11553" s="501" t="s">
        <v>2978</v>
      </c>
      <c r="C11553" s="501" t="s">
        <v>1094</v>
      </c>
      <c r="D11553" s="501" t="s">
        <v>3380</v>
      </c>
      <c r="E11553" s="501" t="s">
        <v>3381</v>
      </c>
      <c r="F11553" s="501" t="s">
        <v>416</v>
      </c>
      <c r="G11553" s="501" t="s">
        <v>3368</v>
      </c>
      <c r="H11553" s="501" t="s">
        <v>13815</v>
      </c>
      <c r="I11553" s="501">
        <v>6898</v>
      </c>
      <c r="J11553" s="501">
        <v>5768</v>
      </c>
      <c r="K11553" s="501">
        <v>5</v>
      </c>
      <c r="L11553" s="501">
        <v>240</v>
      </c>
      <c r="M11553" s="501">
        <v>94</v>
      </c>
      <c r="N11553" s="501">
        <v>132</v>
      </c>
      <c r="O11553" s="506">
        <v>791</v>
      </c>
    </row>
    <row r="11554" spans="1:15" x14ac:dyDescent="0.35">
      <c r="A11554" s="503" t="s">
        <v>1587</v>
      </c>
      <c r="B11554" s="504" t="s">
        <v>2978</v>
      </c>
      <c r="C11554" s="504" t="s">
        <v>1094</v>
      </c>
      <c r="D11554" s="504" t="s">
        <v>3380</v>
      </c>
      <c r="E11554" s="504" t="s">
        <v>3381</v>
      </c>
      <c r="F11554" s="504" t="s">
        <v>2</v>
      </c>
      <c r="G11554" s="504" t="s">
        <v>3368</v>
      </c>
      <c r="H11554" s="504" t="s">
        <v>13814</v>
      </c>
      <c r="I11554" s="504">
        <v>2</v>
      </c>
      <c r="J11554" s="504">
        <v>0</v>
      </c>
      <c r="K11554" s="504">
        <v>0</v>
      </c>
      <c r="L11554" s="504">
        <v>0</v>
      </c>
      <c r="M11554" s="504">
        <v>0</v>
      </c>
      <c r="N11554" s="504">
        <v>0</v>
      </c>
      <c r="O11554" s="505">
        <v>2</v>
      </c>
    </row>
    <row r="11555" spans="1:15" x14ac:dyDescent="0.35">
      <c r="A11555" s="500" t="s">
        <v>1933</v>
      </c>
      <c r="B11555" s="501" t="s">
        <v>2958</v>
      </c>
      <c r="C11555" s="501" t="s">
        <v>1089</v>
      </c>
      <c r="D11555" s="501" t="s">
        <v>3392</v>
      </c>
      <c r="E11555" s="501" t="s">
        <v>3381</v>
      </c>
      <c r="F11555" s="501" t="s">
        <v>2</v>
      </c>
      <c r="G11555" s="501" t="s">
        <v>3368</v>
      </c>
      <c r="H11555" s="501" t="s">
        <v>13816</v>
      </c>
      <c r="I11555" s="501">
        <v>46</v>
      </c>
      <c r="J11555" s="501">
        <v>0</v>
      </c>
      <c r="K11555" s="501">
        <v>0</v>
      </c>
      <c r="L11555" s="501">
        <v>0</v>
      </c>
      <c r="M11555" s="501">
        <v>46</v>
      </c>
      <c r="N11555" s="501">
        <v>0</v>
      </c>
      <c r="O11555" s="506">
        <v>0</v>
      </c>
    </row>
    <row r="11556" spans="1:15" x14ac:dyDescent="0.35">
      <c r="A11556" s="503" t="s">
        <v>1782</v>
      </c>
      <c r="B11556" s="504" t="s">
        <v>2992</v>
      </c>
      <c r="C11556" s="504" t="s">
        <v>1094</v>
      </c>
      <c r="D11556" s="504" t="s">
        <v>3380</v>
      </c>
      <c r="E11556" s="504" t="s">
        <v>3381</v>
      </c>
      <c r="F11556" s="504" t="s">
        <v>418</v>
      </c>
      <c r="G11556" s="504" t="s">
        <v>3368</v>
      </c>
      <c r="H11556" s="504" t="s">
        <v>13817</v>
      </c>
      <c r="I11556" s="504">
        <v>1268</v>
      </c>
      <c r="J11556" s="504">
        <v>1005</v>
      </c>
      <c r="K11556" s="504">
        <v>0</v>
      </c>
      <c r="L11556" s="504">
        <v>71</v>
      </c>
      <c r="M11556" s="504">
        <v>157</v>
      </c>
      <c r="N11556" s="504">
        <v>0</v>
      </c>
      <c r="O11556" s="505">
        <v>35</v>
      </c>
    </row>
    <row r="11557" spans="1:15" x14ac:dyDescent="0.35">
      <c r="A11557" s="500" t="s">
        <v>1934</v>
      </c>
      <c r="B11557" s="501" t="s">
        <v>2816</v>
      </c>
      <c r="C11557" s="501" t="s">
        <v>1089</v>
      </c>
      <c r="D11557" s="501" t="s">
        <v>3392</v>
      </c>
      <c r="E11557" s="501" t="s">
        <v>3381</v>
      </c>
      <c r="F11557" s="501" t="s">
        <v>2</v>
      </c>
      <c r="G11557" s="501" t="s">
        <v>3368</v>
      </c>
      <c r="H11557" s="501" t="s">
        <v>13818</v>
      </c>
      <c r="I11557" s="501">
        <v>40</v>
      </c>
      <c r="J11557" s="501">
        <v>40</v>
      </c>
      <c r="K11557" s="501">
        <v>0</v>
      </c>
      <c r="L11557" s="501">
        <v>0</v>
      </c>
      <c r="M11557" s="501">
        <v>0</v>
      </c>
      <c r="N11557" s="501">
        <v>0</v>
      </c>
      <c r="O11557" s="506">
        <v>0</v>
      </c>
    </row>
    <row r="11558" spans="1:15" x14ac:dyDescent="0.35">
      <c r="A11558" s="503" t="s">
        <v>2128</v>
      </c>
      <c r="B11558" s="504" t="s">
        <v>3133</v>
      </c>
      <c r="C11558" s="504" t="s">
        <v>1089</v>
      </c>
      <c r="D11558" s="504" t="s">
        <v>3392</v>
      </c>
      <c r="E11558" s="504" t="s">
        <v>3381</v>
      </c>
      <c r="F11558" s="504" t="s">
        <v>420</v>
      </c>
      <c r="G11558" s="504" t="s">
        <v>3368</v>
      </c>
      <c r="H11558" s="504" t="s">
        <v>13819</v>
      </c>
      <c r="I11558" s="504">
        <v>484</v>
      </c>
      <c r="J11558" s="504">
        <v>484</v>
      </c>
      <c r="K11558" s="504">
        <v>0</v>
      </c>
      <c r="L11558" s="504">
        <v>0</v>
      </c>
      <c r="M11558" s="504">
        <v>0</v>
      </c>
      <c r="N11558" s="504">
        <v>0</v>
      </c>
      <c r="O11558" s="505">
        <v>0</v>
      </c>
    </row>
    <row r="11559" spans="1:15" x14ac:dyDescent="0.35">
      <c r="A11559" s="500" t="s">
        <v>1588</v>
      </c>
      <c r="B11559" s="501" t="s">
        <v>2697</v>
      </c>
      <c r="C11559" s="501" t="s">
        <v>1089</v>
      </c>
      <c r="D11559" s="501" t="s">
        <v>3392</v>
      </c>
      <c r="E11559" s="501" t="s">
        <v>3381</v>
      </c>
      <c r="F11559" s="501" t="s">
        <v>416</v>
      </c>
      <c r="G11559" s="501" t="s">
        <v>3368</v>
      </c>
      <c r="H11559" s="501" t="s">
        <v>13820</v>
      </c>
      <c r="I11559" s="501">
        <v>42</v>
      </c>
      <c r="J11559" s="501">
        <v>42</v>
      </c>
      <c r="K11559" s="501">
        <v>0</v>
      </c>
      <c r="L11559" s="501">
        <v>0</v>
      </c>
      <c r="M11559" s="501">
        <v>0</v>
      </c>
      <c r="N11559" s="501">
        <v>0</v>
      </c>
      <c r="O11559" s="506">
        <v>0</v>
      </c>
    </row>
    <row r="11560" spans="1:15" x14ac:dyDescent="0.35">
      <c r="A11560" s="503" t="s">
        <v>1589</v>
      </c>
      <c r="B11560" s="504" t="s">
        <v>2794</v>
      </c>
      <c r="C11560" s="504" t="s">
        <v>1089</v>
      </c>
      <c r="D11560" s="504" t="s">
        <v>3392</v>
      </c>
      <c r="E11560" s="504" t="s">
        <v>3381</v>
      </c>
      <c r="F11560" s="504" t="s">
        <v>416</v>
      </c>
      <c r="G11560" s="504" t="s">
        <v>3368</v>
      </c>
      <c r="H11560" s="504" t="s">
        <v>15446</v>
      </c>
      <c r="I11560" s="504">
        <v>92</v>
      </c>
      <c r="J11560" s="504">
        <v>92</v>
      </c>
      <c r="K11560" s="504">
        <v>0</v>
      </c>
      <c r="L11560" s="504">
        <v>0</v>
      </c>
      <c r="M11560" s="504">
        <v>0</v>
      </c>
      <c r="N11560" s="504">
        <v>0</v>
      </c>
      <c r="O11560" s="505">
        <v>0</v>
      </c>
    </row>
    <row r="11561" spans="1:15" x14ac:dyDescent="0.35">
      <c r="A11561" s="500" t="s">
        <v>1373</v>
      </c>
      <c r="B11561" s="501" t="s">
        <v>2432</v>
      </c>
      <c r="C11561" s="501" t="s">
        <v>1089</v>
      </c>
      <c r="D11561" s="501" t="s">
        <v>3392</v>
      </c>
      <c r="E11561" s="501" t="s">
        <v>3381</v>
      </c>
      <c r="F11561" s="501" t="s">
        <v>415</v>
      </c>
      <c r="G11561" s="501" t="s">
        <v>3368</v>
      </c>
      <c r="H11561" s="501" t="s">
        <v>13821</v>
      </c>
      <c r="I11561" s="501">
        <v>6</v>
      </c>
      <c r="J11561" s="501">
        <v>6</v>
      </c>
      <c r="K11561" s="501">
        <v>0</v>
      </c>
      <c r="L11561" s="501">
        <v>0</v>
      </c>
      <c r="M11561" s="501">
        <v>0</v>
      </c>
      <c r="N11561" s="501">
        <v>0</v>
      </c>
      <c r="O11561" s="506">
        <v>0</v>
      </c>
    </row>
    <row r="11562" spans="1:15" x14ac:dyDescent="0.35">
      <c r="A11562" s="503" t="s">
        <v>1374</v>
      </c>
      <c r="B11562" s="504" t="s">
        <v>3209</v>
      </c>
      <c r="C11562" s="504" t="s">
        <v>1094</v>
      </c>
      <c r="D11562" s="504" t="s">
        <v>3380</v>
      </c>
      <c r="E11562" s="504" t="s">
        <v>3381</v>
      </c>
      <c r="F11562" s="504" t="s">
        <v>415</v>
      </c>
      <c r="G11562" s="504" t="s">
        <v>3368</v>
      </c>
      <c r="H11562" s="504" t="s">
        <v>13822</v>
      </c>
      <c r="I11562" s="504">
        <v>5164</v>
      </c>
      <c r="J11562" s="504">
        <v>4402</v>
      </c>
      <c r="K11562" s="504">
        <v>87</v>
      </c>
      <c r="L11562" s="504">
        <v>0</v>
      </c>
      <c r="M11562" s="504">
        <v>469</v>
      </c>
      <c r="N11562" s="504">
        <v>108</v>
      </c>
      <c r="O11562" s="505">
        <v>206</v>
      </c>
    </row>
    <row r="11563" spans="1:15" x14ac:dyDescent="0.35">
      <c r="A11563" s="500" t="s">
        <v>1591</v>
      </c>
      <c r="B11563" s="501" t="s">
        <v>2686</v>
      </c>
      <c r="C11563" s="501" t="s">
        <v>1089</v>
      </c>
      <c r="D11563" s="501" t="s">
        <v>3392</v>
      </c>
      <c r="E11563" s="501" t="s">
        <v>3381</v>
      </c>
      <c r="F11563" s="501" t="s">
        <v>416</v>
      </c>
      <c r="G11563" s="501" t="s">
        <v>3368</v>
      </c>
      <c r="H11563" s="501" t="s">
        <v>13823</v>
      </c>
      <c r="I11563" s="501">
        <v>26</v>
      </c>
      <c r="J11563" s="501">
        <v>26</v>
      </c>
      <c r="K11563" s="501">
        <v>0</v>
      </c>
      <c r="L11563" s="501">
        <v>0</v>
      </c>
      <c r="M11563" s="501">
        <v>0</v>
      </c>
      <c r="N11563" s="501">
        <v>0</v>
      </c>
      <c r="O11563" s="506">
        <v>0</v>
      </c>
    </row>
    <row r="11564" spans="1:15" x14ac:dyDescent="0.35">
      <c r="A11564" s="503" t="s">
        <v>1663</v>
      </c>
      <c r="B11564" s="504" t="s">
        <v>2718</v>
      </c>
      <c r="C11564" s="504" t="s">
        <v>1089</v>
      </c>
      <c r="D11564" s="504" t="s">
        <v>3392</v>
      </c>
      <c r="E11564" s="504" t="s">
        <v>3381</v>
      </c>
      <c r="F11564" s="504" t="s">
        <v>417</v>
      </c>
      <c r="G11564" s="504" t="s">
        <v>3368</v>
      </c>
      <c r="H11564" s="504" t="s">
        <v>13824</v>
      </c>
      <c r="I11564" s="504">
        <v>67</v>
      </c>
      <c r="J11564" s="504">
        <v>67</v>
      </c>
      <c r="K11564" s="504">
        <v>0</v>
      </c>
      <c r="L11564" s="504">
        <v>0</v>
      </c>
      <c r="M11564" s="504">
        <v>0</v>
      </c>
      <c r="N11564" s="504">
        <v>0</v>
      </c>
      <c r="O11564" s="505">
        <v>0</v>
      </c>
    </row>
    <row r="11565" spans="1:15" x14ac:dyDescent="0.35">
      <c r="A11565" s="500" t="s">
        <v>1783</v>
      </c>
      <c r="B11565" s="501" t="s">
        <v>3179</v>
      </c>
      <c r="C11565" s="501" t="s">
        <v>1094</v>
      </c>
      <c r="D11565" s="501" t="s">
        <v>3380</v>
      </c>
      <c r="E11565" s="501" t="s">
        <v>3381</v>
      </c>
      <c r="F11565" s="501" t="s">
        <v>418</v>
      </c>
      <c r="G11565" s="501" t="s">
        <v>3368</v>
      </c>
      <c r="H11565" s="501" t="s">
        <v>13825</v>
      </c>
      <c r="I11565" s="501">
        <v>6206</v>
      </c>
      <c r="J11565" s="501">
        <v>5971</v>
      </c>
      <c r="K11565" s="501">
        <v>0</v>
      </c>
      <c r="L11565" s="501">
        <v>9</v>
      </c>
      <c r="M11565" s="501">
        <v>109</v>
      </c>
      <c r="N11565" s="501">
        <v>0</v>
      </c>
      <c r="O11565" s="506">
        <v>117</v>
      </c>
    </row>
    <row r="11566" spans="1:15" x14ac:dyDescent="0.35">
      <c r="A11566" s="503" t="s">
        <v>1592</v>
      </c>
      <c r="B11566" s="504" t="s">
        <v>2436</v>
      </c>
      <c r="C11566" s="504" t="s">
        <v>1089</v>
      </c>
      <c r="D11566" s="504" t="s">
        <v>3392</v>
      </c>
      <c r="E11566" s="504" t="s">
        <v>3381</v>
      </c>
      <c r="F11566" s="504" t="s">
        <v>416</v>
      </c>
      <c r="G11566" s="504" t="s">
        <v>3368</v>
      </c>
      <c r="H11566" s="504" t="s">
        <v>13826</v>
      </c>
      <c r="I11566" s="504">
        <v>39</v>
      </c>
      <c r="J11566" s="504">
        <v>0</v>
      </c>
      <c r="K11566" s="504">
        <v>0</v>
      </c>
      <c r="L11566" s="504">
        <v>0</v>
      </c>
      <c r="M11566" s="504">
        <v>39</v>
      </c>
      <c r="N11566" s="504">
        <v>0</v>
      </c>
      <c r="O11566" s="505">
        <v>0</v>
      </c>
    </row>
    <row r="11567" spans="1:15" x14ac:dyDescent="0.35">
      <c r="A11567" s="500" t="s">
        <v>1375</v>
      </c>
      <c r="B11567" s="501" t="s">
        <v>2447</v>
      </c>
      <c r="C11567" s="501" t="s">
        <v>1089</v>
      </c>
      <c r="D11567" s="501" t="s">
        <v>3392</v>
      </c>
      <c r="E11567" s="501" t="s">
        <v>3381</v>
      </c>
      <c r="F11567" s="501" t="s">
        <v>415</v>
      </c>
      <c r="G11567" s="501" t="s">
        <v>3368</v>
      </c>
      <c r="H11567" s="501" t="s">
        <v>13827</v>
      </c>
      <c r="I11567" s="501">
        <v>4</v>
      </c>
      <c r="J11567" s="501">
        <v>4</v>
      </c>
      <c r="K11567" s="501">
        <v>0</v>
      </c>
      <c r="L11567" s="501">
        <v>0</v>
      </c>
      <c r="M11567" s="501">
        <v>0</v>
      </c>
      <c r="N11567" s="501">
        <v>0</v>
      </c>
      <c r="O11567" s="506">
        <v>0</v>
      </c>
    </row>
    <row r="11568" spans="1:15" x14ac:dyDescent="0.35">
      <c r="A11568" s="503" t="s">
        <v>1784</v>
      </c>
      <c r="B11568" s="504" t="s">
        <v>2691</v>
      </c>
      <c r="C11568" s="504" t="s">
        <v>1089</v>
      </c>
      <c r="D11568" s="504" t="s">
        <v>3392</v>
      </c>
      <c r="E11568" s="504" t="s">
        <v>3381</v>
      </c>
      <c r="F11568" s="504" t="s">
        <v>418</v>
      </c>
      <c r="G11568" s="504" t="s">
        <v>3368</v>
      </c>
      <c r="H11568" s="504" t="s">
        <v>13828</v>
      </c>
      <c r="I11568" s="504">
        <v>67</v>
      </c>
      <c r="J11568" s="504">
        <v>67</v>
      </c>
      <c r="K11568" s="504">
        <v>0</v>
      </c>
      <c r="L11568" s="504">
        <v>0</v>
      </c>
      <c r="M11568" s="504">
        <v>0</v>
      </c>
      <c r="N11568" s="504">
        <v>0</v>
      </c>
      <c r="O11568" s="505">
        <v>0</v>
      </c>
    </row>
    <row r="11569" spans="1:15" x14ac:dyDescent="0.35">
      <c r="A11569" s="500" t="s">
        <v>1593</v>
      </c>
      <c r="B11569" s="501" t="s">
        <v>2805</v>
      </c>
      <c r="C11569" s="501" t="s">
        <v>1089</v>
      </c>
      <c r="D11569" s="501" t="s">
        <v>3392</v>
      </c>
      <c r="E11569" s="501" t="s">
        <v>3381</v>
      </c>
      <c r="F11569" s="501" t="s">
        <v>416</v>
      </c>
      <c r="G11569" s="501" t="s">
        <v>3368</v>
      </c>
      <c r="H11569" s="501" t="s">
        <v>13829</v>
      </c>
      <c r="I11569" s="501">
        <v>24</v>
      </c>
      <c r="J11569" s="501">
        <v>24</v>
      </c>
      <c r="K11569" s="501">
        <v>0</v>
      </c>
      <c r="L11569" s="501">
        <v>0</v>
      </c>
      <c r="M11569" s="501">
        <v>0</v>
      </c>
      <c r="N11569" s="501">
        <v>0</v>
      </c>
      <c r="O11569" s="506">
        <v>0</v>
      </c>
    </row>
    <row r="11570" spans="1:15" x14ac:dyDescent="0.35">
      <c r="A11570" s="503" t="s">
        <v>1664</v>
      </c>
      <c r="B11570" s="504" t="s">
        <v>2706</v>
      </c>
      <c r="C11570" s="504" t="s">
        <v>1089</v>
      </c>
      <c r="D11570" s="504" t="s">
        <v>3392</v>
      </c>
      <c r="E11570" s="504" t="s">
        <v>3381</v>
      </c>
      <c r="F11570" s="504" t="s">
        <v>417</v>
      </c>
      <c r="G11570" s="504" t="s">
        <v>3368</v>
      </c>
      <c r="H11570" s="504" t="s">
        <v>13830</v>
      </c>
      <c r="I11570" s="504">
        <v>13</v>
      </c>
      <c r="J11570" s="504">
        <v>13</v>
      </c>
      <c r="K11570" s="504">
        <v>0</v>
      </c>
      <c r="L11570" s="504">
        <v>0</v>
      </c>
      <c r="M11570" s="504">
        <v>0</v>
      </c>
      <c r="N11570" s="504">
        <v>0</v>
      </c>
      <c r="O11570" s="505">
        <v>0</v>
      </c>
    </row>
    <row r="11571" spans="1:15" x14ac:dyDescent="0.35">
      <c r="A11571" s="500" t="s">
        <v>1594</v>
      </c>
      <c r="B11571" s="501" t="s">
        <v>2568</v>
      </c>
      <c r="C11571" s="501" t="s">
        <v>1089</v>
      </c>
      <c r="D11571" s="501" t="s">
        <v>3392</v>
      </c>
      <c r="E11571" s="501" t="s">
        <v>3381</v>
      </c>
      <c r="F11571" s="501" t="s">
        <v>416</v>
      </c>
      <c r="G11571" s="501" t="s">
        <v>3368</v>
      </c>
      <c r="H11571" s="501" t="s">
        <v>13831</v>
      </c>
      <c r="I11571" s="501">
        <v>18</v>
      </c>
      <c r="J11571" s="501">
        <v>18</v>
      </c>
      <c r="K11571" s="501">
        <v>0</v>
      </c>
      <c r="L11571" s="501">
        <v>0</v>
      </c>
      <c r="M11571" s="501">
        <v>0</v>
      </c>
      <c r="N11571" s="501">
        <v>15</v>
      </c>
      <c r="O11571" s="506">
        <v>0</v>
      </c>
    </row>
    <row r="11572" spans="1:15" x14ac:dyDescent="0.35">
      <c r="A11572" s="503" t="s">
        <v>1595</v>
      </c>
      <c r="B11572" s="504" t="s">
        <v>2669</v>
      </c>
      <c r="C11572" s="504" t="s">
        <v>1089</v>
      </c>
      <c r="D11572" s="504" t="s">
        <v>3392</v>
      </c>
      <c r="E11572" s="504" t="s">
        <v>3381</v>
      </c>
      <c r="F11572" s="504" t="s">
        <v>416</v>
      </c>
      <c r="G11572" s="504" t="s">
        <v>3368</v>
      </c>
      <c r="H11572" s="504" t="s">
        <v>13832</v>
      </c>
      <c r="I11572" s="504">
        <v>91</v>
      </c>
      <c r="J11572" s="504">
        <v>91</v>
      </c>
      <c r="K11572" s="504">
        <v>0</v>
      </c>
      <c r="L11572" s="504">
        <v>0</v>
      </c>
      <c r="M11572" s="504">
        <v>0</v>
      </c>
      <c r="N11572" s="504">
        <v>0</v>
      </c>
      <c r="O11572" s="505">
        <v>0</v>
      </c>
    </row>
    <row r="11573" spans="1:15" x14ac:dyDescent="0.35">
      <c r="A11573" s="500" t="s">
        <v>1376</v>
      </c>
      <c r="B11573" s="501" t="s">
        <v>3081</v>
      </c>
      <c r="C11573" s="501" t="s">
        <v>1089</v>
      </c>
      <c r="D11573" s="501" t="s">
        <v>3392</v>
      </c>
      <c r="E11573" s="501" t="s">
        <v>3381</v>
      </c>
      <c r="F11573" s="501" t="s">
        <v>415</v>
      </c>
      <c r="G11573" s="501" t="s">
        <v>3368</v>
      </c>
      <c r="H11573" s="501" t="s">
        <v>13834</v>
      </c>
      <c r="I11573" s="501">
        <v>45</v>
      </c>
      <c r="J11573" s="501">
        <v>14</v>
      </c>
      <c r="K11573" s="501">
        <v>4</v>
      </c>
      <c r="L11573" s="501">
        <v>27</v>
      </c>
      <c r="M11573" s="501">
        <v>0</v>
      </c>
      <c r="N11573" s="501">
        <v>0</v>
      </c>
      <c r="O11573" s="506">
        <v>0</v>
      </c>
    </row>
    <row r="11574" spans="1:15" x14ac:dyDescent="0.35">
      <c r="A11574" s="503" t="s">
        <v>1376</v>
      </c>
      <c r="B11574" s="504" t="s">
        <v>3081</v>
      </c>
      <c r="C11574" s="504" t="s">
        <v>1089</v>
      </c>
      <c r="D11574" s="504" t="s">
        <v>3392</v>
      </c>
      <c r="E11574" s="504" t="s">
        <v>3381</v>
      </c>
      <c r="F11574" s="504" t="s">
        <v>416</v>
      </c>
      <c r="G11574" s="504" t="s">
        <v>3368</v>
      </c>
      <c r="H11574" s="504" t="s">
        <v>13833</v>
      </c>
      <c r="I11574" s="504">
        <v>13</v>
      </c>
      <c r="J11574" s="504">
        <v>2</v>
      </c>
      <c r="K11574" s="504">
        <v>0</v>
      </c>
      <c r="L11574" s="504">
        <v>11</v>
      </c>
      <c r="M11574" s="504">
        <v>0</v>
      </c>
      <c r="N11574" s="504">
        <v>0</v>
      </c>
      <c r="O11574" s="505">
        <v>0</v>
      </c>
    </row>
    <row r="11575" spans="1:15" x14ac:dyDescent="0.35">
      <c r="A11575" s="500" t="s">
        <v>1935</v>
      </c>
      <c r="B11575" s="501" t="s">
        <v>3305</v>
      </c>
      <c r="C11575" s="501" t="s">
        <v>1094</v>
      </c>
      <c r="D11575" s="501" t="s">
        <v>3380</v>
      </c>
      <c r="E11575" s="501" t="s">
        <v>3381</v>
      </c>
      <c r="F11575" s="501" t="s">
        <v>2</v>
      </c>
      <c r="G11575" s="501" t="s">
        <v>3368</v>
      </c>
      <c r="H11575" s="501" t="s">
        <v>13835</v>
      </c>
      <c r="I11575" s="501">
        <v>7877</v>
      </c>
      <c r="J11575" s="501">
        <v>5907</v>
      </c>
      <c r="K11575" s="501">
        <v>0</v>
      </c>
      <c r="L11575" s="501">
        <v>75</v>
      </c>
      <c r="M11575" s="501">
        <v>1109</v>
      </c>
      <c r="N11575" s="501">
        <v>216</v>
      </c>
      <c r="O11575" s="506">
        <v>786</v>
      </c>
    </row>
    <row r="11576" spans="1:15" x14ac:dyDescent="0.35">
      <c r="A11576" s="503" t="s">
        <v>1596</v>
      </c>
      <c r="B11576" s="504" t="s">
        <v>2936</v>
      </c>
      <c r="C11576" s="504" t="s">
        <v>1089</v>
      </c>
      <c r="D11576" s="504" t="s">
        <v>3392</v>
      </c>
      <c r="E11576" s="504" t="s">
        <v>3381</v>
      </c>
      <c r="F11576" s="504" t="s">
        <v>416</v>
      </c>
      <c r="G11576" s="504" t="s">
        <v>3368</v>
      </c>
      <c r="H11576" s="504" t="s">
        <v>13836</v>
      </c>
      <c r="I11576" s="504">
        <v>409</v>
      </c>
      <c r="J11576" s="504">
        <v>0</v>
      </c>
      <c r="K11576" s="504">
        <v>0</v>
      </c>
      <c r="L11576" s="504">
        <v>409</v>
      </c>
      <c r="M11576" s="504">
        <v>0</v>
      </c>
      <c r="N11576" s="504">
        <v>0</v>
      </c>
      <c r="O11576" s="505">
        <v>0</v>
      </c>
    </row>
    <row r="11577" spans="1:15" x14ac:dyDescent="0.35">
      <c r="A11577" s="500" t="s">
        <v>1377</v>
      </c>
      <c r="B11577" s="501">
        <v>5057</v>
      </c>
      <c r="C11577" s="501" t="s">
        <v>1089</v>
      </c>
      <c r="D11577" s="501" t="s">
        <v>3392</v>
      </c>
      <c r="E11577" s="501" t="s">
        <v>3381</v>
      </c>
      <c r="F11577" s="501" t="s">
        <v>415</v>
      </c>
      <c r="G11577" s="501" t="s">
        <v>3368</v>
      </c>
      <c r="H11577" s="501" t="s">
        <v>13837</v>
      </c>
      <c r="I11577" s="501">
        <v>15</v>
      </c>
      <c r="J11577" s="501">
        <v>7</v>
      </c>
      <c r="K11577" s="501">
        <v>0</v>
      </c>
      <c r="L11577" s="501">
        <v>8</v>
      </c>
      <c r="M11577" s="501">
        <v>0</v>
      </c>
      <c r="N11577" s="501">
        <v>8</v>
      </c>
      <c r="O11577" s="506">
        <v>0</v>
      </c>
    </row>
    <row r="11578" spans="1:15" x14ac:dyDescent="0.35">
      <c r="A11578" s="503" t="s">
        <v>2049</v>
      </c>
      <c r="B11578" s="504" t="s">
        <v>3289</v>
      </c>
      <c r="C11578" s="504" t="s">
        <v>1089</v>
      </c>
      <c r="D11578" s="504" t="s">
        <v>3392</v>
      </c>
      <c r="E11578" s="504" t="s">
        <v>3381</v>
      </c>
      <c r="F11578" s="504" t="s">
        <v>419</v>
      </c>
      <c r="G11578" s="504" t="s">
        <v>3368</v>
      </c>
      <c r="H11578" s="504" t="s">
        <v>13838</v>
      </c>
      <c r="I11578" s="504">
        <v>18</v>
      </c>
      <c r="J11578" s="504">
        <v>0</v>
      </c>
      <c r="K11578" s="504">
        <v>0</v>
      </c>
      <c r="L11578" s="504">
        <v>0</v>
      </c>
      <c r="M11578" s="504">
        <v>18</v>
      </c>
      <c r="N11578" s="504">
        <v>0</v>
      </c>
      <c r="O11578" s="505">
        <v>0</v>
      </c>
    </row>
    <row r="11579" spans="1:15" x14ac:dyDescent="0.35">
      <c r="A11579" s="500" t="s">
        <v>1785</v>
      </c>
      <c r="B11579" s="501" t="s">
        <v>2976</v>
      </c>
      <c r="C11579" s="501" t="s">
        <v>1089</v>
      </c>
      <c r="D11579" s="501" t="s">
        <v>3392</v>
      </c>
      <c r="E11579" s="501" t="s">
        <v>3381</v>
      </c>
      <c r="F11579" s="501" t="s">
        <v>418</v>
      </c>
      <c r="G11579" s="501" t="s">
        <v>3368</v>
      </c>
      <c r="H11579" s="501" t="s">
        <v>13839</v>
      </c>
      <c r="I11579" s="501">
        <v>616</v>
      </c>
      <c r="J11579" s="501">
        <v>616</v>
      </c>
      <c r="K11579" s="501">
        <v>0</v>
      </c>
      <c r="L11579" s="501">
        <v>0</v>
      </c>
      <c r="M11579" s="501">
        <v>0</v>
      </c>
      <c r="N11579" s="501">
        <v>3</v>
      </c>
      <c r="O11579" s="506">
        <v>0</v>
      </c>
    </row>
    <row r="11580" spans="1:15" x14ac:dyDescent="0.35">
      <c r="A11580" s="503" t="s">
        <v>1597</v>
      </c>
      <c r="B11580" s="504" t="s">
        <v>3251</v>
      </c>
      <c r="C11580" s="504" t="s">
        <v>1089</v>
      </c>
      <c r="D11580" s="504" t="s">
        <v>3392</v>
      </c>
      <c r="E11580" s="504" t="s">
        <v>3381</v>
      </c>
      <c r="F11580" s="504" t="s">
        <v>416</v>
      </c>
      <c r="G11580" s="504" t="s">
        <v>3368</v>
      </c>
      <c r="H11580" s="504" t="s">
        <v>13840</v>
      </c>
      <c r="I11580" s="504">
        <v>91</v>
      </c>
      <c r="J11580" s="504">
        <v>0</v>
      </c>
      <c r="K11580" s="504">
        <v>0</v>
      </c>
      <c r="L11580" s="504">
        <v>0</v>
      </c>
      <c r="M11580" s="504">
        <v>91</v>
      </c>
      <c r="N11580" s="504">
        <v>0</v>
      </c>
      <c r="O11580" s="505">
        <v>0</v>
      </c>
    </row>
    <row r="11581" spans="1:15" x14ac:dyDescent="0.35">
      <c r="A11581" s="500" t="s">
        <v>1598</v>
      </c>
      <c r="B11581" s="501">
        <v>4638</v>
      </c>
      <c r="C11581" s="501" t="s">
        <v>1089</v>
      </c>
      <c r="D11581" s="501" t="s">
        <v>3392</v>
      </c>
      <c r="E11581" s="501" t="s">
        <v>3381</v>
      </c>
      <c r="F11581" s="501" t="s">
        <v>416</v>
      </c>
      <c r="G11581" s="501" t="s">
        <v>3368</v>
      </c>
      <c r="H11581" s="501" t="s">
        <v>13841</v>
      </c>
      <c r="I11581" s="501">
        <v>414</v>
      </c>
      <c r="J11581" s="501">
        <v>414</v>
      </c>
      <c r="K11581" s="501">
        <v>0</v>
      </c>
      <c r="L11581" s="501">
        <v>0</v>
      </c>
      <c r="M11581" s="501">
        <v>0</v>
      </c>
      <c r="N11581" s="501">
        <v>0</v>
      </c>
      <c r="O11581" s="506">
        <v>0</v>
      </c>
    </row>
    <row r="11582" spans="1:15" x14ac:dyDescent="0.35">
      <c r="A11582" s="503" t="s">
        <v>1262</v>
      </c>
      <c r="B11582" s="504">
        <v>4772</v>
      </c>
      <c r="C11582" s="504" t="s">
        <v>1089</v>
      </c>
      <c r="D11582" s="504" t="s">
        <v>3392</v>
      </c>
      <c r="E11582" s="504" t="s">
        <v>3381</v>
      </c>
      <c r="F11582" s="504" t="s">
        <v>417</v>
      </c>
      <c r="G11582" s="504" t="s">
        <v>3368</v>
      </c>
      <c r="H11582" s="504" t="s">
        <v>13846</v>
      </c>
      <c r="I11582" s="504">
        <v>19</v>
      </c>
      <c r="J11582" s="504">
        <v>0</v>
      </c>
      <c r="K11582" s="504">
        <v>0</v>
      </c>
      <c r="L11582" s="504">
        <v>19</v>
      </c>
      <c r="M11582" s="504">
        <v>0</v>
      </c>
      <c r="N11582" s="504">
        <v>0</v>
      </c>
      <c r="O11582" s="505">
        <v>0</v>
      </c>
    </row>
    <row r="11583" spans="1:15" x14ac:dyDescent="0.35">
      <c r="A11583" s="500" t="s">
        <v>1262</v>
      </c>
      <c r="B11583" s="501">
        <v>4772</v>
      </c>
      <c r="C11583" s="501" t="s">
        <v>1089</v>
      </c>
      <c r="D11583" s="501" t="s">
        <v>3392</v>
      </c>
      <c r="E11583" s="501" t="s">
        <v>3381</v>
      </c>
      <c r="F11583" s="501" t="s">
        <v>2</v>
      </c>
      <c r="G11583" s="501" t="s">
        <v>3368</v>
      </c>
      <c r="H11583" s="501" t="s">
        <v>13849</v>
      </c>
      <c r="I11583" s="501">
        <v>119</v>
      </c>
      <c r="J11583" s="501">
        <v>0</v>
      </c>
      <c r="K11583" s="501">
        <v>0</v>
      </c>
      <c r="L11583" s="501">
        <v>119</v>
      </c>
      <c r="M11583" s="501">
        <v>0</v>
      </c>
      <c r="N11583" s="501">
        <v>0</v>
      </c>
      <c r="O11583" s="506">
        <v>0</v>
      </c>
    </row>
    <row r="11584" spans="1:15" x14ac:dyDescent="0.35">
      <c r="A11584" s="503" t="s">
        <v>1262</v>
      </c>
      <c r="B11584" s="504">
        <v>4772</v>
      </c>
      <c r="C11584" s="504" t="s">
        <v>1089</v>
      </c>
      <c r="D11584" s="504" t="s">
        <v>3392</v>
      </c>
      <c r="E11584" s="504" t="s">
        <v>3381</v>
      </c>
      <c r="F11584" s="504" t="s">
        <v>418</v>
      </c>
      <c r="G11584" s="504" t="s">
        <v>3368</v>
      </c>
      <c r="H11584" s="504" t="s">
        <v>13847</v>
      </c>
      <c r="I11584" s="504">
        <v>2</v>
      </c>
      <c r="J11584" s="504">
        <v>0</v>
      </c>
      <c r="K11584" s="504">
        <v>0</v>
      </c>
      <c r="L11584" s="504">
        <v>2</v>
      </c>
      <c r="M11584" s="504">
        <v>0</v>
      </c>
      <c r="N11584" s="504">
        <v>0</v>
      </c>
      <c r="O11584" s="505">
        <v>0</v>
      </c>
    </row>
    <row r="11585" spans="1:15" x14ac:dyDescent="0.35">
      <c r="A11585" s="500" t="s">
        <v>1262</v>
      </c>
      <c r="B11585" s="501">
        <v>4772</v>
      </c>
      <c r="C11585" s="501" t="s">
        <v>1089</v>
      </c>
      <c r="D11585" s="501" t="s">
        <v>3392</v>
      </c>
      <c r="E11585" s="501" t="s">
        <v>3381</v>
      </c>
      <c r="F11585" s="501" t="s">
        <v>416</v>
      </c>
      <c r="G11585" s="501" t="s">
        <v>3368</v>
      </c>
      <c r="H11585" s="501" t="s">
        <v>13842</v>
      </c>
      <c r="I11585" s="501">
        <v>97</v>
      </c>
      <c r="J11585" s="501">
        <v>0</v>
      </c>
      <c r="K11585" s="501">
        <v>0</v>
      </c>
      <c r="L11585" s="501">
        <v>97</v>
      </c>
      <c r="M11585" s="501">
        <v>0</v>
      </c>
      <c r="N11585" s="501">
        <v>18</v>
      </c>
      <c r="O11585" s="506">
        <v>0</v>
      </c>
    </row>
    <row r="11586" spans="1:15" x14ac:dyDescent="0.35">
      <c r="A11586" s="503" t="s">
        <v>1262</v>
      </c>
      <c r="B11586" s="504">
        <v>4772</v>
      </c>
      <c r="C11586" s="504" t="s">
        <v>1089</v>
      </c>
      <c r="D11586" s="504" t="s">
        <v>3392</v>
      </c>
      <c r="E11586" s="504" t="s">
        <v>3381</v>
      </c>
      <c r="F11586" s="504" t="s">
        <v>414</v>
      </c>
      <c r="G11586" s="504" t="s">
        <v>3368</v>
      </c>
      <c r="H11586" s="504" t="s">
        <v>13845</v>
      </c>
      <c r="I11586" s="504">
        <v>20</v>
      </c>
      <c r="J11586" s="504">
        <v>0</v>
      </c>
      <c r="K11586" s="504">
        <v>0</v>
      </c>
      <c r="L11586" s="504">
        <v>20</v>
      </c>
      <c r="M11586" s="504">
        <v>0</v>
      </c>
      <c r="N11586" s="504">
        <v>0</v>
      </c>
      <c r="O11586" s="505">
        <v>0</v>
      </c>
    </row>
    <row r="11587" spans="1:15" x14ac:dyDescent="0.35">
      <c r="A11587" s="500" t="s">
        <v>1262</v>
      </c>
      <c r="B11587" s="501">
        <v>4772</v>
      </c>
      <c r="C11587" s="501" t="s">
        <v>1089</v>
      </c>
      <c r="D11587" s="501" t="s">
        <v>3392</v>
      </c>
      <c r="E11587" s="501" t="s">
        <v>3381</v>
      </c>
      <c r="F11587" s="501" t="s">
        <v>420</v>
      </c>
      <c r="G11587" s="501" t="s">
        <v>3368</v>
      </c>
      <c r="H11587" s="501" t="s">
        <v>13843</v>
      </c>
      <c r="I11587" s="501">
        <v>53</v>
      </c>
      <c r="J11587" s="501">
        <v>0</v>
      </c>
      <c r="K11587" s="501">
        <v>0</v>
      </c>
      <c r="L11587" s="501">
        <v>53</v>
      </c>
      <c r="M11587" s="501">
        <v>0</v>
      </c>
      <c r="N11587" s="501">
        <v>14</v>
      </c>
      <c r="O11587" s="506">
        <v>0</v>
      </c>
    </row>
    <row r="11588" spans="1:15" x14ac:dyDescent="0.35">
      <c r="A11588" s="503" t="s">
        <v>1262</v>
      </c>
      <c r="B11588" s="504">
        <v>4772</v>
      </c>
      <c r="C11588" s="504" t="s">
        <v>1089</v>
      </c>
      <c r="D11588" s="504" t="s">
        <v>3392</v>
      </c>
      <c r="E11588" s="504" t="s">
        <v>3381</v>
      </c>
      <c r="F11588" s="504" t="s">
        <v>1048</v>
      </c>
      <c r="G11588" s="504" t="s">
        <v>3368</v>
      </c>
      <c r="H11588" s="504" t="s">
        <v>14085</v>
      </c>
      <c r="I11588" s="504">
        <v>51</v>
      </c>
      <c r="J11588" s="504">
        <v>0</v>
      </c>
      <c r="K11588" s="504">
        <v>0</v>
      </c>
      <c r="L11588" s="504">
        <v>51</v>
      </c>
      <c r="M11588" s="504">
        <v>0</v>
      </c>
      <c r="N11588" s="504">
        <v>0</v>
      </c>
      <c r="O11588" s="505">
        <v>0</v>
      </c>
    </row>
    <row r="11589" spans="1:15" x14ac:dyDescent="0.35">
      <c r="A11589" s="500" t="s">
        <v>1262</v>
      </c>
      <c r="B11589" s="501">
        <v>4772</v>
      </c>
      <c r="C11589" s="501" t="s">
        <v>1089</v>
      </c>
      <c r="D11589" s="501" t="s">
        <v>3392</v>
      </c>
      <c r="E11589" s="501" t="s">
        <v>3381</v>
      </c>
      <c r="F11589" s="501" t="s">
        <v>415</v>
      </c>
      <c r="G11589" s="501" t="s">
        <v>3368</v>
      </c>
      <c r="H11589" s="501" t="s">
        <v>13848</v>
      </c>
      <c r="I11589" s="501">
        <v>28</v>
      </c>
      <c r="J11589" s="501">
        <v>0</v>
      </c>
      <c r="K11589" s="501">
        <v>0</v>
      </c>
      <c r="L11589" s="501">
        <v>28</v>
      </c>
      <c r="M11589" s="501">
        <v>0</v>
      </c>
      <c r="N11589" s="501">
        <v>0</v>
      </c>
      <c r="O11589" s="506">
        <v>0</v>
      </c>
    </row>
    <row r="11590" spans="1:15" x14ac:dyDescent="0.35">
      <c r="A11590" s="503" t="s">
        <v>1262</v>
      </c>
      <c r="B11590" s="504">
        <v>4772</v>
      </c>
      <c r="C11590" s="504" t="s">
        <v>1089</v>
      </c>
      <c r="D11590" s="504" t="s">
        <v>3392</v>
      </c>
      <c r="E11590" s="504" t="s">
        <v>3381</v>
      </c>
      <c r="F11590" s="504" t="s">
        <v>419</v>
      </c>
      <c r="G11590" s="504" t="s">
        <v>3368</v>
      </c>
      <c r="H11590" s="504" t="s">
        <v>13844</v>
      </c>
      <c r="I11590" s="504">
        <v>141</v>
      </c>
      <c r="J11590" s="504">
        <v>0</v>
      </c>
      <c r="K11590" s="504">
        <v>0</v>
      </c>
      <c r="L11590" s="504">
        <v>141</v>
      </c>
      <c r="M11590" s="504">
        <v>0</v>
      </c>
      <c r="N11590" s="504">
        <v>0</v>
      </c>
      <c r="O11590" s="505">
        <v>0</v>
      </c>
    </row>
    <row r="11591" spans="1:15" x14ac:dyDescent="0.35">
      <c r="A11591" s="500" t="s">
        <v>1937</v>
      </c>
      <c r="B11591" s="501" t="s">
        <v>2830</v>
      </c>
      <c r="C11591" s="501" t="s">
        <v>1089</v>
      </c>
      <c r="D11591" s="501" t="s">
        <v>3392</v>
      </c>
      <c r="E11591" s="501" t="s">
        <v>3381</v>
      </c>
      <c r="F11591" s="501" t="s">
        <v>2</v>
      </c>
      <c r="G11591" s="501" t="s">
        <v>3368</v>
      </c>
      <c r="H11591" s="501" t="s">
        <v>13850</v>
      </c>
      <c r="I11591" s="501">
        <v>34</v>
      </c>
      <c r="J11591" s="501">
        <v>34</v>
      </c>
      <c r="K11591" s="501">
        <v>0</v>
      </c>
      <c r="L11591" s="501">
        <v>0</v>
      </c>
      <c r="M11591" s="501">
        <v>0</v>
      </c>
      <c r="N11591" s="501">
        <v>0</v>
      </c>
      <c r="O11591" s="506">
        <v>0</v>
      </c>
    </row>
    <row r="11592" spans="1:15" x14ac:dyDescent="0.35">
      <c r="A11592" s="503" t="s">
        <v>1786</v>
      </c>
      <c r="B11592" s="504" t="s">
        <v>2792</v>
      </c>
      <c r="C11592" s="504" t="s">
        <v>1089</v>
      </c>
      <c r="D11592" s="504" t="s">
        <v>3392</v>
      </c>
      <c r="E11592" s="504" t="s">
        <v>3381</v>
      </c>
      <c r="F11592" s="504" t="s">
        <v>418</v>
      </c>
      <c r="G11592" s="504" t="s">
        <v>3368</v>
      </c>
      <c r="H11592" s="504" t="s">
        <v>13851</v>
      </c>
      <c r="I11592" s="504">
        <v>35</v>
      </c>
      <c r="J11592" s="504">
        <v>35</v>
      </c>
      <c r="K11592" s="504">
        <v>0</v>
      </c>
      <c r="L11592" s="504">
        <v>0</v>
      </c>
      <c r="M11592" s="504">
        <v>0</v>
      </c>
      <c r="N11592" s="504">
        <v>0</v>
      </c>
      <c r="O11592" s="505">
        <v>0</v>
      </c>
    </row>
    <row r="11593" spans="1:15" x14ac:dyDescent="0.35">
      <c r="A11593" s="500" t="s">
        <v>2050</v>
      </c>
      <c r="B11593" s="501">
        <v>4826</v>
      </c>
      <c r="C11593" s="501" t="s">
        <v>1094</v>
      </c>
      <c r="D11593" s="501" t="s">
        <v>3380</v>
      </c>
      <c r="E11593" s="501" t="s">
        <v>3381</v>
      </c>
      <c r="F11593" s="501" t="s">
        <v>419</v>
      </c>
      <c r="G11593" s="501" t="s">
        <v>3368</v>
      </c>
      <c r="H11593" s="501" t="s">
        <v>13852</v>
      </c>
      <c r="I11593" s="501">
        <v>7200</v>
      </c>
      <c r="J11593" s="501">
        <v>5254</v>
      </c>
      <c r="K11593" s="501">
        <v>0</v>
      </c>
      <c r="L11593" s="501">
        <v>340</v>
      </c>
      <c r="M11593" s="501">
        <v>686</v>
      </c>
      <c r="N11593" s="501">
        <v>0</v>
      </c>
      <c r="O11593" s="506">
        <v>920</v>
      </c>
    </row>
    <row r="11594" spans="1:15" x14ac:dyDescent="0.35">
      <c r="A11594" s="503" t="s">
        <v>1599</v>
      </c>
      <c r="B11594" s="504" t="s">
        <v>3303</v>
      </c>
      <c r="C11594" s="504" t="s">
        <v>1089</v>
      </c>
      <c r="D11594" s="504" t="s">
        <v>3392</v>
      </c>
      <c r="E11594" s="504" t="s">
        <v>3381</v>
      </c>
      <c r="F11594" s="504" t="s">
        <v>416</v>
      </c>
      <c r="G11594" s="504" t="s">
        <v>3368</v>
      </c>
      <c r="H11594" s="504" t="s">
        <v>13853</v>
      </c>
      <c r="I11594" s="504">
        <v>511</v>
      </c>
      <c r="J11594" s="504">
        <v>471</v>
      </c>
      <c r="K11594" s="504">
        <v>0</v>
      </c>
      <c r="L11594" s="504">
        <v>40</v>
      </c>
      <c r="M11594" s="504">
        <v>0</v>
      </c>
      <c r="N11594" s="504">
        <v>0</v>
      </c>
      <c r="O11594" s="505">
        <v>0</v>
      </c>
    </row>
    <row r="11595" spans="1:15" x14ac:dyDescent="0.35">
      <c r="A11595" s="500" t="s">
        <v>1938</v>
      </c>
      <c r="B11595" s="501" t="s">
        <v>2743</v>
      </c>
      <c r="C11595" s="501" t="s">
        <v>1089</v>
      </c>
      <c r="D11595" s="501" t="s">
        <v>3392</v>
      </c>
      <c r="E11595" s="501" t="s">
        <v>3381</v>
      </c>
      <c r="F11595" s="501" t="s">
        <v>2</v>
      </c>
      <c r="G11595" s="501" t="s">
        <v>3368</v>
      </c>
      <c r="H11595" s="501" t="s">
        <v>13854</v>
      </c>
      <c r="I11595" s="501">
        <v>48</v>
      </c>
      <c r="J11595" s="501">
        <v>48</v>
      </c>
      <c r="K11595" s="501">
        <v>0</v>
      </c>
      <c r="L11595" s="501">
        <v>0</v>
      </c>
      <c r="M11595" s="501">
        <v>0</v>
      </c>
      <c r="N11595" s="501">
        <v>0</v>
      </c>
      <c r="O11595" s="506">
        <v>0</v>
      </c>
    </row>
    <row r="11596" spans="1:15" x14ac:dyDescent="0.35">
      <c r="A11596" s="503" t="s">
        <v>2189</v>
      </c>
      <c r="B11596" s="504" t="s">
        <v>2625</v>
      </c>
      <c r="C11596" s="504" t="s">
        <v>1089</v>
      </c>
      <c r="D11596" s="504" t="s">
        <v>3392</v>
      </c>
      <c r="E11596" s="504" t="s">
        <v>3381</v>
      </c>
      <c r="F11596" s="504" t="s">
        <v>1048</v>
      </c>
      <c r="G11596" s="504" t="s">
        <v>3368</v>
      </c>
      <c r="H11596" s="504" t="s">
        <v>14086</v>
      </c>
      <c r="I11596" s="504">
        <v>20</v>
      </c>
      <c r="J11596" s="504">
        <v>0</v>
      </c>
      <c r="K11596" s="504">
        <v>0</v>
      </c>
      <c r="L11596" s="504">
        <v>0</v>
      </c>
      <c r="M11596" s="504">
        <v>20</v>
      </c>
      <c r="N11596" s="504">
        <v>0</v>
      </c>
      <c r="O11596" s="505">
        <v>0</v>
      </c>
    </row>
    <row r="11597" spans="1:15" x14ac:dyDescent="0.35">
      <c r="A11597" s="500" t="s">
        <v>2051</v>
      </c>
      <c r="B11597" s="501" t="s">
        <v>3115</v>
      </c>
      <c r="C11597" s="501" t="s">
        <v>1089</v>
      </c>
      <c r="D11597" s="501" t="s">
        <v>3392</v>
      </c>
      <c r="E11597" s="501" t="s">
        <v>3381</v>
      </c>
      <c r="F11597" s="501" t="s">
        <v>419</v>
      </c>
      <c r="G11597" s="501" t="s">
        <v>3368</v>
      </c>
      <c r="H11597" s="501" t="s">
        <v>13855</v>
      </c>
      <c r="I11597" s="501">
        <v>387</v>
      </c>
      <c r="J11597" s="501">
        <v>387</v>
      </c>
      <c r="K11597" s="501">
        <v>0</v>
      </c>
      <c r="L11597" s="501">
        <v>0</v>
      </c>
      <c r="M11597" s="501">
        <v>0</v>
      </c>
      <c r="N11597" s="501">
        <v>0</v>
      </c>
      <c r="O11597" s="506">
        <v>0</v>
      </c>
    </row>
    <row r="11598" spans="1:15" x14ac:dyDescent="0.35">
      <c r="A11598" s="503" t="s">
        <v>2129</v>
      </c>
      <c r="B11598" s="504" t="s">
        <v>2578</v>
      </c>
      <c r="C11598" s="504" t="s">
        <v>1089</v>
      </c>
      <c r="D11598" s="504" t="s">
        <v>3392</v>
      </c>
      <c r="E11598" s="504" t="s">
        <v>3381</v>
      </c>
      <c r="F11598" s="504" t="s">
        <v>420</v>
      </c>
      <c r="G11598" s="504" t="s">
        <v>3368</v>
      </c>
      <c r="H11598" s="504" t="s">
        <v>13856</v>
      </c>
      <c r="I11598" s="504">
        <v>12</v>
      </c>
      <c r="J11598" s="504">
        <v>12</v>
      </c>
      <c r="K11598" s="504">
        <v>0</v>
      </c>
      <c r="L11598" s="504">
        <v>0</v>
      </c>
      <c r="M11598" s="504">
        <v>0</v>
      </c>
      <c r="N11598" s="504">
        <v>0</v>
      </c>
      <c r="O11598" s="505">
        <v>0</v>
      </c>
    </row>
    <row r="11599" spans="1:15" x14ac:dyDescent="0.35">
      <c r="A11599" s="500" t="s">
        <v>1600</v>
      </c>
      <c r="B11599" s="501" t="s">
        <v>2721</v>
      </c>
      <c r="C11599" s="501" t="s">
        <v>1089</v>
      </c>
      <c r="D11599" s="501" t="s">
        <v>3392</v>
      </c>
      <c r="E11599" s="501" t="s">
        <v>3381</v>
      </c>
      <c r="F11599" s="501" t="s">
        <v>416</v>
      </c>
      <c r="G11599" s="501" t="s">
        <v>3368</v>
      </c>
      <c r="H11599" s="501" t="s">
        <v>13857</v>
      </c>
      <c r="I11599" s="501">
        <v>83</v>
      </c>
      <c r="J11599" s="501">
        <v>83</v>
      </c>
      <c r="K11599" s="501">
        <v>0</v>
      </c>
      <c r="L11599" s="501">
        <v>0</v>
      </c>
      <c r="M11599" s="501">
        <v>0</v>
      </c>
      <c r="N11599" s="501">
        <v>0</v>
      </c>
      <c r="O11599" s="506">
        <v>0</v>
      </c>
    </row>
    <row r="11600" spans="1:15" x14ac:dyDescent="0.35">
      <c r="A11600" s="503" t="s">
        <v>1939</v>
      </c>
      <c r="B11600" s="504">
        <v>4692</v>
      </c>
      <c r="C11600" s="504" t="s">
        <v>1089</v>
      </c>
      <c r="D11600" s="504" t="s">
        <v>3392</v>
      </c>
      <c r="E11600" s="504" t="s">
        <v>3381</v>
      </c>
      <c r="F11600" s="504" t="s">
        <v>2</v>
      </c>
      <c r="G11600" s="504" t="s">
        <v>3368</v>
      </c>
      <c r="H11600" s="504" t="s">
        <v>13858</v>
      </c>
      <c r="I11600" s="504">
        <v>4</v>
      </c>
      <c r="J11600" s="504">
        <v>4</v>
      </c>
      <c r="K11600" s="504">
        <v>0</v>
      </c>
      <c r="L11600" s="504">
        <v>0</v>
      </c>
      <c r="M11600" s="504">
        <v>0</v>
      </c>
      <c r="N11600" s="504">
        <v>0</v>
      </c>
      <c r="O11600" s="505">
        <v>0</v>
      </c>
    </row>
    <row r="11601" spans="1:15" x14ac:dyDescent="0.35">
      <c r="A11601" s="500" t="s">
        <v>11396</v>
      </c>
      <c r="B11601" s="501" t="s">
        <v>11478</v>
      </c>
      <c r="C11601" s="501" t="s">
        <v>1089</v>
      </c>
      <c r="D11601" s="501" t="s">
        <v>3392</v>
      </c>
      <c r="E11601" s="501" t="s">
        <v>3381</v>
      </c>
      <c r="F11601" s="501" t="s">
        <v>416</v>
      </c>
      <c r="G11601" s="501" t="s">
        <v>3368</v>
      </c>
      <c r="H11601" s="501" t="s">
        <v>13859</v>
      </c>
      <c r="I11601" s="501">
        <v>66</v>
      </c>
      <c r="J11601" s="501">
        <v>66</v>
      </c>
      <c r="K11601" s="501">
        <v>0</v>
      </c>
      <c r="L11601" s="501">
        <v>0</v>
      </c>
      <c r="M11601" s="501">
        <v>0</v>
      </c>
      <c r="N11601" s="501">
        <v>0</v>
      </c>
      <c r="O11601" s="506">
        <v>0</v>
      </c>
    </row>
    <row r="11602" spans="1:15" x14ac:dyDescent="0.35">
      <c r="A11602" s="503" t="s">
        <v>1601</v>
      </c>
      <c r="B11602" s="504" t="s">
        <v>2750</v>
      </c>
      <c r="C11602" s="504" t="s">
        <v>1089</v>
      </c>
      <c r="D11602" s="504" t="s">
        <v>3392</v>
      </c>
      <c r="E11602" s="504" t="s">
        <v>3381</v>
      </c>
      <c r="F11602" s="504" t="s">
        <v>416</v>
      </c>
      <c r="G11602" s="504" t="s">
        <v>3368</v>
      </c>
      <c r="H11602" s="504" t="s">
        <v>13860</v>
      </c>
      <c r="I11602" s="504">
        <v>18</v>
      </c>
      <c r="J11602" s="504">
        <v>18</v>
      </c>
      <c r="K11602" s="504">
        <v>0</v>
      </c>
      <c r="L11602" s="504">
        <v>0</v>
      </c>
      <c r="M11602" s="504">
        <v>0</v>
      </c>
      <c r="N11602" s="504">
        <v>0</v>
      </c>
      <c r="O11602" s="505">
        <v>0</v>
      </c>
    </row>
    <row r="11603" spans="1:15" x14ac:dyDescent="0.35">
      <c r="A11603" s="500" t="s">
        <v>1263</v>
      </c>
      <c r="B11603" s="501" t="s">
        <v>2486</v>
      </c>
      <c r="C11603" s="501" t="s">
        <v>1089</v>
      </c>
      <c r="D11603" s="501" t="s">
        <v>3392</v>
      </c>
      <c r="E11603" s="501" t="s">
        <v>3381</v>
      </c>
      <c r="F11603" s="501" t="s">
        <v>414</v>
      </c>
      <c r="G11603" s="501" t="s">
        <v>3368</v>
      </c>
      <c r="H11603" s="501" t="s">
        <v>13861</v>
      </c>
      <c r="I11603" s="501">
        <v>20</v>
      </c>
      <c r="J11603" s="501">
        <v>20</v>
      </c>
      <c r="K11603" s="501">
        <v>0</v>
      </c>
      <c r="L11603" s="501">
        <v>0</v>
      </c>
      <c r="M11603" s="501">
        <v>0</v>
      </c>
      <c r="N11603" s="501">
        <v>0</v>
      </c>
      <c r="O11603" s="506">
        <v>0</v>
      </c>
    </row>
    <row r="11604" spans="1:15" x14ac:dyDescent="0.35">
      <c r="A11604" s="503" t="s">
        <v>1378</v>
      </c>
      <c r="B11604" s="504" t="s">
        <v>2532</v>
      </c>
      <c r="C11604" s="504" t="s">
        <v>1089</v>
      </c>
      <c r="D11604" s="504" t="s">
        <v>3392</v>
      </c>
      <c r="E11604" s="504" t="s">
        <v>3381</v>
      </c>
      <c r="F11604" s="504" t="s">
        <v>415</v>
      </c>
      <c r="G11604" s="504" t="s">
        <v>3368</v>
      </c>
      <c r="H11604" s="504" t="s">
        <v>13862</v>
      </c>
      <c r="I11604" s="504">
        <v>80</v>
      </c>
      <c r="J11604" s="504">
        <v>0</v>
      </c>
      <c r="K11604" s="504">
        <v>0</v>
      </c>
      <c r="L11604" s="504">
        <v>0</v>
      </c>
      <c r="M11604" s="504">
        <v>80</v>
      </c>
      <c r="N11604" s="504">
        <v>0</v>
      </c>
      <c r="O11604" s="505">
        <v>0</v>
      </c>
    </row>
    <row r="11605" spans="1:15" x14ac:dyDescent="0.35">
      <c r="A11605" s="500" t="s">
        <v>1665</v>
      </c>
      <c r="B11605" s="501" t="s">
        <v>2453</v>
      </c>
      <c r="C11605" s="501" t="s">
        <v>1089</v>
      </c>
      <c r="D11605" s="501" t="s">
        <v>3392</v>
      </c>
      <c r="E11605" s="501" t="s">
        <v>3381</v>
      </c>
      <c r="F11605" s="501" t="s">
        <v>417</v>
      </c>
      <c r="G11605" s="501" t="s">
        <v>3368</v>
      </c>
      <c r="H11605" s="501" t="s">
        <v>13863</v>
      </c>
      <c r="I11605" s="501">
        <v>7</v>
      </c>
      <c r="J11605" s="501">
        <v>7</v>
      </c>
      <c r="K11605" s="501">
        <v>0</v>
      </c>
      <c r="L11605" s="501">
        <v>0</v>
      </c>
      <c r="M11605" s="501">
        <v>0</v>
      </c>
      <c r="N11605" s="501">
        <v>0</v>
      </c>
      <c r="O11605" s="506">
        <v>0</v>
      </c>
    </row>
    <row r="11606" spans="1:15" x14ac:dyDescent="0.35">
      <c r="A11606" s="503" t="s">
        <v>1940</v>
      </c>
      <c r="B11606" s="504" t="s">
        <v>3106</v>
      </c>
      <c r="C11606" s="504" t="s">
        <v>1089</v>
      </c>
      <c r="D11606" s="504" t="s">
        <v>3392</v>
      </c>
      <c r="E11606" s="504" t="s">
        <v>3381</v>
      </c>
      <c r="F11606" s="504" t="s">
        <v>2</v>
      </c>
      <c r="G11606" s="504" t="s">
        <v>3368</v>
      </c>
      <c r="H11606" s="504" t="s">
        <v>13864</v>
      </c>
      <c r="I11606" s="504">
        <v>92</v>
      </c>
      <c r="J11606" s="504">
        <v>92</v>
      </c>
      <c r="K11606" s="504">
        <v>0</v>
      </c>
      <c r="L11606" s="504">
        <v>0</v>
      </c>
      <c r="M11606" s="504">
        <v>0</v>
      </c>
      <c r="N11606" s="504">
        <v>0</v>
      </c>
      <c r="O11606" s="505">
        <v>0</v>
      </c>
    </row>
    <row r="11607" spans="1:15" x14ac:dyDescent="0.35">
      <c r="A11607" s="500" t="s">
        <v>1264</v>
      </c>
      <c r="B11607" s="501">
        <v>4671</v>
      </c>
      <c r="C11607" s="501" t="s">
        <v>1089</v>
      </c>
      <c r="D11607" s="501" t="s">
        <v>3392</v>
      </c>
      <c r="E11607" s="501" t="s">
        <v>3381</v>
      </c>
      <c r="F11607" s="501" t="s">
        <v>419</v>
      </c>
      <c r="G11607" s="501" t="s">
        <v>3368</v>
      </c>
      <c r="H11607" s="501" t="s">
        <v>15447</v>
      </c>
      <c r="I11607" s="501">
        <v>6</v>
      </c>
      <c r="J11607" s="501">
        <v>0</v>
      </c>
      <c r="K11607" s="501">
        <v>0</v>
      </c>
      <c r="L11607" s="501">
        <v>6</v>
      </c>
      <c r="M11607" s="501">
        <v>0</v>
      </c>
      <c r="N11607" s="501">
        <v>0</v>
      </c>
      <c r="O11607" s="506">
        <v>0</v>
      </c>
    </row>
    <row r="11608" spans="1:15" x14ac:dyDescent="0.35">
      <c r="A11608" s="503" t="s">
        <v>1264</v>
      </c>
      <c r="B11608" s="504">
        <v>4671</v>
      </c>
      <c r="C11608" s="504" t="s">
        <v>1089</v>
      </c>
      <c r="D11608" s="504" t="s">
        <v>3392</v>
      </c>
      <c r="E11608" s="504" t="s">
        <v>3381</v>
      </c>
      <c r="F11608" s="504" t="s">
        <v>415</v>
      </c>
      <c r="G11608" s="504" t="s">
        <v>3368</v>
      </c>
      <c r="H11608" s="504" t="s">
        <v>13867</v>
      </c>
      <c r="I11608" s="504">
        <v>9</v>
      </c>
      <c r="J11608" s="504">
        <v>0</v>
      </c>
      <c r="K11608" s="504">
        <v>0</v>
      </c>
      <c r="L11608" s="504">
        <v>9</v>
      </c>
      <c r="M11608" s="504">
        <v>0</v>
      </c>
      <c r="N11608" s="504">
        <v>0</v>
      </c>
      <c r="O11608" s="505">
        <v>0</v>
      </c>
    </row>
    <row r="11609" spans="1:15" x14ac:dyDescent="0.35">
      <c r="A11609" s="500" t="s">
        <v>1264</v>
      </c>
      <c r="B11609" s="501">
        <v>4671</v>
      </c>
      <c r="C11609" s="501" t="s">
        <v>1089</v>
      </c>
      <c r="D11609" s="501" t="s">
        <v>3392</v>
      </c>
      <c r="E11609" s="501" t="s">
        <v>3381</v>
      </c>
      <c r="F11609" s="501" t="s">
        <v>414</v>
      </c>
      <c r="G11609" s="501" t="s">
        <v>3368</v>
      </c>
      <c r="H11609" s="501" t="s">
        <v>13866</v>
      </c>
      <c r="I11609" s="501">
        <v>100</v>
      </c>
      <c r="J11609" s="501">
        <v>3</v>
      </c>
      <c r="K11609" s="501">
        <v>0</v>
      </c>
      <c r="L11609" s="501">
        <v>97</v>
      </c>
      <c r="M11609" s="501">
        <v>0</v>
      </c>
      <c r="N11609" s="501">
        <v>0</v>
      </c>
      <c r="O11609" s="506">
        <v>0</v>
      </c>
    </row>
    <row r="11610" spans="1:15" x14ac:dyDescent="0.35">
      <c r="A11610" s="503" t="s">
        <v>1264</v>
      </c>
      <c r="B11610" s="504">
        <v>4671</v>
      </c>
      <c r="C11610" s="504" t="s">
        <v>1089</v>
      </c>
      <c r="D11610" s="504" t="s">
        <v>3392</v>
      </c>
      <c r="E11610" s="504" t="s">
        <v>3381</v>
      </c>
      <c r="F11610" s="504" t="s">
        <v>2</v>
      </c>
      <c r="G11610" s="504" t="s">
        <v>3368</v>
      </c>
      <c r="H11610" s="504" t="s">
        <v>15448</v>
      </c>
      <c r="I11610" s="504">
        <v>58</v>
      </c>
      <c r="J11610" s="504">
        <v>0</v>
      </c>
      <c r="K11610" s="504">
        <v>0</v>
      </c>
      <c r="L11610" s="504">
        <v>58</v>
      </c>
      <c r="M11610" s="504">
        <v>0</v>
      </c>
      <c r="N11610" s="504">
        <v>0</v>
      </c>
      <c r="O11610" s="505">
        <v>0</v>
      </c>
    </row>
    <row r="11611" spans="1:15" x14ac:dyDescent="0.35">
      <c r="A11611" s="500" t="s">
        <v>1264</v>
      </c>
      <c r="B11611" s="501">
        <v>4671</v>
      </c>
      <c r="C11611" s="501" t="s">
        <v>1089</v>
      </c>
      <c r="D11611" s="501" t="s">
        <v>3392</v>
      </c>
      <c r="E11611" s="501" t="s">
        <v>3381</v>
      </c>
      <c r="F11611" s="501" t="s">
        <v>420</v>
      </c>
      <c r="G11611" s="501" t="s">
        <v>3368</v>
      </c>
      <c r="H11611" s="501" t="s">
        <v>15449</v>
      </c>
      <c r="I11611" s="501">
        <v>19</v>
      </c>
      <c r="J11611" s="501">
        <v>0</v>
      </c>
      <c r="K11611" s="501">
        <v>0</v>
      </c>
      <c r="L11611" s="501">
        <v>19</v>
      </c>
      <c r="M11611" s="501">
        <v>0</v>
      </c>
      <c r="N11611" s="501">
        <v>0</v>
      </c>
      <c r="O11611" s="506">
        <v>0</v>
      </c>
    </row>
    <row r="11612" spans="1:15" x14ac:dyDescent="0.35">
      <c r="A11612" s="503" t="s">
        <v>1264</v>
      </c>
      <c r="B11612" s="504">
        <v>4671</v>
      </c>
      <c r="C11612" s="504" t="s">
        <v>1089</v>
      </c>
      <c r="D11612" s="504" t="s">
        <v>3392</v>
      </c>
      <c r="E11612" s="504" t="s">
        <v>3381</v>
      </c>
      <c r="F11612" s="504" t="s">
        <v>416</v>
      </c>
      <c r="G11612" s="504" t="s">
        <v>3368</v>
      </c>
      <c r="H11612" s="504" t="s">
        <v>13865</v>
      </c>
      <c r="I11612" s="504">
        <v>356</v>
      </c>
      <c r="J11612" s="504">
        <v>0</v>
      </c>
      <c r="K11612" s="504">
        <v>0</v>
      </c>
      <c r="L11612" s="504">
        <v>356</v>
      </c>
      <c r="M11612" s="504">
        <v>0</v>
      </c>
      <c r="N11612" s="504">
        <v>0</v>
      </c>
      <c r="O11612" s="505">
        <v>0</v>
      </c>
    </row>
    <row r="11613" spans="1:15" x14ac:dyDescent="0.35">
      <c r="A11613" s="500" t="s">
        <v>1602</v>
      </c>
      <c r="B11613" s="501" t="s">
        <v>3067</v>
      </c>
      <c r="C11613" s="501" t="s">
        <v>1089</v>
      </c>
      <c r="D11613" s="501" t="s">
        <v>3392</v>
      </c>
      <c r="E11613" s="501" t="s">
        <v>3381</v>
      </c>
      <c r="F11613" s="501" t="s">
        <v>416</v>
      </c>
      <c r="G11613" s="501" t="s">
        <v>3368</v>
      </c>
      <c r="H11613" s="501" t="s">
        <v>13868</v>
      </c>
      <c r="I11613" s="501">
        <v>22</v>
      </c>
      <c r="J11613" s="501">
        <v>0</v>
      </c>
      <c r="K11613" s="501">
        <v>0</v>
      </c>
      <c r="L11613" s="501">
        <v>22</v>
      </c>
      <c r="M11613" s="501">
        <v>0</v>
      </c>
      <c r="N11613" s="501">
        <v>0</v>
      </c>
      <c r="O11613" s="506">
        <v>0</v>
      </c>
    </row>
    <row r="11614" spans="1:15" x14ac:dyDescent="0.35">
      <c r="A11614" s="503" t="s">
        <v>2190</v>
      </c>
      <c r="B11614" s="504">
        <v>4762</v>
      </c>
      <c r="C11614" s="504" t="s">
        <v>1089</v>
      </c>
      <c r="D11614" s="504" t="s">
        <v>3392</v>
      </c>
      <c r="E11614" s="504" t="s">
        <v>3381</v>
      </c>
      <c r="F11614" s="504" t="s">
        <v>1048</v>
      </c>
      <c r="G11614" s="504" t="s">
        <v>3368</v>
      </c>
      <c r="H11614" s="504" t="s">
        <v>14087</v>
      </c>
      <c r="I11614" s="504">
        <v>44</v>
      </c>
      <c r="J11614" s="504">
        <v>13</v>
      </c>
      <c r="K11614" s="504">
        <v>0</v>
      </c>
      <c r="L11614" s="504">
        <v>31</v>
      </c>
      <c r="M11614" s="504">
        <v>0</v>
      </c>
      <c r="N11614" s="504">
        <v>0</v>
      </c>
      <c r="O11614" s="505">
        <v>0</v>
      </c>
    </row>
    <row r="11615" spans="1:15" x14ac:dyDescent="0.35">
      <c r="A11615" s="500" t="s">
        <v>1379</v>
      </c>
      <c r="B11615" s="501">
        <v>4830</v>
      </c>
      <c r="C11615" s="501" t="s">
        <v>1089</v>
      </c>
      <c r="D11615" s="501" t="s">
        <v>3392</v>
      </c>
      <c r="E11615" s="501" t="s">
        <v>3381</v>
      </c>
      <c r="F11615" s="501" t="s">
        <v>415</v>
      </c>
      <c r="G11615" s="501" t="s">
        <v>3368</v>
      </c>
      <c r="H11615" s="501" t="s">
        <v>13869</v>
      </c>
      <c r="I11615" s="501">
        <v>43</v>
      </c>
      <c r="J11615" s="501">
        <v>0</v>
      </c>
      <c r="K11615" s="501">
        <v>0</v>
      </c>
      <c r="L11615" s="501">
        <v>0</v>
      </c>
      <c r="M11615" s="501">
        <v>43</v>
      </c>
      <c r="N11615" s="501">
        <v>0</v>
      </c>
      <c r="O11615" s="506">
        <v>0</v>
      </c>
    </row>
    <row r="11616" spans="1:15" x14ac:dyDescent="0.35">
      <c r="A11616" s="503" t="s">
        <v>1603</v>
      </c>
      <c r="B11616" s="504" t="s">
        <v>2789</v>
      </c>
      <c r="C11616" s="504" t="s">
        <v>1089</v>
      </c>
      <c r="D11616" s="504" t="s">
        <v>3392</v>
      </c>
      <c r="E11616" s="504" t="s">
        <v>3381</v>
      </c>
      <c r="F11616" s="504" t="s">
        <v>416</v>
      </c>
      <c r="G11616" s="504" t="s">
        <v>3368</v>
      </c>
      <c r="H11616" s="504" t="s">
        <v>13870</v>
      </c>
      <c r="I11616" s="504">
        <v>24</v>
      </c>
      <c r="J11616" s="504">
        <v>24</v>
      </c>
      <c r="K11616" s="504">
        <v>0</v>
      </c>
      <c r="L11616" s="504">
        <v>0</v>
      </c>
      <c r="M11616" s="504">
        <v>0</v>
      </c>
      <c r="N11616" s="504">
        <v>0</v>
      </c>
      <c r="O11616" s="505">
        <v>0</v>
      </c>
    </row>
    <row r="11617" spans="1:15" x14ac:dyDescent="0.35">
      <c r="A11617" s="500" t="s">
        <v>1787</v>
      </c>
      <c r="B11617" s="501" t="s">
        <v>3009</v>
      </c>
      <c r="C11617" s="501" t="s">
        <v>1089</v>
      </c>
      <c r="D11617" s="501" t="s">
        <v>3392</v>
      </c>
      <c r="E11617" s="501" t="s">
        <v>3381</v>
      </c>
      <c r="F11617" s="501" t="s">
        <v>418</v>
      </c>
      <c r="G11617" s="501" t="s">
        <v>3368</v>
      </c>
      <c r="H11617" s="501" t="s">
        <v>13871</v>
      </c>
      <c r="I11617" s="501">
        <v>824</v>
      </c>
      <c r="J11617" s="501">
        <v>596</v>
      </c>
      <c r="K11617" s="501">
        <v>0</v>
      </c>
      <c r="L11617" s="501">
        <v>115</v>
      </c>
      <c r="M11617" s="501">
        <v>113</v>
      </c>
      <c r="N11617" s="501">
        <v>0</v>
      </c>
      <c r="O11617" s="506">
        <v>0</v>
      </c>
    </row>
    <row r="11618" spans="1:15" x14ac:dyDescent="0.35">
      <c r="A11618" s="503" t="s">
        <v>1380</v>
      </c>
      <c r="B11618" s="504" t="s">
        <v>2508</v>
      </c>
      <c r="C11618" s="504" t="s">
        <v>1089</v>
      </c>
      <c r="D11618" s="504" t="s">
        <v>3392</v>
      </c>
      <c r="E11618" s="504" t="s">
        <v>3381</v>
      </c>
      <c r="F11618" s="504" t="s">
        <v>415</v>
      </c>
      <c r="G11618" s="504" t="s">
        <v>3368</v>
      </c>
      <c r="H11618" s="504" t="s">
        <v>13872</v>
      </c>
      <c r="I11618" s="504">
        <v>21</v>
      </c>
      <c r="J11618" s="504">
        <v>0</v>
      </c>
      <c r="K11618" s="504">
        <v>0</v>
      </c>
      <c r="L11618" s="504">
        <v>0</v>
      </c>
      <c r="M11618" s="504">
        <v>21</v>
      </c>
      <c r="N11618" s="504">
        <v>0</v>
      </c>
      <c r="O11618" s="505">
        <v>0</v>
      </c>
    </row>
    <row r="11619" spans="1:15" x14ac:dyDescent="0.35">
      <c r="A11619" s="500" t="s">
        <v>1381</v>
      </c>
      <c r="B11619" s="501" t="s">
        <v>2698</v>
      </c>
      <c r="C11619" s="501" t="s">
        <v>1089</v>
      </c>
      <c r="D11619" s="501" t="s">
        <v>3392</v>
      </c>
      <c r="E11619" s="501" t="s">
        <v>3381</v>
      </c>
      <c r="F11619" s="501" t="s">
        <v>415</v>
      </c>
      <c r="G11619" s="501" t="s">
        <v>3368</v>
      </c>
      <c r="H11619" s="501" t="s">
        <v>13873</v>
      </c>
      <c r="I11619" s="501">
        <v>94</v>
      </c>
      <c r="J11619" s="501">
        <v>94</v>
      </c>
      <c r="K11619" s="501">
        <v>0</v>
      </c>
      <c r="L11619" s="501">
        <v>0</v>
      </c>
      <c r="M11619" s="501">
        <v>0</v>
      </c>
      <c r="N11619" s="501">
        <v>0</v>
      </c>
      <c r="O11619" s="506">
        <v>0</v>
      </c>
    </row>
    <row r="11620" spans="1:15" x14ac:dyDescent="0.35">
      <c r="A11620" s="503" t="s">
        <v>1382</v>
      </c>
      <c r="B11620" s="504" t="s">
        <v>3027</v>
      </c>
      <c r="C11620" s="504" t="s">
        <v>1089</v>
      </c>
      <c r="D11620" s="504" t="s">
        <v>3392</v>
      </c>
      <c r="E11620" s="504" t="s">
        <v>3381</v>
      </c>
      <c r="F11620" s="504" t="s">
        <v>415</v>
      </c>
      <c r="G11620" s="504" t="s">
        <v>3368</v>
      </c>
      <c r="H11620" s="504" t="s">
        <v>13874</v>
      </c>
      <c r="I11620" s="504">
        <v>41</v>
      </c>
      <c r="J11620" s="504">
        <v>0</v>
      </c>
      <c r="K11620" s="504">
        <v>0</v>
      </c>
      <c r="L11620" s="504">
        <v>0</v>
      </c>
      <c r="M11620" s="504">
        <v>41</v>
      </c>
      <c r="N11620" s="504">
        <v>0</v>
      </c>
      <c r="O11620" s="505">
        <v>0</v>
      </c>
    </row>
    <row r="11621" spans="1:15" x14ac:dyDescent="0.35">
      <c r="A11621" s="500" t="s">
        <v>14385</v>
      </c>
      <c r="B11621" s="501">
        <v>5138</v>
      </c>
      <c r="C11621" s="501" t="s">
        <v>1089</v>
      </c>
      <c r="D11621" s="501" t="s">
        <v>3392</v>
      </c>
      <c r="E11621" s="501" t="s">
        <v>3381</v>
      </c>
      <c r="F11621" s="501" t="s">
        <v>420</v>
      </c>
      <c r="G11621" s="501" t="s">
        <v>3368</v>
      </c>
      <c r="H11621" s="501" t="s">
        <v>15450</v>
      </c>
      <c r="I11621" s="501">
        <v>5</v>
      </c>
      <c r="J11621" s="501">
        <v>0</v>
      </c>
      <c r="K11621" s="501">
        <v>5</v>
      </c>
      <c r="L11621" s="501">
        <v>0</v>
      </c>
      <c r="M11621" s="501">
        <v>0</v>
      </c>
      <c r="N11621" s="501">
        <v>0</v>
      </c>
      <c r="O11621" s="506">
        <v>0</v>
      </c>
    </row>
    <row r="11622" spans="1:15" x14ac:dyDescent="0.35">
      <c r="A11622" s="503" t="s">
        <v>14386</v>
      </c>
      <c r="B11622" s="504" t="s">
        <v>2645</v>
      </c>
      <c r="C11622" s="504" t="s">
        <v>1089</v>
      </c>
      <c r="D11622" s="504" t="s">
        <v>3392</v>
      </c>
      <c r="E11622" s="504" t="s">
        <v>3381</v>
      </c>
      <c r="F11622" s="504" t="s">
        <v>419</v>
      </c>
      <c r="G11622" s="504" t="s">
        <v>3368</v>
      </c>
      <c r="H11622" s="504" t="s">
        <v>15451</v>
      </c>
      <c r="I11622" s="504">
        <v>8</v>
      </c>
      <c r="J11622" s="504">
        <v>0</v>
      </c>
      <c r="K11622" s="504">
        <v>0</v>
      </c>
      <c r="L11622" s="504">
        <v>0</v>
      </c>
      <c r="M11622" s="504">
        <v>8</v>
      </c>
      <c r="N11622" s="504">
        <v>0</v>
      </c>
      <c r="O11622" s="505">
        <v>0</v>
      </c>
    </row>
    <row r="11623" spans="1:15" x14ac:dyDescent="0.35">
      <c r="A11623" s="500" t="s">
        <v>1604</v>
      </c>
      <c r="B11623" s="501" t="s">
        <v>2581</v>
      </c>
      <c r="C11623" s="501" t="s">
        <v>1089</v>
      </c>
      <c r="D11623" s="501" t="s">
        <v>3392</v>
      </c>
      <c r="E11623" s="501" t="s">
        <v>3381</v>
      </c>
      <c r="F11623" s="501" t="s">
        <v>416</v>
      </c>
      <c r="G11623" s="501" t="s">
        <v>3368</v>
      </c>
      <c r="H11623" s="501" t="s">
        <v>13875</v>
      </c>
      <c r="I11623" s="501">
        <v>6</v>
      </c>
      <c r="J11623" s="501">
        <v>0</v>
      </c>
      <c r="K11623" s="501">
        <v>0</v>
      </c>
      <c r="L11623" s="501">
        <v>0</v>
      </c>
      <c r="M11623" s="501">
        <v>6</v>
      </c>
      <c r="N11623" s="501">
        <v>0</v>
      </c>
      <c r="O11623" s="506">
        <v>0</v>
      </c>
    </row>
    <row r="11624" spans="1:15" x14ac:dyDescent="0.35">
      <c r="A11624" s="503" t="s">
        <v>1605</v>
      </c>
      <c r="B11624" s="504" t="s">
        <v>3064</v>
      </c>
      <c r="C11624" s="504" t="s">
        <v>1089</v>
      </c>
      <c r="D11624" s="504" t="s">
        <v>3392</v>
      </c>
      <c r="E11624" s="504" t="s">
        <v>3381</v>
      </c>
      <c r="F11624" s="504" t="s">
        <v>416</v>
      </c>
      <c r="G11624" s="504" t="s">
        <v>3368</v>
      </c>
      <c r="H11624" s="504" t="s">
        <v>13876</v>
      </c>
      <c r="I11624" s="504">
        <v>980</v>
      </c>
      <c r="J11624" s="504">
        <v>778</v>
      </c>
      <c r="K11624" s="504">
        <v>20</v>
      </c>
      <c r="L11624" s="504">
        <v>0</v>
      </c>
      <c r="M11624" s="504">
        <v>182</v>
      </c>
      <c r="N11624" s="504">
        <v>1</v>
      </c>
      <c r="O11624" s="505">
        <v>0</v>
      </c>
    </row>
    <row r="11625" spans="1:15" x14ac:dyDescent="0.35">
      <c r="A11625" s="500" t="s">
        <v>11436</v>
      </c>
      <c r="B11625" s="501" t="s">
        <v>2865</v>
      </c>
      <c r="C11625" s="501" t="s">
        <v>1089</v>
      </c>
      <c r="D11625" s="501" t="s">
        <v>3392</v>
      </c>
      <c r="E11625" s="501" t="s">
        <v>3381</v>
      </c>
      <c r="F11625" s="501" t="s">
        <v>420</v>
      </c>
      <c r="G11625" s="501" t="s">
        <v>3368</v>
      </c>
      <c r="H11625" s="501" t="s">
        <v>13877</v>
      </c>
      <c r="I11625" s="501">
        <v>25</v>
      </c>
      <c r="J11625" s="501">
        <v>0</v>
      </c>
      <c r="K11625" s="501">
        <v>0</v>
      </c>
      <c r="L11625" s="501">
        <v>25</v>
      </c>
      <c r="M11625" s="501">
        <v>0</v>
      </c>
      <c r="N11625" s="501">
        <v>0</v>
      </c>
      <c r="O11625" s="506">
        <v>0</v>
      </c>
    </row>
    <row r="11626" spans="1:15" x14ac:dyDescent="0.35">
      <c r="A11626" s="503" t="s">
        <v>1941</v>
      </c>
      <c r="B11626" s="504" t="s">
        <v>2518</v>
      </c>
      <c r="C11626" s="504" t="s">
        <v>1089</v>
      </c>
      <c r="D11626" s="504" t="s">
        <v>3392</v>
      </c>
      <c r="E11626" s="504" t="s">
        <v>3381</v>
      </c>
      <c r="F11626" s="504" t="s">
        <v>2</v>
      </c>
      <c r="G11626" s="504" t="s">
        <v>3368</v>
      </c>
      <c r="H11626" s="504" t="s">
        <v>13878</v>
      </c>
      <c r="I11626" s="504">
        <v>18</v>
      </c>
      <c r="J11626" s="504">
        <v>18</v>
      </c>
      <c r="K11626" s="504">
        <v>0</v>
      </c>
      <c r="L11626" s="504">
        <v>0</v>
      </c>
      <c r="M11626" s="504">
        <v>0</v>
      </c>
      <c r="N11626" s="504">
        <v>0</v>
      </c>
      <c r="O11626" s="505">
        <v>0</v>
      </c>
    </row>
    <row r="11627" spans="1:15" x14ac:dyDescent="0.35">
      <c r="A11627" s="500" t="s">
        <v>1606</v>
      </c>
      <c r="B11627" s="501" t="s">
        <v>2761</v>
      </c>
      <c r="C11627" s="501" t="s">
        <v>1089</v>
      </c>
      <c r="D11627" s="501" t="s">
        <v>3392</v>
      </c>
      <c r="E11627" s="501" t="s">
        <v>3381</v>
      </c>
      <c r="F11627" s="501" t="s">
        <v>416</v>
      </c>
      <c r="G11627" s="501" t="s">
        <v>3368</v>
      </c>
      <c r="H11627" s="501" t="s">
        <v>13879</v>
      </c>
      <c r="I11627" s="501">
        <v>4</v>
      </c>
      <c r="J11627" s="501">
        <v>2</v>
      </c>
      <c r="K11627" s="501">
        <v>2</v>
      </c>
      <c r="L11627" s="501">
        <v>0</v>
      </c>
      <c r="M11627" s="501">
        <v>0</v>
      </c>
      <c r="N11627" s="501">
        <v>0</v>
      </c>
      <c r="O11627" s="506">
        <v>0</v>
      </c>
    </row>
    <row r="11628" spans="1:15" x14ac:dyDescent="0.35">
      <c r="A11628" s="503" t="s">
        <v>14388</v>
      </c>
      <c r="B11628" s="504">
        <v>5101</v>
      </c>
      <c r="C11628" s="504" t="s">
        <v>1089</v>
      </c>
      <c r="D11628" s="504" t="s">
        <v>3392</v>
      </c>
      <c r="E11628" s="504" t="s">
        <v>3381</v>
      </c>
      <c r="F11628" s="504" t="s">
        <v>419</v>
      </c>
      <c r="G11628" s="504" t="s">
        <v>3368</v>
      </c>
      <c r="H11628" s="504" t="s">
        <v>15452</v>
      </c>
      <c r="I11628" s="504">
        <v>4</v>
      </c>
      <c r="J11628" s="504">
        <v>4</v>
      </c>
      <c r="K11628" s="504">
        <v>0</v>
      </c>
      <c r="L11628" s="504">
        <v>0</v>
      </c>
      <c r="M11628" s="504">
        <v>0</v>
      </c>
      <c r="N11628" s="504">
        <v>0</v>
      </c>
      <c r="O11628" s="505">
        <v>0</v>
      </c>
    </row>
    <row r="11629" spans="1:15" x14ac:dyDescent="0.35">
      <c r="A11629" s="500" t="s">
        <v>2130</v>
      </c>
      <c r="B11629" s="501">
        <v>4855</v>
      </c>
      <c r="C11629" s="501" t="s">
        <v>1089</v>
      </c>
      <c r="D11629" s="501" t="s">
        <v>3392</v>
      </c>
      <c r="E11629" s="501" t="s">
        <v>3381</v>
      </c>
      <c r="F11629" s="501" t="s">
        <v>420</v>
      </c>
      <c r="G11629" s="501" t="s">
        <v>3368</v>
      </c>
      <c r="H11629" s="501" t="s">
        <v>13880</v>
      </c>
      <c r="I11629" s="501">
        <v>96</v>
      </c>
      <c r="J11629" s="501">
        <v>64</v>
      </c>
      <c r="K11629" s="501">
        <v>0</v>
      </c>
      <c r="L11629" s="501">
        <v>32</v>
      </c>
      <c r="M11629" s="501">
        <v>0</v>
      </c>
      <c r="N11629" s="501">
        <v>0</v>
      </c>
      <c r="O11629" s="506">
        <v>0</v>
      </c>
    </row>
    <row r="11630" spans="1:15" x14ac:dyDescent="0.35">
      <c r="A11630" s="503" t="s">
        <v>2131</v>
      </c>
      <c r="B11630" s="504" t="s">
        <v>3299</v>
      </c>
      <c r="C11630" s="504" t="s">
        <v>1089</v>
      </c>
      <c r="D11630" s="504" t="s">
        <v>3392</v>
      </c>
      <c r="E11630" s="504" t="s">
        <v>3381</v>
      </c>
      <c r="F11630" s="504" t="s">
        <v>420</v>
      </c>
      <c r="G11630" s="504" t="s">
        <v>3368</v>
      </c>
      <c r="H11630" s="504" t="s">
        <v>13881</v>
      </c>
      <c r="I11630" s="504">
        <v>246</v>
      </c>
      <c r="J11630" s="504">
        <v>123</v>
      </c>
      <c r="K11630" s="504">
        <v>5</v>
      </c>
      <c r="L11630" s="504">
        <v>118</v>
      </c>
      <c r="M11630" s="504">
        <v>0</v>
      </c>
      <c r="N11630" s="504">
        <v>0</v>
      </c>
      <c r="O11630" s="505">
        <v>0</v>
      </c>
    </row>
    <row r="11631" spans="1:15" x14ac:dyDescent="0.35">
      <c r="A11631" s="500" t="s">
        <v>1942</v>
      </c>
      <c r="B11631" s="501" t="s">
        <v>3336</v>
      </c>
      <c r="C11631" s="501" t="s">
        <v>1094</v>
      </c>
      <c r="D11631" s="501" t="s">
        <v>3380</v>
      </c>
      <c r="E11631" s="501" t="s">
        <v>3381</v>
      </c>
      <c r="F11631" s="501" t="s">
        <v>2</v>
      </c>
      <c r="G11631" s="501" t="s">
        <v>3368</v>
      </c>
      <c r="H11631" s="501" t="s">
        <v>13882</v>
      </c>
      <c r="I11631" s="501">
        <v>3652</v>
      </c>
      <c r="J11631" s="501">
        <v>3241</v>
      </c>
      <c r="K11631" s="501">
        <v>0</v>
      </c>
      <c r="L11631" s="501">
        <v>11</v>
      </c>
      <c r="M11631" s="501">
        <v>215</v>
      </c>
      <c r="N11631" s="501">
        <v>0</v>
      </c>
      <c r="O11631" s="506">
        <v>185</v>
      </c>
    </row>
    <row r="11632" spans="1:15" x14ac:dyDescent="0.35">
      <c r="A11632" s="503" t="s">
        <v>2052</v>
      </c>
      <c r="B11632" s="504" t="s">
        <v>3080</v>
      </c>
      <c r="C11632" s="504" t="s">
        <v>1089</v>
      </c>
      <c r="D11632" s="504" t="s">
        <v>3392</v>
      </c>
      <c r="E11632" s="504" t="s">
        <v>3381</v>
      </c>
      <c r="F11632" s="504" t="s">
        <v>419</v>
      </c>
      <c r="G11632" s="504" t="s">
        <v>3368</v>
      </c>
      <c r="H11632" s="504" t="s">
        <v>13883</v>
      </c>
      <c r="I11632" s="504">
        <v>412</v>
      </c>
      <c r="J11632" s="504">
        <v>390</v>
      </c>
      <c r="K11632" s="504">
        <v>0</v>
      </c>
      <c r="L11632" s="504">
        <v>0</v>
      </c>
      <c r="M11632" s="504">
        <v>22</v>
      </c>
      <c r="N11632" s="504">
        <v>3</v>
      </c>
      <c r="O11632" s="505">
        <v>0</v>
      </c>
    </row>
    <row r="11633" spans="1:15" x14ac:dyDescent="0.35">
      <c r="A11633" s="500" t="s">
        <v>2052</v>
      </c>
      <c r="B11633" s="501" t="s">
        <v>3080</v>
      </c>
      <c r="C11633" s="501" t="s">
        <v>1089</v>
      </c>
      <c r="D11633" s="501" t="s">
        <v>3392</v>
      </c>
      <c r="E11633" s="501" t="s">
        <v>3381</v>
      </c>
      <c r="F11633" s="501" t="s">
        <v>420</v>
      </c>
      <c r="G11633" s="501" t="s">
        <v>3368</v>
      </c>
      <c r="H11633" s="501" t="s">
        <v>13884</v>
      </c>
      <c r="I11633" s="501">
        <v>31</v>
      </c>
      <c r="J11633" s="501">
        <v>31</v>
      </c>
      <c r="K11633" s="501">
        <v>0</v>
      </c>
      <c r="L11633" s="501">
        <v>0</v>
      </c>
      <c r="M11633" s="501">
        <v>0</v>
      </c>
      <c r="N11633" s="501">
        <v>1</v>
      </c>
      <c r="O11633" s="506">
        <v>0</v>
      </c>
    </row>
    <row r="11634" spans="1:15" x14ac:dyDescent="0.35">
      <c r="A11634" s="503" t="s">
        <v>11410</v>
      </c>
      <c r="B11634" s="504" t="s">
        <v>3162</v>
      </c>
      <c r="C11634" s="504" t="s">
        <v>1094</v>
      </c>
      <c r="D11634" s="504" t="s">
        <v>3380</v>
      </c>
      <c r="E11634" s="504" t="s">
        <v>3381</v>
      </c>
      <c r="F11634" s="504" t="s">
        <v>418</v>
      </c>
      <c r="G11634" s="504" t="s">
        <v>3368</v>
      </c>
      <c r="H11634" s="504" t="s">
        <v>13885</v>
      </c>
      <c r="I11634" s="504">
        <v>13658</v>
      </c>
      <c r="J11634" s="504">
        <v>13198</v>
      </c>
      <c r="K11634" s="504">
        <v>5</v>
      </c>
      <c r="L11634" s="504">
        <v>116</v>
      </c>
      <c r="M11634" s="504">
        <v>69</v>
      </c>
      <c r="N11634" s="504">
        <v>0</v>
      </c>
      <c r="O11634" s="505">
        <v>270</v>
      </c>
    </row>
    <row r="11635" spans="1:15" x14ac:dyDescent="0.35">
      <c r="A11635" s="500" t="s">
        <v>2133</v>
      </c>
      <c r="B11635" s="501" t="s">
        <v>3230</v>
      </c>
      <c r="C11635" s="501" t="s">
        <v>1089</v>
      </c>
      <c r="D11635" s="501" t="s">
        <v>3392</v>
      </c>
      <c r="E11635" s="501" t="s">
        <v>3381</v>
      </c>
      <c r="F11635" s="501" t="s">
        <v>420</v>
      </c>
      <c r="G11635" s="501" t="s">
        <v>3368</v>
      </c>
      <c r="H11635" s="501" t="s">
        <v>13886</v>
      </c>
      <c r="I11635" s="501">
        <v>228</v>
      </c>
      <c r="J11635" s="501">
        <v>63</v>
      </c>
      <c r="K11635" s="501">
        <v>34</v>
      </c>
      <c r="L11635" s="501">
        <v>131</v>
      </c>
      <c r="M11635" s="501">
        <v>0</v>
      </c>
      <c r="N11635" s="501">
        <v>0</v>
      </c>
      <c r="O11635" s="506">
        <v>0</v>
      </c>
    </row>
    <row r="11636" spans="1:15" x14ac:dyDescent="0.35">
      <c r="A11636" s="503" t="s">
        <v>2053</v>
      </c>
      <c r="B11636" s="504">
        <v>4871</v>
      </c>
      <c r="C11636" s="504" t="s">
        <v>1089</v>
      </c>
      <c r="D11636" s="504" t="s">
        <v>3392</v>
      </c>
      <c r="E11636" s="504" t="s">
        <v>3381</v>
      </c>
      <c r="F11636" s="504" t="s">
        <v>419</v>
      </c>
      <c r="G11636" s="504" t="s">
        <v>3368</v>
      </c>
      <c r="H11636" s="504" t="s">
        <v>13887</v>
      </c>
      <c r="I11636" s="504">
        <v>41</v>
      </c>
      <c r="J11636" s="504">
        <v>0</v>
      </c>
      <c r="K11636" s="504">
        <v>0</v>
      </c>
      <c r="L11636" s="504">
        <v>41</v>
      </c>
      <c r="M11636" s="504">
        <v>0</v>
      </c>
      <c r="N11636" s="504">
        <v>0</v>
      </c>
      <c r="O11636" s="505">
        <v>0</v>
      </c>
    </row>
    <row r="11637" spans="1:15" x14ac:dyDescent="0.35">
      <c r="A11637" s="500" t="s">
        <v>1265</v>
      </c>
      <c r="B11637" s="501" t="s">
        <v>2933</v>
      </c>
      <c r="C11637" s="501" t="s">
        <v>1089</v>
      </c>
      <c r="D11637" s="501" t="s">
        <v>3392</v>
      </c>
      <c r="E11637" s="501" t="s">
        <v>3381</v>
      </c>
      <c r="F11637" s="501" t="s">
        <v>414</v>
      </c>
      <c r="G11637" s="501" t="s">
        <v>3368</v>
      </c>
      <c r="H11637" s="501" t="s">
        <v>13888</v>
      </c>
      <c r="I11637" s="501">
        <v>196</v>
      </c>
      <c r="J11637" s="501">
        <v>0</v>
      </c>
      <c r="K11637" s="501">
        <v>0</v>
      </c>
      <c r="L11637" s="501">
        <v>196</v>
      </c>
      <c r="M11637" s="501">
        <v>0</v>
      </c>
      <c r="N11637" s="501">
        <v>0</v>
      </c>
      <c r="O11637" s="506">
        <v>0</v>
      </c>
    </row>
    <row r="11638" spans="1:15" x14ac:dyDescent="0.35">
      <c r="A11638" s="503" t="s">
        <v>1944</v>
      </c>
      <c r="B11638" s="504">
        <v>4644</v>
      </c>
      <c r="C11638" s="504" t="s">
        <v>1089</v>
      </c>
      <c r="D11638" s="504" t="s">
        <v>3392</v>
      </c>
      <c r="E11638" s="504" t="s">
        <v>3381</v>
      </c>
      <c r="F11638" s="504" t="s">
        <v>2</v>
      </c>
      <c r="G11638" s="504" t="s">
        <v>3368</v>
      </c>
      <c r="H11638" s="504" t="s">
        <v>13889</v>
      </c>
      <c r="I11638" s="504">
        <v>266</v>
      </c>
      <c r="J11638" s="504">
        <v>0</v>
      </c>
      <c r="K11638" s="504">
        <v>0</v>
      </c>
      <c r="L11638" s="504">
        <v>266</v>
      </c>
      <c r="M11638" s="504">
        <v>0</v>
      </c>
      <c r="N11638" s="504">
        <v>0</v>
      </c>
      <c r="O11638" s="505">
        <v>0</v>
      </c>
    </row>
    <row r="11639" spans="1:15" x14ac:dyDescent="0.35">
      <c r="A11639" s="500" t="s">
        <v>1945</v>
      </c>
      <c r="B11639" s="501">
        <v>4854</v>
      </c>
      <c r="C11639" s="501" t="s">
        <v>1089</v>
      </c>
      <c r="D11639" s="501" t="s">
        <v>3392</v>
      </c>
      <c r="E11639" s="501" t="s">
        <v>3381</v>
      </c>
      <c r="F11639" s="501" t="s">
        <v>2</v>
      </c>
      <c r="G11639" s="501" t="s">
        <v>3368</v>
      </c>
      <c r="H11639" s="501" t="s">
        <v>13890</v>
      </c>
      <c r="I11639" s="501">
        <v>57</v>
      </c>
      <c r="J11639" s="501">
        <v>0</v>
      </c>
      <c r="K11639" s="501">
        <v>0</v>
      </c>
      <c r="L11639" s="501">
        <v>57</v>
      </c>
      <c r="M11639" s="501">
        <v>0</v>
      </c>
      <c r="N11639" s="501">
        <v>0</v>
      </c>
      <c r="O11639" s="506">
        <v>0</v>
      </c>
    </row>
    <row r="11640" spans="1:15" x14ac:dyDescent="0.35">
      <c r="A11640" s="503" t="s">
        <v>1946</v>
      </c>
      <c r="B11640" s="504">
        <v>4875</v>
      </c>
      <c r="C11640" s="504" t="s">
        <v>1089</v>
      </c>
      <c r="D11640" s="504" t="s">
        <v>3392</v>
      </c>
      <c r="E11640" s="504" t="s">
        <v>3381</v>
      </c>
      <c r="F11640" s="504" t="s">
        <v>2</v>
      </c>
      <c r="G11640" s="504" t="s">
        <v>3368</v>
      </c>
      <c r="H11640" s="504" t="s">
        <v>13891</v>
      </c>
      <c r="I11640" s="504">
        <v>144</v>
      </c>
      <c r="J11640" s="504">
        <v>0</v>
      </c>
      <c r="K11640" s="504">
        <v>0</v>
      </c>
      <c r="L11640" s="504">
        <v>144</v>
      </c>
      <c r="M11640" s="504">
        <v>0</v>
      </c>
      <c r="N11640" s="504">
        <v>0</v>
      </c>
      <c r="O11640" s="505">
        <v>0</v>
      </c>
    </row>
    <row r="11641" spans="1:15" x14ac:dyDescent="0.35">
      <c r="A11641" s="500" t="s">
        <v>11479</v>
      </c>
      <c r="B11641" s="501" t="s">
        <v>2934</v>
      </c>
      <c r="C11641" s="501" t="s">
        <v>1089</v>
      </c>
      <c r="D11641" s="501" t="s">
        <v>3392</v>
      </c>
      <c r="E11641" s="501" t="s">
        <v>3381</v>
      </c>
      <c r="F11641" s="501" t="s">
        <v>416</v>
      </c>
      <c r="G11641" s="501" t="s">
        <v>3368</v>
      </c>
      <c r="H11641" s="501" t="s">
        <v>13892</v>
      </c>
      <c r="I11641" s="501">
        <v>395</v>
      </c>
      <c r="J11641" s="501">
        <v>0</v>
      </c>
      <c r="K11641" s="501">
        <v>8</v>
      </c>
      <c r="L11641" s="501">
        <v>387</v>
      </c>
      <c r="M11641" s="501">
        <v>0</v>
      </c>
      <c r="N11641" s="501">
        <v>0</v>
      </c>
      <c r="O11641" s="506">
        <v>0</v>
      </c>
    </row>
    <row r="11642" spans="1:15" x14ac:dyDescent="0.35">
      <c r="A11642" s="503" t="s">
        <v>1383</v>
      </c>
      <c r="B11642" s="504" t="s">
        <v>2928</v>
      </c>
      <c r="C11642" s="504" t="s">
        <v>1089</v>
      </c>
      <c r="D11642" s="504" t="s">
        <v>3392</v>
      </c>
      <c r="E11642" s="504" t="s">
        <v>3381</v>
      </c>
      <c r="F11642" s="504" t="s">
        <v>415</v>
      </c>
      <c r="G11642" s="504" t="s">
        <v>3368</v>
      </c>
      <c r="H11642" s="504" t="s">
        <v>13893</v>
      </c>
      <c r="I11642" s="504">
        <v>210</v>
      </c>
      <c r="J11642" s="504">
        <v>0</v>
      </c>
      <c r="K11642" s="504">
        <v>0</v>
      </c>
      <c r="L11642" s="504">
        <v>210</v>
      </c>
      <c r="M11642" s="504">
        <v>0</v>
      </c>
      <c r="N11642" s="504">
        <v>0</v>
      </c>
      <c r="O11642" s="505">
        <v>0</v>
      </c>
    </row>
    <row r="11643" spans="1:15" x14ac:dyDescent="0.35">
      <c r="A11643" s="500" t="s">
        <v>11437</v>
      </c>
      <c r="B11643" s="501" t="s">
        <v>2947</v>
      </c>
      <c r="C11643" s="501" t="s">
        <v>1089</v>
      </c>
      <c r="D11643" s="501" t="s">
        <v>3392</v>
      </c>
      <c r="E11643" s="501" t="s">
        <v>3381</v>
      </c>
      <c r="F11643" s="501" t="s">
        <v>420</v>
      </c>
      <c r="G11643" s="501" t="s">
        <v>3368</v>
      </c>
      <c r="H11643" s="501" t="s">
        <v>13894</v>
      </c>
      <c r="I11643" s="501">
        <v>203</v>
      </c>
      <c r="J11643" s="501">
        <v>0</v>
      </c>
      <c r="K11643" s="501">
        <v>0</v>
      </c>
      <c r="L11643" s="501">
        <v>203</v>
      </c>
      <c r="M11643" s="501">
        <v>0</v>
      </c>
      <c r="N11643" s="501">
        <v>0</v>
      </c>
      <c r="O11643" s="506">
        <v>0</v>
      </c>
    </row>
    <row r="11644" spans="1:15" x14ac:dyDescent="0.35">
      <c r="A11644" s="503" t="s">
        <v>1666</v>
      </c>
      <c r="B11644" s="504">
        <v>4793</v>
      </c>
      <c r="C11644" s="504" t="s">
        <v>1089</v>
      </c>
      <c r="D11644" s="504" t="s">
        <v>3392</v>
      </c>
      <c r="E11644" s="504" t="s">
        <v>3381</v>
      </c>
      <c r="F11644" s="504" t="s">
        <v>417</v>
      </c>
      <c r="G11644" s="504" t="s">
        <v>3368</v>
      </c>
      <c r="H11644" s="504" t="s">
        <v>13895</v>
      </c>
      <c r="I11644" s="504">
        <v>24</v>
      </c>
      <c r="J11644" s="504">
        <v>0</v>
      </c>
      <c r="K11644" s="504">
        <v>0</v>
      </c>
      <c r="L11644" s="504">
        <v>24</v>
      </c>
      <c r="M11644" s="504">
        <v>0</v>
      </c>
      <c r="N11644" s="504">
        <v>0</v>
      </c>
      <c r="O11644" s="505">
        <v>0</v>
      </c>
    </row>
    <row r="11645" spans="1:15" x14ac:dyDescent="0.35">
      <c r="A11645" s="500" t="s">
        <v>14389</v>
      </c>
      <c r="B11645" s="501" t="s">
        <v>2910</v>
      </c>
      <c r="C11645" s="501" t="s">
        <v>1089</v>
      </c>
      <c r="D11645" s="501" t="s">
        <v>3392</v>
      </c>
      <c r="E11645" s="501" t="s">
        <v>3381</v>
      </c>
      <c r="F11645" s="501" t="s">
        <v>414</v>
      </c>
      <c r="G11645" s="501" t="s">
        <v>3368</v>
      </c>
      <c r="H11645" s="501" t="s">
        <v>15453</v>
      </c>
      <c r="I11645" s="501">
        <v>143</v>
      </c>
      <c r="J11645" s="501">
        <v>0</v>
      </c>
      <c r="K11645" s="501">
        <v>0</v>
      </c>
      <c r="L11645" s="501">
        <v>143</v>
      </c>
      <c r="M11645" s="501">
        <v>0</v>
      </c>
      <c r="N11645" s="501">
        <v>0</v>
      </c>
      <c r="O11645" s="506">
        <v>0</v>
      </c>
    </row>
    <row r="11646" spans="1:15" x14ac:dyDescent="0.35">
      <c r="A11646" s="503" t="s">
        <v>14389</v>
      </c>
      <c r="B11646" s="504" t="s">
        <v>2910</v>
      </c>
      <c r="C11646" s="504" t="s">
        <v>1089</v>
      </c>
      <c r="D11646" s="504" t="s">
        <v>3392</v>
      </c>
      <c r="E11646" s="504" t="s">
        <v>3381</v>
      </c>
      <c r="F11646" s="504" t="s">
        <v>1048</v>
      </c>
      <c r="G11646" s="504" t="s">
        <v>3368</v>
      </c>
      <c r="H11646" s="504" t="s">
        <v>15454</v>
      </c>
      <c r="I11646" s="504">
        <v>21</v>
      </c>
      <c r="J11646" s="504">
        <v>0</v>
      </c>
      <c r="K11646" s="504">
        <v>0</v>
      </c>
      <c r="L11646" s="504">
        <v>21</v>
      </c>
      <c r="M11646" s="504">
        <v>0</v>
      </c>
      <c r="N11646" s="504">
        <v>0</v>
      </c>
      <c r="O11646" s="505">
        <v>0</v>
      </c>
    </row>
    <row r="11647" spans="1:15" x14ac:dyDescent="0.35">
      <c r="A11647" s="500" t="s">
        <v>1788</v>
      </c>
      <c r="B11647" s="501" t="s">
        <v>3298</v>
      </c>
      <c r="C11647" s="501" t="s">
        <v>1089</v>
      </c>
      <c r="D11647" s="501" t="s">
        <v>3392</v>
      </c>
      <c r="E11647" s="501" t="s">
        <v>3381</v>
      </c>
      <c r="F11647" s="501" t="s">
        <v>418</v>
      </c>
      <c r="G11647" s="501" t="s">
        <v>3368</v>
      </c>
      <c r="H11647" s="501" t="s">
        <v>13896</v>
      </c>
      <c r="I11647" s="501">
        <v>147</v>
      </c>
      <c r="J11647" s="501">
        <v>44</v>
      </c>
      <c r="K11647" s="501">
        <v>0</v>
      </c>
      <c r="L11647" s="501">
        <v>103</v>
      </c>
      <c r="M11647" s="501">
        <v>0</v>
      </c>
      <c r="N11647" s="501">
        <v>0</v>
      </c>
      <c r="O11647" s="506">
        <v>0</v>
      </c>
    </row>
    <row r="11648" spans="1:15" x14ac:dyDescent="0.35">
      <c r="A11648" s="503" t="s">
        <v>1607</v>
      </c>
      <c r="B11648" s="504" t="s">
        <v>3324</v>
      </c>
      <c r="C11648" s="504" t="s">
        <v>1094</v>
      </c>
      <c r="D11648" s="504" t="s">
        <v>3392</v>
      </c>
      <c r="E11648" s="504" t="s">
        <v>3381</v>
      </c>
      <c r="F11648" s="504" t="s">
        <v>416</v>
      </c>
      <c r="G11648" s="504" t="s">
        <v>3368</v>
      </c>
      <c r="H11648" s="504" t="s">
        <v>13898</v>
      </c>
      <c r="I11648" s="504">
        <v>671</v>
      </c>
      <c r="J11648" s="504">
        <v>56</v>
      </c>
      <c r="K11648" s="504">
        <v>0</v>
      </c>
      <c r="L11648" s="504">
        <v>615</v>
      </c>
      <c r="M11648" s="504">
        <v>0</v>
      </c>
      <c r="N11648" s="504">
        <v>0</v>
      </c>
      <c r="O11648" s="505">
        <v>0</v>
      </c>
    </row>
    <row r="11649" spans="1:15" x14ac:dyDescent="0.35">
      <c r="A11649" s="500" t="s">
        <v>1607</v>
      </c>
      <c r="B11649" s="501" t="s">
        <v>3324</v>
      </c>
      <c r="C11649" s="501" t="s">
        <v>1094</v>
      </c>
      <c r="D11649" s="501" t="s">
        <v>3392</v>
      </c>
      <c r="E11649" s="501" t="s">
        <v>3381</v>
      </c>
      <c r="F11649" s="501" t="s">
        <v>2</v>
      </c>
      <c r="G11649" s="501" t="s">
        <v>3368</v>
      </c>
      <c r="H11649" s="501" t="s">
        <v>13897</v>
      </c>
      <c r="I11649" s="501">
        <v>55</v>
      </c>
      <c r="J11649" s="501">
        <v>0</v>
      </c>
      <c r="K11649" s="501">
        <v>0</v>
      </c>
      <c r="L11649" s="501">
        <v>55</v>
      </c>
      <c r="M11649" s="501">
        <v>0</v>
      </c>
      <c r="N11649" s="501">
        <v>0</v>
      </c>
      <c r="O11649" s="506">
        <v>0</v>
      </c>
    </row>
    <row r="11650" spans="1:15" x14ac:dyDescent="0.35">
      <c r="A11650" s="503" t="s">
        <v>1608</v>
      </c>
      <c r="B11650" s="504" t="s">
        <v>3228</v>
      </c>
      <c r="C11650" s="504" t="s">
        <v>1089</v>
      </c>
      <c r="D11650" s="504" t="s">
        <v>3392</v>
      </c>
      <c r="E11650" s="504" t="s">
        <v>3381</v>
      </c>
      <c r="F11650" s="504" t="s">
        <v>2</v>
      </c>
      <c r="G11650" s="504" t="s">
        <v>3368</v>
      </c>
      <c r="H11650" s="504" t="s">
        <v>13900</v>
      </c>
      <c r="I11650" s="504">
        <v>56</v>
      </c>
      <c r="J11650" s="504">
        <v>0</v>
      </c>
      <c r="K11650" s="504">
        <v>0</v>
      </c>
      <c r="L11650" s="504">
        <v>56</v>
      </c>
      <c r="M11650" s="504">
        <v>0</v>
      </c>
      <c r="N11650" s="504">
        <v>0</v>
      </c>
      <c r="O11650" s="505">
        <v>0</v>
      </c>
    </row>
    <row r="11651" spans="1:15" x14ac:dyDescent="0.35">
      <c r="A11651" s="500" t="s">
        <v>1608</v>
      </c>
      <c r="B11651" s="501" t="s">
        <v>3228</v>
      </c>
      <c r="C11651" s="501" t="s">
        <v>1089</v>
      </c>
      <c r="D11651" s="501" t="s">
        <v>3392</v>
      </c>
      <c r="E11651" s="501" t="s">
        <v>3381</v>
      </c>
      <c r="F11651" s="501" t="s">
        <v>416</v>
      </c>
      <c r="G11651" s="501" t="s">
        <v>3368</v>
      </c>
      <c r="H11651" s="501" t="s">
        <v>13899</v>
      </c>
      <c r="I11651" s="501">
        <v>209</v>
      </c>
      <c r="J11651" s="501">
        <v>43</v>
      </c>
      <c r="K11651" s="501">
        <v>0</v>
      </c>
      <c r="L11651" s="501">
        <v>166</v>
      </c>
      <c r="M11651" s="501">
        <v>0</v>
      </c>
      <c r="N11651" s="501">
        <v>0</v>
      </c>
      <c r="O11651" s="506">
        <v>0</v>
      </c>
    </row>
    <row r="11652" spans="1:15" x14ac:dyDescent="0.35">
      <c r="A11652" s="503" t="s">
        <v>1384</v>
      </c>
      <c r="B11652" s="504" t="s">
        <v>2938</v>
      </c>
      <c r="C11652" s="504" t="s">
        <v>1089</v>
      </c>
      <c r="D11652" s="504" t="s">
        <v>3392</v>
      </c>
      <c r="E11652" s="504" t="s">
        <v>3381</v>
      </c>
      <c r="F11652" s="504" t="s">
        <v>415</v>
      </c>
      <c r="G11652" s="504" t="s">
        <v>3368</v>
      </c>
      <c r="H11652" s="504" t="s">
        <v>13901</v>
      </c>
      <c r="I11652" s="504">
        <v>275</v>
      </c>
      <c r="J11652" s="504">
        <v>0</v>
      </c>
      <c r="K11652" s="504">
        <v>0</v>
      </c>
      <c r="L11652" s="504">
        <v>275</v>
      </c>
      <c r="M11652" s="504">
        <v>0</v>
      </c>
      <c r="N11652" s="504">
        <v>0</v>
      </c>
      <c r="O11652" s="505">
        <v>0</v>
      </c>
    </row>
    <row r="11653" spans="1:15" x14ac:dyDescent="0.35">
      <c r="A11653" s="500" t="s">
        <v>1384</v>
      </c>
      <c r="B11653" s="501" t="s">
        <v>2938</v>
      </c>
      <c r="C11653" s="501" t="s">
        <v>1089</v>
      </c>
      <c r="D11653" s="501" t="s">
        <v>3392</v>
      </c>
      <c r="E11653" s="501" t="s">
        <v>3381</v>
      </c>
      <c r="F11653" s="501" t="s">
        <v>418</v>
      </c>
      <c r="G11653" s="501" t="s">
        <v>3368</v>
      </c>
      <c r="H11653" s="501" t="s">
        <v>13902</v>
      </c>
      <c r="I11653" s="501">
        <v>26</v>
      </c>
      <c r="J11653" s="501">
        <v>0</v>
      </c>
      <c r="K11653" s="501">
        <v>0</v>
      </c>
      <c r="L11653" s="501">
        <v>26</v>
      </c>
      <c r="M11653" s="501">
        <v>0</v>
      </c>
      <c r="N11653" s="501">
        <v>0</v>
      </c>
      <c r="O11653" s="506">
        <v>0</v>
      </c>
    </row>
    <row r="11654" spans="1:15" x14ac:dyDescent="0.35">
      <c r="A11654" s="503" t="s">
        <v>2132</v>
      </c>
      <c r="B11654" s="504" t="s">
        <v>2512</v>
      </c>
      <c r="C11654" s="504" t="s">
        <v>1089</v>
      </c>
      <c r="D11654" s="504" t="s">
        <v>3392</v>
      </c>
      <c r="E11654" s="504" t="s">
        <v>3381</v>
      </c>
      <c r="F11654" s="504" t="s">
        <v>420</v>
      </c>
      <c r="G11654" s="504" t="s">
        <v>3368</v>
      </c>
      <c r="H11654" s="504" t="s">
        <v>13903</v>
      </c>
      <c r="I11654" s="504">
        <v>195</v>
      </c>
      <c r="J11654" s="504">
        <v>0</v>
      </c>
      <c r="K11654" s="504">
        <v>0</v>
      </c>
      <c r="L11654" s="504">
        <v>0</v>
      </c>
      <c r="M11654" s="504">
        <v>195</v>
      </c>
      <c r="N11654" s="504">
        <v>0</v>
      </c>
      <c r="O11654" s="505">
        <v>0</v>
      </c>
    </row>
    <row r="11655" spans="1:15" x14ac:dyDescent="0.35">
      <c r="A11655" s="500" t="s">
        <v>2191</v>
      </c>
      <c r="B11655" s="501" t="s">
        <v>3033</v>
      </c>
      <c r="C11655" s="501" t="s">
        <v>1089</v>
      </c>
      <c r="D11655" s="501" t="s">
        <v>3392</v>
      </c>
      <c r="E11655" s="501" t="s">
        <v>3381</v>
      </c>
      <c r="F11655" s="501" t="s">
        <v>1048</v>
      </c>
      <c r="G11655" s="501" t="s">
        <v>3368</v>
      </c>
      <c r="H11655" s="501" t="s">
        <v>14088</v>
      </c>
      <c r="I11655" s="501">
        <v>826</v>
      </c>
      <c r="J11655" s="501">
        <v>522</v>
      </c>
      <c r="K11655" s="501">
        <v>6</v>
      </c>
      <c r="L11655" s="501">
        <v>167</v>
      </c>
      <c r="M11655" s="501">
        <v>131</v>
      </c>
      <c r="N11655" s="501">
        <v>0</v>
      </c>
      <c r="O11655" s="506">
        <v>0</v>
      </c>
    </row>
    <row r="11656" spans="1:15" x14ac:dyDescent="0.35">
      <c r="A11656" s="503" t="s">
        <v>1789</v>
      </c>
      <c r="B11656" s="504" t="s">
        <v>3219</v>
      </c>
      <c r="C11656" s="504" t="s">
        <v>1094</v>
      </c>
      <c r="D11656" s="504" t="s">
        <v>3380</v>
      </c>
      <c r="E11656" s="504" t="s">
        <v>3381</v>
      </c>
      <c r="F11656" s="504" t="s">
        <v>1048</v>
      </c>
      <c r="G11656" s="504" t="s">
        <v>3368</v>
      </c>
      <c r="H11656" s="504" t="s">
        <v>14089</v>
      </c>
      <c r="I11656" s="504">
        <v>17551</v>
      </c>
      <c r="J11656" s="504">
        <v>15303</v>
      </c>
      <c r="K11656" s="504">
        <v>10</v>
      </c>
      <c r="L11656" s="504">
        <v>395</v>
      </c>
      <c r="M11656" s="504">
        <v>842</v>
      </c>
      <c r="N11656" s="504">
        <v>6</v>
      </c>
      <c r="O11656" s="505">
        <v>1001</v>
      </c>
    </row>
    <row r="11657" spans="1:15" x14ac:dyDescent="0.35">
      <c r="A11657" s="500" t="s">
        <v>1789</v>
      </c>
      <c r="B11657" s="501" t="s">
        <v>3219</v>
      </c>
      <c r="C11657" s="501" t="s">
        <v>1094</v>
      </c>
      <c r="D11657" s="501" t="s">
        <v>3380</v>
      </c>
      <c r="E11657" s="501" t="s">
        <v>3381</v>
      </c>
      <c r="F11657" s="501" t="s">
        <v>418</v>
      </c>
      <c r="G11657" s="501" t="s">
        <v>3368</v>
      </c>
      <c r="H11657" s="501" t="s">
        <v>13904</v>
      </c>
      <c r="I11657" s="501">
        <v>24</v>
      </c>
      <c r="J11657" s="501">
        <v>1</v>
      </c>
      <c r="K11657" s="501">
        <v>0</v>
      </c>
      <c r="L11657" s="501">
        <v>0</v>
      </c>
      <c r="M11657" s="501">
        <v>23</v>
      </c>
      <c r="N11657" s="501">
        <v>0</v>
      </c>
      <c r="O11657" s="506">
        <v>0</v>
      </c>
    </row>
    <row r="11658" spans="1:15" x14ac:dyDescent="0.35">
      <c r="A11658" s="503" t="s">
        <v>2192</v>
      </c>
      <c r="B11658" s="504" t="s">
        <v>3270</v>
      </c>
      <c r="C11658" s="504" t="s">
        <v>1089</v>
      </c>
      <c r="D11658" s="504" t="s">
        <v>3392</v>
      </c>
      <c r="E11658" s="504" t="s">
        <v>3381</v>
      </c>
      <c r="F11658" s="504" t="s">
        <v>1048</v>
      </c>
      <c r="G11658" s="504" t="s">
        <v>3368</v>
      </c>
      <c r="H11658" s="504" t="s">
        <v>14090</v>
      </c>
      <c r="I11658" s="504">
        <v>30</v>
      </c>
      <c r="J11658" s="504">
        <v>0</v>
      </c>
      <c r="K11658" s="504">
        <v>0</v>
      </c>
      <c r="L11658" s="504">
        <v>0</v>
      </c>
      <c r="M11658" s="504">
        <v>30</v>
      </c>
      <c r="N11658" s="504">
        <v>0</v>
      </c>
      <c r="O11658" s="505">
        <v>0</v>
      </c>
    </row>
    <row r="11659" spans="1:15" x14ac:dyDescent="0.35">
      <c r="A11659" s="500" t="s">
        <v>1266</v>
      </c>
      <c r="B11659" s="501" t="s">
        <v>3071</v>
      </c>
      <c r="C11659" s="501" t="s">
        <v>1094</v>
      </c>
      <c r="D11659" s="501" t="s">
        <v>3380</v>
      </c>
      <c r="E11659" s="501" t="s">
        <v>3381</v>
      </c>
      <c r="F11659" s="501" t="s">
        <v>1048</v>
      </c>
      <c r="G11659" s="501" t="s">
        <v>3368</v>
      </c>
      <c r="H11659" s="501" t="s">
        <v>14091</v>
      </c>
      <c r="I11659" s="501">
        <v>918</v>
      </c>
      <c r="J11659" s="501">
        <v>474</v>
      </c>
      <c r="K11659" s="501">
        <v>0</v>
      </c>
      <c r="L11659" s="501">
        <v>0</v>
      </c>
      <c r="M11659" s="501">
        <v>331</v>
      </c>
      <c r="N11659" s="501">
        <v>0</v>
      </c>
      <c r="O11659" s="506">
        <v>113</v>
      </c>
    </row>
    <row r="11660" spans="1:15" x14ac:dyDescent="0.35">
      <c r="A11660" s="503" t="s">
        <v>1266</v>
      </c>
      <c r="B11660" s="504" t="s">
        <v>3071</v>
      </c>
      <c r="C11660" s="504" t="s">
        <v>1094</v>
      </c>
      <c r="D11660" s="504" t="s">
        <v>3380</v>
      </c>
      <c r="E11660" s="504" t="s">
        <v>3381</v>
      </c>
      <c r="F11660" s="504" t="s">
        <v>418</v>
      </c>
      <c r="G11660" s="504" t="s">
        <v>3368</v>
      </c>
      <c r="H11660" s="504" t="s">
        <v>13905</v>
      </c>
      <c r="I11660" s="504">
        <v>19177</v>
      </c>
      <c r="J11660" s="504">
        <v>14406</v>
      </c>
      <c r="K11660" s="504">
        <v>0</v>
      </c>
      <c r="L11660" s="504">
        <v>774</v>
      </c>
      <c r="M11660" s="504">
        <v>2478</v>
      </c>
      <c r="N11660" s="504">
        <v>0</v>
      </c>
      <c r="O11660" s="505">
        <v>1519</v>
      </c>
    </row>
    <row r="11661" spans="1:15" x14ac:dyDescent="0.35">
      <c r="A11661" s="500" t="s">
        <v>1266</v>
      </c>
      <c r="B11661" s="501" t="s">
        <v>3071</v>
      </c>
      <c r="C11661" s="501" t="s">
        <v>1094</v>
      </c>
      <c r="D11661" s="501" t="s">
        <v>3380</v>
      </c>
      <c r="E11661" s="501" t="s">
        <v>3381</v>
      </c>
      <c r="F11661" s="501" t="s">
        <v>420</v>
      </c>
      <c r="G11661" s="501" t="s">
        <v>3368</v>
      </c>
      <c r="H11661" s="501" t="s">
        <v>13906</v>
      </c>
      <c r="I11661" s="501">
        <v>3243</v>
      </c>
      <c r="J11661" s="501">
        <v>2704</v>
      </c>
      <c r="K11661" s="501">
        <v>5</v>
      </c>
      <c r="L11661" s="501">
        <v>13</v>
      </c>
      <c r="M11661" s="501">
        <v>486</v>
      </c>
      <c r="N11661" s="501">
        <v>0</v>
      </c>
      <c r="O11661" s="506">
        <v>35</v>
      </c>
    </row>
    <row r="11662" spans="1:15" x14ac:dyDescent="0.35">
      <c r="A11662" s="503" t="s">
        <v>1266</v>
      </c>
      <c r="B11662" s="504" t="s">
        <v>3071</v>
      </c>
      <c r="C11662" s="504" t="s">
        <v>1094</v>
      </c>
      <c r="D11662" s="504" t="s">
        <v>3380</v>
      </c>
      <c r="E11662" s="504" t="s">
        <v>3381</v>
      </c>
      <c r="F11662" s="504" t="s">
        <v>414</v>
      </c>
      <c r="G11662" s="504" t="s">
        <v>3368</v>
      </c>
      <c r="H11662" s="504" t="s">
        <v>13907</v>
      </c>
      <c r="I11662" s="504">
        <v>175</v>
      </c>
      <c r="J11662" s="504">
        <v>160</v>
      </c>
      <c r="K11662" s="504">
        <v>0</v>
      </c>
      <c r="L11662" s="504">
        <v>0</v>
      </c>
      <c r="M11662" s="504">
        <v>0</v>
      </c>
      <c r="N11662" s="504">
        <v>0</v>
      </c>
      <c r="O11662" s="505">
        <v>15</v>
      </c>
    </row>
    <row r="11663" spans="1:15" x14ac:dyDescent="0.35">
      <c r="A11663" s="500" t="s">
        <v>1266</v>
      </c>
      <c r="B11663" s="501" t="s">
        <v>3071</v>
      </c>
      <c r="C11663" s="501" t="s">
        <v>1094</v>
      </c>
      <c r="D11663" s="501" t="s">
        <v>3380</v>
      </c>
      <c r="E11663" s="501" t="s">
        <v>3381</v>
      </c>
      <c r="F11663" s="501" t="s">
        <v>416</v>
      </c>
      <c r="G11663" s="501" t="s">
        <v>3368</v>
      </c>
      <c r="H11663" s="501" t="s">
        <v>13908</v>
      </c>
      <c r="I11663" s="501">
        <v>1</v>
      </c>
      <c r="J11663" s="501">
        <v>0</v>
      </c>
      <c r="K11663" s="501">
        <v>0</v>
      </c>
      <c r="L11663" s="501">
        <v>0</v>
      </c>
      <c r="M11663" s="501">
        <v>0</v>
      </c>
      <c r="N11663" s="501">
        <v>0</v>
      </c>
      <c r="O11663" s="506">
        <v>1</v>
      </c>
    </row>
    <row r="11664" spans="1:15" x14ac:dyDescent="0.35">
      <c r="A11664" s="503" t="s">
        <v>1790</v>
      </c>
      <c r="B11664" s="504" t="s">
        <v>2748</v>
      </c>
      <c r="C11664" s="504" t="s">
        <v>1089</v>
      </c>
      <c r="D11664" s="504" t="s">
        <v>3392</v>
      </c>
      <c r="E11664" s="504" t="s">
        <v>3381</v>
      </c>
      <c r="F11664" s="504" t="s">
        <v>418</v>
      </c>
      <c r="G11664" s="504" t="s">
        <v>3368</v>
      </c>
      <c r="H11664" s="504" t="s">
        <v>13909</v>
      </c>
      <c r="I11664" s="504">
        <v>6</v>
      </c>
      <c r="J11664" s="504">
        <v>6</v>
      </c>
      <c r="K11664" s="504">
        <v>0</v>
      </c>
      <c r="L11664" s="504">
        <v>0</v>
      </c>
      <c r="M11664" s="504">
        <v>0</v>
      </c>
      <c r="N11664" s="504">
        <v>0</v>
      </c>
      <c r="O11664" s="505">
        <v>0</v>
      </c>
    </row>
    <row r="11665" spans="1:15" x14ac:dyDescent="0.35">
      <c r="A11665" s="500" t="s">
        <v>1156</v>
      </c>
      <c r="B11665" s="501" t="s">
        <v>3310</v>
      </c>
      <c r="C11665" s="501" t="s">
        <v>1094</v>
      </c>
      <c r="D11665" s="501" t="s">
        <v>3380</v>
      </c>
      <c r="E11665" s="501" t="s">
        <v>3381</v>
      </c>
      <c r="F11665" s="501" t="s">
        <v>414</v>
      </c>
      <c r="G11665" s="501" t="s">
        <v>3368</v>
      </c>
      <c r="H11665" s="501" t="s">
        <v>13914</v>
      </c>
      <c r="I11665" s="501">
        <v>1135</v>
      </c>
      <c r="J11665" s="501">
        <v>738</v>
      </c>
      <c r="K11665" s="501">
        <v>0</v>
      </c>
      <c r="L11665" s="501">
        <v>59</v>
      </c>
      <c r="M11665" s="501">
        <v>87</v>
      </c>
      <c r="N11665" s="501">
        <v>0</v>
      </c>
      <c r="O11665" s="506">
        <v>251</v>
      </c>
    </row>
    <row r="11666" spans="1:15" x14ac:dyDescent="0.35">
      <c r="A11666" s="503" t="s">
        <v>1156</v>
      </c>
      <c r="B11666" s="504" t="s">
        <v>3310</v>
      </c>
      <c r="C11666" s="504" t="s">
        <v>1094</v>
      </c>
      <c r="D11666" s="504" t="s">
        <v>3380</v>
      </c>
      <c r="E11666" s="504" t="s">
        <v>3381</v>
      </c>
      <c r="F11666" s="504" t="s">
        <v>1048</v>
      </c>
      <c r="G11666" s="504" t="s">
        <v>3368</v>
      </c>
      <c r="H11666" s="504" t="s">
        <v>14092</v>
      </c>
      <c r="I11666" s="504">
        <v>1</v>
      </c>
      <c r="J11666" s="504">
        <v>0</v>
      </c>
      <c r="K11666" s="504">
        <v>0</v>
      </c>
      <c r="L11666" s="504">
        <v>0</v>
      </c>
      <c r="M11666" s="504">
        <v>0</v>
      </c>
      <c r="N11666" s="504">
        <v>0</v>
      </c>
      <c r="O11666" s="505">
        <v>1</v>
      </c>
    </row>
    <row r="11667" spans="1:15" x14ac:dyDescent="0.35">
      <c r="A11667" s="500" t="s">
        <v>1156</v>
      </c>
      <c r="B11667" s="501" t="s">
        <v>3310</v>
      </c>
      <c r="C11667" s="501" t="s">
        <v>1094</v>
      </c>
      <c r="D11667" s="501" t="s">
        <v>3380</v>
      </c>
      <c r="E11667" s="501" t="s">
        <v>3381</v>
      </c>
      <c r="F11667" s="501" t="s">
        <v>420</v>
      </c>
      <c r="G11667" s="501" t="s">
        <v>3368</v>
      </c>
      <c r="H11667" s="501" t="s">
        <v>13913</v>
      </c>
      <c r="I11667" s="501">
        <v>1</v>
      </c>
      <c r="J11667" s="501">
        <v>0</v>
      </c>
      <c r="K11667" s="501">
        <v>0</v>
      </c>
      <c r="L11667" s="501">
        <v>0</v>
      </c>
      <c r="M11667" s="501">
        <v>0</v>
      </c>
      <c r="N11667" s="501">
        <v>0</v>
      </c>
      <c r="O11667" s="506">
        <v>1</v>
      </c>
    </row>
    <row r="11668" spans="1:15" x14ac:dyDescent="0.35">
      <c r="A11668" s="503" t="s">
        <v>1156</v>
      </c>
      <c r="B11668" s="504" t="s">
        <v>3310</v>
      </c>
      <c r="C11668" s="504" t="s">
        <v>1094</v>
      </c>
      <c r="D11668" s="504" t="s">
        <v>3380</v>
      </c>
      <c r="E11668" s="504" t="s">
        <v>3381</v>
      </c>
      <c r="F11668" s="504" t="s">
        <v>415</v>
      </c>
      <c r="G11668" s="504" t="s">
        <v>3368</v>
      </c>
      <c r="H11668" s="504" t="s">
        <v>13912</v>
      </c>
      <c r="I11668" s="504">
        <v>13361</v>
      </c>
      <c r="J11668" s="504">
        <v>10356</v>
      </c>
      <c r="K11668" s="504">
        <v>66</v>
      </c>
      <c r="L11668" s="504">
        <v>108</v>
      </c>
      <c r="M11668" s="504">
        <v>721</v>
      </c>
      <c r="N11668" s="504">
        <v>0</v>
      </c>
      <c r="O11668" s="505">
        <v>2110</v>
      </c>
    </row>
    <row r="11669" spans="1:15" x14ac:dyDescent="0.35">
      <c r="A11669" s="500" t="s">
        <v>1156</v>
      </c>
      <c r="B11669" s="501" t="s">
        <v>3310</v>
      </c>
      <c r="C11669" s="501" t="s">
        <v>1094</v>
      </c>
      <c r="D11669" s="501" t="s">
        <v>3380</v>
      </c>
      <c r="E11669" s="501" t="s">
        <v>3381</v>
      </c>
      <c r="F11669" s="501" t="s">
        <v>2</v>
      </c>
      <c r="G11669" s="501" t="s">
        <v>3368</v>
      </c>
      <c r="H11669" s="501" t="s">
        <v>13911</v>
      </c>
      <c r="I11669" s="501">
        <v>1905</v>
      </c>
      <c r="J11669" s="501">
        <v>1023</v>
      </c>
      <c r="K11669" s="501">
        <v>100</v>
      </c>
      <c r="L11669" s="501">
        <v>28</v>
      </c>
      <c r="M11669" s="501">
        <v>178</v>
      </c>
      <c r="N11669" s="501">
        <v>0</v>
      </c>
      <c r="O11669" s="506">
        <v>576</v>
      </c>
    </row>
    <row r="11670" spans="1:15" x14ac:dyDescent="0.35">
      <c r="A11670" s="503" t="s">
        <v>1156</v>
      </c>
      <c r="B11670" s="504" t="s">
        <v>3310</v>
      </c>
      <c r="C11670" s="504" t="s">
        <v>1094</v>
      </c>
      <c r="D11670" s="504" t="s">
        <v>3380</v>
      </c>
      <c r="E11670" s="504" t="s">
        <v>3381</v>
      </c>
      <c r="F11670" s="504" t="s">
        <v>419</v>
      </c>
      <c r="G11670" s="504" t="s">
        <v>3368</v>
      </c>
      <c r="H11670" s="504" t="s">
        <v>13910</v>
      </c>
      <c r="I11670" s="504">
        <v>45</v>
      </c>
      <c r="J11670" s="504">
        <v>0</v>
      </c>
      <c r="K11670" s="504">
        <v>0</v>
      </c>
      <c r="L11670" s="504">
        <v>0</v>
      </c>
      <c r="M11670" s="504">
        <v>24</v>
      </c>
      <c r="N11670" s="504">
        <v>0</v>
      </c>
      <c r="O11670" s="505">
        <v>21</v>
      </c>
    </row>
    <row r="11671" spans="1:15" x14ac:dyDescent="0.35">
      <c r="A11671" s="500" t="s">
        <v>414</v>
      </c>
      <c r="B11671" s="501" t="s">
        <v>3368</v>
      </c>
      <c r="C11671" s="501" t="s">
        <v>79</v>
      </c>
      <c r="D11671" s="501" t="s">
        <v>3368</v>
      </c>
      <c r="E11671" s="501" t="s">
        <v>3368</v>
      </c>
      <c r="F11671" s="501" t="s">
        <v>6</v>
      </c>
      <c r="G11671" s="501" t="s">
        <v>6</v>
      </c>
      <c r="H11671" s="501" t="s">
        <v>13916</v>
      </c>
      <c r="I11671" s="501">
        <v>166913</v>
      </c>
      <c r="J11671" s="501">
        <v>118801</v>
      </c>
      <c r="K11671" s="501">
        <v>567</v>
      </c>
      <c r="L11671" s="501">
        <v>9179</v>
      </c>
      <c r="M11671" s="501">
        <v>22205</v>
      </c>
      <c r="N11671" s="501">
        <v>156</v>
      </c>
      <c r="O11671" s="506">
        <v>16161</v>
      </c>
    </row>
    <row r="11672" spans="1:15" x14ac:dyDescent="0.35">
      <c r="A11672" s="503" t="s">
        <v>415</v>
      </c>
      <c r="B11672" s="504" t="s">
        <v>3368</v>
      </c>
      <c r="C11672" s="504" t="s">
        <v>79</v>
      </c>
      <c r="D11672" s="504" t="s">
        <v>3368</v>
      </c>
      <c r="E11672" s="504" t="s">
        <v>3368</v>
      </c>
      <c r="F11672" s="504" t="s">
        <v>6</v>
      </c>
      <c r="G11672" s="504" t="s">
        <v>6</v>
      </c>
      <c r="H11672" s="504" t="s">
        <v>13917</v>
      </c>
      <c r="I11672" s="504">
        <v>293439</v>
      </c>
      <c r="J11672" s="504">
        <v>226684</v>
      </c>
      <c r="K11672" s="504">
        <v>1760</v>
      </c>
      <c r="L11672" s="504">
        <v>12055</v>
      </c>
      <c r="M11672" s="504">
        <v>27781</v>
      </c>
      <c r="N11672" s="504">
        <v>733</v>
      </c>
      <c r="O11672" s="505">
        <v>25159</v>
      </c>
    </row>
    <row r="11673" spans="1:15" x14ac:dyDescent="0.35">
      <c r="A11673" s="500" t="s">
        <v>416</v>
      </c>
      <c r="B11673" s="501" t="s">
        <v>3368</v>
      </c>
      <c r="C11673" s="501" t="s">
        <v>79</v>
      </c>
      <c r="D11673" s="501" t="s">
        <v>3368</v>
      </c>
      <c r="E11673" s="501" t="s">
        <v>3368</v>
      </c>
      <c r="F11673" s="501" t="s">
        <v>6</v>
      </c>
      <c r="G11673" s="501" t="s">
        <v>6</v>
      </c>
      <c r="H11673" s="501" t="s">
        <v>13918</v>
      </c>
      <c r="I11673" s="501">
        <v>474327</v>
      </c>
      <c r="J11673" s="501">
        <v>359727</v>
      </c>
      <c r="K11673" s="501">
        <v>5633</v>
      </c>
      <c r="L11673" s="501">
        <v>27656</v>
      </c>
      <c r="M11673" s="501">
        <v>28060</v>
      </c>
      <c r="N11673" s="501">
        <v>2554</v>
      </c>
      <c r="O11673" s="506">
        <v>53251</v>
      </c>
    </row>
    <row r="11674" spans="1:15" x14ac:dyDescent="0.35">
      <c r="A11674" s="503" t="s">
        <v>417</v>
      </c>
      <c r="B11674" s="504" t="s">
        <v>3368</v>
      </c>
      <c r="C11674" s="504" t="s">
        <v>79</v>
      </c>
      <c r="D11674" s="504" t="s">
        <v>3368</v>
      </c>
      <c r="E11674" s="504" t="s">
        <v>3368</v>
      </c>
      <c r="F11674" s="504" t="s">
        <v>6</v>
      </c>
      <c r="G11674" s="504" t="s">
        <v>6</v>
      </c>
      <c r="H11674" s="504" t="s">
        <v>13919</v>
      </c>
      <c r="I11674" s="504">
        <v>187649</v>
      </c>
      <c r="J11674" s="504">
        <v>159209</v>
      </c>
      <c r="K11674" s="504">
        <v>157</v>
      </c>
      <c r="L11674" s="504">
        <v>7115</v>
      </c>
      <c r="M11674" s="504">
        <v>16944</v>
      </c>
      <c r="N11674" s="504">
        <v>161</v>
      </c>
      <c r="O11674" s="505">
        <v>4224</v>
      </c>
    </row>
    <row r="11675" spans="1:15" x14ac:dyDescent="0.35">
      <c r="A11675" s="500" t="s">
        <v>418</v>
      </c>
      <c r="B11675" s="501" t="s">
        <v>3368</v>
      </c>
      <c r="C11675" s="501" t="s">
        <v>79</v>
      </c>
      <c r="D11675" s="501" t="s">
        <v>3368</v>
      </c>
      <c r="E11675" s="501" t="s">
        <v>3368</v>
      </c>
      <c r="F11675" s="501" t="s">
        <v>6</v>
      </c>
      <c r="G11675" s="501" t="s">
        <v>6</v>
      </c>
      <c r="H11675" s="501" t="s">
        <v>13920</v>
      </c>
      <c r="I11675" s="501">
        <v>528466</v>
      </c>
      <c r="J11675" s="501">
        <v>433492</v>
      </c>
      <c r="K11675" s="501">
        <v>138</v>
      </c>
      <c r="L11675" s="501">
        <v>24149</v>
      </c>
      <c r="M11675" s="501">
        <v>51691</v>
      </c>
      <c r="N11675" s="501">
        <v>786</v>
      </c>
      <c r="O11675" s="506">
        <v>18996</v>
      </c>
    </row>
    <row r="11676" spans="1:15" x14ac:dyDescent="0.35">
      <c r="A11676" s="503" t="s">
        <v>2</v>
      </c>
      <c r="B11676" s="504" t="s">
        <v>3368</v>
      </c>
      <c r="C11676" s="504" t="s">
        <v>79</v>
      </c>
      <c r="D11676" s="504" t="s">
        <v>3368</v>
      </c>
      <c r="E11676" s="504" t="s">
        <v>3368</v>
      </c>
      <c r="F11676" s="504" t="s">
        <v>6</v>
      </c>
      <c r="G11676" s="504" t="s">
        <v>6</v>
      </c>
      <c r="H11676" s="504" t="s">
        <v>13921</v>
      </c>
      <c r="I11676" s="504">
        <v>416163</v>
      </c>
      <c r="J11676" s="504">
        <v>308243</v>
      </c>
      <c r="K11676" s="504">
        <v>1143</v>
      </c>
      <c r="L11676" s="504">
        <v>15721</v>
      </c>
      <c r="M11676" s="504">
        <v>39365</v>
      </c>
      <c r="N11676" s="504">
        <v>1278</v>
      </c>
      <c r="O11676" s="505">
        <v>51691</v>
      </c>
    </row>
    <row r="11677" spans="1:15" x14ac:dyDescent="0.35">
      <c r="A11677" s="500" t="s">
        <v>419</v>
      </c>
      <c r="B11677" s="501" t="s">
        <v>3368</v>
      </c>
      <c r="C11677" s="501" t="s">
        <v>79</v>
      </c>
      <c r="D11677" s="501" t="s">
        <v>3368</v>
      </c>
      <c r="E11677" s="501" t="s">
        <v>3368</v>
      </c>
      <c r="F11677" s="501" t="s">
        <v>6</v>
      </c>
      <c r="G11677" s="501" t="s">
        <v>6</v>
      </c>
      <c r="H11677" s="501" t="s">
        <v>13922</v>
      </c>
      <c r="I11677" s="501">
        <v>272711</v>
      </c>
      <c r="J11677" s="501">
        <v>203240</v>
      </c>
      <c r="K11677" s="501">
        <v>217</v>
      </c>
      <c r="L11677" s="501">
        <v>14528</v>
      </c>
      <c r="M11677" s="501">
        <v>30014</v>
      </c>
      <c r="N11677" s="501">
        <v>341</v>
      </c>
      <c r="O11677" s="506">
        <v>24712</v>
      </c>
    </row>
    <row r="11678" spans="1:15" x14ac:dyDescent="0.35">
      <c r="A11678" s="503" t="s">
        <v>420</v>
      </c>
      <c r="B11678" s="504" t="s">
        <v>3368</v>
      </c>
      <c r="C11678" s="504" t="s">
        <v>79</v>
      </c>
      <c r="D11678" s="504" t="s">
        <v>3368</v>
      </c>
      <c r="E11678" s="504" t="s">
        <v>3368</v>
      </c>
      <c r="F11678" s="504" t="s">
        <v>6</v>
      </c>
      <c r="G11678" s="504" t="s">
        <v>6</v>
      </c>
      <c r="H11678" s="504" t="s">
        <v>13923</v>
      </c>
      <c r="I11678" s="504">
        <v>291912</v>
      </c>
      <c r="J11678" s="504">
        <v>227342</v>
      </c>
      <c r="K11678" s="504">
        <v>401</v>
      </c>
      <c r="L11678" s="504">
        <v>17290</v>
      </c>
      <c r="M11678" s="504">
        <v>27737</v>
      </c>
      <c r="N11678" s="504">
        <v>470</v>
      </c>
      <c r="O11678" s="505">
        <v>19142</v>
      </c>
    </row>
    <row r="11679" spans="1:15" x14ac:dyDescent="0.35">
      <c r="A11679" s="500" t="s">
        <v>1048</v>
      </c>
      <c r="B11679" s="501" t="s">
        <v>3368</v>
      </c>
      <c r="C11679" s="501" t="s">
        <v>79</v>
      </c>
      <c r="D11679" s="501" t="s">
        <v>3368</v>
      </c>
      <c r="E11679" s="501" t="s">
        <v>3368</v>
      </c>
      <c r="F11679" s="501" t="s">
        <v>6</v>
      </c>
      <c r="G11679" s="501" t="s">
        <v>6</v>
      </c>
      <c r="H11679" s="501" t="s">
        <v>15455</v>
      </c>
      <c r="I11679" s="501">
        <v>211020</v>
      </c>
      <c r="J11679" s="501">
        <v>169863</v>
      </c>
      <c r="K11679" s="501">
        <v>42</v>
      </c>
      <c r="L11679" s="501">
        <v>12630</v>
      </c>
      <c r="M11679" s="501">
        <v>18275</v>
      </c>
      <c r="N11679" s="501">
        <v>213</v>
      </c>
      <c r="O11679" s="506">
        <v>10210</v>
      </c>
    </row>
  </sheetData>
  <pageMargins left="0.7" right="0.7" top="0.75" bottom="0.75" header="0.3" footer="0.3"/>
  <pageSetup paperSize="9" orientation="portrait" r:id="rId1"/>
  <headerFooter>
    <oddFooter>&amp;C&amp;1#&amp;"Calibri"&amp;12&amp;K0078D7OFFICIAL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70F8A-BC59-44CD-AD9F-99C7E2041D88}">
  <sheetPr codeName="Sheet12">
    <tabColor rgb="FFFFC000"/>
  </sheetPr>
  <dimension ref="A1:D329"/>
  <sheetViews>
    <sheetView workbookViewId="0">
      <selection activeCell="D3" sqref="D3"/>
    </sheetView>
  </sheetViews>
  <sheetFormatPr defaultColWidth="8.7265625" defaultRowHeight="12.5" x14ac:dyDescent="0.25"/>
  <cols>
    <col min="1" max="1" width="18" style="373" customWidth="1"/>
    <col min="2" max="2" width="28.54296875" style="373" customWidth="1"/>
    <col min="3" max="3" width="9.54296875" style="373" customWidth="1"/>
    <col min="4" max="4" width="36.1796875" style="373" customWidth="1"/>
    <col min="5" max="16384" width="8.7265625" style="373"/>
  </cols>
  <sheetData>
    <row r="1" spans="1:4" ht="13" x14ac:dyDescent="0.3">
      <c r="A1" s="221" t="s">
        <v>11264</v>
      </c>
      <c r="B1" s="221" t="s">
        <v>1037</v>
      </c>
      <c r="C1" s="373">
        <f>COUNTIF(D2:D329,"?*")</f>
        <v>319</v>
      </c>
      <c r="D1" s="221" t="s">
        <v>11265</v>
      </c>
    </row>
    <row r="2" spans="1:4" x14ac:dyDescent="0.25">
      <c r="A2" s="373">
        <f>IF(ISNUMBER(SEARCH('Area summary'!$E$3,B2)),MAX($A$1:A1)+1,0)</f>
        <v>0</v>
      </c>
      <c r="B2" s="231"/>
      <c r="C2" s="373" t="str">
        <f ca="1">OFFSET($D$2,,,COUNTIF($D$2:$D$329,"?*"))</f>
        <v>England</v>
      </c>
      <c r="D2" s="373" t="str">
        <f>IFERROR(VLOOKUP(ROWS($D$2:D2),$A$2:$B$1424,2,0),"")</f>
        <v>England</v>
      </c>
    </row>
    <row r="3" spans="1:4" x14ac:dyDescent="0.25">
      <c r="A3" s="373">
        <f>IF(ISNUMBER(SEARCH('Area summary'!$E$3,B3)),MAX($A$1:A2)+1,0)</f>
        <v>1</v>
      </c>
      <c r="B3" s="468" t="s">
        <v>6</v>
      </c>
      <c r="D3" s="373" t="str">
        <f>IFERROR(VLOOKUP(ROWS($D$2:D3),$A$2:$B$1424,2,0),"")</f>
        <v>East Midlands</v>
      </c>
    </row>
    <row r="4" spans="1:4" x14ac:dyDescent="0.25">
      <c r="A4" s="373">
        <f>IF(ISNUMBER(SEARCH('Area summary'!$E$3,B4)),MAX($A$1:A3)+1,0)</f>
        <v>2</v>
      </c>
      <c r="B4" s="468" t="s">
        <v>414</v>
      </c>
      <c r="D4" s="373" t="str">
        <f>IFERROR(VLOOKUP(ROWS($D$2:D4),$A$2:$B$1424,2,0),"")</f>
        <v>East of England</v>
      </c>
    </row>
    <row r="5" spans="1:4" x14ac:dyDescent="0.25">
      <c r="A5" s="373">
        <f>IF(ISNUMBER(SEARCH('Area summary'!$E$3,B5)),MAX($A$1:A4)+1,0)</f>
        <v>3</v>
      </c>
      <c r="B5" s="468" t="s">
        <v>415</v>
      </c>
      <c r="D5" s="373" t="str">
        <f>IFERROR(VLOOKUP(ROWS($D$2:D5),$A$2:$B$1424,2,0),"")</f>
        <v>London</v>
      </c>
    </row>
    <row r="6" spans="1:4" x14ac:dyDescent="0.25">
      <c r="A6" s="373">
        <f>IF(ISNUMBER(SEARCH('Area summary'!$E$3,B6)),MAX($A$1:A5)+1,0)</f>
        <v>4</v>
      </c>
      <c r="B6" s="468" t="s">
        <v>416</v>
      </c>
      <c r="D6" s="373" t="str">
        <f>IFERROR(VLOOKUP(ROWS($D$2:D6),$A$2:$B$1424,2,0),"")</f>
        <v>North East</v>
      </c>
    </row>
    <row r="7" spans="1:4" x14ac:dyDescent="0.25">
      <c r="A7" s="373">
        <f>IF(ISNUMBER(SEARCH('Area summary'!$E$3,B7)),MAX($A$1:A6)+1,0)</f>
        <v>5</v>
      </c>
      <c r="B7" s="468" t="s">
        <v>417</v>
      </c>
      <c r="D7" s="373" t="str">
        <f>IFERROR(VLOOKUP(ROWS($D$2:D7),$A$2:$B$1424,2,0),"")</f>
        <v>North West</v>
      </c>
    </row>
    <row r="8" spans="1:4" x14ac:dyDescent="0.25">
      <c r="A8" s="373">
        <f>IF(ISNUMBER(SEARCH('Area summary'!$E$3,B8)),MAX($A$1:A7)+1,0)</f>
        <v>6</v>
      </c>
      <c r="B8" s="468" t="s">
        <v>418</v>
      </c>
      <c r="D8" s="373" t="str">
        <f>IFERROR(VLOOKUP(ROWS($D$2:D8),$A$2:$B$1424,2,0),"")</f>
        <v>South East</v>
      </c>
    </row>
    <row r="9" spans="1:4" x14ac:dyDescent="0.25">
      <c r="A9" s="373">
        <f>IF(ISNUMBER(SEARCH('Area summary'!$E$3,B9)),MAX($A$1:A8)+1,0)</f>
        <v>7</v>
      </c>
      <c r="B9" s="468" t="s">
        <v>2</v>
      </c>
      <c r="D9" s="373" t="str">
        <f>IFERROR(VLOOKUP(ROWS($D$2:D9),$A$2:$B$1424,2,0),"")</f>
        <v>South West</v>
      </c>
    </row>
    <row r="10" spans="1:4" x14ac:dyDescent="0.25">
      <c r="A10" s="373">
        <f>IF(ISNUMBER(SEARCH('Area summary'!$E$3,B10)),MAX($A$1:A9)+1,0)</f>
        <v>8</v>
      </c>
      <c r="B10" s="468" t="s">
        <v>419</v>
      </c>
      <c r="D10" s="373" t="str">
        <f>IFERROR(VLOOKUP(ROWS($D$2:D10),$A$2:$B$1424,2,0),"")</f>
        <v>West Midlands</v>
      </c>
    </row>
    <row r="11" spans="1:4" x14ac:dyDescent="0.25">
      <c r="A11" s="373">
        <f>IF(ISNUMBER(SEARCH('Area summary'!$E$3,B11)),MAX($A$1:A10)+1,0)</f>
        <v>9</v>
      </c>
      <c r="B11" s="468" t="s">
        <v>420</v>
      </c>
      <c r="D11" s="373" t="str">
        <f>IFERROR(VLOOKUP(ROWS($D$2:D11),$A$2:$B$1424,2,0),"")</f>
        <v>Yorkshire and the Humber</v>
      </c>
    </row>
    <row r="12" spans="1:4" x14ac:dyDescent="0.25">
      <c r="A12" s="373">
        <f>IF(ISNUMBER(SEARCH('Area summary'!$E$3,B12)),MAX($A$1:A11)+1,0)</f>
        <v>10</v>
      </c>
      <c r="B12" s="468" t="s">
        <v>1048</v>
      </c>
      <c r="D12" s="373" t="str">
        <f>IFERROR(VLOOKUP(ROWS($D$2:D12),$A$2:$B$1424,2,0),"")</f>
        <v>Adur</v>
      </c>
    </row>
    <row r="13" spans="1:4" x14ac:dyDescent="0.25">
      <c r="A13" s="373">
        <f>IF(ISNUMBER(SEARCH('Area summary'!$E$3,B13)),MAX($A$1:A12)+1,0)</f>
        <v>11</v>
      </c>
      <c r="B13" s="468" t="s">
        <v>422</v>
      </c>
      <c r="D13" s="373" t="str">
        <f>IFERROR(VLOOKUP(ROWS($D$2:D13),$A$2:$B$1424,2,0),"")</f>
        <v>Allerdale</v>
      </c>
    </row>
    <row r="14" spans="1:4" x14ac:dyDescent="0.25">
      <c r="A14" s="373">
        <f>IF(ISNUMBER(SEARCH('Area summary'!$E$3,B14)),MAX($A$1:A13)+1,0)</f>
        <v>12</v>
      </c>
      <c r="B14" s="468" t="s">
        <v>424</v>
      </c>
      <c r="D14" s="373" t="str">
        <f>IFERROR(VLOOKUP(ROWS($D$2:D14),$A$2:$B$1424,2,0),"")</f>
        <v>Amber Valley</v>
      </c>
    </row>
    <row r="15" spans="1:4" x14ac:dyDescent="0.25">
      <c r="A15" s="373">
        <f>IF(ISNUMBER(SEARCH('Area summary'!$E$3,B15)),MAX($A$1:A14)+1,0)</f>
        <v>13</v>
      </c>
      <c r="B15" s="468" t="s">
        <v>426</v>
      </c>
      <c r="D15" s="373" t="str">
        <f>IFERROR(VLOOKUP(ROWS($D$2:D15),$A$2:$B$1424,2,0),"")</f>
        <v>Arun</v>
      </c>
    </row>
    <row r="16" spans="1:4" x14ac:dyDescent="0.25">
      <c r="A16" s="373">
        <f>IF(ISNUMBER(SEARCH('Area summary'!$E$3,B16)),MAX($A$1:A15)+1,0)</f>
        <v>14</v>
      </c>
      <c r="B16" s="468" t="s">
        <v>428</v>
      </c>
      <c r="D16" s="373" t="str">
        <f>IFERROR(VLOOKUP(ROWS($D$2:D16),$A$2:$B$1424,2,0),"")</f>
        <v>Ashfield</v>
      </c>
    </row>
    <row r="17" spans="1:4" x14ac:dyDescent="0.25">
      <c r="A17" s="373">
        <f>IF(ISNUMBER(SEARCH('Area summary'!$E$3,B17)),MAX($A$1:A16)+1,0)</f>
        <v>15</v>
      </c>
      <c r="B17" s="468" t="s">
        <v>430</v>
      </c>
      <c r="D17" s="373" t="str">
        <f>IFERROR(VLOOKUP(ROWS($D$2:D17),$A$2:$B$1424,2,0),"")</f>
        <v>Ashford</v>
      </c>
    </row>
    <row r="18" spans="1:4" x14ac:dyDescent="0.25">
      <c r="A18" s="373">
        <f>IF(ISNUMBER(SEARCH('Area summary'!$E$3,B18)),MAX($A$1:A17)+1,0)</f>
        <v>16</v>
      </c>
      <c r="B18" s="468" t="s">
        <v>432</v>
      </c>
      <c r="D18" s="373" t="str">
        <f>IFERROR(VLOOKUP(ROWS($D$2:D18),$A$2:$B$1424,2,0),"")</f>
        <v>Babergh</v>
      </c>
    </row>
    <row r="19" spans="1:4" x14ac:dyDescent="0.25">
      <c r="A19" s="373">
        <f>IF(ISNUMBER(SEARCH('Area summary'!$E$3,B19)),MAX($A$1:A18)+1,0)</f>
        <v>17</v>
      </c>
      <c r="B19" s="468" t="s">
        <v>434</v>
      </c>
      <c r="D19" s="373" t="str">
        <f>IFERROR(VLOOKUP(ROWS($D$2:D19),$A$2:$B$1424,2,0),"")</f>
        <v>Barking and Dagenham</v>
      </c>
    </row>
    <row r="20" spans="1:4" x14ac:dyDescent="0.25">
      <c r="A20" s="373">
        <f>IF(ISNUMBER(SEARCH('Area summary'!$E$3,B20)),MAX($A$1:A19)+1,0)</f>
        <v>18</v>
      </c>
      <c r="B20" s="468" t="s">
        <v>436</v>
      </c>
      <c r="D20" s="373" t="str">
        <f>IFERROR(VLOOKUP(ROWS($D$2:D20),$A$2:$B$1424,2,0),"")</f>
        <v>Barnet</v>
      </c>
    </row>
    <row r="21" spans="1:4" x14ac:dyDescent="0.25">
      <c r="A21" s="373">
        <f>IF(ISNUMBER(SEARCH('Area summary'!$E$3,B21)),MAX($A$1:A20)+1,0)</f>
        <v>19</v>
      </c>
      <c r="B21" s="468" t="s">
        <v>438</v>
      </c>
      <c r="D21" s="373" t="str">
        <f>IFERROR(VLOOKUP(ROWS($D$2:D21),$A$2:$B$1424,2,0),"")</f>
        <v>Barnsley</v>
      </c>
    </row>
    <row r="22" spans="1:4" x14ac:dyDescent="0.25">
      <c r="A22" s="373">
        <f>IF(ISNUMBER(SEARCH('Area summary'!$E$3,B22)),MAX($A$1:A21)+1,0)</f>
        <v>20</v>
      </c>
      <c r="B22" s="468" t="s">
        <v>440</v>
      </c>
      <c r="D22" s="373" t="str">
        <f>IFERROR(VLOOKUP(ROWS($D$2:D22),$A$2:$B$1424,2,0),"")</f>
        <v>Barrow-in-Furness</v>
      </c>
    </row>
    <row r="23" spans="1:4" x14ac:dyDescent="0.25">
      <c r="A23" s="373">
        <f>IF(ISNUMBER(SEARCH('Area summary'!$E$3,B23)),MAX($A$1:A22)+1,0)</f>
        <v>21</v>
      </c>
      <c r="B23" s="468" t="s">
        <v>442</v>
      </c>
      <c r="D23" s="373" t="str">
        <f>IFERROR(VLOOKUP(ROWS($D$2:D23),$A$2:$B$1424,2,0),"")</f>
        <v>Basildon</v>
      </c>
    </row>
    <row r="24" spans="1:4" x14ac:dyDescent="0.25">
      <c r="A24" s="373">
        <f>IF(ISNUMBER(SEARCH('Area summary'!$E$3,B24)),MAX($A$1:A23)+1,0)</f>
        <v>22</v>
      </c>
      <c r="B24" s="468" t="s">
        <v>444</v>
      </c>
      <c r="D24" s="373" t="str">
        <f>IFERROR(VLOOKUP(ROWS($D$2:D24),$A$2:$B$1424,2,0),"")</f>
        <v>Basingstoke and Deane</v>
      </c>
    </row>
    <row r="25" spans="1:4" x14ac:dyDescent="0.25">
      <c r="A25" s="373">
        <f>IF(ISNUMBER(SEARCH('Area summary'!$E$3,B25)),MAX($A$1:A24)+1,0)</f>
        <v>23</v>
      </c>
      <c r="B25" s="468" t="s">
        <v>446</v>
      </c>
      <c r="D25" s="373" t="str">
        <f>IFERROR(VLOOKUP(ROWS($D$2:D25),$A$2:$B$1424,2,0),"")</f>
        <v>Bassetlaw</v>
      </c>
    </row>
    <row r="26" spans="1:4" x14ac:dyDescent="0.25">
      <c r="A26" s="373">
        <f>IF(ISNUMBER(SEARCH('Area summary'!$E$3,B26)),MAX($A$1:A25)+1,0)</f>
        <v>24</v>
      </c>
      <c r="B26" s="468" t="s">
        <v>448</v>
      </c>
      <c r="D26" s="373" t="str">
        <f>IFERROR(VLOOKUP(ROWS($D$2:D26),$A$2:$B$1424,2,0),"")</f>
        <v>Bath and North East Somerset</v>
      </c>
    </row>
    <row r="27" spans="1:4" x14ac:dyDescent="0.25">
      <c r="A27" s="373">
        <f>IF(ISNUMBER(SEARCH('Area summary'!$E$3,B27)),MAX($A$1:A26)+1,0)</f>
        <v>25</v>
      </c>
      <c r="B27" s="468" t="s">
        <v>450</v>
      </c>
      <c r="D27" s="373" t="str">
        <f>IFERROR(VLOOKUP(ROWS($D$2:D27),$A$2:$B$1424,2,0),"")</f>
        <v>Bedford</v>
      </c>
    </row>
    <row r="28" spans="1:4" x14ac:dyDescent="0.25">
      <c r="A28" s="373">
        <f>IF(ISNUMBER(SEARCH('Area summary'!$E$3,B28)),MAX($A$1:A27)+1,0)</f>
        <v>26</v>
      </c>
      <c r="B28" s="468" t="s">
        <v>452</v>
      </c>
      <c r="D28" s="373" t="str">
        <f>IFERROR(VLOOKUP(ROWS($D$2:D28),$A$2:$B$1424,2,0),"")</f>
        <v>Bexley</v>
      </c>
    </row>
    <row r="29" spans="1:4" x14ac:dyDescent="0.25">
      <c r="A29" s="373">
        <f>IF(ISNUMBER(SEARCH('Area summary'!$E$3,B29)),MAX($A$1:A28)+1,0)</f>
        <v>27</v>
      </c>
      <c r="B29" s="468" t="s">
        <v>454</v>
      </c>
      <c r="D29" s="373" t="str">
        <f>IFERROR(VLOOKUP(ROWS($D$2:D29),$A$2:$B$1424,2,0),"")</f>
        <v>Birmingham</v>
      </c>
    </row>
    <row r="30" spans="1:4" x14ac:dyDescent="0.25">
      <c r="A30" s="373">
        <f>IF(ISNUMBER(SEARCH('Area summary'!$E$3,B30)),MAX($A$1:A29)+1,0)</f>
        <v>28</v>
      </c>
      <c r="B30" s="468" t="s">
        <v>456</v>
      </c>
      <c r="D30" s="373" t="str">
        <f>IFERROR(VLOOKUP(ROWS($D$2:D30),$A$2:$B$1424,2,0),"")</f>
        <v>Blaby</v>
      </c>
    </row>
    <row r="31" spans="1:4" x14ac:dyDescent="0.25">
      <c r="A31" s="373">
        <f>IF(ISNUMBER(SEARCH('Area summary'!$E$3,B31)),MAX($A$1:A30)+1,0)</f>
        <v>29</v>
      </c>
      <c r="B31" s="468" t="s">
        <v>458</v>
      </c>
      <c r="D31" s="373" t="str">
        <f>IFERROR(VLOOKUP(ROWS($D$2:D31),$A$2:$B$1424,2,0),"")</f>
        <v>Blackburn with Darwen</v>
      </c>
    </row>
    <row r="32" spans="1:4" x14ac:dyDescent="0.25">
      <c r="A32" s="373">
        <f>IF(ISNUMBER(SEARCH('Area summary'!$E$3,B32)),MAX($A$1:A31)+1,0)</f>
        <v>30</v>
      </c>
      <c r="B32" s="468" t="s">
        <v>460</v>
      </c>
      <c r="D32" s="373" t="str">
        <f>IFERROR(VLOOKUP(ROWS($D$2:D32),$A$2:$B$1424,2,0),"")</f>
        <v>Blackpool</v>
      </c>
    </row>
    <row r="33" spans="1:4" x14ac:dyDescent="0.25">
      <c r="A33" s="373">
        <f>IF(ISNUMBER(SEARCH('Area summary'!$E$3,B33)),MAX($A$1:A32)+1,0)</f>
        <v>31</v>
      </c>
      <c r="B33" s="468" t="s">
        <v>462</v>
      </c>
      <c r="D33" s="373" t="str">
        <f>IFERROR(VLOOKUP(ROWS($D$2:D33),$A$2:$B$1424,2,0),"")</f>
        <v>Bolsover</v>
      </c>
    </row>
    <row r="34" spans="1:4" x14ac:dyDescent="0.25">
      <c r="A34" s="373">
        <f>IF(ISNUMBER(SEARCH('Area summary'!$E$3,B34)),MAX($A$1:A33)+1,0)</f>
        <v>32</v>
      </c>
      <c r="B34" s="468" t="s">
        <v>464</v>
      </c>
      <c r="D34" s="373" t="str">
        <f>IFERROR(VLOOKUP(ROWS($D$2:D34),$A$2:$B$1424,2,0),"")</f>
        <v>Bolton</v>
      </c>
    </row>
    <row r="35" spans="1:4" x14ac:dyDescent="0.25">
      <c r="A35" s="373">
        <f>IF(ISNUMBER(SEARCH('Area summary'!$E$3,B35)),MAX($A$1:A34)+1,0)</f>
        <v>33</v>
      </c>
      <c r="B35" s="468" t="s">
        <v>466</v>
      </c>
      <c r="D35" s="373" t="str">
        <f>IFERROR(VLOOKUP(ROWS($D$2:D35),$A$2:$B$1424,2,0),"")</f>
        <v>Boston</v>
      </c>
    </row>
    <row r="36" spans="1:4" x14ac:dyDescent="0.25">
      <c r="A36" s="373">
        <f>IF(ISNUMBER(SEARCH('Area summary'!$E$3,B36)),MAX($A$1:A35)+1,0)</f>
        <v>34</v>
      </c>
      <c r="B36" s="468" t="s">
        <v>468</v>
      </c>
      <c r="D36" s="373" t="str">
        <f>IFERROR(VLOOKUP(ROWS($D$2:D36),$A$2:$B$1424,2,0),"")</f>
        <v>Bournemouth, Christchurch and Poole</v>
      </c>
    </row>
    <row r="37" spans="1:4" x14ac:dyDescent="0.25">
      <c r="A37" s="373">
        <f>IF(ISNUMBER(SEARCH('Area summary'!$E$3,B37)),MAX($A$1:A36)+1,0)</f>
        <v>35</v>
      </c>
      <c r="B37" s="468" t="s">
        <v>14114</v>
      </c>
      <c r="D37" s="373" t="str">
        <f>IFERROR(VLOOKUP(ROWS($D$2:D37),$A$2:$B$1424,2,0),"")</f>
        <v>Bracknell Forest</v>
      </c>
    </row>
    <row r="38" spans="1:4" x14ac:dyDescent="0.25">
      <c r="A38" s="373">
        <f>IF(ISNUMBER(SEARCH('Area summary'!$E$3,B38)),MAX($A$1:A37)+1,0)</f>
        <v>36</v>
      </c>
      <c r="B38" s="468" t="s">
        <v>471</v>
      </c>
      <c r="D38" s="373" t="str">
        <f>IFERROR(VLOOKUP(ROWS($D$2:D38),$A$2:$B$1424,2,0),"")</f>
        <v>Bradford</v>
      </c>
    </row>
    <row r="39" spans="1:4" x14ac:dyDescent="0.25">
      <c r="A39" s="373">
        <f>IF(ISNUMBER(SEARCH('Area summary'!$E$3,B39)),MAX($A$1:A38)+1,0)</f>
        <v>37</v>
      </c>
      <c r="B39" s="468" t="s">
        <v>473</v>
      </c>
      <c r="D39" s="373" t="str">
        <f>IFERROR(VLOOKUP(ROWS($D$2:D39),$A$2:$B$1424,2,0),"")</f>
        <v>Braintree</v>
      </c>
    </row>
    <row r="40" spans="1:4" x14ac:dyDescent="0.25">
      <c r="A40" s="373">
        <f>IF(ISNUMBER(SEARCH('Area summary'!$E$3,B40)),MAX($A$1:A39)+1,0)</f>
        <v>38</v>
      </c>
      <c r="B40" s="468" t="s">
        <v>475</v>
      </c>
      <c r="D40" s="373" t="str">
        <f>IFERROR(VLOOKUP(ROWS($D$2:D40),$A$2:$B$1424,2,0),"")</f>
        <v>Breckland</v>
      </c>
    </row>
    <row r="41" spans="1:4" x14ac:dyDescent="0.25">
      <c r="A41" s="373">
        <f>IF(ISNUMBER(SEARCH('Area summary'!$E$3,B41)),MAX($A$1:A40)+1,0)</f>
        <v>39</v>
      </c>
      <c r="B41" s="468" t="s">
        <v>477</v>
      </c>
      <c r="D41" s="373" t="str">
        <f>IFERROR(VLOOKUP(ROWS($D$2:D41),$A$2:$B$1424,2,0),"")</f>
        <v>Brent</v>
      </c>
    </row>
    <row r="42" spans="1:4" x14ac:dyDescent="0.25">
      <c r="A42" s="373">
        <f>IF(ISNUMBER(SEARCH('Area summary'!$E$3,B42)),MAX($A$1:A41)+1,0)</f>
        <v>40</v>
      </c>
      <c r="B42" s="468" t="s">
        <v>479</v>
      </c>
      <c r="D42" s="373" t="str">
        <f>IFERROR(VLOOKUP(ROWS($D$2:D42),$A$2:$B$1424,2,0),"")</f>
        <v>Brentwood</v>
      </c>
    </row>
    <row r="43" spans="1:4" x14ac:dyDescent="0.25">
      <c r="A43" s="373">
        <f>IF(ISNUMBER(SEARCH('Area summary'!$E$3,B43)),MAX($A$1:A42)+1,0)</f>
        <v>41</v>
      </c>
      <c r="B43" s="468" t="s">
        <v>481</v>
      </c>
      <c r="D43" s="373" t="str">
        <f>IFERROR(VLOOKUP(ROWS($D$2:D43),$A$2:$B$1424,2,0),"")</f>
        <v>Brighton and Hove</v>
      </c>
    </row>
    <row r="44" spans="1:4" x14ac:dyDescent="0.25">
      <c r="A44" s="373">
        <f>IF(ISNUMBER(SEARCH('Area summary'!$E$3,B44)),MAX($A$1:A43)+1,0)</f>
        <v>42</v>
      </c>
      <c r="B44" s="468" t="s">
        <v>483</v>
      </c>
      <c r="D44" s="373" t="str">
        <f>IFERROR(VLOOKUP(ROWS($D$2:D44),$A$2:$B$1424,2,0),"")</f>
        <v>Bristol, City of</v>
      </c>
    </row>
    <row r="45" spans="1:4" x14ac:dyDescent="0.25">
      <c r="A45" s="373">
        <f>IF(ISNUMBER(SEARCH('Area summary'!$E$3,B45)),MAX($A$1:A44)+1,0)</f>
        <v>43</v>
      </c>
      <c r="B45" s="468" t="s">
        <v>485</v>
      </c>
      <c r="D45" s="373" t="str">
        <f>IFERROR(VLOOKUP(ROWS($D$2:D45),$A$2:$B$1424,2,0),"")</f>
        <v>Broadland</v>
      </c>
    </row>
    <row r="46" spans="1:4" x14ac:dyDescent="0.25">
      <c r="A46" s="373">
        <f>IF(ISNUMBER(SEARCH('Area summary'!$E$3,B46)),MAX($A$1:A45)+1,0)</f>
        <v>44</v>
      </c>
      <c r="B46" s="468" t="s">
        <v>487</v>
      </c>
      <c r="D46" s="373" t="str">
        <f>IFERROR(VLOOKUP(ROWS($D$2:D46),$A$2:$B$1424,2,0),"")</f>
        <v>Bromley</v>
      </c>
    </row>
    <row r="47" spans="1:4" x14ac:dyDescent="0.25">
      <c r="A47" s="373">
        <f>IF(ISNUMBER(SEARCH('Area summary'!$E$3,B47)),MAX($A$1:A46)+1,0)</f>
        <v>45</v>
      </c>
      <c r="B47" s="468" t="s">
        <v>489</v>
      </c>
      <c r="D47" s="373" t="str">
        <f>IFERROR(VLOOKUP(ROWS($D$2:D47),$A$2:$B$1424,2,0),"")</f>
        <v>Bromsgrove</v>
      </c>
    </row>
    <row r="48" spans="1:4" x14ac:dyDescent="0.25">
      <c r="A48" s="373">
        <f>IF(ISNUMBER(SEARCH('Area summary'!$E$3,B48)),MAX($A$1:A47)+1,0)</f>
        <v>46</v>
      </c>
      <c r="B48" s="468" t="s">
        <v>491</v>
      </c>
      <c r="D48" s="373" t="str">
        <f>IFERROR(VLOOKUP(ROWS($D$2:D48),$A$2:$B$1424,2,0),"")</f>
        <v>Broxbourne</v>
      </c>
    </row>
    <row r="49" spans="1:4" x14ac:dyDescent="0.25">
      <c r="A49" s="373">
        <f>IF(ISNUMBER(SEARCH('Area summary'!$E$3,B49)),MAX($A$1:A48)+1,0)</f>
        <v>47</v>
      </c>
      <c r="B49" s="468" t="s">
        <v>493</v>
      </c>
      <c r="D49" s="373" t="str">
        <f>IFERROR(VLOOKUP(ROWS($D$2:D49),$A$2:$B$1424,2,0),"")</f>
        <v>Broxtowe</v>
      </c>
    </row>
    <row r="50" spans="1:4" x14ac:dyDescent="0.25">
      <c r="A50" s="373">
        <f>IF(ISNUMBER(SEARCH('Area summary'!$E$3,B50)),MAX($A$1:A49)+1,0)</f>
        <v>48</v>
      </c>
      <c r="B50" s="468" t="s">
        <v>495</v>
      </c>
      <c r="D50" s="373" t="str">
        <f>IFERROR(VLOOKUP(ROWS($D$2:D50),$A$2:$B$1424,2,0),"")</f>
        <v>Buckinghamshire</v>
      </c>
    </row>
    <row r="51" spans="1:4" x14ac:dyDescent="0.25">
      <c r="A51" s="373">
        <f>IF(ISNUMBER(SEARCH('Area summary'!$E$3,B51)),MAX($A$1:A50)+1,0)</f>
        <v>49</v>
      </c>
      <c r="B51" s="468" t="s">
        <v>11441</v>
      </c>
      <c r="D51" s="373" t="str">
        <f>IFERROR(VLOOKUP(ROWS($D$2:D51),$A$2:$B$1424,2,0),"")</f>
        <v>Burnley</v>
      </c>
    </row>
    <row r="52" spans="1:4" x14ac:dyDescent="0.25">
      <c r="A52" s="373">
        <f>IF(ISNUMBER(SEARCH('Area summary'!$E$3,B52)),MAX($A$1:A51)+1,0)</f>
        <v>50</v>
      </c>
      <c r="B52" s="468" t="s">
        <v>497</v>
      </c>
      <c r="D52" s="373" t="str">
        <f>IFERROR(VLOOKUP(ROWS($D$2:D52),$A$2:$B$1424,2,0),"")</f>
        <v>Bury</v>
      </c>
    </row>
    <row r="53" spans="1:4" x14ac:dyDescent="0.25">
      <c r="A53" s="373">
        <f>IF(ISNUMBER(SEARCH('Area summary'!$E$3,B53)),MAX($A$1:A52)+1,0)</f>
        <v>51</v>
      </c>
      <c r="B53" s="468" t="s">
        <v>499</v>
      </c>
      <c r="D53" s="373" t="str">
        <f>IFERROR(VLOOKUP(ROWS($D$2:D53),$A$2:$B$1424,2,0),"")</f>
        <v>Calderdale</v>
      </c>
    </row>
    <row r="54" spans="1:4" x14ac:dyDescent="0.25">
      <c r="A54" s="373">
        <f>IF(ISNUMBER(SEARCH('Area summary'!$E$3,B54)),MAX($A$1:A53)+1,0)</f>
        <v>52</v>
      </c>
      <c r="B54" s="468" t="s">
        <v>501</v>
      </c>
      <c r="D54" s="373" t="str">
        <f>IFERROR(VLOOKUP(ROWS($D$2:D54),$A$2:$B$1424,2,0),"")</f>
        <v>Cambridge</v>
      </c>
    </row>
    <row r="55" spans="1:4" x14ac:dyDescent="0.25">
      <c r="A55" s="373">
        <f>IF(ISNUMBER(SEARCH('Area summary'!$E$3,B55)),MAX($A$1:A54)+1,0)</f>
        <v>53</v>
      </c>
      <c r="B55" s="468" t="s">
        <v>503</v>
      </c>
      <c r="D55" s="373" t="str">
        <f>IFERROR(VLOOKUP(ROWS($D$2:D55),$A$2:$B$1424,2,0),"")</f>
        <v>Camden</v>
      </c>
    </row>
    <row r="56" spans="1:4" x14ac:dyDescent="0.25">
      <c r="A56" s="373">
        <f>IF(ISNUMBER(SEARCH('Area summary'!$E$3,B56)),MAX($A$1:A55)+1,0)</f>
        <v>54</v>
      </c>
      <c r="B56" s="468" t="s">
        <v>505</v>
      </c>
      <c r="D56" s="373" t="str">
        <f>IFERROR(VLOOKUP(ROWS($D$2:D56),$A$2:$B$1424,2,0),"")</f>
        <v>Cannock Chase</v>
      </c>
    </row>
    <row r="57" spans="1:4" x14ac:dyDescent="0.25">
      <c r="A57" s="373">
        <f>IF(ISNUMBER(SEARCH('Area summary'!$E$3,B57)),MAX($A$1:A56)+1,0)</f>
        <v>55</v>
      </c>
      <c r="B57" s="468" t="s">
        <v>507</v>
      </c>
      <c r="D57" s="373" t="str">
        <f>IFERROR(VLOOKUP(ROWS($D$2:D57),$A$2:$B$1424,2,0),"")</f>
        <v>Canterbury</v>
      </c>
    </row>
    <row r="58" spans="1:4" x14ac:dyDescent="0.25">
      <c r="A58" s="373">
        <f>IF(ISNUMBER(SEARCH('Area summary'!$E$3,B58)),MAX($A$1:A57)+1,0)</f>
        <v>56</v>
      </c>
      <c r="B58" s="468" t="s">
        <v>509</v>
      </c>
      <c r="D58" s="373" t="str">
        <f>IFERROR(VLOOKUP(ROWS($D$2:D58),$A$2:$B$1424,2,0),"")</f>
        <v>Carlisle</v>
      </c>
    </row>
    <row r="59" spans="1:4" x14ac:dyDescent="0.25">
      <c r="A59" s="373">
        <f>IF(ISNUMBER(SEARCH('Area summary'!$E$3,B59)),MAX($A$1:A58)+1,0)</f>
        <v>57</v>
      </c>
      <c r="B59" s="468" t="s">
        <v>511</v>
      </c>
      <c r="D59" s="373" t="str">
        <f>IFERROR(VLOOKUP(ROWS($D$2:D59),$A$2:$B$1424,2,0),"")</f>
        <v>Castle Point</v>
      </c>
    </row>
    <row r="60" spans="1:4" x14ac:dyDescent="0.25">
      <c r="A60" s="373">
        <f>IF(ISNUMBER(SEARCH('Area summary'!$E$3,B60)),MAX($A$1:A59)+1,0)</f>
        <v>58</v>
      </c>
      <c r="B60" s="468" t="s">
        <v>513</v>
      </c>
      <c r="D60" s="373" t="str">
        <f>IFERROR(VLOOKUP(ROWS($D$2:D60),$A$2:$B$1424,2,0),"")</f>
        <v>Central Bedfordshire</v>
      </c>
    </row>
    <row r="61" spans="1:4" x14ac:dyDescent="0.25">
      <c r="A61" s="373">
        <f>IF(ISNUMBER(SEARCH('Area summary'!$E$3,B61)),MAX($A$1:A60)+1,0)</f>
        <v>59</v>
      </c>
      <c r="B61" s="468" t="s">
        <v>515</v>
      </c>
      <c r="D61" s="373" t="str">
        <f>IFERROR(VLOOKUP(ROWS($D$2:D61),$A$2:$B$1424,2,0),"")</f>
        <v>Charnwood</v>
      </c>
    </row>
    <row r="62" spans="1:4" x14ac:dyDescent="0.25">
      <c r="A62" s="373">
        <f>IF(ISNUMBER(SEARCH('Area summary'!$E$3,B62)),MAX($A$1:A61)+1,0)</f>
        <v>60</v>
      </c>
      <c r="B62" s="468" t="s">
        <v>517</v>
      </c>
      <c r="D62" s="373" t="str">
        <f>IFERROR(VLOOKUP(ROWS($D$2:D62),$A$2:$B$1424,2,0),"")</f>
        <v>Chelmsford</v>
      </c>
    </row>
    <row r="63" spans="1:4" x14ac:dyDescent="0.25">
      <c r="A63" s="373">
        <f>IF(ISNUMBER(SEARCH('Area summary'!$E$3,B63)),MAX($A$1:A62)+1,0)</f>
        <v>61</v>
      </c>
      <c r="B63" s="468" t="s">
        <v>519</v>
      </c>
      <c r="D63" s="373" t="str">
        <f>IFERROR(VLOOKUP(ROWS($D$2:D63),$A$2:$B$1424,2,0),"")</f>
        <v>Cheltenham</v>
      </c>
    </row>
    <row r="64" spans="1:4" x14ac:dyDescent="0.25">
      <c r="A64" s="373">
        <f>IF(ISNUMBER(SEARCH('Area summary'!$E$3,B64)),MAX($A$1:A63)+1,0)</f>
        <v>62</v>
      </c>
      <c r="B64" s="468" t="s">
        <v>521</v>
      </c>
      <c r="D64" s="373" t="str">
        <f>IFERROR(VLOOKUP(ROWS($D$2:D64),$A$2:$B$1424,2,0),"")</f>
        <v>Cherwell</v>
      </c>
    </row>
    <row r="65" spans="1:4" x14ac:dyDescent="0.25">
      <c r="A65" s="373">
        <f>IF(ISNUMBER(SEARCH('Area summary'!$E$3,B65)),MAX($A$1:A64)+1,0)</f>
        <v>63</v>
      </c>
      <c r="B65" s="468" t="s">
        <v>523</v>
      </c>
      <c r="D65" s="373" t="str">
        <f>IFERROR(VLOOKUP(ROWS($D$2:D65),$A$2:$B$1424,2,0),"")</f>
        <v>Cheshire East</v>
      </c>
    </row>
    <row r="66" spans="1:4" x14ac:dyDescent="0.25">
      <c r="A66" s="373">
        <f>IF(ISNUMBER(SEARCH('Area summary'!$E$3,B66)),MAX($A$1:A65)+1,0)</f>
        <v>64</v>
      </c>
      <c r="B66" s="468" t="s">
        <v>525</v>
      </c>
      <c r="D66" s="373" t="str">
        <f>IFERROR(VLOOKUP(ROWS($D$2:D66),$A$2:$B$1424,2,0),"")</f>
        <v>Cheshire West and Chester</v>
      </c>
    </row>
    <row r="67" spans="1:4" x14ac:dyDescent="0.25">
      <c r="A67" s="373">
        <f>IF(ISNUMBER(SEARCH('Area summary'!$E$3,B67)),MAX($A$1:A66)+1,0)</f>
        <v>65</v>
      </c>
      <c r="B67" s="468" t="s">
        <v>527</v>
      </c>
      <c r="D67" s="373" t="str">
        <f>IFERROR(VLOOKUP(ROWS($D$2:D67),$A$2:$B$1424,2,0),"")</f>
        <v>Chesterfield</v>
      </c>
    </row>
    <row r="68" spans="1:4" x14ac:dyDescent="0.25">
      <c r="A68" s="373">
        <f>IF(ISNUMBER(SEARCH('Area summary'!$E$3,B68)),MAX($A$1:A67)+1,0)</f>
        <v>66</v>
      </c>
      <c r="B68" s="468" t="s">
        <v>529</v>
      </c>
      <c r="D68" s="373" t="str">
        <f>IFERROR(VLOOKUP(ROWS($D$2:D68),$A$2:$B$1424,2,0),"")</f>
        <v>Chichester</v>
      </c>
    </row>
    <row r="69" spans="1:4" x14ac:dyDescent="0.25">
      <c r="A69" s="373">
        <f>IF(ISNUMBER(SEARCH('Area summary'!$E$3,B69)),MAX($A$1:A68)+1,0)</f>
        <v>67</v>
      </c>
      <c r="B69" s="468" t="s">
        <v>531</v>
      </c>
      <c r="D69" s="373" t="str">
        <f>IFERROR(VLOOKUP(ROWS($D$2:D69),$A$2:$B$1424,2,0),"")</f>
        <v>Chorley</v>
      </c>
    </row>
    <row r="70" spans="1:4" x14ac:dyDescent="0.25">
      <c r="A70" s="373">
        <f>IF(ISNUMBER(SEARCH('Area summary'!$E$3,B70)),MAX($A$1:A69)+1,0)</f>
        <v>68</v>
      </c>
      <c r="B70" s="468" t="s">
        <v>533</v>
      </c>
      <c r="D70" s="373" t="str">
        <f>IFERROR(VLOOKUP(ROWS($D$2:D70),$A$2:$B$1424,2,0),"")</f>
        <v>City of London</v>
      </c>
    </row>
    <row r="71" spans="1:4" x14ac:dyDescent="0.25">
      <c r="A71" s="373">
        <f>IF(ISNUMBER(SEARCH('Area summary'!$E$3,B71)),MAX($A$1:A70)+1,0)</f>
        <v>69</v>
      </c>
      <c r="B71" s="468" t="s">
        <v>535</v>
      </c>
      <c r="D71" s="373" t="str">
        <f>IFERROR(VLOOKUP(ROWS($D$2:D71),$A$2:$B$1424,2,0),"")</f>
        <v>Colchester</v>
      </c>
    </row>
    <row r="72" spans="1:4" x14ac:dyDescent="0.25">
      <c r="A72" s="373">
        <f>IF(ISNUMBER(SEARCH('Area summary'!$E$3,B72)),MAX($A$1:A71)+1,0)</f>
        <v>70</v>
      </c>
      <c r="B72" s="468" t="s">
        <v>537</v>
      </c>
      <c r="D72" s="373" t="str">
        <f>IFERROR(VLOOKUP(ROWS($D$2:D72),$A$2:$B$1424,2,0),"")</f>
        <v>Copeland</v>
      </c>
    </row>
    <row r="73" spans="1:4" x14ac:dyDescent="0.25">
      <c r="A73" s="373">
        <f>IF(ISNUMBER(SEARCH('Area summary'!$E$3,B73)),MAX($A$1:A72)+1,0)</f>
        <v>71</v>
      </c>
      <c r="B73" s="468" t="s">
        <v>539</v>
      </c>
      <c r="D73" s="373" t="str">
        <f>IFERROR(VLOOKUP(ROWS($D$2:D73),$A$2:$B$1424,2,0),"")</f>
        <v>Cornwall</v>
      </c>
    </row>
    <row r="74" spans="1:4" x14ac:dyDescent="0.25">
      <c r="A74" s="373">
        <f>IF(ISNUMBER(SEARCH('Area summary'!$E$3,B74)),MAX($A$1:A73)+1,0)</f>
        <v>72</v>
      </c>
      <c r="B74" s="468" t="s">
        <v>541</v>
      </c>
      <c r="D74" s="373" t="str">
        <f>IFERROR(VLOOKUP(ROWS($D$2:D74),$A$2:$B$1424,2,0),"")</f>
        <v>Cotswold</v>
      </c>
    </row>
    <row r="75" spans="1:4" x14ac:dyDescent="0.25">
      <c r="A75" s="373">
        <f>IF(ISNUMBER(SEARCH('Area summary'!$E$3,B75)),MAX($A$1:A74)+1,0)</f>
        <v>73</v>
      </c>
      <c r="B75" s="468" t="s">
        <v>543</v>
      </c>
      <c r="D75" s="373" t="str">
        <f>IFERROR(VLOOKUP(ROWS($D$2:D75),$A$2:$B$1424,2,0),"")</f>
        <v>County Durham</v>
      </c>
    </row>
    <row r="76" spans="1:4" x14ac:dyDescent="0.25">
      <c r="A76" s="373">
        <f>IF(ISNUMBER(SEARCH('Area summary'!$E$3,B76)),MAX($A$1:A75)+1,0)</f>
        <v>74</v>
      </c>
      <c r="B76" s="468" t="s">
        <v>545</v>
      </c>
      <c r="D76" s="373" t="str">
        <f>IFERROR(VLOOKUP(ROWS($D$2:D76),$A$2:$B$1424,2,0),"")</f>
        <v>Coventry</v>
      </c>
    </row>
    <row r="77" spans="1:4" x14ac:dyDescent="0.25">
      <c r="A77" s="373">
        <f>IF(ISNUMBER(SEARCH('Area summary'!$E$3,B77)),MAX($A$1:A76)+1,0)</f>
        <v>75</v>
      </c>
      <c r="B77" s="468" t="s">
        <v>547</v>
      </c>
      <c r="D77" s="373" t="str">
        <f>IFERROR(VLOOKUP(ROWS($D$2:D77),$A$2:$B$1424,2,0),"")</f>
        <v>Craven</v>
      </c>
    </row>
    <row r="78" spans="1:4" x14ac:dyDescent="0.25">
      <c r="A78" s="373">
        <f>IF(ISNUMBER(SEARCH('Area summary'!$E$3,B78)),MAX($A$1:A77)+1,0)</f>
        <v>76</v>
      </c>
      <c r="B78" s="468" t="s">
        <v>549</v>
      </c>
      <c r="D78" s="373" t="str">
        <f>IFERROR(VLOOKUP(ROWS($D$2:D78),$A$2:$B$1424,2,0),"")</f>
        <v>Crawley</v>
      </c>
    </row>
    <row r="79" spans="1:4" x14ac:dyDescent="0.25">
      <c r="A79" s="373">
        <f>IF(ISNUMBER(SEARCH('Area summary'!$E$3,B79)),MAX($A$1:A78)+1,0)</f>
        <v>77</v>
      </c>
      <c r="B79" s="468" t="s">
        <v>551</v>
      </c>
      <c r="D79" s="373" t="str">
        <f>IFERROR(VLOOKUP(ROWS($D$2:D79),$A$2:$B$1424,2,0),"")</f>
        <v>Croydon</v>
      </c>
    </row>
    <row r="80" spans="1:4" x14ac:dyDescent="0.25">
      <c r="A80" s="373">
        <f>IF(ISNUMBER(SEARCH('Area summary'!$E$3,B80)),MAX($A$1:A79)+1,0)</f>
        <v>78</v>
      </c>
      <c r="B80" s="468" t="s">
        <v>553</v>
      </c>
      <c r="D80" s="373" t="str">
        <f>IFERROR(VLOOKUP(ROWS($D$2:D80),$A$2:$B$1424,2,0),"")</f>
        <v>Dacorum</v>
      </c>
    </row>
    <row r="81" spans="1:4" x14ac:dyDescent="0.25">
      <c r="A81" s="373">
        <f>IF(ISNUMBER(SEARCH('Area summary'!$E$3,B81)),MAX($A$1:A80)+1,0)</f>
        <v>79</v>
      </c>
      <c r="B81" s="468" t="s">
        <v>555</v>
      </c>
      <c r="D81" s="373" t="str">
        <f>IFERROR(VLOOKUP(ROWS($D$2:D81),$A$2:$B$1424,2,0),"")</f>
        <v>Darlington</v>
      </c>
    </row>
    <row r="82" spans="1:4" x14ac:dyDescent="0.25">
      <c r="A82" s="373">
        <f>IF(ISNUMBER(SEARCH('Area summary'!$E$3,B82)),MAX($A$1:A81)+1,0)</f>
        <v>80</v>
      </c>
      <c r="B82" s="468" t="s">
        <v>557</v>
      </c>
      <c r="D82" s="373" t="str">
        <f>IFERROR(VLOOKUP(ROWS($D$2:D82),$A$2:$B$1424,2,0),"")</f>
        <v>Dartford</v>
      </c>
    </row>
    <row r="83" spans="1:4" x14ac:dyDescent="0.25">
      <c r="A83" s="373">
        <f>IF(ISNUMBER(SEARCH('Area summary'!$E$3,B83)),MAX($A$1:A82)+1,0)</f>
        <v>81</v>
      </c>
      <c r="B83" s="468" t="s">
        <v>559</v>
      </c>
      <c r="D83" s="373" t="str">
        <f>IFERROR(VLOOKUP(ROWS($D$2:D83),$A$2:$B$1424,2,0),"")</f>
        <v>Derby</v>
      </c>
    </row>
    <row r="84" spans="1:4" x14ac:dyDescent="0.25">
      <c r="A84" s="373">
        <f>IF(ISNUMBER(SEARCH('Area summary'!$E$3,B84)),MAX($A$1:A83)+1,0)</f>
        <v>82</v>
      </c>
      <c r="B84" s="468" t="s">
        <v>561</v>
      </c>
      <c r="D84" s="373" t="str">
        <f>IFERROR(VLOOKUP(ROWS($D$2:D84),$A$2:$B$1424,2,0),"")</f>
        <v>Derbyshire Dales</v>
      </c>
    </row>
    <row r="85" spans="1:4" x14ac:dyDescent="0.25">
      <c r="A85" s="373">
        <f>IF(ISNUMBER(SEARCH('Area summary'!$E$3,B85)),MAX($A$1:A84)+1,0)</f>
        <v>83</v>
      </c>
      <c r="B85" s="468" t="s">
        <v>563</v>
      </c>
      <c r="D85" s="373" t="str">
        <f>IFERROR(VLOOKUP(ROWS($D$2:D85),$A$2:$B$1424,2,0),"")</f>
        <v>Doncaster</v>
      </c>
    </row>
    <row r="86" spans="1:4" x14ac:dyDescent="0.25">
      <c r="A86" s="373">
        <f>IF(ISNUMBER(SEARCH('Area summary'!$E$3,B86)),MAX($A$1:A85)+1,0)</f>
        <v>84</v>
      </c>
      <c r="B86" s="468" t="s">
        <v>565</v>
      </c>
      <c r="D86" s="373" t="str">
        <f>IFERROR(VLOOKUP(ROWS($D$2:D86),$A$2:$B$1424,2,0),"")</f>
        <v>Dorset</v>
      </c>
    </row>
    <row r="87" spans="1:4" x14ac:dyDescent="0.25">
      <c r="A87" s="373">
        <f>IF(ISNUMBER(SEARCH('Area summary'!$E$3,B87)),MAX($A$1:A86)+1,0)</f>
        <v>85</v>
      </c>
      <c r="B87" s="468" t="s">
        <v>567</v>
      </c>
      <c r="D87" s="373" t="str">
        <f>IFERROR(VLOOKUP(ROWS($D$2:D87),$A$2:$B$1424,2,0),"")</f>
        <v>Dover</v>
      </c>
    </row>
    <row r="88" spans="1:4" x14ac:dyDescent="0.25">
      <c r="A88" s="373">
        <f>IF(ISNUMBER(SEARCH('Area summary'!$E$3,B88)),MAX($A$1:A87)+1,0)</f>
        <v>86</v>
      </c>
      <c r="B88" s="468" t="s">
        <v>569</v>
      </c>
      <c r="D88" s="373" t="str">
        <f>IFERROR(VLOOKUP(ROWS($D$2:D88),$A$2:$B$1424,2,0),"")</f>
        <v>Dudley</v>
      </c>
    </row>
    <row r="89" spans="1:4" x14ac:dyDescent="0.25">
      <c r="A89" s="373">
        <f>IF(ISNUMBER(SEARCH('Area summary'!$E$3,B89)),MAX($A$1:A88)+1,0)</f>
        <v>87</v>
      </c>
      <c r="B89" s="468" t="s">
        <v>571</v>
      </c>
      <c r="D89" s="373" t="str">
        <f>IFERROR(VLOOKUP(ROWS($D$2:D89),$A$2:$B$1424,2,0),"")</f>
        <v>Ealing</v>
      </c>
    </row>
    <row r="90" spans="1:4" x14ac:dyDescent="0.25">
      <c r="A90" s="373">
        <f>IF(ISNUMBER(SEARCH('Area summary'!$E$3,B90)),MAX($A$1:A89)+1,0)</f>
        <v>88</v>
      </c>
      <c r="B90" s="468" t="s">
        <v>573</v>
      </c>
      <c r="D90" s="373" t="str">
        <f>IFERROR(VLOOKUP(ROWS($D$2:D90),$A$2:$B$1424,2,0),"")</f>
        <v>East Cambridgeshire</v>
      </c>
    </row>
    <row r="91" spans="1:4" x14ac:dyDescent="0.25">
      <c r="A91" s="373">
        <f>IF(ISNUMBER(SEARCH('Area summary'!$E$3,B91)),MAX($A$1:A90)+1,0)</f>
        <v>89</v>
      </c>
      <c r="B91" s="468" t="s">
        <v>575</v>
      </c>
      <c r="D91" s="373" t="str">
        <f>IFERROR(VLOOKUP(ROWS($D$2:D91),$A$2:$B$1424,2,0),"")</f>
        <v>East Devon</v>
      </c>
    </row>
    <row r="92" spans="1:4" x14ac:dyDescent="0.25">
      <c r="A92" s="373">
        <f>IF(ISNUMBER(SEARCH('Area summary'!$E$3,B92)),MAX($A$1:A91)+1,0)</f>
        <v>90</v>
      </c>
      <c r="B92" s="468" t="s">
        <v>577</v>
      </c>
      <c r="D92" s="373" t="str">
        <f>IFERROR(VLOOKUP(ROWS($D$2:D92),$A$2:$B$1424,2,0),"")</f>
        <v>East Hampshire</v>
      </c>
    </row>
    <row r="93" spans="1:4" x14ac:dyDescent="0.25">
      <c r="A93" s="373">
        <f>IF(ISNUMBER(SEARCH('Area summary'!$E$3,B93)),MAX($A$1:A92)+1,0)</f>
        <v>91</v>
      </c>
      <c r="B93" s="468" t="s">
        <v>579</v>
      </c>
      <c r="D93" s="373" t="str">
        <f>IFERROR(VLOOKUP(ROWS($D$2:D93),$A$2:$B$1424,2,0),"")</f>
        <v>East Hertfordshire</v>
      </c>
    </row>
    <row r="94" spans="1:4" x14ac:dyDescent="0.25">
      <c r="A94" s="373">
        <f>IF(ISNUMBER(SEARCH('Area summary'!$E$3,B94)),MAX($A$1:A93)+1,0)</f>
        <v>92</v>
      </c>
      <c r="B94" s="468" t="s">
        <v>581</v>
      </c>
      <c r="D94" s="373" t="str">
        <f>IFERROR(VLOOKUP(ROWS($D$2:D94),$A$2:$B$1424,2,0),"")</f>
        <v>East Lindsey</v>
      </c>
    </row>
    <row r="95" spans="1:4" x14ac:dyDescent="0.25">
      <c r="A95" s="373">
        <f>IF(ISNUMBER(SEARCH('Area summary'!$E$3,B95)),MAX($A$1:A94)+1,0)</f>
        <v>93</v>
      </c>
      <c r="B95" s="468" t="s">
        <v>583</v>
      </c>
      <c r="D95" s="373" t="str">
        <f>IFERROR(VLOOKUP(ROWS($D$2:D95),$A$2:$B$1424,2,0),"")</f>
        <v>East Riding of Yorkshire</v>
      </c>
    </row>
    <row r="96" spans="1:4" x14ac:dyDescent="0.25">
      <c r="A96" s="373">
        <f>IF(ISNUMBER(SEARCH('Area summary'!$E$3,B96)),MAX($A$1:A95)+1,0)</f>
        <v>94</v>
      </c>
      <c r="B96" s="468" t="s">
        <v>585</v>
      </c>
      <c r="D96" s="373" t="str">
        <f>IFERROR(VLOOKUP(ROWS($D$2:D96),$A$2:$B$1424,2,0),"")</f>
        <v>East Staffordshire</v>
      </c>
    </row>
    <row r="97" spans="1:4" x14ac:dyDescent="0.25">
      <c r="A97" s="373">
        <f>IF(ISNUMBER(SEARCH('Area summary'!$E$3,B97)),MAX($A$1:A96)+1,0)</f>
        <v>95</v>
      </c>
      <c r="B97" s="468" t="s">
        <v>587</v>
      </c>
      <c r="D97" s="373" t="str">
        <f>IFERROR(VLOOKUP(ROWS($D$2:D97),$A$2:$B$1424,2,0),"")</f>
        <v>East Suffolk</v>
      </c>
    </row>
    <row r="98" spans="1:4" x14ac:dyDescent="0.25">
      <c r="A98" s="373">
        <f>IF(ISNUMBER(SEARCH('Area summary'!$E$3,B98)),MAX($A$1:A97)+1,0)</f>
        <v>96</v>
      </c>
      <c r="B98" s="468" t="s">
        <v>589</v>
      </c>
      <c r="D98" s="373" t="str">
        <f>IFERROR(VLOOKUP(ROWS($D$2:D98),$A$2:$B$1424,2,0),"")</f>
        <v>Eastbourne</v>
      </c>
    </row>
    <row r="99" spans="1:4" x14ac:dyDescent="0.25">
      <c r="A99" s="373">
        <f>IF(ISNUMBER(SEARCH('Area summary'!$E$3,B99)),MAX($A$1:A98)+1,0)</f>
        <v>97</v>
      </c>
      <c r="B99" s="468" t="s">
        <v>591</v>
      </c>
      <c r="D99" s="373" t="str">
        <f>IFERROR(VLOOKUP(ROWS($D$2:D99),$A$2:$B$1424,2,0),"")</f>
        <v>Eastleigh</v>
      </c>
    </row>
    <row r="100" spans="1:4" x14ac:dyDescent="0.25">
      <c r="A100" s="373">
        <f>IF(ISNUMBER(SEARCH('Area summary'!$E$3,B100)),MAX($A$1:A99)+1,0)</f>
        <v>98</v>
      </c>
      <c r="B100" s="468" t="s">
        <v>593</v>
      </c>
      <c r="D100" s="373" t="str">
        <f>IFERROR(VLOOKUP(ROWS($D$2:D100),$A$2:$B$1424,2,0),"")</f>
        <v>Eden</v>
      </c>
    </row>
    <row r="101" spans="1:4" x14ac:dyDescent="0.25">
      <c r="A101" s="373">
        <f>IF(ISNUMBER(SEARCH('Area summary'!$E$3,B101)),MAX($A$1:A100)+1,0)</f>
        <v>99</v>
      </c>
      <c r="B101" s="468" t="s">
        <v>595</v>
      </c>
      <c r="D101" s="373" t="str">
        <f>IFERROR(VLOOKUP(ROWS($D$2:D101),$A$2:$B$1424,2,0),"")</f>
        <v>Elmbridge</v>
      </c>
    </row>
    <row r="102" spans="1:4" x14ac:dyDescent="0.25">
      <c r="A102" s="373">
        <f>IF(ISNUMBER(SEARCH('Area summary'!$E$3,B102)),MAX($A$1:A101)+1,0)</f>
        <v>100</v>
      </c>
      <c r="B102" s="468" t="s">
        <v>597</v>
      </c>
      <c r="D102" s="373" t="str">
        <f>IFERROR(VLOOKUP(ROWS($D$2:D102),$A$2:$B$1424,2,0),"")</f>
        <v>Enfield</v>
      </c>
    </row>
    <row r="103" spans="1:4" x14ac:dyDescent="0.25">
      <c r="A103" s="373">
        <f>IF(ISNUMBER(SEARCH('Area summary'!$E$3,B103)),MAX($A$1:A102)+1,0)</f>
        <v>101</v>
      </c>
      <c r="B103" s="468" t="s">
        <v>599</v>
      </c>
      <c r="D103" s="373" t="str">
        <f>IFERROR(VLOOKUP(ROWS($D$2:D103),$A$2:$B$1424,2,0),"")</f>
        <v>Epping Forest</v>
      </c>
    </row>
    <row r="104" spans="1:4" x14ac:dyDescent="0.25">
      <c r="A104" s="373">
        <f>IF(ISNUMBER(SEARCH('Area summary'!$E$3,B104)),MAX($A$1:A103)+1,0)</f>
        <v>102</v>
      </c>
      <c r="B104" s="468" t="s">
        <v>601</v>
      </c>
      <c r="D104" s="373" t="str">
        <f>IFERROR(VLOOKUP(ROWS($D$2:D104),$A$2:$B$1424,2,0),"")</f>
        <v>Epsom and Ewell</v>
      </c>
    </row>
    <row r="105" spans="1:4" x14ac:dyDescent="0.25">
      <c r="A105" s="373">
        <f>IF(ISNUMBER(SEARCH('Area summary'!$E$3,B105)),MAX($A$1:A104)+1,0)</f>
        <v>103</v>
      </c>
      <c r="B105" s="468" t="s">
        <v>603</v>
      </c>
      <c r="D105" s="373" t="str">
        <f>IFERROR(VLOOKUP(ROWS($D$2:D105),$A$2:$B$1424,2,0),"")</f>
        <v>Erewash</v>
      </c>
    </row>
    <row r="106" spans="1:4" x14ac:dyDescent="0.25">
      <c r="A106" s="373">
        <f>IF(ISNUMBER(SEARCH('Area summary'!$E$3,B106)),MAX($A$1:A105)+1,0)</f>
        <v>104</v>
      </c>
      <c r="B106" s="468" t="s">
        <v>605</v>
      </c>
      <c r="D106" s="373" t="str">
        <f>IFERROR(VLOOKUP(ROWS($D$2:D106),$A$2:$B$1424,2,0),"")</f>
        <v>Exeter</v>
      </c>
    </row>
    <row r="107" spans="1:4" x14ac:dyDescent="0.25">
      <c r="A107" s="373">
        <f>IF(ISNUMBER(SEARCH('Area summary'!$E$3,B107)),MAX($A$1:A106)+1,0)</f>
        <v>105</v>
      </c>
      <c r="B107" s="468" t="s">
        <v>607</v>
      </c>
      <c r="D107" s="373" t="str">
        <f>IFERROR(VLOOKUP(ROWS($D$2:D107),$A$2:$B$1424,2,0),"")</f>
        <v>Fareham</v>
      </c>
    </row>
    <row r="108" spans="1:4" x14ac:dyDescent="0.25">
      <c r="A108" s="373">
        <f>IF(ISNUMBER(SEARCH('Area summary'!$E$3,B108)),MAX($A$1:A107)+1,0)</f>
        <v>106</v>
      </c>
      <c r="B108" s="468" t="s">
        <v>609</v>
      </c>
      <c r="D108" s="373" t="str">
        <f>IFERROR(VLOOKUP(ROWS($D$2:D108),$A$2:$B$1424,2,0),"")</f>
        <v>Fenland</v>
      </c>
    </row>
    <row r="109" spans="1:4" x14ac:dyDescent="0.25">
      <c r="A109" s="373">
        <f>IF(ISNUMBER(SEARCH('Area summary'!$E$3,B109)),MAX($A$1:A108)+1,0)</f>
        <v>107</v>
      </c>
      <c r="B109" s="468" t="s">
        <v>611</v>
      </c>
      <c r="D109" s="373" t="str">
        <f>IFERROR(VLOOKUP(ROWS($D$2:D109),$A$2:$B$1424,2,0),"")</f>
        <v>Folkestone and Hythe</v>
      </c>
    </row>
    <row r="110" spans="1:4" x14ac:dyDescent="0.25">
      <c r="A110" s="373">
        <f>IF(ISNUMBER(SEARCH('Area summary'!$E$3,B110)),MAX($A$1:A109)+1,0)</f>
        <v>108</v>
      </c>
      <c r="B110" s="468" t="s">
        <v>613</v>
      </c>
      <c r="D110" s="373" t="str">
        <f>IFERROR(VLOOKUP(ROWS($D$2:D110),$A$2:$B$1424,2,0),"")</f>
        <v>Forest of Dean</v>
      </c>
    </row>
    <row r="111" spans="1:4" x14ac:dyDescent="0.25">
      <c r="A111" s="373">
        <f>IF(ISNUMBER(SEARCH('Area summary'!$E$3,B111)),MAX($A$1:A110)+1,0)</f>
        <v>109</v>
      </c>
      <c r="B111" s="468" t="s">
        <v>615</v>
      </c>
      <c r="D111" s="373" t="str">
        <f>IFERROR(VLOOKUP(ROWS($D$2:D111),$A$2:$B$1424,2,0),"")</f>
        <v>Fylde</v>
      </c>
    </row>
    <row r="112" spans="1:4" x14ac:dyDescent="0.25">
      <c r="A112" s="373">
        <f>IF(ISNUMBER(SEARCH('Area summary'!$E$3,B112)),MAX($A$1:A111)+1,0)</f>
        <v>110</v>
      </c>
      <c r="B112" s="468" t="s">
        <v>617</v>
      </c>
      <c r="D112" s="373" t="str">
        <f>IFERROR(VLOOKUP(ROWS($D$2:D112),$A$2:$B$1424,2,0),"")</f>
        <v>Gateshead</v>
      </c>
    </row>
    <row r="113" spans="1:4" x14ac:dyDescent="0.25">
      <c r="A113" s="373">
        <f>IF(ISNUMBER(SEARCH('Area summary'!$E$3,B113)),MAX($A$1:A112)+1,0)</f>
        <v>111</v>
      </c>
      <c r="B113" s="468" t="s">
        <v>619</v>
      </c>
      <c r="D113" s="373" t="str">
        <f>IFERROR(VLOOKUP(ROWS($D$2:D113),$A$2:$B$1424,2,0),"")</f>
        <v>Gedling</v>
      </c>
    </row>
    <row r="114" spans="1:4" x14ac:dyDescent="0.25">
      <c r="A114" s="373">
        <f>IF(ISNUMBER(SEARCH('Area summary'!$E$3,B114)),MAX($A$1:A113)+1,0)</f>
        <v>112</v>
      </c>
      <c r="B114" s="468" t="s">
        <v>621</v>
      </c>
      <c r="D114" s="373" t="str">
        <f>IFERROR(VLOOKUP(ROWS($D$2:D114),$A$2:$B$1424,2,0),"")</f>
        <v>Gloucester</v>
      </c>
    </row>
    <row r="115" spans="1:4" x14ac:dyDescent="0.25">
      <c r="A115" s="373">
        <f>IF(ISNUMBER(SEARCH('Area summary'!$E$3,B115)),MAX($A$1:A114)+1,0)</f>
        <v>113</v>
      </c>
      <c r="B115" s="468" t="s">
        <v>623</v>
      </c>
      <c r="D115" s="373" t="str">
        <f>IFERROR(VLOOKUP(ROWS($D$2:D115),$A$2:$B$1424,2,0),"")</f>
        <v>Gosport</v>
      </c>
    </row>
    <row r="116" spans="1:4" x14ac:dyDescent="0.25">
      <c r="A116" s="373">
        <f>IF(ISNUMBER(SEARCH('Area summary'!$E$3,B116)),MAX($A$1:A115)+1,0)</f>
        <v>114</v>
      </c>
      <c r="B116" s="468" t="s">
        <v>625</v>
      </c>
      <c r="D116" s="373" t="str">
        <f>IFERROR(VLOOKUP(ROWS($D$2:D116),$A$2:$B$1424,2,0),"")</f>
        <v>Gravesham</v>
      </c>
    </row>
    <row r="117" spans="1:4" x14ac:dyDescent="0.25">
      <c r="A117" s="373">
        <f>IF(ISNUMBER(SEARCH('Area summary'!$E$3,B117)),MAX($A$1:A116)+1,0)</f>
        <v>115</v>
      </c>
      <c r="B117" s="468" t="s">
        <v>627</v>
      </c>
      <c r="D117" s="373" t="str">
        <f>IFERROR(VLOOKUP(ROWS($D$2:D117),$A$2:$B$1424,2,0),"")</f>
        <v>Great Yarmouth</v>
      </c>
    </row>
    <row r="118" spans="1:4" x14ac:dyDescent="0.25">
      <c r="A118" s="373">
        <f>IF(ISNUMBER(SEARCH('Area summary'!$E$3,B118)),MAX($A$1:A117)+1,0)</f>
        <v>116</v>
      </c>
      <c r="B118" s="468" t="s">
        <v>629</v>
      </c>
      <c r="D118" s="373" t="str">
        <f>IFERROR(VLOOKUP(ROWS($D$2:D118),$A$2:$B$1424,2,0),"")</f>
        <v>Greenwich</v>
      </c>
    </row>
    <row r="119" spans="1:4" x14ac:dyDescent="0.25">
      <c r="A119" s="373">
        <f>IF(ISNUMBER(SEARCH('Area summary'!$E$3,B119)),MAX($A$1:A118)+1,0)</f>
        <v>117</v>
      </c>
      <c r="B119" s="468" t="s">
        <v>631</v>
      </c>
      <c r="D119" s="373" t="str">
        <f>IFERROR(VLOOKUP(ROWS($D$2:D119),$A$2:$B$1424,2,0),"")</f>
        <v>Guildford</v>
      </c>
    </row>
    <row r="120" spans="1:4" x14ac:dyDescent="0.25">
      <c r="A120" s="373">
        <f>IF(ISNUMBER(SEARCH('Area summary'!$E$3,B120)),MAX($A$1:A119)+1,0)</f>
        <v>118</v>
      </c>
      <c r="B120" s="468" t="s">
        <v>633</v>
      </c>
      <c r="D120" s="373" t="str">
        <f>IFERROR(VLOOKUP(ROWS($D$2:D120),$A$2:$B$1424,2,0),"")</f>
        <v>Hackney</v>
      </c>
    </row>
    <row r="121" spans="1:4" x14ac:dyDescent="0.25">
      <c r="A121" s="373">
        <f>IF(ISNUMBER(SEARCH('Area summary'!$E$3,B121)),MAX($A$1:A120)+1,0)</f>
        <v>119</v>
      </c>
      <c r="B121" s="468" t="s">
        <v>635</v>
      </c>
      <c r="D121" s="373" t="str">
        <f>IFERROR(VLOOKUP(ROWS($D$2:D121),$A$2:$B$1424,2,0),"")</f>
        <v>Halton</v>
      </c>
    </row>
    <row r="122" spans="1:4" x14ac:dyDescent="0.25">
      <c r="A122" s="373">
        <f>IF(ISNUMBER(SEARCH('Area summary'!$E$3,B122)),MAX($A$1:A121)+1,0)</f>
        <v>120</v>
      </c>
      <c r="B122" s="468" t="s">
        <v>637</v>
      </c>
      <c r="D122" s="373" t="str">
        <f>IFERROR(VLOOKUP(ROWS($D$2:D122),$A$2:$B$1424,2,0),"")</f>
        <v>Hambleton</v>
      </c>
    </row>
    <row r="123" spans="1:4" x14ac:dyDescent="0.25">
      <c r="A123" s="373">
        <f>IF(ISNUMBER(SEARCH('Area summary'!$E$3,B123)),MAX($A$1:A122)+1,0)</f>
        <v>121</v>
      </c>
      <c r="B123" s="468" t="s">
        <v>639</v>
      </c>
      <c r="D123" s="373" t="str">
        <f>IFERROR(VLOOKUP(ROWS($D$2:D123),$A$2:$B$1424,2,0),"")</f>
        <v>Hammersmith and Fulham</v>
      </c>
    </row>
    <row r="124" spans="1:4" x14ac:dyDescent="0.25">
      <c r="A124" s="373">
        <f>IF(ISNUMBER(SEARCH('Area summary'!$E$3,B124)),MAX($A$1:A123)+1,0)</f>
        <v>122</v>
      </c>
      <c r="B124" s="468" t="s">
        <v>641</v>
      </c>
      <c r="D124" s="373" t="str">
        <f>IFERROR(VLOOKUP(ROWS($D$2:D124),$A$2:$B$1424,2,0),"")</f>
        <v>Harborough</v>
      </c>
    </row>
    <row r="125" spans="1:4" x14ac:dyDescent="0.25">
      <c r="A125" s="373">
        <f>IF(ISNUMBER(SEARCH('Area summary'!$E$3,B125)),MAX($A$1:A124)+1,0)</f>
        <v>123</v>
      </c>
      <c r="B125" s="468" t="s">
        <v>643</v>
      </c>
      <c r="D125" s="373" t="str">
        <f>IFERROR(VLOOKUP(ROWS($D$2:D125),$A$2:$B$1424,2,0),"")</f>
        <v>Haringey</v>
      </c>
    </row>
    <row r="126" spans="1:4" x14ac:dyDescent="0.25">
      <c r="A126" s="373">
        <f>IF(ISNUMBER(SEARCH('Area summary'!$E$3,B126)),MAX($A$1:A125)+1,0)</f>
        <v>124</v>
      </c>
      <c r="B126" s="468" t="s">
        <v>645</v>
      </c>
      <c r="D126" s="373" t="str">
        <f>IFERROR(VLOOKUP(ROWS($D$2:D126),$A$2:$B$1424,2,0),"")</f>
        <v>Harlow</v>
      </c>
    </row>
    <row r="127" spans="1:4" x14ac:dyDescent="0.25">
      <c r="A127" s="373">
        <f>IF(ISNUMBER(SEARCH('Area summary'!$E$3,B127)),MAX($A$1:A126)+1,0)</f>
        <v>125</v>
      </c>
      <c r="B127" s="468" t="s">
        <v>647</v>
      </c>
      <c r="D127" s="373" t="str">
        <f>IFERROR(VLOOKUP(ROWS($D$2:D127),$A$2:$B$1424,2,0),"")</f>
        <v>Harrogate</v>
      </c>
    </row>
    <row r="128" spans="1:4" x14ac:dyDescent="0.25">
      <c r="A128" s="373">
        <f>IF(ISNUMBER(SEARCH('Area summary'!$E$3,B128)),MAX($A$1:A127)+1,0)</f>
        <v>126</v>
      </c>
      <c r="B128" s="468" t="s">
        <v>649</v>
      </c>
      <c r="D128" s="373" t="str">
        <f>IFERROR(VLOOKUP(ROWS($D$2:D128),$A$2:$B$1424,2,0),"")</f>
        <v>Harrow</v>
      </c>
    </row>
    <row r="129" spans="1:4" x14ac:dyDescent="0.25">
      <c r="A129" s="373">
        <f>IF(ISNUMBER(SEARCH('Area summary'!$E$3,B129)),MAX($A$1:A128)+1,0)</f>
        <v>127</v>
      </c>
      <c r="B129" s="468" t="s">
        <v>651</v>
      </c>
      <c r="D129" s="373" t="str">
        <f>IFERROR(VLOOKUP(ROWS($D$2:D129),$A$2:$B$1424,2,0),"")</f>
        <v>Hart</v>
      </c>
    </row>
    <row r="130" spans="1:4" x14ac:dyDescent="0.25">
      <c r="A130" s="373">
        <f>IF(ISNUMBER(SEARCH('Area summary'!$E$3,B130)),MAX($A$1:A129)+1,0)</f>
        <v>128</v>
      </c>
      <c r="B130" s="468" t="s">
        <v>653</v>
      </c>
      <c r="D130" s="373" t="str">
        <f>IFERROR(VLOOKUP(ROWS($D$2:D130),$A$2:$B$1424,2,0),"")</f>
        <v>Hartlepool</v>
      </c>
    </row>
    <row r="131" spans="1:4" x14ac:dyDescent="0.25">
      <c r="A131" s="373">
        <f>IF(ISNUMBER(SEARCH('Area summary'!$E$3,B131)),MAX($A$1:A130)+1,0)</f>
        <v>129</v>
      </c>
      <c r="B131" s="468" t="s">
        <v>655</v>
      </c>
      <c r="D131" s="373" t="str">
        <f>IFERROR(VLOOKUP(ROWS($D$2:D131),$A$2:$B$1424,2,0),"")</f>
        <v>Hastings</v>
      </c>
    </row>
    <row r="132" spans="1:4" x14ac:dyDescent="0.25">
      <c r="A132" s="373">
        <f>IF(ISNUMBER(SEARCH('Area summary'!$E$3,B132)),MAX($A$1:A131)+1,0)</f>
        <v>130</v>
      </c>
      <c r="B132" s="468" t="s">
        <v>657</v>
      </c>
      <c r="D132" s="373" t="str">
        <f>IFERROR(VLOOKUP(ROWS($D$2:D132),$A$2:$B$1424,2,0),"")</f>
        <v>Havant</v>
      </c>
    </row>
    <row r="133" spans="1:4" x14ac:dyDescent="0.25">
      <c r="A133" s="373">
        <f>IF(ISNUMBER(SEARCH('Area summary'!$E$3,B133)),MAX($A$1:A132)+1,0)</f>
        <v>131</v>
      </c>
      <c r="B133" s="468" t="s">
        <v>659</v>
      </c>
      <c r="D133" s="373" t="str">
        <f>IFERROR(VLOOKUP(ROWS($D$2:D133),$A$2:$B$1424,2,0),"")</f>
        <v>Havering</v>
      </c>
    </row>
    <row r="134" spans="1:4" x14ac:dyDescent="0.25">
      <c r="A134" s="373">
        <f>IF(ISNUMBER(SEARCH('Area summary'!$E$3,B134)),MAX($A$1:A133)+1,0)</f>
        <v>132</v>
      </c>
      <c r="B134" s="468" t="s">
        <v>661</v>
      </c>
      <c r="D134" s="373" t="str">
        <f>IFERROR(VLOOKUP(ROWS($D$2:D134),$A$2:$B$1424,2,0),"")</f>
        <v>Herefordshire, County of</v>
      </c>
    </row>
    <row r="135" spans="1:4" x14ac:dyDescent="0.25">
      <c r="A135" s="373">
        <f>IF(ISNUMBER(SEARCH('Area summary'!$E$3,B135)),MAX($A$1:A134)+1,0)</f>
        <v>133</v>
      </c>
      <c r="B135" s="468" t="s">
        <v>663</v>
      </c>
      <c r="D135" s="373" t="str">
        <f>IFERROR(VLOOKUP(ROWS($D$2:D135),$A$2:$B$1424,2,0),"")</f>
        <v>Hertsmere</v>
      </c>
    </row>
    <row r="136" spans="1:4" x14ac:dyDescent="0.25">
      <c r="A136" s="373">
        <f>IF(ISNUMBER(SEARCH('Area summary'!$E$3,B136)),MAX($A$1:A135)+1,0)</f>
        <v>134</v>
      </c>
      <c r="B136" s="468" t="s">
        <v>665</v>
      </c>
      <c r="D136" s="373" t="str">
        <f>IFERROR(VLOOKUP(ROWS($D$2:D136),$A$2:$B$1424,2,0),"")</f>
        <v>High Peak</v>
      </c>
    </row>
    <row r="137" spans="1:4" x14ac:dyDescent="0.25">
      <c r="A137" s="373">
        <f>IF(ISNUMBER(SEARCH('Area summary'!$E$3,B137)),MAX($A$1:A136)+1,0)</f>
        <v>135</v>
      </c>
      <c r="B137" s="468" t="s">
        <v>667</v>
      </c>
      <c r="D137" s="373" t="str">
        <f>IFERROR(VLOOKUP(ROWS($D$2:D137),$A$2:$B$1424,2,0),"")</f>
        <v>Hillingdon</v>
      </c>
    </row>
    <row r="138" spans="1:4" x14ac:dyDescent="0.25">
      <c r="A138" s="373">
        <f>IF(ISNUMBER(SEARCH('Area summary'!$E$3,B138)),MAX($A$1:A137)+1,0)</f>
        <v>136</v>
      </c>
      <c r="B138" s="468" t="s">
        <v>669</v>
      </c>
      <c r="D138" s="373" t="str">
        <f>IFERROR(VLOOKUP(ROWS($D$2:D138),$A$2:$B$1424,2,0),"")</f>
        <v>Hinckley and Bosworth</v>
      </c>
    </row>
    <row r="139" spans="1:4" x14ac:dyDescent="0.25">
      <c r="A139" s="373">
        <f>IF(ISNUMBER(SEARCH('Area summary'!$E$3,B139)),MAX($A$1:A138)+1,0)</f>
        <v>137</v>
      </c>
      <c r="B139" s="468" t="s">
        <v>671</v>
      </c>
      <c r="D139" s="373" t="str">
        <f>IFERROR(VLOOKUP(ROWS($D$2:D139),$A$2:$B$1424,2,0),"")</f>
        <v>Horsham</v>
      </c>
    </row>
    <row r="140" spans="1:4" x14ac:dyDescent="0.25">
      <c r="A140" s="373">
        <f>IF(ISNUMBER(SEARCH('Area summary'!$E$3,B140)),MAX($A$1:A139)+1,0)</f>
        <v>138</v>
      </c>
      <c r="B140" s="468" t="s">
        <v>673</v>
      </c>
      <c r="D140" s="373" t="str">
        <f>IFERROR(VLOOKUP(ROWS($D$2:D140),$A$2:$B$1424,2,0),"")</f>
        <v>Hounslow</v>
      </c>
    </row>
    <row r="141" spans="1:4" x14ac:dyDescent="0.25">
      <c r="A141" s="373">
        <f>IF(ISNUMBER(SEARCH('Area summary'!$E$3,B141)),MAX($A$1:A140)+1,0)</f>
        <v>139</v>
      </c>
      <c r="B141" s="468" t="s">
        <v>675</v>
      </c>
      <c r="D141" s="373" t="str">
        <f>IFERROR(VLOOKUP(ROWS($D$2:D141),$A$2:$B$1424,2,0),"")</f>
        <v>Huntingdonshire</v>
      </c>
    </row>
    <row r="142" spans="1:4" x14ac:dyDescent="0.25">
      <c r="A142" s="373">
        <f>IF(ISNUMBER(SEARCH('Area summary'!$E$3,B142)),MAX($A$1:A141)+1,0)</f>
        <v>140</v>
      </c>
      <c r="B142" s="468" t="s">
        <v>677</v>
      </c>
      <c r="D142" s="373" t="str">
        <f>IFERROR(VLOOKUP(ROWS($D$2:D142),$A$2:$B$1424,2,0),"")</f>
        <v>Hyndburn</v>
      </c>
    </row>
    <row r="143" spans="1:4" x14ac:dyDescent="0.25">
      <c r="A143" s="373">
        <f>IF(ISNUMBER(SEARCH('Area summary'!$E$3,B143)),MAX($A$1:A142)+1,0)</f>
        <v>141</v>
      </c>
      <c r="B143" s="468" t="s">
        <v>679</v>
      </c>
      <c r="D143" s="373" t="str">
        <f>IFERROR(VLOOKUP(ROWS($D$2:D143),$A$2:$B$1424,2,0),"")</f>
        <v>Ipswich</v>
      </c>
    </row>
    <row r="144" spans="1:4" x14ac:dyDescent="0.25">
      <c r="A144" s="373">
        <f>IF(ISNUMBER(SEARCH('Area summary'!$E$3,B144)),MAX($A$1:A143)+1,0)</f>
        <v>142</v>
      </c>
      <c r="B144" s="468" t="s">
        <v>681</v>
      </c>
      <c r="D144" s="373" t="str">
        <f>IFERROR(VLOOKUP(ROWS($D$2:D144),$A$2:$B$1424,2,0),"")</f>
        <v>Isle of Wight</v>
      </c>
    </row>
    <row r="145" spans="1:4" x14ac:dyDescent="0.25">
      <c r="A145" s="373">
        <f>IF(ISNUMBER(SEARCH('Area summary'!$E$3,B145)),MAX($A$1:A144)+1,0)</f>
        <v>143</v>
      </c>
      <c r="B145" s="468" t="s">
        <v>683</v>
      </c>
      <c r="D145" s="373" t="str">
        <f>IFERROR(VLOOKUP(ROWS($D$2:D145),$A$2:$B$1424,2,0),"")</f>
        <v>Isles of Scilly</v>
      </c>
    </row>
    <row r="146" spans="1:4" x14ac:dyDescent="0.25">
      <c r="A146" s="373">
        <f>IF(ISNUMBER(SEARCH('Area summary'!$E$3,B146)),MAX($A$1:A145)+1,0)</f>
        <v>144</v>
      </c>
      <c r="B146" s="468" t="s">
        <v>685</v>
      </c>
      <c r="D146" s="373" t="str">
        <f>IFERROR(VLOOKUP(ROWS($D$2:D146),$A$2:$B$1424,2,0),"")</f>
        <v>Islington</v>
      </c>
    </row>
    <row r="147" spans="1:4" x14ac:dyDescent="0.25">
      <c r="A147" s="373">
        <f>IF(ISNUMBER(SEARCH('Area summary'!$E$3,B147)),MAX($A$1:A146)+1,0)</f>
        <v>145</v>
      </c>
      <c r="B147" s="468" t="s">
        <v>687</v>
      </c>
      <c r="D147" s="373" t="str">
        <f>IFERROR(VLOOKUP(ROWS($D$2:D147),$A$2:$B$1424,2,0),"")</f>
        <v>Kensington and Chelsea</v>
      </c>
    </row>
    <row r="148" spans="1:4" x14ac:dyDescent="0.25">
      <c r="A148" s="373">
        <f>IF(ISNUMBER(SEARCH('Area summary'!$E$3,B148)),MAX($A$1:A147)+1,0)</f>
        <v>146</v>
      </c>
      <c r="B148" s="468" t="s">
        <v>689</v>
      </c>
      <c r="D148" s="373" t="str">
        <f>IFERROR(VLOOKUP(ROWS($D$2:D148),$A$2:$B$1424,2,0),"")</f>
        <v>King's Lynn and West Norfolk</v>
      </c>
    </row>
    <row r="149" spans="1:4" x14ac:dyDescent="0.25">
      <c r="A149" s="373">
        <f>IF(ISNUMBER(SEARCH('Area summary'!$E$3,B149)),MAX($A$1:A148)+1,0)</f>
        <v>147</v>
      </c>
      <c r="B149" s="468" t="s">
        <v>691</v>
      </c>
      <c r="D149" s="373" t="str">
        <f>IFERROR(VLOOKUP(ROWS($D$2:D149),$A$2:$B$1424,2,0),"")</f>
        <v>Kingston upon Hull, City of</v>
      </c>
    </row>
    <row r="150" spans="1:4" x14ac:dyDescent="0.25">
      <c r="A150" s="373">
        <f>IF(ISNUMBER(SEARCH('Area summary'!$E$3,B150)),MAX($A$1:A149)+1,0)</f>
        <v>148</v>
      </c>
      <c r="B150" s="468" t="s">
        <v>693</v>
      </c>
      <c r="D150" s="373" t="str">
        <f>IFERROR(VLOOKUP(ROWS($D$2:D150),$A$2:$B$1424,2,0),"")</f>
        <v>Kingston upon Thames</v>
      </c>
    </row>
    <row r="151" spans="1:4" x14ac:dyDescent="0.25">
      <c r="A151" s="373">
        <f>IF(ISNUMBER(SEARCH('Area summary'!$E$3,B151)),MAX($A$1:A150)+1,0)</f>
        <v>149</v>
      </c>
      <c r="B151" s="468" t="s">
        <v>695</v>
      </c>
      <c r="D151" s="373" t="str">
        <f>IFERROR(VLOOKUP(ROWS($D$2:D151),$A$2:$B$1424,2,0),"")</f>
        <v>Kirklees</v>
      </c>
    </row>
    <row r="152" spans="1:4" x14ac:dyDescent="0.25">
      <c r="A152" s="373">
        <f>IF(ISNUMBER(SEARCH('Area summary'!$E$3,B152)),MAX($A$1:A151)+1,0)</f>
        <v>150</v>
      </c>
      <c r="B152" s="468" t="s">
        <v>697</v>
      </c>
      <c r="D152" s="373" t="str">
        <f>IFERROR(VLOOKUP(ROWS($D$2:D152),$A$2:$B$1424,2,0),"")</f>
        <v>Knowsley</v>
      </c>
    </row>
    <row r="153" spans="1:4" x14ac:dyDescent="0.25">
      <c r="A153" s="373">
        <f>IF(ISNUMBER(SEARCH('Area summary'!$E$3,B153)),MAX($A$1:A152)+1,0)</f>
        <v>151</v>
      </c>
      <c r="B153" s="468" t="s">
        <v>699</v>
      </c>
      <c r="D153" s="373" t="str">
        <f>IFERROR(VLOOKUP(ROWS($D$2:D153),$A$2:$B$1424,2,0),"")</f>
        <v>Lambeth</v>
      </c>
    </row>
    <row r="154" spans="1:4" x14ac:dyDescent="0.25">
      <c r="A154" s="373">
        <f>IF(ISNUMBER(SEARCH('Area summary'!$E$3,B154)),MAX($A$1:A153)+1,0)</f>
        <v>152</v>
      </c>
      <c r="B154" s="468" t="s">
        <v>701</v>
      </c>
      <c r="D154" s="373" t="str">
        <f>IFERROR(VLOOKUP(ROWS($D$2:D154),$A$2:$B$1424,2,0),"")</f>
        <v>Lancaster</v>
      </c>
    </row>
    <row r="155" spans="1:4" x14ac:dyDescent="0.25">
      <c r="A155" s="373">
        <f>IF(ISNUMBER(SEARCH('Area summary'!$E$3,B155)),MAX($A$1:A154)+1,0)</f>
        <v>153</v>
      </c>
      <c r="B155" s="468" t="s">
        <v>703</v>
      </c>
      <c r="D155" s="373" t="str">
        <f>IFERROR(VLOOKUP(ROWS($D$2:D155),$A$2:$B$1424,2,0),"")</f>
        <v>Leeds</v>
      </c>
    </row>
    <row r="156" spans="1:4" x14ac:dyDescent="0.25">
      <c r="A156" s="373">
        <f>IF(ISNUMBER(SEARCH('Area summary'!$E$3,B156)),MAX($A$1:A155)+1,0)</f>
        <v>154</v>
      </c>
      <c r="B156" s="468" t="s">
        <v>705</v>
      </c>
      <c r="D156" s="373" t="str">
        <f>IFERROR(VLOOKUP(ROWS($D$2:D156),$A$2:$B$1424,2,0),"")</f>
        <v>Leicester</v>
      </c>
    </row>
    <row r="157" spans="1:4" x14ac:dyDescent="0.25">
      <c r="A157" s="373">
        <f>IF(ISNUMBER(SEARCH('Area summary'!$E$3,B157)),MAX($A$1:A156)+1,0)</f>
        <v>155</v>
      </c>
      <c r="B157" s="468" t="s">
        <v>707</v>
      </c>
      <c r="D157" s="373" t="str">
        <f>IFERROR(VLOOKUP(ROWS($D$2:D157),$A$2:$B$1424,2,0),"")</f>
        <v>Lewes</v>
      </c>
    </row>
    <row r="158" spans="1:4" x14ac:dyDescent="0.25">
      <c r="A158" s="373">
        <f>IF(ISNUMBER(SEARCH('Area summary'!$E$3,B158)),MAX($A$1:A157)+1,0)</f>
        <v>156</v>
      </c>
      <c r="B158" s="468" t="s">
        <v>709</v>
      </c>
      <c r="D158" s="373" t="str">
        <f>IFERROR(VLOOKUP(ROWS($D$2:D158),$A$2:$B$1424,2,0),"")</f>
        <v>Lewisham</v>
      </c>
    </row>
    <row r="159" spans="1:4" x14ac:dyDescent="0.25">
      <c r="A159" s="373">
        <f>IF(ISNUMBER(SEARCH('Area summary'!$E$3,B159)),MAX($A$1:A158)+1,0)</f>
        <v>157</v>
      </c>
      <c r="B159" s="468" t="s">
        <v>711</v>
      </c>
      <c r="D159" s="373" t="str">
        <f>IFERROR(VLOOKUP(ROWS($D$2:D159),$A$2:$B$1424,2,0),"")</f>
        <v>Lichfield</v>
      </c>
    </row>
    <row r="160" spans="1:4" x14ac:dyDescent="0.25">
      <c r="A160" s="373">
        <f>IF(ISNUMBER(SEARCH('Area summary'!$E$3,B160)),MAX($A$1:A159)+1,0)</f>
        <v>158</v>
      </c>
      <c r="B160" s="468" t="s">
        <v>713</v>
      </c>
      <c r="D160" s="373" t="str">
        <f>IFERROR(VLOOKUP(ROWS($D$2:D160),$A$2:$B$1424,2,0),"")</f>
        <v>Lincoln</v>
      </c>
    </row>
    <row r="161" spans="1:4" x14ac:dyDescent="0.25">
      <c r="A161" s="373">
        <f>IF(ISNUMBER(SEARCH('Area summary'!$E$3,B161)),MAX($A$1:A160)+1,0)</f>
        <v>159</v>
      </c>
      <c r="B161" s="468" t="s">
        <v>715</v>
      </c>
      <c r="D161" s="373" t="str">
        <f>IFERROR(VLOOKUP(ROWS($D$2:D161),$A$2:$B$1424,2,0),"")</f>
        <v>Liverpool</v>
      </c>
    </row>
    <row r="162" spans="1:4" x14ac:dyDescent="0.25">
      <c r="A162" s="373">
        <f>IF(ISNUMBER(SEARCH('Area summary'!$E$3,B162)),MAX($A$1:A161)+1,0)</f>
        <v>160</v>
      </c>
      <c r="B162" s="468" t="s">
        <v>717</v>
      </c>
      <c r="D162" s="373" t="str">
        <f>IFERROR(VLOOKUP(ROWS($D$2:D162),$A$2:$B$1424,2,0),"")</f>
        <v>Luton</v>
      </c>
    </row>
    <row r="163" spans="1:4" x14ac:dyDescent="0.25">
      <c r="A163" s="373">
        <f>IF(ISNUMBER(SEARCH('Area summary'!$E$3,B163)),MAX($A$1:A162)+1,0)</f>
        <v>161</v>
      </c>
      <c r="B163" s="468" t="s">
        <v>719</v>
      </c>
      <c r="D163" s="373" t="str">
        <f>IFERROR(VLOOKUP(ROWS($D$2:D163),$A$2:$B$1424,2,0),"")</f>
        <v>Maidstone</v>
      </c>
    </row>
    <row r="164" spans="1:4" x14ac:dyDescent="0.25">
      <c r="A164" s="373">
        <f>IF(ISNUMBER(SEARCH('Area summary'!$E$3,B164)),MAX($A$1:A163)+1,0)</f>
        <v>162</v>
      </c>
      <c r="B164" s="468" t="s">
        <v>721</v>
      </c>
      <c r="D164" s="373" t="str">
        <f>IFERROR(VLOOKUP(ROWS($D$2:D164),$A$2:$B$1424,2,0),"")</f>
        <v>Maldon</v>
      </c>
    </row>
    <row r="165" spans="1:4" x14ac:dyDescent="0.25">
      <c r="A165" s="373">
        <f>IF(ISNUMBER(SEARCH('Area summary'!$E$3,B165)),MAX($A$1:A164)+1,0)</f>
        <v>163</v>
      </c>
      <c r="B165" s="468" t="s">
        <v>723</v>
      </c>
      <c r="D165" s="373" t="str">
        <f>IFERROR(VLOOKUP(ROWS($D$2:D165),$A$2:$B$1424,2,0),"")</f>
        <v>Malvern Hills</v>
      </c>
    </row>
    <row r="166" spans="1:4" x14ac:dyDescent="0.25">
      <c r="A166" s="373">
        <f>IF(ISNUMBER(SEARCH('Area summary'!$E$3,B166)),MAX($A$1:A165)+1,0)</f>
        <v>164</v>
      </c>
      <c r="B166" s="468" t="s">
        <v>725</v>
      </c>
      <c r="D166" s="373" t="str">
        <f>IFERROR(VLOOKUP(ROWS($D$2:D166),$A$2:$B$1424,2,0),"")</f>
        <v>Manchester</v>
      </c>
    </row>
    <row r="167" spans="1:4" x14ac:dyDescent="0.25">
      <c r="A167" s="373">
        <f>IF(ISNUMBER(SEARCH('Area summary'!$E$3,B167)),MAX($A$1:A166)+1,0)</f>
        <v>165</v>
      </c>
      <c r="B167" s="468" t="s">
        <v>727</v>
      </c>
      <c r="D167" s="373" t="str">
        <f>IFERROR(VLOOKUP(ROWS($D$2:D167),$A$2:$B$1424,2,0),"")</f>
        <v>Mansfield</v>
      </c>
    </row>
    <row r="168" spans="1:4" x14ac:dyDescent="0.25">
      <c r="A168" s="373">
        <f>IF(ISNUMBER(SEARCH('Area summary'!$E$3,B168)),MAX($A$1:A167)+1,0)</f>
        <v>166</v>
      </c>
      <c r="B168" s="468" t="s">
        <v>729</v>
      </c>
      <c r="D168" s="373" t="str">
        <f>IFERROR(VLOOKUP(ROWS($D$2:D168),$A$2:$B$1424,2,0),"")</f>
        <v>Medway</v>
      </c>
    </row>
    <row r="169" spans="1:4" x14ac:dyDescent="0.25">
      <c r="A169" s="373">
        <f>IF(ISNUMBER(SEARCH('Area summary'!$E$3,B169)),MAX($A$1:A168)+1,0)</f>
        <v>167</v>
      </c>
      <c r="B169" s="468" t="s">
        <v>731</v>
      </c>
      <c r="D169" s="373" t="str">
        <f>IFERROR(VLOOKUP(ROWS($D$2:D169),$A$2:$B$1424,2,0),"")</f>
        <v>Melton</v>
      </c>
    </row>
    <row r="170" spans="1:4" x14ac:dyDescent="0.25">
      <c r="A170" s="373">
        <f>IF(ISNUMBER(SEARCH('Area summary'!$E$3,B170)),MAX($A$1:A169)+1,0)</f>
        <v>168</v>
      </c>
      <c r="B170" s="468" t="s">
        <v>733</v>
      </c>
      <c r="D170" s="373" t="str">
        <f>IFERROR(VLOOKUP(ROWS($D$2:D170),$A$2:$B$1424,2,0),"")</f>
        <v>Mendip</v>
      </c>
    </row>
    <row r="171" spans="1:4" x14ac:dyDescent="0.25">
      <c r="A171" s="373">
        <f>IF(ISNUMBER(SEARCH('Area summary'!$E$3,B171)),MAX($A$1:A170)+1,0)</f>
        <v>169</v>
      </c>
      <c r="B171" s="468" t="s">
        <v>735</v>
      </c>
      <c r="D171" s="373" t="str">
        <f>IFERROR(VLOOKUP(ROWS($D$2:D171),$A$2:$B$1424,2,0),"")</f>
        <v>Merton</v>
      </c>
    </row>
    <row r="172" spans="1:4" x14ac:dyDescent="0.25">
      <c r="A172" s="373">
        <f>IF(ISNUMBER(SEARCH('Area summary'!$E$3,B172)),MAX($A$1:A171)+1,0)</f>
        <v>170</v>
      </c>
      <c r="B172" s="468" t="s">
        <v>737</v>
      </c>
      <c r="D172" s="373" t="str">
        <f>IFERROR(VLOOKUP(ROWS($D$2:D172),$A$2:$B$1424,2,0),"")</f>
        <v>Mid Devon</v>
      </c>
    </row>
    <row r="173" spans="1:4" x14ac:dyDescent="0.25">
      <c r="A173" s="373">
        <f>IF(ISNUMBER(SEARCH('Area summary'!$E$3,B173)),MAX($A$1:A172)+1,0)</f>
        <v>171</v>
      </c>
      <c r="B173" s="468" t="s">
        <v>739</v>
      </c>
      <c r="D173" s="373" t="str">
        <f>IFERROR(VLOOKUP(ROWS($D$2:D173),$A$2:$B$1424,2,0),"")</f>
        <v>Mid Suffolk</v>
      </c>
    </row>
    <row r="174" spans="1:4" x14ac:dyDescent="0.25">
      <c r="A174" s="373">
        <f>IF(ISNUMBER(SEARCH('Area summary'!$E$3,B174)),MAX($A$1:A173)+1,0)</f>
        <v>172</v>
      </c>
      <c r="B174" s="468" t="s">
        <v>741</v>
      </c>
      <c r="D174" s="373" t="str">
        <f>IFERROR(VLOOKUP(ROWS($D$2:D174),$A$2:$B$1424,2,0),"")</f>
        <v>Mid Sussex</v>
      </c>
    </row>
    <row r="175" spans="1:4" x14ac:dyDescent="0.25">
      <c r="A175" s="373">
        <f>IF(ISNUMBER(SEARCH('Area summary'!$E$3,B175)),MAX($A$1:A174)+1,0)</f>
        <v>173</v>
      </c>
      <c r="B175" s="468" t="s">
        <v>743</v>
      </c>
      <c r="D175" s="373" t="str">
        <f>IFERROR(VLOOKUP(ROWS($D$2:D175),$A$2:$B$1424,2,0),"")</f>
        <v>Middlesbrough</v>
      </c>
    </row>
    <row r="176" spans="1:4" x14ac:dyDescent="0.25">
      <c r="A176" s="373">
        <f>IF(ISNUMBER(SEARCH('Area summary'!$E$3,B176)),MAX($A$1:A175)+1,0)</f>
        <v>174</v>
      </c>
      <c r="B176" s="468" t="s">
        <v>745</v>
      </c>
      <c r="D176" s="373" t="str">
        <f>IFERROR(VLOOKUP(ROWS($D$2:D176),$A$2:$B$1424,2,0),"")</f>
        <v>Milton Keynes</v>
      </c>
    </row>
    <row r="177" spans="1:4" x14ac:dyDescent="0.25">
      <c r="A177" s="373">
        <f>IF(ISNUMBER(SEARCH('Area summary'!$E$3,B177)),MAX($A$1:A176)+1,0)</f>
        <v>175</v>
      </c>
      <c r="B177" s="468" t="s">
        <v>747</v>
      </c>
      <c r="D177" s="373" t="str">
        <f>IFERROR(VLOOKUP(ROWS($D$2:D177),$A$2:$B$1424,2,0),"")</f>
        <v>Mole Valley</v>
      </c>
    </row>
    <row r="178" spans="1:4" x14ac:dyDescent="0.25">
      <c r="A178" s="373">
        <f>IF(ISNUMBER(SEARCH('Area summary'!$E$3,B178)),MAX($A$1:A177)+1,0)</f>
        <v>176</v>
      </c>
      <c r="B178" s="468" t="s">
        <v>749</v>
      </c>
      <c r="D178" s="373" t="str">
        <f>IFERROR(VLOOKUP(ROWS($D$2:D178),$A$2:$B$1424,2,0),"")</f>
        <v>New Forest</v>
      </c>
    </row>
    <row r="179" spans="1:4" x14ac:dyDescent="0.25">
      <c r="A179" s="373">
        <f>IF(ISNUMBER(SEARCH('Area summary'!$E$3,B179)),MAX($A$1:A178)+1,0)</f>
        <v>177</v>
      </c>
      <c r="B179" s="468" t="s">
        <v>1</v>
      </c>
      <c r="D179" s="373" t="str">
        <f>IFERROR(VLOOKUP(ROWS($D$2:D179),$A$2:$B$1424,2,0),"")</f>
        <v>Newark and Sherwood</v>
      </c>
    </row>
    <row r="180" spans="1:4" x14ac:dyDescent="0.25">
      <c r="A180" s="373">
        <f>IF(ISNUMBER(SEARCH('Area summary'!$E$3,B180)),MAX($A$1:A179)+1,0)</f>
        <v>178</v>
      </c>
      <c r="B180" s="468" t="s">
        <v>752</v>
      </c>
      <c r="D180" s="373" t="str">
        <f>IFERROR(VLOOKUP(ROWS($D$2:D180),$A$2:$B$1424,2,0),"")</f>
        <v>Newcastle upon Tyne</v>
      </c>
    </row>
    <row r="181" spans="1:4" x14ac:dyDescent="0.25">
      <c r="A181" s="373">
        <f>IF(ISNUMBER(SEARCH('Area summary'!$E$3,B181)),MAX($A$1:A180)+1,0)</f>
        <v>179</v>
      </c>
      <c r="B181" s="468" t="s">
        <v>754</v>
      </c>
      <c r="D181" s="373" t="str">
        <f>IFERROR(VLOOKUP(ROWS($D$2:D181),$A$2:$B$1424,2,0),"")</f>
        <v>Newcastle-under-Lyme</v>
      </c>
    </row>
    <row r="182" spans="1:4" x14ac:dyDescent="0.25">
      <c r="A182" s="373">
        <f>IF(ISNUMBER(SEARCH('Area summary'!$E$3,B182)),MAX($A$1:A181)+1,0)</f>
        <v>180</v>
      </c>
      <c r="B182" s="468" t="s">
        <v>756</v>
      </c>
      <c r="D182" s="373" t="str">
        <f>IFERROR(VLOOKUP(ROWS($D$2:D182),$A$2:$B$1424,2,0),"")</f>
        <v>Newham</v>
      </c>
    </row>
    <row r="183" spans="1:4" x14ac:dyDescent="0.25">
      <c r="A183" s="373">
        <f>IF(ISNUMBER(SEARCH('Area summary'!$E$3,B183)),MAX($A$1:A182)+1,0)</f>
        <v>181</v>
      </c>
      <c r="B183" s="468" t="s">
        <v>758</v>
      </c>
      <c r="D183" s="373" t="str">
        <f>IFERROR(VLOOKUP(ROWS($D$2:D183),$A$2:$B$1424,2,0),"")</f>
        <v>North Devon</v>
      </c>
    </row>
    <row r="184" spans="1:4" x14ac:dyDescent="0.25">
      <c r="A184" s="373">
        <f>IF(ISNUMBER(SEARCH('Area summary'!$E$3,B184)),MAX($A$1:A183)+1,0)</f>
        <v>182</v>
      </c>
      <c r="B184" s="468" t="s">
        <v>760</v>
      </c>
      <c r="D184" s="373" t="str">
        <f>IFERROR(VLOOKUP(ROWS($D$2:D184),$A$2:$B$1424,2,0),"")</f>
        <v>North East Derbyshire</v>
      </c>
    </row>
    <row r="185" spans="1:4" x14ac:dyDescent="0.25">
      <c r="A185" s="373">
        <f>IF(ISNUMBER(SEARCH('Area summary'!$E$3,B185)),MAX($A$1:A184)+1,0)</f>
        <v>183</v>
      </c>
      <c r="B185" s="468" t="s">
        <v>762</v>
      </c>
      <c r="D185" s="373" t="str">
        <f>IFERROR(VLOOKUP(ROWS($D$2:D185),$A$2:$B$1424,2,0),"")</f>
        <v>North East Lincolnshire</v>
      </c>
    </row>
    <row r="186" spans="1:4" x14ac:dyDescent="0.25">
      <c r="A186" s="373">
        <f>IF(ISNUMBER(SEARCH('Area summary'!$E$3,B186)),MAX($A$1:A185)+1,0)</f>
        <v>184</v>
      </c>
      <c r="B186" s="468" t="s">
        <v>764</v>
      </c>
      <c r="D186" s="373" t="str">
        <f>IFERROR(VLOOKUP(ROWS($D$2:D186),$A$2:$B$1424,2,0),"")</f>
        <v>North Hertfordshire</v>
      </c>
    </row>
    <row r="187" spans="1:4" x14ac:dyDescent="0.25">
      <c r="A187" s="373">
        <f>IF(ISNUMBER(SEARCH('Area summary'!$E$3,B187)),MAX($A$1:A186)+1,0)</f>
        <v>185</v>
      </c>
      <c r="B187" s="468" t="s">
        <v>766</v>
      </c>
      <c r="D187" s="373" t="str">
        <f>IFERROR(VLOOKUP(ROWS($D$2:D187),$A$2:$B$1424,2,0),"")</f>
        <v>North Kesteven</v>
      </c>
    </row>
    <row r="188" spans="1:4" x14ac:dyDescent="0.25">
      <c r="A188" s="373">
        <f>IF(ISNUMBER(SEARCH('Area summary'!$E$3,B188)),MAX($A$1:A187)+1,0)</f>
        <v>186</v>
      </c>
      <c r="B188" s="468" t="s">
        <v>768</v>
      </c>
      <c r="D188" s="373" t="str">
        <f>IFERROR(VLOOKUP(ROWS($D$2:D188),$A$2:$B$1424,2,0),"")</f>
        <v>North Lincolnshire</v>
      </c>
    </row>
    <row r="189" spans="1:4" x14ac:dyDescent="0.25">
      <c r="A189" s="373">
        <f>IF(ISNUMBER(SEARCH('Area summary'!$E$3,B189)),MAX($A$1:A188)+1,0)</f>
        <v>187</v>
      </c>
      <c r="B189" s="468" t="s">
        <v>770</v>
      </c>
      <c r="D189" s="373" t="str">
        <f>IFERROR(VLOOKUP(ROWS($D$2:D189),$A$2:$B$1424,2,0),"")</f>
        <v>North Norfolk</v>
      </c>
    </row>
    <row r="190" spans="1:4" x14ac:dyDescent="0.25">
      <c r="A190" s="373">
        <f>IF(ISNUMBER(SEARCH('Area summary'!$E$3,B190)),MAX($A$1:A189)+1,0)</f>
        <v>188</v>
      </c>
      <c r="B190" s="468" t="s">
        <v>772</v>
      </c>
      <c r="D190" s="373" t="str">
        <f>IFERROR(VLOOKUP(ROWS($D$2:D190),$A$2:$B$1424,2,0),"")</f>
        <v>North Northamptonshire</v>
      </c>
    </row>
    <row r="191" spans="1:4" x14ac:dyDescent="0.25">
      <c r="A191" s="373">
        <f>IF(ISNUMBER(SEARCH('Area summary'!$E$3,B191)),MAX($A$1:A190)+1,0)</f>
        <v>189</v>
      </c>
      <c r="B191" s="468" t="s">
        <v>14115</v>
      </c>
      <c r="D191" s="373" t="str">
        <f>IFERROR(VLOOKUP(ROWS($D$2:D191),$A$2:$B$1424,2,0),"")</f>
        <v>North Somerset</v>
      </c>
    </row>
    <row r="192" spans="1:4" x14ac:dyDescent="0.25">
      <c r="A192" s="373">
        <f>IF(ISNUMBER(SEARCH('Area summary'!$E$3,B192)),MAX($A$1:A191)+1,0)</f>
        <v>190</v>
      </c>
      <c r="B192" s="468" t="s">
        <v>774</v>
      </c>
      <c r="D192" s="373" t="str">
        <f>IFERROR(VLOOKUP(ROWS($D$2:D192),$A$2:$B$1424,2,0),"")</f>
        <v>North Tyneside</v>
      </c>
    </row>
    <row r="193" spans="1:4" x14ac:dyDescent="0.25">
      <c r="A193" s="373">
        <f>IF(ISNUMBER(SEARCH('Area summary'!$E$3,B193)),MAX($A$1:A192)+1,0)</f>
        <v>191</v>
      </c>
      <c r="B193" s="468" t="s">
        <v>776</v>
      </c>
      <c r="D193" s="373" t="str">
        <f>IFERROR(VLOOKUP(ROWS($D$2:D193),$A$2:$B$1424,2,0),"")</f>
        <v>North Warwickshire</v>
      </c>
    </row>
    <row r="194" spans="1:4" x14ac:dyDescent="0.25">
      <c r="A194" s="373">
        <f>IF(ISNUMBER(SEARCH('Area summary'!$E$3,B194)),MAX($A$1:A193)+1,0)</f>
        <v>192</v>
      </c>
      <c r="B194" s="468" t="s">
        <v>778</v>
      </c>
      <c r="D194" s="373" t="str">
        <f>IFERROR(VLOOKUP(ROWS($D$2:D194),$A$2:$B$1424,2,0),"")</f>
        <v>North West Leicestershire</v>
      </c>
    </row>
    <row r="195" spans="1:4" x14ac:dyDescent="0.25">
      <c r="A195" s="373">
        <f>IF(ISNUMBER(SEARCH('Area summary'!$E$3,B195)),MAX($A$1:A194)+1,0)</f>
        <v>193</v>
      </c>
      <c r="B195" s="468" t="s">
        <v>780</v>
      </c>
      <c r="D195" s="373" t="str">
        <f>IFERROR(VLOOKUP(ROWS($D$2:D195),$A$2:$B$1424,2,0),"")</f>
        <v>Northumberland</v>
      </c>
    </row>
    <row r="196" spans="1:4" x14ac:dyDescent="0.25">
      <c r="A196" s="373">
        <f>IF(ISNUMBER(SEARCH('Area summary'!$E$3,B196)),MAX($A$1:A195)+1,0)</f>
        <v>194</v>
      </c>
      <c r="B196" s="468" t="s">
        <v>782</v>
      </c>
      <c r="D196" s="373" t="str">
        <f>IFERROR(VLOOKUP(ROWS($D$2:D196),$A$2:$B$1424,2,0),"")</f>
        <v>Norwich</v>
      </c>
    </row>
    <row r="197" spans="1:4" x14ac:dyDescent="0.25">
      <c r="A197" s="373">
        <f>IF(ISNUMBER(SEARCH('Area summary'!$E$3,B197)),MAX($A$1:A196)+1,0)</f>
        <v>195</v>
      </c>
      <c r="B197" s="468" t="s">
        <v>784</v>
      </c>
      <c r="D197" s="373" t="str">
        <f>IFERROR(VLOOKUP(ROWS($D$2:D197),$A$2:$B$1424,2,0),"")</f>
        <v>Nottingham</v>
      </c>
    </row>
    <row r="198" spans="1:4" x14ac:dyDescent="0.25">
      <c r="A198" s="373">
        <f>IF(ISNUMBER(SEARCH('Area summary'!$E$3,B198)),MAX($A$1:A197)+1,0)</f>
        <v>196</v>
      </c>
      <c r="B198" s="468" t="s">
        <v>786</v>
      </c>
      <c r="D198" s="373" t="str">
        <f>IFERROR(VLOOKUP(ROWS($D$2:D198),$A$2:$B$1424,2,0),"")</f>
        <v>Nuneaton and Bedworth</v>
      </c>
    </row>
    <row r="199" spans="1:4" x14ac:dyDescent="0.25">
      <c r="A199" s="373">
        <f>IF(ISNUMBER(SEARCH('Area summary'!$E$3,B199)),MAX($A$1:A198)+1,0)</f>
        <v>197</v>
      </c>
      <c r="B199" s="468" t="s">
        <v>788</v>
      </c>
      <c r="D199" s="373" t="str">
        <f>IFERROR(VLOOKUP(ROWS($D$2:D199),$A$2:$B$1424,2,0),"")</f>
        <v>Oadby and Wigston</v>
      </c>
    </row>
    <row r="200" spans="1:4" x14ac:dyDescent="0.25">
      <c r="A200" s="373">
        <f>IF(ISNUMBER(SEARCH('Area summary'!$E$3,B200)),MAX($A$1:A199)+1,0)</f>
        <v>198</v>
      </c>
      <c r="B200" s="468" t="s">
        <v>790</v>
      </c>
      <c r="D200" s="373" t="str">
        <f>IFERROR(VLOOKUP(ROWS($D$2:D200),$A$2:$B$1424,2,0),"")</f>
        <v>Oldham</v>
      </c>
    </row>
    <row r="201" spans="1:4" x14ac:dyDescent="0.25">
      <c r="A201" s="373">
        <f>IF(ISNUMBER(SEARCH('Area summary'!$E$3,B201)),MAX($A$1:A200)+1,0)</f>
        <v>199</v>
      </c>
      <c r="B201" s="468" t="s">
        <v>792</v>
      </c>
      <c r="D201" s="373" t="str">
        <f>IFERROR(VLOOKUP(ROWS($D$2:D201),$A$2:$B$1424,2,0),"")</f>
        <v>Oxford</v>
      </c>
    </row>
    <row r="202" spans="1:4" x14ac:dyDescent="0.25">
      <c r="A202" s="373">
        <f>IF(ISNUMBER(SEARCH('Area summary'!$E$3,B202)),MAX($A$1:A201)+1,0)</f>
        <v>200</v>
      </c>
      <c r="B202" s="468" t="s">
        <v>794</v>
      </c>
      <c r="D202" s="373" t="str">
        <f>IFERROR(VLOOKUP(ROWS($D$2:D202),$A$2:$B$1424,2,0),"")</f>
        <v>Pendle</v>
      </c>
    </row>
    <row r="203" spans="1:4" x14ac:dyDescent="0.25">
      <c r="A203" s="373">
        <f>IF(ISNUMBER(SEARCH('Area summary'!$E$3,B203)),MAX($A$1:A202)+1,0)</f>
        <v>201</v>
      </c>
      <c r="B203" s="468" t="s">
        <v>796</v>
      </c>
      <c r="D203" s="373" t="str">
        <f>IFERROR(VLOOKUP(ROWS($D$2:D203),$A$2:$B$1424,2,0),"")</f>
        <v>Peterborough</v>
      </c>
    </row>
    <row r="204" spans="1:4" x14ac:dyDescent="0.25">
      <c r="A204" s="373">
        <f>IF(ISNUMBER(SEARCH('Area summary'!$E$3,B204)),MAX($A$1:A203)+1,0)</f>
        <v>202</v>
      </c>
      <c r="B204" s="468" t="s">
        <v>798</v>
      </c>
      <c r="D204" s="373" t="str">
        <f>IFERROR(VLOOKUP(ROWS($D$2:D204),$A$2:$B$1424,2,0),"")</f>
        <v>Plymouth</v>
      </c>
    </row>
    <row r="205" spans="1:4" x14ac:dyDescent="0.25">
      <c r="A205" s="373">
        <f>IF(ISNUMBER(SEARCH('Area summary'!$E$3,B205)),MAX($A$1:A204)+1,0)</f>
        <v>203</v>
      </c>
      <c r="B205" s="468" t="s">
        <v>800</v>
      </c>
      <c r="D205" s="373" t="str">
        <f>IFERROR(VLOOKUP(ROWS($D$2:D205),$A$2:$B$1424,2,0),"")</f>
        <v>Portsmouth</v>
      </c>
    </row>
    <row r="206" spans="1:4" x14ac:dyDescent="0.25">
      <c r="A206" s="373">
        <f>IF(ISNUMBER(SEARCH('Area summary'!$E$3,B206)),MAX($A$1:A205)+1,0)</f>
        <v>204</v>
      </c>
      <c r="B206" s="468" t="s">
        <v>802</v>
      </c>
      <c r="D206" s="373" t="str">
        <f>IFERROR(VLOOKUP(ROWS($D$2:D206),$A$2:$B$1424,2,0),"")</f>
        <v>Preston</v>
      </c>
    </row>
    <row r="207" spans="1:4" x14ac:dyDescent="0.25">
      <c r="A207" s="373">
        <f>IF(ISNUMBER(SEARCH('Area summary'!$E$3,B207)),MAX($A$1:A206)+1,0)</f>
        <v>205</v>
      </c>
      <c r="B207" s="468" t="s">
        <v>804</v>
      </c>
      <c r="D207" s="373" t="str">
        <f>IFERROR(VLOOKUP(ROWS($D$2:D207),$A$2:$B$1424,2,0),"")</f>
        <v>Reading</v>
      </c>
    </row>
    <row r="208" spans="1:4" x14ac:dyDescent="0.25">
      <c r="A208" s="373">
        <f>IF(ISNUMBER(SEARCH('Area summary'!$E$3,B208)),MAX($A$1:A207)+1,0)</f>
        <v>206</v>
      </c>
      <c r="B208" s="468" t="s">
        <v>806</v>
      </c>
      <c r="D208" s="373" t="str">
        <f>IFERROR(VLOOKUP(ROWS($D$2:D208),$A$2:$B$1424,2,0),"")</f>
        <v>Redbridge</v>
      </c>
    </row>
    <row r="209" spans="1:4" x14ac:dyDescent="0.25">
      <c r="A209" s="373">
        <f>IF(ISNUMBER(SEARCH('Area summary'!$E$3,B209)),MAX($A$1:A208)+1,0)</f>
        <v>207</v>
      </c>
      <c r="B209" s="468" t="s">
        <v>808</v>
      </c>
      <c r="D209" s="373" t="str">
        <f>IFERROR(VLOOKUP(ROWS($D$2:D209),$A$2:$B$1424,2,0),"")</f>
        <v>Redcar and Cleveland</v>
      </c>
    </row>
    <row r="210" spans="1:4" x14ac:dyDescent="0.25">
      <c r="A210" s="373">
        <f>IF(ISNUMBER(SEARCH('Area summary'!$E$3,B210)),MAX($A$1:A209)+1,0)</f>
        <v>208</v>
      </c>
      <c r="B210" s="468" t="s">
        <v>810</v>
      </c>
      <c r="D210" s="373" t="str">
        <f>IFERROR(VLOOKUP(ROWS($D$2:D210),$A$2:$B$1424,2,0),"")</f>
        <v>Redditch</v>
      </c>
    </row>
    <row r="211" spans="1:4" x14ac:dyDescent="0.25">
      <c r="A211" s="373">
        <f>IF(ISNUMBER(SEARCH('Area summary'!$E$3,B211)),MAX($A$1:A210)+1,0)</f>
        <v>209</v>
      </c>
      <c r="B211" s="468" t="s">
        <v>812</v>
      </c>
      <c r="D211" s="373" t="str">
        <f>IFERROR(VLOOKUP(ROWS($D$2:D211),$A$2:$B$1424,2,0),"")</f>
        <v>Reigate and Banstead</v>
      </c>
    </row>
    <row r="212" spans="1:4" x14ac:dyDescent="0.25">
      <c r="A212" s="373">
        <f>IF(ISNUMBER(SEARCH('Area summary'!$E$3,B212)),MAX($A$1:A211)+1,0)</f>
        <v>210</v>
      </c>
      <c r="B212" s="468" t="s">
        <v>814</v>
      </c>
      <c r="D212" s="373" t="str">
        <f>IFERROR(VLOOKUP(ROWS($D$2:D212),$A$2:$B$1424,2,0),"")</f>
        <v>Ribble Valley</v>
      </c>
    </row>
    <row r="213" spans="1:4" x14ac:dyDescent="0.25">
      <c r="A213" s="373">
        <f>IF(ISNUMBER(SEARCH('Area summary'!$E$3,B213)),MAX($A$1:A212)+1,0)</f>
        <v>211</v>
      </c>
      <c r="B213" s="468" t="s">
        <v>816</v>
      </c>
      <c r="D213" s="373" t="str">
        <f>IFERROR(VLOOKUP(ROWS($D$2:D213),$A$2:$B$1424,2,0),"")</f>
        <v>Richmond upon Thames</v>
      </c>
    </row>
    <row r="214" spans="1:4" x14ac:dyDescent="0.25">
      <c r="A214" s="373">
        <f>IF(ISNUMBER(SEARCH('Area summary'!$E$3,B214)),MAX($A$1:A213)+1,0)</f>
        <v>212</v>
      </c>
      <c r="B214" s="468" t="s">
        <v>818</v>
      </c>
      <c r="D214" s="373" t="str">
        <f>IFERROR(VLOOKUP(ROWS($D$2:D214),$A$2:$B$1424,2,0),"")</f>
        <v>Richmondshire</v>
      </c>
    </row>
    <row r="215" spans="1:4" x14ac:dyDescent="0.25">
      <c r="A215" s="373">
        <f>IF(ISNUMBER(SEARCH('Area summary'!$E$3,B215)),MAX($A$1:A214)+1,0)</f>
        <v>213</v>
      </c>
      <c r="B215" s="468" t="s">
        <v>820</v>
      </c>
      <c r="D215" s="373" t="str">
        <f>IFERROR(VLOOKUP(ROWS($D$2:D215),$A$2:$B$1424,2,0),"")</f>
        <v>Rochdale</v>
      </c>
    </row>
    <row r="216" spans="1:4" x14ac:dyDescent="0.25">
      <c r="A216" s="373">
        <f>IF(ISNUMBER(SEARCH('Area summary'!$E$3,B216)),MAX($A$1:A215)+1,0)</f>
        <v>214</v>
      </c>
      <c r="B216" s="468" t="s">
        <v>822</v>
      </c>
      <c r="D216" s="373" t="str">
        <f>IFERROR(VLOOKUP(ROWS($D$2:D216),$A$2:$B$1424,2,0),"")</f>
        <v>Rochford</v>
      </c>
    </row>
    <row r="217" spans="1:4" x14ac:dyDescent="0.25">
      <c r="A217" s="373">
        <f>IF(ISNUMBER(SEARCH('Area summary'!$E$3,B217)),MAX($A$1:A216)+1,0)</f>
        <v>215</v>
      </c>
      <c r="B217" s="468" t="s">
        <v>824</v>
      </c>
      <c r="D217" s="373" t="str">
        <f>IFERROR(VLOOKUP(ROWS($D$2:D217),$A$2:$B$1424,2,0),"")</f>
        <v>Rossendale</v>
      </c>
    </row>
    <row r="218" spans="1:4" x14ac:dyDescent="0.25">
      <c r="A218" s="373">
        <f>IF(ISNUMBER(SEARCH('Area summary'!$E$3,B218)),MAX($A$1:A217)+1,0)</f>
        <v>216</v>
      </c>
      <c r="B218" s="468" t="s">
        <v>826</v>
      </c>
      <c r="D218" s="373" t="str">
        <f>IFERROR(VLOOKUP(ROWS($D$2:D218),$A$2:$B$1424,2,0),"")</f>
        <v>Rother</v>
      </c>
    </row>
    <row r="219" spans="1:4" x14ac:dyDescent="0.25">
      <c r="A219" s="373">
        <f>IF(ISNUMBER(SEARCH('Area summary'!$E$3,B219)),MAX($A$1:A218)+1,0)</f>
        <v>217</v>
      </c>
      <c r="B219" s="468" t="s">
        <v>828</v>
      </c>
      <c r="D219" s="373" t="str">
        <f>IFERROR(VLOOKUP(ROWS($D$2:D219),$A$2:$B$1424,2,0),"")</f>
        <v>Rotherham</v>
      </c>
    </row>
    <row r="220" spans="1:4" x14ac:dyDescent="0.25">
      <c r="A220" s="373">
        <f>IF(ISNUMBER(SEARCH('Area summary'!$E$3,B220)),MAX($A$1:A219)+1,0)</f>
        <v>218</v>
      </c>
      <c r="B220" s="468" t="s">
        <v>830</v>
      </c>
      <c r="D220" s="373" t="str">
        <f>IFERROR(VLOOKUP(ROWS($D$2:D220),$A$2:$B$1424,2,0),"")</f>
        <v>Rugby</v>
      </c>
    </row>
    <row r="221" spans="1:4" x14ac:dyDescent="0.25">
      <c r="A221" s="373">
        <f>IF(ISNUMBER(SEARCH('Area summary'!$E$3,B221)),MAX($A$1:A220)+1,0)</f>
        <v>219</v>
      </c>
      <c r="B221" s="468" t="s">
        <v>832</v>
      </c>
      <c r="D221" s="373" t="str">
        <f>IFERROR(VLOOKUP(ROWS($D$2:D221),$A$2:$B$1424,2,0),"")</f>
        <v>Runnymede</v>
      </c>
    </row>
    <row r="222" spans="1:4" x14ac:dyDescent="0.25">
      <c r="A222" s="373">
        <f>IF(ISNUMBER(SEARCH('Area summary'!$E$3,B222)),MAX($A$1:A221)+1,0)</f>
        <v>220</v>
      </c>
      <c r="B222" s="468" t="s">
        <v>834</v>
      </c>
      <c r="D222" s="373" t="str">
        <f>IFERROR(VLOOKUP(ROWS($D$2:D222),$A$2:$B$1424,2,0),"")</f>
        <v>Rushcliffe</v>
      </c>
    </row>
    <row r="223" spans="1:4" x14ac:dyDescent="0.25">
      <c r="A223" s="373">
        <f>IF(ISNUMBER(SEARCH('Area summary'!$E$3,B223)),MAX($A$1:A222)+1,0)</f>
        <v>221</v>
      </c>
      <c r="B223" s="468" t="s">
        <v>836</v>
      </c>
      <c r="D223" s="373" t="str">
        <f>IFERROR(VLOOKUP(ROWS($D$2:D223),$A$2:$B$1424,2,0),"")</f>
        <v>Rushmoor</v>
      </c>
    </row>
    <row r="224" spans="1:4" x14ac:dyDescent="0.25">
      <c r="A224" s="373">
        <f>IF(ISNUMBER(SEARCH('Area summary'!$E$3,B224)),MAX($A$1:A223)+1,0)</f>
        <v>222</v>
      </c>
      <c r="B224" s="468" t="s">
        <v>838</v>
      </c>
      <c r="D224" s="373" t="str">
        <f>IFERROR(VLOOKUP(ROWS($D$2:D224),$A$2:$B$1424,2,0),"")</f>
        <v>Rutland</v>
      </c>
    </row>
    <row r="225" spans="1:4" x14ac:dyDescent="0.25">
      <c r="A225" s="373">
        <f>IF(ISNUMBER(SEARCH('Area summary'!$E$3,B225)),MAX($A$1:A224)+1,0)</f>
        <v>223</v>
      </c>
      <c r="B225" s="468" t="s">
        <v>840</v>
      </c>
      <c r="D225" s="373" t="str">
        <f>IFERROR(VLOOKUP(ROWS($D$2:D225),$A$2:$B$1424,2,0),"")</f>
        <v>Ryedale</v>
      </c>
    </row>
    <row r="226" spans="1:4" x14ac:dyDescent="0.25">
      <c r="A226" s="373">
        <f>IF(ISNUMBER(SEARCH('Area summary'!$E$3,B226)),MAX($A$1:A225)+1,0)</f>
        <v>224</v>
      </c>
      <c r="B226" s="468" t="s">
        <v>842</v>
      </c>
      <c r="D226" s="373" t="str">
        <f>IFERROR(VLOOKUP(ROWS($D$2:D226),$A$2:$B$1424,2,0),"")</f>
        <v>Salford</v>
      </c>
    </row>
    <row r="227" spans="1:4" x14ac:dyDescent="0.25">
      <c r="A227" s="373">
        <f>IF(ISNUMBER(SEARCH('Area summary'!$E$3,B227)),MAX($A$1:A226)+1,0)</f>
        <v>225</v>
      </c>
      <c r="B227" s="468" t="s">
        <v>844</v>
      </c>
      <c r="D227" s="373" t="str">
        <f>IFERROR(VLOOKUP(ROWS($D$2:D227),$A$2:$B$1424,2,0),"")</f>
        <v>Sandwell</v>
      </c>
    </row>
    <row r="228" spans="1:4" x14ac:dyDescent="0.25">
      <c r="A228" s="373">
        <f>IF(ISNUMBER(SEARCH('Area summary'!$E$3,B228)),MAX($A$1:A227)+1,0)</f>
        <v>226</v>
      </c>
      <c r="B228" s="468" t="s">
        <v>846</v>
      </c>
      <c r="D228" s="373" t="str">
        <f>IFERROR(VLOOKUP(ROWS($D$2:D228),$A$2:$B$1424,2,0),"")</f>
        <v>Scarborough</v>
      </c>
    </row>
    <row r="229" spans="1:4" x14ac:dyDescent="0.25">
      <c r="A229" s="373">
        <f>IF(ISNUMBER(SEARCH('Area summary'!$E$3,B229)),MAX($A$1:A228)+1,0)</f>
        <v>227</v>
      </c>
      <c r="B229" s="468" t="s">
        <v>848</v>
      </c>
      <c r="D229" s="373" t="str">
        <f>IFERROR(VLOOKUP(ROWS($D$2:D229),$A$2:$B$1424,2,0),"")</f>
        <v>Sedgemoor</v>
      </c>
    </row>
    <row r="230" spans="1:4" x14ac:dyDescent="0.25">
      <c r="A230" s="373">
        <f>IF(ISNUMBER(SEARCH('Area summary'!$E$3,B230)),MAX($A$1:A229)+1,0)</f>
        <v>228</v>
      </c>
      <c r="B230" s="468" t="s">
        <v>850</v>
      </c>
      <c r="D230" s="373" t="str">
        <f>IFERROR(VLOOKUP(ROWS($D$2:D230),$A$2:$B$1424,2,0),"")</f>
        <v>Sefton</v>
      </c>
    </row>
    <row r="231" spans="1:4" x14ac:dyDescent="0.25">
      <c r="A231" s="373">
        <f>IF(ISNUMBER(SEARCH('Area summary'!$E$3,B231)),MAX($A$1:A230)+1,0)</f>
        <v>229</v>
      </c>
      <c r="B231" s="468" t="s">
        <v>852</v>
      </c>
      <c r="D231" s="373" t="str">
        <f>IFERROR(VLOOKUP(ROWS($D$2:D231),$A$2:$B$1424,2,0),"")</f>
        <v>Selby</v>
      </c>
    </row>
    <row r="232" spans="1:4" x14ac:dyDescent="0.25">
      <c r="A232" s="373">
        <f>IF(ISNUMBER(SEARCH('Area summary'!$E$3,B232)),MAX($A$1:A231)+1,0)</f>
        <v>230</v>
      </c>
      <c r="B232" s="468" t="s">
        <v>854</v>
      </c>
      <c r="D232" s="373" t="str">
        <f>IFERROR(VLOOKUP(ROWS($D$2:D232),$A$2:$B$1424,2,0),"")</f>
        <v>Sevenoaks</v>
      </c>
    </row>
    <row r="233" spans="1:4" x14ac:dyDescent="0.25">
      <c r="A233" s="373">
        <f>IF(ISNUMBER(SEARCH('Area summary'!$E$3,B233)),MAX($A$1:A232)+1,0)</f>
        <v>231</v>
      </c>
      <c r="B233" s="468" t="s">
        <v>856</v>
      </c>
      <c r="D233" s="373" t="str">
        <f>IFERROR(VLOOKUP(ROWS($D$2:D233),$A$2:$B$1424,2,0),"")</f>
        <v>Sheffield</v>
      </c>
    </row>
    <row r="234" spans="1:4" x14ac:dyDescent="0.25">
      <c r="A234" s="373">
        <f>IF(ISNUMBER(SEARCH('Area summary'!$E$3,B234)),MAX($A$1:A233)+1,0)</f>
        <v>232</v>
      </c>
      <c r="B234" s="468" t="s">
        <v>858</v>
      </c>
      <c r="D234" s="373" t="str">
        <f>IFERROR(VLOOKUP(ROWS($D$2:D234),$A$2:$B$1424,2,0),"")</f>
        <v>Shropshire</v>
      </c>
    </row>
    <row r="235" spans="1:4" x14ac:dyDescent="0.25">
      <c r="A235" s="373">
        <f>IF(ISNUMBER(SEARCH('Area summary'!$E$3,B235)),MAX($A$1:A234)+1,0)</f>
        <v>233</v>
      </c>
      <c r="B235" s="468" t="s">
        <v>860</v>
      </c>
      <c r="D235" s="373" t="str">
        <f>IFERROR(VLOOKUP(ROWS($D$2:D235),$A$2:$B$1424,2,0),"")</f>
        <v>Slough</v>
      </c>
    </row>
    <row r="236" spans="1:4" x14ac:dyDescent="0.25">
      <c r="A236" s="373">
        <f>IF(ISNUMBER(SEARCH('Area summary'!$E$3,B236)),MAX($A$1:A235)+1,0)</f>
        <v>234</v>
      </c>
      <c r="B236" s="468" t="s">
        <v>862</v>
      </c>
      <c r="D236" s="373" t="str">
        <f>IFERROR(VLOOKUP(ROWS($D$2:D236),$A$2:$B$1424,2,0),"")</f>
        <v>Solihull</v>
      </c>
    </row>
    <row r="237" spans="1:4" x14ac:dyDescent="0.25">
      <c r="A237" s="373">
        <f>IF(ISNUMBER(SEARCH('Area summary'!$E$3,B237)),MAX($A$1:A236)+1,0)</f>
        <v>235</v>
      </c>
      <c r="B237" s="468" t="s">
        <v>864</v>
      </c>
      <c r="D237" s="373" t="str">
        <f>IFERROR(VLOOKUP(ROWS($D$2:D237),$A$2:$B$1424,2,0),"")</f>
        <v>Somerset West and Taunton</v>
      </c>
    </row>
    <row r="238" spans="1:4" x14ac:dyDescent="0.25">
      <c r="A238" s="373">
        <f>IF(ISNUMBER(SEARCH('Area summary'!$E$3,B238)),MAX($A$1:A237)+1,0)</f>
        <v>236</v>
      </c>
      <c r="B238" s="468" t="s">
        <v>866</v>
      </c>
      <c r="D238" s="373" t="str">
        <f>IFERROR(VLOOKUP(ROWS($D$2:D238),$A$2:$B$1424,2,0),"")</f>
        <v>South Cambridgeshire</v>
      </c>
    </row>
    <row r="239" spans="1:4" x14ac:dyDescent="0.25">
      <c r="A239" s="373">
        <f>IF(ISNUMBER(SEARCH('Area summary'!$E$3,B239)),MAX($A$1:A238)+1,0)</f>
        <v>237</v>
      </c>
      <c r="B239" s="468" t="s">
        <v>868</v>
      </c>
      <c r="D239" s="373" t="str">
        <f>IFERROR(VLOOKUP(ROWS($D$2:D239),$A$2:$B$1424,2,0),"")</f>
        <v>South Derbyshire</v>
      </c>
    </row>
    <row r="240" spans="1:4" x14ac:dyDescent="0.25">
      <c r="A240" s="373">
        <f>IF(ISNUMBER(SEARCH('Area summary'!$E$3,B240)),MAX($A$1:A239)+1,0)</f>
        <v>238</v>
      </c>
      <c r="B240" s="468" t="s">
        <v>870</v>
      </c>
      <c r="D240" s="373" t="str">
        <f>IFERROR(VLOOKUP(ROWS($D$2:D240),$A$2:$B$1424,2,0),"")</f>
        <v>South Gloucestershire</v>
      </c>
    </row>
    <row r="241" spans="1:4" x14ac:dyDescent="0.25">
      <c r="A241" s="373">
        <f>IF(ISNUMBER(SEARCH('Area summary'!$E$3,B241)),MAX($A$1:A240)+1,0)</f>
        <v>239</v>
      </c>
      <c r="B241" s="468" t="s">
        <v>872</v>
      </c>
      <c r="D241" s="373" t="str">
        <f>IFERROR(VLOOKUP(ROWS($D$2:D241),$A$2:$B$1424,2,0),"")</f>
        <v>South Hams</v>
      </c>
    </row>
    <row r="242" spans="1:4" x14ac:dyDescent="0.25">
      <c r="A242" s="373">
        <f>IF(ISNUMBER(SEARCH('Area summary'!$E$3,B242)),MAX($A$1:A241)+1,0)</f>
        <v>240</v>
      </c>
      <c r="B242" s="468" t="s">
        <v>874</v>
      </c>
      <c r="D242" s="373" t="str">
        <f>IFERROR(VLOOKUP(ROWS($D$2:D242),$A$2:$B$1424,2,0),"")</f>
        <v>South Holland</v>
      </c>
    </row>
    <row r="243" spans="1:4" x14ac:dyDescent="0.25">
      <c r="A243" s="373">
        <f>IF(ISNUMBER(SEARCH('Area summary'!$E$3,B243)),MAX($A$1:A242)+1,0)</f>
        <v>241</v>
      </c>
      <c r="B243" s="468" t="s">
        <v>876</v>
      </c>
      <c r="D243" s="373" t="str">
        <f>IFERROR(VLOOKUP(ROWS($D$2:D243),$A$2:$B$1424,2,0),"")</f>
        <v>South Kesteven</v>
      </c>
    </row>
    <row r="244" spans="1:4" x14ac:dyDescent="0.25">
      <c r="A244" s="373">
        <f>IF(ISNUMBER(SEARCH('Area summary'!$E$3,B244)),MAX($A$1:A243)+1,0)</f>
        <v>242</v>
      </c>
      <c r="B244" s="468" t="s">
        <v>878</v>
      </c>
      <c r="D244" s="373" t="str">
        <f>IFERROR(VLOOKUP(ROWS($D$2:D244),$A$2:$B$1424,2,0),"")</f>
        <v>South Lakeland</v>
      </c>
    </row>
    <row r="245" spans="1:4" x14ac:dyDescent="0.25">
      <c r="A245" s="373">
        <f>IF(ISNUMBER(SEARCH('Area summary'!$E$3,B245)),MAX($A$1:A244)+1,0)</f>
        <v>243</v>
      </c>
      <c r="B245" s="468" t="s">
        <v>880</v>
      </c>
      <c r="D245" s="373" t="str">
        <f>IFERROR(VLOOKUP(ROWS($D$2:D245),$A$2:$B$1424,2,0),"")</f>
        <v>South Norfolk</v>
      </c>
    </row>
    <row r="246" spans="1:4" x14ac:dyDescent="0.25">
      <c r="A246" s="373">
        <f>IF(ISNUMBER(SEARCH('Area summary'!$E$3,B246)),MAX($A$1:A245)+1,0)</f>
        <v>244</v>
      </c>
      <c r="B246" s="468" t="s">
        <v>882</v>
      </c>
      <c r="D246" s="373" t="str">
        <f>IFERROR(VLOOKUP(ROWS($D$2:D246),$A$2:$B$1424,2,0),"")</f>
        <v>South Oxfordshire</v>
      </c>
    </row>
    <row r="247" spans="1:4" x14ac:dyDescent="0.25">
      <c r="A247" s="373">
        <f>IF(ISNUMBER(SEARCH('Area summary'!$E$3,B247)),MAX($A$1:A246)+1,0)</f>
        <v>245</v>
      </c>
      <c r="B247" s="468" t="s">
        <v>884</v>
      </c>
      <c r="D247" s="373" t="str">
        <f>IFERROR(VLOOKUP(ROWS($D$2:D247),$A$2:$B$1424,2,0),"")</f>
        <v>South Ribble</v>
      </c>
    </row>
    <row r="248" spans="1:4" x14ac:dyDescent="0.25">
      <c r="A248" s="373">
        <f>IF(ISNUMBER(SEARCH('Area summary'!$E$3,B248)),MAX($A$1:A247)+1,0)</f>
        <v>246</v>
      </c>
      <c r="B248" s="468" t="s">
        <v>886</v>
      </c>
      <c r="D248" s="373" t="str">
        <f>IFERROR(VLOOKUP(ROWS($D$2:D248),$A$2:$B$1424,2,0),"")</f>
        <v>South Somerset</v>
      </c>
    </row>
    <row r="249" spans="1:4" x14ac:dyDescent="0.25">
      <c r="A249" s="373">
        <f>IF(ISNUMBER(SEARCH('Area summary'!$E$3,B249)),MAX($A$1:A248)+1,0)</f>
        <v>247</v>
      </c>
      <c r="B249" s="468" t="s">
        <v>888</v>
      </c>
      <c r="D249" s="373" t="str">
        <f>IFERROR(VLOOKUP(ROWS($D$2:D249),$A$2:$B$1424,2,0),"")</f>
        <v>South Staffordshire</v>
      </c>
    </row>
    <row r="250" spans="1:4" x14ac:dyDescent="0.25">
      <c r="A250" s="373">
        <f>IF(ISNUMBER(SEARCH('Area summary'!$E$3,B250)),MAX($A$1:A249)+1,0)</f>
        <v>248</v>
      </c>
      <c r="B250" s="468" t="s">
        <v>890</v>
      </c>
      <c r="D250" s="373" t="str">
        <f>IFERROR(VLOOKUP(ROWS($D$2:D250),$A$2:$B$1424,2,0),"")</f>
        <v>South Tyneside</v>
      </c>
    </row>
    <row r="251" spans="1:4" x14ac:dyDescent="0.25">
      <c r="A251" s="373">
        <f>IF(ISNUMBER(SEARCH('Area summary'!$E$3,B251)),MAX($A$1:A250)+1,0)</f>
        <v>249</v>
      </c>
      <c r="B251" s="468" t="s">
        <v>892</v>
      </c>
      <c r="D251" s="373" t="str">
        <f>IFERROR(VLOOKUP(ROWS($D$2:D251),$A$2:$B$1424,2,0),"")</f>
        <v>Southampton</v>
      </c>
    </row>
    <row r="252" spans="1:4" x14ac:dyDescent="0.25">
      <c r="A252" s="373">
        <f>IF(ISNUMBER(SEARCH('Area summary'!$E$3,B252)),MAX($A$1:A251)+1,0)</f>
        <v>250</v>
      </c>
      <c r="B252" s="468" t="s">
        <v>894</v>
      </c>
      <c r="D252" s="373" t="str">
        <f>IFERROR(VLOOKUP(ROWS($D$2:D252),$A$2:$B$1424,2,0),"")</f>
        <v>Southend-on-Sea</v>
      </c>
    </row>
    <row r="253" spans="1:4" x14ac:dyDescent="0.25">
      <c r="A253" s="373">
        <f>IF(ISNUMBER(SEARCH('Area summary'!$E$3,B253)),MAX($A$1:A252)+1,0)</f>
        <v>251</v>
      </c>
      <c r="B253" s="468" t="s">
        <v>896</v>
      </c>
      <c r="D253" s="373" t="str">
        <f>IFERROR(VLOOKUP(ROWS($D$2:D253),$A$2:$B$1424,2,0),"")</f>
        <v>Southwark</v>
      </c>
    </row>
    <row r="254" spans="1:4" x14ac:dyDescent="0.25">
      <c r="A254" s="373">
        <f>IF(ISNUMBER(SEARCH('Area summary'!$E$3,B254)),MAX($A$1:A253)+1,0)</f>
        <v>252</v>
      </c>
      <c r="B254" s="468" t="s">
        <v>898</v>
      </c>
      <c r="D254" s="373" t="str">
        <f>IFERROR(VLOOKUP(ROWS($D$2:D254),$A$2:$B$1424,2,0),"")</f>
        <v>Spelthorne</v>
      </c>
    </row>
    <row r="255" spans="1:4" x14ac:dyDescent="0.25">
      <c r="A255" s="373">
        <f>IF(ISNUMBER(SEARCH('Area summary'!$E$3,B255)),MAX($A$1:A254)+1,0)</f>
        <v>253</v>
      </c>
      <c r="B255" s="468" t="s">
        <v>900</v>
      </c>
      <c r="D255" s="373" t="str">
        <f>IFERROR(VLOOKUP(ROWS($D$2:D255),$A$2:$B$1424,2,0),"")</f>
        <v>St Albans</v>
      </c>
    </row>
    <row r="256" spans="1:4" x14ac:dyDescent="0.25">
      <c r="A256" s="373">
        <f>IF(ISNUMBER(SEARCH('Area summary'!$E$3,B256)),MAX($A$1:A255)+1,0)</f>
        <v>254</v>
      </c>
      <c r="B256" s="468" t="s">
        <v>902</v>
      </c>
      <c r="D256" s="373" t="str">
        <f>IFERROR(VLOOKUP(ROWS($D$2:D256),$A$2:$B$1424,2,0),"")</f>
        <v>St. Helens</v>
      </c>
    </row>
    <row r="257" spans="1:4" x14ac:dyDescent="0.25">
      <c r="A257" s="373">
        <f>IF(ISNUMBER(SEARCH('Area summary'!$E$3,B257)),MAX($A$1:A256)+1,0)</f>
        <v>255</v>
      </c>
      <c r="B257" s="468" t="s">
        <v>904</v>
      </c>
      <c r="D257" s="373" t="str">
        <f>IFERROR(VLOOKUP(ROWS($D$2:D257),$A$2:$B$1424,2,0),"")</f>
        <v>Stafford</v>
      </c>
    </row>
    <row r="258" spans="1:4" x14ac:dyDescent="0.25">
      <c r="A258" s="373">
        <f>IF(ISNUMBER(SEARCH('Area summary'!$E$3,B258)),MAX($A$1:A257)+1,0)</f>
        <v>256</v>
      </c>
      <c r="B258" s="468" t="s">
        <v>906</v>
      </c>
      <c r="D258" s="373" t="str">
        <f>IFERROR(VLOOKUP(ROWS($D$2:D258),$A$2:$B$1424,2,0),"")</f>
        <v>Staffordshire Moorlands</v>
      </c>
    </row>
    <row r="259" spans="1:4" x14ac:dyDescent="0.25">
      <c r="A259" s="373">
        <f>IF(ISNUMBER(SEARCH('Area summary'!$E$3,B259)),MAX($A$1:A258)+1,0)</f>
        <v>257</v>
      </c>
      <c r="B259" s="468" t="s">
        <v>908</v>
      </c>
      <c r="D259" s="373" t="str">
        <f>IFERROR(VLOOKUP(ROWS($D$2:D259),$A$2:$B$1424,2,0),"")</f>
        <v>Stevenage</v>
      </c>
    </row>
    <row r="260" spans="1:4" x14ac:dyDescent="0.25">
      <c r="A260" s="373">
        <f>IF(ISNUMBER(SEARCH('Area summary'!$E$3,B260)),MAX($A$1:A259)+1,0)</f>
        <v>258</v>
      </c>
      <c r="B260" s="468" t="s">
        <v>910</v>
      </c>
      <c r="D260" s="373" t="str">
        <f>IFERROR(VLOOKUP(ROWS($D$2:D260),$A$2:$B$1424,2,0),"")</f>
        <v>Stockport</v>
      </c>
    </row>
    <row r="261" spans="1:4" x14ac:dyDescent="0.25">
      <c r="A261" s="373">
        <f>IF(ISNUMBER(SEARCH('Area summary'!$E$3,B261)),MAX($A$1:A260)+1,0)</f>
        <v>259</v>
      </c>
      <c r="B261" s="468" t="s">
        <v>912</v>
      </c>
      <c r="D261" s="373" t="str">
        <f>IFERROR(VLOOKUP(ROWS($D$2:D261),$A$2:$B$1424,2,0),"")</f>
        <v>Stockton-on-Tees</v>
      </c>
    </row>
    <row r="262" spans="1:4" x14ac:dyDescent="0.25">
      <c r="A262" s="373">
        <f>IF(ISNUMBER(SEARCH('Area summary'!$E$3,B262)),MAX($A$1:A261)+1,0)</f>
        <v>260</v>
      </c>
      <c r="B262" s="468" t="s">
        <v>914</v>
      </c>
      <c r="D262" s="373" t="str">
        <f>IFERROR(VLOOKUP(ROWS($D$2:D262),$A$2:$B$1424,2,0),"")</f>
        <v>Stoke-on-Trent</v>
      </c>
    </row>
    <row r="263" spans="1:4" x14ac:dyDescent="0.25">
      <c r="A263" s="373">
        <f>IF(ISNUMBER(SEARCH('Area summary'!$E$3,B263)),MAX($A$1:A262)+1,0)</f>
        <v>261</v>
      </c>
      <c r="B263" s="468" t="s">
        <v>916</v>
      </c>
      <c r="D263" s="373" t="str">
        <f>IFERROR(VLOOKUP(ROWS($D$2:D263),$A$2:$B$1424,2,0),"")</f>
        <v>Stratford-on-Avon</v>
      </c>
    </row>
    <row r="264" spans="1:4" x14ac:dyDescent="0.25">
      <c r="A264" s="373">
        <f>IF(ISNUMBER(SEARCH('Area summary'!$E$3,B264)),MAX($A$1:A263)+1,0)</f>
        <v>262</v>
      </c>
      <c r="B264" s="468" t="s">
        <v>918</v>
      </c>
      <c r="D264" s="373" t="str">
        <f>IFERROR(VLOOKUP(ROWS($D$2:D264),$A$2:$B$1424,2,0),"")</f>
        <v>Stroud</v>
      </c>
    </row>
    <row r="265" spans="1:4" x14ac:dyDescent="0.25">
      <c r="A265" s="373">
        <f>IF(ISNUMBER(SEARCH('Area summary'!$E$3,B265)),MAX($A$1:A264)+1,0)</f>
        <v>263</v>
      </c>
      <c r="B265" s="468" t="s">
        <v>920</v>
      </c>
      <c r="D265" s="373" t="str">
        <f>IFERROR(VLOOKUP(ROWS($D$2:D265),$A$2:$B$1424,2,0),"")</f>
        <v>Sunderland</v>
      </c>
    </row>
    <row r="266" spans="1:4" x14ac:dyDescent="0.25">
      <c r="A266" s="373">
        <f>IF(ISNUMBER(SEARCH('Area summary'!$E$3,B266)),MAX($A$1:A265)+1,0)</f>
        <v>264</v>
      </c>
      <c r="B266" s="468" t="s">
        <v>922</v>
      </c>
      <c r="D266" s="373" t="str">
        <f>IFERROR(VLOOKUP(ROWS($D$2:D266),$A$2:$B$1424,2,0),"")</f>
        <v>Surrey Heath</v>
      </c>
    </row>
    <row r="267" spans="1:4" x14ac:dyDescent="0.25">
      <c r="A267" s="373">
        <f>IF(ISNUMBER(SEARCH('Area summary'!$E$3,B267)),MAX($A$1:A266)+1,0)</f>
        <v>265</v>
      </c>
      <c r="B267" s="468" t="s">
        <v>924</v>
      </c>
      <c r="D267" s="373" t="str">
        <f>IFERROR(VLOOKUP(ROWS($D$2:D267),$A$2:$B$1424,2,0),"")</f>
        <v>Sutton</v>
      </c>
    </row>
    <row r="268" spans="1:4" x14ac:dyDescent="0.25">
      <c r="A268" s="373">
        <f>IF(ISNUMBER(SEARCH('Area summary'!$E$3,B268)),MAX($A$1:A267)+1,0)</f>
        <v>266</v>
      </c>
      <c r="B268" s="468" t="s">
        <v>926</v>
      </c>
      <c r="D268" s="373" t="str">
        <f>IFERROR(VLOOKUP(ROWS($D$2:D268),$A$2:$B$1424,2,0),"")</f>
        <v>Swale</v>
      </c>
    </row>
    <row r="269" spans="1:4" x14ac:dyDescent="0.25">
      <c r="A269" s="373">
        <f>IF(ISNUMBER(SEARCH('Area summary'!$E$3,B269)),MAX($A$1:A268)+1,0)</f>
        <v>267</v>
      </c>
      <c r="B269" s="468" t="s">
        <v>928</v>
      </c>
      <c r="D269" s="373" t="str">
        <f>IFERROR(VLOOKUP(ROWS($D$2:D269),$A$2:$B$1424,2,0),"")</f>
        <v>Swindon</v>
      </c>
    </row>
    <row r="270" spans="1:4" x14ac:dyDescent="0.25">
      <c r="A270" s="373">
        <f>IF(ISNUMBER(SEARCH('Area summary'!$E$3,B270)),MAX($A$1:A269)+1,0)</f>
        <v>268</v>
      </c>
      <c r="B270" s="468" t="s">
        <v>930</v>
      </c>
      <c r="D270" s="373" t="str">
        <f>IFERROR(VLOOKUP(ROWS($D$2:D270),$A$2:$B$1424,2,0),"")</f>
        <v>Tameside</v>
      </c>
    </row>
    <row r="271" spans="1:4" x14ac:dyDescent="0.25">
      <c r="A271" s="373">
        <f>IF(ISNUMBER(SEARCH('Area summary'!$E$3,B271)),MAX($A$1:A270)+1,0)</f>
        <v>269</v>
      </c>
      <c r="B271" s="468" t="s">
        <v>932</v>
      </c>
      <c r="D271" s="373" t="str">
        <f>IFERROR(VLOOKUP(ROWS($D$2:D271),$A$2:$B$1424,2,0),"")</f>
        <v>Tamworth</v>
      </c>
    </row>
    <row r="272" spans="1:4" x14ac:dyDescent="0.25">
      <c r="A272" s="373">
        <f>IF(ISNUMBER(SEARCH('Area summary'!$E$3,B272)),MAX($A$1:A271)+1,0)</f>
        <v>270</v>
      </c>
      <c r="B272" s="468" t="s">
        <v>934</v>
      </c>
      <c r="D272" s="373" t="str">
        <f>IFERROR(VLOOKUP(ROWS($D$2:D272),$A$2:$B$1424,2,0),"")</f>
        <v>Tandridge</v>
      </c>
    </row>
    <row r="273" spans="1:4" x14ac:dyDescent="0.25">
      <c r="A273" s="373">
        <f>IF(ISNUMBER(SEARCH('Area summary'!$E$3,B273)),MAX($A$1:A272)+1,0)</f>
        <v>271</v>
      </c>
      <c r="B273" s="468" t="s">
        <v>936</v>
      </c>
      <c r="D273" s="373" t="str">
        <f>IFERROR(VLOOKUP(ROWS($D$2:D273),$A$2:$B$1424,2,0),"")</f>
        <v>Teignbridge</v>
      </c>
    </row>
    <row r="274" spans="1:4" x14ac:dyDescent="0.25">
      <c r="A274" s="373">
        <f>IF(ISNUMBER(SEARCH('Area summary'!$E$3,B274)),MAX($A$1:A273)+1,0)</f>
        <v>272</v>
      </c>
      <c r="B274" s="468" t="s">
        <v>938</v>
      </c>
      <c r="D274" s="373" t="str">
        <f>IFERROR(VLOOKUP(ROWS($D$2:D274),$A$2:$B$1424,2,0),"")</f>
        <v>Telford and Wrekin</v>
      </c>
    </row>
    <row r="275" spans="1:4" x14ac:dyDescent="0.25">
      <c r="A275" s="373">
        <f>IF(ISNUMBER(SEARCH('Area summary'!$E$3,B275)),MAX($A$1:A274)+1,0)</f>
        <v>273</v>
      </c>
      <c r="B275" s="468" t="s">
        <v>940</v>
      </c>
      <c r="D275" s="373" t="str">
        <f>IFERROR(VLOOKUP(ROWS($D$2:D275),$A$2:$B$1424,2,0),"")</f>
        <v>Tendring</v>
      </c>
    </row>
    <row r="276" spans="1:4" x14ac:dyDescent="0.25">
      <c r="A276" s="373">
        <f>IF(ISNUMBER(SEARCH('Area summary'!$E$3,B276)),MAX($A$1:A275)+1,0)</f>
        <v>274</v>
      </c>
      <c r="B276" s="468" t="s">
        <v>942</v>
      </c>
      <c r="D276" s="373" t="str">
        <f>IFERROR(VLOOKUP(ROWS($D$2:D276),$A$2:$B$1424,2,0),"")</f>
        <v>Test Valley</v>
      </c>
    </row>
    <row r="277" spans="1:4" x14ac:dyDescent="0.25">
      <c r="A277" s="373">
        <f>IF(ISNUMBER(SEARCH('Area summary'!$E$3,B277)),MAX($A$1:A276)+1,0)</f>
        <v>275</v>
      </c>
      <c r="B277" s="468" t="s">
        <v>944</v>
      </c>
      <c r="D277" s="373" t="str">
        <f>IFERROR(VLOOKUP(ROWS($D$2:D277),$A$2:$B$1424,2,0),"")</f>
        <v>Tewkesbury</v>
      </c>
    </row>
    <row r="278" spans="1:4" x14ac:dyDescent="0.25">
      <c r="A278" s="373">
        <f>IF(ISNUMBER(SEARCH('Area summary'!$E$3,B278)),MAX($A$1:A277)+1,0)</f>
        <v>276</v>
      </c>
      <c r="B278" s="468" t="s">
        <v>946</v>
      </c>
      <c r="D278" s="373" t="str">
        <f>IFERROR(VLOOKUP(ROWS($D$2:D278),$A$2:$B$1424,2,0),"")</f>
        <v>Thanet</v>
      </c>
    </row>
    <row r="279" spans="1:4" x14ac:dyDescent="0.25">
      <c r="A279" s="373">
        <f>IF(ISNUMBER(SEARCH('Area summary'!$E$3,B279)),MAX($A$1:A278)+1,0)</f>
        <v>277</v>
      </c>
      <c r="B279" s="468" t="s">
        <v>948</v>
      </c>
      <c r="D279" s="373" t="str">
        <f>IFERROR(VLOOKUP(ROWS($D$2:D279),$A$2:$B$1424,2,0),"")</f>
        <v>Three Rivers</v>
      </c>
    </row>
    <row r="280" spans="1:4" x14ac:dyDescent="0.25">
      <c r="A280" s="373">
        <f>IF(ISNUMBER(SEARCH('Area summary'!$E$3,B280)),MAX($A$1:A279)+1,0)</f>
        <v>278</v>
      </c>
      <c r="B280" s="468" t="s">
        <v>950</v>
      </c>
      <c r="D280" s="373" t="str">
        <f>IFERROR(VLOOKUP(ROWS($D$2:D280),$A$2:$B$1424,2,0),"")</f>
        <v>Thurrock</v>
      </c>
    </row>
    <row r="281" spans="1:4" x14ac:dyDescent="0.25">
      <c r="A281" s="373">
        <f>IF(ISNUMBER(SEARCH('Area summary'!$E$3,B281)),MAX($A$1:A280)+1,0)</f>
        <v>279</v>
      </c>
      <c r="B281" s="468" t="s">
        <v>952</v>
      </c>
      <c r="D281" s="373" t="str">
        <f>IFERROR(VLOOKUP(ROWS($D$2:D281),$A$2:$B$1424,2,0),"")</f>
        <v>Tonbridge and Malling</v>
      </c>
    </row>
    <row r="282" spans="1:4" x14ac:dyDescent="0.25">
      <c r="A282" s="373">
        <f>IF(ISNUMBER(SEARCH('Area summary'!$E$3,B282)),MAX($A$1:A281)+1,0)</f>
        <v>280</v>
      </c>
      <c r="B282" s="468" t="s">
        <v>954</v>
      </c>
      <c r="D282" s="373" t="str">
        <f>IFERROR(VLOOKUP(ROWS($D$2:D282),$A$2:$B$1424,2,0),"")</f>
        <v>Torbay</v>
      </c>
    </row>
    <row r="283" spans="1:4" x14ac:dyDescent="0.25">
      <c r="A283" s="373">
        <f>IF(ISNUMBER(SEARCH('Area summary'!$E$3,B283)),MAX($A$1:A282)+1,0)</f>
        <v>281</v>
      </c>
      <c r="B283" s="468" t="s">
        <v>956</v>
      </c>
      <c r="D283" s="373" t="str">
        <f>IFERROR(VLOOKUP(ROWS($D$2:D283),$A$2:$B$1424,2,0),"")</f>
        <v>Torridge</v>
      </c>
    </row>
    <row r="284" spans="1:4" x14ac:dyDescent="0.25">
      <c r="A284" s="373">
        <f>IF(ISNUMBER(SEARCH('Area summary'!$E$3,B284)),MAX($A$1:A283)+1,0)</f>
        <v>282</v>
      </c>
      <c r="B284" s="468" t="s">
        <v>958</v>
      </c>
      <c r="D284" s="373" t="str">
        <f>IFERROR(VLOOKUP(ROWS($D$2:D284),$A$2:$B$1424,2,0),"")</f>
        <v>Tower Hamlets</v>
      </c>
    </row>
    <row r="285" spans="1:4" x14ac:dyDescent="0.25">
      <c r="A285" s="373">
        <f>IF(ISNUMBER(SEARCH('Area summary'!$E$3,B285)),MAX($A$1:A284)+1,0)</f>
        <v>283</v>
      </c>
      <c r="B285" s="468" t="s">
        <v>960</v>
      </c>
      <c r="D285" s="373" t="str">
        <f>IFERROR(VLOOKUP(ROWS($D$2:D285),$A$2:$B$1424,2,0),"")</f>
        <v>Trafford</v>
      </c>
    </row>
    <row r="286" spans="1:4" x14ac:dyDescent="0.25">
      <c r="A286" s="373">
        <f>IF(ISNUMBER(SEARCH('Area summary'!$E$3,B286)),MAX($A$1:A285)+1,0)</f>
        <v>284</v>
      </c>
      <c r="B286" s="468" t="s">
        <v>962</v>
      </c>
      <c r="D286" s="373" t="str">
        <f>IFERROR(VLOOKUP(ROWS($D$2:D286),$A$2:$B$1424,2,0),"")</f>
        <v>Tunbridge Wells</v>
      </c>
    </row>
    <row r="287" spans="1:4" x14ac:dyDescent="0.25">
      <c r="A287" s="373">
        <f>IF(ISNUMBER(SEARCH('Area summary'!$E$3,B287)),MAX($A$1:A286)+1,0)</f>
        <v>285</v>
      </c>
      <c r="B287" s="468" t="s">
        <v>964</v>
      </c>
      <c r="D287" s="373" t="str">
        <f>IFERROR(VLOOKUP(ROWS($D$2:D287),$A$2:$B$1424,2,0),"")</f>
        <v>Uttlesford</v>
      </c>
    </row>
    <row r="288" spans="1:4" x14ac:dyDescent="0.25">
      <c r="A288" s="373">
        <f>IF(ISNUMBER(SEARCH('Area summary'!$E$3,B288)),MAX($A$1:A287)+1,0)</f>
        <v>286</v>
      </c>
      <c r="B288" s="468" t="s">
        <v>966</v>
      </c>
      <c r="D288" s="373" t="str">
        <f>IFERROR(VLOOKUP(ROWS($D$2:D288),$A$2:$B$1424,2,0),"")</f>
        <v>Vale of White Horse</v>
      </c>
    </row>
    <row r="289" spans="1:4" x14ac:dyDescent="0.25">
      <c r="A289" s="373">
        <f>IF(ISNUMBER(SEARCH('Area summary'!$E$3,B289)),MAX($A$1:A288)+1,0)</f>
        <v>287</v>
      </c>
      <c r="B289" s="468" t="s">
        <v>968</v>
      </c>
      <c r="D289" s="373" t="str">
        <f>IFERROR(VLOOKUP(ROWS($D$2:D289),$A$2:$B$1424,2,0),"")</f>
        <v>Wakefield</v>
      </c>
    </row>
    <row r="290" spans="1:4" x14ac:dyDescent="0.25">
      <c r="A290" s="373">
        <f>IF(ISNUMBER(SEARCH('Area summary'!$E$3,B290)),MAX($A$1:A289)+1,0)</f>
        <v>288</v>
      </c>
      <c r="B290" s="468" t="s">
        <v>970</v>
      </c>
      <c r="D290" s="373" t="str">
        <f>IFERROR(VLOOKUP(ROWS($D$2:D290),$A$2:$B$1424,2,0),"")</f>
        <v>Walsall</v>
      </c>
    </row>
    <row r="291" spans="1:4" x14ac:dyDescent="0.25">
      <c r="A291" s="373">
        <f>IF(ISNUMBER(SEARCH('Area summary'!$E$3,B291)),MAX($A$1:A290)+1,0)</f>
        <v>289</v>
      </c>
      <c r="B291" s="468" t="s">
        <v>972</v>
      </c>
      <c r="D291" s="373" t="str">
        <f>IFERROR(VLOOKUP(ROWS($D$2:D291),$A$2:$B$1424,2,0),"")</f>
        <v>Waltham Forest</v>
      </c>
    </row>
    <row r="292" spans="1:4" x14ac:dyDescent="0.25">
      <c r="A292" s="373">
        <f>IF(ISNUMBER(SEARCH('Area summary'!$E$3,B292)),MAX($A$1:A291)+1,0)</f>
        <v>290</v>
      </c>
      <c r="B292" s="468" t="s">
        <v>974</v>
      </c>
      <c r="D292" s="373" t="str">
        <f>IFERROR(VLOOKUP(ROWS($D$2:D292),$A$2:$B$1424,2,0),"")</f>
        <v>Wandsworth</v>
      </c>
    </row>
    <row r="293" spans="1:4" x14ac:dyDescent="0.25">
      <c r="A293" s="373">
        <f>IF(ISNUMBER(SEARCH('Area summary'!$E$3,B293)),MAX($A$1:A292)+1,0)</f>
        <v>291</v>
      </c>
      <c r="B293" s="468" t="s">
        <v>976</v>
      </c>
      <c r="D293" s="373" t="str">
        <f>IFERROR(VLOOKUP(ROWS($D$2:D293),$A$2:$B$1424,2,0),"")</f>
        <v>Warrington</v>
      </c>
    </row>
    <row r="294" spans="1:4" x14ac:dyDescent="0.25">
      <c r="A294" s="373">
        <f>IF(ISNUMBER(SEARCH('Area summary'!$E$3,B294)),MAX($A$1:A293)+1,0)</f>
        <v>292</v>
      </c>
      <c r="B294" s="468" t="s">
        <v>978</v>
      </c>
      <c r="D294" s="373" t="str">
        <f>IFERROR(VLOOKUP(ROWS($D$2:D294),$A$2:$B$1424,2,0),"")</f>
        <v>Warwick</v>
      </c>
    </row>
    <row r="295" spans="1:4" x14ac:dyDescent="0.25">
      <c r="A295" s="373">
        <f>IF(ISNUMBER(SEARCH('Area summary'!$E$3,B295)),MAX($A$1:A294)+1,0)</f>
        <v>293</v>
      </c>
      <c r="B295" s="468" t="s">
        <v>980</v>
      </c>
      <c r="D295" s="373" t="str">
        <f>IFERROR(VLOOKUP(ROWS($D$2:D295),$A$2:$B$1424,2,0),"")</f>
        <v>Watford</v>
      </c>
    </row>
    <row r="296" spans="1:4" x14ac:dyDescent="0.25">
      <c r="A296" s="373">
        <f>IF(ISNUMBER(SEARCH('Area summary'!$E$3,B296)),MAX($A$1:A295)+1,0)</f>
        <v>294</v>
      </c>
      <c r="B296" s="468" t="s">
        <v>982</v>
      </c>
      <c r="D296" s="373" t="str">
        <f>IFERROR(VLOOKUP(ROWS($D$2:D296),$A$2:$B$1424,2,0),"")</f>
        <v>Waverley</v>
      </c>
    </row>
    <row r="297" spans="1:4" x14ac:dyDescent="0.25">
      <c r="A297" s="373">
        <f>IF(ISNUMBER(SEARCH('Area summary'!$E$3,B297)),MAX($A$1:A296)+1,0)</f>
        <v>295</v>
      </c>
      <c r="B297" s="468" t="s">
        <v>984</v>
      </c>
      <c r="D297" s="373" t="str">
        <f>IFERROR(VLOOKUP(ROWS($D$2:D297),$A$2:$B$1424,2,0),"")</f>
        <v>Wealden</v>
      </c>
    </row>
    <row r="298" spans="1:4" x14ac:dyDescent="0.25">
      <c r="A298" s="373">
        <f>IF(ISNUMBER(SEARCH('Area summary'!$E$3,B298)),MAX($A$1:A297)+1,0)</f>
        <v>296</v>
      </c>
      <c r="B298" s="468" t="s">
        <v>986</v>
      </c>
      <c r="D298" s="373" t="str">
        <f>IFERROR(VLOOKUP(ROWS($D$2:D298),$A$2:$B$1424,2,0),"")</f>
        <v>Welwyn Hatfield</v>
      </c>
    </row>
    <row r="299" spans="1:4" x14ac:dyDescent="0.25">
      <c r="A299" s="373">
        <f>IF(ISNUMBER(SEARCH('Area summary'!$E$3,B299)),MAX($A$1:A298)+1,0)</f>
        <v>297</v>
      </c>
      <c r="B299" s="468" t="s">
        <v>988</v>
      </c>
      <c r="D299" s="373" t="str">
        <f>IFERROR(VLOOKUP(ROWS($D$2:D299),$A$2:$B$1424,2,0),"")</f>
        <v>West Berkshire</v>
      </c>
    </row>
    <row r="300" spans="1:4" x14ac:dyDescent="0.25">
      <c r="A300" s="373">
        <f>IF(ISNUMBER(SEARCH('Area summary'!$E$3,B300)),MAX($A$1:A299)+1,0)</f>
        <v>298</v>
      </c>
      <c r="B300" s="468" t="s">
        <v>990</v>
      </c>
      <c r="D300" s="373" t="str">
        <f>IFERROR(VLOOKUP(ROWS($D$2:D300),$A$2:$B$1424,2,0),"")</f>
        <v>West Devon</v>
      </c>
    </row>
    <row r="301" spans="1:4" x14ac:dyDescent="0.25">
      <c r="A301" s="373">
        <f>IF(ISNUMBER(SEARCH('Area summary'!$E$3,B301)),MAX($A$1:A300)+1,0)</f>
        <v>299</v>
      </c>
      <c r="B301" s="468" t="s">
        <v>992</v>
      </c>
      <c r="D301" s="373" t="str">
        <f>IFERROR(VLOOKUP(ROWS($D$2:D301),$A$2:$B$1424,2,0),"")</f>
        <v>West Lancashire</v>
      </c>
    </row>
    <row r="302" spans="1:4" x14ac:dyDescent="0.25">
      <c r="A302" s="373">
        <f>IF(ISNUMBER(SEARCH('Area summary'!$E$3,B302)),MAX($A$1:A301)+1,0)</f>
        <v>300</v>
      </c>
      <c r="B302" s="468" t="s">
        <v>994</v>
      </c>
      <c r="D302" s="373" t="str">
        <f>IFERROR(VLOOKUP(ROWS($D$2:D302),$A$2:$B$1424,2,0),"")</f>
        <v>West Lindsey</v>
      </c>
    </row>
    <row r="303" spans="1:4" x14ac:dyDescent="0.25">
      <c r="A303" s="373">
        <f>IF(ISNUMBER(SEARCH('Area summary'!$E$3,B303)),MAX($A$1:A302)+1,0)</f>
        <v>301</v>
      </c>
      <c r="B303" s="468" t="s">
        <v>996</v>
      </c>
      <c r="D303" s="373" t="str">
        <f>IFERROR(VLOOKUP(ROWS($D$2:D303),$A$2:$B$1424,2,0),"")</f>
        <v>West Northamptonshire</v>
      </c>
    </row>
    <row r="304" spans="1:4" x14ac:dyDescent="0.25">
      <c r="A304" s="373">
        <f>IF(ISNUMBER(SEARCH('Area summary'!$E$3,B304)),MAX($A$1:A303)+1,0)</f>
        <v>302</v>
      </c>
      <c r="B304" s="468" t="s">
        <v>14117</v>
      </c>
      <c r="D304" s="373" t="str">
        <f>IFERROR(VLOOKUP(ROWS($D$2:D304),$A$2:$B$1424,2,0),"")</f>
        <v>West Oxfordshire</v>
      </c>
    </row>
    <row r="305" spans="1:4" x14ac:dyDescent="0.25">
      <c r="A305" s="373">
        <f>IF(ISNUMBER(SEARCH('Area summary'!$E$3,B305)),MAX($A$1:A304)+1,0)</f>
        <v>303</v>
      </c>
      <c r="B305" s="468" t="s">
        <v>998</v>
      </c>
      <c r="D305" s="373" t="str">
        <f>IFERROR(VLOOKUP(ROWS($D$2:D305),$A$2:$B$1424,2,0),"")</f>
        <v>West Suffolk</v>
      </c>
    </row>
    <row r="306" spans="1:4" x14ac:dyDescent="0.25">
      <c r="A306" s="373">
        <f>IF(ISNUMBER(SEARCH('Area summary'!$E$3,B306)),MAX($A$1:A305)+1,0)</f>
        <v>304</v>
      </c>
      <c r="B306" s="468" t="s">
        <v>1000</v>
      </c>
      <c r="D306" s="373" t="str">
        <f>IFERROR(VLOOKUP(ROWS($D$2:D306),$A$2:$B$1424,2,0),"")</f>
        <v>Westminster</v>
      </c>
    </row>
    <row r="307" spans="1:4" x14ac:dyDescent="0.25">
      <c r="A307" s="373">
        <f>IF(ISNUMBER(SEARCH('Area summary'!$E$3,B307)),MAX($A$1:A306)+1,0)</f>
        <v>305</v>
      </c>
      <c r="B307" s="468" t="s">
        <v>1002</v>
      </c>
      <c r="D307" s="373" t="str">
        <f>IFERROR(VLOOKUP(ROWS($D$2:D307),$A$2:$B$1424,2,0),"")</f>
        <v>Wigan</v>
      </c>
    </row>
    <row r="308" spans="1:4" x14ac:dyDescent="0.25">
      <c r="A308" s="373">
        <f>IF(ISNUMBER(SEARCH('Area summary'!$E$3,B308)),MAX($A$1:A307)+1,0)</f>
        <v>306</v>
      </c>
      <c r="B308" s="468" t="s">
        <v>1004</v>
      </c>
      <c r="D308" s="373" t="str">
        <f>IFERROR(VLOOKUP(ROWS($D$2:D308),$A$2:$B$1424,2,0),"")</f>
        <v>Wiltshire</v>
      </c>
    </row>
    <row r="309" spans="1:4" x14ac:dyDescent="0.25">
      <c r="A309" s="373">
        <f>IF(ISNUMBER(SEARCH('Area summary'!$E$3,B309)),MAX($A$1:A308)+1,0)</f>
        <v>307</v>
      </c>
      <c r="B309" s="468" t="s">
        <v>1006</v>
      </c>
      <c r="D309" s="373" t="str">
        <f>IFERROR(VLOOKUP(ROWS($D$2:D309),$A$2:$B$1424,2,0),"")</f>
        <v>Winchester</v>
      </c>
    </row>
    <row r="310" spans="1:4" x14ac:dyDescent="0.25">
      <c r="A310" s="373">
        <f>IF(ISNUMBER(SEARCH('Area summary'!$E$3,B310)),MAX($A$1:A309)+1,0)</f>
        <v>308</v>
      </c>
      <c r="B310" s="468" t="s">
        <v>1008</v>
      </c>
      <c r="D310" s="373" t="str">
        <f>IFERROR(VLOOKUP(ROWS($D$2:D310),$A$2:$B$1424,2,0),"")</f>
        <v>Windsor and Maidenhead</v>
      </c>
    </row>
    <row r="311" spans="1:4" x14ac:dyDescent="0.25">
      <c r="A311" s="373">
        <f>IF(ISNUMBER(SEARCH('Area summary'!$E$3,B311)),MAX($A$1:A310)+1,0)</f>
        <v>309</v>
      </c>
      <c r="B311" s="468" t="s">
        <v>1010</v>
      </c>
      <c r="D311" s="373" t="str">
        <f>IFERROR(VLOOKUP(ROWS($D$2:D311),$A$2:$B$1424,2,0),"")</f>
        <v>Wirral</v>
      </c>
    </row>
    <row r="312" spans="1:4" x14ac:dyDescent="0.25">
      <c r="A312" s="373">
        <f>IF(ISNUMBER(SEARCH('Area summary'!$E$3,B312)),MAX($A$1:A311)+1,0)</f>
        <v>310</v>
      </c>
      <c r="B312" s="468" t="s">
        <v>1012</v>
      </c>
      <c r="D312" s="373" t="str">
        <f>IFERROR(VLOOKUP(ROWS($D$2:D312),$A$2:$B$1424,2,0),"")</f>
        <v>Woking</v>
      </c>
    </row>
    <row r="313" spans="1:4" x14ac:dyDescent="0.25">
      <c r="A313" s="373">
        <f>IF(ISNUMBER(SEARCH('Area summary'!$E$3,B313)),MAX($A$1:A312)+1,0)</f>
        <v>311</v>
      </c>
      <c r="B313" s="468" t="s">
        <v>1014</v>
      </c>
      <c r="D313" s="373" t="str">
        <f>IFERROR(VLOOKUP(ROWS($D$2:D313),$A$2:$B$1424,2,0),"")</f>
        <v>Wokingham</v>
      </c>
    </row>
    <row r="314" spans="1:4" x14ac:dyDescent="0.25">
      <c r="A314" s="373">
        <f>IF(ISNUMBER(SEARCH('Area summary'!$E$3,B314)),MAX($A$1:A313)+1,0)</f>
        <v>312</v>
      </c>
      <c r="B314" s="468" t="s">
        <v>1016</v>
      </c>
      <c r="D314" s="373" t="str">
        <f>IFERROR(VLOOKUP(ROWS($D$2:D314),$A$2:$B$1424,2,0),"")</f>
        <v>Wolverhampton</v>
      </c>
    </row>
    <row r="315" spans="1:4" x14ac:dyDescent="0.25">
      <c r="A315" s="373">
        <f>IF(ISNUMBER(SEARCH('Area summary'!$E$3,B315)),MAX($A$1:A314)+1,0)</f>
        <v>313</v>
      </c>
      <c r="B315" s="468" t="s">
        <v>1018</v>
      </c>
      <c r="D315" s="373" t="str">
        <f>IFERROR(VLOOKUP(ROWS($D$2:D315),$A$2:$B$1424,2,0),"")</f>
        <v>Worcester</v>
      </c>
    </row>
    <row r="316" spans="1:4" x14ac:dyDescent="0.25">
      <c r="A316" s="373">
        <f>IF(ISNUMBER(SEARCH('Area summary'!$E$3,B316)),MAX($A$1:A315)+1,0)</f>
        <v>314</v>
      </c>
      <c r="B316" s="468" t="s">
        <v>1020</v>
      </c>
      <c r="D316" s="373" t="str">
        <f>IFERROR(VLOOKUP(ROWS($D$2:D316),$A$2:$B$1424,2,0),"")</f>
        <v>Worthing</v>
      </c>
    </row>
    <row r="317" spans="1:4" x14ac:dyDescent="0.25">
      <c r="A317" s="373">
        <f>IF(ISNUMBER(SEARCH('Area summary'!$E$3,B317)),MAX($A$1:A316)+1,0)</f>
        <v>315</v>
      </c>
      <c r="B317" s="468" t="s">
        <v>1022</v>
      </c>
      <c r="D317" s="373" t="str">
        <f>IFERROR(VLOOKUP(ROWS($D$2:D317),$A$2:$B$1424,2,0),"")</f>
        <v>Wychavon</v>
      </c>
    </row>
    <row r="318" spans="1:4" x14ac:dyDescent="0.25">
      <c r="A318" s="373">
        <f>IF(ISNUMBER(SEARCH('Area summary'!$E$3,B318)),MAX($A$1:A317)+1,0)</f>
        <v>316</v>
      </c>
      <c r="B318" s="468" t="s">
        <v>1024</v>
      </c>
      <c r="D318" s="373" t="str">
        <f>IFERROR(VLOOKUP(ROWS($D$2:D318),$A$2:$B$1424,2,0),"")</f>
        <v>Wyre</v>
      </c>
    </row>
    <row r="319" spans="1:4" x14ac:dyDescent="0.25">
      <c r="A319" s="373">
        <f>IF(ISNUMBER(SEARCH('Area summary'!$E$3,B319)),MAX($A$1:A318)+1,0)</f>
        <v>317</v>
      </c>
      <c r="B319" s="468" t="s">
        <v>1026</v>
      </c>
      <c r="D319" s="373" t="str">
        <f>IFERROR(VLOOKUP(ROWS($D$2:D319),$A$2:$B$1424,2,0),"")</f>
        <v>Wyre Forest</v>
      </c>
    </row>
    <row r="320" spans="1:4" x14ac:dyDescent="0.25">
      <c r="A320" s="373">
        <f>IF(ISNUMBER(SEARCH('Area summary'!$E$3,B320)),MAX($A$1:A319)+1,0)</f>
        <v>318</v>
      </c>
      <c r="B320" s="468" t="s">
        <v>1028</v>
      </c>
      <c r="D320" s="373" t="str">
        <f>IFERROR(VLOOKUP(ROWS($D$2:D320),$A$2:$B$1424,2,0),"")</f>
        <v>York</v>
      </c>
    </row>
    <row r="321" spans="1:4" x14ac:dyDescent="0.25">
      <c r="A321" s="373">
        <f>IF(ISNUMBER(SEARCH('Area summary'!$E$3,B321)),MAX($A$1:A320)+1,0)</f>
        <v>319</v>
      </c>
      <c r="B321" s="468" t="s">
        <v>1030</v>
      </c>
      <c r="D321" s="373" t="str">
        <f>IFERROR(VLOOKUP(ROWS($D$2:D321),$A$2:$B$1424,2,0),"")</f>
        <v/>
      </c>
    </row>
    <row r="322" spans="1:4" x14ac:dyDescent="0.25">
      <c r="B322" s="231"/>
      <c r="D322" s="373" t="str">
        <f>IFERROR(VLOOKUP(ROWS($D$2:D322),$A$2:$B$1424,2,0),"")</f>
        <v/>
      </c>
    </row>
    <row r="323" spans="1:4" x14ac:dyDescent="0.25">
      <c r="B323" s="231"/>
      <c r="D323" s="373" t="str">
        <f>IFERROR(VLOOKUP(ROWS($D$2:D323),$A$2:$B$1424,2,0),"")</f>
        <v/>
      </c>
    </row>
    <row r="324" spans="1:4" x14ac:dyDescent="0.25">
      <c r="B324" s="231"/>
      <c r="D324" s="373" t="str">
        <f>IFERROR(VLOOKUP(ROWS($D$2:D324),$A$2:$B$1424,2,0),"")</f>
        <v/>
      </c>
    </row>
    <row r="325" spans="1:4" x14ac:dyDescent="0.25">
      <c r="B325" s="231"/>
      <c r="D325" s="373" t="str">
        <f>IFERROR(VLOOKUP(ROWS($D$2:D325),$A$2:$B$1424,2,0),"")</f>
        <v/>
      </c>
    </row>
    <row r="326" spans="1:4" x14ac:dyDescent="0.25">
      <c r="B326" s="231"/>
      <c r="D326" s="373" t="str">
        <f>IFERROR(VLOOKUP(ROWS($D$2:D326),$A$2:$B$1424,2,0),"")</f>
        <v/>
      </c>
    </row>
    <row r="327" spans="1:4" x14ac:dyDescent="0.25">
      <c r="B327" s="231"/>
      <c r="D327" s="373" t="str">
        <f>IFERROR(VLOOKUP(ROWS($D$2:D327),$A$2:$B$1424,2,0),"")</f>
        <v/>
      </c>
    </row>
    <row r="328" spans="1:4" x14ac:dyDescent="0.25">
      <c r="B328" s="231"/>
      <c r="D328" s="373" t="str">
        <f>IFERROR(VLOOKUP(ROWS($D$2:D328),$A$2:$B$1424,2,0),"")</f>
        <v/>
      </c>
    </row>
    <row r="329" spans="1:4" x14ac:dyDescent="0.25">
      <c r="B329" s="231"/>
      <c r="D329" s="373" t="str">
        <f>IFERROR(VLOOKUP(ROWS($D$2:D329),$A$2:$B$1424,2,0),"")</f>
        <v/>
      </c>
    </row>
  </sheetData>
  <pageMargins left="0.7" right="0.7" top="0.75" bottom="0.75" header="0.3" footer="0.3"/>
  <pageSetup paperSize="9" orientation="portrait" r:id="rId1"/>
  <headerFooter>
    <oddFooter>&amp;C&amp;1#&amp;"Calibri"&amp;12&amp;K0078D7OFFICIAL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30CEC-3EE5-4540-B943-676836051AEA}">
  <sheetPr codeName="Sheet2">
    <tabColor rgb="FF59468D"/>
  </sheetPr>
  <dimension ref="A1:P100"/>
  <sheetViews>
    <sheetView workbookViewId="0">
      <selection activeCell="B8" sqref="B8"/>
    </sheetView>
  </sheetViews>
  <sheetFormatPr defaultColWidth="0" defaultRowHeight="14.5" zeroHeight="1" x14ac:dyDescent="0.35"/>
  <cols>
    <col min="1" max="1" width="9.1796875" style="222" customWidth="1"/>
    <col min="2" max="2" width="124.7265625" style="222" customWidth="1"/>
    <col min="3" max="4" width="9.1796875" style="222" customWidth="1"/>
    <col min="5" max="16" width="0" style="222" hidden="1" customWidth="1"/>
    <col min="17" max="16384" width="9.1796875" style="222" hidden="1"/>
  </cols>
  <sheetData>
    <row r="1" spans="1:3" ht="23.25" customHeight="1" x14ac:dyDescent="0.35"/>
    <row r="2" spans="1:3" ht="23.25" customHeight="1" x14ac:dyDescent="0.6">
      <c r="B2" s="415"/>
      <c r="C2" s="411" t="s">
        <v>11299</v>
      </c>
    </row>
    <row r="3" spans="1:3" ht="23.25" customHeight="1" x14ac:dyDescent="0.5">
      <c r="A3" s="412"/>
    </row>
    <row r="4" spans="1:3" ht="23.25" customHeight="1" x14ac:dyDescent="0.5">
      <c r="A4" s="412"/>
    </row>
    <row r="5" spans="1:3" ht="23.25" customHeight="1" x14ac:dyDescent="0.35"/>
    <row r="6" spans="1:3" ht="23" x14ac:dyDescent="0.5">
      <c r="B6" s="413" t="s">
        <v>11284</v>
      </c>
    </row>
    <row r="7" spans="1:3" ht="23" x14ac:dyDescent="0.5">
      <c r="B7" s="413"/>
    </row>
    <row r="8" spans="1:3" ht="46.5" x14ac:dyDescent="0.35">
      <c r="B8" s="444" t="s">
        <v>14109</v>
      </c>
    </row>
    <row r="9" spans="1:3" x14ac:dyDescent="0.35">
      <c r="B9" s="414"/>
    </row>
    <row r="10" spans="1:3" x14ac:dyDescent="0.35">
      <c r="B10" s="414"/>
    </row>
    <row r="11" spans="1:3" ht="15.5" x14ac:dyDescent="0.35">
      <c r="B11" s="417" t="s">
        <v>11300</v>
      </c>
    </row>
    <row r="12" spans="1:3" ht="77.5" x14ac:dyDescent="0.35">
      <c r="B12" s="416" t="s">
        <v>11301</v>
      </c>
    </row>
    <row r="13" spans="1:3" ht="15.5" x14ac:dyDescent="0.35">
      <c r="B13" s="416"/>
    </row>
    <row r="14" spans="1:3" ht="15.5" x14ac:dyDescent="0.35">
      <c r="B14" s="417" t="s">
        <v>11302</v>
      </c>
    </row>
    <row r="15" spans="1:3" ht="62" x14ac:dyDescent="0.35">
      <c r="B15" s="416" t="s">
        <v>11303</v>
      </c>
    </row>
    <row r="16" spans="1:3" ht="15.5" x14ac:dyDescent="0.35">
      <c r="B16" s="416"/>
    </row>
    <row r="17" spans="2:2" ht="15.5" x14ac:dyDescent="0.35">
      <c r="B17" s="417" t="s">
        <v>13931</v>
      </c>
    </row>
    <row r="18" spans="2:2" ht="15.5" x14ac:dyDescent="0.35">
      <c r="B18" s="416" t="s">
        <v>13933</v>
      </c>
    </row>
    <row r="19" spans="2:2" ht="15.5" x14ac:dyDescent="0.35">
      <c r="B19" s="416"/>
    </row>
    <row r="20" spans="2:2" ht="15.5" x14ac:dyDescent="0.35">
      <c r="B20" s="417" t="s">
        <v>11304</v>
      </c>
    </row>
    <row r="21" spans="2:2" ht="31" customHeight="1" x14ac:dyDescent="0.35">
      <c r="B21" s="416" t="s">
        <v>11305</v>
      </c>
    </row>
    <row r="22" spans="2:2" ht="15.5" x14ac:dyDescent="0.35">
      <c r="B22" s="416"/>
    </row>
    <row r="23" spans="2:2" ht="15.5" x14ac:dyDescent="0.35">
      <c r="B23" s="417" t="s">
        <v>11306</v>
      </c>
    </row>
    <row r="24" spans="2:2" ht="15.5" x14ac:dyDescent="0.35">
      <c r="B24" s="416" t="s">
        <v>11307</v>
      </c>
    </row>
    <row r="25" spans="2:2" ht="15.5" x14ac:dyDescent="0.35">
      <c r="B25" s="416"/>
    </row>
    <row r="26" spans="2:2" ht="15.5" x14ac:dyDescent="0.35">
      <c r="B26" s="417" t="s">
        <v>19</v>
      </c>
    </row>
    <row r="27" spans="2:2" ht="31" x14ac:dyDescent="0.35">
      <c r="B27" s="416" t="s">
        <v>13926</v>
      </c>
    </row>
    <row r="28" spans="2:2" ht="15.5" x14ac:dyDescent="0.35">
      <c r="B28" s="416"/>
    </row>
    <row r="29" spans="2:2" ht="15.5" x14ac:dyDescent="0.35">
      <c r="B29" s="417" t="s">
        <v>11308</v>
      </c>
    </row>
    <row r="30" spans="2:2" ht="15.5" x14ac:dyDescent="0.35">
      <c r="B30" s="416" t="s">
        <v>13927</v>
      </c>
    </row>
    <row r="31" spans="2:2" ht="15.5" x14ac:dyDescent="0.35">
      <c r="B31" s="416"/>
    </row>
    <row r="32" spans="2:2" ht="15.5" x14ac:dyDescent="0.35">
      <c r="B32" s="417" t="s">
        <v>11309</v>
      </c>
    </row>
    <row r="33" spans="2:2" ht="31" x14ac:dyDescent="0.35">
      <c r="B33" s="416" t="s">
        <v>11310</v>
      </c>
    </row>
    <row r="34" spans="2:2" ht="15.5" x14ac:dyDescent="0.35">
      <c r="B34" s="416"/>
    </row>
    <row r="35" spans="2:2" ht="15.5" x14ac:dyDescent="0.35">
      <c r="B35" s="417" t="s">
        <v>11311</v>
      </c>
    </row>
    <row r="36" spans="2:2" ht="46.5" x14ac:dyDescent="0.35">
      <c r="B36" s="416" t="s">
        <v>11312</v>
      </c>
    </row>
    <row r="37" spans="2:2" ht="77.5" x14ac:dyDescent="0.35">
      <c r="B37" s="416" t="s">
        <v>11313</v>
      </c>
    </row>
    <row r="38" spans="2:2" ht="31" x14ac:dyDescent="0.35">
      <c r="B38" s="416" t="s">
        <v>11314</v>
      </c>
    </row>
    <row r="39" spans="2:2" ht="62" x14ac:dyDescent="0.35">
      <c r="B39" s="416" t="s">
        <v>11315</v>
      </c>
    </row>
    <row r="40" spans="2:2" ht="15.5" x14ac:dyDescent="0.35">
      <c r="B40" s="416"/>
    </row>
    <row r="41" spans="2:2" ht="15.5" x14ac:dyDescent="0.35">
      <c r="B41" s="417" t="s">
        <v>11316</v>
      </c>
    </row>
    <row r="42" spans="2:2" ht="62" x14ac:dyDescent="0.35">
      <c r="B42" s="416" t="s">
        <v>14093</v>
      </c>
    </row>
    <row r="43" spans="2:2" ht="15.5" x14ac:dyDescent="0.35">
      <c r="B43" s="416"/>
    </row>
    <row r="44" spans="2:2" ht="15.5" x14ac:dyDescent="0.35">
      <c r="B44" s="417" t="s">
        <v>21</v>
      </c>
    </row>
    <row r="45" spans="2:2" ht="46.5" x14ac:dyDescent="0.35">
      <c r="B45" s="416" t="s">
        <v>11317</v>
      </c>
    </row>
    <row r="46" spans="2:2" ht="62" x14ac:dyDescent="0.35">
      <c r="B46" s="416" t="s">
        <v>11318</v>
      </c>
    </row>
    <row r="47" spans="2:2" ht="31" x14ac:dyDescent="0.35">
      <c r="B47" s="416" t="s">
        <v>11319</v>
      </c>
    </row>
    <row r="48" spans="2:2" ht="15.5" x14ac:dyDescent="0.35">
      <c r="B48" s="416"/>
    </row>
    <row r="49" spans="2:2" ht="15.5" x14ac:dyDescent="0.35">
      <c r="B49" s="417" t="s">
        <v>11</v>
      </c>
    </row>
    <row r="50" spans="2:2" ht="62" x14ac:dyDescent="0.35">
      <c r="B50" s="416" t="s">
        <v>11320</v>
      </c>
    </row>
    <row r="51" spans="2:2" ht="15.5" x14ac:dyDescent="0.35">
      <c r="B51" s="416"/>
    </row>
    <row r="52" spans="2:2" ht="15.5" x14ac:dyDescent="0.35">
      <c r="B52" s="417" t="s">
        <v>11321</v>
      </c>
    </row>
    <row r="53" spans="2:2" ht="15.5" x14ac:dyDescent="0.35">
      <c r="B53" s="416" t="s">
        <v>11322</v>
      </c>
    </row>
    <row r="54" spans="2:2" ht="15.5" x14ac:dyDescent="0.35">
      <c r="B54" s="416"/>
    </row>
    <row r="55" spans="2:2" ht="15.5" x14ac:dyDescent="0.35">
      <c r="B55" s="417" t="s">
        <v>11323</v>
      </c>
    </row>
    <row r="56" spans="2:2" ht="15.5" x14ac:dyDescent="0.35">
      <c r="B56" s="416" t="s">
        <v>11324</v>
      </c>
    </row>
    <row r="57" spans="2:2" ht="15.5" x14ac:dyDescent="0.35">
      <c r="B57" s="416"/>
    </row>
    <row r="58" spans="2:2" ht="15.5" x14ac:dyDescent="0.35">
      <c r="B58" s="417" t="s">
        <v>11325</v>
      </c>
    </row>
    <row r="59" spans="2:2" ht="77.5" x14ac:dyDescent="0.35">
      <c r="B59" s="416" t="s">
        <v>11326</v>
      </c>
    </row>
    <row r="60" spans="2:2" ht="15.5" x14ac:dyDescent="0.35">
      <c r="B60" s="416"/>
    </row>
    <row r="61" spans="2:2" ht="15.5" x14ac:dyDescent="0.35">
      <c r="B61" s="417" t="s">
        <v>13939</v>
      </c>
    </row>
    <row r="62" spans="2:2" ht="15.5" x14ac:dyDescent="0.35">
      <c r="B62" s="417"/>
    </row>
    <row r="63" spans="2:2" ht="15.5" x14ac:dyDescent="0.35">
      <c r="B63" s="417" t="s">
        <v>11327</v>
      </c>
    </row>
    <row r="64" spans="2:2" ht="15.5" x14ac:dyDescent="0.35">
      <c r="B64" s="416" t="s">
        <v>11328</v>
      </c>
    </row>
    <row r="65" spans="2:2" ht="15.5" x14ac:dyDescent="0.35">
      <c r="B65" s="416"/>
    </row>
    <row r="66" spans="2:2" ht="15.5" x14ac:dyDescent="0.35">
      <c r="B66" s="417" t="s">
        <v>11329</v>
      </c>
    </row>
    <row r="67" spans="2:2" ht="46.5" x14ac:dyDescent="0.35">
      <c r="B67" s="416" t="s">
        <v>11330</v>
      </c>
    </row>
    <row r="68" spans="2:2" ht="31" x14ac:dyDescent="0.35">
      <c r="B68" s="416" t="s">
        <v>11331</v>
      </c>
    </row>
    <row r="69" spans="2:2" ht="15.5" x14ac:dyDescent="0.35">
      <c r="B69" s="416"/>
    </row>
    <row r="70" spans="2:2" ht="15.5" x14ac:dyDescent="0.35">
      <c r="B70" s="417" t="s">
        <v>11332</v>
      </c>
    </row>
    <row r="71" spans="2:2" ht="31" x14ac:dyDescent="0.35">
      <c r="B71" s="416" t="s">
        <v>13938</v>
      </c>
    </row>
    <row r="72" spans="2:2" ht="15.5" x14ac:dyDescent="0.35">
      <c r="B72" s="416"/>
    </row>
    <row r="73" spans="2:2" ht="15.5" x14ac:dyDescent="0.35">
      <c r="B73" s="417" t="s">
        <v>11333</v>
      </c>
    </row>
    <row r="74" spans="2:2" ht="77.5" x14ac:dyDescent="0.35">
      <c r="B74" s="416" t="s">
        <v>13930</v>
      </c>
    </row>
    <row r="75" spans="2:2" ht="15.5" x14ac:dyDescent="0.35">
      <c r="B75" s="416"/>
    </row>
    <row r="76" spans="2:2" ht="15.5" x14ac:dyDescent="0.35">
      <c r="B76" s="417" t="s">
        <v>11334</v>
      </c>
    </row>
    <row r="77" spans="2:2" ht="66.75" customHeight="1" x14ac:dyDescent="0.35">
      <c r="B77" s="416" t="s">
        <v>11335</v>
      </c>
    </row>
    <row r="78" spans="2:2" ht="15.5" x14ac:dyDescent="0.35">
      <c r="B78" s="416"/>
    </row>
    <row r="79" spans="2:2" ht="15.5" x14ac:dyDescent="0.35">
      <c r="B79" s="417" t="s">
        <v>11336</v>
      </c>
    </row>
    <row r="80" spans="2:2" ht="15.5" x14ac:dyDescent="0.35">
      <c r="B80" s="416" t="s">
        <v>11337</v>
      </c>
    </row>
    <row r="81" spans="2:2" ht="15.5" x14ac:dyDescent="0.35">
      <c r="B81" s="416"/>
    </row>
    <row r="82" spans="2:2" ht="15.5" x14ac:dyDescent="0.35">
      <c r="B82" s="417" t="s">
        <v>11338</v>
      </c>
    </row>
    <row r="83" spans="2:2" ht="31" x14ac:dyDescent="0.35">
      <c r="B83" s="416" t="s">
        <v>11339</v>
      </c>
    </row>
    <row r="84" spans="2:2" ht="15.5" x14ac:dyDescent="0.35">
      <c r="B84" s="416"/>
    </row>
    <row r="85" spans="2:2" ht="15.5" x14ac:dyDescent="0.35">
      <c r="B85" s="417" t="s">
        <v>11340</v>
      </c>
    </row>
    <row r="86" spans="2:2" ht="15.5" x14ac:dyDescent="0.35">
      <c r="B86" s="417"/>
    </row>
    <row r="87" spans="2:2" ht="15.5" x14ac:dyDescent="0.35">
      <c r="B87" s="417" t="s">
        <v>14104</v>
      </c>
    </row>
    <row r="88" spans="2:2" ht="31" x14ac:dyDescent="0.35">
      <c r="B88" s="416" t="s">
        <v>14105</v>
      </c>
    </row>
    <row r="89" spans="2:2" ht="15.5" x14ac:dyDescent="0.35">
      <c r="B89" s="416"/>
    </row>
    <row r="90" spans="2:2" ht="15.5" x14ac:dyDescent="0.35">
      <c r="B90" s="417" t="s">
        <v>11341</v>
      </c>
    </row>
    <row r="91" spans="2:2" ht="46.5" x14ac:dyDescent="0.35">
      <c r="B91" s="416" t="s">
        <v>11342</v>
      </c>
    </row>
    <row r="92" spans="2:2" ht="15.5" x14ac:dyDescent="0.35">
      <c r="B92" s="416"/>
    </row>
    <row r="93" spans="2:2" ht="15.5" x14ac:dyDescent="0.35">
      <c r="B93" s="417" t="s">
        <v>18</v>
      </c>
    </row>
    <row r="94" spans="2:2" ht="31" x14ac:dyDescent="0.35">
      <c r="B94" s="416" t="s">
        <v>13928</v>
      </c>
    </row>
    <row r="95" spans="2:2" ht="15.5" x14ac:dyDescent="0.35">
      <c r="B95" s="416"/>
    </row>
    <row r="96" spans="2:2" ht="15.5" x14ac:dyDescent="0.35">
      <c r="B96" s="417" t="s">
        <v>11343</v>
      </c>
    </row>
    <row r="97" spans="2:2" ht="31" x14ac:dyDescent="0.35">
      <c r="B97" s="416" t="s">
        <v>13929</v>
      </c>
    </row>
    <row r="98" spans="2:2" x14ac:dyDescent="0.35"/>
    <row r="99" spans="2:2" ht="18" hidden="1" x14ac:dyDescent="0.35">
      <c r="B99" s="418"/>
    </row>
    <row r="100" spans="2:2" ht="15.5" hidden="1" x14ac:dyDescent="0.35">
      <c r="B100" s="419"/>
    </row>
  </sheetData>
  <sheetProtection algorithmName="SHA-512" hashValue="0Nav/dADGyHaPK0hc64XjYaMxnL4SdlZJoYzYmVT5ZddY6D7eUar84k/9R4RNs0CsGV89gzPefVm1oVOrwi83w==" saltValue="crH2zcOzU50dFjxC1lefDA==" spinCount="100000" sheet="1" formatColumns="0" formatRows="0"/>
  <hyperlinks>
    <hyperlink ref="B15" r:id="rId1" display="https://www.gov.uk/government/publications/a-decent-home-definition-and-guidance" xr:uid="{A2F55F52-E820-4827-B864-F670BE550107}"/>
    <hyperlink ref="B42" r:id="rId2" display="https://www.london.gov.uk/what-we-do/housing-and-land/homes-londoners-affordable-homes-programmes/homes-londoners-affordable-homes-programme-2016-2023" xr:uid="{30977946-B96F-4109-9BB1-7FC6F59F87D2}"/>
  </hyperlinks>
  <pageMargins left="0.7" right="0.7" top="0.75" bottom="0.75" header="0.3" footer="0.3"/>
  <pageSetup paperSize="9" orientation="portrait" r:id="rId3"/>
  <headerFooter>
    <oddFooter>&amp;C&amp;1#&amp;"Calibri"&amp;12&amp;K0078D7OFFICIAL</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43FD3-CB46-4B42-B65A-90B8E59077A7}">
  <sheetPr codeName="Sheet3">
    <tabColor rgb="FF59468D"/>
  </sheetPr>
  <dimension ref="A1:V22"/>
  <sheetViews>
    <sheetView workbookViewId="0">
      <selection activeCell="C8" sqref="C8"/>
    </sheetView>
  </sheetViews>
  <sheetFormatPr defaultColWidth="0" defaultRowHeight="14.5" x14ac:dyDescent="0.35"/>
  <cols>
    <col min="1" max="1" width="1.54296875" style="222" customWidth="1"/>
    <col min="2" max="2" width="11" style="433" customWidth="1"/>
    <col min="3" max="3" width="24.54296875" style="434" customWidth="1"/>
    <col min="4" max="4" width="101.54296875" style="434" customWidth="1"/>
    <col min="5" max="5" width="4.54296875" style="434" customWidth="1"/>
    <col min="6" max="22" width="0" style="434" hidden="1" customWidth="1"/>
    <col min="23" max="16384" width="9.1796875" style="434" hidden="1"/>
  </cols>
  <sheetData>
    <row r="1" spans="2:21" s="420" customFormat="1" ht="23" x14ac:dyDescent="0.5">
      <c r="B1" s="570"/>
      <c r="C1" s="570"/>
      <c r="D1" s="570"/>
      <c r="E1" s="421"/>
      <c r="F1" s="421"/>
      <c r="G1" s="421"/>
      <c r="H1" s="421"/>
      <c r="I1" s="421"/>
      <c r="J1" s="421"/>
      <c r="K1" s="421"/>
      <c r="L1" s="421"/>
      <c r="M1" s="421"/>
      <c r="N1" s="421"/>
      <c r="O1" s="421"/>
      <c r="P1" s="421"/>
      <c r="Q1" s="421"/>
      <c r="R1" s="421"/>
      <c r="S1" s="421"/>
      <c r="T1" s="421"/>
    </row>
    <row r="2" spans="2:21" s="420" customFormat="1" ht="30" x14ac:dyDescent="0.6">
      <c r="B2" s="422"/>
      <c r="C2" s="422"/>
      <c r="D2" s="411" t="s">
        <v>11299</v>
      </c>
      <c r="E2" s="222"/>
      <c r="F2" s="222"/>
      <c r="G2" s="222"/>
      <c r="H2" s="222"/>
      <c r="I2" s="222"/>
      <c r="J2" s="222"/>
      <c r="K2" s="222"/>
      <c r="L2" s="222"/>
      <c r="M2" s="222"/>
      <c r="N2" s="222"/>
      <c r="O2" s="222"/>
      <c r="P2" s="222"/>
      <c r="Q2" s="222"/>
      <c r="R2" s="222"/>
      <c r="S2" s="222"/>
      <c r="T2" s="222"/>
    </row>
    <row r="3" spans="2:21" s="420" customFormat="1" ht="30" x14ac:dyDescent="0.6">
      <c r="B3" s="422"/>
      <c r="C3" s="422"/>
      <c r="D3" s="411"/>
      <c r="E3" s="222"/>
      <c r="F3" s="222"/>
      <c r="G3" s="222"/>
      <c r="H3" s="222"/>
      <c r="I3" s="222"/>
      <c r="J3" s="222"/>
      <c r="K3" s="222"/>
      <c r="L3" s="222"/>
      <c r="M3" s="222"/>
      <c r="N3" s="222"/>
      <c r="O3" s="222"/>
      <c r="P3" s="222"/>
      <c r="Q3" s="222"/>
      <c r="R3" s="222"/>
      <c r="S3" s="222"/>
      <c r="T3" s="222"/>
    </row>
    <row r="4" spans="2:21" s="420" customFormat="1" ht="23" x14ac:dyDescent="0.5">
      <c r="B4" s="422"/>
      <c r="C4" s="422"/>
      <c r="D4" s="422"/>
      <c r="E4" s="222"/>
      <c r="F4" s="222"/>
      <c r="G4" s="222"/>
      <c r="H4" s="222"/>
      <c r="I4" s="222"/>
      <c r="J4" s="222"/>
      <c r="K4" s="222"/>
      <c r="L4" s="222"/>
      <c r="M4" s="222"/>
      <c r="N4" s="222"/>
      <c r="O4" s="222"/>
      <c r="P4" s="222"/>
      <c r="Q4" s="222"/>
      <c r="R4" s="222"/>
      <c r="S4" s="222"/>
      <c r="T4" s="222"/>
    </row>
    <row r="5" spans="2:21" s="420" customFormat="1" ht="23" x14ac:dyDescent="0.5">
      <c r="B5" s="422"/>
      <c r="C5" s="422"/>
      <c r="D5" s="422"/>
      <c r="E5" s="222"/>
      <c r="F5" s="222"/>
      <c r="G5" s="222"/>
      <c r="H5" s="222"/>
      <c r="I5" s="222"/>
      <c r="J5" s="222"/>
      <c r="K5" s="222"/>
      <c r="L5" s="222"/>
      <c r="M5" s="222"/>
      <c r="N5" s="222"/>
      <c r="O5" s="222"/>
      <c r="P5" s="222"/>
      <c r="Q5" s="222"/>
      <c r="R5" s="222"/>
      <c r="S5" s="222"/>
      <c r="T5" s="222"/>
    </row>
    <row r="6" spans="2:21" s="423" customFormat="1" ht="15.5" x14ac:dyDescent="0.35">
      <c r="B6" s="424"/>
      <c r="C6" s="425"/>
      <c r="D6" s="425"/>
      <c r="E6" s="426"/>
      <c r="F6" s="426"/>
      <c r="G6" s="426"/>
      <c r="H6" s="426"/>
      <c r="I6" s="427"/>
      <c r="J6" s="427"/>
      <c r="K6" s="428"/>
      <c r="L6" s="426"/>
      <c r="M6" s="426"/>
      <c r="N6" s="427"/>
      <c r="O6" s="428"/>
      <c r="P6" s="426"/>
      <c r="Q6" s="427"/>
      <c r="R6" s="428"/>
      <c r="S6" s="426"/>
      <c r="T6" s="429"/>
      <c r="U6" s="430"/>
    </row>
    <row r="7" spans="2:21" ht="15.5" x14ac:dyDescent="0.35">
      <c r="B7" s="431" t="s">
        <v>11344</v>
      </c>
      <c r="C7" s="431" t="s">
        <v>11345</v>
      </c>
      <c r="D7" s="432" t="s">
        <v>11346</v>
      </c>
      <c r="E7" s="433"/>
    </row>
    <row r="8" spans="2:21" ht="31" customHeight="1" x14ac:dyDescent="0.35">
      <c r="B8" s="495">
        <v>1</v>
      </c>
      <c r="C8" s="496" t="s">
        <v>14106</v>
      </c>
      <c r="D8" s="497" t="s">
        <v>11347</v>
      </c>
      <c r="E8" s="433"/>
    </row>
    <row r="9" spans="2:21" ht="31" customHeight="1" x14ac:dyDescent="0.35">
      <c r="B9" s="493"/>
      <c r="C9" s="494"/>
      <c r="D9" s="494"/>
      <c r="E9" s="433"/>
    </row>
    <row r="10" spans="2:21" ht="31" customHeight="1" x14ac:dyDescent="0.35">
      <c r="B10" s="436"/>
      <c r="C10" s="435"/>
      <c r="D10" s="435"/>
      <c r="E10" s="433"/>
    </row>
    <row r="11" spans="2:21" ht="15.5" x14ac:dyDescent="0.35">
      <c r="B11" s="436"/>
      <c r="C11" s="435"/>
      <c r="D11" s="435"/>
      <c r="E11" s="433"/>
    </row>
    <row r="12" spans="2:21" ht="15.5" x14ac:dyDescent="0.35">
      <c r="B12" s="436"/>
      <c r="C12" s="435"/>
      <c r="D12" s="435"/>
    </row>
    <row r="13" spans="2:21" ht="15.5" x14ac:dyDescent="0.35">
      <c r="B13" s="437" t="s">
        <v>11348</v>
      </c>
      <c r="C13" s="435"/>
      <c r="D13" s="435"/>
    </row>
    <row r="14" spans="2:21" ht="15.5" x14ac:dyDescent="0.35">
      <c r="B14" s="438" t="s">
        <v>11349</v>
      </c>
      <c r="C14" s="439"/>
      <c r="D14" s="439"/>
    </row>
    <row r="15" spans="2:21" ht="15.5" x14ac:dyDescent="0.35">
      <c r="B15" s="410" t="s">
        <v>11298</v>
      </c>
      <c r="C15" s="439"/>
      <c r="D15" s="439"/>
    </row>
    <row r="16" spans="2:21" ht="15.5" x14ac:dyDescent="0.35">
      <c r="B16" s="438"/>
      <c r="C16" s="439"/>
      <c r="D16" s="439"/>
    </row>
    <row r="17" spans="1:4" s="440" customFormat="1" ht="15.5" x14ac:dyDescent="0.35">
      <c r="A17" s="222"/>
      <c r="B17" s="441" t="s">
        <v>14107</v>
      </c>
      <c r="C17" s="439"/>
      <c r="D17" s="439"/>
    </row>
    <row r="18" spans="1:4" s="440" customFormat="1" ht="15.5" x14ac:dyDescent="0.35">
      <c r="A18" s="222"/>
      <c r="B18" s="393" t="s">
        <v>14112</v>
      </c>
      <c r="C18" s="435"/>
      <c r="D18" s="435"/>
    </row>
    <row r="19" spans="1:4" s="440" customFormat="1" ht="15.5" x14ac:dyDescent="0.35">
      <c r="A19" s="222"/>
      <c r="B19" s="407"/>
      <c r="C19" s="435"/>
      <c r="D19" s="435"/>
    </row>
    <row r="20" spans="1:4" s="440" customFormat="1" ht="15.5" x14ac:dyDescent="0.35">
      <c r="A20" s="222"/>
      <c r="B20" s="436"/>
      <c r="C20" s="435"/>
      <c r="D20" s="435"/>
    </row>
    <row r="21" spans="1:4" ht="15.5" x14ac:dyDescent="0.35">
      <c r="B21" s="436"/>
      <c r="C21" s="435"/>
      <c r="D21" s="435"/>
    </row>
    <row r="22" spans="1:4" ht="15.5" x14ac:dyDescent="0.35">
      <c r="B22" s="436"/>
      <c r="C22" s="435"/>
      <c r="D22" s="435"/>
    </row>
  </sheetData>
  <sheetProtection algorithmName="SHA-512" hashValue="RRXHZuDdLEtV+xbcOU5AFT99O7uHjjJ7YWOAmkC9QjLlgS3I82cgSdxU4PLxuuv4E3xmBSfLs5bjbEnJKyIVjQ==" saltValue="cDYsBmz2ez18iD6Lq8yrdw==" spinCount="100000" sheet="1" objects="1" scenarios="1"/>
  <mergeCells count="1">
    <mergeCell ref="B1:D1"/>
  </mergeCells>
  <phoneticPr fontId="69" type="noConversion"/>
  <hyperlinks>
    <hyperlink ref="B15" r:id="rId1" xr:uid="{9391DE38-0375-4890-8875-A3FCC0566C73}"/>
  </hyperlinks>
  <pageMargins left="0.7" right="0.7" top="0.75" bottom="0.75" header="0.3" footer="0.3"/>
  <pageSetup paperSize="9" orientation="portrait" r:id="rId2"/>
  <headerFooter>
    <oddFooter>&amp;C&amp;1#&amp;"Calibri"&amp;12&amp;K0078D7OFFICIAL</odd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69802-623F-47FE-9174-4541128B20C7}">
  <sheetPr codeName="Sheet4">
    <tabColor theme="4" tint="0.39997558519241921"/>
  </sheetPr>
  <dimension ref="A1:AF249"/>
  <sheetViews>
    <sheetView showGridLines="0" zoomScaleNormal="100" workbookViewId="0">
      <pane ySplit="6" topLeftCell="A7" activePane="bottomLeft" state="frozen"/>
      <selection pane="bottomLeft" activeCell="E3" sqref="E3:G3"/>
    </sheetView>
  </sheetViews>
  <sheetFormatPr defaultColWidth="0" defaultRowHeight="12.65" customHeight="1" zeroHeight="1" x14ac:dyDescent="0.25"/>
  <cols>
    <col min="1" max="1" width="5.54296875" style="183" customWidth="1"/>
    <col min="2" max="2" width="28.54296875" style="18" customWidth="1"/>
    <col min="3" max="7" width="12.453125" style="18" customWidth="1"/>
    <col min="8" max="8" width="2.453125" style="18" customWidth="1"/>
    <col min="9" max="10" width="15.1796875" style="18" customWidth="1"/>
    <col min="11" max="15" width="12.1796875" style="18" customWidth="1"/>
    <col min="16" max="16" width="8.1796875" style="490" customWidth="1"/>
    <col min="17" max="32" width="0" style="18" hidden="1" customWidth="1"/>
    <col min="33" max="16384" width="9.1796875" style="18" hidden="1"/>
  </cols>
  <sheetData>
    <row r="1" spans="1:21" s="2" customFormat="1" ht="33" customHeight="1" x14ac:dyDescent="0.35">
      <c r="A1" s="1"/>
      <c r="B1" s="571" t="s">
        <v>14108</v>
      </c>
      <c r="C1" s="571"/>
      <c r="D1" s="571"/>
      <c r="E1" s="571"/>
      <c r="F1" s="571"/>
      <c r="G1" s="571"/>
      <c r="H1" s="571"/>
      <c r="I1" s="571"/>
      <c r="J1" s="571"/>
      <c r="K1" s="571"/>
      <c r="L1" s="571"/>
      <c r="M1" s="571"/>
      <c r="N1" s="571"/>
      <c r="O1" s="571"/>
      <c r="P1" s="482"/>
    </row>
    <row r="2" spans="1:21" s="2" customFormat="1" ht="12.75" customHeight="1" thickBot="1" x14ac:dyDescent="0.4">
      <c r="A2" s="1"/>
      <c r="B2" s="3"/>
      <c r="C2" s="4"/>
      <c r="E2" s="5"/>
      <c r="G2" s="6"/>
      <c r="H2" s="6"/>
      <c r="I2" s="8" t="e">
        <f>VLOOKUP($E$3,totals!$R$2:$S$11,2,FALSE)</f>
        <v>#N/A</v>
      </c>
      <c r="J2" s="8"/>
      <c r="P2" s="482"/>
    </row>
    <row r="3" spans="1:21" s="319" customFormat="1" ht="15.75" customHeight="1" thickBot="1" x14ac:dyDescent="0.4">
      <c r="A3" s="1"/>
      <c r="B3" s="318"/>
      <c r="D3" s="7" t="s">
        <v>0</v>
      </c>
      <c r="E3" s="572"/>
      <c r="F3" s="573"/>
      <c r="G3" s="574"/>
      <c r="H3" s="320"/>
      <c r="J3" s="466" t="s">
        <v>11359</v>
      </c>
      <c r="K3" s="319" t="e">
        <f>VLOOKUP($E$3,'LA-Lookup'!$A$3:$C$321,3,0)</f>
        <v>#N/A</v>
      </c>
      <c r="P3" s="483"/>
    </row>
    <row r="4" spans="1:21" s="319" customFormat="1" ht="13" x14ac:dyDescent="0.35">
      <c r="A4" s="1"/>
      <c r="B4" s="320"/>
      <c r="D4" s="454" t="s">
        <v>11358</v>
      </c>
      <c r="E4" s="453" t="str">
        <f>IF(E3="","Please select an area in the box above",IFERROR($E$36,""))</f>
        <v>Please select an area in the box above</v>
      </c>
      <c r="J4" s="454" t="s">
        <v>11360</v>
      </c>
      <c r="K4" s="453" t="e">
        <f>$F$36</f>
        <v>#N/A</v>
      </c>
      <c r="P4" s="483"/>
    </row>
    <row r="5" spans="1:21" s="319" customFormat="1" ht="13" x14ac:dyDescent="0.35">
      <c r="A5" s="1"/>
      <c r="C5" s="8" t="str">
        <f>IFERROR(D5,"BLANKIT")</f>
        <v>BLANKIT</v>
      </c>
      <c r="D5" s="9" t="e">
        <f>VLOOKUP(E3,'LA-Lookup'!A3:A321,1,FALSE)</f>
        <v>#N/A</v>
      </c>
      <c r="E5" s="595" t="s">
        <v>11446</v>
      </c>
      <c r="F5" s="595"/>
      <c r="G5" s="595"/>
      <c r="J5" s="465" t="s">
        <v>3</v>
      </c>
      <c r="P5" s="483"/>
      <c r="R5" s="10" t="s">
        <v>4</v>
      </c>
    </row>
    <row r="6" spans="1:21" s="17" customFormat="1" ht="14.5" x14ac:dyDescent="0.35">
      <c r="A6" s="11"/>
      <c r="B6" s="12" t="str">
        <f>+"Total social units by provision type in "&amp;$E$3</f>
        <v xml:space="preserve">Total social units by provision type in </v>
      </c>
      <c r="C6" s="13"/>
      <c r="D6" s="14"/>
      <c r="E6" s="14"/>
      <c r="F6" s="14"/>
      <c r="G6" s="14"/>
      <c r="H6" s="15"/>
      <c r="I6" s="16"/>
      <c r="J6" s="16"/>
      <c r="K6" s="16"/>
      <c r="L6" s="16"/>
      <c r="M6" s="16"/>
      <c r="N6" s="16"/>
      <c r="P6" s="484"/>
    </row>
    <row r="7" spans="1:21" s="17" customFormat="1" ht="13.5" customHeight="1" x14ac:dyDescent="0.35">
      <c r="A7" s="575">
        <v>1</v>
      </c>
      <c r="B7" s="576" t="str">
        <f>IF(E3="","Total social units by provision type","Total social units by provision type in "&amp;$E$3)</f>
        <v>Total social units by provision type</v>
      </c>
      <c r="C7" s="577"/>
      <c r="D7" s="577"/>
      <c r="E7" s="577"/>
      <c r="F7" s="577"/>
      <c r="G7" s="578"/>
      <c r="H7" s="18"/>
      <c r="L7" s="16"/>
      <c r="M7" s="16"/>
      <c r="N7" s="16"/>
      <c r="P7" s="484"/>
      <c r="Q7" s="19" t="str">
        <f>IF(E3="","Total low cost rental units by provision type","Total low cost rental units by provision type in "&amp;E3)</f>
        <v>Total low cost rental units by provision type</v>
      </c>
      <c r="R7" s="17" t="s">
        <v>5</v>
      </c>
      <c r="S7" s="17">
        <f>E3</f>
        <v>0</v>
      </c>
      <c r="T7" s="17" t="e">
        <f>K3</f>
        <v>#N/A</v>
      </c>
      <c r="U7" s="17" t="s">
        <v>6</v>
      </c>
    </row>
    <row r="8" spans="1:21" s="17" customFormat="1" ht="12.75" customHeight="1" x14ac:dyDescent="0.35">
      <c r="A8" s="575"/>
      <c r="B8" s="579"/>
      <c r="C8" s="580"/>
      <c r="D8" s="580"/>
      <c r="E8" s="580"/>
      <c r="F8" s="580"/>
      <c r="G8" s="581"/>
      <c r="H8" s="18"/>
      <c r="L8" s="16"/>
      <c r="M8" s="16"/>
      <c r="N8" s="16"/>
      <c r="P8" s="484"/>
    </row>
    <row r="9" spans="1:21" s="17" customFormat="1" ht="14.5" x14ac:dyDescent="0.35">
      <c r="A9" s="20"/>
      <c r="B9" s="582"/>
      <c r="C9" s="580"/>
      <c r="D9" s="580"/>
      <c r="E9" s="580"/>
      <c r="F9" s="580"/>
      <c r="G9" s="581"/>
      <c r="H9" s="18"/>
      <c r="L9" s="16"/>
      <c r="M9" s="16"/>
      <c r="N9" s="16"/>
      <c r="P9" s="484"/>
      <c r="R9" s="17" t="s">
        <v>7</v>
      </c>
      <c r="S9" s="21" t="str">
        <f>IFERROR(IF(B80="","Average weekly net rent (£ per week) for England - large PRPs","Average weekly net rent (£ per week) for "&amp;$V$72&amp;" - large PRPs"),"")</f>
        <v>Average weekly net rent (£ per week) for England - large PRPs</v>
      </c>
    </row>
    <row r="10" spans="1:21" s="17" customFormat="1" ht="14.5" x14ac:dyDescent="0.35">
      <c r="A10" s="11"/>
      <c r="B10" s="22"/>
      <c r="C10" s="23"/>
      <c r="D10" s="23"/>
      <c r="E10" s="23"/>
      <c r="F10" s="24" t="s">
        <v>8</v>
      </c>
      <c r="G10" s="25" t="s">
        <v>9</v>
      </c>
      <c r="H10" s="18"/>
      <c r="L10" s="16"/>
      <c r="M10" s="16"/>
      <c r="N10" s="16"/>
      <c r="P10" s="484"/>
      <c r="R10" s="17" t="s">
        <v>10</v>
      </c>
      <c r="S10" s="21" t="str">
        <f>IFERROR(IF(B103="","Average weekly net rent (£ per week) for England - large PRPs","Average weekly net rent (£ per week) for "&amp;$V$72&amp;" - large PRPs"),"")</f>
        <v>Average weekly net rent (£ per week) for England - large PRPs</v>
      </c>
    </row>
    <row r="11" spans="1:21" s="230" customFormat="1" ht="14.5" customHeight="1" x14ac:dyDescent="0.3">
      <c r="A11" s="11"/>
      <c r="B11" s="321" t="s">
        <v>14095</v>
      </c>
      <c r="C11" s="322" t="s">
        <v>12</v>
      </c>
      <c r="D11" s="323"/>
      <c r="E11" s="324" t="s">
        <v>13</v>
      </c>
      <c r="F11" s="507" t="e">
        <f>SUM($F$12:$F$13)</f>
        <v>#N/A</v>
      </c>
      <c r="G11" s="508" t="e">
        <f>SUM($G$12:$G$13)</f>
        <v>#N/A</v>
      </c>
      <c r="H11" s="18"/>
      <c r="L11" s="16"/>
      <c r="M11" s="16"/>
      <c r="N11" s="16"/>
      <c r="P11" s="485"/>
      <c r="R11" s="230" t="s">
        <v>14</v>
      </c>
      <c r="S11" s="21" t="str">
        <f>IFERROR(IF(B146="","Average weekly gross rent (£ per week) for England","Average weekly gross rent (£ per week) for "&amp;$V$72),"")</f>
        <v>Average weekly gross rent (£ per week) for England</v>
      </c>
    </row>
    <row r="12" spans="1:21" s="230" customFormat="1" ht="14.5" customHeight="1" x14ac:dyDescent="0.3">
      <c r="A12" s="11"/>
      <c r="B12" s="326"/>
      <c r="C12" s="28" t="s">
        <v>15</v>
      </c>
      <c r="D12" s="29"/>
      <c r="E12" s="29"/>
      <c r="F12" s="509" t="e">
        <f>VLOOKUP($E$3,LA_Data,4,0)</f>
        <v>#N/A</v>
      </c>
      <c r="G12" s="510" t="e">
        <f>VLOOKUP($E$3,LA_Data,5,0)</f>
        <v>#N/A</v>
      </c>
      <c r="H12" s="18"/>
      <c r="L12" s="16"/>
      <c r="M12" s="16"/>
      <c r="N12" s="16"/>
      <c r="P12" s="485"/>
      <c r="R12" s="230" t="s">
        <v>16</v>
      </c>
      <c r="S12" s="21" t="str">
        <f>IFERROR(IF(B146="","Average weekly gross rent (£ per week) for England","Average weekly gross rent (£ per week) for "&amp;$V$72),"")</f>
        <v>Average weekly gross rent (£ per week) for England</v>
      </c>
    </row>
    <row r="13" spans="1:21" s="230" customFormat="1" ht="14.5" customHeight="1" thickBot="1" x14ac:dyDescent="0.35">
      <c r="A13" s="11"/>
      <c r="B13" s="326"/>
      <c r="C13" s="30" t="s">
        <v>17</v>
      </c>
      <c r="D13" s="31"/>
      <c r="E13" s="31"/>
      <c r="F13" s="509" t="e">
        <f>VLOOKUP($E$3,LA_Data,6,0)</f>
        <v>#N/A</v>
      </c>
      <c r="G13" s="511" t="e">
        <f>VLOOKUP($E$3,LA_Data,7,0)</f>
        <v>#N/A</v>
      </c>
      <c r="H13" s="18"/>
      <c r="L13" s="16"/>
      <c r="M13" s="16"/>
      <c r="N13" s="16"/>
      <c r="P13" s="485"/>
    </row>
    <row r="14" spans="1:21" s="230" customFormat="1" ht="14.5" customHeight="1" x14ac:dyDescent="0.3">
      <c r="A14" s="11"/>
      <c r="B14" s="326"/>
      <c r="C14" s="296" t="s">
        <v>18</v>
      </c>
      <c r="E14" s="327" t="s">
        <v>13</v>
      </c>
      <c r="F14" s="512" t="e">
        <f>VLOOKUP($E$3,LA_Data,8,0)</f>
        <v>#N/A</v>
      </c>
      <c r="G14" s="513" t="e">
        <f>VLOOKUP($E$3,LA_Data,9,0)</f>
        <v>#N/A</v>
      </c>
      <c r="H14" s="18"/>
      <c r="L14" s="16"/>
      <c r="M14" s="16"/>
      <c r="N14" s="16"/>
      <c r="P14" s="485"/>
      <c r="R14" s="329" t="s">
        <v>12</v>
      </c>
      <c r="S14" s="330" t="e">
        <f>IF($F11=0,"",$F11)</f>
        <v>#N/A</v>
      </c>
    </row>
    <row r="15" spans="1:21" s="230" customFormat="1" ht="14.5" customHeight="1" x14ac:dyDescent="0.3">
      <c r="A15" s="11"/>
      <c r="B15" s="326"/>
      <c r="C15" s="296" t="s">
        <v>19</v>
      </c>
      <c r="E15" s="327" t="s">
        <v>13</v>
      </c>
      <c r="F15" s="514" t="e">
        <f>VLOOKUP($E$3,LA_Data,10,0)</f>
        <v>#N/A</v>
      </c>
      <c r="G15" s="513" t="e">
        <f>VLOOKUP($E$3,LA_Data,11,0)</f>
        <v>#N/A</v>
      </c>
      <c r="H15" s="18"/>
      <c r="L15" s="16"/>
      <c r="M15" s="16"/>
      <c r="N15" s="16"/>
      <c r="P15" s="485"/>
      <c r="R15" s="331" t="s">
        <v>18</v>
      </c>
      <c r="S15" s="332" t="e">
        <f>IF($F14=0,"",$F14)</f>
        <v>#N/A</v>
      </c>
    </row>
    <row r="16" spans="1:21" s="230" customFormat="1" ht="14.5" customHeight="1" x14ac:dyDescent="0.3">
      <c r="A16" s="11"/>
      <c r="B16" s="333" t="s">
        <v>20</v>
      </c>
      <c r="C16" s="34"/>
      <c r="D16" s="334"/>
      <c r="E16" s="335" t="s">
        <v>13</v>
      </c>
      <c r="F16" s="507" t="e">
        <f>VLOOKUP($E$3,LA_Data,12,0)</f>
        <v>#N/A</v>
      </c>
      <c r="G16" s="515" t="e">
        <f>VLOOKUP($E$3,LA_Data,13,0)</f>
        <v>#N/A</v>
      </c>
      <c r="H16" s="18"/>
      <c r="L16" s="16"/>
      <c r="M16" s="16"/>
      <c r="N16" s="16"/>
      <c r="P16" s="485"/>
      <c r="R16" s="331" t="s">
        <v>19</v>
      </c>
      <c r="S16" s="332" t="e">
        <f>IF($F15=0,"",$F15)</f>
        <v>#N/A</v>
      </c>
    </row>
    <row r="17" spans="1:32" s="230" customFormat="1" ht="14.5" customHeight="1" thickBot="1" x14ac:dyDescent="0.35">
      <c r="A17" s="11"/>
      <c r="B17" s="35" t="str">
        <f>"Total "&amp;$E$3</f>
        <v xml:space="preserve">Total </v>
      </c>
      <c r="C17" s="323"/>
      <c r="D17" s="323"/>
      <c r="E17" s="323"/>
      <c r="F17" s="516" t="e">
        <f>VLOOKUP($E$3,LA_Data,14,0)</f>
        <v>#N/A</v>
      </c>
      <c r="G17" s="517" t="e">
        <f>VLOOKUP($E$3,LA_Data,15,0)</f>
        <v>#N/A</v>
      </c>
      <c r="H17" s="18"/>
      <c r="L17" s="16"/>
      <c r="M17" s="16"/>
      <c r="N17" s="16"/>
      <c r="P17" s="485"/>
      <c r="R17" s="336" t="s">
        <v>21</v>
      </c>
      <c r="S17" s="337" t="e">
        <f>IF($F16=0,"",$F16)</f>
        <v>#N/A</v>
      </c>
    </row>
    <row r="18" spans="1:32" s="230" customFormat="1" ht="14.5" customHeight="1" x14ac:dyDescent="0.3">
      <c r="A18" s="11"/>
      <c r="B18" s="36" t="e">
        <f>K3</f>
        <v>#N/A</v>
      </c>
      <c r="C18" s="37"/>
      <c r="D18" s="323"/>
      <c r="E18" s="323"/>
      <c r="F18" s="518" t="e">
        <f>VLOOKUP($B$18,LA_Data,14,0)</f>
        <v>#N/A</v>
      </c>
      <c r="G18" s="519" t="e">
        <f>VLOOKUP($B$18,LA_Data,15,0)</f>
        <v>#N/A</v>
      </c>
      <c r="H18" s="18"/>
      <c r="L18" s="16"/>
      <c r="M18" s="16"/>
      <c r="N18" s="16"/>
      <c r="P18" s="485"/>
    </row>
    <row r="19" spans="1:32" s="230" customFormat="1" ht="14.5" customHeight="1" x14ac:dyDescent="0.3">
      <c r="A19" s="11"/>
      <c r="B19" s="35" t="s">
        <v>6</v>
      </c>
      <c r="C19" s="323"/>
      <c r="D19" s="323"/>
      <c r="E19" s="334"/>
      <c r="F19" s="516">
        <f>VLOOKUP($B$19,LA_Data,14,0)</f>
        <v>2842600</v>
      </c>
      <c r="G19" s="517">
        <f>VLOOKUP($B$19,LA_Data,15,0)</f>
        <v>2521432</v>
      </c>
      <c r="H19" s="18"/>
      <c r="L19" s="16"/>
      <c r="M19" s="16"/>
      <c r="N19" s="16"/>
      <c r="P19" s="485"/>
    </row>
    <row r="20" spans="1:32" s="17" customFormat="1" ht="14.5" x14ac:dyDescent="0.35">
      <c r="A20" s="11"/>
      <c r="H20" s="18"/>
      <c r="L20" s="16"/>
      <c r="M20" s="16"/>
      <c r="N20" s="16"/>
      <c r="P20" s="484"/>
    </row>
    <row r="21" spans="1:32" s="17" customFormat="1" ht="14.5" x14ac:dyDescent="0.35">
      <c r="A21" s="575">
        <v>2</v>
      </c>
      <c r="B21" s="584" t="s">
        <v>22</v>
      </c>
      <c r="C21" s="585"/>
      <c r="D21" s="588" t="str">
        <f>IF($E$3="","",$E$3)</f>
        <v/>
      </c>
      <c r="E21" s="589"/>
      <c r="F21" s="588" t="str">
        <f>IFERROR($K$3,"")</f>
        <v/>
      </c>
      <c r="G21" s="592" t="s">
        <v>6</v>
      </c>
      <c r="H21" s="18"/>
      <c r="L21" s="16"/>
      <c r="M21" s="16"/>
      <c r="N21" s="16"/>
      <c r="P21" s="484"/>
    </row>
    <row r="22" spans="1:32" s="17" customFormat="1" ht="14.5" x14ac:dyDescent="0.35">
      <c r="A22" s="583"/>
      <c r="B22" s="582"/>
      <c r="C22" s="580"/>
      <c r="D22" s="590"/>
      <c r="E22" s="590"/>
      <c r="F22" s="590"/>
      <c r="G22" s="593"/>
      <c r="H22" s="18"/>
      <c r="L22" s="16"/>
      <c r="M22" s="16"/>
      <c r="N22" s="16"/>
      <c r="P22" s="484"/>
    </row>
    <row r="23" spans="1:32" s="17" customFormat="1" ht="14.5" x14ac:dyDescent="0.35">
      <c r="A23" s="11"/>
      <c r="B23" s="586"/>
      <c r="C23" s="587"/>
      <c r="D23" s="591"/>
      <c r="E23" s="591"/>
      <c r="F23" s="591"/>
      <c r="G23" s="594"/>
      <c r="H23" s="18"/>
      <c r="L23" s="16"/>
      <c r="M23" s="16"/>
      <c r="N23" s="16"/>
      <c r="P23" s="484"/>
    </row>
    <row r="24" spans="1:32" s="230" customFormat="1" ht="14.5" customHeight="1" x14ac:dyDescent="0.3">
      <c r="A24" s="11"/>
      <c r="B24" s="38" t="s">
        <v>14096</v>
      </c>
      <c r="E24" s="520" t="e">
        <f>VLOOKUP($E$3,LA_Data,16,0)</f>
        <v>#N/A</v>
      </c>
      <c r="F24" s="521" t="e">
        <f>VLOOKUP($B$18,LA_Data,16,0)</f>
        <v>#N/A</v>
      </c>
      <c r="G24" s="522">
        <f>VLOOKUP($B$19,LA_Data,16,0)</f>
        <v>2619054</v>
      </c>
      <c r="H24" s="18"/>
      <c r="L24" s="16"/>
      <c r="M24" s="16"/>
      <c r="N24" s="16"/>
      <c r="P24" s="485"/>
    </row>
    <row r="25" spans="1:32" s="230" customFormat="1" ht="14.5" customHeight="1" x14ac:dyDescent="0.3">
      <c r="A25" s="11"/>
      <c r="B25" s="38" t="s">
        <v>23</v>
      </c>
      <c r="E25" s="520" t="e">
        <f>VLOOKUP($E$3,LA_Data,17,0)</f>
        <v>#N/A</v>
      </c>
      <c r="F25" s="521" t="e">
        <f>VLOOKUP($B$18,LA_Data,17,0)</f>
        <v>#N/A</v>
      </c>
      <c r="G25" s="522">
        <f>VLOOKUP($B$19,LA_Data,17,0)</f>
        <v>6692</v>
      </c>
      <c r="H25" s="18"/>
      <c r="M25" s="16"/>
      <c r="N25" s="16"/>
      <c r="P25" s="485"/>
      <c r="Z25" s="339"/>
      <c r="AA25" s="339"/>
      <c r="AB25" s="339"/>
      <c r="AC25" s="339"/>
      <c r="AD25" s="339"/>
      <c r="AE25" s="339"/>
      <c r="AF25" s="339"/>
    </row>
    <row r="26" spans="1:32" s="230" customFormat="1" ht="14.5" customHeight="1" x14ac:dyDescent="0.3">
      <c r="A26" s="11"/>
      <c r="B26" s="42" t="s">
        <v>24</v>
      </c>
      <c r="C26" s="323"/>
      <c r="D26" s="323"/>
      <c r="E26" s="43" t="e">
        <f>$E$25/$E$24</f>
        <v>#N/A</v>
      </c>
      <c r="F26" s="43" t="e">
        <f>$F$25/$F$24</f>
        <v>#N/A</v>
      </c>
      <c r="G26" s="44">
        <f>$G$25/$G$24</f>
        <v>2.5551210475232662E-3</v>
      </c>
      <c r="H26" s="18"/>
      <c r="L26" s="16"/>
      <c r="M26" s="16"/>
      <c r="N26" s="16"/>
      <c r="P26" s="485"/>
      <c r="Z26" s="340"/>
      <c r="AA26" s="340"/>
      <c r="AB26" s="340"/>
      <c r="AC26" s="340"/>
      <c r="AD26" s="340"/>
      <c r="AE26" s="340"/>
      <c r="AF26" s="340"/>
    </row>
    <row r="27" spans="1:32" s="17" customFormat="1" ht="14.5" x14ac:dyDescent="0.35">
      <c r="A27" s="11"/>
      <c r="H27" s="18"/>
      <c r="L27" s="46"/>
      <c r="M27" s="16"/>
      <c r="N27" s="16"/>
      <c r="P27" s="484"/>
      <c r="Z27" s="45"/>
      <c r="AA27" s="45"/>
      <c r="AB27" s="45"/>
      <c r="AC27" s="45"/>
      <c r="AD27" s="45"/>
      <c r="AE27" s="45"/>
      <c r="AF27" s="45"/>
    </row>
    <row r="28" spans="1:32" s="17" customFormat="1" ht="16" customHeight="1" x14ac:dyDescent="0.35">
      <c r="A28" s="575">
        <v>3</v>
      </c>
      <c r="B28" s="596" t="s">
        <v>13924</v>
      </c>
      <c r="C28" s="597"/>
      <c r="D28" s="597"/>
      <c r="E28" s="47"/>
      <c r="F28" s="47"/>
      <c r="G28" s="48"/>
      <c r="H28" s="18"/>
      <c r="I28" s="49" t="s">
        <v>14094</v>
      </c>
      <c r="J28" s="455"/>
      <c r="K28" s="47"/>
      <c r="L28" s="47"/>
      <c r="M28" s="47"/>
      <c r="N28" s="47"/>
      <c r="O28" s="48"/>
      <c r="P28" s="484"/>
      <c r="Z28" s="45"/>
      <c r="AA28" s="45"/>
      <c r="AB28" s="45"/>
      <c r="AC28" s="45"/>
      <c r="AD28" s="45"/>
      <c r="AE28" s="45"/>
      <c r="AF28" s="45"/>
    </row>
    <row r="29" spans="1:32" s="17" customFormat="1" ht="15.5" x14ac:dyDescent="0.35">
      <c r="A29" s="583"/>
      <c r="B29" s="582" t="str">
        <f>IFERROR(IF(G31=F31,"England",(IF(F31=D31,(+D31&amp;" and England"),IF(G31=D31,"England",(+D31&amp;", "&amp;F31&amp;", and "&amp;G31))))),"")</f>
        <v/>
      </c>
      <c r="C29" s="590"/>
      <c r="D29" s="590"/>
      <c r="E29" s="590"/>
      <c r="F29" s="590"/>
      <c r="G29" s="593"/>
      <c r="H29" s="18"/>
      <c r="I29" s="50" t="str">
        <f>$B$29</f>
        <v/>
      </c>
      <c r="J29" s="456"/>
      <c r="K29" s="51"/>
      <c r="L29" s="51"/>
      <c r="M29" s="51"/>
      <c r="N29" s="51"/>
      <c r="O29" s="52"/>
      <c r="P29" s="484"/>
      <c r="U29" s="53"/>
      <c r="Z29" s="45"/>
      <c r="AA29" s="45"/>
      <c r="AB29" s="45"/>
      <c r="AC29" s="45"/>
      <c r="AD29" s="45"/>
      <c r="AE29" s="45"/>
      <c r="AF29" s="45"/>
    </row>
    <row r="30" spans="1:32" s="17" customFormat="1" ht="15.5" x14ac:dyDescent="0.35">
      <c r="A30" s="11"/>
      <c r="B30" s="598"/>
      <c r="C30" s="591"/>
      <c r="D30" s="591"/>
      <c r="E30" s="591"/>
      <c r="F30" s="591"/>
      <c r="G30" s="594"/>
      <c r="H30" s="18"/>
      <c r="I30" s="50"/>
      <c r="J30" s="456"/>
      <c r="K30" s="51"/>
      <c r="L30" s="51"/>
      <c r="M30" s="51"/>
      <c r="N30" s="51"/>
      <c r="O30" s="52"/>
      <c r="P30" s="484"/>
      <c r="U30" s="53"/>
      <c r="Z30" s="45"/>
      <c r="AA30" s="45"/>
      <c r="AB30" s="45"/>
      <c r="AC30" s="45"/>
      <c r="AD30" s="45"/>
      <c r="AE30" s="45"/>
      <c r="AF30" s="45"/>
    </row>
    <row r="31" spans="1:32" s="230" customFormat="1" ht="14.5" customHeight="1" x14ac:dyDescent="0.3">
      <c r="A31" s="11"/>
      <c r="B31" s="54" t="s">
        <v>25</v>
      </c>
      <c r="C31" s="341"/>
      <c r="D31" s="599">
        <f>$E$3</f>
        <v>0</v>
      </c>
      <c r="E31" s="600"/>
      <c r="F31" s="599" t="e">
        <f>$K$3</f>
        <v>#N/A</v>
      </c>
      <c r="G31" s="603" t="s">
        <v>6</v>
      </c>
      <c r="H31" s="18"/>
      <c r="I31" s="56" t="s">
        <v>26</v>
      </c>
      <c r="J31" s="457"/>
      <c r="K31" s="341"/>
      <c r="L31" s="606">
        <f>$E$3</f>
        <v>0</v>
      </c>
      <c r="M31" s="607"/>
      <c r="N31" s="606" t="e">
        <f>$K$3</f>
        <v>#N/A</v>
      </c>
      <c r="O31" s="608" t="s">
        <v>6</v>
      </c>
      <c r="P31" s="485"/>
      <c r="Q31" s="57"/>
      <c r="U31" s="342"/>
      <c r="V31" s="342"/>
      <c r="W31" s="342"/>
      <c r="Z31" s="340"/>
      <c r="AA31" s="340"/>
      <c r="AB31" s="340"/>
      <c r="AC31" s="340"/>
      <c r="AD31" s="340"/>
      <c r="AE31" s="340"/>
      <c r="AF31" s="340"/>
    </row>
    <row r="32" spans="1:32" s="230" customFormat="1" ht="14.5" customHeight="1" x14ac:dyDescent="0.3">
      <c r="A32" s="11"/>
      <c r="B32" s="58"/>
      <c r="D32" s="601"/>
      <c r="E32" s="601"/>
      <c r="F32" s="601"/>
      <c r="G32" s="604"/>
      <c r="H32" s="18"/>
      <c r="I32" s="343"/>
      <c r="J32" s="458"/>
      <c r="K32" s="319"/>
      <c r="L32" s="601"/>
      <c r="M32" s="601"/>
      <c r="N32" s="601"/>
      <c r="O32" s="604"/>
      <c r="P32" s="485"/>
      <c r="Q32" s="57"/>
      <c r="U32" s="339"/>
      <c r="V32" s="342"/>
      <c r="W32" s="342"/>
      <c r="Z32" s="340"/>
      <c r="AA32" s="340"/>
      <c r="AB32" s="340"/>
      <c r="AC32" s="340"/>
      <c r="AD32" s="340"/>
      <c r="AE32" s="340"/>
      <c r="AF32" s="340"/>
    </row>
    <row r="33" spans="1:32" s="230" customFormat="1" ht="14.5" customHeight="1" x14ac:dyDescent="0.3">
      <c r="A33" s="11"/>
      <c r="B33" s="60"/>
      <c r="C33" s="323"/>
      <c r="D33" s="602"/>
      <c r="E33" s="602"/>
      <c r="F33" s="602"/>
      <c r="G33" s="605"/>
      <c r="H33" s="18"/>
      <c r="I33" s="344"/>
      <c r="J33" s="323"/>
      <c r="K33" s="345"/>
      <c r="L33" s="602"/>
      <c r="M33" s="602"/>
      <c r="N33" s="602"/>
      <c r="O33" s="605"/>
      <c r="P33" s="485"/>
      <c r="Q33" s="57"/>
      <c r="U33" s="339"/>
      <c r="V33" s="342"/>
      <c r="W33" s="342"/>
      <c r="Z33" s="340"/>
      <c r="AA33" s="340"/>
      <c r="AB33" s="340"/>
      <c r="AC33" s="340"/>
      <c r="AD33" s="340"/>
      <c r="AE33" s="340"/>
      <c r="AF33" s="340"/>
    </row>
    <row r="34" spans="1:32" s="230" customFormat="1" ht="14.5" customHeight="1" x14ac:dyDescent="0.3">
      <c r="A34" s="11"/>
      <c r="B34" s="346" t="s">
        <v>27</v>
      </c>
      <c r="E34" s="338" t="e">
        <f>VLOOKUP($E$3,LA_Data,18,0)</f>
        <v>#N/A</v>
      </c>
      <c r="F34" s="39" t="e">
        <f>VLOOKUP($B$18,LA_Data,18,0)</f>
        <v>#N/A</v>
      </c>
      <c r="G34" s="40">
        <f>VLOOKUP($B$19,LA_Data,18,0)</f>
        <v>1101</v>
      </c>
      <c r="H34" s="18"/>
      <c r="I34" s="347" t="s">
        <v>28</v>
      </c>
      <c r="J34" s="459"/>
      <c r="K34" s="63"/>
      <c r="M34" s="338" t="e">
        <f>VLOOKUP($E$3,LA_Data,166,0)</f>
        <v>#N/A</v>
      </c>
      <c r="N34" s="39" t="e">
        <f>VLOOKUP($K$3,LA_Data,166,0)</f>
        <v>#N/A</v>
      </c>
      <c r="O34" s="40">
        <f>VLOOKUP($B$19,LA_Data,166,0)</f>
        <v>8745</v>
      </c>
      <c r="P34" s="485"/>
      <c r="U34" s="339"/>
      <c r="V34" s="339"/>
      <c r="W34" s="339"/>
      <c r="Z34" s="340"/>
      <c r="AA34" s="340"/>
      <c r="AB34" s="340"/>
      <c r="AC34" s="340"/>
      <c r="AD34" s="340"/>
      <c r="AE34" s="340"/>
      <c r="AF34" s="340"/>
    </row>
    <row r="35" spans="1:32" s="230" customFormat="1" ht="14.5" customHeight="1" x14ac:dyDescent="0.3">
      <c r="A35" s="11"/>
      <c r="B35" s="346" t="s">
        <v>29</v>
      </c>
      <c r="E35" s="338" t="e">
        <f>VLOOKUP($E$3,LA_Data,19,0)</f>
        <v>#N/A</v>
      </c>
      <c r="F35" s="39" t="e">
        <f>VLOOKUP($B$18,LA_Data,19,0)</f>
        <v>#N/A</v>
      </c>
      <c r="G35" s="40">
        <f>VLOOKUP($B$19,LA_Data,19,0)</f>
        <v>234</v>
      </c>
      <c r="H35" s="18"/>
      <c r="I35" s="348" t="s">
        <v>30</v>
      </c>
      <c r="J35" s="460"/>
      <c r="K35" s="16"/>
      <c r="M35" s="338" t="e">
        <f>VLOOKUP($E$3,LA_Data,167,0)</f>
        <v>#N/A</v>
      </c>
      <c r="N35" s="39" t="e">
        <f>VLOOKUP($K$3,LA_Data,167,0)</f>
        <v>#N/A</v>
      </c>
      <c r="O35" s="40">
        <f>VLOOKUP($B$19,LA_Data,167,0)</f>
        <v>4812</v>
      </c>
      <c r="P35" s="485"/>
      <c r="V35" s="339"/>
      <c r="W35" s="339"/>
      <c r="Z35" s="340"/>
      <c r="AA35" s="340"/>
      <c r="AB35" s="340"/>
      <c r="AC35" s="340"/>
      <c r="AD35" s="340"/>
      <c r="AE35" s="340"/>
      <c r="AF35" s="340"/>
    </row>
    <row r="36" spans="1:32" s="230" customFormat="1" ht="14.5" customHeight="1" x14ac:dyDescent="0.3">
      <c r="A36" s="11"/>
      <c r="B36" s="64" t="s">
        <v>31</v>
      </c>
      <c r="C36" s="334"/>
      <c r="D36" s="334"/>
      <c r="E36" s="65" t="e">
        <f>SUM(E34:E35)</f>
        <v>#N/A</v>
      </c>
      <c r="F36" s="65" t="e">
        <f>SUM(F34:F35)</f>
        <v>#N/A</v>
      </c>
      <c r="G36" s="66">
        <f>SUM(G34:G35)</f>
        <v>1335</v>
      </c>
      <c r="H36" s="18"/>
      <c r="I36" s="348" t="s">
        <v>32</v>
      </c>
      <c r="J36" s="460"/>
      <c r="K36" s="16"/>
      <c r="M36" s="338" t="e">
        <f>VLOOKUP($E$3,LA_Data,168,0)</f>
        <v>#N/A</v>
      </c>
      <c r="N36" s="39" t="e">
        <f>VLOOKUP($K$3,LA_Data,168,0)</f>
        <v>#N/A</v>
      </c>
      <c r="O36" s="40">
        <f>VLOOKUP($B$19,LA_Data,168,0)</f>
        <v>2816</v>
      </c>
      <c r="P36" s="485"/>
      <c r="Q36" s="57"/>
      <c r="V36" s="339"/>
      <c r="W36" s="339"/>
      <c r="Z36" s="340"/>
      <c r="AA36" s="340"/>
      <c r="AB36" s="340"/>
      <c r="AC36" s="340"/>
      <c r="AD36" s="340"/>
      <c r="AE36" s="340"/>
      <c r="AF36" s="340"/>
    </row>
    <row r="37" spans="1:32" s="230" customFormat="1" ht="14.5" customHeight="1" x14ac:dyDescent="0.3">
      <c r="A37" s="11"/>
      <c r="B37" s="346"/>
      <c r="E37" s="340"/>
      <c r="F37" s="340"/>
      <c r="G37" s="328"/>
      <c r="H37" s="18"/>
      <c r="I37" s="348" t="s">
        <v>33</v>
      </c>
      <c r="J37" s="460"/>
      <c r="K37" s="16"/>
      <c r="M37" s="338" t="e">
        <f>VLOOKUP($E$3,LA_Data,169,0)</f>
        <v>#N/A</v>
      </c>
      <c r="N37" s="39" t="e">
        <f>VLOOKUP($K$3,LA_Data,169,0)</f>
        <v>#N/A</v>
      </c>
      <c r="O37" s="40">
        <f>VLOOKUP($B$19,LA_Data,169,0)</f>
        <v>16861</v>
      </c>
      <c r="P37" s="485"/>
      <c r="U37" s="339"/>
      <c r="Z37" s="340"/>
      <c r="AA37" s="340"/>
      <c r="AB37" s="340"/>
      <c r="AC37" s="340"/>
      <c r="AD37" s="340"/>
      <c r="AE37" s="340"/>
      <c r="AF37" s="340"/>
    </row>
    <row r="38" spans="1:32" s="230" customFormat="1" ht="14.5" customHeight="1" x14ac:dyDescent="0.3">
      <c r="A38" s="11"/>
      <c r="B38" s="60" t="s">
        <v>34</v>
      </c>
      <c r="C38" s="323"/>
      <c r="D38" s="323"/>
      <c r="E38" s="349"/>
      <c r="F38" s="349"/>
      <c r="G38" s="325"/>
      <c r="H38" s="18"/>
      <c r="I38" s="350" t="s">
        <v>35</v>
      </c>
      <c r="J38" s="322"/>
      <c r="K38" s="67"/>
      <c r="L38" s="323"/>
      <c r="M38" s="351" t="e">
        <f>VLOOKUP($E$3,LA_Data,170,0)</f>
        <v>#N/A</v>
      </c>
      <c r="N38" s="68" t="e">
        <f>VLOOKUP($K$3,LA_Data,170,0)</f>
        <v>#N/A</v>
      </c>
      <c r="O38" s="69">
        <f>VLOOKUP($B$19,LA_Data,170,0)</f>
        <v>5982</v>
      </c>
      <c r="P38" s="485"/>
      <c r="Q38" s="57"/>
      <c r="U38" s="339"/>
      <c r="Z38" s="340"/>
      <c r="AA38" s="340"/>
      <c r="AB38" s="340"/>
      <c r="AC38" s="340"/>
      <c r="AD38" s="340"/>
      <c r="AE38" s="340"/>
      <c r="AF38" s="340"/>
    </row>
    <row r="39" spans="1:32" s="230" customFormat="1" ht="14.5" customHeight="1" x14ac:dyDescent="0.3">
      <c r="A39" s="11"/>
      <c r="B39" s="346" t="s">
        <v>27</v>
      </c>
      <c r="E39" s="520" t="e">
        <f>VLOOKUP($E$3,LA_Data,20,0)</f>
        <v>#N/A</v>
      </c>
      <c r="F39" s="521" t="e">
        <f>VLOOKUP($B$18,LA_Data,20,0)</f>
        <v>#N/A</v>
      </c>
      <c r="G39" s="522">
        <f>VLOOKUP($B$19,LA_Data,20,0)</f>
        <v>113935</v>
      </c>
      <c r="H39" s="18"/>
      <c r="I39" s="347"/>
      <c r="J39" s="459"/>
      <c r="K39" s="63"/>
      <c r="L39" s="341"/>
      <c r="M39" s="352"/>
      <c r="N39" s="70"/>
      <c r="O39" s="71"/>
      <c r="P39" s="485"/>
      <c r="U39" s="339"/>
      <c r="V39" s="339"/>
      <c r="W39" s="339"/>
      <c r="Z39" s="340"/>
      <c r="AA39" s="340"/>
      <c r="AB39" s="340"/>
      <c r="AC39" s="340"/>
      <c r="AD39" s="340"/>
      <c r="AE39" s="340"/>
      <c r="AF39" s="340"/>
    </row>
    <row r="40" spans="1:32" s="230" customFormat="1" ht="14.5" customHeight="1" x14ac:dyDescent="0.25">
      <c r="A40" s="11"/>
      <c r="B40" s="346" t="s">
        <v>29</v>
      </c>
      <c r="E40" s="520" t="e">
        <f>VLOOKUP($E$3,LA_Data,21,0)</f>
        <v>#N/A</v>
      </c>
      <c r="F40" s="521" t="e">
        <f>VLOOKUP($B$18,LA_Data,21,0)</f>
        <v>#N/A</v>
      </c>
      <c r="G40" s="522">
        <f>VLOOKUP($B$19,LA_Data,21,0)</f>
        <v>2728665</v>
      </c>
      <c r="H40" s="18"/>
      <c r="I40" s="346"/>
      <c r="J40" s="461"/>
      <c r="O40" s="163"/>
      <c r="P40" s="485"/>
      <c r="U40" s="339"/>
      <c r="V40" s="339"/>
      <c r="W40" s="339"/>
      <c r="Z40" s="340"/>
      <c r="AA40" s="340"/>
      <c r="AB40" s="340"/>
      <c r="AC40" s="340"/>
      <c r="AD40" s="340"/>
      <c r="AE40" s="340"/>
      <c r="AF40" s="340"/>
    </row>
    <row r="41" spans="1:32" s="230" customFormat="1" ht="14.5" customHeight="1" x14ac:dyDescent="0.3">
      <c r="A41" s="11"/>
      <c r="B41" s="64" t="s">
        <v>36</v>
      </c>
      <c r="C41" s="334"/>
      <c r="D41" s="334"/>
      <c r="E41" s="523" t="e">
        <f>SUM(E39:E40)</f>
        <v>#N/A</v>
      </c>
      <c r="F41" s="523" t="e">
        <f>SUM(F39:F40)</f>
        <v>#N/A</v>
      </c>
      <c r="G41" s="524">
        <f>SUM(G39:G40)</f>
        <v>2842600</v>
      </c>
      <c r="H41" s="18"/>
      <c r="I41" s="343"/>
      <c r="J41" s="458"/>
      <c r="M41" s="16"/>
      <c r="N41" s="16"/>
      <c r="O41" s="163"/>
      <c r="P41" s="485"/>
      <c r="Q41" s="57"/>
      <c r="U41" s="339"/>
      <c r="V41" s="339"/>
      <c r="W41" s="339"/>
      <c r="Z41" s="340"/>
      <c r="AA41" s="340"/>
      <c r="AB41" s="340"/>
      <c r="AC41" s="340"/>
      <c r="AD41" s="340"/>
      <c r="AE41" s="340"/>
      <c r="AF41" s="340"/>
    </row>
    <row r="42" spans="1:32" s="230" customFormat="1" ht="14.5" customHeight="1" x14ac:dyDescent="0.3">
      <c r="A42" s="11"/>
      <c r="B42" s="346"/>
      <c r="E42" s="338"/>
      <c r="F42" s="338"/>
      <c r="G42" s="353"/>
      <c r="H42" s="18"/>
      <c r="I42" s="343"/>
      <c r="J42" s="458"/>
      <c r="M42" s="16"/>
      <c r="N42" s="16"/>
      <c r="O42" s="163"/>
      <c r="P42" s="485"/>
      <c r="U42" s="339"/>
      <c r="V42" s="339"/>
      <c r="W42" s="339"/>
      <c r="Z42" s="340"/>
      <c r="AA42" s="340"/>
      <c r="AB42" s="340"/>
      <c r="AC42" s="340"/>
      <c r="AD42" s="340"/>
      <c r="AE42" s="340"/>
      <c r="AF42" s="340"/>
    </row>
    <row r="43" spans="1:32" s="230" customFormat="1" ht="14.5" customHeight="1" x14ac:dyDescent="0.3">
      <c r="A43" s="11"/>
      <c r="B43" s="60" t="s">
        <v>37</v>
      </c>
      <c r="C43" s="323"/>
      <c r="D43" s="323"/>
      <c r="E43" s="351"/>
      <c r="F43" s="351"/>
      <c r="G43" s="354"/>
      <c r="H43" s="18"/>
      <c r="I43" s="343"/>
      <c r="J43" s="458"/>
      <c r="L43" s="16"/>
      <c r="M43" s="16"/>
      <c r="N43" s="16"/>
      <c r="O43" s="163"/>
      <c r="P43" s="485"/>
      <c r="Q43" s="57"/>
      <c r="U43" s="339"/>
      <c r="V43" s="339"/>
      <c r="W43" s="339"/>
      <c r="Z43" s="340"/>
      <c r="AA43" s="340"/>
      <c r="AB43" s="340"/>
      <c r="AC43" s="340"/>
      <c r="AD43" s="340"/>
      <c r="AE43" s="340"/>
      <c r="AF43" s="340"/>
    </row>
    <row r="44" spans="1:32" s="230" customFormat="1" ht="14.5" customHeight="1" x14ac:dyDescent="0.3">
      <c r="A44" s="11"/>
      <c r="B44" s="346" t="s">
        <v>27</v>
      </c>
      <c r="E44" s="272">
        <f>IFERROR((E39/$E$41),0)</f>
        <v>0</v>
      </c>
      <c r="F44" s="73">
        <f>IFERROR((F39/$F$41),0)</f>
        <v>0</v>
      </c>
      <c r="G44" s="74">
        <f>IFERROR((G39/$G$41),0)</f>
        <v>4.0081263631886299E-2</v>
      </c>
      <c r="H44" s="18"/>
      <c r="I44" s="346"/>
      <c r="J44" s="461"/>
      <c r="L44" s="16"/>
      <c r="M44" s="16"/>
      <c r="N44" s="16"/>
      <c r="O44" s="163"/>
      <c r="P44" s="485"/>
      <c r="V44" s="339"/>
      <c r="W44" s="339"/>
    </row>
    <row r="45" spans="1:32" s="230" customFormat="1" ht="14.5" customHeight="1" x14ac:dyDescent="0.3">
      <c r="A45" s="11"/>
      <c r="B45" s="344" t="s">
        <v>29</v>
      </c>
      <c r="C45" s="323"/>
      <c r="D45" s="323"/>
      <c r="E45" s="272">
        <f>IFERROR((E40/$E$41),0)</f>
        <v>0</v>
      </c>
      <c r="F45" s="73">
        <f>IFERROR((F40/$F$41),0)</f>
        <v>0</v>
      </c>
      <c r="G45" s="74">
        <f>IFERROR((G40/$G$41),0)</f>
        <v>0.95991873636811365</v>
      </c>
      <c r="H45" s="18"/>
      <c r="I45" s="346"/>
      <c r="J45" s="461"/>
      <c r="L45" s="16"/>
      <c r="M45" s="16"/>
      <c r="N45" s="16"/>
      <c r="O45" s="163"/>
      <c r="P45" s="485"/>
      <c r="V45" s="339"/>
      <c r="W45" s="339"/>
    </row>
    <row r="46" spans="1:32" s="17" customFormat="1" ht="14.5" x14ac:dyDescent="0.35">
      <c r="A46" s="11"/>
      <c r="B46" s="609" t="s">
        <v>14110</v>
      </c>
      <c r="C46" s="610"/>
      <c r="D46" s="610"/>
      <c r="E46" s="610"/>
      <c r="F46" s="610"/>
      <c r="G46" s="611"/>
      <c r="H46" s="18"/>
      <c r="I46" s="75" t="s">
        <v>38</v>
      </c>
      <c r="J46" s="462"/>
      <c r="L46" s="16"/>
      <c r="M46" s="16"/>
      <c r="N46" s="16"/>
      <c r="O46" s="72"/>
      <c r="P46" s="484"/>
      <c r="Z46" s="76"/>
      <c r="AA46" s="76"/>
      <c r="AB46" s="76"/>
      <c r="AC46" s="76"/>
      <c r="AD46" s="76"/>
      <c r="AE46" s="76"/>
      <c r="AF46" s="76"/>
    </row>
    <row r="47" spans="1:32" s="17" customFormat="1" ht="14.5" x14ac:dyDescent="0.35">
      <c r="A47" s="11"/>
      <c r="B47" s="612"/>
      <c r="C47" s="613"/>
      <c r="D47" s="613"/>
      <c r="E47" s="613"/>
      <c r="F47" s="613"/>
      <c r="G47" s="614"/>
      <c r="H47" s="18"/>
      <c r="I47" s="77"/>
      <c r="J47" s="463"/>
      <c r="L47" s="16"/>
      <c r="M47" s="16"/>
      <c r="N47" s="16"/>
      <c r="O47" s="72"/>
      <c r="P47" s="484"/>
      <c r="T47" s="53"/>
      <c r="U47" s="53"/>
      <c r="Z47" s="76"/>
      <c r="AA47" s="76"/>
      <c r="AB47" s="76"/>
      <c r="AC47" s="76"/>
      <c r="AD47" s="76"/>
      <c r="AE47" s="76"/>
      <c r="AF47" s="76"/>
    </row>
    <row r="48" spans="1:32" s="17" customFormat="1" ht="14.5" x14ac:dyDescent="0.35">
      <c r="A48" s="11"/>
      <c r="B48" s="615"/>
      <c r="C48" s="616"/>
      <c r="D48" s="616"/>
      <c r="E48" s="616"/>
      <c r="F48" s="616"/>
      <c r="G48" s="617"/>
      <c r="H48" s="18"/>
      <c r="I48" s="78" t="s">
        <v>14111</v>
      </c>
      <c r="J48" s="464"/>
      <c r="K48" s="67"/>
      <c r="L48" s="67"/>
      <c r="M48" s="67"/>
      <c r="N48" s="67"/>
      <c r="O48" s="79"/>
      <c r="P48" s="484"/>
      <c r="T48" s="41"/>
      <c r="U48" s="41"/>
    </row>
    <row r="49" spans="1:32" s="17" customFormat="1" ht="14.5" x14ac:dyDescent="0.35">
      <c r="A49" s="11"/>
      <c r="B49" s="57"/>
      <c r="C49" s="13"/>
      <c r="D49" s="14"/>
      <c r="E49" s="14"/>
      <c r="F49" s="14"/>
      <c r="G49" s="14"/>
      <c r="H49" s="18"/>
      <c r="I49" s="16"/>
      <c r="J49" s="16"/>
      <c r="K49" s="16"/>
      <c r="L49" s="16"/>
      <c r="M49" s="16"/>
      <c r="N49" s="16"/>
      <c r="P49" s="484"/>
      <c r="Q49" s="57"/>
      <c r="T49" s="41"/>
      <c r="U49" s="41"/>
      <c r="V49" s="53"/>
    </row>
    <row r="50" spans="1:32" s="17" customFormat="1" ht="15.5" x14ac:dyDescent="0.35">
      <c r="A50" s="618">
        <v>4</v>
      </c>
      <c r="B50" s="80" t="s">
        <v>39</v>
      </c>
      <c r="C50" s="81"/>
      <c r="D50" s="81"/>
      <c r="E50" s="81"/>
      <c r="F50" s="81"/>
      <c r="G50" s="82"/>
      <c r="H50" s="18"/>
      <c r="I50" s="16"/>
      <c r="J50" s="16"/>
      <c r="K50" s="16"/>
      <c r="L50" s="16"/>
      <c r="M50" s="16"/>
      <c r="N50" s="16"/>
      <c r="P50" s="484"/>
      <c r="T50" s="41"/>
      <c r="U50" s="41"/>
      <c r="V50" s="41"/>
      <c r="Z50" s="76"/>
      <c r="AA50" s="76"/>
      <c r="AB50" s="76"/>
      <c r="AC50" s="76"/>
      <c r="AD50" s="76"/>
      <c r="AE50" s="76"/>
      <c r="AF50" s="76"/>
    </row>
    <row r="51" spans="1:32" s="17" customFormat="1" ht="15.75" customHeight="1" x14ac:dyDescent="0.35">
      <c r="A51" s="619"/>
      <c r="B51" s="620" t="str">
        <f>IFERROR(IF(G31=F31,"Vacant units for England - Large PRPs",(IF(F31=D31,(+"Vacant units for "&amp;D31&amp;" and England - Large PRPs"),IF(G31=D31,"England",(+"Vacant units for "&amp;D31&amp;", "&amp;F31&amp;", and "&amp;G31&amp;" - large PRPs"))))),"")</f>
        <v/>
      </c>
      <c r="C51" s="580"/>
      <c r="D51" s="580"/>
      <c r="E51" s="580"/>
      <c r="F51" s="580"/>
      <c r="G51" s="621"/>
      <c r="H51" s="18"/>
      <c r="I51" s="16"/>
      <c r="J51" s="16"/>
      <c r="K51" s="16"/>
      <c r="L51" s="16"/>
      <c r="M51" s="16"/>
      <c r="N51" s="16"/>
      <c r="P51" s="484"/>
      <c r="T51" s="624" t="e">
        <f>$K$3</f>
        <v>#N/A</v>
      </c>
      <c r="U51" s="624" t="s">
        <v>6</v>
      </c>
      <c r="V51" s="41"/>
    </row>
    <row r="52" spans="1:32" s="17" customFormat="1" ht="15.75" customHeight="1" x14ac:dyDescent="0.35">
      <c r="A52" s="11"/>
      <c r="B52" s="622"/>
      <c r="C52" s="587"/>
      <c r="D52" s="587"/>
      <c r="E52" s="587"/>
      <c r="F52" s="587"/>
      <c r="G52" s="623"/>
      <c r="H52" s="18"/>
      <c r="I52" s="16"/>
      <c r="J52" s="16"/>
      <c r="K52" s="16"/>
      <c r="L52" s="16"/>
      <c r="M52" s="16"/>
      <c r="N52" s="16"/>
      <c r="P52" s="484"/>
      <c r="Q52" s="57"/>
      <c r="T52" s="625"/>
      <c r="U52" s="624"/>
      <c r="V52" s="41"/>
    </row>
    <row r="53" spans="1:32" s="230" customFormat="1" ht="14.5" customHeight="1" x14ac:dyDescent="0.3">
      <c r="A53" s="11"/>
      <c r="B53" s="83" t="str">
        <f>IFERROR(IF(G31=F31,"Average weekly net rents (£ per week) and units - Large PRPs",(IF(F31=D31,(+"Average weekly net rents (£ per week) and units for "&amp;D31&amp;" - Large PRPs"),IF(G31=D31,"England",)))),"")</f>
        <v/>
      </c>
      <c r="C53" s="84"/>
      <c r="D53" s="626">
        <f>E3</f>
        <v>0</v>
      </c>
      <c r="E53" s="627"/>
      <c r="F53" s="629" t="e">
        <f>$K$3</f>
        <v>#N/A</v>
      </c>
      <c r="G53" s="631" t="s">
        <v>6</v>
      </c>
      <c r="H53" s="18"/>
      <c r="I53" s="16"/>
      <c r="J53" s="16"/>
      <c r="K53" s="16"/>
      <c r="L53" s="16"/>
      <c r="M53" s="16"/>
      <c r="N53" s="16"/>
      <c r="P53" s="485"/>
      <c r="T53" s="625"/>
      <c r="U53" s="624"/>
    </row>
    <row r="54" spans="1:32" s="230" customFormat="1" ht="14.5" customHeight="1" x14ac:dyDescent="0.3">
      <c r="A54" s="11"/>
      <c r="B54" s="355"/>
      <c r="C54" s="356"/>
      <c r="D54" s="627"/>
      <c r="E54" s="627"/>
      <c r="F54" s="626"/>
      <c r="G54" s="631"/>
      <c r="H54" s="18"/>
      <c r="I54" s="16"/>
      <c r="J54" s="16"/>
      <c r="K54" s="16"/>
      <c r="L54" s="16"/>
      <c r="M54" s="16"/>
      <c r="N54" s="16"/>
      <c r="P54" s="485"/>
      <c r="Q54" s="57"/>
      <c r="T54" s="339"/>
      <c r="U54" s="339"/>
    </row>
    <row r="55" spans="1:32" s="230" customFormat="1" ht="14.5" customHeight="1" x14ac:dyDescent="0.3">
      <c r="A55" s="11"/>
      <c r="B55" s="355"/>
      <c r="C55" s="356"/>
      <c r="D55" s="628"/>
      <c r="E55" s="628"/>
      <c r="F55" s="630"/>
      <c r="G55" s="632"/>
      <c r="H55" s="18"/>
      <c r="I55" s="16"/>
      <c r="J55" s="16"/>
      <c r="K55" s="16"/>
      <c r="L55" s="16"/>
      <c r="M55" s="16"/>
      <c r="N55" s="16"/>
      <c r="P55" s="485"/>
      <c r="R55" s="624">
        <f>W5</f>
        <v>0</v>
      </c>
      <c r="S55" s="625"/>
      <c r="T55" s="339"/>
      <c r="U55" s="339"/>
      <c r="V55" s="339"/>
    </row>
    <row r="56" spans="1:32" s="230" customFormat="1" ht="14.5" customHeight="1" x14ac:dyDescent="0.3">
      <c r="A56" s="11"/>
      <c r="B56" s="85" t="s">
        <v>40</v>
      </c>
      <c r="C56" s="357"/>
      <c r="D56" s="357"/>
      <c r="E56" s="525" t="e">
        <f>VLOOKUP($E$3,LA_Data,22,0)</f>
        <v>#N/A</v>
      </c>
      <c r="F56" s="525" t="e">
        <f>VLOOKUP($B$18,LA_Data,22,0)</f>
        <v>#N/A</v>
      </c>
      <c r="G56" s="526">
        <f>VLOOKUP($B$19,LA_Data,22,0)</f>
        <v>2150753</v>
      </c>
      <c r="H56" s="18"/>
      <c r="I56" s="16"/>
      <c r="J56" s="16"/>
      <c r="K56" s="16"/>
      <c r="L56" s="16"/>
      <c r="M56" s="16"/>
      <c r="N56" s="16"/>
      <c r="P56" s="485"/>
      <c r="R56" s="625"/>
      <c r="S56" s="625"/>
      <c r="T56" s="339"/>
      <c r="U56" s="339"/>
      <c r="V56" s="339"/>
    </row>
    <row r="57" spans="1:32" s="230" customFormat="1" ht="14.5" customHeight="1" thickBot="1" x14ac:dyDescent="0.35">
      <c r="A57" s="11"/>
      <c r="B57" s="358"/>
      <c r="C57" s="356"/>
      <c r="D57" s="356"/>
      <c r="E57" s="525"/>
      <c r="F57" s="525"/>
      <c r="G57" s="526"/>
      <c r="H57" s="18"/>
      <c r="I57" s="16"/>
      <c r="J57" s="16"/>
      <c r="K57" s="16"/>
      <c r="L57" s="16"/>
      <c r="M57" s="16"/>
      <c r="N57" s="16"/>
      <c r="P57" s="485"/>
      <c r="Q57" s="57"/>
      <c r="R57" s="625"/>
      <c r="S57" s="625"/>
      <c r="T57" s="339"/>
      <c r="U57" s="339"/>
      <c r="V57" s="339"/>
    </row>
    <row r="58" spans="1:32" s="230" customFormat="1" ht="14.5" customHeight="1" x14ac:dyDescent="0.3">
      <c r="A58" s="11"/>
      <c r="B58" s="86" t="s">
        <v>41</v>
      </c>
      <c r="C58" s="84"/>
      <c r="D58" s="327" t="s">
        <v>42</v>
      </c>
      <c r="E58" s="527" t="e">
        <f>VLOOKUP($E$3,LA_Data,23,0)</f>
        <v>#N/A</v>
      </c>
      <c r="F58" s="525" t="e">
        <f>VLOOKUP($B$18,LA_Data,23,0)</f>
        <v>#N/A</v>
      </c>
      <c r="G58" s="526">
        <f>VLOOKUP($B$19,LA_Data,23,0)</f>
        <v>17696</v>
      </c>
      <c r="H58" s="18"/>
      <c r="I58" s="16"/>
      <c r="J58" s="16"/>
      <c r="K58" s="16"/>
      <c r="L58" s="16"/>
      <c r="M58" s="16"/>
      <c r="N58" s="16"/>
      <c r="P58" s="485"/>
      <c r="R58" s="329" t="s">
        <v>41</v>
      </c>
      <c r="S58" s="359" t="e">
        <f>IF($E58=0,"",$E58)</f>
        <v>#N/A</v>
      </c>
      <c r="U58" s="339"/>
      <c r="V58" s="339"/>
    </row>
    <row r="59" spans="1:32" s="230" customFormat="1" ht="14.5" customHeight="1" thickBot="1" x14ac:dyDescent="0.35">
      <c r="A59" s="11"/>
      <c r="B59" s="87" t="s">
        <v>43</v>
      </c>
      <c r="C59" s="88"/>
      <c r="D59" s="360" t="s">
        <v>42</v>
      </c>
      <c r="E59" s="528" t="e">
        <f>VLOOKUP($E$3,LA_Data,24,0)</f>
        <v>#N/A</v>
      </c>
      <c r="F59" s="529" t="e">
        <f>VLOOKUP($B$18,LA_Data,24,0)</f>
        <v>#N/A</v>
      </c>
      <c r="G59" s="530">
        <f>VLOOKUP($B$19,LA_Data,24,0)</f>
        <v>14009</v>
      </c>
      <c r="H59" s="18"/>
      <c r="I59" s="16"/>
      <c r="J59" s="16"/>
      <c r="K59" s="16"/>
      <c r="L59" s="16"/>
      <c r="M59" s="16"/>
      <c r="N59" s="16"/>
      <c r="P59" s="485"/>
      <c r="Q59" s="57"/>
      <c r="R59" s="336" t="s">
        <v>43</v>
      </c>
      <c r="S59" s="361" t="e">
        <f>IF($E59=0,"",$E59)</f>
        <v>#N/A</v>
      </c>
      <c r="U59" s="339"/>
      <c r="V59" s="339"/>
    </row>
    <row r="60" spans="1:32" s="230" customFormat="1" ht="14.5" customHeight="1" x14ac:dyDescent="0.3">
      <c r="A60" s="11"/>
      <c r="B60" s="89" t="s">
        <v>44</v>
      </c>
      <c r="C60" s="88"/>
      <c r="D60" s="90"/>
      <c r="E60" s="516" t="e">
        <f>VLOOKUP($E$3,LA_Data,25,0)</f>
        <v>#N/A</v>
      </c>
      <c r="F60" s="516" t="e">
        <f>VLOOKUP($B$18,LA_Data,25,0)</f>
        <v>#N/A</v>
      </c>
      <c r="G60" s="531">
        <f>VLOOKUP($B$19,LA_Data,25,0)</f>
        <v>31705</v>
      </c>
      <c r="H60" s="18"/>
      <c r="I60" s="16"/>
      <c r="J60" s="16"/>
      <c r="K60" s="16"/>
      <c r="L60" s="16"/>
      <c r="M60" s="16"/>
      <c r="N60" s="16"/>
      <c r="P60" s="485"/>
      <c r="V60" s="339"/>
    </row>
    <row r="61" spans="1:32" s="230" customFormat="1" ht="14.5" customHeight="1" x14ac:dyDescent="0.3">
      <c r="A61" s="11"/>
      <c r="B61" s="348" t="s">
        <v>45</v>
      </c>
      <c r="E61" s="562" t="e">
        <f>E60/E56</f>
        <v>#N/A</v>
      </c>
      <c r="F61" s="562" t="e">
        <f>F60/F56</f>
        <v>#N/A</v>
      </c>
      <c r="G61" s="563">
        <f>G60/G56</f>
        <v>1.4741348727631672E-2</v>
      </c>
      <c r="H61" s="18"/>
      <c r="I61" s="16"/>
      <c r="J61" s="16"/>
      <c r="K61" s="16"/>
      <c r="L61" s="16"/>
      <c r="M61" s="16"/>
      <c r="N61" s="16"/>
      <c r="P61" s="485"/>
      <c r="V61" s="339"/>
    </row>
    <row r="62" spans="1:32" s="230" customFormat="1" ht="14.5" customHeight="1" x14ac:dyDescent="0.3">
      <c r="A62" s="11"/>
      <c r="B62" s="120" t="s">
        <v>15605</v>
      </c>
      <c r="C62" s="84"/>
      <c r="D62" s="356"/>
      <c r="E62" s="362" t="e">
        <f>E58/E56</f>
        <v>#N/A</v>
      </c>
      <c r="F62" s="362" t="e">
        <f t="shared" ref="F62:G62" si="0">F58/F56</f>
        <v>#N/A</v>
      </c>
      <c r="G62" s="363">
        <f t="shared" si="0"/>
        <v>8.2278160253641403E-3</v>
      </c>
      <c r="H62" s="18"/>
      <c r="I62" s="16"/>
      <c r="J62" s="16"/>
      <c r="K62" s="16"/>
      <c r="L62" s="16"/>
      <c r="M62" s="16"/>
      <c r="N62" s="16"/>
      <c r="P62" s="485"/>
    </row>
    <row r="63" spans="1:32" s="230" customFormat="1" ht="14.5" customHeight="1" x14ac:dyDescent="0.3">
      <c r="A63" s="11"/>
      <c r="B63" s="120" t="s">
        <v>15606</v>
      </c>
      <c r="C63" s="88"/>
      <c r="D63" s="364"/>
      <c r="E63" s="365" t="e">
        <f>E59/E56</f>
        <v>#N/A</v>
      </c>
      <c r="F63" s="365" t="e">
        <f t="shared" ref="F63:G63" si="1">F59/F56</f>
        <v>#N/A</v>
      </c>
      <c r="G63" s="366">
        <f t="shared" si="1"/>
        <v>6.5135327022675313E-3</v>
      </c>
      <c r="H63" s="18"/>
      <c r="I63" s="16"/>
      <c r="J63" s="16"/>
      <c r="K63" s="16"/>
      <c r="L63" s="16"/>
      <c r="M63" s="16"/>
      <c r="N63" s="16"/>
      <c r="P63" s="485"/>
    </row>
    <row r="64" spans="1:32" s="17" customFormat="1" ht="14.5" x14ac:dyDescent="0.35">
      <c r="A64" s="11"/>
      <c r="B64" s="91"/>
      <c r="C64" s="92"/>
      <c r="D64" s="93"/>
      <c r="E64" s="94"/>
      <c r="F64" s="55"/>
      <c r="G64" s="95"/>
      <c r="H64" s="18"/>
      <c r="I64" s="16"/>
      <c r="J64" s="16"/>
      <c r="K64" s="16"/>
      <c r="L64" s="16"/>
      <c r="M64" s="16"/>
      <c r="N64" s="16"/>
      <c r="P64" s="484"/>
    </row>
    <row r="65" spans="1:25" s="17" customFormat="1" ht="14.5" x14ac:dyDescent="0.35">
      <c r="A65" s="11"/>
      <c r="B65" s="59"/>
      <c r="C65" s="96"/>
      <c r="D65" s="97"/>
      <c r="E65" s="14"/>
      <c r="G65" s="98"/>
      <c r="H65" s="18"/>
      <c r="I65" s="16"/>
      <c r="J65" s="16"/>
      <c r="K65" s="16"/>
      <c r="L65" s="16"/>
      <c r="M65" s="16"/>
      <c r="N65" s="16"/>
      <c r="P65" s="484"/>
    </row>
    <row r="66" spans="1:25" s="17" customFormat="1" ht="14.5" x14ac:dyDescent="0.35">
      <c r="A66" s="11"/>
      <c r="B66" s="75" t="s">
        <v>38</v>
      </c>
      <c r="C66" s="13"/>
      <c r="D66" s="14"/>
      <c r="E66" s="14"/>
      <c r="G66" s="98"/>
      <c r="H66" s="18"/>
      <c r="I66" s="16"/>
      <c r="J66" s="16"/>
      <c r="K66" s="16"/>
      <c r="L66" s="16"/>
      <c r="M66" s="16"/>
      <c r="N66" s="16"/>
      <c r="P66" s="484"/>
    </row>
    <row r="67" spans="1:25" s="17" customFormat="1" ht="14.5" x14ac:dyDescent="0.35">
      <c r="A67" s="11"/>
      <c r="B67" s="75" t="s">
        <v>46</v>
      </c>
      <c r="C67" s="13"/>
      <c r="D67" s="14"/>
      <c r="E67" s="14"/>
      <c r="G67" s="98"/>
      <c r="H67" s="18"/>
      <c r="I67" s="16"/>
      <c r="J67" s="16"/>
      <c r="K67" s="16"/>
      <c r="L67" s="16"/>
      <c r="M67" s="16"/>
      <c r="N67" s="16"/>
      <c r="P67" s="484"/>
    </row>
    <row r="68" spans="1:25" s="17" customFormat="1" ht="14.5" x14ac:dyDescent="0.35">
      <c r="A68" s="11"/>
      <c r="B68" s="633" t="s">
        <v>14111</v>
      </c>
      <c r="C68" s="13"/>
      <c r="D68" s="14"/>
      <c r="E68" s="14"/>
      <c r="G68" s="98"/>
      <c r="H68" s="18"/>
      <c r="I68" s="16"/>
      <c r="J68" s="16"/>
      <c r="K68" s="16"/>
      <c r="L68" s="16"/>
      <c r="M68" s="16"/>
      <c r="N68" s="16"/>
      <c r="P68" s="484"/>
    </row>
    <row r="69" spans="1:25" s="17" customFormat="1" ht="6.75" customHeight="1" x14ac:dyDescent="0.35">
      <c r="A69" s="11"/>
      <c r="B69" s="634"/>
      <c r="C69" s="99"/>
      <c r="D69" s="100"/>
      <c r="E69" s="100"/>
      <c r="F69" s="26"/>
      <c r="G69" s="101"/>
      <c r="H69" s="18"/>
      <c r="I69" s="16"/>
      <c r="J69" s="16"/>
      <c r="K69" s="16"/>
      <c r="L69" s="16"/>
      <c r="M69" s="16"/>
      <c r="N69" s="16"/>
      <c r="P69" s="484"/>
    </row>
    <row r="70" spans="1:25" s="17" customFormat="1" ht="14.5" x14ac:dyDescent="0.35">
      <c r="A70" s="11"/>
      <c r="B70" s="57"/>
      <c r="C70" s="13"/>
      <c r="D70" s="14"/>
      <c r="E70" s="14"/>
      <c r="G70" s="14"/>
      <c r="H70" s="15"/>
      <c r="I70" s="102"/>
      <c r="J70" s="102"/>
      <c r="K70" s="16"/>
      <c r="L70" s="16"/>
      <c r="M70" s="16"/>
      <c r="N70" s="16"/>
      <c r="P70" s="484"/>
      <c r="T70" s="103"/>
      <c r="U70" s="103"/>
    </row>
    <row r="71" spans="1:25" s="17" customFormat="1" ht="15.5" x14ac:dyDescent="0.35">
      <c r="A71" s="635">
        <v>5</v>
      </c>
      <c r="B71" s="104" t="s">
        <v>14097</v>
      </c>
      <c r="C71" s="47"/>
      <c r="D71" s="47"/>
      <c r="E71" s="47"/>
      <c r="F71" s="47"/>
      <c r="G71" s="48"/>
      <c r="H71" s="13"/>
      <c r="P71" s="484"/>
      <c r="T71" s="103"/>
      <c r="U71" s="103"/>
    </row>
    <row r="72" spans="1:25" s="17" customFormat="1" ht="14.5" x14ac:dyDescent="0.35">
      <c r="A72" s="636"/>
      <c r="B72" s="582" t="str">
        <f>IFERROR(IF(B80="","Average weekly net rent (£ per week) and units for England - Large PRPs","Average weekly net rent (£ per week) and units for "&amp;$V$72&amp;" - large PRPs"),"")</f>
        <v>Average weekly net rent (£ per week) and units for England - Large PRPs</v>
      </c>
      <c r="C72" s="637"/>
      <c r="D72" s="637"/>
      <c r="E72" s="637"/>
      <c r="F72" s="637"/>
      <c r="G72" s="638"/>
      <c r="H72" s="13"/>
      <c r="P72" s="484"/>
      <c r="T72" s="103"/>
      <c r="U72" s="103"/>
      <c r="V72" s="103" t="e">
        <f>IF(B79="",S75,S74)</f>
        <v>#N/A</v>
      </c>
      <c r="W72" s="103"/>
    </row>
    <row r="73" spans="1:25" s="17" customFormat="1" ht="14.5" x14ac:dyDescent="0.35">
      <c r="A73" s="11"/>
      <c r="B73" s="639"/>
      <c r="C73" s="637"/>
      <c r="D73" s="637"/>
      <c r="E73" s="637"/>
      <c r="F73" s="637"/>
      <c r="G73" s="638"/>
      <c r="H73" s="13"/>
      <c r="P73" s="486"/>
      <c r="Q73" s="32"/>
      <c r="T73" s="103"/>
      <c r="U73" s="103"/>
      <c r="V73" s="103"/>
      <c r="W73" s="103"/>
      <c r="X73" s="32"/>
      <c r="Y73" s="32"/>
    </row>
    <row r="74" spans="1:25" s="17" customFormat="1" ht="12.75" customHeight="1" x14ac:dyDescent="0.35">
      <c r="A74" s="11"/>
      <c r="B74" s="639"/>
      <c r="C74" s="637"/>
      <c r="D74" s="637"/>
      <c r="E74" s="637"/>
      <c r="F74" s="637"/>
      <c r="G74" s="638"/>
      <c r="P74" s="484"/>
      <c r="R74" s="103"/>
      <c r="S74" s="103" t="e">
        <f>S81&amp;", "&amp;S82&amp;" and England"</f>
        <v>#N/A</v>
      </c>
      <c r="T74" s="103"/>
      <c r="U74" s="103"/>
      <c r="V74" s="103"/>
      <c r="W74" s="103"/>
    </row>
    <row r="75" spans="1:25" s="17" customFormat="1" ht="12.75" customHeight="1" x14ac:dyDescent="0.35">
      <c r="A75" s="11"/>
      <c r="B75" s="640"/>
      <c r="C75" s="641"/>
      <c r="D75" s="641"/>
      <c r="E75" s="641"/>
      <c r="F75" s="641"/>
      <c r="G75" s="642"/>
      <c r="H75" s="13"/>
      <c r="P75" s="484"/>
      <c r="R75" s="103"/>
      <c r="S75" s="103" t="e">
        <f>S82&amp;" and England"</f>
        <v>#N/A</v>
      </c>
      <c r="T75" s="103"/>
      <c r="U75" s="103"/>
      <c r="V75" s="103"/>
      <c r="W75" s="103"/>
    </row>
    <row r="76" spans="1:25" s="17" customFormat="1" ht="14.5" x14ac:dyDescent="0.35">
      <c r="A76" s="11"/>
      <c r="B76" s="62"/>
      <c r="C76" s="33" t="s">
        <v>42</v>
      </c>
      <c r="E76" s="105"/>
      <c r="F76" s="106"/>
      <c r="G76" s="107"/>
      <c r="H76" s="13"/>
      <c r="P76" s="484"/>
      <c r="R76" s="103"/>
      <c r="S76" s="103" t="str">
        <f>S83</f>
        <v>England</v>
      </c>
      <c r="T76" s="103"/>
      <c r="U76" s="103"/>
      <c r="V76" s="103"/>
      <c r="W76" s="103"/>
    </row>
    <row r="77" spans="1:25" s="230" customFormat="1" ht="14.5" customHeight="1" x14ac:dyDescent="0.3">
      <c r="A77" s="11"/>
      <c r="B77" s="108" t="e">
        <f>"Average weekly NET RENT (£ per week) for "&amp;$E$3&amp;", "&amp;$K$3&amp; " and England - Large PRPs"</f>
        <v>#N/A</v>
      </c>
      <c r="C77" s="109" t="s">
        <v>47</v>
      </c>
      <c r="D77" s="110" t="s">
        <v>13925</v>
      </c>
      <c r="E77" s="111" t="s">
        <v>48</v>
      </c>
      <c r="F77" s="109" t="s">
        <v>49</v>
      </c>
      <c r="G77" s="112" t="s">
        <v>50</v>
      </c>
      <c r="H77" s="13"/>
      <c r="P77" s="485"/>
      <c r="R77" s="103"/>
      <c r="S77" s="103"/>
      <c r="T77" s="103"/>
      <c r="U77" s="103"/>
      <c r="V77" s="103"/>
      <c r="W77" s="103"/>
    </row>
    <row r="78" spans="1:25" s="230" customFormat="1" ht="14.5" customHeight="1" x14ac:dyDescent="0.3">
      <c r="A78" s="11"/>
      <c r="B78" s="113" t="s">
        <v>12</v>
      </c>
      <c r="C78" s="114" t="s">
        <v>51</v>
      </c>
      <c r="D78" s="115" t="s">
        <v>51</v>
      </c>
      <c r="E78" s="115" t="s">
        <v>52</v>
      </c>
      <c r="F78" s="116" t="s">
        <v>53</v>
      </c>
      <c r="G78" s="117" t="s">
        <v>54</v>
      </c>
      <c r="H78" s="13"/>
      <c r="P78" s="485"/>
      <c r="R78" s="103"/>
      <c r="S78" s="103"/>
      <c r="T78" s="103"/>
      <c r="U78" s="103"/>
      <c r="V78" s="103"/>
      <c r="W78" s="103"/>
    </row>
    <row r="79" spans="1:25" s="230" customFormat="1" ht="14.5" customHeight="1" x14ac:dyDescent="0.25">
      <c r="A79" s="11"/>
      <c r="B79" s="118" t="str">
        <f>IFERROR(S81,"")</f>
        <v/>
      </c>
      <c r="C79" s="546" t="str">
        <f>IF($B$79="","",VLOOKUP($E$3,LA_Data,26,0))</f>
        <v/>
      </c>
      <c r="D79" s="559" t="str">
        <f>IF($B$79="","",VLOOKUP($E$3,LA_Data,27,0))</f>
        <v/>
      </c>
      <c r="E79" s="559" t="str">
        <f>IF($B$79="","",VLOOKUP($E$3,LA_Data,28,0))</f>
        <v/>
      </c>
      <c r="F79" s="559" t="str">
        <f>IF($B$79="","",VLOOKUP($E$3,LA_Data,29,0))</f>
        <v/>
      </c>
      <c r="G79" s="532" t="str">
        <f>IF($B$79="","",VLOOKUP($E$3,LA_Data,30,0))</f>
        <v/>
      </c>
      <c r="H79" s="13"/>
      <c r="I79" s="12"/>
      <c r="J79" s="12"/>
      <c r="L79" s="368"/>
      <c r="M79" s="368"/>
      <c r="N79" s="368"/>
      <c r="O79" s="368"/>
      <c r="P79" s="485"/>
      <c r="R79" s="103"/>
      <c r="S79" s="103"/>
      <c r="T79" s="103"/>
      <c r="U79" s="103"/>
      <c r="V79" s="103"/>
      <c r="W79" s="103"/>
    </row>
    <row r="80" spans="1:25" s="230" customFormat="1" ht="14.5" customHeight="1" x14ac:dyDescent="0.3">
      <c r="A80" s="11"/>
      <c r="B80" s="120" t="str">
        <f>IFERROR(S82,"")</f>
        <v/>
      </c>
      <c r="C80" s="547" t="str">
        <f>IF($B$80="","",VLOOKUP($B$18,LA_Data,26,0))</f>
        <v/>
      </c>
      <c r="D80" s="553" t="str">
        <f>IF($B$80="","",VLOOKUP($B$18,LA_Data,27,0))</f>
        <v/>
      </c>
      <c r="E80" s="553" t="str">
        <f>IF($B$80="","",VLOOKUP($B$18,LA_Data,28,0))</f>
        <v/>
      </c>
      <c r="F80" s="553" t="str">
        <f>IF($B$80="","",VLOOKUP($B$18,LA_Data,29,0))</f>
        <v/>
      </c>
      <c r="G80" s="533" t="str">
        <f>IF($B$80="","",VLOOKUP($B$18,LA_Data,30,0))</f>
        <v/>
      </c>
      <c r="H80" s="13"/>
      <c r="I80" s="16"/>
      <c r="J80" s="16"/>
      <c r="K80" s="16"/>
      <c r="L80" s="16"/>
      <c r="M80" s="16"/>
      <c r="N80" s="16"/>
      <c r="P80" s="485"/>
      <c r="R80" s="103"/>
      <c r="S80" s="103"/>
      <c r="T80" s="103"/>
      <c r="U80" s="103"/>
      <c r="V80" s="103"/>
      <c r="W80" s="103"/>
    </row>
    <row r="81" spans="1:25" s="230" customFormat="1" ht="14.5" customHeight="1" x14ac:dyDescent="0.3">
      <c r="A81" s="11"/>
      <c r="B81" s="122" t="s">
        <v>6</v>
      </c>
      <c r="C81" s="560">
        <f>IF($B$19="","",VLOOKUP($B$19,LA_Data,26,0))</f>
        <v>98.05</v>
      </c>
      <c r="D81" s="561">
        <f>IF($B$19="","",VLOOKUP($B$19,LA_Data,27,0))</f>
        <v>97.56</v>
      </c>
      <c r="E81" s="561">
        <f>IF($B$19="","",VLOOKUP($B$19,LA_Data,28,0))</f>
        <v>7.25</v>
      </c>
      <c r="F81" s="561">
        <f>IF($B$19="","",VLOOKUP($B$19,LA_Data,29,0))</f>
        <v>102.48</v>
      </c>
      <c r="G81" s="534">
        <f>IF($B$19="","",VLOOKUP($B$19,LA_Data,30,0))</f>
        <v>1826339</v>
      </c>
      <c r="H81" s="13"/>
      <c r="I81" s="16"/>
      <c r="J81" s="16"/>
      <c r="K81" s="16"/>
      <c r="L81" s="16"/>
      <c r="M81" s="16"/>
      <c r="N81" s="16"/>
      <c r="P81" s="485"/>
      <c r="R81" s="103">
        <f>$E$3</f>
        <v>0</v>
      </c>
      <c r="S81" s="103" t="e">
        <f>IF(R81=R82,"",R81)</f>
        <v>#N/A</v>
      </c>
      <c r="T81" s="103"/>
      <c r="U81" s="103"/>
      <c r="V81" s="103"/>
      <c r="W81" s="103"/>
    </row>
    <row r="82" spans="1:25" s="17" customFormat="1" ht="14.5" x14ac:dyDescent="0.35">
      <c r="A82" s="11"/>
      <c r="B82" s="123"/>
      <c r="C82" s="124"/>
      <c r="D82" s="124"/>
      <c r="E82" s="124"/>
      <c r="F82" s="124"/>
      <c r="G82" s="125"/>
      <c r="H82" s="13"/>
      <c r="I82" s="16"/>
      <c r="J82" s="16"/>
      <c r="K82" s="16"/>
      <c r="L82" s="16"/>
      <c r="M82" s="16"/>
      <c r="N82" s="16"/>
      <c r="P82" s="484"/>
      <c r="R82" s="103" t="e">
        <f>$K$3</f>
        <v>#N/A</v>
      </c>
      <c r="S82" s="103" t="e">
        <f>IF(R82=R83,"",R82)</f>
        <v>#N/A</v>
      </c>
      <c r="T82" s="103"/>
      <c r="U82" s="103"/>
      <c r="V82" s="103"/>
      <c r="W82" s="103"/>
    </row>
    <row r="83" spans="1:25" s="17" customFormat="1" ht="14.5" x14ac:dyDescent="0.35">
      <c r="A83" s="11"/>
      <c r="B83" s="123"/>
      <c r="C83" s="124"/>
      <c r="D83" s="124"/>
      <c r="E83" s="124"/>
      <c r="F83" s="124"/>
      <c r="G83" s="125"/>
      <c r="H83" s="13"/>
      <c r="I83" s="16"/>
      <c r="J83" s="16"/>
      <c r="K83" s="16"/>
      <c r="L83" s="16"/>
      <c r="M83" s="16"/>
      <c r="N83" s="16"/>
      <c r="P83" s="484"/>
      <c r="R83" s="103" t="s">
        <v>6</v>
      </c>
      <c r="S83" s="103" t="s">
        <v>6</v>
      </c>
      <c r="T83" s="103"/>
      <c r="U83" s="103"/>
      <c r="V83" s="103"/>
      <c r="W83" s="103"/>
    </row>
    <row r="84" spans="1:25" s="17" customFormat="1" ht="14.5" x14ac:dyDescent="0.35">
      <c r="A84" s="11"/>
      <c r="B84" s="123"/>
      <c r="C84" s="124"/>
      <c r="D84" s="124"/>
      <c r="E84" s="124"/>
      <c r="F84" s="124"/>
      <c r="G84" s="125"/>
      <c r="H84" s="13"/>
      <c r="I84" s="16"/>
      <c r="J84" s="16"/>
      <c r="K84" s="16"/>
      <c r="L84" s="16"/>
      <c r="M84" s="16"/>
      <c r="N84" s="16"/>
      <c r="P84" s="484"/>
      <c r="R84" s="103"/>
      <c r="S84" s="103"/>
      <c r="T84" s="103"/>
      <c r="U84" s="103"/>
      <c r="V84" s="103"/>
      <c r="W84" s="103"/>
    </row>
    <row r="85" spans="1:25" s="17" customFormat="1" ht="14.5" x14ac:dyDescent="0.35">
      <c r="A85" s="11"/>
      <c r="B85" s="123"/>
      <c r="C85" s="124"/>
      <c r="D85" s="124"/>
      <c r="E85" s="124"/>
      <c r="F85" s="124"/>
      <c r="G85" s="125"/>
      <c r="H85" s="13"/>
      <c r="I85" s="16"/>
      <c r="J85" s="16"/>
      <c r="K85" s="16"/>
      <c r="L85" s="16"/>
      <c r="M85" s="16"/>
      <c r="N85" s="16"/>
      <c r="P85" s="484"/>
      <c r="R85" s="103"/>
      <c r="S85" s="103"/>
      <c r="T85" s="103"/>
      <c r="U85" s="103"/>
      <c r="V85" s="103"/>
      <c r="W85" s="103"/>
    </row>
    <row r="86" spans="1:25" s="17" customFormat="1" ht="14.5" x14ac:dyDescent="0.35">
      <c r="A86" s="11"/>
      <c r="B86" s="123"/>
      <c r="C86" s="124"/>
      <c r="D86" s="124"/>
      <c r="E86" s="124"/>
      <c r="F86" s="124"/>
      <c r="G86" s="125"/>
      <c r="H86" s="13"/>
      <c r="I86" s="16"/>
      <c r="J86" s="16"/>
      <c r="K86" s="16"/>
      <c r="L86" s="16"/>
      <c r="M86" s="16"/>
      <c r="N86" s="16"/>
      <c r="P86" s="484"/>
      <c r="R86" s="103"/>
      <c r="S86" s="103"/>
      <c r="T86" s="103"/>
      <c r="U86" s="103"/>
      <c r="V86" s="103"/>
      <c r="W86" s="103"/>
    </row>
    <row r="87" spans="1:25" s="17" customFormat="1" ht="14.5" x14ac:dyDescent="0.35">
      <c r="A87" s="11"/>
      <c r="B87" s="126" t="s">
        <v>55</v>
      </c>
      <c r="G87" s="72"/>
      <c r="H87" s="13"/>
      <c r="I87" s="16"/>
      <c r="J87" s="16"/>
      <c r="K87" s="16"/>
      <c r="L87" s="16"/>
      <c r="M87" s="16"/>
      <c r="N87" s="16"/>
      <c r="P87" s="484"/>
      <c r="R87" s="103"/>
      <c r="S87" s="103"/>
      <c r="T87" s="103"/>
      <c r="U87" s="103"/>
      <c r="V87" s="103"/>
      <c r="W87" s="103"/>
    </row>
    <row r="88" spans="1:25" s="17" customFormat="1" ht="12.75" customHeight="1" x14ac:dyDescent="0.35">
      <c r="A88" s="11"/>
      <c r="B88" s="491" t="s">
        <v>13934</v>
      </c>
      <c r="C88" s="127"/>
      <c r="G88" s="72"/>
      <c r="H88" s="13"/>
      <c r="I88" s="16"/>
      <c r="J88" s="16"/>
      <c r="K88" s="16"/>
      <c r="L88" s="16"/>
      <c r="M88" s="16"/>
      <c r="N88" s="16"/>
      <c r="P88" s="484"/>
      <c r="R88" s="103"/>
      <c r="S88" s="103"/>
      <c r="T88" s="103"/>
      <c r="U88" s="103"/>
      <c r="V88" s="103"/>
      <c r="W88" s="103"/>
    </row>
    <row r="89" spans="1:25" s="17" customFormat="1" ht="14.5" x14ac:dyDescent="0.35">
      <c r="A89" s="11"/>
      <c r="B89" s="643" t="s">
        <v>56</v>
      </c>
      <c r="C89" s="644"/>
      <c r="D89" s="644"/>
      <c r="E89" s="644"/>
      <c r="F89" s="644"/>
      <c r="G89" s="645"/>
      <c r="H89" s="13"/>
      <c r="I89" s="16"/>
      <c r="J89" s="16"/>
      <c r="K89" s="16"/>
      <c r="L89" s="16"/>
      <c r="M89" s="16"/>
      <c r="N89" s="16"/>
      <c r="P89" s="484"/>
      <c r="R89" s="103"/>
      <c r="S89" s="103"/>
      <c r="T89" s="103"/>
      <c r="U89" s="103"/>
      <c r="V89" s="103"/>
      <c r="W89" s="103"/>
    </row>
    <row r="90" spans="1:25" s="17" customFormat="1" ht="14.5" x14ac:dyDescent="0.35">
      <c r="A90" s="11"/>
      <c r="B90" s="646"/>
      <c r="C90" s="644"/>
      <c r="D90" s="644"/>
      <c r="E90" s="644"/>
      <c r="F90" s="644"/>
      <c r="G90" s="645"/>
      <c r="H90" s="13"/>
      <c r="I90" s="16"/>
      <c r="J90" s="16"/>
      <c r="K90" s="16"/>
      <c r="L90" s="16"/>
      <c r="M90" s="16"/>
      <c r="N90" s="16"/>
      <c r="P90" s="484"/>
      <c r="R90" s="103"/>
      <c r="S90" s="103"/>
      <c r="T90" s="103"/>
      <c r="U90" s="103"/>
      <c r="V90" s="103"/>
      <c r="W90" s="103"/>
    </row>
    <row r="91" spans="1:25" s="17" customFormat="1" ht="14.5" x14ac:dyDescent="0.35">
      <c r="A91" s="11"/>
      <c r="B91" s="646"/>
      <c r="C91" s="644"/>
      <c r="D91" s="644"/>
      <c r="E91" s="644"/>
      <c r="F91" s="644"/>
      <c r="G91" s="645"/>
      <c r="H91" s="13"/>
      <c r="I91" s="16"/>
      <c r="J91" s="16"/>
      <c r="K91" s="16"/>
      <c r="L91" s="16"/>
      <c r="M91" s="16"/>
      <c r="N91" s="16"/>
      <c r="P91" s="484"/>
      <c r="R91" s="103"/>
      <c r="S91" s="103"/>
      <c r="T91" s="103"/>
      <c r="U91" s="103"/>
      <c r="V91" s="103"/>
      <c r="W91" s="103"/>
    </row>
    <row r="92" spans="1:25" s="17" customFormat="1" ht="14.5" x14ac:dyDescent="0.35">
      <c r="A92" s="11"/>
      <c r="B92" s="128" t="s">
        <v>14111</v>
      </c>
      <c r="C92" s="26"/>
      <c r="D92" s="26"/>
      <c r="E92" s="26"/>
      <c r="F92" s="26"/>
      <c r="G92" s="79"/>
      <c r="H92" s="13"/>
      <c r="I92" s="16"/>
      <c r="J92" s="16"/>
      <c r="K92" s="16"/>
      <c r="L92" s="16"/>
      <c r="M92" s="16"/>
      <c r="N92" s="16"/>
      <c r="P92" s="484"/>
      <c r="R92" s="103"/>
      <c r="S92" s="103"/>
      <c r="T92" s="103"/>
      <c r="U92" s="103"/>
      <c r="V92" s="103"/>
      <c r="W92" s="103"/>
    </row>
    <row r="93" spans="1:25" s="17" customFormat="1" ht="14.5" x14ac:dyDescent="0.35">
      <c r="A93" s="11"/>
      <c r="H93" s="13"/>
      <c r="I93" s="102"/>
      <c r="J93" s="102"/>
      <c r="K93" s="16"/>
      <c r="L93" s="16"/>
      <c r="M93" s="16"/>
      <c r="N93" s="16"/>
      <c r="P93" s="484"/>
      <c r="R93" s="103"/>
      <c r="S93" s="103"/>
      <c r="T93" s="103"/>
      <c r="U93" s="103"/>
      <c r="V93" s="103"/>
      <c r="W93" s="103"/>
    </row>
    <row r="94" spans="1:25" s="17" customFormat="1" ht="15.5" x14ac:dyDescent="0.35">
      <c r="A94" s="635">
        <v>6</v>
      </c>
      <c r="B94" s="104" t="s">
        <v>14098</v>
      </c>
      <c r="C94" s="47"/>
      <c r="D94" s="47"/>
      <c r="E94" s="47"/>
      <c r="F94" s="47"/>
      <c r="G94" s="48"/>
      <c r="H94" s="13"/>
      <c r="I94" s="16"/>
      <c r="J94" s="16"/>
      <c r="K94" s="16"/>
      <c r="L94" s="16"/>
      <c r="M94" s="16"/>
      <c r="N94" s="16"/>
      <c r="P94" s="484"/>
      <c r="R94" s="103"/>
      <c r="S94" s="103"/>
      <c r="T94" s="103"/>
      <c r="U94" s="103"/>
      <c r="V94" s="103"/>
      <c r="W94" s="103"/>
    </row>
    <row r="95" spans="1:25" s="17" customFormat="1" ht="12.75" customHeight="1" x14ac:dyDescent="0.35">
      <c r="A95" s="636"/>
      <c r="B95" s="582" t="str">
        <f>IFERROR(IF(B103="","Average weekly net rent (£ per week) and units for England - large PRPs","Average weekly net rent (£ per week) and units for "&amp;$V$72&amp;" - large PRPs"),"")</f>
        <v>Average weekly net rent (£ per week) and units for England - large PRPs</v>
      </c>
      <c r="C95" s="637"/>
      <c r="D95" s="637"/>
      <c r="E95" s="637"/>
      <c r="F95" s="637"/>
      <c r="G95" s="638"/>
      <c r="H95" s="13"/>
      <c r="I95" s="16"/>
      <c r="J95" s="16"/>
      <c r="K95" s="16"/>
      <c r="L95" s="16"/>
      <c r="M95" s="16"/>
      <c r="N95" s="16"/>
      <c r="P95" s="484"/>
      <c r="R95" s="103"/>
      <c r="S95" s="103"/>
      <c r="T95" s="103"/>
      <c r="U95" s="103"/>
      <c r="V95" s="103" t="e">
        <f>IF(B102="",S98,S97)</f>
        <v>#N/A</v>
      </c>
      <c r="W95" s="103"/>
    </row>
    <row r="96" spans="1:25" s="17" customFormat="1" ht="14.5" x14ac:dyDescent="0.35">
      <c r="A96" s="20"/>
      <c r="B96" s="639"/>
      <c r="C96" s="637"/>
      <c r="D96" s="637"/>
      <c r="E96" s="637"/>
      <c r="F96" s="637"/>
      <c r="G96" s="638"/>
      <c r="I96" s="16"/>
      <c r="J96" s="16"/>
      <c r="K96" s="16"/>
      <c r="L96" s="16"/>
      <c r="M96" s="16"/>
      <c r="N96" s="16"/>
      <c r="P96" s="486"/>
      <c r="Q96" s="32"/>
      <c r="R96" s="103"/>
      <c r="S96" s="103"/>
      <c r="T96" s="103"/>
      <c r="U96" s="103"/>
      <c r="V96" s="103"/>
      <c r="W96" s="103"/>
      <c r="X96" s="32"/>
      <c r="Y96" s="32"/>
    </row>
    <row r="97" spans="1:23" s="17" customFormat="1" ht="14.5" x14ac:dyDescent="0.35">
      <c r="A97" s="20"/>
      <c r="B97" s="639"/>
      <c r="C97" s="637"/>
      <c r="D97" s="637"/>
      <c r="E97" s="637"/>
      <c r="F97" s="637"/>
      <c r="G97" s="638"/>
      <c r="H97" s="13"/>
      <c r="I97" s="16"/>
      <c r="J97" s="16"/>
      <c r="K97" s="16"/>
      <c r="L97" s="16"/>
      <c r="M97" s="16"/>
      <c r="N97" s="16"/>
      <c r="P97" s="484"/>
      <c r="R97" s="103"/>
      <c r="S97" s="103" t="e">
        <f>S104&amp;", "&amp;S105&amp;" and England"</f>
        <v>#N/A</v>
      </c>
      <c r="T97" s="103"/>
      <c r="U97" s="103"/>
      <c r="V97" s="103"/>
      <c r="W97" s="103"/>
    </row>
    <row r="98" spans="1:23" s="17" customFormat="1" ht="14.5" x14ac:dyDescent="0.35">
      <c r="A98" s="11"/>
      <c r="B98" s="640"/>
      <c r="C98" s="641"/>
      <c r="D98" s="641"/>
      <c r="E98" s="641"/>
      <c r="F98" s="641"/>
      <c r="G98" s="642"/>
      <c r="H98" s="13"/>
      <c r="I98" s="16"/>
      <c r="J98" s="16"/>
      <c r="K98" s="16"/>
      <c r="L98" s="16"/>
      <c r="M98" s="16"/>
      <c r="N98" s="16"/>
      <c r="P98" s="484"/>
      <c r="R98" s="103"/>
      <c r="S98" s="103" t="e">
        <f>S105&amp;" and England"</f>
        <v>#N/A</v>
      </c>
      <c r="T98" s="103"/>
      <c r="U98" s="103"/>
      <c r="V98" s="103"/>
      <c r="W98" s="103"/>
    </row>
    <row r="99" spans="1:23" s="17" customFormat="1" ht="14.5" x14ac:dyDescent="0.35">
      <c r="A99" s="11"/>
      <c r="B99" s="62"/>
      <c r="C99" s="33" t="s">
        <v>42</v>
      </c>
      <c r="D99" s="129"/>
      <c r="E99" s="129"/>
      <c r="F99" s="130"/>
      <c r="G99" s="72"/>
      <c r="H99" s="13"/>
      <c r="I99" s="16"/>
      <c r="J99" s="16"/>
      <c r="K99" s="16"/>
      <c r="L99" s="16"/>
      <c r="M99" s="16"/>
      <c r="N99" s="16"/>
      <c r="P99" s="484"/>
      <c r="R99" s="103"/>
      <c r="S99" s="103" t="str">
        <f>S106</f>
        <v>England</v>
      </c>
      <c r="T99" s="103"/>
      <c r="U99" s="103"/>
      <c r="V99" s="103"/>
      <c r="W99" s="103"/>
    </row>
    <row r="100" spans="1:23" s="230" customFormat="1" ht="14.5" customHeight="1" x14ac:dyDescent="0.3">
      <c r="A100" s="11"/>
      <c r="B100" s="108" t="e">
        <f>"Average weekly NET RENT (£ per week) for "&amp;$E$3&amp;", "&amp;$K$3&amp; " and England - Large PRPs"</f>
        <v>#N/A</v>
      </c>
      <c r="C100" s="109" t="s">
        <v>47</v>
      </c>
      <c r="D100" s="110" t="s">
        <v>13925</v>
      </c>
      <c r="E100" s="111" t="s">
        <v>48</v>
      </c>
      <c r="F100" s="109" t="s">
        <v>49</v>
      </c>
      <c r="G100" s="131" t="s">
        <v>50</v>
      </c>
      <c r="H100" s="13"/>
      <c r="I100" s="16"/>
      <c r="J100" s="16"/>
      <c r="K100" s="16"/>
      <c r="L100" s="16"/>
      <c r="M100" s="16"/>
      <c r="N100" s="16"/>
      <c r="P100" s="485"/>
      <c r="R100" s="103"/>
      <c r="S100" s="103"/>
      <c r="T100" s="103"/>
      <c r="U100" s="103"/>
      <c r="V100" s="103"/>
      <c r="W100" s="103"/>
    </row>
    <row r="101" spans="1:23" s="230" customFormat="1" ht="14.5" customHeight="1" x14ac:dyDescent="0.3">
      <c r="A101" s="11"/>
      <c r="B101" s="132" t="s">
        <v>57</v>
      </c>
      <c r="C101" s="114" t="s">
        <v>51</v>
      </c>
      <c r="D101" s="115" t="s">
        <v>51</v>
      </c>
      <c r="E101" s="115" t="s">
        <v>52</v>
      </c>
      <c r="F101" s="116" t="s">
        <v>53</v>
      </c>
      <c r="G101" s="117" t="s">
        <v>54</v>
      </c>
      <c r="H101" s="13"/>
      <c r="I101" s="16"/>
      <c r="J101" s="16"/>
      <c r="K101" s="16"/>
      <c r="L101" s="16"/>
      <c r="M101" s="16"/>
      <c r="N101" s="16"/>
      <c r="P101" s="485"/>
      <c r="R101" s="103"/>
      <c r="S101" s="103"/>
      <c r="T101" s="103"/>
      <c r="U101" s="103"/>
      <c r="V101" s="103"/>
      <c r="W101" s="103"/>
    </row>
    <row r="102" spans="1:23" s="230" customFormat="1" ht="14.5" customHeight="1" x14ac:dyDescent="0.3">
      <c r="A102" s="11"/>
      <c r="B102" s="118" t="str">
        <f>IFERROR(S104,"")</f>
        <v/>
      </c>
      <c r="C102" s="546" t="str">
        <f>IF($B$79="","",VLOOKUP($E$3,LA_Data,31,0))</f>
        <v/>
      </c>
      <c r="D102" s="559" t="str">
        <f>IF($B$79="","",VLOOKUP($E$3,LA_Data,32,0))</f>
        <v/>
      </c>
      <c r="E102" s="559" t="str">
        <f>IF($B$79="","",VLOOKUP($E$3,LA_Data,33,0))</f>
        <v/>
      </c>
      <c r="F102" s="559" t="str">
        <f>IF($B$79="","",VLOOKUP($E$3,LA_Data,34,0))</f>
        <v/>
      </c>
      <c r="G102" s="532" t="str">
        <f>IF($B$79="","",VLOOKUP($E$3,LA_Data,35,0))</f>
        <v/>
      </c>
      <c r="H102" s="13"/>
      <c r="I102" s="16"/>
      <c r="J102" s="16"/>
      <c r="K102" s="16"/>
      <c r="L102" s="16"/>
      <c r="M102" s="16"/>
      <c r="N102" s="16"/>
      <c r="P102" s="485"/>
      <c r="R102" s="103"/>
      <c r="S102" s="103"/>
      <c r="T102" s="103"/>
      <c r="U102" s="103"/>
      <c r="V102" s="103"/>
      <c r="W102" s="103"/>
    </row>
    <row r="103" spans="1:23" s="230" customFormat="1" ht="14.5" customHeight="1" x14ac:dyDescent="0.3">
      <c r="A103" s="11"/>
      <c r="B103" s="120" t="str">
        <f>IFERROR(S105,"")</f>
        <v/>
      </c>
      <c r="C103" s="547" t="str">
        <f>IF($B$80="","",VLOOKUP($B$18,LA_Data,31,0))</f>
        <v/>
      </c>
      <c r="D103" s="553" t="str">
        <f>IF($B$80="","",VLOOKUP($B$18,LA_Data,32,0))</f>
        <v/>
      </c>
      <c r="E103" s="553" t="str">
        <f>IF($B$80="","",VLOOKUP($B$18,LA_Data,33,0))</f>
        <v/>
      </c>
      <c r="F103" s="553" t="str">
        <f>IF($B$80="","",VLOOKUP($B$18,LA_Data,34,0))</f>
        <v/>
      </c>
      <c r="G103" s="533" t="str">
        <f>IF($B$80="","",VLOOKUP($B$18,LA_Data,35,0))</f>
        <v/>
      </c>
      <c r="H103" s="13"/>
      <c r="I103" s="16"/>
      <c r="J103" s="16"/>
      <c r="K103" s="16"/>
      <c r="L103" s="16"/>
      <c r="M103" s="16"/>
      <c r="N103" s="16"/>
      <c r="P103" s="485"/>
      <c r="R103" s="103"/>
      <c r="S103" s="103"/>
      <c r="T103" s="103"/>
      <c r="U103" s="103"/>
      <c r="V103" s="103"/>
      <c r="W103" s="103"/>
    </row>
    <row r="104" spans="1:23" s="230" customFormat="1" ht="14.5" customHeight="1" x14ac:dyDescent="0.3">
      <c r="A104" s="11"/>
      <c r="B104" s="122" t="s">
        <v>6</v>
      </c>
      <c r="C104" s="560">
        <f>IF($B$19="","",VLOOKUP($B$19,LA_Data,31,0))</f>
        <v>95.6</v>
      </c>
      <c r="D104" s="561">
        <f>IF($B$19="","",VLOOKUP($B$19,LA_Data,32,0))</f>
        <v>86.71</v>
      </c>
      <c r="E104" s="561">
        <f>IF($B$19="","",VLOOKUP($B$19,LA_Data,33,0))</f>
        <v>46</v>
      </c>
      <c r="F104" s="561">
        <f>IF($B$19="","",VLOOKUP($B$19,LA_Data,34,0))</f>
        <v>139.35</v>
      </c>
      <c r="G104" s="535">
        <f>IF($B$19="","",VLOOKUP($B$19,LA_Data,35,0))</f>
        <v>333961</v>
      </c>
      <c r="H104" s="13"/>
      <c r="I104" s="16"/>
      <c r="J104" s="16"/>
      <c r="K104" s="16"/>
      <c r="L104" s="16"/>
      <c r="M104" s="16"/>
      <c r="N104" s="16"/>
      <c r="P104" s="485"/>
      <c r="R104" s="103">
        <f>$E$3</f>
        <v>0</v>
      </c>
      <c r="S104" s="103" t="e">
        <f>IF(R104=R105,"",R104)</f>
        <v>#N/A</v>
      </c>
      <c r="T104" s="103"/>
      <c r="U104" s="103"/>
      <c r="V104" s="103"/>
      <c r="W104" s="103"/>
    </row>
    <row r="105" spans="1:23" s="17" customFormat="1" ht="14.5" customHeight="1" x14ac:dyDescent="0.35">
      <c r="A105" s="11"/>
      <c r="B105" s="133"/>
      <c r="C105" s="55"/>
      <c r="D105" s="55"/>
      <c r="E105" s="55"/>
      <c r="F105" s="55"/>
      <c r="G105" s="134"/>
      <c r="H105" s="13"/>
      <c r="I105" s="16"/>
      <c r="J105" s="16"/>
      <c r="K105" s="16"/>
      <c r="L105" s="16"/>
      <c r="M105" s="16"/>
      <c r="N105" s="16"/>
      <c r="P105" s="484"/>
      <c r="R105" s="103" t="e">
        <f>$K$3</f>
        <v>#N/A</v>
      </c>
      <c r="S105" s="103" t="e">
        <f>IF(R105=R106,"",R105)</f>
        <v>#N/A</v>
      </c>
      <c r="T105" s="103"/>
      <c r="U105" s="103"/>
      <c r="V105" s="103"/>
      <c r="W105" s="103"/>
    </row>
    <row r="106" spans="1:23" s="17" customFormat="1" ht="14.5" customHeight="1" x14ac:dyDescent="0.35">
      <c r="A106" s="11"/>
      <c r="B106" s="62"/>
      <c r="G106" s="72"/>
      <c r="H106" s="13"/>
      <c r="I106" s="16"/>
      <c r="J106" s="16"/>
      <c r="K106" s="16"/>
      <c r="L106" s="16"/>
      <c r="M106" s="16"/>
      <c r="N106" s="16"/>
      <c r="P106" s="484"/>
      <c r="R106" s="103" t="s">
        <v>6</v>
      </c>
      <c r="S106" s="103" t="s">
        <v>6</v>
      </c>
      <c r="T106" s="103"/>
      <c r="U106" s="103"/>
      <c r="V106" s="103"/>
      <c r="W106" s="103"/>
    </row>
    <row r="107" spans="1:23" s="17" customFormat="1" ht="14.5" customHeight="1" x14ac:dyDescent="0.35">
      <c r="A107" s="11"/>
      <c r="B107" s="62"/>
      <c r="G107" s="72"/>
      <c r="H107" s="13"/>
      <c r="I107" s="16"/>
      <c r="J107" s="16"/>
      <c r="K107" s="16"/>
      <c r="L107" s="16"/>
      <c r="M107" s="16"/>
      <c r="N107" s="16"/>
      <c r="P107" s="484"/>
      <c r="R107" s="103"/>
      <c r="S107" s="103"/>
      <c r="T107" s="103"/>
      <c r="U107" s="103"/>
      <c r="V107" s="103"/>
      <c r="W107" s="103"/>
    </row>
    <row r="108" spans="1:23" s="17" customFormat="1" ht="14.5" customHeight="1" x14ac:dyDescent="0.35">
      <c r="A108" s="11"/>
      <c r="B108" s="62"/>
      <c r="G108" s="72"/>
      <c r="H108" s="13"/>
      <c r="I108" s="16"/>
      <c r="J108" s="16"/>
      <c r="K108" s="16"/>
      <c r="L108" s="16"/>
      <c r="M108" s="16"/>
      <c r="N108" s="16"/>
      <c r="P108" s="484"/>
      <c r="R108" s="103"/>
      <c r="S108" s="103"/>
      <c r="T108" s="103"/>
      <c r="U108" s="103"/>
      <c r="V108" s="103"/>
      <c r="W108" s="103"/>
    </row>
    <row r="109" spans="1:23" s="17" customFormat="1" ht="14.5" x14ac:dyDescent="0.35">
      <c r="A109" s="11"/>
      <c r="B109" s="126" t="s">
        <v>55</v>
      </c>
      <c r="G109" s="72"/>
      <c r="H109" s="13"/>
      <c r="I109" s="16"/>
      <c r="J109" s="16"/>
      <c r="K109" s="16"/>
      <c r="L109" s="16"/>
      <c r="M109" s="16"/>
      <c r="N109" s="16"/>
      <c r="P109" s="484"/>
      <c r="R109" s="103"/>
      <c r="S109" s="103"/>
      <c r="T109" s="103"/>
      <c r="U109" s="103"/>
      <c r="V109" s="103"/>
      <c r="W109" s="103"/>
    </row>
    <row r="110" spans="1:23" s="17" customFormat="1" ht="14.5" x14ac:dyDescent="0.35">
      <c r="A110" s="11"/>
      <c r="B110" s="491" t="s">
        <v>13934</v>
      </c>
      <c r="C110" s="127"/>
      <c r="G110" s="72"/>
      <c r="H110" s="13"/>
      <c r="I110" s="16"/>
      <c r="J110" s="16"/>
      <c r="K110" s="16"/>
      <c r="L110" s="16"/>
      <c r="M110" s="16"/>
      <c r="N110" s="16"/>
      <c r="P110" s="484"/>
      <c r="R110" s="103"/>
      <c r="S110" s="103"/>
      <c r="T110" s="103"/>
      <c r="U110" s="103"/>
      <c r="V110" s="103"/>
      <c r="W110" s="103"/>
    </row>
    <row r="111" spans="1:23" s="17" customFormat="1" ht="14.5" x14ac:dyDescent="0.35">
      <c r="A111" s="11"/>
      <c r="B111" s="643" t="s">
        <v>56</v>
      </c>
      <c r="C111" s="644"/>
      <c r="D111" s="644"/>
      <c r="E111" s="644"/>
      <c r="F111" s="644"/>
      <c r="G111" s="645"/>
      <c r="H111" s="13"/>
      <c r="I111" s="16"/>
      <c r="J111" s="16"/>
      <c r="K111" s="16"/>
      <c r="L111" s="16"/>
      <c r="M111" s="16"/>
      <c r="N111" s="16"/>
      <c r="P111" s="484"/>
      <c r="R111" s="103"/>
      <c r="S111" s="103"/>
      <c r="T111" s="103"/>
      <c r="U111" s="103"/>
      <c r="V111" s="103"/>
      <c r="W111" s="103"/>
    </row>
    <row r="112" spans="1:23" s="17" customFormat="1" ht="14.5" x14ac:dyDescent="0.35">
      <c r="A112" s="11"/>
      <c r="B112" s="646"/>
      <c r="C112" s="644"/>
      <c r="D112" s="644"/>
      <c r="E112" s="644"/>
      <c r="F112" s="644"/>
      <c r="G112" s="645"/>
      <c r="H112" s="13"/>
      <c r="I112" s="16"/>
      <c r="J112" s="16"/>
      <c r="K112" s="16"/>
      <c r="L112" s="16"/>
      <c r="M112" s="16"/>
      <c r="N112" s="16"/>
      <c r="P112" s="484"/>
      <c r="R112" s="103"/>
      <c r="S112" s="103"/>
      <c r="T112" s="103"/>
      <c r="U112" s="103"/>
      <c r="V112" s="103"/>
      <c r="W112" s="103"/>
    </row>
    <row r="113" spans="1:23" s="17" customFormat="1" ht="14.5" x14ac:dyDescent="0.35">
      <c r="A113" s="11"/>
      <c r="B113" s="646"/>
      <c r="C113" s="644"/>
      <c r="D113" s="644"/>
      <c r="E113" s="644"/>
      <c r="F113" s="644"/>
      <c r="G113" s="645"/>
      <c r="H113" s="13"/>
      <c r="I113" s="16"/>
      <c r="J113" s="16"/>
      <c r="K113" s="16"/>
      <c r="L113" s="16"/>
      <c r="M113" s="16"/>
      <c r="N113" s="16"/>
      <c r="P113" s="484"/>
      <c r="R113" s="103"/>
      <c r="S113" s="103"/>
      <c r="T113" s="103"/>
      <c r="U113" s="103"/>
      <c r="V113" s="103"/>
      <c r="W113" s="103"/>
    </row>
    <row r="114" spans="1:23" s="17" customFormat="1" ht="14.5" x14ac:dyDescent="0.35">
      <c r="A114" s="11"/>
      <c r="B114" s="128" t="s">
        <v>14111</v>
      </c>
      <c r="C114" s="26"/>
      <c r="D114" s="26"/>
      <c r="E114" s="26"/>
      <c r="F114" s="26"/>
      <c r="G114" s="79"/>
      <c r="H114" s="13"/>
      <c r="P114" s="484"/>
      <c r="R114" s="103"/>
      <c r="S114" s="103"/>
      <c r="T114" s="103"/>
      <c r="U114" s="103"/>
      <c r="V114" s="103"/>
      <c r="W114" s="103"/>
    </row>
    <row r="115" spans="1:23" s="17" customFormat="1" ht="12.75" customHeight="1" x14ac:dyDescent="0.35">
      <c r="A115" s="11"/>
      <c r="H115" s="13"/>
      <c r="I115" s="102"/>
      <c r="J115" s="102"/>
      <c r="P115" s="484"/>
      <c r="R115" s="103"/>
      <c r="S115" s="103"/>
      <c r="T115" s="103"/>
      <c r="U115" s="103"/>
      <c r="V115" s="103"/>
      <c r="W115" s="103"/>
    </row>
    <row r="116" spans="1:23" s="17" customFormat="1" ht="15.5" x14ac:dyDescent="0.35">
      <c r="A116" s="635">
        <v>7</v>
      </c>
      <c r="B116" s="104" t="s">
        <v>58</v>
      </c>
      <c r="C116" s="47"/>
      <c r="D116" s="47"/>
      <c r="E116" s="47"/>
      <c r="F116" s="47"/>
      <c r="G116" s="48"/>
      <c r="H116" s="13"/>
      <c r="P116" s="484"/>
      <c r="R116" s="103"/>
      <c r="S116" s="103"/>
      <c r="T116" s="103"/>
      <c r="U116" s="103"/>
      <c r="V116" s="103"/>
      <c r="W116" s="103"/>
    </row>
    <row r="117" spans="1:23" s="17" customFormat="1" ht="12.75" customHeight="1" x14ac:dyDescent="0.35">
      <c r="A117" s="636"/>
      <c r="B117" s="582" t="str">
        <f>IFERROR(IF(B146="","Average weekly gross rent (£ per week) and units for England","Average weekly gross rent (£ per week) and units for "&amp;$V$72),"")</f>
        <v>Average weekly gross rent (£ per week) and units for England</v>
      </c>
      <c r="C117" s="637"/>
      <c r="D117" s="637"/>
      <c r="E117" s="637"/>
      <c r="F117" s="637"/>
      <c r="G117" s="638"/>
      <c r="H117" s="13"/>
      <c r="P117" s="484"/>
      <c r="R117" s="103"/>
      <c r="S117" s="103"/>
      <c r="T117" s="103"/>
      <c r="U117" s="103"/>
      <c r="V117" s="103"/>
      <c r="W117" s="103"/>
    </row>
    <row r="118" spans="1:23" s="17" customFormat="1" ht="14.5" x14ac:dyDescent="0.35">
      <c r="A118" s="11"/>
      <c r="B118" s="639"/>
      <c r="C118" s="637"/>
      <c r="D118" s="637"/>
      <c r="E118" s="637"/>
      <c r="F118" s="637"/>
      <c r="G118" s="638"/>
      <c r="P118" s="484"/>
      <c r="R118" s="103"/>
      <c r="S118" s="103"/>
      <c r="T118" s="103"/>
      <c r="U118" s="103"/>
      <c r="V118" s="103"/>
      <c r="W118" s="103"/>
    </row>
    <row r="119" spans="1:23" s="17" customFormat="1" ht="14.5" x14ac:dyDescent="0.35">
      <c r="A119" s="11"/>
      <c r="B119" s="639"/>
      <c r="C119" s="637"/>
      <c r="D119" s="637"/>
      <c r="E119" s="637"/>
      <c r="F119" s="637"/>
      <c r="G119" s="638"/>
      <c r="H119" s="13"/>
      <c r="P119" s="484"/>
      <c r="R119" s="103"/>
      <c r="S119" s="103" t="e">
        <f>S126&amp;", "&amp;S127&amp;" and England"</f>
        <v>#N/A</v>
      </c>
      <c r="T119" s="103"/>
      <c r="U119" s="103"/>
      <c r="V119" s="103"/>
      <c r="W119" s="103"/>
    </row>
    <row r="120" spans="1:23" s="17" customFormat="1" ht="14.5" x14ac:dyDescent="0.35">
      <c r="A120" s="11"/>
      <c r="B120" s="640"/>
      <c r="C120" s="641"/>
      <c r="D120" s="641"/>
      <c r="E120" s="641"/>
      <c r="F120" s="641"/>
      <c r="G120" s="642"/>
      <c r="H120" s="13"/>
      <c r="P120" s="484"/>
      <c r="R120" s="103"/>
      <c r="S120" s="103" t="e">
        <f>S127&amp;" and England"</f>
        <v>#N/A</v>
      </c>
      <c r="T120" s="103"/>
      <c r="U120" s="103"/>
      <c r="V120" s="103"/>
      <c r="W120" s="103"/>
    </row>
    <row r="121" spans="1:23" s="17" customFormat="1" ht="14.5" customHeight="1" x14ac:dyDescent="0.35">
      <c r="A121" s="11"/>
      <c r="B121" s="62"/>
      <c r="D121" s="129"/>
      <c r="E121" s="129"/>
      <c r="F121" s="33" t="s">
        <v>42</v>
      </c>
      <c r="G121" s="135"/>
      <c r="H121" s="13"/>
      <c r="P121" s="484"/>
      <c r="R121" s="103"/>
      <c r="S121" s="103" t="str">
        <f>S128</f>
        <v>England</v>
      </c>
      <c r="T121" s="103"/>
      <c r="U121" s="103"/>
      <c r="V121" s="103"/>
      <c r="W121" s="103"/>
    </row>
    <row r="122" spans="1:23" s="230" customFormat="1" ht="14.5" customHeight="1" x14ac:dyDescent="0.3">
      <c r="A122" s="11"/>
      <c r="B122" s="108" t="e">
        <f>"Average weekly GROSS RENT (£ per week) for "&amp;$E$3&amp;", "&amp;$K$3&amp; " and England"</f>
        <v>#N/A</v>
      </c>
      <c r="C122" s="136"/>
      <c r="E122" s="137"/>
      <c r="F122" s="136" t="s">
        <v>49</v>
      </c>
      <c r="G122" s="112" t="s">
        <v>50</v>
      </c>
      <c r="H122" s="13"/>
      <c r="P122" s="485"/>
      <c r="R122" s="103"/>
      <c r="S122" s="103"/>
      <c r="T122" s="103"/>
      <c r="U122" s="103"/>
      <c r="V122" s="103"/>
      <c r="W122" s="103"/>
    </row>
    <row r="123" spans="1:23" s="230" customFormat="1" ht="14.5" customHeight="1" x14ac:dyDescent="0.3">
      <c r="A123" s="11"/>
      <c r="B123" s="132" t="s">
        <v>58</v>
      </c>
      <c r="C123" s="114"/>
      <c r="D123" s="323"/>
      <c r="E123" s="138"/>
      <c r="F123" s="116" t="s">
        <v>51</v>
      </c>
      <c r="G123" s="117" t="s">
        <v>54</v>
      </c>
      <c r="H123" s="13"/>
      <c r="P123" s="485"/>
      <c r="R123" s="103"/>
      <c r="S123" s="103"/>
      <c r="T123" s="103"/>
      <c r="U123" s="103"/>
      <c r="V123" s="103"/>
      <c r="W123" s="103"/>
    </row>
    <row r="124" spans="1:23" s="230" customFormat="1" ht="14.5" customHeight="1" x14ac:dyDescent="0.25">
      <c r="A124" s="11"/>
      <c r="B124" s="118" t="str">
        <f>IFERROR(S126,"")</f>
        <v/>
      </c>
      <c r="C124" s="367"/>
      <c r="D124" s="370"/>
      <c r="E124" s="369"/>
      <c r="F124" s="546" t="str">
        <f>IF(B124="","",VLOOKUP($E$3,LA_Data,36,0))</f>
        <v/>
      </c>
      <c r="G124" s="513" t="str">
        <f>IF(B124="","",VLOOKUP($E$3,LA_Data,37,0))</f>
        <v/>
      </c>
      <c r="H124" s="13"/>
      <c r="P124" s="485"/>
      <c r="R124" s="103"/>
      <c r="S124" s="103"/>
      <c r="T124" s="103"/>
      <c r="U124" s="103"/>
      <c r="V124" s="103"/>
      <c r="W124" s="103"/>
    </row>
    <row r="125" spans="1:23" s="230" customFormat="1" ht="14.5" customHeight="1" x14ac:dyDescent="0.25">
      <c r="A125" s="11"/>
      <c r="B125" s="120" t="str">
        <f>IFERROR(S127,"")</f>
        <v/>
      </c>
      <c r="C125" s="371"/>
      <c r="D125" s="372"/>
      <c r="E125" s="371"/>
      <c r="F125" s="548" t="str">
        <f>IF(B125="","",VLOOKUP($K$3,LA_Data,36,0))</f>
        <v/>
      </c>
      <c r="G125" s="508" t="str">
        <f>IF(B125="","",VLOOKUP($K$3,LA_Data,37,0))</f>
        <v/>
      </c>
      <c r="H125" s="13"/>
      <c r="P125" s="485"/>
      <c r="R125" s="103"/>
      <c r="S125" s="103"/>
      <c r="T125" s="103"/>
      <c r="U125" s="103"/>
      <c r="V125" s="103"/>
      <c r="W125" s="103"/>
    </row>
    <row r="126" spans="1:23" s="230" customFormat="1" ht="14.5" customHeight="1" x14ac:dyDescent="0.3">
      <c r="A126" s="11"/>
      <c r="B126" s="122" t="str">
        <f>S128</f>
        <v>England</v>
      </c>
      <c r="C126" s="142"/>
      <c r="D126" s="372"/>
      <c r="E126" s="142"/>
      <c r="F126" s="549">
        <f>VLOOKUP($B$19,LA_Data,36,0)</f>
        <v>136.72</v>
      </c>
      <c r="G126" s="517">
        <f>VLOOKUP($B$126,LA_Data,37,0)</f>
        <v>294526</v>
      </c>
      <c r="H126" s="13"/>
      <c r="P126" s="485"/>
      <c r="R126" s="103">
        <f>$E$3</f>
        <v>0</v>
      </c>
      <c r="S126" s="103" t="e">
        <f>IF(R126=R127,"",R126)</f>
        <v>#N/A</v>
      </c>
      <c r="T126" s="103"/>
      <c r="U126" s="103"/>
      <c r="V126" s="103"/>
      <c r="W126" s="103"/>
    </row>
    <row r="127" spans="1:23" s="17" customFormat="1" ht="14.5" customHeight="1" x14ac:dyDescent="0.35">
      <c r="A127" s="11"/>
      <c r="B127" s="143"/>
      <c r="C127" s="144"/>
      <c r="D127" s="145"/>
      <c r="E127" s="144"/>
      <c r="F127" s="144"/>
      <c r="G127" s="146"/>
      <c r="H127" s="13"/>
      <c r="P127" s="484"/>
      <c r="R127" s="103" t="e">
        <f>$K$3</f>
        <v>#N/A</v>
      </c>
      <c r="S127" s="103" t="e">
        <f>IF(R127=R128,"",R127)</f>
        <v>#N/A</v>
      </c>
      <c r="T127" s="103"/>
      <c r="U127" s="103"/>
      <c r="V127" s="103"/>
      <c r="W127" s="103"/>
    </row>
    <row r="128" spans="1:23" s="17" customFormat="1" ht="14.5" customHeight="1" x14ac:dyDescent="0.35">
      <c r="A128" s="11"/>
      <c r="B128" s="62"/>
      <c r="G128" s="72"/>
      <c r="H128" s="13"/>
      <c r="P128" s="484"/>
      <c r="R128" s="103" t="s">
        <v>6</v>
      </c>
      <c r="S128" s="103" t="s">
        <v>6</v>
      </c>
      <c r="T128" s="103"/>
      <c r="U128" s="103"/>
      <c r="V128" s="103"/>
      <c r="W128" s="103"/>
    </row>
    <row r="129" spans="1:23" s="17" customFormat="1" ht="14.5" customHeight="1" x14ac:dyDescent="0.35">
      <c r="A129" s="11"/>
      <c r="B129" s="62"/>
      <c r="G129" s="72"/>
      <c r="H129" s="13"/>
      <c r="P129" s="484"/>
      <c r="R129" s="103"/>
      <c r="S129" s="103"/>
      <c r="T129" s="103"/>
      <c r="U129" s="103"/>
      <c r="V129" s="103"/>
      <c r="W129" s="103"/>
    </row>
    <row r="130" spans="1:23" s="17" customFormat="1" ht="14.5" x14ac:dyDescent="0.35">
      <c r="A130" s="11"/>
      <c r="B130" s="147"/>
      <c r="G130" s="72"/>
      <c r="H130" s="13"/>
      <c r="P130" s="484"/>
      <c r="R130" s="103"/>
      <c r="S130" s="103"/>
      <c r="T130" s="103"/>
      <c r="U130" s="103"/>
      <c r="V130" s="103"/>
      <c r="W130" s="103"/>
    </row>
    <row r="131" spans="1:23" s="17" customFormat="1" ht="14.5" x14ac:dyDescent="0.35">
      <c r="A131" s="11"/>
      <c r="B131" s="126"/>
      <c r="G131" s="72"/>
      <c r="H131" s="13"/>
      <c r="P131" s="484"/>
      <c r="R131" s="103"/>
      <c r="S131" s="103"/>
      <c r="T131" s="103"/>
      <c r="U131" s="103"/>
      <c r="V131" s="103"/>
      <c r="W131" s="103"/>
    </row>
    <row r="132" spans="1:23" s="17" customFormat="1" ht="14.5" x14ac:dyDescent="0.35">
      <c r="A132" s="11"/>
      <c r="B132" s="62"/>
      <c r="G132" s="72"/>
      <c r="H132" s="13"/>
      <c r="P132" s="484"/>
      <c r="R132" s="103"/>
      <c r="S132" s="103"/>
      <c r="T132" s="103"/>
      <c r="U132" s="103"/>
      <c r="V132" s="103"/>
      <c r="W132" s="103"/>
    </row>
    <row r="133" spans="1:23" s="17" customFormat="1" ht="14.5" x14ac:dyDescent="0.35">
      <c r="A133" s="11"/>
      <c r="B133" s="643" t="s">
        <v>59</v>
      </c>
      <c r="C133" s="647"/>
      <c r="D133" s="647"/>
      <c r="E133" s="647"/>
      <c r="F133" s="647"/>
      <c r="G133" s="648"/>
      <c r="H133" s="13"/>
      <c r="P133" s="484"/>
      <c r="R133" s="103"/>
      <c r="S133" s="103"/>
      <c r="T133" s="103"/>
      <c r="U133" s="103"/>
      <c r="V133" s="103"/>
      <c r="W133" s="103"/>
    </row>
    <row r="134" spans="1:23" s="17" customFormat="1" ht="14.5" x14ac:dyDescent="0.35">
      <c r="A134" s="11"/>
      <c r="B134" s="643"/>
      <c r="C134" s="647"/>
      <c r="D134" s="647"/>
      <c r="E134" s="647"/>
      <c r="F134" s="647"/>
      <c r="G134" s="648"/>
      <c r="H134" s="13"/>
      <c r="P134" s="484"/>
      <c r="R134" s="103"/>
      <c r="S134" s="103"/>
      <c r="T134" s="103"/>
      <c r="U134" s="103"/>
      <c r="V134" s="103"/>
      <c r="W134" s="103"/>
    </row>
    <row r="135" spans="1:23" s="17" customFormat="1" ht="14.5" x14ac:dyDescent="0.35">
      <c r="A135" s="11"/>
      <c r="B135" s="643"/>
      <c r="C135" s="647"/>
      <c r="D135" s="647"/>
      <c r="E135" s="647"/>
      <c r="F135" s="647"/>
      <c r="G135" s="648"/>
      <c r="H135" s="13"/>
      <c r="P135" s="484"/>
      <c r="R135" s="103"/>
      <c r="S135" s="103"/>
      <c r="T135" s="103"/>
      <c r="U135" s="103"/>
      <c r="V135" s="103"/>
      <c r="W135" s="103"/>
    </row>
    <row r="136" spans="1:23" s="17" customFormat="1" ht="14.5" x14ac:dyDescent="0.35">
      <c r="A136" s="11"/>
      <c r="B136" s="128" t="s">
        <v>14111</v>
      </c>
      <c r="C136" s="26"/>
      <c r="D136" s="26"/>
      <c r="E136" s="26"/>
      <c r="F136" s="26"/>
      <c r="G136" s="79"/>
      <c r="H136" s="13"/>
      <c r="P136" s="484"/>
      <c r="R136" s="103"/>
      <c r="S136" s="103"/>
      <c r="T136" s="103"/>
      <c r="U136" s="103"/>
      <c r="V136" s="103"/>
      <c r="W136" s="103"/>
    </row>
    <row r="137" spans="1:23" s="17" customFormat="1" ht="14.5" x14ac:dyDescent="0.35">
      <c r="A137" s="11"/>
      <c r="H137" s="13"/>
      <c r="I137" s="102"/>
      <c r="J137" s="102"/>
      <c r="P137" s="484"/>
      <c r="R137" s="103"/>
      <c r="S137" s="103"/>
      <c r="T137" s="103"/>
      <c r="U137" s="103"/>
      <c r="V137" s="103"/>
      <c r="W137" s="103"/>
    </row>
    <row r="138" spans="1:23" s="17" customFormat="1" ht="15.75" customHeight="1" x14ac:dyDescent="0.35">
      <c r="A138" s="575">
        <v>8</v>
      </c>
      <c r="B138" s="104" t="s">
        <v>13915</v>
      </c>
      <c r="C138" s="47"/>
      <c r="D138" s="47"/>
      <c r="E138" s="47"/>
      <c r="F138" s="47"/>
      <c r="G138" s="48"/>
      <c r="H138" s="13"/>
      <c r="P138" s="484"/>
      <c r="R138" s="103"/>
      <c r="S138" s="103"/>
      <c r="T138" s="103"/>
      <c r="U138" s="103"/>
      <c r="V138" s="103"/>
      <c r="W138" s="103"/>
    </row>
    <row r="139" spans="1:23" s="17" customFormat="1" ht="12.75" customHeight="1" x14ac:dyDescent="0.35">
      <c r="A139" s="583"/>
      <c r="B139" s="582" t="str">
        <f>IFERROR(IF(B146="","Average weekly gross rent (£ per week) and units for England","Average weekly gross rent (£ per week) and units for "&amp;$V$72),"")</f>
        <v>Average weekly gross rent (£ per week) and units for England</v>
      </c>
      <c r="C139" s="637"/>
      <c r="D139" s="637"/>
      <c r="E139" s="637"/>
      <c r="F139" s="637"/>
      <c r="G139" s="638"/>
      <c r="H139" s="13"/>
      <c r="P139" s="484"/>
      <c r="R139" s="103"/>
      <c r="S139" s="103"/>
      <c r="T139" s="103"/>
      <c r="U139" s="103"/>
      <c r="V139" s="103"/>
      <c r="W139" s="103"/>
    </row>
    <row r="140" spans="1:23" s="17" customFormat="1" ht="12.75" customHeight="1" x14ac:dyDescent="0.35">
      <c r="A140" s="20"/>
      <c r="B140" s="639"/>
      <c r="C140" s="637"/>
      <c r="D140" s="637"/>
      <c r="E140" s="637"/>
      <c r="F140" s="637"/>
      <c r="G140" s="638"/>
      <c r="P140" s="484"/>
      <c r="R140" s="103"/>
      <c r="S140" s="103"/>
      <c r="T140" s="103"/>
      <c r="U140" s="103"/>
      <c r="V140" s="103"/>
      <c r="W140" s="103"/>
    </row>
    <row r="141" spans="1:23" s="17" customFormat="1" ht="12.75" customHeight="1" x14ac:dyDescent="0.35">
      <c r="A141" s="11"/>
      <c r="B141" s="640"/>
      <c r="C141" s="641"/>
      <c r="D141" s="641"/>
      <c r="E141" s="641"/>
      <c r="F141" s="641"/>
      <c r="G141" s="642"/>
      <c r="H141" s="13"/>
      <c r="P141" s="484"/>
      <c r="R141" s="103"/>
      <c r="S141" s="103"/>
      <c r="T141" s="103"/>
      <c r="U141" s="103"/>
      <c r="V141" s="103"/>
      <c r="W141" s="103"/>
    </row>
    <row r="142" spans="1:23" s="17" customFormat="1" ht="14.5" x14ac:dyDescent="0.35">
      <c r="A142" s="11"/>
      <c r="B142" s="62"/>
      <c r="D142" s="129"/>
      <c r="E142" s="129"/>
      <c r="F142" s="33" t="s">
        <v>42</v>
      </c>
      <c r="G142" s="72"/>
      <c r="H142" s="13"/>
      <c r="P142" s="484"/>
      <c r="R142" s="103"/>
      <c r="S142" s="103"/>
      <c r="T142" s="103"/>
      <c r="U142" s="103"/>
      <c r="V142" s="103"/>
      <c r="W142" s="103"/>
    </row>
    <row r="143" spans="1:23" s="17" customFormat="1" ht="14.5" customHeight="1" x14ac:dyDescent="0.35">
      <c r="A143" s="11"/>
      <c r="B143" s="108" t="e">
        <f>"Average weekly GROSS RENT (£ per week) for "&amp;$E$3&amp;", "&amp;$K$3&amp; " and England"</f>
        <v>#N/A</v>
      </c>
      <c r="C143" s="136"/>
      <c r="E143" s="137"/>
      <c r="F143" s="136" t="s">
        <v>49</v>
      </c>
      <c r="G143" s="112" t="s">
        <v>50</v>
      </c>
      <c r="H143" s="13"/>
      <c r="P143" s="484"/>
      <c r="R143" s="103"/>
      <c r="S143" s="103"/>
      <c r="T143" s="103"/>
      <c r="U143" s="103"/>
      <c r="V143" s="103"/>
      <c r="W143" s="103"/>
    </row>
    <row r="144" spans="1:23" s="17" customFormat="1" ht="14.5" customHeight="1" x14ac:dyDescent="0.35">
      <c r="A144" s="11"/>
      <c r="B144" s="132" t="s">
        <v>60</v>
      </c>
      <c r="C144" s="114"/>
      <c r="D144" s="26"/>
      <c r="E144" s="138"/>
      <c r="F144" s="116" t="s">
        <v>51</v>
      </c>
      <c r="G144" s="117" t="s">
        <v>54</v>
      </c>
      <c r="H144" s="13"/>
      <c r="P144" s="484"/>
      <c r="R144" s="103"/>
      <c r="S144" s="103" t="e">
        <f>S151&amp;", "&amp;S152&amp;" and England"</f>
        <v>#N/A</v>
      </c>
      <c r="T144" s="103"/>
      <c r="U144" s="103"/>
      <c r="V144" s="103"/>
      <c r="W144" s="103"/>
    </row>
    <row r="145" spans="1:23" s="17" customFormat="1" ht="14.5" customHeight="1" x14ac:dyDescent="0.35">
      <c r="A145" s="11"/>
      <c r="B145" s="120" t="str">
        <f>IFERROR(S151,"")</f>
        <v/>
      </c>
      <c r="C145" s="119"/>
      <c r="D145" s="139"/>
      <c r="E145" s="121"/>
      <c r="F145" s="556" t="str">
        <f>IF(B145="","",VLOOKUP($E$3,LA_Data,38,0))</f>
        <v/>
      </c>
      <c r="G145" s="536" t="str">
        <f>IF(B145="","",VLOOKUP($E$3,LA_Data,39,0))</f>
        <v/>
      </c>
      <c r="H145" s="13"/>
      <c r="P145" s="484"/>
      <c r="R145" s="103"/>
      <c r="S145" s="103" t="e">
        <f>S152&amp;" and England"</f>
        <v>#N/A</v>
      </c>
      <c r="T145" s="103"/>
      <c r="U145" s="103"/>
      <c r="V145" s="103"/>
      <c r="W145" s="103"/>
    </row>
    <row r="146" spans="1:23" s="17" customFormat="1" ht="14.5" customHeight="1" x14ac:dyDescent="0.35">
      <c r="A146" s="11"/>
      <c r="B146" s="148" t="str">
        <f>IFERROR(S152,"")</f>
        <v/>
      </c>
      <c r="C146" s="140"/>
      <c r="D146" s="141"/>
      <c r="E146" s="140"/>
      <c r="F146" s="557" t="str">
        <f>IF(B146="","",VLOOKUP($K$3,LA_Data,38,0))</f>
        <v/>
      </c>
      <c r="G146" s="537" t="str">
        <f>IF(B146="","",VLOOKUP($K$3,LA_Data,39,0))</f>
        <v/>
      </c>
      <c r="H146" s="13"/>
      <c r="P146" s="484"/>
      <c r="R146" s="103"/>
      <c r="S146" s="103" t="str">
        <f>S153</f>
        <v>England</v>
      </c>
      <c r="T146" s="103"/>
      <c r="U146" s="103"/>
      <c r="V146" s="103"/>
      <c r="W146" s="103"/>
    </row>
    <row r="147" spans="1:23" s="17" customFormat="1" ht="14.5" customHeight="1" x14ac:dyDescent="0.35">
      <c r="A147" s="11"/>
      <c r="B147" s="149" t="str">
        <f>S153</f>
        <v>England</v>
      </c>
      <c r="C147" s="142"/>
      <c r="D147" s="141"/>
      <c r="E147" s="142"/>
      <c r="F147" s="558">
        <f>VLOOKUP($B$19,LA_Data,38,0)</f>
        <v>181.29</v>
      </c>
      <c r="G147" s="538">
        <f>VLOOKUP($B$126,LA_Data,39,0)</f>
        <v>14731</v>
      </c>
      <c r="H147" s="13"/>
      <c r="P147" s="484"/>
      <c r="R147" s="103"/>
      <c r="S147" s="103"/>
      <c r="T147" s="103"/>
      <c r="U147" s="103"/>
      <c r="V147" s="103"/>
      <c r="W147" s="103"/>
    </row>
    <row r="148" spans="1:23" s="17" customFormat="1" ht="14.5" customHeight="1" x14ac:dyDescent="0.35">
      <c r="A148" s="11"/>
      <c r="B148" s="143"/>
      <c r="C148" s="144"/>
      <c r="D148" s="145"/>
      <c r="E148" s="144"/>
      <c r="F148" s="144"/>
      <c r="G148" s="150"/>
      <c r="H148" s="13"/>
      <c r="P148" s="484"/>
      <c r="R148" s="103"/>
      <c r="S148" s="103"/>
      <c r="T148" s="103"/>
      <c r="U148" s="103"/>
      <c r="V148" s="103"/>
      <c r="W148" s="103"/>
    </row>
    <row r="149" spans="1:23" s="17" customFormat="1" ht="14.5" customHeight="1" x14ac:dyDescent="0.35">
      <c r="A149" s="11"/>
      <c r="B149" s="123"/>
      <c r="C149" s="124"/>
      <c r="D149" s="139"/>
      <c r="E149" s="124"/>
      <c r="F149" s="124"/>
      <c r="G149" s="125"/>
      <c r="H149" s="13"/>
      <c r="P149" s="484"/>
      <c r="R149" s="103"/>
      <c r="S149" s="103"/>
      <c r="T149" s="103"/>
      <c r="U149" s="103"/>
      <c r="V149" s="103"/>
      <c r="W149" s="103"/>
    </row>
    <row r="150" spans="1:23" s="17" customFormat="1" ht="14.5" customHeight="1" x14ac:dyDescent="0.35">
      <c r="A150" s="11"/>
      <c r="B150" s="62"/>
      <c r="G150" s="72"/>
      <c r="H150" s="13"/>
      <c r="P150" s="484"/>
      <c r="R150" s="103"/>
      <c r="S150" s="103"/>
      <c r="T150" s="103"/>
      <c r="U150" s="103"/>
      <c r="V150" s="103"/>
      <c r="W150" s="103"/>
    </row>
    <row r="151" spans="1:23" s="17" customFormat="1" ht="14.5" customHeight="1" x14ac:dyDescent="0.35">
      <c r="A151" s="11"/>
      <c r="B151" s="62"/>
      <c r="G151" s="72"/>
      <c r="H151" s="13"/>
      <c r="P151" s="484"/>
      <c r="R151" s="103">
        <f>$E$3</f>
        <v>0</v>
      </c>
      <c r="S151" s="103" t="e">
        <f>IF(R151=R152,"",R151)</f>
        <v>#N/A</v>
      </c>
      <c r="T151" s="103"/>
      <c r="U151" s="103"/>
      <c r="V151" s="103"/>
      <c r="W151" s="103"/>
    </row>
    <row r="152" spans="1:23" s="17" customFormat="1" ht="14.5" customHeight="1" x14ac:dyDescent="0.35">
      <c r="A152" s="11"/>
      <c r="B152" s="147"/>
      <c r="G152" s="72"/>
      <c r="H152" s="13"/>
      <c r="P152" s="484"/>
      <c r="R152" s="103" t="e">
        <f>$K$3</f>
        <v>#N/A</v>
      </c>
      <c r="S152" s="103" t="e">
        <f>IF(R152=R153,"",R152)</f>
        <v>#N/A</v>
      </c>
      <c r="T152" s="103"/>
      <c r="U152" s="103"/>
      <c r="V152" s="103"/>
      <c r="W152" s="103"/>
    </row>
    <row r="153" spans="1:23" s="17" customFormat="1" ht="14.5" customHeight="1" x14ac:dyDescent="0.35">
      <c r="A153" s="11"/>
      <c r="B153" s="126"/>
      <c r="G153" s="72"/>
      <c r="H153" s="13"/>
      <c r="P153" s="484"/>
      <c r="R153" s="103" t="s">
        <v>6</v>
      </c>
      <c r="S153" s="103" t="s">
        <v>6</v>
      </c>
      <c r="T153" s="103"/>
      <c r="U153" s="103"/>
      <c r="V153" s="103"/>
      <c r="W153" s="103"/>
    </row>
    <row r="154" spans="1:23" s="17" customFormat="1" ht="14.5" x14ac:dyDescent="0.35">
      <c r="A154" s="11"/>
      <c r="B154" s="62"/>
      <c r="G154" s="72"/>
      <c r="H154" s="13"/>
      <c r="P154" s="484"/>
      <c r="R154" s="103"/>
      <c r="S154" s="103"/>
      <c r="T154" s="103"/>
      <c r="U154" s="103"/>
      <c r="V154" s="103"/>
      <c r="W154" s="103"/>
    </row>
    <row r="155" spans="1:23" s="17" customFormat="1" ht="14.5" x14ac:dyDescent="0.35">
      <c r="A155" s="11"/>
      <c r="B155" s="643" t="s">
        <v>59</v>
      </c>
      <c r="C155" s="647"/>
      <c r="D155" s="647"/>
      <c r="E155" s="647"/>
      <c r="F155" s="647"/>
      <c r="G155" s="648"/>
      <c r="H155" s="13"/>
      <c r="P155" s="484"/>
      <c r="R155" s="103"/>
      <c r="S155" s="103"/>
      <c r="T155" s="103"/>
      <c r="U155" s="103"/>
      <c r="V155" s="103"/>
      <c r="W155" s="103"/>
    </row>
    <row r="156" spans="1:23" s="17" customFormat="1" ht="14.5" x14ac:dyDescent="0.35">
      <c r="A156" s="11"/>
      <c r="B156" s="643"/>
      <c r="C156" s="647"/>
      <c r="D156" s="647"/>
      <c r="E156" s="647"/>
      <c r="F156" s="647"/>
      <c r="G156" s="648"/>
      <c r="H156" s="13"/>
      <c r="P156" s="484"/>
      <c r="R156" s="103"/>
      <c r="S156" s="103"/>
      <c r="T156" s="103"/>
      <c r="U156" s="103"/>
      <c r="V156" s="103"/>
      <c r="W156" s="103"/>
    </row>
    <row r="157" spans="1:23" s="17" customFormat="1" ht="14.5" x14ac:dyDescent="0.35">
      <c r="A157" s="11"/>
      <c r="B157" s="643"/>
      <c r="C157" s="647"/>
      <c r="D157" s="647"/>
      <c r="E157" s="647"/>
      <c r="F157" s="647"/>
      <c r="G157" s="648"/>
      <c r="H157" s="13"/>
      <c r="P157" s="484"/>
      <c r="R157" s="103"/>
      <c r="S157" s="103"/>
      <c r="T157" s="103"/>
      <c r="U157" s="103"/>
      <c r="V157" s="103"/>
      <c r="W157" s="103"/>
    </row>
    <row r="158" spans="1:23" s="17" customFormat="1" ht="14.5" x14ac:dyDescent="0.35">
      <c r="A158" s="11"/>
      <c r="B158" s="128" t="s">
        <v>14111</v>
      </c>
      <c r="C158" s="26"/>
      <c r="D158" s="26"/>
      <c r="E158" s="26"/>
      <c r="F158" s="26"/>
      <c r="G158" s="79"/>
      <c r="H158" s="13"/>
      <c r="I158" s="16"/>
      <c r="J158" s="16"/>
      <c r="K158" s="16"/>
      <c r="L158" s="16"/>
      <c r="M158" s="16"/>
      <c r="N158" s="16"/>
      <c r="P158" s="484"/>
      <c r="R158" s="103"/>
      <c r="S158" s="103"/>
      <c r="T158" s="103"/>
      <c r="U158" s="103"/>
      <c r="V158" s="103"/>
      <c r="W158" s="103"/>
    </row>
    <row r="159" spans="1:23" s="17" customFormat="1" ht="14.5" x14ac:dyDescent="0.35">
      <c r="A159" s="11"/>
      <c r="B159" s="151" t="e">
        <f>IF($G$176=0,"This section is blank as there is no General needs stock","")</f>
        <v>#N/A</v>
      </c>
      <c r="C159" s="2"/>
      <c r="D159" s="2"/>
      <c r="E159" s="2"/>
      <c r="F159" s="2"/>
      <c r="G159" s="2"/>
      <c r="H159" s="15"/>
      <c r="I159" s="102"/>
      <c r="J159" s="102"/>
      <c r="K159" s="16"/>
      <c r="L159" s="16"/>
      <c r="M159" s="16"/>
      <c r="N159" s="16"/>
      <c r="P159" s="484"/>
      <c r="R159" s="103"/>
      <c r="S159" s="103"/>
      <c r="T159" s="103"/>
      <c r="U159" s="103"/>
      <c r="V159" s="103"/>
      <c r="W159" s="103"/>
    </row>
    <row r="160" spans="1:23" s="17" customFormat="1" ht="15.75" customHeight="1" x14ac:dyDescent="0.35">
      <c r="A160" s="575">
        <v>9</v>
      </c>
      <c r="B160" s="49" t="s">
        <v>14099</v>
      </c>
      <c r="C160" s="47"/>
      <c r="D160" s="47"/>
      <c r="E160" s="47"/>
      <c r="F160" s="47"/>
      <c r="G160" s="48"/>
      <c r="I160" s="16"/>
      <c r="J160" s="16"/>
      <c r="K160" s="16"/>
      <c r="L160" s="16"/>
      <c r="M160" s="16"/>
      <c r="N160" s="16"/>
      <c r="P160" s="484"/>
      <c r="R160" s="103"/>
      <c r="S160" s="103"/>
      <c r="T160" s="103"/>
      <c r="U160" s="103"/>
      <c r="V160" s="103"/>
      <c r="W160" s="103"/>
    </row>
    <row r="161" spans="1:25" s="17" customFormat="1" ht="12.75" customHeight="1" x14ac:dyDescent="0.35">
      <c r="A161" s="636"/>
      <c r="B161" s="582" t="str">
        <f>"Average weekly rent (£ per week) and unit counts by unit size for "&amp;$E$3&amp; " - large PRPs"</f>
        <v>Average weekly rent (£ per week) and unit counts by unit size for  - large PRPs</v>
      </c>
      <c r="C161" s="590"/>
      <c r="D161" s="590"/>
      <c r="E161" s="590"/>
      <c r="F161" s="590"/>
      <c r="G161" s="593"/>
      <c r="I161" s="16"/>
      <c r="J161" s="16"/>
      <c r="K161" s="16"/>
      <c r="L161" s="16"/>
      <c r="M161" s="16"/>
      <c r="N161" s="16"/>
      <c r="P161" s="484"/>
      <c r="R161" s="103"/>
      <c r="S161" s="103"/>
      <c r="T161" s="103"/>
      <c r="U161" s="103"/>
      <c r="V161" s="103"/>
      <c r="W161" s="103"/>
    </row>
    <row r="162" spans="1:25" s="17" customFormat="1" ht="12.75" customHeight="1" x14ac:dyDescent="0.35">
      <c r="A162" s="20"/>
      <c r="B162" s="649"/>
      <c r="C162" s="590"/>
      <c r="D162" s="590"/>
      <c r="E162" s="590"/>
      <c r="F162" s="590"/>
      <c r="G162" s="593"/>
      <c r="I162" s="16"/>
      <c r="J162" s="16"/>
      <c r="K162" s="16"/>
      <c r="L162" s="16"/>
      <c r="M162" s="16"/>
      <c r="N162" s="16"/>
      <c r="P162" s="484"/>
      <c r="R162" s="103"/>
      <c r="S162" s="103"/>
      <c r="T162" s="103"/>
      <c r="U162" s="103"/>
      <c r="V162" s="103"/>
      <c r="W162" s="103"/>
    </row>
    <row r="163" spans="1:25" s="17" customFormat="1" ht="14.5" x14ac:dyDescent="0.35">
      <c r="A163" s="11"/>
      <c r="B163" s="640"/>
      <c r="C163" s="641"/>
      <c r="D163" s="641"/>
      <c r="E163" s="641"/>
      <c r="F163" s="641"/>
      <c r="G163" s="642"/>
      <c r="I163" s="16"/>
      <c r="J163" s="16"/>
      <c r="K163" s="16"/>
      <c r="L163" s="16"/>
      <c r="M163" s="16"/>
      <c r="N163" s="16"/>
      <c r="P163" s="486"/>
      <c r="Q163" s="32"/>
      <c r="R163" s="103"/>
      <c r="S163" s="103"/>
      <c r="T163" s="103"/>
      <c r="U163" s="103"/>
      <c r="V163" s="103"/>
      <c r="W163" s="103"/>
      <c r="X163" s="32"/>
      <c r="Y163" s="32"/>
    </row>
    <row r="164" spans="1:25" s="17" customFormat="1" ht="14.5" x14ac:dyDescent="0.35">
      <c r="A164" s="11"/>
      <c r="B164" s="108" t="str">
        <f>"Average weekly net rent (£ per week) by unit size for "&amp;$E$3&amp; " - large PRPs"</f>
        <v>Average weekly net rent (£ per week) by unit size for  - large PRPs</v>
      </c>
      <c r="C164" s="27" t="s">
        <v>42</v>
      </c>
      <c r="D164" s="26"/>
      <c r="E164" s="26"/>
      <c r="F164" s="152" t="s">
        <v>61</v>
      </c>
      <c r="G164" s="72"/>
      <c r="I164" s="16"/>
      <c r="J164" s="16"/>
      <c r="K164" s="16"/>
      <c r="L164" s="16"/>
      <c r="M164" s="16"/>
      <c r="N164" s="16"/>
      <c r="P164" s="484"/>
      <c r="Q164">
        <v>9</v>
      </c>
      <c r="R164" t="s">
        <v>12</v>
      </c>
      <c r="S164"/>
      <c r="T164"/>
      <c r="U164" s="103"/>
      <c r="V164" s="103"/>
      <c r="W164" s="103"/>
    </row>
    <row r="165" spans="1:25" s="17" customFormat="1" ht="14.5" customHeight="1" x14ac:dyDescent="0.35">
      <c r="A165" s="11"/>
      <c r="B165" s="153" t="s">
        <v>62</v>
      </c>
      <c r="C165" s="154" t="s">
        <v>47</v>
      </c>
      <c r="D165" s="110" t="s">
        <v>13925</v>
      </c>
      <c r="E165" s="154" t="s">
        <v>48</v>
      </c>
      <c r="F165" s="154" t="s">
        <v>49</v>
      </c>
      <c r="G165" s="155" t="s">
        <v>50</v>
      </c>
      <c r="I165" s="16"/>
      <c r="J165" s="16"/>
      <c r="K165" s="16"/>
      <c r="L165" s="16"/>
      <c r="M165" s="16"/>
      <c r="N165" s="16"/>
      <c r="P165" s="487"/>
      <c r="Q165"/>
      <c r="R165" t="s">
        <v>1032</v>
      </c>
      <c r="S165"/>
      <c r="T165"/>
      <c r="U165" s="103"/>
      <c r="V165" s="103"/>
      <c r="W165" s="103"/>
    </row>
    <row r="166" spans="1:25" s="17" customFormat="1" ht="14.5" customHeight="1" x14ac:dyDescent="0.35">
      <c r="A166" s="11"/>
      <c r="B166" s="156"/>
      <c r="C166" s="157" t="s">
        <v>63</v>
      </c>
      <c r="D166" s="115" t="s">
        <v>51</v>
      </c>
      <c r="E166" s="157" t="s">
        <v>52</v>
      </c>
      <c r="F166" s="157" t="s">
        <v>53</v>
      </c>
      <c r="G166" s="158" t="s">
        <v>54</v>
      </c>
      <c r="I166" s="16"/>
      <c r="J166" s="16"/>
      <c r="K166" s="16"/>
      <c r="L166" s="16"/>
      <c r="M166" s="16"/>
      <c r="N166" s="16"/>
      <c r="P166" s="487"/>
      <c r="Q166"/>
      <c r="R166" t="s">
        <v>62</v>
      </c>
      <c r="S166"/>
      <c r="T166" t="s">
        <v>11356</v>
      </c>
      <c r="U166" s="103"/>
      <c r="V166" s="103"/>
      <c r="W166" s="103"/>
    </row>
    <row r="167" spans="1:25" s="230" customFormat="1" ht="14.5" customHeight="1" x14ac:dyDescent="0.35">
      <c r="A167" s="11"/>
      <c r="B167" s="348" t="s">
        <v>64</v>
      </c>
      <c r="C167" s="546" t="e">
        <f>VLOOKUP($E$3,LA_Data,40,0)</f>
        <v>#N/A</v>
      </c>
      <c r="D167" s="553" t="e">
        <f>VLOOKUP($E$3,LA_Data,41,0)</f>
        <v>#N/A</v>
      </c>
      <c r="E167" s="553" t="e">
        <f>VLOOKUP($E$3,LA_Data,42,0)</f>
        <v>#N/A</v>
      </c>
      <c r="F167" s="553" t="e">
        <f>VLOOKUP($E$3,LA_Data,43,0)</f>
        <v>#N/A</v>
      </c>
      <c r="G167" s="536" t="e">
        <f>VLOOKUP($E$3,LA_Data,44,0)</f>
        <v>#N/A</v>
      </c>
      <c r="I167" s="16"/>
      <c r="J167" s="16"/>
      <c r="K167" s="16"/>
      <c r="L167" s="16"/>
      <c r="M167" s="16"/>
      <c r="N167" s="16"/>
      <c r="P167" s="487"/>
      <c r="Q167" s="215" t="s">
        <v>282</v>
      </c>
      <c r="R167" s="216" t="s">
        <v>115</v>
      </c>
      <c r="S167" t="s">
        <v>64</v>
      </c>
      <c r="T167" s="217">
        <f>HLOOKUP($R167,'2022_LA_and_Region_Data_final'!$E$3:$FN$5,3,0)</f>
        <v>82.66</v>
      </c>
      <c r="U167" s="103"/>
      <c r="V167" s="103"/>
      <c r="W167" s="103"/>
    </row>
    <row r="168" spans="1:25" s="230" customFormat="1" ht="14.5" customHeight="1" x14ac:dyDescent="0.35">
      <c r="A168" s="11">
        <f t="shared" ref="A168:A176" si="2">$E$3</f>
        <v>0</v>
      </c>
      <c r="B168" s="348" t="s">
        <v>65</v>
      </c>
      <c r="C168" s="547" t="e">
        <f>VLOOKUP($E$3,LA_Data,45,0)</f>
        <v>#N/A</v>
      </c>
      <c r="D168" s="553" t="e">
        <f>VLOOKUP($E$3,LA_Data,46,0)</f>
        <v>#N/A</v>
      </c>
      <c r="E168" s="553" t="e">
        <f>VLOOKUP($E$3,LA_Data,47,0)</f>
        <v>#N/A</v>
      </c>
      <c r="F168" s="553" t="e">
        <f>VLOOKUP($E$3,LA_Data,48,0)</f>
        <v>#N/A</v>
      </c>
      <c r="G168" s="536" t="e">
        <f>VLOOKUP($E$3,LA_Data,49,0)</f>
        <v>#N/A</v>
      </c>
      <c r="I168" s="16"/>
      <c r="J168" s="16"/>
      <c r="K168" s="16"/>
      <c r="L168" s="16"/>
      <c r="M168" s="16"/>
      <c r="N168" s="16"/>
      <c r="P168" s="488"/>
      <c r="Q168" s="215" t="s">
        <v>287</v>
      </c>
      <c r="R168" s="216" t="s">
        <v>120</v>
      </c>
      <c r="S168" t="s">
        <v>65</v>
      </c>
      <c r="T168" s="217">
        <f>HLOOKUP($R168,'2022_LA_and_Region_Data_final'!$E$3:$FN$5,3,0)</f>
        <v>76.5</v>
      </c>
      <c r="U168" s="103"/>
      <c r="V168" s="103"/>
      <c r="W168" s="103"/>
      <c r="X168" s="296"/>
      <c r="Y168" s="296"/>
    </row>
    <row r="169" spans="1:25" s="230" customFormat="1" ht="14.5" customHeight="1" x14ac:dyDescent="0.35">
      <c r="A169" s="11">
        <f t="shared" si="2"/>
        <v>0</v>
      </c>
      <c r="B169" s="348" t="s">
        <v>66</v>
      </c>
      <c r="C169" s="547" t="e">
        <f>VLOOKUP($E$3,LA_Data,50,0)</f>
        <v>#N/A</v>
      </c>
      <c r="D169" s="553" t="e">
        <f>VLOOKUP($E$3,LA_Data,51,0)</f>
        <v>#N/A</v>
      </c>
      <c r="E169" s="553" t="e">
        <f>VLOOKUP($E$3,LA_Data,52,0)</f>
        <v>#N/A</v>
      </c>
      <c r="F169" s="553" t="e">
        <f>VLOOKUP($E$3,LA_Data,53,0)</f>
        <v>#N/A</v>
      </c>
      <c r="G169" s="536" t="e">
        <f>VLOOKUP($E$3,LA_Data,54,0)</f>
        <v>#N/A</v>
      </c>
      <c r="I169" s="16"/>
      <c r="J169" s="16"/>
      <c r="K169" s="16"/>
      <c r="L169" s="16"/>
      <c r="M169" s="16"/>
      <c r="N169" s="16"/>
      <c r="P169" s="489"/>
      <c r="Q169" s="215" t="s">
        <v>292</v>
      </c>
      <c r="R169" s="216" t="s">
        <v>125</v>
      </c>
      <c r="S169" t="s">
        <v>66</v>
      </c>
      <c r="T169" s="217">
        <f>HLOOKUP($R169,'2022_LA_and_Region_Data_final'!$E$3:$FN$5,3,0)</f>
        <v>84.22</v>
      </c>
      <c r="U169" s="103"/>
      <c r="V169" s="103"/>
      <c r="W169" s="103"/>
    </row>
    <row r="170" spans="1:25" s="230" customFormat="1" ht="14.5" customHeight="1" x14ac:dyDescent="0.35">
      <c r="A170" s="11">
        <f t="shared" si="2"/>
        <v>0</v>
      </c>
      <c r="B170" s="348" t="s">
        <v>67</v>
      </c>
      <c r="C170" s="547" t="e">
        <f>VLOOKUP($E$3,LA_Data,55,0)</f>
        <v>#N/A</v>
      </c>
      <c r="D170" s="553" t="e">
        <f>VLOOKUP($E$3,LA_Data,56,0)</f>
        <v>#N/A</v>
      </c>
      <c r="E170" s="553" t="e">
        <f>VLOOKUP($E$3,LA_Data,57,0)</f>
        <v>#N/A</v>
      </c>
      <c r="F170" s="553" t="e">
        <f>VLOOKUP($E$3,LA_Data,58,0)</f>
        <v>#N/A</v>
      </c>
      <c r="G170" s="536" t="e">
        <f>VLOOKUP($E$3,LA_Data,59,0)</f>
        <v>#N/A</v>
      </c>
      <c r="I170" s="16"/>
      <c r="J170" s="16"/>
      <c r="K170" s="16"/>
      <c r="L170" s="16"/>
      <c r="M170" s="16"/>
      <c r="N170" s="16"/>
      <c r="P170" s="487"/>
      <c r="Q170" s="215" t="s">
        <v>297</v>
      </c>
      <c r="R170" s="216" t="s">
        <v>130</v>
      </c>
      <c r="S170" t="s">
        <v>67</v>
      </c>
      <c r="T170" s="217">
        <f>HLOOKUP($R170,'2022_LA_and_Region_Data_final'!$E$3:$FN$5,3,0)</f>
        <v>96.37</v>
      </c>
      <c r="U170" s="103"/>
      <c r="V170" s="103"/>
      <c r="W170" s="103"/>
    </row>
    <row r="171" spans="1:25" s="230" customFormat="1" ht="14.5" customHeight="1" x14ac:dyDescent="0.35">
      <c r="A171" s="11">
        <f t="shared" si="2"/>
        <v>0</v>
      </c>
      <c r="B171" s="348" t="s">
        <v>68</v>
      </c>
      <c r="C171" s="547" t="e">
        <f>VLOOKUP($E$3,LA_Data,60,0)</f>
        <v>#N/A</v>
      </c>
      <c r="D171" s="553" t="e">
        <f>VLOOKUP($E$3,LA_Data,61,0)</f>
        <v>#N/A</v>
      </c>
      <c r="E171" s="553" t="e">
        <f>VLOOKUP($E$3,LA_Data,62,0)</f>
        <v>#N/A</v>
      </c>
      <c r="F171" s="553" t="e">
        <f>VLOOKUP($E$3,LA_Data,63,0)</f>
        <v>#N/A</v>
      </c>
      <c r="G171" s="536" t="e">
        <f>VLOOKUP($E$3,LA_Data,64,0)</f>
        <v>#N/A</v>
      </c>
      <c r="I171" s="16"/>
      <c r="J171" s="16"/>
      <c r="K171" s="16"/>
      <c r="L171" s="16"/>
      <c r="M171" s="16"/>
      <c r="N171" s="16"/>
      <c r="P171" s="487"/>
      <c r="Q171" s="215" t="s">
        <v>302</v>
      </c>
      <c r="R171" s="216" t="s">
        <v>135</v>
      </c>
      <c r="S171" t="s">
        <v>68</v>
      </c>
      <c r="T171" s="217">
        <f>HLOOKUP($R171,'2022_LA_and_Region_Data_final'!$E$3:$FN$5,3,0)</f>
        <v>106.54</v>
      </c>
      <c r="U171" s="103"/>
      <c r="V171" s="103"/>
      <c r="W171" s="103"/>
    </row>
    <row r="172" spans="1:25" s="230" customFormat="1" ht="14.5" customHeight="1" x14ac:dyDescent="0.35">
      <c r="A172" s="11">
        <f t="shared" si="2"/>
        <v>0</v>
      </c>
      <c r="B172" s="348" t="s">
        <v>69</v>
      </c>
      <c r="C172" s="547" t="e">
        <f>VLOOKUP($E$3,LA_Data,65,0)</f>
        <v>#N/A</v>
      </c>
      <c r="D172" s="553" t="e">
        <f>VLOOKUP($E$3,LA_Data,66,0)</f>
        <v>#N/A</v>
      </c>
      <c r="E172" s="553" t="e">
        <f>VLOOKUP($E$3,LA_Data,67,0)</f>
        <v>#N/A</v>
      </c>
      <c r="F172" s="553" t="e">
        <f>VLOOKUP($E$3,LA_Data,68,0)</f>
        <v>#N/A</v>
      </c>
      <c r="G172" s="536" t="e">
        <f>VLOOKUP($E$3,LA_Data,69,0)</f>
        <v>#N/A</v>
      </c>
      <c r="I172" s="16"/>
      <c r="J172" s="16"/>
      <c r="K172" s="16"/>
      <c r="L172" s="16"/>
      <c r="M172" s="16"/>
      <c r="N172" s="16"/>
      <c r="P172" s="487"/>
      <c r="Q172" s="215" t="s">
        <v>307</v>
      </c>
      <c r="R172" s="216" t="s">
        <v>140</v>
      </c>
      <c r="S172" t="s">
        <v>69</v>
      </c>
      <c r="T172" s="217">
        <f>HLOOKUP($R172,'2022_LA_and_Region_Data_final'!$E$3:$FN$5,3,0)</f>
        <v>124.48</v>
      </c>
      <c r="U172" s="103"/>
      <c r="V172" s="103"/>
      <c r="W172" s="103"/>
    </row>
    <row r="173" spans="1:25" s="230" customFormat="1" ht="14.5" customHeight="1" x14ac:dyDescent="0.35">
      <c r="A173" s="11">
        <f t="shared" si="2"/>
        <v>0</v>
      </c>
      <c r="B173" s="348" t="s">
        <v>70</v>
      </c>
      <c r="C173" s="547" t="e">
        <f>VLOOKUP($E$3,LA_Data,70,0)</f>
        <v>#N/A</v>
      </c>
      <c r="D173" s="553" t="e">
        <f>VLOOKUP($E$3,LA_Data,71,0)</f>
        <v>#N/A</v>
      </c>
      <c r="E173" s="553" t="e">
        <f>VLOOKUP($E$3,LA_Data,72,0)</f>
        <v>#N/A</v>
      </c>
      <c r="F173" s="553" t="e">
        <f>VLOOKUP($E$3,LA_Data,73,0)</f>
        <v>#N/A</v>
      </c>
      <c r="G173" s="536" t="e">
        <f>VLOOKUP($E$3,LA_Data,74,0)</f>
        <v>#N/A</v>
      </c>
      <c r="I173" s="16"/>
      <c r="J173" s="16"/>
      <c r="K173" s="16"/>
      <c r="L173" s="16"/>
      <c r="M173" s="16"/>
      <c r="N173" s="16"/>
      <c r="P173" s="487"/>
      <c r="Q173" s="215" t="s">
        <v>312</v>
      </c>
      <c r="R173" s="216" t="s">
        <v>145</v>
      </c>
      <c r="S173" t="s">
        <v>70</v>
      </c>
      <c r="T173" s="217">
        <f>HLOOKUP($R173,'2022_LA_and_Region_Data_final'!$E$3:$FN$5,3,0)</f>
        <v>138.52000000000001</v>
      </c>
      <c r="U173" s="103"/>
      <c r="V173" s="103"/>
      <c r="W173" s="103"/>
    </row>
    <row r="174" spans="1:25" s="230" customFormat="1" ht="14.5" customHeight="1" x14ac:dyDescent="0.35">
      <c r="A174" s="11">
        <f t="shared" si="2"/>
        <v>0</v>
      </c>
      <c r="B174" s="348" t="s">
        <v>71</v>
      </c>
      <c r="C174" s="547" t="e">
        <f>VLOOKUP($E$3,LA_Data,75,0)</f>
        <v>#N/A</v>
      </c>
      <c r="D174" s="553" t="e">
        <f>VLOOKUP($E$3,LA_Data,76,0)</f>
        <v>#N/A</v>
      </c>
      <c r="E174" s="553" t="e">
        <f>VLOOKUP($E$3,LA_Data,77,0)</f>
        <v>#N/A</v>
      </c>
      <c r="F174" s="553" t="e">
        <f>VLOOKUP($E$3,LA_Data,78,0)</f>
        <v>#N/A</v>
      </c>
      <c r="G174" s="536" t="e">
        <f>VLOOKUP($E$3,LA_Data,79,0)</f>
        <v>#N/A</v>
      </c>
      <c r="I174" s="16"/>
      <c r="J174" s="16"/>
      <c r="K174" s="16"/>
      <c r="L174" s="16"/>
      <c r="M174" s="16"/>
      <c r="N174" s="16"/>
      <c r="P174" s="487"/>
      <c r="Q174" s="215" t="s">
        <v>317</v>
      </c>
      <c r="R174" s="216" t="s">
        <v>150</v>
      </c>
      <c r="S174" t="s">
        <v>71</v>
      </c>
      <c r="T174" s="217">
        <f>HLOOKUP($R174,'2022_LA_and_Region_Data_final'!$E$3:$FN$5,3,0)</f>
        <v>147.81</v>
      </c>
      <c r="U174" s="103"/>
      <c r="V174" s="103"/>
      <c r="W174" s="103"/>
    </row>
    <row r="175" spans="1:25" s="230" customFormat="1" ht="14.5" customHeight="1" x14ac:dyDescent="0.35">
      <c r="A175" s="11">
        <f t="shared" si="2"/>
        <v>0</v>
      </c>
      <c r="B175" s="350" t="s">
        <v>72</v>
      </c>
      <c r="C175" s="548" t="e">
        <f>VLOOKUP($E$3,LA_Data,80,0)</f>
        <v>#N/A</v>
      </c>
      <c r="D175" s="554" t="e">
        <f>VLOOKUP($E$3,LA_Data,81,0)</f>
        <v>#N/A</v>
      </c>
      <c r="E175" s="554" t="e">
        <f>VLOOKUP($E$3,LA_Data,82,0)</f>
        <v>#N/A</v>
      </c>
      <c r="F175" s="554" t="e">
        <f>VLOOKUP($E$3,LA_Data,83,0)</f>
        <v>#N/A</v>
      </c>
      <c r="G175" s="537" t="e">
        <f>VLOOKUP($E$3,LA_Data,84,0)</f>
        <v>#N/A</v>
      </c>
      <c r="I175" s="16"/>
      <c r="J175" s="16"/>
      <c r="K175" s="16"/>
      <c r="L175" s="16"/>
      <c r="M175" s="16"/>
      <c r="N175" s="16"/>
      <c r="P175" s="487"/>
      <c r="Q175" s="215" t="s">
        <v>322</v>
      </c>
      <c r="R175" s="216" t="s">
        <v>155</v>
      </c>
      <c r="S175" t="s">
        <v>1033</v>
      </c>
      <c r="T175" s="217">
        <f>HLOOKUP($R175,'2022_LA_and_Region_Data_final'!$E$3:$FN$5,3,0)</f>
        <v>98.06</v>
      </c>
      <c r="U175" s="103"/>
      <c r="V175" s="103"/>
      <c r="W175" s="103"/>
    </row>
    <row r="176" spans="1:25" s="230" customFormat="1" ht="14.5" customHeight="1" x14ac:dyDescent="0.35">
      <c r="A176" s="11">
        <f t="shared" si="2"/>
        <v>0</v>
      </c>
      <c r="B176" s="35" t="s">
        <v>73</v>
      </c>
      <c r="C176" s="549" t="e">
        <f>VLOOKUP($E$3,LA_Data,85,0)</f>
        <v>#N/A</v>
      </c>
      <c r="D176" s="555" t="e">
        <f>VLOOKUP($E$3,LA_Data,86,0)</f>
        <v>#N/A</v>
      </c>
      <c r="E176" s="555" t="e">
        <f>VLOOKUP($E$3,LA_Data,87,0)</f>
        <v>#N/A</v>
      </c>
      <c r="F176" s="555" t="e">
        <f>VLOOKUP($E$3,LA_Data,88,0)</f>
        <v>#N/A</v>
      </c>
      <c r="G176" s="538" t="e">
        <f>VLOOKUP($E$3,LA_Data,89,0)</f>
        <v>#N/A</v>
      </c>
      <c r="I176" s="16"/>
      <c r="J176" s="16"/>
      <c r="K176" s="16"/>
      <c r="L176" s="16"/>
      <c r="M176" s="16"/>
      <c r="N176" s="16"/>
      <c r="P176" s="487"/>
      <c r="Q176" s="215" t="s">
        <v>327</v>
      </c>
      <c r="R176" s="216" t="s">
        <v>160</v>
      </c>
      <c r="S176" t="s">
        <v>1034</v>
      </c>
      <c r="T176" s="217">
        <f>HLOOKUP($R176,'2022_LA_and_Region_Data_final'!$E$3:$FN$5,3,0)</f>
        <v>98.05</v>
      </c>
      <c r="U176" s="103"/>
      <c r="V176" s="103"/>
      <c r="W176" s="103"/>
    </row>
    <row r="177" spans="1:23" s="17" customFormat="1" ht="14.5" customHeight="1" x14ac:dyDescent="0.35">
      <c r="A177" s="11"/>
      <c r="B177" s="133"/>
      <c r="C177" s="55"/>
      <c r="D177" s="55"/>
      <c r="E177" s="55"/>
      <c r="F177" s="55"/>
      <c r="G177" s="134"/>
      <c r="I177" s="16"/>
      <c r="J177" s="16"/>
      <c r="K177" s="16"/>
      <c r="L177" s="16"/>
      <c r="M177" s="16"/>
      <c r="N177" s="16"/>
      <c r="P177" s="487"/>
      <c r="R177" s="103"/>
      <c r="S177" s="103"/>
      <c r="T177" s="103"/>
      <c r="U177" s="103"/>
      <c r="V177" s="103"/>
      <c r="W177" s="103"/>
    </row>
    <row r="178" spans="1:23" s="17" customFormat="1" ht="12.75" customHeight="1" x14ac:dyDescent="0.35">
      <c r="A178" s="11"/>
      <c r="B178" s="650" t="s">
        <v>13932</v>
      </c>
      <c r="C178" s="651"/>
      <c r="D178" s="651"/>
      <c r="E178" s="651"/>
      <c r="F178" s="651"/>
      <c r="G178" s="652"/>
      <c r="I178" s="16"/>
      <c r="J178" s="16"/>
      <c r="K178" s="16"/>
      <c r="L178" s="16"/>
      <c r="M178" s="16"/>
      <c r="N178" s="16"/>
      <c r="P178" s="487"/>
      <c r="R178" s="103"/>
      <c r="S178" s="103"/>
      <c r="T178" s="103"/>
      <c r="U178" s="103"/>
      <c r="V178" s="103"/>
      <c r="W178" s="103"/>
    </row>
    <row r="179" spans="1:23" s="17" customFormat="1" ht="14.5" x14ac:dyDescent="0.35">
      <c r="A179" s="11"/>
      <c r="B179" s="650"/>
      <c r="C179" s="651"/>
      <c r="D179" s="651"/>
      <c r="E179" s="651"/>
      <c r="F179" s="651"/>
      <c r="G179" s="652"/>
      <c r="I179" s="16"/>
      <c r="J179" s="16"/>
      <c r="K179" s="16"/>
      <c r="L179" s="16"/>
      <c r="M179" s="16"/>
      <c r="N179" s="16"/>
      <c r="P179" s="487"/>
      <c r="R179" s="103" t="s">
        <v>74</v>
      </c>
      <c r="S179" s="103"/>
      <c r="T179" s="103"/>
      <c r="U179" s="103"/>
      <c r="V179" s="103"/>
      <c r="W179" s="103"/>
    </row>
    <row r="180" spans="1:23" s="17" customFormat="1" ht="14.5" x14ac:dyDescent="0.35">
      <c r="A180" s="11"/>
      <c r="B180" s="128" t="s">
        <v>14111</v>
      </c>
      <c r="C180" s="26"/>
      <c r="D180" s="159"/>
      <c r="E180" s="26"/>
      <c r="F180" s="26"/>
      <c r="G180" s="79"/>
      <c r="I180" s="16"/>
      <c r="J180" s="16"/>
      <c r="K180" s="16"/>
      <c r="L180" s="16"/>
      <c r="M180" s="16"/>
      <c r="N180" s="16"/>
      <c r="P180" s="487"/>
      <c r="R180" s="103"/>
      <c r="S180" s="103"/>
      <c r="T180" s="103"/>
      <c r="U180" s="103"/>
      <c r="V180" s="103"/>
      <c r="W180" s="103"/>
    </row>
    <row r="181" spans="1:23" s="17" customFormat="1" ht="14.5" x14ac:dyDescent="0.35">
      <c r="A181" s="11"/>
      <c r="B181" s="151" t="e">
        <f>IF($G$196=0,"This section is blank as there is no Supported housing / housing for older people stock","")</f>
        <v>#N/A</v>
      </c>
      <c r="I181" s="102"/>
      <c r="J181" s="102"/>
      <c r="K181" s="16"/>
      <c r="L181" s="16"/>
      <c r="M181" s="16"/>
      <c r="N181" s="16"/>
      <c r="P181" s="484"/>
      <c r="R181" s="103"/>
      <c r="S181" s="103"/>
      <c r="T181" s="103"/>
      <c r="U181" s="103"/>
      <c r="V181" s="103"/>
      <c r="W181" s="103"/>
    </row>
    <row r="182" spans="1:23" s="17" customFormat="1" ht="15.5" x14ac:dyDescent="0.35">
      <c r="A182" s="653">
        <v>10</v>
      </c>
      <c r="B182" s="104" t="s">
        <v>14100</v>
      </c>
      <c r="C182" s="47"/>
      <c r="D182" s="47"/>
      <c r="E182" s="47"/>
      <c r="F182" s="47"/>
      <c r="G182" s="48"/>
      <c r="I182" s="16"/>
      <c r="J182" s="16"/>
      <c r="K182" s="16"/>
      <c r="L182" s="16"/>
      <c r="M182" s="16"/>
      <c r="N182" s="16"/>
      <c r="P182" s="484"/>
      <c r="R182" s="103"/>
      <c r="S182" s="103"/>
      <c r="T182" s="103"/>
      <c r="U182" s="103"/>
      <c r="V182" s="103"/>
      <c r="W182" s="103"/>
    </row>
    <row r="183" spans="1:23" s="17" customFormat="1" ht="14.5" x14ac:dyDescent="0.35">
      <c r="A183" s="654"/>
      <c r="B183" s="655" t="str">
        <f>"Rents (£ per week) and unit counts by unit size for "&amp;$E$3&amp; " - Large PRPs"</f>
        <v>Rents (£ per week) and unit counts by unit size for  - Large PRPs</v>
      </c>
      <c r="C183" s="637"/>
      <c r="D183" s="637"/>
      <c r="E183" s="637"/>
      <c r="F183" s="637"/>
      <c r="G183" s="638"/>
      <c r="I183" s="16"/>
      <c r="J183" s="16"/>
      <c r="K183" s="16"/>
      <c r="L183" s="16"/>
      <c r="M183" s="16"/>
      <c r="N183" s="16"/>
      <c r="P183" s="484"/>
      <c r="R183" s="103"/>
      <c r="S183" s="103"/>
      <c r="T183" s="103"/>
      <c r="U183" s="103"/>
      <c r="V183" s="103"/>
      <c r="W183" s="103"/>
    </row>
    <row r="184" spans="1:23" s="17" customFormat="1" ht="14.5" x14ac:dyDescent="0.35">
      <c r="A184" s="11"/>
      <c r="B184" s="639"/>
      <c r="C184" s="637"/>
      <c r="D184" s="637"/>
      <c r="E184" s="637"/>
      <c r="F184" s="637"/>
      <c r="G184" s="638"/>
      <c r="I184" s="16"/>
      <c r="J184" s="16"/>
      <c r="K184" s="16"/>
      <c r="L184" s="16"/>
      <c r="M184" s="16"/>
      <c r="N184" s="16"/>
      <c r="P184" s="484"/>
      <c r="R184" s="103"/>
      <c r="S184" s="103"/>
      <c r="T184" s="103"/>
      <c r="U184" s="103"/>
      <c r="V184" s="103"/>
      <c r="W184" s="103"/>
    </row>
    <row r="185" spans="1:23" s="17" customFormat="1" ht="14.5" x14ac:dyDescent="0.35">
      <c r="A185" s="11"/>
      <c r="B185" s="640"/>
      <c r="C185" s="641"/>
      <c r="D185" s="641"/>
      <c r="E185" s="641"/>
      <c r="F185" s="641"/>
      <c r="G185" s="642"/>
      <c r="I185" s="16"/>
      <c r="J185" s="16"/>
      <c r="K185" s="16"/>
      <c r="L185" s="16"/>
      <c r="M185" s="16"/>
      <c r="N185" s="16"/>
      <c r="P185" s="484"/>
      <c r="Q185">
        <v>10</v>
      </c>
      <c r="R185" t="s">
        <v>57</v>
      </c>
      <c r="S185"/>
      <c r="T185"/>
      <c r="U185" s="103"/>
      <c r="V185" s="103"/>
      <c r="W185" s="103"/>
    </row>
    <row r="186" spans="1:23" s="17" customFormat="1" ht="14.5" x14ac:dyDescent="0.35">
      <c r="A186" s="11"/>
      <c r="B186" s="160" t="str">
        <f>"Average weekly net rent (£ per week) by unit size for "&amp;$E$3&amp; " - large PRPs"</f>
        <v>Average weekly net rent (£ per week) by unit size for  - large PRPs</v>
      </c>
      <c r="C186" s="27" t="s">
        <v>42</v>
      </c>
      <c r="D186" s="161"/>
      <c r="E186" s="161"/>
      <c r="F186" s="162" t="s">
        <v>61</v>
      </c>
      <c r="G186" s="163"/>
      <c r="I186" s="16"/>
      <c r="J186" s="16"/>
      <c r="K186" s="16"/>
      <c r="L186" s="16"/>
      <c r="M186" s="16"/>
      <c r="N186" s="16"/>
      <c r="P186" s="484"/>
      <c r="Q186"/>
      <c r="R186" t="s">
        <v>1032</v>
      </c>
      <c r="S186"/>
      <c r="T186"/>
      <c r="U186" s="103"/>
      <c r="V186" s="103"/>
      <c r="W186" s="103"/>
    </row>
    <row r="187" spans="1:23" s="17" customFormat="1" ht="14.5" customHeight="1" x14ac:dyDescent="0.35">
      <c r="A187" s="11"/>
      <c r="B187" s="164" t="s">
        <v>75</v>
      </c>
      <c r="C187" s="154" t="s">
        <v>47</v>
      </c>
      <c r="D187" s="110" t="s">
        <v>13925</v>
      </c>
      <c r="E187" s="154" t="s">
        <v>48</v>
      </c>
      <c r="F187" s="154" t="s">
        <v>49</v>
      </c>
      <c r="G187" s="155" t="s">
        <v>50</v>
      </c>
      <c r="I187" s="16"/>
      <c r="J187" s="16"/>
      <c r="K187" s="16"/>
      <c r="L187" s="16"/>
      <c r="M187" s="16"/>
      <c r="N187" s="16"/>
      <c r="P187" s="484"/>
      <c r="Q187"/>
      <c r="R187" t="s">
        <v>75</v>
      </c>
      <c r="S187"/>
      <c r="T187" t="s">
        <v>11356</v>
      </c>
      <c r="U187" s="103"/>
      <c r="V187" s="103"/>
      <c r="W187" s="103"/>
    </row>
    <row r="188" spans="1:23" s="17" customFormat="1" ht="14.5" customHeight="1" x14ac:dyDescent="0.35">
      <c r="A188" s="11"/>
      <c r="B188" s="165"/>
      <c r="C188" s="157" t="s">
        <v>63</v>
      </c>
      <c r="D188" s="115" t="s">
        <v>51</v>
      </c>
      <c r="E188" s="157" t="s">
        <v>52</v>
      </c>
      <c r="F188" s="157" t="s">
        <v>53</v>
      </c>
      <c r="G188" s="158" t="s">
        <v>54</v>
      </c>
      <c r="I188" s="16"/>
      <c r="J188" s="16"/>
      <c r="K188" s="16"/>
      <c r="L188" s="16"/>
      <c r="M188" s="16"/>
      <c r="N188" s="16"/>
      <c r="P188" s="484"/>
      <c r="Q188" s="215" t="s">
        <v>332</v>
      </c>
      <c r="R188" s="218" t="s">
        <v>165</v>
      </c>
      <c r="S188" t="s">
        <v>64</v>
      </c>
      <c r="T188" s="217">
        <f>HLOOKUP($R188,'2022_LA_and_Region_Data_final'!$E$3:$FN$5,3,0)</f>
        <v>105.35</v>
      </c>
      <c r="U188" s="103"/>
      <c r="V188" s="103"/>
      <c r="W188" s="103"/>
    </row>
    <row r="189" spans="1:23" s="230" customFormat="1" ht="14.5" customHeight="1" x14ac:dyDescent="0.35">
      <c r="A189" s="11">
        <f t="shared" ref="A189:A196" si="3">$E$3</f>
        <v>0</v>
      </c>
      <c r="B189" s="166" t="s">
        <v>64</v>
      </c>
      <c r="C189" s="542" t="e">
        <f>VLOOKUP($E$3,LA_Data,90,0)</f>
        <v>#N/A</v>
      </c>
      <c r="D189" s="550" t="e">
        <f>VLOOKUP($E$3,LA_Data,91,0)</f>
        <v>#N/A</v>
      </c>
      <c r="E189" s="550" t="e">
        <f>VLOOKUP($E$3,LA_Data,92,0)</f>
        <v>#N/A</v>
      </c>
      <c r="F189" s="550" t="e">
        <f>VLOOKUP($E$3,LA_Data,93,0)</f>
        <v>#N/A</v>
      </c>
      <c r="G189" s="539" t="e">
        <f>VLOOKUP($E$3,LA_Data,94,0)</f>
        <v>#N/A</v>
      </c>
      <c r="I189" s="16"/>
      <c r="J189" s="16"/>
      <c r="K189" s="16"/>
      <c r="L189" s="16"/>
      <c r="M189" s="16"/>
      <c r="N189" s="16"/>
      <c r="P189" s="485"/>
      <c r="Q189" s="215" t="s">
        <v>337</v>
      </c>
      <c r="R189" s="218" t="s">
        <v>170</v>
      </c>
      <c r="S189" t="s">
        <v>65</v>
      </c>
      <c r="T189" s="217">
        <f>HLOOKUP($R189,'2022_LA_and_Region_Data_final'!$E$3:$FN$5,3,0)</f>
        <v>80.89</v>
      </c>
      <c r="U189" s="103"/>
      <c r="V189" s="103"/>
      <c r="W189" s="103"/>
    </row>
    <row r="190" spans="1:23" s="230" customFormat="1" ht="14.5" customHeight="1" x14ac:dyDescent="0.35">
      <c r="A190" s="11">
        <f t="shared" si="3"/>
        <v>0</v>
      </c>
      <c r="B190" s="166" t="s">
        <v>65</v>
      </c>
      <c r="C190" s="543" t="e">
        <f>VLOOKUP($E$3,LA_Data,95,0)</f>
        <v>#N/A</v>
      </c>
      <c r="D190" s="550" t="e">
        <f>VLOOKUP($E$3,LA_Data,96,0)</f>
        <v>#N/A</v>
      </c>
      <c r="E190" s="550" t="e">
        <f>VLOOKUP($E$3,LA_Data,97,0)</f>
        <v>#N/A</v>
      </c>
      <c r="F190" s="550" t="e">
        <f>VLOOKUP($E$3,LA_Data,98,0)</f>
        <v>#N/A</v>
      </c>
      <c r="G190" s="539" t="e">
        <f>VLOOKUP($E$3,LA_Data,99,0)</f>
        <v>#N/A</v>
      </c>
      <c r="I190" s="16"/>
      <c r="J190" s="16"/>
      <c r="K190" s="16"/>
      <c r="L190" s="16"/>
      <c r="M190" s="16"/>
      <c r="N190" s="16"/>
      <c r="P190" s="485"/>
      <c r="Q190" s="215" t="s">
        <v>342</v>
      </c>
      <c r="R190" s="218" t="s">
        <v>175</v>
      </c>
      <c r="S190" t="s">
        <v>66</v>
      </c>
      <c r="T190" s="217">
        <f>HLOOKUP($R190,'2022_LA_and_Region_Data_final'!$E$3:$FN$5,3,0)</f>
        <v>93.42</v>
      </c>
      <c r="U190" s="103"/>
      <c r="V190" s="103"/>
      <c r="W190" s="103"/>
    </row>
    <row r="191" spans="1:23" s="230" customFormat="1" ht="14.5" customHeight="1" x14ac:dyDescent="0.35">
      <c r="A191" s="11">
        <f t="shared" si="3"/>
        <v>0</v>
      </c>
      <c r="B191" s="166" t="s">
        <v>66</v>
      </c>
      <c r="C191" s="543" t="e">
        <f>VLOOKUP($E$3,LA_Data,100,0)</f>
        <v>#N/A</v>
      </c>
      <c r="D191" s="550" t="e">
        <f>VLOOKUP($E$3,LA_Data,101,0)</f>
        <v>#N/A</v>
      </c>
      <c r="E191" s="550" t="e">
        <f>VLOOKUP($E$3,LA_Data,102,0)</f>
        <v>#N/A</v>
      </c>
      <c r="F191" s="550" t="e">
        <f>VLOOKUP($E$3,LA_Data,103,0)</f>
        <v>#N/A</v>
      </c>
      <c r="G191" s="539" t="e">
        <f>VLOOKUP($E$3,LA_Data,104,0)</f>
        <v>#N/A</v>
      </c>
      <c r="I191" s="16"/>
      <c r="J191" s="16"/>
      <c r="K191" s="16"/>
      <c r="L191" s="16"/>
      <c r="M191" s="16"/>
      <c r="N191" s="16"/>
      <c r="P191" s="485"/>
      <c r="Q191" s="215" t="s">
        <v>347</v>
      </c>
      <c r="R191" s="218" t="s">
        <v>180</v>
      </c>
      <c r="S191" t="s">
        <v>67</v>
      </c>
      <c r="T191" s="217">
        <f>HLOOKUP($R191,'2022_LA_and_Region_Data_final'!$E$3:$FN$5,3,0)</f>
        <v>103.5</v>
      </c>
      <c r="U191" s="103"/>
      <c r="V191" s="103"/>
      <c r="W191" s="103"/>
    </row>
    <row r="192" spans="1:23" s="230" customFormat="1" ht="14.5" customHeight="1" x14ac:dyDescent="0.35">
      <c r="A192" s="11">
        <f t="shared" si="3"/>
        <v>0</v>
      </c>
      <c r="B192" s="166" t="s">
        <v>67</v>
      </c>
      <c r="C192" s="543" t="e">
        <f>VLOOKUP($E$3,LA_Data,105,0)</f>
        <v>#N/A</v>
      </c>
      <c r="D192" s="550" t="e">
        <f>VLOOKUP($E$3,LA_Data,106,0)</f>
        <v>#N/A</v>
      </c>
      <c r="E192" s="550" t="e">
        <f>VLOOKUP($E$3,LA_Data,107,0)</f>
        <v>#N/A</v>
      </c>
      <c r="F192" s="550" t="e">
        <f>VLOOKUP($E$3,LA_Data,108,0)</f>
        <v>#N/A</v>
      </c>
      <c r="G192" s="539" t="e">
        <f>VLOOKUP($E$3,LA_Data,109,0)</f>
        <v>#N/A</v>
      </c>
      <c r="I192" s="16"/>
      <c r="J192" s="16"/>
      <c r="K192" s="16"/>
      <c r="L192" s="16"/>
      <c r="M192" s="16"/>
      <c r="N192" s="16"/>
      <c r="P192" s="485"/>
      <c r="Q192" s="215" t="s">
        <v>352</v>
      </c>
      <c r="R192" s="218" t="s">
        <v>185</v>
      </c>
      <c r="S192" t="s">
        <v>68</v>
      </c>
      <c r="T192" s="217">
        <f>HLOOKUP($R192,'2022_LA_and_Region_Data_final'!$E$3:$FN$5,3,0)</f>
        <v>116.04</v>
      </c>
      <c r="U192" s="103"/>
      <c r="V192" s="103"/>
      <c r="W192" s="103"/>
    </row>
    <row r="193" spans="1:23" s="230" customFormat="1" ht="14.5" customHeight="1" x14ac:dyDescent="0.35">
      <c r="A193" s="11">
        <f t="shared" si="3"/>
        <v>0</v>
      </c>
      <c r="B193" s="166" t="s">
        <v>68</v>
      </c>
      <c r="C193" s="543" t="e">
        <f>VLOOKUP($E$3,LA_Data,110,0)</f>
        <v>#N/A</v>
      </c>
      <c r="D193" s="550" t="e">
        <f>VLOOKUP($E$3,LA_Data,111,0)</f>
        <v>#N/A</v>
      </c>
      <c r="E193" s="550" t="e">
        <f>VLOOKUP($E$3,LA_Data,112,0)</f>
        <v>#N/A</v>
      </c>
      <c r="F193" s="550" t="e">
        <f>VLOOKUP($E$3,LA_Data,113,0)</f>
        <v>#N/A</v>
      </c>
      <c r="G193" s="539" t="e">
        <f>VLOOKUP($E$3,LA_Data,114,0)</f>
        <v>#N/A</v>
      </c>
      <c r="I193" s="16"/>
      <c r="J193" s="16"/>
      <c r="K193" s="16"/>
      <c r="L193" s="16"/>
      <c r="M193" s="16"/>
      <c r="N193" s="16"/>
      <c r="P193" s="485"/>
      <c r="Q193" s="215" t="s">
        <v>357</v>
      </c>
      <c r="R193" s="218" t="s">
        <v>190</v>
      </c>
      <c r="S193" t="s">
        <v>76</v>
      </c>
      <c r="T193" s="217">
        <f>HLOOKUP($R193,'2022_LA_and_Region_Data_final'!$E$3:$FN$5,3,0)</f>
        <v>148.43</v>
      </c>
      <c r="U193" s="103"/>
      <c r="V193" s="103"/>
      <c r="W193" s="103"/>
    </row>
    <row r="194" spans="1:23" s="230" customFormat="1" ht="14.5" customHeight="1" x14ac:dyDescent="0.35">
      <c r="A194" s="11">
        <f t="shared" si="3"/>
        <v>0</v>
      </c>
      <c r="B194" s="166" t="s">
        <v>76</v>
      </c>
      <c r="C194" s="543" t="e">
        <f>VLOOKUP($E$3,LA_Data,115,0)</f>
        <v>#N/A</v>
      </c>
      <c r="D194" s="550" t="e">
        <f>VLOOKUP($E$3,LA_Data,116,0)</f>
        <v>#N/A</v>
      </c>
      <c r="E194" s="550" t="e">
        <f>VLOOKUP($E$3,LA_Data,117,0)</f>
        <v>#N/A</v>
      </c>
      <c r="F194" s="550" t="e">
        <f>VLOOKUP($E$3,LA_Data,118,0)</f>
        <v>#N/A</v>
      </c>
      <c r="G194" s="539" t="e">
        <f>VLOOKUP($E$3,LA_Data,119,0)</f>
        <v>#N/A</v>
      </c>
      <c r="I194" s="16"/>
      <c r="J194" s="16"/>
      <c r="K194" s="16"/>
      <c r="L194" s="16"/>
      <c r="M194" s="16"/>
      <c r="N194" s="16"/>
      <c r="P194" s="485"/>
      <c r="Q194" s="215" t="s">
        <v>362</v>
      </c>
      <c r="R194" s="218" t="s">
        <v>198</v>
      </c>
      <c r="S194" t="s">
        <v>1033</v>
      </c>
      <c r="T194" s="217">
        <f>HLOOKUP($R194,'2022_LA_and_Region_Data_final'!$E$3:$FN$5,3,0)</f>
        <v>131.71</v>
      </c>
      <c r="U194" s="103"/>
      <c r="V194" s="103"/>
      <c r="W194" s="103"/>
    </row>
    <row r="195" spans="1:23" s="230" customFormat="1" ht="14.5" customHeight="1" x14ac:dyDescent="0.35">
      <c r="A195" s="11">
        <f t="shared" si="3"/>
        <v>0</v>
      </c>
      <c r="B195" s="350" t="s">
        <v>72</v>
      </c>
      <c r="C195" s="544" t="e">
        <f>VLOOKUP($E$3,LA_Data,120,0)</f>
        <v>#N/A</v>
      </c>
      <c r="D195" s="551" t="e">
        <f>VLOOKUP($E$3,LA_Data,121,0)</f>
        <v>#N/A</v>
      </c>
      <c r="E195" s="551" t="e">
        <f>VLOOKUP($E$3,LA_Data,122,0)</f>
        <v>#N/A</v>
      </c>
      <c r="F195" s="551" t="e">
        <f>VLOOKUP($E$3,LA_Data,123,0)</f>
        <v>#N/A</v>
      </c>
      <c r="G195" s="540" t="e">
        <f>VLOOKUP($E$3,LA_Data,124,0)</f>
        <v>#N/A</v>
      </c>
      <c r="I195" s="16"/>
      <c r="J195" s="16"/>
      <c r="K195" s="16"/>
      <c r="L195" s="16"/>
      <c r="M195" s="16"/>
      <c r="N195" s="16"/>
      <c r="P195" s="485"/>
      <c r="Q195" s="215" t="s">
        <v>367</v>
      </c>
      <c r="R195" s="218" t="s">
        <v>200</v>
      </c>
      <c r="S195" t="s">
        <v>1034</v>
      </c>
      <c r="T195" s="217">
        <f>HLOOKUP($R195,'2022_LA_and_Region_Data_final'!$E$3:$FN$5,3,0)</f>
        <v>95.6</v>
      </c>
      <c r="U195" s="103"/>
      <c r="V195" s="103"/>
      <c r="W195" s="103"/>
    </row>
    <row r="196" spans="1:23" s="230" customFormat="1" ht="14.5" customHeight="1" x14ac:dyDescent="0.3">
      <c r="A196" s="11">
        <f t="shared" si="3"/>
        <v>0</v>
      </c>
      <c r="B196" s="35" t="s">
        <v>73</v>
      </c>
      <c r="C196" s="545" t="e">
        <f>VLOOKUP($E$3,LA_Data,125,0)</f>
        <v>#N/A</v>
      </c>
      <c r="D196" s="552" t="e">
        <f>VLOOKUP($E$3,LA_Data,126,0)</f>
        <v>#N/A</v>
      </c>
      <c r="E196" s="552" t="e">
        <f>VLOOKUP($E$3,LA_Data,127,0)</f>
        <v>#N/A</v>
      </c>
      <c r="F196" s="552" t="e">
        <f>VLOOKUP($E$3,LA_Data,128,0)</f>
        <v>#N/A</v>
      </c>
      <c r="G196" s="541" t="e">
        <f>VLOOKUP($E$3,LA_Data,129,0)</f>
        <v>#N/A</v>
      </c>
      <c r="I196" s="16"/>
      <c r="J196" s="16"/>
      <c r="K196" s="16"/>
      <c r="L196" s="16"/>
      <c r="M196" s="16"/>
      <c r="N196" s="16"/>
      <c r="P196" s="485"/>
      <c r="R196" s="103"/>
      <c r="S196" s="103"/>
      <c r="T196" s="103"/>
      <c r="U196" s="103"/>
      <c r="V196" s="103"/>
      <c r="W196" s="103"/>
    </row>
    <row r="197" spans="1:23" s="17" customFormat="1" ht="14.5" customHeight="1" x14ac:dyDescent="0.35">
      <c r="A197" s="11"/>
      <c r="B197" s="170"/>
      <c r="C197" s="171"/>
      <c r="D197" s="171"/>
      <c r="E197" s="171"/>
      <c r="F197" s="171"/>
      <c r="G197" s="172"/>
      <c r="I197" s="16"/>
      <c r="J197" s="16"/>
      <c r="K197" s="16"/>
      <c r="L197" s="16"/>
      <c r="M197" s="16"/>
      <c r="N197" s="16"/>
      <c r="P197" s="484"/>
      <c r="R197" s="103"/>
      <c r="S197" s="103"/>
      <c r="T197" s="103"/>
      <c r="U197" s="103"/>
      <c r="V197" s="103"/>
      <c r="W197" s="103"/>
    </row>
    <row r="198" spans="1:23" s="17" customFormat="1" ht="14.5" customHeight="1" x14ac:dyDescent="0.35">
      <c r="A198" s="11"/>
      <c r="B198" s="170"/>
      <c r="C198" s="171"/>
      <c r="D198" s="171"/>
      <c r="E198" s="171"/>
      <c r="F198" s="171"/>
      <c r="G198" s="172"/>
      <c r="I198" s="16"/>
      <c r="J198" s="16"/>
      <c r="K198" s="16"/>
      <c r="L198" s="16"/>
      <c r="M198" s="16"/>
      <c r="N198" s="16"/>
      <c r="P198" s="484"/>
      <c r="R198" s="103"/>
      <c r="S198" s="103"/>
      <c r="T198" s="103"/>
      <c r="U198" s="103"/>
      <c r="V198" s="103"/>
      <c r="W198" s="103"/>
    </row>
    <row r="199" spans="1:23" s="17" customFormat="1" ht="14.5" customHeight="1" x14ac:dyDescent="0.35">
      <c r="A199" s="11"/>
      <c r="B199" s="650" t="s">
        <v>13932</v>
      </c>
      <c r="C199" s="651"/>
      <c r="D199" s="651"/>
      <c r="E199" s="651"/>
      <c r="F199" s="651"/>
      <c r="G199" s="652"/>
      <c r="I199" s="16"/>
      <c r="J199" s="16"/>
      <c r="K199" s="16"/>
      <c r="L199" s="16"/>
      <c r="M199" s="16"/>
      <c r="N199" s="16"/>
      <c r="P199" s="484"/>
      <c r="R199" s="103"/>
      <c r="S199" s="103"/>
      <c r="T199" s="103"/>
      <c r="U199" s="103"/>
      <c r="V199" s="103"/>
      <c r="W199" s="103"/>
    </row>
    <row r="200" spans="1:23" s="17" customFormat="1" ht="14.5" x14ac:dyDescent="0.35">
      <c r="A200" s="11"/>
      <c r="B200" s="650"/>
      <c r="C200" s="651"/>
      <c r="D200" s="651"/>
      <c r="E200" s="651"/>
      <c r="F200" s="651"/>
      <c r="G200" s="652"/>
      <c r="I200" s="16"/>
      <c r="J200" s="16"/>
      <c r="K200" s="16"/>
      <c r="L200" s="16"/>
      <c r="M200" s="16"/>
      <c r="N200" s="16"/>
      <c r="P200" s="484"/>
      <c r="R200" s="103"/>
      <c r="S200" s="103"/>
      <c r="T200" s="103"/>
      <c r="U200" s="103"/>
      <c r="V200" s="103"/>
      <c r="W200" s="103"/>
    </row>
    <row r="201" spans="1:23" s="17" customFormat="1" ht="14.5" x14ac:dyDescent="0.35">
      <c r="A201" s="11"/>
      <c r="B201" s="75"/>
      <c r="D201" s="173"/>
      <c r="G201" s="72"/>
      <c r="I201" s="16"/>
      <c r="J201" s="16"/>
      <c r="K201" s="16"/>
      <c r="L201" s="16"/>
      <c r="M201" s="16"/>
      <c r="N201" s="16"/>
      <c r="P201" s="484"/>
      <c r="R201" s="103"/>
      <c r="S201" s="103"/>
      <c r="V201" s="103"/>
      <c r="W201" s="103"/>
    </row>
    <row r="202" spans="1:23" s="17" customFormat="1" ht="14.5" x14ac:dyDescent="0.35">
      <c r="A202" s="11"/>
      <c r="B202" s="128" t="s">
        <v>14111</v>
      </c>
      <c r="C202" s="26"/>
      <c r="D202" s="26"/>
      <c r="E202" s="26"/>
      <c r="F202" s="26"/>
      <c r="G202" s="79"/>
      <c r="I202" s="16"/>
      <c r="J202" s="16"/>
      <c r="K202" s="16"/>
      <c r="L202" s="16"/>
      <c r="M202" s="16"/>
      <c r="N202" s="16"/>
      <c r="P202" s="484"/>
      <c r="R202" s="103"/>
      <c r="S202" s="103"/>
      <c r="V202" s="103"/>
      <c r="W202" s="103"/>
    </row>
    <row r="203" spans="1:23" s="17" customFormat="1" ht="14.5" x14ac:dyDescent="0.35">
      <c r="A203" s="11"/>
      <c r="B203" s="151" t="e">
        <f>IF($G$220=0,"This section is blank as there is no Affordable Rent general needs stock","")</f>
        <v>#N/A</v>
      </c>
      <c r="E203" s="14"/>
      <c r="F203" s="14"/>
      <c r="G203" s="14"/>
      <c r="I203" s="102"/>
      <c r="J203" s="102"/>
      <c r="K203" s="16"/>
      <c r="L203" s="16"/>
      <c r="M203" s="16"/>
      <c r="N203" s="16"/>
      <c r="P203" s="484"/>
      <c r="R203" s="103"/>
      <c r="S203" s="103"/>
    </row>
    <row r="204" spans="1:23" s="17" customFormat="1" ht="15.5" x14ac:dyDescent="0.35">
      <c r="A204" s="575">
        <v>11</v>
      </c>
      <c r="B204" s="104" t="s">
        <v>58</v>
      </c>
      <c r="C204" s="47"/>
      <c r="D204" s="47"/>
      <c r="E204" s="47"/>
      <c r="F204" s="174"/>
      <c r="G204" s="48"/>
      <c r="I204" s="16"/>
      <c r="J204" s="16"/>
      <c r="K204" s="16"/>
      <c r="L204" s="16"/>
      <c r="M204" s="16"/>
      <c r="N204" s="16"/>
      <c r="P204" s="484"/>
      <c r="R204" s="103"/>
      <c r="S204" s="103"/>
    </row>
    <row r="205" spans="1:23" s="17" customFormat="1" ht="14.5" x14ac:dyDescent="0.35">
      <c r="A205" s="636"/>
      <c r="B205" s="582" t="str">
        <f>"Average weekly gross rent (£ per week) and unit counts by unit size for "&amp;$E$3</f>
        <v xml:space="preserve">Average weekly gross rent (£ per week) and unit counts by unit size for </v>
      </c>
      <c r="C205" s="637"/>
      <c r="D205" s="637"/>
      <c r="E205" s="637"/>
      <c r="F205" s="637"/>
      <c r="G205" s="638"/>
      <c r="I205" s="16"/>
      <c r="J205" s="16"/>
      <c r="K205" s="16"/>
      <c r="L205" s="16"/>
      <c r="M205" s="16"/>
      <c r="N205" s="16"/>
      <c r="P205" s="484"/>
    </row>
    <row r="206" spans="1:23" s="17" customFormat="1" ht="14.5" x14ac:dyDescent="0.35">
      <c r="A206" s="11"/>
      <c r="B206" s="639"/>
      <c r="C206" s="637"/>
      <c r="D206" s="637"/>
      <c r="E206" s="637"/>
      <c r="F206" s="637"/>
      <c r="G206" s="638"/>
      <c r="I206" s="16"/>
      <c r="J206" s="16"/>
      <c r="K206" s="16"/>
      <c r="L206" s="16"/>
      <c r="M206" s="16"/>
      <c r="N206" s="16"/>
      <c r="P206" s="484"/>
    </row>
    <row r="207" spans="1:23" s="17" customFormat="1" ht="14.5" x14ac:dyDescent="0.35">
      <c r="A207" s="11"/>
      <c r="B207" s="640"/>
      <c r="C207" s="641"/>
      <c r="D207" s="641"/>
      <c r="E207" s="641"/>
      <c r="F207" s="641"/>
      <c r="G207" s="642"/>
      <c r="I207" s="16"/>
      <c r="J207" s="16"/>
      <c r="K207" s="16"/>
      <c r="L207" s="16"/>
      <c r="M207" s="16"/>
      <c r="N207" s="16"/>
      <c r="P207" s="484"/>
    </row>
    <row r="208" spans="1:23" s="230" customFormat="1" ht="14.5" x14ac:dyDescent="0.35">
      <c r="A208" s="11"/>
      <c r="B208" s="108" t="str">
        <f>"Average weekly gross rent (£ per week) by unit size for "&amp;$E$3</f>
        <v xml:space="preserve">Average weekly gross rent (£ per week) by unit size for </v>
      </c>
      <c r="E208" s="27" t="s">
        <v>42</v>
      </c>
      <c r="F208" s="152" t="s">
        <v>61</v>
      </c>
      <c r="G208" s="163"/>
      <c r="I208" s="16"/>
      <c r="J208" s="16"/>
      <c r="K208" s="16"/>
      <c r="L208" s="16"/>
      <c r="M208" s="16"/>
      <c r="N208" s="16"/>
      <c r="P208" s="485"/>
      <c r="Q208">
        <v>11</v>
      </c>
      <c r="R208" t="s">
        <v>58</v>
      </c>
      <c r="S208"/>
      <c r="T208"/>
    </row>
    <row r="209" spans="1:20" s="230" customFormat="1" ht="14.5" customHeight="1" x14ac:dyDescent="0.35">
      <c r="A209" s="11"/>
      <c r="B209" s="175" t="s">
        <v>62</v>
      </c>
      <c r="C209" s="154"/>
      <c r="E209" s="154"/>
      <c r="F209" s="154" t="s">
        <v>49</v>
      </c>
      <c r="G209" s="155" t="s">
        <v>50</v>
      </c>
      <c r="I209" s="16"/>
      <c r="J209" s="16"/>
      <c r="K209" s="16"/>
      <c r="L209" s="16"/>
      <c r="M209" s="16"/>
      <c r="N209" s="16"/>
      <c r="P209" s="485"/>
      <c r="Q209"/>
      <c r="R209" t="s">
        <v>1035</v>
      </c>
      <c r="S209"/>
      <c r="T209"/>
    </row>
    <row r="210" spans="1:20" s="230" customFormat="1" ht="14.5" customHeight="1" x14ac:dyDescent="0.35">
      <c r="A210" s="11"/>
      <c r="B210" s="350"/>
      <c r="C210" s="317"/>
      <c r="D210" s="323"/>
      <c r="E210" s="317"/>
      <c r="F210" s="317" t="s">
        <v>51</v>
      </c>
      <c r="G210" s="158" t="s">
        <v>54</v>
      </c>
      <c r="I210" s="16"/>
      <c r="J210" s="16"/>
      <c r="K210" s="16"/>
      <c r="L210" s="16"/>
      <c r="M210" s="16"/>
      <c r="N210" s="16"/>
      <c r="P210" s="485"/>
      <c r="Q210"/>
      <c r="R210" t="s">
        <v>1036</v>
      </c>
      <c r="S210"/>
      <c r="T210"/>
    </row>
    <row r="211" spans="1:20" s="230" customFormat="1" ht="14.5" customHeight="1" x14ac:dyDescent="0.35">
      <c r="A211" s="11">
        <f t="shared" ref="A211:A220" si="4">$E$3</f>
        <v>0</v>
      </c>
      <c r="B211" s="348" t="s">
        <v>64</v>
      </c>
      <c r="C211" s="367"/>
      <c r="D211" s="370"/>
      <c r="E211" s="369"/>
      <c r="F211" s="546" t="e">
        <f>VLOOKUP($E$3,LA_Data,130,0)</f>
        <v>#N/A</v>
      </c>
      <c r="G211" s="536" t="e">
        <f>VLOOKUP($E$3,LA_Data,131,0)</f>
        <v>#N/A</v>
      </c>
      <c r="I211" s="16"/>
      <c r="J211" s="16"/>
      <c r="K211" s="16"/>
      <c r="L211" s="16"/>
      <c r="M211" s="16"/>
      <c r="N211" s="16"/>
      <c r="P211" s="485"/>
      <c r="Q211"/>
      <c r="R211" t="s">
        <v>62</v>
      </c>
      <c r="S211"/>
      <c r="T211" t="s">
        <v>11357</v>
      </c>
    </row>
    <row r="212" spans="1:20" s="230" customFormat="1" ht="14.5" customHeight="1" x14ac:dyDescent="0.35">
      <c r="A212" s="11">
        <f t="shared" si="4"/>
        <v>0</v>
      </c>
      <c r="B212" s="348" t="s">
        <v>65</v>
      </c>
      <c r="C212" s="369"/>
      <c r="D212" s="370"/>
      <c r="E212" s="369"/>
      <c r="F212" s="547" t="e">
        <f>VLOOKUP($E$3,LA_Data,132,0)</f>
        <v>#N/A</v>
      </c>
      <c r="G212" s="536" t="e">
        <f>VLOOKUP($E$3,LA_Data,133,0)</f>
        <v>#N/A</v>
      </c>
      <c r="I212" s="16"/>
      <c r="J212" s="16"/>
      <c r="K212" s="16"/>
      <c r="L212" s="16"/>
      <c r="M212" s="16"/>
      <c r="N212" s="16"/>
      <c r="P212" s="485"/>
      <c r="Q212" s="215" t="s">
        <v>372</v>
      </c>
      <c r="R212" s="219" t="s">
        <v>205</v>
      </c>
      <c r="S212" t="s">
        <v>64</v>
      </c>
      <c r="T212" s="217">
        <f>HLOOKUP($R212,'2022_LA_and_Region_Data_final'!$E$3:$FN$5,3,0)</f>
        <v>98.7</v>
      </c>
    </row>
    <row r="213" spans="1:20" s="230" customFormat="1" ht="14.5" customHeight="1" x14ac:dyDescent="0.35">
      <c r="A213" s="11">
        <f t="shared" si="4"/>
        <v>0</v>
      </c>
      <c r="B213" s="348" t="s">
        <v>66</v>
      </c>
      <c r="C213" s="369"/>
      <c r="D213" s="370"/>
      <c r="E213" s="369"/>
      <c r="F213" s="547" t="e">
        <f>VLOOKUP($E$3,LA_Data,134,0)</f>
        <v>#N/A</v>
      </c>
      <c r="G213" s="536" t="e">
        <f>VLOOKUP($E$3,LA_Data,135,0)</f>
        <v>#N/A</v>
      </c>
      <c r="I213" s="16"/>
      <c r="J213" s="16"/>
      <c r="K213" s="16"/>
      <c r="L213" s="16"/>
      <c r="M213" s="16"/>
      <c r="N213" s="16"/>
      <c r="P213" s="485"/>
      <c r="Q213" s="215" t="s">
        <v>374</v>
      </c>
      <c r="R213" s="219" t="s">
        <v>207</v>
      </c>
      <c r="S213" t="s">
        <v>65</v>
      </c>
      <c r="T213" s="217">
        <f>HLOOKUP($R213,'2022_LA_and_Region_Data_final'!$E$3:$FN$5,3,0)</f>
        <v>136.83000000000001</v>
      </c>
    </row>
    <row r="214" spans="1:20" s="230" customFormat="1" ht="14.5" customHeight="1" x14ac:dyDescent="0.35">
      <c r="A214" s="11">
        <f t="shared" si="4"/>
        <v>0</v>
      </c>
      <c r="B214" s="348" t="s">
        <v>67</v>
      </c>
      <c r="C214" s="369"/>
      <c r="D214" s="370"/>
      <c r="E214" s="369"/>
      <c r="F214" s="547" t="e">
        <f>VLOOKUP($E$3,LA_Data,136,0)</f>
        <v>#N/A</v>
      </c>
      <c r="G214" s="536" t="e">
        <f>VLOOKUP($E$3,LA_Data,137,0)</f>
        <v>#N/A</v>
      </c>
      <c r="I214" s="16"/>
      <c r="J214" s="16"/>
      <c r="K214" s="16"/>
      <c r="L214" s="16"/>
      <c r="M214" s="16"/>
      <c r="N214" s="16"/>
      <c r="P214" s="485"/>
      <c r="Q214" s="215" t="s">
        <v>376</v>
      </c>
      <c r="R214" s="219" t="s">
        <v>209</v>
      </c>
      <c r="S214" t="s">
        <v>66</v>
      </c>
      <c r="T214" s="217">
        <f>HLOOKUP($R214,'2022_LA_and_Region_Data_final'!$E$3:$FN$5,3,0)</f>
        <v>124.93</v>
      </c>
    </row>
    <row r="215" spans="1:20" s="230" customFormat="1" ht="14.5" customHeight="1" x14ac:dyDescent="0.35">
      <c r="A215" s="11">
        <f t="shared" si="4"/>
        <v>0</v>
      </c>
      <c r="B215" s="348" t="s">
        <v>68</v>
      </c>
      <c r="C215" s="369"/>
      <c r="D215" s="370"/>
      <c r="E215" s="369"/>
      <c r="F215" s="547" t="e">
        <f>VLOOKUP($E$3,LA_Data,138,0)</f>
        <v>#N/A</v>
      </c>
      <c r="G215" s="536" t="e">
        <f>VLOOKUP($E$3,LA_Data,139,0)</f>
        <v>#N/A</v>
      </c>
      <c r="I215" s="16"/>
      <c r="J215" s="16"/>
      <c r="K215" s="16"/>
      <c r="L215" s="16"/>
      <c r="M215" s="16"/>
      <c r="N215" s="16"/>
      <c r="P215" s="485"/>
      <c r="Q215" s="215" t="s">
        <v>378</v>
      </c>
      <c r="R215" s="219" t="s">
        <v>211</v>
      </c>
      <c r="S215" t="s">
        <v>67</v>
      </c>
      <c r="T215" s="217">
        <f>HLOOKUP($R215,'2022_LA_and_Region_Data_final'!$E$3:$FN$5,3,0)</f>
        <v>134.26</v>
      </c>
    </row>
    <row r="216" spans="1:20" s="230" customFormat="1" ht="14.5" customHeight="1" x14ac:dyDescent="0.35">
      <c r="A216" s="11">
        <f t="shared" si="4"/>
        <v>0</v>
      </c>
      <c r="B216" s="348" t="s">
        <v>69</v>
      </c>
      <c r="C216" s="369"/>
      <c r="D216" s="370"/>
      <c r="E216" s="369"/>
      <c r="F216" s="547" t="e">
        <f>VLOOKUP($E$3,LA_Data,140,0)</f>
        <v>#N/A</v>
      </c>
      <c r="G216" s="536" t="e">
        <f>VLOOKUP($E$3,LA_Data,141,0)</f>
        <v>#N/A</v>
      </c>
      <c r="I216" s="16"/>
      <c r="J216" s="16"/>
      <c r="K216" s="16"/>
      <c r="L216" s="16"/>
      <c r="M216" s="16"/>
      <c r="N216" s="16"/>
      <c r="P216" s="485"/>
      <c r="Q216" s="215" t="s">
        <v>380</v>
      </c>
      <c r="R216" s="219" t="s">
        <v>213</v>
      </c>
      <c r="S216" t="s">
        <v>68</v>
      </c>
      <c r="T216" s="217">
        <f>HLOOKUP($R216,'2022_LA_and_Region_Data_final'!$E$3:$FN$5,3,0)</f>
        <v>143.97999999999999</v>
      </c>
    </row>
    <row r="217" spans="1:20" s="230" customFormat="1" ht="14.5" customHeight="1" x14ac:dyDescent="0.35">
      <c r="A217" s="11">
        <f t="shared" si="4"/>
        <v>0</v>
      </c>
      <c r="B217" s="348" t="s">
        <v>70</v>
      </c>
      <c r="C217" s="369"/>
      <c r="D217" s="370"/>
      <c r="E217" s="369"/>
      <c r="F217" s="547" t="e">
        <f>VLOOKUP($E$3,LA_Data,142,0)</f>
        <v>#N/A</v>
      </c>
      <c r="G217" s="536" t="e">
        <f>VLOOKUP($E$3,LA_Data,143,0)</f>
        <v>#N/A</v>
      </c>
      <c r="I217" s="16"/>
      <c r="J217" s="16"/>
      <c r="K217" s="16"/>
      <c r="L217" s="16"/>
      <c r="M217" s="16"/>
      <c r="N217" s="16"/>
      <c r="P217" s="485"/>
      <c r="Q217" s="215" t="s">
        <v>382</v>
      </c>
      <c r="R217" s="219" t="s">
        <v>215</v>
      </c>
      <c r="S217" t="s">
        <v>69</v>
      </c>
      <c r="T217" s="217">
        <f>HLOOKUP($R217,'2022_LA_and_Region_Data_final'!$E$3:$FN$5,3,0)</f>
        <v>182.13</v>
      </c>
    </row>
    <row r="218" spans="1:20" s="230" customFormat="1" ht="14.5" customHeight="1" x14ac:dyDescent="0.35">
      <c r="A218" s="11">
        <f t="shared" si="4"/>
        <v>0</v>
      </c>
      <c r="B218" s="348" t="s">
        <v>71</v>
      </c>
      <c r="C218" s="369"/>
      <c r="D218" s="370"/>
      <c r="E218" s="369"/>
      <c r="F218" s="547" t="e">
        <f>VLOOKUP($E$3,LA_Data,144,0)</f>
        <v>#N/A</v>
      </c>
      <c r="G218" s="536" t="e">
        <f>VLOOKUP($E$3,LA_Data,145,0)</f>
        <v>#N/A</v>
      </c>
      <c r="I218" s="16"/>
      <c r="J218" s="16"/>
      <c r="K218" s="16"/>
      <c r="L218" s="16"/>
      <c r="M218" s="16"/>
      <c r="N218" s="16"/>
      <c r="P218" s="485"/>
      <c r="Q218" s="215" t="s">
        <v>384</v>
      </c>
      <c r="R218" s="219" t="s">
        <v>217</v>
      </c>
      <c r="S218" t="s">
        <v>70</v>
      </c>
      <c r="T218" s="217">
        <f>HLOOKUP($R218,'2022_LA_and_Region_Data_final'!$E$3:$FN$5,3,0)</f>
        <v>176.58</v>
      </c>
    </row>
    <row r="219" spans="1:20" s="230" customFormat="1" ht="14.5" customHeight="1" x14ac:dyDescent="0.35">
      <c r="A219" s="11">
        <f t="shared" si="4"/>
        <v>0</v>
      </c>
      <c r="B219" s="350" t="s">
        <v>72</v>
      </c>
      <c r="C219" s="371"/>
      <c r="D219" s="372"/>
      <c r="E219" s="371"/>
      <c r="F219" s="548" t="e">
        <f>VLOOKUP($E$3,LA_Data,146,0)</f>
        <v>#N/A</v>
      </c>
      <c r="G219" s="537" t="e">
        <f>VLOOKUP($E$3,LA_Data,147,0)</f>
        <v>#N/A</v>
      </c>
      <c r="I219" s="16"/>
      <c r="J219" s="16"/>
      <c r="K219" s="16"/>
      <c r="L219" s="16"/>
      <c r="M219" s="16"/>
      <c r="N219" s="16"/>
      <c r="P219" s="485"/>
      <c r="Q219" s="215" t="s">
        <v>386</v>
      </c>
      <c r="R219" s="219" t="s">
        <v>219</v>
      </c>
      <c r="S219" t="s">
        <v>71</v>
      </c>
      <c r="T219" s="217">
        <f>HLOOKUP($R219,'2022_LA_and_Region_Data_final'!$E$3:$FN$5,3,0)</f>
        <v>199.57</v>
      </c>
    </row>
    <row r="220" spans="1:20" s="230" customFormat="1" ht="14.5" customHeight="1" x14ac:dyDescent="0.35">
      <c r="A220" s="11">
        <f t="shared" si="4"/>
        <v>0</v>
      </c>
      <c r="B220" s="35" t="s">
        <v>73</v>
      </c>
      <c r="C220" s="142"/>
      <c r="D220" s="372"/>
      <c r="E220" s="142"/>
      <c r="F220" s="549" t="e">
        <f>VLOOKUP($E$3,LA_Data,148,0)</f>
        <v>#N/A</v>
      </c>
      <c r="G220" s="538" t="e">
        <f>VLOOKUP($E$3,LA_Data,149,0)</f>
        <v>#N/A</v>
      </c>
      <c r="I220" s="16"/>
      <c r="J220" s="16"/>
      <c r="K220" s="16"/>
      <c r="L220" s="16"/>
      <c r="M220" s="16"/>
      <c r="N220" s="16"/>
      <c r="P220" s="485"/>
      <c r="Q220" s="215" t="s">
        <v>388</v>
      </c>
      <c r="R220" s="219" t="s">
        <v>221</v>
      </c>
      <c r="S220" t="s">
        <v>1033</v>
      </c>
      <c r="T220" s="217">
        <f>HLOOKUP($R220,'2022_LA_and_Region_Data_final'!$E$3:$FN$5,3,0)</f>
        <v>136.74</v>
      </c>
    </row>
    <row r="221" spans="1:20" s="17" customFormat="1" ht="14.5" customHeight="1" x14ac:dyDescent="0.35">
      <c r="A221" s="11"/>
      <c r="B221" s="133"/>
      <c r="G221" s="72"/>
      <c r="I221" s="16"/>
      <c r="J221" s="16"/>
      <c r="K221" s="16"/>
      <c r="L221" s="16"/>
      <c r="M221" s="16"/>
      <c r="N221" s="16"/>
      <c r="P221" s="484"/>
      <c r="Q221" s="215" t="s">
        <v>390</v>
      </c>
      <c r="R221" s="219" t="s">
        <v>223</v>
      </c>
      <c r="S221" t="s">
        <v>1034</v>
      </c>
      <c r="T221" s="217">
        <f>HLOOKUP($R221,'2022_LA_and_Region_Data_final'!$E$3:$FN$5,3,0)</f>
        <v>136.72</v>
      </c>
    </row>
    <row r="222" spans="1:20" s="17" customFormat="1" ht="14.5" x14ac:dyDescent="0.35">
      <c r="A222" s="11"/>
      <c r="B222" s="656" t="s">
        <v>59</v>
      </c>
      <c r="C222" s="657"/>
      <c r="D222" s="657"/>
      <c r="E222" s="657"/>
      <c r="F222" s="657"/>
      <c r="G222" s="658"/>
      <c r="I222" s="16"/>
      <c r="J222" s="16"/>
      <c r="K222" s="16"/>
      <c r="L222" s="16"/>
      <c r="M222" s="16"/>
      <c r="N222" s="16"/>
      <c r="P222" s="484"/>
    </row>
    <row r="223" spans="1:20" s="17" customFormat="1" ht="12.75" customHeight="1" x14ac:dyDescent="0.35">
      <c r="A223" s="11"/>
      <c r="B223" s="656"/>
      <c r="C223" s="657"/>
      <c r="D223" s="657"/>
      <c r="E223" s="657"/>
      <c r="F223" s="657"/>
      <c r="G223" s="658"/>
      <c r="I223" s="16"/>
      <c r="J223" s="16"/>
      <c r="K223" s="16"/>
      <c r="L223" s="16"/>
      <c r="M223" s="16"/>
      <c r="N223" s="16"/>
      <c r="P223" s="484"/>
    </row>
    <row r="224" spans="1:20" s="17" customFormat="1" ht="14.5" x14ac:dyDescent="0.35">
      <c r="A224" s="11"/>
      <c r="B224" s="128" t="s">
        <v>14111</v>
      </c>
      <c r="C224" s="26"/>
      <c r="D224" s="26"/>
      <c r="E224" s="26"/>
      <c r="F224" s="26"/>
      <c r="G224" s="79"/>
      <c r="I224" s="16"/>
      <c r="J224" s="16"/>
      <c r="K224" s="16"/>
      <c r="L224" s="16"/>
      <c r="M224" s="16"/>
      <c r="N224" s="16"/>
      <c r="P224" s="484"/>
    </row>
    <row r="225" spans="1:20" s="17" customFormat="1" ht="14.5" x14ac:dyDescent="0.35">
      <c r="A225" s="11"/>
      <c r="B225" s="151" t="e">
        <f>IF($G$240=0,"This section is blank as there is no Affordable Rent supported housing/housing for older people stock","")</f>
        <v>#N/A</v>
      </c>
      <c r="E225" s="14"/>
      <c r="F225" s="14"/>
      <c r="G225" s="14"/>
      <c r="I225" s="102"/>
      <c r="J225" s="102"/>
      <c r="K225" s="16"/>
      <c r="L225" s="16"/>
      <c r="M225" s="16"/>
      <c r="N225" s="16"/>
      <c r="P225" s="484"/>
    </row>
    <row r="226" spans="1:20" s="17" customFormat="1" ht="15.5" x14ac:dyDescent="0.35">
      <c r="A226" s="575">
        <v>12</v>
      </c>
      <c r="B226" s="104" t="s">
        <v>13915</v>
      </c>
      <c r="C226" s="47"/>
      <c r="D226" s="47"/>
      <c r="E226" s="47"/>
      <c r="F226" s="174"/>
      <c r="G226" s="48"/>
      <c r="I226" s="16"/>
      <c r="J226" s="16"/>
      <c r="K226" s="16"/>
      <c r="L226" s="16"/>
      <c r="M226" s="16"/>
      <c r="N226" s="16"/>
      <c r="P226" s="484"/>
    </row>
    <row r="227" spans="1:20" s="17" customFormat="1" ht="14.5" x14ac:dyDescent="0.35">
      <c r="A227" s="583"/>
      <c r="B227" s="655" t="str">
        <f>"Average weekly gross rent (£ per week) and unit counts by unit size for "&amp;$E$3</f>
        <v xml:space="preserve">Average weekly gross rent (£ per week) and unit counts by unit size for </v>
      </c>
      <c r="C227" s="637"/>
      <c r="D227" s="637"/>
      <c r="E227" s="637"/>
      <c r="F227" s="637"/>
      <c r="G227" s="638"/>
      <c r="I227" s="16"/>
      <c r="J227" s="16"/>
      <c r="K227" s="16"/>
      <c r="L227" s="16"/>
      <c r="M227" s="16"/>
      <c r="N227" s="16"/>
      <c r="P227" s="484"/>
    </row>
    <row r="228" spans="1:20" s="17" customFormat="1" ht="14.5" x14ac:dyDescent="0.35">
      <c r="A228" s="11"/>
      <c r="B228" s="639"/>
      <c r="C228" s="637"/>
      <c r="D228" s="637"/>
      <c r="E228" s="637"/>
      <c r="F228" s="637"/>
      <c r="G228" s="638"/>
      <c r="I228" s="16"/>
      <c r="J228" s="16"/>
      <c r="K228" s="16"/>
      <c r="L228" s="16"/>
      <c r="M228" s="16"/>
      <c r="N228" s="16"/>
      <c r="P228" s="484"/>
    </row>
    <row r="229" spans="1:20" s="17" customFormat="1" ht="14.5" x14ac:dyDescent="0.35">
      <c r="A229" s="11"/>
      <c r="B229" s="640"/>
      <c r="C229" s="641"/>
      <c r="D229" s="641"/>
      <c r="E229" s="641"/>
      <c r="F229" s="641"/>
      <c r="G229" s="642"/>
      <c r="I229" s="16"/>
      <c r="J229" s="16"/>
      <c r="K229" s="16"/>
      <c r="L229" s="16"/>
      <c r="M229" s="16"/>
      <c r="N229" s="16"/>
      <c r="P229" s="484"/>
      <c r="Q229">
        <v>12</v>
      </c>
      <c r="R229" t="s">
        <v>60</v>
      </c>
      <c r="S229"/>
      <c r="T229"/>
    </row>
    <row r="230" spans="1:20" s="17" customFormat="1" ht="12.75" customHeight="1" x14ac:dyDescent="0.35">
      <c r="A230" s="11"/>
      <c r="B230" s="176" t="str">
        <f>"Average weekly gross rent (£ per week) by unit size for "&amp;$E$3</f>
        <v xml:space="preserve">Average weekly gross rent (£ per week) by unit size for </v>
      </c>
      <c r="E230" s="27" t="s">
        <v>42</v>
      </c>
      <c r="F230" s="162" t="s">
        <v>61</v>
      </c>
      <c r="G230" s="163"/>
      <c r="I230" s="16"/>
      <c r="J230" s="16"/>
      <c r="K230" s="16"/>
      <c r="L230" s="16"/>
      <c r="M230" s="16"/>
      <c r="N230" s="16"/>
      <c r="P230" s="484"/>
      <c r="Q230"/>
      <c r="R230" t="s">
        <v>1035</v>
      </c>
      <c r="S230"/>
      <c r="T230"/>
    </row>
    <row r="231" spans="1:20" s="17" customFormat="1" ht="14.5" customHeight="1" x14ac:dyDescent="0.35">
      <c r="A231" s="11"/>
      <c r="B231" s="175" t="s">
        <v>62</v>
      </c>
      <c r="C231" s="154"/>
      <c r="E231" s="154"/>
      <c r="F231" s="154" t="s">
        <v>49</v>
      </c>
      <c r="G231" s="155" t="s">
        <v>50</v>
      </c>
      <c r="I231" s="16"/>
      <c r="J231" s="16"/>
      <c r="K231" s="16"/>
      <c r="L231" s="16"/>
      <c r="M231" s="16"/>
      <c r="N231" s="16"/>
      <c r="P231" s="484"/>
      <c r="Q231"/>
      <c r="R231" t="s">
        <v>1036</v>
      </c>
      <c r="S231"/>
      <c r="T231"/>
    </row>
    <row r="232" spans="1:20" s="17" customFormat="1" ht="14.5" customHeight="1" x14ac:dyDescent="0.35">
      <c r="A232" s="11"/>
      <c r="B232" s="177"/>
      <c r="C232" s="157"/>
      <c r="D232" s="26"/>
      <c r="E232" s="157"/>
      <c r="F232" s="157" t="s">
        <v>51</v>
      </c>
      <c r="G232" s="158" t="s">
        <v>54</v>
      </c>
      <c r="I232" s="16"/>
      <c r="J232" s="16"/>
      <c r="K232" s="16"/>
      <c r="L232" s="16"/>
      <c r="M232" s="16"/>
      <c r="N232" s="16"/>
      <c r="P232" s="484"/>
      <c r="Q232"/>
      <c r="R232" t="s">
        <v>62</v>
      </c>
      <c r="S232"/>
      <c r="T232" t="s">
        <v>11357</v>
      </c>
    </row>
    <row r="233" spans="1:20" s="230" customFormat="1" ht="14.5" customHeight="1" x14ac:dyDescent="0.35">
      <c r="A233" s="11">
        <f t="shared" ref="A233:A240" si="5">$E$3</f>
        <v>0</v>
      </c>
      <c r="B233" s="166" t="s">
        <v>64</v>
      </c>
      <c r="C233" s="178"/>
      <c r="D233" s="370"/>
      <c r="E233" s="167"/>
      <c r="F233" s="542" t="e">
        <f>VLOOKUP($E$3,LA_Data,150,0)</f>
        <v>#N/A</v>
      </c>
      <c r="G233" s="539" t="e">
        <f>VLOOKUP($E$3,LA_Data,151,0)</f>
        <v>#N/A</v>
      </c>
      <c r="I233" s="16"/>
      <c r="J233" s="16"/>
      <c r="K233" s="16"/>
      <c r="L233" s="16"/>
      <c r="M233" s="16"/>
      <c r="N233" s="16"/>
      <c r="P233" s="485"/>
      <c r="Q233" s="215" t="s">
        <v>392</v>
      </c>
      <c r="R233" s="220" t="s">
        <v>225</v>
      </c>
      <c r="S233" t="s">
        <v>64</v>
      </c>
      <c r="T233" s="217">
        <f>HLOOKUP($R233,'2022_LA_and_Region_Data_final'!$E$3:$FN$5,3,0)</f>
        <v>255.74</v>
      </c>
    </row>
    <row r="234" spans="1:20" s="230" customFormat="1" ht="14.5" customHeight="1" x14ac:dyDescent="0.35">
      <c r="A234" s="11">
        <f t="shared" si="5"/>
        <v>0</v>
      </c>
      <c r="B234" s="166" t="s">
        <v>65</v>
      </c>
      <c r="C234" s="167"/>
      <c r="D234" s="370"/>
      <c r="E234" s="167"/>
      <c r="F234" s="543" t="e">
        <f>VLOOKUP($E$3,LA_Data,152,0)</f>
        <v>#N/A</v>
      </c>
      <c r="G234" s="539" t="e">
        <f>VLOOKUP($E$3,LA_Data,153,0)</f>
        <v>#N/A</v>
      </c>
      <c r="I234" s="16"/>
      <c r="J234" s="16"/>
      <c r="K234" s="16"/>
      <c r="L234" s="16"/>
      <c r="M234" s="16"/>
      <c r="N234" s="16"/>
      <c r="P234" s="485"/>
      <c r="Q234" s="215" t="s">
        <v>394</v>
      </c>
      <c r="R234" s="220" t="s">
        <v>227</v>
      </c>
      <c r="S234" t="s">
        <v>65</v>
      </c>
      <c r="T234" s="217">
        <f>HLOOKUP($R234,'2022_LA_and_Region_Data_final'!$E$3:$FN$5,3,0)</f>
        <v>185.96</v>
      </c>
    </row>
    <row r="235" spans="1:20" s="230" customFormat="1" ht="14.5" customHeight="1" x14ac:dyDescent="0.35">
      <c r="A235" s="11">
        <f t="shared" si="5"/>
        <v>0</v>
      </c>
      <c r="B235" s="166" t="s">
        <v>66</v>
      </c>
      <c r="C235" s="167"/>
      <c r="D235" s="370"/>
      <c r="E235" s="167"/>
      <c r="F235" s="543" t="e">
        <f>VLOOKUP($E$3,LA_Data,154,0)</f>
        <v>#N/A</v>
      </c>
      <c r="G235" s="539" t="e">
        <f>VLOOKUP($E$3,LA_Data,155,0)</f>
        <v>#N/A</v>
      </c>
      <c r="I235" s="16"/>
      <c r="J235" s="16"/>
      <c r="K235" s="16"/>
      <c r="L235" s="16"/>
      <c r="M235" s="16"/>
      <c r="N235" s="16"/>
      <c r="P235" s="485"/>
      <c r="Q235" s="215" t="s">
        <v>396</v>
      </c>
      <c r="R235" s="220" t="s">
        <v>229</v>
      </c>
      <c r="S235" t="s">
        <v>66</v>
      </c>
      <c r="T235" s="217">
        <f>HLOOKUP($R235,'2022_LA_and_Region_Data_final'!$E$3:$FN$5,3,0)</f>
        <v>175.48</v>
      </c>
    </row>
    <row r="236" spans="1:20" s="230" customFormat="1" ht="14.5" customHeight="1" x14ac:dyDescent="0.35">
      <c r="A236" s="11">
        <f t="shared" si="5"/>
        <v>0</v>
      </c>
      <c r="B236" s="166" t="s">
        <v>67</v>
      </c>
      <c r="C236" s="167"/>
      <c r="D236" s="370"/>
      <c r="E236" s="167"/>
      <c r="F236" s="543" t="e">
        <f>VLOOKUP($E$3,LA_Data,156,0)</f>
        <v>#N/A</v>
      </c>
      <c r="G236" s="539" t="e">
        <f>VLOOKUP($E$3,LA_Data,157,0)</f>
        <v>#N/A</v>
      </c>
      <c r="I236" s="16"/>
      <c r="J236" s="16"/>
      <c r="K236" s="16"/>
      <c r="L236" s="16"/>
      <c r="M236" s="16"/>
      <c r="N236" s="16"/>
      <c r="P236" s="485"/>
      <c r="Q236" s="215" t="s">
        <v>398</v>
      </c>
      <c r="R236" s="220" t="s">
        <v>231</v>
      </c>
      <c r="S236" t="s">
        <v>67</v>
      </c>
      <c r="T236" s="217">
        <f>HLOOKUP($R236,'2022_LA_and_Region_Data_final'!$E$3:$FN$5,3,0)</f>
        <v>179.94</v>
      </c>
    </row>
    <row r="237" spans="1:20" s="230" customFormat="1" ht="14.5" customHeight="1" x14ac:dyDescent="0.35">
      <c r="A237" s="11">
        <f t="shared" si="5"/>
        <v>0</v>
      </c>
      <c r="B237" s="166" t="s">
        <v>68</v>
      </c>
      <c r="C237" s="167"/>
      <c r="D237" s="370"/>
      <c r="E237" s="167"/>
      <c r="F237" s="543" t="e">
        <f>VLOOKUP($E$3,LA_Data,158,0)</f>
        <v>#N/A</v>
      </c>
      <c r="G237" s="539" t="e">
        <f>VLOOKUP($E$3,LA_Data,159,0)</f>
        <v>#N/A</v>
      </c>
      <c r="I237" s="16"/>
      <c r="J237" s="16"/>
      <c r="K237" s="16"/>
      <c r="L237" s="16"/>
      <c r="M237" s="16"/>
      <c r="N237" s="16"/>
      <c r="P237" s="485"/>
      <c r="Q237" s="215" t="s">
        <v>400</v>
      </c>
      <c r="R237" s="220" t="s">
        <v>233</v>
      </c>
      <c r="S237" t="s">
        <v>68</v>
      </c>
      <c r="T237" s="217">
        <f>HLOOKUP($R237,'2022_LA_and_Region_Data_final'!$E$3:$FN$5,3,0)</f>
        <v>202.82</v>
      </c>
    </row>
    <row r="238" spans="1:20" s="230" customFormat="1" ht="14.5" customHeight="1" x14ac:dyDescent="0.35">
      <c r="A238" s="11">
        <f t="shared" si="5"/>
        <v>0</v>
      </c>
      <c r="B238" s="166" t="s">
        <v>76</v>
      </c>
      <c r="C238" s="167"/>
      <c r="D238" s="370"/>
      <c r="E238" s="167"/>
      <c r="F238" s="543" t="e">
        <f>VLOOKUP($E$3,LA_Data,160,0)</f>
        <v>#N/A</v>
      </c>
      <c r="G238" s="539" t="e">
        <f>VLOOKUP($E$3,LA_Data,161,0)</f>
        <v>#N/A</v>
      </c>
      <c r="I238" s="16"/>
      <c r="J238" s="16"/>
      <c r="K238" s="16"/>
      <c r="L238" s="16"/>
      <c r="M238" s="16"/>
      <c r="N238" s="16"/>
      <c r="P238" s="485"/>
      <c r="Q238" s="215" t="s">
        <v>402</v>
      </c>
      <c r="R238" s="220" t="s">
        <v>235</v>
      </c>
      <c r="S238" t="s">
        <v>76</v>
      </c>
      <c r="T238" s="217">
        <f>HLOOKUP($R238,'2022_LA_and_Region_Data_final'!$E$3:$FN$5,3,0)</f>
        <v>139.34</v>
      </c>
    </row>
    <row r="239" spans="1:20" s="230" customFormat="1" ht="14.5" customHeight="1" x14ac:dyDescent="0.35">
      <c r="A239" s="11">
        <f t="shared" si="5"/>
        <v>0</v>
      </c>
      <c r="B239" s="350" t="s">
        <v>72</v>
      </c>
      <c r="C239" s="168"/>
      <c r="D239" s="372"/>
      <c r="E239" s="168"/>
      <c r="F239" s="544" t="e">
        <f>VLOOKUP($E$3,LA_Data,162,0)</f>
        <v>#N/A</v>
      </c>
      <c r="G239" s="540" t="e">
        <f>VLOOKUP($E$3,LA_Data,163,0)</f>
        <v>#N/A</v>
      </c>
      <c r="I239" s="16"/>
      <c r="J239" s="16"/>
      <c r="K239" s="16"/>
      <c r="L239" s="16"/>
      <c r="M239" s="16"/>
      <c r="N239" s="16"/>
      <c r="P239" s="485"/>
      <c r="Q239" s="215" t="s">
        <v>404</v>
      </c>
      <c r="R239" s="220" t="s">
        <v>237</v>
      </c>
      <c r="S239" t="s">
        <v>1033</v>
      </c>
      <c r="T239" s="217">
        <f>HLOOKUP($R239,'2022_LA_and_Region_Data_final'!$E$3:$FN$5,3,0)</f>
        <v>177.84</v>
      </c>
    </row>
    <row r="240" spans="1:20" s="230" customFormat="1" ht="14.5" customHeight="1" x14ac:dyDescent="0.35">
      <c r="A240" s="11">
        <f t="shared" si="5"/>
        <v>0</v>
      </c>
      <c r="B240" s="35" t="s">
        <v>73</v>
      </c>
      <c r="C240" s="169"/>
      <c r="D240" s="372"/>
      <c r="E240" s="169"/>
      <c r="F240" s="545" t="e">
        <f>VLOOKUP($E$3,LA_Data,164,0)</f>
        <v>#N/A</v>
      </c>
      <c r="G240" s="541" t="e">
        <f>VLOOKUP($E$3,LA_Data,165,0)</f>
        <v>#N/A</v>
      </c>
      <c r="I240" s="16"/>
      <c r="J240" s="16"/>
      <c r="K240" s="16"/>
      <c r="L240" s="16"/>
      <c r="M240" s="16"/>
      <c r="N240" s="16"/>
      <c r="P240" s="485"/>
      <c r="Q240" s="215" t="s">
        <v>406</v>
      </c>
      <c r="R240" s="220" t="s">
        <v>239</v>
      </c>
      <c r="S240" t="s">
        <v>1034</v>
      </c>
      <c r="T240" s="217">
        <f>HLOOKUP($R240,'2022_LA_and_Region_Data_final'!$E$3:$FN$5,3,0)</f>
        <v>181.29</v>
      </c>
    </row>
    <row r="241" spans="1:21" s="17" customFormat="1" ht="14.5" customHeight="1" x14ac:dyDescent="0.35">
      <c r="A241" s="11"/>
      <c r="B241" s="133"/>
      <c r="C241" s="55"/>
      <c r="D241" s="55"/>
      <c r="E241" s="55"/>
      <c r="F241" s="55"/>
      <c r="G241" s="134"/>
      <c r="I241" s="16"/>
      <c r="J241" s="16"/>
      <c r="K241" s="16"/>
      <c r="L241" s="16"/>
      <c r="M241" s="16"/>
      <c r="N241" s="16"/>
      <c r="P241" s="484"/>
    </row>
    <row r="242" spans="1:21" s="17" customFormat="1" ht="14.5" x14ac:dyDescent="0.35">
      <c r="A242" s="11"/>
      <c r="B242" s="656" t="s">
        <v>59</v>
      </c>
      <c r="C242" s="657"/>
      <c r="D242" s="657"/>
      <c r="E242" s="657"/>
      <c r="F242" s="657"/>
      <c r="G242" s="658"/>
      <c r="I242" s="16"/>
      <c r="J242" s="16"/>
      <c r="K242" s="16"/>
      <c r="L242" s="16"/>
      <c r="M242" s="16"/>
      <c r="N242" s="16"/>
      <c r="P242" s="484"/>
    </row>
    <row r="243" spans="1:21" s="17" customFormat="1" ht="14.5" x14ac:dyDescent="0.35">
      <c r="A243" s="11"/>
      <c r="B243" s="656"/>
      <c r="C243" s="657"/>
      <c r="D243" s="657"/>
      <c r="E243" s="657"/>
      <c r="F243" s="657"/>
      <c r="G243" s="658"/>
      <c r="I243" s="16"/>
      <c r="J243" s="16"/>
      <c r="K243" s="16"/>
      <c r="L243" s="16"/>
      <c r="M243" s="16"/>
      <c r="N243" s="16"/>
      <c r="P243" s="484"/>
    </row>
    <row r="244" spans="1:21" s="17" customFormat="1" ht="12.75" customHeight="1" x14ac:dyDescent="0.35">
      <c r="A244" s="11"/>
      <c r="B244" s="179"/>
      <c r="C244" s="2"/>
      <c r="D244" s="2"/>
      <c r="E244" s="2"/>
      <c r="F244" s="2"/>
      <c r="G244" s="180"/>
      <c r="I244" s="16"/>
      <c r="J244" s="16"/>
      <c r="K244" s="16"/>
      <c r="L244" s="16"/>
      <c r="M244" s="16"/>
      <c r="N244" s="16"/>
      <c r="P244" s="484"/>
    </row>
    <row r="245" spans="1:21" s="17" customFormat="1" ht="14.5" x14ac:dyDescent="0.35">
      <c r="A245" s="11"/>
      <c r="B245" s="179"/>
      <c r="C245" s="2"/>
      <c r="D245" s="2"/>
      <c r="E245" s="2"/>
      <c r="F245" s="2"/>
      <c r="G245" s="180"/>
      <c r="I245" s="16"/>
      <c r="J245" s="16"/>
      <c r="K245" s="16"/>
      <c r="L245" s="16"/>
      <c r="M245" s="16"/>
      <c r="N245" s="16"/>
      <c r="P245" s="484"/>
      <c r="T245" s="18"/>
      <c r="U245" s="18"/>
    </row>
    <row r="246" spans="1:21" s="17" customFormat="1" ht="14.5" x14ac:dyDescent="0.35">
      <c r="A246" s="11"/>
      <c r="B246" s="181" t="s">
        <v>14111</v>
      </c>
      <c r="C246" s="61"/>
      <c r="D246" s="61"/>
      <c r="E246" s="61"/>
      <c r="F246" s="61"/>
      <c r="G246" s="182"/>
      <c r="I246" s="16"/>
      <c r="J246" s="16"/>
      <c r="K246" s="16"/>
      <c r="L246" s="16"/>
      <c r="M246" s="16"/>
      <c r="N246" s="16"/>
      <c r="P246" s="484"/>
    </row>
    <row r="247" spans="1:21" ht="14.5" x14ac:dyDescent="0.35">
      <c r="E247" s="184"/>
      <c r="F247" s="184"/>
      <c r="G247" s="184"/>
      <c r="I247" s="16"/>
      <c r="J247" s="16"/>
      <c r="K247" s="16"/>
      <c r="L247" s="16"/>
      <c r="M247" s="16"/>
      <c r="N247" s="16"/>
      <c r="R247" s="17"/>
      <c r="S247" s="17"/>
      <c r="T247" s="17"/>
      <c r="U247" s="17"/>
    </row>
    <row r="248" spans="1:21" ht="12.5" x14ac:dyDescent="0.25"/>
    <row r="249" spans="1:21" ht="12.65" customHeight="1" x14ac:dyDescent="0.25"/>
  </sheetData>
  <sheetProtection algorithmName="SHA-512" hashValue="2glFCsFGuxbU/Pt0RpyCHmi8rGvgm2V6Gns6Bu94z8kHqTmtHF7Q3PIDMgn2ez5o+5CfKPNIIqVWtWaL4yIuQw==" saltValue="FLGbmWwNIaIkMUmRCqmhtw==" spinCount="100000" sheet="1" formatColumns="0" formatRows="0"/>
  <mergeCells count="53">
    <mergeCell ref="B242:G243"/>
    <mergeCell ref="B199:G200"/>
    <mergeCell ref="A204:A205"/>
    <mergeCell ref="B205:G207"/>
    <mergeCell ref="B222:G223"/>
    <mergeCell ref="A226:A227"/>
    <mergeCell ref="B227:G229"/>
    <mergeCell ref="B155:G157"/>
    <mergeCell ref="A160:A161"/>
    <mergeCell ref="B161:G163"/>
    <mergeCell ref="B178:G179"/>
    <mergeCell ref="A182:A183"/>
    <mergeCell ref="B183:G185"/>
    <mergeCell ref="B111:G113"/>
    <mergeCell ref="A116:A117"/>
    <mergeCell ref="B117:G120"/>
    <mergeCell ref="B133:G135"/>
    <mergeCell ref="A138:A139"/>
    <mergeCell ref="B139:G141"/>
    <mergeCell ref="B68:B69"/>
    <mergeCell ref="A71:A72"/>
    <mergeCell ref="B72:G75"/>
    <mergeCell ref="B89:G91"/>
    <mergeCell ref="A94:A95"/>
    <mergeCell ref="B95:G98"/>
    <mergeCell ref="T51:T53"/>
    <mergeCell ref="U51:U53"/>
    <mergeCell ref="D53:E55"/>
    <mergeCell ref="F53:F55"/>
    <mergeCell ref="G53:G55"/>
    <mergeCell ref="R55:S57"/>
    <mergeCell ref="L31:M33"/>
    <mergeCell ref="N31:N33"/>
    <mergeCell ref="O31:O33"/>
    <mergeCell ref="B46:G48"/>
    <mergeCell ref="A50:A51"/>
    <mergeCell ref="B51:G52"/>
    <mergeCell ref="A28:A29"/>
    <mergeCell ref="B28:D28"/>
    <mergeCell ref="B29:G30"/>
    <mergeCell ref="D31:E33"/>
    <mergeCell ref="F31:F33"/>
    <mergeCell ref="G31:G33"/>
    <mergeCell ref="B1:O1"/>
    <mergeCell ref="E3:G3"/>
    <mergeCell ref="A7:A8"/>
    <mergeCell ref="B7:G9"/>
    <mergeCell ref="A21:A22"/>
    <mergeCell ref="B21:C23"/>
    <mergeCell ref="D21:E23"/>
    <mergeCell ref="F21:F23"/>
    <mergeCell ref="G21:G23"/>
    <mergeCell ref="E5:G5"/>
  </mergeCells>
  <conditionalFormatting sqref="C209:C210 E209:G210 C231:C232 E231:G232">
    <cfRule type="expression" dxfId="538" priority="30">
      <formula>#REF!=#REF!</formula>
    </cfRule>
  </conditionalFormatting>
  <conditionalFormatting sqref="D31:F36 L39:N39">
    <cfRule type="expression" dxfId="537" priority="29">
      <formula>$D$21=$G$21</formula>
    </cfRule>
  </conditionalFormatting>
  <conditionalFormatting sqref="D31:E36 L39:M39">
    <cfRule type="expression" dxfId="536" priority="28">
      <formula>$D$21=$F$21</formula>
    </cfRule>
  </conditionalFormatting>
  <conditionalFormatting sqref="E39:F41">
    <cfRule type="expression" dxfId="535" priority="27">
      <formula>$D$21=$G$21</formula>
    </cfRule>
  </conditionalFormatting>
  <conditionalFormatting sqref="E39:E41">
    <cfRule type="expression" dxfId="534" priority="26">
      <formula>$D$21=$F$21</formula>
    </cfRule>
  </conditionalFormatting>
  <conditionalFormatting sqref="E44:F45">
    <cfRule type="expression" dxfId="533" priority="25">
      <formula>$D$21=$G$21</formula>
    </cfRule>
  </conditionalFormatting>
  <conditionalFormatting sqref="E44:E45">
    <cfRule type="expression" dxfId="532" priority="24">
      <formula>$D$21=$F$21</formula>
    </cfRule>
  </conditionalFormatting>
  <conditionalFormatting sqref="L31:N34">
    <cfRule type="expression" dxfId="531" priority="23">
      <formula>$D$21=$G$21</formula>
    </cfRule>
  </conditionalFormatting>
  <conditionalFormatting sqref="L31:M34">
    <cfRule type="expression" dxfId="530" priority="22">
      <formula>$D$21=$F$21</formula>
    </cfRule>
  </conditionalFormatting>
  <conditionalFormatting sqref="L35:N38">
    <cfRule type="expression" dxfId="529" priority="21">
      <formula>$D$21=$G$21</formula>
    </cfRule>
  </conditionalFormatting>
  <conditionalFormatting sqref="L35:M38">
    <cfRule type="expression" dxfId="528" priority="20">
      <formula>$D$21=$F$21</formula>
    </cfRule>
  </conditionalFormatting>
  <conditionalFormatting sqref="F53:G53 F56:G60 G54:G55 F62:G63 F61">
    <cfRule type="expression" dxfId="527" priority="19">
      <formula>$G$53=$F$53</formula>
    </cfRule>
  </conditionalFormatting>
  <conditionalFormatting sqref="F53 F56:F63">
    <cfRule type="expression" dxfId="526" priority="18">
      <formula>$D$53=$F$53</formula>
    </cfRule>
  </conditionalFormatting>
  <conditionalFormatting sqref="T51:U53">
    <cfRule type="expression" dxfId="525" priority="17">
      <formula>$G$53=$F$53</formula>
    </cfRule>
  </conditionalFormatting>
  <conditionalFormatting sqref="T51:T53">
    <cfRule type="expression" dxfId="524" priority="16">
      <formula>$D$53=$F$53</formula>
    </cfRule>
  </conditionalFormatting>
  <conditionalFormatting sqref="E24:E26">
    <cfRule type="expression" dxfId="523" priority="14">
      <formula>$D$21=$G$21</formula>
    </cfRule>
    <cfRule type="expression" dxfId="522" priority="15">
      <formula>$D$21=$F$21</formula>
    </cfRule>
  </conditionalFormatting>
  <conditionalFormatting sqref="F24:F26">
    <cfRule type="expression" dxfId="521" priority="13">
      <formula>$F$21=$G$21</formula>
    </cfRule>
  </conditionalFormatting>
  <conditionalFormatting sqref="D21:E23">
    <cfRule type="expression" dxfId="520" priority="11">
      <formula>$D$21=$G$21</formula>
    </cfRule>
    <cfRule type="expression" dxfId="519" priority="12">
      <formula>$D$21=$F$21</formula>
    </cfRule>
  </conditionalFormatting>
  <conditionalFormatting sqref="F21:F23">
    <cfRule type="expression" dxfId="518" priority="10">
      <formula>$F$21=$G$21</formula>
    </cfRule>
  </conditionalFormatting>
  <conditionalFormatting sqref="E4 F17:G17 E24:F26 G16 K3:K4">
    <cfRule type="expression" dxfId="517" priority="9">
      <formula>$E$3=""</formula>
    </cfRule>
  </conditionalFormatting>
  <conditionalFormatting sqref="G11:G18 F12:F13 F17:F18 E24:F26 E34:F37 E39:F41 M34:O38 N31:N33 E56 F53 E60:E63 D167:G176 D189:G196 G211:G220 G233:G241 K3:K4 F56:F63">
    <cfRule type="expression" dxfId="516" priority="8">
      <formula>$C$5="BLANKIT"</formula>
    </cfRule>
  </conditionalFormatting>
  <conditionalFormatting sqref="F11 F14:F15 E58:E59 C167:C176 C189:C196 F211:F220 F233:F240">
    <cfRule type="expression" dxfId="515" priority="7">
      <formula>$C$5="BLANKIT"</formula>
    </cfRule>
  </conditionalFormatting>
  <conditionalFormatting sqref="B18">
    <cfRule type="expression" dxfId="514" priority="6">
      <formula>$C$5="BLANKIT"</formula>
    </cfRule>
  </conditionalFormatting>
  <conditionalFormatting sqref="F31:F33">
    <cfRule type="expression" dxfId="513" priority="5">
      <formula>$C$5="BLANKIT"</formula>
    </cfRule>
  </conditionalFormatting>
  <conditionalFormatting sqref="F16">
    <cfRule type="expression" dxfId="512" priority="4">
      <formula>$C$5="BLANKIT"</formula>
    </cfRule>
  </conditionalFormatting>
  <conditionalFormatting sqref="B18:G18">
    <cfRule type="expression" dxfId="511" priority="32">
      <formula>$B$18=$E$3</formula>
    </cfRule>
  </conditionalFormatting>
  <conditionalFormatting sqref="B19:G19">
    <cfRule type="expression" dxfId="510" priority="33">
      <formula>$B$19=$E$3</formula>
    </cfRule>
  </conditionalFormatting>
  <conditionalFormatting sqref="G14:G15 F12:G13 G11 A18:G20 E34:F41 D31:F33 F58:F59 D53:F53 D79:G80 D102:G103 G124:G125 G145:G146 B159 B181 D167:G176 D189:G196 G211:G220 G230:G240 A23:A24 L31:N39 D56:F57 D54:E55 B79:B80 B102:B103 B124:B125 B145:B146 B203 B225 F44:F45 D4 J3:L4 J5 D60:F63">
    <cfRule type="expression" dxfId="509" priority="34">
      <formula>$E$3=""</formula>
    </cfRule>
  </conditionalFormatting>
  <conditionalFormatting sqref="F11 E58:E59 C79:C80 C102:C103 F124:F125 F145:F146 C167:C176 C189:C196 F211:F220 F233:F240 F14:F16">
    <cfRule type="expression" dxfId="508" priority="35">
      <formula>$E$3=""</formula>
    </cfRule>
  </conditionalFormatting>
  <conditionalFormatting sqref="J3:L4">
    <cfRule type="expression" dxfId="507" priority="624">
      <formula>$I$2="region"</formula>
    </cfRule>
  </conditionalFormatting>
  <conditionalFormatting sqref="G61">
    <cfRule type="expression" dxfId="506" priority="1">
      <formula>$C$5="BLANKIT"</formula>
    </cfRule>
  </conditionalFormatting>
  <conditionalFormatting sqref="G61">
    <cfRule type="expression" dxfId="505" priority="2">
      <formula>$E$3=""</formula>
    </cfRule>
  </conditionalFormatting>
  <dataValidations count="1">
    <dataValidation type="list" allowBlank="1" error="Select an existing Local Authority name from drop down list" sqref="E3" xr:uid="{63C00571-1846-4527-9DE9-7455EB2690B3}">
      <formula1>Search_Box_List</formula1>
    </dataValidation>
  </dataValidations>
  <hyperlinks>
    <hyperlink ref="J5" location="'PRPs in area'!B6" display="View PRP Breakdown" xr:uid="{E4CE3208-B61D-4064-A66B-861BBE22BCB5}"/>
    <hyperlink ref="E5" location="'How to use the search function'!A1" display="Click for Help on Search Function" xr:uid="{8A1E9D90-396E-4DD1-B61C-1262F180E5CF}"/>
  </hyperlinks>
  <pageMargins left="0.7" right="0.7" top="0.75" bottom="0.75" header="0.3" footer="0.3"/>
  <pageSetup paperSize="9" orientation="portrait" r:id="rId1"/>
  <headerFooter>
    <oddFooter>&amp;C&amp;1#&amp;"Calibri"&amp;12&amp;K0078D7OFFICIAL</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70A40-323A-45A2-9EB2-9046AA1BE7D1}">
  <sheetPr codeName="Sheet5">
    <tabColor theme="4" tint="0.39997558519241921"/>
  </sheetPr>
  <dimension ref="A1:BT493"/>
  <sheetViews>
    <sheetView workbookViewId="0">
      <pane xSplit="3" ySplit="8" topLeftCell="D9" activePane="bottomRight" state="frozen"/>
      <selection pane="topRight" activeCell="D1" sqref="D1"/>
      <selection pane="bottomLeft" activeCell="A9" sqref="A9"/>
      <selection pane="bottomRight" activeCell="B5" sqref="B5"/>
    </sheetView>
  </sheetViews>
  <sheetFormatPr defaultColWidth="8.81640625" defaultRowHeight="0" customHeight="1" zeroHeight="1" x14ac:dyDescent="0.25"/>
  <cols>
    <col min="1" max="1" width="5.54296875" style="231" customWidth="1"/>
    <col min="2" max="2" width="64.54296875" style="231" bestFit="1" customWidth="1"/>
    <col min="3" max="3" width="7" style="231" bestFit="1" customWidth="1"/>
    <col min="4" max="20" width="11.54296875" style="231" customWidth="1"/>
    <col min="21" max="21" width="3.81640625" style="231" customWidth="1"/>
    <col min="22" max="25" width="8.81640625" style="231" customWidth="1"/>
    <col min="26" max="27" width="8.81640625" style="232" customWidth="1"/>
    <col min="28" max="28" width="26.453125" style="232" customWidth="1"/>
    <col min="29" max="16384" width="8.81640625" style="232"/>
  </cols>
  <sheetData>
    <row r="1" spans="1:72" s="480" customFormat="1" ht="14" x14ac:dyDescent="0.3">
      <c r="A1" s="478"/>
      <c r="B1" s="478"/>
      <c r="C1" s="478"/>
      <c r="D1" s="478"/>
      <c r="E1" s="478"/>
      <c r="F1" s="478"/>
      <c r="G1" s="478"/>
      <c r="H1" s="478"/>
      <c r="I1" s="478"/>
      <c r="J1" s="478"/>
      <c r="K1" s="478"/>
      <c r="L1" s="478"/>
      <c r="M1" s="478"/>
      <c r="N1" s="478"/>
      <c r="O1" s="478"/>
      <c r="P1" s="478"/>
      <c r="Q1" s="478"/>
      <c r="R1" s="478"/>
      <c r="S1" s="478"/>
      <c r="T1" s="478"/>
      <c r="U1" s="478"/>
      <c r="V1" s="478"/>
      <c r="W1" s="479"/>
      <c r="X1" s="479"/>
      <c r="Y1" s="479"/>
    </row>
    <row r="2" spans="1:72" s="480" customFormat="1" ht="14" x14ac:dyDescent="0.3">
      <c r="A2" s="478"/>
      <c r="B2" s="478"/>
      <c r="C2" s="478"/>
      <c r="D2" s="478"/>
      <c r="E2" s="478"/>
      <c r="F2" s="223"/>
      <c r="G2" s="223"/>
      <c r="H2" s="223"/>
      <c r="I2" s="223"/>
      <c r="J2" s="478"/>
      <c r="K2" s="478"/>
      <c r="L2" s="478"/>
      <c r="M2" s="478"/>
      <c r="N2" s="478"/>
      <c r="O2" s="478"/>
      <c r="P2" s="478"/>
      <c r="Q2" s="478"/>
      <c r="R2" s="478"/>
      <c r="S2" s="478"/>
      <c r="T2" s="478"/>
      <c r="U2" s="478"/>
      <c r="V2" s="478"/>
      <c r="W2" s="479"/>
      <c r="X2" s="479"/>
      <c r="Y2" s="479"/>
    </row>
    <row r="3" spans="1:72" s="480" customFormat="1" ht="35" x14ac:dyDescent="0.7">
      <c r="A3" s="478"/>
      <c r="B3" s="661" t="str">
        <f>IF(B6="","Please select an Area in the 'Area Summary' sheet","Social stock in "&amp;B6&amp; " by provider 2022")</f>
        <v>Please select an Area in the 'Area Summary' sheet</v>
      </c>
      <c r="C3" s="661"/>
      <c r="D3" s="661"/>
      <c r="E3" s="661"/>
      <c r="F3" s="661"/>
      <c r="G3" s="661"/>
      <c r="H3" s="661"/>
      <c r="I3" s="661"/>
      <c r="J3" s="661"/>
      <c r="K3" s="661"/>
      <c r="L3" s="661"/>
      <c r="M3" s="661"/>
      <c r="N3" s="661"/>
      <c r="O3" s="661"/>
      <c r="P3" s="661"/>
      <c r="Q3" s="661"/>
      <c r="R3" s="661"/>
      <c r="S3" s="661"/>
      <c r="T3" s="661"/>
      <c r="U3" s="478"/>
      <c r="V3" s="478"/>
      <c r="W3" s="479"/>
      <c r="X3" s="479"/>
      <c r="Y3" s="479"/>
    </row>
    <row r="4" spans="1:72" ht="12.5" x14ac:dyDescent="0.25">
      <c r="A4" s="230"/>
      <c r="B4" s="230"/>
      <c r="C4" s="230"/>
      <c r="D4" s="230"/>
      <c r="E4" s="230"/>
      <c r="F4" s="230"/>
      <c r="G4" s="230"/>
      <c r="H4" s="230"/>
      <c r="I4" s="230"/>
      <c r="J4" s="230"/>
      <c r="K4" s="230"/>
      <c r="L4" s="230"/>
      <c r="M4" s="230"/>
      <c r="N4" s="230"/>
      <c r="O4" s="230"/>
      <c r="P4" s="230"/>
      <c r="Q4" s="230"/>
      <c r="R4" s="230"/>
      <c r="S4" s="230"/>
      <c r="T4" s="230"/>
      <c r="U4" s="230"/>
      <c r="V4" s="230"/>
    </row>
    <row r="5" spans="1:72" ht="53.15" customHeight="1" thickBot="1" x14ac:dyDescent="0.3">
      <c r="A5" s="230"/>
      <c r="B5" s="445" t="s">
        <v>1050</v>
      </c>
      <c r="C5" s="230"/>
      <c r="D5" s="662" t="s">
        <v>11266</v>
      </c>
      <c r="E5" s="665" t="s">
        <v>11267</v>
      </c>
      <c r="F5" s="665" t="s">
        <v>1051</v>
      </c>
      <c r="G5" s="665" t="s">
        <v>1052</v>
      </c>
      <c r="H5" s="667" t="s">
        <v>11268</v>
      </c>
      <c r="I5" s="667" t="s">
        <v>1053</v>
      </c>
      <c r="J5" s="667" t="s">
        <v>1054</v>
      </c>
      <c r="K5" s="669" t="s">
        <v>11269</v>
      </c>
      <c r="L5" s="669" t="s">
        <v>1055</v>
      </c>
      <c r="M5" s="669" t="s">
        <v>1056</v>
      </c>
      <c r="N5" s="672" t="s">
        <v>11270</v>
      </c>
      <c r="O5" s="672" t="s">
        <v>1057</v>
      </c>
      <c r="P5" s="672" t="s">
        <v>1058</v>
      </c>
      <c r="Q5" s="659" t="s">
        <v>11271</v>
      </c>
      <c r="R5" s="659" t="s">
        <v>1059</v>
      </c>
      <c r="S5" s="659" t="s">
        <v>1060</v>
      </c>
      <c r="T5" s="680" t="s">
        <v>11272</v>
      </c>
      <c r="U5" s="230"/>
      <c r="V5" s="230"/>
      <c r="W5" s="230"/>
      <c r="X5" s="230"/>
      <c r="Y5" s="230"/>
      <c r="AB5" s="230"/>
      <c r="AC5" s="230"/>
      <c r="AD5" s="230"/>
      <c r="AE5" s="230"/>
      <c r="AF5" s="230"/>
      <c r="AG5" s="230"/>
      <c r="AH5" s="230"/>
      <c r="AI5" s="230"/>
      <c r="AJ5" s="230"/>
      <c r="AK5" s="230"/>
      <c r="AL5" s="230"/>
      <c r="AM5" s="230"/>
      <c r="AN5" s="230"/>
      <c r="AO5" s="230"/>
      <c r="AP5" s="230"/>
      <c r="AQ5" s="230"/>
      <c r="AR5" s="230"/>
      <c r="AS5" s="230"/>
      <c r="AT5" s="230"/>
      <c r="AU5" s="230"/>
      <c r="AV5" s="230"/>
      <c r="AW5" s="230"/>
      <c r="AX5" s="230"/>
      <c r="AY5" s="230"/>
      <c r="AZ5" s="230"/>
      <c r="BA5" s="230"/>
      <c r="BB5" s="230"/>
      <c r="BC5" s="230"/>
      <c r="BD5" s="230"/>
      <c r="BE5" s="230"/>
      <c r="BF5" s="230"/>
      <c r="BG5" s="230"/>
      <c r="BH5" s="230"/>
      <c r="BI5" s="230"/>
      <c r="BJ5" s="230"/>
      <c r="BK5" s="230"/>
      <c r="BL5" s="230"/>
      <c r="BM5" s="230"/>
      <c r="BN5" s="230"/>
      <c r="BO5" s="230"/>
      <c r="BP5" s="230"/>
      <c r="BQ5" s="230"/>
      <c r="BR5" s="230"/>
      <c r="BS5" s="230"/>
      <c r="BT5" s="230"/>
    </row>
    <row r="6" spans="1:72" ht="13.4" customHeight="1" thickBot="1" x14ac:dyDescent="0.35">
      <c r="A6" s="230"/>
      <c r="B6" s="374" t="str">
        <f>IF('Area summary'!$E$3="","",'Area summary'!$E$3)</f>
        <v/>
      </c>
      <c r="C6" s="12" t="e">
        <f>VLOOKUP(B6,totals!R2:S11,2,FALSE)</f>
        <v>#N/A</v>
      </c>
      <c r="D6" s="663"/>
      <c r="E6" s="666"/>
      <c r="F6" s="666"/>
      <c r="G6" s="666"/>
      <c r="H6" s="668"/>
      <c r="I6" s="668"/>
      <c r="J6" s="668"/>
      <c r="K6" s="670"/>
      <c r="L6" s="670"/>
      <c r="M6" s="670"/>
      <c r="N6" s="673"/>
      <c r="O6" s="673"/>
      <c r="P6" s="673"/>
      <c r="Q6" s="660"/>
      <c r="R6" s="660"/>
      <c r="S6" s="660"/>
      <c r="T6" s="681"/>
      <c r="U6" s="230"/>
      <c r="V6" s="230"/>
      <c r="W6" s="230"/>
      <c r="X6" s="230"/>
      <c r="Y6" s="230"/>
      <c r="AB6" s="230"/>
      <c r="AC6" s="230"/>
      <c r="AD6" s="683" t="s">
        <v>1061</v>
      </c>
      <c r="AE6" s="684"/>
      <c r="AF6" s="685" t="s">
        <v>11355</v>
      </c>
      <c r="AG6" s="685"/>
      <c r="AH6" s="685"/>
      <c r="AI6" s="685"/>
      <c r="AJ6" s="685"/>
      <c r="AK6" s="685"/>
      <c r="AL6" s="686"/>
      <c r="AM6" s="687"/>
      <c r="AN6" s="687"/>
      <c r="AO6" s="687"/>
      <c r="AP6" s="687"/>
      <c r="AQ6" s="687"/>
      <c r="AR6" s="687"/>
      <c r="AS6" s="688"/>
      <c r="AT6" s="689" t="s">
        <v>1063</v>
      </c>
      <c r="AU6" s="690"/>
      <c r="AV6" s="690"/>
      <c r="AW6" s="690"/>
      <c r="AX6" s="690"/>
      <c r="AY6" s="690"/>
      <c r="AZ6" s="690"/>
      <c r="BA6" s="691"/>
      <c r="BB6" s="674" t="s">
        <v>1064</v>
      </c>
      <c r="BC6" s="675"/>
      <c r="BD6" s="675"/>
      <c r="BE6" s="675"/>
      <c r="BF6" s="675"/>
      <c r="BG6" s="675"/>
      <c r="BH6" s="675"/>
      <c r="BI6" s="676"/>
      <c r="BJ6" s="677" t="s">
        <v>1065</v>
      </c>
      <c r="BK6" s="678"/>
      <c r="BL6" s="678"/>
      <c r="BM6" s="678"/>
      <c r="BN6" s="678"/>
      <c r="BO6" s="678"/>
      <c r="BP6" s="678"/>
      <c r="BQ6" s="679"/>
      <c r="BR6" s="233" t="s">
        <v>1066</v>
      </c>
      <c r="BS6" s="230"/>
      <c r="BT6" s="230"/>
    </row>
    <row r="7" spans="1:72" ht="32.25" customHeight="1" x14ac:dyDescent="0.25">
      <c r="A7" s="230"/>
      <c r="B7" s="234" t="s">
        <v>11273</v>
      </c>
      <c r="C7" s="235" t="str">
        <f>IFERROR('Area summary'!$E$36,"")</f>
        <v/>
      </c>
      <c r="D7" s="663"/>
      <c r="E7" s="666"/>
      <c r="F7" s="666"/>
      <c r="G7" s="666"/>
      <c r="H7" s="668"/>
      <c r="I7" s="668"/>
      <c r="J7" s="668"/>
      <c r="K7" s="671"/>
      <c r="L7" s="671"/>
      <c r="M7" s="670"/>
      <c r="N7" s="673"/>
      <c r="O7" s="673"/>
      <c r="P7" s="673"/>
      <c r="Q7" s="660"/>
      <c r="R7" s="660"/>
      <c r="S7" s="660"/>
      <c r="T7" s="682"/>
      <c r="U7" s="230"/>
      <c r="V7" s="230"/>
      <c r="W7" s="230"/>
      <c r="X7" s="230"/>
      <c r="Y7" s="230"/>
      <c r="AB7" s="230"/>
      <c r="AC7" s="236" t="s">
        <v>1067</v>
      </c>
      <c r="AD7" s="237" t="s">
        <v>1068</v>
      </c>
      <c r="AE7" s="238"/>
      <c r="AF7" s="239" t="s">
        <v>1069</v>
      </c>
      <c r="AG7" s="239" t="s">
        <v>1070</v>
      </c>
      <c r="AH7" s="239" t="s">
        <v>1071</v>
      </c>
      <c r="AI7" s="239" t="s">
        <v>1072</v>
      </c>
      <c r="AJ7" s="239" t="s">
        <v>1069</v>
      </c>
      <c r="AK7" s="239" t="s">
        <v>1073</v>
      </c>
      <c r="AL7" s="239" t="s">
        <v>1074</v>
      </c>
      <c r="AM7" s="241" t="s">
        <v>1075</v>
      </c>
      <c r="AN7" s="242" t="s">
        <v>1076</v>
      </c>
      <c r="AO7" s="243" t="s">
        <v>1077</v>
      </c>
      <c r="AP7" s="241" t="s">
        <v>1068</v>
      </c>
      <c r="AQ7" s="242" t="s">
        <v>1078</v>
      </c>
      <c r="AR7" s="242" t="s">
        <v>1073</v>
      </c>
      <c r="AS7" s="243" t="s">
        <v>1079</v>
      </c>
      <c r="AT7" s="244" t="s">
        <v>1072</v>
      </c>
      <c r="AU7" s="245" t="s">
        <v>1080</v>
      </c>
      <c r="AV7" s="245" t="s">
        <v>1081</v>
      </c>
      <c r="AW7" s="246" t="s">
        <v>1082</v>
      </c>
      <c r="AX7" s="245" t="s">
        <v>1068</v>
      </c>
      <c r="AY7" s="245" t="s">
        <v>1080</v>
      </c>
      <c r="AZ7" s="245" t="s">
        <v>1073</v>
      </c>
      <c r="BA7" s="245" t="s">
        <v>1079</v>
      </c>
      <c r="BB7" s="247" t="s">
        <v>1072</v>
      </c>
      <c r="BC7" s="248" t="s">
        <v>1083</v>
      </c>
      <c r="BD7" s="248" t="s">
        <v>1084</v>
      </c>
      <c r="BE7" s="249" t="s">
        <v>1085</v>
      </c>
      <c r="BF7" s="247" t="s">
        <v>1068</v>
      </c>
      <c r="BG7" s="248" t="s">
        <v>1080</v>
      </c>
      <c r="BH7" s="248" t="s">
        <v>1073</v>
      </c>
      <c r="BI7" s="249" t="s">
        <v>1079</v>
      </c>
      <c r="BJ7" s="250" t="s">
        <v>1072</v>
      </c>
      <c r="BK7" s="251" t="s">
        <v>1083</v>
      </c>
      <c r="BL7" s="251" t="s">
        <v>1086</v>
      </c>
      <c r="BM7" s="252" t="s">
        <v>1086</v>
      </c>
      <c r="BN7" s="250" t="s">
        <v>1068</v>
      </c>
      <c r="BO7" s="251" t="s">
        <v>1080</v>
      </c>
      <c r="BP7" s="251" t="s">
        <v>1073</v>
      </c>
      <c r="BQ7" s="252" t="s">
        <v>1079</v>
      </c>
      <c r="BR7" s="253"/>
      <c r="BS7" s="230"/>
      <c r="BT7" s="230"/>
    </row>
    <row r="8" spans="1:72" ht="13.4" customHeight="1" x14ac:dyDescent="0.3">
      <c r="A8" s="311"/>
      <c r="B8" s="312" t="s">
        <v>1087</v>
      </c>
      <c r="C8" s="313"/>
      <c r="D8" s="664"/>
      <c r="E8" s="314">
        <f>SUM(E9:E500)</f>
        <v>0</v>
      </c>
      <c r="F8" s="315">
        <f>SUM(F9:F500)</f>
        <v>0</v>
      </c>
      <c r="G8" s="666"/>
      <c r="H8" s="314">
        <f>SUM(H9:H500)</f>
        <v>0</v>
      </c>
      <c r="I8" s="315">
        <f>SUM(I9:I500)</f>
        <v>0</v>
      </c>
      <c r="J8" s="668"/>
      <c r="K8" s="314">
        <f>SUM(K9:K500)</f>
        <v>0</v>
      </c>
      <c r="L8" s="315">
        <f>SUM(L9:L500)</f>
        <v>0</v>
      </c>
      <c r="M8" s="670"/>
      <c r="N8" s="314">
        <f>SUM(N9:N500)</f>
        <v>0</v>
      </c>
      <c r="O8" s="315">
        <f>SUM(O9:O500)</f>
        <v>0</v>
      </c>
      <c r="P8" s="673"/>
      <c r="Q8" s="314">
        <f>SUM(Q9:Q500)</f>
        <v>0</v>
      </c>
      <c r="R8" s="316">
        <f>SUM(R9:R500)</f>
        <v>0</v>
      </c>
      <c r="S8" s="660"/>
      <c r="T8" s="314">
        <f>SUM(T9:T500)</f>
        <v>0</v>
      </c>
      <c r="U8" s="230"/>
      <c r="V8" s="230"/>
      <c r="W8" s="230"/>
      <c r="X8" s="230"/>
      <c r="Y8" s="230"/>
      <c r="AB8" s="230"/>
      <c r="AC8" s="254"/>
      <c r="AD8" s="255"/>
      <c r="AE8" s="238"/>
      <c r="AF8" s="239"/>
      <c r="AG8" s="239"/>
      <c r="AH8" s="256">
        <f>SUM(E9:E500)</f>
        <v>0</v>
      </c>
      <c r="AI8" s="256"/>
      <c r="AJ8" s="256"/>
      <c r="AK8" s="256"/>
      <c r="AL8" s="256">
        <f>SUM(E9:E500)</f>
        <v>0</v>
      </c>
      <c r="AM8" s="257"/>
      <c r="AN8" s="240"/>
      <c r="AO8" s="258">
        <f>SUM(H9:H500)</f>
        <v>0</v>
      </c>
      <c r="AP8" s="257"/>
      <c r="AQ8" s="240"/>
      <c r="AR8" s="240"/>
      <c r="AS8" s="258"/>
      <c r="AT8" s="244"/>
      <c r="AU8" s="245"/>
      <c r="AV8" s="245"/>
      <c r="AW8" s="259">
        <f>SUM(K9:K500)</f>
        <v>0</v>
      </c>
      <c r="AX8" s="245"/>
      <c r="AY8" s="245"/>
      <c r="AZ8" s="245"/>
      <c r="BA8" s="245"/>
      <c r="BB8" s="260"/>
      <c r="BC8" s="261"/>
      <c r="BD8" s="261"/>
      <c r="BE8" s="262">
        <f>SUM(N9:N500)</f>
        <v>0</v>
      </c>
      <c r="BF8" s="260"/>
      <c r="BG8" s="261"/>
      <c r="BH8" s="261"/>
      <c r="BI8" s="263"/>
      <c r="BJ8" s="264"/>
      <c r="BK8" s="265"/>
      <c r="BL8" s="265"/>
      <c r="BM8" s="266">
        <f>SUM(Q9:Q500)</f>
        <v>0</v>
      </c>
      <c r="BN8" s="264"/>
      <c r="BO8" s="265"/>
      <c r="BP8" s="265"/>
      <c r="BQ8" s="267"/>
      <c r="BR8" s="268"/>
      <c r="BS8" s="230"/>
      <c r="BT8" s="230"/>
    </row>
    <row r="9" spans="1:72" ht="12.75" customHeight="1" x14ac:dyDescent="0.25">
      <c r="A9" s="269">
        <v>1</v>
      </c>
      <c r="B9" s="230" t="str">
        <f t="shared" ref="B9:B11" si="0">IFERROR(IF(AB9=0,"",AB9),"")</f>
        <v/>
      </c>
      <c r="C9" s="270" t="str">
        <f>IFERROR(BS9,"")</f>
        <v/>
      </c>
      <c r="D9" s="269" t="str">
        <f>IF(B9="","",IF(totals!$Q$3=0,IFERROR(IF(AD9=2,"0",AE9),""),"-"))</f>
        <v/>
      </c>
      <c r="E9" s="271" t="str">
        <f>IFERROR(AH9,"")</f>
        <v/>
      </c>
      <c r="F9" s="272" t="str">
        <f>IFERROR(AF9,"")</f>
        <v/>
      </c>
      <c r="G9" s="272" t="str">
        <f>IFERROR(IF(AI9=2,"-",AJ9),"")</f>
        <v/>
      </c>
      <c r="H9" s="269" t="str">
        <f t="shared" ref="H9:H72" si="1">IFERROR(AO9,"")</f>
        <v/>
      </c>
      <c r="I9" s="272" t="str">
        <f>IFERROR(AM9,"")</f>
        <v/>
      </c>
      <c r="J9" s="272" t="str">
        <f>IFERROR(IF(AP9=2,"-",AQ9),"")</f>
        <v/>
      </c>
      <c r="K9" s="269" t="str">
        <f t="shared" ref="K9:K72" si="2">IFERROR(AW9,"")</f>
        <v/>
      </c>
      <c r="L9" s="272" t="str">
        <f t="shared" ref="L9:L72" si="3">IFERROR(IF(AT9=2,"-",AU9),"")</f>
        <v/>
      </c>
      <c r="M9" s="272" t="str">
        <f>IFERROR(IF(AX9=2,"-",AY9),"")</f>
        <v/>
      </c>
      <c r="N9" s="269" t="str">
        <f>IFERROR(BE9,"")</f>
        <v/>
      </c>
      <c r="O9" s="272" t="str">
        <f>IFERROR(IF(BB9=2,"-",BC9),"")</f>
        <v/>
      </c>
      <c r="P9" s="272" t="str">
        <f>IFERROR(IF(BF9=2,"-",BG9),"")</f>
        <v/>
      </c>
      <c r="Q9" s="269" t="str">
        <f>IFERROR(BM9,"")</f>
        <v/>
      </c>
      <c r="R9" s="272" t="str">
        <f>IFERROR(IF(BJ9=2,"-",BK9),"")</f>
        <v/>
      </c>
      <c r="S9" s="272" t="str">
        <f>IFERROR(IF(BN9=2,"-",BO9),"")</f>
        <v/>
      </c>
      <c r="T9" s="269" t="str">
        <f>IFERROR(BR9,"")</f>
        <v/>
      </c>
      <c r="U9" s="230"/>
      <c r="V9" s="230"/>
      <c r="AB9" s="230" t="e">
        <f>VLOOKUP($B$6,Lookup_Source,2,0)</f>
        <v>#N/A</v>
      </c>
      <c r="AC9" s="254" t="str">
        <f>IF(ISNUMBER(SEARCH("*",B9)),1,"")</f>
        <v/>
      </c>
      <c r="AD9" s="273">
        <f>IFERROR(ERROR.TYPE(AE9),0)</f>
        <v>7</v>
      </c>
      <c r="AE9" s="274" t="e">
        <f t="shared" ref="AE9:AE72" si="4">SUM(VLOOKUP($B9,Totals,8,0)-1)</f>
        <v>#N/A</v>
      </c>
      <c r="AF9" s="275" t="e">
        <f>IF(AG9&gt;0,AG9,"-")</f>
        <v>#N/A</v>
      </c>
      <c r="AG9" s="275" t="e">
        <f>$AH9/$AH$8</f>
        <v>#N/A</v>
      </c>
      <c r="AH9" s="276" t="e">
        <f t="shared" ref="AH9:AH72" si="5">VLOOKUP($BT9,Stock_By_LA,2,0)</f>
        <v>#N/A</v>
      </c>
      <c r="AI9" s="239">
        <f>IFERROR(ERROR.TYPE(AJ9),0)</f>
        <v>7</v>
      </c>
      <c r="AJ9" s="277" t="e">
        <f t="shared" ref="AJ9:AJ72" si="6">IF(AK9&gt;0,AK9,"-")</f>
        <v>#N/A</v>
      </c>
      <c r="AK9" s="277" t="e">
        <f>$AH9/$AL9</f>
        <v>#N/A</v>
      </c>
      <c r="AL9" s="239" t="e">
        <f t="shared" ref="AL9:AL72" si="7">VLOOKUP($B9,Totals,7,0)</f>
        <v>#N/A</v>
      </c>
      <c r="AM9" s="278" t="e">
        <f>IF(AN9&gt;0,AN9,"-")</f>
        <v>#N/A</v>
      </c>
      <c r="AN9" s="279" t="e">
        <f t="shared" ref="AN9:AN72" si="8">$AO9/$AO$8</f>
        <v>#N/A</v>
      </c>
      <c r="AO9" s="240" t="e">
        <f t="shared" ref="AO9:AO72" si="9">VLOOKUP($BT9,Stock_By_LA,3,0)</f>
        <v>#N/A</v>
      </c>
      <c r="AP9" s="280">
        <f>IFERROR(ERROR.TYPE(AQ9),0)</f>
        <v>7</v>
      </c>
      <c r="AQ9" s="281" t="e">
        <f t="shared" ref="AQ9:AQ72" si="10">IF(AR9&gt;0,AR9,"-")</f>
        <v>#N/A</v>
      </c>
      <c r="AR9" s="282" t="e">
        <f>$AO9/$AS9</f>
        <v>#N/A</v>
      </c>
      <c r="AS9" s="283" t="e">
        <f t="shared" ref="AS9:AS72" si="11">VLOOKUP($B9,Totals,2,0)</f>
        <v>#N/A</v>
      </c>
      <c r="AT9" s="284">
        <f>IFERROR(ERROR.TYPE(AU9),0)</f>
        <v>7</v>
      </c>
      <c r="AU9" s="285" t="e">
        <f>IF(AV9&gt;0,AV9,"-")</f>
        <v>#N/A</v>
      </c>
      <c r="AV9" s="286" t="e">
        <f>AW9/$AW$8</f>
        <v>#N/A</v>
      </c>
      <c r="AW9" s="287" t="e">
        <f t="shared" ref="AW9:AW72" si="12">VLOOKUP($BT9,Stock_By_LA,4,0)</f>
        <v>#N/A</v>
      </c>
      <c r="AX9" s="245">
        <f>IFERROR(ERROR.TYPE(AY9),0)</f>
        <v>7</v>
      </c>
      <c r="AY9" s="286" t="e">
        <f t="shared" ref="AY9:AY72" si="13">IF(AZ9&gt;0,AZ9,"-")</f>
        <v>#N/A</v>
      </c>
      <c r="AZ9" s="245" t="e">
        <f>$AW9/$BA9</f>
        <v>#N/A</v>
      </c>
      <c r="BA9" s="245" t="e">
        <f t="shared" ref="BA9:BA72" si="14">VLOOKUP($B9,Totals,3,0)</f>
        <v>#N/A</v>
      </c>
      <c r="BB9" s="288">
        <f>IFERROR(ERROR.TYPE(BC9),0)</f>
        <v>7</v>
      </c>
      <c r="BC9" s="289" t="e">
        <f>IF(BD9&gt;0,BD9,"-")</f>
        <v>#N/A</v>
      </c>
      <c r="BD9" s="290" t="e">
        <f>$BE9/$BE$8</f>
        <v>#N/A</v>
      </c>
      <c r="BE9" s="263" t="e">
        <f t="shared" ref="BE9:BE72" si="15">VLOOKUP($BT9,Stock_By_LA,5,0)</f>
        <v>#N/A</v>
      </c>
      <c r="BF9" s="260">
        <f>IFERROR(ERROR.TYPE(BG9),0)</f>
        <v>7</v>
      </c>
      <c r="BG9" s="289" t="e">
        <f>IF(BH9&gt;0,BH9,"-")</f>
        <v>#N/A</v>
      </c>
      <c r="BH9" s="290" t="e">
        <f>$BE9/$BI9</f>
        <v>#N/A</v>
      </c>
      <c r="BI9" s="263" t="e">
        <f t="shared" ref="BI9:BI72" si="16">VLOOKUP($B9,Totals,4,0)</f>
        <v>#N/A</v>
      </c>
      <c r="BJ9" s="264">
        <f>IFERROR(ERROR.TYPE(BK9),0)</f>
        <v>7</v>
      </c>
      <c r="BK9" s="291" t="e">
        <f>IF(BL9&gt;0,BL9,"-")</f>
        <v>#N/A</v>
      </c>
      <c r="BL9" s="291" t="e">
        <f>$BM9/$BM$8</f>
        <v>#N/A</v>
      </c>
      <c r="BM9" s="292" t="e">
        <f t="shared" ref="BM9:BM72" si="17">VLOOKUP($BT9,Stock_By_LA,6,0)</f>
        <v>#N/A</v>
      </c>
      <c r="BN9" s="293">
        <f>IFERROR(ERROR.TYPE(BO9),0)</f>
        <v>7</v>
      </c>
      <c r="BO9" s="294" t="e">
        <f>IF(BP9&gt;0,BP9,"-")</f>
        <v>#N/A</v>
      </c>
      <c r="BP9" s="294" t="e">
        <f>$BM9/$BQ9</f>
        <v>#N/A</v>
      </c>
      <c r="BQ9" s="292" t="e">
        <f t="shared" ref="BQ9:BQ72" si="18">VLOOKUP($B9,Totals,5,0)</f>
        <v>#N/A</v>
      </c>
      <c r="BR9" s="295" t="e">
        <f t="shared" ref="BR9:BR72" si="19">VLOOKUP($BT9,Stock_By_LA,8,0)</f>
        <v>#N/A</v>
      </c>
      <c r="BS9" s="230" t="e">
        <f>VLOOKUP($B9,SDR22_STOCK_BY_LA!$A$2:$C$11679,3,0)</f>
        <v>#N/A</v>
      </c>
      <c r="BT9" s="230" t="str">
        <f>$B$6&amp;$B9</f>
        <v/>
      </c>
    </row>
    <row r="10" spans="1:72" ht="12.5" x14ac:dyDescent="0.25">
      <c r="A10" s="230" t="str">
        <f>IF(AC10=1,A9+1,"")</f>
        <v/>
      </c>
      <c r="B10" s="230" t="str">
        <f t="shared" si="0"/>
        <v/>
      </c>
      <c r="C10" s="296" t="str">
        <f t="shared" ref="C10:C73" si="20">IFERROR(BS10,"")</f>
        <v/>
      </c>
      <c r="D10" s="269" t="str">
        <f>IF(B10="","",IF(totals!$Q$3=0,IFERROR(IF(AD10=2,"0",AE10),""),"-"))</f>
        <v/>
      </c>
      <c r="E10" s="271" t="str">
        <f t="shared" ref="E10:E73" si="21">IFERROR(AH10,"")</f>
        <v/>
      </c>
      <c r="F10" s="272" t="str">
        <f t="shared" ref="F10:F73" si="22">IFERROR(AF10,"")</f>
        <v/>
      </c>
      <c r="G10" s="272" t="str">
        <f t="shared" ref="G10:G73" si="23">IFERROR(IF(AI10=2,"-",AJ10),"")</f>
        <v/>
      </c>
      <c r="H10" s="269" t="str">
        <f t="shared" si="1"/>
        <v/>
      </c>
      <c r="I10" s="272" t="str">
        <f t="shared" ref="I10:I73" si="24">IFERROR(AM10,"")</f>
        <v/>
      </c>
      <c r="J10" s="272" t="str">
        <f t="shared" ref="J10:J73" si="25">IFERROR(IF(AP10=2,"-",AQ10),"")</f>
        <v/>
      </c>
      <c r="K10" s="269" t="str">
        <f t="shared" si="2"/>
        <v/>
      </c>
      <c r="L10" s="272" t="str">
        <f t="shared" si="3"/>
        <v/>
      </c>
      <c r="M10" s="272" t="str">
        <f t="shared" ref="M10:M73" si="26">IFERROR(IF(AX10=2,"-",AY10),"")</f>
        <v/>
      </c>
      <c r="N10" s="269" t="str">
        <f t="shared" ref="N10:N73" si="27">IFERROR(BE10,"")</f>
        <v/>
      </c>
      <c r="O10" s="272" t="str">
        <f t="shared" ref="O10:O73" si="28">IFERROR(IF(BB10=2,"-",BC10),"")</f>
        <v/>
      </c>
      <c r="P10" s="272" t="str">
        <f t="shared" ref="P10:P73" si="29">IFERROR(IF(BF10=2,"-",BG10),"")</f>
        <v/>
      </c>
      <c r="Q10" s="269" t="str">
        <f t="shared" ref="Q10:Q73" si="30">IFERROR(BM10,"")</f>
        <v/>
      </c>
      <c r="R10" s="272" t="str">
        <f t="shared" ref="R10:R73" si="31">IFERROR(IF(BJ10=2,"-",BK10),"")</f>
        <v/>
      </c>
      <c r="S10" s="272" t="str">
        <f t="shared" ref="S10:S73" si="32">IFERROR(IF(BN10=2,"-",BO10),"")</f>
        <v/>
      </c>
      <c r="T10" s="269" t="str">
        <f t="shared" ref="T10:T73" si="33">IFERROR(BR10,"")</f>
        <v/>
      </c>
      <c r="U10" s="230"/>
      <c r="V10" s="230"/>
      <c r="AB10" s="230" t="e">
        <f>VLOOKUP($B$6,Lookup_Source,3,0)</f>
        <v>#N/A</v>
      </c>
      <c r="AC10" s="254" t="str">
        <f t="shared" ref="AC10:AC73" si="34">IF(ISNUMBER(SEARCH("*",B10)),1,"")</f>
        <v/>
      </c>
      <c r="AD10" s="255">
        <f t="shared" ref="AD10:AD73" si="35">IFERROR(ERROR.TYPE(AE10),0)</f>
        <v>7</v>
      </c>
      <c r="AE10" s="274" t="e">
        <f t="shared" si="4"/>
        <v>#N/A</v>
      </c>
      <c r="AF10" s="277" t="e">
        <f t="shared" ref="AF10:AF73" si="36">IF(AG10&gt;0,AG10,"-")</f>
        <v>#N/A</v>
      </c>
      <c r="AG10" s="277" t="e">
        <f t="shared" ref="AG10:AG73" si="37">$AH10/$AH$8</f>
        <v>#N/A</v>
      </c>
      <c r="AH10" s="276" t="e">
        <f t="shared" si="5"/>
        <v>#N/A</v>
      </c>
      <c r="AI10" s="239">
        <f t="shared" ref="AI10:AI73" si="38">IFERROR(ERROR.TYPE(AJ10),0)</f>
        <v>7</v>
      </c>
      <c r="AJ10" s="277" t="e">
        <f t="shared" si="6"/>
        <v>#N/A</v>
      </c>
      <c r="AK10" s="277" t="e">
        <f t="shared" ref="AK10:AK73" si="39">$AH10/$AL10</f>
        <v>#N/A</v>
      </c>
      <c r="AL10" s="239" t="e">
        <f t="shared" si="7"/>
        <v>#N/A</v>
      </c>
      <c r="AM10" s="278" t="e">
        <f t="shared" ref="AM10:AM73" si="40">IF(AN10&gt;0,AN10,"-")</f>
        <v>#N/A</v>
      </c>
      <c r="AN10" s="279" t="e">
        <f t="shared" si="8"/>
        <v>#N/A</v>
      </c>
      <c r="AO10" s="240" t="e">
        <f t="shared" si="9"/>
        <v>#N/A</v>
      </c>
      <c r="AP10" s="297">
        <f t="shared" ref="AP10:AP73" si="41">IFERROR(ERROR.TYPE(AQ10),0)</f>
        <v>7</v>
      </c>
      <c r="AQ10" s="298" t="e">
        <f t="shared" si="10"/>
        <v>#N/A</v>
      </c>
      <c r="AR10" s="279" t="e">
        <f t="shared" ref="AR10:AR73" si="42">$AO10/$AS10</f>
        <v>#N/A</v>
      </c>
      <c r="AS10" s="283" t="e">
        <f t="shared" si="11"/>
        <v>#N/A</v>
      </c>
      <c r="AT10" s="284">
        <f t="shared" ref="AT10:AT73" si="43">IFERROR(ERROR.TYPE(AU10),0)</f>
        <v>7</v>
      </c>
      <c r="AU10" s="285" t="e">
        <f t="shared" ref="AU10:AU73" si="44">IF(AV10&gt;0,AV10,"-")</f>
        <v>#N/A</v>
      </c>
      <c r="AV10" s="286" t="e">
        <f t="shared" ref="AV10:AV73" si="45">AW10/$AW$8</f>
        <v>#N/A</v>
      </c>
      <c r="AW10" s="287" t="e">
        <f t="shared" si="12"/>
        <v>#N/A</v>
      </c>
      <c r="AX10" s="245">
        <f t="shared" ref="AX10:AX73" si="46">IFERROR(ERROR.TYPE(AY10),0)</f>
        <v>7</v>
      </c>
      <c r="AY10" s="286" t="e">
        <f t="shared" si="13"/>
        <v>#N/A</v>
      </c>
      <c r="AZ10" s="245" t="e">
        <f t="shared" ref="AZ10:AZ73" si="47">$AW10/$BA10</f>
        <v>#N/A</v>
      </c>
      <c r="BA10" s="245" t="e">
        <f t="shared" si="14"/>
        <v>#N/A</v>
      </c>
      <c r="BB10" s="288">
        <f t="shared" ref="BB10:BB73" si="48">IFERROR(ERROR.TYPE(BC10),0)</f>
        <v>7</v>
      </c>
      <c r="BC10" s="289" t="e">
        <f t="shared" ref="BC10:BC73" si="49">IF(BD10&gt;0,BD10,"-")</f>
        <v>#N/A</v>
      </c>
      <c r="BD10" s="290" t="e">
        <f t="shared" ref="BD10:BD73" si="50">$BE10/$BE$8</f>
        <v>#N/A</v>
      </c>
      <c r="BE10" s="263" t="e">
        <f t="shared" si="15"/>
        <v>#N/A</v>
      </c>
      <c r="BF10" s="260">
        <f t="shared" ref="BF10:BF73" si="51">IFERROR(ERROR.TYPE(BG10),0)</f>
        <v>7</v>
      </c>
      <c r="BG10" s="289" t="e">
        <f t="shared" ref="BG10:BG73" si="52">IF(BH10&gt;0,BH10,"-")</f>
        <v>#N/A</v>
      </c>
      <c r="BH10" s="290" t="e">
        <f t="shared" ref="BH10:BH73" si="53">$BE10/$BI10</f>
        <v>#N/A</v>
      </c>
      <c r="BI10" s="263" t="e">
        <f t="shared" si="16"/>
        <v>#N/A</v>
      </c>
      <c r="BJ10" s="264">
        <f t="shared" ref="BJ10:BJ73" si="54">IFERROR(ERROR.TYPE(BK10),0)</f>
        <v>7</v>
      </c>
      <c r="BK10" s="291" t="e">
        <f t="shared" ref="BK10:BK73" si="55">IF(BL10&gt;0,BL10,"-")</f>
        <v>#N/A</v>
      </c>
      <c r="BL10" s="291" t="e">
        <f t="shared" ref="BL10:BL73" si="56">$BM10/$BM$8</f>
        <v>#N/A</v>
      </c>
      <c r="BM10" s="292" t="e">
        <f t="shared" si="17"/>
        <v>#N/A</v>
      </c>
      <c r="BN10" s="293">
        <f t="shared" ref="BN10:BN73" si="57">IFERROR(ERROR.TYPE(BO10),0)</f>
        <v>7</v>
      </c>
      <c r="BO10" s="294" t="e">
        <f t="shared" ref="BO10:BO73" si="58">IF(BP10&gt;0,BP10,"-")</f>
        <v>#N/A</v>
      </c>
      <c r="BP10" s="294" t="e">
        <f t="shared" ref="BP10:BP73" si="59">$BM10/$BQ10</f>
        <v>#N/A</v>
      </c>
      <c r="BQ10" s="292" t="e">
        <f t="shared" si="18"/>
        <v>#N/A</v>
      </c>
      <c r="BR10" s="295" t="e">
        <f t="shared" si="19"/>
        <v>#N/A</v>
      </c>
      <c r="BS10" s="230" t="e">
        <f>VLOOKUP($B10,SDR22_STOCK_BY_LA!$A$2:$C$11679,3,0)</f>
        <v>#N/A</v>
      </c>
      <c r="BT10" s="230" t="str">
        <f t="shared" ref="BT10:BT73" si="60">$B$6&amp;$B10</f>
        <v/>
      </c>
    </row>
    <row r="11" spans="1:72" ht="12.5" x14ac:dyDescent="0.25">
      <c r="A11" s="269" t="str">
        <f t="shared" ref="A11:A74" si="61">IF(AC11=1,A10+1,"")</f>
        <v/>
      </c>
      <c r="B11" s="230" t="str">
        <f t="shared" si="0"/>
        <v/>
      </c>
      <c r="C11" s="270" t="str">
        <f t="shared" si="20"/>
        <v/>
      </c>
      <c r="D11" s="269" t="str">
        <f>IF(B11="","",IF(totals!$Q$3=0,IFERROR(IF(AD11=2,"0",AE11),""),"-"))</f>
        <v/>
      </c>
      <c r="E11" s="271" t="str">
        <f t="shared" si="21"/>
        <v/>
      </c>
      <c r="F11" s="272" t="str">
        <f t="shared" si="22"/>
        <v/>
      </c>
      <c r="G11" s="272" t="str">
        <f t="shared" si="23"/>
        <v/>
      </c>
      <c r="H11" s="269" t="str">
        <f t="shared" si="1"/>
        <v/>
      </c>
      <c r="I11" s="272" t="str">
        <f t="shared" si="24"/>
        <v/>
      </c>
      <c r="J11" s="272" t="str">
        <f t="shared" si="25"/>
        <v/>
      </c>
      <c r="K11" s="269" t="str">
        <f t="shared" si="2"/>
        <v/>
      </c>
      <c r="L11" s="272" t="str">
        <f t="shared" si="3"/>
        <v/>
      </c>
      <c r="M11" s="272" t="str">
        <f t="shared" si="26"/>
        <v/>
      </c>
      <c r="N11" s="269" t="str">
        <f t="shared" si="27"/>
        <v/>
      </c>
      <c r="O11" s="272" t="str">
        <f t="shared" si="28"/>
        <v/>
      </c>
      <c r="P11" s="272" t="str">
        <f t="shared" si="29"/>
        <v/>
      </c>
      <c r="Q11" s="269" t="str">
        <f t="shared" si="30"/>
        <v/>
      </c>
      <c r="R11" s="272" t="str">
        <f t="shared" si="31"/>
        <v/>
      </c>
      <c r="S11" s="272" t="str">
        <f t="shared" si="32"/>
        <v/>
      </c>
      <c r="T11" s="269" t="str">
        <f t="shared" si="33"/>
        <v/>
      </c>
      <c r="U11" s="230"/>
      <c r="V11" s="230"/>
      <c r="AB11" s="270" t="e">
        <f>VLOOKUP($B$6,Lookup_Source,4,0)</f>
        <v>#N/A</v>
      </c>
      <c r="AC11" s="254" t="str">
        <f t="shared" si="34"/>
        <v/>
      </c>
      <c r="AD11" s="255">
        <f t="shared" si="35"/>
        <v>7</v>
      </c>
      <c r="AE11" s="274" t="e">
        <f t="shared" si="4"/>
        <v>#N/A</v>
      </c>
      <c r="AF11" s="277" t="e">
        <f t="shared" si="36"/>
        <v>#N/A</v>
      </c>
      <c r="AG11" s="277" t="e">
        <f t="shared" si="37"/>
        <v>#N/A</v>
      </c>
      <c r="AH11" s="276" t="e">
        <f t="shared" si="5"/>
        <v>#N/A</v>
      </c>
      <c r="AI11" s="239">
        <f t="shared" si="38"/>
        <v>7</v>
      </c>
      <c r="AJ11" s="277" t="e">
        <f t="shared" si="6"/>
        <v>#N/A</v>
      </c>
      <c r="AK11" s="277" t="e">
        <f t="shared" si="39"/>
        <v>#N/A</v>
      </c>
      <c r="AL11" s="239" t="e">
        <f t="shared" si="7"/>
        <v>#N/A</v>
      </c>
      <c r="AM11" s="278" t="e">
        <f t="shared" si="40"/>
        <v>#N/A</v>
      </c>
      <c r="AN11" s="279" t="e">
        <f t="shared" si="8"/>
        <v>#N/A</v>
      </c>
      <c r="AO11" s="240" t="e">
        <f t="shared" si="9"/>
        <v>#N/A</v>
      </c>
      <c r="AP11" s="297">
        <f t="shared" si="41"/>
        <v>7</v>
      </c>
      <c r="AQ11" s="298" t="e">
        <f t="shared" si="10"/>
        <v>#N/A</v>
      </c>
      <c r="AR11" s="279" t="e">
        <f t="shared" si="42"/>
        <v>#N/A</v>
      </c>
      <c r="AS11" s="283" t="e">
        <f t="shared" si="11"/>
        <v>#N/A</v>
      </c>
      <c r="AT11" s="284">
        <f t="shared" si="43"/>
        <v>7</v>
      </c>
      <c r="AU11" s="285" t="e">
        <f t="shared" si="44"/>
        <v>#N/A</v>
      </c>
      <c r="AV11" s="286" t="e">
        <f t="shared" si="45"/>
        <v>#N/A</v>
      </c>
      <c r="AW11" s="287" t="e">
        <f t="shared" si="12"/>
        <v>#N/A</v>
      </c>
      <c r="AX11" s="245">
        <f t="shared" si="46"/>
        <v>7</v>
      </c>
      <c r="AY11" s="286" t="e">
        <f t="shared" si="13"/>
        <v>#N/A</v>
      </c>
      <c r="AZ11" s="245" t="e">
        <f t="shared" si="47"/>
        <v>#N/A</v>
      </c>
      <c r="BA11" s="245" t="e">
        <f t="shared" si="14"/>
        <v>#N/A</v>
      </c>
      <c r="BB11" s="288">
        <f t="shared" si="48"/>
        <v>7</v>
      </c>
      <c r="BC11" s="289" t="e">
        <f t="shared" si="49"/>
        <v>#N/A</v>
      </c>
      <c r="BD11" s="290" t="e">
        <f t="shared" si="50"/>
        <v>#N/A</v>
      </c>
      <c r="BE11" s="263" t="e">
        <f t="shared" si="15"/>
        <v>#N/A</v>
      </c>
      <c r="BF11" s="260">
        <f t="shared" si="51"/>
        <v>7</v>
      </c>
      <c r="BG11" s="289" t="e">
        <f t="shared" si="52"/>
        <v>#N/A</v>
      </c>
      <c r="BH11" s="290" t="e">
        <f t="shared" si="53"/>
        <v>#N/A</v>
      </c>
      <c r="BI11" s="263" t="e">
        <f t="shared" si="16"/>
        <v>#N/A</v>
      </c>
      <c r="BJ11" s="264">
        <f t="shared" si="54"/>
        <v>7</v>
      </c>
      <c r="BK11" s="291" t="e">
        <f t="shared" si="55"/>
        <v>#N/A</v>
      </c>
      <c r="BL11" s="291" t="e">
        <f t="shared" si="56"/>
        <v>#N/A</v>
      </c>
      <c r="BM11" s="292" t="e">
        <f t="shared" si="17"/>
        <v>#N/A</v>
      </c>
      <c r="BN11" s="293">
        <f t="shared" si="57"/>
        <v>7</v>
      </c>
      <c r="BO11" s="294" t="e">
        <f t="shared" si="58"/>
        <v>#N/A</v>
      </c>
      <c r="BP11" s="294" t="e">
        <f t="shared" si="59"/>
        <v>#N/A</v>
      </c>
      <c r="BQ11" s="292" t="e">
        <f t="shared" si="18"/>
        <v>#N/A</v>
      </c>
      <c r="BR11" s="295" t="e">
        <f t="shared" si="19"/>
        <v>#N/A</v>
      </c>
      <c r="BS11" s="230" t="e">
        <f>VLOOKUP($B11,SDR22_STOCK_BY_LA!$A$2:$C$11679,3,0)</f>
        <v>#N/A</v>
      </c>
      <c r="BT11" s="230" t="str">
        <f t="shared" si="60"/>
        <v/>
      </c>
    </row>
    <row r="12" spans="1:72" ht="12.5" x14ac:dyDescent="0.25">
      <c r="A12" s="230" t="str">
        <f t="shared" si="61"/>
        <v/>
      </c>
      <c r="B12" s="230" t="str">
        <f>IFERROR(IF(AB12=0,"",AB12),"")</f>
        <v/>
      </c>
      <c r="C12" s="296" t="str">
        <f t="shared" si="20"/>
        <v/>
      </c>
      <c r="D12" s="269" t="str">
        <f>IF(B12="","",IF(totals!$Q$3=0,IFERROR(IF(AD12=2,"0",AE12),""),"-"))</f>
        <v/>
      </c>
      <c r="E12" s="271" t="str">
        <f t="shared" si="21"/>
        <v/>
      </c>
      <c r="F12" s="272" t="str">
        <f t="shared" si="22"/>
        <v/>
      </c>
      <c r="G12" s="272" t="str">
        <f t="shared" si="23"/>
        <v/>
      </c>
      <c r="H12" s="269" t="str">
        <f t="shared" si="1"/>
        <v/>
      </c>
      <c r="I12" s="272" t="str">
        <f t="shared" si="24"/>
        <v/>
      </c>
      <c r="J12" s="272" t="str">
        <f t="shared" si="25"/>
        <v/>
      </c>
      <c r="K12" s="269" t="str">
        <f t="shared" si="2"/>
        <v/>
      </c>
      <c r="L12" s="272" t="str">
        <f t="shared" si="3"/>
        <v/>
      </c>
      <c r="M12" s="272" t="str">
        <f t="shared" si="26"/>
        <v/>
      </c>
      <c r="N12" s="269" t="str">
        <f t="shared" si="27"/>
        <v/>
      </c>
      <c r="O12" s="272" t="str">
        <f t="shared" si="28"/>
        <v/>
      </c>
      <c r="P12" s="272" t="str">
        <f t="shared" si="29"/>
        <v/>
      </c>
      <c r="Q12" s="269" t="str">
        <f t="shared" si="30"/>
        <v/>
      </c>
      <c r="R12" s="272" t="str">
        <f t="shared" si="31"/>
        <v/>
      </c>
      <c r="S12" s="272" t="str">
        <f t="shared" si="32"/>
        <v/>
      </c>
      <c r="T12" s="269" t="str">
        <f t="shared" si="33"/>
        <v/>
      </c>
      <c r="U12" s="230"/>
      <c r="V12" s="230"/>
      <c r="AB12" s="230" t="e">
        <f>VLOOKUP($B$6,Lookup_Source,5,0)</f>
        <v>#N/A</v>
      </c>
      <c r="AC12" s="254" t="str">
        <f t="shared" si="34"/>
        <v/>
      </c>
      <c r="AD12" s="255">
        <f t="shared" si="35"/>
        <v>7</v>
      </c>
      <c r="AE12" s="274" t="e">
        <f t="shared" si="4"/>
        <v>#N/A</v>
      </c>
      <c r="AF12" s="277" t="e">
        <f t="shared" si="36"/>
        <v>#N/A</v>
      </c>
      <c r="AG12" s="277" t="e">
        <f t="shared" si="37"/>
        <v>#N/A</v>
      </c>
      <c r="AH12" s="276" t="e">
        <f t="shared" si="5"/>
        <v>#N/A</v>
      </c>
      <c r="AI12" s="239">
        <f t="shared" si="38"/>
        <v>7</v>
      </c>
      <c r="AJ12" s="277" t="e">
        <f t="shared" si="6"/>
        <v>#N/A</v>
      </c>
      <c r="AK12" s="277" t="e">
        <f t="shared" si="39"/>
        <v>#N/A</v>
      </c>
      <c r="AL12" s="239" t="e">
        <f t="shared" si="7"/>
        <v>#N/A</v>
      </c>
      <c r="AM12" s="278" t="e">
        <f t="shared" si="40"/>
        <v>#N/A</v>
      </c>
      <c r="AN12" s="279" t="e">
        <f t="shared" si="8"/>
        <v>#N/A</v>
      </c>
      <c r="AO12" s="240" t="e">
        <f t="shared" si="9"/>
        <v>#N/A</v>
      </c>
      <c r="AP12" s="297">
        <f t="shared" si="41"/>
        <v>7</v>
      </c>
      <c r="AQ12" s="298" t="e">
        <f t="shared" si="10"/>
        <v>#N/A</v>
      </c>
      <c r="AR12" s="279" t="e">
        <f t="shared" si="42"/>
        <v>#N/A</v>
      </c>
      <c r="AS12" s="283" t="e">
        <f t="shared" si="11"/>
        <v>#N/A</v>
      </c>
      <c r="AT12" s="284">
        <f t="shared" si="43"/>
        <v>7</v>
      </c>
      <c r="AU12" s="285" t="e">
        <f t="shared" si="44"/>
        <v>#N/A</v>
      </c>
      <c r="AV12" s="286" t="e">
        <f t="shared" si="45"/>
        <v>#N/A</v>
      </c>
      <c r="AW12" s="287" t="e">
        <f t="shared" si="12"/>
        <v>#N/A</v>
      </c>
      <c r="AX12" s="245">
        <f t="shared" si="46"/>
        <v>7</v>
      </c>
      <c r="AY12" s="286" t="e">
        <f t="shared" si="13"/>
        <v>#N/A</v>
      </c>
      <c r="AZ12" s="245" t="e">
        <f t="shared" si="47"/>
        <v>#N/A</v>
      </c>
      <c r="BA12" s="245" t="e">
        <f t="shared" si="14"/>
        <v>#N/A</v>
      </c>
      <c r="BB12" s="288">
        <f t="shared" si="48"/>
        <v>7</v>
      </c>
      <c r="BC12" s="289" t="e">
        <f t="shared" si="49"/>
        <v>#N/A</v>
      </c>
      <c r="BD12" s="290" t="e">
        <f t="shared" si="50"/>
        <v>#N/A</v>
      </c>
      <c r="BE12" s="263" t="e">
        <f t="shared" si="15"/>
        <v>#N/A</v>
      </c>
      <c r="BF12" s="260">
        <f t="shared" si="51"/>
        <v>7</v>
      </c>
      <c r="BG12" s="289" t="e">
        <f t="shared" si="52"/>
        <v>#N/A</v>
      </c>
      <c r="BH12" s="290" t="e">
        <f t="shared" si="53"/>
        <v>#N/A</v>
      </c>
      <c r="BI12" s="263" t="e">
        <f t="shared" si="16"/>
        <v>#N/A</v>
      </c>
      <c r="BJ12" s="264">
        <f t="shared" si="54"/>
        <v>7</v>
      </c>
      <c r="BK12" s="291" t="e">
        <f t="shared" si="55"/>
        <v>#N/A</v>
      </c>
      <c r="BL12" s="291" t="e">
        <f t="shared" si="56"/>
        <v>#N/A</v>
      </c>
      <c r="BM12" s="292" t="e">
        <f t="shared" si="17"/>
        <v>#N/A</v>
      </c>
      <c r="BN12" s="293">
        <f t="shared" si="57"/>
        <v>7</v>
      </c>
      <c r="BO12" s="294" t="e">
        <f t="shared" si="58"/>
        <v>#N/A</v>
      </c>
      <c r="BP12" s="294" t="e">
        <f t="shared" si="59"/>
        <v>#N/A</v>
      </c>
      <c r="BQ12" s="292" t="e">
        <f t="shared" si="18"/>
        <v>#N/A</v>
      </c>
      <c r="BR12" s="295" t="e">
        <f t="shared" si="19"/>
        <v>#N/A</v>
      </c>
      <c r="BS12" s="230" t="e">
        <f>VLOOKUP($B12,SDR22_STOCK_BY_LA!$A$2:$C$11679,3,0)</f>
        <v>#N/A</v>
      </c>
      <c r="BT12" s="230" t="str">
        <f t="shared" si="60"/>
        <v/>
      </c>
    </row>
    <row r="13" spans="1:72" ht="12.5" x14ac:dyDescent="0.25">
      <c r="A13" s="269" t="str">
        <f t="shared" si="61"/>
        <v/>
      </c>
      <c r="B13" s="230" t="str">
        <f t="shared" ref="B13:B76" si="62">IFERROR(IF(AB13=0,"",AB13),"")</f>
        <v/>
      </c>
      <c r="C13" s="270" t="str">
        <f t="shared" si="20"/>
        <v/>
      </c>
      <c r="D13" s="269" t="str">
        <f>IF(B13="","",IF(totals!$Q$3=0,IFERROR(IF(AD13=2,"0",AE13),""),"-"))</f>
        <v/>
      </c>
      <c r="E13" s="271" t="str">
        <f t="shared" si="21"/>
        <v/>
      </c>
      <c r="F13" s="272" t="str">
        <f t="shared" si="22"/>
        <v/>
      </c>
      <c r="G13" s="272" t="str">
        <f t="shared" si="23"/>
        <v/>
      </c>
      <c r="H13" s="269" t="str">
        <f t="shared" si="1"/>
        <v/>
      </c>
      <c r="I13" s="272" t="str">
        <f t="shared" si="24"/>
        <v/>
      </c>
      <c r="J13" s="272" t="str">
        <f t="shared" si="25"/>
        <v/>
      </c>
      <c r="K13" s="269" t="str">
        <f t="shared" si="2"/>
        <v/>
      </c>
      <c r="L13" s="272" t="str">
        <f t="shared" si="3"/>
        <v/>
      </c>
      <c r="M13" s="272" t="str">
        <f t="shared" si="26"/>
        <v/>
      </c>
      <c r="N13" s="269" t="str">
        <f t="shared" si="27"/>
        <v/>
      </c>
      <c r="O13" s="272" t="str">
        <f t="shared" si="28"/>
        <v/>
      </c>
      <c r="P13" s="272" t="str">
        <f t="shared" si="29"/>
        <v/>
      </c>
      <c r="Q13" s="269" t="str">
        <f t="shared" si="30"/>
        <v/>
      </c>
      <c r="R13" s="272" t="str">
        <f t="shared" si="31"/>
        <v/>
      </c>
      <c r="S13" s="272" t="str">
        <f t="shared" si="32"/>
        <v/>
      </c>
      <c r="T13" s="269" t="str">
        <f t="shared" si="33"/>
        <v/>
      </c>
      <c r="U13" s="230"/>
      <c r="V13" s="230"/>
      <c r="AB13" s="270" t="e">
        <f>VLOOKUP($B$6,Lookup_Source,6,0)</f>
        <v>#N/A</v>
      </c>
      <c r="AC13" s="254" t="str">
        <f t="shared" si="34"/>
        <v/>
      </c>
      <c r="AD13" s="255">
        <f t="shared" si="35"/>
        <v>7</v>
      </c>
      <c r="AE13" s="274" t="e">
        <f t="shared" si="4"/>
        <v>#N/A</v>
      </c>
      <c r="AF13" s="277" t="e">
        <f t="shared" si="36"/>
        <v>#N/A</v>
      </c>
      <c r="AG13" s="277" t="e">
        <f t="shared" si="37"/>
        <v>#N/A</v>
      </c>
      <c r="AH13" s="276" t="e">
        <f t="shared" si="5"/>
        <v>#N/A</v>
      </c>
      <c r="AI13" s="239">
        <f t="shared" si="38"/>
        <v>7</v>
      </c>
      <c r="AJ13" s="277" t="e">
        <f t="shared" si="6"/>
        <v>#N/A</v>
      </c>
      <c r="AK13" s="277" t="e">
        <f t="shared" si="39"/>
        <v>#N/A</v>
      </c>
      <c r="AL13" s="239" t="e">
        <f t="shared" si="7"/>
        <v>#N/A</v>
      </c>
      <c r="AM13" s="278" t="e">
        <f t="shared" si="40"/>
        <v>#N/A</v>
      </c>
      <c r="AN13" s="279" t="e">
        <f t="shared" si="8"/>
        <v>#N/A</v>
      </c>
      <c r="AO13" s="240" t="e">
        <f t="shared" si="9"/>
        <v>#N/A</v>
      </c>
      <c r="AP13" s="297">
        <f t="shared" si="41"/>
        <v>7</v>
      </c>
      <c r="AQ13" s="298" t="e">
        <f t="shared" si="10"/>
        <v>#N/A</v>
      </c>
      <c r="AR13" s="279" t="e">
        <f t="shared" si="42"/>
        <v>#N/A</v>
      </c>
      <c r="AS13" s="283" t="e">
        <f t="shared" si="11"/>
        <v>#N/A</v>
      </c>
      <c r="AT13" s="284">
        <f t="shared" si="43"/>
        <v>7</v>
      </c>
      <c r="AU13" s="285" t="e">
        <f t="shared" si="44"/>
        <v>#N/A</v>
      </c>
      <c r="AV13" s="286" t="e">
        <f t="shared" si="45"/>
        <v>#N/A</v>
      </c>
      <c r="AW13" s="287" t="e">
        <f t="shared" si="12"/>
        <v>#N/A</v>
      </c>
      <c r="AX13" s="245">
        <f t="shared" si="46"/>
        <v>7</v>
      </c>
      <c r="AY13" s="286" t="e">
        <f t="shared" si="13"/>
        <v>#N/A</v>
      </c>
      <c r="AZ13" s="245" t="e">
        <f t="shared" si="47"/>
        <v>#N/A</v>
      </c>
      <c r="BA13" s="245" t="e">
        <f t="shared" si="14"/>
        <v>#N/A</v>
      </c>
      <c r="BB13" s="288">
        <f t="shared" si="48"/>
        <v>7</v>
      </c>
      <c r="BC13" s="289" t="e">
        <f t="shared" si="49"/>
        <v>#N/A</v>
      </c>
      <c r="BD13" s="290" t="e">
        <f t="shared" si="50"/>
        <v>#N/A</v>
      </c>
      <c r="BE13" s="263" t="e">
        <f t="shared" si="15"/>
        <v>#N/A</v>
      </c>
      <c r="BF13" s="260">
        <f t="shared" si="51"/>
        <v>7</v>
      </c>
      <c r="BG13" s="289" t="e">
        <f t="shared" si="52"/>
        <v>#N/A</v>
      </c>
      <c r="BH13" s="290" t="e">
        <f t="shared" si="53"/>
        <v>#N/A</v>
      </c>
      <c r="BI13" s="263" t="e">
        <f t="shared" si="16"/>
        <v>#N/A</v>
      </c>
      <c r="BJ13" s="264">
        <f t="shared" si="54"/>
        <v>7</v>
      </c>
      <c r="BK13" s="291" t="e">
        <f t="shared" si="55"/>
        <v>#N/A</v>
      </c>
      <c r="BL13" s="291" t="e">
        <f t="shared" si="56"/>
        <v>#N/A</v>
      </c>
      <c r="BM13" s="292" t="e">
        <f t="shared" si="17"/>
        <v>#N/A</v>
      </c>
      <c r="BN13" s="293">
        <f t="shared" si="57"/>
        <v>7</v>
      </c>
      <c r="BO13" s="294" t="e">
        <f t="shared" si="58"/>
        <v>#N/A</v>
      </c>
      <c r="BP13" s="294" t="e">
        <f t="shared" si="59"/>
        <v>#N/A</v>
      </c>
      <c r="BQ13" s="292" t="e">
        <f t="shared" si="18"/>
        <v>#N/A</v>
      </c>
      <c r="BR13" s="295" t="e">
        <f t="shared" si="19"/>
        <v>#N/A</v>
      </c>
      <c r="BS13" s="230" t="e">
        <f>VLOOKUP($B13,SDR22_STOCK_BY_LA!$A$2:$C$11679,3,0)</f>
        <v>#N/A</v>
      </c>
      <c r="BT13" s="230" t="str">
        <f t="shared" si="60"/>
        <v/>
      </c>
    </row>
    <row r="14" spans="1:72" ht="12.5" x14ac:dyDescent="0.25">
      <c r="A14" s="230" t="str">
        <f t="shared" si="61"/>
        <v/>
      </c>
      <c r="B14" s="230" t="str">
        <f t="shared" si="62"/>
        <v/>
      </c>
      <c r="C14" s="296" t="str">
        <f t="shared" si="20"/>
        <v/>
      </c>
      <c r="D14" s="269" t="str">
        <f>IF(B14="","",IF(totals!$Q$3=0,IFERROR(IF(AD14=2,"0",AE14),""),"-"))</f>
        <v/>
      </c>
      <c r="E14" s="271" t="str">
        <f t="shared" si="21"/>
        <v/>
      </c>
      <c r="F14" s="272" t="str">
        <f t="shared" si="22"/>
        <v/>
      </c>
      <c r="G14" s="272" t="str">
        <f t="shared" si="23"/>
        <v/>
      </c>
      <c r="H14" s="269" t="str">
        <f t="shared" si="1"/>
        <v/>
      </c>
      <c r="I14" s="272" t="str">
        <f t="shared" si="24"/>
        <v/>
      </c>
      <c r="J14" s="272" t="str">
        <f t="shared" si="25"/>
        <v/>
      </c>
      <c r="K14" s="269" t="str">
        <f t="shared" si="2"/>
        <v/>
      </c>
      <c r="L14" s="272" t="str">
        <f t="shared" si="3"/>
        <v/>
      </c>
      <c r="M14" s="272" t="str">
        <f t="shared" si="26"/>
        <v/>
      </c>
      <c r="N14" s="269" t="str">
        <f t="shared" si="27"/>
        <v/>
      </c>
      <c r="O14" s="272" t="str">
        <f t="shared" si="28"/>
        <v/>
      </c>
      <c r="P14" s="272" t="str">
        <f t="shared" si="29"/>
        <v/>
      </c>
      <c r="Q14" s="269" t="str">
        <f t="shared" si="30"/>
        <v/>
      </c>
      <c r="R14" s="272" t="str">
        <f t="shared" si="31"/>
        <v/>
      </c>
      <c r="S14" s="272" t="str">
        <f t="shared" si="32"/>
        <v/>
      </c>
      <c r="T14" s="269" t="str">
        <f t="shared" si="33"/>
        <v/>
      </c>
      <c r="U14" s="230"/>
      <c r="V14" s="230"/>
      <c r="AB14" s="230" t="e">
        <f>VLOOKUP($B$6,Lookup_Source,7,0)</f>
        <v>#N/A</v>
      </c>
      <c r="AC14" s="254" t="str">
        <f t="shared" si="34"/>
        <v/>
      </c>
      <c r="AD14" s="255">
        <f t="shared" si="35"/>
        <v>7</v>
      </c>
      <c r="AE14" s="274" t="e">
        <f t="shared" si="4"/>
        <v>#N/A</v>
      </c>
      <c r="AF14" s="277" t="e">
        <f t="shared" si="36"/>
        <v>#N/A</v>
      </c>
      <c r="AG14" s="277" t="e">
        <f t="shared" si="37"/>
        <v>#N/A</v>
      </c>
      <c r="AH14" s="276" t="e">
        <f t="shared" si="5"/>
        <v>#N/A</v>
      </c>
      <c r="AI14" s="239">
        <f t="shared" si="38"/>
        <v>7</v>
      </c>
      <c r="AJ14" s="277" t="e">
        <f t="shared" si="6"/>
        <v>#N/A</v>
      </c>
      <c r="AK14" s="277" t="e">
        <f t="shared" si="39"/>
        <v>#N/A</v>
      </c>
      <c r="AL14" s="239" t="e">
        <f t="shared" si="7"/>
        <v>#N/A</v>
      </c>
      <c r="AM14" s="278" t="e">
        <f t="shared" si="40"/>
        <v>#N/A</v>
      </c>
      <c r="AN14" s="279" t="e">
        <f t="shared" si="8"/>
        <v>#N/A</v>
      </c>
      <c r="AO14" s="240" t="e">
        <f t="shared" si="9"/>
        <v>#N/A</v>
      </c>
      <c r="AP14" s="297">
        <f t="shared" si="41"/>
        <v>7</v>
      </c>
      <c r="AQ14" s="298" t="e">
        <f t="shared" si="10"/>
        <v>#N/A</v>
      </c>
      <c r="AR14" s="279" t="e">
        <f t="shared" si="42"/>
        <v>#N/A</v>
      </c>
      <c r="AS14" s="283" t="e">
        <f t="shared" si="11"/>
        <v>#N/A</v>
      </c>
      <c r="AT14" s="284">
        <f t="shared" si="43"/>
        <v>7</v>
      </c>
      <c r="AU14" s="285" t="e">
        <f t="shared" si="44"/>
        <v>#N/A</v>
      </c>
      <c r="AV14" s="286" t="e">
        <f t="shared" si="45"/>
        <v>#N/A</v>
      </c>
      <c r="AW14" s="287" t="e">
        <f t="shared" si="12"/>
        <v>#N/A</v>
      </c>
      <c r="AX14" s="245">
        <f t="shared" si="46"/>
        <v>7</v>
      </c>
      <c r="AY14" s="286" t="e">
        <f t="shared" si="13"/>
        <v>#N/A</v>
      </c>
      <c r="AZ14" s="245" t="e">
        <f t="shared" si="47"/>
        <v>#N/A</v>
      </c>
      <c r="BA14" s="245" t="e">
        <f t="shared" si="14"/>
        <v>#N/A</v>
      </c>
      <c r="BB14" s="288">
        <f t="shared" si="48"/>
        <v>7</v>
      </c>
      <c r="BC14" s="289" t="e">
        <f t="shared" si="49"/>
        <v>#N/A</v>
      </c>
      <c r="BD14" s="290" t="e">
        <f t="shared" si="50"/>
        <v>#N/A</v>
      </c>
      <c r="BE14" s="263" t="e">
        <f t="shared" si="15"/>
        <v>#N/A</v>
      </c>
      <c r="BF14" s="260">
        <f t="shared" si="51"/>
        <v>7</v>
      </c>
      <c r="BG14" s="289" t="e">
        <f t="shared" si="52"/>
        <v>#N/A</v>
      </c>
      <c r="BH14" s="290" t="e">
        <f t="shared" si="53"/>
        <v>#N/A</v>
      </c>
      <c r="BI14" s="263" t="e">
        <f t="shared" si="16"/>
        <v>#N/A</v>
      </c>
      <c r="BJ14" s="264">
        <f t="shared" si="54"/>
        <v>7</v>
      </c>
      <c r="BK14" s="291" t="e">
        <f t="shared" si="55"/>
        <v>#N/A</v>
      </c>
      <c r="BL14" s="291" t="e">
        <f t="shared" si="56"/>
        <v>#N/A</v>
      </c>
      <c r="BM14" s="292" t="e">
        <f t="shared" si="17"/>
        <v>#N/A</v>
      </c>
      <c r="BN14" s="293">
        <f t="shared" si="57"/>
        <v>7</v>
      </c>
      <c r="BO14" s="294" t="e">
        <f t="shared" si="58"/>
        <v>#N/A</v>
      </c>
      <c r="BP14" s="294" t="e">
        <f t="shared" si="59"/>
        <v>#N/A</v>
      </c>
      <c r="BQ14" s="292" t="e">
        <f t="shared" si="18"/>
        <v>#N/A</v>
      </c>
      <c r="BR14" s="295" t="e">
        <f t="shared" si="19"/>
        <v>#N/A</v>
      </c>
      <c r="BS14" s="230" t="e">
        <f>VLOOKUP($B14,SDR22_STOCK_BY_LA!$A$2:$C$11679,3,0)</f>
        <v>#N/A</v>
      </c>
      <c r="BT14" s="230" t="str">
        <f t="shared" si="60"/>
        <v/>
      </c>
    </row>
    <row r="15" spans="1:72" ht="12.5" x14ac:dyDescent="0.25">
      <c r="A15" s="269" t="str">
        <f t="shared" si="61"/>
        <v/>
      </c>
      <c r="B15" s="230" t="str">
        <f t="shared" si="62"/>
        <v/>
      </c>
      <c r="C15" s="270" t="str">
        <f t="shared" si="20"/>
        <v/>
      </c>
      <c r="D15" s="269" t="str">
        <f>IF(B15="","",IF(totals!$Q$3=0,IFERROR(IF(AD15=2,"0",AE15),""),"-"))</f>
        <v/>
      </c>
      <c r="E15" s="271" t="str">
        <f t="shared" si="21"/>
        <v/>
      </c>
      <c r="F15" s="272" t="str">
        <f t="shared" si="22"/>
        <v/>
      </c>
      <c r="G15" s="272" t="str">
        <f t="shared" si="23"/>
        <v/>
      </c>
      <c r="H15" s="269" t="str">
        <f t="shared" si="1"/>
        <v/>
      </c>
      <c r="I15" s="272" t="str">
        <f t="shared" si="24"/>
        <v/>
      </c>
      <c r="J15" s="272" t="str">
        <f t="shared" si="25"/>
        <v/>
      </c>
      <c r="K15" s="269" t="str">
        <f t="shared" si="2"/>
        <v/>
      </c>
      <c r="L15" s="272" t="str">
        <f t="shared" si="3"/>
        <v/>
      </c>
      <c r="M15" s="272" t="str">
        <f t="shared" si="26"/>
        <v/>
      </c>
      <c r="N15" s="269" t="str">
        <f t="shared" si="27"/>
        <v/>
      </c>
      <c r="O15" s="272" t="str">
        <f t="shared" si="28"/>
        <v/>
      </c>
      <c r="P15" s="272" t="str">
        <f t="shared" si="29"/>
        <v/>
      </c>
      <c r="Q15" s="269" t="str">
        <f t="shared" si="30"/>
        <v/>
      </c>
      <c r="R15" s="272" t="str">
        <f t="shared" si="31"/>
        <v/>
      </c>
      <c r="S15" s="272" t="str">
        <f t="shared" si="32"/>
        <v/>
      </c>
      <c r="T15" s="269" t="str">
        <f t="shared" si="33"/>
        <v/>
      </c>
      <c r="U15" s="230"/>
      <c r="V15" s="230"/>
      <c r="AB15" s="270" t="e">
        <f>VLOOKUP($B$6,Lookup_Source,8,0)</f>
        <v>#N/A</v>
      </c>
      <c r="AC15" s="254" t="str">
        <f t="shared" si="34"/>
        <v/>
      </c>
      <c r="AD15" s="255">
        <f t="shared" si="35"/>
        <v>7</v>
      </c>
      <c r="AE15" s="274" t="e">
        <f t="shared" si="4"/>
        <v>#N/A</v>
      </c>
      <c r="AF15" s="277" t="e">
        <f t="shared" si="36"/>
        <v>#N/A</v>
      </c>
      <c r="AG15" s="277" t="e">
        <f t="shared" si="37"/>
        <v>#N/A</v>
      </c>
      <c r="AH15" s="276" t="e">
        <f t="shared" si="5"/>
        <v>#N/A</v>
      </c>
      <c r="AI15" s="239">
        <f t="shared" si="38"/>
        <v>7</v>
      </c>
      <c r="AJ15" s="277" t="e">
        <f t="shared" si="6"/>
        <v>#N/A</v>
      </c>
      <c r="AK15" s="277" t="e">
        <f t="shared" si="39"/>
        <v>#N/A</v>
      </c>
      <c r="AL15" s="239" t="e">
        <f t="shared" si="7"/>
        <v>#N/A</v>
      </c>
      <c r="AM15" s="278" t="e">
        <f t="shared" si="40"/>
        <v>#N/A</v>
      </c>
      <c r="AN15" s="279" t="e">
        <f t="shared" si="8"/>
        <v>#N/A</v>
      </c>
      <c r="AO15" s="240" t="e">
        <f t="shared" si="9"/>
        <v>#N/A</v>
      </c>
      <c r="AP15" s="297">
        <f t="shared" si="41"/>
        <v>7</v>
      </c>
      <c r="AQ15" s="298" t="e">
        <f t="shared" si="10"/>
        <v>#N/A</v>
      </c>
      <c r="AR15" s="279" t="e">
        <f t="shared" si="42"/>
        <v>#N/A</v>
      </c>
      <c r="AS15" s="283" t="e">
        <f t="shared" si="11"/>
        <v>#N/A</v>
      </c>
      <c r="AT15" s="284">
        <f t="shared" si="43"/>
        <v>7</v>
      </c>
      <c r="AU15" s="285" t="e">
        <f t="shared" si="44"/>
        <v>#N/A</v>
      </c>
      <c r="AV15" s="286" t="e">
        <f t="shared" si="45"/>
        <v>#N/A</v>
      </c>
      <c r="AW15" s="287" t="e">
        <f t="shared" si="12"/>
        <v>#N/A</v>
      </c>
      <c r="AX15" s="245">
        <f t="shared" si="46"/>
        <v>7</v>
      </c>
      <c r="AY15" s="286" t="e">
        <f t="shared" si="13"/>
        <v>#N/A</v>
      </c>
      <c r="AZ15" s="245" t="e">
        <f t="shared" si="47"/>
        <v>#N/A</v>
      </c>
      <c r="BA15" s="245" t="e">
        <f t="shared" si="14"/>
        <v>#N/A</v>
      </c>
      <c r="BB15" s="288">
        <f t="shared" si="48"/>
        <v>7</v>
      </c>
      <c r="BC15" s="289" t="e">
        <f t="shared" si="49"/>
        <v>#N/A</v>
      </c>
      <c r="BD15" s="290" t="e">
        <f t="shared" si="50"/>
        <v>#N/A</v>
      </c>
      <c r="BE15" s="263" t="e">
        <f t="shared" si="15"/>
        <v>#N/A</v>
      </c>
      <c r="BF15" s="260">
        <f t="shared" si="51"/>
        <v>7</v>
      </c>
      <c r="BG15" s="289" t="e">
        <f t="shared" si="52"/>
        <v>#N/A</v>
      </c>
      <c r="BH15" s="290" t="e">
        <f t="shared" si="53"/>
        <v>#N/A</v>
      </c>
      <c r="BI15" s="263" t="e">
        <f t="shared" si="16"/>
        <v>#N/A</v>
      </c>
      <c r="BJ15" s="264">
        <f t="shared" si="54"/>
        <v>7</v>
      </c>
      <c r="BK15" s="291" t="e">
        <f t="shared" si="55"/>
        <v>#N/A</v>
      </c>
      <c r="BL15" s="291" t="e">
        <f t="shared" si="56"/>
        <v>#N/A</v>
      </c>
      <c r="BM15" s="292" t="e">
        <f t="shared" si="17"/>
        <v>#N/A</v>
      </c>
      <c r="BN15" s="293">
        <f t="shared" si="57"/>
        <v>7</v>
      </c>
      <c r="BO15" s="294" t="e">
        <f t="shared" si="58"/>
        <v>#N/A</v>
      </c>
      <c r="BP15" s="294" t="e">
        <f t="shared" si="59"/>
        <v>#N/A</v>
      </c>
      <c r="BQ15" s="292" t="e">
        <f t="shared" si="18"/>
        <v>#N/A</v>
      </c>
      <c r="BR15" s="295" t="e">
        <f t="shared" si="19"/>
        <v>#N/A</v>
      </c>
      <c r="BS15" s="230" t="e">
        <f>VLOOKUP($B15,SDR22_STOCK_BY_LA!$A$2:$C$11679,3,0)</f>
        <v>#N/A</v>
      </c>
      <c r="BT15" s="230" t="str">
        <f t="shared" si="60"/>
        <v/>
      </c>
    </row>
    <row r="16" spans="1:72" ht="12.5" x14ac:dyDescent="0.25">
      <c r="A16" s="230" t="str">
        <f t="shared" si="61"/>
        <v/>
      </c>
      <c r="B16" s="230" t="str">
        <f t="shared" si="62"/>
        <v/>
      </c>
      <c r="C16" s="296" t="str">
        <f t="shared" si="20"/>
        <v/>
      </c>
      <c r="D16" s="269" t="str">
        <f>IF(B16="","",IF(totals!$Q$3=0,IFERROR(IF(AD16=2,"0",AE16),""),"-"))</f>
        <v/>
      </c>
      <c r="E16" s="271" t="str">
        <f t="shared" si="21"/>
        <v/>
      </c>
      <c r="F16" s="272" t="str">
        <f t="shared" si="22"/>
        <v/>
      </c>
      <c r="G16" s="272" t="str">
        <f t="shared" si="23"/>
        <v/>
      </c>
      <c r="H16" s="269" t="str">
        <f t="shared" si="1"/>
        <v/>
      </c>
      <c r="I16" s="272" t="str">
        <f t="shared" si="24"/>
        <v/>
      </c>
      <c r="J16" s="272" t="str">
        <f t="shared" si="25"/>
        <v/>
      </c>
      <c r="K16" s="269" t="str">
        <f t="shared" si="2"/>
        <v/>
      </c>
      <c r="L16" s="272" t="str">
        <f t="shared" si="3"/>
        <v/>
      </c>
      <c r="M16" s="272" t="str">
        <f t="shared" si="26"/>
        <v/>
      </c>
      <c r="N16" s="269" t="str">
        <f t="shared" si="27"/>
        <v/>
      </c>
      <c r="O16" s="272" t="str">
        <f t="shared" si="28"/>
        <v/>
      </c>
      <c r="P16" s="272" t="str">
        <f t="shared" si="29"/>
        <v/>
      </c>
      <c r="Q16" s="269" t="str">
        <f t="shared" si="30"/>
        <v/>
      </c>
      <c r="R16" s="272" t="str">
        <f t="shared" si="31"/>
        <v/>
      </c>
      <c r="S16" s="272" t="str">
        <f t="shared" si="32"/>
        <v/>
      </c>
      <c r="T16" s="269" t="str">
        <f t="shared" si="33"/>
        <v/>
      </c>
      <c r="U16" s="230"/>
      <c r="V16" s="230"/>
      <c r="AB16" s="230" t="e">
        <f>VLOOKUP($B$6,Lookup_Source,9,0)</f>
        <v>#N/A</v>
      </c>
      <c r="AC16" s="254" t="str">
        <f t="shared" si="34"/>
        <v/>
      </c>
      <c r="AD16" s="255">
        <f t="shared" si="35"/>
        <v>7</v>
      </c>
      <c r="AE16" s="274" t="e">
        <f t="shared" si="4"/>
        <v>#N/A</v>
      </c>
      <c r="AF16" s="277" t="e">
        <f t="shared" si="36"/>
        <v>#N/A</v>
      </c>
      <c r="AG16" s="277" t="e">
        <f t="shared" si="37"/>
        <v>#N/A</v>
      </c>
      <c r="AH16" s="276" t="e">
        <f t="shared" si="5"/>
        <v>#N/A</v>
      </c>
      <c r="AI16" s="239">
        <f t="shared" si="38"/>
        <v>7</v>
      </c>
      <c r="AJ16" s="277" t="e">
        <f t="shared" si="6"/>
        <v>#N/A</v>
      </c>
      <c r="AK16" s="277" t="e">
        <f t="shared" si="39"/>
        <v>#N/A</v>
      </c>
      <c r="AL16" s="239" t="e">
        <f t="shared" si="7"/>
        <v>#N/A</v>
      </c>
      <c r="AM16" s="278" t="e">
        <f t="shared" si="40"/>
        <v>#N/A</v>
      </c>
      <c r="AN16" s="279" t="e">
        <f t="shared" si="8"/>
        <v>#N/A</v>
      </c>
      <c r="AO16" s="240" t="e">
        <f t="shared" si="9"/>
        <v>#N/A</v>
      </c>
      <c r="AP16" s="297">
        <f t="shared" si="41"/>
        <v>7</v>
      </c>
      <c r="AQ16" s="298" t="e">
        <f t="shared" si="10"/>
        <v>#N/A</v>
      </c>
      <c r="AR16" s="279" t="e">
        <f t="shared" si="42"/>
        <v>#N/A</v>
      </c>
      <c r="AS16" s="283" t="e">
        <f t="shared" si="11"/>
        <v>#N/A</v>
      </c>
      <c r="AT16" s="284">
        <f t="shared" si="43"/>
        <v>7</v>
      </c>
      <c r="AU16" s="285" t="e">
        <f t="shared" si="44"/>
        <v>#N/A</v>
      </c>
      <c r="AV16" s="286" t="e">
        <f t="shared" si="45"/>
        <v>#N/A</v>
      </c>
      <c r="AW16" s="287" t="e">
        <f t="shared" si="12"/>
        <v>#N/A</v>
      </c>
      <c r="AX16" s="245">
        <f t="shared" si="46"/>
        <v>7</v>
      </c>
      <c r="AY16" s="286" t="e">
        <f t="shared" si="13"/>
        <v>#N/A</v>
      </c>
      <c r="AZ16" s="245" t="e">
        <f t="shared" si="47"/>
        <v>#N/A</v>
      </c>
      <c r="BA16" s="245" t="e">
        <f t="shared" si="14"/>
        <v>#N/A</v>
      </c>
      <c r="BB16" s="288">
        <f t="shared" si="48"/>
        <v>7</v>
      </c>
      <c r="BC16" s="289" t="e">
        <f t="shared" si="49"/>
        <v>#N/A</v>
      </c>
      <c r="BD16" s="290" t="e">
        <f t="shared" si="50"/>
        <v>#N/A</v>
      </c>
      <c r="BE16" s="263" t="e">
        <f t="shared" si="15"/>
        <v>#N/A</v>
      </c>
      <c r="BF16" s="260">
        <f t="shared" si="51"/>
        <v>7</v>
      </c>
      <c r="BG16" s="289" t="e">
        <f t="shared" si="52"/>
        <v>#N/A</v>
      </c>
      <c r="BH16" s="290" t="e">
        <f t="shared" si="53"/>
        <v>#N/A</v>
      </c>
      <c r="BI16" s="263" t="e">
        <f t="shared" si="16"/>
        <v>#N/A</v>
      </c>
      <c r="BJ16" s="264">
        <f t="shared" si="54"/>
        <v>7</v>
      </c>
      <c r="BK16" s="291" t="e">
        <f t="shared" si="55"/>
        <v>#N/A</v>
      </c>
      <c r="BL16" s="291" t="e">
        <f t="shared" si="56"/>
        <v>#N/A</v>
      </c>
      <c r="BM16" s="292" t="e">
        <f t="shared" si="17"/>
        <v>#N/A</v>
      </c>
      <c r="BN16" s="293">
        <f t="shared" si="57"/>
        <v>7</v>
      </c>
      <c r="BO16" s="294" t="e">
        <f t="shared" si="58"/>
        <v>#N/A</v>
      </c>
      <c r="BP16" s="294" t="e">
        <f t="shared" si="59"/>
        <v>#N/A</v>
      </c>
      <c r="BQ16" s="292" t="e">
        <f t="shared" si="18"/>
        <v>#N/A</v>
      </c>
      <c r="BR16" s="295" t="e">
        <f t="shared" si="19"/>
        <v>#N/A</v>
      </c>
      <c r="BS16" s="230" t="e">
        <f>VLOOKUP($B16,SDR22_STOCK_BY_LA!$A$2:$C$11679,3,0)</f>
        <v>#N/A</v>
      </c>
      <c r="BT16" s="230" t="str">
        <f t="shared" si="60"/>
        <v/>
      </c>
    </row>
    <row r="17" spans="1:72" ht="12.5" x14ac:dyDescent="0.25">
      <c r="A17" s="269" t="str">
        <f t="shared" si="61"/>
        <v/>
      </c>
      <c r="B17" s="230" t="str">
        <f t="shared" si="62"/>
        <v/>
      </c>
      <c r="C17" s="270" t="str">
        <f t="shared" si="20"/>
        <v/>
      </c>
      <c r="D17" s="269" t="str">
        <f>IF(B17="","",IF(totals!$Q$3=0,IFERROR(IF(AD17=2,"0",AE17),""),"-"))</f>
        <v/>
      </c>
      <c r="E17" s="271" t="str">
        <f t="shared" si="21"/>
        <v/>
      </c>
      <c r="F17" s="272" t="str">
        <f t="shared" si="22"/>
        <v/>
      </c>
      <c r="G17" s="272" t="str">
        <f t="shared" si="23"/>
        <v/>
      </c>
      <c r="H17" s="269" t="str">
        <f t="shared" si="1"/>
        <v/>
      </c>
      <c r="I17" s="272" t="str">
        <f t="shared" si="24"/>
        <v/>
      </c>
      <c r="J17" s="272" t="str">
        <f t="shared" si="25"/>
        <v/>
      </c>
      <c r="K17" s="269" t="str">
        <f t="shared" si="2"/>
        <v/>
      </c>
      <c r="L17" s="272" t="str">
        <f t="shared" si="3"/>
        <v/>
      </c>
      <c r="M17" s="272" t="str">
        <f t="shared" si="26"/>
        <v/>
      </c>
      <c r="N17" s="269" t="str">
        <f t="shared" si="27"/>
        <v/>
      </c>
      <c r="O17" s="272" t="str">
        <f t="shared" si="28"/>
        <v/>
      </c>
      <c r="P17" s="272" t="str">
        <f t="shared" si="29"/>
        <v/>
      </c>
      <c r="Q17" s="269" t="str">
        <f t="shared" si="30"/>
        <v/>
      </c>
      <c r="R17" s="272" t="str">
        <f t="shared" si="31"/>
        <v/>
      </c>
      <c r="S17" s="272" t="str">
        <f t="shared" si="32"/>
        <v/>
      </c>
      <c r="T17" s="269" t="str">
        <f t="shared" si="33"/>
        <v/>
      </c>
      <c r="U17" s="230"/>
      <c r="V17" s="230"/>
      <c r="AB17" s="270" t="e">
        <f>VLOOKUP($B$6,Lookup_Source,10,0)</f>
        <v>#N/A</v>
      </c>
      <c r="AC17" s="254" t="str">
        <f t="shared" si="34"/>
        <v/>
      </c>
      <c r="AD17" s="255">
        <f t="shared" si="35"/>
        <v>7</v>
      </c>
      <c r="AE17" s="274" t="e">
        <f t="shared" si="4"/>
        <v>#N/A</v>
      </c>
      <c r="AF17" s="277" t="e">
        <f t="shared" si="36"/>
        <v>#N/A</v>
      </c>
      <c r="AG17" s="277" t="e">
        <f t="shared" si="37"/>
        <v>#N/A</v>
      </c>
      <c r="AH17" s="276" t="e">
        <f t="shared" si="5"/>
        <v>#N/A</v>
      </c>
      <c r="AI17" s="239">
        <f t="shared" si="38"/>
        <v>7</v>
      </c>
      <c r="AJ17" s="277" t="e">
        <f t="shared" si="6"/>
        <v>#N/A</v>
      </c>
      <c r="AK17" s="277" t="e">
        <f t="shared" si="39"/>
        <v>#N/A</v>
      </c>
      <c r="AL17" s="239" t="e">
        <f t="shared" si="7"/>
        <v>#N/A</v>
      </c>
      <c r="AM17" s="278" t="e">
        <f t="shared" si="40"/>
        <v>#N/A</v>
      </c>
      <c r="AN17" s="279" t="e">
        <f t="shared" si="8"/>
        <v>#N/A</v>
      </c>
      <c r="AO17" s="240" t="e">
        <f t="shared" si="9"/>
        <v>#N/A</v>
      </c>
      <c r="AP17" s="297">
        <f t="shared" si="41"/>
        <v>7</v>
      </c>
      <c r="AQ17" s="298" t="e">
        <f t="shared" si="10"/>
        <v>#N/A</v>
      </c>
      <c r="AR17" s="279" t="e">
        <f t="shared" si="42"/>
        <v>#N/A</v>
      </c>
      <c r="AS17" s="283" t="e">
        <f t="shared" si="11"/>
        <v>#N/A</v>
      </c>
      <c r="AT17" s="284">
        <f t="shared" si="43"/>
        <v>7</v>
      </c>
      <c r="AU17" s="285" t="e">
        <f t="shared" si="44"/>
        <v>#N/A</v>
      </c>
      <c r="AV17" s="286" t="e">
        <f t="shared" si="45"/>
        <v>#N/A</v>
      </c>
      <c r="AW17" s="287" t="e">
        <f t="shared" si="12"/>
        <v>#N/A</v>
      </c>
      <c r="AX17" s="245">
        <f t="shared" si="46"/>
        <v>7</v>
      </c>
      <c r="AY17" s="286" t="e">
        <f t="shared" si="13"/>
        <v>#N/A</v>
      </c>
      <c r="AZ17" s="245" t="e">
        <f t="shared" si="47"/>
        <v>#N/A</v>
      </c>
      <c r="BA17" s="245" t="e">
        <f t="shared" si="14"/>
        <v>#N/A</v>
      </c>
      <c r="BB17" s="288">
        <f t="shared" si="48"/>
        <v>7</v>
      </c>
      <c r="BC17" s="289" t="e">
        <f t="shared" si="49"/>
        <v>#N/A</v>
      </c>
      <c r="BD17" s="290" t="e">
        <f t="shared" si="50"/>
        <v>#N/A</v>
      </c>
      <c r="BE17" s="263" t="e">
        <f t="shared" si="15"/>
        <v>#N/A</v>
      </c>
      <c r="BF17" s="260">
        <f t="shared" si="51"/>
        <v>7</v>
      </c>
      <c r="BG17" s="289" t="e">
        <f t="shared" si="52"/>
        <v>#N/A</v>
      </c>
      <c r="BH17" s="290" t="e">
        <f t="shared" si="53"/>
        <v>#N/A</v>
      </c>
      <c r="BI17" s="263" t="e">
        <f t="shared" si="16"/>
        <v>#N/A</v>
      </c>
      <c r="BJ17" s="264">
        <f t="shared" si="54"/>
        <v>7</v>
      </c>
      <c r="BK17" s="291" t="e">
        <f t="shared" si="55"/>
        <v>#N/A</v>
      </c>
      <c r="BL17" s="291" t="e">
        <f t="shared" si="56"/>
        <v>#N/A</v>
      </c>
      <c r="BM17" s="292" t="e">
        <f t="shared" si="17"/>
        <v>#N/A</v>
      </c>
      <c r="BN17" s="293">
        <f t="shared" si="57"/>
        <v>7</v>
      </c>
      <c r="BO17" s="294" t="e">
        <f t="shared" si="58"/>
        <v>#N/A</v>
      </c>
      <c r="BP17" s="294" t="e">
        <f t="shared" si="59"/>
        <v>#N/A</v>
      </c>
      <c r="BQ17" s="292" t="e">
        <f t="shared" si="18"/>
        <v>#N/A</v>
      </c>
      <c r="BR17" s="295" t="e">
        <f t="shared" si="19"/>
        <v>#N/A</v>
      </c>
      <c r="BS17" s="230" t="e">
        <f>VLOOKUP($B17,SDR22_STOCK_BY_LA!$A$2:$C$11679,3,0)</f>
        <v>#N/A</v>
      </c>
      <c r="BT17" s="230" t="str">
        <f t="shared" si="60"/>
        <v/>
      </c>
    </row>
    <row r="18" spans="1:72" ht="12.5" x14ac:dyDescent="0.25">
      <c r="A18" s="230" t="str">
        <f t="shared" si="61"/>
        <v/>
      </c>
      <c r="B18" s="230" t="str">
        <f t="shared" si="62"/>
        <v/>
      </c>
      <c r="C18" s="296" t="str">
        <f t="shared" si="20"/>
        <v/>
      </c>
      <c r="D18" s="269" t="str">
        <f>IF(B18="","",IF(totals!$Q$3=0,IFERROR(IF(AD18=2,"0",AE18),""),"-"))</f>
        <v/>
      </c>
      <c r="E18" s="271" t="str">
        <f t="shared" si="21"/>
        <v/>
      </c>
      <c r="F18" s="272" t="str">
        <f t="shared" si="22"/>
        <v/>
      </c>
      <c r="G18" s="272" t="str">
        <f t="shared" si="23"/>
        <v/>
      </c>
      <c r="H18" s="269" t="str">
        <f t="shared" si="1"/>
        <v/>
      </c>
      <c r="I18" s="272" t="str">
        <f t="shared" si="24"/>
        <v/>
      </c>
      <c r="J18" s="272" t="str">
        <f t="shared" si="25"/>
        <v/>
      </c>
      <c r="K18" s="269" t="str">
        <f t="shared" si="2"/>
        <v/>
      </c>
      <c r="L18" s="272" t="str">
        <f t="shared" si="3"/>
        <v/>
      </c>
      <c r="M18" s="272" t="str">
        <f t="shared" si="26"/>
        <v/>
      </c>
      <c r="N18" s="269" t="str">
        <f t="shared" si="27"/>
        <v/>
      </c>
      <c r="O18" s="272" t="str">
        <f t="shared" si="28"/>
        <v/>
      </c>
      <c r="P18" s="272" t="str">
        <f t="shared" si="29"/>
        <v/>
      </c>
      <c r="Q18" s="269" t="str">
        <f t="shared" si="30"/>
        <v/>
      </c>
      <c r="R18" s="272" t="str">
        <f t="shared" si="31"/>
        <v/>
      </c>
      <c r="S18" s="272" t="str">
        <f t="shared" si="32"/>
        <v/>
      </c>
      <c r="T18" s="269" t="str">
        <f t="shared" si="33"/>
        <v/>
      </c>
      <c r="U18" s="230"/>
      <c r="V18" s="230"/>
      <c r="AB18" s="230" t="e">
        <f>VLOOKUP($B$6,Lookup_Source,11,0)</f>
        <v>#N/A</v>
      </c>
      <c r="AC18" s="254" t="str">
        <f t="shared" si="34"/>
        <v/>
      </c>
      <c r="AD18" s="255">
        <f t="shared" si="35"/>
        <v>7</v>
      </c>
      <c r="AE18" s="274" t="e">
        <f t="shared" si="4"/>
        <v>#N/A</v>
      </c>
      <c r="AF18" s="277" t="e">
        <f t="shared" si="36"/>
        <v>#N/A</v>
      </c>
      <c r="AG18" s="277" t="e">
        <f t="shared" si="37"/>
        <v>#N/A</v>
      </c>
      <c r="AH18" s="276" t="e">
        <f t="shared" si="5"/>
        <v>#N/A</v>
      </c>
      <c r="AI18" s="239">
        <f t="shared" si="38"/>
        <v>7</v>
      </c>
      <c r="AJ18" s="277" t="e">
        <f t="shared" si="6"/>
        <v>#N/A</v>
      </c>
      <c r="AK18" s="277" t="e">
        <f t="shared" si="39"/>
        <v>#N/A</v>
      </c>
      <c r="AL18" s="239" t="e">
        <f t="shared" si="7"/>
        <v>#N/A</v>
      </c>
      <c r="AM18" s="278" t="e">
        <f t="shared" si="40"/>
        <v>#N/A</v>
      </c>
      <c r="AN18" s="279" t="e">
        <f t="shared" si="8"/>
        <v>#N/A</v>
      </c>
      <c r="AO18" s="240" t="e">
        <f t="shared" si="9"/>
        <v>#N/A</v>
      </c>
      <c r="AP18" s="297">
        <f t="shared" si="41"/>
        <v>7</v>
      </c>
      <c r="AQ18" s="298" t="e">
        <f t="shared" si="10"/>
        <v>#N/A</v>
      </c>
      <c r="AR18" s="279" t="e">
        <f t="shared" si="42"/>
        <v>#N/A</v>
      </c>
      <c r="AS18" s="283" t="e">
        <f t="shared" si="11"/>
        <v>#N/A</v>
      </c>
      <c r="AT18" s="284">
        <f t="shared" si="43"/>
        <v>7</v>
      </c>
      <c r="AU18" s="285" t="e">
        <f t="shared" si="44"/>
        <v>#N/A</v>
      </c>
      <c r="AV18" s="286" t="e">
        <f t="shared" si="45"/>
        <v>#N/A</v>
      </c>
      <c r="AW18" s="287" t="e">
        <f t="shared" si="12"/>
        <v>#N/A</v>
      </c>
      <c r="AX18" s="245">
        <f t="shared" si="46"/>
        <v>7</v>
      </c>
      <c r="AY18" s="286" t="e">
        <f t="shared" si="13"/>
        <v>#N/A</v>
      </c>
      <c r="AZ18" s="245" t="e">
        <f t="shared" si="47"/>
        <v>#N/A</v>
      </c>
      <c r="BA18" s="245" t="e">
        <f t="shared" si="14"/>
        <v>#N/A</v>
      </c>
      <c r="BB18" s="288">
        <f t="shared" si="48"/>
        <v>7</v>
      </c>
      <c r="BC18" s="289" t="e">
        <f t="shared" si="49"/>
        <v>#N/A</v>
      </c>
      <c r="BD18" s="290" t="e">
        <f t="shared" si="50"/>
        <v>#N/A</v>
      </c>
      <c r="BE18" s="263" t="e">
        <f t="shared" si="15"/>
        <v>#N/A</v>
      </c>
      <c r="BF18" s="260">
        <f t="shared" si="51"/>
        <v>7</v>
      </c>
      <c r="BG18" s="289" t="e">
        <f t="shared" si="52"/>
        <v>#N/A</v>
      </c>
      <c r="BH18" s="290" t="e">
        <f t="shared" si="53"/>
        <v>#N/A</v>
      </c>
      <c r="BI18" s="263" t="e">
        <f t="shared" si="16"/>
        <v>#N/A</v>
      </c>
      <c r="BJ18" s="264">
        <f t="shared" si="54"/>
        <v>7</v>
      </c>
      <c r="BK18" s="291" t="e">
        <f t="shared" si="55"/>
        <v>#N/A</v>
      </c>
      <c r="BL18" s="291" t="e">
        <f t="shared" si="56"/>
        <v>#N/A</v>
      </c>
      <c r="BM18" s="292" t="e">
        <f t="shared" si="17"/>
        <v>#N/A</v>
      </c>
      <c r="BN18" s="293">
        <f t="shared" si="57"/>
        <v>7</v>
      </c>
      <c r="BO18" s="294" t="e">
        <f t="shared" si="58"/>
        <v>#N/A</v>
      </c>
      <c r="BP18" s="294" t="e">
        <f t="shared" si="59"/>
        <v>#N/A</v>
      </c>
      <c r="BQ18" s="292" t="e">
        <f t="shared" si="18"/>
        <v>#N/A</v>
      </c>
      <c r="BR18" s="295" t="e">
        <f t="shared" si="19"/>
        <v>#N/A</v>
      </c>
      <c r="BS18" s="230" t="e">
        <f>VLOOKUP($B18,SDR22_STOCK_BY_LA!$A$2:$C$11679,3,0)</f>
        <v>#N/A</v>
      </c>
      <c r="BT18" s="230" t="str">
        <f t="shared" si="60"/>
        <v/>
      </c>
    </row>
    <row r="19" spans="1:72" ht="12.5" x14ac:dyDescent="0.25">
      <c r="A19" s="269" t="str">
        <f t="shared" si="61"/>
        <v/>
      </c>
      <c r="B19" s="230" t="str">
        <f t="shared" si="62"/>
        <v/>
      </c>
      <c r="C19" s="270" t="str">
        <f t="shared" si="20"/>
        <v/>
      </c>
      <c r="D19" s="269" t="str">
        <f>IF(B19="","",IF(totals!$Q$3=0,IFERROR(IF(AD19=2,"0",AE19),""),"-"))</f>
        <v/>
      </c>
      <c r="E19" s="271" t="str">
        <f t="shared" si="21"/>
        <v/>
      </c>
      <c r="F19" s="272" t="str">
        <f t="shared" si="22"/>
        <v/>
      </c>
      <c r="G19" s="272" t="str">
        <f t="shared" si="23"/>
        <v/>
      </c>
      <c r="H19" s="269" t="str">
        <f t="shared" si="1"/>
        <v/>
      </c>
      <c r="I19" s="272" t="str">
        <f t="shared" si="24"/>
        <v/>
      </c>
      <c r="J19" s="272" t="str">
        <f t="shared" si="25"/>
        <v/>
      </c>
      <c r="K19" s="269" t="str">
        <f t="shared" si="2"/>
        <v/>
      </c>
      <c r="L19" s="272" t="str">
        <f t="shared" si="3"/>
        <v/>
      </c>
      <c r="M19" s="272" t="str">
        <f t="shared" si="26"/>
        <v/>
      </c>
      <c r="N19" s="269" t="str">
        <f t="shared" si="27"/>
        <v/>
      </c>
      <c r="O19" s="272" t="str">
        <f t="shared" si="28"/>
        <v/>
      </c>
      <c r="P19" s="272" t="str">
        <f t="shared" si="29"/>
        <v/>
      </c>
      <c r="Q19" s="269" t="str">
        <f t="shared" si="30"/>
        <v/>
      </c>
      <c r="R19" s="272" t="str">
        <f t="shared" si="31"/>
        <v/>
      </c>
      <c r="S19" s="272" t="str">
        <f t="shared" si="32"/>
        <v/>
      </c>
      <c r="T19" s="269" t="str">
        <f t="shared" si="33"/>
        <v/>
      </c>
      <c r="U19" s="230"/>
      <c r="V19" s="230"/>
      <c r="AB19" s="270" t="e">
        <f>VLOOKUP($B$6,Lookup_Source,12,0)</f>
        <v>#N/A</v>
      </c>
      <c r="AC19" s="254" t="str">
        <f t="shared" si="34"/>
        <v/>
      </c>
      <c r="AD19" s="255">
        <f t="shared" si="35"/>
        <v>7</v>
      </c>
      <c r="AE19" s="274" t="e">
        <f t="shared" si="4"/>
        <v>#N/A</v>
      </c>
      <c r="AF19" s="277" t="e">
        <f t="shared" si="36"/>
        <v>#N/A</v>
      </c>
      <c r="AG19" s="277" t="e">
        <f t="shared" si="37"/>
        <v>#N/A</v>
      </c>
      <c r="AH19" s="276" t="e">
        <f t="shared" si="5"/>
        <v>#N/A</v>
      </c>
      <c r="AI19" s="239">
        <f t="shared" si="38"/>
        <v>7</v>
      </c>
      <c r="AJ19" s="277" t="e">
        <f t="shared" si="6"/>
        <v>#N/A</v>
      </c>
      <c r="AK19" s="277" t="e">
        <f t="shared" si="39"/>
        <v>#N/A</v>
      </c>
      <c r="AL19" s="239" t="e">
        <f t="shared" si="7"/>
        <v>#N/A</v>
      </c>
      <c r="AM19" s="278" t="e">
        <f t="shared" si="40"/>
        <v>#N/A</v>
      </c>
      <c r="AN19" s="279" t="e">
        <f t="shared" si="8"/>
        <v>#N/A</v>
      </c>
      <c r="AO19" s="240" t="e">
        <f t="shared" si="9"/>
        <v>#N/A</v>
      </c>
      <c r="AP19" s="297">
        <f t="shared" si="41"/>
        <v>7</v>
      </c>
      <c r="AQ19" s="298" t="e">
        <f t="shared" si="10"/>
        <v>#N/A</v>
      </c>
      <c r="AR19" s="279" t="e">
        <f t="shared" si="42"/>
        <v>#N/A</v>
      </c>
      <c r="AS19" s="283" t="e">
        <f t="shared" si="11"/>
        <v>#N/A</v>
      </c>
      <c r="AT19" s="284">
        <f t="shared" si="43"/>
        <v>7</v>
      </c>
      <c r="AU19" s="285" t="e">
        <f t="shared" si="44"/>
        <v>#N/A</v>
      </c>
      <c r="AV19" s="286" t="e">
        <f t="shared" si="45"/>
        <v>#N/A</v>
      </c>
      <c r="AW19" s="287" t="e">
        <f t="shared" si="12"/>
        <v>#N/A</v>
      </c>
      <c r="AX19" s="245">
        <f t="shared" si="46"/>
        <v>7</v>
      </c>
      <c r="AY19" s="286" t="e">
        <f t="shared" si="13"/>
        <v>#N/A</v>
      </c>
      <c r="AZ19" s="245" t="e">
        <f t="shared" si="47"/>
        <v>#N/A</v>
      </c>
      <c r="BA19" s="245" t="e">
        <f t="shared" si="14"/>
        <v>#N/A</v>
      </c>
      <c r="BB19" s="288">
        <f t="shared" si="48"/>
        <v>7</v>
      </c>
      <c r="BC19" s="289" t="e">
        <f t="shared" si="49"/>
        <v>#N/A</v>
      </c>
      <c r="BD19" s="290" t="e">
        <f t="shared" si="50"/>
        <v>#N/A</v>
      </c>
      <c r="BE19" s="263" t="e">
        <f t="shared" si="15"/>
        <v>#N/A</v>
      </c>
      <c r="BF19" s="260">
        <f t="shared" si="51"/>
        <v>7</v>
      </c>
      <c r="BG19" s="289" t="e">
        <f t="shared" si="52"/>
        <v>#N/A</v>
      </c>
      <c r="BH19" s="290" t="e">
        <f t="shared" si="53"/>
        <v>#N/A</v>
      </c>
      <c r="BI19" s="263" t="e">
        <f t="shared" si="16"/>
        <v>#N/A</v>
      </c>
      <c r="BJ19" s="264">
        <f t="shared" si="54"/>
        <v>7</v>
      </c>
      <c r="BK19" s="291" t="e">
        <f t="shared" si="55"/>
        <v>#N/A</v>
      </c>
      <c r="BL19" s="291" t="e">
        <f t="shared" si="56"/>
        <v>#N/A</v>
      </c>
      <c r="BM19" s="292" t="e">
        <f t="shared" si="17"/>
        <v>#N/A</v>
      </c>
      <c r="BN19" s="293">
        <f t="shared" si="57"/>
        <v>7</v>
      </c>
      <c r="BO19" s="294" t="e">
        <f t="shared" si="58"/>
        <v>#N/A</v>
      </c>
      <c r="BP19" s="294" t="e">
        <f t="shared" si="59"/>
        <v>#N/A</v>
      </c>
      <c r="BQ19" s="292" t="e">
        <f t="shared" si="18"/>
        <v>#N/A</v>
      </c>
      <c r="BR19" s="295" t="e">
        <f t="shared" si="19"/>
        <v>#N/A</v>
      </c>
      <c r="BS19" s="230" t="e">
        <f>VLOOKUP($B19,SDR22_STOCK_BY_LA!$A$2:$C$11679,3,0)</f>
        <v>#N/A</v>
      </c>
      <c r="BT19" s="230" t="str">
        <f t="shared" si="60"/>
        <v/>
      </c>
    </row>
    <row r="20" spans="1:72" ht="12.5" x14ac:dyDescent="0.25">
      <c r="A20" s="230" t="str">
        <f t="shared" si="61"/>
        <v/>
      </c>
      <c r="B20" s="230" t="str">
        <f t="shared" si="62"/>
        <v/>
      </c>
      <c r="C20" s="296" t="str">
        <f t="shared" si="20"/>
        <v/>
      </c>
      <c r="D20" s="269" t="str">
        <f>IF(B20="","",IF(totals!$Q$3=0,IFERROR(IF(AD20=2,"0",AE20),""),"-"))</f>
        <v/>
      </c>
      <c r="E20" s="271" t="str">
        <f t="shared" si="21"/>
        <v/>
      </c>
      <c r="F20" s="272" t="str">
        <f t="shared" si="22"/>
        <v/>
      </c>
      <c r="G20" s="272" t="str">
        <f t="shared" si="23"/>
        <v/>
      </c>
      <c r="H20" s="269" t="str">
        <f t="shared" si="1"/>
        <v/>
      </c>
      <c r="I20" s="272" t="str">
        <f t="shared" si="24"/>
        <v/>
      </c>
      <c r="J20" s="272" t="str">
        <f t="shared" si="25"/>
        <v/>
      </c>
      <c r="K20" s="269" t="str">
        <f t="shared" si="2"/>
        <v/>
      </c>
      <c r="L20" s="272" t="str">
        <f t="shared" si="3"/>
        <v/>
      </c>
      <c r="M20" s="272" t="str">
        <f t="shared" si="26"/>
        <v/>
      </c>
      <c r="N20" s="269" t="str">
        <f t="shared" si="27"/>
        <v/>
      </c>
      <c r="O20" s="272" t="str">
        <f t="shared" si="28"/>
        <v/>
      </c>
      <c r="P20" s="272" t="str">
        <f t="shared" si="29"/>
        <v/>
      </c>
      <c r="Q20" s="269" t="str">
        <f t="shared" si="30"/>
        <v/>
      </c>
      <c r="R20" s="272" t="str">
        <f t="shared" si="31"/>
        <v/>
      </c>
      <c r="S20" s="272" t="str">
        <f t="shared" si="32"/>
        <v/>
      </c>
      <c r="T20" s="269" t="str">
        <f t="shared" si="33"/>
        <v/>
      </c>
      <c r="U20" s="230"/>
      <c r="V20" s="230"/>
      <c r="AB20" s="230" t="e">
        <f>VLOOKUP($B$6,Lookup_Source,13,0)</f>
        <v>#N/A</v>
      </c>
      <c r="AC20" s="254" t="str">
        <f t="shared" si="34"/>
        <v/>
      </c>
      <c r="AD20" s="255">
        <f t="shared" si="35"/>
        <v>7</v>
      </c>
      <c r="AE20" s="274" t="e">
        <f t="shared" si="4"/>
        <v>#N/A</v>
      </c>
      <c r="AF20" s="277" t="e">
        <f t="shared" si="36"/>
        <v>#N/A</v>
      </c>
      <c r="AG20" s="277" t="e">
        <f t="shared" si="37"/>
        <v>#N/A</v>
      </c>
      <c r="AH20" s="276" t="e">
        <f t="shared" si="5"/>
        <v>#N/A</v>
      </c>
      <c r="AI20" s="239">
        <f t="shared" si="38"/>
        <v>7</v>
      </c>
      <c r="AJ20" s="277" t="e">
        <f t="shared" si="6"/>
        <v>#N/A</v>
      </c>
      <c r="AK20" s="277" t="e">
        <f t="shared" si="39"/>
        <v>#N/A</v>
      </c>
      <c r="AL20" s="239" t="e">
        <f t="shared" si="7"/>
        <v>#N/A</v>
      </c>
      <c r="AM20" s="278" t="e">
        <f t="shared" si="40"/>
        <v>#N/A</v>
      </c>
      <c r="AN20" s="279" t="e">
        <f t="shared" si="8"/>
        <v>#N/A</v>
      </c>
      <c r="AO20" s="240" t="e">
        <f t="shared" si="9"/>
        <v>#N/A</v>
      </c>
      <c r="AP20" s="297">
        <f t="shared" si="41"/>
        <v>7</v>
      </c>
      <c r="AQ20" s="298" t="e">
        <f t="shared" si="10"/>
        <v>#N/A</v>
      </c>
      <c r="AR20" s="279" t="e">
        <f t="shared" si="42"/>
        <v>#N/A</v>
      </c>
      <c r="AS20" s="283" t="e">
        <f t="shared" si="11"/>
        <v>#N/A</v>
      </c>
      <c r="AT20" s="284">
        <f t="shared" si="43"/>
        <v>7</v>
      </c>
      <c r="AU20" s="285" t="e">
        <f t="shared" si="44"/>
        <v>#N/A</v>
      </c>
      <c r="AV20" s="286" t="e">
        <f t="shared" si="45"/>
        <v>#N/A</v>
      </c>
      <c r="AW20" s="287" t="e">
        <f t="shared" si="12"/>
        <v>#N/A</v>
      </c>
      <c r="AX20" s="245">
        <f t="shared" si="46"/>
        <v>7</v>
      </c>
      <c r="AY20" s="286" t="e">
        <f t="shared" si="13"/>
        <v>#N/A</v>
      </c>
      <c r="AZ20" s="245" t="e">
        <f t="shared" si="47"/>
        <v>#N/A</v>
      </c>
      <c r="BA20" s="245" t="e">
        <f t="shared" si="14"/>
        <v>#N/A</v>
      </c>
      <c r="BB20" s="288">
        <f t="shared" si="48"/>
        <v>7</v>
      </c>
      <c r="BC20" s="289" t="e">
        <f t="shared" si="49"/>
        <v>#N/A</v>
      </c>
      <c r="BD20" s="290" t="e">
        <f t="shared" si="50"/>
        <v>#N/A</v>
      </c>
      <c r="BE20" s="263" t="e">
        <f t="shared" si="15"/>
        <v>#N/A</v>
      </c>
      <c r="BF20" s="260">
        <f t="shared" si="51"/>
        <v>7</v>
      </c>
      <c r="BG20" s="289" t="e">
        <f t="shared" si="52"/>
        <v>#N/A</v>
      </c>
      <c r="BH20" s="290" t="e">
        <f t="shared" si="53"/>
        <v>#N/A</v>
      </c>
      <c r="BI20" s="263" t="e">
        <f t="shared" si="16"/>
        <v>#N/A</v>
      </c>
      <c r="BJ20" s="264">
        <f t="shared" si="54"/>
        <v>7</v>
      </c>
      <c r="BK20" s="291" t="e">
        <f t="shared" si="55"/>
        <v>#N/A</v>
      </c>
      <c r="BL20" s="291" t="e">
        <f t="shared" si="56"/>
        <v>#N/A</v>
      </c>
      <c r="BM20" s="292" t="e">
        <f t="shared" si="17"/>
        <v>#N/A</v>
      </c>
      <c r="BN20" s="293">
        <f t="shared" si="57"/>
        <v>7</v>
      </c>
      <c r="BO20" s="294" t="e">
        <f t="shared" si="58"/>
        <v>#N/A</v>
      </c>
      <c r="BP20" s="294" t="e">
        <f t="shared" si="59"/>
        <v>#N/A</v>
      </c>
      <c r="BQ20" s="292" t="e">
        <f t="shared" si="18"/>
        <v>#N/A</v>
      </c>
      <c r="BR20" s="295" t="e">
        <f t="shared" si="19"/>
        <v>#N/A</v>
      </c>
      <c r="BS20" s="230" t="e">
        <f>VLOOKUP($B20,SDR22_STOCK_BY_LA!$A$2:$C$11679,3,0)</f>
        <v>#N/A</v>
      </c>
      <c r="BT20" s="230" t="str">
        <f t="shared" si="60"/>
        <v/>
      </c>
    </row>
    <row r="21" spans="1:72" ht="12.5" x14ac:dyDescent="0.25">
      <c r="A21" s="269" t="str">
        <f t="shared" si="61"/>
        <v/>
      </c>
      <c r="B21" s="230" t="str">
        <f t="shared" si="62"/>
        <v/>
      </c>
      <c r="C21" s="270" t="str">
        <f t="shared" si="20"/>
        <v/>
      </c>
      <c r="D21" s="269" t="str">
        <f>IF(B21="","",IF(totals!$Q$3=0,IFERROR(IF(AD21=2,"0",AE21),""),"-"))</f>
        <v/>
      </c>
      <c r="E21" s="271" t="str">
        <f t="shared" si="21"/>
        <v/>
      </c>
      <c r="F21" s="272" t="str">
        <f t="shared" si="22"/>
        <v/>
      </c>
      <c r="G21" s="272" t="str">
        <f t="shared" si="23"/>
        <v/>
      </c>
      <c r="H21" s="269" t="str">
        <f t="shared" si="1"/>
        <v/>
      </c>
      <c r="I21" s="272" t="str">
        <f t="shared" si="24"/>
        <v/>
      </c>
      <c r="J21" s="272" t="str">
        <f t="shared" si="25"/>
        <v/>
      </c>
      <c r="K21" s="269" t="str">
        <f t="shared" si="2"/>
        <v/>
      </c>
      <c r="L21" s="272" t="str">
        <f t="shared" si="3"/>
        <v/>
      </c>
      <c r="M21" s="272" t="str">
        <f t="shared" si="26"/>
        <v/>
      </c>
      <c r="N21" s="269" t="str">
        <f t="shared" si="27"/>
        <v/>
      </c>
      <c r="O21" s="272" t="str">
        <f t="shared" si="28"/>
        <v/>
      </c>
      <c r="P21" s="272" t="str">
        <f t="shared" si="29"/>
        <v/>
      </c>
      <c r="Q21" s="269" t="str">
        <f t="shared" si="30"/>
        <v/>
      </c>
      <c r="R21" s="272" t="str">
        <f t="shared" si="31"/>
        <v/>
      </c>
      <c r="S21" s="272" t="str">
        <f t="shared" si="32"/>
        <v/>
      </c>
      <c r="T21" s="269" t="str">
        <f t="shared" si="33"/>
        <v/>
      </c>
      <c r="U21" s="230"/>
      <c r="V21" s="230"/>
      <c r="AB21" s="270" t="e">
        <f>VLOOKUP($B$6,Lookup_Source,14,0)</f>
        <v>#N/A</v>
      </c>
      <c r="AC21" s="254" t="str">
        <f t="shared" si="34"/>
        <v/>
      </c>
      <c r="AD21" s="255">
        <f t="shared" si="35"/>
        <v>7</v>
      </c>
      <c r="AE21" s="274" t="e">
        <f t="shared" si="4"/>
        <v>#N/A</v>
      </c>
      <c r="AF21" s="277" t="e">
        <f t="shared" si="36"/>
        <v>#N/A</v>
      </c>
      <c r="AG21" s="277" t="e">
        <f t="shared" si="37"/>
        <v>#N/A</v>
      </c>
      <c r="AH21" s="276" t="e">
        <f t="shared" si="5"/>
        <v>#N/A</v>
      </c>
      <c r="AI21" s="239">
        <f t="shared" si="38"/>
        <v>7</v>
      </c>
      <c r="AJ21" s="277" t="e">
        <f t="shared" si="6"/>
        <v>#N/A</v>
      </c>
      <c r="AK21" s="277" t="e">
        <f t="shared" si="39"/>
        <v>#N/A</v>
      </c>
      <c r="AL21" s="239" t="e">
        <f t="shared" si="7"/>
        <v>#N/A</v>
      </c>
      <c r="AM21" s="278" t="e">
        <f t="shared" si="40"/>
        <v>#N/A</v>
      </c>
      <c r="AN21" s="279" t="e">
        <f t="shared" si="8"/>
        <v>#N/A</v>
      </c>
      <c r="AO21" s="240" t="e">
        <f t="shared" si="9"/>
        <v>#N/A</v>
      </c>
      <c r="AP21" s="297">
        <f t="shared" si="41"/>
        <v>7</v>
      </c>
      <c r="AQ21" s="298" t="e">
        <f t="shared" si="10"/>
        <v>#N/A</v>
      </c>
      <c r="AR21" s="279" t="e">
        <f t="shared" si="42"/>
        <v>#N/A</v>
      </c>
      <c r="AS21" s="283" t="e">
        <f t="shared" si="11"/>
        <v>#N/A</v>
      </c>
      <c r="AT21" s="284">
        <f t="shared" si="43"/>
        <v>7</v>
      </c>
      <c r="AU21" s="285" t="e">
        <f t="shared" si="44"/>
        <v>#N/A</v>
      </c>
      <c r="AV21" s="286" t="e">
        <f t="shared" si="45"/>
        <v>#N/A</v>
      </c>
      <c r="AW21" s="287" t="e">
        <f t="shared" si="12"/>
        <v>#N/A</v>
      </c>
      <c r="AX21" s="245">
        <f t="shared" si="46"/>
        <v>7</v>
      </c>
      <c r="AY21" s="286" t="e">
        <f t="shared" si="13"/>
        <v>#N/A</v>
      </c>
      <c r="AZ21" s="245" t="e">
        <f t="shared" si="47"/>
        <v>#N/A</v>
      </c>
      <c r="BA21" s="245" t="e">
        <f t="shared" si="14"/>
        <v>#N/A</v>
      </c>
      <c r="BB21" s="288">
        <f t="shared" si="48"/>
        <v>7</v>
      </c>
      <c r="BC21" s="289" t="e">
        <f t="shared" si="49"/>
        <v>#N/A</v>
      </c>
      <c r="BD21" s="290" t="e">
        <f t="shared" si="50"/>
        <v>#N/A</v>
      </c>
      <c r="BE21" s="263" t="e">
        <f t="shared" si="15"/>
        <v>#N/A</v>
      </c>
      <c r="BF21" s="260">
        <f t="shared" si="51"/>
        <v>7</v>
      </c>
      <c r="BG21" s="289" t="e">
        <f t="shared" si="52"/>
        <v>#N/A</v>
      </c>
      <c r="BH21" s="290" t="e">
        <f t="shared" si="53"/>
        <v>#N/A</v>
      </c>
      <c r="BI21" s="263" t="e">
        <f t="shared" si="16"/>
        <v>#N/A</v>
      </c>
      <c r="BJ21" s="264">
        <f t="shared" si="54"/>
        <v>7</v>
      </c>
      <c r="BK21" s="291" t="e">
        <f t="shared" si="55"/>
        <v>#N/A</v>
      </c>
      <c r="BL21" s="291" t="e">
        <f t="shared" si="56"/>
        <v>#N/A</v>
      </c>
      <c r="BM21" s="292" t="e">
        <f t="shared" si="17"/>
        <v>#N/A</v>
      </c>
      <c r="BN21" s="293">
        <f t="shared" si="57"/>
        <v>7</v>
      </c>
      <c r="BO21" s="294" t="e">
        <f t="shared" si="58"/>
        <v>#N/A</v>
      </c>
      <c r="BP21" s="294" t="e">
        <f t="shared" si="59"/>
        <v>#N/A</v>
      </c>
      <c r="BQ21" s="292" t="e">
        <f t="shared" si="18"/>
        <v>#N/A</v>
      </c>
      <c r="BR21" s="295" t="e">
        <f t="shared" si="19"/>
        <v>#N/A</v>
      </c>
      <c r="BS21" s="230" t="e">
        <f>VLOOKUP($B21,SDR22_STOCK_BY_LA!$A$2:$C$11679,3,0)</f>
        <v>#N/A</v>
      </c>
      <c r="BT21" s="230" t="str">
        <f t="shared" si="60"/>
        <v/>
      </c>
    </row>
    <row r="22" spans="1:72" ht="12.5" x14ac:dyDescent="0.25">
      <c r="A22" s="230" t="str">
        <f t="shared" si="61"/>
        <v/>
      </c>
      <c r="B22" s="230" t="str">
        <f t="shared" si="62"/>
        <v/>
      </c>
      <c r="C22" s="296" t="str">
        <f t="shared" si="20"/>
        <v/>
      </c>
      <c r="D22" s="269" t="str">
        <f>IF(B22="","",IF(totals!$Q$3=0,IFERROR(IF(AD22=2,"0",AE22),""),"-"))</f>
        <v/>
      </c>
      <c r="E22" s="271" t="str">
        <f t="shared" si="21"/>
        <v/>
      </c>
      <c r="F22" s="272" t="str">
        <f t="shared" si="22"/>
        <v/>
      </c>
      <c r="G22" s="272" t="str">
        <f t="shared" si="23"/>
        <v/>
      </c>
      <c r="H22" s="269" t="str">
        <f t="shared" si="1"/>
        <v/>
      </c>
      <c r="I22" s="272" t="str">
        <f t="shared" si="24"/>
        <v/>
      </c>
      <c r="J22" s="272" t="str">
        <f t="shared" si="25"/>
        <v/>
      </c>
      <c r="K22" s="269" t="str">
        <f t="shared" si="2"/>
        <v/>
      </c>
      <c r="L22" s="272" t="str">
        <f t="shared" si="3"/>
        <v/>
      </c>
      <c r="M22" s="272" t="str">
        <f t="shared" si="26"/>
        <v/>
      </c>
      <c r="N22" s="269" t="str">
        <f t="shared" si="27"/>
        <v/>
      </c>
      <c r="O22" s="272" t="str">
        <f t="shared" si="28"/>
        <v/>
      </c>
      <c r="P22" s="272" t="str">
        <f t="shared" si="29"/>
        <v/>
      </c>
      <c r="Q22" s="269" t="str">
        <f t="shared" si="30"/>
        <v/>
      </c>
      <c r="R22" s="272" t="str">
        <f t="shared" si="31"/>
        <v/>
      </c>
      <c r="S22" s="272" t="str">
        <f t="shared" si="32"/>
        <v/>
      </c>
      <c r="T22" s="269" t="str">
        <f t="shared" si="33"/>
        <v/>
      </c>
      <c r="U22" s="230"/>
      <c r="V22" s="230"/>
      <c r="AB22" s="230" t="e">
        <f>VLOOKUP($B$6,Lookup_Source,15,0)</f>
        <v>#N/A</v>
      </c>
      <c r="AC22" s="254" t="str">
        <f t="shared" si="34"/>
        <v/>
      </c>
      <c r="AD22" s="255">
        <f t="shared" si="35"/>
        <v>7</v>
      </c>
      <c r="AE22" s="274" t="e">
        <f t="shared" si="4"/>
        <v>#N/A</v>
      </c>
      <c r="AF22" s="277" t="e">
        <f t="shared" si="36"/>
        <v>#N/A</v>
      </c>
      <c r="AG22" s="277" t="e">
        <f t="shared" si="37"/>
        <v>#N/A</v>
      </c>
      <c r="AH22" s="276" t="e">
        <f t="shared" si="5"/>
        <v>#N/A</v>
      </c>
      <c r="AI22" s="239">
        <f t="shared" si="38"/>
        <v>7</v>
      </c>
      <c r="AJ22" s="277" t="e">
        <f t="shared" si="6"/>
        <v>#N/A</v>
      </c>
      <c r="AK22" s="277" t="e">
        <f t="shared" si="39"/>
        <v>#N/A</v>
      </c>
      <c r="AL22" s="239" t="e">
        <f t="shared" si="7"/>
        <v>#N/A</v>
      </c>
      <c r="AM22" s="278" t="e">
        <f t="shared" si="40"/>
        <v>#N/A</v>
      </c>
      <c r="AN22" s="279" t="e">
        <f t="shared" si="8"/>
        <v>#N/A</v>
      </c>
      <c r="AO22" s="240" t="e">
        <f t="shared" si="9"/>
        <v>#N/A</v>
      </c>
      <c r="AP22" s="297">
        <f t="shared" si="41"/>
        <v>7</v>
      </c>
      <c r="AQ22" s="298" t="e">
        <f t="shared" si="10"/>
        <v>#N/A</v>
      </c>
      <c r="AR22" s="279" t="e">
        <f t="shared" si="42"/>
        <v>#N/A</v>
      </c>
      <c r="AS22" s="283" t="e">
        <f t="shared" si="11"/>
        <v>#N/A</v>
      </c>
      <c r="AT22" s="284">
        <f t="shared" si="43"/>
        <v>7</v>
      </c>
      <c r="AU22" s="285" t="e">
        <f t="shared" si="44"/>
        <v>#N/A</v>
      </c>
      <c r="AV22" s="286" t="e">
        <f t="shared" si="45"/>
        <v>#N/A</v>
      </c>
      <c r="AW22" s="287" t="e">
        <f t="shared" si="12"/>
        <v>#N/A</v>
      </c>
      <c r="AX22" s="245">
        <f t="shared" si="46"/>
        <v>7</v>
      </c>
      <c r="AY22" s="286" t="e">
        <f t="shared" si="13"/>
        <v>#N/A</v>
      </c>
      <c r="AZ22" s="245" t="e">
        <f t="shared" si="47"/>
        <v>#N/A</v>
      </c>
      <c r="BA22" s="245" t="e">
        <f t="shared" si="14"/>
        <v>#N/A</v>
      </c>
      <c r="BB22" s="288">
        <f t="shared" si="48"/>
        <v>7</v>
      </c>
      <c r="BC22" s="289" t="e">
        <f t="shared" si="49"/>
        <v>#N/A</v>
      </c>
      <c r="BD22" s="290" t="e">
        <f t="shared" si="50"/>
        <v>#N/A</v>
      </c>
      <c r="BE22" s="263" t="e">
        <f t="shared" si="15"/>
        <v>#N/A</v>
      </c>
      <c r="BF22" s="260">
        <f t="shared" si="51"/>
        <v>7</v>
      </c>
      <c r="BG22" s="289" t="e">
        <f t="shared" si="52"/>
        <v>#N/A</v>
      </c>
      <c r="BH22" s="290" t="e">
        <f t="shared" si="53"/>
        <v>#N/A</v>
      </c>
      <c r="BI22" s="263" t="e">
        <f t="shared" si="16"/>
        <v>#N/A</v>
      </c>
      <c r="BJ22" s="264">
        <f t="shared" si="54"/>
        <v>7</v>
      </c>
      <c r="BK22" s="291" t="e">
        <f t="shared" si="55"/>
        <v>#N/A</v>
      </c>
      <c r="BL22" s="291" t="e">
        <f t="shared" si="56"/>
        <v>#N/A</v>
      </c>
      <c r="BM22" s="292" t="e">
        <f t="shared" si="17"/>
        <v>#N/A</v>
      </c>
      <c r="BN22" s="293">
        <f t="shared" si="57"/>
        <v>7</v>
      </c>
      <c r="BO22" s="294" t="e">
        <f t="shared" si="58"/>
        <v>#N/A</v>
      </c>
      <c r="BP22" s="294" t="e">
        <f t="shared" si="59"/>
        <v>#N/A</v>
      </c>
      <c r="BQ22" s="292" t="e">
        <f t="shared" si="18"/>
        <v>#N/A</v>
      </c>
      <c r="BR22" s="295" t="e">
        <f t="shared" si="19"/>
        <v>#N/A</v>
      </c>
      <c r="BS22" s="230" t="e">
        <f>VLOOKUP($B22,SDR22_STOCK_BY_LA!$A$2:$C$11679,3,0)</f>
        <v>#N/A</v>
      </c>
      <c r="BT22" s="230" t="str">
        <f t="shared" si="60"/>
        <v/>
      </c>
    </row>
    <row r="23" spans="1:72" ht="12.5" x14ac:dyDescent="0.25">
      <c r="A23" s="269" t="str">
        <f t="shared" si="61"/>
        <v/>
      </c>
      <c r="B23" s="230" t="str">
        <f t="shared" si="62"/>
        <v/>
      </c>
      <c r="C23" s="270" t="str">
        <f t="shared" si="20"/>
        <v/>
      </c>
      <c r="D23" s="269" t="str">
        <f>IF(B23="","",IF(totals!$Q$3=0,IFERROR(IF(AD23=2,"0",AE23),""),"-"))</f>
        <v/>
      </c>
      <c r="E23" s="271" t="str">
        <f t="shared" si="21"/>
        <v/>
      </c>
      <c r="F23" s="272" t="str">
        <f t="shared" si="22"/>
        <v/>
      </c>
      <c r="G23" s="272" t="str">
        <f t="shared" si="23"/>
        <v/>
      </c>
      <c r="H23" s="269" t="str">
        <f t="shared" si="1"/>
        <v/>
      </c>
      <c r="I23" s="272" t="str">
        <f t="shared" si="24"/>
        <v/>
      </c>
      <c r="J23" s="272" t="str">
        <f t="shared" si="25"/>
        <v/>
      </c>
      <c r="K23" s="269" t="str">
        <f t="shared" si="2"/>
        <v/>
      </c>
      <c r="L23" s="272" t="str">
        <f t="shared" si="3"/>
        <v/>
      </c>
      <c r="M23" s="272" t="str">
        <f t="shared" si="26"/>
        <v/>
      </c>
      <c r="N23" s="269" t="str">
        <f t="shared" si="27"/>
        <v/>
      </c>
      <c r="O23" s="272" t="str">
        <f t="shared" si="28"/>
        <v/>
      </c>
      <c r="P23" s="272" t="str">
        <f t="shared" si="29"/>
        <v/>
      </c>
      <c r="Q23" s="269" t="str">
        <f t="shared" si="30"/>
        <v/>
      </c>
      <c r="R23" s="272" t="str">
        <f t="shared" si="31"/>
        <v/>
      </c>
      <c r="S23" s="272" t="str">
        <f t="shared" si="32"/>
        <v/>
      </c>
      <c r="T23" s="269" t="str">
        <f t="shared" si="33"/>
        <v/>
      </c>
      <c r="U23" s="230"/>
      <c r="V23" s="230"/>
      <c r="AB23" s="270" t="e">
        <f>VLOOKUP($B$6,Lookup_Source,16,0)</f>
        <v>#N/A</v>
      </c>
      <c r="AC23" s="254" t="str">
        <f t="shared" si="34"/>
        <v/>
      </c>
      <c r="AD23" s="255">
        <f t="shared" si="35"/>
        <v>7</v>
      </c>
      <c r="AE23" s="274" t="e">
        <f t="shared" si="4"/>
        <v>#N/A</v>
      </c>
      <c r="AF23" s="277" t="e">
        <f t="shared" si="36"/>
        <v>#N/A</v>
      </c>
      <c r="AG23" s="277" t="e">
        <f t="shared" si="37"/>
        <v>#N/A</v>
      </c>
      <c r="AH23" s="276" t="e">
        <f t="shared" si="5"/>
        <v>#N/A</v>
      </c>
      <c r="AI23" s="239">
        <f t="shared" si="38"/>
        <v>7</v>
      </c>
      <c r="AJ23" s="277" t="e">
        <f t="shared" si="6"/>
        <v>#N/A</v>
      </c>
      <c r="AK23" s="277" t="e">
        <f t="shared" si="39"/>
        <v>#N/A</v>
      </c>
      <c r="AL23" s="239" t="e">
        <f t="shared" si="7"/>
        <v>#N/A</v>
      </c>
      <c r="AM23" s="278" t="e">
        <f t="shared" si="40"/>
        <v>#N/A</v>
      </c>
      <c r="AN23" s="279" t="e">
        <f t="shared" si="8"/>
        <v>#N/A</v>
      </c>
      <c r="AO23" s="240" t="e">
        <f t="shared" si="9"/>
        <v>#N/A</v>
      </c>
      <c r="AP23" s="297">
        <f t="shared" si="41"/>
        <v>7</v>
      </c>
      <c r="AQ23" s="298" t="e">
        <f t="shared" si="10"/>
        <v>#N/A</v>
      </c>
      <c r="AR23" s="279" t="e">
        <f t="shared" si="42"/>
        <v>#N/A</v>
      </c>
      <c r="AS23" s="283" t="e">
        <f t="shared" si="11"/>
        <v>#N/A</v>
      </c>
      <c r="AT23" s="284">
        <f t="shared" si="43"/>
        <v>7</v>
      </c>
      <c r="AU23" s="285" t="e">
        <f t="shared" si="44"/>
        <v>#N/A</v>
      </c>
      <c r="AV23" s="286" t="e">
        <f t="shared" si="45"/>
        <v>#N/A</v>
      </c>
      <c r="AW23" s="287" t="e">
        <f t="shared" si="12"/>
        <v>#N/A</v>
      </c>
      <c r="AX23" s="245">
        <f t="shared" si="46"/>
        <v>7</v>
      </c>
      <c r="AY23" s="286" t="e">
        <f t="shared" si="13"/>
        <v>#N/A</v>
      </c>
      <c r="AZ23" s="245" t="e">
        <f t="shared" si="47"/>
        <v>#N/A</v>
      </c>
      <c r="BA23" s="245" t="e">
        <f t="shared" si="14"/>
        <v>#N/A</v>
      </c>
      <c r="BB23" s="288">
        <f t="shared" si="48"/>
        <v>7</v>
      </c>
      <c r="BC23" s="289" t="e">
        <f t="shared" si="49"/>
        <v>#N/A</v>
      </c>
      <c r="BD23" s="290" t="e">
        <f t="shared" si="50"/>
        <v>#N/A</v>
      </c>
      <c r="BE23" s="263" t="e">
        <f t="shared" si="15"/>
        <v>#N/A</v>
      </c>
      <c r="BF23" s="260">
        <f t="shared" si="51"/>
        <v>7</v>
      </c>
      <c r="BG23" s="289" t="e">
        <f t="shared" si="52"/>
        <v>#N/A</v>
      </c>
      <c r="BH23" s="290" t="e">
        <f t="shared" si="53"/>
        <v>#N/A</v>
      </c>
      <c r="BI23" s="263" t="e">
        <f t="shared" si="16"/>
        <v>#N/A</v>
      </c>
      <c r="BJ23" s="264">
        <f t="shared" si="54"/>
        <v>7</v>
      </c>
      <c r="BK23" s="291" t="e">
        <f t="shared" si="55"/>
        <v>#N/A</v>
      </c>
      <c r="BL23" s="291" t="e">
        <f t="shared" si="56"/>
        <v>#N/A</v>
      </c>
      <c r="BM23" s="292" t="e">
        <f t="shared" si="17"/>
        <v>#N/A</v>
      </c>
      <c r="BN23" s="293">
        <f t="shared" si="57"/>
        <v>7</v>
      </c>
      <c r="BO23" s="294" t="e">
        <f t="shared" si="58"/>
        <v>#N/A</v>
      </c>
      <c r="BP23" s="294" t="e">
        <f t="shared" si="59"/>
        <v>#N/A</v>
      </c>
      <c r="BQ23" s="292" t="e">
        <f t="shared" si="18"/>
        <v>#N/A</v>
      </c>
      <c r="BR23" s="295" t="e">
        <f t="shared" si="19"/>
        <v>#N/A</v>
      </c>
      <c r="BS23" s="230" t="e">
        <f>VLOOKUP($B23,SDR22_STOCK_BY_LA!$A$2:$C$11679,3,0)</f>
        <v>#N/A</v>
      </c>
      <c r="BT23" s="230" t="str">
        <f t="shared" si="60"/>
        <v/>
      </c>
    </row>
    <row r="24" spans="1:72" ht="12.5" x14ac:dyDescent="0.25">
      <c r="A24" s="230" t="str">
        <f t="shared" si="61"/>
        <v/>
      </c>
      <c r="B24" s="230" t="str">
        <f t="shared" si="62"/>
        <v/>
      </c>
      <c r="C24" s="296" t="str">
        <f t="shared" si="20"/>
        <v/>
      </c>
      <c r="D24" s="269" t="str">
        <f>IF(B24="","",IF(totals!$Q$3=0,IFERROR(IF(AD24=2,"0",AE24),""),"-"))</f>
        <v/>
      </c>
      <c r="E24" s="271" t="str">
        <f t="shared" si="21"/>
        <v/>
      </c>
      <c r="F24" s="272" t="str">
        <f t="shared" si="22"/>
        <v/>
      </c>
      <c r="G24" s="272" t="str">
        <f t="shared" si="23"/>
        <v/>
      </c>
      <c r="H24" s="269" t="str">
        <f t="shared" si="1"/>
        <v/>
      </c>
      <c r="I24" s="272" t="str">
        <f t="shared" si="24"/>
        <v/>
      </c>
      <c r="J24" s="272" t="str">
        <f t="shared" si="25"/>
        <v/>
      </c>
      <c r="K24" s="269" t="str">
        <f t="shared" si="2"/>
        <v/>
      </c>
      <c r="L24" s="272" t="str">
        <f t="shared" si="3"/>
        <v/>
      </c>
      <c r="M24" s="272" t="str">
        <f t="shared" si="26"/>
        <v/>
      </c>
      <c r="N24" s="269" t="str">
        <f t="shared" si="27"/>
        <v/>
      </c>
      <c r="O24" s="272" t="str">
        <f t="shared" si="28"/>
        <v/>
      </c>
      <c r="P24" s="272" t="str">
        <f t="shared" si="29"/>
        <v/>
      </c>
      <c r="Q24" s="269" t="str">
        <f t="shared" si="30"/>
        <v/>
      </c>
      <c r="R24" s="272" t="str">
        <f t="shared" si="31"/>
        <v/>
      </c>
      <c r="S24" s="272" t="str">
        <f t="shared" si="32"/>
        <v/>
      </c>
      <c r="T24" s="269" t="str">
        <f t="shared" si="33"/>
        <v/>
      </c>
      <c r="U24" s="230"/>
      <c r="V24" s="230"/>
      <c r="AB24" s="230" t="e">
        <f>VLOOKUP($B$6,Lookup_Source,17,0)</f>
        <v>#N/A</v>
      </c>
      <c r="AC24" s="254" t="str">
        <f t="shared" si="34"/>
        <v/>
      </c>
      <c r="AD24" s="255">
        <f t="shared" si="35"/>
        <v>7</v>
      </c>
      <c r="AE24" s="274" t="e">
        <f t="shared" si="4"/>
        <v>#N/A</v>
      </c>
      <c r="AF24" s="277" t="e">
        <f t="shared" si="36"/>
        <v>#N/A</v>
      </c>
      <c r="AG24" s="277" t="e">
        <f t="shared" si="37"/>
        <v>#N/A</v>
      </c>
      <c r="AH24" s="276" t="e">
        <f t="shared" si="5"/>
        <v>#N/A</v>
      </c>
      <c r="AI24" s="239">
        <f t="shared" si="38"/>
        <v>7</v>
      </c>
      <c r="AJ24" s="277" t="e">
        <f t="shared" si="6"/>
        <v>#N/A</v>
      </c>
      <c r="AK24" s="277" t="e">
        <f t="shared" si="39"/>
        <v>#N/A</v>
      </c>
      <c r="AL24" s="239" t="e">
        <f t="shared" si="7"/>
        <v>#N/A</v>
      </c>
      <c r="AM24" s="278" t="e">
        <f t="shared" si="40"/>
        <v>#N/A</v>
      </c>
      <c r="AN24" s="279" t="e">
        <f t="shared" si="8"/>
        <v>#N/A</v>
      </c>
      <c r="AO24" s="240" t="e">
        <f t="shared" si="9"/>
        <v>#N/A</v>
      </c>
      <c r="AP24" s="297">
        <f t="shared" si="41"/>
        <v>7</v>
      </c>
      <c r="AQ24" s="298" t="e">
        <f t="shared" si="10"/>
        <v>#N/A</v>
      </c>
      <c r="AR24" s="279" t="e">
        <f t="shared" si="42"/>
        <v>#N/A</v>
      </c>
      <c r="AS24" s="283" t="e">
        <f t="shared" si="11"/>
        <v>#N/A</v>
      </c>
      <c r="AT24" s="284">
        <f t="shared" si="43"/>
        <v>7</v>
      </c>
      <c r="AU24" s="285" t="e">
        <f t="shared" si="44"/>
        <v>#N/A</v>
      </c>
      <c r="AV24" s="286" t="e">
        <f t="shared" si="45"/>
        <v>#N/A</v>
      </c>
      <c r="AW24" s="287" t="e">
        <f t="shared" si="12"/>
        <v>#N/A</v>
      </c>
      <c r="AX24" s="245">
        <f t="shared" si="46"/>
        <v>7</v>
      </c>
      <c r="AY24" s="286" t="e">
        <f t="shared" si="13"/>
        <v>#N/A</v>
      </c>
      <c r="AZ24" s="245" t="e">
        <f t="shared" si="47"/>
        <v>#N/A</v>
      </c>
      <c r="BA24" s="245" t="e">
        <f t="shared" si="14"/>
        <v>#N/A</v>
      </c>
      <c r="BB24" s="288">
        <f t="shared" si="48"/>
        <v>7</v>
      </c>
      <c r="BC24" s="289" t="e">
        <f t="shared" si="49"/>
        <v>#N/A</v>
      </c>
      <c r="BD24" s="290" t="e">
        <f t="shared" si="50"/>
        <v>#N/A</v>
      </c>
      <c r="BE24" s="263" t="e">
        <f t="shared" si="15"/>
        <v>#N/A</v>
      </c>
      <c r="BF24" s="260">
        <f t="shared" si="51"/>
        <v>7</v>
      </c>
      <c r="BG24" s="289" t="e">
        <f t="shared" si="52"/>
        <v>#N/A</v>
      </c>
      <c r="BH24" s="290" t="e">
        <f t="shared" si="53"/>
        <v>#N/A</v>
      </c>
      <c r="BI24" s="263" t="e">
        <f t="shared" si="16"/>
        <v>#N/A</v>
      </c>
      <c r="BJ24" s="264">
        <f t="shared" si="54"/>
        <v>7</v>
      </c>
      <c r="BK24" s="291" t="e">
        <f t="shared" si="55"/>
        <v>#N/A</v>
      </c>
      <c r="BL24" s="291" t="e">
        <f t="shared" si="56"/>
        <v>#N/A</v>
      </c>
      <c r="BM24" s="292" t="e">
        <f t="shared" si="17"/>
        <v>#N/A</v>
      </c>
      <c r="BN24" s="293">
        <f t="shared" si="57"/>
        <v>7</v>
      </c>
      <c r="BO24" s="294" t="e">
        <f t="shared" si="58"/>
        <v>#N/A</v>
      </c>
      <c r="BP24" s="294" t="e">
        <f t="shared" si="59"/>
        <v>#N/A</v>
      </c>
      <c r="BQ24" s="292" t="e">
        <f t="shared" si="18"/>
        <v>#N/A</v>
      </c>
      <c r="BR24" s="295" t="e">
        <f t="shared" si="19"/>
        <v>#N/A</v>
      </c>
      <c r="BS24" s="230" t="e">
        <f>VLOOKUP($B24,SDR22_STOCK_BY_LA!$A$2:$C$11679,3,0)</f>
        <v>#N/A</v>
      </c>
      <c r="BT24" s="230" t="str">
        <f t="shared" si="60"/>
        <v/>
      </c>
    </row>
    <row r="25" spans="1:72" ht="12.5" x14ac:dyDescent="0.25">
      <c r="A25" s="269" t="str">
        <f t="shared" si="61"/>
        <v/>
      </c>
      <c r="B25" s="230" t="str">
        <f t="shared" si="62"/>
        <v/>
      </c>
      <c r="C25" s="270" t="str">
        <f t="shared" si="20"/>
        <v/>
      </c>
      <c r="D25" s="269" t="str">
        <f>IF(B25="","",IF(totals!$Q$3=0,IFERROR(IF(AD25=2,"0",AE25),""),"-"))</f>
        <v/>
      </c>
      <c r="E25" s="271" t="str">
        <f t="shared" si="21"/>
        <v/>
      </c>
      <c r="F25" s="272" t="str">
        <f t="shared" si="22"/>
        <v/>
      </c>
      <c r="G25" s="272" t="str">
        <f t="shared" si="23"/>
        <v/>
      </c>
      <c r="H25" s="269" t="str">
        <f t="shared" si="1"/>
        <v/>
      </c>
      <c r="I25" s="272" t="str">
        <f t="shared" si="24"/>
        <v/>
      </c>
      <c r="J25" s="272" t="str">
        <f t="shared" si="25"/>
        <v/>
      </c>
      <c r="K25" s="269" t="str">
        <f t="shared" si="2"/>
        <v/>
      </c>
      <c r="L25" s="272" t="str">
        <f t="shared" si="3"/>
        <v/>
      </c>
      <c r="M25" s="272" t="str">
        <f t="shared" si="26"/>
        <v/>
      </c>
      <c r="N25" s="269" t="str">
        <f t="shared" si="27"/>
        <v/>
      </c>
      <c r="O25" s="272" t="str">
        <f t="shared" si="28"/>
        <v/>
      </c>
      <c r="P25" s="272" t="str">
        <f t="shared" si="29"/>
        <v/>
      </c>
      <c r="Q25" s="269" t="str">
        <f t="shared" si="30"/>
        <v/>
      </c>
      <c r="R25" s="272" t="str">
        <f t="shared" si="31"/>
        <v/>
      </c>
      <c r="S25" s="272" t="str">
        <f t="shared" si="32"/>
        <v/>
      </c>
      <c r="T25" s="269" t="str">
        <f t="shared" si="33"/>
        <v/>
      </c>
      <c r="U25" s="230"/>
      <c r="V25" s="230"/>
      <c r="AB25" s="270" t="e">
        <f>VLOOKUP($B$6,Lookup_Source,18,0)</f>
        <v>#N/A</v>
      </c>
      <c r="AC25" s="254" t="str">
        <f t="shared" si="34"/>
        <v/>
      </c>
      <c r="AD25" s="255">
        <f t="shared" si="35"/>
        <v>7</v>
      </c>
      <c r="AE25" s="274" t="e">
        <f t="shared" si="4"/>
        <v>#N/A</v>
      </c>
      <c r="AF25" s="277" t="e">
        <f t="shared" si="36"/>
        <v>#N/A</v>
      </c>
      <c r="AG25" s="277" t="e">
        <f t="shared" si="37"/>
        <v>#N/A</v>
      </c>
      <c r="AH25" s="276" t="e">
        <f t="shared" si="5"/>
        <v>#N/A</v>
      </c>
      <c r="AI25" s="239">
        <f t="shared" si="38"/>
        <v>7</v>
      </c>
      <c r="AJ25" s="277" t="e">
        <f t="shared" si="6"/>
        <v>#N/A</v>
      </c>
      <c r="AK25" s="277" t="e">
        <f t="shared" si="39"/>
        <v>#N/A</v>
      </c>
      <c r="AL25" s="239" t="e">
        <f t="shared" si="7"/>
        <v>#N/A</v>
      </c>
      <c r="AM25" s="278" t="e">
        <f t="shared" si="40"/>
        <v>#N/A</v>
      </c>
      <c r="AN25" s="279" t="e">
        <f t="shared" si="8"/>
        <v>#N/A</v>
      </c>
      <c r="AO25" s="240" t="e">
        <f t="shared" si="9"/>
        <v>#N/A</v>
      </c>
      <c r="AP25" s="297">
        <f t="shared" si="41"/>
        <v>7</v>
      </c>
      <c r="AQ25" s="298" t="e">
        <f t="shared" si="10"/>
        <v>#N/A</v>
      </c>
      <c r="AR25" s="279" t="e">
        <f t="shared" si="42"/>
        <v>#N/A</v>
      </c>
      <c r="AS25" s="283" t="e">
        <f t="shared" si="11"/>
        <v>#N/A</v>
      </c>
      <c r="AT25" s="284">
        <f t="shared" si="43"/>
        <v>7</v>
      </c>
      <c r="AU25" s="285" t="e">
        <f t="shared" si="44"/>
        <v>#N/A</v>
      </c>
      <c r="AV25" s="286" t="e">
        <f t="shared" si="45"/>
        <v>#N/A</v>
      </c>
      <c r="AW25" s="287" t="e">
        <f t="shared" si="12"/>
        <v>#N/A</v>
      </c>
      <c r="AX25" s="245">
        <f t="shared" si="46"/>
        <v>7</v>
      </c>
      <c r="AY25" s="286" t="e">
        <f t="shared" si="13"/>
        <v>#N/A</v>
      </c>
      <c r="AZ25" s="245" t="e">
        <f t="shared" si="47"/>
        <v>#N/A</v>
      </c>
      <c r="BA25" s="245" t="e">
        <f t="shared" si="14"/>
        <v>#N/A</v>
      </c>
      <c r="BB25" s="288">
        <f t="shared" si="48"/>
        <v>7</v>
      </c>
      <c r="BC25" s="289" t="e">
        <f t="shared" si="49"/>
        <v>#N/A</v>
      </c>
      <c r="BD25" s="290" t="e">
        <f t="shared" si="50"/>
        <v>#N/A</v>
      </c>
      <c r="BE25" s="263" t="e">
        <f t="shared" si="15"/>
        <v>#N/A</v>
      </c>
      <c r="BF25" s="260">
        <f t="shared" si="51"/>
        <v>7</v>
      </c>
      <c r="BG25" s="289" t="e">
        <f t="shared" si="52"/>
        <v>#N/A</v>
      </c>
      <c r="BH25" s="290" t="e">
        <f t="shared" si="53"/>
        <v>#N/A</v>
      </c>
      <c r="BI25" s="263" t="e">
        <f t="shared" si="16"/>
        <v>#N/A</v>
      </c>
      <c r="BJ25" s="264">
        <f t="shared" si="54"/>
        <v>7</v>
      </c>
      <c r="BK25" s="291" t="e">
        <f t="shared" si="55"/>
        <v>#N/A</v>
      </c>
      <c r="BL25" s="291" t="e">
        <f t="shared" si="56"/>
        <v>#N/A</v>
      </c>
      <c r="BM25" s="292" t="e">
        <f t="shared" si="17"/>
        <v>#N/A</v>
      </c>
      <c r="BN25" s="293">
        <f t="shared" si="57"/>
        <v>7</v>
      </c>
      <c r="BO25" s="294" t="e">
        <f t="shared" si="58"/>
        <v>#N/A</v>
      </c>
      <c r="BP25" s="294" t="e">
        <f t="shared" si="59"/>
        <v>#N/A</v>
      </c>
      <c r="BQ25" s="292" t="e">
        <f t="shared" si="18"/>
        <v>#N/A</v>
      </c>
      <c r="BR25" s="295" t="e">
        <f t="shared" si="19"/>
        <v>#N/A</v>
      </c>
      <c r="BS25" s="230" t="e">
        <f>VLOOKUP($B25,SDR22_STOCK_BY_LA!$A$2:$C$11679,3,0)</f>
        <v>#N/A</v>
      </c>
      <c r="BT25" s="230" t="str">
        <f t="shared" si="60"/>
        <v/>
      </c>
    </row>
    <row r="26" spans="1:72" ht="12.5" x14ac:dyDescent="0.25">
      <c r="A26" s="230" t="str">
        <f t="shared" si="61"/>
        <v/>
      </c>
      <c r="B26" s="230" t="str">
        <f t="shared" si="62"/>
        <v/>
      </c>
      <c r="C26" s="296" t="str">
        <f t="shared" si="20"/>
        <v/>
      </c>
      <c r="D26" s="269" t="str">
        <f>IF(B26="","",IF(totals!$Q$3=0,IFERROR(IF(AD26=2,"0",AE26),""),"-"))</f>
        <v/>
      </c>
      <c r="E26" s="271" t="str">
        <f t="shared" si="21"/>
        <v/>
      </c>
      <c r="F26" s="272" t="str">
        <f t="shared" si="22"/>
        <v/>
      </c>
      <c r="G26" s="272" t="str">
        <f t="shared" si="23"/>
        <v/>
      </c>
      <c r="H26" s="269" t="str">
        <f t="shared" si="1"/>
        <v/>
      </c>
      <c r="I26" s="272" t="str">
        <f t="shared" si="24"/>
        <v/>
      </c>
      <c r="J26" s="272" t="str">
        <f t="shared" si="25"/>
        <v/>
      </c>
      <c r="K26" s="269" t="str">
        <f t="shared" si="2"/>
        <v/>
      </c>
      <c r="L26" s="272" t="str">
        <f t="shared" si="3"/>
        <v/>
      </c>
      <c r="M26" s="272" t="str">
        <f t="shared" si="26"/>
        <v/>
      </c>
      <c r="N26" s="269" t="str">
        <f t="shared" si="27"/>
        <v/>
      </c>
      <c r="O26" s="272" t="str">
        <f t="shared" si="28"/>
        <v/>
      </c>
      <c r="P26" s="272" t="str">
        <f t="shared" si="29"/>
        <v/>
      </c>
      <c r="Q26" s="269" t="str">
        <f t="shared" si="30"/>
        <v/>
      </c>
      <c r="R26" s="272" t="str">
        <f t="shared" si="31"/>
        <v/>
      </c>
      <c r="S26" s="272" t="str">
        <f t="shared" si="32"/>
        <v/>
      </c>
      <c r="T26" s="269" t="str">
        <f t="shared" si="33"/>
        <v/>
      </c>
      <c r="U26" s="230"/>
      <c r="V26" s="230"/>
      <c r="AB26" s="230" t="e">
        <f>VLOOKUP($B$6,Lookup_Source,19,0)</f>
        <v>#N/A</v>
      </c>
      <c r="AC26" s="254" t="str">
        <f t="shared" si="34"/>
        <v/>
      </c>
      <c r="AD26" s="255">
        <f t="shared" si="35"/>
        <v>7</v>
      </c>
      <c r="AE26" s="274" t="e">
        <f t="shared" si="4"/>
        <v>#N/A</v>
      </c>
      <c r="AF26" s="277" t="e">
        <f t="shared" si="36"/>
        <v>#N/A</v>
      </c>
      <c r="AG26" s="277" t="e">
        <f t="shared" si="37"/>
        <v>#N/A</v>
      </c>
      <c r="AH26" s="276" t="e">
        <f t="shared" si="5"/>
        <v>#N/A</v>
      </c>
      <c r="AI26" s="239">
        <f t="shared" si="38"/>
        <v>7</v>
      </c>
      <c r="AJ26" s="277" t="e">
        <f t="shared" si="6"/>
        <v>#N/A</v>
      </c>
      <c r="AK26" s="277" t="e">
        <f t="shared" si="39"/>
        <v>#N/A</v>
      </c>
      <c r="AL26" s="239" t="e">
        <f t="shared" si="7"/>
        <v>#N/A</v>
      </c>
      <c r="AM26" s="278" t="e">
        <f t="shared" si="40"/>
        <v>#N/A</v>
      </c>
      <c r="AN26" s="279" t="e">
        <f t="shared" si="8"/>
        <v>#N/A</v>
      </c>
      <c r="AO26" s="240" t="e">
        <f t="shared" si="9"/>
        <v>#N/A</v>
      </c>
      <c r="AP26" s="297">
        <f t="shared" si="41"/>
        <v>7</v>
      </c>
      <c r="AQ26" s="298" t="e">
        <f t="shared" si="10"/>
        <v>#N/A</v>
      </c>
      <c r="AR26" s="279" t="e">
        <f t="shared" si="42"/>
        <v>#N/A</v>
      </c>
      <c r="AS26" s="283" t="e">
        <f t="shared" si="11"/>
        <v>#N/A</v>
      </c>
      <c r="AT26" s="284">
        <f t="shared" si="43"/>
        <v>7</v>
      </c>
      <c r="AU26" s="285" t="e">
        <f t="shared" si="44"/>
        <v>#N/A</v>
      </c>
      <c r="AV26" s="286" t="e">
        <f t="shared" si="45"/>
        <v>#N/A</v>
      </c>
      <c r="AW26" s="287" t="e">
        <f t="shared" si="12"/>
        <v>#N/A</v>
      </c>
      <c r="AX26" s="245">
        <f t="shared" si="46"/>
        <v>7</v>
      </c>
      <c r="AY26" s="286" t="e">
        <f t="shared" si="13"/>
        <v>#N/A</v>
      </c>
      <c r="AZ26" s="245" t="e">
        <f t="shared" si="47"/>
        <v>#N/A</v>
      </c>
      <c r="BA26" s="245" t="e">
        <f t="shared" si="14"/>
        <v>#N/A</v>
      </c>
      <c r="BB26" s="288">
        <f t="shared" si="48"/>
        <v>7</v>
      </c>
      <c r="BC26" s="289" t="e">
        <f t="shared" si="49"/>
        <v>#N/A</v>
      </c>
      <c r="BD26" s="290" t="e">
        <f t="shared" si="50"/>
        <v>#N/A</v>
      </c>
      <c r="BE26" s="263" t="e">
        <f t="shared" si="15"/>
        <v>#N/A</v>
      </c>
      <c r="BF26" s="260">
        <f t="shared" si="51"/>
        <v>7</v>
      </c>
      <c r="BG26" s="289" t="e">
        <f t="shared" si="52"/>
        <v>#N/A</v>
      </c>
      <c r="BH26" s="290" t="e">
        <f t="shared" si="53"/>
        <v>#N/A</v>
      </c>
      <c r="BI26" s="263" t="e">
        <f t="shared" si="16"/>
        <v>#N/A</v>
      </c>
      <c r="BJ26" s="264">
        <f t="shared" si="54"/>
        <v>7</v>
      </c>
      <c r="BK26" s="291" t="e">
        <f t="shared" si="55"/>
        <v>#N/A</v>
      </c>
      <c r="BL26" s="291" t="e">
        <f t="shared" si="56"/>
        <v>#N/A</v>
      </c>
      <c r="BM26" s="292" t="e">
        <f t="shared" si="17"/>
        <v>#N/A</v>
      </c>
      <c r="BN26" s="293">
        <f t="shared" si="57"/>
        <v>7</v>
      </c>
      <c r="BO26" s="294" t="e">
        <f t="shared" si="58"/>
        <v>#N/A</v>
      </c>
      <c r="BP26" s="294" t="e">
        <f t="shared" si="59"/>
        <v>#N/A</v>
      </c>
      <c r="BQ26" s="292" t="e">
        <f t="shared" si="18"/>
        <v>#N/A</v>
      </c>
      <c r="BR26" s="295" t="e">
        <f t="shared" si="19"/>
        <v>#N/A</v>
      </c>
      <c r="BS26" s="230" t="e">
        <f>VLOOKUP($B26,SDR22_STOCK_BY_LA!$A$2:$C$11679,3,0)</f>
        <v>#N/A</v>
      </c>
      <c r="BT26" s="230" t="str">
        <f t="shared" si="60"/>
        <v/>
      </c>
    </row>
    <row r="27" spans="1:72" ht="12.5" x14ac:dyDescent="0.25">
      <c r="A27" s="269" t="str">
        <f t="shared" si="61"/>
        <v/>
      </c>
      <c r="B27" s="230" t="str">
        <f t="shared" si="62"/>
        <v/>
      </c>
      <c r="C27" s="270" t="str">
        <f t="shared" si="20"/>
        <v/>
      </c>
      <c r="D27" s="269" t="str">
        <f>IF(B27="","",IF(totals!$Q$3=0,IFERROR(IF(AD27=2,"0",AE27),""),"-"))</f>
        <v/>
      </c>
      <c r="E27" s="271" t="str">
        <f t="shared" si="21"/>
        <v/>
      </c>
      <c r="F27" s="272" t="str">
        <f t="shared" si="22"/>
        <v/>
      </c>
      <c r="G27" s="272" t="str">
        <f t="shared" si="23"/>
        <v/>
      </c>
      <c r="H27" s="269" t="str">
        <f t="shared" si="1"/>
        <v/>
      </c>
      <c r="I27" s="272" t="str">
        <f t="shared" si="24"/>
        <v/>
      </c>
      <c r="J27" s="272" t="str">
        <f t="shared" si="25"/>
        <v/>
      </c>
      <c r="K27" s="269" t="str">
        <f t="shared" si="2"/>
        <v/>
      </c>
      <c r="L27" s="272" t="str">
        <f t="shared" si="3"/>
        <v/>
      </c>
      <c r="M27" s="272" t="str">
        <f t="shared" si="26"/>
        <v/>
      </c>
      <c r="N27" s="269" t="str">
        <f t="shared" si="27"/>
        <v/>
      </c>
      <c r="O27" s="272" t="str">
        <f t="shared" si="28"/>
        <v/>
      </c>
      <c r="P27" s="272" t="str">
        <f t="shared" si="29"/>
        <v/>
      </c>
      <c r="Q27" s="269" t="str">
        <f t="shared" si="30"/>
        <v/>
      </c>
      <c r="R27" s="272" t="str">
        <f t="shared" si="31"/>
        <v/>
      </c>
      <c r="S27" s="272" t="str">
        <f t="shared" si="32"/>
        <v/>
      </c>
      <c r="T27" s="269" t="str">
        <f t="shared" si="33"/>
        <v/>
      </c>
      <c r="U27" s="230"/>
      <c r="V27" s="230"/>
      <c r="AB27" s="270" t="e">
        <f>VLOOKUP($B$6,Lookup_Source,20,0)</f>
        <v>#N/A</v>
      </c>
      <c r="AC27" s="254" t="str">
        <f t="shared" si="34"/>
        <v/>
      </c>
      <c r="AD27" s="255">
        <f t="shared" si="35"/>
        <v>7</v>
      </c>
      <c r="AE27" s="274" t="e">
        <f t="shared" si="4"/>
        <v>#N/A</v>
      </c>
      <c r="AF27" s="277" t="e">
        <f t="shared" si="36"/>
        <v>#N/A</v>
      </c>
      <c r="AG27" s="277" t="e">
        <f t="shared" si="37"/>
        <v>#N/A</v>
      </c>
      <c r="AH27" s="276" t="e">
        <f t="shared" si="5"/>
        <v>#N/A</v>
      </c>
      <c r="AI27" s="239">
        <f t="shared" si="38"/>
        <v>7</v>
      </c>
      <c r="AJ27" s="277" t="e">
        <f t="shared" si="6"/>
        <v>#N/A</v>
      </c>
      <c r="AK27" s="277" t="e">
        <f t="shared" si="39"/>
        <v>#N/A</v>
      </c>
      <c r="AL27" s="239" t="e">
        <f t="shared" si="7"/>
        <v>#N/A</v>
      </c>
      <c r="AM27" s="278" t="e">
        <f t="shared" si="40"/>
        <v>#N/A</v>
      </c>
      <c r="AN27" s="279" t="e">
        <f t="shared" si="8"/>
        <v>#N/A</v>
      </c>
      <c r="AO27" s="240" t="e">
        <f t="shared" si="9"/>
        <v>#N/A</v>
      </c>
      <c r="AP27" s="297">
        <f t="shared" si="41"/>
        <v>7</v>
      </c>
      <c r="AQ27" s="298" t="e">
        <f t="shared" si="10"/>
        <v>#N/A</v>
      </c>
      <c r="AR27" s="279" t="e">
        <f t="shared" si="42"/>
        <v>#N/A</v>
      </c>
      <c r="AS27" s="283" t="e">
        <f t="shared" si="11"/>
        <v>#N/A</v>
      </c>
      <c r="AT27" s="284">
        <f t="shared" si="43"/>
        <v>7</v>
      </c>
      <c r="AU27" s="285" t="e">
        <f t="shared" si="44"/>
        <v>#N/A</v>
      </c>
      <c r="AV27" s="286" t="e">
        <f t="shared" si="45"/>
        <v>#N/A</v>
      </c>
      <c r="AW27" s="287" t="e">
        <f t="shared" si="12"/>
        <v>#N/A</v>
      </c>
      <c r="AX27" s="245">
        <f t="shared" si="46"/>
        <v>7</v>
      </c>
      <c r="AY27" s="286" t="e">
        <f t="shared" si="13"/>
        <v>#N/A</v>
      </c>
      <c r="AZ27" s="245" t="e">
        <f t="shared" si="47"/>
        <v>#N/A</v>
      </c>
      <c r="BA27" s="245" t="e">
        <f t="shared" si="14"/>
        <v>#N/A</v>
      </c>
      <c r="BB27" s="288">
        <f t="shared" si="48"/>
        <v>7</v>
      </c>
      <c r="BC27" s="289" t="e">
        <f t="shared" si="49"/>
        <v>#N/A</v>
      </c>
      <c r="BD27" s="290" t="e">
        <f t="shared" si="50"/>
        <v>#N/A</v>
      </c>
      <c r="BE27" s="263" t="e">
        <f t="shared" si="15"/>
        <v>#N/A</v>
      </c>
      <c r="BF27" s="260">
        <f t="shared" si="51"/>
        <v>7</v>
      </c>
      <c r="BG27" s="289" t="e">
        <f t="shared" si="52"/>
        <v>#N/A</v>
      </c>
      <c r="BH27" s="290" t="e">
        <f t="shared" si="53"/>
        <v>#N/A</v>
      </c>
      <c r="BI27" s="263" t="e">
        <f t="shared" si="16"/>
        <v>#N/A</v>
      </c>
      <c r="BJ27" s="264">
        <f t="shared" si="54"/>
        <v>7</v>
      </c>
      <c r="BK27" s="291" t="e">
        <f t="shared" si="55"/>
        <v>#N/A</v>
      </c>
      <c r="BL27" s="291" t="e">
        <f t="shared" si="56"/>
        <v>#N/A</v>
      </c>
      <c r="BM27" s="292" t="e">
        <f t="shared" si="17"/>
        <v>#N/A</v>
      </c>
      <c r="BN27" s="293">
        <f t="shared" si="57"/>
        <v>7</v>
      </c>
      <c r="BO27" s="294" t="e">
        <f t="shared" si="58"/>
        <v>#N/A</v>
      </c>
      <c r="BP27" s="294" t="e">
        <f t="shared" si="59"/>
        <v>#N/A</v>
      </c>
      <c r="BQ27" s="292" t="e">
        <f t="shared" si="18"/>
        <v>#N/A</v>
      </c>
      <c r="BR27" s="295" t="e">
        <f t="shared" si="19"/>
        <v>#N/A</v>
      </c>
      <c r="BS27" s="230" t="e">
        <f>VLOOKUP($B27,SDR22_STOCK_BY_LA!$A$2:$C$11679,3,0)</f>
        <v>#N/A</v>
      </c>
      <c r="BT27" s="230" t="str">
        <f t="shared" si="60"/>
        <v/>
      </c>
    </row>
    <row r="28" spans="1:72" ht="12.5" x14ac:dyDescent="0.25">
      <c r="A28" s="230" t="str">
        <f t="shared" si="61"/>
        <v/>
      </c>
      <c r="B28" s="230" t="str">
        <f t="shared" si="62"/>
        <v/>
      </c>
      <c r="C28" s="296" t="str">
        <f t="shared" si="20"/>
        <v/>
      </c>
      <c r="D28" s="269" t="str">
        <f>IF(B28="","",IF(totals!$Q$3=0,IFERROR(IF(AD28=2,"0",AE28),""),"-"))</f>
        <v/>
      </c>
      <c r="E28" s="271" t="str">
        <f t="shared" si="21"/>
        <v/>
      </c>
      <c r="F28" s="272" t="str">
        <f t="shared" si="22"/>
        <v/>
      </c>
      <c r="G28" s="272" t="str">
        <f t="shared" si="23"/>
        <v/>
      </c>
      <c r="H28" s="269" t="str">
        <f t="shared" si="1"/>
        <v/>
      </c>
      <c r="I28" s="272" t="str">
        <f t="shared" si="24"/>
        <v/>
      </c>
      <c r="J28" s="272" t="str">
        <f t="shared" si="25"/>
        <v/>
      </c>
      <c r="K28" s="269" t="str">
        <f t="shared" si="2"/>
        <v/>
      </c>
      <c r="L28" s="272" t="str">
        <f t="shared" si="3"/>
        <v/>
      </c>
      <c r="M28" s="272" t="str">
        <f t="shared" si="26"/>
        <v/>
      </c>
      <c r="N28" s="269" t="str">
        <f t="shared" si="27"/>
        <v/>
      </c>
      <c r="O28" s="272" t="str">
        <f t="shared" si="28"/>
        <v/>
      </c>
      <c r="P28" s="272" t="str">
        <f t="shared" si="29"/>
        <v/>
      </c>
      <c r="Q28" s="269" t="str">
        <f t="shared" si="30"/>
        <v/>
      </c>
      <c r="R28" s="272" t="str">
        <f t="shared" si="31"/>
        <v/>
      </c>
      <c r="S28" s="272" t="str">
        <f t="shared" si="32"/>
        <v/>
      </c>
      <c r="T28" s="269" t="str">
        <f t="shared" si="33"/>
        <v/>
      </c>
      <c r="U28" s="230"/>
      <c r="V28" s="230"/>
      <c r="AB28" s="230" t="e">
        <f>VLOOKUP($B$6,Lookup_Source,21,0)</f>
        <v>#N/A</v>
      </c>
      <c r="AC28" s="254" t="str">
        <f t="shared" si="34"/>
        <v/>
      </c>
      <c r="AD28" s="255">
        <f t="shared" si="35"/>
        <v>7</v>
      </c>
      <c r="AE28" s="274" t="e">
        <f t="shared" si="4"/>
        <v>#N/A</v>
      </c>
      <c r="AF28" s="277" t="e">
        <f t="shared" si="36"/>
        <v>#N/A</v>
      </c>
      <c r="AG28" s="277" t="e">
        <f t="shared" si="37"/>
        <v>#N/A</v>
      </c>
      <c r="AH28" s="276" t="e">
        <f t="shared" si="5"/>
        <v>#N/A</v>
      </c>
      <c r="AI28" s="239">
        <f t="shared" si="38"/>
        <v>7</v>
      </c>
      <c r="AJ28" s="277" t="e">
        <f t="shared" si="6"/>
        <v>#N/A</v>
      </c>
      <c r="AK28" s="277" t="e">
        <f t="shared" si="39"/>
        <v>#N/A</v>
      </c>
      <c r="AL28" s="239" t="e">
        <f t="shared" si="7"/>
        <v>#N/A</v>
      </c>
      <c r="AM28" s="278" t="e">
        <f t="shared" si="40"/>
        <v>#N/A</v>
      </c>
      <c r="AN28" s="279" t="e">
        <f t="shared" si="8"/>
        <v>#N/A</v>
      </c>
      <c r="AO28" s="240" t="e">
        <f t="shared" si="9"/>
        <v>#N/A</v>
      </c>
      <c r="AP28" s="297">
        <f t="shared" si="41"/>
        <v>7</v>
      </c>
      <c r="AQ28" s="298" t="e">
        <f t="shared" si="10"/>
        <v>#N/A</v>
      </c>
      <c r="AR28" s="279" t="e">
        <f t="shared" si="42"/>
        <v>#N/A</v>
      </c>
      <c r="AS28" s="283" t="e">
        <f t="shared" si="11"/>
        <v>#N/A</v>
      </c>
      <c r="AT28" s="284">
        <f t="shared" si="43"/>
        <v>7</v>
      </c>
      <c r="AU28" s="285" t="e">
        <f t="shared" si="44"/>
        <v>#N/A</v>
      </c>
      <c r="AV28" s="286" t="e">
        <f t="shared" si="45"/>
        <v>#N/A</v>
      </c>
      <c r="AW28" s="287" t="e">
        <f t="shared" si="12"/>
        <v>#N/A</v>
      </c>
      <c r="AX28" s="245">
        <f t="shared" si="46"/>
        <v>7</v>
      </c>
      <c r="AY28" s="286" t="e">
        <f t="shared" si="13"/>
        <v>#N/A</v>
      </c>
      <c r="AZ28" s="245" t="e">
        <f t="shared" si="47"/>
        <v>#N/A</v>
      </c>
      <c r="BA28" s="245" t="e">
        <f t="shared" si="14"/>
        <v>#N/A</v>
      </c>
      <c r="BB28" s="288">
        <f t="shared" si="48"/>
        <v>7</v>
      </c>
      <c r="BC28" s="289" t="e">
        <f t="shared" si="49"/>
        <v>#N/A</v>
      </c>
      <c r="BD28" s="290" t="e">
        <f t="shared" si="50"/>
        <v>#N/A</v>
      </c>
      <c r="BE28" s="263" t="e">
        <f t="shared" si="15"/>
        <v>#N/A</v>
      </c>
      <c r="BF28" s="260">
        <f t="shared" si="51"/>
        <v>7</v>
      </c>
      <c r="BG28" s="289" t="e">
        <f t="shared" si="52"/>
        <v>#N/A</v>
      </c>
      <c r="BH28" s="290" t="e">
        <f t="shared" si="53"/>
        <v>#N/A</v>
      </c>
      <c r="BI28" s="263" t="e">
        <f t="shared" si="16"/>
        <v>#N/A</v>
      </c>
      <c r="BJ28" s="264">
        <f t="shared" si="54"/>
        <v>7</v>
      </c>
      <c r="BK28" s="291" t="e">
        <f t="shared" si="55"/>
        <v>#N/A</v>
      </c>
      <c r="BL28" s="291" t="e">
        <f t="shared" si="56"/>
        <v>#N/A</v>
      </c>
      <c r="BM28" s="292" t="e">
        <f t="shared" si="17"/>
        <v>#N/A</v>
      </c>
      <c r="BN28" s="293">
        <f t="shared" si="57"/>
        <v>7</v>
      </c>
      <c r="BO28" s="294" t="e">
        <f t="shared" si="58"/>
        <v>#N/A</v>
      </c>
      <c r="BP28" s="294" t="e">
        <f t="shared" si="59"/>
        <v>#N/A</v>
      </c>
      <c r="BQ28" s="292" t="e">
        <f t="shared" si="18"/>
        <v>#N/A</v>
      </c>
      <c r="BR28" s="295" t="e">
        <f t="shared" si="19"/>
        <v>#N/A</v>
      </c>
      <c r="BS28" s="230" t="e">
        <f>VLOOKUP($B28,SDR22_STOCK_BY_LA!$A$2:$C$11679,3,0)</f>
        <v>#N/A</v>
      </c>
      <c r="BT28" s="230" t="str">
        <f t="shared" si="60"/>
        <v/>
      </c>
    </row>
    <row r="29" spans="1:72" ht="12.5" x14ac:dyDescent="0.25">
      <c r="A29" s="269" t="str">
        <f t="shared" si="61"/>
        <v/>
      </c>
      <c r="B29" s="230" t="str">
        <f t="shared" si="62"/>
        <v/>
      </c>
      <c r="C29" s="270" t="str">
        <f t="shared" si="20"/>
        <v/>
      </c>
      <c r="D29" s="269" t="str">
        <f>IF(B29="","",IF(totals!$Q$3=0,IFERROR(IF(AD29=2,"0",AE29),""),"-"))</f>
        <v/>
      </c>
      <c r="E29" s="271" t="str">
        <f t="shared" si="21"/>
        <v/>
      </c>
      <c r="F29" s="272" t="str">
        <f t="shared" si="22"/>
        <v/>
      </c>
      <c r="G29" s="272" t="str">
        <f t="shared" si="23"/>
        <v/>
      </c>
      <c r="H29" s="269" t="str">
        <f t="shared" si="1"/>
        <v/>
      </c>
      <c r="I29" s="272" t="str">
        <f t="shared" si="24"/>
        <v/>
      </c>
      <c r="J29" s="272" t="str">
        <f t="shared" si="25"/>
        <v/>
      </c>
      <c r="K29" s="269" t="str">
        <f t="shared" si="2"/>
        <v/>
      </c>
      <c r="L29" s="272" t="str">
        <f t="shared" si="3"/>
        <v/>
      </c>
      <c r="M29" s="272" t="str">
        <f t="shared" si="26"/>
        <v/>
      </c>
      <c r="N29" s="269" t="str">
        <f t="shared" si="27"/>
        <v/>
      </c>
      <c r="O29" s="272" t="str">
        <f t="shared" si="28"/>
        <v/>
      </c>
      <c r="P29" s="272" t="str">
        <f t="shared" si="29"/>
        <v/>
      </c>
      <c r="Q29" s="269" t="str">
        <f t="shared" si="30"/>
        <v/>
      </c>
      <c r="R29" s="272" t="str">
        <f t="shared" si="31"/>
        <v/>
      </c>
      <c r="S29" s="272" t="str">
        <f t="shared" si="32"/>
        <v/>
      </c>
      <c r="T29" s="269" t="str">
        <f t="shared" si="33"/>
        <v/>
      </c>
      <c r="U29" s="230"/>
      <c r="V29" s="230"/>
      <c r="AB29" s="270" t="e">
        <f>VLOOKUP($B$6,Lookup_Source,22,0)</f>
        <v>#N/A</v>
      </c>
      <c r="AC29" s="254" t="str">
        <f t="shared" si="34"/>
        <v/>
      </c>
      <c r="AD29" s="255">
        <f t="shared" si="35"/>
        <v>7</v>
      </c>
      <c r="AE29" s="274" t="e">
        <f t="shared" si="4"/>
        <v>#N/A</v>
      </c>
      <c r="AF29" s="277" t="e">
        <f t="shared" si="36"/>
        <v>#N/A</v>
      </c>
      <c r="AG29" s="277" t="e">
        <f t="shared" si="37"/>
        <v>#N/A</v>
      </c>
      <c r="AH29" s="276" t="e">
        <f t="shared" si="5"/>
        <v>#N/A</v>
      </c>
      <c r="AI29" s="239">
        <f t="shared" si="38"/>
        <v>7</v>
      </c>
      <c r="AJ29" s="277" t="e">
        <f t="shared" si="6"/>
        <v>#N/A</v>
      </c>
      <c r="AK29" s="277" t="e">
        <f t="shared" si="39"/>
        <v>#N/A</v>
      </c>
      <c r="AL29" s="239" t="e">
        <f t="shared" si="7"/>
        <v>#N/A</v>
      </c>
      <c r="AM29" s="278" t="e">
        <f t="shared" si="40"/>
        <v>#N/A</v>
      </c>
      <c r="AN29" s="279" t="e">
        <f t="shared" si="8"/>
        <v>#N/A</v>
      </c>
      <c r="AO29" s="240" t="e">
        <f t="shared" si="9"/>
        <v>#N/A</v>
      </c>
      <c r="AP29" s="297">
        <f t="shared" si="41"/>
        <v>7</v>
      </c>
      <c r="AQ29" s="298" t="e">
        <f t="shared" si="10"/>
        <v>#N/A</v>
      </c>
      <c r="AR29" s="279" t="e">
        <f t="shared" si="42"/>
        <v>#N/A</v>
      </c>
      <c r="AS29" s="283" t="e">
        <f t="shared" si="11"/>
        <v>#N/A</v>
      </c>
      <c r="AT29" s="284">
        <f t="shared" si="43"/>
        <v>7</v>
      </c>
      <c r="AU29" s="285" t="e">
        <f t="shared" si="44"/>
        <v>#N/A</v>
      </c>
      <c r="AV29" s="286" t="e">
        <f t="shared" si="45"/>
        <v>#N/A</v>
      </c>
      <c r="AW29" s="287" t="e">
        <f t="shared" si="12"/>
        <v>#N/A</v>
      </c>
      <c r="AX29" s="245">
        <f t="shared" si="46"/>
        <v>7</v>
      </c>
      <c r="AY29" s="286" t="e">
        <f t="shared" si="13"/>
        <v>#N/A</v>
      </c>
      <c r="AZ29" s="245" t="e">
        <f t="shared" si="47"/>
        <v>#N/A</v>
      </c>
      <c r="BA29" s="245" t="e">
        <f t="shared" si="14"/>
        <v>#N/A</v>
      </c>
      <c r="BB29" s="288">
        <f t="shared" si="48"/>
        <v>7</v>
      </c>
      <c r="BC29" s="289" t="e">
        <f t="shared" si="49"/>
        <v>#N/A</v>
      </c>
      <c r="BD29" s="290" t="e">
        <f t="shared" si="50"/>
        <v>#N/A</v>
      </c>
      <c r="BE29" s="263" t="e">
        <f t="shared" si="15"/>
        <v>#N/A</v>
      </c>
      <c r="BF29" s="260">
        <f t="shared" si="51"/>
        <v>7</v>
      </c>
      <c r="BG29" s="289" t="e">
        <f t="shared" si="52"/>
        <v>#N/A</v>
      </c>
      <c r="BH29" s="290" t="e">
        <f t="shared" si="53"/>
        <v>#N/A</v>
      </c>
      <c r="BI29" s="263" t="e">
        <f t="shared" si="16"/>
        <v>#N/A</v>
      </c>
      <c r="BJ29" s="264">
        <f t="shared" si="54"/>
        <v>7</v>
      </c>
      <c r="BK29" s="291" t="e">
        <f t="shared" si="55"/>
        <v>#N/A</v>
      </c>
      <c r="BL29" s="291" t="e">
        <f t="shared" si="56"/>
        <v>#N/A</v>
      </c>
      <c r="BM29" s="292" t="e">
        <f t="shared" si="17"/>
        <v>#N/A</v>
      </c>
      <c r="BN29" s="293">
        <f t="shared" si="57"/>
        <v>7</v>
      </c>
      <c r="BO29" s="294" t="e">
        <f t="shared" si="58"/>
        <v>#N/A</v>
      </c>
      <c r="BP29" s="294" t="e">
        <f t="shared" si="59"/>
        <v>#N/A</v>
      </c>
      <c r="BQ29" s="292" t="e">
        <f t="shared" si="18"/>
        <v>#N/A</v>
      </c>
      <c r="BR29" s="295" t="e">
        <f t="shared" si="19"/>
        <v>#N/A</v>
      </c>
      <c r="BS29" s="230" t="e">
        <f>VLOOKUP($B29,SDR22_STOCK_BY_LA!$A$2:$C$11679,3,0)</f>
        <v>#N/A</v>
      </c>
      <c r="BT29" s="230" t="str">
        <f t="shared" si="60"/>
        <v/>
      </c>
    </row>
    <row r="30" spans="1:72" ht="12.5" x14ac:dyDescent="0.25">
      <c r="A30" s="230" t="str">
        <f t="shared" si="61"/>
        <v/>
      </c>
      <c r="B30" s="230" t="str">
        <f t="shared" si="62"/>
        <v/>
      </c>
      <c r="C30" s="296" t="str">
        <f t="shared" si="20"/>
        <v/>
      </c>
      <c r="D30" s="269" t="str">
        <f>IF(B30="","",IF(totals!$Q$3=0,IFERROR(IF(AD30=2,"0",AE30),""),"-"))</f>
        <v/>
      </c>
      <c r="E30" s="271" t="str">
        <f t="shared" si="21"/>
        <v/>
      </c>
      <c r="F30" s="272" t="str">
        <f t="shared" si="22"/>
        <v/>
      </c>
      <c r="G30" s="272" t="str">
        <f t="shared" si="23"/>
        <v/>
      </c>
      <c r="H30" s="269" t="str">
        <f t="shared" si="1"/>
        <v/>
      </c>
      <c r="I30" s="272" t="str">
        <f t="shared" si="24"/>
        <v/>
      </c>
      <c r="J30" s="272" t="str">
        <f t="shared" si="25"/>
        <v/>
      </c>
      <c r="K30" s="269" t="str">
        <f t="shared" si="2"/>
        <v/>
      </c>
      <c r="L30" s="272" t="str">
        <f t="shared" si="3"/>
        <v/>
      </c>
      <c r="M30" s="272" t="str">
        <f t="shared" si="26"/>
        <v/>
      </c>
      <c r="N30" s="269" t="str">
        <f t="shared" si="27"/>
        <v/>
      </c>
      <c r="O30" s="272" t="str">
        <f t="shared" si="28"/>
        <v/>
      </c>
      <c r="P30" s="272" t="str">
        <f t="shared" si="29"/>
        <v/>
      </c>
      <c r="Q30" s="269" t="str">
        <f t="shared" si="30"/>
        <v/>
      </c>
      <c r="R30" s="272" t="str">
        <f t="shared" si="31"/>
        <v/>
      </c>
      <c r="S30" s="272" t="str">
        <f t="shared" si="32"/>
        <v/>
      </c>
      <c r="T30" s="269" t="str">
        <f t="shared" si="33"/>
        <v/>
      </c>
      <c r="U30" s="230"/>
      <c r="V30" s="230"/>
      <c r="AB30" s="230" t="e">
        <f>VLOOKUP($B$6,Lookup_Source,23,0)</f>
        <v>#N/A</v>
      </c>
      <c r="AC30" s="254" t="str">
        <f t="shared" si="34"/>
        <v/>
      </c>
      <c r="AD30" s="255">
        <f t="shared" si="35"/>
        <v>7</v>
      </c>
      <c r="AE30" s="274" t="e">
        <f t="shared" si="4"/>
        <v>#N/A</v>
      </c>
      <c r="AF30" s="277" t="e">
        <f t="shared" si="36"/>
        <v>#N/A</v>
      </c>
      <c r="AG30" s="277" t="e">
        <f t="shared" si="37"/>
        <v>#N/A</v>
      </c>
      <c r="AH30" s="276" t="e">
        <f t="shared" si="5"/>
        <v>#N/A</v>
      </c>
      <c r="AI30" s="239">
        <f t="shared" si="38"/>
        <v>7</v>
      </c>
      <c r="AJ30" s="277" t="e">
        <f t="shared" si="6"/>
        <v>#N/A</v>
      </c>
      <c r="AK30" s="277" t="e">
        <f t="shared" si="39"/>
        <v>#N/A</v>
      </c>
      <c r="AL30" s="239" t="e">
        <f t="shared" si="7"/>
        <v>#N/A</v>
      </c>
      <c r="AM30" s="278" t="e">
        <f t="shared" si="40"/>
        <v>#N/A</v>
      </c>
      <c r="AN30" s="279" t="e">
        <f t="shared" si="8"/>
        <v>#N/A</v>
      </c>
      <c r="AO30" s="240" t="e">
        <f t="shared" si="9"/>
        <v>#N/A</v>
      </c>
      <c r="AP30" s="297">
        <f t="shared" si="41"/>
        <v>7</v>
      </c>
      <c r="AQ30" s="298" t="e">
        <f t="shared" si="10"/>
        <v>#N/A</v>
      </c>
      <c r="AR30" s="279" t="e">
        <f t="shared" si="42"/>
        <v>#N/A</v>
      </c>
      <c r="AS30" s="283" t="e">
        <f t="shared" si="11"/>
        <v>#N/A</v>
      </c>
      <c r="AT30" s="284">
        <f t="shared" si="43"/>
        <v>7</v>
      </c>
      <c r="AU30" s="285" t="e">
        <f t="shared" si="44"/>
        <v>#N/A</v>
      </c>
      <c r="AV30" s="286" t="e">
        <f t="shared" si="45"/>
        <v>#N/A</v>
      </c>
      <c r="AW30" s="287" t="e">
        <f t="shared" si="12"/>
        <v>#N/A</v>
      </c>
      <c r="AX30" s="245">
        <f t="shared" si="46"/>
        <v>7</v>
      </c>
      <c r="AY30" s="286" t="e">
        <f t="shared" si="13"/>
        <v>#N/A</v>
      </c>
      <c r="AZ30" s="245" t="e">
        <f t="shared" si="47"/>
        <v>#N/A</v>
      </c>
      <c r="BA30" s="245" t="e">
        <f t="shared" si="14"/>
        <v>#N/A</v>
      </c>
      <c r="BB30" s="288">
        <f t="shared" si="48"/>
        <v>7</v>
      </c>
      <c r="BC30" s="289" t="e">
        <f t="shared" si="49"/>
        <v>#N/A</v>
      </c>
      <c r="BD30" s="290" t="e">
        <f t="shared" si="50"/>
        <v>#N/A</v>
      </c>
      <c r="BE30" s="263" t="e">
        <f t="shared" si="15"/>
        <v>#N/A</v>
      </c>
      <c r="BF30" s="260">
        <f t="shared" si="51"/>
        <v>7</v>
      </c>
      <c r="BG30" s="289" t="e">
        <f t="shared" si="52"/>
        <v>#N/A</v>
      </c>
      <c r="BH30" s="290" t="e">
        <f t="shared" si="53"/>
        <v>#N/A</v>
      </c>
      <c r="BI30" s="263" t="e">
        <f t="shared" si="16"/>
        <v>#N/A</v>
      </c>
      <c r="BJ30" s="264">
        <f t="shared" si="54"/>
        <v>7</v>
      </c>
      <c r="BK30" s="291" t="e">
        <f t="shared" si="55"/>
        <v>#N/A</v>
      </c>
      <c r="BL30" s="291" t="e">
        <f t="shared" si="56"/>
        <v>#N/A</v>
      </c>
      <c r="BM30" s="292" t="e">
        <f t="shared" si="17"/>
        <v>#N/A</v>
      </c>
      <c r="BN30" s="293">
        <f t="shared" si="57"/>
        <v>7</v>
      </c>
      <c r="BO30" s="294" t="e">
        <f t="shared" si="58"/>
        <v>#N/A</v>
      </c>
      <c r="BP30" s="294" t="e">
        <f t="shared" si="59"/>
        <v>#N/A</v>
      </c>
      <c r="BQ30" s="292" t="e">
        <f t="shared" si="18"/>
        <v>#N/A</v>
      </c>
      <c r="BR30" s="295" t="e">
        <f t="shared" si="19"/>
        <v>#N/A</v>
      </c>
      <c r="BS30" s="230" t="e">
        <f>VLOOKUP($B30,SDR22_STOCK_BY_LA!$A$2:$C$11679,3,0)</f>
        <v>#N/A</v>
      </c>
      <c r="BT30" s="230" t="str">
        <f t="shared" si="60"/>
        <v/>
      </c>
    </row>
    <row r="31" spans="1:72" ht="12.5" x14ac:dyDescent="0.25">
      <c r="A31" s="269" t="str">
        <f t="shared" si="61"/>
        <v/>
      </c>
      <c r="B31" s="230" t="str">
        <f t="shared" si="62"/>
        <v/>
      </c>
      <c r="C31" s="270" t="str">
        <f t="shared" si="20"/>
        <v/>
      </c>
      <c r="D31" s="269" t="str">
        <f>IF(B31="","",IF(totals!$Q$3=0,IFERROR(IF(AD31=2,"0",AE31),""),"-"))</f>
        <v/>
      </c>
      <c r="E31" s="271" t="str">
        <f t="shared" si="21"/>
        <v/>
      </c>
      <c r="F31" s="272" t="str">
        <f t="shared" si="22"/>
        <v/>
      </c>
      <c r="G31" s="272" t="str">
        <f t="shared" si="23"/>
        <v/>
      </c>
      <c r="H31" s="269" t="str">
        <f t="shared" si="1"/>
        <v/>
      </c>
      <c r="I31" s="272" t="str">
        <f t="shared" si="24"/>
        <v/>
      </c>
      <c r="J31" s="272" t="str">
        <f t="shared" si="25"/>
        <v/>
      </c>
      <c r="K31" s="269" t="str">
        <f t="shared" si="2"/>
        <v/>
      </c>
      <c r="L31" s="272" t="str">
        <f t="shared" si="3"/>
        <v/>
      </c>
      <c r="M31" s="272" t="str">
        <f t="shared" si="26"/>
        <v/>
      </c>
      <c r="N31" s="269" t="str">
        <f t="shared" si="27"/>
        <v/>
      </c>
      <c r="O31" s="272" t="str">
        <f t="shared" si="28"/>
        <v/>
      </c>
      <c r="P31" s="272" t="str">
        <f t="shared" si="29"/>
        <v/>
      </c>
      <c r="Q31" s="269" t="str">
        <f t="shared" si="30"/>
        <v/>
      </c>
      <c r="R31" s="272" t="str">
        <f t="shared" si="31"/>
        <v/>
      </c>
      <c r="S31" s="272" t="str">
        <f t="shared" si="32"/>
        <v/>
      </c>
      <c r="T31" s="269" t="str">
        <f t="shared" si="33"/>
        <v/>
      </c>
      <c r="U31" s="230"/>
      <c r="V31" s="230"/>
      <c r="AB31" s="270" t="e">
        <f>VLOOKUP($B$6,Lookup_Source,24,0)</f>
        <v>#N/A</v>
      </c>
      <c r="AC31" s="254" t="str">
        <f t="shared" si="34"/>
        <v/>
      </c>
      <c r="AD31" s="255">
        <f t="shared" si="35"/>
        <v>7</v>
      </c>
      <c r="AE31" s="274" t="e">
        <f t="shared" si="4"/>
        <v>#N/A</v>
      </c>
      <c r="AF31" s="277" t="e">
        <f t="shared" si="36"/>
        <v>#N/A</v>
      </c>
      <c r="AG31" s="277" t="e">
        <f t="shared" si="37"/>
        <v>#N/A</v>
      </c>
      <c r="AH31" s="276" t="e">
        <f t="shared" si="5"/>
        <v>#N/A</v>
      </c>
      <c r="AI31" s="239">
        <f t="shared" si="38"/>
        <v>7</v>
      </c>
      <c r="AJ31" s="277" t="e">
        <f t="shared" si="6"/>
        <v>#N/A</v>
      </c>
      <c r="AK31" s="277" t="e">
        <f t="shared" si="39"/>
        <v>#N/A</v>
      </c>
      <c r="AL31" s="239" t="e">
        <f t="shared" si="7"/>
        <v>#N/A</v>
      </c>
      <c r="AM31" s="278" t="e">
        <f t="shared" si="40"/>
        <v>#N/A</v>
      </c>
      <c r="AN31" s="279" t="e">
        <f t="shared" si="8"/>
        <v>#N/A</v>
      </c>
      <c r="AO31" s="240" t="e">
        <f t="shared" si="9"/>
        <v>#N/A</v>
      </c>
      <c r="AP31" s="297">
        <f t="shared" si="41"/>
        <v>7</v>
      </c>
      <c r="AQ31" s="298" t="e">
        <f t="shared" si="10"/>
        <v>#N/A</v>
      </c>
      <c r="AR31" s="279" t="e">
        <f t="shared" si="42"/>
        <v>#N/A</v>
      </c>
      <c r="AS31" s="283" t="e">
        <f t="shared" si="11"/>
        <v>#N/A</v>
      </c>
      <c r="AT31" s="284">
        <f t="shared" si="43"/>
        <v>7</v>
      </c>
      <c r="AU31" s="285" t="e">
        <f t="shared" si="44"/>
        <v>#N/A</v>
      </c>
      <c r="AV31" s="286" t="e">
        <f t="shared" si="45"/>
        <v>#N/A</v>
      </c>
      <c r="AW31" s="287" t="e">
        <f t="shared" si="12"/>
        <v>#N/A</v>
      </c>
      <c r="AX31" s="245">
        <f t="shared" si="46"/>
        <v>7</v>
      </c>
      <c r="AY31" s="286" t="e">
        <f t="shared" si="13"/>
        <v>#N/A</v>
      </c>
      <c r="AZ31" s="245" t="e">
        <f t="shared" si="47"/>
        <v>#N/A</v>
      </c>
      <c r="BA31" s="245" t="e">
        <f t="shared" si="14"/>
        <v>#N/A</v>
      </c>
      <c r="BB31" s="288">
        <f t="shared" si="48"/>
        <v>7</v>
      </c>
      <c r="BC31" s="289" t="e">
        <f t="shared" si="49"/>
        <v>#N/A</v>
      </c>
      <c r="BD31" s="290" t="e">
        <f t="shared" si="50"/>
        <v>#N/A</v>
      </c>
      <c r="BE31" s="263" t="e">
        <f t="shared" si="15"/>
        <v>#N/A</v>
      </c>
      <c r="BF31" s="260">
        <f t="shared" si="51"/>
        <v>7</v>
      </c>
      <c r="BG31" s="289" t="e">
        <f t="shared" si="52"/>
        <v>#N/A</v>
      </c>
      <c r="BH31" s="290" t="e">
        <f t="shared" si="53"/>
        <v>#N/A</v>
      </c>
      <c r="BI31" s="263" t="e">
        <f t="shared" si="16"/>
        <v>#N/A</v>
      </c>
      <c r="BJ31" s="264">
        <f t="shared" si="54"/>
        <v>7</v>
      </c>
      <c r="BK31" s="291" t="e">
        <f t="shared" si="55"/>
        <v>#N/A</v>
      </c>
      <c r="BL31" s="291" t="e">
        <f t="shared" si="56"/>
        <v>#N/A</v>
      </c>
      <c r="BM31" s="292" t="e">
        <f t="shared" si="17"/>
        <v>#N/A</v>
      </c>
      <c r="BN31" s="293">
        <f t="shared" si="57"/>
        <v>7</v>
      </c>
      <c r="BO31" s="294" t="e">
        <f t="shared" si="58"/>
        <v>#N/A</v>
      </c>
      <c r="BP31" s="294" t="e">
        <f t="shared" si="59"/>
        <v>#N/A</v>
      </c>
      <c r="BQ31" s="292" t="e">
        <f t="shared" si="18"/>
        <v>#N/A</v>
      </c>
      <c r="BR31" s="295" t="e">
        <f t="shared" si="19"/>
        <v>#N/A</v>
      </c>
      <c r="BS31" s="230" t="e">
        <f>VLOOKUP($B31,SDR22_STOCK_BY_LA!$A$2:$C$11679,3,0)</f>
        <v>#N/A</v>
      </c>
      <c r="BT31" s="230" t="str">
        <f t="shared" si="60"/>
        <v/>
      </c>
    </row>
    <row r="32" spans="1:72" ht="12.5" x14ac:dyDescent="0.25">
      <c r="A32" s="230" t="str">
        <f t="shared" si="61"/>
        <v/>
      </c>
      <c r="B32" s="230" t="str">
        <f t="shared" si="62"/>
        <v/>
      </c>
      <c r="C32" s="296" t="str">
        <f t="shared" si="20"/>
        <v/>
      </c>
      <c r="D32" s="269" t="str">
        <f>IF(B32="","",IF(totals!$Q$3=0,IFERROR(IF(AD32=2,"0",AE32),""),"-"))</f>
        <v/>
      </c>
      <c r="E32" s="271" t="str">
        <f t="shared" si="21"/>
        <v/>
      </c>
      <c r="F32" s="272" t="str">
        <f t="shared" si="22"/>
        <v/>
      </c>
      <c r="G32" s="272" t="str">
        <f t="shared" si="23"/>
        <v/>
      </c>
      <c r="H32" s="269" t="str">
        <f t="shared" si="1"/>
        <v/>
      </c>
      <c r="I32" s="272" t="str">
        <f t="shared" si="24"/>
        <v/>
      </c>
      <c r="J32" s="272" t="str">
        <f t="shared" si="25"/>
        <v/>
      </c>
      <c r="K32" s="269" t="str">
        <f t="shared" si="2"/>
        <v/>
      </c>
      <c r="L32" s="272" t="str">
        <f t="shared" si="3"/>
        <v/>
      </c>
      <c r="M32" s="272" t="str">
        <f t="shared" si="26"/>
        <v/>
      </c>
      <c r="N32" s="269" t="str">
        <f t="shared" si="27"/>
        <v/>
      </c>
      <c r="O32" s="272" t="str">
        <f t="shared" si="28"/>
        <v/>
      </c>
      <c r="P32" s="272" t="str">
        <f t="shared" si="29"/>
        <v/>
      </c>
      <c r="Q32" s="269" t="str">
        <f t="shared" si="30"/>
        <v/>
      </c>
      <c r="R32" s="272" t="str">
        <f t="shared" si="31"/>
        <v/>
      </c>
      <c r="S32" s="272" t="str">
        <f t="shared" si="32"/>
        <v/>
      </c>
      <c r="T32" s="269" t="str">
        <f t="shared" si="33"/>
        <v/>
      </c>
      <c r="U32" s="230"/>
      <c r="V32" s="230"/>
      <c r="AB32" s="230" t="e">
        <f>VLOOKUP($B$6,Lookup_Source,25,0)</f>
        <v>#N/A</v>
      </c>
      <c r="AC32" s="254" t="str">
        <f t="shared" si="34"/>
        <v/>
      </c>
      <c r="AD32" s="255">
        <f t="shared" si="35"/>
        <v>7</v>
      </c>
      <c r="AE32" s="274" t="e">
        <f t="shared" si="4"/>
        <v>#N/A</v>
      </c>
      <c r="AF32" s="277" t="e">
        <f t="shared" si="36"/>
        <v>#N/A</v>
      </c>
      <c r="AG32" s="277" t="e">
        <f t="shared" si="37"/>
        <v>#N/A</v>
      </c>
      <c r="AH32" s="276" t="e">
        <f t="shared" si="5"/>
        <v>#N/A</v>
      </c>
      <c r="AI32" s="239">
        <f t="shared" si="38"/>
        <v>7</v>
      </c>
      <c r="AJ32" s="277" t="e">
        <f t="shared" si="6"/>
        <v>#N/A</v>
      </c>
      <c r="AK32" s="277" t="e">
        <f t="shared" si="39"/>
        <v>#N/A</v>
      </c>
      <c r="AL32" s="239" t="e">
        <f t="shared" si="7"/>
        <v>#N/A</v>
      </c>
      <c r="AM32" s="278" t="e">
        <f t="shared" si="40"/>
        <v>#N/A</v>
      </c>
      <c r="AN32" s="279" t="e">
        <f t="shared" si="8"/>
        <v>#N/A</v>
      </c>
      <c r="AO32" s="240" t="e">
        <f t="shared" si="9"/>
        <v>#N/A</v>
      </c>
      <c r="AP32" s="297">
        <f t="shared" si="41"/>
        <v>7</v>
      </c>
      <c r="AQ32" s="298" t="e">
        <f t="shared" si="10"/>
        <v>#N/A</v>
      </c>
      <c r="AR32" s="279" t="e">
        <f t="shared" si="42"/>
        <v>#N/A</v>
      </c>
      <c r="AS32" s="283" t="e">
        <f t="shared" si="11"/>
        <v>#N/A</v>
      </c>
      <c r="AT32" s="284">
        <f t="shared" si="43"/>
        <v>7</v>
      </c>
      <c r="AU32" s="285" t="e">
        <f t="shared" si="44"/>
        <v>#N/A</v>
      </c>
      <c r="AV32" s="286" t="e">
        <f t="shared" si="45"/>
        <v>#N/A</v>
      </c>
      <c r="AW32" s="287" t="e">
        <f t="shared" si="12"/>
        <v>#N/A</v>
      </c>
      <c r="AX32" s="245">
        <f t="shared" si="46"/>
        <v>7</v>
      </c>
      <c r="AY32" s="286" t="e">
        <f t="shared" si="13"/>
        <v>#N/A</v>
      </c>
      <c r="AZ32" s="245" t="e">
        <f t="shared" si="47"/>
        <v>#N/A</v>
      </c>
      <c r="BA32" s="245" t="e">
        <f t="shared" si="14"/>
        <v>#N/A</v>
      </c>
      <c r="BB32" s="288">
        <f t="shared" si="48"/>
        <v>7</v>
      </c>
      <c r="BC32" s="289" t="e">
        <f t="shared" si="49"/>
        <v>#N/A</v>
      </c>
      <c r="BD32" s="290" t="e">
        <f t="shared" si="50"/>
        <v>#N/A</v>
      </c>
      <c r="BE32" s="263" t="e">
        <f t="shared" si="15"/>
        <v>#N/A</v>
      </c>
      <c r="BF32" s="260">
        <f t="shared" si="51"/>
        <v>7</v>
      </c>
      <c r="BG32" s="289" t="e">
        <f t="shared" si="52"/>
        <v>#N/A</v>
      </c>
      <c r="BH32" s="290" t="e">
        <f t="shared" si="53"/>
        <v>#N/A</v>
      </c>
      <c r="BI32" s="263" t="e">
        <f t="shared" si="16"/>
        <v>#N/A</v>
      </c>
      <c r="BJ32" s="264">
        <f t="shared" si="54"/>
        <v>7</v>
      </c>
      <c r="BK32" s="291" t="e">
        <f t="shared" si="55"/>
        <v>#N/A</v>
      </c>
      <c r="BL32" s="291" t="e">
        <f t="shared" si="56"/>
        <v>#N/A</v>
      </c>
      <c r="BM32" s="292" t="e">
        <f t="shared" si="17"/>
        <v>#N/A</v>
      </c>
      <c r="BN32" s="293">
        <f t="shared" si="57"/>
        <v>7</v>
      </c>
      <c r="BO32" s="294" t="e">
        <f t="shared" si="58"/>
        <v>#N/A</v>
      </c>
      <c r="BP32" s="294" t="e">
        <f t="shared" si="59"/>
        <v>#N/A</v>
      </c>
      <c r="BQ32" s="292" t="e">
        <f t="shared" si="18"/>
        <v>#N/A</v>
      </c>
      <c r="BR32" s="295" t="e">
        <f t="shared" si="19"/>
        <v>#N/A</v>
      </c>
      <c r="BS32" s="230" t="e">
        <f>VLOOKUP($B32,SDR22_STOCK_BY_LA!$A$2:$C$11679,3,0)</f>
        <v>#N/A</v>
      </c>
      <c r="BT32" s="230" t="str">
        <f t="shared" si="60"/>
        <v/>
      </c>
    </row>
    <row r="33" spans="1:72" ht="12.5" x14ac:dyDescent="0.25">
      <c r="A33" s="269" t="str">
        <f t="shared" si="61"/>
        <v/>
      </c>
      <c r="B33" s="230" t="str">
        <f t="shared" si="62"/>
        <v/>
      </c>
      <c r="C33" s="270" t="str">
        <f t="shared" si="20"/>
        <v/>
      </c>
      <c r="D33" s="269" t="str">
        <f>IF(B33="","",IF(totals!$Q$3=0,IFERROR(IF(AD33=2,"0",AE33),""),"-"))</f>
        <v/>
      </c>
      <c r="E33" s="271" t="str">
        <f t="shared" si="21"/>
        <v/>
      </c>
      <c r="F33" s="272" t="str">
        <f t="shared" si="22"/>
        <v/>
      </c>
      <c r="G33" s="272" t="str">
        <f t="shared" si="23"/>
        <v/>
      </c>
      <c r="H33" s="269" t="str">
        <f t="shared" si="1"/>
        <v/>
      </c>
      <c r="I33" s="272" t="str">
        <f t="shared" si="24"/>
        <v/>
      </c>
      <c r="J33" s="272" t="str">
        <f t="shared" si="25"/>
        <v/>
      </c>
      <c r="K33" s="269" t="str">
        <f t="shared" si="2"/>
        <v/>
      </c>
      <c r="L33" s="272" t="str">
        <f t="shared" si="3"/>
        <v/>
      </c>
      <c r="M33" s="272" t="str">
        <f t="shared" si="26"/>
        <v/>
      </c>
      <c r="N33" s="269" t="str">
        <f t="shared" si="27"/>
        <v/>
      </c>
      <c r="O33" s="272" t="str">
        <f t="shared" si="28"/>
        <v/>
      </c>
      <c r="P33" s="272" t="str">
        <f t="shared" si="29"/>
        <v/>
      </c>
      <c r="Q33" s="269" t="str">
        <f t="shared" si="30"/>
        <v/>
      </c>
      <c r="R33" s="272" t="str">
        <f t="shared" si="31"/>
        <v/>
      </c>
      <c r="S33" s="272" t="str">
        <f t="shared" si="32"/>
        <v/>
      </c>
      <c r="T33" s="269" t="str">
        <f t="shared" si="33"/>
        <v/>
      </c>
      <c r="U33" s="230"/>
      <c r="V33" s="230"/>
      <c r="AB33" s="270" t="e">
        <f>VLOOKUP($B$6,Lookup_Source,26,0)</f>
        <v>#N/A</v>
      </c>
      <c r="AC33" s="254" t="str">
        <f t="shared" si="34"/>
        <v/>
      </c>
      <c r="AD33" s="255">
        <f t="shared" si="35"/>
        <v>7</v>
      </c>
      <c r="AE33" s="274" t="e">
        <f t="shared" si="4"/>
        <v>#N/A</v>
      </c>
      <c r="AF33" s="277" t="e">
        <f t="shared" si="36"/>
        <v>#N/A</v>
      </c>
      <c r="AG33" s="277" t="e">
        <f t="shared" si="37"/>
        <v>#N/A</v>
      </c>
      <c r="AH33" s="276" t="e">
        <f t="shared" si="5"/>
        <v>#N/A</v>
      </c>
      <c r="AI33" s="239">
        <f t="shared" si="38"/>
        <v>7</v>
      </c>
      <c r="AJ33" s="277" t="e">
        <f t="shared" si="6"/>
        <v>#N/A</v>
      </c>
      <c r="AK33" s="277" t="e">
        <f t="shared" si="39"/>
        <v>#N/A</v>
      </c>
      <c r="AL33" s="239" t="e">
        <f t="shared" si="7"/>
        <v>#N/A</v>
      </c>
      <c r="AM33" s="278" t="e">
        <f t="shared" si="40"/>
        <v>#N/A</v>
      </c>
      <c r="AN33" s="279" t="e">
        <f t="shared" si="8"/>
        <v>#N/A</v>
      </c>
      <c r="AO33" s="240" t="e">
        <f t="shared" si="9"/>
        <v>#N/A</v>
      </c>
      <c r="AP33" s="297">
        <f t="shared" si="41"/>
        <v>7</v>
      </c>
      <c r="AQ33" s="298" t="e">
        <f t="shared" si="10"/>
        <v>#N/A</v>
      </c>
      <c r="AR33" s="279" t="e">
        <f t="shared" si="42"/>
        <v>#N/A</v>
      </c>
      <c r="AS33" s="283" t="e">
        <f t="shared" si="11"/>
        <v>#N/A</v>
      </c>
      <c r="AT33" s="284">
        <f t="shared" si="43"/>
        <v>7</v>
      </c>
      <c r="AU33" s="285" t="e">
        <f t="shared" si="44"/>
        <v>#N/A</v>
      </c>
      <c r="AV33" s="286" t="e">
        <f t="shared" si="45"/>
        <v>#N/A</v>
      </c>
      <c r="AW33" s="287" t="e">
        <f t="shared" si="12"/>
        <v>#N/A</v>
      </c>
      <c r="AX33" s="245">
        <f t="shared" si="46"/>
        <v>7</v>
      </c>
      <c r="AY33" s="286" t="e">
        <f t="shared" si="13"/>
        <v>#N/A</v>
      </c>
      <c r="AZ33" s="245" t="e">
        <f t="shared" si="47"/>
        <v>#N/A</v>
      </c>
      <c r="BA33" s="245" t="e">
        <f t="shared" si="14"/>
        <v>#N/A</v>
      </c>
      <c r="BB33" s="288">
        <f t="shared" si="48"/>
        <v>7</v>
      </c>
      <c r="BC33" s="289" t="e">
        <f t="shared" si="49"/>
        <v>#N/A</v>
      </c>
      <c r="BD33" s="290" t="e">
        <f t="shared" si="50"/>
        <v>#N/A</v>
      </c>
      <c r="BE33" s="263" t="e">
        <f t="shared" si="15"/>
        <v>#N/A</v>
      </c>
      <c r="BF33" s="260">
        <f t="shared" si="51"/>
        <v>7</v>
      </c>
      <c r="BG33" s="289" t="e">
        <f t="shared" si="52"/>
        <v>#N/A</v>
      </c>
      <c r="BH33" s="290" t="e">
        <f t="shared" si="53"/>
        <v>#N/A</v>
      </c>
      <c r="BI33" s="263" t="e">
        <f t="shared" si="16"/>
        <v>#N/A</v>
      </c>
      <c r="BJ33" s="264">
        <f t="shared" si="54"/>
        <v>7</v>
      </c>
      <c r="BK33" s="291" t="e">
        <f t="shared" si="55"/>
        <v>#N/A</v>
      </c>
      <c r="BL33" s="291" t="e">
        <f t="shared" si="56"/>
        <v>#N/A</v>
      </c>
      <c r="BM33" s="292" t="e">
        <f t="shared" si="17"/>
        <v>#N/A</v>
      </c>
      <c r="BN33" s="293">
        <f t="shared" si="57"/>
        <v>7</v>
      </c>
      <c r="BO33" s="294" t="e">
        <f t="shared" si="58"/>
        <v>#N/A</v>
      </c>
      <c r="BP33" s="294" t="e">
        <f t="shared" si="59"/>
        <v>#N/A</v>
      </c>
      <c r="BQ33" s="292" t="e">
        <f t="shared" si="18"/>
        <v>#N/A</v>
      </c>
      <c r="BR33" s="295" t="e">
        <f t="shared" si="19"/>
        <v>#N/A</v>
      </c>
      <c r="BS33" s="230" t="e">
        <f>VLOOKUP($B33,SDR22_STOCK_BY_LA!$A$2:$C$11679,3,0)</f>
        <v>#N/A</v>
      </c>
      <c r="BT33" s="230" t="str">
        <f t="shared" si="60"/>
        <v/>
      </c>
    </row>
    <row r="34" spans="1:72" ht="12.5" x14ac:dyDescent="0.25">
      <c r="A34" s="230" t="str">
        <f t="shared" si="61"/>
        <v/>
      </c>
      <c r="B34" s="230" t="str">
        <f t="shared" si="62"/>
        <v/>
      </c>
      <c r="C34" s="296" t="str">
        <f t="shared" si="20"/>
        <v/>
      </c>
      <c r="D34" s="269" t="str">
        <f>IF(B34="","",IF(totals!$Q$3=0,IFERROR(IF(AD34=2,"0",AE34),""),"-"))</f>
        <v/>
      </c>
      <c r="E34" s="271" t="str">
        <f t="shared" si="21"/>
        <v/>
      </c>
      <c r="F34" s="272" t="str">
        <f t="shared" si="22"/>
        <v/>
      </c>
      <c r="G34" s="272" t="str">
        <f t="shared" si="23"/>
        <v/>
      </c>
      <c r="H34" s="269" t="str">
        <f t="shared" si="1"/>
        <v/>
      </c>
      <c r="I34" s="272" t="str">
        <f t="shared" si="24"/>
        <v/>
      </c>
      <c r="J34" s="272" t="str">
        <f t="shared" si="25"/>
        <v/>
      </c>
      <c r="K34" s="269" t="str">
        <f t="shared" si="2"/>
        <v/>
      </c>
      <c r="L34" s="272" t="str">
        <f t="shared" si="3"/>
        <v/>
      </c>
      <c r="M34" s="272" t="str">
        <f t="shared" si="26"/>
        <v/>
      </c>
      <c r="N34" s="269" t="str">
        <f t="shared" si="27"/>
        <v/>
      </c>
      <c r="O34" s="272" t="str">
        <f t="shared" si="28"/>
        <v/>
      </c>
      <c r="P34" s="272" t="str">
        <f t="shared" si="29"/>
        <v/>
      </c>
      <c r="Q34" s="269" t="str">
        <f t="shared" si="30"/>
        <v/>
      </c>
      <c r="R34" s="272" t="str">
        <f t="shared" si="31"/>
        <v/>
      </c>
      <c r="S34" s="272" t="str">
        <f t="shared" si="32"/>
        <v/>
      </c>
      <c r="T34" s="269" t="str">
        <f t="shared" si="33"/>
        <v/>
      </c>
      <c r="U34" s="230"/>
      <c r="V34" s="230"/>
      <c r="AB34" s="230" t="e">
        <f>VLOOKUP($B$6,Lookup_Source,27,0)</f>
        <v>#N/A</v>
      </c>
      <c r="AC34" s="254" t="str">
        <f t="shared" si="34"/>
        <v/>
      </c>
      <c r="AD34" s="255">
        <f t="shared" si="35"/>
        <v>7</v>
      </c>
      <c r="AE34" s="274" t="e">
        <f t="shared" si="4"/>
        <v>#N/A</v>
      </c>
      <c r="AF34" s="277" t="e">
        <f t="shared" si="36"/>
        <v>#N/A</v>
      </c>
      <c r="AG34" s="277" t="e">
        <f t="shared" si="37"/>
        <v>#N/A</v>
      </c>
      <c r="AH34" s="276" t="e">
        <f t="shared" si="5"/>
        <v>#N/A</v>
      </c>
      <c r="AI34" s="239">
        <f t="shared" si="38"/>
        <v>7</v>
      </c>
      <c r="AJ34" s="277" t="e">
        <f t="shared" si="6"/>
        <v>#N/A</v>
      </c>
      <c r="AK34" s="277" t="e">
        <f t="shared" si="39"/>
        <v>#N/A</v>
      </c>
      <c r="AL34" s="239" t="e">
        <f t="shared" si="7"/>
        <v>#N/A</v>
      </c>
      <c r="AM34" s="278" t="e">
        <f t="shared" si="40"/>
        <v>#N/A</v>
      </c>
      <c r="AN34" s="279" t="e">
        <f t="shared" si="8"/>
        <v>#N/A</v>
      </c>
      <c r="AO34" s="240" t="e">
        <f t="shared" si="9"/>
        <v>#N/A</v>
      </c>
      <c r="AP34" s="297">
        <f t="shared" si="41"/>
        <v>7</v>
      </c>
      <c r="AQ34" s="298" t="e">
        <f t="shared" si="10"/>
        <v>#N/A</v>
      </c>
      <c r="AR34" s="279" t="e">
        <f t="shared" si="42"/>
        <v>#N/A</v>
      </c>
      <c r="AS34" s="283" t="e">
        <f t="shared" si="11"/>
        <v>#N/A</v>
      </c>
      <c r="AT34" s="284">
        <f t="shared" si="43"/>
        <v>7</v>
      </c>
      <c r="AU34" s="285" t="e">
        <f t="shared" si="44"/>
        <v>#N/A</v>
      </c>
      <c r="AV34" s="286" t="e">
        <f t="shared" si="45"/>
        <v>#N/A</v>
      </c>
      <c r="AW34" s="287" t="e">
        <f t="shared" si="12"/>
        <v>#N/A</v>
      </c>
      <c r="AX34" s="245">
        <f t="shared" si="46"/>
        <v>7</v>
      </c>
      <c r="AY34" s="286" t="e">
        <f t="shared" si="13"/>
        <v>#N/A</v>
      </c>
      <c r="AZ34" s="245" t="e">
        <f t="shared" si="47"/>
        <v>#N/A</v>
      </c>
      <c r="BA34" s="245" t="e">
        <f t="shared" si="14"/>
        <v>#N/A</v>
      </c>
      <c r="BB34" s="288">
        <f t="shared" si="48"/>
        <v>7</v>
      </c>
      <c r="BC34" s="289" t="e">
        <f t="shared" si="49"/>
        <v>#N/A</v>
      </c>
      <c r="BD34" s="290" t="e">
        <f t="shared" si="50"/>
        <v>#N/A</v>
      </c>
      <c r="BE34" s="263" t="e">
        <f t="shared" si="15"/>
        <v>#N/A</v>
      </c>
      <c r="BF34" s="260">
        <f t="shared" si="51"/>
        <v>7</v>
      </c>
      <c r="BG34" s="289" t="e">
        <f t="shared" si="52"/>
        <v>#N/A</v>
      </c>
      <c r="BH34" s="290" t="e">
        <f t="shared" si="53"/>
        <v>#N/A</v>
      </c>
      <c r="BI34" s="263" t="e">
        <f t="shared" si="16"/>
        <v>#N/A</v>
      </c>
      <c r="BJ34" s="264">
        <f t="shared" si="54"/>
        <v>7</v>
      </c>
      <c r="BK34" s="291" t="e">
        <f t="shared" si="55"/>
        <v>#N/A</v>
      </c>
      <c r="BL34" s="291" t="e">
        <f t="shared" si="56"/>
        <v>#N/A</v>
      </c>
      <c r="BM34" s="292" t="e">
        <f t="shared" si="17"/>
        <v>#N/A</v>
      </c>
      <c r="BN34" s="293">
        <f t="shared" si="57"/>
        <v>7</v>
      </c>
      <c r="BO34" s="294" t="e">
        <f t="shared" si="58"/>
        <v>#N/A</v>
      </c>
      <c r="BP34" s="294" t="e">
        <f t="shared" si="59"/>
        <v>#N/A</v>
      </c>
      <c r="BQ34" s="292" t="e">
        <f t="shared" si="18"/>
        <v>#N/A</v>
      </c>
      <c r="BR34" s="295" t="e">
        <f t="shared" si="19"/>
        <v>#N/A</v>
      </c>
      <c r="BS34" s="230" t="e">
        <f>VLOOKUP($B34,SDR22_STOCK_BY_LA!$A$2:$C$11679,3,0)</f>
        <v>#N/A</v>
      </c>
      <c r="BT34" s="230" t="str">
        <f t="shared" si="60"/>
        <v/>
      </c>
    </row>
    <row r="35" spans="1:72" ht="12.5" x14ac:dyDescent="0.25">
      <c r="A35" s="269" t="str">
        <f t="shared" si="61"/>
        <v/>
      </c>
      <c r="B35" s="230" t="str">
        <f t="shared" si="62"/>
        <v/>
      </c>
      <c r="C35" s="270" t="str">
        <f t="shared" si="20"/>
        <v/>
      </c>
      <c r="D35" s="269" t="str">
        <f>IF(B35="","",IF(totals!$Q$3=0,IFERROR(IF(AD35=2,"0",AE35),""),"-"))</f>
        <v/>
      </c>
      <c r="E35" s="271" t="str">
        <f t="shared" si="21"/>
        <v/>
      </c>
      <c r="F35" s="272" t="str">
        <f t="shared" si="22"/>
        <v/>
      </c>
      <c r="G35" s="272" t="str">
        <f t="shared" si="23"/>
        <v/>
      </c>
      <c r="H35" s="269" t="str">
        <f t="shared" si="1"/>
        <v/>
      </c>
      <c r="I35" s="272" t="str">
        <f t="shared" si="24"/>
        <v/>
      </c>
      <c r="J35" s="272" t="str">
        <f t="shared" si="25"/>
        <v/>
      </c>
      <c r="K35" s="269" t="str">
        <f t="shared" si="2"/>
        <v/>
      </c>
      <c r="L35" s="272" t="str">
        <f t="shared" si="3"/>
        <v/>
      </c>
      <c r="M35" s="272" t="str">
        <f t="shared" si="26"/>
        <v/>
      </c>
      <c r="N35" s="269" t="str">
        <f t="shared" si="27"/>
        <v/>
      </c>
      <c r="O35" s="272" t="str">
        <f t="shared" si="28"/>
        <v/>
      </c>
      <c r="P35" s="272" t="str">
        <f t="shared" si="29"/>
        <v/>
      </c>
      <c r="Q35" s="269" t="str">
        <f t="shared" si="30"/>
        <v/>
      </c>
      <c r="R35" s="272" t="str">
        <f t="shared" si="31"/>
        <v/>
      </c>
      <c r="S35" s="272" t="str">
        <f t="shared" si="32"/>
        <v/>
      </c>
      <c r="T35" s="269" t="str">
        <f t="shared" si="33"/>
        <v/>
      </c>
      <c r="U35" s="230"/>
      <c r="V35" s="230"/>
      <c r="AB35" s="270" t="e">
        <f>VLOOKUP($B$6,Lookup_Source,28,0)</f>
        <v>#N/A</v>
      </c>
      <c r="AC35" s="254" t="str">
        <f t="shared" si="34"/>
        <v/>
      </c>
      <c r="AD35" s="255">
        <f t="shared" si="35"/>
        <v>7</v>
      </c>
      <c r="AE35" s="274" t="e">
        <f t="shared" si="4"/>
        <v>#N/A</v>
      </c>
      <c r="AF35" s="277" t="e">
        <f t="shared" si="36"/>
        <v>#N/A</v>
      </c>
      <c r="AG35" s="277" t="e">
        <f t="shared" si="37"/>
        <v>#N/A</v>
      </c>
      <c r="AH35" s="276" t="e">
        <f t="shared" si="5"/>
        <v>#N/A</v>
      </c>
      <c r="AI35" s="239">
        <f t="shared" si="38"/>
        <v>7</v>
      </c>
      <c r="AJ35" s="277" t="e">
        <f t="shared" si="6"/>
        <v>#N/A</v>
      </c>
      <c r="AK35" s="277" t="e">
        <f t="shared" si="39"/>
        <v>#N/A</v>
      </c>
      <c r="AL35" s="239" t="e">
        <f t="shared" si="7"/>
        <v>#N/A</v>
      </c>
      <c r="AM35" s="278" t="e">
        <f t="shared" si="40"/>
        <v>#N/A</v>
      </c>
      <c r="AN35" s="279" t="e">
        <f t="shared" si="8"/>
        <v>#N/A</v>
      </c>
      <c r="AO35" s="240" t="e">
        <f t="shared" si="9"/>
        <v>#N/A</v>
      </c>
      <c r="AP35" s="297">
        <f t="shared" si="41"/>
        <v>7</v>
      </c>
      <c r="AQ35" s="298" t="e">
        <f t="shared" si="10"/>
        <v>#N/A</v>
      </c>
      <c r="AR35" s="279" t="e">
        <f t="shared" si="42"/>
        <v>#N/A</v>
      </c>
      <c r="AS35" s="283" t="e">
        <f t="shared" si="11"/>
        <v>#N/A</v>
      </c>
      <c r="AT35" s="284">
        <f t="shared" si="43"/>
        <v>7</v>
      </c>
      <c r="AU35" s="285" t="e">
        <f t="shared" si="44"/>
        <v>#N/A</v>
      </c>
      <c r="AV35" s="286" t="e">
        <f t="shared" si="45"/>
        <v>#N/A</v>
      </c>
      <c r="AW35" s="287" t="e">
        <f t="shared" si="12"/>
        <v>#N/A</v>
      </c>
      <c r="AX35" s="245">
        <f t="shared" si="46"/>
        <v>7</v>
      </c>
      <c r="AY35" s="286" t="e">
        <f t="shared" si="13"/>
        <v>#N/A</v>
      </c>
      <c r="AZ35" s="245" t="e">
        <f t="shared" si="47"/>
        <v>#N/A</v>
      </c>
      <c r="BA35" s="245" t="e">
        <f t="shared" si="14"/>
        <v>#N/A</v>
      </c>
      <c r="BB35" s="288">
        <f t="shared" si="48"/>
        <v>7</v>
      </c>
      <c r="BC35" s="289" t="e">
        <f t="shared" si="49"/>
        <v>#N/A</v>
      </c>
      <c r="BD35" s="290" t="e">
        <f t="shared" si="50"/>
        <v>#N/A</v>
      </c>
      <c r="BE35" s="263" t="e">
        <f t="shared" si="15"/>
        <v>#N/A</v>
      </c>
      <c r="BF35" s="260">
        <f t="shared" si="51"/>
        <v>7</v>
      </c>
      <c r="BG35" s="289" t="e">
        <f t="shared" si="52"/>
        <v>#N/A</v>
      </c>
      <c r="BH35" s="290" t="e">
        <f t="shared" si="53"/>
        <v>#N/A</v>
      </c>
      <c r="BI35" s="263" t="e">
        <f t="shared" si="16"/>
        <v>#N/A</v>
      </c>
      <c r="BJ35" s="264">
        <f t="shared" si="54"/>
        <v>7</v>
      </c>
      <c r="BK35" s="291" t="e">
        <f t="shared" si="55"/>
        <v>#N/A</v>
      </c>
      <c r="BL35" s="291" t="e">
        <f t="shared" si="56"/>
        <v>#N/A</v>
      </c>
      <c r="BM35" s="292" t="e">
        <f t="shared" si="17"/>
        <v>#N/A</v>
      </c>
      <c r="BN35" s="293">
        <f t="shared" si="57"/>
        <v>7</v>
      </c>
      <c r="BO35" s="294" t="e">
        <f t="shared" si="58"/>
        <v>#N/A</v>
      </c>
      <c r="BP35" s="294" t="e">
        <f t="shared" si="59"/>
        <v>#N/A</v>
      </c>
      <c r="BQ35" s="292" t="e">
        <f t="shared" si="18"/>
        <v>#N/A</v>
      </c>
      <c r="BR35" s="295" t="e">
        <f t="shared" si="19"/>
        <v>#N/A</v>
      </c>
      <c r="BS35" s="230" t="e">
        <f>VLOOKUP($B35,SDR22_STOCK_BY_LA!$A$2:$C$11679,3,0)</f>
        <v>#N/A</v>
      </c>
      <c r="BT35" s="230" t="str">
        <f t="shared" si="60"/>
        <v/>
      </c>
    </row>
    <row r="36" spans="1:72" ht="12.5" x14ac:dyDescent="0.25">
      <c r="A36" s="230" t="str">
        <f t="shared" si="61"/>
        <v/>
      </c>
      <c r="B36" s="230" t="str">
        <f t="shared" si="62"/>
        <v/>
      </c>
      <c r="C36" s="296" t="str">
        <f t="shared" si="20"/>
        <v/>
      </c>
      <c r="D36" s="269" t="str">
        <f>IF(B36="","",IF(totals!$Q$3=0,IFERROR(IF(AD36=2,"0",AE36),""),"-"))</f>
        <v/>
      </c>
      <c r="E36" s="271" t="str">
        <f t="shared" si="21"/>
        <v/>
      </c>
      <c r="F36" s="272" t="str">
        <f t="shared" si="22"/>
        <v/>
      </c>
      <c r="G36" s="272" t="str">
        <f t="shared" si="23"/>
        <v/>
      </c>
      <c r="H36" s="269" t="str">
        <f t="shared" si="1"/>
        <v/>
      </c>
      <c r="I36" s="272" t="str">
        <f t="shared" si="24"/>
        <v/>
      </c>
      <c r="J36" s="272" t="str">
        <f t="shared" si="25"/>
        <v/>
      </c>
      <c r="K36" s="269" t="str">
        <f t="shared" si="2"/>
        <v/>
      </c>
      <c r="L36" s="272" t="str">
        <f t="shared" si="3"/>
        <v/>
      </c>
      <c r="M36" s="272" t="str">
        <f t="shared" si="26"/>
        <v/>
      </c>
      <c r="N36" s="269" t="str">
        <f t="shared" si="27"/>
        <v/>
      </c>
      <c r="O36" s="272" t="str">
        <f t="shared" si="28"/>
        <v/>
      </c>
      <c r="P36" s="272" t="str">
        <f t="shared" si="29"/>
        <v/>
      </c>
      <c r="Q36" s="269" t="str">
        <f t="shared" si="30"/>
        <v/>
      </c>
      <c r="R36" s="272" t="str">
        <f t="shared" si="31"/>
        <v/>
      </c>
      <c r="S36" s="272" t="str">
        <f t="shared" si="32"/>
        <v/>
      </c>
      <c r="T36" s="269" t="str">
        <f t="shared" si="33"/>
        <v/>
      </c>
      <c r="U36" s="230"/>
      <c r="V36" s="230"/>
      <c r="AB36" s="230" t="e">
        <f>VLOOKUP($B$6,Lookup_Source,29,0)</f>
        <v>#N/A</v>
      </c>
      <c r="AC36" s="254" t="str">
        <f t="shared" si="34"/>
        <v/>
      </c>
      <c r="AD36" s="255">
        <f t="shared" si="35"/>
        <v>7</v>
      </c>
      <c r="AE36" s="274" t="e">
        <f t="shared" si="4"/>
        <v>#N/A</v>
      </c>
      <c r="AF36" s="277" t="e">
        <f t="shared" si="36"/>
        <v>#N/A</v>
      </c>
      <c r="AG36" s="277" t="e">
        <f t="shared" si="37"/>
        <v>#N/A</v>
      </c>
      <c r="AH36" s="276" t="e">
        <f t="shared" si="5"/>
        <v>#N/A</v>
      </c>
      <c r="AI36" s="239">
        <f t="shared" si="38"/>
        <v>7</v>
      </c>
      <c r="AJ36" s="277" t="e">
        <f t="shared" si="6"/>
        <v>#N/A</v>
      </c>
      <c r="AK36" s="277" t="e">
        <f t="shared" si="39"/>
        <v>#N/A</v>
      </c>
      <c r="AL36" s="239" t="e">
        <f t="shared" si="7"/>
        <v>#N/A</v>
      </c>
      <c r="AM36" s="278" t="e">
        <f t="shared" si="40"/>
        <v>#N/A</v>
      </c>
      <c r="AN36" s="279" t="e">
        <f t="shared" si="8"/>
        <v>#N/A</v>
      </c>
      <c r="AO36" s="240" t="e">
        <f t="shared" si="9"/>
        <v>#N/A</v>
      </c>
      <c r="AP36" s="297">
        <f t="shared" si="41"/>
        <v>7</v>
      </c>
      <c r="AQ36" s="298" t="e">
        <f t="shared" si="10"/>
        <v>#N/A</v>
      </c>
      <c r="AR36" s="279" t="e">
        <f t="shared" si="42"/>
        <v>#N/A</v>
      </c>
      <c r="AS36" s="283" t="e">
        <f t="shared" si="11"/>
        <v>#N/A</v>
      </c>
      <c r="AT36" s="284">
        <f t="shared" si="43"/>
        <v>7</v>
      </c>
      <c r="AU36" s="285" t="e">
        <f t="shared" si="44"/>
        <v>#N/A</v>
      </c>
      <c r="AV36" s="286" t="e">
        <f t="shared" si="45"/>
        <v>#N/A</v>
      </c>
      <c r="AW36" s="287" t="e">
        <f t="shared" si="12"/>
        <v>#N/A</v>
      </c>
      <c r="AX36" s="245">
        <f t="shared" si="46"/>
        <v>7</v>
      </c>
      <c r="AY36" s="286" t="e">
        <f t="shared" si="13"/>
        <v>#N/A</v>
      </c>
      <c r="AZ36" s="245" t="e">
        <f t="shared" si="47"/>
        <v>#N/A</v>
      </c>
      <c r="BA36" s="245" t="e">
        <f t="shared" si="14"/>
        <v>#N/A</v>
      </c>
      <c r="BB36" s="288">
        <f t="shared" si="48"/>
        <v>7</v>
      </c>
      <c r="BC36" s="289" t="e">
        <f t="shared" si="49"/>
        <v>#N/A</v>
      </c>
      <c r="BD36" s="290" t="e">
        <f t="shared" si="50"/>
        <v>#N/A</v>
      </c>
      <c r="BE36" s="263" t="e">
        <f t="shared" si="15"/>
        <v>#N/A</v>
      </c>
      <c r="BF36" s="260">
        <f t="shared" si="51"/>
        <v>7</v>
      </c>
      <c r="BG36" s="289" t="e">
        <f t="shared" si="52"/>
        <v>#N/A</v>
      </c>
      <c r="BH36" s="290" t="e">
        <f t="shared" si="53"/>
        <v>#N/A</v>
      </c>
      <c r="BI36" s="263" t="e">
        <f t="shared" si="16"/>
        <v>#N/A</v>
      </c>
      <c r="BJ36" s="264">
        <f t="shared" si="54"/>
        <v>7</v>
      </c>
      <c r="BK36" s="291" t="e">
        <f t="shared" si="55"/>
        <v>#N/A</v>
      </c>
      <c r="BL36" s="291" t="e">
        <f t="shared" si="56"/>
        <v>#N/A</v>
      </c>
      <c r="BM36" s="292" t="e">
        <f t="shared" si="17"/>
        <v>#N/A</v>
      </c>
      <c r="BN36" s="293">
        <f t="shared" si="57"/>
        <v>7</v>
      </c>
      <c r="BO36" s="294" t="e">
        <f t="shared" si="58"/>
        <v>#N/A</v>
      </c>
      <c r="BP36" s="294" t="e">
        <f t="shared" si="59"/>
        <v>#N/A</v>
      </c>
      <c r="BQ36" s="292" t="e">
        <f t="shared" si="18"/>
        <v>#N/A</v>
      </c>
      <c r="BR36" s="295" t="e">
        <f t="shared" si="19"/>
        <v>#N/A</v>
      </c>
      <c r="BS36" s="230" t="e">
        <f>VLOOKUP($B36,SDR22_STOCK_BY_LA!$A$2:$C$11679,3,0)</f>
        <v>#N/A</v>
      </c>
      <c r="BT36" s="230" t="str">
        <f t="shared" si="60"/>
        <v/>
      </c>
    </row>
    <row r="37" spans="1:72" ht="12.5" x14ac:dyDescent="0.25">
      <c r="A37" s="269" t="str">
        <f t="shared" si="61"/>
        <v/>
      </c>
      <c r="B37" s="230" t="str">
        <f t="shared" si="62"/>
        <v/>
      </c>
      <c r="C37" s="270" t="str">
        <f t="shared" si="20"/>
        <v/>
      </c>
      <c r="D37" s="269" t="str">
        <f>IF(B37="","",IF(totals!$Q$3=0,IFERROR(IF(AD37=2,"0",AE37),""),"-"))</f>
        <v/>
      </c>
      <c r="E37" s="271" t="str">
        <f t="shared" si="21"/>
        <v/>
      </c>
      <c r="F37" s="272" t="str">
        <f t="shared" si="22"/>
        <v/>
      </c>
      <c r="G37" s="272" t="str">
        <f t="shared" si="23"/>
        <v/>
      </c>
      <c r="H37" s="269" t="str">
        <f t="shared" si="1"/>
        <v/>
      </c>
      <c r="I37" s="272" t="str">
        <f t="shared" si="24"/>
        <v/>
      </c>
      <c r="J37" s="272" t="str">
        <f t="shared" si="25"/>
        <v/>
      </c>
      <c r="K37" s="269" t="str">
        <f t="shared" si="2"/>
        <v/>
      </c>
      <c r="L37" s="272" t="str">
        <f t="shared" si="3"/>
        <v/>
      </c>
      <c r="M37" s="272" t="str">
        <f t="shared" si="26"/>
        <v/>
      </c>
      <c r="N37" s="269" t="str">
        <f t="shared" si="27"/>
        <v/>
      </c>
      <c r="O37" s="272" t="str">
        <f t="shared" si="28"/>
        <v/>
      </c>
      <c r="P37" s="272" t="str">
        <f t="shared" si="29"/>
        <v/>
      </c>
      <c r="Q37" s="269" t="str">
        <f t="shared" si="30"/>
        <v/>
      </c>
      <c r="R37" s="272" t="str">
        <f t="shared" si="31"/>
        <v/>
      </c>
      <c r="S37" s="272" t="str">
        <f t="shared" si="32"/>
        <v/>
      </c>
      <c r="T37" s="269" t="str">
        <f t="shared" si="33"/>
        <v/>
      </c>
      <c r="U37" s="230"/>
      <c r="V37" s="230"/>
      <c r="AB37" s="270" t="e">
        <f>VLOOKUP($B$6,Lookup_Source,30,0)</f>
        <v>#N/A</v>
      </c>
      <c r="AC37" s="254" t="str">
        <f t="shared" si="34"/>
        <v/>
      </c>
      <c r="AD37" s="255">
        <f t="shared" si="35"/>
        <v>7</v>
      </c>
      <c r="AE37" s="274" t="e">
        <f t="shared" si="4"/>
        <v>#N/A</v>
      </c>
      <c r="AF37" s="277" t="e">
        <f t="shared" si="36"/>
        <v>#N/A</v>
      </c>
      <c r="AG37" s="277" t="e">
        <f t="shared" si="37"/>
        <v>#N/A</v>
      </c>
      <c r="AH37" s="276" t="e">
        <f t="shared" si="5"/>
        <v>#N/A</v>
      </c>
      <c r="AI37" s="239">
        <f t="shared" si="38"/>
        <v>7</v>
      </c>
      <c r="AJ37" s="277" t="e">
        <f t="shared" si="6"/>
        <v>#N/A</v>
      </c>
      <c r="AK37" s="277" t="e">
        <f t="shared" si="39"/>
        <v>#N/A</v>
      </c>
      <c r="AL37" s="239" t="e">
        <f t="shared" si="7"/>
        <v>#N/A</v>
      </c>
      <c r="AM37" s="278" t="e">
        <f t="shared" si="40"/>
        <v>#N/A</v>
      </c>
      <c r="AN37" s="279" t="e">
        <f t="shared" si="8"/>
        <v>#N/A</v>
      </c>
      <c r="AO37" s="240" t="e">
        <f t="shared" si="9"/>
        <v>#N/A</v>
      </c>
      <c r="AP37" s="297">
        <f t="shared" si="41"/>
        <v>7</v>
      </c>
      <c r="AQ37" s="298" t="e">
        <f t="shared" si="10"/>
        <v>#N/A</v>
      </c>
      <c r="AR37" s="279" t="e">
        <f t="shared" si="42"/>
        <v>#N/A</v>
      </c>
      <c r="AS37" s="283" t="e">
        <f t="shared" si="11"/>
        <v>#N/A</v>
      </c>
      <c r="AT37" s="284">
        <f t="shared" si="43"/>
        <v>7</v>
      </c>
      <c r="AU37" s="285" t="e">
        <f t="shared" si="44"/>
        <v>#N/A</v>
      </c>
      <c r="AV37" s="286" t="e">
        <f t="shared" si="45"/>
        <v>#N/A</v>
      </c>
      <c r="AW37" s="287" t="e">
        <f t="shared" si="12"/>
        <v>#N/A</v>
      </c>
      <c r="AX37" s="245">
        <f t="shared" si="46"/>
        <v>7</v>
      </c>
      <c r="AY37" s="286" t="e">
        <f t="shared" si="13"/>
        <v>#N/A</v>
      </c>
      <c r="AZ37" s="245" t="e">
        <f t="shared" si="47"/>
        <v>#N/A</v>
      </c>
      <c r="BA37" s="245" t="e">
        <f t="shared" si="14"/>
        <v>#N/A</v>
      </c>
      <c r="BB37" s="288">
        <f t="shared" si="48"/>
        <v>7</v>
      </c>
      <c r="BC37" s="289" t="e">
        <f t="shared" si="49"/>
        <v>#N/A</v>
      </c>
      <c r="BD37" s="290" t="e">
        <f t="shared" si="50"/>
        <v>#N/A</v>
      </c>
      <c r="BE37" s="263" t="e">
        <f t="shared" si="15"/>
        <v>#N/A</v>
      </c>
      <c r="BF37" s="260">
        <f t="shared" si="51"/>
        <v>7</v>
      </c>
      <c r="BG37" s="289" t="e">
        <f t="shared" si="52"/>
        <v>#N/A</v>
      </c>
      <c r="BH37" s="290" t="e">
        <f t="shared" si="53"/>
        <v>#N/A</v>
      </c>
      <c r="BI37" s="263" t="e">
        <f t="shared" si="16"/>
        <v>#N/A</v>
      </c>
      <c r="BJ37" s="264">
        <f t="shared" si="54"/>
        <v>7</v>
      </c>
      <c r="BK37" s="291" t="e">
        <f t="shared" si="55"/>
        <v>#N/A</v>
      </c>
      <c r="BL37" s="291" t="e">
        <f t="shared" si="56"/>
        <v>#N/A</v>
      </c>
      <c r="BM37" s="292" t="e">
        <f t="shared" si="17"/>
        <v>#N/A</v>
      </c>
      <c r="BN37" s="293">
        <f t="shared" si="57"/>
        <v>7</v>
      </c>
      <c r="BO37" s="294" t="e">
        <f t="shared" si="58"/>
        <v>#N/A</v>
      </c>
      <c r="BP37" s="294" t="e">
        <f t="shared" si="59"/>
        <v>#N/A</v>
      </c>
      <c r="BQ37" s="292" t="e">
        <f t="shared" si="18"/>
        <v>#N/A</v>
      </c>
      <c r="BR37" s="295" t="e">
        <f t="shared" si="19"/>
        <v>#N/A</v>
      </c>
      <c r="BS37" s="230" t="e">
        <f>VLOOKUP($B37,SDR22_STOCK_BY_LA!$A$2:$C$11679,3,0)</f>
        <v>#N/A</v>
      </c>
      <c r="BT37" s="230" t="str">
        <f t="shared" si="60"/>
        <v/>
      </c>
    </row>
    <row r="38" spans="1:72" ht="12.5" x14ac:dyDescent="0.25">
      <c r="A38" s="230" t="str">
        <f t="shared" si="61"/>
        <v/>
      </c>
      <c r="B38" s="230" t="str">
        <f t="shared" si="62"/>
        <v/>
      </c>
      <c r="C38" s="296" t="str">
        <f t="shared" si="20"/>
        <v/>
      </c>
      <c r="D38" s="269" t="str">
        <f>IF(B38="","",IF(totals!$Q$3=0,IFERROR(IF(AD38=2,"0",AE38),""),"-"))</f>
        <v/>
      </c>
      <c r="E38" s="271" t="str">
        <f t="shared" si="21"/>
        <v/>
      </c>
      <c r="F38" s="272" t="str">
        <f t="shared" si="22"/>
        <v/>
      </c>
      <c r="G38" s="272" t="str">
        <f t="shared" si="23"/>
        <v/>
      </c>
      <c r="H38" s="269" t="str">
        <f t="shared" si="1"/>
        <v/>
      </c>
      <c r="I38" s="272" t="str">
        <f t="shared" si="24"/>
        <v/>
      </c>
      <c r="J38" s="272" t="str">
        <f t="shared" si="25"/>
        <v/>
      </c>
      <c r="K38" s="269" t="str">
        <f t="shared" si="2"/>
        <v/>
      </c>
      <c r="L38" s="272" t="str">
        <f t="shared" si="3"/>
        <v/>
      </c>
      <c r="M38" s="272" t="str">
        <f t="shared" si="26"/>
        <v/>
      </c>
      <c r="N38" s="269" t="str">
        <f t="shared" si="27"/>
        <v/>
      </c>
      <c r="O38" s="272" t="str">
        <f t="shared" si="28"/>
        <v/>
      </c>
      <c r="P38" s="272" t="str">
        <f t="shared" si="29"/>
        <v/>
      </c>
      <c r="Q38" s="269" t="str">
        <f t="shared" si="30"/>
        <v/>
      </c>
      <c r="R38" s="272" t="str">
        <f t="shared" si="31"/>
        <v/>
      </c>
      <c r="S38" s="272" t="str">
        <f t="shared" si="32"/>
        <v/>
      </c>
      <c r="T38" s="269" t="str">
        <f t="shared" si="33"/>
        <v/>
      </c>
      <c r="U38" s="230"/>
      <c r="V38" s="230"/>
      <c r="AB38" s="230" t="e">
        <f>VLOOKUP($B$6,Lookup_Source,31,0)</f>
        <v>#N/A</v>
      </c>
      <c r="AC38" s="254" t="str">
        <f t="shared" si="34"/>
        <v/>
      </c>
      <c r="AD38" s="255">
        <f t="shared" si="35"/>
        <v>7</v>
      </c>
      <c r="AE38" s="274" t="e">
        <f t="shared" si="4"/>
        <v>#N/A</v>
      </c>
      <c r="AF38" s="277" t="e">
        <f t="shared" si="36"/>
        <v>#N/A</v>
      </c>
      <c r="AG38" s="277" t="e">
        <f t="shared" si="37"/>
        <v>#N/A</v>
      </c>
      <c r="AH38" s="276" t="e">
        <f t="shared" si="5"/>
        <v>#N/A</v>
      </c>
      <c r="AI38" s="239">
        <f t="shared" si="38"/>
        <v>7</v>
      </c>
      <c r="AJ38" s="277" t="e">
        <f t="shared" si="6"/>
        <v>#N/A</v>
      </c>
      <c r="AK38" s="277" t="e">
        <f t="shared" si="39"/>
        <v>#N/A</v>
      </c>
      <c r="AL38" s="239" t="e">
        <f t="shared" si="7"/>
        <v>#N/A</v>
      </c>
      <c r="AM38" s="278" t="e">
        <f t="shared" si="40"/>
        <v>#N/A</v>
      </c>
      <c r="AN38" s="279" t="e">
        <f t="shared" si="8"/>
        <v>#N/A</v>
      </c>
      <c r="AO38" s="240" t="e">
        <f t="shared" si="9"/>
        <v>#N/A</v>
      </c>
      <c r="AP38" s="297">
        <f t="shared" si="41"/>
        <v>7</v>
      </c>
      <c r="AQ38" s="298" t="e">
        <f t="shared" si="10"/>
        <v>#N/A</v>
      </c>
      <c r="AR38" s="279" t="e">
        <f t="shared" si="42"/>
        <v>#N/A</v>
      </c>
      <c r="AS38" s="283" t="e">
        <f t="shared" si="11"/>
        <v>#N/A</v>
      </c>
      <c r="AT38" s="284">
        <f t="shared" si="43"/>
        <v>7</v>
      </c>
      <c r="AU38" s="285" t="e">
        <f t="shared" si="44"/>
        <v>#N/A</v>
      </c>
      <c r="AV38" s="286" t="e">
        <f t="shared" si="45"/>
        <v>#N/A</v>
      </c>
      <c r="AW38" s="287" t="e">
        <f t="shared" si="12"/>
        <v>#N/A</v>
      </c>
      <c r="AX38" s="245">
        <f t="shared" si="46"/>
        <v>7</v>
      </c>
      <c r="AY38" s="286" t="e">
        <f t="shared" si="13"/>
        <v>#N/A</v>
      </c>
      <c r="AZ38" s="245" t="e">
        <f t="shared" si="47"/>
        <v>#N/A</v>
      </c>
      <c r="BA38" s="245" t="e">
        <f t="shared" si="14"/>
        <v>#N/A</v>
      </c>
      <c r="BB38" s="288">
        <f t="shared" si="48"/>
        <v>7</v>
      </c>
      <c r="BC38" s="289" t="e">
        <f t="shared" si="49"/>
        <v>#N/A</v>
      </c>
      <c r="BD38" s="290" t="e">
        <f t="shared" si="50"/>
        <v>#N/A</v>
      </c>
      <c r="BE38" s="263" t="e">
        <f t="shared" si="15"/>
        <v>#N/A</v>
      </c>
      <c r="BF38" s="260">
        <f t="shared" si="51"/>
        <v>7</v>
      </c>
      <c r="BG38" s="289" t="e">
        <f t="shared" si="52"/>
        <v>#N/A</v>
      </c>
      <c r="BH38" s="290" t="e">
        <f t="shared" si="53"/>
        <v>#N/A</v>
      </c>
      <c r="BI38" s="263" t="e">
        <f t="shared" si="16"/>
        <v>#N/A</v>
      </c>
      <c r="BJ38" s="264">
        <f t="shared" si="54"/>
        <v>7</v>
      </c>
      <c r="BK38" s="291" t="e">
        <f t="shared" si="55"/>
        <v>#N/A</v>
      </c>
      <c r="BL38" s="291" t="e">
        <f t="shared" si="56"/>
        <v>#N/A</v>
      </c>
      <c r="BM38" s="292" t="e">
        <f t="shared" si="17"/>
        <v>#N/A</v>
      </c>
      <c r="BN38" s="293">
        <f t="shared" si="57"/>
        <v>7</v>
      </c>
      <c r="BO38" s="294" t="e">
        <f t="shared" si="58"/>
        <v>#N/A</v>
      </c>
      <c r="BP38" s="294" t="e">
        <f t="shared" si="59"/>
        <v>#N/A</v>
      </c>
      <c r="BQ38" s="292" t="e">
        <f t="shared" si="18"/>
        <v>#N/A</v>
      </c>
      <c r="BR38" s="295" t="e">
        <f t="shared" si="19"/>
        <v>#N/A</v>
      </c>
      <c r="BS38" s="230" t="e">
        <f>VLOOKUP($B38,SDR22_STOCK_BY_LA!$A$2:$C$11679,3,0)</f>
        <v>#N/A</v>
      </c>
      <c r="BT38" s="230" t="str">
        <f t="shared" si="60"/>
        <v/>
      </c>
    </row>
    <row r="39" spans="1:72" ht="12.5" x14ac:dyDescent="0.25">
      <c r="A39" s="269" t="str">
        <f t="shared" si="61"/>
        <v/>
      </c>
      <c r="B39" s="230" t="str">
        <f t="shared" si="62"/>
        <v/>
      </c>
      <c r="C39" s="270" t="str">
        <f t="shared" si="20"/>
        <v/>
      </c>
      <c r="D39" s="269" t="str">
        <f>IF(B39="","",IF(totals!$Q$3=0,IFERROR(IF(AD39=2,"0",AE39),""),"-"))</f>
        <v/>
      </c>
      <c r="E39" s="271" t="str">
        <f t="shared" si="21"/>
        <v/>
      </c>
      <c r="F39" s="272" t="str">
        <f t="shared" si="22"/>
        <v/>
      </c>
      <c r="G39" s="272" t="str">
        <f t="shared" si="23"/>
        <v/>
      </c>
      <c r="H39" s="269" t="str">
        <f t="shared" si="1"/>
        <v/>
      </c>
      <c r="I39" s="272" t="str">
        <f t="shared" si="24"/>
        <v/>
      </c>
      <c r="J39" s="272" t="str">
        <f t="shared" si="25"/>
        <v/>
      </c>
      <c r="K39" s="269" t="str">
        <f t="shared" si="2"/>
        <v/>
      </c>
      <c r="L39" s="272" t="str">
        <f t="shared" si="3"/>
        <v/>
      </c>
      <c r="M39" s="272" t="str">
        <f t="shared" si="26"/>
        <v/>
      </c>
      <c r="N39" s="269" t="str">
        <f t="shared" si="27"/>
        <v/>
      </c>
      <c r="O39" s="272" t="str">
        <f t="shared" si="28"/>
        <v/>
      </c>
      <c r="P39" s="272" t="str">
        <f t="shared" si="29"/>
        <v/>
      </c>
      <c r="Q39" s="269" t="str">
        <f t="shared" si="30"/>
        <v/>
      </c>
      <c r="R39" s="272" t="str">
        <f t="shared" si="31"/>
        <v/>
      </c>
      <c r="S39" s="272" t="str">
        <f t="shared" si="32"/>
        <v/>
      </c>
      <c r="T39" s="269" t="str">
        <f t="shared" si="33"/>
        <v/>
      </c>
      <c r="U39" s="230"/>
      <c r="V39" s="230"/>
      <c r="AB39" s="270" t="e">
        <f>VLOOKUP($B$6,Lookup_Source,32,0)</f>
        <v>#N/A</v>
      </c>
      <c r="AC39" s="254" t="str">
        <f t="shared" si="34"/>
        <v/>
      </c>
      <c r="AD39" s="255">
        <f t="shared" si="35"/>
        <v>7</v>
      </c>
      <c r="AE39" s="274" t="e">
        <f t="shared" si="4"/>
        <v>#N/A</v>
      </c>
      <c r="AF39" s="277" t="e">
        <f t="shared" si="36"/>
        <v>#N/A</v>
      </c>
      <c r="AG39" s="277" t="e">
        <f t="shared" si="37"/>
        <v>#N/A</v>
      </c>
      <c r="AH39" s="276" t="e">
        <f t="shared" si="5"/>
        <v>#N/A</v>
      </c>
      <c r="AI39" s="239">
        <f t="shared" si="38"/>
        <v>7</v>
      </c>
      <c r="AJ39" s="277" t="e">
        <f t="shared" si="6"/>
        <v>#N/A</v>
      </c>
      <c r="AK39" s="277" t="e">
        <f t="shared" si="39"/>
        <v>#N/A</v>
      </c>
      <c r="AL39" s="239" t="e">
        <f t="shared" si="7"/>
        <v>#N/A</v>
      </c>
      <c r="AM39" s="278" t="e">
        <f t="shared" si="40"/>
        <v>#N/A</v>
      </c>
      <c r="AN39" s="279" t="e">
        <f t="shared" si="8"/>
        <v>#N/A</v>
      </c>
      <c r="AO39" s="240" t="e">
        <f t="shared" si="9"/>
        <v>#N/A</v>
      </c>
      <c r="AP39" s="297">
        <f t="shared" si="41"/>
        <v>7</v>
      </c>
      <c r="AQ39" s="298" t="e">
        <f t="shared" si="10"/>
        <v>#N/A</v>
      </c>
      <c r="AR39" s="279" t="e">
        <f t="shared" si="42"/>
        <v>#N/A</v>
      </c>
      <c r="AS39" s="283" t="e">
        <f t="shared" si="11"/>
        <v>#N/A</v>
      </c>
      <c r="AT39" s="284">
        <f t="shared" si="43"/>
        <v>7</v>
      </c>
      <c r="AU39" s="285" t="e">
        <f t="shared" si="44"/>
        <v>#N/A</v>
      </c>
      <c r="AV39" s="286" t="e">
        <f t="shared" si="45"/>
        <v>#N/A</v>
      </c>
      <c r="AW39" s="287" t="e">
        <f t="shared" si="12"/>
        <v>#N/A</v>
      </c>
      <c r="AX39" s="245">
        <f t="shared" si="46"/>
        <v>7</v>
      </c>
      <c r="AY39" s="286" t="e">
        <f t="shared" si="13"/>
        <v>#N/A</v>
      </c>
      <c r="AZ39" s="245" t="e">
        <f t="shared" si="47"/>
        <v>#N/A</v>
      </c>
      <c r="BA39" s="245" t="e">
        <f t="shared" si="14"/>
        <v>#N/A</v>
      </c>
      <c r="BB39" s="288">
        <f t="shared" si="48"/>
        <v>7</v>
      </c>
      <c r="BC39" s="289" t="e">
        <f t="shared" si="49"/>
        <v>#N/A</v>
      </c>
      <c r="BD39" s="290" t="e">
        <f t="shared" si="50"/>
        <v>#N/A</v>
      </c>
      <c r="BE39" s="263" t="e">
        <f t="shared" si="15"/>
        <v>#N/A</v>
      </c>
      <c r="BF39" s="260">
        <f t="shared" si="51"/>
        <v>7</v>
      </c>
      <c r="BG39" s="289" t="e">
        <f t="shared" si="52"/>
        <v>#N/A</v>
      </c>
      <c r="BH39" s="290" t="e">
        <f t="shared" si="53"/>
        <v>#N/A</v>
      </c>
      <c r="BI39" s="263" t="e">
        <f t="shared" si="16"/>
        <v>#N/A</v>
      </c>
      <c r="BJ39" s="264">
        <f t="shared" si="54"/>
        <v>7</v>
      </c>
      <c r="BK39" s="291" t="e">
        <f t="shared" si="55"/>
        <v>#N/A</v>
      </c>
      <c r="BL39" s="291" t="e">
        <f t="shared" si="56"/>
        <v>#N/A</v>
      </c>
      <c r="BM39" s="292" t="e">
        <f t="shared" si="17"/>
        <v>#N/A</v>
      </c>
      <c r="BN39" s="293">
        <f t="shared" si="57"/>
        <v>7</v>
      </c>
      <c r="BO39" s="294" t="e">
        <f t="shared" si="58"/>
        <v>#N/A</v>
      </c>
      <c r="BP39" s="294" t="e">
        <f t="shared" si="59"/>
        <v>#N/A</v>
      </c>
      <c r="BQ39" s="292" t="e">
        <f t="shared" si="18"/>
        <v>#N/A</v>
      </c>
      <c r="BR39" s="295" t="e">
        <f t="shared" si="19"/>
        <v>#N/A</v>
      </c>
      <c r="BS39" s="230" t="e">
        <f>VLOOKUP($B39,SDR22_STOCK_BY_LA!$A$2:$C$11679,3,0)</f>
        <v>#N/A</v>
      </c>
      <c r="BT39" s="230" t="str">
        <f t="shared" si="60"/>
        <v/>
      </c>
    </row>
    <row r="40" spans="1:72" ht="12.5" x14ac:dyDescent="0.25">
      <c r="A40" s="230" t="str">
        <f t="shared" si="61"/>
        <v/>
      </c>
      <c r="B40" s="230" t="str">
        <f t="shared" si="62"/>
        <v/>
      </c>
      <c r="C40" s="296" t="str">
        <f>IFERROR(BS40,"")</f>
        <v/>
      </c>
      <c r="D40" s="269" t="str">
        <f>IF(B40="","",IF(totals!$Q$3=0,IFERROR(IF(AD40=2,"0",AE40),""),"-"))</f>
        <v/>
      </c>
      <c r="E40" s="271" t="str">
        <f t="shared" si="21"/>
        <v/>
      </c>
      <c r="F40" s="272" t="str">
        <f t="shared" si="22"/>
        <v/>
      </c>
      <c r="G40" s="272" t="str">
        <f t="shared" si="23"/>
        <v/>
      </c>
      <c r="H40" s="269" t="str">
        <f t="shared" si="1"/>
        <v/>
      </c>
      <c r="I40" s="272" t="str">
        <f t="shared" si="24"/>
        <v/>
      </c>
      <c r="J40" s="272" t="str">
        <f t="shared" si="25"/>
        <v/>
      </c>
      <c r="K40" s="269" t="str">
        <f t="shared" si="2"/>
        <v/>
      </c>
      <c r="L40" s="272" t="str">
        <f t="shared" si="3"/>
        <v/>
      </c>
      <c r="M40" s="272" t="str">
        <f t="shared" si="26"/>
        <v/>
      </c>
      <c r="N40" s="269" t="str">
        <f t="shared" si="27"/>
        <v/>
      </c>
      <c r="O40" s="272" t="str">
        <f t="shared" si="28"/>
        <v/>
      </c>
      <c r="P40" s="272" t="str">
        <f t="shared" si="29"/>
        <v/>
      </c>
      <c r="Q40" s="269" t="str">
        <f t="shared" si="30"/>
        <v/>
      </c>
      <c r="R40" s="272" t="str">
        <f t="shared" si="31"/>
        <v/>
      </c>
      <c r="S40" s="272" t="str">
        <f t="shared" si="32"/>
        <v/>
      </c>
      <c r="T40" s="269" t="str">
        <f t="shared" si="33"/>
        <v/>
      </c>
      <c r="U40" s="230"/>
      <c r="V40" s="230"/>
      <c r="AB40" s="230" t="e">
        <f>VLOOKUP($B$6,Lookup_Source,33,0)</f>
        <v>#N/A</v>
      </c>
      <c r="AC40" s="254" t="str">
        <f t="shared" si="34"/>
        <v/>
      </c>
      <c r="AD40" s="255">
        <f t="shared" si="35"/>
        <v>7</v>
      </c>
      <c r="AE40" s="274" t="e">
        <f t="shared" si="4"/>
        <v>#N/A</v>
      </c>
      <c r="AF40" s="277" t="e">
        <f t="shared" si="36"/>
        <v>#N/A</v>
      </c>
      <c r="AG40" s="277" t="e">
        <f t="shared" si="37"/>
        <v>#N/A</v>
      </c>
      <c r="AH40" s="276" t="e">
        <f t="shared" si="5"/>
        <v>#N/A</v>
      </c>
      <c r="AI40" s="239">
        <f t="shared" si="38"/>
        <v>7</v>
      </c>
      <c r="AJ40" s="277" t="e">
        <f t="shared" si="6"/>
        <v>#N/A</v>
      </c>
      <c r="AK40" s="277" t="e">
        <f t="shared" si="39"/>
        <v>#N/A</v>
      </c>
      <c r="AL40" s="239" t="e">
        <f t="shared" si="7"/>
        <v>#N/A</v>
      </c>
      <c r="AM40" s="278" t="e">
        <f t="shared" si="40"/>
        <v>#N/A</v>
      </c>
      <c r="AN40" s="279" t="e">
        <f t="shared" si="8"/>
        <v>#N/A</v>
      </c>
      <c r="AO40" s="240" t="e">
        <f t="shared" si="9"/>
        <v>#N/A</v>
      </c>
      <c r="AP40" s="297">
        <f t="shared" si="41"/>
        <v>7</v>
      </c>
      <c r="AQ40" s="298" t="e">
        <f t="shared" si="10"/>
        <v>#N/A</v>
      </c>
      <c r="AR40" s="279" t="e">
        <f t="shared" si="42"/>
        <v>#N/A</v>
      </c>
      <c r="AS40" s="283" t="e">
        <f t="shared" si="11"/>
        <v>#N/A</v>
      </c>
      <c r="AT40" s="284">
        <f t="shared" si="43"/>
        <v>7</v>
      </c>
      <c r="AU40" s="285" t="e">
        <f t="shared" si="44"/>
        <v>#N/A</v>
      </c>
      <c r="AV40" s="286" t="e">
        <f t="shared" si="45"/>
        <v>#N/A</v>
      </c>
      <c r="AW40" s="287" t="e">
        <f t="shared" si="12"/>
        <v>#N/A</v>
      </c>
      <c r="AX40" s="245">
        <f t="shared" si="46"/>
        <v>7</v>
      </c>
      <c r="AY40" s="286" t="e">
        <f t="shared" si="13"/>
        <v>#N/A</v>
      </c>
      <c r="AZ40" s="245" t="e">
        <f t="shared" si="47"/>
        <v>#N/A</v>
      </c>
      <c r="BA40" s="245" t="e">
        <f t="shared" si="14"/>
        <v>#N/A</v>
      </c>
      <c r="BB40" s="288">
        <f t="shared" si="48"/>
        <v>7</v>
      </c>
      <c r="BC40" s="289" t="e">
        <f t="shared" si="49"/>
        <v>#N/A</v>
      </c>
      <c r="BD40" s="290" t="e">
        <f t="shared" si="50"/>
        <v>#N/A</v>
      </c>
      <c r="BE40" s="263" t="e">
        <f t="shared" si="15"/>
        <v>#N/A</v>
      </c>
      <c r="BF40" s="260">
        <f t="shared" si="51"/>
        <v>7</v>
      </c>
      <c r="BG40" s="289" t="e">
        <f t="shared" si="52"/>
        <v>#N/A</v>
      </c>
      <c r="BH40" s="290" t="e">
        <f t="shared" si="53"/>
        <v>#N/A</v>
      </c>
      <c r="BI40" s="263" t="e">
        <f t="shared" si="16"/>
        <v>#N/A</v>
      </c>
      <c r="BJ40" s="264">
        <f t="shared" si="54"/>
        <v>7</v>
      </c>
      <c r="BK40" s="291" t="e">
        <f t="shared" si="55"/>
        <v>#N/A</v>
      </c>
      <c r="BL40" s="291" t="e">
        <f t="shared" si="56"/>
        <v>#N/A</v>
      </c>
      <c r="BM40" s="292" t="e">
        <f t="shared" si="17"/>
        <v>#N/A</v>
      </c>
      <c r="BN40" s="293">
        <f t="shared" si="57"/>
        <v>7</v>
      </c>
      <c r="BO40" s="294" t="e">
        <f t="shared" si="58"/>
        <v>#N/A</v>
      </c>
      <c r="BP40" s="294" t="e">
        <f t="shared" si="59"/>
        <v>#N/A</v>
      </c>
      <c r="BQ40" s="292" t="e">
        <f t="shared" si="18"/>
        <v>#N/A</v>
      </c>
      <c r="BR40" s="295" t="e">
        <f t="shared" si="19"/>
        <v>#N/A</v>
      </c>
      <c r="BS40" s="230" t="e">
        <f>VLOOKUP($B40,SDR22_STOCK_BY_LA!$A$2:$C$11679,3,0)</f>
        <v>#N/A</v>
      </c>
      <c r="BT40" s="230" t="str">
        <f t="shared" si="60"/>
        <v/>
      </c>
    </row>
    <row r="41" spans="1:72" ht="12.5" x14ac:dyDescent="0.25">
      <c r="A41" s="269" t="str">
        <f t="shared" si="61"/>
        <v/>
      </c>
      <c r="B41" s="230" t="str">
        <f t="shared" si="62"/>
        <v/>
      </c>
      <c r="C41" s="270" t="str">
        <f t="shared" si="20"/>
        <v/>
      </c>
      <c r="D41" s="269" t="str">
        <f>IF(B41="","",IF(totals!$Q$3=0,IFERROR(IF(AD41=2,"0",AE41),""),"-"))</f>
        <v/>
      </c>
      <c r="E41" s="271" t="str">
        <f t="shared" si="21"/>
        <v/>
      </c>
      <c r="F41" s="272" t="str">
        <f t="shared" si="22"/>
        <v/>
      </c>
      <c r="G41" s="272" t="str">
        <f t="shared" si="23"/>
        <v/>
      </c>
      <c r="H41" s="269" t="str">
        <f t="shared" si="1"/>
        <v/>
      </c>
      <c r="I41" s="272" t="str">
        <f t="shared" si="24"/>
        <v/>
      </c>
      <c r="J41" s="272" t="str">
        <f t="shared" si="25"/>
        <v/>
      </c>
      <c r="K41" s="269" t="str">
        <f t="shared" si="2"/>
        <v/>
      </c>
      <c r="L41" s="272" t="str">
        <f t="shared" si="3"/>
        <v/>
      </c>
      <c r="M41" s="272" t="str">
        <f t="shared" si="26"/>
        <v/>
      </c>
      <c r="N41" s="269" t="str">
        <f t="shared" si="27"/>
        <v/>
      </c>
      <c r="O41" s="272" t="str">
        <f t="shared" si="28"/>
        <v/>
      </c>
      <c r="P41" s="272" t="str">
        <f t="shared" si="29"/>
        <v/>
      </c>
      <c r="Q41" s="269" t="str">
        <f t="shared" si="30"/>
        <v/>
      </c>
      <c r="R41" s="272" t="str">
        <f t="shared" si="31"/>
        <v/>
      </c>
      <c r="S41" s="272" t="str">
        <f t="shared" si="32"/>
        <v/>
      </c>
      <c r="T41" s="269" t="str">
        <f t="shared" si="33"/>
        <v/>
      </c>
      <c r="U41" s="230"/>
      <c r="V41" s="230"/>
      <c r="AB41" s="270" t="e">
        <f>VLOOKUP($B$6,Lookup_Source,34,0)</f>
        <v>#N/A</v>
      </c>
      <c r="AC41" s="254" t="str">
        <f t="shared" si="34"/>
        <v/>
      </c>
      <c r="AD41" s="255">
        <f t="shared" si="35"/>
        <v>7</v>
      </c>
      <c r="AE41" s="274" t="e">
        <f t="shared" si="4"/>
        <v>#N/A</v>
      </c>
      <c r="AF41" s="277" t="e">
        <f t="shared" si="36"/>
        <v>#N/A</v>
      </c>
      <c r="AG41" s="277" t="e">
        <f t="shared" si="37"/>
        <v>#N/A</v>
      </c>
      <c r="AH41" s="276" t="e">
        <f t="shared" si="5"/>
        <v>#N/A</v>
      </c>
      <c r="AI41" s="239">
        <f t="shared" si="38"/>
        <v>7</v>
      </c>
      <c r="AJ41" s="277" t="e">
        <f t="shared" si="6"/>
        <v>#N/A</v>
      </c>
      <c r="AK41" s="277" t="e">
        <f t="shared" si="39"/>
        <v>#N/A</v>
      </c>
      <c r="AL41" s="239" t="e">
        <f t="shared" si="7"/>
        <v>#N/A</v>
      </c>
      <c r="AM41" s="278" t="e">
        <f t="shared" si="40"/>
        <v>#N/A</v>
      </c>
      <c r="AN41" s="279" t="e">
        <f t="shared" si="8"/>
        <v>#N/A</v>
      </c>
      <c r="AO41" s="240" t="e">
        <f t="shared" si="9"/>
        <v>#N/A</v>
      </c>
      <c r="AP41" s="297">
        <f t="shared" si="41"/>
        <v>7</v>
      </c>
      <c r="AQ41" s="298" t="e">
        <f t="shared" si="10"/>
        <v>#N/A</v>
      </c>
      <c r="AR41" s="279" t="e">
        <f t="shared" si="42"/>
        <v>#N/A</v>
      </c>
      <c r="AS41" s="283" t="e">
        <f t="shared" si="11"/>
        <v>#N/A</v>
      </c>
      <c r="AT41" s="284">
        <f t="shared" si="43"/>
        <v>7</v>
      </c>
      <c r="AU41" s="285" t="e">
        <f t="shared" si="44"/>
        <v>#N/A</v>
      </c>
      <c r="AV41" s="286" t="e">
        <f t="shared" si="45"/>
        <v>#N/A</v>
      </c>
      <c r="AW41" s="287" t="e">
        <f t="shared" si="12"/>
        <v>#N/A</v>
      </c>
      <c r="AX41" s="245">
        <f t="shared" si="46"/>
        <v>7</v>
      </c>
      <c r="AY41" s="286" t="e">
        <f t="shared" si="13"/>
        <v>#N/A</v>
      </c>
      <c r="AZ41" s="245" t="e">
        <f t="shared" si="47"/>
        <v>#N/A</v>
      </c>
      <c r="BA41" s="245" t="e">
        <f t="shared" si="14"/>
        <v>#N/A</v>
      </c>
      <c r="BB41" s="288">
        <f t="shared" si="48"/>
        <v>7</v>
      </c>
      <c r="BC41" s="289" t="e">
        <f t="shared" si="49"/>
        <v>#N/A</v>
      </c>
      <c r="BD41" s="290" t="e">
        <f t="shared" si="50"/>
        <v>#N/A</v>
      </c>
      <c r="BE41" s="263" t="e">
        <f t="shared" si="15"/>
        <v>#N/A</v>
      </c>
      <c r="BF41" s="260">
        <f t="shared" si="51"/>
        <v>7</v>
      </c>
      <c r="BG41" s="289" t="e">
        <f t="shared" si="52"/>
        <v>#N/A</v>
      </c>
      <c r="BH41" s="290" t="e">
        <f t="shared" si="53"/>
        <v>#N/A</v>
      </c>
      <c r="BI41" s="263" t="e">
        <f t="shared" si="16"/>
        <v>#N/A</v>
      </c>
      <c r="BJ41" s="264">
        <f t="shared" si="54"/>
        <v>7</v>
      </c>
      <c r="BK41" s="291" t="e">
        <f t="shared" si="55"/>
        <v>#N/A</v>
      </c>
      <c r="BL41" s="291" t="e">
        <f t="shared" si="56"/>
        <v>#N/A</v>
      </c>
      <c r="BM41" s="292" t="e">
        <f t="shared" si="17"/>
        <v>#N/A</v>
      </c>
      <c r="BN41" s="293">
        <f t="shared" si="57"/>
        <v>7</v>
      </c>
      <c r="BO41" s="294" t="e">
        <f t="shared" si="58"/>
        <v>#N/A</v>
      </c>
      <c r="BP41" s="294" t="e">
        <f t="shared" si="59"/>
        <v>#N/A</v>
      </c>
      <c r="BQ41" s="292" t="e">
        <f t="shared" si="18"/>
        <v>#N/A</v>
      </c>
      <c r="BR41" s="295" t="e">
        <f t="shared" si="19"/>
        <v>#N/A</v>
      </c>
      <c r="BS41" s="230" t="e">
        <f>VLOOKUP($B41,SDR22_STOCK_BY_LA!$A$2:$C$11679,3,0)</f>
        <v>#N/A</v>
      </c>
      <c r="BT41" s="230" t="str">
        <f t="shared" si="60"/>
        <v/>
      </c>
    </row>
    <row r="42" spans="1:72" ht="12.5" x14ac:dyDescent="0.25">
      <c r="A42" s="230" t="str">
        <f t="shared" si="61"/>
        <v/>
      </c>
      <c r="B42" s="230" t="str">
        <f t="shared" si="62"/>
        <v/>
      </c>
      <c r="C42" s="296" t="str">
        <f t="shared" si="20"/>
        <v/>
      </c>
      <c r="D42" s="269" t="str">
        <f>IF(B42="","",IF(totals!$Q$3=0,IFERROR(IF(AD42=2,"0",AE42),""),"-"))</f>
        <v/>
      </c>
      <c r="E42" s="271" t="str">
        <f t="shared" si="21"/>
        <v/>
      </c>
      <c r="F42" s="272" t="str">
        <f t="shared" si="22"/>
        <v/>
      </c>
      <c r="G42" s="272" t="str">
        <f t="shared" si="23"/>
        <v/>
      </c>
      <c r="H42" s="269" t="str">
        <f t="shared" si="1"/>
        <v/>
      </c>
      <c r="I42" s="272" t="str">
        <f t="shared" si="24"/>
        <v/>
      </c>
      <c r="J42" s="272" t="str">
        <f t="shared" si="25"/>
        <v/>
      </c>
      <c r="K42" s="269" t="str">
        <f t="shared" si="2"/>
        <v/>
      </c>
      <c r="L42" s="272" t="str">
        <f t="shared" si="3"/>
        <v/>
      </c>
      <c r="M42" s="272" t="str">
        <f t="shared" si="26"/>
        <v/>
      </c>
      <c r="N42" s="269" t="str">
        <f t="shared" si="27"/>
        <v/>
      </c>
      <c r="O42" s="272" t="str">
        <f t="shared" si="28"/>
        <v/>
      </c>
      <c r="P42" s="272" t="str">
        <f t="shared" si="29"/>
        <v/>
      </c>
      <c r="Q42" s="269" t="str">
        <f t="shared" si="30"/>
        <v/>
      </c>
      <c r="R42" s="272" t="str">
        <f t="shared" si="31"/>
        <v/>
      </c>
      <c r="S42" s="272" t="str">
        <f t="shared" si="32"/>
        <v/>
      </c>
      <c r="T42" s="269" t="str">
        <f t="shared" si="33"/>
        <v/>
      </c>
      <c r="U42" s="230"/>
      <c r="V42" s="230"/>
      <c r="AB42" s="230" t="e">
        <f>VLOOKUP($B$6,Lookup_Source,35,0)</f>
        <v>#N/A</v>
      </c>
      <c r="AC42" s="254" t="str">
        <f t="shared" si="34"/>
        <v/>
      </c>
      <c r="AD42" s="255">
        <f t="shared" si="35"/>
        <v>7</v>
      </c>
      <c r="AE42" s="274" t="e">
        <f t="shared" si="4"/>
        <v>#N/A</v>
      </c>
      <c r="AF42" s="277" t="e">
        <f t="shared" si="36"/>
        <v>#N/A</v>
      </c>
      <c r="AG42" s="277" t="e">
        <f t="shared" si="37"/>
        <v>#N/A</v>
      </c>
      <c r="AH42" s="276" t="e">
        <f t="shared" si="5"/>
        <v>#N/A</v>
      </c>
      <c r="AI42" s="239">
        <f t="shared" si="38"/>
        <v>7</v>
      </c>
      <c r="AJ42" s="277" t="e">
        <f t="shared" si="6"/>
        <v>#N/A</v>
      </c>
      <c r="AK42" s="277" t="e">
        <f t="shared" si="39"/>
        <v>#N/A</v>
      </c>
      <c r="AL42" s="239" t="e">
        <f t="shared" si="7"/>
        <v>#N/A</v>
      </c>
      <c r="AM42" s="278" t="e">
        <f t="shared" si="40"/>
        <v>#N/A</v>
      </c>
      <c r="AN42" s="279" t="e">
        <f t="shared" si="8"/>
        <v>#N/A</v>
      </c>
      <c r="AO42" s="240" t="e">
        <f t="shared" si="9"/>
        <v>#N/A</v>
      </c>
      <c r="AP42" s="297">
        <f t="shared" si="41"/>
        <v>7</v>
      </c>
      <c r="AQ42" s="298" t="e">
        <f t="shared" si="10"/>
        <v>#N/A</v>
      </c>
      <c r="AR42" s="279" t="e">
        <f t="shared" si="42"/>
        <v>#N/A</v>
      </c>
      <c r="AS42" s="283" t="e">
        <f t="shared" si="11"/>
        <v>#N/A</v>
      </c>
      <c r="AT42" s="284">
        <f t="shared" si="43"/>
        <v>7</v>
      </c>
      <c r="AU42" s="285" t="e">
        <f t="shared" si="44"/>
        <v>#N/A</v>
      </c>
      <c r="AV42" s="286" t="e">
        <f t="shared" si="45"/>
        <v>#N/A</v>
      </c>
      <c r="AW42" s="287" t="e">
        <f t="shared" si="12"/>
        <v>#N/A</v>
      </c>
      <c r="AX42" s="245">
        <f t="shared" si="46"/>
        <v>7</v>
      </c>
      <c r="AY42" s="286" t="e">
        <f t="shared" si="13"/>
        <v>#N/A</v>
      </c>
      <c r="AZ42" s="245" t="e">
        <f t="shared" si="47"/>
        <v>#N/A</v>
      </c>
      <c r="BA42" s="245" t="e">
        <f t="shared" si="14"/>
        <v>#N/A</v>
      </c>
      <c r="BB42" s="288">
        <f t="shared" si="48"/>
        <v>7</v>
      </c>
      <c r="BC42" s="289" t="e">
        <f t="shared" si="49"/>
        <v>#N/A</v>
      </c>
      <c r="BD42" s="290" t="e">
        <f t="shared" si="50"/>
        <v>#N/A</v>
      </c>
      <c r="BE42" s="263" t="e">
        <f t="shared" si="15"/>
        <v>#N/A</v>
      </c>
      <c r="BF42" s="260">
        <f t="shared" si="51"/>
        <v>7</v>
      </c>
      <c r="BG42" s="289" t="e">
        <f t="shared" si="52"/>
        <v>#N/A</v>
      </c>
      <c r="BH42" s="290" t="e">
        <f t="shared" si="53"/>
        <v>#N/A</v>
      </c>
      <c r="BI42" s="263" t="e">
        <f t="shared" si="16"/>
        <v>#N/A</v>
      </c>
      <c r="BJ42" s="264">
        <f t="shared" si="54"/>
        <v>7</v>
      </c>
      <c r="BK42" s="291" t="e">
        <f t="shared" si="55"/>
        <v>#N/A</v>
      </c>
      <c r="BL42" s="291" t="e">
        <f t="shared" si="56"/>
        <v>#N/A</v>
      </c>
      <c r="BM42" s="292" t="e">
        <f t="shared" si="17"/>
        <v>#N/A</v>
      </c>
      <c r="BN42" s="293">
        <f t="shared" si="57"/>
        <v>7</v>
      </c>
      <c r="BO42" s="294" t="e">
        <f t="shared" si="58"/>
        <v>#N/A</v>
      </c>
      <c r="BP42" s="294" t="e">
        <f t="shared" si="59"/>
        <v>#N/A</v>
      </c>
      <c r="BQ42" s="292" t="e">
        <f t="shared" si="18"/>
        <v>#N/A</v>
      </c>
      <c r="BR42" s="295" t="e">
        <f t="shared" si="19"/>
        <v>#N/A</v>
      </c>
      <c r="BS42" s="230" t="e">
        <f>VLOOKUP($B42,SDR22_STOCK_BY_LA!$A$2:$C$11679,3,0)</f>
        <v>#N/A</v>
      </c>
      <c r="BT42" s="230" t="str">
        <f t="shared" si="60"/>
        <v/>
      </c>
    </row>
    <row r="43" spans="1:72" ht="12.5" x14ac:dyDescent="0.25">
      <c r="A43" s="269" t="str">
        <f t="shared" si="61"/>
        <v/>
      </c>
      <c r="B43" s="230" t="str">
        <f t="shared" si="62"/>
        <v/>
      </c>
      <c r="C43" s="270" t="str">
        <f t="shared" si="20"/>
        <v/>
      </c>
      <c r="D43" s="269" t="str">
        <f>IF(B43="","",IF(totals!$Q$3=0,IFERROR(IF(AD43=2,"0",AE43),""),"-"))</f>
        <v/>
      </c>
      <c r="E43" s="271" t="str">
        <f t="shared" si="21"/>
        <v/>
      </c>
      <c r="F43" s="272" t="str">
        <f t="shared" si="22"/>
        <v/>
      </c>
      <c r="G43" s="272" t="str">
        <f t="shared" si="23"/>
        <v/>
      </c>
      <c r="H43" s="269" t="str">
        <f t="shared" si="1"/>
        <v/>
      </c>
      <c r="I43" s="272" t="str">
        <f t="shared" si="24"/>
        <v/>
      </c>
      <c r="J43" s="272" t="str">
        <f t="shared" si="25"/>
        <v/>
      </c>
      <c r="K43" s="269" t="str">
        <f t="shared" si="2"/>
        <v/>
      </c>
      <c r="L43" s="272" t="str">
        <f t="shared" si="3"/>
        <v/>
      </c>
      <c r="M43" s="272" t="str">
        <f t="shared" si="26"/>
        <v/>
      </c>
      <c r="N43" s="269" t="str">
        <f t="shared" si="27"/>
        <v/>
      </c>
      <c r="O43" s="272" t="str">
        <f t="shared" si="28"/>
        <v/>
      </c>
      <c r="P43" s="272" t="str">
        <f t="shared" si="29"/>
        <v/>
      </c>
      <c r="Q43" s="269" t="str">
        <f t="shared" si="30"/>
        <v/>
      </c>
      <c r="R43" s="272" t="str">
        <f t="shared" si="31"/>
        <v/>
      </c>
      <c r="S43" s="272" t="str">
        <f t="shared" si="32"/>
        <v/>
      </c>
      <c r="T43" s="269" t="str">
        <f t="shared" si="33"/>
        <v/>
      </c>
      <c r="U43" s="230"/>
      <c r="V43" s="230"/>
      <c r="AB43" s="270" t="e">
        <f>VLOOKUP($B$6,Lookup_Source,36,0)</f>
        <v>#N/A</v>
      </c>
      <c r="AC43" s="254" t="str">
        <f t="shared" si="34"/>
        <v/>
      </c>
      <c r="AD43" s="255">
        <f t="shared" si="35"/>
        <v>7</v>
      </c>
      <c r="AE43" s="274" t="e">
        <f t="shared" si="4"/>
        <v>#N/A</v>
      </c>
      <c r="AF43" s="277" t="e">
        <f t="shared" si="36"/>
        <v>#N/A</v>
      </c>
      <c r="AG43" s="277" t="e">
        <f t="shared" si="37"/>
        <v>#N/A</v>
      </c>
      <c r="AH43" s="276" t="e">
        <f t="shared" si="5"/>
        <v>#N/A</v>
      </c>
      <c r="AI43" s="239">
        <f t="shared" si="38"/>
        <v>7</v>
      </c>
      <c r="AJ43" s="277" t="e">
        <f t="shared" si="6"/>
        <v>#N/A</v>
      </c>
      <c r="AK43" s="277" t="e">
        <f t="shared" si="39"/>
        <v>#N/A</v>
      </c>
      <c r="AL43" s="239" t="e">
        <f t="shared" si="7"/>
        <v>#N/A</v>
      </c>
      <c r="AM43" s="278" t="e">
        <f t="shared" si="40"/>
        <v>#N/A</v>
      </c>
      <c r="AN43" s="279" t="e">
        <f t="shared" si="8"/>
        <v>#N/A</v>
      </c>
      <c r="AO43" s="240" t="e">
        <f t="shared" si="9"/>
        <v>#N/A</v>
      </c>
      <c r="AP43" s="297">
        <f t="shared" si="41"/>
        <v>7</v>
      </c>
      <c r="AQ43" s="298" t="e">
        <f t="shared" si="10"/>
        <v>#N/A</v>
      </c>
      <c r="AR43" s="279" t="e">
        <f t="shared" si="42"/>
        <v>#N/A</v>
      </c>
      <c r="AS43" s="283" t="e">
        <f t="shared" si="11"/>
        <v>#N/A</v>
      </c>
      <c r="AT43" s="284">
        <f t="shared" si="43"/>
        <v>7</v>
      </c>
      <c r="AU43" s="285" t="e">
        <f t="shared" si="44"/>
        <v>#N/A</v>
      </c>
      <c r="AV43" s="286" t="e">
        <f t="shared" si="45"/>
        <v>#N/A</v>
      </c>
      <c r="AW43" s="287" t="e">
        <f t="shared" si="12"/>
        <v>#N/A</v>
      </c>
      <c r="AX43" s="245">
        <f t="shared" si="46"/>
        <v>7</v>
      </c>
      <c r="AY43" s="286" t="e">
        <f t="shared" si="13"/>
        <v>#N/A</v>
      </c>
      <c r="AZ43" s="245" t="e">
        <f t="shared" si="47"/>
        <v>#N/A</v>
      </c>
      <c r="BA43" s="245" t="e">
        <f t="shared" si="14"/>
        <v>#N/A</v>
      </c>
      <c r="BB43" s="288">
        <f t="shared" si="48"/>
        <v>7</v>
      </c>
      <c r="BC43" s="289" t="e">
        <f t="shared" si="49"/>
        <v>#N/A</v>
      </c>
      <c r="BD43" s="290" t="e">
        <f t="shared" si="50"/>
        <v>#N/A</v>
      </c>
      <c r="BE43" s="263" t="e">
        <f t="shared" si="15"/>
        <v>#N/A</v>
      </c>
      <c r="BF43" s="260">
        <f t="shared" si="51"/>
        <v>7</v>
      </c>
      <c r="BG43" s="289" t="e">
        <f t="shared" si="52"/>
        <v>#N/A</v>
      </c>
      <c r="BH43" s="290" t="e">
        <f t="shared" si="53"/>
        <v>#N/A</v>
      </c>
      <c r="BI43" s="263" t="e">
        <f t="shared" si="16"/>
        <v>#N/A</v>
      </c>
      <c r="BJ43" s="264">
        <f t="shared" si="54"/>
        <v>7</v>
      </c>
      <c r="BK43" s="291" t="e">
        <f t="shared" si="55"/>
        <v>#N/A</v>
      </c>
      <c r="BL43" s="291" t="e">
        <f t="shared" si="56"/>
        <v>#N/A</v>
      </c>
      <c r="BM43" s="292" t="e">
        <f t="shared" si="17"/>
        <v>#N/A</v>
      </c>
      <c r="BN43" s="293">
        <f t="shared" si="57"/>
        <v>7</v>
      </c>
      <c r="BO43" s="294" t="e">
        <f t="shared" si="58"/>
        <v>#N/A</v>
      </c>
      <c r="BP43" s="294" t="e">
        <f t="shared" si="59"/>
        <v>#N/A</v>
      </c>
      <c r="BQ43" s="292" t="e">
        <f t="shared" si="18"/>
        <v>#N/A</v>
      </c>
      <c r="BR43" s="295" t="e">
        <f t="shared" si="19"/>
        <v>#N/A</v>
      </c>
      <c r="BS43" s="230" t="e">
        <f>VLOOKUP($B43,SDR22_STOCK_BY_LA!$A$2:$C$11679,3,0)</f>
        <v>#N/A</v>
      </c>
      <c r="BT43" s="230" t="str">
        <f t="shared" si="60"/>
        <v/>
      </c>
    </row>
    <row r="44" spans="1:72" ht="12.5" x14ac:dyDescent="0.25">
      <c r="A44" s="230" t="str">
        <f t="shared" si="61"/>
        <v/>
      </c>
      <c r="B44" s="230" t="str">
        <f t="shared" si="62"/>
        <v/>
      </c>
      <c r="C44" s="296" t="str">
        <f t="shared" si="20"/>
        <v/>
      </c>
      <c r="D44" s="269" t="str">
        <f>IF(B44="","",IF(totals!$Q$3=0,IFERROR(IF(AD44=2,"0",AE44),""),"-"))</f>
        <v/>
      </c>
      <c r="E44" s="271" t="str">
        <f t="shared" si="21"/>
        <v/>
      </c>
      <c r="F44" s="272" t="str">
        <f t="shared" si="22"/>
        <v/>
      </c>
      <c r="G44" s="272" t="str">
        <f t="shared" si="23"/>
        <v/>
      </c>
      <c r="H44" s="269" t="str">
        <f t="shared" si="1"/>
        <v/>
      </c>
      <c r="I44" s="272" t="str">
        <f t="shared" si="24"/>
        <v/>
      </c>
      <c r="J44" s="272" t="str">
        <f t="shared" si="25"/>
        <v/>
      </c>
      <c r="K44" s="269" t="str">
        <f t="shared" si="2"/>
        <v/>
      </c>
      <c r="L44" s="272" t="str">
        <f t="shared" si="3"/>
        <v/>
      </c>
      <c r="M44" s="272" t="str">
        <f t="shared" si="26"/>
        <v/>
      </c>
      <c r="N44" s="269" t="str">
        <f t="shared" si="27"/>
        <v/>
      </c>
      <c r="O44" s="272" t="str">
        <f t="shared" si="28"/>
        <v/>
      </c>
      <c r="P44" s="272" t="str">
        <f t="shared" si="29"/>
        <v/>
      </c>
      <c r="Q44" s="269" t="str">
        <f t="shared" si="30"/>
        <v/>
      </c>
      <c r="R44" s="272" t="str">
        <f t="shared" si="31"/>
        <v/>
      </c>
      <c r="S44" s="272" t="str">
        <f t="shared" si="32"/>
        <v/>
      </c>
      <c r="T44" s="269" t="str">
        <f t="shared" si="33"/>
        <v/>
      </c>
      <c r="U44" s="230"/>
      <c r="V44" s="230"/>
      <c r="AB44" s="230" t="e">
        <f>VLOOKUP($B$6,Lookup_Source,37,0)</f>
        <v>#N/A</v>
      </c>
      <c r="AC44" s="254" t="str">
        <f t="shared" si="34"/>
        <v/>
      </c>
      <c r="AD44" s="255">
        <f t="shared" si="35"/>
        <v>7</v>
      </c>
      <c r="AE44" s="274" t="e">
        <f t="shared" si="4"/>
        <v>#N/A</v>
      </c>
      <c r="AF44" s="277" t="e">
        <f t="shared" si="36"/>
        <v>#N/A</v>
      </c>
      <c r="AG44" s="277" t="e">
        <f t="shared" si="37"/>
        <v>#N/A</v>
      </c>
      <c r="AH44" s="276" t="e">
        <f t="shared" si="5"/>
        <v>#N/A</v>
      </c>
      <c r="AI44" s="239">
        <f t="shared" si="38"/>
        <v>7</v>
      </c>
      <c r="AJ44" s="277" t="e">
        <f t="shared" si="6"/>
        <v>#N/A</v>
      </c>
      <c r="AK44" s="277" t="e">
        <f t="shared" si="39"/>
        <v>#N/A</v>
      </c>
      <c r="AL44" s="239" t="e">
        <f t="shared" si="7"/>
        <v>#N/A</v>
      </c>
      <c r="AM44" s="278" t="e">
        <f t="shared" si="40"/>
        <v>#N/A</v>
      </c>
      <c r="AN44" s="279" t="e">
        <f t="shared" si="8"/>
        <v>#N/A</v>
      </c>
      <c r="AO44" s="240" t="e">
        <f t="shared" si="9"/>
        <v>#N/A</v>
      </c>
      <c r="AP44" s="297">
        <f t="shared" si="41"/>
        <v>7</v>
      </c>
      <c r="AQ44" s="298" t="e">
        <f t="shared" si="10"/>
        <v>#N/A</v>
      </c>
      <c r="AR44" s="279" t="e">
        <f t="shared" si="42"/>
        <v>#N/A</v>
      </c>
      <c r="AS44" s="283" t="e">
        <f t="shared" si="11"/>
        <v>#N/A</v>
      </c>
      <c r="AT44" s="284">
        <f t="shared" si="43"/>
        <v>7</v>
      </c>
      <c r="AU44" s="285" t="e">
        <f t="shared" si="44"/>
        <v>#N/A</v>
      </c>
      <c r="AV44" s="286" t="e">
        <f t="shared" si="45"/>
        <v>#N/A</v>
      </c>
      <c r="AW44" s="287" t="e">
        <f t="shared" si="12"/>
        <v>#N/A</v>
      </c>
      <c r="AX44" s="245">
        <f t="shared" si="46"/>
        <v>7</v>
      </c>
      <c r="AY44" s="286" t="e">
        <f t="shared" si="13"/>
        <v>#N/A</v>
      </c>
      <c r="AZ44" s="245" t="e">
        <f t="shared" si="47"/>
        <v>#N/A</v>
      </c>
      <c r="BA44" s="245" t="e">
        <f t="shared" si="14"/>
        <v>#N/A</v>
      </c>
      <c r="BB44" s="288">
        <f t="shared" si="48"/>
        <v>7</v>
      </c>
      <c r="BC44" s="289" t="e">
        <f t="shared" si="49"/>
        <v>#N/A</v>
      </c>
      <c r="BD44" s="290" t="e">
        <f t="shared" si="50"/>
        <v>#N/A</v>
      </c>
      <c r="BE44" s="263" t="e">
        <f t="shared" si="15"/>
        <v>#N/A</v>
      </c>
      <c r="BF44" s="260">
        <f t="shared" si="51"/>
        <v>7</v>
      </c>
      <c r="BG44" s="289" t="e">
        <f t="shared" si="52"/>
        <v>#N/A</v>
      </c>
      <c r="BH44" s="290" t="e">
        <f t="shared" si="53"/>
        <v>#N/A</v>
      </c>
      <c r="BI44" s="263" t="e">
        <f t="shared" si="16"/>
        <v>#N/A</v>
      </c>
      <c r="BJ44" s="264">
        <f t="shared" si="54"/>
        <v>7</v>
      </c>
      <c r="BK44" s="291" t="e">
        <f t="shared" si="55"/>
        <v>#N/A</v>
      </c>
      <c r="BL44" s="291" t="e">
        <f t="shared" si="56"/>
        <v>#N/A</v>
      </c>
      <c r="BM44" s="292" t="e">
        <f t="shared" si="17"/>
        <v>#N/A</v>
      </c>
      <c r="BN44" s="293">
        <f t="shared" si="57"/>
        <v>7</v>
      </c>
      <c r="BO44" s="294" t="e">
        <f t="shared" si="58"/>
        <v>#N/A</v>
      </c>
      <c r="BP44" s="294" t="e">
        <f t="shared" si="59"/>
        <v>#N/A</v>
      </c>
      <c r="BQ44" s="292" t="e">
        <f t="shared" si="18"/>
        <v>#N/A</v>
      </c>
      <c r="BR44" s="295" t="e">
        <f t="shared" si="19"/>
        <v>#N/A</v>
      </c>
      <c r="BS44" s="230" t="e">
        <f>VLOOKUP($B44,SDR22_STOCK_BY_LA!$A$2:$C$11679,3,0)</f>
        <v>#N/A</v>
      </c>
      <c r="BT44" s="230" t="str">
        <f t="shared" si="60"/>
        <v/>
      </c>
    </row>
    <row r="45" spans="1:72" ht="12.5" x14ac:dyDescent="0.25">
      <c r="A45" s="269" t="str">
        <f t="shared" si="61"/>
        <v/>
      </c>
      <c r="B45" s="230" t="str">
        <f t="shared" si="62"/>
        <v/>
      </c>
      <c r="C45" s="270" t="str">
        <f t="shared" si="20"/>
        <v/>
      </c>
      <c r="D45" s="269" t="str">
        <f>IF(B45="","",IF(totals!$Q$3=0,IFERROR(IF(AD45=2,"0",AE45),""),"-"))</f>
        <v/>
      </c>
      <c r="E45" s="271" t="str">
        <f t="shared" si="21"/>
        <v/>
      </c>
      <c r="F45" s="272" t="str">
        <f t="shared" si="22"/>
        <v/>
      </c>
      <c r="G45" s="272" t="str">
        <f t="shared" si="23"/>
        <v/>
      </c>
      <c r="H45" s="269" t="str">
        <f t="shared" si="1"/>
        <v/>
      </c>
      <c r="I45" s="272" t="str">
        <f t="shared" si="24"/>
        <v/>
      </c>
      <c r="J45" s="272" t="str">
        <f t="shared" si="25"/>
        <v/>
      </c>
      <c r="K45" s="269" t="str">
        <f t="shared" si="2"/>
        <v/>
      </c>
      <c r="L45" s="272" t="str">
        <f t="shared" si="3"/>
        <v/>
      </c>
      <c r="M45" s="272" t="str">
        <f t="shared" si="26"/>
        <v/>
      </c>
      <c r="N45" s="269" t="str">
        <f t="shared" si="27"/>
        <v/>
      </c>
      <c r="O45" s="272" t="str">
        <f t="shared" si="28"/>
        <v/>
      </c>
      <c r="P45" s="272" t="str">
        <f t="shared" si="29"/>
        <v/>
      </c>
      <c r="Q45" s="269" t="str">
        <f t="shared" si="30"/>
        <v/>
      </c>
      <c r="R45" s="272" t="str">
        <f t="shared" si="31"/>
        <v/>
      </c>
      <c r="S45" s="272" t="str">
        <f t="shared" si="32"/>
        <v/>
      </c>
      <c r="T45" s="269" t="str">
        <f t="shared" si="33"/>
        <v/>
      </c>
      <c r="U45" s="230"/>
      <c r="V45" s="230"/>
      <c r="AB45" s="270" t="e">
        <f>VLOOKUP($B$6,Lookup_Source,38,0)</f>
        <v>#N/A</v>
      </c>
      <c r="AC45" s="254" t="str">
        <f t="shared" si="34"/>
        <v/>
      </c>
      <c r="AD45" s="255">
        <f t="shared" si="35"/>
        <v>7</v>
      </c>
      <c r="AE45" s="274" t="e">
        <f t="shared" si="4"/>
        <v>#N/A</v>
      </c>
      <c r="AF45" s="277" t="e">
        <f t="shared" si="36"/>
        <v>#N/A</v>
      </c>
      <c r="AG45" s="277" t="e">
        <f t="shared" si="37"/>
        <v>#N/A</v>
      </c>
      <c r="AH45" s="276" t="e">
        <f t="shared" si="5"/>
        <v>#N/A</v>
      </c>
      <c r="AI45" s="239">
        <f t="shared" si="38"/>
        <v>7</v>
      </c>
      <c r="AJ45" s="277" t="e">
        <f t="shared" si="6"/>
        <v>#N/A</v>
      </c>
      <c r="AK45" s="277" t="e">
        <f t="shared" si="39"/>
        <v>#N/A</v>
      </c>
      <c r="AL45" s="239" t="e">
        <f t="shared" si="7"/>
        <v>#N/A</v>
      </c>
      <c r="AM45" s="278" t="e">
        <f t="shared" si="40"/>
        <v>#N/A</v>
      </c>
      <c r="AN45" s="279" t="e">
        <f t="shared" si="8"/>
        <v>#N/A</v>
      </c>
      <c r="AO45" s="240" t="e">
        <f t="shared" si="9"/>
        <v>#N/A</v>
      </c>
      <c r="AP45" s="297">
        <f t="shared" si="41"/>
        <v>7</v>
      </c>
      <c r="AQ45" s="298" t="e">
        <f t="shared" si="10"/>
        <v>#N/A</v>
      </c>
      <c r="AR45" s="279" t="e">
        <f t="shared" si="42"/>
        <v>#N/A</v>
      </c>
      <c r="AS45" s="283" t="e">
        <f t="shared" si="11"/>
        <v>#N/A</v>
      </c>
      <c r="AT45" s="284">
        <f t="shared" si="43"/>
        <v>7</v>
      </c>
      <c r="AU45" s="285" t="e">
        <f t="shared" si="44"/>
        <v>#N/A</v>
      </c>
      <c r="AV45" s="286" t="e">
        <f t="shared" si="45"/>
        <v>#N/A</v>
      </c>
      <c r="AW45" s="287" t="e">
        <f t="shared" si="12"/>
        <v>#N/A</v>
      </c>
      <c r="AX45" s="245">
        <f t="shared" si="46"/>
        <v>7</v>
      </c>
      <c r="AY45" s="286" t="e">
        <f t="shared" si="13"/>
        <v>#N/A</v>
      </c>
      <c r="AZ45" s="245" t="e">
        <f t="shared" si="47"/>
        <v>#N/A</v>
      </c>
      <c r="BA45" s="245" t="e">
        <f t="shared" si="14"/>
        <v>#N/A</v>
      </c>
      <c r="BB45" s="288">
        <f t="shared" si="48"/>
        <v>7</v>
      </c>
      <c r="BC45" s="289" t="e">
        <f t="shared" si="49"/>
        <v>#N/A</v>
      </c>
      <c r="BD45" s="290" t="e">
        <f t="shared" si="50"/>
        <v>#N/A</v>
      </c>
      <c r="BE45" s="263" t="e">
        <f t="shared" si="15"/>
        <v>#N/A</v>
      </c>
      <c r="BF45" s="260">
        <f t="shared" si="51"/>
        <v>7</v>
      </c>
      <c r="BG45" s="289" t="e">
        <f t="shared" si="52"/>
        <v>#N/A</v>
      </c>
      <c r="BH45" s="290" t="e">
        <f t="shared" si="53"/>
        <v>#N/A</v>
      </c>
      <c r="BI45" s="263" t="e">
        <f t="shared" si="16"/>
        <v>#N/A</v>
      </c>
      <c r="BJ45" s="264">
        <f t="shared" si="54"/>
        <v>7</v>
      </c>
      <c r="BK45" s="291" t="e">
        <f t="shared" si="55"/>
        <v>#N/A</v>
      </c>
      <c r="BL45" s="291" t="e">
        <f t="shared" si="56"/>
        <v>#N/A</v>
      </c>
      <c r="BM45" s="292" t="e">
        <f t="shared" si="17"/>
        <v>#N/A</v>
      </c>
      <c r="BN45" s="293">
        <f t="shared" si="57"/>
        <v>7</v>
      </c>
      <c r="BO45" s="294" t="e">
        <f t="shared" si="58"/>
        <v>#N/A</v>
      </c>
      <c r="BP45" s="294" t="e">
        <f t="shared" si="59"/>
        <v>#N/A</v>
      </c>
      <c r="BQ45" s="292" t="e">
        <f t="shared" si="18"/>
        <v>#N/A</v>
      </c>
      <c r="BR45" s="295" t="e">
        <f t="shared" si="19"/>
        <v>#N/A</v>
      </c>
      <c r="BS45" s="230" t="e">
        <f>VLOOKUP($B45,SDR22_STOCK_BY_LA!$A$2:$C$11679,3,0)</f>
        <v>#N/A</v>
      </c>
      <c r="BT45" s="230" t="str">
        <f t="shared" si="60"/>
        <v/>
      </c>
    </row>
    <row r="46" spans="1:72" ht="12.5" x14ac:dyDescent="0.25">
      <c r="A46" s="230" t="str">
        <f t="shared" si="61"/>
        <v/>
      </c>
      <c r="B46" s="230" t="str">
        <f t="shared" si="62"/>
        <v/>
      </c>
      <c r="C46" s="296" t="str">
        <f t="shared" si="20"/>
        <v/>
      </c>
      <c r="D46" s="269" t="str">
        <f>IF(B46="","",IF(totals!$Q$3=0,IFERROR(IF(AD46=2,"0",AE46),""),"-"))</f>
        <v/>
      </c>
      <c r="E46" s="271" t="str">
        <f t="shared" si="21"/>
        <v/>
      </c>
      <c r="F46" s="272" t="str">
        <f t="shared" si="22"/>
        <v/>
      </c>
      <c r="G46" s="272" t="str">
        <f t="shared" si="23"/>
        <v/>
      </c>
      <c r="H46" s="269" t="str">
        <f t="shared" si="1"/>
        <v/>
      </c>
      <c r="I46" s="272" t="str">
        <f t="shared" si="24"/>
        <v/>
      </c>
      <c r="J46" s="272" t="str">
        <f t="shared" si="25"/>
        <v/>
      </c>
      <c r="K46" s="269" t="str">
        <f t="shared" si="2"/>
        <v/>
      </c>
      <c r="L46" s="272" t="str">
        <f t="shared" si="3"/>
        <v/>
      </c>
      <c r="M46" s="272" t="str">
        <f t="shared" si="26"/>
        <v/>
      </c>
      <c r="N46" s="269" t="str">
        <f t="shared" si="27"/>
        <v/>
      </c>
      <c r="O46" s="272" t="str">
        <f t="shared" si="28"/>
        <v/>
      </c>
      <c r="P46" s="272" t="str">
        <f t="shared" si="29"/>
        <v/>
      </c>
      <c r="Q46" s="269" t="str">
        <f t="shared" si="30"/>
        <v/>
      </c>
      <c r="R46" s="272" t="str">
        <f t="shared" si="31"/>
        <v/>
      </c>
      <c r="S46" s="272" t="str">
        <f t="shared" si="32"/>
        <v/>
      </c>
      <c r="T46" s="269" t="str">
        <f t="shared" si="33"/>
        <v/>
      </c>
      <c r="U46" s="230"/>
      <c r="V46" s="230"/>
      <c r="AB46" s="230" t="e">
        <f>VLOOKUP($B$6,Lookup_Source,39,0)</f>
        <v>#N/A</v>
      </c>
      <c r="AC46" s="254" t="str">
        <f t="shared" si="34"/>
        <v/>
      </c>
      <c r="AD46" s="255">
        <f t="shared" si="35"/>
        <v>7</v>
      </c>
      <c r="AE46" s="274" t="e">
        <f t="shared" si="4"/>
        <v>#N/A</v>
      </c>
      <c r="AF46" s="277" t="e">
        <f t="shared" si="36"/>
        <v>#N/A</v>
      </c>
      <c r="AG46" s="277" t="e">
        <f t="shared" si="37"/>
        <v>#N/A</v>
      </c>
      <c r="AH46" s="276" t="e">
        <f t="shared" si="5"/>
        <v>#N/A</v>
      </c>
      <c r="AI46" s="239">
        <f t="shared" si="38"/>
        <v>7</v>
      </c>
      <c r="AJ46" s="277" t="e">
        <f t="shared" si="6"/>
        <v>#N/A</v>
      </c>
      <c r="AK46" s="277" t="e">
        <f t="shared" si="39"/>
        <v>#N/A</v>
      </c>
      <c r="AL46" s="239" t="e">
        <f t="shared" si="7"/>
        <v>#N/A</v>
      </c>
      <c r="AM46" s="278" t="e">
        <f t="shared" si="40"/>
        <v>#N/A</v>
      </c>
      <c r="AN46" s="279" t="e">
        <f t="shared" si="8"/>
        <v>#N/A</v>
      </c>
      <c r="AO46" s="240" t="e">
        <f t="shared" si="9"/>
        <v>#N/A</v>
      </c>
      <c r="AP46" s="297">
        <f t="shared" si="41"/>
        <v>7</v>
      </c>
      <c r="AQ46" s="298" t="e">
        <f t="shared" si="10"/>
        <v>#N/A</v>
      </c>
      <c r="AR46" s="279" t="e">
        <f t="shared" si="42"/>
        <v>#N/A</v>
      </c>
      <c r="AS46" s="283" t="e">
        <f t="shared" si="11"/>
        <v>#N/A</v>
      </c>
      <c r="AT46" s="284">
        <f t="shared" si="43"/>
        <v>7</v>
      </c>
      <c r="AU46" s="285" t="e">
        <f t="shared" si="44"/>
        <v>#N/A</v>
      </c>
      <c r="AV46" s="286" t="e">
        <f t="shared" si="45"/>
        <v>#N/A</v>
      </c>
      <c r="AW46" s="287" t="e">
        <f t="shared" si="12"/>
        <v>#N/A</v>
      </c>
      <c r="AX46" s="245">
        <f t="shared" si="46"/>
        <v>7</v>
      </c>
      <c r="AY46" s="286" t="e">
        <f t="shared" si="13"/>
        <v>#N/A</v>
      </c>
      <c r="AZ46" s="245" t="e">
        <f t="shared" si="47"/>
        <v>#N/A</v>
      </c>
      <c r="BA46" s="245" t="e">
        <f t="shared" si="14"/>
        <v>#N/A</v>
      </c>
      <c r="BB46" s="288">
        <f t="shared" si="48"/>
        <v>7</v>
      </c>
      <c r="BC46" s="289" t="e">
        <f t="shared" si="49"/>
        <v>#N/A</v>
      </c>
      <c r="BD46" s="290" t="e">
        <f t="shared" si="50"/>
        <v>#N/A</v>
      </c>
      <c r="BE46" s="263" t="e">
        <f t="shared" si="15"/>
        <v>#N/A</v>
      </c>
      <c r="BF46" s="260">
        <f t="shared" si="51"/>
        <v>7</v>
      </c>
      <c r="BG46" s="289" t="e">
        <f t="shared" si="52"/>
        <v>#N/A</v>
      </c>
      <c r="BH46" s="290" t="e">
        <f t="shared" si="53"/>
        <v>#N/A</v>
      </c>
      <c r="BI46" s="263" t="e">
        <f t="shared" si="16"/>
        <v>#N/A</v>
      </c>
      <c r="BJ46" s="264">
        <f t="shared" si="54"/>
        <v>7</v>
      </c>
      <c r="BK46" s="291" t="e">
        <f t="shared" si="55"/>
        <v>#N/A</v>
      </c>
      <c r="BL46" s="291" t="e">
        <f t="shared" si="56"/>
        <v>#N/A</v>
      </c>
      <c r="BM46" s="292" t="e">
        <f t="shared" si="17"/>
        <v>#N/A</v>
      </c>
      <c r="BN46" s="293">
        <f t="shared" si="57"/>
        <v>7</v>
      </c>
      <c r="BO46" s="294" t="e">
        <f t="shared" si="58"/>
        <v>#N/A</v>
      </c>
      <c r="BP46" s="294" t="e">
        <f t="shared" si="59"/>
        <v>#N/A</v>
      </c>
      <c r="BQ46" s="292" t="e">
        <f t="shared" si="18"/>
        <v>#N/A</v>
      </c>
      <c r="BR46" s="295" t="e">
        <f t="shared" si="19"/>
        <v>#N/A</v>
      </c>
      <c r="BS46" s="230" t="e">
        <f>VLOOKUP($B46,SDR22_STOCK_BY_LA!$A$2:$C$11679,3,0)</f>
        <v>#N/A</v>
      </c>
      <c r="BT46" s="230" t="str">
        <f t="shared" si="60"/>
        <v/>
      </c>
    </row>
    <row r="47" spans="1:72" ht="12.5" x14ac:dyDescent="0.25">
      <c r="A47" s="269" t="str">
        <f t="shared" si="61"/>
        <v/>
      </c>
      <c r="B47" s="230" t="str">
        <f t="shared" si="62"/>
        <v/>
      </c>
      <c r="C47" s="270" t="str">
        <f t="shared" si="20"/>
        <v/>
      </c>
      <c r="D47" s="269" t="str">
        <f>IF(B47="","",IF(totals!$Q$3=0,IFERROR(IF(AD47=2,"0",AE47),""),"-"))</f>
        <v/>
      </c>
      <c r="E47" s="271" t="str">
        <f t="shared" si="21"/>
        <v/>
      </c>
      <c r="F47" s="272" t="str">
        <f t="shared" si="22"/>
        <v/>
      </c>
      <c r="G47" s="272" t="str">
        <f t="shared" si="23"/>
        <v/>
      </c>
      <c r="H47" s="269" t="str">
        <f t="shared" si="1"/>
        <v/>
      </c>
      <c r="I47" s="272" t="str">
        <f t="shared" si="24"/>
        <v/>
      </c>
      <c r="J47" s="272" t="str">
        <f t="shared" si="25"/>
        <v/>
      </c>
      <c r="K47" s="269" t="str">
        <f t="shared" si="2"/>
        <v/>
      </c>
      <c r="L47" s="272" t="str">
        <f t="shared" si="3"/>
        <v/>
      </c>
      <c r="M47" s="272" t="str">
        <f t="shared" si="26"/>
        <v/>
      </c>
      <c r="N47" s="269" t="str">
        <f t="shared" si="27"/>
        <v/>
      </c>
      <c r="O47" s="272" t="str">
        <f t="shared" si="28"/>
        <v/>
      </c>
      <c r="P47" s="272" t="str">
        <f t="shared" si="29"/>
        <v/>
      </c>
      <c r="Q47" s="269" t="str">
        <f t="shared" si="30"/>
        <v/>
      </c>
      <c r="R47" s="272" t="str">
        <f t="shared" si="31"/>
        <v/>
      </c>
      <c r="S47" s="272" t="str">
        <f t="shared" si="32"/>
        <v/>
      </c>
      <c r="T47" s="269" t="str">
        <f t="shared" si="33"/>
        <v/>
      </c>
      <c r="U47" s="230"/>
      <c r="V47" s="230"/>
      <c r="AB47" s="270" t="e">
        <f>VLOOKUP($B$6,Lookup_Source,40,0)</f>
        <v>#N/A</v>
      </c>
      <c r="AC47" s="254" t="str">
        <f t="shared" si="34"/>
        <v/>
      </c>
      <c r="AD47" s="255">
        <f t="shared" si="35"/>
        <v>7</v>
      </c>
      <c r="AE47" s="274" t="e">
        <f t="shared" si="4"/>
        <v>#N/A</v>
      </c>
      <c r="AF47" s="277" t="e">
        <f t="shared" si="36"/>
        <v>#N/A</v>
      </c>
      <c r="AG47" s="277" t="e">
        <f t="shared" si="37"/>
        <v>#N/A</v>
      </c>
      <c r="AH47" s="276" t="e">
        <f t="shared" si="5"/>
        <v>#N/A</v>
      </c>
      <c r="AI47" s="239">
        <f t="shared" si="38"/>
        <v>7</v>
      </c>
      <c r="AJ47" s="277" t="e">
        <f t="shared" si="6"/>
        <v>#N/A</v>
      </c>
      <c r="AK47" s="277" t="e">
        <f t="shared" si="39"/>
        <v>#N/A</v>
      </c>
      <c r="AL47" s="239" t="e">
        <f t="shared" si="7"/>
        <v>#N/A</v>
      </c>
      <c r="AM47" s="278" t="e">
        <f t="shared" si="40"/>
        <v>#N/A</v>
      </c>
      <c r="AN47" s="279" t="e">
        <f t="shared" si="8"/>
        <v>#N/A</v>
      </c>
      <c r="AO47" s="240" t="e">
        <f t="shared" si="9"/>
        <v>#N/A</v>
      </c>
      <c r="AP47" s="297">
        <f t="shared" si="41"/>
        <v>7</v>
      </c>
      <c r="AQ47" s="298" t="e">
        <f t="shared" si="10"/>
        <v>#N/A</v>
      </c>
      <c r="AR47" s="279" t="e">
        <f t="shared" si="42"/>
        <v>#N/A</v>
      </c>
      <c r="AS47" s="283" t="e">
        <f t="shared" si="11"/>
        <v>#N/A</v>
      </c>
      <c r="AT47" s="284">
        <f t="shared" si="43"/>
        <v>7</v>
      </c>
      <c r="AU47" s="285" t="e">
        <f t="shared" si="44"/>
        <v>#N/A</v>
      </c>
      <c r="AV47" s="286" t="e">
        <f t="shared" si="45"/>
        <v>#N/A</v>
      </c>
      <c r="AW47" s="287" t="e">
        <f t="shared" si="12"/>
        <v>#N/A</v>
      </c>
      <c r="AX47" s="245">
        <f t="shared" si="46"/>
        <v>7</v>
      </c>
      <c r="AY47" s="286" t="e">
        <f t="shared" si="13"/>
        <v>#N/A</v>
      </c>
      <c r="AZ47" s="245" t="e">
        <f t="shared" si="47"/>
        <v>#N/A</v>
      </c>
      <c r="BA47" s="245" t="e">
        <f t="shared" si="14"/>
        <v>#N/A</v>
      </c>
      <c r="BB47" s="288">
        <f t="shared" si="48"/>
        <v>7</v>
      </c>
      <c r="BC47" s="289" t="e">
        <f t="shared" si="49"/>
        <v>#N/A</v>
      </c>
      <c r="BD47" s="290" t="e">
        <f t="shared" si="50"/>
        <v>#N/A</v>
      </c>
      <c r="BE47" s="263" t="e">
        <f t="shared" si="15"/>
        <v>#N/A</v>
      </c>
      <c r="BF47" s="260">
        <f t="shared" si="51"/>
        <v>7</v>
      </c>
      <c r="BG47" s="289" t="e">
        <f t="shared" si="52"/>
        <v>#N/A</v>
      </c>
      <c r="BH47" s="290" t="e">
        <f t="shared" si="53"/>
        <v>#N/A</v>
      </c>
      <c r="BI47" s="263" t="e">
        <f t="shared" si="16"/>
        <v>#N/A</v>
      </c>
      <c r="BJ47" s="264">
        <f t="shared" si="54"/>
        <v>7</v>
      </c>
      <c r="BK47" s="291" t="e">
        <f t="shared" si="55"/>
        <v>#N/A</v>
      </c>
      <c r="BL47" s="291" t="e">
        <f t="shared" si="56"/>
        <v>#N/A</v>
      </c>
      <c r="BM47" s="292" t="e">
        <f t="shared" si="17"/>
        <v>#N/A</v>
      </c>
      <c r="BN47" s="293">
        <f t="shared" si="57"/>
        <v>7</v>
      </c>
      <c r="BO47" s="294" t="e">
        <f t="shared" si="58"/>
        <v>#N/A</v>
      </c>
      <c r="BP47" s="294" t="e">
        <f t="shared" si="59"/>
        <v>#N/A</v>
      </c>
      <c r="BQ47" s="292" t="e">
        <f t="shared" si="18"/>
        <v>#N/A</v>
      </c>
      <c r="BR47" s="295" t="e">
        <f t="shared" si="19"/>
        <v>#N/A</v>
      </c>
      <c r="BS47" s="230" t="e">
        <f>VLOOKUP($B47,SDR22_STOCK_BY_LA!$A$2:$C$11679,3,0)</f>
        <v>#N/A</v>
      </c>
      <c r="BT47" s="230" t="str">
        <f t="shared" si="60"/>
        <v/>
      </c>
    </row>
    <row r="48" spans="1:72" ht="12.5" x14ac:dyDescent="0.25">
      <c r="A48" s="230" t="str">
        <f t="shared" si="61"/>
        <v/>
      </c>
      <c r="B48" s="230" t="str">
        <f t="shared" si="62"/>
        <v/>
      </c>
      <c r="C48" s="296" t="str">
        <f t="shared" si="20"/>
        <v/>
      </c>
      <c r="D48" s="269" t="str">
        <f>IF(B48="","",IF(totals!$Q$3=0,IFERROR(IF(AD48=2,"0",AE48),""),"-"))</f>
        <v/>
      </c>
      <c r="E48" s="271" t="str">
        <f t="shared" si="21"/>
        <v/>
      </c>
      <c r="F48" s="272" t="str">
        <f t="shared" si="22"/>
        <v/>
      </c>
      <c r="G48" s="272" t="str">
        <f t="shared" si="23"/>
        <v/>
      </c>
      <c r="H48" s="269" t="str">
        <f t="shared" si="1"/>
        <v/>
      </c>
      <c r="I48" s="272" t="str">
        <f t="shared" si="24"/>
        <v/>
      </c>
      <c r="J48" s="272" t="str">
        <f t="shared" si="25"/>
        <v/>
      </c>
      <c r="K48" s="269" t="str">
        <f t="shared" si="2"/>
        <v/>
      </c>
      <c r="L48" s="272" t="str">
        <f t="shared" si="3"/>
        <v/>
      </c>
      <c r="M48" s="272" t="str">
        <f t="shared" si="26"/>
        <v/>
      </c>
      <c r="N48" s="269" t="str">
        <f t="shared" si="27"/>
        <v/>
      </c>
      <c r="O48" s="272" t="str">
        <f t="shared" si="28"/>
        <v/>
      </c>
      <c r="P48" s="272" t="str">
        <f t="shared" si="29"/>
        <v/>
      </c>
      <c r="Q48" s="269" t="str">
        <f t="shared" si="30"/>
        <v/>
      </c>
      <c r="R48" s="272" t="str">
        <f t="shared" si="31"/>
        <v/>
      </c>
      <c r="S48" s="272" t="str">
        <f t="shared" si="32"/>
        <v/>
      </c>
      <c r="T48" s="269" t="str">
        <f t="shared" si="33"/>
        <v/>
      </c>
      <c r="U48" s="230"/>
      <c r="V48" s="230"/>
      <c r="AB48" s="230" t="e">
        <f>VLOOKUP($B$6,Lookup_Source,41,0)</f>
        <v>#N/A</v>
      </c>
      <c r="AC48" s="254" t="str">
        <f t="shared" si="34"/>
        <v/>
      </c>
      <c r="AD48" s="255">
        <f t="shared" si="35"/>
        <v>7</v>
      </c>
      <c r="AE48" s="274" t="e">
        <f t="shared" si="4"/>
        <v>#N/A</v>
      </c>
      <c r="AF48" s="277" t="e">
        <f t="shared" si="36"/>
        <v>#N/A</v>
      </c>
      <c r="AG48" s="277" t="e">
        <f t="shared" si="37"/>
        <v>#N/A</v>
      </c>
      <c r="AH48" s="276" t="e">
        <f t="shared" si="5"/>
        <v>#N/A</v>
      </c>
      <c r="AI48" s="239">
        <f t="shared" si="38"/>
        <v>7</v>
      </c>
      <c r="AJ48" s="277" t="e">
        <f t="shared" si="6"/>
        <v>#N/A</v>
      </c>
      <c r="AK48" s="277" t="e">
        <f t="shared" si="39"/>
        <v>#N/A</v>
      </c>
      <c r="AL48" s="239" t="e">
        <f t="shared" si="7"/>
        <v>#N/A</v>
      </c>
      <c r="AM48" s="278" t="e">
        <f t="shared" si="40"/>
        <v>#N/A</v>
      </c>
      <c r="AN48" s="279" t="e">
        <f t="shared" si="8"/>
        <v>#N/A</v>
      </c>
      <c r="AO48" s="240" t="e">
        <f t="shared" si="9"/>
        <v>#N/A</v>
      </c>
      <c r="AP48" s="297">
        <f t="shared" si="41"/>
        <v>7</v>
      </c>
      <c r="AQ48" s="298" t="e">
        <f t="shared" si="10"/>
        <v>#N/A</v>
      </c>
      <c r="AR48" s="279" t="e">
        <f t="shared" si="42"/>
        <v>#N/A</v>
      </c>
      <c r="AS48" s="283" t="e">
        <f t="shared" si="11"/>
        <v>#N/A</v>
      </c>
      <c r="AT48" s="284">
        <f t="shared" si="43"/>
        <v>7</v>
      </c>
      <c r="AU48" s="285" t="e">
        <f t="shared" si="44"/>
        <v>#N/A</v>
      </c>
      <c r="AV48" s="286" t="e">
        <f t="shared" si="45"/>
        <v>#N/A</v>
      </c>
      <c r="AW48" s="287" t="e">
        <f t="shared" si="12"/>
        <v>#N/A</v>
      </c>
      <c r="AX48" s="245">
        <f t="shared" si="46"/>
        <v>7</v>
      </c>
      <c r="AY48" s="286" t="e">
        <f t="shared" si="13"/>
        <v>#N/A</v>
      </c>
      <c r="AZ48" s="245" t="e">
        <f t="shared" si="47"/>
        <v>#N/A</v>
      </c>
      <c r="BA48" s="245" t="e">
        <f t="shared" si="14"/>
        <v>#N/A</v>
      </c>
      <c r="BB48" s="288">
        <f t="shared" si="48"/>
        <v>7</v>
      </c>
      <c r="BC48" s="289" t="e">
        <f t="shared" si="49"/>
        <v>#N/A</v>
      </c>
      <c r="BD48" s="290" t="e">
        <f t="shared" si="50"/>
        <v>#N/A</v>
      </c>
      <c r="BE48" s="263" t="e">
        <f t="shared" si="15"/>
        <v>#N/A</v>
      </c>
      <c r="BF48" s="260">
        <f t="shared" si="51"/>
        <v>7</v>
      </c>
      <c r="BG48" s="289" t="e">
        <f t="shared" si="52"/>
        <v>#N/A</v>
      </c>
      <c r="BH48" s="290" t="e">
        <f t="shared" si="53"/>
        <v>#N/A</v>
      </c>
      <c r="BI48" s="263" t="e">
        <f t="shared" si="16"/>
        <v>#N/A</v>
      </c>
      <c r="BJ48" s="264">
        <f t="shared" si="54"/>
        <v>7</v>
      </c>
      <c r="BK48" s="291" t="e">
        <f t="shared" si="55"/>
        <v>#N/A</v>
      </c>
      <c r="BL48" s="291" t="e">
        <f t="shared" si="56"/>
        <v>#N/A</v>
      </c>
      <c r="BM48" s="292" t="e">
        <f t="shared" si="17"/>
        <v>#N/A</v>
      </c>
      <c r="BN48" s="293">
        <f t="shared" si="57"/>
        <v>7</v>
      </c>
      <c r="BO48" s="294" t="e">
        <f t="shared" si="58"/>
        <v>#N/A</v>
      </c>
      <c r="BP48" s="294" t="e">
        <f t="shared" si="59"/>
        <v>#N/A</v>
      </c>
      <c r="BQ48" s="292" t="e">
        <f t="shared" si="18"/>
        <v>#N/A</v>
      </c>
      <c r="BR48" s="295" t="e">
        <f t="shared" si="19"/>
        <v>#N/A</v>
      </c>
      <c r="BS48" s="230" t="e">
        <f>VLOOKUP($B48,SDR22_STOCK_BY_LA!$A$2:$C$11679,3,0)</f>
        <v>#N/A</v>
      </c>
      <c r="BT48" s="230" t="str">
        <f t="shared" si="60"/>
        <v/>
      </c>
    </row>
    <row r="49" spans="1:72" ht="12.5" x14ac:dyDescent="0.25">
      <c r="A49" s="269" t="str">
        <f t="shared" si="61"/>
        <v/>
      </c>
      <c r="B49" s="230" t="str">
        <f t="shared" si="62"/>
        <v/>
      </c>
      <c r="C49" s="270" t="str">
        <f t="shared" si="20"/>
        <v/>
      </c>
      <c r="D49" s="269" t="str">
        <f>IF(B49="","",IF(totals!$Q$3=0,IFERROR(IF(AD49=2,"0",AE49),""),"-"))</f>
        <v/>
      </c>
      <c r="E49" s="271" t="str">
        <f t="shared" si="21"/>
        <v/>
      </c>
      <c r="F49" s="272" t="str">
        <f t="shared" si="22"/>
        <v/>
      </c>
      <c r="G49" s="272" t="str">
        <f t="shared" si="23"/>
        <v/>
      </c>
      <c r="H49" s="269" t="str">
        <f t="shared" si="1"/>
        <v/>
      </c>
      <c r="I49" s="272" t="str">
        <f t="shared" si="24"/>
        <v/>
      </c>
      <c r="J49" s="272" t="str">
        <f t="shared" si="25"/>
        <v/>
      </c>
      <c r="K49" s="269" t="str">
        <f t="shared" si="2"/>
        <v/>
      </c>
      <c r="L49" s="272" t="str">
        <f t="shared" si="3"/>
        <v/>
      </c>
      <c r="M49" s="272" t="str">
        <f t="shared" si="26"/>
        <v/>
      </c>
      <c r="N49" s="269" t="str">
        <f t="shared" si="27"/>
        <v/>
      </c>
      <c r="O49" s="272" t="str">
        <f t="shared" si="28"/>
        <v/>
      </c>
      <c r="P49" s="272" t="str">
        <f t="shared" si="29"/>
        <v/>
      </c>
      <c r="Q49" s="269" t="str">
        <f t="shared" si="30"/>
        <v/>
      </c>
      <c r="R49" s="272" t="str">
        <f t="shared" si="31"/>
        <v/>
      </c>
      <c r="S49" s="272" t="str">
        <f t="shared" si="32"/>
        <v/>
      </c>
      <c r="T49" s="269" t="str">
        <f t="shared" si="33"/>
        <v/>
      </c>
      <c r="U49" s="230"/>
      <c r="V49" s="230"/>
      <c r="AB49" s="270" t="e">
        <f>VLOOKUP($B$6,Lookup_Source,42,0)</f>
        <v>#N/A</v>
      </c>
      <c r="AC49" s="254" t="str">
        <f t="shared" si="34"/>
        <v/>
      </c>
      <c r="AD49" s="255">
        <f t="shared" si="35"/>
        <v>7</v>
      </c>
      <c r="AE49" s="274" t="e">
        <f t="shared" si="4"/>
        <v>#N/A</v>
      </c>
      <c r="AF49" s="277" t="e">
        <f t="shared" si="36"/>
        <v>#N/A</v>
      </c>
      <c r="AG49" s="277" t="e">
        <f t="shared" si="37"/>
        <v>#N/A</v>
      </c>
      <c r="AH49" s="276" t="e">
        <f t="shared" si="5"/>
        <v>#N/A</v>
      </c>
      <c r="AI49" s="239">
        <f t="shared" si="38"/>
        <v>7</v>
      </c>
      <c r="AJ49" s="277" t="e">
        <f t="shared" si="6"/>
        <v>#N/A</v>
      </c>
      <c r="AK49" s="277" t="e">
        <f t="shared" si="39"/>
        <v>#N/A</v>
      </c>
      <c r="AL49" s="239" t="e">
        <f t="shared" si="7"/>
        <v>#N/A</v>
      </c>
      <c r="AM49" s="278" t="e">
        <f t="shared" si="40"/>
        <v>#N/A</v>
      </c>
      <c r="AN49" s="279" t="e">
        <f t="shared" si="8"/>
        <v>#N/A</v>
      </c>
      <c r="AO49" s="240" t="e">
        <f t="shared" si="9"/>
        <v>#N/A</v>
      </c>
      <c r="AP49" s="297">
        <f t="shared" si="41"/>
        <v>7</v>
      </c>
      <c r="AQ49" s="298" t="e">
        <f t="shared" si="10"/>
        <v>#N/A</v>
      </c>
      <c r="AR49" s="279" t="e">
        <f t="shared" si="42"/>
        <v>#N/A</v>
      </c>
      <c r="AS49" s="283" t="e">
        <f t="shared" si="11"/>
        <v>#N/A</v>
      </c>
      <c r="AT49" s="284">
        <f t="shared" si="43"/>
        <v>7</v>
      </c>
      <c r="AU49" s="285" t="e">
        <f t="shared" si="44"/>
        <v>#N/A</v>
      </c>
      <c r="AV49" s="286" t="e">
        <f t="shared" si="45"/>
        <v>#N/A</v>
      </c>
      <c r="AW49" s="287" t="e">
        <f t="shared" si="12"/>
        <v>#N/A</v>
      </c>
      <c r="AX49" s="245">
        <f t="shared" si="46"/>
        <v>7</v>
      </c>
      <c r="AY49" s="286" t="e">
        <f t="shared" si="13"/>
        <v>#N/A</v>
      </c>
      <c r="AZ49" s="245" t="e">
        <f t="shared" si="47"/>
        <v>#N/A</v>
      </c>
      <c r="BA49" s="245" t="e">
        <f t="shared" si="14"/>
        <v>#N/A</v>
      </c>
      <c r="BB49" s="288">
        <f t="shared" si="48"/>
        <v>7</v>
      </c>
      <c r="BC49" s="289" t="e">
        <f t="shared" si="49"/>
        <v>#N/A</v>
      </c>
      <c r="BD49" s="290" t="e">
        <f t="shared" si="50"/>
        <v>#N/A</v>
      </c>
      <c r="BE49" s="263" t="e">
        <f t="shared" si="15"/>
        <v>#N/A</v>
      </c>
      <c r="BF49" s="260">
        <f t="shared" si="51"/>
        <v>7</v>
      </c>
      <c r="BG49" s="289" t="e">
        <f t="shared" si="52"/>
        <v>#N/A</v>
      </c>
      <c r="BH49" s="290" t="e">
        <f t="shared" si="53"/>
        <v>#N/A</v>
      </c>
      <c r="BI49" s="263" t="e">
        <f t="shared" si="16"/>
        <v>#N/A</v>
      </c>
      <c r="BJ49" s="264">
        <f t="shared" si="54"/>
        <v>7</v>
      </c>
      <c r="BK49" s="291" t="e">
        <f t="shared" si="55"/>
        <v>#N/A</v>
      </c>
      <c r="BL49" s="291" t="e">
        <f t="shared" si="56"/>
        <v>#N/A</v>
      </c>
      <c r="BM49" s="292" t="e">
        <f t="shared" si="17"/>
        <v>#N/A</v>
      </c>
      <c r="BN49" s="293">
        <f t="shared" si="57"/>
        <v>7</v>
      </c>
      <c r="BO49" s="294" t="e">
        <f t="shared" si="58"/>
        <v>#N/A</v>
      </c>
      <c r="BP49" s="294" t="e">
        <f t="shared" si="59"/>
        <v>#N/A</v>
      </c>
      <c r="BQ49" s="292" t="e">
        <f t="shared" si="18"/>
        <v>#N/A</v>
      </c>
      <c r="BR49" s="295" t="e">
        <f t="shared" si="19"/>
        <v>#N/A</v>
      </c>
      <c r="BS49" s="230" t="e">
        <f>VLOOKUP($B49,SDR22_STOCK_BY_LA!$A$2:$C$11679,3,0)</f>
        <v>#N/A</v>
      </c>
      <c r="BT49" s="230" t="str">
        <f t="shared" si="60"/>
        <v/>
      </c>
    </row>
    <row r="50" spans="1:72" ht="12.5" x14ac:dyDescent="0.25">
      <c r="A50" s="230" t="str">
        <f t="shared" si="61"/>
        <v/>
      </c>
      <c r="B50" s="230" t="str">
        <f t="shared" si="62"/>
        <v/>
      </c>
      <c r="C50" s="296" t="str">
        <f t="shared" si="20"/>
        <v/>
      </c>
      <c r="D50" s="269" t="str">
        <f>IF(B50="","",IF(totals!$Q$3=0,IFERROR(IF(AD50=2,"0",AE50),""),"-"))</f>
        <v/>
      </c>
      <c r="E50" s="271" t="str">
        <f t="shared" si="21"/>
        <v/>
      </c>
      <c r="F50" s="272" t="str">
        <f t="shared" si="22"/>
        <v/>
      </c>
      <c r="G50" s="272" t="str">
        <f t="shared" si="23"/>
        <v/>
      </c>
      <c r="H50" s="269" t="str">
        <f t="shared" si="1"/>
        <v/>
      </c>
      <c r="I50" s="272" t="str">
        <f t="shared" si="24"/>
        <v/>
      </c>
      <c r="J50" s="272" t="str">
        <f t="shared" si="25"/>
        <v/>
      </c>
      <c r="K50" s="269" t="str">
        <f t="shared" si="2"/>
        <v/>
      </c>
      <c r="L50" s="272" t="str">
        <f t="shared" si="3"/>
        <v/>
      </c>
      <c r="M50" s="272" t="str">
        <f t="shared" si="26"/>
        <v/>
      </c>
      <c r="N50" s="269" t="str">
        <f t="shared" si="27"/>
        <v/>
      </c>
      <c r="O50" s="272" t="str">
        <f t="shared" si="28"/>
        <v/>
      </c>
      <c r="P50" s="272" t="str">
        <f t="shared" si="29"/>
        <v/>
      </c>
      <c r="Q50" s="269" t="str">
        <f t="shared" si="30"/>
        <v/>
      </c>
      <c r="R50" s="272" t="str">
        <f t="shared" si="31"/>
        <v/>
      </c>
      <c r="S50" s="272" t="str">
        <f t="shared" si="32"/>
        <v/>
      </c>
      <c r="T50" s="269" t="str">
        <f t="shared" si="33"/>
        <v/>
      </c>
      <c r="U50" s="230"/>
      <c r="V50" s="230"/>
      <c r="AB50" s="230" t="e">
        <f>VLOOKUP($B$6,Lookup_Source,43,0)</f>
        <v>#N/A</v>
      </c>
      <c r="AC50" s="254" t="str">
        <f t="shared" si="34"/>
        <v/>
      </c>
      <c r="AD50" s="255">
        <f t="shared" si="35"/>
        <v>7</v>
      </c>
      <c r="AE50" s="274" t="e">
        <f t="shared" si="4"/>
        <v>#N/A</v>
      </c>
      <c r="AF50" s="277" t="e">
        <f t="shared" si="36"/>
        <v>#N/A</v>
      </c>
      <c r="AG50" s="277" t="e">
        <f t="shared" si="37"/>
        <v>#N/A</v>
      </c>
      <c r="AH50" s="276" t="e">
        <f t="shared" si="5"/>
        <v>#N/A</v>
      </c>
      <c r="AI50" s="239">
        <f t="shared" si="38"/>
        <v>7</v>
      </c>
      <c r="AJ50" s="277" t="e">
        <f t="shared" si="6"/>
        <v>#N/A</v>
      </c>
      <c r="AK50" s="277" t="e">
        <f t="shared" si="39"/>
        <v>#N/A</v>
      </c>
      <c r="AL50" s="239" t="e">
        <f t="shared" si="7"/>
        <v>#N/A</v>
      </c>
      <c r="AM50" s="278" t="e">
        <f t="shared" si="40"/>
        <v>#N/A</v>
      </c>
      <c r="AN50" s="279" t="e">
        <f t="shared" si="8"/>
        <v>#N/A</v>
      </c>
      <c r="AO50" s="240" t="e">
        <f t="shared" si="9"/>
        <v>#N/A</v>
      </c>
      <c r="AP50" s="297">
        <f t="shared" si="41"/>
        <v>7</v>
      </c>
      <c r="AQ50" s="298" t="e">
        <f t="shared" si="10"/>
        <v>#N/A</v>
      </c>
      <c r="AR50" s="279" t="e">
        <f t="shared" si="42"/>
        <v>#N/A</v>
      </c>
      <c r="AS50" s="283" t="e">
        <f t="shared" si="11"/>
        <v>#N/A</v>
      </c>
      <c r="AT50" s="284">
        <f t="shared" si="43"/>
        <v>7</v>
      </c>
      <c r="AU50" s="285" t="e">
        <f t="shared" si="44"/>
        <v>#N/A</v>
      </c>
      <c r="AV50" s="286" t="e">
        <f t="shared" si="45"/>
        <v>#N/A</v>
      </c>
      <c r="AW50" s="287" t="e">
        <f t="shared" si="12"/>
        <v>#N/A</v>
      </c>
      <c r="AX50" s="245">
        <f t="shared" si="46"/>
        <v>7</v>
      </c>
      <c r="AY50" s="286" t="e">
        <f t="shared" si="13"/>
        <v>#N/A</v>
      </c>
      <c r="AZ50" s="245" t="e">
        <f t="shared" si="47"/>
        <v>#N/A</v>
      </c>
      <c r="BA50" s="245" t="e">
        <f t="shared" si="14"/>
        <v>#N/A</v>
      </c>
      <c r="BB50" s="288">
        <f t="shared" si="48"/>
        <v>7</v>
      </c>
      <c r="BC50" s="289" t="e">
        <f t="shared" si="49"/>
        <v>#N/A</v>
      </c>
      <c r="BD50" s="290" t="e">
        <f t="shared" si="50"/>
        <v>#N/A</v>
      </c>
      <c r="BE50" s="263" t="e">
        <f t="shared" si="15"/>
        <v>#N/A</v>
      </c>
      <c r="BF50" s="260">
        <f t="shared" si="51"/>
        <v>7</v>
      </c>
      <c r="BG50" s="289" t="e">
        <f t="shared" si="52"/>
        <v>#N/A</v>
      </c>
      <c r="BH50" s="290" t="e">
        <f t="shared" si="53"/>
        <v>#N/A</v>
      </c>
      <c r="BI50" s="263" t="e">
        <f t="shared" si="16"/>
        <v>#N/A</v>
      </c>
      <c r="BJ50" s="264">
        <f t="shared" si="54"/>
        <v>7</v>
      </c>
      <c r="BK50" s="291" t="e">
        <f t="shared" si="55"/>
        <v>#N/A</v>
      </c>
      <c r="BL50" s="291" t="e">
        <f t="shared" si="56"/>
        <v>#N/A</v>
      </c>
      <c r="BM50" s="292" t="e">
        <f t="shared" si="17"/>
        <v>#N/A</v>
      </c>
      <c r="BN50" s="293">
        <f t="shared" si="57"/>
        <v>7</v>
      </c>
      <c r="BO50" s="294" t="e">
        <f t="shared" si="58"/>
        <v>#N/A</v>
      </c>
      <c r="BP50" s="294" t="e">
        <f t="shared" si="59"/>
        <v>#N/A</v>
      </c>
      <c r="BQ50" s="292" t="e">
        <f t="shared" si="18"/>
        <v>#N/A</v>
      </c>
      <c r="BR50" s="295" t="e">
        <f t="shared" si="19"/>
        <v>#N/A</v>
      </c>
      <c r="BS50" s="230" t="e">
        <f>VLOOKUP($B50,SDR22_STOCK_BY_LA!$A$2:$C$11679,3,0)</f>
        <v>#N/A</v>
      </c>
      <c r="BT50" s="230" t="str">
        <f t="shared" si="60"/>
        <v/>
      </c>
    </row>
    <row r="51" spans="1:72" ht="12.5" x14ac:dyDescent="0.25">
      <c r="A51" s="269" t="str">
        <f t="shared" si="61"/>
        <v/>
      </c>
      <c r="B51" s="230" t="str">
        <f t="shared" si="62"/>
        <v/>
      </c>
      <c r="C51" s="270" t="str">
        <f t="shared" si="20"/>
        <v/>
      </c>
      <c r="D51" s="269" t="str">
        <f>IF(B51="","",IF(totals!$Q$3=0,IFERROR(IF(AD51=2,"0",AE51),""),"-"))</f>
        <v/>
      </c>
      <c r="E51" s="271" t="str">
        <f t="shared" si="21"/>
        <v/>
      </c>
      <c r="F51" s="272" t="str">
        <f t="shared" si="22"/>
        <v/>
      </c>
      <c r="G51" s="272" t="str">
        <f t="shared" si="23"/>
        <v/>
      </c>
      <c r="H51" s="269" t="str">
        <f t="shared" si="1"/>
        <v/>
      </c>
      <c r="I51" s="272" t="str">
        <f t="shared" si="24"/>
        <v/>
      </c>
      <c r="J51" s="272" t="str">
        <f t="shared" si="25"/>
        <v/>
      </c>
      <c r="K51" s="269" t="str">
        <f t="shared" si="2"/>
        <v/>
      </c>
      <c r="L51" s="272" t="str">
        <f t="shared" si="3"/>
        <v/>
      </c>
      <c r="M51" s="272" t="str">
        <f t="shared" si="26"/>
        <v/>
      </c>
      <c r="N51" s="269" t="str">
        <f t="shared" si="27"/>
        <v/>
      </c>
      <c r="O51" s="272" t="str">
        <f t="shared" si="28"/>
        <v/>
      </c>
      <c r="P51" s="272" t="str">
        <f t="shared" si="29"/>
        <v/>
      </c>
      <c r="Q51" s="269" t="str">
        <f t="shared" si="30"/>
        <v/>
      </c>
      <c r="R51" s="272" t="str">
        <f t="shared" si="31"/>
        <v/>
      </c>
      <c r="S51" s="272" t="str">
        <f t="shared" si="32"/>
        <v/>
      </c>
      <c r="T51" s="269" t="str">
        <f t="shared" si="33"/>
        <v/>
      </c>
      <c r="U51" s="230"/>
      <c r="V51" s="230"/>
      <c r="AB51" s="270" t="e">
        <f>VLOOKUP($B$6,Lookup_Source,44,0)</f>
        <v>#N/A</v>
      </c>
      <c r="AC51" s="254" t="str">
        <f t="shared" si="34"/>
        <v/>
      </c>
      <c r="AD51" s="255">
        <f t="shared" si="35"/>
        <v>7</v>
      </c>
      <c r="AE51" s="274" t="e">
        <f t="shared" si="4"/>
        <v>#N/A</v>
      </c>
      <c r="AF51" s="277" t="e">
        <f t="shared" si="36"/>
        <v>#N/A</v>
      </c>
      <c r="AG51" s="277" t="e">
        <f t="shared" si="37"/>
        <v>#N/A</v>
      </c>
      <c r="AH51" s="276" t="e">
        <f t="shared" si="5"/>
        <v>#N/A</v>
      </c>
      <c r="AI51" s="239">
        <f t="shared" si="38"/>
        <v>7</v>
      </c>
      <c r="AJ51" s="277" t="e">
        <f t="shared" si="6"/>
        <v>#N/A</v>
      </c>
      <c r="AK51" s="277" t="e">
        <f t="shared" si="39"/>
        <v>#N/A</v>
      </c>
      <c r="AL51" s="239" t="e">
        <f t="shared" si="7"/>
        <v>#N/A</v>
      </c>
      <c r="AM51" s="278" t="e">
        <f t="shared" si="40"/>
        <v>#N/A</v>
      </c>
      <c r="AN51" s="279" t="e">
        <f t="shared" si="8"/>
        <v>#N/A</v>
      </c>
      <c r="AO51" s="240" t="e">
        <f t="shared" si="9"/>
        <v>#N/A</v>
      </c>
      <c r="AP51" s="297">
        <f t="shared" si="41"/>
        <v>7</v>
      </c>
      <c r="AQ51" s="298" t="e">
        <f t="shared" si="10"/>
        <v>#N/A</v>
      </c>
      <c r="AR51" s="279" t="e">
        <f t="shared" si="42"/>
        <v>#N/A</v>
      </c>
      <c r="AS51" s="283" t="e">
        <f t="shared" si="11"/>
        <v>#N/A</v>
      </c>
      <c r="AT51" s="284">
        <f t="shared" si="43"/>
        <v>7</v>
      </c>
      <c r="AU51" s="285" t="e">
        <f t="shared" si="44"/>
        <v>#N/A</v>
      </c>
      <c r="AV51" s="286" t="e">
        <f t="shared" si="45"/>
        <v>#N/A</v>
      </c>
      <c r="AW51" s="287" t="e">
        <f t="shared" si="12"/>
        <v>#N/A</v>
      </c>
      <c r="AX51" s="245">
        <f t="shared" si="46"/>
        <v>7</v>
      </c>
      <c r="AY51" s="286" t="e">
        <f t="shared" si="13"/>
        <v>#N/A</v>
      </c>
      <c r="AZ51" s="245" t="e">
        <f t="shared" si="47"/>
        <v>#N/A</v>
      </c>
      <c r="BA51" s="245" t="e">
        <f t="shared" si="14"/>
        <v>#N/A</v>
      </c>
      <c r="BB51" s="288">
        <f t="shared" si="48"/>
        <v>7</v>
      </c>
      <c r="BC51" s="289" t="e">
        <f t="shared" si="49"/>
        <v>#N/A</v>
      </c>
      <c r="BD51" s="290" t="e">
        <f t="shared" si="50"/>
        <v>#N/A</v>
      </c>
      <c r="BE51" s="263" t="e">
        <f t="shared" si="15"/>
        <v>#N/A</v>
      </c>
      <c r="BF51" s="260">
        <f t="shared" si="51"/>
        <v>7</v>
      </c>
      <c r="BG51" s="289" t="e">
        <f t="shared" si="52"/>
        <v>#N/A</v>
      </c>
      <c r="BH51" s="290" t="e">
        <f t="shared" si="53"/>
        <v>#N/A</v>
      </c>
      <c r="BI51" s="263" t="e">
        <f t="shared" si="16"/>
        <v>#N/A</v>
      </c>
      <c r="BJ51" s="264">
        <f t="shared" si="54"/>
        <v>7</v>
      </c>
      <c r="BK51" s="291" t="e">
        <f t="shared" si="55"/>
        <v>#N/A</v>
      </c>
      <c r="BL51" s="291" t="e">
        <f t="shared" si="56"/>
        <v>#N/A</v>
      </c>
      <c r="BM51" s="292" t="e">
        <f t="shared" si="17"/>
        <v>#N/A</v>
      </c>
      <c r="BN51" s="293">
        <f t="shared" si="57"/>
        <v>7</v>
      </c>
      <c r="BO51" s="294" t="e">
        <f t="shared" si="58"/>
        <v>#N/A</v>
      </c>
      <c r="BP51" s="294" t="e">
        <f t="shared" si="59"/>
        <v>#N/A</v>
      </c>
      <c r="BQ51" s="292" t="e">
        <f t="shared" si="18"/>
        <v>#N/A</v>
      </c>
      <c r="BR51" s="295" t="e">
        <f t="shared" si="19"/>
        <v>#N/A</v>
      </c>
      <c r="BS51" s="230" t="e">
        <f>VLOOKUP($B51,SDR22_STOCK_BY_LA!$A$2:$C$11679,3,0)</f>
        <v>#N/A</v>
      </c>
      <c r="BT51" s="230" t="str">
        <f t="shared" si="60"/>
        <v/>
      </c>
    </row>
    <row r="52" spans="1:72" ht="12.5" x14ac:dyDescent="0.25">
      <c r="A52" s="230" t="str">
        <f t="shared" si="61"/>
        <v/>
      </c>
      <c r="B52" s="230" t="str">
        <f t="shared" si="62"/>
        <v/>
      </c>
      <c r="C52" s="296" t="str">
        <f t="shared" si="20"/>
        <v/>
      </c>
      <c r="D52" s="269" t="str">
        <f>IF(B52="","",IF(totals!$Q$3=0,IFERROR(IF(AD52=2,"0",AE52),""),"-"))</f>
        <v/>
      </c>
      <c r="E52" s="271" t="str">
        <f t="shared" si="21"/>
        <v/>
      </c>
      <c r="F52" s="272" t="str">
        <f t="shared" si="22"/>
        <v/>
      </c>
      <c r="G52" s="272" t="str">
        <f t="shared" si="23"/>
        <v/>
      </c>
      <c r="H52" s="269" t="str">
        <f t="shared" si="1"/>
        <v/>
      </c>
      <c r="I52" s="272" t="str">
        <f t="shared" si="24"/>
        <v/>
      </c>
      <c r="J52" s="272" t="str">
        <f t="shared" si="25"/>
        <v/>
      </c>
      <c r="K52" s="269" t="str">
        <f t="shared" si="2"/>
        <v/>
      </c>
      <c r="L52" s="272" t="str">
        <f t="shared" si="3"/>
        <v/>
      </c>
      <c r="M52" s="272" t="str">
        <f t="shared" si="26"/>
        <v/>
      </c>
      <c r="N52" s="269" t="str">
        <f t="shared" si="27"/>
        <v/>
      </c>
      <c r="O52" s="272" t="str">
        <f t="shared" si="28"/>
        <v/>
      </c>
      <c r="P52" s="272" t="str">
        <f t="shared" si="29"/>
        <v/>
      </c>
      <c r="Q52" s="269" t="str">
        <f t="shared" si="30"/>
        <v/>
      </c>
      <c r="R52" s="272" t="str">
        <f t="shared" si="31"/>
        <v/>
      </c>
      <c r="S52" s="272" t="str">
        <f t="shared" si="32"/>
        <v/>
      </c>
      <c r="T52" s="269" t="str">
        <f t="shared" si="33"/>
        <v/>
      </c>
      <c r="U52" s="230"/>
      <c r="V52" s="230"/>
      <c r="AB52" s="230" t="e">
        <f>VLOOKUP($B$6,Lookup_Source,45,0)</f>
        <v>#N/A</v>
      </c>
      <c r="AC52" s="254" t="str">
        <f t="shared" si="34"/>
        <v/>
      </c>
      <c r="AD52" s="255">
        <f t="shared" si="35"/>
        <v>7</v>
      </c>
      <c r="AE52" s="274" t="e">
        <f t="shared" si="4"/>
        <v>#N/A</v>
      </c>
      <c r="AF52" s="277" t="e">
        <f t="shared" si="36"/>
        <v>#N/A</v>
      </c>
      <c r="AG52" s="277" t="e">
        <f t="shared" si="37"/>
        <v>#N/A</v>
      </c>
      <c r="AH52" s="276" t="e">
        <f t="shared" si="5"/>
        <v>#N/A</v>
      </c>
      <c r="AI52" s="239">
        <f t="shared" si="38"/>
        <v>7</v>
      </c>
      <c r="AJ52" s="277" t="e">
        <f t="shared" si="6"/>
        <v>#N/A</v>
      </c>
      <c r="AK52" s="277" t="e">
        <f t="shared" si="39"/>
        <v>#N/A</v>
      </c>
      <c r="AL52" s="239" t="e">
        <f t="shared" si="7"/>
        <v>#N/A</v>
      </c>
      <c r="AM52" s="278" t="e">
        <f t="shared" si="40"/>
        <v>#N/A</v>
      </c>
      <c r="AN52" s="279" t="e">
        <f t="shared" si="8"/>
        <v>#N/A</v>
      </c>
      <c r="AO52" s="240" t="e">
        <f t="shared" si="9"/>
        <v>#N/A</v>
      </c>
      <c r="AP52" s="297">
        <f t="shared" si="41"/>
        <v>7</v>
      </c>
      <c r="AQ52" s="298" t="e">
        <f t="shared" si="10"/>
        <v>#N/A</v>
      </c>
      <c r="AR52" s="279" t="e">
        <f t="shared" si="42"/>
        <v>#N/A</v>
      </c>
      <c r="AS52" s="283" t="e">
        <f t="shared" si="11"/>
        <v>#N/A</v>
      </c>
      <c r="AT52" s="284">
        <f t="shared" si="43"/>
        <v>7</v>
      </c>
      <c r="AU52" s="285" t="e">
        <f t="shared" si="44"/>
        <v>#N/A</v>
      </c>
      <c r="AV52" s="286" t="e">
        <f t="shared" si="45"/>
        <v>#N/A</v>
      </c>
      <c r="AW52" s="287" t="e">
        <f t="shared" si="12"/>
        <v>#N/A</v>
      </c>
      <c r="AX52" s="245">
        <f t="shared" si="46"/>
        <v>7</v>
      </c>
      <c r="AY52" s="286" t="e">
        <f t="shared" si="13"/>
        <v>#N/A</v>
      </c>
      <c r="AZ52" s="245" t="e">
        <f t="shared" si="47"/>
        <v>#N/A</v>
      </c>
      <c r="BA52" s="245" t="e">
        <f t="shared" si="14"/>
        <v>#N/A</v>
      </c>
      <c r="BB52" s="288">
        <f t="shared" si="48"/>
        <v>7</v>
      </c>
      <c r="BC52" s="289" t="e">
        <f t="shared" si="49"/>
        <v>#N/A</v>
      </c>
      <c r="BD52" s="290" t="e">
        <f t="shared" si="50"/>
        <v>#N/A</v>
      </c>
      <c r="BE52" s="263" t="e">
        <f t="shared" si="15"/>
        <v>#N/A</v>
      </c>
      <c r="BF52" s="260">
        <f t="shared" si="51"/>
        <v>7</v>
      </c>
      <c r="BG52" s="289" t="e">
        <f t="shared" si="52"/>
        <v>#N/A</v>
      </c>
      <c r="BH52" s="290" t="e">
        <f t="shared" si="53"/>
        <v>#N/A</v>
      </c>
      <c r="BI52" s="263" t="e">
        <f t="shared" si="16"/>
        <v>#N/A</v>
      </c>
      <c r="BJ52" s="264">
        <f t="shared" si="54"/>
        <v>7</v>
      </c>
      <c r="BK52" s="291" t="e">
        <f t="shared" si="55"/>
        <v>#N/A</v>
      </c>
      <c r="BL52" s="291" t="e">
        <f t="shared" si="56"/>
        <v>#N/A</v>
      </c>
      <c r="BM52" s="292" t="e">
        <f t="shared" si="17"/>
        <v>#N/A</v>
      </c>
      <c r="BN52" s="293">
        <f t="shared" si="57"/>
        <v>7</v>
      </c>
      <c r="BO52" s="294" t="e">
        <f t="shared" si="58"/>
        <v>#N/A</v>
      </c>
      <c r="BP52" s="294" t="e">
        <f t="shared" si="59"/>
        <v>#N/A</v>
      </c>
      <c r="BQ52" s="292" t="e">
        <f t="shared" si="18"/>
        <v>#N/A</v>
      </c>
      <c r="BR52" s="295" t="e">
        <f t="shared" si="19"/>
        <v>#N/A</v>
      </c>
      <c r="BS52" s="230" t="e">
        <f>VLOOKUP($B52,SDR22_STOCK_BY_LA!$A$2:$C$11679,3,0)</f>
        <v>#N/A</v>
      </c>
      <c r="BT52" s="230" t="str">
        <f t="shared" si="60"/>
        <v/>
      </c>
    </row>
    <row r="53" spans="1:72" ht="12.5" x14ac:dyDescent="0.25">
      <c r="A53" s="269" t="str">
        <f t="shared" si="61"/>
        <v/>
      </c>
      <c r="B53" s="230" t="str">
        <f t="shared" si="62"/>
        <v/>
      </c>
      <c r="C53" s="270" t="str">
        <f t="shared" si="20"/>
        <v/>
      </c>
      <c r="D53" s="269" t="str">
        <f>IF(B53="","",IF(totals!$Q$3=0,IFERROR(IF(AD53=2,"0",AE53),""),"-"))</f>
        <v/>
      </c>
      <c r="E53" s="271" t="str">
        <f t="shared" si="21"/>
        <v/>
      </c>
      <c r="F53" s="272" t="str">
        <f t="shared" si="22"/>
        <v/>
      </c>
      <c r="G53" s="272" t="str">
        <f t="shared" si="23"/>
        <v/>
      </c>
      <c r="H53" s="269" t="str">
        <f t="shared" si="1"/>
        <v/>
      </c>
      <c r="I53" s="272" t="str">
        <f t="shared" si="24"/>
        <v/>
      </c>
      <c r="J53" s="272" t="str">
        <f t="shared" si="25"/>
        <v/>
      </c>
      <c r="K53" s="269" t="str">
        <f t="shared" si="2"/>
        <v/>
      </c>
      <c r="L53" s="272" t="str">
        <f t="shared" si="3"/>
        <v/>
      </c>
      <c r="M53" s="272" t="str">
        <f t="shared" si="26"/>
        <v/>
      </c>
      <c r="N53" s="269" t="str">
        <f t="shared" si="27"/>
        <v/>
      </c>
      <c r="O53" s="272" t="str">
        <f t="shared" si="28"/>
        <v/>
      </c>
      <c r="P53" s="272" t="str">
        <f t="shared" si="29"/>
        <v/>
      </c>
      <c r="Q53" s="269" t="str">
        <f t="shared" si="30"/>
        <v/>
      </c>
      <c r="R53" s="272" t="str">
        <f t="shared" si="31"/>
        <v/>
      </c>
      <c r="S53" s="272" t="str">
        <f t="shared" si="32"/>
        <v/>
      </c>
      <c r="T53" s="269" t="str">
        <f t="shared" si="33"/>
        <v/>
      </c>
      <c r="U53" s="230"/>
      <c r="V53" s="230"/>
      <c r="AB53" s="270" t="e">
        <f>VLOOKUP($B$6,Lookup_Source,46,0)</f>
        <v>#N/A</v>
      </c>
      <c r="AC53" s="254" t="str">
        <f t="shared" si="34"/>
        <v/>
      </c>
      <c r="AD53" s="255">
        <f t="shared" si="35"/>
        <v>7</v>
      </c>
      <c r="AE53" s="274" t="e">
        <f t="shared" si="4"/>
        <v>#N/A</v>
      </c>
      <c r="AF53" s="277" t="e">
        <f t="shared" si="36"/>
        <v>#N/A</v>
      </c>
      <c r="AG53" s="277" t="e">
        <f t="shared" si="37"/>
        <v>#N/A</v>
      </c>
      <c r="AH53" s="276" t="e">
        <f t="shared" si="5"/>
        <v>#N/A</v>
      </c>
      <c r="AI53" s="239">
        <f t="shared" si="38"/>
        <v>7</v>
      </c>
      <c r="AJ53" s="277" t="e">
        <f t="shared" si="6"/>
        <v>#N/A</v>
      </c>
      <c r="AK53" s="277" t="e">
        <f t="shared" si="39"/>
        <v>#N/A</v>
      </c>
      <c r="AL53" s="239" t="e">
        <f t="shared" si="7"/>
        <v>#N/A</v>
      </c>
      <c r="AM53" s="278" t="e">
        <f t="shared" si="40"/>
        <v>#N/A</v>
      </c>
      <c r="AN53" s="279" t="e">
        <f t="shared" si="8"/>
        <v>#N/A</v>
      </c>
      <c r="AO53" s="240" t="e">
        <f t="shared" si="9"/>
        <v>#N/A</v>
      </c>
      <c r="AP53" s="297">
        <f t="shared" si="41"/>
        <v>7</v>
      </c>
      <c r="AQ53" s="298" t="e">
        <f t="shared" si="10"/>
        <v>#N/A</v>
      </c>
      <c r="AR53" s="279" t="e">
        <f t="shared" si="42"/>
        <v>#N/A</v>
      </c>
      <c r="AS53" s="283" t="e">
        <f t="shared" si="11"/>
        <v>#N/A</v>
      </c>
      <c r="AT53" s="284">
        <f t="shared" si="43"/>
        <v>7</v>
      </c>
      <c r="AU53" s="285" t="e">
        <f t="shared" si="44"/>
        <v>#N/A</v>
      </c>
      <c r="AV53" s="286" t="e">
        <f t="shared" si="45"/>
        <v>#N/A</v>
      </c>
      <c r="AW53" s="287" t="e">
        <f t="shared" si="12"/>
        <v>#N/A</v>
      </c>
      <c r="AX53" s="245">
        <f t="shared" si="46"/>
        <v>7</v>
      </c>
      <c r="AY53" s="286" t="e">
        <f t="shared" si="13"/>
        <v>#N/A</v>
      </c>
      <c r="AZ53" s="245" t="e">
        <f t="shared" si="47"/>
        <v>#N/A</v>
      </c>
      <c r="BA53" s="245" t="e">
        <f t="shared" si="14"/>
        <v>#N/A</v>
      </c>
      <c r="BB53" s="288">
        <f t="shared" si="48"/>
        <v>7</v>
      </c>
      <c r="BC53" s="289" t="e">
        <f t="shared" si="49"/>
        <v>#N/A</v>
      </c>
      <c r="BD53" s="290" t="e">
        <f t="shared" si="50"/>
        <v>#N/A</v>
      </c>
      <c r="BE53" s="263" t="e">
        <f t="shared" si="15"/>
        <v>#N/A</v>
      </c>
      <c r="BF53" s="260">
        <f t="shared" si="51"/>
        <v>7</v>
      </c>
      <c r="BG53" s="289" t="e">
        <f t="shared" si="52"/>
        <v>#N/A</v>
      </c>
      <c r="BH53" s="290" t="e">
        <f t="shared" si="53"/>
        <v>#N/A</v>
      </c>
      <c r="BI53" s="263" t="e">
        <f t="shared" si="16"/>
        <v>#N/A</v>
      </c>
      <c r="BJ53" s="264">
        <f t="shared" si="54"/>
        <v>7</v>
      </c>
      <c r="BK53" s="291" t="e">
        <f t="shared" si="55"/>
        <v>#N/A</v>
      </c>
      <c r="BL53" s="291" t="e">
        <f t="shared" si="56"/>
        <v>#N/A</v>
      </c>
      <c r="BM53" s="292" t="e">
        <f t="shared" si="17"/>
        <v>#N/A</v>
      </c>
      <c r="BN53" s="293">
        <f t="shared" si="57"/>
        <v>7</v>
      </c>
      <c r="BO53" s="294" t="e">
        <f t="shared" si="58"/>
        <v>#N/A</v>
      </c>
      <c r="BP53" s="294" t="e">
        <f t="shared" si="59"/>
        <v>#N/A</v>
      </c>
      <c r="BQ53" s="292" t="e">
        <f t="shared" si="18"/>
        <v>#N/A</v>
      </c>
      <c r="BR53" s="295" t="e">
        <f t="shared" si="19"/>
        <v>#N/A</v>
      </c>
      <c r="BS53" s="230" t="e">
        <f>VLOOKUP($B53,SDR22_STOCK_BY_LA!$A$2:$C$11679,3,0)</f>
        <v>#N/A</v>
      </c>
      <c r="BT53" s="230" t="str">
        <f t="shared" si="60"/>
        <v/>
      </c>
    </row>
    <row r="54" spans="1:72" ht="12.5" x14ac:dyDescent="0.25">
      <c r="A54" s="230" t="str">
        <f t="shared" si="61"/>
        <v/>
      </c>
      <c r="B54" s="230" t="str">
        <f t="shared" si="62"/>
        <v/>
      </c>
      <c r="C54" s="296" t="str">
        <f t="shared" si="20"/>
        <v/>
      </c>
      <c r="D54" s="269" t="str">
        <f>IF(B54="","",IF(totals!$Q$3=0,IFERROR(IF(AD54=2,"0",AE54),""),"-"))</f>
        <v/>
      </c>
      <c r="E54" s="271" t="str">
        <f t="shared" si="21"/>
        <v/>
      </c>
      <c r="F54" s="272" t="str">
        <f t="shared" si="22"/>
        <v/>
      </c>
      <c r="G54" s="272" t="str">
        <f t="shared" si="23"/>
        <v/>
      </c>
      <c r="H54" s="269" t="str">
        <f t="shared" si="1"/>
        <v/>
      </c>
      <c r="I54" s="272" t="str">
        <f t="shared" si="24"/>
        <v/>
      </c>
      <c r="J54" s="272" t="str">
        <f t="shared" si="25"/>
        <v/>
      </c>
      <c r="K54" s="269" t="str">
        <f t="shared" si="2"/>
        <v/>
      </c>
      <c r="L54" s="272" t="str">
        <f t="shared" si="3"/>
        <v/>
      </c>
      <c r="M54" s="272" t="str">
        <f t="shared" si="26"/>
        <v/>
      </c>
      <c r="N54" s="269" t="str">
        <f t="shared" si="27"/>
        <v/>
      </c>
      <c r="O54" s="272" t="str">
        <f t="shared" si="28"/>
        <v/>
      </c>
      <c r="P54" s="272" t="str">
        <f t="shared" si="29"/>
        <v/>
      </c>
      <c r="Q54" s="269" t="str">
        <f t="shared" si="30"/>
        <v/>
      </c>
      <c r="R54" s="272" t="str">
        <f t="shared" si="31"/>
        <v/>
      </c>
      <c r="S54" s="272" t="str">
        <f t="shared" si="32"/>
        <v/>
      </c>
      <c r="T54" s="269" t="str">
        <f t="shared" si="33"/>
        <v/>
      </c>
      <c r="U54" s="230"/>
      <c r="V54" s="230"/>
      <c r="AB54" s="230" t="e">
        <f>VLOOKUP($B$6,Lookup_Source,47,0)</f>
        <v>#N/A</v>
      </c>
      <c r="AC54" s="254" t="str">
        <f t="shared" si="34"/>
        <v/>
      </c>
      <c r="AD54" s="255">
        <f t="shared" si="35"/>
        <v>7</v>
      </c>
      <c r="AE54" s="274" t="e">
        <f t="shared" si="4"/>
        <v>#N/A</v>
      </c>
      <c r="AF54" s="277" t="e">
        <f t="shared" si="36"/>
        <v>#N/A</v>
      </c>
      <c r="AG54" s="277" t="e">
        <f t="shared" si="37"/>
        <v>#N/A</v>
      </c>
      <c r="AH54" s="276" t="e">
        <f t="shared" si="5"/>
        <v>#N/A</v>
      </c>
      <c r="AI54" s="239">
        <f t="shared" si="38"/>
        <v>7</v>
      </c>
      <c r="AJ54" s="277" t="e">
        <f t="shared" si="6"/>
        <v>#N/A</v>
      </c>
      <c r="AK54" s="277" t="e">
        <f t="shared" si="39"/>
        <v>#N/A</v>
      </c>
      <c r="AL54" s="239" t="e">
        <f t="shared" si="7"/>
        <v>#N/A</v>
      </c>
      <c r="AM54" s="278" t="e">
        <f t="shared" si="40"/>
        <v>#N/A</v>
      </c>
      <c r="AN54" s="279" t="e">
        <f t="shared" si="8"/>
        <v>#N/A</v>
      </c>
      <c r="AO54" s="240" t="e">
        <f t="shared" si="9"/>
        <v>#N/A</v>
      </c>
      <c r="AP54" s="297">
        <f t="shared" si="41"/>
        <v>7</v>
      </c>
      <c r="AQ54" s="298" t="e">
        <f t="shared" si="10"/>
        <v>#N/A</v>
      </c>
      <c r="AR54" s="279" t="e">
        <f t="shared" si="42"/>
        <v>#N/A</v>
      </c>
      <c r="AS54" s="283" t="e">
        <f t="shared" si="11"/>
        <v>#N/A</v>
      </c>
      <c r="AT54" s="284">
        <f t="shared" si="43"/>
        <v>7</v>
      </c>
      <c r="AU54" s="285" t="e">
        <f t="shared" si="44"/>
        <v>#N/A</v>
      </c>
      <c r="AV54" s="286" t="e">
        <f t="shared" si="45"/>
        <v>#N/A</v>
      </c>
      <c r="AW54" s="287" t="e">
        <f t="shared" si="12"/>
        <v>#N/A</v>
      </c>
      <c r="AX54" s="245">
        <f t="shared" si="46"/>
        <v>7</v>
      </c>
      <c r="AY54" s="286" t="e">
        <f t="shared" si="13"/>
        <v>#N/A</v>
      </c>
      <c r="AZ54" s="245" t="e">
        <f t="shared" si="47"/>
        <v>#N/A</v>
      </c>
      <c r="BA54" s="245" t="e">
        <f t="shared" si="14"/>
        <v>#N/A</v>
      </c>
      <c r="BB54" s="288">
        <f t="shared" si="48"/>
        <v>7</v>
      </c>
      <c r="BC54" s="289" t="e">
        <f t="shared" si="49"/>
        <v>#N/A</v>
      </c>
      <c r="BD54" s="290" t="e">
        <f t="shared" si="50"/>
        <v>#N/A</v>
      </c>
      <c r="BE54" s="263" t="e">
        <f t="shared" si="15"/>
        <v>#N/A</v>
      </c>
      <c r="BF54" s="260">
        <f t="shared" si="51"/>
        <v>7</v>
      </c>
      <c r="BG54" s="289" t="e">
        <f t="shared" si="52"/>
        <v>#N/A</v>
      </c>
      <c r="BH54" s="290" t="e">
        <f t="shared" si="53"/>
        <v>#N/A</v>
      </c>
      <c r="BI54" s="263" t="e">
        <f t="shared" si="16"/>
        <v>#N/A</v>
      </c>
      <c r="BJ54" s="264">
        <f t="shared" si="54"/>
        <v>7</v>
      </c>
      <c r="BK54" s="291" t="e">
        <f t="shared" si="55"/>
        <v>#N/A</v>
      </c>
      <c r="BL54" s="291" t="e">
        <f t="shared" si="56"/>
        <v>#N/A</v>
      </c>
      <c r="BM54" s="292" t="e">
        <f t="shared" si="17"/>
        <v>#N/A</v>
      </c>
      <c r="BN54" s="293">
        <f t="shared" si="57"/>
        <v>7</v>
      </c>
      <c r="BO54" s="294" t="e">
        <f t="shared" si="58"/>
        <v>#N/A</v>
      </c>
      <c r="BP54" s="294" t="e">
        <f t="shared" si="59"/>
        <v>#N/A</v>
      </c>
      <c r="BQ54" s="292" t="e">
        <f t="shared" si="18"/>
        <v>#N/A</v>
      </c>
      <c r="BR54" s="295" t="e">
        <f t="shared" si="19"/>
        <v>#N/A</v>
      </c>
      <c r="BS54" s="230" t="e">
        <f>VLOOKUP($B54,SDR22_STOCK_BY_LA!$A$2:$C$11679,3,0)</f>
        <v>#N/A</v>
      </c>
      <c r="BT54" s="230" t="str">
        <f t="shared" si="60"/>
        <v/>
      </c>
    </row>
    <row r="55" spans="1:72" ht="12.5" x14ac:dyDescent="0.25">
      <c r="A55" s="269" t="str">
        <f t="shared" si="61"/>
        <v/>
      </c>
      <c r="B55" s="230" t="str">
        <f t="shared" si="62"/>
        <v/>
      </c>
      <c r="C55" s="270" t="str">
        <f t="shared" si="20"/>
        <v/>
      </c>
      <c r="D55" s="269" t="str">
        <f>IF(B55="","",IF(totals!$Q$3=0,IFERROR(IF(AD55=2,"0",AE55),""),"-"))</f>
        <v/>
      </c>
      <c r="E55" s="271" t="str">
        <f t="shared" si="21"/>
        <v/>
      </c>
      <c r="F55" s="272" t="str">
        <f t="shared" si="22"/>
        <v/>
      </c>
      <c r="G55" s="272" t="str">
        <f t="shared" si="23"/>
        <v/>
      </c>
      <c r="H55" s="269" t="str">
        <f t="shared" si="1"/>
        <v/>
      </c>
      <c r="I55" s="272" t="str">
        <f t="shared" si="24"/>
        <v/>
      </c>
      <c r="J55" s="272" t="str">
        <f t="shared" si="25"/>
        <v/>
      </c>
      <c r="K55" s="269" t="str">
        <f t="shared" si="2"/>
        <v/>
      </c>
      <c r="L55" s="272" t="str">
        <f t="shared" si="3"/>
        <v/>
      </c>
      <c r="M55" s="272" t="str">
        <f t="shared" si="26"/>
        <v/>
      </c>
      <c r="N55" s="269" t="str">
        <f t="shared" si="27"/>
        <v/>
      </c>
      <c r="O55" s="272" t="str">
        <f t="shared" si="28"/>
        <v/>
      </c>
      <c r="P55" s="272" t="str">
        <f t="shared" si="29"/>
        <v/>
      </c>
      <c r="Q55" s="269" t="str">
        <f t="shared" si="30"/>
        <v/>
      </c>
      <c r="R55" s="272" t="str">
        <f t="shared" si="31"/>
        <v/>
      </c>
      <c r="S55" s="272" t="str">
        <f t="shared" si="32"/>
        <v/>
      </c>
      <c r="T55" s="269" t="str">
        <f t="shared" si="33"/>
        <v/>
      </c>
      <c r="U55" s="230"/>
      <c r="V55" s="230"/>
      <c r="AB55" s="270" t="e">
        <f>VLOOKUP($B$6,Lookup_Source,48,0)</f>
        <v>#N/A</v>
      </c>
      <c r="AC55" s="254" t="str">
        <f t="shared" si="34"/>
        <v/>
      </c>
      <c r="AD55" s="255">
        <f t="shared" si="35"/>
        <v>7</v>
      </c>
      <c r="AE55" s="274" t="e">
        <f t="shared" si="4"/>
        <v>#N/A</v>
      </c>
      <c r="AF55" s="277" t="e">
        <f t="shared" si="36"/>
        <v>#N/A</v>
      </c>
      <c r="AG55" s="277" t="e">
        <f t="shared" si="37"/>
        <v>#N/A</v>
      </c>
      <c r="AH55" s="276" t="e">
        <f t="shared" si="5"/>
        <v>#N/A</v>
      </c>
      <c r="AI55" s="239">
        <f t="shared" si="38"/>
        <v>7</v>
      </c>
      <c r="AJ55" s="277" t="e">
        <f t="shared" si="6"/>
        <v>#N/A</v>
      </c>
      <c r="AK55" s="277" t="e">
        <f t="shared" si="39"/>
        <v>#N/A</v>
      </c>
      <c r="AL55" s="239" t="e">
        <f t="shared" si="7"/>
        <v>#N/A</v>
      </c>
      <c r="AM55" s="278" t="e">
        <f t="shared" si="40"/>
        <v>#N/A</v>
      </c>
      <c r="AN55" s="279" t="e">
        <f t="shared" si="8"/>
        <v>#N/A</v>
      </c>
      <c r="AO55" s="240" t="e">
        <f t="shared" si="9"/>
        <v>#N/A</v>
      </c>
      <c r="AP55" s="297">
        <f t="shared" si="41"/>
        <v>7</v>
      </c>
      <c r="AQ55" s="298" t="e">
        <f t="shared" si="10"/>
        <v>#N/A</v>
      </c>
      <c r="AR55" s="279" t="e">
        <f t="shared" si="42"/>
        <v>#N/A</v>
      </c>
      <c r="AS55" s="283" t="e">
        <f t="shared" si="11"/>
        <v>#N/A</v>
      </c>
      <c r="AT55" s="284">
        <f t="shared" si="43"/>
        <v>7</v>
      </c>
      <c r="AU55" s="285" t="e">
        <f t="shared" si="44"/>
        <v>#N/A</v>
      </c>
      <c r="AV55" s="286" t="e">
        <f t="shared" si="45"/>
        <v>#N/A</v>
      </c>
      <c r="AW55" s="287" t="e">
        <f t="shared" si="12"/>
        <v>#N/A</v>
      </c>
      <c r="AX55" s="245">
        <f t="shared" si="46"/>
        <v>7</v>
      </c>
      <c r="AY55" s="286" t="e">
        <f t="shared" si="13"/>
        <v>#N/A</v>
      </c>
      <c r="AZ55" s="245" t="e">
        <f t="shared" si="47"/>
        <v>#N/A</v>
      </c>
      <c r="BA55" s="245" t="e">
        <f t="shared" si="14"/>
        <v>#N/A</v>
      </c>
      <c r="BB55" s="288">
        <f t="shared" si="48"/>
        <v>7</v>
      </c>
      <c r="BC55" s="289" t="e">
        <f t="shared" si="49"/>
        <v>#N/A</v>
      </c>
      <c r="BD55" s="290" t="e">
        <f t="shared" si="50"/>
        <v>#N/A</v>
      </c>
      <c r="BE55" s="263" t="e">
        <f t="shared" si="15"/>
        <v>#N/A</v>
      </c>
      <c r="BF55" s="260">
        <f t="shared" si="51"/>
        <v>7</v>
      </c>
      <c r="BG55" s="289" t="e">
        <f t="shared" si="52"/>
        <v>#N/A</v>
      </c>
      <c r="BH55" s="290" t="e">
        <f t="shared" si="53"/>
        <v>#N/A</v>
      </c>
      <c r="BI55" s="263" t="e">
        <f t="shared" si="16"/>
        <v>#N/A</v>
      </c>
      <c r="BJ55" s="264">
        <f t="shared" si="54"/>
        <v>7</v>
      </c>
      <c r="BK55" s="291" t="e">
        <f t="shared" si="55"/>
        <v>#N/A</v>
      </c>
      <c r="BL55" s="291" t="e">
        <f t="shared" si="56"/>
        <v>#N/A</v>
      </c>
      <c r="BM55" s="292" t="e">
        <f t="shared" si="17"/>
        <v>#N/A</v>
      </c>
      <c r="BN55" s="293">
        <f t="shared" si="57"/>
        <v>7</v>
      </c>
      <c r="BO55" s="294" t="e">
        <f t="shared" si="58"/>
        <v>#N/A</v>
      </c>
      <c r="BP55" s="294" t="e">
        <f t="shared" si="59"/>
        <v>#N/A</v>
      </c>
      <c r="BQ55" s="292" t="e">
        <f t="shared" si="18"/>
        <v>#N/A</v>
      </c>
      <c r="BR55" s="295" t="e">
        <f t="shared" si="19"/>
        <v>#N/A</v>
      </c>
      <c r="BS55" s="230" t="e">
        <f>VLOOKUP($B55,SDR22_STOCK_BY_LA!$A$2:$C$11679,3,0)</f>
        <v>#N/A</v>
      </c>
      <c r="BT55" s="230" t="str">
        <f t="shared" si="60"/>
        <v/>
      </c>
    </row>
    <row r="56" spans="1:72" ht="12.5" x14ac:dyDescent="0.25">
      <c r="A56" s="230" t="str">
        <f t="shared" si="61"/>
        <v/>
      </c>
      <c r="B56" s="230" t="str">
        <f t="shared" si="62"/>
        <v/>
      </c>
      <c r="C56" s="296" t="str">
        <f t="shared" si="20"/>
        <v/>
      </c>
      <c r="D56" s="269" t="str">
        <f>IF(B56="","",IF(totals!$Q$3=0,IFERROR(IF(AD56=2,"0",AE56),""),"-"))</f>
        <v/>
      </c>
      <c r="E56" s="271" t="str">
        <f t="shared" si="21"/>
        <v/>
      </c>
      <c r="F56" s="272" t="str">
        <f t="shared" si="22"/>
        <v/>
      </c>
      <c r="G56" s="272" t="str">
        <f t="shared" si="23"/>
        <v/>
      </c>
      <c r="H56" s="269" t="str">
        <f t="shared" si="1"/>
        <v/>
      </c>
      <c r="I56" s="272" t="str">
        <f t="shared" si="24"/>
        <v/>
      </c>
      <c r="J56" s="272" t="str">
        <f t="shared" si="25"/>
        <v/>
      </c>
      <c r="K56" s="269" t="str">
        <f t="shared" si="2"/>
        <v/>
      </c>
      <c r="L56" s="272" t="str">
        <f t="shared" si="3"/>
        <v/>
      </c>
      <c r="M56" s="272" t="str">
        <f t="shared" si="26"/>
        <v/>
      </c>
      <c r="N56" s="269" t="str">
        <f t="shared" si="27"/>
        <v/>
      </c>
      <c r="O56" s="272" t="str">
        <f t="shared" si="28"/>
        <v/>
      </c>
      <c r="P56" s="272" t="str">
        <f t="shared" si="29"/>
        <v/>
      </c>
      <c r="Q56" s="269" t="str">
        <f t="shared" si="30"/>
        <v/>
      </c>
      <c r="R56" s="272" t="str">
        <f t="shared" si="31"/>
        <v/>
      </c>
      <c r="S56" s="272" t="str">
        <f t="shared" si="32"/>
        <v/>
      </c>
      <c r="T56" s="269" t="str">
        <f t="shared" si="33"/>
        <v/>
      </c>
      <c r="U56" s="230"/>
      <c r="V56" s="230"/>
      <c r="AB56" s="230" t="e">
        <f>VLOOKUP($B$6,Lookup_Source,49,0)</f>
        <v>#N/A</v>
      </c>
      <c r="AC56" s="254" t="str">
        <f t="shared" si="34"/>
        <v/>
      </c>
      <c r="AD56" s="255">
        <f t="shared" si="35"/>
        <v>7</v>
      </c>
      <c r="AE56" s="274" t="e">
        <f t="shared" si="4"/>
        <v>#N/A</v>
      </c>
      <c r="AF56" s="277" t="e">
        <f t="shared" si="36"/>
        <v>#N/A</v>
      </c>
      <c r="AG56" s="277" t="e">
        <f t="shared" si="37"/>
        <v>#N/A</v>
      </c>
      <c r="AH56" s="276" t="e">
        <f t="shared" si="5"/>
        <v>#N/A</v>
      </c>
      <c r="AI56" s="239">
        <f t="shared" si="38"/>
        <v>7</v>
      </c>
      <c r="AJ56" s="277" t="e">
        <f t="shared" si="6"/>
        <v>#N/A</v>
      </c>
      <c r="AK56" s="277" t="e">
        <f t="shared" si="39"/>
        <v>#N/A</v>
      </c>
      <c r="AL56" s="239" t="e">
        <f t="shared" si="7"/>
        <v>#N/A</v>
      </c>
      <c r="AM56" s="278" t="e">
        <f t="shared" si="40"/>
        <v>#N/A</v>
      </c>
      <c r="AN56" s="279" t="e">
        <f t="shared" si="8"/>
        <v>#N/A</v>
      </c>
      <c r="AO56" s="240" t="e">
        <f t="shared" si="9"/>
        <v>#N/A</v>
      </c>
      <c r="AP56" s="297">
        <f t="shared" si="41"/>
        <v>7</v>
      </c>
      <c r="AQ56" s="298" t="e">
        <f t="shared" si="10"/>
        <v>#N/A</v>
      </c>
      <c r="AR56" s="279" t="e">
        <f t="shared" si="42"/>
        <v>#N/A</v>
      </c>
      <c r="AS56" s="283" t="e">
        <f t="shared" si="11"/>
        <v>#N/A</v>
      </c>
      <c r="AT56" s="284">
        <f t="shared" si="43"/>
        <v>7</v>
      </c>
      <c r="AU56" s="285" t="e">
        <f t="shared" si="44"/>
        <v>#N/A</v>
      </c>
      <c r="AV56" s="286" t="e">
        <f t="shared" si="45"/>
        <v>#N/A</v>
      </c>
      <c r="AW56" s="287" t="e">
        <f t="shared" si="12"/>
        <v>#N/A</v>
      </c>
      <c r="AX56" s="245">
        <f t="shared" si="46"/>
        <v>7</v>
      </c>
      <c r="AY56" s="286" t="e">
        <f t="shared" si="13"/>
        <v>#N/A</v>
      </c>
      <c r="AZ56" s="245" t="e">
        <f t="shared" si="47"/>
        <v>#N/A</v>
      </c>
      <c r="BA56" s="245" t="e">
        <f t="shared" si="14"/>
        <v>#N/A</v>
      </c>
      <c r="BB56" s="288">
        <f t="shared" si="48"/>
        <v>7</v>
      </c>
      <c r="BC56" s="289" t="e">
        <f t="shared" si="49"/>
        <v>#N/A</v>
      </c>
      <c r="BD56" s="290" t="e">
        <f t="shared" si="50"/>
        <v>#N/A</v>
      </c>
      <c r="BE56" s="263" t="e">
        <f t="shared" si="15"/>
        <v>#N/A</v>
      </c>
      <c r="BF56" s="260">
        <f t="shared" si="51"/>
        <v>7</v>
      </c>
      <c r="BG56" s="289" t="e">
        <f t="shared" si="52"/>
        <v>#N/A</v>
      </c>
      <c r="BH56" s="290" t="e">
        <f t="shared" si="53"/>
        <v>#N/A</v>
      </c>
      <c r="BI56" s="263" t="e">
        <f t="shared" si="16"/>
        <v>#N/A</v>
      </c>
      <c r="BJ56" s="264">
        <f t="shared" si="54"/>
        <v>7</v>
      </c>
      <c r="BK56" s="291" t="e">
        <f t="shared" si="55"/>
        <v>#N/A</v>
      </c>
      <c r="BL56" s="291" t="e">
        <f t="shared" si="56"/>
        <v>#N/A</v>
      </c>
      <c r="BM56" s="292" t="e">
        <f t="shared" si="17"/>
        <v>#N/A</v>
      </c>
      <c r="BN56" s="293">
        <f t="shared" si="57"/>
        <v>7</v>
      </c>
      <c r="BO56" s="294" t="e">
        <f t="shared" si="58"/>
        <v>#N/A</v>
      </c>
      <c r="BP56" s="294" t="e">
        <f t="shared" si="59"/>
        <v>#N/A</v>
      </c>
      <c r="BQ56" s="292" t="e">
        <f t="shared" si="18"/>
        <v>#N/A</v>
      </c>
      <c r="BR56" s="295" t="e">
        <f t="shared" si="19"/>
        <v>#N/A</v>
      </c>
      <c r="BS56" s="230" t="e">
        <f>VLOOKUP($B56,SDR22_STOCK_BY_LA!$A$2:$C$11679,3,0)</f>
        <v>#N/A</v>
      </c>
      <c r="BT56" s="230" t="str">
        <f t="shared" si="60"/>
        <v/>
      </c>
    </row>
    <row r="57" spans="1:72" ht="12.5" x14ac:dyDescent="0.25">
      <c r="A57" s="269" t="str">
        <f t="shared" si="61"/>
        <v/>
      </c>
      <c r="B57" s="230" t="str">
        <f t="shared" si="62"/>
        <v/>
      </c>
      <c r="C57" s="270" t="str">
        <f t="shared" si="20"/>
        <v/>
      </c>
      <c r="D57" s="269" t="str">
        <f>IF(B57="","",IF(totals!$Q$3=0,IFERROR(IF(AD57=2,"0",AE57),""),"-"))</f>
        <v/>
      </c>
      <c r="E57" s="271" t="str">
        <f t="shared" si="21"/>
        <v/>
      </c>
      <c r="F57" s="272" t="str">
        <f t="shared" si="22"/>
        <v/>
      </c>
      <c r="G57" s="272" t="str">
        <f t="shared" si="23"/>
        <v/>
      </c>
      <c r="H57" s="269" t="str">
        <f t="shared" si="1"/>
        <v/>
      </c>
      <c r="I57" s="272" t="str">
        <f t="shared" si="24"/>
        <v/>
      </c>
      <c r="J57" s="272" t="str">
        <f t="shared" si="25"/>
        <v/>
      </c>
      <c r="K57" s="269" t="str">
        <f t="shared" si="2"/>
        <v/>
      </c>
      <c r="L57" s="272" t="str">
        <f t="shared" si="3"/>
        <v/>
      </c>
      <c r="M57" s="272" t="str">
        <f t="shared" si="26"/>
        <v/>
      </c>
      <c r="N57" s="269" t="str">
        <f t="shared" si="27"/>
        <v/>
      </c>
      <c r="O57" s="272" t="str">
        <f t="shared" si="28"/>
        <v/>
      </c>
      <c r="P57" s="272" t="str">
        <f t="shared" si="29"/>
        <v/>
      </c>
      <c r="Q57" s="269" t="str">
        <f t="shared" si="30"/>
        <v/>
      </c>
      <c r="R57" s="272" t="str">
        <f t="shared" si="31"/>
        <v/>
      </c>
      <c r="S57" s="272" t="str">
        <f t="shared" si="32"/>
        <v/>
      </c>
      <c r="T57" s="269" t="str">
        <f t="shared" si="33"/>
        <v/>
      </c>
      <c r="U57" s="230"/>
      <c r="V57" s="230"/>
      <c r="AB57" s="270" t="e">
        <f>VLOOKUP($B$6,Lookup_Source,50,0)</f>
        <v>#N/A</v>
      </c>
      <c r="AC57" s="254" t="str">
        <f t="shared" si="34"/>
        <v/>
      </c>
      <c r="AD57" s="255">
        <f t="shared" si="35"/>
        <v>7</v>
      </c>
      <c r="AE57" s="274" t="e">
        <f t="shared" si="4"/>
        <v>#N/A</v>
      </c>
      <c r="AF57" s="277" t="e">
        <f t="shared" si="36"/>
        <v>#N/A</v>
      </c>
      <c r="AG57" s="277" t="e">
        <f t="shared" si="37"/>
        <v>#N/A</v>
      </c>
      <c r="AH57" s="276" t="e">
        <f t="shared" si="5"/>
        <v>#N/A</v>
      </c>
      <c r="AI57" s="239">
        <f t="shared" si="38"/>
        <v>7</v>
      </c>
      <c r="AJ57" s="277" t="e">
        <f t="shared" si="6"/>
        <v>#N/A</v>
      </c>
      <c r="AK57" s="277" t="e">
        <f t="shared" si="39"/>
        <v>#N/A</v>
      </c>
      <c r="AL57" s="239" t="e">
        <f t="shared" si="7"/>
        <v>#N/A</v>
      </c>
      <c r="AM57" s="278" t="e">
        <f t="shared" si="40"/>
        <v>#N/A</v>
      </c>
      <c r="AN57" s="279" t="e">
        <f t="shared" si="8"/>
        <v>#N/A</v>
      </c>
      <c r="AO57" s="240" t="e">
        <f t="shared" si="9"/>
        <v>#N/A</v>
      </c>
      <c r="AP57" s="297">
        <f t="shared" si="41"/>
        <v>7</v>
      </c>
      <c r="AQ57" s="298" t="e">
        <f t="shared" si="10"/>
        <v>#N/A</v>
      </c>
      <c r="AR57" s="279" t="e">
        <f t="shared" si="42"/>
        <v>#N/A</v>
      </c>
      <c r="AS57" s="283" t="e">
        <f t="shared" si="11"/>
        <v>#N/A</v>
      </c>
      <c r="AT57" s="284">
        <f t="shared" si="43"/>
        <v>7</v>
      </c>
      <c r="AU57" s="285" t="e">
        <f t="shared" si="44"/>
        <v>#N/A</v>
      </c>
      <c r="AV57" s="286" t="e">
        <f t="shared" si="45"/>
        <v>#N/A</v>
      </c>
      <c r="AW57" s="287" t="e">
        <f t="shared" si="12"/>
        <v>#N/A</v>
      </c>
      <c r="AX57" s="245">
        <f t="shared" si="46"/>
        <v>7</v>
      </c>
      <c r="AY57" s="286" t="e">
        <f t="shared" si="13"/>
        <v>#N/A</v>
      </c>
      <c r="AZ57" s="245" t="e">
        <f t="shared" si="47"/>
        <v>#N/A</v>
      </c>
      <c r="BA57" s="245" t="e">
        <f t="shared" si="14"/>
        <v>#N/A</v>
      </c>
      <c r="BB57" s="288">
        <f t="shared" si="48"/>
        <v>7</v>
      </c>
      <c r="BC57" s="289" t="e">
        <f t="shared" si="49"/>
        <v>#N/A</v>
      </c>
      <c r="BD57" s="290" t="e">
        <f t="shared" si="50"/>
        <v>#N/A</v>
      </c>
      <c r="BE57" s="263" t="e">
        <f t="shared" si="15"/>
        <v>#N/A</v>
      </c>
      <c r="BF57" s="260">
        <f t="shared" si="51"/>
        <v>7</v>
      </c>
      <c r="BG57" s="289" t="e">
        <f t="shared" si="52"/>
        <v>#N/A</v>
      </c>
      <c r="BH57" s="290" t="e">
        <f t="shared" si="53"/>
        <v>#N/A</v>
      </c>
      <c r="BI57" s="263" t="e">
        <f t="shared" si="16"/>
        <v>#N/A</v>
      </c>
      <c r="BJ57" s="264">
        <f t="shared" si="54"/>
        <v>7</v>
      </c>
      <c r="BK57" s="291" t="e">
        <f t="shared" si="55"/>
        <v>#N/A</v>
      </c>
      <c r="BL57" s="291" t="e">
        <f t="shared" si="56"/>
        <v>#N/A</v>
      </c>
      <c r="BM57" s="292" t="e">
        <f t="shared" si="17"/>
        <v>#N/A</v>
      </c>
      <c r="BN57" s="293">
        <f t="shared" si="57"/>
        <v>7</v>
      </c>
      <c r="BO57" s="294" t="e">
        <f t="shared" si="58"/>
        <v>#N/A</v>
      </c>
      <c r="BP57" s="294" t="e">
        <f t="shared" si="59"/>
        <v>#N/A</v>
      </c>
      <c r="BQ57" s="292" t="e">
        <f t="shared" si="18"/>
        <v>#N/A</v>
      </c>
      <c r="BR57" s="295" t="e">
        <f t="shared" si="19"/>
        <v>#N/A</v>
      </c>
      <c r="BS57" s="230" t="e">
        <f>VLOOKUP($B57,SDR22_STOCK_BY_LA!$A$2:$C$11679,3,0)</f>
        <v>#N/A</v>
      </c>
      <c r="BT57" s="230" t="str">
        <f t="shared" si="60"/>
        <v/>
      </c>
    </row>
    <row r="58" spans="1:72" ht="12.5" x14ac:dyDescent="0.25">
      <c r="A58" s="230" t="str">
        <f t="shared" si="61"/>
        <v/>
      </c>
      <c r="B58" s="230" t="str">
        <f t="shared" si="62"/>
        <v/>
      </c>
      <c r="C58" s="296" t="str">
        <f t="shared" si="20"/>
        <v/>
      </c>
      <c r="D58" s="269" t="str">
        <f>IF(B58="","",IF(totals!$Q$3=0,IFERROR(IF(AD58=2,"0",AE58),""),"-"))</f>
        <v/>
      </c>
      <c r="E58" s="271" t="str">
        <f t="shared" si="21"/>
        <v/>
      </c>
      <c r="F58" s="272" t="str">
        <f t="shared" si="22"/>
        <v/>
      </c>
      <c r="G58" s="272" t="str">
        <f t="shared" si="23"/>
        <v/>
      </c>
      <c r="H58" s="269" t="str">
        <f t="shared" si="1"/>
        <v/>
      </c>
      <c r="I58" s="272" t="str">
        <f t="shared" si="24"/>
        <v/>
      </c>
      <c r="J58" s="272" t="str">
        <f t="shared" si="25"/>
        <v/>
      </c>
      <c r="K58" s="269" t="str">
        <f t="shared" si="2"/>
        <v/>
      </c>
      <c r="L58" s="272" t="str">
        <f t="shared" si="3"/>
        <v/>
      </c>
      <c r="M58" s="272" t="str">
        <f t="shared" si="26"/>
        <v/>
      </c>
      <c r="N58" s="269" t="str">
        <f t="shared" si="27"/>
        <v/>
      </c>
      <c r="O58" s="272" t="str">
        <f t="shared" si="28"/>
        <v/>
      </c>
      <c r="P58" s="272" t="str">
        <f t="shared" si="29"/>
        <v/>
      </c>
      <c r="Q58" s="269" t="str">
        <f t="shared" si="30"/>
        <v/>
      </c>
      <c r="R58" s="272" t="str">
        <f t="shared" si="31"/>
        <v/>
      </c>
      <c r="S58" s="272" t="str">
        <f t="shared" si="32"/>
        <v/>
      </c>
      <c r="T58" s="269" t="str">
        <f t="shared" si="33"/>
        <v/>
      </c>
      <c r="U58" s="230"/>
      <c r="V58" s="230"/>
      <c r="AB58" s="230" t="e">
        <f>VLOOKUP($B$6,Lookup_Source,51,0)</f>
        <v>#N/A</v>
      </c>
      <c r="AC58" s="254" t="str">
        <f t="shared" si="34"/>
        <v/>
      </c>
      <c r="AD58" s="255">
        <f t="shared" si="35"/>
        <v>7</v>
      </c>
      <c r="AE58" s="274" t="e">
        <f t="shared" si="4"/>
        <v>#N/A</v>
      </c>
      <c r="AF58" s="277" t="e">
        <f t="shared" si="36"/>
        <v>#N/A</v>
      </c>
      <c r="AG58" s="277" t="e">
        <f t="shared" si="37"/>
        <v>#N/A</v>
      </c>
      <c r="AH58" s="276" t="e">
        <f t="shared" si="5"/>
        <v>#N/A</v>
      </c>
      <c r="AI58" s="239">
        <f t="shared" si="38"/>
        <v>7</v>
      </c>
      <c r="AJ58" s="277" t="e">
        <f t="shared" si="6"/>
        <v>#N/A</v>
      </c>
      <c r="AK58" s="277" t="e">
        <f t="shared" si="39"/>
        <v>#N/A</v>
      </c>
      <c r="AL58" s="239" t="e">
        <f t="shared" si="7"/>
        <v>#N/A</v>
      </c>
      <c r="AM58" s="278" t="e">
        <f t="shared" si="40"/>
        <v>#N/A</v>
      </c>
      <c r="AN58" s="279" t="e">
        <f t="shared" si="8"/>
        <v>#N/A</v>
      </c>
      <c r="AO58" s="240" t="e">
        <f t="shared" si="9"/>
        <v>#N/A</v>
      </c>
      <c r="AP58" s="297">
        <f t="shared" si="41"/>
        <v>7</v>
      </c>
      <c r="AQ58" s="298" t="e">
        <f t="shared" si="10"/>
        <v>#N/A</v>
      </c>
      <c r="AR58" s="279" t="e">
        <f t="shared" si="42"/>
        <v>#N/A</v>
      </c>
      <c r="AS58" s="283" t="e">
        <f t="shared" si="11"/>
        <v>#N/A</v>
      </c>
      <c r="AT58" s="284">
        <f t="shared" si="43"/>
        <v>7</v>
      </c>
      <c r="AU58" s="285" t="e">
        <f t="shared" si="44"/>
        <v>#N/A</v>
      </c>
      <c r="AV58" s="286" t="e">
        <f t="shared" si="45"/>
        <v>#N/A</v>
      </c>
      <c r="AW58" s="287" t="e">
        <f t="shared" si="12"/>
        <v>#N/A</v>
      </c>
      <c r="AX58" s="245">
        <f t="shared" si="46"/>
        <v>7</v>
      </c>
      <c r="AY58" s="286" t="e">
        <f t="shared" si="13"/>
        <v>#N/A</v>
      </c>
      <c r="AZ58" s="245" t="e">
        <f t="shared" si="47"/>
        <v>#N/A</v>
      </c>
      <c r="BA58" s="245" t="e">
        <f t="shared" si="14"/>
        <v>#N/A</v>
      </c>
      <c r="BB58" s="288">
        <f t="shared" si="48"/>
        <v>7</v>
      </c>
      <c r="BC58" s="289" t="e">
        <f t="shared" si="49"/>
        <v>#N/A</v>
      </c>
      <c r="BD58" s="290" t="e">
        <f t="shared" si="50"/>
        <v>#N/A</v>
      </c>
      <c r="BE58" s="263" t="e">
        <f t="shared" si="15"/>
        <v>#N/A</v>
      </c>
      <c r="BF58" s="260">
        <f t="shared" si="51"/>
        <v>7</v>
      </c>
      <c r="BG58" s="289" t="e">
        <f t="shared" si="52"/>
        <v>#N/A</v>
      </c>
      <c r="BH58" s="290" t="e">
        <f t="shared" si="53"/>
        <v>#N/A</v>
      </c>
      <c r="BI58" s="263" t="e">
        <f t="shared" si="16"/>
        <v>#N/A</v>
      </c>
      <c r="BJ58" s="264">
        <f t="shared" si="54"/>
        <v>7</v>
      </c>
      <c r="BK58" s="291" t="e">
        <f t="shared" si="55"/>
        <v>#N/A</v>
      </c>
      <c r="BL58" s="291" t="e">
        <f t="shared" si="56"/>
        <v>#N/A</v>
      </c>
      <c r="BM58" s="292" t="e">
        <f t="shared" si="17"/>
        <v>#N/A</v>
      </c>
      <c r="BN58" s="293">
        <f t="shared" si="57"/>
        <v>7</v>
      </c>
      <c r="BO58" s="294" t="e">
        <f t="shared" si="58"/>
        <v>#N/A</v>
      </c>
      <c r="BP58" s="294" t="e">
        <f t="shared" si="59"/>
        <v>#N/A</v>
      </c>
      <c r="BQ58" s="292" t="e">
        <f t="shared" si="18"/>
        <v>#N/A</v>
      </c>
      <c r="BR58" s="295" t="e">
        <f t="shared" si="19"/>
        <v>#N/A</v>
      </c>
      <c r="BS58" s="230" t="e">
        <f>VLOOKUP($B58,SDR22_STOCK_BY_LA!$A$2:$C$11679,3,0)</f>
        <v>#N/A</v>
      </c>
      <c r="BT58" s="230" t="str">
        <f t="shared" si="60"/>
        <v/>
      </c>
    </row>
    <row r="59" spans="1:72" ht="12.5" x14ac:dyDescent="0.25">
      <c r="A59" s="269" t="str">
        <f t="shared" si="61"/>
        <v/>
      </c>
      <c r="B59" s="230" t="str">
        <f t="shared" si="62"/>
        <v/>
      </c>
      <c r="C59" s="270" t="str">
        <f t="shared" si="20"/>
        <v/>
      </c>
      <c r="D59" s="269" t="str">
        <f>IF(B59="","",IF(totals!$Q$3=0,IFERROR(IF(AD59=2,"0",AE59),""),"-"))</f>
        <v/>
      </c>
      <c r="E59" s="271" t="str">
        <f t="shared" si="21"/>
        <v/>
      </c>
      <c r="F59" s="272" t="str">
        <f t="shared" si="22"/>
        <v/>
      </c>
      <c r="G59" s="272" t="str">
        <f t="shared" si="23"/>
        <v/>
      </c>
      <c r="H59" s="269" t="str">
        <f t="shared" si="1"/>
        <v/>
      </c>
      <c r="I59" s="272" t="str">
        <f t="shared" si="24"/>
        <v/>
      </c>
      <c r="J59" s="272" t="str">
        <f t="shared" si="25"/>
        <v/>
      </c>
      <c r="K59" s="269" t="str">
        <f t="shared" si="2"/>
        <v/>
      </c>
      <c r="L59" s="272" t="str">
        <f t="shared" si="3"/>
        <v/>
      </c>
      <c r="M59" s="272" t="str">
        <f t="shared" si="26"/>
        <v/>
      </c>
      <c r="N59" s="269" t="str">
        <f t="shared" si="27"/>
        <v/>
      </c>
      <c r="O59" s="272" t="str">
        <f t="shared" si="28"/>
        <v/>
      </c>
      <c r="P59" s="272" t="str">
        <f t="shared" si="29"/>
        <v/>
      </c>
      <c r="Q59" s="269" t="str">
        <f t="shared" si="30"/>
        <v/>
      </c>
      <c r="R59" s="272" t="str">
        <f t="shared" si="31"/>
        <v/>
      </c>
      <c r="S59" s="272" t="str">
        <f t="shared" si="32"/>
        <v/>
      </c>
      <c r="T59" s="269" t="str">
        <f t="shared" si="33"/>
        <v/>
      </c>
      <c r="U59" s="230"/>
      <c r="V59" s="230"/>
      <c r="AB59" s="270" t="e">
        <f>VLOOKUP($B$6,Lookup_Source,52,0)</f>
        <v>#N/A</v>
      </c>
      <c r="AC59" s="254" t="str">
        <f t="shared" si="34"/>
        <v/>
      </c>
      <c r="AD59" s="255">
        <f t="shared" si="35"/>
        <v>7</v>
      </c>
      <c r="AE59" s="274" t="e">
        <f t="shared" si="4"/>
        <v>#N/A</v>
      </c>
      <c r="AF59" s="277" t="e">
        <f t="shared" si="36"/>
        <v>#N/A</v>
      </c>
      <c r="AG59" s="277" t="e">
        <f t="shared" si="37"/>
        <v>#N/A</v>
      </c>
      <c r="AH59" s="276" t="e">
        <f t="shared" si="5"/>
        <v>#N/A</v>
      </c>
      <c r="AI59" s="239">
        <f t="shared" si="38"/>
        <v>7</v>
      </c>
      <c r="AJ59" s="277" t="e">
        <f t="shared" si="6"/>
        <v>#N/A</v>
      </c>
      <c r="AK59" s="277" t="e">
        <f t="shared" si="39"/>
        <v>#N/A</v>
      </c>
      <c r="AL59" s="239" t="e">
        <f t="shared" si="7"/>
        <v>#N/A</v>
      </c>
      <c r="AM59" s="278" t="e">
        <f t="shared" si="40"/>
        <v>#N/A</v>
      </c>
      <c r="AN59" s="279" t="e">
        <f t="shared" si="8"/>
        <v>#N/A</v>
      </c>
      <c r="AO59" s="240" t="e">
        <f t="shared" si="9"/>
        <v>#N/A</v>
      </c>
      <c r="AP59" s="297">
        <f t="shared" si="41"/>
        <v>7</v>
      </c>
      <c r="AQ59" s="298" t="e">
        <f t="shared" si="10"/>
        <v>#N/A</v>
      </c>
      <c r="AR59" s="279" t="e">
        <f t="shared" si="42"/>
        <v>#N/A</v>
      </c>
      <c r="AS59" s="283" t="e">
        <f t="shared" si="11"/>
        <v>#N/A</v>
      </c>
      <c r="AT59" s="284">
        <f t="shared" si="43"/>
        <v>7</v>
      </c>
      <c r="AU59" s="285" t="e">
        <f t="shared" si="44"/>
        <v>#N/A</v>
      </c>
      <c r="AV59" s="286" t="e">
        <f t="shared" si="45"/>
        <v>#N/A</v>
      </c>
      <c r="AW59" s="287" t="e">
        <f t="shared" si="12"/>
        <v>#N/A</v>
      </c>
      <c r="AX59" s="245">
        <f t="shared" si="46"/>
        <v>7</v>
      </c>
      <c r="AY59" s="286" t="e">
        <f t="shared" si="13"/>
        <v>#N/A</v>
      </c>
      <c r="AZ59" s="245" t="e">
        <f t="shared" si="47"/>
        <v>#N/A</v>
      </c>
      <c r="BA59" s="245" t="e">
        <f t="shared" si="14"/>
        <v>#N/A</v>
      </c>
      <c r="BB59" s="288">
        <f t="shared" si="48"/>
        <v>7</v>
      </c>
      <c r="BC59" s="289" t="e">
        <f t="shared" si="49"/>
        <v>#N/A</v>
      </c>
      <c r="BD59" s="290" t="e">
        <f t="shared" si="50"/>
        <v>#N/A</v>
      </c>
      <c r="BE59" s="263" t="e">
        <f t="shared" si="15"/>
        <v>#N/A</v>
      </c>
      <c r="BF59" s="260">
        <f t="shared" si="51"/>
        <v>7</v>
      </c>
      <c r="BG59" s="289" t="e">
        <f t="shared" si="52"/>
        <v>#N/A</v>
      </c>
      <c r="BH59" s="290" t="e">
        <f t="shared" si="53"/>
        <v>#N/A</v>
      </c>
      <c r="BI59" s="263" t="e">
        <f t="shared" si="16"/>
        <v>#N/A</v>
      </c>
      <c r="BJ59" s="264">
        <f t="shared" si="54"/>
        <v>7</v>
      </c>
      <c r="BK59" s="291" t="e">
        <f t="shared" si="55"/>
        <v>#N/A</v>
      </c>
      <c r="BL59" s="291" t="e">
        <f t="shared" si="56"/>
        <v>#N/A</v>
      </c>
      <c r="BM59" s="292" t="e">
        <f t="shared" si="17"/>
        <v>#N/A</v>
      </c>
      <c r="BN59" s="293">
        <f t="shared" si="57"/>
        <v>7</v>
      </c>
      <c r="BO59" s="294" t="e">
        <f t="shared" si="58"/>
        <v>#N/A</v>
      </c>
      <c r="BP59" s="294" t="e">
        <f t="shared" si="59"/>
        <v>#N/A</v>
      </c>
      <c r="BQ59" s="292" t="e">
        <f t="shared" si="18"/>
        <v>#N/A</v>
      </c>
      <c r="BR59" s="295" t="e">
        <f t="shared" si="19"/>
        <v>#N/A</v>
      </c>
      <c r="BS59" s="230" t="e">
        <f>VLOOKUP($B59,SDR22_STOCK_BY_LA!$A$2:$C$11679,3,0)</f>
        <v>#N/A</v>
      </c>
      <c r="BT59" s="230" t="str">
        <f t="shared" si="60"/>
        <v/>
      </c>
    </row>
    <row r="60" spans="1:72" ht="12.5" x14ac:dyDescent="0.25">
      <c r="A60" s="230" t="str">
        <f t="shared" si="61"/>
        <v/>
      </c>
      <c r="B60" s="230" t="str">
        <f t="shared" si="62"/>
        <v/>
      </c>
      <c r="C60" s="296" t="str">
        <f t="shared" si="20"/>
        <v/>
      </c>
      <c r="D60" s="269" t="str">
        <f>IF(B60="","",IF(totals!$Q$3=0,IFERROR(IF(AD60=2,"0",AE60),""),"-"))</f>
        <v/>
      </c>
      <c r="E60" s="271" t="str">
        <f t="shared" si="21"/>
        <v/>
      </c>
      <c r="F60" s="272" t="str">
        <f t="shared" si="22"/>
        <v/>
      </c>
      <c r="G60" s="272" t="str">
        <f t="shared" si="23"/>
        <v/>
      </c>
      <c r="H60" s="269" t="str">
        <f t="shared" si="1"/>
        <v/>
      </c>
      <c r="I60" s="272" t="str">
        <f t="shared" si="24"/>
        <v/>
      </c>
      <c r="J60" s="272" t="str">
        <f t="shared" si="25"/>
        <v/>
      </c>
      <c r="K60" s="269" t="str">
        <f t="shared" si="2"/>
        <v/>
      </c>
      <c r="L60" s="272" t="str">
        <f t="shared" si="3"/>
        <v/>
      </c>
      <c r="M60" s="272" t="str">
        <f t="shared" si="26"/>
        <v/>
      </c>
      <c r="N60" s="269" t="str">
        <f t="shared" si="27"/>
        <v/>
      </c>
      <c r="O60" s="272" t="str">
        <f t="shared" si="28"/>
        <v/>
      </c>
      <c r="P60" s="272" t="str">
        <f t="shared" si="29"/>
        <v/>
      </c>
      <c r="Q60" s="269" t="str">
        <f t="shared" si="30"/>
        <v/>
      </c>
      <c r="R60" s="272" t="str">
        <f t="shared" si="31"/>
        <v/>
      </c>
      <c r="S60" s="272" t="str">
        <f t="shared" si="32"/>
        <v/>
      </c>
      <c r="T60" s="269" t="str">
        <f t="shared" si="33"/>
        <v/>
      </c>
      <c r="U60" s="230"/>
      <c r="V60" s="230"/>
      <c r="AB60" s="230" t="e">
        <f>VLOOKUP($B$6,Lookup_Source,53,0)</f>
        <v>#N/A</v>
      </c>
      <c r="AC60" s="254" t="str">
        <f t="shared" si="34"/>
        <v/>
      </c>
      <c r="AD60" s="255">
        <f t="shared" si="35"/>
        <v>7</v>
      </c>
      <c r="AE60" s="274" t="e">
        <f t="shared" si="4"/>
        <v>#N/A</v>
      </c>
      <c r="AF60" s="277" t="e">
        <f t="shared" si="36"/>
        <v>#N/A</v>
      </c>
      <c r="AG60" s="277" t="e">
        <f t="shared" si="37"/>
        <v>#N/A</v>
      </c>
      <c r="AH60" s="276" t="e">
        <f t="shared" si="5"/>
        <v>#N/A</v>
      </c>
      <c r="AI60" s="239">
        <f t="shared" si="38"/>
        <v>7</v>
      </c>
      <c r="AJ60" s="277" t="e">
        <f t="shared" si="6"/>
        <v>#N/A</v>
      </c>
      <c r="AK60" s="277" t="e">
        <f t="shared" si="39"/>
        <v>#N/A</v>
      </c>
      <c r="AL60" s="239" t="e">
        <f t="shared" si="7"/>
        <v>#N/A</v>
      </c>
      <c r="AM60" s="278" t="e">
        <f t="shared" si="40"/>
        <v>#N/A</v>
      </c>
      <c r="AN60" s="279" t="e">
        <f t="shared" si="8"/>
        <v>#N/A</v>
      </c>
      <c r="AO60" s="240" t="e">
        <f t="shared" si="9"/>
        <v>#N/A</v>
      </c>
      <c r="AP60" s="297">
        <f t="shared" si="41"/>
        <v>7</v>
      </c>
      <c r="AQ60" s="298" t="e">
        <f t="shared" si="10"/>
        <v>#N/A</v>
      </c>
      <c r="AR60" s="279" t="e">
        <f t="shared" si="42"/>
        <v>#N/A</v>
      </c>
      <c r="AS60" s="283" t="e">
        <f t="shared" si="11"/>
        <v>#N/A</v>
      </c>
      <c r="AT60" s="284">
        <f t="shared" si="43"/>
        <v>7</v>
      </c>
      <c r="AU60" s="285" t="e">
        <f t="shared" si="44"/>
        <v>#N/A</v>
      </c>
      <c r="AV60" s="286" t="e">
        <f t="shared" si="45"/>
        <v>#N/A</v>
      </c>
      <c r="AW60" s="287" t="e">
        <f t="shared" si="12"/>
        <v>#N/A</v>
      </c>
      <c r="AX60" s="245">
        <f t="shared" si="46"/>
        <v>7</v>
      </c>
      <c r="AY60" s="286" t="e">
        <f t="shared" si="13"/>
        <v>#N/A</v>
      </c>
      <c r="AZ60" s="245" t="e">
        <f t="shared" si="47"/>
        <v>#N/A</v>
      </c>
      <c r="BA60" s="245" t="e">
        <f t="shared" si="14"/>
        <v>#N/A</v>
      </c>
      <c r="BB60" s="288">
        <f t="shared" si="48"/>
        <v>7</v>
      </c>
      <c r="BC60" s="289" t="e">
        <f t="shared" si="49"/>
        <v>#N/A</v>
      </c>
      <c r="BD60" s="290" t="e">
        <f t="shared" si="50"/>
        <v>#N/A</v>
      </c>
      <c r="BE60" s="263" t="e">
        <f t="shared" si="15"/>
        <v>#N/A</v>
      </c>
      <c r="BF60" s="260">
        <f t="shared" si="51"/>
        <v>7</v>
      </c>
      <c r="BG60" s="289" t="e">
        <f t="shared" si="52"/>
        <v>#N/A</v>
      </c>
      <c r="BH60" s="290" t="e">
        <f t="shared" si="53"/>
        <v>#N/A</v>
      </c>
      <c r="BI60" s="263" t="e">
        <f t="shared" si="16"/>
        <v>#N/A</v>
      </c>
      <c r="BJ60" s="264">
        <f t="shared" si="54"/>
        <v>7</v>
      </c>
      <c r="BK60" s="291" t="e">
        <f t="shared" si="55"/>
        <v>#N/A</v>
      </c>
      <c r="BL60" s="291" t="e">
        <f t="shared" si="56"/>
        <v>#N/A</v>
      </c>
      <c r="BM60" s="292" t="e">
        <f t="shared" si="17"/>
        <v>#N/A</v>
      </c>
      <c r="BN60" s="293">
        <f t="shared" si="57"/>
        <v>7</v>
      </c>
      <c r="BO60" s="294" t="e">
        <f t="shared" si="58"/>
        <v>#N/A</v>
      </c>
      <c r="BP60" s="294" t="e">
        <f t="shared" si="59"/>
        <v>#N/A</v>
      </c>
      <c r="BQ60" s="292" t="e">
        <f t="shared" si="18"/>
        <v>#N/A</v>
      </c>
      <c r="BR60" s="295" t="e">
        <f t="shared" si="19"/>
        <v>#N/A</v>
      </c>
      <c r="BS60" s="230" t="e">
        <f>VLOOKUP($B60,SDR22_STOCK_BY_LA!$A$2:$C$11679,3,0)</f>
        <v>#N/A</v>
      </c>
      <c r="BT60" s="230" t="str">
        <f t="shared" si="60"/>
        <v/>
      </c>
    </row>
    <row r="61" spans="1:72" ht="12.5" x14ac:dyDescent="0.25">
      <c r="A61" s="269" t="str">
        <f t="shared" si="61"/>
        <v/>
      </c>
      <c r="B61" s="230" t="str">
        <f t="shared" si="62"/>
        <v/>
      </c>
      <c r="C61" s="270" t="str">
        <f t="shared" si="20"/>
        <v/>
      </c>
      <c r="D61" s="269" t="str">
        <f>IF(B61="","",IF(totals!$Q$3=0,IFERROR(IF(AD61=2,"0",AE61),""),"-"))</f>
        <v/>
      </c>
      <c r="E61" s="271" t="str">
        <f t="shared" si="21"/>
        <v/>
      </c>
      <c r="F61" s="272" t="str">
        <f t="shared" si="22"/>
        <v/>
      </c>
      <c r="G61" s="272" t="str">
        <f t="shared" si="23"/>
        <v/>
      </c>
      <c r="H61" s="269" t="str">
        <f t="shared" si="1"/>
        <v/>
      </c>
      <c r="I61" s="272" t="str">
        <f t="shared" si="24"/>
        <v/>
      </c>
      <c r="J61" s="272" t="str">
        <f t="shared" si="25"/>
        <v/>
      </c>
      <c r="K61" s="269" t="str">
        <f t="shared" si="2"/>
        <v/>
      </c>
      <c r="L61" s="272" t="str">
        <f t="shared" si="3"/>
        <v/>
      </c>
      <c r="M61" s="272" t="str">
        <f t="shared" si="26"/>
        <v/>
      </c>
      <c r="N61" s="269" t="str">
        <f t="shared" si="27"/>
        <v/>
      </c>
      <c r="O61" s="272" t="str">
        <f t="shared" si="28"/>
        <v/>
      </c>
      <c r="P61" s="272" t="str">
        <f t="shared" si="29"/>
        <v/>
      </c>
      <c r="Q61" s="269" t="str">
        <f t="shared" si="30"/>
        <v/>
      </c>
      <c r="R61" s="272" t="str">
        <f t="shared" si="31"/>
        <v/>
      </c>
      <c r="S61" s="272" t="str">
        <f t="shared" si="32"/>
        <v/>
      </c>
      <c r="T61" s="269" t="str">
        <f t="shared" si="33"/>
        <v/>
      </c>
      <c r="U61" s="230"/>
      <c r="V61" s="230"/>
      <c r="AB61" s="270" t="e">
        <f>VLOOKUP($B$6,Lookup_Source,54,0)</f>
        <v>#N/A</v>
      </c>
      <c r="AC61" s="254" t="str">
        <f t="shared" si="34"/>
        <v/>
      </c>
      <c r="AD61" s="255">
        <f t="shared" si="35"/>
        <v>7</v>
      </c>
      <c r="AE61" s="274" t="e">
        <f t="shared" si="4"/>
        <v>#N/A</v>
      </c>
      <c r="AF61" s="277" t="e">
        <f t="shared" si="36"/>
        <v>#N/A</v>
      </c>
      <c r="AG61" s="277" t="e">
        <f t="shared" si="37"/>
        <v>#N/A</v>
      </c>
      <c r="AH61" s="276" t="e">
        <f t="shared" si="5"/>
        <v>#N/A</v>
      </c>
      <c r="AI61" s="239">
        <f t="shared" si="38"/>
        <v>7</v>
      </c>
      <c r="AJ61" s="277" t="e">
        <f t="shared" si="6"/>
        <v>#N/A</v>
      </c>
      <c r="AK61" s="277" t="e">
        <f t="shared" si="39"/>
        <v>#N/A</v>
      </c>
      <c r="AL61" s="239" t="e">
        <f t="shared" si="7"/>
        <v>#N/A</v>
      </c>
      <c r="AM61" s="278" t="e">
        <f t="shared" si="40"/>
        <v>#N/A</v>
      </c>
      <c r="AN61" s="279" t="e">
        <f t="shared" si="8"/>
        <v>#N/A</v>
      </c>
      <c r="AO61" s="240" t="e">
        <f t="shared" si="9"/>
        <v>#N/A</v>
      </c>
      <c r="AP61" s="297">
        <f t="shared" si="41"/>
        <v>7</v>
      </c>
      <c r="AQ61" s="298" t="e">
        <f t="shared" si="10"/>
        <v>#N/A</v>
      </c>
      <c r="AR61" s="279" t="e">
        <f t="shared" si="42"/>
        <v>#N/A</v>
      </c>
      <c r="AS61" s="283" t="e">
        <f t="shared" si="11"/>
        <v>#N/A</v>
      </c>
      <c r="AT61" s="284">
        <f t="shared" si="43"/>
        <v>7</v>
      </c>
      <c r="AU61" s="285" t="e">
        <f t="shared" si="44"/>
        <v>#N/A</v>
      </c>
      <c r="AV61" s="286" t="e">
        <f t="shared" si="45"/>
        <v>#N/A</v>
      </c>
      <c r="AW61" s="287" t="e">
        <f t="shared" si="12"/>
        <v>#N/A</v>
      </c>
      <c r="AX61" s="245">
        <f t="shared" si="46"/>
        <v>7</v>
      </c>
      <c r="AY61" s="286" t="e">
        <f t="shared" si="13"/>
        <v>#N/A</v>
      </c>
      <c r="AZ61" s="245" t="e">
        <f t="shared" si="47"/>
        <v>#N/A</v>
      </c>
      <c r="BA61" s="245" t="e">
        <f t="shared" si="14"/>
        <v>#N/A</v>
      </c>
      <c r="BB61" s="288">
        <f t="shared" si="48"/>
        <v>7</v>
      </c>
      <c r="BC61" s="289" t="e">
        <f t="shared" si="49"/>
        <v>#N/A</v>
      </c>
      <c r="BD61" s="290" t="e">
        <f t="shared" si="50"/>
        <v>#N/A</v>
      </c>
      <c r="BE61" s="263" t="e">
        <f t="shared" si="15"/>
        <v>#N/A</v>
      </c>
      <c r="BF61" s="260">
        <f t="shared" si="51"/>
        <v>7</v>
      </c>
      <c r="BG61" s="289" t="e">
        <f t="shared" si="52"/>
        <v>#N/A</v>
      </c>
      <c r="BH61" s="290" t="e">
        <f t="shared" si="53"/>
        <v>#N/A</v>
      </c>
      <c r="BI61" s="263" t="e">
        <f t="shared" si="16"/>
        <v>#N/A</v>
      </c>
      <c r="BJ61" s="264">
        <f t="shared" si="54"/>
        <v>7</v>
      </c>
      <c r="BK61" s="291" t="e">
        <f t="shared" si="55"/>
        <v>#N/A</v>
      </c>
      <c r="BL61" s="291" t="e">
        <f t="shared" si="56"/>
        <v>#N/A</v>
      </c>
      <c r="BM61" s="292" t="e">
        <f t="shared" si="17"/>
        <v>#N/A</v>
      </c>
      <c r="BN61" s="293">
        <f t="shared" si="57"/>
        <v>7</v>
      </c>
      <c r="BO61" s="294" t="e">
        <f t="shared" si="58"/>
        <v>#N/A</v>
      </c>
      <c r="BP61" s="294" t="e">
        <f t="shared" si="59"/>
        <v>#N/A</v>
      </c>
      <c r="BQ61" s="292" t="e">
        <f t="shared" si="18"/>
        <v>#N/A</v>
      </c>
      <c r="BR61" s="295" t="e">
        <f t="shared" si="19"/>
        <v>#N/A</v>
      </c>
      <c r="BS61" s="230" t="e">
        <f>VLOOKUP($B61,SDR22_STOCK_BY_LA!$A$2:$C$11679,3,0)</f>
        <v>#N/A</v>
      </c>
      <c r="BT61" s="230" t="str">
        <f t="shared" si="60"/>
        <v/>
      </c>
    </row>
    <row r="62" spans="1:72" ht="12.5" x14ac:dyDescent="0.25">
      <c r="A62" s="230" t="str">
        <f t="shared" si="61"/>
        <v/>
      </c>
      <c r="B62" s="230" t="str">
        <f t="shared" si="62"/>
        <v/>
      </c>
      <c r="C62" s="296" t="str">
        <f t="shared" si="20"/>
        <v/>
      </c>
      <c r="D62" s="269" t="str">
        <f>IF(B62="","",IF(totals!$Q$3=0,IFERROR(IF(AD62=2,"0",AE62),""),"-"))</f>
        <v/>
      </c>
      <c r="E62" s="271" t="str">
        <f t="shared" si="21"/>
        <v/>
      </c>
      <c r="F62" s="272" t="str">
        <f t="shared" si="22"/>
        <v/>
      </c>
      <c r="G62" s="272" t="str">
        <f t="shared" si="23"/>
        <v/>
      </c>
      <c r="H62" s="269" t="str">
        <f t="shared" si="1"/>
        <v/>
      </c>
      <c r="I62" s="272" t="str">
        <f t="shared" si="24"/>
        <v/>
      </c>
      <c r="J62" s="272" t="str">
        <f t="shared" si="25"/>
        <v/>
      </c>
      <c r="K62" s="269" t="str">
        <f t="shared" si="2"/>
        <v/>
      </c>
      <c r="L62" s="272" t="str">
        <f t="shared" si="3"/>
        <v/>
      </c>
      <c r="M62" s="272" t="str">
        <f t="shared" si="26"/>
        <v/>
      </c>
      <c r="N62" s="269" t="str">
        <f t="shared" si="27"/>
        <v/>
      </c>
      <c r="O62" s="272" t="str">
        <f t="shared" si="28"/>
        <v/>
      </c>
      <c r="P62" s="272" t="str">
        <f t="shared" si="29"/>
        <v/>
      </c>
      <c r="Q62" s="269" t="str">
        <f t="shared" si="30"/>
        <v/>
      </c>
      <c r="R62" s="272" t="str">
        <f t="shared" si="31"/>
        <v/>
      </c>
      <c r="S62" s="272" t="str">
        <f t="shared" si="32"/>
        <v/>
      </c>
      <c r="T62" s="269" t="str">
        <f t="shared" si="33"/>
        <v/>
      </c>
      <c r="U62" s="230"/>
      <c r="V62" s="230"/>
      <c r="AB62" s="230" t="e">
        <f>VLOOKUP($B$6,Lookup_Source,55,0)</f>
        <v>#N/A</v>
      </c>
      <c r="AC62" s="254" t="str">
        <f t="shared" si="34"/>
        <v/>
      </c>
      <c r="AD62" s="255">
        <f t="shared" si="35"/>
        <v>7</v>
      </c>
      <c r="AE62" s="274" t="e">
        <f t="shared" si="4"/>
        <v>#N/A</v>
      </c>
      <c r="AF62" s="277" t="e">
        <f t="shared" si="36"/>
        <v>#N/A</v>
      </c>
      <c r="AG62" s="277" t="e">
        <f t="shared" si="37"/>
        <v>#N/A</v>
      </c>
      <c r="AH62" s="276" t="e">
        <f t="shared" si="5"/>
        <v>#N/A</v>
      </c>
      <c r="AI62" s="239">
        <f t="shared" si="38"/>
        <v>7</v>
      </c>
      <c r="AJ62" s="277" t="e">
        <f t="shared" si="6"/>
        <v>#N/A</v>
      </c>
      <c r="AK62" s="277" t="e">
        <f t="shared" si="39"/>
        <v>#N/A</v>
      </c>
      <c r="AL62" s="239" t="e">
        <f t="shared" si="7"/>
        <v>#N/A</v>
      </c>
      <c r="AM62" s="278" t="e">
        <f t="shared" si="40"/>
        <v>#N/A</v>
      </c>
      <c r="AN62" s="279" t="e">
        <f t="shared" si="8"/>
        <v>#N/A</v>
      </c>
      <c r="AO62" s="240" t="e">
        <f t="shared" si="9"/>
        <v>#N/A</v>
      </c>
      <c r="AP62" s="297">
        <f t="shared" si="41"/>
        <v>7</v>
      </c>
      <c r="AQ62" s="298" t="e">
        <f t="shared" si="10"/>
        <v>#N/A</v>
      </c>
      <c r="AR62" s="279" t="e">
        <f t="shared" si="42"/>
        <v>#N/A</v>
      </c>
      <c r="AS62" s="283" t="e">
        <f t="shared" si="11"/>
        <v>#N/A</v>
      </c>
      <c r="AT62" s="284">
        <f t="shared" si="43"/>
        <v>7</v>
      </c>
      <c r="AU62" s="285" t="e">
        <f t="shared" si="44"/>
        <v>#N/A</v>
      </c>
      <c r="AV62" s="286" t="e">
        <f t="shared" si="45"/>
        <v>#N/A</v>
      </c>
      <c r="AW62" s="287" t="e">
        <f t="shared" si="12"/>
        <v>#N/A</v>
      </c>
      <c r="AX62" s="245">
        <f t="shared" si="46"/>
        <v>7</v>
      </c>
      <c r="AY62" s="286" t="e">
        <f t="shared" si="13"/>
        <v>#N/A</v>
      </c>
      <c r="AZ62" s="245" t="e">
        <f t="shared" si="47"/>
        <v>#N/A</v>
      </c>
      <c r="BA62" s="245" t="e">
        <f t="shared" si="14"/>
        <v>#N/A</v>
      </c>
      <c r="BB62" s="288">
        <f t="shared" si="48"/>
        <v>7</v>
      </c>
      <c r="BC62" s="289" t="e">
        <f t="shared" si="49"/>
        <v>#N/A</v>
      </c>
      <c r="BD62" s="290" t="e">
        <f t="shared" si="50"/>
        <v>#N/A</v>
      </c>
      <c r="BE62" s="263" t="e">
        <f t="shared" si="15"/>
        <v>#N/A</v>
      </c>
      <c r="BF62" s="260">
        <f t="shared" si="51"/>
        <v>7</v>
      </c>
      <c r="BG62" s="289" t="e">
        <f t="shared" si="52"/>
        <v>#N/A</v>
      </c>
      <c r="BH62" s="290" t="e">
        <f t="shared" si="53"/>
        <v>#N/A</v>
      </c>
      <c r="BI62" s="263" t="e">
        <f t="shared" si="16"/>
        <v>#N/A</v>
      </c>
      <c r="BJ62" s="264">
        <f t="shared" si="54"/>
        <v>7</v>
      </c>
      <c r="BK62" s="291" t="e">
        <f t="shared" si="55"/>
        <v>#N/A</v>
      </c>
      <c r="BL62" s="291" t="e">
        <f t="shared" si="56"/>
        <v>#N/A</v>
      </c>
      <c r="BM62" s="292" t="e">
        <f t="shared" si="17"/>
        <v>#N/A</v>
      </c>
      <c r="BN62" s="293">
        <f t="shared" si="57"/>
        <v>7</v>
      </c>
      <c r="BO62" s="294" t="e">
        <f t="shared" si="58"/>
        <v>#N/A</v>
      </c>
      <c r="BP62" s="294" t="e">
        <f t="shared" si="59"/>
        <v>#N/A</v>
      </c>
      <c r="BQ62" s="292" t="e">
        <f t="shared" si="18"/>
        <v>#N/A</v>
      </c>
      <c r="BR62" s="295" t="e">
        <f t="shared" si="19"/>
        <v>#N/A</v>
      </c>
      <c r="BS62" s="230" t="e">
        <f>VLOOKUP($B62,SDR22_STOCK_BY_LA!$A$2:$C$11679,3,0)</f>
        <v>#N/A</v>
      </c>
      <c r="BT62" s="230" t="str">
        <f t="shared" si="60"/>
        <v/>
      </c>
    </row>
    <row r="63" spans="1:72" ht="12.5" x14ac:dyDescent="0.25">
      <c r="A63" s="269" t="str">
        <f t="shared" si="61"/>
        <v/>
      </c>
      <c r="B63" s="230" t="str">
        <f t="shared" si="62"/>
        <v/>
      </c>
      <c r="C63" s="270" t="str">
        <f t="shared" si="20"/>
        <v/>
      </c>
      <c r="D63" s="269" t="str">
        <f>IF(B63="","",IF(totals!$Q$3=0,IFERROR(IF(AD63=2,"0",AE63),""),"-"))</f>
        <v/>
      </c>
      <c r="E63" s="271" t="str">
        <f t="shared" si="21"/>
        <v/>
      </c>
      <c r="F63" s="272" t="str">
        <f t="shared" si="22"/>
        <v/>
      </c>
      <c r="G63" s="272" t="str">
        <f t="shared" si="23"/>
        <v/>
      </c>
      <c r="H63" s="269" t="str">
        <f t="shared" si="1"/>
        <v/>
      </c>
      <c r="I63" s="272" t="str">
        <f t="shared" si="24"/>
        <v/>
      </c>
      <c r="J63" s="272" t="str">
        <f t="shared" si="25"/>
        <v/>
      </c>
      <c r="K63" s="269" t="str">
        <f t="shared" si="2"/>
        <v/>
      </c>
      <c r="L63" s="272" t="str">
        <f t="shared" si="3"/>
        <v/>
      </c>
      <c r="M63" s="272" t="str">
        <f t="shared" si="26"/>
        <v/>
      </c>
      <c r="N63" s="269" t="str">
        <f t="shared" si="27"/>
        <v/>
      </c>
      <c r="O63" s="272" t="str">
        <f t="shared" si="28"/>
        <v/>
      </c>
      <c r="P63" s="272" t="str">
        <f t="shared" si="29"/>
        <v/>
      </c>
      <c r="Q63" s="269" t="str">
        <f t="shared" si="30"/>
        <v/>
      </c>
      <c r="R63" s="272" t="str">
        <f t="shared" si="31"/>
        <v/>
      </c>
      <c r="S63" s="272" t="str">
        <f t="shared" si="32"/>
        <v/>
      </c>
      <c r="T63" s="269" t="str">
        <f t="shared" si="33"/>
        <v/>
      </c>
      <c r="U63" s="230"/>
      <c r="V63" s="230"/>
      <c r="AB63" s="270" t="e">
        <f>VLOOKUP($B$6,Lookup_Source,56,0)</f>
        <v>#N/A</v>
      </c>
      <c r="AC63" s="254" t="str">
        <f t="shared" si="34"/>
        <v/>
      </c>
      <c r="AD63" s="255">
        <f t="shared" si="35"/>
        <v>7</v>
      </c>
      <c r="AE63" s="274" t="e">
        <f t="shared" si="4"/>
        <v>#N/A</v>
      </c>
      <c r="AF63" s="277" t="e">
        <f t="shared" si="36"/>
        <v>#N/A</v>
      </c>
      <c r="AG63" s="277" t="e">
        <f t="shared" si="37"/>
        <v>#N/A</v>
      </c>
      <c r="AH63" s="276" t="e">
        <f t="shared" si="5"/>
        <v>#N/A</v>
      </c>
      <c r="AI63" s="239">
        <f t="shared" si="38"/>
        <v>7</v>
      </c>
      <c r="AJ63" s="277" t="e">
        <f t="shared" si="6"/>
        <v>#N/A</v>
      </c>
      <c r="AK63" s="277" t="e">
        <f t="shared" si="39"/>
        <v>#N/A</v>
      </c>
      <c r="AL63" s="239" t="e">
        <f t="shared" si="7"/>
        <v>#N/A</v>
      </c>
      <c r="AM63" s="278" t="e">
        <f t="shared" si="40"/>
        <v>#N/A</v>
      </c>
      <c r="AN63" s="279" t="e">
        <f t="shared" si="8"/>
        <v>#N/A</v>
      </c>
      <c r="AO63" s="240" t="e">
        <f t="shared" si="9"/>
        <v>#N/A</v>
      </c>
      <c r="AP63" s="297">
        <f t="shared" si="41"/>
        <v>7</v>
      </c>
      <c r="AQ63" s="298" t="e">
        <f t="shared" si="10"/>
        <v>#N/A</v>
      </c>
      <c r="AR63" s="279" t="e">
        <f t="shared" si="42"/>
        <v>#N/A</v>
      </c>
      <c r="AS63" s="283" t="e">
        <f t="shared" si="11"/>
        <v>#N/A</v>
      </c>
      <c r="AT63" s="284">
        <f t="shared" si="43"/>
        <v>7</v>
      </c>
      <c r="AU63" s="285" t="e">
        <f t="shared" si="44"/>
        <v>#N/A</v>
      </c>
      <c r="AV63" s="286" t="e">
        <f t="shared" si="45"/>
        <v>#N/A</v>
      </c>
      <c r="AW63" s="287" t="e">
        <f t="shared" si="12"/>
        <v>#N/A</v>
      </c>
      <c r="AX63" s="245">
        <f t="shared" si="46"/>
        <v>7</v>
      </c>
      <c r="AY63" s="286" t="e">
        <f t="shared" si="13"/>
        <v>#N/A</v>
      </c>
      <c r="AZ63" s="245" t="e">
        <f t="shared" si="47"/>
        <v>#N/A</v>
      </c>
      <c r="BA63" s="245" t="e">
        <f t="shared" si="14"/>
        <v>#N/A</v>
      </c>
      <c r="BB63" s="288">
        <f t="shared" si="48"/>
        <v>7</v>
      </c>
      <c r="BC63" s="289" t="e">
        <f t="shared" si="49"/>
        <v>#N/A</v>
      </c>
      <c r="BD63" s="290" t="e">
        <f t="shared" si="50"/>
        <v>#N/A</v>
      </c>
      <c r="BE63" s="263" t="e">
        <f t="shared" si="15"/>
        <v>#N/A</v>
      </c>
      <c r="BF63" s="260">
        <f t="shared" si="51"/>
        <v>7</v>
      </c>
      <c r="BG63" s="289" t="e">
        <f t="shared" si="52"/>
        <v>#N/A</v>
      </c>
      <c r="BH63" s="290" t="e">
        <f t="shared" si="53"/>
        <v>#N/A</v>
      </c>
      <c r="BI63" s="263" t="e">
        <f t="shared" si="16"/>
        <v>#N/A</v>
      </c>
      <c r="BJ63" s="264">
        <f t="shared" si="54"/>
        <v>7</v>
      </c>
      <c r="BK63" s="291" t="e">
        <f t="shared" si="55"/>
        <v>#N/A</v>
      </c>
      <c r="BL63" s="291" t="e">
        <f t="shared" si="56"/>
        <v>#N/A</v>
      </c>
      <c r="BM63" s="292" t="e">
        <f t="shared" si="17"/>
        <v>#N/A</v>
      </c>
      <c r="BN63" s="293">
        <f t="shared" si="57"/>
        <v>7</v>
      </c>
      <c r="BO63" s="294" t="e">
        <f t="shared" si="58"/>
        <v>#N/A</v>
      </c>
      <c r="BP63" s="294" t="e">
        <f t="shared" si="59"/>
        <v>#N/A</v>
      </c>
      <c r="BQ63" s="292" t="e">
        <f t="shared" si="18"/>
        <v>#N/A</v>
      </c>
      <c r="BR63" s="295" t="e">
        <f t="shared" si="19"/>
        <v>#N/A</v>
      </c>
      <c r="BS63" s="230" t="e">
        <f>VLOOKUP($B63,SDR22_STOCK_BY_LA!$A$2:$C$11679,3,0)</f>
        <v>#N/A</v>
      </c>
      <c r="BT63" s="230" t="str">
        <f t="shared" si="60"/>
        <v/>
      </c>
    </row>
    <row r="64" spans="1:72" ht="12.5" x14ac:dyDescent="0.25">
      <c r="A64" s="230" t="str">
        <f t="shared" si="61"/>
        <v/>
      </c>
      <c r="B64" s="230" t="str">
        <f t="shared" si="62"/>
        <v/>
      </c>
      <c r="C64" s="296" t="str">
        <f t="shared" si="20"/>
        <v/>
      </c>
      <c r="D64" s="269" t="str">
        <f>IF(B64="","",IF(totals!$Q$3=0,IFERROR(IF(AD64=2,"0",AE64),""),"-"))</f>
        <v/>
      </c>
      <c r="E64" s="271" t="str">
        <f t="shared" si="21"/>
        <v/>
      </c>
      <c r="F64" s="272" t="str">
        <f t="shared" si="22"/>
        <v/>
      </c>
      <c r="G64" s="272" t="str">
        <f t="shared" si="23"/>
        <v/>
      </c>
      <c r="H64" s="269" t="str">
        <f t="shared" si="1"/>
        <v/>
      </c>
      <c r="I64" s="272" t="str">
        <f t="shared" si="24"/>
        <v/>
      </c>
      <c r="J64" s="272" t="str">
        <f t="shared" si="25"/>
        <v/>
      </c>
      <c r="K64" s="269" t="str">
        <f t="shared" si="2"/>
        <v/>
      </c>
      <c r="L64" s="272" t="str">
        <f t="shared" si="3"/>
        <v/>
      </c>
      <c r="M64" s="272" t="str">
        <f t="shared" si="26"/>
        <v/>
      </c>
      <c r="N64" s="269" t="str">
        <f t="shared" si="27"/>
        <v/>
      </c>
      <c r="O64" s="272" t="str">
        <f t="shared" si="28"/>
        <v/>
      </c>
      <c r="P64" s="272" t="str">
        <f t="shared" si="29"/>
        <v/>
      </c>
      <c r="Q64" s="269" t="str">
        <f t="shared" si="30"/>
        <v/>
      </c>
      <c r="R64" s="272" t="str">
        <f t="shared" si="31"/>
        <v/>
      </c>
      <c r="S64" s="272" t="str">
        <f t="shared" si="32"/>
        <v/>
      </c>
      <c r="T64" s="269" t="str">
        <f t="shared" si="33"/>
        <v/>
      </c>
      <c r="U64" s="230"/>
      <c r="V64" s="230"/>
      <c r="AB64" s="230" t="e">
        <f>VLOOKUP($B$6,Lookup_Source,57,0)</f>
        <v>#N/A</v>
      </c>
      <c r="AC64" s="254" t="str">
        <f t="shared" si="34"/>
        <v/>
      </c>
      <c r="AD64" s="255">
        <f t="shared" si="35"/>
        <v>7</v>
      </c>
      <c r="AE64" s="274" t="e">
        <f t="shared" si="4"/>
        <v>#N/A</v>
      </c>
      <c r="AF64" s="277" t="e">
        <f t="shared" si="36"/>
        <v>#N/A</v>
      </c>
      <c r="AG64" s="277" t="e">
        <f t="shared" si="37"/>
        <v>#N/A</v>
      </c>
      <c r="AH64" s="276" t="e">
        <f t="shared" si="5"/>
        <v>#N/A</v>
      </c>
      <c r="AI64" s="239">
        <f t="shared" si="38"/>
        <v>7</v>
      </c>
      <c r="AJ64" s="277" t="e">
        <f t="shared" si="6"/>
        <v>#N/A</v>
      </c>
      <c r="AK64" s="277" t="e">
        <f t="shared" si="39"/>
        <v>#N/A</v>
      </c>
      <c r="AL64" s="239" t="e">
        <f t="shared" si="7"/>
        <v>#N/A</v>
      </c>
      <c r="AM64" s="278" t="e">
        <f t="shared" si="40"/>
        <v>#N/A</v>
      </c>
      <c r="AN64" s="279" t="e">
        <f t="shared" si="8"/>
        <v>#N/A</v>
      </c>
      <c r="AO64" s="240" t="e">
        <f t="shared" si="9"/>
        <v>#N/A</v>
      </c>
      <c r="AP64" s="297">
        <f t="shared" si="41"/>
        <v>7</v>
      </c>
      <c r="AQ64" s="298" t="e">
        <f t="shared" si="10"/>
        <v>#N/A</v>
      </c>
      <c r="AR64" s="279" t="e">
        <f t="shared" si="42"/>
        <v>#N/A</v>
      </c>
      <c r="AS64" s="283" t="e">
        <f t="shared" si="11"/>
        <v>#N/A</v>
      </c>
      <c r="AT64" s="284">
        <f t="shared" si="43"/>
        <v>7</v>
      </c>
      <c r="AU64" s="285" t="e">
        <f t="shared" si="44"/>
        <v>#N/A</v>
      </c>
      <c r="AV64" s="286" t="e">
        <f t="shared" si="45"/>
        <v>#N/A</v>
      </c>
      <c r="AW64" s="287" t="e">
        <f t="shared" si="12"/>
        <v>#N/A</v>
      </c>
      <c r="AX64" s="245">
        <f t="shared" si="46"/>
        <v>7</v>
      </c>
      <c r="AY64" s="286" t="e">
        <f t="shared" si="13"/>
        <v>#N/A</v>
      </c>
      <c r="AZ64" s="245" t="e">
        <f t="shared" si="47"/>
        <v>#N/A</v>
      </c>
      <c r="BA64" s="245" t="e">
        <f t="shared" si="14"/>
        <v>#N/A</v>
      </c>
      <c r="BB64" s="288">
        <f t="shared" si="48"/>
        <v>7</v>
      </c>
      <c r="BC64" s="289" t="e">
        <f t="shared" si="49"/>
        <v>#N/A</v>
      </c>
      <c r="BD64" s="290" t="e">
        <f t="shared" si="50"/>
        <v>#N/A</v>
      </c>
      <c r="BE64" s="263" t="e">
        <f t="shared" si="15"/>
        <v>#N/A</v>
      </c>
      <c r="BF64" s="260">
        <f t="shared" si="51"/>
        <v>7</v>
      </c>
      <c r="BG64" s="289" t="e">
        <f t="shared" si="52"/>
        <v>#N/A</v>
      </c>
      <c r="BH64" s="290" t="e">
        <f t="shared" si="53"/>
        <v>#N/A</v>
      </c>
      <c r="BI64" s="263" t="e">
        <f t="shared" si="16"/>
        <v>#N/A</v>
      </c>
      <c r="BJ64" s="264">
        <f t="shared" si="54"/>
        <v>7</v>
      </c>
      <c r="BK64" s="291" t="e">
        <f t="shared" si="55"/>
        <v>#N/A</v>
      </c>
      <c r="BL64" s="291" t="e">
        <f t="shared" si="56"/>
        <v>#N/A</v>
      </c>
      <c r="BM64" s="292" t="e">
        <f t="shared" si="17"/>
        <v>#N/A</v>
      </c>
      <c r="BN64" s="293">
        <f t="shared" si="57"/>
        <v>7</v>
      </c>
      <c r="BO64" s="294" t="e">
        <f t="shared" si="58"/>
        <v>#N/A</v>
      </c>
      <c r="BP64" s="294" t="e">
        <f t="shared" si="59"/>
        <v>#N/A</v>
      </c>
      <c r="BQ64" s="292" t="e">
        <f t="shared" si="18"/>
        <v>#N/A</v>
      </c>
      <c r="BR64" s="295" t="e">
        <f t="shared" si="19"/>
        <v>#N/A</v>
      </c>
      <c r="BS64" s="230" t="e">
        <f>VLOOKUP($B64,SDR22_STOCK_BY_LA!$A$2:$C$11679,3,0)</f>
        <v>#N/A</v>
      </c>
      <c r="BT64" s="230" t="str">
        <f t="shared" si="60"/>
        <v/>
      </c>
    </row>
    <row r="65" spans="1:72" ht="12.5" x14ac:dyDescent="0.25">
      <c r="A65" s="269" t="str">
        <f t="shared" si="61"/>
        <v/>
      </c>
      <c r="B65" s="230" t="str">
        <f t="shared" si="62"/>
        <v/>
      </c>
      <c r="C65" s="270" t="str">
        <f t="shared" si="20"/>
        <v/>
      </c>
      <c r="D65" s="269" t="str">
        <f>IF(B65="","",IF(totals!$Q$3=0,IFERROR(IF(AD65=2,"0",AE65),""),"-"))</f>
        <v/>
      </c>
      <c r="E65" s="271" t="str">
        <f t="shared" si="21"/>
        <v/>
      </c>
      <c r="F65" s="272" t="str">
        <f t="shared" si="22"/>
        <v/>
      </c>
      <c r="G65" s="272" t="str">
        <f t="shared" si="23"/>
        <v/>
      </c>
      <c r="H65" s="269" t="str">
        <f t="shared" si="1"/>
        <v/>
      </c>
      <c r="I65" s="272" t="str">
        <f t="shared" si="24"/>
        <v/>
      </c>
      <c r="J65" s="272" t="str">
        <f t="shared" si="25"/>
        <v/>
      </c>
      <c r="K65" s="269" t="str">
        <f t="shared" si="2"/>
        <v/>
      </c>
      <c r="L65" s="272" t="str">
        <f t="shared" si="3"/>
        <v/>
      </c>
      <c r="M65" s="272" t="str">
        <f t="shared" si="26"/>
        <v/>
      </c>
      <c r="N65" s="269" t="str">
        <f t="shared" si="27"/>
        <v/>
      </c>
      <c r="O65" s="272" t="str">
        <f t="shared" si="28"/>
        <v/>
      </c>
      <c r="P65" s="272" t="str">
        <f t="shared" si="29"/>
        <v/>
      </c>
      <c r="Q65" s="269" t="str">
        <f t="shared" si="30"/>
        <v/>
      </c>
      <c r="R65" s="272" t="str">
        <f t="shared" si="31"/>
        <v/>
      </c>
      <c r="S65" s="272" t="str">
        <f t="shared" si="32"/>
        <v/>
      </c>
      <c r="T65" s="269" t="str">
        <f t="shared" si="33"/>
        <v/>
      </c>
      <c r="U65" s="230"/>
      <c r="V65" s="230"/>
      <c r="AB65" s="270" t="e">
        <f>VLOOKUP($B$6,Lookup_Source,58,0)</f>
        <v>#N/A</v>
      </c>
      <c r="AC65" s="254" t="str">
        <f t="shared" si="34"/>
        <v/>
      </c>
      <c r="AD65" s="255">
        <f t="shared" si="35"/>
        <v>7</v>
      </c>
      <c r="AE65" s="274" t="e">
        <f t="shared" si="4"/>
        <v>#N/A</v>
      </c>
      <c r="AF65" s="277" t="e">
        <f t="shared" si="36"/>
        <v>#N/A</v>
      </c>
      <c r="AG65" s="277" t="e">
        <f t="shared" si="37"/>
        <v>#N/A</v>
      </c>
      <c r="AH65" s="276" t="e">
        <f t="shared" si="5"/>
        <v>#N/A</v>
      </c>
      <c r="AI65" s="239">
        <f t="shared" si="38"/>
        <v>7</v>
      </c>
      <c r="AJ65" s="277" t="e">
        <f t="shared" si="6"/>
        <v>#N/A</v>
      </c>
      <c r="AK65" s="277" t="e">
        <f t="shared" si="39"/>
        <v>#N/A</v>
      </c>
      <c r="AL65" s="239" t="e">
        <f t="shared" si="7"/>
        <v>#N/A</v>
      </c>
      <c r="AM65" s="278" t="e">
        <f t="shared" si="40"/>
        <v>#N/A</v>
      </c>
      <c r="AN65" s="279" t="e">
        <f t="shared" si="8"/>
        <v>#N/A</v>
      </c>
      <c r="AO65" s="240" t="e">
        <f t="shared" si="9"/>
        <v>#N/A</v>
      </c>
      <c r="AP65" s="297">
        <f t="shared" si="41"/>
        <v>7</v>
      </c>
      <c r="AQ65" s="298" t="e">
        <f t="shared" si="10"/>
        <v>#N/A</v>
      </c>
      <c r="AR65" s="279" t="e">
        <f t="shared" si="42"/>
        <v>#N/A</v>
      </c>
      <c r="AS65" s="283" t="e">
        <f t="shared" si="11"/>
        <v>#N/A</v>
      </c>
      <c r="AT65" s="284">
        <f t="shared" si="43"/>
        <v>7</v>
      </c>
      <c r="AU65" s="285" t="e">
        <f t="shared" si="44"/>
        <v>#N/A</v>
      </c>
      <c r="AV65" s="286" t="e">
        <f t="shared" si="45"/>
        <v>#N/A</v>
      </c>
      <c r="AW65" s="287" t="e">
        <f t="shared" si="12"/>
        <v>#N/A</v>
      </c>
      <c r="AX65" s="245">
        <f t="shared" si="46"/>
        <v>7</v>
      </c>
      <c r="AY65" s="286" t="e">
        <f t="shared" si="13"/>
        <v>#N/A</v>
      </c>
      <c r="AZ65" s="245" t="e">
        <f t="shared" si="47"/>
        <v>#N/A</v>
      </c>
      <c r="BA65" s="245" t="e">
        <f t="shared" si="14"/>
        <v>#N/A</v>
      </c>
      <c r="BB65" s="288">
        <f t="shared" si="48"/>
        <v>7</v>
      </c>
      <c r="BC65" s="289" t="e">
        <f t="shared" si="49"/>
        <v>#N/A</v>
      </c>
      <c r="BD65" s="290" t="e">
        <f t="shared" si="50"/>
        <v>#N/A</v>
      </c>
      <c r="BE65" s="263" t="e">
        <f t="shared" si="15"/>
        <v>#N/A</v>
      </c>
      <c r="BF65" s="260">
        <f t="shared" si="51"/>
        <v>7</v>
      </c>
      <c r="BG65" s="289" t="e">
        <f t="shared" si="52"/>
        <v>#N/A</v>
      </c>
      <c r="BH65" s="290" t="e">
        <f t="shared" si="53"/>
        <v>#N/A</v>
      </c>
      <c r="BI65" s="263" t="e">
        <f t="shared" si="16"/>
        <v>#N/A</v>
      </c>
      <c r="BJ65" s="264">
        <f t="shared" si="54"/>
        <v>7</v>
      </c>
      <c r="BK65" s="291" t="e">
        <f t="shared" si="55"/>
        <v>#N/A</v>
      </c>
      <c r="BL65" s="291" t="e">
        <f t="shared" si="56"/>
        <v>#N/A</v>
      </c>
      <c r="BM65" s="292" t="e">
        <f t="shared" si="17"/>
        <v>#N/A</v>
      </c>
      <c r="BN65" s="293">
        <f t="shared" si="57"/>
        <v>7</v>
      </c>
      <c r="BO65" s="294" t="e">
        <f t="shared" si="58"/>
        <v>#N/A</v>
      </c>
      <c r="BP65" s="294" t="e">
        <f t="shared" si="59"/>
        <v>#N/A</v>
      </c>
      <c r="BQ65" s="292" t="e">
        <f t="shared" si="18"/>
        <v>#N/A</v>
      </c>
      <c r="BR65" s="295" t="e">
        <f t="shared" si="19"/>
        <v>#N/A</v>
      </c>
      <c r="BS65" s="230" t="e">
        <f>VLOOKUP($B65,SDR22_STOCK_BY_LA!$A$2:$C$11679,3,0)</f>
        <v>#N/A</v>
      </c>
      <c r="BT65" s="230" t="str">
        <f t="shared" si="60"/>
        <v/>
      </c>
    </row>
    <row r="66" spans="1:72" ht="12.5" x14ac:dyDescent="0.25">
      <c r="A66" s="230" t="str">
        <f t="shared" si="61"/>
        <v/>
      </c>
      <c r="B66" s="230" t="str">
        <f t="shared" si="62"/>
        <v/>
      </c>
      <c r="C66" s="296" t="str">
        <f t="shared" si="20"/>
        <v/>
      </c>
      <c r="D66" s="269" t="str">
        <f>IF(B66="","",IF(totals!$Q$3=0,IFERROR(IF(AD66=2,"0",AE66),""),"-"))</f>
        <v/>
      </c>
      <c r="E66" s="271" t="str">
        <f t="shared" si="21"/>
        <v/>
      </c>
      <c r="F66" s="272" t="str">
        <f t="shared" si="22"/>
        <v/>
      </c>
      <c r="G66" s="272" t="str">
        <f t="shared" si="23"/>
        <v/>
      </c>
      <c r="H66" s="269" t="str">
        <f t="shared" si="1"/>
        <v/>
      </c>
      <c r="I66" s="272" t="str">
        <f t="shared" si="24"/>
        <v/>
      </c>
      <c r="J66" s="272" t="str">
        <f t="shared" si="25"/>
        <v/>
      </c>
      <c r="K66" s="269" t="str">
        <f t="shared" si="2"/>
        <v/>
      </c>
      <c r="L66" s="272" t="str">
        <f t="shared" si="3"/>
        <v/>
      </c>
      <c r="M66" s="272" t="str">
        <f t="shared" si="26"/>
        <v/>
      </c>
      <c r="N66" s="269" t="str">
        <f t="shared" si="27"/>
        <v/>
      </c>
      <c r="O66" s="272" t="str">
        <f t="shared" si="28"/>
        <v/>
      </c>
      <c r="P66" s="272" t="str">
        <f t="shared" si="29"/>
        <v/>
      </c>
      <c r="Q66" s="269" t="str">
        <f t="shared" si="30"/>
        <v/>
      </c>
      <c r="R66" s="272" t="str">
        <f t="shared" si="31"/>
        <v/>
      </c>
      <c r="S66" s="272" t="str">
        <f t="shared" si="32"/>
        <v/>
      </c>
      <c r="T66" s="269" t="str">
        <f t="shared" si="33"/>
        <v/>
      </c>
      <c r="U66" s="230"/>
      <c r="V66" s="230"/>
      <c r="AB66" s="230" t="e">
        <f>VLOOKUP($B$6,Lookup_Source,59,0)</f>
        <v>#N/A</v>
      </c>
      <c r="AC66" s="254" t="str">
        <f t="shared" si="34"/>
        <v/>
      </c>
      <c r="AD66" s="255">
        <f t="shared" si="35"/>
        <v>7</v>
      </c>
      <c r="AE66" s="274" t="e">
        <f t="shared" si="4"/>
        <v>#N/A</v>
      </c>
      <c r="AF66" s="277" t="e">
        <f t="shared" si="36"/>
        <v>#N/A</v>
      </c>
      <c r="AG66" s="277" t="e">
        <f t="shared" si="37"/>
        <v>#N/A</v>
      </c>
      <c r="AH66" s="276" t="e">
        <f t="shared" si="5"/>
        <v>#N/A</v>
      </c>
      <c r="AI66" s="239">
        <f t="shared" si="38"/>
        <v>7</v>
      </c>
      <c r="AJ66" s="277" t="e">
        <f t="shared" si="6"/>
        <v>#N/A</v>
      </c>
      <c r="AK66" s="277" t="e">
        <f t="shared" si="39"/>
        <v>#N/A</v>
      </c>
      <c r="AL66" s="239" t="e">
        <f t="shared" si="7"/>
        <v>#N/A</v>
      </c>
      <c r="AM66" s="278" t="e">
        <f t="shared" si="40"/>
        <v>#N/A</v>
      </c>
      <c r="AN66" s="279" t="e">
        <f t="shared" si="8"/>
        <v>#N/A</v>
      </c>
      <c r="AO66" s="240" t="e">
        <f t="shared" si="9"/>
        <v>#N/A</v>
      </c>
      <c r="AP66" s="297">
        <f t="shared" si="41"/>
        <v>7</v>
      </c>
      <c r="AQ66" s="298" t="e">
        <f t="shared" si="10"/>
        <v>#N/A</v>
      </c>
      <c r="AR66" s="279" t="e">
        <f t="shared" si="42"/>
        <v>#N/A</v>
      </c>
      <c r="AS66" s="283" t="e">
        <f t="shared" si="11"/>
        <v>#N/A</v>
      </c>
      <c r="AT66" s="284">
        <f t="shared" si="43"/>
        <v>7</v>
      </c>
      <c r="AU66" s="285" t="e">
        <f t="shared" si="44"/>
        <v>#N/A</v>
      </c>
      <c r="AV66" s="286" t="e">
        <f t="shared" si="45"/>
        <v>#N/A</v>
      </c>
      <c r="AW66" s="287" t="e">
        <f t="shared" si="12"/>
        <v>#N/A</v>
      </c>
      <c r="AX66" s="245">
        <f t="shared" si="46"/>
        <v>7</v>
      </c>
      <c r="AY66" s="286" t="e">
        <f t="shared" si="13"/>
        <v>#N/A</v>
      </c>
      <c r="AZ66" s="245" t="e">
        <f t="shared" si="47"/>
        <v>#N/A</v>
      </c>
      <c r="BA66" s="245" t="e">
        <f t="shared" si="14"/>
        <v>#N/A</v>
      </c>
      <c r="BB66" s="288">
        <f t="shared" si="48"/>
        <v>7</v>
      </c>
      <c r="BC66" s="289" t="e">
        <f t="shared" si="49"/>
        <v>#N/A</v>
      </c>
      <c r="BD66" s="290" t="e">
        <f t="shared" si="50"/>
        <v>#N/A</v>
      </c>
      <c r="BE66" s="263" t="e">
        <f t="shared" si="15"/>
        <v>#N/A</v>
      </c>
      <c r="BF66" s="260">
        <f t="shared" si="51"/>
        <v>7</v>
      </c>
      <c r="BG66" s="289" t="e">
        <f t="shared" si="52"/>
        <v>#N/A</v>
      </c>
      <c r="BH66" s="290" t="e">
        <f t="shared" si="53"/>
        <v>#N/A</v>
      </c>
      <c r="BI66" s="263" t="e">
        <f t="shared" si="16"/>
        <v>#N/A</v>
      </c>
      <c r="BJ66" s="264">
        <f t="shared" si="54"/>
        <v>7</v>
      </c>
      <c r="BK66" s="291" t="e">
        <f t="shared" si="55"/>
        <v>#N/A</v>
      </c>
      <c r="BL66" s="291" t="e">
        <f t="shared" si="56"/>
        <v>#N/A</v>
      </c>
      <c r="BM66" s="292" t="e">
        <f t="shared" si="17"/>
        <v>#N/A</v>
      </c>
      <c r="BN66" s="293">
        <f t="shared" si="57"/>
        <v>7</v>
      </c>
      <c r="BO66" s="294" t="e">
        <f t="shared" si="58"/>
        <v>#N/A</v>
      </c>
      <c r="BP66" s="294" t="e">
        <f t="shared" si="59"/>
        <v>#N/A</v>
      </c>
      <c r="BQ66" s="292" t="e">
        <f t="shared" si="18"/>
        <v>#N/A</v>
      </c>
      <c r="BR66" s="295" t="e">
        <f t="shared" si="19"/>
        <v>#N/A</v>
      </c>
      <c r="BS66" s="230" t="e">
        <f>VLOOKUP($B66,SDR22_STOCK_BY_LA!$A$2:$C$11679,3,0)</f>
        <v>#N/A</v>
      </c>
      <c r="BT66" s="230" t="str">
        <f t="shared" si="60"/>
        <v/>
      </c>
    </row>
    <row r="67" spans="1:72" ht="12.5" x14ac:dyDescent="0.25">
      <c r="A67" s="269" t="str">
        <f t="shared" si="61"/>
        <v/>
      </c>
      <c r="B67" s="230" t="str">
        <f t="shared" si="62"/>
        <v/>
      </c>
      <c r="C67" s="270" t="str">
        <f t="shared" si="20"/>
        <v/>
      </c>
      <c r="D67" s="269" t="str">
        <f>IF(B67="","",IF(totals!$Q$3=0,IFERROR(IF(AD67=2,"0",AE67),""),"-"))</f>
        <v/>
      </c>
      <c r="E67" s="271" t="str">
        <f t="shared" si="21"/>
        <v/>
      </c>
      <c r="F67" s="272" t="str">
        <f t="shared" si="22"/>
        <v/>
      </c>
      <c r="G67" s="272" t="str">
        <f t="shared" si="23"/>
        <v/>
      </c>
      <c r="H67" s="269" t="str">
        <f t="shared" si="1"/>
        <v/>
      </c>
      <c r="I67" s="272" t="str">
        <f t="shared" si="24"/>
        <v/>
      </c>
      <c r="J67" s="272" t="str">
        <f t="shared" si="25"/>
        <v/>
      </c>
      <c r="K67" s="269" t="str">
        <f t="shared" si="2"/>
        <v/>
      </c>
      <c r="L67" s="272" t="str">
        <f t="shared" si="3"/>
        <v/>
      </c>
      <c r="M67" s="272" t="str">
        <f t="shared" si="26"/>
        <v/>
      </c>
      <c r="N67" s="269" t="str">
        <f t="shared" si="27"/>
        <v/>
      </c>
      <c r="O67" s="272" t="str">
        <f t="shared" si="28"/>
        <v/>
      </c>
      <c r="P67" s="272" t="str">
        <f t="shared" si="29"/>
        <v/>
      </c>
      <c r="Q67" s="269" t="str">
        <f t="shared" si="30"/>
        <v/>
      </c>
      <c r="R67" s="272" t="str">
        <f t="shared" si="31"/>
        <v/>
      </c>
      <c r="S67" s="272" t="str">
        <f t="shared" si="32"/>
        <v/>
      </c>
      <c r="T67" s="269" t="str">
        <f t="shared" si="33"/>
        <v/>
      </c>
      <c r="U67" s="230"/>
      <c r="V67" s="230"/>
      <c r="AB67" s="270" t="e">
        <f>VLOOKUP($B$6,Lookup_Source,60,0)</f>
        <v>#N/A</v>
      </c>
      <c r="AC67" s="254" t="str">
        <f t="shared" si="34"/>
        <v/>
      </c>
      <c r="AD67" s="255">
        <f t="shared" si="35"/>
        <v>7</v>
      </c>
      <c r="AE67" s="274" t="e">
        <f t="shared" si="4"/>
        <v>#N/A</v>
      </c>
      <c r="AF67" s="277" t="e">
        <f t="shared" si="36"/>
        <v>#N/A</v>
      </c>
      <c r="AG67" s="277" t="e">
        <f t="shared" si="37"/>
        <v>#N/A</v>
      </c>
      <c r="AH67" s="276" t="e">
        <f t="shared" si="5"/>
        <v>#N/A</v>
      </c>
      <c r="AI67" s="239">
        <f t="shared" si="38"/>
        <v>7</v>
      </c>
      <c r="AJ67" s="277" t="e">
        <f t="shared" si="6"/>
        <v>#N/A</v>
      </c>
      <c r="AK67" s="277" t="e">
        <f t="shared" si="39"/>
        <v>#N/A</v>
      </c>
      <c r="AL67" s="239" t="e">
        <f t="shared" si="7"/>
        <v>#N/A</v>
      </c>
      <c r="AM67" s="278" t="e">
        <f t="shared" si="40"/>
        <v>#N/A</v>
      </c>
      <c r="AN67" s="279" t="e">
        <f t="shared" si="8"/>
        <v>#N/A</v>
      </c>
      <c r="AO67" s="240" t="e">
        <f t="shared" si="9"/>
        <v>#N/A</v>
      </c>
      <c r="AP67" s="297">
        <f t="shared" si="41"/>
        <v>7</v>
      </c>
      <c r="AQ67" s="298" t="e">
        <f t="shared" si="10"/>
        <v>#N/A</v>
      </c>
      <c r="AR67" s="279" t="e">
        <f t="shared" si="42"/>
        <v>#N/A</v>
      </c>
      <c r="AS67" s="283" t="e">
        <f t="shared" si="11"/>
        <v>#N/A</v>
      </c>
      <c r="AT67" s="284">
        <f t="shared" si="43"/>
        <v>7</v>
      </c>
      <c r="AU67" s="285" t="e">
        <f t="shared" si="44"/>
        <v>#N/A</v>
      </c>
      <c r="AV67" s="286" t="e">
        <f t="shared" si="45"/>
        <v>#N/A</v>
      </c>
      <c r="AW67" s="287" t="e">
        <f t="shared" si="12"/>
        <v>#N/A</v>
      </c>
      <c r="AX67" s="245">
        <f t="shared" si="46"/>
        <v>7</v>
      </c>
      <c r="AY67" s="286" t="e">
        <f t="shared" si="13"/>
        <v>#N/A</v>
      </c>
      <c r="AZ67" s="245" t="e">
        <f t="shared" si="47"/>
        <v>#N/A</v>
      </c>
      <c r="BA67" s="245" t="e">
        <f t="shared" si="14"/>
        <v>#N/A</v>
      </c>
      <c r="BB67" s="288">
        <f t="shared" si="48"/>
        <v>7</v>
      </c>
      <c r="BC67" s="289" t="e">
        <f t="shared" si="49"/>
        <v>#N/A</v>
      </c>
      <c r="BD67" s="290" t="e">
        <f t="shared" si="50"/>
        <v>#N/A</v>
      </c>
      <c r="BE67" s="263" t="e">
        <f t="shared" si="15"/>
        <v>#N/A</v>
      </c>
      <c r="BF67" s="260">
        <f t="shared" si="51"/>
        <v>7</v>
      </c>
      <c r="BG67" s="289" t="e">
        <f t="shared" si="52"/>
        <v>#N/A</v>
      </c>
      <c r="BH67" s="290" t="e">
        <f t="shared" si="53"/>
        <v>#N/A</v>
      </c>
      <c r="BI67" s="263" t="e">
        <f t="shared" si="16"/>
        <v>#N/A</v>
      </c>
      <c r="BJ67" s="264">
        <f t="shared" si="54"/>
        <v>7</v>
      </c>
      <c r="BK67" s="291" t="e">
        <f t="shared" si="55"/>
        <v>#N/A</v>
      </c>
      <c r="BL67" s="291" t="e">
        <f t="shared" si="56"/>
        <v>#N/A</v>
      </c>
      <c r="BM67" s="292" t="e">
        <f t="shared" si="17"/>
        <v>#N/A</v>
      </c>
      <c r="BN67" s="293">
        <f t="shared" si="57"/>
        <v>7</v>
      </c>
      <c r="BO67" s="294" t="e">
        <f t="shared" si="58"/>
        <v>#N/A</v>
      </c>
      <c r="BP67" s="294" t="e">
        <f t="shared" si="59"/>
        <v>#N/A</v>
      </c>
      <c r="BQ67" s="292" t="e">
        <f t="shared" si="18"/>
        <v>#N/A</v>
      </c>
      <c r="BR67" s="295" t="e">
        <f t="shared" si="19"/>
        <v>#N/A</v>
      </c>
      <c r="BS67" s="230" t="e">
        <f>VLOOKUP($B67,SDR22_STOCK_BY_LA!$A$2:$C$11679,3,0)</f>
        <v>#N/A</v>
      </c>
      <c r="BT67" s="230" t="str">
        <f t="shared" si="60"/>
        <v/>
      </c>
    </row>
    <row r="68" spans="1:72" ht="12.5" x14ac:dyDescent="0.25">
      <c r="A68" s="230" t="str">
        <f t="shared" si="61"/>
        <v/>
      </c>
      <c r="B68" s="230" t="str">
        <f t="shared" si="62"/>
        <v/>
      </c>
      <c r="C68" s="296" t="str">
        <f t="shared" si="20"/>
        <v/>
      </c>
      <c r="D68" s="269" t="str">
        <f>IF(B68="","",IF(totals!$Q$3=0,IFERROR(IF(AD68=2,"0",AE68),""),"-"))</f>
        <v/>
      </c>
      <c r="E68" s="271" t="str">
        <f t="shared" si="21"/>
        <v/>
      </c>
      <c r="F68" s="272" t="str">
        <f t="shared" si="22"/>
        <v/>
      </c>
      <c r="G68" s="272" t="str">
        <f t="shared" si="23"/>
        <v/>
      </c>
      <c r="H68" s="269" t="str">
        <f t="shared" si="1"/>
        <v/>
      </c>
      <c r="I68" s="272" t="str">
        <f t="shared" si="24"/>
        <v/>
      </c>
      <c r="J68" s="272" t="str">
        <f t="shared" si="25"/>
        <v/>
      </c>
      <c r="K68" s="269" t="str">
        <f t="shared" si="2"/>
        <v/>
      </c>
      <c r="L68" s="272" t="str">
        <f t="shared" si="3"/>
        <v/>
      </c>
      <c r="M68" s="272" t="str">
        <f t="shared" si="26"/>
        <v/>
      </c>
      <c r="N68" s="269" t="str">
        <f t="shared" si="27"/>
        <v/>
      </c>
      <c r="O68" s="272" t="str">
        <f t="shared" si="28"/>
        <v/>
      </c>
      <c r="P68" s="272" t="str">
        <f t="shared" si="29"/>
        <v/>
      </c>
      <c r="Q68" s="269" t="str">
        <f t="shared" si="30"/>
        <v/>
      </c>
      <c r="R68" s="272" t="str">
        <f t="shared" si="31"/>
        <v/>
      </c>
      <c r="S68" s="272" t="str">
        <f t="shared" si="32"/>
        <v/>
      </c>
      <c r="T68" s="269" t="str">
        <f t="shared" si="33"/>
        <v/>
      </c>
      <c r="U68" s="230"/>
      <c r="V68" s="230"/>
      <c r="AB68" s="230" t="e">
        <f>VLOOKUP($B$6,Lookup_Source,61,0)</f>
        <v>#N/A</v>
      </c>
      <c r="AC68" s="254" t="str">
        <f t="shared" si="34"/>
        <v/>
      </c>
      <c r="AD68" s="255">
        <f t="shared" si="35"/>
        <v>7</v>
      </c>
      <c r="AE68" s="274" t="e">
        <f t="shared" si="4"/>
        <v>#N/A</v>
      </c>
      <c r="AF68" s="277" t="e">
        <f t="shared" si="36"/>
        <v>#N/A</v>
      </c>
      <c r="AG68" s="277" t="e">
        <f t="shared" si="37"/>
        <v>#N/A</v>
      </c>
      <c r="AH68" s="276" t="e">
        <f t="shared" si="5"/>
        <v>#N/A</v>
      </c>
      <c r="AI68" s="239">
        <f t="shared" si="38"/>
        <v>7</v>
      </c>
      <c r="AJ68" s="277" t="e">
        <f t="shared" si="6"/>
        <v>#N/A</v>
      </c>
      <c r="AK68" s="277" t="e">
        <f t="shared" si="39"/>
        <v>#N/A</v>
      </c>
      <c r="AL68" s="239" t="e">
        <f t="shared" si="7"/>
        <v>#N/A</v>
      </c>
      <c r="AM68" s="278" t="e">
        <f t="shared" si="40"/>
        <v>#N/A</v>
      </c>
      <c r="AN68" s="279" t="e">
        <f t="shared" si="8"/>
        <v>#N/A</v>
      </c>
      <c r="AO68" s="240" t="e">
        <f t="shared" si="9"/>
        <v>#N/A</v>
      </c>
      <c r="AP68" s="297">
        <f t="shared" si="41"/>
        <v>7</v>
      </c>
      <c r="AQ68" s="298" t="e">
        <f t="shared" si="10"/>
        <v>#N/A</v>
      </c>
      <c r="AR68" s="279" t="e">
        <f t="shared" si="42"/>
        <v>#N/A</v>
      </c>
      <c r="AS68" s="283" t="e">
        <f t="shared" si="11"/>
        <v>#N/A</v>
      </c>
      <c r="AT68" s="284">
        <f t="shared" si="43"/>
        <v>7</v>
      </c>
      <c r="AU68" s="285" t="e">
        <f t="shared" si="44"/>
        <v>#N/A</v>
      </c>
      <c r="AV68" s="286" t="e">
        <f t="shared" si="45"/>
        <v>#N/A</v>
      </c>
      <c r="AW68" s="287" t="e">
        <f t="shared" si="12"/>
        <v>#N/A</v>
      </c>
      <c r="AX68" s="245">
        <f t="shared" si="46"/>
        <v>7</v>
      </c>
      <c r="AY68" s="286" t="e">
        <f t="shared" si="13"/>
        <v>#N/A</v>
      </c>
      <c r="AZ68" s="245" t="e">
        <f t="shared" si="47"/>
        <v>#N/A</v>
      </c>
      <c r="BA68" s="245" t="e">
        <f t="shared" si="14"/>
        <v>#N/A</v>
      </c>
      <c r="BB68" s="288">
        <f t="shared" si="48"/>
        <v>7</v>
      </c>
      <c r="BC68" s="289" t="e">
        <f t="shared" si="49"/>
        <v>#N/A</v>
      </c>
      <c r="BD68" s="290" t="e">
        <f t="shared" si="50"/>
        <v>#N/A</v>
      </c>
      <c r="BE68" s="263" t="e">
        <f t="shared" si="15"/>
        <v>#N/A</v>
      </c>
      <c r="BF68" s="260">
        <f t="shared" si="51"/>
        <v>7</v>
      </c>
      <c r="BG68" s="289" t="e">
        <f t="shared" si="52"/>
        <v>#N/A</v>
      </c>
      <c r="BH68" s="290" t="e">
        <f t="shared" si="53"/>
        <v>#N/A</v>
      </c>
      <c r="BI68" s="263" t="e">
        <f t="shared" si="16"/>
        <v>#N/A</v>
      </c>
      <c r="BJ68" s="264">
        <f t="shared" si="54"/>
        <v>7</v>
      </c>
      <c r="BK68" s="291" t="e">
        <f t="shared" si="55"/>
        <v>#N/A</v>
      </c>
      <c r="BL68" s="291" t="e">
        <f t="shared" si="56"/>
        <v>#N/A</v>
      </c>
      <c r="BM68" s="292" t="e">
        <f t="shared" si="17"/>
        <v>#N/A</v>
      </c>
      <c r="BN68" s="293">
        <f t="shared" si="57"/>
        <v>7</v>
      </c>
      <c r="BO68" s="294" t="e">
        <f t="shared" si="58"/>
        <v>#N/A</v>
      </c>
      <c r="BP68" s="294" t="e">
        <f t="shared" si="59"/>
        <v>#N/A</v>
      </c>
      <c r="BQ68" s="292" t="e">
        <f t="shared" si="18"/>
        <v>#N/A</v>
      </c>
      <c r="BR68" s="295" t="e">
        <f t="shared" si="19"/>
        <v>#N/A</v>
      </c>
      <c r="BS68" s="230" t="e">
        <f>VLOOKUP($B68,SDR22_STOCK_BY_LA!$A$2:$C$11679,3,0)</f>
        <v>#N/A</v>
      </c>
      <c r="BT68" s="230" t="str">
        <f t="shared" si="60"/>
        <v/>
      </c>
    </row>
    <row r="69" spans="1:72" ht="12.5" x14ac:dyDescent="0.25">
      <c r="A69" s="269" t="str">
        <f t="shared" si="61"/>
        <v/>
      </c>
      <c r="B69" s="230" t="str">
        <f t="shared" si="62"/>
        <v/>
      </c>
      <c r="C69" s="270" t="str">
        <f t="shared" si="20"/>
        <v/>
      </c>
      <c r="D69" s="269" t="str">
        <f>IF(B69="","",IF(totals!$Q$3=0,IFERROR(IF(AD69=2,"0",AE69),""),"-"))</f>
        <v/>
      </c>
      <c r="E69" s="271" t="str">
        <f t="shared" si="21"/>
        <v/>
      </c>
      <c r="F69" s="272" t="str">
        <f t="shared" si="22"/>
        <v/>
      </c>
      <c r="G69" s="272" t="str">
        <f t="shared" si="23"/>
        <v/>
      </c>
      <c r="H69" s="269" t="str">
        <f t="shared" si="1"/>
        <v/>
      </c>
      <c r="I69" s="272" t="str">
        <f t="shared" si="24"/>
        <v/>
      </c>
      <c r="J69" s="272" t="str">
        <f t="shared" si="25"/>
        <v/>
      </c>
      <c r="K69" s="269" t="str">
        <f t="shared" si="2"/>
        <v/>
      </c>
      <c r="L69" s="272" t="str">
        <f t="shared" si="3"/>
        <v/>
      </c>
      <c r="M69" s="272" t="str">
        <f t="shared" si="26"/>
        <v/>
      </c>
      <c r="N69" s="269" t="str">
        <f t="shared" si="27"/>
        <v/>
      </c>
      <c r="O69" s="272" t="str">
        <f t="shared" si="28"/>
        <v/>
      </c>
      <c r="P69" s="272" t="str">
        <f t="shared" si="29"/>
        <v/>
      </c>
      <c r="Q69" s="269" t="str">
        <f t="shared" si="30"/>
        <v/>
      </c>
      <c r="R69" s="272" t="str">
        <f t="shared" si="31"/>
        <v/>
      </c>
      <c r="S69" s="272" t="str">
        <f t="shared" si="32"/>
        <v/>
      </c>
      <c r="T69" s="269" t="str">
        <f t="shared" si="33"/>
        <v/>
      </c>
      <c r="U69" s="230"/>
      <c r="V69" s="230"/>
      <c r="AB69" s="270" t="e">
        <f>VLOOKUP($B$6,Lookup_Source,62,0)</f>
        <v>#N/A</v>
      </c>
      <c r="AC69" s="254" t="str">
        <f t="shared" si="34"/>
        <v/>
      </c>
      <c r="AD69" s="255">
        <f t="shared" si="35"/>
        <v>7</v>
      </c>
      <c r="AE69" s="274" t="e">
        <f t="shared" si="4"/>
        <v>#N/A</v>
      </c>
      <c r="AF69" s="277" t="e">
        <f t="shared" si="36"/>
        <v>#N/A</v>
      </c>
      <c r="AG69" s="277" t="e">
        <f t="shared" si="37"/>
        <v>#N/A</v>
      </c>
      <c r="AH69" s="276" t="e">
        <f t="shared" si="5"/>
        <v>#N/A</v>
      </c>
      <c r="AI69" s="239">
        <f t="shared" si="38"/>
        <v>7</v>
      </c>
      <c r="AJ69" s="277" t="e">
        <f t="shared" si="6"/>
        <v>#N/A</v>
      </c>
      <c r="AK69" s="277" t="e">
        <f t="shared" si="39"/>
        <v>#N/A</v>
      </c>
      <c r="AL69" s="239" t="e">
        <f t="shared" si="7"/>
        <v>#N/A</v>
      </c>
      <c r="AM69" s="278" t="e">
        <f t="shared" si="40"/>
        <v>#N/A</v>
      </c>
      <c r="AN69" s="279" t="e">
        <f t="shared" si="8"/>
        <v>#N/A</v>
      </c>
      <c r="AO69" s="240" t="e">
        <f t="shared" si="9"/>
        <v>#N/A</v>
      </c>
      <c r="AP69" s="297">
        <f t="shared" si="41"/>
        <v>7</v>
      </c>
      <c r="AQ69" s="298" t="e">
        <f t="shared" si="10"/>
        <v>#N/A</v>
      </c>
      <c r="AR69" s="279" t="e">
        <f t="shared" si="42"/>
        <v>#N/A</v>
      </c>
      <c r="AS69" s="283" t="e">
        <f t="shared" si="11"/>
        <v>#N/A</v>
      </c>
      <c r="AT69" s="284">
        <f t="shared" si="43"/>
        <v>7</v>
      </c>
      <c r="AU69" s="285" t="e">
        <f t="shared" si="44"/>
        <v>#N/A</v>
      </c>
      <c r="AV69" s="286" t="e">
        <f t="shared" si="45"/>
        <v>#N/A</v>
      </c>
      <c r="AW69" s="287" t="e">
        <f t="shared" si="12"/>
        <v>#N/A</v>
      </c>
      <c r="AX69" s="245">
        <f t="shared" si="46"/>
        <v>7</v>
      </c>
      <c r="AY69" s="286" t="e">
        <f t="shared" si="13"/>
        <v>#N/A</v>
      </c>
      <c r="AZ69" s="245" t="e">
        <f t="shared" si="47"/>
        <v>#N/A</v>
      </c>
      <c r="BA69" s="245" t="e">
        <f t="shared" si="14"/>
        <v>#N/A</v>
      </c>
      <c r="BB69" s="288">
        <f t="shared" si="48"/>
        <v>7</v>
      </c>
      <c r="BC69" s="289" t="e">
        <f t="shared" si="49"/>
        <v>#N/A</v>
      </c>
      <c r="BD69" s="290" t="e">
        <f t="shared" si="50"/>
        <v>#N/A</v>
      </c>
      <c r="BE69" s="263" t="e">
        <f t="shared" si="15"/>
        <v>#N/A</v>
      </c>
      <c r="BF69" s="260">
        <f t="shared" si="51"/>
        <v>7</v>
      </c>
      <c r="BG69" s="289" t="e">
        <f t="shared" si="52"/>
        <v>#N/A</v>
      </c>
      <c r="BH69" s="290" t="e">
        <f t="shared" si="53"/>
        <v>#N/A</v>
      </c>
      <c r="BI69" s="263" t="e">
        <f t="shared" si="16"/>
        <v>#N/A</v>
      </c>
      <c r="BJ69" s="264">
        <f t="shared" si="54"/>
        <v>7</v>
      </c>
      <c r="BK69" s="291" t="e">
        <f t="shared" si="55"/>
        <v>#N/A</v>
      </c>
      <c r="BL69" s="291" t="e">
        <f t="shared" si="56"/>
        <v>#N/A</v>
      </c>
      <c r="BM69" s="292" t="e">
        <f t="shared" si="17"/>
        <v>#N/A</v>
      </c>
      <c r="BN69" s="293">
        <f t="shared" si="57"/>
        <v>7</v>
      </c>
      <c r="BO69" s="294" t="e">
        <f t="shared" si="58"/>
        <v>#N/A</v>
      </c>
      <c r="BP69" s="294" t="e">
        <f t="shared" si="59"/>
        <v>#N/A</v>
      </c>
      <c r="BQ69" s="292" t="e">
        <f t="shared" si="18"/>
        <v>#N/A</v>
      </c>
      <c r="BR69" s="295" t="e">
        <f t="shared" si="19"/>
        <v>#N/A</v>
      </c>
      <c r="BS69" s="230" t="e">
        <f>VLOOKUP($B69,SDR22_STOCK_BY_LA!$A$2:$C$11679,3,0)</f>
        <v>#N/A</v>
      </c>
      <c r="BT69" s="230" t="str">
        <f t="shared" si="60"/>
        <v/>
      </c>
    </row>
    <row r="70" spans="1:72" ht="12.5" x14ac:dyDescent="0.25">
      <c r="A70" s="230" t="str">
        <f t="shared" si="61"/>
        <v/>
      </c>
      <c r="B70" s="230" t="str">
        <f t="shared" si="62"/>
        <v/>
      </c>
      <c r="C70" s="296" t="str">
        <f t="shared" si="20"/>
        <v/>
      </c>
      <c r="D70" s="269" t="str">
        <f>IF(B70="","",IF(totals!$Q$3=0,IFERROR(IF(AD70=2,"0",AE70),""),"-"))</f>
        <v/>
      </c>
      <c r="E70" s="271" t="str">
        <f t="shared" si="21"/>
        <v/>
      </c>
      <c r="F70" s="272" t="str">
        <f t="shared" si="22"/>
        <v/>
      </c>
      <c r="G70" s="272" t="str">
        <f t="shared" si="23"/>
        <v/>
      </c>
      <c r="H70" s="269" t="str">
        <f t="shared" si="1"/>
        <v/>
      </c>
      <c r="I70" s="272" t="str">
        <f t="shared" si="24"/>
        <v/>
      </c>
      <c r="J70" s="272" t="str">
        <f t="shared" si="25"/>
        <v/>
      </c>
      <c r="K70" s="269" t="str">
        <f t="shared" si="2"/>
        <v/>
      </c>
      <c r="L70" s="272" t="str">
        <f t="shared" si="3"/>
        <v/>
      </c>
      <c r="M70" s="272" t="str">
        <f t="shared" si="26"/>
        <v/>
      </c>
      <c r="N70" s="269" t="str">
        <f t="shared" si="27"/>
        <v/>
      </c>
      <c r="O70" s="272" t="str">
        <f t="shared" si="28"/>
        <v/>
      </c>
      <c r="P70" s="272" t="str">
        <f t="shared" si="29"/>
        <v/>
      </c>
      <c r="Q70" s="269" t="str">
        <f t="shared" si="30"/>
        <v/>
      </c>
      <c r="R70" s="272" t="str">
        <f t="shared" si="31"/>
        <v/>
      </c>
      <c r="S70" s="272" t="str">
        <f t="shared" si="32"/>
        <v/>
      </c>
      <c r="T70" s="269" t="str">
        <f t="shared" si="33"/>
        <v/>
      </c>
      <c r="U70" s="230"/>
      <c r="V70" s="230"/>
      <c r="AB70" s="230" t="e">
        <f>VLOOKUP($B$6,Lookup_Source,63,0)</f>
        <v>#N/A</v>
      </c>
      <c r="AC70" s="254" t="str">
        <f t="shared" si="34"/>
        <v/>
      </c>
      <c r="AD70" s="255">
        <f t="shared" si="35"/>
        <v>7</v>
      </c>
      <c r="AE70" s="274" t="e">
        <f t="shared" si="4"/>
        <v>#N/A</v>
      </c>
      <c r="AF70" s="277" t="e">
        <f t="shared" si="36"/>
        <v>#N/A</v>
      </c>
      <c r="AG70" s="277" t="e">
        <f t="shared" si="37"/>
        <v>#N/A</v>
      </c>
      <c r="AH70" s="276" t="e">
        <f t="shared" si="5"/>
        <v>#N/A</v>
      </c>
      <c r="AI70" s="239">
        <f t="shared" si="38"/>
        <v>7</v>
      </c>
      <c r="AJ70" s="277" t="e">
        <f t="shared" si="6"/>
        <v>#N/A</v>
      </c>
      <c r="AK70" s="277" t="e">
        <f t="shared" si="39"/>
        <v>#N/A</v>
      </c>
      <c r="AL70" s="239" t="e">
        <f t="shared" si="7"/>
        <v>#N/A</v>
      </c>
      <c r="AM70" s="278" t="e">
        <f t="shared" si="40"/>
        <v>#N/A</v>
      </c>
      <c r="AN70" s="279" t="e">
        <f t="shared" si="8"/>
        <v>#N/A</v>
      </c>
      <c r="AO70" s="240" t="e">
        <f t="shared" si="9"/>
        <v>#N/A</v>
      </c>
      <c r="AP70" s="297">
        <f t="shared" si="41"/>
        <v>7</v>
      </c>
      <c r="AQ70" s="298" t="e">
        <f t="shared" si="10"/>
        <v>#N/A</v>
      </c>
      <c r="AR70" s="279" t="e">
        <f t="shared" si="42"/>
        <v>#N/A</v>
      </c>
      <c r="AS70" s="283" t="e">
        <f t="shared" si="11"/>
        <v>#N/A</v>
      </c>
      <c r="AT70" s="284">
        <f t="shared" si="43"/>
        <v>7</v>
      </c>
      <c r="AU70" s="285" t="e">
        <f t="shared" si="44"/>
        <v>#N/A</v>
      </c>
      <c r="AV70" s="286" t="e">
        <f t="shared" si="45"/>
        <v>#N/A</v>
      </c>
      <c r="AW70" s="287" t="e">
        <f t="shared" si="12"/>
        <v>#N/A</v>
      </c>
      <c r="AX70" s="245">
        <f t="shared" si="46"/>
        <v>7</v>
      </c>
      <c r="AY70" s="286" t="e">
        <f t="shared" si="13"/>
        <v>#N/A</v>
      </c>
      <c r="AZ70" s="245" t="e">
        <f t="shared" si="47"/>
        <v>#N/A</v>
      </c>
      <c r="BA70" s="245" t="e">
        <f t="shared" si="14"/>
        <v>#N/A</v>
      </c>
      <c r="BB70" s="288">
        <f t="shared" si="48"/>
        <v>7</v>
      </c>
      <c r="BC70" s="289" t="e">
        <f t="shared" si="49"/>
        <v>#N/A</v>
      </c>
      <c r="BD70" s="290" t="e">
        <f t="shared" si="50"/>
        <v>#N/A</v>
      </c>
      <c r="BE70" s="263" t="e">
        <f t="shared" si="15"/>
        <v>#N/A</v>
      </c>
      <c r="BF70" s="260">
        <f t="shared" si="51"/>
        <v>7</v>
      </c>
      <c r="BG70" s="289" t="e">
        <f t="shared" si="52"/>
        <v>#N/A</v>
      </c>
      <c r="BH70" s="290" t="e">
        <f t="shared" si="53"/>
        <v>#N/A</v>
      </c>
      <c r="BI70" s="263" t="e">
        <f t="shared" si="16"/>
        <v>#N/A</v>
      </c>
      <c r="BJ70" s="264">
        <f t="shared" si="54"/>
        <v>7</v>
      </c>
      <c r="BK70" s="291" t="e">
        <f t="shared" si="55"/>
        <v>#N/A</v>
      </c>
      <c r="BL70" s="291" t="e">
        <f t="shared" si="56"/>
        <v>#N/A</v>
      </c>
      <c r="BM70" s="292" t="e">
        <f t="shared" si="17"/>
        <v>#N/A</v>
      </c>
      <c r="BN70" s="293">
        <f t="shared" si="57"/>
        <v>7</v>
      </c>
      <c r="BO70" s="294" t="e">
        <f t="shared" si="58"/>
        <v>#N/A</v>
      </c>
      <c r="BP70" s="294" t="e">
        <f t="shared" si="59"/>
        <v>#N/A</v>
      </c>
      <c r="BQ70" s="292" t="e">
        <f t="shared" si="18"/>
        <v>#N/A</v>
      </c>
      <c r="BR70" s="295" t="e">
        <f t="shared" si="19"/>
        <v>#N/A</v>
      </c>
      <c r="BS70" s="230" t="e">
        <f>VLOOKUP($B70,SDR22_STOCK_BY_LA!$A$2:$C$11679,3,0)</f>
        <v>#N/A</v>
      </c>
      <c r="BT70" s="230" t="str">
        <f t="shared" si="60"/>
        <v/>
      </c>
    </row>
    <row r="71" spans="1:72" ht="12.5" x14ac:dyDescent="0.25">
      <c r="A71" s="269" t="str">
        <f t="shared" si="61"/>
        <v/>
      </c>
      <c r="B71" s="230" t="str">
        <f t="shared" si="62"/>
        <v/>
      </c>
      <c r="C71" s="270" t="str">
        <f t="shared" si="20"/>
        <v/>
      </c>
      <c r="D71" s="269" t="str">
        <f>IF(B71="","",IF(totals!$Q$3=0,IFERROR(IF(AD71=2,"0",AE71),""),"-"))</f>
        <v/>
      </c>
      <c r="E71" s="271" t="str">
        <f t="shared" si="21"/>
        <v/>
      </c>
      <c r="F71" s="272" t="str">
        <f t="shared" si="22"/>
        <v/>
      </c>
      <c r="G71" s="272" t="str">
        <f t="shared" si="23"/>
        <v/>
      </c>
      <c r="H71" s="269" t="str">
        <f t="shared" si="1"/>
        <v/>
      </c>
      <c r="I71" s="272" t="str">
        <f t="shared" si="24"/>
        <v/>
      </c>
      <c r="J71" s="272" t="str">
        <f t="shared" si="25"/>
        <v/>
      </c>
      <c r="K71" s="269" t="str">
        <f t="shared" si="2"/>
        <v/>
      </c>
      <c r="L71" s="272" t="str">
        <f t="shared" si="3"/>
        <v/>
      </c>
      <c r="M71" s="272" t="str">
        <f t="shared" si="26"/>
        <v/>
      </c>
      <c r="N71" s="269" t="str">
        <f t="shared" si="27"/>
        <v/>
      </c>
      <c r="O71" s="272" t="str">
        <f t="shared" si="28"/>
        <v/>
      </c>
      <c r="P71" s="272" t="str">
        <f t="shared" si="29"/>
        <v/>
      </c>
      <c r="Q71" s="269" t="str">
        <f t="shared" si="30"/>
        <v/>
      </c>
      <c r="R71" s="272" t="str">
        <f t="shared" si="31"/>
        <v/>
      </c>
      <c r="S71" s="272" t="str">
        <f t="shared" si="32"/>
        <v/>
      </c>
      <c r="T71" s="269" t="str">
        <f t="shared" si="33"/>
        <v/>
      </c>
      <c r="U71" s="230"/>
      <c r="V71" s="230"/>
      <c r="AB71" s="270" t="e">
        <f>VLOOKUP($B$6,Lookup_Source,64,0)</f>
        <v>#N/A</v>
      </c>
      <c r="AC71" s="254" t="str">
        <f t="shared" si="34"/>
        <v/>
      </c>
      <c r="AD71" s="255">
        <f t="shared" si="35"/>
        <v>7</v>
      </c>
      <c r="AE71" s="274" t="e">
        <f t="shared" si="4"/>
        <v>#N/A</v>
      </c>
      <c r="AF71" s="277" t="e">
        <f t="shared" si="36"/>
        <v>#N/A</v>
      </c>
      <c r="AG71" s="277" t="e">
        <f t="shared" si="37"/>
        <v>#N/A</v>
      </c>
      <c r="AH71" s="276" t="e">
        <f t="shared" si="5"/>
        <v>#N/A</v>
      </c>
      <c r="AI71" s="239">
        <f t="shared" si="38"/>
        <v>7</v>
      </c>
      <c r="AJ71" s="277" t="e">
        <f t="shared" si="6"/>
        <v>#N/A</v>
      </c>
      <c r="AK71" s="277" t="e">
        <f t="shared" si="39"/>
        <v>#N/A</v>
      </c>
      <c r="AL71" s="239" t="e">
        <f t="shared" si="7"/>
        <v>#N/A</v>
      </c>
      <c r="AM71" s="278" t="e">
        <f t="shared" si="40"/>
        <v>#N/A</v>
      </c>
      <c r="AN71" s="279" t="e">
        <f t="shared" si="8"/>
        <v>#N/A</v>
      </c>
      <c r="AO71" s="240" t="e">
        <f t="shared" si="9"/>
        <v>#N/A</v>
      </c>
      <c r="AP71" s="297">
        <f t="shared" si="41"/>
        <v>7</v>
      </c>
      <c r="AQ71" s="298" t="e">
        <f t="shared" si="10"/>
        <v>#N/A</v>
      </c>
      <c r="AR71" s="279" t="e">
        <f t="shared" si="42"/>
        <v>#N/A</v>
      </c>
      <c r="AS71" s="283" t="e">
        <f t="shared" si="11"/>
        <v>#N/A</v>
      </c>
      <c r="AT71" s="284">
        <f t="shared" si="43"/>
        <v>7</v>
      </c>
      <c r="AU71" s="285" t="e">
        <f t="shared" si="44"/>
        <v>#N/A</v>
      </c>
      <c r="AV71" s="286" t="e">
        <f t="shared" si="45"/>
        <v>#N/A</v>
      </c>
      <c r="AW71" s="287" t="e">
        <f t="shared" si="12"/>
        <v>#N/A</v>
      </c>
      <c r="AX71" s="245">
        <f t="shared" si="46"/>
        <v>7</v>
      </c>
      <c r="AY71" s="286" t="e">
        <f t="shared" si="13"/>
        <v>#N/A</v>
      </c>
      <c r="AZ71" s="245" t="e">
        <f t="shared" si="47"/>
        <v>#N/A</v>
      </c>
      <c r="BA71" s="245" t="e">
        <f t="shared" si="14"/>
        <v>#N/A</v>
      </c>
      <c r="BB71" s="288">
        <f t="shared" si="48"/>
        <v>7</v>
      </c>
      <c r="BC71" s="289" t="e">
        <f t="shared" si="49"/>
        <v>#N/A</v>
      </c>
      <c r="BD71" s="290" t="e">
        <f t="shared" si="50"/>
        <v>#N/A</v>
      </c>
      <c r="BE71" s="263" t="e">
        <f t="shared" si="15"/>
        <v>#N/A</v>
      </c>
      <c r="BF71" s="260">
        <f t="shared" si="51"/>
        <v>7</v>
      </c>
      <c r="BG71" s="289" t="e">
        <f t="shared" si="52"/>
        <v>#N/A</v>
      </c>
      <c r="BH71" s="290" t="e">
        <f t="shared" si="53"/>
        <v>#N/A</v>
      </c>
      <c r="BI71" s="263" t="e">
        <f t="shared" si="16"/>
        <v>#N/A</v>
      </c>
      <c r="BJ71" s="264">
        <f t="shared" si="54"/>
        <v>7</v>
      </c>
      <c r="BK71" s="291" t="e">
        <f t="shared" si="55"/>
        <v>#N/A</v>
      </c>
      <c r="BL71" s="291" t="e">
        <f t="shared" si="56"/>
        <v>#N/A</v>
      </c>
      <c r="BM71" s="292" t="e">
        <f t="shared" si="17"/>
        <v>#N/A</v>
      </c>
      <c r="BN71" s="293">
        <f t="shared" si="57"/>
        <v>7</v>
      </c>
      <c r="BO71" s="294" t="e">
        <f t="shared" si="58"/>
        <v>#N/A</v>
      </c>
      <c r="BP71" s="294" t="e">
        <f t="shared" si="59"/>
        <v>#N/A</v>
      </c>
      <c r="BQ71" s="292" t="e">
        <f t="shared" si="18"/>
        <v>#N/A</v>
      </c>
      <c r="BR71" s="295" t="e">
        <f t="shared" si="19"/>
        <v>#N/A</v>
      </c>
      <c r="BS71" s="230" t="e">
        <f>VLOOKUP($B71,SDR22_STOCK_BY_LA!$A$2:$C$11679,3,0)</f>
        <v>#N/A</v>
      </c>
      <c r="BT71" s="230" t="str">
        <f t="shared" si="60"/>
        <v/>
      </c>
    </row>
    <row r="72" spans="1:72" ht="12.5" x14ac:dyDescent="0.25">
      <c r="A72" s="230" t="str">
        <f t="shared" si="61"/>
        <v/>
      </c>
      <c r="B72" s="230" t="str">
        <f t="shared" si="62"/>
        <v/>
      </c>
      <c r="C72" s="296" t="str">
        <f t="shared" si="20"/>
        <v/>
      </c>
      <c r="D72" s="269" t="str">
        <f>IF(B72="","",IF(totals!$Q$3=0,IFERROR(IF(AD72=2,"0",AE72),""),"-"))</f>
        <v/>
      </c>
      <c r="E72" s="271" t="str">
        <f t="shared" si="21"/>
        <v/>
      </c>
      <c r="F72" s="272" t="str">
        <f t="shared" si="22"/>
        <v/>
      </c>
      <c r="G72" s="272" t="str">
        <f t="shared" si="23"/>
        <v/>
      </c>
      <c r="H72" s="269" t="str">
        <f t="shared" si="1"/>
        <v/>
      </c>
      <c r="I72" s="272" t="str">
        <f t="shared" si="24"/>
        <v/>
      </c>
      <c r="J72" s="272" t="str">
        <f t="shared" si="25"/>
        <v/>
      </c>
      <c r="K72" s="269" t="str">
        <f t="shared" si="2"/>
        <v/>
      </c>
      <c r="L72" s="272" t="str">
        <f t="shared" si="3"/>
        <v/>
      </c>
      <c r="M72" s="272" t="str">
        <f t="shared" si="26"/>
        <v/>
      </c>
      <c r="N72" s="269" t="str">
        <f t="shared" si="27"/>
        <v/>
      </c>
      <c r="O72" s="272" t="str">
        <f t="shared" si="28"/>
        <v/>
      </c>
      <c r="P72" s="272" t="str">
        <f t="shared" si="29"/>
        <v/>
      </c>
      <c r="Q72" s="269" t="str">
        <f t="shared" si="30"/>
        <v/>
      </c>
      <c r="R72" s="272" t="str">
        <f t="shared" si="31"/>
        <v/>
      </c>
      <c r="S72" s="272" t="str">
        <f t="shared" si="32"/>
        <v/>
      </c>
      <c r="T72" s="269" t="str">
        <f t="shared" si="33"/>
        <v/>
      </c>
      <c r="U72" s="230"/>
      <c r="V72" s="230"/>
      <c r="AB72" s="230" t="e">
        <f>VLOOKUP($B$6,Lookup_Source,65,0)</f>
        <v>#N/A</v>
      </c>
      <c r="AC72" s="254" t="str">
        <f t="shared" si="34"/>
        <v/>
      </c>
      <c r="AD72" s="255">
        <f t="shared" si="35"/>
        <v>7</v>
      </c>
      <c r="AE72" s="274" t="e">
        <f t="shared" si="4"/>
        <v>#N/A</v>
      </c>
      <c r="AF72" s="277" t="e">
        <f t="shared" si="36"/>
        <v>#N/A</v>
      </c>
      <c r="AG72" s="277" t="e">
        <f t="shared" si="37"/>
        <v>#N/A</v>
      </c>
      <c r="AH72" s="276" t="e">
        <f t="shared" si="5"/>
        <v>#N/A</v>
      </c>
      <c r="AI72" s="239">
        <f t="shared" si="38"/>
        <v>7</v>
      </c>
      <c r="AJ72" s="277" t="e">
        <f t="shared" si="6"/>
        <v>#N/A</v>
      </c>
      <c r="AK72" s="277" t="e">
        <f t="shared" si="39"/>
        <v>#N/A</v>
      </c>
      <c r="AL72" s="239" t="e">
        <f t="shared" si="7"/>
        <v>#N/A</v>
      </c>
      <c r="AM72" s="278" t="e">
        <f t="shared" si="40"/>
        <v>#N/A</v>
      </c>
      <c r="AN72" s="279" t="e">
        <f t="shared" si="8"/>
        <v>#N/A</v>
      </c>
      <c r="AO72" s="240" t="e">
        <f t="shared" si="9"/>
        <v>#N/A</v>
      </c>
      <c r="AP72" s="297">
        <f t="shared" si="41"/>
        <v>7</v>
      </c>
      <c r="AQ72" s="298" t="e">
        <f t="shared" si="10"/>
        <v>#N/A</v>
      </c>
      <c r="AR72" s="279" t="e">
        <f t="shared" si="42"/>
        <v>#N/A</v>
      </c>
      <c r="AS72" s="283" t="e">
        <f t="shared" si="11"/>
        <v>#N/A</v>
      </c>
      <c r="AT72" s="284">
        <f t="shared" si="43"/>
        <v>7</v>
      </c>
      <c r="AU72" s="285" t="e">
        <f t="shared" si="44"/>
        <v>#N/A</v>
      </c>
      <c r="AV72" s="286" t="e">
        <f t="shared" si="45"/>
        <v>#N/A</v>
      </c>
      <c r="AW72" s="287" t="e">
        <f t="shared" si="12"/>
        <v>#N/A</v>
      </c>
      <c r="AX72" s="245">
        <f t="shared" si="46"/>
        <v>7</v>
      </c>
      <c r="AY72" s="286" t="e">
        <f t="shared" si="13"/>
        <v>#N/A</v>
      </c>
      <c r="AZ72" s="245" t="e">
        <f t="shared" si="47"/>
        <v>#N/A</v>
      </c>
      <c r="BA72" s="245" t="e">
        <f t="shared" si="14"/>
        <v>#N/A</v>
      </c>
      <c r="BB72" s="288">
        <f t="shared" si="48"/>
        <v>7</v>
      </c>
      <c r="BC72" s="289" t="e">
        <f t="shared" si="49"/>
        <v>#N/A</v>
      </c>
      <c r="BD72" s="290" t="e">
        <f t="shared" si="50"/>
        <v>#N/A</v>
      </c>
      <c r="BE72" s="263" t="e">
        <f t="shared" si="15"/>
        <v>#N/A</v>
      </c>
      <c r="BF72" s="260">
        <f t="shared" si="51"/>
        <v>7</v>
      </c>
      <c r="BG72" s="289" t="e">
        <f t="shared" si="52"/>
        <v>#N/A</v>
      </c>
      <c r="BH72" s="290" t="e">
        <f t="shared" si="53"/>
        <v>#N/A</v>
      </c>
      <c r="BI72" s="263" t="e">
        <f t="shared" si="16"/>
        <v>#N/A</v>
      </c>
      <c r="BJ72" s="264">
        <f t="shared" si="54"/>
        <v>7</v>
      </c>
      <c r="BK72" s="291" t="e">
        <f t="shared" si="55"/>
        <v>#N/A</v>
      </c>
      <c r="BL72" s="291" t="e">
        <f t="shared" si="56"/>
        <v>#N/A</v>
      </c>
      <c r="BM72" s="292" t="e">
        <f t="shared" si="17"/>
        <v>#N/A</v>
      </c>
      <c r="BN72" s="293">
        <f t="shared" si="57"/>
        <v>7</v>
      </c>
      <c r="BO72" s="294" t="e">
        <f t="shared" si="58"/>
        <v>#N/A</v>
      </c>
      <c r="BP72" s="294" t="e">
        <f t="shared" si="59"/>
        <v>#N/A</v>
      </c>
      <c r="BQ72" s="292" t="e">
        <f t="shared" si="18"/>
        <v>#N/A</v>
      </c>
      <c r="BR72" s="295" t="e">
        <f t="shared" si="19"/>
        <v>#N/A</v>
      </c>
      <c r="BS72" s="230" t="e">
        <f>VLOOKUP($B72,SDR22_STOCK_BY_LA!$A$2:$C$11679,3,0)</f>
        <v>#N/A</v>
      </c>
      <c r="BT72" s="230" t="str">
        <f t="shared" si="60"/>
        <v/>
      </c>
    </row>
    <row r="73" spans="1:72" ht="12.5" x14ac:dyDescent="0.25">
      <c r="A73" s="269" t="str">
        <f t="shared" si="61"/>
        <v/>
      </c>
      <c r="B73" s="230" t="str">
        <f t="shared" si="62"/>
        <v/>
      </c>
      <c r="C73" s="270" t="str">
        <f t="shared" si="20"/>
        <v/>
      </c>
      <c r="D73" s="269" t="str">
        <f>IF(B73="","",IF(totals!$Q$3=0,IFERROR(IF(AD73=2,"0",AE73),""),"-"))</f>
        <v/>
      </c>
      <c r="E73" s="271" t="str">
        <f t="shared" si="21"/>
        <v/>
      </c>
      <c r="F73" s="272" t="str">
        <f t="shared" si="22"/>
        <v/>
      </c>
      <c r="G73" s="272" t="str">
        <f t="shared" si="23"/>
        <v/>
      </c>
      <c r="H73" s="269" t="str">
        <f t="shared" ref="H73:H136" si="63">IFERROR(AO73,"")</f>
        <v/>
      </c>
      <c r="I73" s="272" t="str">
        <f t="shared" si="24"/>
        <v/>
      </c>
      <c r="J73" s="272" t="str">
        <f t="shared" si="25"/>
        <v/>
      </c>
      <c r="K73" s="269" t="str">
        <f t="shared" ref="K73:K136" si="64">IFERROR(AW73,"")</f>
        <v/>
      </c>
      <c r="L73" s="272" t="str">
        <f t="shared" ref="L73:L136" si="65">IFERROR(IF(AT73=2,"-",AU73),"")</f>
        <v/>
      </c>
      <c r="M73" s="272" t="str">
        <f t="shared" si="26"/>
        <v/>
      </c>
      <c r="N73" s="269" t="str">
        <f t="shared" si="27"/>
        <v/>
      </c>
      <c r="O73" s="272" t="str">
        <f t="shared" si="28"/>
        <v/>
      </c>
      <c r="P73" s="272" t="str">
        <f t="shared" si="29"/>
        <v/>
      </c>
      <c r="Q73" s="269" t="str">
        <f t="shared" si="30"/>
        <v/>
      </c>
      <c r="R73" s="272" t="str">
        <f t="shared" si="31"/>
        <v/>
      </c>
      <c r="S73" s="272" t="str">
        <f t="shared" si="32"/>
        <v/>
      </c>
      <c r="T73" s="269" t="str">
        <f t="shared" si="33"/>
        <v/>
      </c>
      <c r="U73" s="230"/>
      <c r="V73" s="230"/>
      <c r="AB73" s="270" t="e">
        <f>VLOOKUP($B$6,Lookup_Source,66,0)</f>
        <v>#N/A</v>
      </c>
      <c r="AC73" s="254" t="str">
        <f t="shared" si="34"/>
        <v/>
      </c>
      <c r="AD73" s="255">
        <f t="shared" si="35"/>
        <v>7</v>
      </c>
      <c r="AE73" s="274" t="e">
        <f t="shared" ref="AE73:AE136" si="66">SUM(VLOOKUP($B73,Totals,8,0)-1)</f>
        <v>#N/A</v>
      </c>
      <c r="AF73" s="277" t="e">
        <f t="shared" si="36"/>
        <v>#N/A</v>
      </c>
      <c r="AG73" s="277" t="e">
        <f t="shared" si="37"/>
        <v>#N/A</v>
      </c>
      <c r="AH73" s="276" t="e">
        <f t="shared" ref="AH73:AH136" si="67">VLOOKUP($BT73,Stock_By_LA,2,0)</f>
        <v>#N/A</v>
      </c>
      <c r="AI73" s="239">
        <f t="shared" si="38"/>
        <v>7</v>
      </c>
      <c r="AJ73" s="277" t="e">
        <f t="shared" ref="AJ73:AJ136" si="68">IF(AK73&gt;0,AK73,"-")</f>
        <v>#N/A</v>
      </c>
      <c r="AK73" s="277" t="e">
        <f t="shared" si="39"/>
        <v>#N/A</v>
      </c>
      <c r="AL73" s="239" t="e">
        <f t="shared" ref="AL73:AL136" si="69">VLOOKUP($B73,Totals,7,0)</f>
        <v>#N/A</v>
      </c>
      <c r="AM73" s="278" t="e">
        <f t="shared" si="40"/>
        <v>#N/A</v>
      </c>
      <c r="AN73" s="279" t="e">
        <f t="shared" ref="AN73:AN136" si="70">$AO73/$AO$8</f>
        <v>#N/A</v>
      </c>
      <c r="AO73" s="240" t="e">
        <f t="shared" ref="AO73:AO136" si="71">VLOOKUP($BT73,Stock_By_LA,3,0)</f>
        <v>#N/A</v>
      </c>
      <c r="AP73" s="297">
        <f t="shared" si="41"/>
        <v>7</v>
      </c>
      <c r="AQ73" s="298" t="e">
        <f t="shared" ref="AQ73:AQ136" si="72">IF(AR73&gt;0,AR73,"-")</f>
        <v>#N/A</v>
      </c>
      <c r="AR73" s="279" t="e">
        <f t="shared" si="42"/>
        <v>#N/A</v>
      </c>
      <c r="AS73" s="283" t="e">
        <f t="shared" ref="AS73:AS136" si="73">VLOOKUP($B73,Totals,2,0)</f>
        <v>#N/A</v>
      </c>
      <c r="AT73" s="284">
        <f t="shared" si="43"/>
        <v>7</v>
      </c>
      <c r="AU73" s="285" t="e">
        <f t="shared" si="44"/>
        <v>#N/A</v>
      </c>
      <c r="AV73" s="286" t="e">
        <f t="shared" si="45"/>
        <v>#N/A</v>
      </c>
      <c r="AW73" s="287" t="e">
        <f t="shared" ref="AW73:AW136" si="74">VLOOKUP($BT73,Stock_By_LA,4,0)</f>
        <v>#N/A</v>
      </c>
      <c r="AX73" s="245">
        <f t="shared" si="46"/>
        <v>7</v>
      </c>
      <c r="AY73" s="286" t="e">
        <f t="shared" ref="AY73:AY136" si="75">IF(AZ73&gt;0,AZ73,"-")</f>
        <v>#N/A</v>
      </c>
      <c r="AZ73" s="245" t="e">
        <f t="shared" si="47"/>
        <v>#N/A</v>
      </c>
      <c r="BA73" s="245" t="e">
        <f t="shared" ref="BA73:BA136" si="76">VLOOKUP($B73,Totals,3,0)</f>
        <v>#N/A</v>
      </c>
      <c r="BB73" s="288">
        <f t="shared" si="48"/>
        <v>7</v>
      </c>
      <c r="BC73" s="289" t="e">
        <f t="shared" si="49"/>
        <v>#N/A</v>
      </c>
      <c r="BD73" s="290" t="e">
        <f t="shared" si="50"/>
        <v>#N/A</v>
      </c>
      <c r="BE73" s="263" t="e">
        <f t="shared" ref="BE73:BE136" si="77">VLOOKUP($BT73,Stock_By_LA,5,0)</f>
        <v>#N/A</v>
      </c>
      <c r="BF73" s="260">
        <f t="shared" si="51"/>
        <v>7</v>
      </c>
      <c r="BG73" s="289" t="e">
        <f t="shared" si="52"/>
        <v>#N/A</v>
      </c>
      <c r="BH73" s="290" t="e">
        <f t="shared" si="53"/>
        <v>#N/A</v>
      </c>
      <c r="BI73" s="263" t="e">
        <f t="shared" ref="BI73:BI136" si="78">VLOOKUP($B73,Totals,4,0)</f>
        <v>#N/A</v>
      </c>
      <c r="BJ73" s="264">
        <f t="shared" si="54"/>
        <v>7</v>
      </c>
      <c r="BK73" s="291" t="e">
        <f t="shared" si="55"/>
        <v>#N/A</v>
      </c>
      <c r="BL73" s="291" t="e">
        <f t="shared" si="56"/>
        <v>#N/A</v>
      </c>
      <c r="BM73" s="292" t="e">
        <f t="shared" ref="BM73:BM136" si="79">VLOOKUP($BT73,Stock_By_LA,6,0)</f>
        <v>#N/A</v>
      </c>
      <c r="BN73" s="293">
        <f t="shared" si="57"/>
        <v>7</v>
      </c>
      <c r="BO73" s="294" t="e">
        <f t="shared" si="58"/>
        <v>#N/A</v>
      </c>
      <c r="BP73" s="294" t="e">
        <f t="shared" si="59"/>
        <v>#N/A</v>
      </c>
      <c r="BQ73" s="292" t="e">
        <f t="shared" ref="BQ73:BQ136" si="80">VLOOKUP($B73,Totals,5,0)</f>
        <v>#N/A</v>
      </c>
      <c r="BR73" s="295" t="e">
        <f t="shared" ref="BR73:BR136" si="81">VLOOKUP($BT73,Stock_By_LA,8,0)</f>
        <v>#N/A</v>
      </c>
      <c r="BS73" s="230" t="e">
        <f>VLOOKUP($B73,SDR22_STOCK_BY_LA!$A$2:$C$11679,3,0)</f>
        <v>#N/A</v>
      </c>
      <c r="BT73" s="230" t="str">
        <f t="shared" si="60"/>
        <v/>
      </c>
    </row>
    <row r="74" spans="1:72" ht="12.5" x14ac:dyDescent="0.25">
      <c r="A74" s="230" t="str">
        <f t="shared" si="61"/>
        <v/>
      </c>
      <c r="B74" s="230" t="str">
        <f t="shared" si="62"/>
        <v/>
      </c>
      <c r="C74" s="296" t="str">
        <f t="shared" ref="C74:C137" si="82">IFERROR(BS74,"")</f>
        <v/>
      </c>
      <c r="D74" s="269" t="str">
        <f>IF(B74="","",IF(totals!$Q$3=0,IFERROR(IF(AD74=2,"0",AE74),""),"-"))</f>
        <v/>
      </c>
      <c r="E74" s="271" t="str">
        <f t="shared" ref="E74:E137" si="83">IFERROR(AH74,"")</f>
        <v/>
      </c>
      <c r="F74" s="272" t="str">
        <f t="shared" ref="F74:F137" si="84">IFERROR(AF74,"")</f>
        <v/>
      </c>
      <c r="G74" s="272" t="str">
        <f t="shared" ref="G74:G137" si="85">IFERROR(IF(AI74=2,"-",AJ74),"")</f>
        <v/>
      </c>
      <c r="H74" s="269" t="str">
        <f t="shared" si="63"/>
        <v/>
      </c>
      <c r="I74" s="272" t="str">
        <f t="shared" ref="I74:I137" si="86">IFERROR(AM74,"")</f>
        <v/>
      </c>
      <c r="J74" s="272" t="str">
        <f t="shared" ref="J74:J137" si="87">IFERROR(IF(AP74=2,"-",AQ74),"")</f>
        <v/>
      </c>
      <c r="K74" s="269" t="str">
        <f t="shared" si="64"/>
        <v/>
      </c>
      <c r="L74" s="272" t="str">
        <f t="shared" si="65"/>
        <v/>
      </c>
      <c r="M74" s="272" t="str">
        <f t="shared" ref="M74:M137" si="88">IFERROR(IF(AX74=2,"-",AY74),"")</f>
        <v/>
      </c>
      <c r="N74" s="269" t="str">
        <f t="shared" ref="N74:N137" si="89">IFERROR(BE74,"")</f>
        <v/>
      </c>
      <c r="O74" s="272" t="str">
        <f t="shared" ref="O74:O137" si="90">IFERROR(IF(BB74=2,"-",BC74),"")</f>
        <v/>
      </c>
      <c r="P74" s="272" t="str">
        <f t="shared" ref="P74:P137" si="91">IFERROR(IF(BF74=2,"-",BG74),"")</f>
        <v/>
      </c>
      <c r="Q74" s="269" t="str">
        <f t="shared" ref="Q74:Q137" si="92">IFERROR(BM74,"")</f>
        <v/>
      </c>
      <c r="R74" s="272" t="str">
        <f t="shared" ref="R74:R137" si="93">IFERROR(IF(BJ74=2,"-",BK74),"")</f>
        <v/>
      </c>
      <c r="S74" s="272" t="str">
        <f t="shared" ref="S74:S137" si="94">IFERROR(IF(BN74=2,"-",BO74),"")</f>
        <v/>
      </c>
      <c r="T74" s="269" t="str">
        <f t="shared" ref="T74:T137" si="95">IFERROR(BR74,"")</f>
        <v/>
      </c>
      <c r="U74" s="230"/>
      <c r="V74" s="230"/>
      <c r="AB74" s="230" t="e">
        <f>VLOOKUP($B$6,Lookup_Source,67,0)</f>
        <v>#N/A</v>
      </c>
      <c r="AC74" s="254" t="str">
        <f t="shared" ref="AC74:AC137" si="96">IF(ISNUMBER(SEARCH("*",B74)),1,"")</f>
        <v/>
      </c>
      <c r="AD74" s="255">
        <f t="shared" ref="AD74:AD137" si="97">IFERROR(ERROR.TYPE(AE74),0)</f>
        <v>7</v>
      </c>
      <c r="AE74" s="274" t="e">
        <f t="shared" si="66"/>
        <v>#N/A</v>
      </c>
      <c r="AF74" s="277" t="e">
        <f t="shared" ref="AF74:AF137" si="98">IF(AG74&gt;0,AG74,"-")</f>
        <v>#N/A</v>
      </c>
      <c r="AG74" s="277" t="e">
        <f t="shared" ref="AG74:AG137" si="99">$AH74/$AH$8</f>
        <v>#N/A</v>
      </c>
      <c r="AH74" s="276" t="e">
        <f t="shared" si="67"/>
        <v>#N/A</v>
      </c>
      <c r="AI74" s="239">
        <f t="shared" ref="AI74:AI137" si="100">IFERROR(ERROR.TYPE(AJ74),0)</f>
        <v>7</v>
      </c>
      <c r="AJ74" s="277" t="e">
        <f t="shared" si="68"/>
        <v>#N/A</v>
      </c>
      <c r="AK74" s="277" t="e">
        <f t="shared" ref="AK74:AK137" si="101">$AH74/$AL74</f>
        <v>#N/A</v>
      </c>
      <c r="AL74" s="239" t="e">
        <f t="shared" si="69"/>
        <v>#N/A</v>
      </c>
      <c r="AM74" s="278" t="e">
        <f t="shared" ref="AM74:AM137" si="102">IF(AN74&gt;0,AN74,"-")</f>
        <v>#N/A</v>
      </c>
      <c r="AN74" s="279" t="e">
        <f t="shared" si="70"/>
        <v>#N/A</v>
      </c>
      <c r="AO74" s="240" t="e">
        <f t="shared" si="71"/>
        <v>#N/A</v>
      </c>
      <c r="AP74" s="297">
        <f t="shared" ref="AP74:AP137" si="103">IFERROR(ERROR.TYPE(AQ74),0)</f>
        <v>7</v>
      </c>
      <c r="AQ74" s="298" t="e">
        <f t="shared" si="72"/>
        <v>#N/A</v>
      </c>
      <c r="AR74" s="279" t="e">
        <f t="shared" ref="AR74:AR137" si="104">$AO74/$AS74</f>
        <v>#N/A</v>
      </c>
      <c r="AS74" s="283" t="e">
        <f t="shared" si="73"/>
        <v>#N/A</v>
      </c>
      <c r="AT74" s="284">
        <f t="shared" ref="AT74:AT137" si="105">IFERROR(ERROR.TYPE(AU74),0)</f>
        <v>7</v>
      </c>
      <c r="AU74" s="285" t="e">
        <f t="shared" ref="AU74:AU137" si="106">IF(AV74&gt;0,AV74,"-")</f>
        <v>#N/A</v>
      </c>
      <c r="AV74" s="286" t="e">
        <f t="shared" ref="AV74:AV137" si="107">AW74/$AW$8</f>
        <v>#N/A</v>
      </c>
      <c r="AW74" s="287" t="e">
        <f t="shared" si="74"/>
        <v>#N/A</v>
      </c>
      <c r="AX74" s="245">
        <f t="shared" ref="AX74:AX137" si="108">IFERROR(ERROR.TYPE(AY74),0)</f>
        <v>7</v>
      </c>
      <c r="AY74" s="286" t="e">
        <f t="shared" si="75"/>
        <v>#N/A</v>
      </c>
      <c r="AZ74" s="245" t="e">
        <f t="shared" ref="AZ74:AZ137" si="109">$AW74/$BA74</f>
        <v>#N/A</v>
      </c>
      <c r="BA74" s="245" t="e">
        <f t="shared" si="76"/>
        <v>#N/A</v>
      </c>
      <c r="BB74" s="288">
        <f t="shared" ref="BB74:BB137" si="110">IFERROR(ERROR.TYPE(BC74),0)</f>
        <v>7</v>
      </c>
      <c r="BC74" s="289" t="e">
        <f t="shared" ref="BC74:BC137" si="111">IF(BD74&gt;0,BD74,"-")</f>
        <v>#N/A</v>
      </c>
      <c r="BD74" s="290" t="e">
        <f t="shared" ref="BD74:BD137" si="112">$BE74/$BE$8</f>
        <v>#N/A</v>
      </c>
      <c r="BE74" s="263" t="e">
        <f t="shared" si="77"/>
        <v>#N/A</v>
      </c>
      <c r="BF74" s="260">
        <f t="shared" ref="BF74:BF137" si="113">IFERROR(ERROR.TYPE(BG74),0)</f>
        <v>7</v>
      </c>
      <c r="BG74" s="289" t="e">
        <f t="shared" ref="BG74:BG137" si="114">IF(BH74&gt;0,BH74,"-")</f>
        <v>#N/A</v>
      </c>
      <c r="BH74" s="290" t="e">
        <f t="shared" ref="BH74:BH137" si="115">$BE74/$BI74</f>
        <v>#N/A</v>
      </c>
      <c r="BI74" s="263" t="e">
        <f t="shared" si="78"/>
        <v>#N/A</v>
      </c>
      <c r="BJ74" s="264">
        <f t="shared" ref="BJ74:BJ137" si="116">IFERROR(ERROR.TYPE(BK74),0)</f>
        <v>7</v>
      </c>
      <c r="BK74" s="291" t="e">
        <f t="shared" ref="BK74:BK137" si="117">IF(BL74&gt;0,BL74,"-")</f>
        <v>#N/A</v>
      </c>
      <c r="BL74" s="291" t="e">
        <f t="shared" ref="BL74:BL137" si="118">$BM74/$BM$8</f>
        <v>#N/A</v>
      </c>
      <c r="BM74" s="292" t="e">
        <f t="shared" si="79"/>
        <v>#N/A</v>
      </c>
      <c r="BN74" s="293">
        <f t="shared" ref="BN74:BN137" si="119">IFERROR(ERROR.TYPE(BO74),0)</f>
        <v>7</v>
      </c>
      <c r="BO74" s="294" t="e">
        <f t="shared" ref="BO74:BO137" si="120">IF(BP74&gt;0,BP74,"-")</f>
        <v>#N/A</v>
      </c>
      <c r="BP74" s="294" t="e">
        <f t="shared" ref="BP74:BP137" si="121">$BM74/$BQ74</f>
        <v>#N/A</v>
      </c>
      <c r="BQ74" s="292" t="e">
        <f t="shared" si="80"/>
        <v>#N/A</v>
      </c>
      <c r="BR74" s="295" t="e">
        <f t="shared" si="81"/>
        <v>#N/A</v>
      </c>
      <c r="BS74" s="230" t="e">
        <f>VLOOKUP($B74,SDR22_STOCK_BY_LA!$A$2:$C$11679,3,0)</f>
        <v>#N/A</v>
      </c>
      <c r="BT74" s="230" t="str">
        <f t="shared" ref="BT74:BT137" si="122">$B$6&amp;$B74</f>
        <v/>
      </c>
    </row>
    <row r="75" spans="1:72" ht="12.5" x14ac:dyDescent="0.25">
      <c r="A75" s="269" t="str">
        <f t="shared" ref="A75:A138" si="123">IF(AC75=1,A74+1,"")</f>
        <v/>
      </c>
      <c r="B75" s="230" t="str">
        <f t="shared" si="62"/>
        <v/>
      </c>
      <c r="C75" s="270" t="str">
        <f t="shared" si="82"/>
        <v/>
      </c>
      <c r="D75" s="269" t="str">
        <f>IF(B75="","",IF(totals!$Q$3=0,IFERROR(IF(AD75=2,"0",AE75),""),"-"))</f>
        <v/>
      </c>
      <c r="E75" s="271" t="str">
        <f t="shared" si="83"/>
        <v/>
      </c>
      <c r="F75" s="272" t="str">
        <f t="shared" si="84"/>
        <v/>
      </c>
      <c r="G75" s="272" t="str">
        <f t="shared" si="85"/>
        <v/>
      </c>
      <c r="H75" s="269" t="str">
        <f t="shared" si="63"/>
        <v/>
      </c>
      <c r="I75" s="272" t="str">
        <f t="shared" si="86"/>
        <v/>
      </c>
      <c r="J75" s="272" t="str">
        <f t="shared" si="87"/>
        <v/>
      </c>
      <c r="K75" s="269" t="str">
        <f t="shared" si="64"/>
        <v/>
      </c>
      <c r="L75" s="272" t="str">
        <f t="shared" si="65"/>
        <v/>
      </c>
      <c r="M75" s="272" t="str">
        <f t="shared" si="88"/>
        <v/>
      </c>
      <c r="N75" s="269" t="str">
        <f t="shared" si="89"/>
        <v/>
      </c>
      <c r="O75" s="272" t="str">
        <f t="shared" si="90"/>
        <v/>
      </c>
      <c r="P75" s="272" t="str">
        <f t="shared" si="91"/>
        <v/>
      </c>
      <c r="Q75" s="269" t="str">
        <f t="shared" si="92"/>
        <v/>
      </c>
      <c r="R75" s="272" t="str">
        <f t="shared" si="93"/>
        <v/>
      </c>
      <c r="S75" s="272" t="str">
        <f t="shared" si="94"/>
        <v/>
      </c>
      <c r="T75" s="269" t="str">
        <f t="shared" si="95"/>
        <v/>
      </c>
      <c r="U75" s="230"/>
      <c r="V75" s="230"/>
      <c r="AB75" s="270" t="e">
        <f>VLOOKUP($B$6,Lookup_Source,68,0)</f>
        <v>#N/A</v>
      </c>
      <c r="AC75" s="254" t="str">
        <f t="shared" si="96"/>
        <v/>
      </c>
      <c r="AD75" s="255">
        <f t="shared" si="97"/>
        <v>7</v>
      </c>
      <c r="AE75" s="274" t="e">
        <f t="shared" si="66"/>
        <v>#N/A</v>
      </c>
      <c r="AF75" s="277" t="e">
        <f t="shared" si="98"/>
        <v>#N/A</v>
      </c>
      <c r="AG75" s="277" t="e">
        <f t="shared" si="99"/>
        <v>#N/A</v>
      </c>
      <c r="AH75" s="276" t="e">
        <f t="shared" si="67"/>
        <v>#N/A</v>
      </c>
      <c r="AI75" s="239">
        <f t="shared" si="100"/>
        <v>7</v>
      </c>
      <c r="AJ75" s="277" t="e">
        <f t="shared" si="68"/>
        <v>#N/A</v>
      </c>
      <c r="AK75" s="277" t="e">
        <f t="shared" si="101"/>
        <v>#N/A</v>
      </c>
      <c r="AL75" s="239" t="e">
        <f t="shared" si="69"/>
        <v>#N/A</v>
      </c>
      <c r="AM75" s="278" t="e">
        <f t="shared" si="102"/>
        <v>#N/A</v>
      </c>
      <c r="AN75" s="279" t="e">
        <f t="shared" si="70"/>
        <v>#N/A</v>
      </c>
      <c r="AO75" s="240" t="e">
        <f t="shared" si="71"/>
        <v>#N/A</v>
      </c>
      <c r="AP75" s="297">
        <f t="shared" si="103"/>
        <v>7</v>
      </c>
      <c r="AQ75" s="298" t="e">
        <f t="shared" si="72"/>
        <v>#N/A</v>
      </c>
      <c r="AR75" s="279" t="e">
        <f t="shared" si="104"/>
        <v>#N/A</v>
      </c>
      <c r="AS75" s="283" t="e">
        <f t="shared" si="73"/>
        <v>#N/A</v>
      </c>
      <c r="AT75" s="284">
        <f t="shared" si="105"/>
        <v>7</v>
      </c>
      <c r="AU75" s="285" t="e">
        <f t="shared" si="106"/>
        <v>#N/A</v>
      </c>
      <c r="AV75" s="286" t="e">
        <f t="shared" si="107"/>
        <v>#N/A</v>
      </c>
      <c r="AW75" s="287" t="e">
        <f t="shared" si="74"/>
        <v>#N/A</v>
      </c>
      <c r="AX75" s="245">
        <f t="shared" si="108"/>
        <v>7</v>
      </c>
      <c r="AY75" s="286" t="e">
        <f t="shared" si="75"/>
        <v>#N/A</v>
      </c>
      <c r="AZ75" s="245" t="e">
        <f t="shared" si="109"/>
        <v>#N/A</v>
      </c>
      <c r="BA75" s="245" t="e">
        <f t="shared" si="76"/>
        <v>#N/A</v>
      </c>
      <c r="BB75" s="288">
        <f t="shared" si="110"/>
        <v>7</v>
      </c>
      <c r="BC75" s="289" t="e">
        <f t="shared" si="111"/>
        <v>#N/A</v>
      </c>
      <c r="BD75" s="290" t="e">
        <f t="shared" si="112"/>
        <v>#N/A</v>
      </c>
      <c r="BE75" s="263" t="e">
        <f t="shared" si="77"/>
        <v>#N/A</v>
      </c>
      <c r="BF75" s="260">
        <f t="shared" si="113"/>
        <v>7</v>
      </c>
      <c r="BG75" s="289" t="e">
        <f t="shared" si="114"/>
        <v>#N/A</v>
      </c>
      <c r="BH75" s="290" t="e">
        <f t="shared" si="115"/>
        <v>#N/A</v>
      </c>
      <c r="BI75" s="263" t="e">
        <f t="shared" si="78"/>
        <v>#N/A</v>
      </c>
      <c r="BJ75" s="264">
        <f t="shared" si="116"/>
        <v>7</v>
      </c>
      <c r="BK75" s="291" t="e">
        <f t="shared" si="117"/>
        <v>#N/A</v>
      </c>
      <c r="BL75" s="291" t="e">
        <f t="shared" si="118"/>
        <v>#N/A</v>
      </c>
      <c r="BM75" s="292" t="e">
        <f t="shared" si="79"/>
        <v>#N/A</v>
      </c>
      <c r="BN75" s="293">
        <f t="shared" si="119"/>
        <v>7</v>
      </c>
      <c r="BO75" s="294" t="e">
        <f t="shared" si="120"/>
        <v>#N/A</v>
      </c>
      <c r="BP75" s="294" t="e">
        <f t="shared" si="121"/>
        <v>#N/A</v>
      </c>
      <c r="BQ75" s="292" t="e">
        <f t="shared" si="80"/>
        <v>#N/A</v>
      </c>
      <c r="BR75" s="295" t="e">
        <f t="shared" si="81"/>
        <v>#N/A</v>
      </c>
      <c r="BS75" s="230" t="e">
        <f>VLOOKUP($B75,SDR22_STOCK_BY_LA!$A$2:$C$11679,3,0)</f>
        <v>#N/A</v>
      </c>
      <c r="BT75" s="230" t="str">
        <f t="shared" si="122"/>
        <v/>
      </c>
    </row>
    <row r="76" spans="1:72" ht="12.5" x14ac:dyDescent="0.25">
      <c r="A76" s="230" t="str">
        <f t="shared" si="123"/>
        <v/>
      </c>
      <c r="B76" s="230" t="str">
        <f t="shared" si="62"/>
        <v/>
      </c>
      <c r="C76" s="296" t="str">
        <f t="shared" si="82"/>
        <v/>
      </c>
      <c r="D76" s="269" t="str">
        <f>IF(B76="","",IF(totals!$Q$3=0,IFERROR(IF(AD76=2,"0",AE76),""),"-"))</f>
        <v/>
      </c>
      <c r="E76" s="271" t="str">
        <f t="shared" si="83"/>
        <v/>
      </c>
      <c r="F76" s="272" t="str">
        <f t="shared" si="84"/>
        <v/>
      </c>
      <c r="G76" s="272" t="str">
        <f t="shared" si="85"/>
        <v/>
      </c>
      <c r="H76" s="269" t="str">
        <f t="shared" si="63"/>
        <v/>
      </c>
      <c r="I76" s="272" t="str">
        <f t="shared" si="86"/>
        <v/>
      </c>
      <c r="J76" s="272" t="str">
        <f t="shared" si="87"/>
        <v/>
      </c>
      <c r="K76" s="269" t="str">
        <f t="shared" si="64"/>
        <v/>
      </c>
      <c r="L76" s="272" t="str">
        <f t="shared" si="65"/>
        <v/>
      </c>
      <c r="M76" s="272" t="str">
        <f t="shared" si="88"/>
        <v/>
      </c>
      <c r="N76" s="269" t="str">
        <f t="shared" si="89"/>
        <v/>
      </c>
      <c r="O76" s="272" t="str">
        <f t="shared" si="90"/>
        <v/>
      </c>
      <c r="P76" s="272" t="str">
        <f t="shared" si="91"/>
        <v/>
      </c>
      <c r="Q76" s="269" t="str">
        <f t="shared" si="92"/>
        <v/>
      </c>
      <c r="R76" s="272" t="str">
        <f t="shared" si="93"/>
        <v/>
      </c>
      <c r="S76" s="272" t="str">
        <f t="shared" si="94"/>
        <v/>
      </c>
      <c r="T76" s="269" t="str">
        <f t="shared" si="95"/>
        <v/>
      </c>
      <c r="U76" s="230"/>
      <c r="V76" s="230"/>
      <c r="AB76" s="230" t="e">
        <f>VLOOKUP($B$6,Lookup_Source,69,0)</f>
        <v>#N/A</v>
      </c>
      <c r="AC76" s="254" t="str">
        <f t="shared" si="96"/>
        <v/>
      </c>
      <c r="AD76" s="255">
        <f t="shared" si="97"/>
        <v>7</v>
      </c>
      <c r="AE76" s="274" t="e">
        <f t="shared" si="66"/>
        <v>#N/A</v>
      </c>
      <c r="AF76" s="277" t="e">
        <f t="shared" si="98"/>
        <v>#N/A</v>
      </c>
      <c r="AG76" s="277" t="e">
        <f t="shared" si="99"/>
        <v>#N/A</v>
      </c>
      <c r="AH76" s="276" t="e">
        <f t="shared" si="67"/>
        <v>#N/A</v>
      </c>
      <c r="AI76" s="239">
        <f t="shared" si="100"/>
        <v>7</v>
      </c>
      <c r="AJ76" s="277" t="e">
        <f t="shared" si="68"/>
        <v>#N/A</v>
      </c>
      <c r="AK76" s="277" t="e">
        <f t="shared" si="101"/>
        <v>#N/A</v>
      </c>
      <c r="AL76" s="239" t="e">
        <f t="shared" si="69"/>
        <v>#N/A</v>
      </c>
      <c r="AM76" s="278" t="e">
        <f t="shared" si="102"/>
        <v>#N/A</v>
      </c>
      <c r="AN76" s="279" t="e">
        <f t="shared" si="70"/>
        <v>#N/A</v>
      </c>
      <c r="AO76" s="240" t="e">
        <f t="shared" si="71"/>
        <v>#N/A</v>
      </c>
      <c r="AP76" s="297">
        <f t="shared" si="103"/>
        <v>7</v>
      </c>
      <c r="AQ76" s="298" t="e">
        <f t="shared" si="72"/>
        <v>#N/A</v>
      </c>
      <c r="AR76" s="279" t="e">
        <f t="shared" si="104"/>
        <v>#N/A</v>
      </c>
      <c r="AS76" s="283" t="e">
        <f t="shared" si="73"/>
        <v>#N/A</v>
      </c>
      <c r="AT76" s="284">
        <f t="shared" si="105"/>
        <v>7</v>
      </c>
      <c r="AU76" s="285" t="e">
        <f t="shared" si="106"/>
        <v>#N/A</v>
      </c>
      <c r="AV76" s="286" t="e">
        <f t="shared" si="107"/>
        <v>#N/A</v>
      </c>
      <c r="AW76" s="287" t="e">
        <f t="shared" si="74"/>
        <v>#N/A</v>
      </c>
      <c r="AX76" s="245">
        <f t="shared" si="108"/>
        <v>7</v>
      </c>
      <c r="AY76" s="286" t="e">
        <f t="shared" si="75"/>
        <v>#N/A</v>
      </c>
      <c r="AZ76" s="245" t="e">
        <f t="shared" si="109"/>
        <v>#N/A</v>
      </c>
      <c r="BA76" s="245" t="e">
        <f t="shared" si="76"/>
        <v>#N/A</v>
      </c>
      <c r="BB76" s="288">
        <f t="shared" si="110"/>
        <v>7</v>
      </c>
      <c r="BC76" s="289" t="e">
        <f t="shared" si="111"/>
        <v>#N/A</v>
      </c>
      <c r="BD76" s="290" t="e">
        <f t="shared" si="112"/>
        <v>#N/A</v>
      </c>
      <c r="BE76" s="263" t="e">
        <f t="shared" si="77"/>
        <v>#N/A</v>
      </c>
      <c r="BF76" s="260">
        <f t="shared" si="113"/>
        <v>7</v>
      </c>
      <c r="BG76" s="289" t="e">
        <f t="shared" si="114"/>
        <v>#N/A</v>
      </c>
      <c r="BH76" s="290" t="e">
        <f t="shared" si="115"/>
        <v>#N/A</v>
      </c>
      <c r="BI76" s="263" t="e">
        <f t="shared" si="78"/>
        <v>#N/A</v>
      </c>
      <c r="BJ76" s="264">
        <f t="shared" si="116"/>
        <v>7</v>
      </c>
      <c r="BK76" s="291" t="e">
        <f t="shared" si="117"/>
        <v>#N/A</v>
      </c>
      <c r="BL76" s="291" t="e">
        <f t="shared" si="118"/>
        <v>#N/A</v>
      </c>
      <c r="BM76" s="292" t="e">
        <f t="shared" si="79"/>
        <v>#N/A</v>
      </c>
      <c r="BN76" s="293">
        <f t="shared" si="119"/>
        <v>7</v>
      </c>
      <c r="BO76" s="294" t="e">
        <f t="shared" si="120"/>
        <v>#N/A</v>
      </c>
      <c r="BP76" s="294" t="e">
        <f t="shared" si="121"/>
        <v>#N/A</v>
      </c>
      <c r="BQ76" s="292" t="e">
        <f t="shared" si="80"/>
        <v>#N/A</v>
      </c>
      <c r="BR76" s="295" t="e">
        <f t="shared" si="81"/>
        <v>#N/A</v>
      </c>
      <c r="BS76" s="230" t="e">
        <f>VLOOKUP($B76,SDR22_STOCK_BY_LA!$A$2:$C$11679,3,0)</f>
        <v>#N/A</v>
      </c>
      <c r="BT76" s="230" t="str">
        <f t="shared" si="122"/>
        <v/>
      </c>
    </row>
    <row r="77" spans="1:72" ht="12.5" x14ac:dyDescent="0.25">
      <c r="A77" s="269" t="str">
        <f t="shared" si="123"/>
        <v/>
      </c>
      <c r="B77" s="230" t="str">
        <f t="shared" ref="B77:B140" si="124">IFERROR(IF(AB77=0,"",AB77),"")</f>
        <v/>
      </c>
      <c r="C77" s="270" t="str">
        <f t="shared" si="82"/>
        <v/>
      </c>
      <c r="D77" s="269" t="str">
        <f>IF(B77="","",IF(totals!$Q$3=0,IFERROR(IF(AD77=2,"0",AE77),""),"-"))</f>
        <v/>
      </c>
      <c r="E77" s="271" t="str">
        <f t="shared" si="83"/>
        <v/>
      </c>
      <c r="F77" s="272" t="str">
        <f t="shared" si="84"/>
        <v/>
      </c>
      <c r="G77" s="272" t="str">
        <f t="shared" si="85"/>
        <v/>
      </c>
      <c r="H77" s="269" t="str">
        <f t="shared" si="63"/>
        <v/>
      </c>
      <c r="I77" s="272" t="str">
        <f t="shared" si="86"/>
        <v/>
      </c>
      <c r="J77" s="272" t="str">
        <f t="shared" si="87"/>
        <v/>
      </c>
      <c r="K77" s="269" t="str">
        <f t="shared" si="64"/>
        <v/>
      </c>
      <c r="L77" s="272" t="str">
        <f t="shared" si="65"/>
        <v/>
      </c>
      <c r="M77" s="272" t="str">
        <f t="shared" si="88"/>
        <v/>
      </c>
      <c r="N77" s="269" t="str">
        <f t="shared" si="89"/>
        <v/>
      </c>
      <c r="O77" s="272" t="str">
        <f t="shared" si="90"/>
        <v/>
      </c>
      <c r="P77" s="272" t="str">
        <f t="shared" si="91"/>
        <v/>
      </c>
      <c r="Q77" s="269" t="str">
        <f t="shared" si="92"/>
        <v/>
      </c>
      <c r="R77" s="272" t="str">
        <f t="shared" si="93"/>
        <v/>
      </c>
      <c r="S77" s="272" t="str">
        <f t="shared" si="94"/>
        <v/>
      </c>
      <c r="T77" s="269" t="str">
        <f t="shared" si="95"/>
        <v/>
      </c>
      <c r="U77" s="230"/>
      <c r="V77" s="230"/>
      <c r="AB77" s="270" t="e">
        <f>VLOOKUP($B$6,Lookup_Source,70,0)</f>
        <v>#N/A</v>
      </c>
      <c r="AC77" s="254" t="str">
        <f t="shared" si="96"/>
        <v/>
      </c>
      <c r="AD77" s="255">
        <f t="shared" si="97"/>
        <v>7</v>
      </c>
      <c r="AE77" s="274" t="e">
        <f t="shared" si="66"/>
        <v>#N/A</v>
      </c>
      <c r="AF77" s="277" t="e">
        <f t="shared" si="98"/>
        <v>#N/A</v>
      </c>
      <c r="AG77" s="277" t="e">
        <f t="shared" si="99"/>
        <v>#N/A</v>
      </c>
      <c r="AH77" s="276" t="e">
        <f t="shared" si="67"/>
        <v>#N/A</v>
      </c>
      <c r="AI77" s="239">
        <f t="shared" si="100"/>
        <v>7</v>
      </c>
      <c r="AJ77" s="277" t="e">
        <f t="shared" si="68"/>
        <v>#N/A</v>
      </c>
      <c r="AK77" s="277" t="e">
        <f t="shared" si="101"/>
        <v>#N/A</v>
      </c>
      <c r="AL77" s="239" t="e">
        <f t="shared" si="69"/>
        <v>#N/A</v>
      </c>
      <c r="AM77" s="278" t="e">
        <f t="shared" si="102"/>
        <v>#N/A</v>
      </c>
      <c r="AN77" s="279" t="e">
        <f t="shared" si="70"/>
        <v>#N/A</v>
      </c>
      <c r="AO77" s="240" t="e">
        <f t="shared" si="71"/>
        <v>#N/A</v>
      </c>
      <c r="AP77" s="297">
        <f t="shared" si="103"/>
        <v>7</v>
      </c>
      <c r="AQ77" s="298" t="e">
        <f t="shared" si="72"/>
        <v>#N/A</v>
      </c>
      <c r="AR77" s="279" t="e">
        <f t="shared" si="104"/>
        <v>#N/A</v>
      </c>
      <c r="AS77" s="283" t="e">
        <f t="shared" si="73"/>
        <v>#N/A</v>
      </c>
      <c r="AT77" s="284">
        <f t="shared" si="105"/>
        <v>7</v>
      </c>
      <c r="AU77" s="285" t="e">
        <f t="shared" si="106"/>
        <v>#N/A</v>
      </c>
      <c r="AV77" s="286" t="e">
        <f t="shared" si="107"/>
        <v>#N/A</v>
      </c>
      <c r="AW77" s="287" t="e">
        <f t="shared" si="74"/>
        <v>#N/A</v>
      </c>
      <c r="AX77" s="245">
        <f t="shared" si="108"/>
        <v>7</v>
      </c>
      <c r="AY77" s="286" t="e">
        <f t="shared" si="75"/>
        <v>#N/A</v>
      </c>
      <c r="AZ77" s="245" t="e">
        <f t="shared" si="109"/>
        <v>#N/A</v>
      </c>
      <c r="BA77" s="245" t="e">
        <f t="shared" si="76"/>
        <v>#N/A</v>
      </c>
      <c r="BB77" s="288">
        <f t="shared" si="110"/>
        <v>7</v>
      </c>
      <c r="BC77" s="289" t="e">
        <f t="shared" si="111"/>
        <v>#N/A</v>
      </c>
      <c r="BD77" s="290" t="e">
        <f t="shared" si="112"/>
        <v>#N/A</v>
      </c>
      <c r="BE77" s="263" t="e">
        <f t="shared" si="77"/>
        <v>#N/A</v>
      </c>
      <c r="BF77" s="260">
        <f t="shared" si="113"/>
        <v>7</v>
      </c>
      <c r="BG77" s="289" t="e">
        <f t="shared" si="114"/>
        <v>#N/A</v>
      </c>
      <c r="BH77" s="290" t="e">
        <f t="shared" si="115"/>
        <v>#N/A</v>
      </c>
      <c r="BI77" s="263" t="e">
        <f t="shared" si="78"/>
        <v>#N/A</v>
      </c>
      <c r="BJ77" s="264">
        <f t="shared" si="116"/>
        <v>7</v>
      </c>
      <c r="BK77" s="291" t="e">
        <f t="shared" si="117"/>
        <v>#N/A</v>
      </c>
      <c r="BL77" s="291" t="e">
        <f t="shared" si="118"/>
        <v>#N/A</v>
      </c>
      <c r="BM77" s="292" t="e">
        <f t="shared" si="79"/>
        <v>#N/A</v>
      </c>
      <c r="BN77" s="293">
        <f t="shared" si="119"/>
        <v>7</v>
      </c>
      <c r="BO77" s="294" t="e">
        <f t="shared" si="120"/>
        <v>#N/A</v>
      </c>
      <c r="BP77" s="294" t="e">
        <f t="shared" si="121"/>
        <v>#N/A</v>
      </c>
      <c r="BQ77" s="292" t="e">
        <f t="shared" si="80"/>
        <v>#N/A</v>
      </c>
      <c r="BR77" s="295" t="e">
        <f t="shared" si="81"/>
        <v>#N/A</v>
      </c>
      <c r="BS77" s="230" t="e">
        <f>VLOOKUP($B77,SDR22_STOCK_BY_LA!$A$2:$C$11679,3,0)</f>
        <v>#N/A</v>
      </c>
      <c r="BT77" s="230" t="str">
        <f t="shared" si="122"/>
        <v/>
      </c>
    </row>
    <row r="78" spans="1:72" ht="12.5" x14ac:dyDescent="0.25">
      <c r="A78" s="230" t="str">
        <f t="shared" si="123"/>
        <v/>
      </c>
      <c r="B78" s="230" t="str">
        <f t="shared" si="124"/>
        <v/>
      </c>
      <c r="C78" s="296" t="str">
        <f t="shared" si="82"/>
        <v/>
      </c>
      <c r="D78" s="269" t="str">
        <f>IF(B78="","",IF(totals!$Q$3=0,IFERROR(IF(AD78=2,"0",AE78),""),"-"))</f>
        <v/>
      </c>
      <c r="E78" s="271" t="str">
        <f t="shared" si="83"/>
        <v/>
      </c>
      <c r="F78" s="272" t="str">
        <f t="shared" si="84"/>
        <v/>
      </c>
      <c r="G78" s="272" t="str">
        <f t="shared" si="85"/>
        <v/>
      </c>
      <c r="H78" s="269" t="str">
        <f t="shared" si="63"/>
        <v/>
      </c>
      <c r="I78" s="272" t="str">
        <f t="shared" si="86"/>
        <v/>
      </c>
      <c r="J78" s="272" t="str">
        <f t="shared" si="87"/>
        <v/>
      </c>
      <c r="K78" s="269" t="str">
        <f t="shared" si="64"/>
        <v/>
      </c>
      <c r="L78" s="272" t="str">
        <f t="shared" si="65"/>
        <v/>
      </c>
      <c r="M78" s="272" t="str">
        <f t="shared" si="88"/>
        <v/>
      </c>
      <c r="N78" s="269" t="str">
        <f t="shared" si="89"/>
        <v/>
      </c>
      <c r="O78" s="272" t="str">
        <f t="shared" si="90"/>
        <v/>
      </c>
      <c r="P78" s="272" t="str">
        <f t="shared" si="91"/>
        <v/>
      </c>
      <c r="Q78" s="269" t="str">
        <f t="shared" si="92"/>
        <v/>
      </c>
      <c r="R78" s="272" t="str">
        <f t="shared" si="93"/>
        <v/>
      </c>
      <c r="S78" s="272" t="str">
        <f t="shared" si="94"/>
        <v/>
      </c>
      <c r="T78" s="269" t="str">
        <f t="shared" si="95"/>
        <v/>
      </c>
      <c r="U78" s="230"/>
      <c r="V78" s="230"/>
      <c r="AB78" s="230" t="e">
        <f>VLOOKUP($B$6,Lookup_Source,71,0)</f>
        <v>#N/A</v>
      </c>
      <c r="AC78" s="254" t="str">
        <f t="shared" si="96"/>
        <v/>
      </c>
      <c r="AD78" s="255">
        <f t="shared" si="97"/>
        <v>7</v>
      </c>
      <c r="AE78" s="274" t="e">
        <f t="shared" si="66"/>
        <v>#N/A</v>
      </c>
      <c r="AF78" s="277" t="e">
        <f t="shared" si="98"/>
        <v>#N/A</v>
      </c>
      <c r="AG78" s="277" t="e">
        <f t="shared" si="99"/>
        <v>#N/A</v>
      </c>
      <c r="AH78" s="276" t="e">
        <f t="shared" si="67"/>
        <v>#N/A</v>
      </c>
      <c r="AI78" s="239">
        <f t="shared" si="100"/>
        <v>7</v>
      </c>
      <c r="AJ78" s="277" t="e">
        <f t="shared" si="68"/>
        <v>#N/A</v>
      </c>
      <c r="AK78" s="277" t="e">
        <f t="shared" si="101"/>
        <v>#N/A</v>
      </c>
      <c r="AL78" s="239" t="e">
        <f t="shared" si="69"/>
        <v>#N/A</v>
      </c>
      <c r="AM78" s="278" t="e">
        <f t="shared" si="102"/>
        <v>#N/A</v>
      </c>
      <c r="AN78" s="279" t="e">
        <f t="shared" si="70"/>
        <v>#N/A</v>
      </c>
      <c r="AO78" s="240" t="e">
        <f t="shared" si="71"/>
        <v>#N/A</v>
      </c>
      <c r="AP78" s="297">
        <f t="shared" si="103"/>
        <v>7</v>
      </c>
      <c r="AQ78" s="298" t="e">
        <f t="shared" si="72"/>
        <v>#N/A</v>
      </c>
      <c r="AR78" s="279" t="e">
        <f t="shared" si="104"/>
        <v>#N/A</v>
      </c>
      <c r="AS78" s="283" t="e">
        <f t="shared" si="73"/>
        <v>#N/A</v>
      </c>
      <c r="AT78" s="284">
        <f t="shared" si="105"/>
        <v>7</v>
      </c>
      <c r="AU78" s="285" t="e">
        <f t="shared" si="106"/>
        <v>#N/A</v>
      </c>
      <c r="AV78" s="286" t="e">
        <f t="shared" si="107"/>
        <v>#N/A</v>
      </c>
      <c r="AW78" s="287" t="e">
        <f t="shared" si="74"/>
        <v>#N/A</v>
      </c>
      <c r="AX78" s="245">
        <f t="shared" si="108"/>
        <v>7</v>
      </c>
      <c r="AY78" s="286" t="e">
        <f t="shared" si="75"/>
        <v>#N/A</v>
      </c>
      <c r="AZ78" s="245" t="e">
        <f t="shared" si="109"/>
        <v>#N/A</v>
      </c>
      <c r="BA78" s="245" t="e">
        <f t="shared" si="76"/>
        <v>#N/A</v>
      </c>
      <c r="BB78" s="288">
        <f t="shared" si="110"/>
        <v>7</v>
      </c>
      <c r="BC78" s="289" t="e">
        <f t="shared" si="111"/>
        <v>#N/A</v>
      </c>
      <c r="BD78" s="290" t="e">
        <f t="shared" si="112"/>
        <v>#N/A</v>
      </c>
      <c r="BE78" s="263" t="e">
        <f t="shared" si="77"/>
        <v>#N/A</v>
      </c>
      <c r="BF78" s="260">
        <f t="shared" si="113"/>
        <v>7</v>
      </c>
      <c r="BG78" s="289" t="e">
        <f t="shared" si="114"/>
        <v>#N/A</v>
      </c>
      <c r="BH78" s="290" t="e">
        <f t="shared" si="115"/>
        <v>#N/A</v>
      </c>
      <c r="BI78" s="263" t="e">
        <f t="shared" si="78"/>
        <v>#N/A</v>
      </c>
      <c r="BJ78" s="264">
        <f t="shared" si="116"/>
        <v>7</v>
      </c>
      <c r="BK78" s="291" t="e">
        <f t="shared" si="117"/>
        <v>#N/A</v>
      </c>
      <c r="BL78" s="291" t="e">
        <f t="shared" si="118"/>
        <v>#N/A</v>
      </c>
      <c r="BM78" s="292" t="e">
        <f t="shared" si="79"/>
        <v>#N/A</v>
      </c>
      <c r="BN78" s="293">
        <f t="shared" si="119"/>
        <v>7</v>
      </c>
      <c r="BO78" s="294" t="e">
        <f t="shared" si="120"/>
        <v>#N/A</v>
      </c>
      <c r="BP78" s="294" t="e">
        <f t="shared" si="121"/>
        <v>#N/A</v>
      </c>
      <c r="BQ78" s="292" t="e">
        <f t="shared" si="80"/>
        <v>#N/A</v>
      </c>
      <c r="BR78" s="295" t="e">
        <f t="shared" si="81"/>
        <v>#N/A</v>
      </c>
      <c r="BS78" s="230" t="e">
        <f>VLOOKUP($B78,SDR22_STOCK_BY_LA!$A$2:$C$11679,3,0)</f>
        <v>#N/A</v>
      </c>
      <c r="BT78" s="230" t="str">
        <f t="shared" si="122"/>
        <v/>
      </c>
    </row>
    <row r="79" spans="1:72" ht="12.5" x14ac:dyDescent="0.25">
      <c r="A79" s="269" t="str">
        <f t="shared" si="123"/>
        <v/>
      </c>
      <c r="B79" s="230" t="str">
        <f t="shared" si="124"/>
        <v/>
      </c>
      <c r="C79" s="270" t="str">
        <f t="shared" si="82"/>
        <v/>
      </c>
      <c r="D79" s="269" t="str">
        <f>IF(B79="","",IF(totals!$Q$3=0,IFERROR(IF(AD79=2,"0",AE79),""),"-"))</f>
        <v/>
      </c>
      <c r="E79" s="271" t="str">
        <f t="shared" si="83"/>
        <v/>
      </c>
      <c r="F79" s="272" t="str">
        <f t="shared" si="84"/>
        <v/>
      </c>
      <c r="G79" s="272" t="str">
        <f t="shared" si="85"/>
        <v/>
      </c>
      <c r="H79" s="269" t="str">
        <f t="shared" si="63"/>
        <v/>
      </c>
      <c r="I79" s="272" t="str">
        <f t="shared" si="86"/>
        <v/>
      </c>
      <c r="J79" s="272" t="str">
        <f t="shared" si="87"/>
        <v/>
      </c>
      <c r="K79" s="269" t="str">
        <f t="shared" si="64"/>
        <v/>
      </c>
      <c r="L79" s="272" t="str">
        <f t="shared" si="65"/>
        <v/>
      </c>
      <c r="M79" s="272" t="str">
        <f t="shared" si="88"/>
        <v/>
      </c>
      <c r="N79" s="269" t="str">
        <f t="shared" si="89"/>
        <v/>
      </c>
      <c r="O79" s="272" t="str">
        <f t="shared" si="90"/>
        <v/>
      </c>
      <c r="P79" s="272" t="str">
        <f t="shared" si="91"/>
        <v/>
      </c>
      <c r="Q79" s="269" t="str">
        <f t="shared" si="92"/>
        <v/>
      </c>
      <c r="R79" s="272" t="str">
        <f t="shared" si="93"/>
        <v/>
      </c>
      <c r="S79" s="272" t="str">
        <f t="shared" si="94"/>
        <v/>
      </c>
      <c r="T79" s="269" t="str">
        <f t="shared" si="95"/>
        <v/>
      </c>
      <c r="U79" s="230"/>
      <c r="V79" s="230"/>
      <c r="AB79" s="270" t="e">
        <f>VLOOKUP($B$6,Lookup_Source,72,0)</f>
        <v>#N/A</v>
      </c>
      <c r="AC79" s="254" t="str">
        <f t="shared" si="96"/>
        <v/>
      </c>
      <c r="AD79" s="255">
        <f t="shared" si="97"/>
        <v>7</v>
      </c>
      <c r="AE79" s="274" t="e">
        <f t="shared" si="66"/>
        <v>#N/A</v>
      </c>
      <c r="AF79" s="277" t="e">
        <f t="shared" si="98"/>
        <v>#N/A</v>
      </c>
      <c r="AG79" s="277" t="e">
        <f t="shared" si="99"/>
        <v>#N/A</v>
      </c>
      <c r="AH79" s="276" t="e">
        <f t="shared" si="67"/>
        <v>#N/A</v>
      </c>
      <c r="AI79" s="239">
        <f t="shared" si="100"/>
        <v>7</v>
      </c>
      <c r="AJ79" s="277" t="e">
        <f t="shared" si="68"/>
        <v>#N/A</v>
      </c>
      <c r="AK79" s="277" t="e">
        <f t="shared" si="101"/>
        <v>#N/A</v>
      </c>
      <c r="AL79" s="239" t="e">
        <f t="shared" si="69"/>
        <v>#N/A</v>
      </c>
      <c r="AM79" s="278" t="e">
        <f t="shared" si="102"/>
        <v>#N/A</v>
      </c>
      <c r="AN79" s="279" t="e">
        <f t="shared" si="70"/>
        <v>#N/A</v>
      </c>
      <c r="AO79" s="240" t="e">
        <f t="shared" si="71"/>
        <v>#N/A</v>
      </c>
      <c r="AP79" s="297">
        <f t="shared" si="103"/>
        <v>7</v>
      </c>
      <c r="AQ79" s="298" t="e">
        <f t="shared" si="72"/>
        <v>#N/A</v>
      </c>
      <c r="AR79" s="279" t="e">
        <f t="shared" si="104"/>
        <v>#N/A</v>
      </c>
      <c r="AS79" s="283" t="e">
        <f t="shared" si="73"/>
        <v>#N/A</v>
      </c>
      <c r="AT79" s="284">
        <f t="shared" si="105"/>
        <v>7</v>
      </c>
      <c r="AU79" s="285" t="e">
        <f t="shared" si="106"/>
        <v>#N/A</v>
      </c>
      <c r="AV79" s="286" t="e">
        <f t="shared" si="107"/>
        <v>#N/A</v>
      </c>
      <c r="AW79" s="287" t="e">
        <f t="shared" si="74"/>
        <v>#N/A</v>
      </c>
      <c r="AX79" s="245">
        <f t="shared" si="108"/>
        <v>7</v>
      </c>
      <c r="AY79" s="286" t="e">
        <f t="shared" si="75"/>
        <v>#N/A</v>
      </c>
      <c r="AZ79" s="245" t="e">
        <f t="shared" si="109"/>
        <v>#N/A</v>
      </c>
      <c r="BA79" s="245" t="e">
        <f t="shared" si="76"/>
        <v>#N/A</v>
      </c>
      <c r="BB79" s="288">
        <f t="shared" si="110"/>
        <v>7</v>
      </c>
      <c r="BC79" s="289" t="e">
        <f t="shared" si="111"/>
        <v>#N/A</v>
      </c>
      <c r="BD79" s="290" t="e">
        <f t="shared" si="112"/>
        <v>#N/A</v>
      </c>
      <c r="BE79" s="263" t="e">
        <f t="shared" si="77"/>
        <v>#N/A</v>
      </c>
      <c r="BF79" s="260">
        <f t="shared" si="113"/>
        <v>7</v>
      </c>
      <c r="BG79" s="289" t="e">
        <f t="shared" si="114"/>
        <v>#N/A</v>
      </c>
      <c r="BH79" s="290" t="e">
        <f t="shared" si="115"/>
        <v>#N/A</v>
      </c>
      <c r="BI79" s="263" t="e">
        <f t="shared" si="78"/>
        <v>#N/A</v>
      </c>
      <c r="BJ79" s="264">
        <f t="shared" si="116"/>
        <v>7</v>
      </c>
      <c r="BK79" s="291" t="e">
        <f t="shared" si="117"/>
        <v>#N/A</v>
      </c>
      <c r="BL79" s="291" t="e">
        <f t="shared" si="118"/>
        <v>#N/A</v>
      </c>
      <c r="BM79" s="292" t="e">
        <f t="shared" si="79"/>
        <v>#N/A</v>
      </c>
      <c r="BN79" s="293">
        <f t="shared" si="119"/>
        <v>7</v>
      </c>
      <c r="BO79" s="294" t="e">
        <f t="shared" si="120"/>
        <v>#N/A</v>
      </c>
      <c r="BP79" s="294" t="e">
        <f t="shared" si="121"/>
        <v>#N/A</v>
      </c>
      <c r="BQ79" s="292" t="e">
        <f t="shared" si="80"/>
        <v>#N/A</v>
      </c>
      <c r="BR79" s="295" t="e">
        <f t="shared" si="81"/>
        <v>#N/A</v>
      </c>
      <c r="BS79" s="230" t="e">
        <f>VLOOKUP($B79,SDR22_STOCK_BY_LA!$A$2:$C$11679,3,0)</f>
        <v>#N/A</v>
      </c>
      <c r="BT79" s="230" t="str">
        <f t="shared" si="122"/>
        <v/>
      </c>
    </row>
    <row r="80" spans="1:72" ht="12.5" x14ac:dyDescent="0.25">
      <c r="A80" s="230" t="str">
        <f t="shared" si="123"/>
        <v/>
      </c>
      <c r="B80" s="230" t="str">
        <f t="shared" si="124"/>
        <v/>
      </c>
      <c r="C80" s="296" t="str">
        <f t="shared" si="82"/>
        <v/>
      </c>
      <c r="D80" s="269" t="str">
        <f>IF(B80="","",IF(totals!$Q$3=0,IFERROR(IF(AD80=2,"0",AE80),""),"-"))</f>
        <v/>
      </c>
      <c r="E80" s="271" t="str">
        <f t="shared" si="83"/>
        <v/>
      </c>
      <c r="F80" s="272" t="str">
        <f t="shared" si="84"/>
        <v/>
      </c>
      <c r="G80" s="272" t="str">
        <f t="shared" si="85"/>
        <v/>
      </c>
      <c r="H80" s="269" t="str">
        <f t="shared" si="63"/>
        <v/>
      </c>
      <c r="I80" s="272" t="str">
        <f t="shared" si="86"/>
        <v/>
      </c>
      <c r="J80" s="272" t="str">
        <f t="shared" si="87"/>
        <v/>
      </c>
      <c r="K80" s="269" t="str">
        <f t="shared" si="64"/>
        <v/>
      </c>
      <c r="L80" s="272" t="str">
        <f t="shared" si="65"/>
        <v/>
      </c>
      <c r="M80" s="272" t="str">
        <f t="shared" si="88"/>
        <v/>
      </c>
      <c r="N80" s="269" t="str">
        <f t="shared" si="89"/>
        <v/>
      </c>
      <c r="O80" s="272" t="str">
        <f t="shared" si="90"/>
        <v/>
      </c>
      <c r="P80" s="272" t="str">
        <f t="shared" si="91"/>
        <v/>
      </c>
      <c r="Q80" s="269" t="str">
        <f t="shared" si="92"/>
        <v/>
      </c>
      <c r="R80" s="272" t="str">
        <f t="shared" si="93"/>
        <v/>
      </c>
      <c r="S80" s="272" t="str">
        <f t="shared" si="94"/>
        <v/>
      </c>
      <c r="T80" s="269" t="str">
        <f t="shared" si="95"/>
        <v/>
      </c>
      <c r="U80" s="230"/>
      <c r="V80" s="230"/>
      <c r="AB80" s="230" t="e">
        <f>VLOOKUP($B$6,Lookup_Source,73,0)</f>
        <v>#N/A</v>
      </c>
      <c r="AC80" s="254" t="str">
        <f t="shared" si="96"/>
        <v/>
      </c>
      <c r="AD80" s="255">
        <f t="shared" si="97"/>
        <v>7</v>
      </c>
      <c r="AE80" s="274" t="e">
        <f t="shared" si="66"/>
        <v>#N/A</v>
      </c>
      <c r="AF80" s="277" t="e">
        <f t="shared" si="98"/>
        <v>#N/A</v>
      </c>
      <c r="AG80" s="277" t="e">
        <f t="shared" si="99"/>
        <v>#N/A</v>
      </c>
      <c r="AH80" s="276" t="e">
        <f t="shared" si="67"/>
        <v>#N/A</v>
      </c>
      <c r="AI80" s="239">
        <f t="shared" si="100"/>
        <v>7</v>
      </c>
      <c r="AJ80" s="277" t="e">
        <f t="shared" si="68"/>
        <v>#N/A</v>
      </c>
      <c r="AK80" s="277" t="e">
        <f t="shared" si="101"/>
        <v>#N/A</v>
      </c>
      <c r="AL80" s="239" t="e">
        <f t="shared" si="69"/>
        <v>#N/A</v>
      </c>
      <c r="AM80" s="278" t="e">
        <f t="shared" si="102"/>
        <v>#N/A</v>
      </c>
      <c r="AN80" s="279" t="e">
        <f t="shared" si="70"/>
        <v>#N/A</v>
      </c>
      <c r="AO80" s="240" t="e">
        <f t="shared" si="71"/>
        <v>#N/A</v>
      </c>
      <c r="AP80" s="297">
        <f t="shared" si="103"/>
        <v>7</v>
      </c>
      <c r="AQ80" s="298" t="e">
        <f t="shared" si="72"/>
        <v>#N/A</v>
      </c>
      <c r="AR80" s="279" t="e">
        <f t="shared" si="104"/>
        <v>#N/A</v>
      </c>
      <c r="AS80" s="283" t="e">
        <f t="shared" si="73"/>
        <v>#N/A</v>
      </c>
      <c r="AT80" s="284">
        <f t="shared" si="105"/>
        <v>7</v>
      </c>
      <c r="AU80" s="285" t="e">
        <f t="shared" si="106"/>
        <v>#N/A</v>
      </c>
      <c r="AV80" s="286" t="e">
        <f t="shared" si="107"/>
        <v>#N/A</v>
      </c>
      <c r="AW80" s="287" t="e">
        <f t="shared" si="74"/>
        <v>#N/A</v>
      </c>
      <c r="AX80" s="245">
        <f t="shared" si="108"/>
        <v>7</v>
      </c>
      <c r="AY80" s="286" t="e">
        <f t="shared" si="75"/>
        <v>#N/A</v>
      </c>
      <c r="AZ80" s="245" t="e">
        <f t="shared" si="109"/>
        <v>#N/A</v>
      </c>
      <c r="BA80" s="245" t="e">
        <f t="shared" si="76"/>
        <v>#N/A</v>
      </c>
      <c r="BB80" s="288">
        <f t="shared" si="110"/>
        <v>7</v>
      </c>
      <c r="BC80" s="289" t="e">
        <f t="shared" si="111"/>
        <v>#N/A</v>
      </c>
      <c r="BD80" s="290" t="e">
        <f t="shared" si="112"/>
        <v>#N/A</v>
      </c>
      <c r="BE80" s="263" t="e">
        <f t="shared" si="77"/>
        <v>#N/A</v>
      </c>
      <c r="BF80" s="260">
        <f t="shared" si="113"/>
        <v>7</v>
      </c>
      <c r="BG80" s="289" t="e">
        <f t="shared" si="114"/>
        <v>#N/A</v>
      </c>
      <c r="BH80" s="290" t="e">
        <f t="shared" si="115"/>
        <v>#N/A</v>
      </c>
      <c r="BI80" s="263" t="e">
        <f t="shared" si="78"/>
        <v>#N/A</v>
      </c>
      <c r="BJ80" s="264">
        <f t="shared" si="116"/>
        <v>7</v>
      </c>
      <c r="BK80" s="291" t="e">
        <f t="shared" si="117"/>
        <v>#N/A</v>
      </c>
      <c r="BL80" s="291" t="e">
        <f t="shared" si="118"/>
        <v>#N/A</v>
      </c>
      <c r="BM80" s="292" t="e">
        <f t="shared" si="79"/>
        <v>#N/A</v>
      </c>
      <c r="BN80" s="293">
        <f t="shared" si="119"/>
        <v>7</v>
      </c>
      <c r="BO80" s="294" t="e">
        <f t="shared" si="120"/>
        <v>#N/A</v>
      </c>
      <c r="BP80" s="294" t="e">
        <f t="shared" si="121"/>
        <v>#N/A</v>
      </c>
      <c r="BQ80" s="292" t="e">
        <f t="shared" si="80"/>
        <v>#N/A</v>
      </c>
      <c r="BR80" s="295" t="e">
        <f t="shared" si="81"/>
        <v>#N/A</v>
      </c>
      <c r="BS80" s="230" t="e">
        <f>VLOOKUP($B80,SDR22_STOCK_BY_LA!$A$2:$C$11679,3,0)</f>
        <v>#N/A</v>
      </c>
      <c r="BT80" s="230" t="str">
        <f t="shared" si="122"/>
        <v/>
      </c>
    </row>
    <row r="81" spans="1:72" ht="12.5" x14ac:dyDescent="0.25">
      <c r="A81" s="269" t="str">
        <f t="shared" si="123"/>
        <v/>
      </c>
      <c r="B81" s="230" t="str">
        <f t="shared" si="124"/>
        <v/>
      </c>
      <c r="C81" s="270" t="str">
        <f t="shared" si="82"/>
        <v/>
      </c>
      <c r="D81" s="269" t="str">
        <f>IF(B81="","",IF(totals!$Q$3=0,IFERROR(IF(AD81=2,"0",AE81),""),"-"))</f>
        <v/>
      </c>
      <c r="E81" s="271" t="str">
        <f t="shared" si="83"/>
        <v/>
      </c>
      <c r="F81" s="272" t="str">
        <f t="shared" si="84"/>
        <v/>
      </c>
      <c r="G81" s="272" t="str">
        <f t="shared" si="85"/>
        <v/>
      </c>
      <c r="H81" s="269" t="str">
        <f t="shared" si="63"/>
        <v/>
      </c>
      <c r="I81" s="272" t="str">
        <f t="shared" si="86"/>
        <v/>
      </c>
      <c r="J81" s="272" t="str">
        <f t="shared" si="87"/>
        <v/>
      </c>
      <c r="K81" s="269" t="str">
        <f t="shared" si="64"/>
        <v/>
      </c>
      <c r="L81" s="272" t="str">
        <f t="shared" si="65"/>
        <v/>
      </c>
      <c r="M81" s="272" t="str">
        <f t="shared" si="88"/>
        <v/>
      </c>
      <c r="N81" s="269" t="str">
        <f t="shared" si="89"/>
        <v/>
      </c>
      <c r="O81" s="272" t="str">
        <f t="shared" si="90"/>
        <v/>
      </c>
      <c r="P81" s="272" t="str">
        <f t="shared" si="91"/>
        <v/>
      </c>
      <c r="Q81" s="269" t="str">
        <f t="shared" si="92"/>
        <v/>
      </c>
      <c r="R81" s="272" t="str">
        <f t="shared" si="93"/>
        <v/>
      </c>
      <c r="S81" s="272" t="str">
        <f t="shared" si="94"/>
        <v/>
      </c>
      <c r="T81" s="269" t="str">
        <f t="shared" si="95"/>
        <v/>
      </c>
      <c r="U81" s="230"/>
      <c r="V81" s="230"/>
      <c r="AB81" s="270" t="e">
        <f>VLOOKUP($B$6,Lookup_Source,74,0)</f>
        <v>#N/A</v>
      </c>
      <c r="AC81" s="254" t="str">
        <f t="shared" si="96"/>
        <v/>
      </c>
      <c r="AD81" s="255">
        <f t="shared" si="97"/>
        <v>7</v>
      </c>
      <c r="AE81" s="274" t="e">
        <f t="shared" si="66"/>
        <v>#N/A</v>
      </c>
      <c r="AF81" s="277" t="e">
        <f t="shared" si="98"/>
        <v>#N/A</v>
      </c>
      <c r="AG81" s="277" t="e">
        <f t="shared" si="99"/>
        <v>#N/A</v>
      </c>
      <c r="AH81" s="276" t="e">
        <f t="shared" si="67"/>
        <v>#N/A</v>
      </c>
      <c r="AI81" s="239">
        <f t="shared" si="100"/>
        <v>7</v>
      </c>
      <c r="AJ81" s="277" t="e">
        <f t="shared" si="68"/>
        <v>#N/A</v>
      </c>
      <c r="AK81" s="277" t="e">
        <f t="shared" si="101"/>
        <v>#N/A</v>
      </c>
      <c r="AL81" s="239" t="e">
        <f t="shared" si="69"/>
        <v>#N/A</v>
      </c>
      <c r="AM81" s="278" t="e">
        <f t="shared" si="102"/>
        <v>#N/A</v>
      </c>
      <c r="AN81" s="279" t="e">
        <f t="shared" si="70"/>
        <v>#N/A</v>
      </c>
      <c r="AO81" s="240" t="e">
        <f t="shared" si="71"/>
        <v>#N/A</v>
      </c>
      <c r="AP81" s="297">
        <f t="shared" si="103"/>
        <v>7</v>
      </c>
      <c r="AQ81" s="298" t="e">
        <f t="shared" si="72"/>
        <v>#N/A</v>
      </c>
      <c r="AR81" s="279" t="e">
        <f t="shared" si="104"/>
        <v>#N/A</v>
      </c>
      <c r="AS81" s="283" t="e">
        <f t="shared" si="73"/>
        <v>#N/A</v>
      </c>
      <c r="AT81" s="284">
        <f t="shared" si="105"/>
        <v>7</v>
      </c>
      <c r="AU81" s="285" t="e">
        <f t="shared" si="106"/>
        <v>#N/A</v>
      </c>
      <c r="AV81" s="286" t="e">
        <f t="shared" si="107"/>
        <v>#N/A</v>
      </c>
      <c r="AW81" s="287" t="e">
        <f t="shared" si="74"/>
        <v>#N/A</v>
      </c>
      <c r="AX81" s="245">
        <f t="shared" si="108"/>
        <v>7</v>
      </c>
      <c r="AY81" s="286" t="e">
        <f t="shared" si="75"/>
        <v>#N/A</v>
      </c>
      <c r="AZ81" s="245" t="e">
        <f t="shared" si="109"/>
        <v>#N/A</v>
      </c>
      <c r="BA81" s="245" t="e">
        <f t="shared" si="76"/>
        <v>#N/A</v>
      </c>
      <c r="BB81" s="288">
        <f t="shared" si="110"/>
        <v>7</v>
      </c>
      <c r="BC81" s="289" t="e">
        <f t="shared" si="111"/>
        <v>#N/A</v>
      </c>
      <c r="BD81" s="290" t="e">
        <f t="shared" si="112"/>
        <v>#N/A</v>
      </c>
      <c r="BE81" s="263" t="e">
        <f t="shared" si="77"/>
        <v>#N/A</v>
      </c>
      <c r="BF81" s="260">
        <f t="shared" si="113"/>
        <v>7</v>
      </c>
      <c r="BG81" s="289" t="e">
        <f t="shared" si="114"/>
        <v>#N/A</v>
      </c>
      <c r="BH81" s="290" t="e">
        <f t="shared" si="115"/>
        <v>#N/A</v>
      </c>
      <c r="BI81" s="263" t="e">
        <f t="shared" si="78"/>
        <v>#N/A</v>
      </c>
      <c r="BJ81" s="264">
        <f t="shared" si="116"/>
        <v>7</v>
      </c>
      <c r="BK81" s="291" t="e">
        <f t="shared" si="117"/>
        <v>#N/A</v>
      </c>
      <c r="BL81" s="291" t="e">
        <f t="shared" si="118"/>
        <v>#N/A</v>
      </c>
      <c r="BM81" s="292" t="e">
        <f t="shared" si="79"/>
        <v>#N/A</v>
      </c>
      <c r="BN81" s="293">
        <f t="shared" si="119"/>
        <v>7</v>
      </c>
      <c r="BO81" s="294" t="e">
        <f t="shared" si="120"/>
        <v>#N/A</v>
      </c>
      <c r="BP81" s="294" t="e">
        <f t="shared" si="121"/>
        <v>#N/A</v>
      </c>
      <c r="BQ81" s="292" t="e">
        <f t="shared" si="80"/>
        <v>#N/A</v>
      </c>
      <c r="BR81" s="295" t="e">
        <f t="shared" si="81"/>
        <v>#N/A</v>
      </c>
      <c r="BS81" s="230" t="e">
        <f>VLOOKUP($B81,SDR22_STOCK_BY_LA!$A$2:$C$11679,3,0)</f>
        <v>#N/A</v>
      </c>
      <c r="BT81" s="230" t="str">
        <f t="shared" si="122"/>
        <v/>
      </c>
    </row>
    <row r="82" spans="1:72" ht="12.5" x14ac:dyDescent="0.25">
      <c r="A82" s="230" t="str">
        <f t="shared" si="123"/>
        <v/>
      </c>
      <c r="B82" s="230" t="str">
        <f t="shared" si="124"/>
        <v/>
      </c>
      <c r="C82" s="296" t="str">
        <f t="shared" si="82"/>
        <v/>
      </c>
      <c r="D82" s="269" t="str">
        <f>IF(B82="","",IF(totals!$Q$3=0,IFERROR(IF(AD82=2,"0",AE82),""),"-"))</f>
        <v/>
      </c>
      <c r="E82" s="271" t="str">
        <f t="shared" si="83"/>
        <v/>
      </c>
      <c r="F82" s="272" t="str">
        <f t="shared" si="84"/>
        <v/>
      </c>
      <c r="G82" s="272" t="str">
        <f t="shared" si="85"/>
        <v/>
      </c>
      <c r="H82" s="269" t="str">
        <f t="shared" si="63"/>
        <v/>
      </c>
      <c r="I82" s="272" t="str">
        <f t="shared" si="86"/>
        <v/>
      </c>
      <c r="J82" s="272" t="str">
        <f t="shared" si="87"/>
        <v/>
      </c>
      <c r="K82" s="269" t="str">
        <f t="shared" si="64"/>
        <v/>
      </c>
      <c r="L82" s="272" t="str">
        <f t="shared" si="65"/>
        <v/>
      </c>
      <c r="M82" s="272" t="str">
        <f t="shared" si="88"/>
        <v/>
      </c>
      <c r="N82" s="269" t="str">
        <f t="shared" si="89"/>
        <v/>
      </c>
      <c r="O82" s="272" t="str">
        <f t="shared" si="90"/>
        <v/>
      </c>
      <c r="P82" s="272" t="str">
        <f t="shared" si="91"/>
        <v/>
      </c>
      <c r="Q82" s="269" t="str">
        <f t="shared" si="92"/>
        <v/>
      </c>
      <c r="R82" s="272" t="str">
        <f t="shared" si="93"/>
        <v/>
      </c>
      <c r="S82" s="272" t="str">
        <f t="shared" si="94"/>
        <v/>
      </c>
      <c r="T82" s="269" t="str">
        <f t="shared" si="95"/>
        <v/>
      </c>
      <c r="U82" s="230"/>
      <c r="V82" s="230"/>
      <c r="AB82" s="230" t="e">
        <f>VLOOKUP($B$6,Lookup_Source,75,0)</f>
        <v>#N/A</v>
      </c>
      <c r="AC82" s="254" t="str">
        <f t="shared" si="96"/>
        <v/>
      </c>
      <c r="AD82" s="255">
        <f t="shared" si="97"/>
        <v>7</v>
      </c>
      <c r="AE82" s="274" t="e">
        <f t="shared" si="66"/>
        <v>#N/A</v>
      </c>
      <c r="AF82" s="277" t="e">
        <f t="shared" si="98"/>
        <v>#N/A</v>
      </c>
      <c r="AG82" s="277" t="e">
        <f t="shared" si="99"/>
        <v>#N/A</v>
      </c>
      <c r="AH82" s="276" t="e">
        <f t="shared" si="67"/>
        <v>#N/A</v>
      </c>
      <c r="AI82" s="239">
        <f t="shared" si="100"/>
        <v>7</v>
      </c>
      <c r="AJ82" s="277" t="e">
        <f t="shared" si="68"/>
        <v>#N/A</v>
      </c>
      <c r="AK82" s="277" t="e">
        <f t="shared" si="101"/>
        <v>#N/A</v>
      </c>
      <c r="AL82" s="239" t="e">
        <f t="shared" si="69"/>
        <v>#N/A</v>
      </c>
      <c r="AM82" s="278" t="e">
        <f t="shared" si="102"/>
        <v>#N/A</v>
      </c>
      <c r="AN82" s="279" t="e">
        <f t="shared" si="70"/>
        <v>#N/A</v>
      </c>
      <c r="AO82" s="240" t="e">
        <f t="shared" si="71"/>
        <v>#N/A</v>
      </c>
      <c r="AP82" s="297">
        <f t="shared" si="103"/>
        <v>7</v>
      </c>
      <c r="AQ82" s="298" t="e">
        <f t="shared" si="72"/>
        <v>#N/A</v>
      </c>
      <c r="AR82" s="279" t="e">
        <f t="shared" si="104"/>
        <v>#N/A</v>
      </c>
      <c r="AS82" s="283" t="e">
        <f t="shared" si="73"/>
        <v>#N/A</v>
      </c>
      <c r="AT82" s="284">
        <f t="shared" si="105"/>
        <v>7</v>
      </c>
      <c r="AU82" s="285" t="e">
        <f t="shared" si="106"/>
        <v>#N/A</v>
      </c>
      <c r="AV82" s="286" t="e">
        <f t="shared" si="107"/>
        <v>#N/A</v>
      </c>
      <c r="AW82" s="287" t="e">
        <f t="shared" si="74"/>
        <v>#N/A</v>
      </c>
      <c r="AX82" s="245">
        <f t="shared" si="108"/>
        <v>7</v>
      </c>
      <c r="AY82" s="286" t="e">
        <f t="shared" si="75"/>
        <v>#N/A</v>
      </c>
      <c r="AZ82" s="245" t="e">
        <f t="shared" si="109"/>
        <v>#N/A</v>
      </c>
      <c r="BA82" s="245" t="e">
        <f t="shared" si="76"/>
        <v>#N/A</v>
      </c>
      <c r="BB82" s="288">
        <f t="shared" si="110"/>
        <v>7</v>
      </c>
      <c r="BC82" s="289" t="e">
        <f t="shared" si="111"/>
        <v>#N/A</v>
      </c>
      <c r="BD82" s="290" t="e">
        <f t="shared" si="112"/>
        <v>#N/A</v>
      </c>
      <c r="BE82" s="263" t="e">
        <f t="shared" si="77"/>
        <v>#N/A</v>
      </c>
      <c r="BF82" s="260">
        <f t="shared" si="113"/>
        <v>7</v>
      </c>
      <c r="BG82" s="289" t="e">
        <f t="shared" si="114"/>
        <v>#N/A</v>
      </c>
      <c r="BH82" s="290" t="e">
        <f t="shared" si="115"/>
        <v>#N/A</v>
      </c>
      <c r="BI82" s="263" t="e">
        <f t="shared" si="78"/>
        <v>#N/A</v>
      </c>
      <c r="BJ82" s="264">
        <f t="shared" si="116"/>
        <v>7</v>
      </c>
      <c r="BK82" s="291" t="e">
        <f t="shared" si="117"/>
        <v>#N/A</v>
      </c>
      <c r="BL82" s="291" t="e">
        <f t="shared" si="118"/>
        <v>#N/A</v>
      </c>
      <c r="BM82" s="292" t="e">
        <f t="shared" si="79"/>
        <v>#N/A</v>
      </c>
      <c r="BN82" s="293">
        <f t="shared" si="119"/>
        <v>7</v>
      </c>
      <c r="BO82" s="294" t="e">
        <f t="shared" si="120"/>
        <v>#N/A</v>
      </c>
      <c r="BP82" s="294" t="e">
        <f t="shared" si="121"/>
        <v>#N/A</v>
      </c>
      <c r="BQ82" s="292" t="e">
        <f t="shared" si="80"/>
        <v>#N/A</v>
      </c>
      <c r="BR82" s="295" t="e">
        <f t="shared" si="81"/>
        <v>#N/A</v>
      </c>
      <c r="BS82" s="230" t="e">
        <f>VLOOKUP($B82,SDR22_STOCK_BY_LA!$A$2:$C$11679,3,0)</f>
        <v>#N/A</v>
      </c>
      <c r="BT82" s="230" t="str">
        <f t="shared" si="122"/>
        <v/>
      </c>
    </row>
    <row r="83" spans="1:72" ht="12.5" x14ac:dyDescent="0.25">
      <c r="A83" s="269" t="str">
        <f t="shared" si="123"/>
        <v/>
      </c>
      <c r="B83" s="230" t="str">
        <f t="shared" si="124"/>
        <v/>
      </c>
      <c r="C83" s="270" t="str">
        <f t="shared" si="82"/>
        <v/>
      </c>
      <c r="D83" s="269" t="str">
        <f>IF(B83="","",IF(totals!$Q$3=0,IFERROR(IF(AD83=2,"0",AE83),""),"-"))</f>
        <v/>
      </c>
      <c r="E83" s="271" t="str">
        <f t="shared" si="83"/>
        <v/>
      </c>
      <c r="F83" s="272" t="str">
        <f t="shared" si="84"/>
        <v/>
      </c>
      <c r="G83" s="272" t="str">
        <f t="shared" si="85"/>
        <v/>
      </c>
      <c r="H83" s="269" t="str">
        <f t="shared" si="63"/>
        <v/>
      </c>
      <c r="I83" s="272" t="str">
        <f t="shared" si="86"/>
        <v/>
      </c>
      <c r="J83" s="272" t="str">
        <f t="shared" si="87"/>
        <v/>
      </c>
      <c r="K83" s="269" t="str">
        <f t="shared" si="64"/>
        <v/>
      </c>
      <c r="L83" s="272" t="str">
        <f t="shared" si="65"/>
        <v/>
      </c>
      <c r="M83" s="272" t="str">
        <f t="shared" si="88"/>
        <v/>
      </c>
      <c r="N83" s="269" t="str">
        <f t="shared" si="89"/>
        <v/>
      </c>
      <c r="O83" s="272" t="str">
        <f t="shared" si="90"/>
        <v/>
      </c>
      <c r="P83" s="272" t="str">
        <f t="shared" si="91"/>
        <v/>
      </c>
      <c r="Q83" s="269" t="str">
        <f t="shared" si="92"/>
        <v/>
      </c>
      <c r="R83" s="272" t="str">
        <f t="shared" si="93"/>
        <v/>
      </c>
      <c r="S83" s="272" t="str">
        <f t="shared" si="94"/>
        <v/>
      </c>
      <c r="T83" s="269" t="str">
        <f t="shared" si="95"/>
        <v/>
      </c>
      <c r="U83" s="230"/>
      <c r="V83" s="230"/>
      <c r="AB83" s="270" t="e">
        <f>VLOOKUP($B$6,Lookup_Source,76,0)</f>
        <v>#N/A</v>
      </c>
      <c r="AC83" s="254" t="str">
        <f t="shared" si="96"/>
        <v/>
      </c>
      <c r="AD83" s="255">
        <f t="shared" si="97"/>
        <v>7</v>
      </c>
      <c r="AE83" s="274" t="e">
        <f t="shared" si="66"/>
        <v>#N/A</v>
      </c>
      <c r="AF83" s="277" t="e">
        <f t="shared" si="98"/>
        <v>#N/A</v>
      </c>
      <c r="AG83" s="277" t="e">
        <f t="shared" si="99"/>
        <v>#N/A</v>
      </c>
      <c r="AH83" s="276" t="e">
        <f t="shared" si="67"/>
        <v>#N/A</v>
      </c>
      <c r="AI83" s="239">
        <f t="shared" si="100"/>
        <v>7</v>
      </c>
      <c r="AJ83" s="277" t="e">
        <f t="shared" si="68"/>
        <v>#N/A</v>
      </c>
      <c r="AK83" s="277" t="e">
        <f t="shared" si="101"/>
        <v>#N/A</v>
      </c>
      <c r="AL83" s="239" t="e">
        <f t="shared" si="69"/>
        <v>#N/A</v>
      </c>
      <c r="AM83" s="278" t="e">
        <f t="shared" si="102"/>
        <v>#N/A</v>
      </c>
      <c r="AN83" s="279" t="e">
        <f t="shared" si="70"/>
        <v>#N/A</v>
      </c>
      <c r="AO83" s="240" t="e">
        <f t="shared" si="71"/>
        <v>#N/A</v>
      </c>
      <c r="AP83" s="297">
        <f t="shared" si="103"/>
        <v>7</v>
      </c>
      <c r="AQ83" s="298" t="e">
        <f t="shared" si="72"/>
        <v>#N/A</v>
      </c>
      <c r="AR83" s="279" t="e">
        <f t="shared" si="104"/>
        <v>#N/A</v>
      </c>
      <c r="AS83" s="283" t="e">
        <f t="shared" si="73"/>
        <v>#N/A</v>
      </c>
      <c r="AT83" s="284">
        <f t="shared" si="105"/>
        <v>7</v>
      </c>
      <c r="AU83" s="285" t="e">
        <f t="shared" si="106"/>
        <v>#N/A</v>
      </c>
      <c r="AV83" s="286" t="e">
        <f t="shared" si="107"/>
        <v>#N/A</v>
      </c>
      <c r="AW83" s="287" t="e">
        <f t="shared" si="74"/>
        <v>#N/A</v>
      </c>
      <c r="AX83" s="245">
        <f t="shared" si="108"/>
        <v>7</v>
      </c>
      <c r="AY83" s="286" t="e">
        <f t="shared" si="75"/>
        <v>#N/A</v>
      </c>
      <c r="AZ83" s="245" t="e">
        <f t="shared" si="109"/>
        <v>#N/A</v>
      </c>
      <c r="BA83" s="245" t="e">
        <f t="shared" si="76"/>
        <v>#N/A</v>
      </c>
      <c r="BB83" s="288">
        <f t="shared" si="110"/>
        <v>7</v>
      </c>
      <c r="BC83" s="289" t="e">
        <f t="shared" si="111"/>
        <v>#N/A</v>
      </c>
      <c r="BD83" s="290" t="e">
        <f t="shared" si="112"/>
        <v>#N/A</v>
      </c>
      <c r="BE83" s="263" t="e">
        <f t="shared" si="77"/>
        <v>#N/A</v>
      </c>
      <c r="BF83" s="260">
        <f t="shared" si="113"/>
        <v>7</v>
      </c>
      <c r="BG83" s="289" t="e">
        <f t="shared" si="114"/>
        <v>#N/A</v>
      </c>
      <c r="BH83" s="290" t="e">
        <f t="shared" si="115"/>
        <v>#N/A</v>
      </c>
      <c r="BI83" s="263" t="e">
        <f t="shared" si="78"/>
        <v>#N/A</v>
      </c>
      <c r="BJ83" s="264">
        <f t="shared" si="116"/>
        <v>7</v>
      </c>
      <c r="BK83" s="291" t="e">
        <f t="shared" si="117"/>
        <v>#N/A</v>
      </c>
      <c r="BL83" s="291" t="e">
        <f t="shared" si="118"/>
        <v>#N/A</v>
      </c>
      <c r="BM83" s="292" t="e">
        <f t="shared" si="79"/>
        <v>#N/A</v>
      </c>
      <c r="BN83" s="293">
        <f t="shared" si="119"/>
        <v>7</v>
      </c>
      <c r="BO83" s="294" t="e">
        <f t="shared" si="120"/>
        <v>#N/A</v>
      </c>
      <c r="BP83" s="294" t="e">
        <f t="shared" si="121"/>
        <v>#N/A</v>
      </c>
      <c r="BQ83" s="292" t="e">
        <f t="shared" si="80"/>
        <v>#N/A</v>
      </c>
      <c r="BR83" s="295" t="e">
        <f t="shared" si="81"/>
        <v>#N/A</v>
      </c>
      <c r="BS83" s="230" t="e">
        <f>VLOOKUP($B83,SDR22_STOCK_BY_LA!$A$2:$C$11679,3,0)</f>
        <v>#N/A</v>
      </c>
      <c r="BT83" s="230" t="str">
        <f t="shared" si="122"/>
        <v/>
      </c>
    </row>
    <row r="84" spans="1:72" ht="12.5" x14ac:dyDescent="0.25">
      <c r="A84" s="230" t="str">
        <f t="shared" si="123"/>
        <v/>
      </c>
      <c r="B84" s="230" t="str">
        <f t="shared" si="124"/>
        <v/>
      </c>
      <c r="C84" s="296" t="str">
        <f t="shared" si="82"/>
        <v/>
      </c>
      <c r="D84" s="269" t="str">
        <f>IF(B84="","",IF(totals!$Q$3=0,IFERROR(IF(AD84=2,"0",AE84),""),"-"))</f>
        <v/>
      </c>
      <c r="E84" s="271" t="str">
        <f t="shared" si="83"/>
        <v/>
      </c>
      <c r="F84" s="272" t="str">
        <f t="shared" si="84"/>
        <v/>
      </c>
      <c r="G84" s="272" t="str">
        <f t="shared" si="85"/>
        <v/>
      </c>
      <c r="H84" s="269" t="str">
        <f t="shared" si="63"/>
        <v/>
      </c>
      <c r="I84" s="272" t="str">
        <f t="shared" si="86"/>
        <v/>
      </c>
      <c r="J84" s="272" t="str">
        <f t="shared" si="87"/>
        <v/>
      </c>
      <c r="K84" s="269" t="str">
        <f t="shared" si="64"/>
        <v/>
      </c>
      <c r="L84" s="272" t="str">
        <f t="shared" si="65"/>
        <v/>
      </c>
      <c r="M84" s="272" t="str">
        <f t="shared" si="88"/>
        <v/>
      </c>
      <c r="N84" s="269" t="str">
        <f t="shared" si="89"/>
        <v/>
      </c>
      <c r="O84" s="272" t="str">
        <f t="shared" si="90"/>
        <v/>
      </c>
      <c r="P84" s="272" t="str">
        <f t="shared" si="91"/>
        <v/>
      </c>
      <c r="Q84" s="269" t="str">
        <f t="shared" si="92"/>
        <v/>
      </c>
      <c r="R84" s="272" t="str">
        <f t="shared" si="93"/>
        <v/>
      </c>
      <c r="S84" s="272" t="str">
        <f t="shared" si="94"/>
        <v/>
      </c>
      <c r="T84" s="269" t="str">
        <f t="shared" si="95"/>
        <v/>
      </c>
      <c r="U84" s="230"/>
      <c r="V84" s="230"/>
      <c r="AB84" s="230" t="e">
        <f>VLOOKUP($B$6,Lookup_Source,77,0)</f>
        <v>#N/A</v>
      </c>
      <c r="AC84" s="254" t="str">
        <f t="shared" si="96"/>
        <v/>
      </c>
      <c r="AD84" s="255">
        <f t="shared" si="97"/>
        <v>7</v>
      </c>
      <c r="AE84" s="274" t="e">
        <f t="shared" si="66"/>
        <v>#N/A</v>
      </c>
      <c r="AF84" s="277" t="e">
        <f t="shared" si="98"/>
        <v>#N/A</v>
      </c>
      <c r="AG84" s="277" t="e">
        <f t="shared" si="99"/>
        <v>#N/A</v>
      </c>
      <c r="AH84" s="276" t="e">
        <f t="shared" si="67"/>
        <v>#N/A</v>
      </c>
      <c r="AI84" s="239">
        <f t="shared" si="100"/>
        <v>7</v>
      </c>
      <c r="AJ84" s="277" t="e">
        <f t="shared" si="68"/>
        <v>#N/A</v>
      </c>
      <c r="AK84" s="277" t="e">
        <f t="shared" si="101"/>
        <v>#N/A</v>
      </c>
      <c r="AL84" s="239" t="e">
        <f t="shared" si="69"/>
        <v>#N/A</v>
      </c>
      <c r="AM84" s="278" t="e">
        <f t="shared" si="102"/>
        <v>#N/A</v>
      </c>
      <c r="AN84" s="279" t="e">
        <f t="shared" si="70"/>
        <v>#N/A</v>
      </c>
      <c r="AO84" s="240" t="e">
        <f t="shared" si="71"/>
        <v>#N/A</v>
      </c>
      <c r="AP84" s="297">
        <f t="shared" si="103"/>
        <v>7</v>
      </c>
      <c r="AQ84" s="298" t="e">
        <f t="shared" si="72"/>
        <v>#N/A</v>
      </c>
      <c r="AR84" s="279" t="e">
        <f t="shared" si="104"/>
        <v>#N/A</v>
      </c>
      <c r="AS84" s="283" t="e">
        <f t="shared" si="73"/>
        <v>#N/A</v>
      </c>
      <c r="AT84" s="284">
        <f t="shared" si="105"/>
        <v>7</v>
      </c>
      <c r="AU84" s="285" t="e">
        <f t="shared" si="106"/>
        <v>#N/A</v>
      </c>
      <c r="AV84" s="286" t="e">
        <f t="shared" si="107"/>
        <v>#N/A</v>
      </c>
      <c r="AW84" s="287" t="e">
        <f t="shared" si="74"/>
        <v>#N/A</v>
      </c>
      <c r="AX84" s="245">
        <f t="shared" si="108"/>
        <v>7</v>
      </c>
      <c r="AY84" s="286" t="e">
        <f t="shared" si="75"/>
        <v>#N/A</v>
      </c>
      <c r="AZ84" s="245" t="e">
        <f t="shared" si="109"/>
        <v>#N/A</v>
      </c>
      <c r="BA84" s="245" t="e">
        <f t="shared" si="76"/>
        <v>#N/A</v>
      </c>
      <c r="BB84" s="288">
        <f t="shared" si="110"/>
        <v>7</v>
      </c>
      <c r="BC84" s="289" t="e">
        <f t="shared" si="111"/>
        <v>#N/A</v>
      </c>
      <c r="BD84" s="290" t="e">
        <f t="shared" si="112"/>
        <v>#N/A</v>
      </c>
      <c r="BE84" s="263" t="e">
        <f t="shared" si="77"/>
        <v>#N/A</v>
      </c>
      <c r="BF84" s="260">
        <f t="shared" si="113"/>
        <v>7</v>
      </c>
      <c r="BG84" s="289" t="e">
        <f t="shared" si="114"/>
        <v>#N/A</v>
      </c>
      <c r="BH84" s="290" t="e">
        <f t="shared" si="115"/>
        <v>#N/A</v>
      </c>
      <c r="BI84" s="263" t="e">
        <f t="shared" si="78"/>
        <v>#N/A</v>
      </c>
      <c r="BJ84" s="264">
        <f t="shared" si="116"/>
        <v>7</v>
      </c>
      <c r="BK84" s="291" t="e">
        <f t="shared" si="117"/>
        <v>#N/A</v>
      </c>
      <c r="BL84" s="291" t="e">
        <f t="shared" si="118"/>
        <v>#N/A</v>
      </c>
      <c r="BM84" s="292" t="e">
        <f t="shared" si="79"/>
        <v>#N/A</v>
      </c>
      <c r="BN84" s="293">
        <f t="shared" si="119"/>
        <v>7</v>
      </c>
      <c r="BO84" s="294" t="e">
        <f t="shared" si="120"/>
        <v>#N/A</v>
      </c>
      <c r="BP84" s="294" t="e">
        <f t="shared" si="121"/>
        <v>#N/A</v>
      </c>
      <c r="BQ84" s="292" t="e">
        <f t="shared" si="80"/>
        <v>#N/A</v>
      </c>
      <c r="BR84" s="295" t="e">
        <f t="shared" si="81"/>
        <v>#N/A</v>
      </c>
      <c r="BS84" s="230" t="e">
        <f>VLOOKUP($B84,SDR22_STOCK_BY_LA!$A$2:$C$11679,3,0)</f>
        <v>#N/A</v>
      </c>
      <c r="BT84" s="230" t="str">
        <f t="shared" si="122"/>
        <v/>
      </c>
    </row>
    <row r="85" spans="1:72" ht="12.5" x14ac:dyDescent="0.25">
      <c r="A85" s="269" t="str">
        <f t="shared" si="123"/>
        <v/>
      </c>
      <c r="B85" s="230" t="str">
        <f t="shared" si="124"/>
        <v/>
      </c>
      <c r="C85" s="270" t="str">
        <f t="shared" si="82"/>
        <v/>
      </c>
      <c r="D85" s="269" t="str">
        <f>IF(B85="","",IF(totals!$Q$3=0,IFERROR(IF(AD85=2,"0",AE85),""),"-"))</f>
        <v/>
      </c>
      <c r="E85" s="271" t="str">
        <f t="shared" si="83"/>
        <v/>
      </c>
      <c r="F85" s="272" t="str">
        <f t="shared" si="84"/>
        <v/>
      </c>
      <c r="G85" s="272" t="str">
        <f t="shared" si="85"/>
        <v/>
      </c>
      <c r="H85" s="269" t="str">
        <f t="shared" si="63"/>
        <v/>
      </c>
      <c r="I85" s="272" t="str">
        <f t="shared" si="86"/>
        <v/>
      </c>
      <c r="J85" s="272" t="str">
        <f t="shared" si="87"/>
        <v/>
      </c>
      <c r="K85" s="269" t="str">
        <f t="shared" si="64"/>
        <v/>
      </c>
      <c r="L85" s="272" t="str">
        <f t="shared" si="65"/>
        <v/>
      </c>
      <c r="M85" s="272" t="str">
        <f t="shared" si="88"/>
        <v/>
      </c>
      <c r="N85" s="269" t="str">
        <f t="shared" si="89"/>
        <v/>
      </c>
      <c r="O85" s="272" t="str">
        <f t="shared" si="90"/>
        <v/>
      </c>
      <c r="P85" s="272" t="str">
        <f t="shared" si="91"/>
        <v/>
      </c>
      <c r="Q85" s="269" t="str">
        <f t="shared" si="92"/>
        <v/>
      </c>
      <c r="R85" s="272" t="str">
        <f t="shared" si="93"/>
        <v/>
      </c>
      <c r="S85" s="272" t="str">
        <f t="shared" si="94"/>
        <v/>
      </c>
      <c r="T85" s="269" t="str">
        <f t="shared" si="95"/>
        <v/>
      </c>
      <c r="U85" s="230"/>
      <c r="V85" s="230"/>
      <c r="AB85" s="270" t="e">
        <f>VLOOKUP($B$6,Lookup_Source,78,0)</f>
        <v>#N/A</v>
      </c>
      <c r="AC85" s="254" t="str">
        <f t="shared" si="96"/>
        <v/>
      </c>
      <c r="AD85" s="255">
        <f t="shared" si="97"/>
        <v>7</v>
      </c>
      <c r="AE85" s="274" t="e">
        <f t="shared" si="66"/>
        <v>#N/A</v>
      </c>
      <c r="AF85" s="277" t="e">
        <f t="shared" si="98"/>
        <v>#N/A</v>
      </c>
      <c r="AG85" s="277" t="e">
        <f t="shared" si="99"/>
        <v>#N/A</v>
      </c>
      <c r="AH85" s="276" t="e">
        <f t="shared" si="67"/>
        <v>#N/A</v>
      </c>
      <c r="AI85" s="239">
        <f t="shared" si="100"/>
        <v>7</v>
      </c>
      <c r="AJ85" s="277" t="e">
        <f t="shared" si="68"/>
        <v>#N/A</v>
      </c>
      <c r="AK85" s="277" t="e">
        <f t="shared" si="101"/>
        <v>#N/A</v>
      </c>
      <c r="AL85" s="239" t="e">
        <f t="shared" si="69"/>
        <v>#N/A</v>
      </c>
      <c r="AM85" s="278" t="e">
        <f t="shared" si="102"/>
        <v>#N/A</v>
      </c>
      <c r="AN85" s="279" t="e">
        <f t="shared" si="70"/>
        <v>#N/A</v>
      </c>
      <c r="AO85" s="240" t="e">
        <f t="shared" si="71"/>
        <v>#N/A</v>
      </c>
      <c r="AP85" s="297">
        <f t="shared" si="103"/>
        <v>7</v>
      </c>
      <c r="AQ85" s="298" t="e">
        <f t="shared" si="72"/>
        <v>#N/A</v>
      </c>
      <c r="AR85" s="279" t="e">
        <f t="shared" si="104"/>
        <v>#N/A</v>
      </c>
      <c r="AS85" s="283" t="e">
        <f t="shared" si="73"/>
        <v>#N/A</v>
      </c>
      <c r="AT85" s="284">
        <f t="shared" si="105"/>
        <v>7</v>
      </c>
      <c r="AU85" s="285" t="e">
        <f t="shared" si="106"/>
        <v>#N/A</v>
      </c>
      <c r="AV85" s="286" t="e">
        <f t="shared" si="107"/>
        <v>#N/A</v>
      </c>
      <c r="AW85" s="287" t="e">
        <f t="shared" si="74"/>
        <v>#N/A</v>
      </c>
      <c r="AX85" s="245">
        <f t="shared" si="108"/>
        <v>7</v>
      </c>
      <c r="AY85" s="286" t="e">
        <f t="shared" si="75"/>
        <v>#N/A</v>
      </c>
      <c r="AZ85" s="245" t="e">
        <f t="shared" si="109"/>
        <v>#N/A</v>
      </c>
      <c r="BA85" s="245" t="e">
        <f t="shared" si="76"/>
        <v>#N/A</v>
      </c>
      <c r="BB85" s="288">
        <f t="shared" si="110"/>
        <v>7</v>
      </c>
      <c r="BC85" s="289" t="e">
        <f t="shared" si="111"/>
        <v>#N/A</v>
      </c>
      <c r="BD85" s="290" t="e">
        <f t="shared" si="112"/>
        <v>#N/A</v>
      </c>
      <c r="BE85" s="263" t="e">
        <f t="shared" si="77"/>
        <v>#N/A</v>
      </c>
      <c r="BF85" s="260">
        <f t="shared" si="113"/>
        <v>7</v>
      </c>
      <c r="BG85" s="289" t="e">
        <f t="shared" si="114"/>
        <v>#N/A</v>
      </c>
      <c r="BH85" s="290" t="e">
        <f t="shared" si="115"/>
        <v>#N/A</v>
      </c>
      <c r="BI85" s="263" t="e">
        <f t="shared" si="78"/>
        <v>#N/A</v>
      </c>
      <c r="BJ85" s="264">
        <f t="shared" si="116"/>
        <v>7</v>
      </c>
      <c r="BK85" s="291" t="e">
        <f t="shared" si="117"/>
        <v>#N/A</v>
      </c>
      <c r="BL85" s="291" t="e">
        <f t="shared" si="118"/>
        <v>#N/A</v>
      </c>
      <c r="BM85" s="292" t="e">
        <f t="shared" si="79"/>
        <v>#N/A</v>
      </c>
      <c r="BN85" s="293">
        <f t="shared" si="119"/>
        <v>7</v>
      </c>
      <c r="BO85" s="294" t="e">
        <f t="shared" si="120"/>
        <v>#N/A</v>
      </c>
      <c r="BP85" s="294" t="e">
        <f t="shared" si="121"/>
        <v>#N/A</v>
      </c>
      <c r="BQ85" s="292" t="e">
        <f t="shared" si="80"/>
        <v>#N/A</v>
      </c>
      <c r="BR85" s="295" t="e">
        <f t="shared" si="81"/>
        <v>#N/A</v>
      </c>
      <c r="BS85" s="230" t="e">
        <f>VLOOKUP($B85,SDR22_STOCK_BY_LA!$A$2:$C$11679,3,0)</f>
        <v>#N/A</v>
      </c>
      <c r="BT85" s="230" t="str">
        <f t="shared" si="122"/>
        <v/>
      </c>
    </row>
    <row r="86" spans="1:72" ht="12.5" x14ac:dyDescent="0.25">
      <c r="A86" s="230" t="str">
        <f t="shared" si="123"/>
        <v/>
      </c>
      <c r="B86" s="230" t="str">
        <f t="shared" si="124"/>
        <v/>
      </c>
      <c r="C86" s="296" t="str">
        <f t="shared" si="82"/>
        <v/>
      </c>
      <c r="D86" s="269" t="str">
        <f>IF(B86="","",IF(totals!$Q$3=0,IFERROR(IF(AD86=2,"0",AE86),""),"-"))</f>
        <v/>
      </c>
      <c r="E86" s="271" t="str">
        <f t="shared" si="83"/>
        <v/>
      </c>
      <c r="F86" s="272" t="str">
        <f t="shared" si="84"/>
        <v/>
      </c>
      <c r="G86" s="272" t="str">
        <f t="shared" si="85"/>
        <v/>
      </c>
      <c r="H86" s="269" t="str">
        <f t="shared" si="63"/>
        <v/>
      </c>
      <c r="I86" s="272" t="str">
        <f t="shared" si="86"/>
        <v/>
      </c>
      <c r="J86" s="272" t="str">
        <f t="shared" si="87"/>
        <v/>
      </c>
      <c r="K86" s="269" t="str">
        <f t="shared" si="64"/>
        <v/>
      </c>
      <c r="L86" s="272" t="str">
        <f t="shared" si="65"/>
        <v/>
      </c>
      <c r="M86" s="272" t="str">
        <f t="shared" si="88"/>
        <v/>
      </c>
      <c r="N86" s="269" t="str">
        <f t="shared" si="89"/>
        <v/>
      </c>
      <c r="O86" s="272" t="str">
        <f t="shared" si="90"/>
        <v/>
      </c>
      <c r="P86" s="272" t="str">
        <f t="shared" si="91"/>
        <v/>
      </c>
      <c r="Q86" s="269" t="str">
        <f t="shared" si="92"/>
        <v/>
      </c>
      <c r="R86" s="272" t="str">
        <f t="shared" si="93"/>
        <v/>
      </c>
      <c r="S86" s="272" t="str">
        <f t="shared" si="94"/>
        <v/>
      </c>
      <c r="T86" s="269" t="str">
        <f t="shared" si="95"/>
        <v/>
      </c>
      <c r="U86" s="230"/>
      <c r="V86" s="230"/>
      <c r="AB86" s="230" t="e">
        <f>VLOOKUP($B$6,Lookup_Source,79,0)</f>
        <v>#N/A</v>
      </c>
      <c r="AC86" s="254" t="str">
        <f t="shared" si="96"/>
        <v/>
      </c>
      <c r="AD86" s="255">
        <f t="shared" si="97"/>
        <v>7</v>
      </c>
      <c r="AE86" s="274" t="e">
        <f t="shared" si="66"/>
        <v>#N/A</v>
      </c>
      <c r="AF86" s="277" t="e">
        <f t="shared" si="98"/>
        <v>#N/A</v>
      </c>
      <c r="AG86" s="277" t="e">
        <f t="shared" si="99"/>
        <v>#N/A</v>
      </c>
      <c r="AH86" s="276" t="e">
        <f t="shared" si="67"/>
        <v>#N/A</v>
      </c>
      <c r="AI86" s="239">
        <f t="shared" si="100"/>
        <v>7</v>
      </c>
      <c r="AJ86" s="277" t="e">
        <f t="shared" si="68"/>
        <v>#N/A</v>
      </c>
      <c r="AK86" s="277" t="e">
        <f t="shared" si="101"/>
        <v>#N/A</v>
      </c>
      <c r="AL86" s="239" t="e">
        <f t="shared" si="69"/>
        <v>#N/A</v>
      </c>
      <c r="AM86" s="278" t="e">
        <f t="shared" si="102"/>
        <v>#N/A</v>
      </c>
      <c r="AN86" s="279" t="e">
        <f t="shared" si="70"/>
        <v>#N/A</v>
      </c>
      <c r="AO86" s="240" t="e">
        <f t="shared" si="71"/>
        <v>#N/A</v>
      </c>
      <c r="AP86" s="297">
        <f t="shared" si="103"/>
        <v>7</v>
      </c>
      <c r="AQ86" s="298" t="e">
        <f t="shared" si="72"/>
        <v>#N/A</v>
      </c>
      <c r="AR86" s="279" t="e">
        <f t="shared" si="104"/>
        <v>#N/A</v>
      </c>
      <c r="AS86" s="283" t="e">
        <f t="shared" si="73"/>
        <v>#N/A</v>
      </c>
      <c r="AT86" s="284">
        <f t="shared" si="105"/>
        <v>7</v>
      </c>
      <c r="AU86" s="285" t="e">
        <f t="shared" si="106"/>
        <v>#N/A</v>
      </c>
      <c r="AV86" s="286" t="e">
        <f t="shared" si="107"/>
        <v>#N/A</v>
      </c>
      <c r="AW86" s="287" t="e">
        <f t="shared" si="74"/>
        <v>#N/A</v>
      </c>
      <c r="AX86" s="245">
        <f t="shared" si="108"/>
        <v>7</v>
      </c>
      <c r="AY86" s="286" t="e">
        <f t="shared" si="75"/>
        <v>#N/A</v>
      </c>
      <c r="AZ86" s="245" t="e">
        <f t="shared" si="109"/>
        <v>#N/A</v>
      </c>
      <c r="BA86" s="245" t="e">
        <f t="shared" si="76"/>
        <v>#N/A</v>
      </c>
      <c r="BB86" s="288">
        <f t="shared" si="110"/>
        <v>7</v>
      </c>
      <c r="BC86" s="289" t="e">
        <f t="shared" si="111"/>
        <v>#N/A</v>
      </c>
      <c r="BD86" s="290" t="e">
        <f t="shared" si="112"/>
        <v>#N/A</v>
      </c>
      <c r="BE86" s="263" t="e">
        <f t="shared" si="77"/>
        <v>#N/A</v>
      </c>
      <c r="BF86" s="260">
        <f t="shared" si="113"/>
        <v>7</v>
      </c>
      <c r="BG86" s="289" t="e">
        <f t="shared" si="114"/>
        <v>#N/A</v>
      </c>
      <c r="BH86" s="290" t="e">
        <f t="shared" si="115"/>
        <v>#N/A</v>
      </c>
      <c r="BI86" s="263" t="e">
        <f t="shared" si="78"/>
        <v>#N/A</v>
      </c>
      <c r="BJ86" s="264">
        <f t="shared" si="116"/>
        <v>7</v>
      </c>
      <c r="BK86" s="291" t="e">
        <f t="shared" si="117"/>
        <v>#N/A</v>
      </c>
      <c r="BL86" s="291" t="e">
        <f t="shared" si="118"/>
        <v>#N/A</v>
      </c>
      <c r="BM86" s="292" t="e">
        <f t="shared" si="79"/>
        <v>#N/A</v>
      </c>
      <c r="BN86" s="293">
        <f t="shared" si="119"/>
        <v>7</v>
      </c>
      <c r="BO86" s="294" t="e">
        <f t="shared" si="120"/>
        <v>#N/A</v>
      </c>
      <c r="BP86" s="294" t="e">
        <f t="shared" si="121"/>
        <v>#N/A</v>
      </c>
      <c r="BQ86" s="292" t="e">
        <f t="shared" si="80"/>
        <v>#N/A</v>
      </c>
      <c r="BR86" s="295" t="e">
        <f t="shared" si="81"/>
        <v>#N/A</v>
      </c>
      <c r="BS86" s="230" t="e">
        <f>VLOOKUP($B86,SDR22_STOCK_BY_LA!$A$2:$C$11679,3,0)</f>
        <v>#N/A</v>
      </c>
      <c r="BT86" s="230" t="str">
        <f t="shared" si="122"/>
        <v/>
      </c>
    </row>
    <row r="87" spans="1:72" ht="12.5" x14ac:dyDescent="0.25">
      <c r="A87" s="269" t="str">
        <f t="shared" si="123"/>
        <v/>
      </c>
      <c r="B87" s="230" t="str">
        <f t="shared" si="124"/>
        <v/>
      </c>
      <c r="C87" s="270" t="str">
        <f t="shared" si="82"/>
        <v/>
      </c>
      <c r="D87" s="269" t="str">
        <f>IF(B87="","",IF(totals!$Q$3=0,IFERROR(IF(AD87=2,"0",AE87),""),"-"))</f>
        <v/>
      </c>
      <c r="E87" s="271" t="str">
        <f t="shared" si="83"/>
        <v/>
      </c>
      <c r="F87" s="272" t="str">
        <f t="shared" si="84"/>
        <v/>
      </c>
      <c r="G87" s="272" t="str">
        <f t="shared" si="85"/>
        <v/>
      </c>
      <c r="H87" s="269" t="str">
        <f t="shared" si="63"/>
        <v/>
      </c>
      <c r="I87" s="272" t="str">
        <f t="shared" si="86"/>
        <v/>
      </c>
      <c r="J87" s="272" t="str">
        <f t="shared" si="87"/>
        <v/>
      </c>
      <c r="K87" s="269" t="str">
        <f t="shared" si="64"/>
        <v/>
      </c>
      <c r="L87" s="272" t="str">
        <f t="shared" si="65"/>
        <v/>
      </c>
      <c r="M87" s="272" t="str">
        <f t="shared" si="88"/>
        <v/>
      </c>
      <c r="N87" s="269" t="str">
        <f t="shared" si="89"/>
        <v/>
      </c>
      <c r="O87" s="272" t="str">
        <f t="shared" si="90"/>
        <v/>
      </c>
      <c r="P87" s="272" t="str">
        <f t="shared" si="91"/>
        <v/>
      </c>
      <c r="Q87" s="269" t="str">
        <f t="shared" si="92"/>
        <v/>
      </c>
      <c r="R87" s="272" t="str">
        <f t="shared" si="93"/>
        <v/>
      </c>
      <c r="S87" s="272" t="str">
        <f t="shared" si="94"/>
        <v/>
      </c>
      <c r="T87" s="269" t="str">
        <f t="shared" si="95"/>
        <v/>
      </c>
      <c r="U87" s="230"/>
      <c r="V87" s="230"/>
      <c r="AB87" s="270" t="e">
        <f>VLOOKUP($B$6,Lookup_Source,80,0)</f>
        <v>#N/A</v>
      </c>
      <c r="AC87" s="254" t="str">
        <f t="shared" si="96"/>
        <v/>
      </c>
      <c r="AD87" s="255">
        <f t="shared" si="97"/>
        <v>7</v>
      </c>
      <c r="AE87" s="274" t="e">
        <f t="shared" si="66"/>
        <v>#N/A</v>
      </c>
      <c r="AF87" s="277" t="e">
        <f t="shared" si="98"/>
        <v>#N/A</v>
      </c>
      <c r="AG87" s="277" t="e">
        <f t="shared" si="99"/>
        <v>#N/A</v>
      </c>
      <c r="AH87" s="276" t="e">
        <f t="shared" si="67"/>
        <v>#N/A</v>
      </c>
      <c r="AI87" s="239">
        <f t="shared" si="100"/>
        <v>7</v>
      </c>
      <c r="AJ87" s="277" t="e">
        <f t="shared" si="68"/>
        <v>#N/A</v>
      </c>
      <c r="AK87" s="277" t="e">
        <f t="shared" si="101"/>
        <v>#N/A</v>
      </c>
      <c r="AL87" s="239" t="e">
        <f t="shared" si="69"/>
        <v>#N/A</v>
      </c>
      <c r="AM87" s="278" t="e">
        <f t="shared" si="102"/>
        <v>#N/A</v>
      </c>
      <c r="AN87" s="279" t="e">
        <f t="shared" si="70"/>
        <v>#N/A</v>
      </c>
      <c r="AO87" s="240" t="e">
        <f t="shared" si="71"/>
        <v>#N/A</v>
      </c>
      <c r="AP87" s="297">
        <f t="shared" si="103"/>
        <v>7</v>
      </c>
      <c r="AQ87" s="298" t="e">
        <f t="shared" si="72"/>
        <v>#N/A</v>
      </c>
      <c r="AR87" s="279" t="e">
        <f t="shared" si="104"/>
        <v>#N/A</v>
      </c>
      <c r="AS87" s="283" t="e">
        <f t="shared" si="73"/>
        <v>#N/A</v>
      </c>
      <c r="AT87" s="284">
        <f t="shared" si="105"/>
        <v>7</v>
      </c>
      <c r="AU87" s="285" t="e">
        <f t="shared" si="106"/>
        <v>#N/A</v>
      </c>
      <c r="AV87" s="286" t="e">
        <f t="shared" si="107"/>
        <v>#N/A</v>
      </c>
      <c r="AW87" s="287" t="e">
        <f t="shared" si="74"/>
        <v>#N/A</v>
      </c>
      <c r="AX87" s="245">
        <f t="shared" si="108"/>
        <v>7</v>
      </c>
      <c r="AY87" s="286" t="e">
        <f t="shared" si="75"/>
        <v>#N/A</v>
      </c>
      <c r="AZ87" s="245" t="e">
        <f t="shared" si="109"/>
        <v>#N/A</v>
      </c>
      <c r="BA87" s="245" t="e">
        <f t="shared" si="76"/>
        <v>#N/A</v>
      </c>
      <c r="BB87" s="288">
        <f t="shared" si="110"/>
        <v>7</v>
      </c>
      <c r="BC87" s="289" t="e">
        <f t="shared" si="111"/>
        <v>#N/A</v>
      </c>
      <c r="BD87" s="290" t="e">
        <f t="shared" si="112"/>
        <v>#N/A</v>
      </c>
      <c r="BE87" s="263" t="e">
        <f t="shared" si="77"/>
        <v>#N/A</v>
      </c>
      <c r="BF87" s="260">
        <f t="shared" si="113"/>
        <v>7</v>
      </c>
      <c r="BG87" s="289" t="e">
        <f t="shared" si="114"/>
        <v>#N/A</v>
      </c>
      <c r="BH87" s="290" t="e">
        <f t="shared" si="115"/>
        <v>#N/A</v>
      </c>
      <c r="BI87" s="263" t="e">
        <f t="shared" si="78"/>
        <v>#N/A</v>
      </c>
      <c r="BJ87" s="264">
        <f t="shared" si="116"/>
        <v>7</v>
      </c>
      <c r="BK87" s="291" t="e">
        <f t="shared" si="117"/>
        <v>#N/A</v>
      </c>
      <c r="BL87" s="291" t="e">
        <f t="shared" si="118"/>
        <v>#N/A</v>
      </c>
      <c r="BM87" s="292" t="e">
        <f t="shared" si="79"/>
        <v>#N/A</v>
      </c>
      <c r="BN87" s="293">
        <f t="shared" si="119"/>
        <v>7</v>
      </c>
      <c r="BO87" s="294" t="e">
        <f t="shared" si="120"/>
        <v>#N/A</v>
      </c>
      <c r="BP87" s="294" t="e">
        <f t="shared" si="121"/>
        <v>#N/A</v>
      </c>
      <c r="BQ87" s="292" t="e">
        <f t="shared" si="80"/>
        <v>#N/A</v>
      </c>
      <c r="BR87" s="295" t="e">
        <f t="shared" si="81"/>
        <v>#N/A</v>
      </c>
      <c r="BS87" s="230" t="e">
        <f>VLOOKUP($B87,SDR22_STOCK_BY_LA!$A$2:$C$11679,3,0)</f>
        <v>#N/A</v>
      </c>
      <c r="BT87" s="230" t="str">
        <f t="shared" si="122"/>
        <v/>
      </c>
    </row>
    <row r="88" spans="1:72" ht="12.5" x14ac:dyDescent="0.25">
      <c r="A88" s="230" t="str">
        <f t="shared" si="123"/>
        <v/>
      </c>
      <c r="B88" s="230" t="str">
        <f t="shared" si="124"/>
        <v/>
      </c>
      <c r="C88" s="296" t="str">
        <f t="shared" si="82"/>
        <v/>
      </c>
      <c r="D88" s="269" t="str">
        <f>IF(B88="","",IF(totals!$Q$3=0,IFERROR(IF(AD88=2,"0",AE88),""),"-"))</f>
        <v/>
      </c>
      <c r="E88" s="271" t="str">
        <f t="shared" si="83"/>
        <v/>
      </c>
      <c r="F88" s="272" t="str">
        <f t="shared" si="84"/>
        <v/>
      </c>
      <c r="G88" s="272" t="str">
        <f t="shared" si="85"/>
        <v/>
      </c>
      <c r="H88" s="269" t="str">
        <f t="shared" si="63"/>
        <v/>
      </c>
      <c r="I88" s="272" t="str">
        <f t="shared" si="86"/>
        <v/>
      </c>
      <c r="J88" s="272" t="str">
        <f t="shared" si="87"/>
        <v/>
      </c>
      <c r="K88" s="269" t="str">
        <f t="shared" si="64"/>
        <v/>
      </c>
      <c r="L88" s="272" t="str">
        <f t="shared" si="65"/>
        <v/>
      </c>
      <c r="M88" s="272" t="str">
        <f t="shared" si="88"/>
        <v/>
      </c>
      <c r="N88" s="269" t="str">
        <f t="shared" si="89"/>
        <v/>
      </c>
      <c r="O88" s="272" t="str">
        <f t="shared" si="90"/>
        <v/>
      </c>
      <c r="P88" s="272" t="str">
        <f t="shared" si="91"/>
        <v/>
      </c>
      <c r="Q88" s="269" t="str">
        <f t="shared" si="92"/>
        <v/>
      </c>
      <c r="R88" s="272" t="str">
        <f t="shared" si="93"/>
        <v/>
      </c>
      <c r="S88" s="272" t="str">
        <f t="shared" si="94"/>
        <v/>
      </c>
      <c r="T88" s="269" t="str">
        <f t="shared" si="95"/>
        <v/>
      </c>
      <c r="U88" s="230"/>
      <c r="V88" s="230"/>
      <c r="AB88" s="230" t="e">
        <f>VLOOKUP($B$6,Lookup_Source,81,0)</f>
        <v>#N/A</v>
      </c>
      <c r="AC88" s="254" t="str">
        <f t="shared" si="96"/>
        <v/>
      </c>
      <c r="AD88" s="255">
        <f t="shared" si="97"/>
        <v>7</v>
      </c>
      <c r="AE88" s="274" t="e">
        <f t="shared" si="66"/>
        <v>#N/A</v>
      </c>
      <c r="AF88" s="277" t="e">
        <f t="shared" si="98"/>
        <v>#N/A</v>
      </c>
      <c r="AG88" s="277" t="e">
        <f t="shared" si="99"/>
        <v>#N/A</v>
      </c>
      <c r="AH88" s="276" t="e">
        <f t="shared" si="67"/>
        <v>#N/A</v>
      </c>
      <c r="AI88" s="239">
        <f t="shared" si="100"/>
        <v>7</v>
      </c>
      <c r="AJ88" s="277" t="e">
        <f t="shared" si="68"/>
        <v>#N/A</v>
      </c>
      <c r="AK88" s="277" t="e">
        <f t="shared" si="101"/>
        <v>#N/A</v>
      </c>
      <c r="AL88" s="239" t="e">
        <f t="shared" si="69"/>
        <v>#N/A</v>
      </c>
      <c r="AM88" s="278" t="e">
        <f t="shared" si="102"/>
        <v>#N/A</v>
      </c>
      <c r="AN88" s="279" t="e">
        <f t="shared" si="70"/>
        <v>#N/A</v>
      </c>
      <c r="AO88" s="240" t="e">
        <f t="shared" si="71"/>
        <v>#N/A</v>
      </c>
      <c r="AP88" s="297">
        <f t="shared" si="103"/>
        <v>7</v>
      </c>
      <c r="AQ88" s="298" t="e">
        <f t="shared" si="72"/>
        <v>#N/A</v>
      </c>
      <c r="AR88" s="279" t="e">
        <f t="shared" si="104"/>
        <v>#N/A</v>
      </c>
      <c r="AS88" s="283" t="e">
        <f t="shared" si="73"/>
        <v>#N/A</v>
      </c>
      <c r="AT88" s="284">
        <f t="shared" si="105"/>
        <v>7</v>
      </c>
      <c r="AU88" s="285" t="e">
        <f t="shared" si="106"/>
        <v>#N/A</v>
      </c>
      <c r="AV88" s="286" t="e">
        <f t="shared" si="107"/>
        <v>#N/A</v>
      </c>
      <c r="AW88" s="287" t="e">
        <f t="shared" si="74"/>
        <v>#N/A</v>
      </c>
      <c r="AX88" s="245">
        <f t="shared" si="108"/>
        <v>7</v>
      </c>
      <c r="AY88" s="286" t="e">
        <f t="shared" si="75"/>
        <v>#N/A</v>
      </c>
      <c r="AZ88" s="245" t="e">
        <f t="shared" si="109"/>
        <v>#N/A</v>
      </c>
      <c r="BA88" s="245" t="e">
        <f t="shared" si="76"/>
        <v>#N/A</v>
      </c>
      <c r="BB88" s="288">
        <f t="shared" si="110"/>
        <v>7</v>
      </c>
      <c r="BC88" s="289" t="e">
        <f t="shared" si="111"/>
        <v>#N/A</v>
      </c>
      <c r="BD88" s="290" t="e">
        <f t="shared" si="112"/>
        <v>#N/A</v>
      </c>
      <c r="BE88" s="263" t="e">
        <f t="shared" si="77"/>
        <v>#N/A</v>
      </c>
      <c r="BF88" s="260">
        <f t="shared" si="113"/>
        <v>7</v>
      </c>
      <c r="BG88" s="289" t="e">
        <f t="shared" si="114"/>
        <v>#N/A</v>
      </c>
      <c r="BH88" s="290" t="e">
        <f t="shared" si="115"/>
        <v>#N/A</v>
      </c>
      <c r="BI88" s="263" t="e">
        <f t="shared" si="78"/>
        <v>#N/A</v>
      </c>
      <c r="BJ88" s="264">
        <f t="shared" si="116"/>
        <v>7</v>
      </c>
      <c r="BK88" s="291" t="e">
        <f t="shared" si="117"/>
        <v>#N/A</v>
      </c>
      <c r="BL88" s="291" t="e">
        <f t="shared" si="118"/>
        <v>#N/A</v>
      </c>
      <c r="BM88" s="292" t="e">
        <f t="shared" si="79"/>
        <v>#N/A</v>
      </c>
      <c r="BN88" s="293">
        <f t="shared" si="119"/>
        <v>7</v>
      </c>
      <c r="BO88" s="294" t="e">
        <f t="shared" si="120"/>
        <v>#N/A</v>
      </c>
      <c r="BP88" s="294" t="e">
        <f t="shared" si="121"/>
        <v>#N/A</v>
      </c>
      <c r="BQ88" s="292" t="e">
        <f t="shared" si="80"/>
        <v>#N/A</v>
      </c>
      <c r="BR88" s="295" t="e">
        <f t="shared" si="81"/>
        <v>#N/A</v>
      </c>
      <c r="BS88" s="230" t="e">
        <f>VLOOKUP($B88,SDR22_STOCK_BY_LA!$A$2:$C$11679,3,0)</f>
        <v>#N/A</v>
      </c>
      <c r="BT88" s="230" t="str">
        <f t="shared" si="122"/>
        <v/>
      </c>
    </row>
    <row r="89" spans="1:72" ht="12.5" x14ac:dyDescent="0.25">
      <c r="A89" s="269" t="str">
        <f t="shared" si="123"/>
        <v/>
      </c>
      <c r="B89" s="230" t="str">
        <f t="shared" si="124"/>
        <v/>
      </c>
      <c r="C89" s="270" t="str">
        <f t="shared" si="82"/>
        <v/>
      </c>
      <c r="D89" s="269" t="str">
        <f>IF(B89="","",IF(totals!$Q$3=0,IFERROR(IF(AD89=2,"0",AE89),""),"-"))</f>
        <v/>
      </c>
      <c r="E89" s="271" t="str">
        <f t="shared" si="83"/>
        <v/>
      </c>
      <c r="F89" s="272" t="str">
        <f t="shared" si="84"/>
        <v/>
      </c>
      <c r="G89" s="272" t="str">
        <f t="shared" si="85"/>
        <v/>
      </c>
      <c r="H89" s="269" t="str">
        <f t="shared" si="63"/>
        <v/>
      </c>
      <c r="I89" s="272" t="str">
        <f t="shared" si="86"/>
        <v/>
      </c>
      <c r="J89" s="272" t="str">
        <f t="shared" si="87"/>
        <v/>
      </c>
      <c r="K89" s="269" t="str">
        <f t="shared" si="64"/>
        <v/>
      </c>
      <c r="L89" s="272" t="str">
        <f t="shared" si="65"/>
        <v/>
      </c>
      <c r="M89" s="272" t="str">
        <f t="shared" si="88"/>
        <v/>
      </c>
      <c r="N89" s="269" t="str">
        <f t="shared" si="89"/>
        <v/>
      </c>
      <c r="O89" s="272" t="str">
        <f t="shared" si="90"/>
        <v/>
      </c>
      <c r="P89" s="272" t="str">
        <f t="shared" si="91"/>
        <v/>
      </c>
      <c r="Q89" s="269" t="str">
        <f t="shared" si="92"/>
        <v/>
      </c>
      <c r="R89" s="272" t="str">
        <f t="shared" si="93"/>
        <v/>
      </c>
      <c r="S89" s="272" t="str">
        <f t="shared" si="94"/>
        <v/>
      </c>
      <c r="T89" s="269" t="str">
        <f t="shared" si="95"/>
        <v/>
      </c>
      <c r="U89" s="230"/>
      <c r="V89" s="230"/>
      <c r="AB89" s="270" t="e">
        <f>VLOOKUP($B$6,Lookup_Source,82,0)</f>
        <v>#N/A</v>
      </c>
      <c r="AC89" s="254" t="str">
        <f t="shared" si="96"/>
        <v/>
      </c>
      <c r="AD89" s="255">
        <f t="shared" si="97"/>
        <v>7</v>
      </c>
      <c r="AE89" s="274" t="e">
        <f t="shared" si="66"/>
        <v>#N/A</v>
      </c>
      <c r="AF89" s="277" t="e">
        <f t="shared" si="98"/>
        <v>#N/A</v>
      </c>
      <c r="AG89" s="277" t="e">
        <f t="shared" si="99"/>
        <v>#N/A</v>
      </c>
      <c r="AH89" s="276" t="e">
        <f t="shared" si="67"/>
        <v>#N/A</v>
      </c>
      <c r="AI89" s="239">
        <f t="shared" si="100"/>
        <v>7</v>
      </c>
      <c r="AJ89" s="277" t="e">
        <f t="shared" si="68"/>
        <v>#N/A</v>
      </c>
      <c r="AK89" s="277" t="e">
        <f t="shared" si="101"/>
        <v>#N/A</v>
      </c>
      <c r="AL89" s="239" t="e">
        <f t="shared" si="69"/>
        <v>#N/A</v>
      </c>
      <c r="AM89" s="278" t="e">
        <f t="shared" si="102"/>
        <v>#N/A</v>
      </c>
      <c r="AN89" s="279" t="e">
        <f t="shared" si="70"/>
        <v>#N/A</v>
      </c>
      <c r="AO89" s="240" t="e">
        <f t="shared" si="71"/>
        <v>#N/A</v>
      </c>
      <c r="AP89" s="297">
        <f t="shared" si="103"/>
        <v>7</v>
      </c>
      <c r="AQ89" s="298" t="e">
        <f t="shared" si="72"/>
        <v>#N/A</v>
      </c>
      <c r="AR89" s="279" t="e">
        <f t="shared" si="104"/>
        <v>#N/A</v>
      </c>
      <c r="AS89" s="283" t="e">
        <f t="shared" si="73"/>
        <v>#N/A</v>
      </c>
      <c r="AT89" s="284">
        <f t="shared" si="105"/>
        <v>7</v>
      </c>
      <c r="AU89" s="285" t="e">
        <f t="shared" si="106"/>
        <v>#N/A</v>
      </c>
      <c r="AV89" s="286" t="e">
        <f t="shared" si="107"/>
        <v>#N/A</v>
      </c>
      <c r="AW89" s="287" t="e">
        <f t="shared" si="74"/>
        <v>#N/A</v>
      </c>
      <c r="AX89" s="245">
        <f t="shared" si="108"/>
        <v>7</v>
      </c>
      <c r="AY89" s="286" t="e">
        <f t="shared" si="75"/>
        <v>#N/A</v>
      </c>
      <c r="AZ89" s="245" t="e">
        <f t="shared" si="109"/>
        <v>#N/A</v>
      </c>
      <c r="BA89" s="245" t="e">
        <f t="shared" si="76"/>
        <v>#N/A</v>
      </c>
      <c r="BB89" s="288">
        <f t="shared" si="110"/>
        <v>7</v>
      </c>
      <c r="BC89" s="289" t="e">
        <f t="shared" si="111"/>
        <v>#N/A</v>
      </c>
      <c r="BD89" s="290" t="e">
        <f t="shared" si="112"/>
        <v>#N/A</v>
      </c>
      <c r="BE89" s="263" t="e">
        <f t="shared" si="77"/>
        <v>#N/A</v>
      </c>
      <c r="BF89" s="260">
        <f t="shared" si="113"/>
        <v>7</v>
      </c>
      <c r="BG89" s="289" t="e">
        <f t="shared" si="114"/>
        <v>#N/A</v>
      </c>
      <c r="BH89" s="290" t="e">
        <f t="shared" si="115"/>
        <v>#N/A</v>
      </c>
      <c r="BI89" s="263" t="e">
        <f t="shared" si="78"/>
        <v>#N/A</v>
      </c>
      <c r="BJ89" s="264">
        <f t="shared" si="116"/>
        <v>7</v>
      </c>
      <c r="BK89" s="291" t="e">
        <f t="shared" si="117"/>
        <v>#N/A</v>
      </c>
      <c r="BL89" s="291" t="e">
        <f t="shared" si="118"/>
        <v>#N/A</v>
      </c>
      <c r="BM89" s="292" t="e">
        <f t="shared" si="79"/>
        <v>#N/A</v>
      </c>
      <c r="BN89" s="293">
        <f t="shared" si="119"/>
        <v>7</v>
      </c>
      <c r="BO89" s="294" t="e">
        <f t="shared" si="120"/>
        <v>#N/A</v>
      </c>
      <c r="BP89" s="294" t="e">
        <f t="shared" si="121"/>
        <v>#N/A</v>
      </c>
      <c r="BQ89" s="292" t="e">
        <f t="shared" si="80"/>
        <v>#N/A</v>
      </c>
      <c r="BR89" s="295" t="e">
        <f t="shared" si="81"/>
        <v>#N/A</v>
      </c>
      <c r="BS89" s="230" t="e">
        <f>VLOOKUP($B89,SDR22_STOCK_BY_LA!$A$2:$C$11679,3,0)</f>
        <v>#N/A</v>
      </c>
      <c r="BT89" s="230" t="str">
        <f t="shared" si="122"/>
        <v/>
      </c>
    </row>
    <row r="90" spans="1:72" ht="12.5" x14ac:dyDescent="0.25">
      <c r="A90" s="230" t="str">
        <f t="shared" si="123"/>
        <v/>
      </c>
      <c r="B90" s="230" t="str">
        <f t="shared" si="124"/>
        <v/>
      </c>
      <c r="C90" s="296" t="str">
        <f t="shared" si="82"/>
        <v/>
      </c>
      <c r="D90" s="269" t="str">
        <f>IF(B90="","",IF(totals!$Q$3=0,IFERROR(IF(AD90=2,"0",AE90),""),"-"))</f>
        <v/>
      </c>
      <c r="E90" s="271" t="str">
        <f t="shared" si="83"/>
        <v/>
      </c>
      <c r="F90" s="272" t="str">
        <f t="shared" si="84"/>
        <v/>
      </c>
      <c r="G90" s="272" t="str">
        <f t="shared" si="85"/>
        <v/>
      </c>
      <c r="H90" s="269" t="str">
        <f t="shared" si="63"/>
        <v/>
      </c>
      <c r="I90" s="272" t="str">
        <f t="shared" si="86"/>
        <v/>
      </c>
      <c r="J90" s="272" t="str">
        <f t="shared" si="87"/>
        <v/>
      </c>
      <c r="K90" s="269" t="str">
        <f t="shared" si="64"/>
        <v/>
      </c>
      <c r="L90" s="272" t="str">
        <f t="shared" si="65"/>
        <v/>
      </c>
      <c r="M90" s="272" t="str">
        <f t="shared" si="88"/>
        <v/>
      </c>
      <c r="N90" s="269" t="str">
        <f t="shared" si="89"/>
        <v/>
      </c>
      <c r="O90" s="272" t="str">
        <f t="shared" si="90"/>
        <v/>
      </c>
      <c r="P90" s="272" t="str">
        <f t="shared" si="91"/>
        <v/>
      </c>
      <c r="Q90" s="269" t="str">
        <f t="shared" si="92"/>
        <v/>
      </c>
      <c r="R90" s="272" t="str">
        <f t="shared" si="93"/>
        <v/>
      </c>
      <c r="S90" s="272" t="str">
        <f t="shared" si="94"/>
        <v/>
      </c>
      <c r="T90" s="269" t="str">
        <f t="shared" si="95"/>
        <v/>
      </c>
      <c r="U90" s="230"/>
      <c r="V90" s="230"/>
      <c r="AB90" s="230" t="e">
        <f>VLOOKUP($B$6,Lookup_Source,83,0)</f>
        <v>#N/A</v>
      </c>
      <c r="AC90" s="254" t="str">
        <f t="shared" si="96"/>
        <v/>
      </c>
      <c r="AD90" s="255">
        <f t="shared" si="97"/>
        <v>7</v>
      </c>
      <c r="AE90" s="274" t="e">
        <f t="shared" si="66"/>
        <v>#N/A</v>
      </c>
      <c r="AF90" s="277" t="e">
        <f t="shared" si="98"/>
        <v>#N/A</v>
      </c>
      <c r="AG90" s="277" t="e">
        <f t="shared" si="99"/>
        <v>#N/A</v>
      </c>
      <c r="AH90" s="276" t="e">
        <f t="shared" si="67"/>
        <v>#N/A</v>
      </c>
      <c r="AI90" s="239">
        <f t="shared" si="100"/>
        <v>7</v>
      </c>
      <c r="AJ90" s="277" t="e">
        <f t="shared" si="68"/>
        <v>#N/A</v>
      </c>
      <c r="AK90" s="277" t="e">
        <f t="shared" si="101"/>
        <v>#N/A</v>
      </c>
      <c r="AL90" s="239" t="e">
        <f t="shared" si="69"/>
        <v>#N/A</v>
      </c>
      <c r="AM90" s="278" t="e">
        <f t="shared" si="102"/>
        <v>#N/A</v>
      </c>
      <c r="AN90" s="279" t="e">
        <f t="shared" si="70"/>
        <v>#N/A</v>
      </c>
      <c r="AO90" s="240" t="e">
        <f t="shared" si="71"/>
        <v>#N/A</v>
      </c>
      <c r="AP90" s="297">
        <f t="shared" si="103"/>
        <v>7</v>
      </c>
      <c r="AQ90" s="298" t="e">
        <f t="shared" si="72"/>
        <v>#N/A</v>
      </c>
      <c r="AR90" s="279" t="e">
        <f t="shared" si="104"/>
        <v>#N/A</v>
      </c>
      <c r="AS90" s="283" t="e">
        <f t="shared" si="73"/>
        <v>#N/A</v>
      </c>
      <c r="AT90" s="284">
        <f t="shared" si="105"/>
        <v>7</v>
      </c>
      <c r="AU90" s="285" t="e">
        <f t="shared" si="106"/>
        <v>#N/A</v>
      </c>
      <c r="AV90" s="286" t="e">
        <f t="shared" si="107"/>
        <v>#N/A</v>
      </c>
      <c r="AW90" s="287" t="e">
        <f t="shared" si="74"/>
        <v>#N/A</v>
      </c>
      <c r="AX90" s="245">
        <f t="shared" si="108"/>
        <v>7</v>
      </c>
      <c r="AY90" s="286" t="e">
        <f t="shared" si="75"/>
        <v>#N/A</v>
      </c>
      <c r="AZ90" s="245" t="e">
        <f t="shared" si="109"/>
        <v>#N/A</v>
      </c>
      <c r="BA90" s="245" t="e">
        <f t="shared" si="76"/>
        <v>#N/A</v>
      </c>
      <c r="BB90" s="288">
        <f t="shared" si="110"/>
        <v>7</v>
      </c>
      <c r="BC90" s="289" t="e">
        <f t="shared" si="111"/>
        <v>#N/A</v>
      </c>
      <c r="BD90" s="290" t="e">
        <f t="shared" si="112"/>
        <v>#N/A</v>
      </c>
      <c r="BE90" s="263" t="e">
        <f t="shared" si="77"/>
        <v>#N/A</v>
      </c>
      <c r="BF90" s="260">
        <f t="shared" si="113"/>
        <v>7</v>
      </c>
      <c r="BG90" s="289" t="e">
        <f t="shared" si="114"/>
        <v>#N/A</v>
      </c>
      <c r="BH90" s="290" t="e">
        <f t="shared" si="115"/>
        <v>#N/A</v>
      </c>
      <c r="BI90" s="263" t="e">
        <f t="shared" si="78"/>
        <v>#N/A</v>
      </c>
      <c r="BJ90" s="264">
        <f t="shared" si="116"/>
        <v>7</v>
      </c>
      <c r="BK90" s="291" t="e">
        <f t="shared" si="117"/>
        <v>#N/A</v>
      </c>
      <c r="BL90" s="291" t="e">
        <f t="shared" si="118"/>
        <v>#N/A</v>
      </c>
      <c r="BM90" s="292" t="e">
        <f t="shared" si="79"/>
        <v>#N/A</v>
      </c>
      <c r="BN90" s="293">
        <f t="shared" si="119"/>
        <v>7</v>
      </c>
      <c r="BO90" s="294" t="e">
        <f t="shared" si="120"/>
        <v>#N/A</v>
      </c>
      <c r="BP90" s="294" t="e">
        <f t="shared" si="121"/>
        <v>#N/A</v>
      </c>
      <c r="BQ90" s="292" t="e">
        <f t="shared" si="80"/>
        <v>#N/A</v>
      </c>
      <c r="BR90" s="295" t="e">
        <f t="shared" si="81"/>
        <v>#N/A</v>
      </c>
      <c r="BS90" s="230" t="e">
        <f>VLOOKUP($B90,SDR22_STOCK_BY_LA!$A$2:$C$11679,3,0)</f>
        <v>#N/A</v>
      </c>
      <c r="BT90" s="230" t="str">
        <f t="shared" si="122"/>
        <v/>
      </c>
    </row>
    <row r="91" spans="1:72" ht="12.5" x14ac:dyDescent="0.25">
      <c r="A91" s="269" t="str">
        <f t="shared" si="123"/>
        <v/>
      </c>
      <c r="B91" s="230" t="str">
        <f t="shared" si="124"/>
        <v/>
      </c>
      <c r="C91" s="270" t="str">
        <f t="shared" si="82"/>
        <v/>
      </c>
      <c r="D91" s="269" t="str">
        <f>IF(B91="","",IF(totals!$Q$3=0,IFERROR(IF(AD91=2,"0",AE91),""),"-"))</f>
        <v/>
      </c>
      <c r="E91" s="271" t="str">
        <f t="shared" si="83"/>
        <v/>
      </c>
      <c r="F91" s="272" t="str">
        <f t="shared" si="84"/>
        <v/>
      </c>
      <c r="G91" s="272" t="str">
        <f t="shared" si="85"/>
        <v/>
      </c>
      <c r="H91" s="269" t="str">
        <f t="shared" si="63"/>
        <v/>
      </c>
      <c r="I91" s="272" t="str">
        <f t="shared" si="86"/>
        <v/>
      </c>
      <c r="J91" s="272" t="str">
        <f t="shared" si="87"/>
        <v/>
      </c>
      <c r="K91" s="269" t="str">
        <f t="shared" si="64"/>
        <v/>
      </c>
      <c r="L91" s="272" t="str">
        <f t="shared" si="65"/>
        <v/>
      </c>
      <c r="M91" s="272" t="str">
        <f t="shared" si="88"/>
        <v/>
      </c>
      <c r="N91" s="269" t="str">
        <f t="shared" si="89"/>
        <v/>
      </c>
      <c r="O91" s="272" t="str">
        <f t="shared" si="90"/>
        <v/>
      </c>
      <c r="P91" s="272" t="str">
        <f t="shared" si="91"/>
        <v/>
      </c>
      <c r="Q91" s="269" t="str">
        <f t="shared" si="92"/>
        <v/>
      </c>
      <c r="R91" s="272" t="str">
        <f t="shared" si="93"/>
        <v/>
      </c>
      <c r="S91" s="272" t="str">
        <f t="shared" si="94"/>
        <v/>
      </c>
      <c r="T91" s="269" t="str">
        <f t="shared" si="95"/>
        <v/>
      </c>
      <c r="U91" s="230"/>
      <c r="V91" s="230"/>
      <c r="AB91" s="270" t="e">
        <f>VLOOKUP($B$6,Lookup_Source,84,0)</f>
        <v>#N/A</v>
      </c>
      <c r="AC91" s="254" t="str">
        <f t="shared" si="96"/>
        <v/>
      </c>
      <c r="AD91" s="255">
        <f t="shared" si="97"/>
        <v>7</v>
      </c>
      <c r="AE91" s="274" t="e">
        <f t="shared" si="66"/>
        <v>#N/A</v>
      </c>
      <c r="AF91" s="277" t="e">
        <f t="shared" si="98"/>
        <v>#N/A</v>
      </c>
      <c r="AG91" s="277" t="e">
        <f t="shared" si="99"/>
        <v>#N/A</v>
      </c>
      <c r="AH91" s="276" t="e">
        <f t="shared" si="67"/>
        <v>#N/A</v>
      </c>
      <c r="AI91" s="239">
        <f t="shared" si="100"/>
        <v>7</v>
      </c>
      <c r="AJ91" s="277" t="e">
        <f t="shared" si="68"/>
        <v>#N/A</v>
      </c>
      <c r="AK91" s="277" t="e">
        <f t="shared" si="101"/>
        <v>#N/A</v>
      </c>
      <c r="AL91" s="239" t="e">
        <f t="shared" si="69"/>
        <v>#N/A</v>
      </c>
      <c r="AM91" s="278" t="e">
        <f t="shared" si="102"/>
        <v>#N/A</v>
      </c>
      <c r="AN91" s="279" t="e">
        <f t="shared" si="70"/>
        <v>#N/A</v>
      </c>
      <c r="AO91" s="240" t="e">
        <f t="shared" si="71"/>
        <v>#N/A</v>
      </c>
      <c r="AP91" s="297">
        <f t="shared" si="103"/>
        <v>7</v>
      </c>
      <c r="AQ91" s="298" t="e">
        <f t="shared" si="72"/>
        <v>#N/A</v>
      </c>
      <c r="AR91" s="279" t="e">
        <f t="shared" si="104"/>
        <v>#N/A</v>
      </c>
      <c r="AS91" s="283" t="e">
        <f t="shared" si="73"/>
        <v>#N/A</v>
      </c>
      <c r="AT91" s="284">
        <f t="shared" si="105"/>
        <v>7</v>
      </c>
      <c r="AU91" s="285" t="e">
        <f t="shared" si="106"/>
        <v>#N/A</v>
      </c>
      <c r="AV91" s="286" t="e">
        <f t="shared" si="107"/>
        <v>#N/A</v>
      </c>
      <c r="AW91" s="287" t="e">
        <f t="shared" si="74"/>
        <v>#N/A</v>
      </c>
      <c r="AX91" s="245">
        <f t="shared" si="108"/>
        <v>7</v>
      </c>
      <c r="AY91" s="286" t="e">
        <f t="shared" si="75"/>
        <v>#N/A</v>
      </c>
      <c r="AZ91" s="245" t="e">
        <f t="shared" si="109"/>
        <v>#N/A</v>
      </c>
      <c r="BA91" s="245" t="e">
        <f t="shared" si="76"/>
        <v>#N/A</v>
      </c>
      <c r="BB91" s="288">
        <f t="shared" si="110"/>
        <v>7</v>
      </c>
      <c r="BC91" s="289" t="e">
        <f t="shared" si="111"/>
        <v>#N/A</v>
      </c>
      <c r="BD91" s="290" t="e">
        <f t="shared" si="112"/>
        <v>#N/A</v>
      </c>
      <c r="BE91" s="263" t="e">
        <f t="shared" si="77"/>
        <v>#N/A</v>
      </c>
      <c r="BF91" s="260">
        <f t="shared" si="113"/>
        <v>7</v>
      </c>
      <c r="BG91" s="289" t="e">
        <f t="shared" si="114"/>
        <v>#N/A</v>
      </c>
      <c r="BH91" s="290" t="e">
        <f t="shared" si="115"/>
        <v>#N/A</v>
      </c>
      <c r="BI91" s="263" t="e">
        <f t="shared" si="78"/>
        <v>#N/A</v>
      </c>
      <c r="BJ91" s="264">
        <f t="shared" si="116"/>
        <v>7</v>
      </c>
      <c r="BK91" s="291" t="e">
        <f t="shared" si="117"/>
        <v>#N/A</v>
      </c>
      <c r="BL91" s="291" t="e">
        <f t="shared" si="118"/>
        <v>#N/A</v>
      </c>
      <c r="BM91" s="292" t="e">
        <f t="shared" si="79"/>
        <v>#N/A</v>
      </c>
      <c r="BN91" s="293">
        <f t="shared" si="119"/>
        <v>7</v>
      </c>
      <c r="BO91" s="294" t="e">
        <f t="shared" si="120"/>
        <v>#N/A</v>
      </c>
      <c r="BP91" s="294" t="e">
        <f t="shared" si="121"/>
        <v>#N/A</v>
      </c>
      <c r="BQ91" s="292" t="e">
        <f t="shared" si="80"/>
        <v>#N/A</v>
      </c>
      <c r="BR91" s="295" t="e">
        <f t="shared" si="81"/>
        <v>#N/A</v>
      </c>
      <c r="BS91" s="230" t="e">
        <f>VLOOKUP($B91,SDR22_STOCK_BY_LA!$A$2:$C$11679,3,0)</f>
        <v>#N/A</v>
      </c>
      <c r="BT91" s="230" t="str">
        <f t="shared" si="122"/>
        <v/>
      </c>
    </row>
    <row r="92" spans="1:72" ht="12.5" x14ac:dyDescent="0.25">
      <c r="A92" s="230" t="str">
        <f t="shared" si="123"/>
        <v/>
      </c>
      <c r="B92" s="230" t="str">
        <f t="shared" si="124"/>
        <v/>
      </c>
      <c r="C92" s="296" t="str">
        <f t="shared" si="82"/>
        <v/>
      </c>
      <c r="D92" s="269" t="str">
        <f>IF(B92="","",IF(totals!$Q$3=0,IFERROR(IF(AD92=2,"0",AE92),""),"-"))</f>
        <v/>
      </c>
      <c r="E92" s="271" t="str">
        <f t="shared" si="83"/>
        <v/>
      </c>
      <c r="F92" s="272" t="str">
        <f t="shared" si="84"/>
        <v/>
      </c>
      <c r="G92" s="272" t="str">
        <f t="shared" si="85"/>
        <v/>
      </c>
      <c r="H92" s="269" t="str">
        <f t="shared" si="63"/>
        <v/>
      </c>
      <c r="I92" s="272" t="str">
        <f t="shared" si="86"/>
        <v/>
      </c>
      <c r="J92" s="272" t="str">
        <f t="shared" si="87"/>
        <v/>
      </c>
      <c r="K92" s="269" t="str">
        <f t="shared" si="64"/>
        <v/>
      </c>
      <c r="L92" s="272" t="str">
        <f t="shared" si="65"/>
        <v/>
      </c>
      <c r="M92" s="272" t="str">
        <f t="shared" si="88"/>
        <v/>
      </c>
      <c r="N92" s="269" t="str">
        <f t="shared" si="89"/>
        <v/>
      </c>
      <c r="O92" s="272" t="str">
        <f t="shared" si="90"/>
        <v/>
      </c>
      <c r="P92" s="272" t="str">
        <f t="shared" si="91"/>
        <v/>
      </c>
      <c r="Q92" s="269" t="str">
        <f t="shared" si="92"/>
        <v/>
      </c>
      <c r="R92" s="272" t="str">
        <f t="shared" si="93"/>
        <v/>
      </c>
      <c r="S92" s="272" t="str">
        <f t="shared" si="94"/>
        <v/>
      </c>
      <c r="T92" s="269" t="str">
        <f t="shared" si="95"/>
        <v/>
      </c>
      <c r="U92" s="230"/>
      <c r="V92" s="230"/>
      <c r="AB92" s="230" t="e">
        <f>VLOOKUP($B$6,Lookup_Source,85,0)</f>
        <v>#N/A</v>
      </c>
      <c r="AC92" s="254" t="str">
        <f t="shared" si="96"/>
        <v/>
      </c>
      <c r="AD92" s="255">
        <f t="shared" si="97"/>
        <v>7</v>
      </c>
      <c r="AE92" s="274" t="e">
        <f t="shared" si="66"/>
        <v>#N/A</v>
      </c>
      <c r="AF92" s="277" t="e">
        <f t="shared" si="98"/>
        <v>#N/A</v>
      </c>
      <c r="AG92" s="277" t="e">
        <f t="shared" si="99"/>
        <v>#N/A</v>
      </c>
      <c r="AH92" s="276" t="e">
        <f t="shared" si="67"/>
        <v>#N/A</v>
      </c>
      <c r="AI92" s="239">
        <f t="shared" si="100"/>
        <v>7</v>
      </c>
      <c r="AJ92" s="277" t="e">
        <f t="shared" si="68"/>
        <v>#N/A</v>
      </c>
      <c r="AK92" s="277" t="e">
        <f t="shared" si="101"/>
        <v>#N/A</v>
      </c>
      <c r="AL92" s="239" t="e">
        <f t="shared" si="69"/>
        <v>#N/A</v>
      </c>
      <c r="AM92" s="278" t="e">
        <f t="shared" si="102"/>
        <v>#N/A</v>
      </c>
      <c r="AN92" s="279" t="e">
        <f t="shared" si="70"/>
        <v>#N/A</v>
      </c>
      <c r="AO92" s="240" t="e">
        <f t="shared" si="71"/>
        <v>#N/A</v>
      </c>
      <c r="AP92" s="297">
        <f t="shared" si="103"/>
        <v>7</v>
      </c>
      <c r="AQ92" s="298" t="e">
        <f t="shared" si="72"/>
        <v>#N/A</v>
      </c>
      <c r="AR92" s="279" t="e">
        <f t="shared" si="104"/>
        <v>#N/A</v>
      </c>
      <c r="AS92" s="283" t="e">
        <f t="shared" si="73"/>
        <v>#N/A</v>
      </c>
      <c r="AT92" s="284">
        <f t="shared" si="105"/>
        <v>7</v>
      </c>
      <c r="AU92" s="285" t="e">
        <f t="shared" si="106"/>
        <v>#N/A</v>
      </c>
      <c r="AV92" s="286" t="e">
        <f t="shared" si="107"/>
        <v>#N/A</v>
      </c>
      <c r="AW92" s="287" t="e">
        <f t="shared" si="74"/>
        <v>#N/A</v>
      </c>
      <c r="AX92" s="245">
        <f t="shared" si="108"/>
        <v>7</v>
      </c>
      <c r="AY92" s="286" t="e">
        <f t="shared" si="75"/>
        <v>#N/A</v>
      </c>
      <c r="AZ92" s="245" t="e">
        <f t="shared" si="109"/>
        <v>#N/A</v>
      </c>
      <c r="BA92" s="245" t="e">
        <f t="shared" si="76"/>
        <v>#N/A</v>
      </c>
      <c r="BB92" s="288">
        <f t="shared" si="110"/>
        <v>7</v>
      </c>
      <c r="BC92" s="289" t="e">
        <f t="shared" si="111"/>
        <v>#N/A</v>
      </c>
      <c r="BD92" s="290" t="e">
        <f t="shared" si="112"/>
        <v>#N/A</v>
      </c>
      <c r="BE92" s="263" t="e">
        <f t="shared" si="77"/>
        <v>#N/A</v>
      </c>
      <c r="BF92" s="260">
        <f t="shared" si="113"/>
        <v>7</v>
      </c>
      <c r="BG92" s="289" t="e">
        <f t="shared" si="114"/>
        <v>#N/A</v>
      </c>
      <c r="BH92" s="290" t="e">
        <f t="shared" si="115"/>
        <v>#N/A</v>
      </c>
      <c r="BI92" s="263" t="e">
        <f t="shared" si="78"/>
        <v>#N/A</v>
      </c>
      <c r="BJ92" s="264">
        <f t="shared" si="116"/>
        <v>7</v>
      </c>
      <c r="BK92" s="291" t="e">
        <f t="shared" si="117"/>
        <v>#N/A</v>
      </c>
      <c r="BL92" s="291" t="e">
        <f t="shared" si="118"/>
        <v>#N/A</v>
      </c>
      <c r="BM92" s="292" t="e">
        <f t="shared" si="79"/>
        <v>#N/A</v>
      </c>
      <c r="BN92" s="293">
        <f t="shared" si="119"/>
        <v>7</v>
      </c>
      <c r="BO92" s="294" t="e">
        <f t="shared" si="120"/>
        <v>#N/A</v>
      </c>
      <c r="BP92" s="294" t="e">
        <f t="shared" si="121"/>
        <v>#N/A</v>
      </c>
      <c r="BQ92" s="292" t="e">
        <f t="shared" si="80"/>
        <v>#N/A</v>
      </c>
      <c r="BR92" s="295" t="e">
        <f t="shared" si="81"/>
        <v>#N/A</v>
      </c>
      <c r="BS92" s="230" t="e">
        <f>VLOOKUP($B92,SDR22_STOCK_BY_LA!$A$2:$C$11679,3,0)</f>
        <v>#N/A</v>
      </c>
      <c r="BT92" s="230" t="str">
        <f t="shared" si="122"/>
        <v/>
      </c>
    </row>
    <row r="93" spans="1:72" ht="12.5" x14ac:dyDescent="0.25">
      <c r="A93" s="269" t="str">
        <f t="shared" si="123"/>
        <v/>
      </c>
      <c r="B93" s="230" t="str">
        <f t="shared" si="124"/>
        <v/>
      </c>
      <c r="C93" s="270" t="str">
        <f t="shared" si="82"/>
        <v/>
      </c>
      <c r="D93" s="269" t="str">
        <f>IF(B93="","",IF(totals!$Q$3=0,IFERROR(IF(AD93=2,"0",AE93),""),"-"))</f>
        <v/>
      </c>
      <c r="E93" s="271" t="str">
        <f t="shared" si="83"/>
        <v/>
      </c>
      <c r="F93" s="272" t="str">
        <f t="shared" si="84"/>
        <v/>
      </c>
      <c r="G93" s="272" t="str">
        <f t="shared" si="85"/>
        <v/>
      </c>
      <c r="H93" s="269" t="str">
        <f t="shared" si="63"/>
        <v/>
      </c>
      <c r="I93" s="272" t="str">
        <f t="shared" si="86"/>
        <v/>
      </c>
      <c r="J93" s="272" t="str">
        <f t="shared" si="87"/>
        <v/>
      </c>
      <c r="K93" s="269" t="str">
        <f t="shared" si="64"/>
        <v/>
      </c>
      <c r="L93" s="272" t="str">
        <f t="shared" si="65"/>
        <v/>
      </c>
      <c r="M93" s="272" t="str">
        <f t="shared" si="88"/>
        <v/>
      </c>
      <c r="N93" s="269" t="str">
        <f t="shared" si="89"/>
        <v/>
      </c>
      <c r="O93" s="272" t="str">
        <f t="shared" si="90"/>
        <v/>
      </c>
      <c r="P93" s="272" t="str">
        <f t="shared" si="91"/>
        <v/>
      </c>
      <c r="Q93" s="269" t="str">
        <f t="shared" si="92"/>
        <v/>
      </c>
      <c r="R93" s="272" t="str">
        <f t="shared" si="93"/>
        <v/>
      </c>
      <c r="S93" s="272" t="str">
        <f t="shared" si="94"/>
        <v/>
      </c>
      <c r="T93" s="269" t="str">
        <f t="shared" si="95"/>
        <v/>
      </c>
      <c r="U93" s="230"/>
      <c r="V93" s="230"/>
      <c r="AB93" s="270" t="e">
        <f>VLOOKUP($B$6,Lookup_Source,86,0)</f>
        <v>#N/A</v>
      </c>
      <c r="AC93" s="254" t="str">
        <f t="shared" si="96"/>
        <v/>
      </c>
      <c r="AD93" s="255">
        <f t="shared" si="97"/>
        <v>7</v>
      </c>
      <c r="AE93" s="274" t="e">
        <f t="shared" si="66"/>
        <v>#N/A</v>
      </c>
      <c r="AF93" s="277" t="e">
        <f t="shared" si="98"/>
        <v>#N/A</v>
      </c>
      <c r="AG93" s="277" t="e">
        <f t="shared" si="99"/>
        <v>#N/A</v>
      </c>
      <c r="AH93" s="276" t="e">
        <f t="shared" si="67"/>
        <v>#N/A</v>
      </c>
      <c r="AI93" s="239">
        <f t="shared" si="100"/>
        <v>7</v>
      </c>
      <c r="AJ93" s="277" t="e">
        <f t="shared" si="68"/>
        <v>#N/A</v>
      </c>
      <c r="AK93" s="277" t="e">
        <f t="shared" si="101"/>
        <v>#N/A</v>
      </c>
      <c r="AL93" s="239" t="e">
        <f t="shared" si="69"/>
        <v>#N/A</v>
      </c>
      <c r="AM93" s="278" t="e">
        <f t="shared" si="102"/>
        <v>#N/A</v>
      </c>
      <c r="AN93" s="279" t="e">
        <f t="shared" si="70"/>
        <v>#N/A</v>
      </c>
      <c r="AO93" s="240" t="e">
        <f t="shared" si="71"/>
        <v>#N/A</v>
      </c>
      <c r="AP93" s="297">
        <f t="shared" si="103"/>
        <v>7</v>
      </c>
      <c r="AQ93" s="298" t="e">
        <f t="shared" si="72"/>
        <v>#N/A</v>
      </c>
      <c r="AR93" s="279" t="e">
        <f t="shared" si="104"/>
        <v>#N/A</v>
      </c>
      <c r="AS93" s="283" t="e">
        <f t="shared" si="73"/>
        <v>#N/A</v>
      </c>
      <c r="AT93" s="284">
        <f t="shared" si="105"/>
        <v>7</v>
      </c>
      <c r="AU93" s="285" t="e">
        <f t="shared" si="106"/>
        <v>#N/A</v>
      </c>
      <c r="AV93" s="286" t="e">
        <f t="shared" si="107"/>
        <v>#N/A</v>
      </c>
      <c r="AW93" s="287" t="e">
        <f t="shared" si="74"/>
        <v>#N/A</v>
      </c>
      <c r="AX93" s="245">
        <f t="shared" si="108"/>
        <v>7</v>
      </c>
      <c r="AY93" s="286" t="e">
        <f t="shared" si="75"/>
        <v>#N/A</v>
      </c>
      <c r="AZ93" s="245" t="e">
        <f t="shared" si="109"/>
        <v>#N/A</v>
      </c>
      <c r="BA93" s="245" t="e">
        <f t="shared" si="76"/>
        <v>#N/A</v>
      </c>
      <c r="BB93" s="288">
        <f t="shared" si="110"/>
        <v>7</v>
      </c>
      <c r="BC93" s="289" t="e">
        <f t="shared" si="111"/>
        <v>#N/A</v>
      </c>
      <c r="BD93" s="290" t="e">
        <f t="shared" si="112"/>
        <v>#N/A</v>
      </c>
      <c r="BE93" s="263" t="e">
        <f t="shared" si="77"/>
        <v>#N/A</v>
      </c>
      <c r="BF93" s="260">
        <f t="shared" si="113"/>
        <v>7</v>
      </c>
      <c r="BG93" s="289" t="e">
        <f t="shared" si="114"/>
        <v>#N/A</v>
      </c>
      <c r="BH93" s="290" t="e">
        <f t="shared" si="115"/>
        <v>#N/A</v>
      </c>
      <c r="BI93" s="263" t="e">
        <f t="shared" si="78"/>
        <v>#N/A</v>
      </c>
      <c r="BJ93" s="264">
        <f t="shared" si="116"/>
        <v>7</v>
      </c>
      <c r="BK93" s="291" t="e">
        <f t="shared" si="117"/>
        <v>#N/A</v>
      </c>
      <c r="BL93" s="291" t="e">
        <f t="shared" si="118"/>
        <v>#N/A</v>
      </c>
      <c r="BM93" s="292" t="e">
        <f t="shared" si="79"/>
        <v>#N/A</v>
      </c>
      <c r="BN93" s="293">
        <f t="shared" si="119"/>
        <v>7</v>
      </c>
      <c r="BO93" s="294" t="e">
        <f t="shared" si="120"/>
        <v>#N/A</v>
      </c>
      <c r="BP93" s="294" t="e">
        <f t="shared" si="121"/>
        <v>#N/A</v>
      </c>
      <c r="BQ93" s="292" t="e">
        <f t="shared" si="80"/>
        <v>#N/A</v>
      </c>
      <c r="BR93" s="295" t="e">
        <f t="shared" si="81"/>
        <v>#N/A</v>
      </c>
      <c r="BS93" s="230" t="e">
        <f>VLOOKUP($B93,SDR22_STOCK_BY_LA!$A$2:$C$11679,3,0)</f>
        <v>#N/A</v>
      </c>
      <c r="BT93" s="230" t="str">
        <f t="shared" si="122"/>
        <v/>
      </c>
    </row>
    <row r="94" spans="1:72" ht="12.5" x14ac:dyDescent="0.25">
      <c r="A94" s="230" t="str">
        <f t="shared" si="123"/>
        <v/>
      </c>
      <c r="B94" s="230" t="str">
        <f t="shared" si="124"/>
        <v/>
      </c>
      <c r="C94" s="296" t="str">
        <f t="shared" si="82"/>
        <v/>
      </c>
      <c r="D94" s="269" t="str">
        <f>IF(B94="","",IF(totals!$Q$3=0,IFERROR(IF(AD94=2,"0",AE94),""),"-"))</f>
        <v/>
      </c>
      <c r="E94" s="271" t="str">
        <f t="shared" si="83"/>
        <v/>
      </c>
      <c r="F94" s="272" t="str">
        <f t="shared" si="84"/>
        <v/>
      </c>
      <c r="G94" s="272" t="str">
        <f t="shared" si="85"/>
        <v/>
      </c>
      <c r="H94" s="269" t="str">
        <f t="shared" si="63"/>
        <v/>
      </c>
      <c r="I94" s="272" t="str">
        <f t="shared" si="86"/>
        <v/>
      </c>
      <c r="J94" s="272" t="str">
        <f t="shared" si="87"/>
        <v/>
      </c>
      <c r="K94" s="269" t="str">
        <f t="shared" si="64"/>
        <v/>
      </c>
      <c r="L94" s="272" t="str">
        <f t="shared" si="65"/>
        <v/>
      </c>
      <c r="M94" s="272" t="str">
        <f t="shared" si="88"/>
        <v/>
      </c>
      <c r="N94" s="269" t="str">
        <f t="shared" si="89"/>
        <v/>
      </c>
      <c r="O94" s="272" t="str">
        <f t="shared" si="90"/>
        <v/>
      </c>
      <c r="P94" s="272" t="str">
        <f t="shared" si="91"/>
        <v/>
      </c>
      <c r="Q94" s="269" t="str">
        <f t="shared" si="92"/>
        <v/>
      </c>
      <c r="R94" s="272" t="str">
        <f t="shared" si="93"/>
        <v/>
      </c>
      <c r="S94" s="272" t="str">
        <f t="shared" si="94"/>
        <v/>
      </c>
      <c r="T94" s="269" t="str">
        <f t="shared" si="95"/>
        <v/>
      </c>
      <c r="U94" s="230"/>
      <c r="V94" s="230"/>
      <c r="AB94" s="230" t="e">
        <f>VLOOKUP($B$6,Lookup_Source,87,0)</f>
        <v>#N/A</v>
      </c>
      <c r="AC94" s="254" t="str">
        <f t="shared" si="96"/>
        <v/>
      </c>
      <c r="AD94" s="255">
        <f t="shared" si="97"/>
        <v>7</v>
      </c>
      <c r="AE94" s="274" t="e">
        <f t="shared" si="66"/>
        <v>#N/A</v>
      </c>
      <c r="AF94" s="277" t="e">
        <f t="shared" si="98"/>
        <v>#N/A</v>
      </c>
      <c r="AG94" s="277" t="e">
        <f t="shared" si="99"/>
        <v>#N/A</v>
      </c>
      <c r="AH94" s="276" t="e">
        <f t="shared" si="67"/>
        <v>#N/A</v>
      </c>
      <c r="AI94" s="239">
        <f t="shared" si="100"/>
        <v>7</v>
      </c>
      <c r="AJ94" s="277" t="e">
        <f t="shared" si="68"/>
        <v>#N/A</v>
      </c>
      <c r="AK94" s="277" t="e">
        <f t="shared" si="101"/>
        <v>#N/A</v>
      </c>
      <c r="AL94" s="239" t="e">
        <f t="shared" si="69"/>
        <v>#N/A</v>
      </c>
      <c r="AM94" s="278" t="e">
        <f t="shared" si="102"/>
        <v>#N/A</v>
      </c>
      <c r="AN94" s="279" t="e">
        <f t="shared" si="70"/>
        <v>#N/A</v>
      </c>
      <c r="AO94" s="240" t="e">
        <f t="shared" si="71"/>
        <v>#N/A</v>
      </c>
      <c r="AP94" s="297">
        <f t="shared" si="103"/>
        <v>7</v>
      </c>
      <c r="AQ94" s="298" t="e">
        <f t="shared" si="72"/>
        <v>#N/A</v>
      </c>
      <c r="AR94" s="279" t="e">
        <f t="shared" si="104"/>
        <v>#N/A</v>
      </c>
      <c r="AS94" s="283" t="e">
        <f t="shared" si="73"/>
        <v>#N/A</v>
      </c>
      <c r="AT94" s="284">
        <f t="shared" si="105"/>
        <v>7</v>
      </c>
      <c r="AU94" s="285" t="e">
        <f t="shared" si="106"/>
        <v>#N/A</v>
      </c>
      <c r="AV94" s="286" t="e">
        <f t="shared" si="107"/>
        <v>#N/A</v>
      </c>
      <c r="AW94" s="287" t="e">
        <f t="shared" si="74"/>
        <v>#N/A</v>
      </c>
      <c r="AX94" s="245">
        <f t="shared" si="108"/>
        <v>7</v>
      </c>
      <c r="AY94" s="286" t="e">
        <f t="shared" si="75"/>
        <v>#N/A</v>
      </c>
      <c r="AZ94" s="245" t="e">
        <f t="shared" si="109"/>
        <v>#N/A</v>
      </c>
      <c r="BA94" s="245" t="e">
        <f t="shared" si="76"/>
        <v>#N/A</v>
      </c>
      <c r="BB94" s="288">
        <f t="shared" si="110"/>
        <v>7</v>
      </c>
      <c r="BC94" s="289" t="e">
        <f t="shared" si="111"/>
        <v>#N/A</v>
      </c>
      <c r="BD94" s="290" t="e">
        <f t="shared" si="112"/>
        <v>#N/A</v>
      </c>
      <c r="BE94" s="263" t="e">
        <f t="shared" si="77"/>
        <v>#N/A</v>
      </c>
      <c r="BF94" s="260">
        <f t="shared" si="113"/>
        <v>7</v>
      </c>
      <c r="BG94" s="289" t="e">
        <f t="shared" si="114"/>
        <v>#N/A</v>
      </c>
      <c r="BH94" s="290" t="e">
        <f t="shared" si="115"/>
        <v>#N/A</v>
      </c>
      <c r="BI94" s="263" t="e">
        <f t="shared" si="78"/>
        <v>#N/A</v>
      </c>
      <c r="BJ94" s="264">
        <f t="shared" si="116"/>
        <v>7</v>
      </c>
      <c r="BK94" s="291" t="e">
        <f t="shared" si="117"/>
        <v>#N/A</v>
      </c>
      <c r="BL94" s="291" t="e">
        <f t="shared" si="118"/>
        <v>#N/A</v>
      </c>
      <c r="BM94" s="292" t="e">
        <f t="shared" si="79"/>
        <v>#N/A</v>
      </c>
      <c r="BN94" s="293">
        <f t="shared" si="119"/>
        <v>7</v>
      </c>
      <c r="BO94" s="294" t="e">
        <f t="shared" si="120"/>
        <v>#N/A</v>
      </c>
      <c r="BP94" s="294" t="e">
        <f t="shared" si="121"/>
        <v>#N/A</v>
      </c>
      <c r="BQ94" s="292" t="e">
        <f t="shared" si="80"/>
        <v>#N/A</v>
      </c>
      <c r="BR94" s="295" t="e">
        <f t="shared" si="81"/>
        <v>#N/A</v>
      </c>
      <c r="BS94" s="230" t="e">
        <f>VLOOKUP($B94,SDR22_STOCK_BY_LA!$A$2:$C$11679,3,0)</f>
        <v>#N/A</v>
      </c>
      <c r="BT94" s="230" t="str">
        <f t="shared" si="122"/>
        <v/>
      </c>
    </row>
    <row r="95" spans="1:72" ht="12.5" x14ac:dyDescent="0.25">
      <c r="A95" s="269" t="str">
        <f t="shared" si="123"/>
        <v/>
      </c>
      <c r="B95" s="230" t="str">
        <f t="shared" si="124"/>
        <v/>
      </c>
      <c r="C95" s="270" t="str">
        <f t="shared" si="82"/>
        <v/>
      </c>
      <c r="D95" s="269" t="str">
        <f>IF(B95="","",IF(totals!$Q$3=0,IFERROR(IF(AD95=2,"0",AE95),""),"-"))</f>
        <v/>
      </c>
      <c r="E95" s="271" t="str">
        <f t="shared" si="83"/>
        <v/>
      </c>
      <c r="F95" s="272" t="str">
        <f t="shared" si="84"/>
        <v/>
      </c>
      <c r="G95" s="272" t="str">
        <f t="shared" si="85"/>
        <v/>
      </c>
      <c r="H95" s="269" t="str">
        <f t="shared" si="63"/>
        <v/>
      </c>
      <c r="I95" s="272" t="str">
        <f t="shared" si="86"/>
        <v/>
      </c>
      <c r="J95" s="272" t="str">
        <f t="shared" si="87"/>
        <v/>
      </c>
      <c r="K95" s="269" t="str">
        <f t="shared" si="64"/>
        <v/>
      </c>
      <c r="L95" s="272" t="str">
        <f t="shared" si="65"/>
        <v/>
      </c>
      <c r="M95" s="272" t="str">
        <f t="shared" si="88"/>
        <v/>
      </c>
      <c r="N95" s="269" t="str">
        <f t="shared" si="89"/>
        <v/>
      </c>
      <c r="O95" s="272" t="str">
        <f t="shared" si="90"/>
        <v/>
      </c>
      <c r="P95" s="272" t="str">
        <f t="shared" si="91"/>
        <v/>
      </c>
      <c r="Q95" s="269" t="str">
        <f t="shared" si="92"/>
        <v/>
      </c>
      <c r="R95" s="272" t="str">
        <f t="shared" si="93"/>
        <v/>
      </c>
      <c r="S95" s="272" t="str">
        <f t="shared" si="94"/>
        <v/>
      </c>
      <c r="T95" s="269" t="str">
        <f t="shared" si="95"/>
        <v/>
      </c>
      <c r="U95" s="230"/>
      <c r="V95" s="230"/>
      <c r="AB95" s="270" t="e">
        <f>VLOOKUP($B$6,Lookup_Source,88,0)</f>
        <v>#N/A</v>
      </c>
      <c r="AC95" s="254" t="str">
        <f t="shared" si="96"/>
        <v/>
      </c>
      <c r="AD95" s="255">
        <f t="shared" si="97"/>
        <v>7</v>
      </c>
      <c r="AE95" s="274" t="e">
        <f t="shared" si="66"/>
        <v>#N/A</v>
      </c>
      <c r="AF95" s="277" t="e">
        <f t="shared" si="98"/>
        <v>#N/A</v>
      </c>
      <c r="AG95" s="277" t="e">
        <f t="shared" si="99"/>
        <v>#N/A</v>
      </c>
      <c r="AH95" s="276" t="e">
        <f t="shared" si="67"/>
        <v>#N/A</v>
      </c>
      <c r="AI95" s="239">
        <f t="shared" si="100"/>
        <v>7</v>
      </c>
      <c r="AJ95" s="277" t="e">
        <f t="shared" si="68"/>
        <v>#N/A</v>
      </c>
      <c r="AK95" s="277" t="e">
        <f t="shared" si="101"/>
        <v>#N/A</v>
      </c>
      <c r="AL95" s="239" t="e">
        <f t="shared" si="69"/>
        <v>#N/A</v>
      </c>
      <c r="AM95" s="278" t="e">
        <f t="shared" si="102"/>
        <v>#N/A</v>
      </c>
      <c r="AN95" s="279" t="e">
        <f t="shared" si="70"/>
        <v>#N/A</v>
      </c>
      <c r="AO95" s="240" t="e">
        <f t="shared" si="71"/>
        <v>#N/A</v>
      </c>
      <c r="AP95" s="297">
        <f t="shared" si="103"/>
        <v>7</v>
      </c>
      <c r="AQ95" s="298" t="e">
        <f t="shared" si="72"/>
        <v>#N/A</v>
      </c>
      <c r="AR95" s="279" t="e">
        <f t="shared" si="104"/>
        <v>#N/A</v>
      </c>
      <c r="AS95" s="283" t="e">
        <f t="shared" si="73"/>
        <v>#N/A</v>
      </c>
      <c r="AT95" s="284">
        <f t="shared" si="105"/>
        <v>7</v>
      </c>
      <c r="AU95" s="285" t="e">
        <f t="shared" si="106"/>
        <v>#N/A</v>
      </c>
      <c r="AV95" s="286" t="e">
        <f t="shared" si="107"/>
        <v>#N/A</v>
      </c>
      <c r="AW95" s="287" t="e">
        <f t="shared" si="74"/>
        <v>#N/A</v>
      </c>
      <c r="AX95" s="245">
        <f t="shared" si="108"/>
        <v>7</v>
      </c>
      <c r="AY95" s="286" t="e">
        <f t="shared" si="75"/>
        <v>#N/A</v>
      </c>
      <c r="AZ95" s="245" t="e">
        <f t="shared" si="109"/>
        <v>#N/A</v>
      </c>
      <c r="BA95" s="245" t="e">
        <f t="shared" si="76"/>
        <v>#N/A</v>
      </c>
      <c r="BB95" s="288">
        <f t="shared" si="110"/>
        <v>7</v>
      </c>
      <c r="BC95" s="289" t="e">
        <f t="shared" si="111"/>
        <v>#N/A</v>
      </c>
      <c r="BD95" s="290" t="e">
        <f t="shared" si="112"/>
        <v>#N/A</v>
      </c>
      <c r="BE95" s="263" t="e">
        <f t="shared" si="77"/>
        <v>#N/A</v>
      </c>
      <c r="BF95" s="260">
        <f t="shared" si="113"/>
        <v>7</v>
      </c>
      <c r="BG95" s="289" t="e">
        <f t="shared" si="114"/>
        <v>#N/A</v>
      </c>
      <c r="BH95" s="290" t="e">
        <f t="shared" si="115"/>
        <v>#N/A</v>
      </c>
      <c r="BI95" s="263" t="e">
        <f t="shared" si="78"/>
        <v>#N/A</v>
      </c>
      <c r="BJ95" s="264">
        <f t="shared" si="116"/>
        <v>7</v>
      </c>
      <c r="BK95" s="291" t="e">
        <f t="shared" si="117"/>
        <v>#N/A</v>
      </c>
      <c r="BL95" s="291" t="e">
        <f t="shared" si="118"/>
        <v>#N/A</v>
      </c>
      <c r="BM95" s="292" t="e">
        <f t="shared" si="79"/>
        <v>#N/A</v>
      </c>
      <c r="BN95" s="293">
        <f t="shared" si="119"/>
        <v>7</v>
      </c>
      <c r="BO95" s="294" t="e">
        <f t="shared" si="120"/>
        <v>#N/A</v>
      </c>
      <c r="BP95" s="294" t="e">
        <f t="shared" si="121"/>
        <v>#N/A</v>
      </c>
      <c r="BQ95" s="292" t="e">
        <f t="shared" si="80"/>
        <v>#N/A</v>
      </c>
      <c r="BR95" s="295" t="e">
        <f t="shared" si="81"/>
        <v>#N/A</v>
      </c>
      <c r="BS95" s="230" t="e">
        <f>VLOOKUP($B95,SDR22_STOCK_BY_LA!$A$2:$C$11679,3,0)</f>
        <v>#N/A</v>
      </c>
      <c r="BT95" s="230" t="str">
        <f t="shared" si="122"/>
        <v/>
      </c>
    </row>
    <row r="96" spans="1:72" ht="12.5" x14ac:dyDescent="0.25">
      <c r="A96" s="230" t="str">
        <f t="shared" si="123"/>
        <v/>
      </c>
      <c r="B96" s="230" t="str">
        <f t="shared" si="124"/>
        <v/>
      </c>
      <c r="C96" s="296" t="str">
        <f t="shared" si="82"/>
        <v/>
      </c>
      <c r="D96" s="269" t="str">
        <f>IF(B96="","",IF(totals!$Q$3=0,IFERROR(IF(AD96=2,"0",AE96),""),"-"))</f>
        <v/>
      </c>
      <c r="E96" s="271" t="str">
        <f t="shared" si="83"/>
        <v/>
      </c>
      <c r="F96" s="272" t="str">
        <f t="shared" si="84"/>
        <v/>
      </c>
      <c r="G96" s="272" t="str">
        <f t="shared" si="85"/>
        <v/>
      </c>
      <c r="H96" s="269" t="str">
        <f t="shared" si="63"/>
        <v/>
      </c>
      <c r="I96" s="272" t="str">
        <f t="shared" si="86"/>
        <v/>
      </c>
      <c r="J96" s="272" t="str">
        <f t="shared" si="87"/>
        <v/>
      </c>
      <c r="K96" s="269" t="str">
        <f t="shared" si="64"/>
        <v/>
      </c>
      <c r="L96" s="272" t="str">
        <f t="shared" si="65"/>
        <v/>
      </c>
      <c r="M96" s="272" t="str">
        <f t="shared" si="88"/>
        <v/>
      </c>
      <c r="N96" s="269" t="str">
        <f t="shared" si="89"/>
        <v/>
      </c>
      <c r="O96" s="272" t="str">
        <f t="shared" si="90"/>
        <v/>
      </c>
      <c r="P96" s="272" t="str">
        <f t="shared" si="91"/>
        <v/>
      </c>
      <c r="Q96" s="269" t="str">
        <f t="shared" si="92"/>
        <v/>
      </c>
      <c r="R96" s="272" t="str">
        <f t="shared" si="93"/>
        <v/>
      </c>
      <c r="S96" s="272" t="str">
        <f t="shared" si="94"/>
        <v/>
      </c>
      <c r="T96" s="269" t="str">
        <f t="shared" si="95"/>
        <v/>
      </c>
      <c r="U96" s="230"/>
      <c r="V96" s="230"/>
      <c r="AB96" s="230" t="e">
        <f>VLOOKUP($B$6,Lookup_Source,89,0)</f>
        <v>#N/A</v>
      </c>
      <c r="AC96" s="254" t="str">
        <f t="shared" si="96"/>
        <v/>
      </c>
      <c r="AD96" s="255">
        <f t="shared" si="97"/>
        <v>7</v>
      </c>
      <c r="AE96" s="274" t="e">
        <f t="shared" si="66"/>
        <v>#N/A</v>
      </c>
      <c r="AF96" s="277" t="e">
        <f t="shared" si="98"/>
        <v>#N/A</v>
      </c>
      <c r="AG96" s="277" t="e">
        <f t="shared" si="99"/>
        <v>#N/A</v>
      </c>
      <c r="AH96" s="276" t="e">
        <f t="shared" si="67"/>
        <v>#N/A</v>
      </c>
      <c r="AI96" s="239">
        <f t="shared" si="100"/>
        <v>7</v>
      </c>
      <c r="AJ96" s="277" t="e">
        <f t="shared" si="68"/>
        <v>#N/A</v>
      </c>
      <c r="AK96" s="277" t="e">
        <f t="shared" si="101"/>
        <v>#N/A</v>
      </c>
      <c r="AL96" s="239" t="e">
        <f t="shared" si="69"/>
        <v>#N/A</v>
      </c>
      <c r="AM96" s="278" t="e">
        <f t="shared" si="102"/>
        <v>#N/A</v>
      </c>
      <c r="AN96" s="279" t="e">
        <f t="shared" si="70"/>
        <v>#N/A</v>
      </c>
      <c r="AO96" s="240" t="e">
        <f t="shared" si="71"/>
        <v>#N/A</v>
      </c>
      <c r="AP96" s="297">
        <f t="shared" si="103"/>
        <v>7</v>
      </c>
      <c r="AQ96" s="298" t="e">
        <f t="shared" si="72"/>
        <v>#N/A</v>
      </c>
      <c r="AR96" s="279" t="e">
        <f t="shared" si="104"/>
        <v>#N/A</v>
      </c>
      <c r="AS96" s="283" t="e">
        <f t="shared" si="73"/>
        <v>#N/A</v>
      </c>
      <c r="AT96" s="284">
        <f t="shared" si="105"/>
        <v>7</v>
      </c>
      <c r="AU96" s="285" t="e">
        <f t="shared" si="106"/>
        <v>#N/A</v>
      </c>
      <c r="AV96" s="286" t="e">
        <f t="shared" si="107"/>
        <v>#N/A</v>
      </c>
      <c r="AW96" s="287" t="e">
        <f t="shared" si="74"/>
        <v>#N/A</v>
      </c>
      <c r="AX96" s="245">
        <f t="shared" si="108"/>
        <v>7</v>
      </c>
      <c r="AY96" s="286" t="e">
        <f t="shared" si="75"/>
        <v>#N/A</v>
      </c>
      <c r="AZ96" s="245" t="e">
        <f t="shared" si="109"/>
        <v>#N/A</v>
      </c>
      <c r="BA96" s="245" t="e">
        <f t="shared" si="76"/>
        <v>#N/A</v>
      </c>
      <c r="BB96" s="288">
        <f t="shared" si="110"/>
        <v>7</v>
      </c>
      <c r="BC96" s="289" t="e">
        <f t="shared" si="111"/>
        <v>#N/A</v>
      </c>
      <c r="BD96" s="290" t="e">
        <f t="shared" si="112"/>
        <v>#N/A</v>
      </c>
      <c r="BE96" s="263" t="e">
        <f t="shared" si="77"/>
        <v>#N/A</v>
      </c>
      <c r="BF96" s="260">
        <f t="shared" si="113"/>
        <v>7</v>
      </c>
      <c r="BG96" s="289" t="e">
        <f t="shared" si="114"/>
        <v>#N/A</v>
      </c>
      <c r="BH96" s="290" t="e">
        <f t="shared" si="115"/>
        <v>#N/A</v>
      </c>
      <c r="BI96" s="263" t="e">
        <f t="shared" si="78"/>
        <v>#N/A</v>
      </c>
      <c r="BJ96" s="264">
        <f t="shared" si="116"/>
        <v>7</v>
      </c>
      <c r="BK96" s="291" t="e">
        <f t="shared" si="117"/>
        <v>#N/A</v>
      </c>
      <c r="BL96" s="291" t="e">
        <f t="shared" si="118"/>
        <v>#N/A</v>
      </c>
      <c r="BM96" s="292" t="e">
        <f t="shared" si="79"/>
        <v>#N/A</v>
      </c>
      <c r="BN96" s="293">
        <f t="shared" si="119"/>
        <v>7</v>
      </c>
      <c r="BO96" s="294" t="e">
        <f t="shared" si="120"/>
        <v>#N/A</v>
      </c>
      <c r="BP96" s="294" t="e">
        <f t="shared" si="121"/>
        <v>#N/A</v>
      </c>
      <c r="BQ96" s="292" t="e">
        <f t="shared" si="80"/>
        <v>#N/A</v>
      </c>
      <c r="BR96" s="295" t="e">
        <f t="shared" si="81"/>
        <v>#N/A</v>
      </c>
      <c r="BS96" s="230" t="e">
        <f>VLOOKUP($B96,SDR22_STOCK_BY_LA!$A$2:$C$11679,3,0)</f>
        <v>#N/A</v>
      </c>
      <c r="BT96" s="230" t="str">
        <f t="shared" si="122"/>
        <v/>
      </c>
    </row>
    <row r="97" spans="1:72" ht="12.5" x14ac:dyDescent="0.25">
      <c r="A97" s="269" t="str">
        <f t="shared" si="123"/>
        <v/>
      </c>
      <c r="B97" s="230" t="str">
        <f t="shared" si="124"/>
        <v/>
      </c>
      <c r="C97" s="270" t="str">
        <f t="shared" si="82"/>
        <v/>
      </c>
      <c r="D97" s="269" t="str">
        <f>IF(B97="","",IF(totals!$Q$3=0,IFERROR(IF(AD97=2,"0",AE97),""),"-"))</f>
        <v/>
      </c>
      <c r="E97" s="271" t="str">
        <f t="shared" si="83"/>
        <v/>
      </c>
      <c r="F97" s="272" t="str">
        <f t="shared" si="84"/>
        <v/>
      </c>
      <c r="G97" s="272" t="str">
        <f t="shared" si="85"/>
        <v/>
      </c>
      <c r="H97" s="269" t="str">
        <f t="shared" si="63"/>
        <v/>
      </c>
      <c r="I97" s="272" t="str">
        <f t="shared" si="86"/>
        <v/>
      </c>
      <c r="J97" s="272" t="str">
        <f t="shared" si="87"/>
        <v/>
      </c>
      <c r="K97" s="269" t="str">
        <f t="shared" si="64"/>
        <v/>
      </c>
      <c r="L97" s="272" t="str">
        <f t="shared" si="65"/>
        <v/>
      </c>
      <c r="M97" s="272" t="str">
        <f t="shared" si="88"/>
        <v/>
      </c>
      <c r="N97" s="269" t="str">
        <f t="shared" si="89"/>
        <v/>
      </c>
      <c r="O97" s="272" t="str">
        <f t="shared" si="90"/>
        <v/>
      </c>
      <c r="P97" s="272" t="str">
        <f t="shared" si="91"/>
        <v/>
      </c>
      <c r="Q97" s="269" t="str">
        <f t="shared" si="92"/>
        <v/>
      </c>
      <c r="R97" s="272" t="str">
        <f t="shared" si="93"/>
        <v/>
      </c>
      <c r="S97" s="272" t="str">
        <f t="shared" si="94"/>
        <v/>
      </c>
      <c r="T97" s="269" t="str">
        <f t="shared" si="95"/>
        <v/>
      </c>
      <c r="U97" s="230"/>
      <c r="V97" s="230"/>
      <c r="AB97" s="270" t="e">
        <f>VLOOKUP($B$6,Lookup_Source,90,0)</f>
        <v>#N/A</v>
      </c>
      <c r="AC97" s="254" t="str">
        <f t="shared" si="96"/>
        <v/>
      </c>
      <c r="AD97" s="255">
        <f t="shared" si="97"/>
        <v>7</v>
      </c>
      <c r="AE97" s="274" t="e">
        <f t="shared" si="66"/>
        <v>#N/A</v>
      </c>
      <c r="AF97" s="277" t="e">
        <f t="shared" si="98"/>
        <v>#N/A</v>
      </c>
      <c r="AG97" s="277" t="e">
        <f t="shared" si="99"/>
        <v>#N/A</v>
      </c>
      <c r="AH97" s="276" t="e">
        <f t="shared" si="67"/>
        <v>#N/A</v>
      </c>
      <c r="AI97" s="239">
        <f t="shared" si="100"/>
        <v>7</v>
      </c>
      <c r="AJ97" s="277" t="e">
        <f t="shared" si="68"/>
        <v>#N/A</v>
      </c>
      <c r="AK97" s="277" t="e">
        <f t="shared" si="101"/>
        <v>#N/A</v>
      </c>
      <c r="AL97" s="239" t="e">
        <f t="shared" si="69"/>
        <v>#N/A</v>
      </c>
      <c r="AM97" s="278" t="e">
        <f t="shared" si="102"/>
        <v>#N/A</v>
      </c>
      <c r="AN97" s="279" t="e">
        <f t="shared" si="70"/>
        <v>#N/A</v>
      </c>
      <c r="AO97" s="240" t="e">
        <f t="shared" si="71"/>
        <v>#N/A</v>
      </c>
      <c r="AP97" s="297">
        <f t="shared" si="103"/>
        <v>7</v>
      </c>
      <c r="AQ97" s="298" t="e">
        <f t="shared" si="72"/>
        <v>#N/A</v>
      </c>
      <c r="AR97" s="279" t="e">
        <f t="shared" si="104"/>
        <v>#N/A</v>
      </c>
      <c r="AS97" s="283" t="e">
        <f t="shared" si="73"/>
        <v>#N/A</v>
      </c>
      <c r="AT97" s="284">
        <f t="shared" si="105"/>
        <v>7</v>
      </c>
      <c r="AU97" s="285" t="e">
        <f t="shared" si="106"/>
        <v>#N/A</v>
      </c>
      <c r="AV97" s="286" t="e">
        <f t="shared" si="107"/>
        <v>#N/A</v>
      </c>
      <c r="AW97" s="287" t="e">
        <f t="shared" si="74"/>
        <v>#N/A</v>
      </c>
      <c r="AX97" s="245">
        <f t="shared" si="108"/>
        <v>7</v>
      </c>
      <c r="AY97" s="286" t="e">
        <f t="shared" si="75"/>
        <v>#N/A</v>
      </c>
      <c r="AZ97" s="245" t="e">
        <f t="shared" si="109"/>
        <v>#N/A</v>
      </c>
      <c r="BA97" s="245" t="e">
        <f t="shared" si="76"/>
        <v>#N/A</v>
      </c>
      <c r="BB97" s="288">
        <f t="shared" si="110"/>
        <v>7</v>
      </c>
      <c r="BC97" s="289" t="e">
        <f t="shared" si="111"/>
        <v>#N/A</v>
      </c>
      <c r="BD97" s="290" t="e">
        <f t="shared" si="112"/>
        <v>#N/A</v>
      </c>
      <c r="BE97" s="263" t="e">
        <f t="shared" si="77"/>
        <v>#N/A</v>
      </c>
      <c r="BF97" s="260">
        <f t="shared" si="113"/>
        <v>7</v>
      </c>
      <c r="BG97" s="289" t="e">
        <f t="shared" si="114"/>
        <v>#N/A</v>
      </c>
      <c r="BH97" s="290" t="e">
        <f t="shared" si="115"/>
        <v>#N/A</v>
      </c>
      <c r="BI97" s="263" t="e">
        <f t="shared" si="78"/>
        <v>#N/A</v>
      </c>
      <c r="BJ97" s="264">
        <f t="shared" si="116"/>
        <v>7</v>
      </c>
      <c r="BK97" s="291" t="e">
        <f t="shared" si="117"/>
        <v>#N/A</v>
      </c>
      <c r="BL97" s="291" t="e">
        <f t="shared" si="118"/>
        <v>#N/A</v>
      </c>
      <c r="BM97" s="292" t="e">
        <f t="shared" si="79"/>
        <v>#N/A</v>
      </c>
      <c r="BN97" s="293">
        <f t="shared" si="119"/>
        <v>7</v>
      </c>
      <c r="BO97" s="294" t="e">
        <f t="shared" si="120"/>
        <v>#N/A</v>
      </c>
      <c r="BP97" s="294" t="e">
        <f t="shared" si="121"/>
        <v>#N/A</v>
      </c>
      <c r="BQ97" s="292" t="e">
        <f t="shared" si="80"/>
        <v>#N/A</v>
      </c>
      <c r="BR97" s="295" t="e">
        <f t="shared" si="81"/>
        <v>#N/A</v>
      </c>
      <c r="BS97" s="230" t="e">
        <f>VLOOKUP($B97,SDR22_STOCK_BY_LA!$A$2:$C$11679,3,0)</f>
        <v>#N/A</v>
      </c>
      <c r="BT97" s="230" t="str">
        <f t="shared" si="122"/>
        <v/>
      </c>
    </row>
    <row r="98" spans="1:72" ht="12.5" x14ac:dyDescent="0.25">
      <c r="A98" s="230" t="str">
        <f t="shared" si="123"/>
        <v/>
      </c>
      <c r="B98" s="230" t="str">
        <f t="shared" si="124"/>
        <v/>
      </c>
      <c r="C98" s="296" t="str">
        <f t="shared" si="82"/>
        <v/>
      </c>
      <c r="D98" s="269" t="str">
        <f>IF(B98="","",IF(totals!$Q$3=0,IFERROR(IF(AD98=2,"0",AE98),""),"-"))</f>
        <v/>
      </c>
      <c r="E98" s="271" t="str">
        <f t="shared" si="83"/>
        <v/>
      </c>
      <c r="F98" s="272" t="str">
        <f t="shared" si="84"/>
        <v/>
      </c>
      <c r="G98" s="272" t="str">
        <f t="shared" si="85"/>
        <v/>
      </c>
      <c r="H98" s="269" t="str">
        <f t="shared" si="63"/>
        <v/>
      </c>
      <c r="I98" s="272" t="str">
        <f t="shared" si="86"/>
        <v/>
      </c>
      <c r="J98" s="272" t="str">
        <f t="shared" si="87"/>
        <v/>
      </c>
      <c r="K98" s="269" t="str">
        <f t="shared" si="64"/>
        <v/>
      </c>
      <c r="L98" s="272" t="str">
        <f t="shared" si="65"/>
        <v/>
      </c>
      <c r="M98" s="272" t="str">
        <f t="shared" si="88"/>
        <v/>
      </c>
      <c r="N98" s="269" t="str">
        <f t="shared" si="89"/>
        <v/>
      </c>
      <c r="O98" s="272" t="str">
        <f t="shared" si="90"/>
        <v/>
      </c>
      <c r="P98" s="272" t="str">
        <f t="shared" si="91"/>
        <v/>
      </c>
      <c r="Q98" s="269" t="str">
        <f t="shared" si="92"/>
        <v/>
      </c>
      <c r="R98" s="272" t="str">
        <f t="shared" si="93"/>
        <v/>
      </c>
      <c r="S98" s="272" t="str">
        <f t="shared" si="94"/>
        <v/>
      </c>
      <c r="T98" s="269" t="str">
        <f t="shared" si="95"/>
        <v/>
      </c>
      <c r="U98" s="230"/>
      <c r="V98" s="230"/>
      <c r="AB98" s="230" t="e">
        <f>VLOOKUP($B$6,Lookup_Source,91,0)</f>
        <v>#N/A</v>
      </c>
      <c r="AC98" s="254" t="str">
        <f t="shared" si="96"/>
        <v/>
      </c>
      <c r="AD98" s="255">
        <f t="shared" si="97"/>
        <v>7</v>
      </c>
      <c r="AE98" s="274" t="e">
        <f t="shared" si="66"/>
        <v>#N/A</v>
      </c>
      <c r="AF98" s="277" t="e">
        <f t="shared" si="98"/>
        <v>#N/A</v>
      </c>
      <c r="AG98" s="277" t="e">
        <f t="shared" si="99"/>
        <v>#N/A</v>
      </c>
      <c r="AH98" s="276" t="e">
        <f t="shared" si="67"/>
        <v>#N/A</v>
      </c>
      <c r="AI98" s="239">
        <f t="shared" si="100"/>
        <v>7</v>
      </c>
      <c r="AJ98" s="277" t="e">
        <f t="shared" si="68"/>
        <v>#N/A</v>
      </c>
      <c r="AK98" s="277" t="e">
        <f t="shared" si="101"/>
        <v>#N/A</v>
      </c>
      <c r="AL98" s="239" t="e">
        <f t="shared" si="69"/>
        <v>#N/A</v>
      </c>
      <c r="AM98" s="278" t="e">
        <f t="shared" si="102"/>
        <v>#N/A</v>
      </c>
      <c r="AN98" s="279" t="e">
        <f t="shared" si="70"/>
        <v>#N/A</v>
      </c>
      <c r="AO98" s="240" t="e">
        <f t="shared" si="71"/>
        <v>#N/A</v>
      </c>
      <c r="AP98" s="297">
        <f t="shared" si="103"/>
        <v>7</v>
      </c>
      <c r="AQ98" s="298" t="e">
        <f t="shared" si="72"/>
        <v>#N/A</v>
      </c>
      <c r="AR98" s="279" t="e">
        <f t="shared" si="104"/>
        <v>#N/A</v>
      </c>
      <c r="AS98" s="283" t="e">
        <f t="shared" si="73"/>
        <v>#N/A</v>
      </c>
      <c r="AT98" s="284">
        <f t="shared" si="105"/>
        <v>7</v>
      </c>
      <c r="AU98" s="285" t="e">
        <f t="shared" si="106"/>
        <v>#N/A</v>
      </c>
      <c r="AV98" s="286" t="e">
        <f t="shared" si="107"/>
        <v>#N/A</v>
      </c>
      <c r="AW98" s="287" t="e">
        <f t="shared" si="74"/>
        <v>#N/A</v>
      </c>
      <c r="AX98" s="245">
        <f t="shared" si="108"/>
        <v>7</v>
      </c>
      <c r="AY98" s="286" t="e">
        <f t="shared" si="75"/>
        <v>#N/A</v>
      </c>
      <c r="AZ98" s="245" t="e">
        <f t="shared" si="109"/>
        <v>#N/A</v>
      </c>
      <c r="BA98" s="245" t="e">
        <f t="shared" si="76"/>
        <v>#N/A</v>
      </c>
      <c r="BB98" s="288">
        <f t="shared" si="110"/>
        <v>7</v>
      </c>
      <c r="BC98" s="289" t="e">
        <f t="shared" si="111"/>
        <v>#N/A</v>
      </c>
      <c r="BD98" s="290" t="e">
        <f t="shared" si="112"/>
        <v>#N/A</v>
      </c>
      <c r="BE98" s="263" t="e">
        <f t="shared" si="77"/>
        <v>#N/A</v>
      </c>
      <c r="BF98" s="260">
        <f t="shared" si="113"/>
        <v>7</v>
      </c>
      <c r="BG98" s="289" t="e">
        <f t="shared" si="114"/>
        <v>#N/A</v>
      </c>
      <c r="BH98" s="290" t="e">
        <f t="shared" si="115"/>
        <v>#N/A</v>
      </c>
      <c r="BI98" s="263" t="e">
        <f t="shared" si="78"/>
        <v>#N/A</v>
      </c>
      <c r="BJ98" s="264">
        <f t="shared" si="116"/>
        <v>7</v>
      </c>
      <c r="BK98" s="291" t="e">
        <f t="shared" si="117"/>
        <v>#N/A</v>
      </c>
      <c r="BL98" s="291" t="e">
        <f t="shared" si="118"/>
        <v>#N/A</v>
      </c>
      <c r="BM98" s="292" t="e">
        <f t="shared" si="79"/>
        <v>#N/A</v>
      </c>
      <c r="BN98" s="293">
        <f t="shared" si="119"/>
        <v>7</v>
      </c>
      <c r="BO98" s="294" t="e">
        <f t="shared" si="120"/>
        <v>#N/A</v>
      </c>
      <c r="BP98" s="294" t="e">
        <f t="shared" si="121"/>
        <v>#N/A</v>
      </c>
      <c r="BQ98" s="292" t="e">
        <f t="shared" si="80"/>
        <v>#N/A</v>
      </c>
      <c r="BR98" s="295" t="e">
        <f t="shared" si="81"/>
        <v>#N/A</v>
      </c>
      <c r="BS98" s="230" t="e">
        <f>VLOOKUP($B98,SDR22_STOCK_BY_LA!$A$2:$C$11679,3,0)</f>
        <v>#N/A</v>
      </c>
      <c r="BT98" s="230" t="str">
        <f t="shared" si="122"/>
        <v/>
      </c>
    </row>
    <row r="99" spans="1:72" ht="12.5" x14ac:dyDescent="0.25">
      <c r="A99" s="269" t="str">
        <f t="shared" si="123"/>
        <v/>
      </c>
      <c r="B99" s="230" t="str">
        <f t="shared" si="124"/>
        <v/>
      </c>
      <c r="C99" s="270" t="str">
        <f t="shared" si="82"/>
        <v/>
      </c>
      <c r="D99" s="269" t="str">
        <f>IF(B99="","",IF(totals!$Q$3=0,IFERROR(IF(AD99=2,"0",AE99),""),"-"))</f>
        <v/>
      </c>
      <c r="E99" s="271" t="str">
        <f t="shared" si="83"/>
        <v/>
      </c>
      <c r="F99" s="272" t="str">
        <f t="shared" si="84"/>
        <v/>
      </c>
      <c r="G99" s="272" t="str">
        <f t="shared" si="85"/>
        <v/>
      </c>
      <c r="H99" s="269" t="str">
        <f t="shared" si="63"/>
        <v/>
      </c>
      <c r="I99" s="272" t="str">
        <f t="shared" si="86"/>
        <v/>
      </c>
      <c r="J99" s="272" t="str">
        <f t="shared" si="87"/>
        <v/>
      </c>
      <c r="K99" s="269" t="str">
        <f t="shared" si="64"/>
        <v/>
      </c>
      <c r="L99" s="272" t="str">
        <f t="shared" si="65"/>
        <v/>
      </c>
      <c r="M99" s="272" t="str">
        <f t="shared" si="88"/>
        <v/>
      </c>
      <c r="N99" s="269" t="str">
        <f t="shared" si="89"/>
        <v/>
      </c>
      <c r="O99" s="272" t="str">
        <f t="shared" si="90"/>
        <v/>
      </c>
      <c r="P99" s="272" t="str">
        <f t="shared" si="91"/>
        <v/>
      </c>
      <c r="Q99" s="269" t="str">
        <f t="shared" si="92"/>
        <v/>
      </c>
      <c r="R99" s="272" t="str">
        <f t="shared" si="93"/>
        <v/>
      </c>
      <c r="S99" s="272" t="str">
        <f t="shared" si="94"/>
        <v/>
      </c>
      <c r="T99" s="269" t="str">
        <f t="shared" si="95"/>
        <v/>
      </c>
      <c r="U99" s="230"/>
      <c r="V99" s="230"/>
      <c r="AB99" s="270" t="e">
        <f>VLOOKUP($B$6,Lookup_Source,92,0)</f>
        <v>#N/A</v>
      </c>
      <c r="AC99" s="254" t="str">
        <f t="shared" si="96"/>
        <v/>
      </c>
      <c r="AD99" s="255">
        <f t="shared" si="97"/>
        <v>7</v>
      </c>
      <c r="AE99" s="274" t="e">
        <f t="shared" si="66"/>
        <v>#N/A</v>
      </c>
      <c r="AF99" s="277" t="e">
        <f t="shared" si="98"/>
        <v>#N/A</v>
      </c>
      <c r="AG99" s="277" t="e">
        <f t="shared" si="99"/>
        <v>#N/A</v>
      </c>
      <c r="AH99" s="276" t="e">
        <f t="shared" si="67"/>
        <v>#N/A</v>
      </c>
      <c r="AI99" s="239">
        <f t="shared" si="100"/>
        <v>7</v>
      </c>
      <c r="AJ99" s="277" t="e">
        <f t="shared" si="68"/>
        <v>#N/A</v>
      </c>
      <c r="AK99" s="277" t="e">
        <f t="shared" si="101"/>
        <v>#N/A</v>
      </c>
      <c r="AL99" s="239" t="e">
        <f t="shared" si="69"/>
        <v>#N/A</v>
      </c>
      <c r="AM99" s="278" t="e">
        <f t="shared" si="102"/>
        <v>#N/A</v>
      </c>
      <c r="AN99" s="279" t="e">
        <f t="shared" si="70"/>
        <v>#N/A</v>
      </c>
      <c r="AO99" s="240" t="e">
        <f t="shared" si="71"/>
        <v>#N/A</v>
      </c>
      <c r="AP99" s="297">
        <f t="shared" si="103"/>
        <v>7</v>
      </c>
      <c r="AQ99" s="298" t="e">
        <f t="shared" si="72"/>
        <v>#N/A</v>
      </c>
      <c r="AR99" s="279" t="e">
        <f t="shared" si="104"/>
        <v>#N/A</v>
      </c>
      <c r="AS99" s="283" t="e">
        <f t="shared" si="73"/>
        <v>#N/A</v>
      </c>
      <c r="AT99" s="284">
        <f t="shared" si="105"/>
        <v>7</v>
      </c>
      <c r="AU99" s="285" t="e">
        <f t="shared" si="106"/>
        <v>#N/A</v>
      </c>
      <c r="AV99" s="286" t="e">
        <f t="shared" si="107"/>
        <v>#N/A</v>
      </c>
      <c r="AW99" s="287" t="e">
        <f t="shared" si="74"/>
        <v>#N/A</v>
      </c>
      <c r="AX99" s="245">
        <f t="shared" si="108"/>
        <v>7</v>
      </c>
      <c r="AY99" s="286" t="e">
        <f t="shared" si="75"/>
        <v>#N/A</v>
      </c>
      <c r="AZ99" s="245" t="e">
        <f t="shared" si="109"/>
        <v>#N/A</v>
      </c>
      <c r="BA99" s="245" t="e">
        <f t="shared" si="76"/>
        <v>#N/A</v>
      </c>
      <c r="BB99" s="288">
        <f t="shared" si="110"/>
        <v>7</v>
      </c>
      <c r="BC99" s="289" t="e">
        <f t="shared" si="111"/>
        <v>#N/A</v>
      </c>
      <c r="BD99" s="290" t="e">
        <f t="shared" si="112"/>
        <v>#N/A</v>
      </c>
      <c r="BE99" s="263" t="e">
        <f t="shared" si="77"/>
        <v>#N/A</v>
      </c>
      <c r="BF99" s="260">
        <f t="shared" si="113"/>
        <v>7</v>
      </c>
      <c r="BG99" s="289" t="e">
        <f t="shared" si="114"/>
        <v>#N/A</v>
      </c>
      <c r="BH99" s="290" t="e">
        <f t="shared" si="115"/>
        <v>#N/A</v>
      </c>
      <c r="BI99" s="263" t="e">
        <f t="shared" si="78"/>
        <v>#N/A</v>
      </c>
      <c r="BJ99" s="264">
        <f t="shared" si="116"/>
        <v>7</v>
      </c>
      <c r="BK99" s="291" t="e">
        <f t="shared" si="117"/>
        <v>#N/A</v>
      </c>
      <c r="BL99" s="291" t="e">
        <f t="shared" si="118"/>
        <v>#N/A</v>
      </c>
      <c r="BM99" s="292" t="e">
        <f t="shared" si="79"/>
        <v>#N/A</v>
      </c>
      <c r="BN99" s="293">
        <f t="shared" si="119"/>
        <v>7</v>
      </c>
      <c r="BO99" s="294" t="e">
        <f t="shared" si="120"/>
        <v>#N/A</v>
      </c>
      <c r="BP99" s="294" t="e">
        <f t="shared" si="121"/>
        <v>#N/A</v>
      </c>
      <c r="BQ99" s="292" t="e">
        <f t="shared" si="80"/>
        <v>#N/A</v>
      </c>
      <c r="BR99" s="295" t="e">
        <f t="shared" si="81"/>
        <v>#N/A</v>
      </c>
      <c r="BS99" s="230" t="e">
        <f>VLOOKUP($B99,SDR22_STOCK_BY_LA!$A$2:$C$11679,3,0)</f>
        <v>#N/A</v>
      </c>
      <c r="BT99" s="230" t="str">
        <f t="shared" si="122"/>
        <v/>
      </c>
    </row>
    <row r="100" spans="1:72" ht="12.5" x14ac:dyDescent="0.25">
      <c r="A100" s="230" t="str">
        <f t="shared" si="123"/>
        <v/>
      </c>
      <c r="B100" s="230" t="str">
        <f t="shared" si="124"/>
        <v/>
      </c>
      <c r="C100" s="296" t="str">
        <f t="shared" si="82"/>
        <v/>
      </c>
      <c r="D100" s="269" t="str">
        <f>IF(B100="","",IF(totals!$Q$3=0,IFERROR(IF(AD100=2,"0",AE100),""),"-"))</f>
        <v/>
      </c>
      <c r="E100" s="271" t="str">
        <f t="shared" si="83"/>
        <v/>
      </c>
      <c r="F100" s="272" t="str">
        <f t="shared" si="84"/>
        <v/>
      </c>
      <c r="G100" s="272" t="str">
        <f t="shared" si="85"/>
        <v/>
      </c>
      <c r="H100" s="269" t="str">
        <f t="shared" si="63"/>
        <v/>
      </c>
      <c r="I100" s="272" t="str">
        <f t="shared" si="86"/>
        <v/>
      </c>
      <c r="J100" s="272" t="str">
        <f t="shared" si="87"/>
        <v/>
      </c>
      <c r="K100" s="269" t="str">
        <f t="shared" si="64"/>
        <v/>
      </c>
      <c r="L100" s="272" t="str">
        <f t="shared" si="65"/>
        <v/>
      </c>
      <c r="M100" s="272" t="str">
        <f t="shared" si="88"/>
        <v/>
      </c>
      <c r="N100" s="269" t="str">
        <f t="shared" si="89"/>
        <v/>
      </c>
      <c r="O100" s="272" t="str">
        <f t="shared" si="90"/>
        <v/>
      </c>
      <c r="P100" s="272" t="str">
        <f t="shared" si="91"/>
        <v/>
      </c>
      <c r="Q100" s="269" t="str">
        <f t="shared" si="92"/>
        <v/>
      </c>
      <c r="R100" s="272" t="str">
        <f t="shared" si="93"/>
        <v/>
      </c>
      <c r="S100" s="272" t="str">
        <f t="shared" si="94"/>
        <v/>
      </c>
      <c r="T100" s="269" t="str">
        <f t="shared" si="95"/>
        <v/>
      </c>
      <c r="U100" s="230"/>
      <c r="V100" s="230"/>
      <c r="AB100" s="230" t="e">
        <f>VLOOKUP($B$6,Lookup_Source,93,0)</f>
        <v>#N/A</v>
      </c>
      <c r="AC100" s="254" t="str">
        <f t="shared" si="96"/>
        <v/>
      </c>
      <c r="AD100" s="255">
        <f t="shared" si="97"/>
        <v>7</v>
      </c>
      <c r="AE100" s="274" t="e">
        <f t="shared" si="66"/>
        <v>#N/A</v>
      </c>
      <c r="AF100" s="277" t="e">
        <f t="shared" si="98"/>
        <v>#N/A</v>
      </c>
      <c r="AG100" s="277" t="e">
        <f t="shared" si="99"/>
        <v>#N/A</v>
      </c>
      <c r="AH100" s="276" t="e">
        <f t="shared" si="67"/>
        <v>#N/A</v>
      </c>
      <c r="AI100" s="239">
        <f t="shared" si="100"/>
        <v>7</v>
      </c>
      <c r="AJ100" s="277" t="e">
        <f t="shared" si="68"/>
        <v>#N/A</v>
      </c>
      <c r="AK100" s="277" t="e">
        <f t="shared" si="101"/>
        <v>#N/A</v>
      </c>
      <c r="AL100" s="239" t="e">
        <f t="shared" si="69"/>
        <v>#N/A</v>
      </c>
      <c r="AM100" s="278" t="e">
        <f t="shared" si="102"/>
        <v>#N/A</v>
      </c>
      <c r="AN100" s="279" t="e">
        <f t="shared" si="70"/>
        <v>#N/A</v>
      </c>
      <c r="AO100" s="240" t="e">
        <f t="shared" si="71"/>
        <v>#N/A</v>
      </c>
      <c r="AP100" s="297">
        <f t="shared" si="103"/>
        <v>7</v>
      </c>
      <c r="AQ100" s="298" t="e">
        <f t="shared" si="72"/>
        <v>#N/A</v>
      </c>
      <c r="AR100" s="279" t="e">
        <f t="shared" si="104"/>
        <v>#N/A</v>
      </c>
      <c r="AS100" s="283" t="e">
        <f t="shared" si="73"/>
        <v>#N/A</v>
      </c>
      <c r="AT100" s="284">
        <f t="shared" si="105"/>
        <v>7</v>
      </c>
      <c r="AU100" s="285" t="e">
        <f t="shared" si="106"/>
        <v>#N/A</v>
      </c>
      <c r="AV100" s="286" t="e">
        <f t="shared" si="107"/>
        <v>#N/A</v>
      </c>
      <c r="AW100" s="287" t="e">
        <f t="shared" si="74"/>
        <v>#N/A</v>
      </c>
      <c r="AX100" s="245">
        <f t="shared" si="108"/>
        <v>7</v>
      </c>
      <c r="AY100" s="286" t="e">
        <f t="shared" si="75"/>
        <v>#N/A</v>
      </c>
      <c r="AZ100" s="245" t="e">
        <f t="shared" si="109"/>
        <v>#N/A</v>
      </c>
      <c r="BA100" s="245" t="e">
        <f t="shared" si="76"/>
        <v>#N/A</v>
      </c>
      <c r="BB100" s="288">
        <f t="shared" si="110"/>
        <v>7</v>
      </c>
      <c r="BC100" s="289" t="e">
        <f t="shared" si="111"/>
        <v>#N/A</v>
      </c>
      <c r="BD100" s="290" t="e">
        <f t="shared" si="112"/>
        <v>#N/A</v>
      </c>
      <c r="BE100" s="263" t="e">
        <f t="shared" si="77"/>
        <v>#N/A</v>
      </c>
      <c r="BF100" s="260">
        <f t="shared" si="113"/>
        <v>7</v>
      </c>
      <c r="BG100" s="289" t="e">
        <f t="shared" si="114"/>
        <v>#N/A</v>
      </c>
      <c r="BH100" s="290" t="e">
        <f t="shared" si="115"/>
        <v>#N/A</v>
      </c>
      <c r="BI100" s="263" t="e">
        <f t="shared" si="78"/>
        <v>#N/A</v>
      </c>
      <c r="BJ100" s="264">
        <f t="shared" si="116"/>
        <v>7</v>
      </c>
      <c r="BK100" s="291" t="e">
        <f t="shared" si="117"/>
        <v>#N/A</v>
      </c>
      <c r="BL100" s="291" t="e">
        <f t="shared" si="118"/>
        <v>#N/A</v>
      </c>
      <c r="BM100" s="292" t="e">
        <f t="shared" si="79"/>
        <v>#N/A</v>
      </c>
      <c r="BN100" s="293">
        <f t="shared" si="119"/>
        <v>7</v>
      </c>
      <c r="BO100" s="294" t="e">
        <f t="shared" si="120"/>
        <v>#N/A</v>
      </c>
      <c r="BP100" s="294" t="e">
        <f t="shared" si="121"/>
        <v>#N/A</v>
      </c>
      <c r="BQ100" s="292" t="e">
        <f t="shared" si="80"/>
        <v>#N/A</v>
      </c>
      <c r="BR100" s="295" t="e">
        <f t="shared" si="81"/>
        <v>#N/A</v>
      </c>
      <c r="BS100" s="230" t="e">
        <f>VLOOKUP($B100,SDR22_STOCK_BY_LA!$A$2:$C$11679,3,0)</f>
        <v>#N/A</v>
      </c>
      <c r="BT100" s="230" t="str">
        <f t="shared" si="122"/>
        <v/>
      </c>
    </row>
    <row r="101" spans="1:72" ht="12.5" x14ac:dyDescent="0.25">
      <c r="A101" s="269" t="str">
        <f t="shared" si="123"/>
        <v/>
      </c>
      <c r="B101" s="230" t="str">
        <f t="shared" si="124"/>
        <v/>
      </c>
      <c r="C101" s="270" t="str">
        <f t="shared" si="82"/>
        <v/>
      </c>
      <c r="D101" s="269" t="str">
        <f>IF(B101="","",IF(totals!$Q$3=0,IFERROR(IF(AD101=2,"0",AE101),""),"-"))</f>
        <v/>
      </c>
      <c r="E101" s="271" t="str">
        <f t="shared" si="83"/>
        <v/>
      </c>
      <c r="F101" s="272" t="str">
        <f t="shared" si="84"/>
        <v/>
      </c>
      <c r="G101" s="272" t="str">
        <f t="shared" si="85"/>
        <v/>
      </c>
      <c r="H101" s="269" t="str">
        <f t="shared" si="63"/>
        <v/>
      </c>
      <c r="I101" s="272" t="str">
        <f t="shared" si="86"/>
        <v/>
      </c>
      <c r="J101" s="272" t="str">
        <f t="shared" si="87"/>
        <v/>
      </c>
      <c r="K101" s="269" t="str">
        <f t="shared" si="64"/>
        <v/>
      </c>
      <c r="L101" s="272" t="str">
        <f t="shared" si="65"/>
        <v/>
      </c>
      <c r="M101" s="272" t="str">
        <f t="shared" si="88"/>
        <v/>
      </c>
      <c r="N101" s="269" t="str">
        <f t="shared" si="89"/>
        <v/>
      </c>
      <c r="O101" s="272" t="str">
        <f t="shared" si="90"/>
        <v/>
      </c>
      <c r="P101" s="272" t="str">
        <f t="shared" si="91"/>
        <v/>
      </c>
      <c r="Q101" s="269" t="str">
        <f t="shared" si="92"/>
        <v/>
      </c>
      <c r="R101" s="272" t="str">
        <f t="shared" si="93"/>
        <v/>
      </c>
      <c r="S101" s="272" t="str">
        <f t="shared" si="94"/>
        <v/>
      </c>
      <c r="T101" s="269" t="str">
        <f t="shared" si="95"/>
        <v/>
      </c>
      <c r="U101" s="230"/>
      <c r="V101" s="230"/>
      <c r="AB101" s="270" t="e">
        <f>VLOOKUP($B$6,Lookup_Source,94,0)</f>
        <v>#N/A</v>
      </c>
      <c r="AC101" s="254" t="str">
        <f t="shared" si="96"/>
        <v/>
      </c>
      <c r="AD101" s="255">
        <f t="shared" si="97"/>
        <v>7</v>
      </c>
      <c r="AE101" s="274" t="e">
        <f t="shared" si="66"/>
        <v>#N/A</v>
      </c>
      <c r="AF101" s="277" t="e">
        <f t="shared" si="98"/>
        <v>#N/A</v>
      </c>
      <c r="AG101" s="277" t="e">
        <f t="shared" si="99"/>
        <v>#N/A</v>
      </c>
      <c r="AH101" s="276" t="e">
        <f t="shared" si="67"/>
        <v>#N/A</v>
      </c>
      <c r="AI101" s="239">
        <f t="shared" si="100"/>
        <v>7</v>
      </c>
      <c r="AJ101" s="277" t="e">
        <f t="shared" si="68"/>
        <v>#N/A</v>
      </c>
      <c r="AK101" s="277" t="e">
        <f t="shared" si="101"/>
        <v>#N/A</v>
      </c>
      <c r="AL101" s="239" t="e">
        <f t="shared" si="69"/>
        <v>#N/A</v>
      </c>
      <c r="AM101" s="278" t="e">
        <f t="shared" si="102"/>
        <v>#N/A</v>
      </c>
      <c r="AN101" s="279" t="e">
        <f t="shared" si="70"/>
        <v>#N/A</v>
      </c>
      <c r="AO101" s="240" t="e">
        <f t="shared" si="71"/>
        <v>#N/A</v>
      </c>
      <c r="AP101" s="297">
        <f t="shared" si="103"/>
        <v>7</v>
      </c>
      <c r="AQ101" s="298" t="e">
        <f t="shared" si="72"/>
        <v>#N/A</v>
      </c>
      <c r="AR101" s="279" t="e">
        <f t="shared" si="104"/>
        <v>#N/A</v>
      </c>
      <c r="AS101" s="283" t="e">
        <f t="shared" si="73"/>
        <v>#N/A</v>
      </c>
      <c r="AT101" s="284">
        <f t="shared" si="105"/>
        <v>7</v>
      </c>
      <c r="AU101" s="285" t="e">
        <f t="shared" si="106"/>
        <v>#N/A</v>
      </c>
      <c r="AV101" s="286" t="e">
        <f t="shared" si="107"/>
        <v>#N/A</v>
      </c>
      <c r="AW101" s="287" t="e">
        <f t="shared" si="74"/>
        <v>#N/A</v>
      </c>
      <c r="AX101" s="245">
        <f t="shared" si="108"/>
        <v>7</v>
      </c>
      <c r="AY101" s="286" t="e">
        <f t="shared" si="75"/>
        <v>#N/A</v>
      </c>
      <c r="AZ101" s="245" t="e">
        <f t="shared" si="109"/>
        <v>#N/A</v>
      </c>
      <c r="BA101" s="245" t="e">
        <f t="shared" si="76"/>
        <v>#N/A</v>
      </c>
      <c r="BB101" s="288">
        <f t="shared" si="110"/>
        <v>7</v>
      </c>
      <c r="BC101" s="289" t="e">
        <f t="shared" si="111"/>
        <v>#N/A</v>
      </c>
      <c r="BD101" s="290" t="e">
        <f t="shared" si="112"/>
        <v>#N/A</v>
      </c>
      <c r="BE101" s="263" t="e">
        <f t="shared" si="77"/>
        <v>#N/A</v>
      </c>
      <c r="BF101" s="260">
        <f t="shared" si="113"/>
        <v>7</v>
      </c>
      <c r="BG101" s="289" t="e">
        <f t="shared" si="114"/>
        <v>#N/A</v>
      </c>
      <c r="BH101" s="290" t="e">
        <f t="shared" si="115"/>
        <v>#N/A</v>
      </c>
      <c r="BI101" s="263" t="e">
        <f t="shared" si="78"/>
        <v>#N/A</v>
      </c>
      <c r="BJ101" s="264">
        <f t="shared" si="116"/>
        <v>7</v>
      </c>
      <c r="BK101" s="291" t="e">
        <f t="shared" si="117"/>
        <v>#N/A</v>
      </c>
      <c r="BL101" s="291" t="e">
        <f t="shared" si="118"/>
        <v>#N/A</v>
      </c>
      <c r="BM101" s="292" t="e">
        <f t="shared" si="79"/>
        <v>#N/A</v>
      </c>
      <c r="BN101" s="293">
        <f t="shared" si="119"/>
        <v>7</v>
      </c>
      <c r="BO101" s="294" t="e">
        <f t="shared" si="120"/>
        <v>#N/A</v>
      </c>
      <c r="BP101" s="294" t="e">
        <f t="shared" si="121"/>
        <v>#N/A</v>
      </c>
      <c r="BQ101" s="292" t="e">
        <f t="shared" si="80"/>
        <v>#N/A</v>
      </c>
      <c r="BR101" s="295" t="e">
        <f t="shared" si="81"/>
        <v>#N/A</v>
      </c>
      <c r="BS101" s="230" t="e">
        <f>VLOOKUP($B101,SDR22_STOCK_BY_LA!$A$2:$C$11679,3,0)</f>
        <v>#N/A</v>
      </c>
      <c r="BT101" s="230" t="str">
        <f t="shared" si="122"/>
        <v/>
      </c>
    </row>
    <row r="102" spans="1:72" ht="12.5" x14ac:dyDescent="0.25">
      <c r="A102" s="230" t="str">
        <f t="shared" si="123"/>
        <v/>
      </c>
      <c r="B102" s="230" t="str">
        <f t="shared" si="124"/>
        <v/>
      </c>
      <c r="C102" s="296" t="str">
        <f t="shared" si="82"/>
        <v/>
      </c>
      <c r="D102" s="269" t="str">
        <f>IF(B102="","",IF(totals!$Q$3=0,IFERROR(IF(AD102=2,"0",AE102),""),"-"))</f>
        <v/>
      </c>
      <c r="E102" s="271" t="str">
        <f t="shared" si="83"/>
        <v/>
      </c>
      <c r="F102" s="272" t="str">
        <f t="shared" si="84"/>
        <v/>
      </c>
      <c r="G102" s="272" t="str">
        <f t="shared" si="85"/>
        <v/>
      </c>
      <c r="H102" s="269" t="str">
        <f t="shared" si="63"/>
        <v/>
      </c>
      <c r="I102" s="272" t="str">
        <f t="shared" si="86"/>
        <v/>
      </c>
      <c r="J102" s="272" t="str">
        <f t="shared" si="87"/>
        <v/>
      </c>
      <c r="K102" s="269" t="str">
        <f t="shared" si="64"/>
        <v/>
      </c>
      <c r="L102" s="272" t="str">
        <f t="shared" si="65"/>
        <v/>
      </c>
      <c r="M102" s="272" t="str">
        <f t="shared" si="88"/>
        <v/>
      </c>
      <c r="N102" s="269" t="str">
        <f t="shared" si="89"/>
        <v/>
      </c>
      <c r="O102" s="272" t="str">
        <f t="shared" si="90"/>
        <v/>
      </c>
      <c r="P102" s="272" t="str">
        <f t="shared" si="91"/>
        <v/>
      </c>
      <c r="Q102" s="269" t="str">
        <f t="shared" si="92"/>
        <v/>
      </c>
      <c r="R102" s="272" t="str">
        <f t="shared" si="93"/>
        <v/>
      </c>
      <c r="S102" s="272" t="str">
        <f t="shared" si="94"/>
        <v/>
      </c>
      <c r="T102" s="269" t="str">
        <f t="shared" si="95"/>
        <v/>
      </c>
      <c r="U102" s="230"/>
      <c r="V102" s="230"/>
      <c r="AB102" s="230" t="e">
        <f>VLOOKUP($B$6,Lookup_Source,95,0)</f>
        <v>#N/A</v>
      </c>
      <c r="AC102" s="254" t="str">
        <f t="shared" si="96"/>
        <v/>
      </c>
      <c r="AD102" s="255">
        <f t="shared" si="97"/>
        <v>7</v>
      </c>
      <c r="AE102" s="274" t="e">
        <f t="shared" si="66"/>
        <v>#N/A</v>
      </c>
      <c r="AF102" s="277" t="e">
        <f t="shared" si="98"/>
        <v>#N/A</v>
      </c>
      <c r="AG102" s="277" t="e">
        <f t="shared" si="99"/>
        <v>#N/A</v>
      </c>
      <c r="AH102" s="276" t="e">
        <f t="shared" si="67"/>
        <v>#N/A</v>
      </c>
      <c r="AI102" s="239">
        <f t="shared" si="100"/>
        <v>7</v>
      </c>
      <c r="AJ102" s="277" t="e">
        <f t="shared" si="68"/>
        <v>#N/A</v>
      </c>
      <c r="AK102" s="277" t="e">
        <f t="shared" si="101"/>
        <v>#N/A</v>
      </c>
      <c r="AL102" s="239" t="e">
        <f t="shared" si="69"/>
        <v>#N/A</v>
      </c>
      <c r="AM102" s="278" t="e">
        <f t="shared" si="102"/>
        <v>#N/A</v>
      </c>
      <c r="AN102" s="279" t="e">
        <f t="shared" si="70"/>
        <v>#N/A</v>
      </c>
      <c r="AO102" s="240" t="e">
        <f t="shared" si="71"/>
        <v>#N/A</v>
      </c>
      <c r="AP102" s="297">
        <f t="shared" si="103"/>
        <v>7</v>
      </c>
      <c r="AQ102" s="298" t="e">
        <f t="shared" si="72"/>
        <v>#N/A</v>
      </c>
      <c r="AR102" s="279" t="e">
        <f t="shared" si="104"/>
        <v>#N/A</v>
      </c>
      <c r="AS102" s="283" t="e">
        <f t="shared" si="73"/>
        <v>#N/A</v>
      </c>
      <c r="AT102" s="284">
        <f t="shared" si="105"/>
        <v>7</v>
      </c>
      <c r="AU102" s="285" t="e">
        <f t="shared" si="106"/>
        <v>#N/A</v>
      </c>
      <c r="AV102" s="286" t="e">
        <f t="shared" si="107"/>
        <v>#N/A</v>
      </c>
      <c r="AW102" s="287" t="e">
        <f t="shared" si="74"/>
        <v>#N/A</v>
      </c>
      <c r="AX102" s="245">
        <f t="shared" si="108"/>
        <v>7</v>
      </c>
      <c r="AY102" s="286" t="e">
        <f t="shared" si="75"/>
        <v>#N/A</v>
      </c>
      <c r="AZ102" s="245" t="e">
        <f t="shared" si="109"/>
        <v>#N/A</v>
      </c>
      <c r="BA102" s="245" t="e">
        <f t="shared" si="76"/>
        <v>#N/A</v>
      </c>
      <c r="BB102" s="288">
        <f t="shared" si="110"/>
        <v>7</v>
      </c>
      <c r="BC102" s="289" t="e">
        <f t="shared" si="111"/>
        <v>#N/A</v>
      </c>
      <c r="BD102" s="290" t="e">
        <f t="shared" si="112"/>
        <v>#N/A</v>
      </c>
      <c r="BE102" s="263" t="e">
        <f t="shared" si="77"/>
        <v>#N/A</v>
      </c>
      <c r="BF102" s="260">
        <f t="shared" si="113"/>
        <v>7</v>
      </c>
      <c r="BG102" s="289" t="e">
        <f t="shared" si="114"/>
        <v>#N/A</v>
      </c>
      <c r="BH102" s="290" t="e">
        <f t="shared" si="115"/>
        <v>#N/A</v>
      </c>
      <c r="BI102" s="263" t="e">
        <f t="shared" si="78"/>
        <v>#N/A</v>
      </c>
      <c r="BJ102" s="264">
        <f t="shared" si="116"/>
        <v>7</v>
      </c>
      <c r="BK102" s="291" t="e">
        <f t="shared" si="117"/>
        <v>#N/A</v>
      </c>
      <c r="BL102" s="291" t="e">
        <f t="shared" si="118"/>
        <v>#N/A</v>
      </c>
      <c r="BM102" s="292" t="e">
        <f t="shared" si="79"/>
        <v>#N/A</v>
      </c>
      <c r="BN102" s="293">
        <f t="shared" si="119"/>
        <v>7</v>
      </c>
      <c r="BO102" s="294" t="e">
        <f t="shared" si="120"/>
        <v>#N/A</v>
      </c>
      <c r="BP102" s="294" t="e">
        <f t="shared" si="121"/>
        <v>#N/A</v>
      </c>
      <c r="BQ102" s="292" t="e">
        <f t="shared" si="80"/>
        <v>#N/A</v>
      </c>
      <c r="BR102" s="295" t="e">
        <f t="shared" si="81"/>
        <v>#N/A</v>
      </c>
      <c r="BS102" s="230" t="e">
        <f>VLOOKUP($B102,SDR22_STOCK_BY_LA!$A$2:$C$11679,3,0)</f>
        <v>#N/A</v>
      </c>
      <c r="BT102" s="230" t="str">
        <f t="shared" si="122"/>
        <v/>
      </c>
    </row>
    <row r="103" spans="1:72" ht="12.5" x14ac:dyDescent="0.25">
      <c r="A103" s="269" t="str">
        <f t="shared" si="123"/>
        <v/>
      </c>
      <c r="B103" s="230" t="str">
        <f t="shared" si="124"/>
        <v/>
      </c>
      <c r="C103" s="270" t="str">
        <f t="shared" si="82"/>
        <v/>
      </c>
      <c r="D103" s="269" t="str">
        <f>IF(B103="","",IF(totals!$Q$3=0,IFERROR(IF(AD103=2,"0",AE103),""),"-"))</f>
        <v/>
      </c>
      <c r="E103" s="271" t="str">
        <f t="shared" si="83"/>
        <v/>
      </c>
      <c r="F103" s="272" t="str">
        <f t="shared" si="84"/>
        <v/>
      </c>
      <c r="G103" s="272" t="str">
        <f t="shared" si="85"/>
        <v/>
      </c>
      <c r="H103" s="269" t="str">
        <f t="shared" si="63"/>
        <v/>
      </c>
      <c r="I103" s="272" t="str">
        <f t="shared" si="86"/>
        <v/>
      </c>
      <c r="J103" s="272" t="str">
        <f t="shared" si="87"/>
        <v/>
      </c>
      <c r="K103" s="269" t="str">
        <f t="shared" si="64"/>
        <v/>
      </c>
      <c r="L103" s="272" t="str">
        <f t="shared" si="65"/>
        <v/>
      </c>
      <c r="M103" s="272" t="str">
        <f t="shared" si="88"/>
        <v/>
      </c>
      <c r="N103" s="269" t="str">
        <f t="shared" si="89"/>
        <v/>
      </c>
      <c r="O103" s="272" t="str">
        <f t="shared" si="90"/>
        <v/>
      </c>
      <c r="P103" s="272" t="str">
        <f t="shared" si="91"/>
        <v/>
      </c>
      <c r="Q103" s="269" t="str">
        <f t="shared" si="92"/>
        <v/>
      </c>
      <c r="R103" s="272" t="str">
        <f t="shared" si="93"/>
        <v/>
      </c>
      <c r="S103" s="272" t="str">
        <f t="shared" si="94"/>
        <v/>
      </c>
      <c r="T103" s="269" t="str">
        <f t="shared" si="95"/>
        <v/>
      </c>
      <c r="U103" s="230"/>
      <c r="V103" s="230"/>
      <c r="AB103" s="270" t="e">
        <f>VLOOKUP($B$6,Lookup_Source,96,0)</f>
        <v>#N/A</v>
      </c>
      <c r="AC103" s="254" t="str">
        <f t="shared" si="96"/>
        <v/>
      </c>
      <c r="AD103" s="255">
        <f t="shared" si="97"/>
        <v>7</v>
      </c>
      <c r="AE103" s="274" t="e">
        <f t="shared" si="66"/>
        <v>#N/A</v>
      </c>
      <c r="AF103" s="277" t="e">
        <f t="shared" si="98"/>
        <v>#N/A</v>
      </c>
      <c r="AG103" s="277" t="e">
        <f t="shared" si="99"/>
        <v>#N/A</v>
      </c>
      <c r="AH103" s="276" t="e">
        <f t="shared" si="67"/>
        <v>#N/A</v>
      </c>
      <c r="AI103" s="239">
        <f t="shared" si="100"/>
        <v>7</v>
      </c>
      <c r="AJ103" s="277" t="e">
        <f t="shared" si="68"/>
        <v>#N/A</v>
      </c>
      <c r="AK103" s="277" t="e">
        <f t="shared" si="101"/>
        <v>#N/A</v>
      </c>
      <c r="AL103" s="239" t="e">
        <f t="shared" si="69"/>
        <v>#N/A</v>
      </c>
      <c r="AM103" s="278" t="e">
        <f t="shared" si="102"/>
        <v>#N/A</v>
      </c>
      <c r="AN103" s="279" t="e">
        <f t="shared" si="70"/>
        <v>#N/A</v>
      </c>
      <c r="AO103" s="240" t="e">
        <f t="shared" si="71"/>
        <v>#N/A</v>
      </c>
      <c r="AP103" s="297">
        <f t="shared" si="103"/>
        <v>7</v>
      </c>
      <c r="AQ103" s="298" t="e">
        <f t="shared" si="72"/>
        <v>#N/A</v>
      </c>
      <c r="AR103" s="279" t="e">
        <f t="shared" si="104"/>
        <v>#N/A</v>
      </c>
      <c r="AS103" s="283" t="e">
        <f t="shared" si="73"/>
        <v>#N/A</v>
      </c>
      <c r="AT103" s="284">
        <f t="shared" si="105"/>
        <v>7</v>
      </c>
      <c r="AU103" s="285" t="e">
        <f t="shared" si="106"/>
        <v>#N/A</v>
      </c>
      <c r="AV103" s="286" t="e">
        <f t="shared" si="107"/>
        <v>#N/A</v>
      </c>
      <c r="AW103" s="287" t="e">
        <f t="shared" si="74"/>
        <v>#N/A</v>
      </c>
      <c r="AX103" s="245">
        <f t="shared" si="108"/>
        <v>7</v>
      </c>
      <c r="AY103" s="286" t="e">
        <f t="shared" si="75"/>
        <v>#N/A</v>
      </c>
      <c r="AZ103" s="245" t="e">
        <f t="shared" si="109"/>
        <v>#N/A</v>
      </c>
      <c r="BA103" s="245" t="e">
        <f t="shared" si="76"/>
        <v>#N/A</v>
      </c>
      <c r="BB103" s="288">
        <f t="shared" si="110"/>
        <v>7</v>
      </c>
      <c r="BC103" s="289" t="e">
        <f t="shared" si="111"/>
        <v>#N/A</v>
      </c>
      <c r="BD103" s="290" t="e">
        <f t="shared" si="112"/>
        <v>#N/A</v>
      </c>
      <c r="BE103" s="263" t="e">
        <f t="shared" si="77"/>
        <v>#N/A</v>
      </c>
      <c r="BF103" s="260">
        <f t="shared" si="113"/>
        <v>7</v>
      </c>
      <c r="BG103" s="289" t="e">
        <f t="shared" si="114"/>
        <v>#N/A</v>
      </c>
      <c r="BH103" s="290" t="e">
        <f t="shared" si="115"/>
        <v>#N/A</v>
      </c>
      <c r="BI103" s="263" t="e">
        <f t="shared" si="78"/>
        <v>#N/A</v>
      </c>
      <c r="BJ103" s="264">
        <f t="shared" si="116"/>
        <v>7</v>
      </c>
      <c r="BK103" s="291" t="e">
        <f t="shared" si="117"/>
        <v>#N/A</v>
      </c>
      <c r="BL103" s="291" t="e">
        <f t="shared" si="118"/>
        <v>#N/A</v>
      </c>
      <c r="BM103" s="292" t="e">
        <f t="shared" si="79"/>
        <v>#N/A</v>
      </c>
      <c r="BN103" s="293">
        <f t="shared" si="119"/>
        <v>7</v>
      </c>
      <c r="BO103" s="294" t="e">
        <f t="shared" si="120"/>
        <v>#N/A</v>
      </c>
      <c r="BP103" s="294" t="e">
        <f t="shared" si="121"/>
        <v>#N/A</v>
      </c>
      <c r="BQ103" s="292" t="e">
        <f t="shared" si="80"/>
        <v>#N/A</v>
      </c>
      <c r="BR103" s="295" t="e">
        <f t="shared" si="81"/>
        <v>#N/A</v>
      </c>
      <c r="BS103" s="230" t="e">
        <f>VLOOKUP($B103,SDR22_STOCK_BY_LA!$A$2:$C$11679,3,0)</f>
        <v>#N/A</v>
      </c>
      <c r="BT103" s="230" t="str">
        <f t="shared" si="122"/>
        <v/>
      </c>
    </row>
    <row r="104" spans="1:72" ht="12.5" x14ac:dyDescent="0.25">
      <c r="A104" s="230" t="str">
        <f t="shared" si="123"/>
        <v/>
      </c>
      <c r="B104" s="230" t="str">
        <f t="shared" si="124"/>
        <v/>
      </c>
      <c r="C104" s="296" t="str">
        <f t="shared" si="82"/>
        <v/>
      </c>
      <c r="D104" s="269" t="str">
        <f>IF(B104="","",IF(totals!$Q$3=0,IFERROR(IF(AD104=2,"0",AE104),""),"-"))</f>
        <v/>
      </c>
      <c r="E104" s="271" t="str">
        <f t="shared" si="83"/>
        <v/>
      </c>
      <c r="F104" s="272" t="str">
        <f t="shared" si="84"/>
        <v/>
      </c>
      <c r="G104" s="272" t="str">
        <f t="shared" si="85"/>
        <v/>
      </c>
      <c r="H104" s="269" t="str">
        <f t="shared" si="63"/>
        <v/>
      </c>
      <c r="I104" s="272" t="str">
        <f t="shared" si="86"/>
        <v/>
      </c>
      <c r="J104" s="272" t="str">
        <f t="shared" si="87"/>
        <v/>
      </c>
      <c r="K104" s="269" t="str">
        <f t="shared" si="64"/>
        <v/>
      </c>
      <c r="L104" s="272" t="str">
        <f t="shared" si="65"/>
        <v/>
      </c>
      <c r="M104" s="272" t="str">
        <f t="shared" si="88"/>
        <v/>
      </c>
      <c r="N104" s="269" t="str">
        <f t="shared" si="89"/>
        <v/>
      </c>
      <c r="O104" s="272" t="str">
        <f t="shared" si="90"/>
        <v/>
      </c>
      <c r="P104" s="272" t="str">
        <f t="shared" si="91"/>
        <v/>
      </c>
      <c r="Q104" s="269" t="str">
        <f t="shared" si="92"/>
        <v/>
      </c>
      <c r="R104" s="272" t="str">
        <f t="shared" si="93"/>
        <v/>
      </c>
      <c r="S104" s="272" t="str">
        <f t="shared" si="94"/>
        <v/>
      </c>
      <c r="T104" s="269" t="str">
        <f t="shared" si="95"/>
        <v/>
      </c>
      <c r="U104" s="230"/>
      <c r="V104" s="230"/>
      <c r="AB104" s="230" t="e">
        <f>VLOOKUP($B$6,Lookup_Source,97,0)</f>
        <v>#N/A</v>
      </c>
      <c r="AC104" s="254" t="str">
        <f t="shared" si="96"/>
        <v/>
      </c>
      <c r="AD104" s="255">
        <f t="shared" si="97"/>
        <v>7</v>
      </c>
      <c r="AE104" s="274" t="e">
        <f t="shared" si="66"/>
        <v>#N/A</v>
      </c>
      <c r="AF104" s="277" t="e">
        <f t="shared" si="98"/>
        <v>#N/A</v>
      </c>
      <c r="AG104" s="277" t="e">
        <f t="shared" si="99"/>
        <v>#N/A</v>
      </c>
      <c r="AH104" s="276" t="e">
        <f t="shared" si="67"/>
        <v>#N/A</v>
      </c>
      <c r="AI104" s="239">
        <f t="shared" si="100"/>
        <v>7</v>
      </c>
      <c r="AJ104" s="277" t="e">
        <f t="shared" si="68"/>
        <v>#N/A</v>
      </c>
      <c r="AK104" s="277" t="e">
        <f t="shared" si="101"/>
        <v>#N/A</v>
      </c>
      <c r="AL104" s="239" t="e">
        <f t="shared" si="69"/>
        <v>#N/A</v>
      </c>
      <c r="AM104" s="278" t="e">
        <f t="shared" si="102"/>
        <v>#N/A</v>
      </c>
      <c r="AN104" s="279" t="e">
        <f t="shared" si="70"/>
        <v>#N/A</v>
      </c>
      <c r="AO104" s="240" t="e">
        <f t="shared" si="71"/>
        <v>#N/A</v>
      </c>
      <c r="AP104" s="297">
        <f t="shared" si="103"/>
        <v>7</v>
      </c>
      <c r="AQ104" s="298" t="e">
        <f t="shared" si="72"/>
        <v>#N/A</v>
      </c>
      <c r="AR104" s="279" t="e">
        <f t="shared" si="104"/>
        <v>#N/A</v>
      </c>
      <c r="AS104" s="283" t="e">
        <f t="shared" si="73"/>
        <v>#N/A</v>
      </c>
      <c r="AT104" s="284">
        <f t="shared" si="105"/>
        <v>7</v>
      </c>
      <c r="AU104" s="285" t="e">
        <f t="shared" si="106"/>
        <v>#N/A</v>
      </c>
      <c r="AV104" s="286" t="e">
        <f t="shared" si="107"/>
        <v>#N/A</v>
      </c>
      <c r="AW104" s="287" t="e">
        <f t="shared" si="74"/>
        <v>#N/A</v>
      </c>
      <c r="AX104" s="245">
        <f t="shared" si="108"/>
        <v>7</v>
      </c>
      <c r="AY104" s="286" t="e">
        <f t="shared" si="75"/>
        <v>#N/A</v>
      </c>
      <c r="AZ104" s="245" t="e">
        <f t="shared" si="109"/>
        <v>#N/A</v>
      </c>
      <c r="BA104" s="245" t="e">
        <f t="shared" si="76"/>
        <v>#N/A</v>
      </c>
      <c r="BB104" s="288">
        <f t="shared" si="110"/>
        <v>7</v>
      </c>
      <c r="BC104" s="289" t="e">
        <f t="shared" si="111"/>
        <v>#N/A</v>
      </c>
      <c r="BD104" s="290" t="e">
        <f t="shared" si="112"/>
        <v>#N/A</v>
      </c>
      <c r="BE104" s="263" t="e">
        <f t="shared" si="77"/>
        <v>#N/A</v>
      </c>
      <c r="BF104" s="260">
        <f t="shared" si="113"/>
        <v>7</v>
      </c>
      <c r="BG104" s="289" t="e">
        <f t="shared" si="114"/>
        <v>#N/A</v>
      </c>
      <c r="BH104" s="290" t="e">
        <f t="shared" si="115"/>
        <v>#N/A</v>
      </c>
      <c r="BI104" s="263" t="e">
        <f t="shared" si="78"/>
        <v>#N/A</v>
      </c>
      <c r="BJ104" s="264">
        <f t="shared" si="116"/>
        <v>7</v>
      </c>
      <c r="BK104" s="291" t="e">
        <f t="shared" si="117"/>
        <v>#N/A</v>
      </c>
      <c r="BL104" s="291" t="e">
        <f t="shared" si="118"/>
        <v>#N/A</v>
      </c>
      <c r="BM104" s="292" t="e">
        <f t="shared" si="79"/>
        <v>#N/A</v>
      </c>
      <c r="BN104" s="293">
        <f t="shared" si="119"/>
        <v>7</v>
      </c>
      <c r="BO104" s="294" t="e">
        <f t="shared" si="120"/>
        <v>#N/A</v>
      </c>
      <c r="BP104" s="294" t="e">
        <f t="shared" si="121"/>
        <v>#N/A</v>
      </c>
      <c r="BQ104" s="292" t="e">
        <f t="shared" si="80"/>
        <v>#N/A</v>
      </c>
      <c r="BR104" s="295" t="e">
        <f t="shared" si="81"/>
        <v>#N/A</v>
      </c>
      <c r="BS104" s="230" t="e">
        <f>VLOOKUP($B104,SDR22_STOCK_BY_LA!$A$2:$C$11679,3,0)</f>
        <v>#N/A</v>
      </c>
      <c r="BT104" s="230" t="str">
        <f t="shared" si="122"/>
        <v/>
      </c>
    </row>
    <row r="105" spans="1:72" ht="12.5" x14ac:dyDescent="0.25">
      <c r="A105" s="269" t="str">
        <f t="shared" si="123"/>
        <v/>
      </c>
      <c r="B105" s="230" t="str">
        <f t="shared" si="124"/>
        <v/>
      </c>
      <c r="C105" s="270" t="str">
        <f t="shared" si="82"/>
        <v/>
      </c>
      <c r="D105" s="269" t="str">
        <f>IF(B105="","",IF(totals!$Q$3=0,IFERROR(IF(AD105=2,"0",AE105),""),"-"))</f>
        <v/>
      </c>
      <c r="E105" s="271" t="str">
        <f t="shared" si="83"/>
        <v/>
      </c>
      <c r="F105" s="272" t="str">
        <f t="shared" si="84"/>
        <v/>
      </c>
      <c r="G105" s="272" t="str">
        <f t="shared" si="85"/>
        <v/>
      </c>
      <c r="H105" s="269" t="str">
        <f t="shared" si="63"/>
        <v/>
      </c>
      <c r="I105" s="272" t="str">
        <f t="shared" si="86"/>
        <v/>
      </c>
      <c r="J105" s="272" t="str">
        <f t="shared" si="87"/>
        <v/>
      </c>
      <c r="K105" s="269" t="str">
        <f t="shared" si="64"/>
        <v/>
      </c>
      <c r="L105" s="272" t="str">
        <f t="shared" si="65"/>
        <v/>
      </c>
      <c r="M105" s="272" t="str">
        <f t="shared" si="88"/>
        <v/>
      </c>
      <c r="N105" s="269" t="str">
        <f t="shared" si="89"/>
        <v/>
      </c>
      <c r="O105" s="272" t="str">
        <f t="shared" si="90"/>
        <v/>
      </c>
      <c r="P105" s="272" t="str">
        <f t="shared" si="91"/>
        <v/>
      </c>
      <c r="Q105" s="269" t="str">
        <f t="shared" si="92"/>
        <v/>
      </c>
      <c r="R105" s="272" t="str">
        <f t="shared" si="93"/>
        <v/>
      </c>
      <c r="S105" s="272" t="str">
        <f t="shared" si="94"/>
        <v/>
      </c>
      <c r="T105" s="269" t="str">
        <f t="shared" si="95"/>
        <v/>
      </c>
      <c r="U105" s="230"/>
      <c r="V105" s="230"/>
      <c r="AB105" s="270" t="e">
        <f>VLOOKUP($B$6,Lookup_Source,98,0)</f>
        <v>#N/A</v>
      </c>
      <c r="AC105" s="254" t="str">
        <f t="shared" si="96"/>
        <v/>
      </c>
      <c r="AD105" s="255">
        <f t="shared" si="97"/>
        <v>7</v>
      </c>
      <c r="AE105" s="274" t="e">
        <f t="shared" si="66"/>
        <v>#N/A</v>
      </c>
      <c r="AF105" s="277" t="e">
        <f t="shared" si="98"/>
        <v>#N/A</v>
      </c>
      <c r="AG105" s="277" t="e">
        <f t="shared" si="99"/>
        <v>#N/A</v>
      </c>
      <c r="AH105" s="276" t="e">
        <f t="shared" si="67"/>
        <v>#N/A</v>
      </c>
      <c r="AI105" s="239">
        <f t="shared" si="100"/>
        <v>7</v>
      </c>
      <c r="AJ105" s="277" t="e">
        <f t="shared" si="68"/>
        <v>#N/A</v>
      </c>
      <c r="AK105" s="277" t="e">
        <f t="shared" si="101"/>
        <v>#N/A</v>
      </c>
      <c r="AL105" s="239" t="e">
        <f t="shared" si="69"/>
        <v>#N/A</v>
      </c>
      <c r="AM105" s="278" t="e">
        <f t="shared" si="102"/>
        <v>#N/A</v>
      </c>
      <c r="AN105" s="279" t="e">
        <f t="shared" si="70"/>
        <v>#N/A</v>
      </c>
      <c r="AO105" s="240" t="e">
        <f t="shared" si="71"/>
        <v>#N/A</v>
      </c>
      <c r="AP105" s="297">
        <f t="shared" si="103"/>
        <v>7</v>
      </c>
      <c r="AQ105" s="298" t="e">
        <f t="shared" si="72"/>
        <v>#N/A</v>
      </c>
      <c r="AR105" s="279" t="e">
        <f t="shared" si="104"/>
        <v>#N/A</v>
      </c>
      <c r="AS105" s="283" t="e">
        <f t="shared" si="73"/>
        <v>#N/A</v>
      </c>
      <c r="AT105" s="284">
        <f t="shared" si="105"/>
        <v>7</v>
      </c>
      <c r="AU105" s="285" t="e">
        <f t="shared" si="106"/>
        <v>#N/A</v>
      </c>
      <c r="AV105" s="286" t="e">
        <f t="shared" si="107"/>
        <v>#N/A</v>
      </c>
      <c r="AW105" s="287" t="e">
        <f t="shared" si="74"/>
        <v>#N/A</v>
      </c>
      <c r="AX105" s="245">
        <f t="shared" si="108"/>
        <v>7</v>
      </c>
      <c r="AY105" s="286" t="e">
        <f t="shared" si="75"/>
        <v>#N/A</v>
      </c>
      <c r="AZ105" s="245" t="e">
        <f t="shared" si="109"/>
        <v>#N/A</v>
      </c>
      <c r="BA105" s="245" t="e">
        <f t="shared" si="76"/>
        <v>#N/A</v>
      </c>
      <c r="BB105" s="288">
        <f t="shared" si="110"/>
        <v>7</v>
      </c>
      <c r="BC105" s="289" t="e">
        <f t="shared" si="111"/>
        <v>#N/A</v>
      </c>
      <c r="BD105" s="290" t="e">
        <f t="shared" si="112"/>
        <v>#N/A</v>
      </c>
      <c r="BE105" s="263" t="e">
        <f t="shared" si="77"/>
        <v>#N/A</v>
      </c>
      <c r="BF105" s="260">
        <f t="shared" si="113"/>
        <v>7</v>
      </c>
      <c r="BG105" s="289" t="e">
        <f t="shared" si="114"/>
        <v>#N/A</v>
      </c>
      <c r="BH105" s="290" t="e">
        <f t="shared" si="115"/>
        <v>#N/A</v>
      </c>
      <c r="BI105" s="263" t="e">
        <f t="shared" si="78"/>
        <v>#N/A</v>
      </c>
      <c r="BJ105" s="264">
        <f t="shared" si="116"/>
        <v>7</v>
      </c>
      <c r="BK105" s="291" t="e">
        <f t="shared" si="117"/>
        <v>#N/A</v>
      </c>
      <c r="BL105" s="291" t="e">
        <f t="shared" si="118"/>
        <v>#N/A</v>
      </c>
      <c r="BM105" s="292" t="e">
        <f t="shared" si="79"/>
        <v>#N/A</v>
      </c>
      <c r="BN105" s="293">
        <f t="shared" si="119"/>
        <v>7</v>
      </c>
      <c r="BO105" s="294" t="e">
        <f t="shared" si="120"/>
        <v>#N/A</v>
      </c>
      <c r="BP105" s="294" t="e">
        <f t="shared" si="121"/>
        <v>#N/A</v>
      </c>
      <c r="BQ105" s="292" t="e">
        <f t="shared" si="80"/>
        <v>#N/A</v>
      </c>
      <c r="BR105" s="295" t="e">
        <f t="shared" si="81"/>
        <v>#N/A</v>
      </c>
      <c r="BS105" s="230" t="e">
        <f>VLOOKUP($B105,SDR22_STOCK_BY_LA!$A$2:$C$11679,3,0)</f>
        <v>#N/A</v>
      </c>
      <c r="BT105" s="230" t="str">
        <f t="shared" si="122"/>
        <v/>
      </c>
    </row>
    <row r="106" spans="1:72" ht="12.5" x14ac:dyDescent="0.25">
      <c r="A106" s="230" t="str">
        <f t="shared" si="123"/>
        <v/>
      </c>
      <c r="B106" s="230" t="str">
        <f t="shared" si="124"/>
        <v/>
      </c>
      <c r="C106" s="296" t="str">
        <f t="shared" si="82"/>
        <v/>
      </c>
      <c r="D106" s="269" t="str">
        <f>IF(B106="","",IF(totals!$Q$3=0,IFERROR(IF(AD106=2,"0",AE106),""),"-"))</f>
        <v/>
      </c>
      <c r="E106" s="271" t="str">
        <f t="shared" si="83"/>
        <v/>
      </c>
      <c r="F106" s="272" t="str">
        <f t="shared" si="84"/>
        <v/>
      </c>
      <c r="G106" s="272" t="str">
        <f t="shared" si="85"/>
        <v/>
      </c>
      <c r="H106" s="269" t="str">
        <f t="shared" si="63"/>
        <v/>
      </c>
      <c r="I106" s="272" t="str">
        <f t="shared" si="86"/>
        <v/>
      </c>
      <c r="J106" s="272" t="str">
        <f t="shared" si="87"/>
        <v/>
      </c>
      <c r="K106" s="269" t="str">
        <f t="shared" si="64"/>
        <v/>
      </c>
      <c r="L106" s="272" t="str">
        <f t="shared" si="65"/>
        <v/>
      </c>
      <c r="M106" s="272" t="str">
        <f t="shared" si="88"/>
        <v/>
      </c>
      <c r="N106" s="269" t="str">
        <f t="shared" si="89"/>
        <v/>
      </c>
      <c r="O106" s="272" t="str">
        <f t="shared" si="90"/>
        <v/>
      </c>
      <c r="P106" s="272" t="str">
        <f t="shared" si="91"/>
        <v/>
      </c>
      <c r="Q106" s="269" t="str">
        <f t="shared" si="92"/>
        <v/>
      </c>
      <c r="R106" s="272" t="str">
        <f t="shared" si="93"/>
        <v/>
      </c>
      <c r="S106" s="272" t="str">
        <f t="shared" si="94"/>
        <v/>
      </c>
      <c r="T106" s="269" t="str">
        <f t="shared" si="95"/>
        <v/>
      </c>
      <c r="U106" s="230"/>
      <c r="V106" s="230"/>
      <c r="AB106" s="230" t="e">
        <f>VLOOKUP($B$6,Lookup_Source,99,0)</f>
        <v>#N/A</v>
      </c>
      <c r="AC106" s="254" t="str">
        <f t="shared" si="96"/>
        <v/>
      </c>
      <c r="AD106" s="255">
        <f t="shared" si="97"/>
        <v>7</v>
      </c>
      <c r="AE106" s="274" t="e">
        <f t="shared" si="66"/>
        <v>#N/A</v>
      </c>
      <c r="AF106" s="277" t="e">
        <f t="shared" si="98"/>
        <v>#N/A</v>
      </c>
      <c r="AG106" s="277" t="e">
        <f t="shared" si="99"/>
        <v>#N/A</v>
      </c>
      <c r="AH106" s="276" t="e">
        <f t="shared" si="67"/>
        <v>#N/A</v>
      </c>
      <c r="AI106" s="239">
        <f t="shared" si="100"/>
        <v>7</v>
      </c>
      <c r="AJ106" s="277" t="e">
        <f t="shared" si="68"/>
        <v>#N/A</v>
      </c>
      <c r="AK106" s="277" t="e">
        <f t="shared" si="101"/>
        <v>#N/A</v>
      </c>
      <c r="AL106" s="239" t="e">
        <f t="shared" si="69"/>
        <v>#N/A</v>
      </c>
      <c r="AM106" s="278" t="e">
        <f t="shared" si="102"/>
        <v>#N/A</v>
      </c>
      <c r="AN106" s="279" t="e">
        <f t="shared" si="70"/>
        <v>#N/A</v>
      </c>
      <c r="AO106" s="240" t="e">
        <f t="shared" si="71"/>
        <v>#N/A</v>
      </c>
      <c r="AP106" s="297">
        <f t="shared" si="103"/>
        <v>7</v>
      </c>
      <c r="AQ106" s="298" t="e">
        <f t="shared" si="72"/>
        <v>#N/A</v>
      </c>
      <c r="AR106" s="279" t="e">
        <f t="shared" si="104"/>
        <v>#N/A</v>
      </c>
      <c r="AS106" s="283" t="e">
        <f t="shared" si="73"/>
        <v>#N/A</v>
      </c>
      <c r="AT106" s="284">
        <f t="shared" si="105"/>
        <v>7</v>
      </c>
      <c r="AU106" s="285" t="e">
        <f t="shared" si="106"/>
        <v>#N/A</v>
      </c>
      <c r="AV106" s="286" t="e">
        <f t="shared" si="107"/>
        <v>#N/A</v>
      </c>
      <c r="AW106" s="287" t="e">
        <f t="shared" si="74"/>
        <v>#N/A</v>
      </c>
      <c r="AX106" s="245">
        <f t="shared" si="108"/>
        <v>7</v>
      </c>
      <c r="AY106" s="286" t="e">
        <f t="shared" si="75"/>
        <v>#N/A</v>
      </c>
      <c r="AZ106" s="245" t="e">
        <f t="shared" si="109"/>
        <v>#N/A</v>
      </c>
      <c r="BA106" s="245" t="e">
        <f t="shared" si="76"/>
        <v>#N/A</v>
      </c>
      <c r="BB106" s="288">
        <f t="shared" si="110"/>
        <v>7</v>
      </c>
      <c r="BC106" s="289" t="e">
        <f t="shared" si="111"/>
        <v>#N/A</v>
      </c>
      <c r="BD106" s="290" t="e">
        <f t="shared" si="112"/>
        <v>#N/A</v>
      </c>
      <c r="BE106" s="263" t="e">
        <f t="shared" si="77"/>
        <v>#N/A</v>
      </c>
      <c r="BF106" s="260">
        <f t="shared" si="113"/>
        <v>7</v>
      </c>
      <c r="BG106" s="289" t="e">
        <f t="shared" si="114"/>
        <v>#N/A</v>
      </c>
      <c r="BH106" s="290" t="e">
        <f t="shared" si="115"/>
        <v>#N/A</v>
      </c>
      <c r="BI106" s="263" t="e">
        <f t="shared" si="78"/>
        <v>#N/A</v>
      </c>
      <c r="BJ106" s="264">
        <f t="shared" si="116"/>
        <v>7</v>
      </c>
      <c r="BK106" s="291" t="e">
        <f t="shared" si="117"/>
        <v>#N/A</v>
      </c>
      <c r="BL106" s="291" t="e">
        <f t="shared" si="118"/>
        <v>#N/A</v>
      </c>
      <c r="BM106" s="292" t="e">
        <f t="shared" si="79"/>
        <v>#N/A</v>
      </c>
      <c r="BN106" s="293">
        <f t="shared" si="119"/>
        <v>7</v>
      </c>
      <c r="BO106" s="294" t="e">
        <f t="shared" si="120"/>
        <v>#N/A</v>
      </c>
      <c r="BP106" s="294" t="e">
        <f t="shared" si="121"/>
        <v>#N/A</v>
      </c>
      <c r="BQ106" s="292" t="e">
        <f t="shared" si="80"/>
        <v>#N/A</v>
      </c>
      <c r="BR106" s="295" t="e">
        <f t="shared" si="81"/>
        <v>#N/A</v>
      </c>
      <c r="BS106" s="230" t="e">
        <f>VLOOKUP($B106,SDR22_STOCK_BY_LA!$A$2:$C$11679,3,0)</f>
        <v>#N/A</v>
      </c>
      <c r="BT106" s="230" t="str">
        <f t="shared" si="122"/>
        <v/>
      </c>
    </row>
    <row r="107" spans="1:72" ht="12.5" x14ac:dyDescent="0.25">
      <c r="A107" s="269" t="str">
        <f t="shared" si="123"/>
        <v/>
      </c>
      <c r="B107" s="230" t="str">
        <f t="shared" si="124"/>
        <v/>
      </c>
      <c r="C107" s="270" t="str">
        <f t="shared" si="82"/>
        <v/>
      </c>
      <c r="D107" s="269" t="str">
        <f>IF(B107="","",IF(totals!$Q$3=0,IFERROR(IF(AD107=2,"0",AE107),""),"-"))</f>
        <v/>
      </c>
      <c r="E107" s="271" t="str">
        <f t="shared" si="83"/>
        <v/>
      </c>
      <c r="F107" s="272" t="str">
        <f t="shared" si="84"/>
        <v/>
      </c>
      <c r="G107" s="272" t="str">
        <f t="shared" si="85"/>
        <v/>
      </c>
      <c r="H107" s="269" t="str">
        <f t="shared" si="63"/>
        <v/>
      </c>
      <c r="I107" s="272" t="str">
        <f t="shared" si="86"/>
        <v/>
      </c>
      <c r="J107" s="272" t="str">
        <f t="shared" si="87"/>
        <v/>
      </c>
      <c r="K107" s="269" t="str">
        <f t="shared" si="64"/>
        <v/>
      </c>
      <c r="L107" s="272" t="str">
        <f t="shared" si="65"/>
        <v/>
      </c>
      <c r="M107" s="272" t="str">
        <f t="shared" si="88"/>
        <v/>
      </c>
      <c r="N107" s="269" t="str">
        <f t="shared" si="89"/>
        <v/>
      </c>
      <c r="O107" s="272" t="str">
        <f t="shared" si="90"/>
        <v/>
      </c>
      <c r="P107" s="272" t="str">
        <f t="shared" si="91"/>
        <v/>
      </c>
      <c r="Q107" s="269" t="str">
        <f t="shared" si="92"/>
        <v/>
      </c>
      <c r="R107" s="272" t="str">
        <f t="shared" si="93"/>
        <v/>
      </c>
      <c r="S107" s="272" t="str">
        <f t="shared" si="94"/>
        <v/>
      </c>
      <c r="T107" s="269" t="str">
        <f t="shared" si="95"/>
        <v/>
      </c>
      <c r="U107" s="230"/>
      <c r="V107" s="230"/>
      <c r="AB107" s="270" t="e">
        <f>VLOOKUP($B$6,Lookup_Source,100,0)</f>
        <v>#N/A</v>
      </c>
      <c r="AC107" s="254" t="str">
        <f t="shared" si="96"/>
        <v/>
      </c>
      <c r="AD107" s="255">
        <f t="shared" si="97"/>
        <v>7</v>
      </c>
      <c r="AE107" s="274" t="e">
        <f t="shared" si="66"/>
        <v>#N/A</v>
      </c>
      <c r="AF107" s="277" t="e">
        <f t="shared" si="98"/>
        <v>#N/A</v>
      </c>
      <c r="AG107" s="277" t="e">
        <f t="shared" si="99"/>
        <v>#N/A</v>
      </c>
      <c r="AH107" s="276" t="e">
        <f t="shared" si="67"/>
        <v>#N/A</v>
      </c>
      <c r="AI107" s="239">
        <f t="shared" si="100"/>
        <v>7</v>
      </c>
      <c r="AJ107" s="277" t="e">
        <f t="shared" si="68"/>
        <v>#N/A</v>
      </c>
      <c r="AK107" s="277" t="e">
        <f t="shared" si="101"/>
        <v>#N/A</v>
      </c>
      <c r="AL107" s="239" t="e">
        <f t="shared" si="69"/>
        <v>#N/A</v>
      </c>
      <c r="AM107" s="278" t="e">
        <f t="shared" si="102"/>
        <v>#N/A</v>
      </c>
      <c r="AN107" s="279" t="e">
        <f t="shared" si="70"/>
        <v>#N/A</v>
      </c>
      <c r="AO107" s="240" t="e">
        <f t="shared" si="71"/>
        <v>#N/A</v>
      </c>
      <c r="AP107" s="297">
        <f t="shared" si="103"/>
        <v>7</v>
      </c>
      <c r="AQ107" s="298" t="e">
        <f t="shared" si="72"/>
        <v>#N/A</v>
      </c>
      <c r="AR107" s="279" t="e">
        <f t="shared" si="104"/>
        <v>#N/A</v>
      </c>
      <c r="AS107" s="283" t="e">
        <f t="shared" si="73"/>
        <v>#N/A</v>
      </c>
      <c r="AT107" s="284">
        <f t="shared" si="105"/>
        <v>7</v>
      </c>
      <c r="AU107" s="285" t="e">
        <f t="shared" si="106"/>
        <v>#N/A</v>
      </c>
      <c r="AV107" s="286" t="e">
        <f t="shared" si="107"/>
        <v>#N/A</v>
      </c>
      <c r="AW107" s="287" t="e">
        <f t="shared" si="74"/>
        <v>#N/A</v>
      </c>
      <c r="AX107" s="245">
        <f t="shared" si="108"/>
        <v>7</v>
      </c>
      <c r="AY107" s="286" t="e">
        <f t="shared" si="75"/>
        <v>#N/A</v>
      </c>
      <c r="AZ107" s="245" t="e">
        <f t="shared" si="109"/>
        <v>#N/A</v>
      </c>
      <c r="BA107" s="245" t="e">
        <f t="shared" si="76"/>
        <v>#N/A</v>
      </c>
      <c r="BB107" s="288">
        <f t="shared" si="110"/>
        <v>7</v>
      </c>
      <c r="BC107" s="289" t="e">
        <f t="shared" si="111"/>
        <v>#N/A</v>
      </c>
      <c r="BD107" s="290" t="e">
        <f t="shared" si="112"/>
        <v>#N/A</v>
      </c>
      <c r="BE107" s="263" t="e">
        <f t="shared" si="77"/>
        <v>#N/A</v>
      </c>
      <c r="BF107" s="260">
        <f t="shared" si="113"/>
        <v>7</v>
      </c>
      <c r="BG107" s="289" t="e">
        <f t="shared" si="114"/>
        <v>#N/A</v>
      </c>
      <c r="BH107" s="290" t="e">
        <f t="shared" si="115"/>
        <v>#N/A</v>
      </c>
      <c r="BI107" s="263" t="e">
        <f t="shared" si="78"/>
        <v>#N/A</v>
      </c>
      <c r="BJ107" s="264">
        <f t="shared" si="116"/>
        <v>7</v>
      </c>
      <c r="BK107" s="291" t="e">
        <f t="shared" si="117"/>
        <v>#N/A</v>
      </c>
      <c r="BL107" s="291" t="e">
        <f t="shared" si="118"/>
        <v>#N/A</v>
      </c>
      <c r="BM107" s="292" t="e">
        <f t="shared" si="79"/>
        <v>#N/A</v>
      </c>
      <c r="BN107" s="293">
        <f t="shared" si="119"/>
        <v>7</v>
      </c>
      <c r="BO107" s="294" t="e">
        <f t="shared" si="120"/>
        <v>#N/A</v>
      </c>
      <c r="BP107" s="294" t="e">
        <f t="shared" si="121"/>
        <v>#N/A</v>
      </c>
      <c r="BQ107" s="292" t="e">
        <f t="shared" si="80"/>
        <v>#N/A</v>
      </c>
      <c r="BR107" s="295" t="e">
        <f t="shared" si="81"/>
        <v>#N/A</v>
      </c>
      <c r="BS107" s="230" t="e">
        <f>VLOOKUP($B107,SDR22_STOCK_BY_LA!$A$2:$C$11679,3,0)</f>
        <v>#N/A</v>
      </c>
      <c r="BT107" s="230" t="str">
        <f t="shared" si="122"/>
        <v/>
      </c>
    </row>
    <row r="108" spans="1:72" ht="12.5" x14ac:dyDescent="0.25">
      <c r="A108" s="230" t="str">
        <f t="shared" si="123"/>
        <v/>
      </c>
      <c r="B108" s="230" t="str">
        <f t="shared" si="124"/>
        <v/>
      </c>
      <c r="C108" s="296" t="str">
        <f t="shared" si="82"/>
        <v/>
      </c>
      <c r="D108" s="269" t="str">
        <f>IF(B108="","",IF(totals!$Q$3=0,IFERROR(IF(AD108=2,"0",AE108),""),"-"))</f>
        <v/>
      </c>
      <c r="E108" s="271" t="str">
        <f t="shared" si="83"/>
        <v/>
      </c>
      <c r="F108" s="272" t="str">
        <f t="shared" si="84"/>
        <v/>
      </c>
      <c r="G108" s="272" t="str">
        <f t="shared" si="85"/>
        <v/>
      </c>
      <c r="H108" s="269" t="str">
        <f t="shared" si="63"/>
        <v/>
      </c>
      <c r="I108" s="272" t="str">
        <f t="shared" si="86"/>
        <v/>
      </c>
      <c r="J108" s="272" t="str">
        <f t="shared" si="87"/>
        <v/>
      </c>
      <c r="K108" s="269" t="str">
        <f t="shared" si="64"/>
        <v/>
      </c>
      <c r="L108" s="272" t="str">
        <f t="shared" si="65"/>
        <v/>
      </c>
      <c r="M108" s="272" t="str">
        <f t="shared" si="88"/>
        <v/>
      </c>
      <c r="N108" s="269" t="str">
        <f t="shared" si="89"/>
        <v/>
      </c>
      <c r="O108" s="272" t="str">
        <f t="shared" si="90"/>
        <v/>
      </c>
      <c r="P108" s="272" t="str">
        <f t="shared" si="91"/>
        <v/>
      </c>
      <c r="Q108" s="269" t="str">
        <f t="shared" si="92"/>
        <v/>
      </c>
      <c r="R108" s="272" t="str">
        <f t="shared" si="93"/>
        <v/>
      </c>
      <c r="S108" s="272" t="str">
        <f t="shared" si="94"/>
        <v/>
      </c>
      <c r="T108" s="269" t="str">
        <f t="shared" si="95"/>
        <v/>
      </c>
      <c r="U108" s="230"/>
      <c r="V108" s="230"/>
      <c r="AB108" s="230" t="e">
        <f>VLOOKUP($B$6,Lookup_Source,101,0)</f>
        <v>#N/A</v>
      </c>
      <c r="AC108" s="254" t="str">
        <f t="shared" si="96"/>
        <v/>
      </c>
      <c r="AD108" s="255">
        <f t="shared" si="97"/>
        <v>7</v>
      </c>
      <c r="AE108" s="274" t="e">
        <f t="shared" si="66"/>
        <v>#N/A</v>
      </c>
      <c r="AF108" s="277" t="e">
        <f t="shared" si="98"/>
        <v>#N/A</v>
      </c>
      <c r="AG108" s="277" t="e">
        <f t="shared" si="99"/>
        <v>#N/A</v>
      </c>
      <c r="AH108" s="276" t="e">
        <f t="shared" si="67"/>
        <v>#N/A</v>
      </c>
      <c r="AI108" s="239">
        <f t="shared" si="100"/>
        <v>7</v>
      </c>
      <c r="AJ108" s="277" t="e">
        <f t="shared" si="68"/>
        <v>#N/A</v>
      </c>
      <c r="AK108" s="277" t="e">
        <f t="shared" si="101"/>
        <v>#N/A</v>
      </c>
      <c r="AL108" s="239" t="e">
        <f t="shared" si="69"/>
        <v>#N/A</v>
      </c>
      <c r="AM108" s="278" t="e">
        <f t="shared" si="102"/>
        <v>#N/A</v>
      </c>
      <c r="AN108" s="279" t="e">
        <f t="shared" si="70"/>
        <v>#N/A</v>
      </c>
      <c r="AO108" s="240" t="e">
        <f t="shared" si="71"/>
        <v>#N/A</v>
      </c>
      <c r="AP108" s="297">
        <f t="shared" si="103"/>
        <v>7</v>
      </c>
      <c r="AQ108" s="298" t="e">
        <f t="shared" si="72"/>
        <v>#N/A</v>
      </c>
      <c r="AR108" s="279" t="e">
        <f t="shared" si="104"/>
        <v>#N/A</v>
      </c>
      <c r="AS108" s="283" t="e">
        <f t="shared" si="73"/>
        <v>#N/A</v>
      </c>
      <c r="AT108" s="284">
        <f t="shared" si="105"/>
        <v>7</v>
      </c>
      <c r="AU108" s="285" t="e">
        <f t="shared" si="106"/>
        <v>#N/A</v>
      </c>
      <c r="AV108" s="286" t="e">
        <f t="shared" si="107"/>
        <v>#N/A</v>
      </c>
      <c r="AW108" s="287" t="e">
        <f t="shared" si="74"/>
        <v>#N/A</v>
      </c>
      <c r="AX108" s="245">
        <f t="shared" si="108"/>
        <v>7</v>
      </c>
      <c r="AY108" s="286" t="e">
        <f t="shared" si="75"/>
        <v>#N/A</v>
      </c>
      <c r="AZ108" s="245" t="e">
        <f t="shared" si="109"/>
        <v>#N/A</v>
      </c>
      <c r="BA108" s="245" t="e">
        <f t="shared" si="76"/>
        <v>#N/A</v>
      </c>
      <c r="BB108" s="288">
        <f t="shared" si="110"/>
        <v>7</v>
      </c>
      <c r="BC108" s="289" t="e">
        <f t="shared" si="111"/>
        <v>#N/A</v>
      </c>
      <c r="BD108" s="290" t="e">
        <f t="shared" si="112"/>
        <v>#N/A</v>
      </c>
      <c r="BE108" s="263" t="e">
        <f t="shared" si="77"/>
        <v>#N/A</v>
      </c>
      <c r="BF108" s="260">
        <f t="shared" si="113"/>
        <v>7</v>
      </c>
      <c r="BG108" s="289" t="e">
        <f t="shared" si="114"/>
        <v>#N/A</v>
      </c>
      <c r="BH108" s="290" t="e">
        <f t="shared" si="115"/>
        <v>#N/A</v>
      </c>
      <c r="BI108" s="263" t="e">
        <f t="shared" si="78"/>
        <v>#N/A</v>
      </c>
      <c r="BJ108" s="264">
        <f t="shared" si="116"/>
        <v>7</v>
      </c>
      <c r="BK108" s="291" t="e">
        <f t="shared" si="117"/>
        <v>#N/A</v>
      </c>
      <c r="BL108" s="291" t="e">
        <f t="shared" si="118"/>
        <v>#N/A</v>
      </c>
      <c r="BM108" s="292" t="e">
        <f t="shared" si="79"/>
        <v>#N/A</v>
      </c>
      <c r="BN108" s="293">
        <f t="shared" si="119"/>
        <v>7</v>
      </c>
      <c r="BO108" s="294" t="e">
        <f t="shared" si="120"/>
        <v>#N/A</v>
      </c>
      <c r="BP108" s="294" t="e">
        <f t="shared" si="121"/>
        <v>#N/A</v>
      </c>
      <c r="BQ108" s="292" t="e">
        <f t="shared" si="80"/>
        <v>#N/A</v>
      </c>
      <c r="BR108" s="295" t="e">
        <f t="shared" si="81"/>
        <v>#N/A</v>
      </c>
      <c r="BS108" s="230" t="e">
        <f>VLOOKUP($B108,SDR22_STOCK_BY_LA!$A$2:$C$11679,3,0)</f>
        <v>#N/A</v>
      </c>
      <c r="BT108" s="230" t="str">
        <f t="shared" si="122"/>
        <v/>
      </c>
    </row>
    <row r="109" spans="1:72" ht="12.5" x14ac:dyDescent="0.25">
      <c r="A109" s="269" t="str">
        <f t="shared" si="123"/>
        <v/>
      </c>
      <c r="B109" s="230" t="str">
        <f t="shared" si="124"/>
        <v/>
      </c>
      <c r="C109" s="270" t="str">
        <f t="shared" si="82"/>
        <v/>
      </c>
      <c r="D109" s="269" t="str">
        <f>IF(B109="","",IF(totals!$Q$3=0,IFERROR(IF(AD109=2,"0",AE109),""),"-"))</f>
        <v/>
      </c>
      <c r="E109" s="271" t="str">
        <f t="shared" si="83"/>
        <v/>
      </c>
      <c r="F109" s="272" t="str">
        <f t="shared" si="84"/>
        <v/>
      </c>
      <c r="G109" s="272" t="str">
        <f t="shared" si="85"/>
        <v/>
      </c>
      <c r="H109" s="269" t="str">
        <f t="shared" si="63"/>
        <v/>
      </c>
      <c r="I109" s="272" t="str">
        <f t="shared" si="86"/>
        <v/>
      </c>
      <c r="J109" s="272" t="str">
        <f t="shared" si="87"/>
        <v/>
      </c>
      <c r="K109" s="269" t="str">
        <f t="shared" si="64"/>
        <v/>
      </c>
      <c r="L109" s="272" t="str">
        <f t="shared" si="65"/>
        <v/>
      </c>
      <c r="M109" s="272" t="str">
        <f t="shared" si="88"/>
        <v/>
      </c>
      <c r="N109" s="269" t="str">
        <f t="shared" si="89"/>
        <v/>
      </c>
      <c r="O109" s="272" t="str">
        <f t="shared" si="90"/>
        <v/>
      </c>
      <c r="P109" s="272" t="str">
        <f t="shared" si="91"/>
        <v/>
      </c>
      <c r="Q109" s="269" t="str">
        <f t="shared" si="92"/>
        <v/>
      </c>
      <c r="R109" s="272" t="str">
        <f t="shared" si="93"/>
        <v/>
      </c>
      <c r="S109" s="272" t="str">
        <f t="shared" si="94"/>
        <v/>
      </c>
      <c r="T109" s="269" t="str">
        <f t="shared" si="95"/>
        <v/>
      </c>
      <c r="U109" s="230"/>
      <c r="V109" s="230"/>
      <c r="AB109" s="270" t="e">
        <f>VLOOKUP($B$6,Lookup_Source,102,0)</f>
        <v>#N/A</v>
      </c>
      <c r="AC109" s="254" t="str">
        <f t="shared" si="96"/>
        <v/>
      </c>
      <c r="AD109" s="255">
        <f t="shared" si="97"/>
        <v>7</v>
      </c>
      <c r="AE109" s="274" t="e">
        <f t="shared" si="66"/>
        <v>#N/A</v>
      </c>
      <c r="AF109" s="277" t="e">
        <f t="shared" si="98"/>
        <v>#N/A</v>
      </c>
      <c r="AG109" s="277" t="e">
        <f t="shared" si="99"/>
        <v>#N/A</v>
      </c>
      <c r="AH109" s="276" t="e">
        <f t="shared" si="67"/>
        <v>#N/A</v>
      </c>
      <c r="AI109" s="239">
        <f t="shared" si="100"/>
        <v>7</v>
      </c>
      <c r="AJ109" s="277" t="e">
        <f t="shared" si="68"/>
        <v>#N/A</v>
      </c>
      <c r="AK109" s="277" t="e">
        <f t="shared" si="101"/>
        <v>#N/A</v>
      </c>
      <c r="AL109" s="239" t="e">
        <f t="shared" si="69"/>
        <v>#N/A</v>
      </c>
      <c r="AM109" s="278" t="e">
        <f t="shared" si="102"/>
        <v>#N/A</v>
      </c>
      <c r="AN109" s="279" t="e">
        <f t="shared" si="70"/>
        <v>#N/A</v>
      </c>
      <c r="AO109" s="240" t="e">
        <f t="shared" si="71"/>
        <v>#N/A</v>
      </c>
      <c r="AP109" s="297">
        <f t="shared" si="103"/>
        <v>7</v>
      </c>
      <c r="AQ109" s="298" t="e">
        <f t="shared" si="72"/>
        <v>#N/A</v>
      </c>
      <c r="AR109" s="279" t="e">
        <f t="shared" si="104"/>
        <v>#N/A</v>
      </c>
      <c r="AS109" s="283" t="e">
        <f t="shared" si="73"/>
        <v>#N/A</v>
      </c>
      <c r="AT109" s="284">
        <f t="shared" si="105"/>
        <v>7</v>
      </c>
      <c r="AU109" s="285" t="e">
        <f t="shared" si="106"/>
        <v>#N/A</v>
      </c>
      <c r="AV109" s="286" t="e">
        <f t="shared" si="107"/>
        <v>#N/A</v>
      </c>
      <c r="AW109" s="287" t="e">
        <f t="shared" si="74"/>
        <v>#N/A</v>
      </c>
      <c r="AX109" s="245">
        <f t="shared" si="108"/>
        <v>7</v>
      </c>
      <c r="AY109" s="286" t="e">
        <f t="shared" si="75"/>
        <v>#N/A</v>
      </c>
      <c r="AZ109" s="245" t="e">
        <f t="shared" si="109"/>
        <v>#N/A</v>
      </c>
      <c r="BA109" s="245" t="e">
        <f t="shared" si="76"/>
        <v>#N/A</v>
      </c>
      <c r="BB109" s="288">
        <f t="shared" si="110"/>
        <v>7</v>
      </c>
      <c r="BC109" s="289" t="e">
        <f t="shared" si="111"/>
        <v>#N/A</v>
      </c>
      <c r="BD109" s="290" t="e">
        <f t="shared" si="112"/>
        <v>#N/A</v>
      </c>
      <c r="BE109" s="263" t="e">
        <f t="shared" si="77"/>
        <v>#N/A</v>
      </c>
      <c r="BF109" s="260">
        <f t="shared" si="113"/>
        <v>7</v>
      </c>
      <c r="BG109" s="289" t="e">
        <f t="shared" si="114"/>
        <v>#N/A</v>
      </c>
      <c r="BH109" s="290" t="e">
        <f t="shared" si="115"/>
        <v>#N/A</v>
      </c>
      <c r="BI109" s="263" t="e">
        <f t="shared" si="78"/>
        <v>#N/A</v>
      </c>
      <c r="BJ109" s="264">
        <f t="shared" si="116"/>
        <v>7</v>
      </c>
      <c r="BK109" s="291" t="e">
        <f t="shared" si="117"/>
        <v>#N/A</v>
      </c>
      <c r="BL109" s="291" t="e">
        <f t="shared" si="118"/>
        <v>#N/A</v>
      </c>
      <c r="BM109" s="292" t="e">
        <f t="shared" si="79"/>
        <v>#N/A</v>
      </c>
      <c r="BN109" s="293">
        <f t="shared" si="119"/>
        <v>7</v>
      </c>
      <c r="BO109" s="294" t="e">
        <f t="shared" si="120"/>
        <v>#N/A</v>
      </c>
      <c r="BP109" s="294" t="e">
        <f t="shared" si="121"/>
        <v>#N/A</v>
      </c>
      <c r="BQ109" s="292" t="e">
        <f t="shared" si="80"/>
        <v>#N/A</v>
      </c>
      <c r="BR109" s="295" t="e">
        <f t="shared" si="81"/>
        <v>#N/A</v>
      </c>
      <c r="BS109" s="230" t="e">
        <f>VLOOKUP($B109,SDR22_STOCK_BY_LA!$A$2:$C$11679,3,0)</f>
        <v>#N/A</v>
      </c>
      <c r="BT109" s="230" t="str">
        <f t="shared" si="122"/>
        <v/>
      </c>
    </row>
    <row r="110" spans="1:72" ht="12.5" x14ac:dyDescent="0.25">
      <c r="A110" s="230" t="str">
        <f t="shared" si="123"/>
        <v/>
      </c>
      <c r="B110" s="230" t="str">
        <f t="shared" si="124"/>
        <v/>
      </c>
      <c r="C110" s="296" t="str">
        <f t="shared" si="82"/>
        <v/>
      </c>
      <c r="D110" s="269" t="str">
        <f>IF(B110="","",IF(totals!$Q$3=0,IFERROR(IF(AD110=2,"0",AE110),""),"-"))</f>
        <v/>
      </c>
      <c r="E110" s="271" t="str">
        <f t="shared" si="83"/>
        <v/>
      </c>
      <c r="F110" s="272" t="str">
        <f t="shared" si="84"/>
        <v/>
      </c>
      <c r="G110" s="272" t="str">
        <f t="shared" si="85"/>
        <v/>
      </c>
      <c r="H110" s="269" t="str">
        <f t="shared" si="63"/>
        <v/>
      </c>
      <c r="I110" s="272" t="str">
        <f t="shared" si="86"/>
        <v/>
      </c>
      <c r="J110" s="272" t="str">
        <f t="shared" si="87"/>
        <v/>
      </c>
      <c r="K110" s="269" t="str">
        <f t="shared" si="64"/>
        <v/>
      </c>
      <c r="L110" s="272" t="str">
        <f t="shared" si="65"/>
        <v/>
      </c>
      <c r="M110" s="272" t="str">
        <f t="shared" si="88"/>
        <v/>
      </c>
      <c r="N110" s="269" t="str">
        <f t="shared" si="89"/>
        <v/>
      </c>
      <c r="O110" s="272" t="str">
        <f t="shared" si="90"/>
        <v/>
      </c>
      <c r="P110" s="272" t="str">
        <f t="shared" si="91"/>
        <v/>
      </c>
      <c r="Q110" s="269" t="str">
        <f t="shared" si="92"/>
        <v/>
      </c>
      <c r="R110" s="272" t="str">
        <f t="shared" si="93"/>
        <v/>
      </c>
      <c r="S110" s="272" t="str">
        <f t="shared" si="94"/>
        <v/>
      </c>
      <c r="T110" s="269" t="str">
        <f t="shared" si="95"/>
        <v/>
      </c>
      <c r="U110" s="230"/>
      <c r="V110" s="230"/>
      <c r="AB110" s="230" t="e">
        <f>VLOOKUP($B$6,Lookup_Source,103,0)</f>
        <v>#N/A</v>
      </c>
      <c r="AC110" s="254" t="str">
        <f t="shared" si="96"/>
        <v/>
      </c>
      <c r="AD110" s="255">
        <f t="shared" si="97"/>
        <v>7</v>
      </c>
      <c r="AE110" s="274" t="e">
        <f t="shared" si="66"/>
        <v>#N/A</v>
      </c>
      <c r="AF110" s="277" t="e">
        <f t="shared" si="98"/>
        <v>#N/A</v>
      </c>
      <c r="AG110" s="277" t="e">
        <f t="shared" si="99"/>
        <v>#N/A</v>
      </c>
      <c r="AH110" s="276" t="e">
        <f t="shared" si="67"/>
        <v>#N/A</v>
      </c>
      <c r="AI110" s="239">
        <f t="shared" si="100"/>
        <v>7</v>
      </c>
      <c r="AJ110" s="277" t="e">
        <f t="shared" si="68"/>
        <v>#N/A</v>
      </c>
      <c r="AK110" s="277" t="e">
        <f t="shared" si="101"/>
        <v>#N/A</v>
      </c>
      <c r="AL110" s="239" t="e">
        <f t="shared" si="69"/>
        <v>#N/A</v>
      </c>
      <c r="AM110" s="278" t="e">
        <f t="shared" si="102"/>
        <v>#N/A</v>
      </c>
      <c r="AN110" s="279" t="e">
        <f t="shared" si="70"/>
        <v>#N/A</v>
      </c>
      <c r="AO110" s="240" t="e">
        <f t="shared" si="71"/>
        <v>#N/A</v>
      </c>
      <c r="AP110" s="297">
        <f t="shared" si="103"/>
        <v>7</v>
      </c>
      <c r="AQ110" s="298" t="e">
        <f t="shared" si="72"/>
        <v>#N/A</v>
      </c>
      <c r="AR110" s="279" t="e">
        <f t="shared" si="104"/>
        <v>#N/A</v>
      </c>
      <c r="AS110" s="283" t="e">
        <f t="shared" si="73"/>
        <v>#N/A</v>
      </c>
      <c r="AT110" s="284">
        <f t="shared" si="105"/>
        <v>7</v>
      </c>
      <c r="AU110" s="285" t="e">
        <f t="shared" si="106"/>
        <v>#N/A</v>
      </c>
      <c r="AV110" s="286" t="e">
        <f t="shared" si="107"/>
        <v>#N/A</v>
      </c>
      <c r="AW110" s="287" t="e">
        <f t="shared" si="74"/>
        <v>#N/A</v>
      </c>
      <c r="AX110" s="245">
        <f t="shared" si="108"/>
        <v>7</v>
      </c>
      <c r="AY110" s="286" t="e">
        <f t="shared" si="75"/>
        <v>#N/A</v>
      </c>
      <c r="AZ110" s="245" t="e">
        <f t="shared" si="109"/>
        <v>#N/A</v>
      </c>
      <c r="BA110" s="245" t="e">
        <f t="shared" si="76"/>
        <v>#N/A</v>
      </c>
      <c r="BB110" s="288">
        <f t="shared" si="110"/>
        <v>7</v>
      </c>
      <c r="BC110" s="289" t="e">
        <f t="shared" si="111"/>
        <v>#N/A</v>
      </c>
      <c r="BD110" s="290" t="e">
        <f t="shared" si="112"/>
        <v>#N/A</v>
      </c>
      <c r="BE110" s="263" t="e">
        <f t="shared" si="77"/>
        <v>#N/A</v>
      </c>
      <c r="BF110" s="260">
        <f t="shared" si="113"/>
        <v>7</v>
      </c>
      <c r="BG110" s="289" t="e">
        <f t="shared" si="114"/>
        <v>#N/A</v>
      </c>
      <c r="BH110" s="290" t="e">
        <f t="shared" si="115"/>
        <v>#N/A</v>
      </c>
      <c r="BI110" s="263" t="e">
        <f t="shared" si="78"/>
        <v>#N/A</v>
      </c>
      <c r="BJ110" s="264">
        <f t="shared" si="116"/>
        <v>7</v>
      </c>
      <c r="BK110" s="291" t="e">
        <f t="shared" si="117"/>
        <v>#N/A</v>
      </c>
      <c r="BL110" s="291" t="e">
        <f t="shared" si="118"/>
        <v>#N/A</v>
      </c>
      <c r="BM110" s="292" t="e">
        <f t="shared" si="79"/>
        <v>#N/A</v>
      </c>
      <c r="BN110" s="293">
        <f t="shared" si="119"/>
        <v>7</v>
      </c>
      <c r="BO110" s="294" t="e">
        <f t="shared" si="120"/>
        <v>#N/A</v>
      </c>
      <c r="BP110" s="294" t="e">
        <f t="shared" si="121"/>
        <v>#N/A</v>
      </c>
      <c r="BQ110" s="292" t="e">
        <f t="shared" si="80"/>
        <v>#N/A</v>
      </c>
      <c r="BR110" s="295" t="e">
        <f t="shared" si="81"/>
        <v>#N/A</v>
      </c>
      <c r="BS110" s="230" t="e">
        <f>VLOOKUP($B110,SDR22_STOCK_BY_LA!$A$2:$C$11679,3,0)</f>
        <v>#N/A</v>
      </c>
      <c r="BT110" s="230" t="str">
        <f t="shared" si="122"/>
        <v/>
      </c>
    </row>
    <row r="111" spans="1:72" ht="12.5" x14ac:dyDescent="0.25">
      <c r="A111" s="269" t="str">
        <f t="shared" si="123"/>
        <v/>
      </c>
      <c r="B111" s="230" t="str">
        <f t="shared" si="124"/>
        <v/>
      </c>
      <c r="C111" s="270" t="str">
        <f t="shared" si="82"/>
        <v/>
      </c>
      <c r="D111" s="269" t="str">
        <f>IF(B111="","",IF(totals!$Q$3=0,IFERROR(IF(AD111=2,"0",AE111),""),"-"))</f>
        <v/>
      </c>
      <c r="E111" s="271" t="str">
        <f t="shared" si="83"/>
        <v/>
      </c>
      <c r="F111" s="272" t="str">
        <f t="shared" si="84"/>
        <v/>
      </c>
      <c r="G111" s="272" t="str">
        <f t="shared" si="85"/>
        <v/>
      </c>
      <c r="H111" s="269" t="str">
        <f t="shared" si="63"/>
        <v/>
      </c>
      <c r="I111" s="272" t="str">
        <f t="shared" si="86"/>
        <v/>
      </c>
      <c r="J111" s="272" t="str">
        <f t="shared" si="87"/>
        <v/>
      </c>
      <c r="K111" s="269" t="str">
        <f t="shared" si="64"/>
        <v/>
      </c>
      <c r="L111" s="272" t="str">
        <f t="shared" si="65"/>
        <v/>
      </c>
      <c r="M111" s="272" t="str">
        <f t="shared" si="88"/>
        <v/>
      </c>
      <c r="N111" s="269" t="str">
        <f t="shared" si="89"/>
        <v/>
      </c>
      <c r="O111" s="272" t="str">
        <f t="shared" si="90"/>
        <v/>
      </c>
      <c r="P111" s="272" t="str">
        <f t="shared" si="91"/>
        <v/>
      </c>
      <c r="Q111" s="269" t="str">
        <f t="shared" si="92"/>
        <v/>
      </c>
      <c r="R111" s="272" t="str">
        <f t="shared" si="93"/>
        <v/>
      </c>
      <c r="S111" s="272" t="str">
        <f t="shared" si="94"/>
        <v/>
      </c>
      <c r="T111" s="269" t="str">
        <f t="shared" si="95"/>
        <v/>
      </c>
      <c r="U111" s="230"/>
      <c r="V111" s="230"/>
      <c r="AB111" s="270" t="e">
        <f>VLOOKUP($B$6,Lookup_Source,104,0)</f>
        <v>#N/A</v>
      </c>
      <c r="AC111" s="254" t="str">
        <f t="shared" si="96"/>
        <v/>
      </c>
      <c r="AD111" s="255">
        <f t="shared" si="97"/>
        <v>7</v>
      </c>
      <c r="AE111" s="274" t="e">
        <f t="shared" si="66"/>
        <v>#N/A</v>
      </c>
      <c r="AF111" s="277" t="e">
        <f t="shared" si="98"/>
        <v>#N/A</v>
      </c>
      <c r="AG111" s="277" t="e">
        <f t="shared" si="99"/>
        <v>#N/A</v>
      </c>
      <c r="AH111" s="276" t="e">
        <f t="shared" si="67"/>
        <v>#N/A</v>
      </c>
      <c r="AI111" s="239">
        <f t="shared" si="100"/>
        <v>7</v>
      </c>
      <c r="AJ111" s="277" t="e">
        <f t="shared" si="68"/>
        <v>#N/A</v>
      </c>
      <c r="AK111" s="277" t="e">
        <f t="shared" si="101"/>
        <v>#N/A</v>
      </c>
      <c r="AL111" s="239" t="e">
        <f t="shared" si="69"/>
        <v>#N/A</v>
      </c>
      <c r="AM111" s="278" t="e">
        <f t="shared" si="102"/>
        <v>#N/A</v>
      </c>
      <c r="AN111" s="279" t="e">
        <f t="shared" si="70"/>
        <v>#N/A</v>
      </c>
      <c r="AO111" s="240" t="e">
        <f t="shared" si="71"/>
        <v>#N/A</v>
      </c>
      <c r="AP111" s="297">
        <f t="shared" si="103"/>
        <v>7</v>
      </c>
      <c r="AQ111" s="298" t="e">
        <f t="shared" si="72"/>
        <v>#N/A</v>
      </c>
      <c r="AR111" s="279" t="e">
        <f t="shared" si="104"/>
        <v>#N/A</v>
      </c>
      <c r="AS111" s="283" t="e">
        <f t="shared" si="73"/>
        <v>#N/A</v>
      </c>
      <c r="AT111" s="284">
        <f t="shared" si="105"/>
        <v>7</v>
      </c>
      <c r="AU111" s="285" t="e">
        <f t="shared" si="106"/>
        <v>#N/A</v>
      </c>
      <c r="AV111" s="286" t="e">
        <f t="shared" si="107"/>
        <v>#N/A</v>
      </c>
      <c r="AW111" s="287" t="e">
        <f t="shared" si="74"/>
        <v>#N/A</v>
      </c>
      <c r="AX111" s="245">
        <f t="shared" si="108"/>
        <v>7</v>
      </c>
      <c r="AY111" s="286" t="e">
        <f t="shared" si="75"/>
        <v>#N/A</v>
      </c>
      <c r="AZ111" s="245" t="e">
        <f t="shared" si="109"/>
        <v>#N/A</v>
      </c>
      <c r="BA111" s="245" t="e">
        <f t="shared" si="76"/>
        <v>#N/A</v>
      </c>
      <c r="BB111" s="288">
        <f t="shared" si="110"/>
        <v>7</v>
      </c>
      <c r="BC111" s="289" t="e">
        <f t="shared" si="111"/>
        <v>#N/A</v>
      </c>
      <c r="BD111" s="290" t="e">
        <f t="shared" si="112"/>
        <v>#N/A</v>
      </c>
      <c r="BE111" s="263" t="e">
        <f t="shared" si="77"/>
        <v>#N/A</v>
      </c>
      <c r="BF111" s="260">
        <f t="shared" si="113"/>
        <v>7</v>
      </c>
      <c r="BG111" s="289" t="e">
        <f t="shared" si="114"/>
        <v>#N/A</v>
      </c>
      <c r="BH111" s="290" t="e">
        <f t="shared" si="115"/>
        <v>#N/A</v>
      </c>
      <c r="BI111" s="263" t="e">
        <f t="shared" si="78"/>
        <v>#N/A</v>
      </c>
      <c r="BJ111" s="264">
        <f t="shared" si="116"/>
        <v>7</v>
      </c>
      <c r="BK111" s="291" t="e">
        <f t="shared" si="117"/>
        <v>#N/A</v>
      </c>
      <c r="BL111" s="291" t="e">
        <f t="shared" si="118"/>
        <v>#N/A</v>
      </c>
      <c r="BM111" s="292" t="e">
        <f t="shared" si="79"/>
        <v>#N/A</v>
      </c>
      <c r="BN111" s="293">
        <f t="shared" si="119"/>
        <v>7</v>
      </c>
      <c r="BO111" s="294" t="e">
        <f t="shared" si="120"/>
        <v>#N/A</v>
      </c>
      <c r="BP111" s="294" t="e">
        <f t="shared" si="121"/>
        <v>#N/A</v>
      </c>
      <c r="BQ111" s="292" t="e">
        <f t="shared" si="80"/>
        <v>#N/A</v>
      </c>
      <c r="BR111" s="295" t="e">
        <f t="shared" si="81"/>
        <v>#N/A</v>
      </c>
      <c r="BS111" s="230" t="e">
        <f>VLOOKUP($B111,SDR22_STOCK_BY_LA!$A$2:$C$11679,3,0)</f>
        <v>#N/A</v>
      </c>
      <c r="BT111" s="230" t="str">
        <f t="shared" si="122"/>
        <v/>
      </c>
    </row>
    <row r="112" spans="1:72" ht="12.5" x14ac:dyDescent="0.25">
      <c r="A112" s="230" t="str">
        <f t="shared" si="123"/>
        <v/>
      </c>
      <c r="B112" s="230" t="str">
        <f t="shared" si="124"/>
        <v/>
      </c>
      <c r="C112" s="296" t="str">
        <f t="shared" si="82"/>
        <v/>
      </c>
      <c r="D112" s="269" t="str">
        <f>IF(B112="","",IF(totals!$Q$3=0,IFERROR(IF(AD112=2,"0",AE112),""),"-"))</f>
        <v/>
      </c>
      <c r="E112" s="271" t="str">
        <f t="shared" si="83"/>
        <v/>
      </c>
      <c r="F112" s="272" t="str">
        <f t="shared" si="84"/>
        <v/>
      </c>
      <c r="G112" s="272" t="str">
        <f t="shared" si="85"/>
        <v/>
      </c>
      <c r="H112" s="269" t="str">
        <f t="shared" si="63"/>
        <v/>
      </c>
      <c r="I112" s="272" t="str">
        <f t="shared" si="86"/>
        <v/>
      </c>
      <c r="J112" s="272" t="str">
        <f t="shared" si="87"/>
        <v/>
      </c>
      <c r="K112" s="269" t="str">
        <f t="shared" si="64"/>
        <v/>
      </c>
      <c r="L112" s="272" t="str">
        <f t="shared" si="65"/>
        <v/>
      </c>
      <c r="M112" s="272" t="str">
        <f t="shared" si="88"/>
        <v/>
      </c>
      <c r="N112" s="269" t="str">
        <f t="shared" si="89"/>
        <v/>
      </c>
      <c r="O112" s="272" t="str">
        <f t="shared" si="90"/>
        <v/>
      </c>
      <c r="P112" s="272" t="str">
        <f t="shared" si="91"/>
        <v/>
      </c>
      <c r="Q112" s="269" t="str">
        <f t="shared" si="92"/>
        <v/>
      </c>
      <c r="R112" s="272" t="str">
        <f t="shared" si="93"/>
        <v/>
      </c>
      <c r="S112" s="272" t="str">
        <f t="shared" si="94"/>
        <v/>
      </c>
      <c r="T112" s="269" t="str">
        <f t="shared" si="95"/>
        <v/>
      </c>
      <c r="U112" s="230"/>
      <c r="V112" s="230"/>
      <c r="AB112" s="230" t="e">
        <f>VLOOKUP($B$6,Lookup_Source,105,0)</f>
        <v>#N/A</v>
      </c>
      <c r="AC112" s="254" t="str">
        <f t="shared" si="96"/>
        <v/>
      </c>
      <c r="AD112" s="255">
        <f t="shared" si="97"/>
        <v>7</v>
      </c>
      <c r="AE112" s="274" t="e">
        <f t="shared" si="66"/>
        <v>#N/A</v>
      </c>
      <c r="AF112" s="277" t="e">
        <f t="shared" si="98"/>
        <v>#N/A</v>
      </c>
      <c r="AG112" s="277" t="e">
        <f t="shared" si="99"/>
        <v>#N/A</v>
      </c>
      <c r="AH112" s="276" t="e">
        <f t="shared" si="67"/>
        <v>#N/A</v>
      </c>
      <c r="AI112" s="239">
        <f t="shared" si="100"/>
        <v>7</v>
      </c>
      <c r="AJ112" s="277" t="e">
        <f t="shared" si="68"/>
        <v>#N/A</v>
      </c>
      <c r="AK112" s="277" t="e">
        <f t="shared" si="101"/>
        <v>#N/A</v>
      </c>
      <c r="AL112" s="239" t="e">
        <f t="shared" si="69"/>
        <v>#N/A</v>
      </c>
      <c r="AM112" s="278" t="e">
        <f t="shared" si="102"/>
        <v>#N/A</v>
      </c>
      <c r="AN112" s="279" t="e">
        <f t="shared" si="70"/>
        <v>#N/A</v>
      </c>
      <c r="AO112" s="240" t="e">
        <f t="shared" si="71"/>
        <v>#N/A</v>
      </c>
      <c r="AP112" s="297">
        <f t="shared" si="103"/>
        <v>7</v>
      </c>
      <c r="AQ112" s="298" t="e">
        <f t="shared" si="72"/>
        <v>#N/A</v>
      </c>
      <c r="AR112" s="279" t="e">
        <f t="shared" si="104"/>
        <v>#N/A</v>
      </c>
      <c r="AS112" s="283" t="e">
        <f t="shared" si="73"/>
        <v>#N/A</v>
      </c>
      <c r="AT112" s="284">
        <f t="shared" si="105"/>
        <v>7</v>
      </c>
      <c r="AU112" s="285" t="e">
        <f t="shared" si="106"/>
        <v>#N/A</v>
      </c>
      <c r="AV112" s="286" t="e">
        <f t="shared" si="107"/>
        <v>#N/A</v>
      </c>
      <c r="AW112" s="287" t="e">
        <f t="shared" si="74"/>
        <v>#N/A</v>
      </c>
      <c r="AX112" s="245">
        <f t="shared" si="108"/>
        <v>7</v>
      </c>
      <c r="AY112" s="286" t="e">
        <f t="shared" si="75"/>
        <v>#N/A</v>
      </c>
      <c r="AZ112" s="245" t="e">
        <f t="shared" si="109"/>
        <v>#N/A</v>
      </c>
      <c r="BA112" s="245" t="e">
        <f t="shared" si="76"/>
        <v>#N/A</v>
      </c>
      <c r="BB112" s="288">
        <f t="shared" si="110"/>
        <v>7</v>
      </c>
      <c r="BC112" s="289" t="e">
        <f t="shared" si="111"/>
        <v>#N/A</v>
      </c>
      <c r="BD112" s="290" t="e">
        <f t="shared" si="112"/>
        <v>#N/A</v>
      </c>
      <c r="BE112" s="263" t="e">
        <f t="shared" si="77"/>
        <v>#N/A</v>
      </c>
      <c r="BF112" s="260">
        <f t="shared" si="113"/>
        <v>7</v>
      </c>
      <c r="BG112" s="289" t="e">
        <f t="shared" si="114"/>
        <v>#N/A</v>
      </c>
      <c r="BH112" s="290" t="e">
        <f t="shared" si="115"/>
        <v>#N/A</v>
      </c>
      <c r="BI112" s="263" t="e">
        <f t="shared" si="78"/>
        <v>#N/A</v>
      </c>
      <c r="BJ112" s="264">
        <f t="shared" si="116"/>
        <v>7</v>
      </c>
      <c r="BK112" s="291" t="e">
        <f t="shared" si="117"/>
        <v>#N/A</v>
      </c>
      <c r="BL112" s="291" t="e">
        <f t="shared" si="118"/>
        <v>#N/A</v>
      </c>
      <c r="BM112" s="292" t="e">
        <f t="shared" si="79"/>
        <v>#N/A</v>
      </c>
      <c r="BN112" s="293">
        <f t="shared" si="119"/>
        <v>7</v>
      </c>
      <c r="BO112" s="294" t="e">
        <f t="shared" si="120"/>
        <v>#N/A</v>
      </c>
      <c r="BP112" s="294" t="e">
        <f t="shared" si="121"/>
        <v>#N/A</v>
      </c>
      <c r="BQ112" s="292" t="e">
        <f t="shared" si="80"/>
        <v>#N/A</v>
      </c>
      <c r="BR112" s="295" t="e">
        <f t="shared" si="81"/>
        <v>#N/A</v>
      </c>
      <c r="BS112" s="230" t="e">
        <f>VLOOKUP($B112,SDR22_STOCK_BY_LA!$A$2:$C$11679,3,0)</f>
        <v>#N/A</v>
      </c>
      <c r="BT112" s="230" t="str">
        <f t="shared" si="122"/>
        <v/>
      </c>
    </row>
    <row r="113" spans="1:72" ht="12.5" x14ac:dyDescent="0.25">
      <c r="A113" s="269" t="str">
        <f t="shared" si="123"/>
        <v/>
      </c>
      <c r="B113" s="230" t="str">
        <f t="shared" si="124"/>
        <v/>
      </c>
      <c r="C113" s="270" t="str">
        <f t="shared" si="82"/>
        <v/>
      </c>
      <c r="D113" s="269" t="str">
        <f>IF(B113="","",IF(totals!$Q$3=0,IFERROR(IF(AD113=2,"0",AE113),""),"-"))</f>
        <v/>
      </c>
      <c r="E113" s="271" t="str">
        <f t="shared" si="83"/>
        <v/>
      </c>
      <c r="F113" s="272" t="str">
        <f t="shared" si="84"/>
        <v/>
      </c>
      <c r="G113" s="272" t="str">
        <f t="shared" si="85"/>
        <v/>
      </c>
      <c r="H113" s="269" t="str">
        <f t="shared" si="63"/>
        <v/>
      </c>
      <c r="I113" s="272" t="str">
        <f t="shared" si="86"/>
        <v/>
      </c>
      <c r="J113" s="272" t="str">
        <f t="shared" si="87"/>
        <v/>
      </c>
      <c r="K113" s="269" t="str">
        <f t="shared" si="64"/>
        <v/>
      </c>
      <c r="L113" s="272" t="str">
        <f t="shared" si="65"/>
        <v/>
      </c>
      <c r="M113" s="272" t="str">
        <f t="shared" si="88"/>
        <v/>
      </c>
      <c r="N113" s="269" t="str">
        <f t="shared" si="89"/>
        <v/>
      </c>
      <c r="O113" s="272" t="str">
        <f t="shared" si="90"/>
        <v/>
      </c>
      <c r="P113" s="272" t="str">
        <f t="shared" si="91"/>
        <v/>
      </c>
      <c r="Q113" s="269" t="str">
        <f t="shared" si="92"/>
        <v/>
      </c>
      <c r="R113" s="272" t="str">
        <f t="shared" si="93"/>
        <v/>
      </c>
      <c r="S113" s="272" t="str">
        <f t="shared" si="94"/>
        <v/>
      </c>
      <c r="T113" s="269" t="str">
        <f t="shared" si="95"/>
        <v/>
      </c>
      <c r="U113" s="230"/>
      <c r="V113" s="230"/>
      <c r="AB113" s="270" t="e">
        <f>VLOOKUP($B$6,Lookup_Source,106,0)</f>
        <v>#N/A</v>
      </c>
      <c r="AC113" s="254" t="str">
        <f t="shared" si="96"/>
        <v/>
      </c>
      <c r="AD113" s="255">
        <f t="shared" si="97"/>
        <v>7</v>
      </c>
      <c r="AE113" s="274" t="e">
        <f t="shared" si="66"/>
        <v>#N/A</v>
      </c>
      <c r="AF113" s="277" t="e">
        <f t="shared" si="98"/>
        <v>#N/A</v>
      </c>
      <c r="AG113" s="277" t="e">
        <f t="shared" si="99"/>
        <v>#N/A</v>
      </c>
      <c r="AH113" s="276" t="e">
        <f t="shared" si="67"/>
        <v>#N/A</v>
      </c>
      <c r="AI113" s="239">
        <f t="shared" si="100"/>
        <v>7</v>
      </c>
      <c r="AJ113" s="277" t="e">
        <f t="shared" si="68"/>
        <v>#N/A</v>
      </c>
      <c r="AK113" s="277" t="e">
        <f t="shared" si="101"/>
        <v>#N/A</v>
      </c>
      <c r="AL113" s="239" t="e">
        <f t="shared" si="69"/>
        <v>#N/A</v>
      </c>
      <c r="AM113" s="278" t="e">
        <f t="shared" si="102"/>
        <v>#N/A</v>
      </c>
      <c r="AN113" s="279" t="e">
        <f t="shared" si="70"/>
        <v>#N/A</v>
      </c>
      <c r="AO113" s="240" t="e">
        <f t="shared" si="71"/>
        <v>#N/A</v>
      </c>
      <c r="AP113" s="297">
        <f t="shared" si="103"/>
        <v>7</v>
      </c>
      <c r="AQ113" s="298" t="e">
        <f t="shared" si="72"/>
        <v>#N/A</v>
      </c>
      <c r="AR113" s="279" t="e">
        <f t="shared" si="104"/>
        <v>#N/A</v>
      </c>
      <c r="AS113" s="283" t="e">
        <f t="shared" si="73"/>
        <v>#N/A</v>
      </c>
      <c r="AT113" s="284">
        <f t="shared" si="105"/>
        <v>7</v>
      </c>
      <c r="AU113" s="285" t="e">
        <f t="shared" si="106"/>
        <v>#N/A</v>
      </c>
      <c r="AV113" s="286" t="e">
        <f t="shared" si="107"/>
        <v>#N/A</v>
      </c>
      <c r="AW113" s="287" t="e">
        <f t="shared" si="74"/>
        <v>#N/A</v>
      </c>
      <c r="AX113" s="245">
        <f t="shared" si="108"/>
        <v>7</v>
      </c>
      <c r="AY113" s="286" t="e">
        <f t="shared" si="75"/>
        <v>#N/A</v>
      </c>
      <c r="AZ113" s="245" t="e">
        <f t="shared" si="109"/>
        <v>#N/A</v>
      </c>
      <c r="BA113" s="245" t="e">
        <f t="shared" si="76"/>
        <v>#N/A</v>
      </c>
      <c r="BB113" s="288">
        <f t="shared" si="110"/>
        <v>7</v>
      </c>
      <c r="BC113" s="289" t="e">
        <f t="shared" si="111"/>
        <v>#N/A</v>
      </c>
      <c r="BD113" s="290" t="e">
        <f t="shared" si="112"/>
        <v>#N/A</v>
      </c>
      <c r="BE113" s="263" t="e">
        <f t="shared" si="77"/>
        <v>#N/A</v>
      </c>
      <c r="BF113" s="260">
        <f t="shared" si="113"/>
        <v>7</v>
      </c>
      <c r="BG113" s="289" t="e">
        <f t="shared" si="114"/>
        <v>#N/A</v>
      </c>
      <c r="BH113" s="290" t="e">
        <f t="shared" si="115"/>
        <v>#N/A</v>
      </c>
      <c r="BI113" s="263" t="e">
        <f t="shared" si="78"/>
        <v>#N/A</v>
      </c>
      <c r="BJ113" s="264">
        <f t="shared" si="116"/>
        <v>7</v>
      </c>
      <c r="BK113" s="291" t="e">
        <f t="shared" si="117"/>
        <v>#N/A</v>
      </c>
      <c r="BL113" s="291" t="e">
        <f t="shared" si="118"/>
        <v>#N/A</v>
      </c>
      <c r="BM113" s="292" t="e">
        <f t="shared" si="79"/>
        <v>#N/A</v>
      </c>
      <c r="BN113" s="293">
        <f t="shared" si="119"/>
        <v>7</v>
      </c>
      <c r="BO113" s="294" t="e">
        <f t="shared" si="120"/>
        <v>#N/A</v>
      </c>
      <c r="BP113" s="294" t="e">
        <f t="shared" si="121"/>
        <v>#N/A</v>
      </c>
      <c r="BQ113" s="292" t="e">
        <f t="shared" si="80"/>
        <v>#N/A</v>
      </c>
      <c r="BR113" s="295" t="e">
        <f t="shared" si="81"/>
        <v>#N/A</v>
      </c>
      <c r="BS113" s="230" t="e">
        <f>VLOOKUP($B113,SDR22_STOCK_BY_LA!$A$2:$C$11679,3,0)</f>
        <v>#N/A</v>
      </c>
      <c r="BT113" s="230" t="str">
        <f t="shared" si="122"/>
        <v/>
      </c>
    </row>
    <row r="114" spans="1:72" ht="12.5" x14ac:dyDescent="0.25">
      <c r="A114" s="230" t="str">
        <f t="shared" si="123"/>
        <v/>
      </c>
      <c r="B114" s="230" t="str">
        <f t="shared" si="124"/>
        <v/>
      </c>
      <c r="C114" s="296" t="str">
        <f t="shared" si="82"/>
        <v/>
      </c>
      <c r="D114" s="269" t="str">
        <f>IF(B114="","",IF(totals!$Q$3=0,IFERROR(IF(AD114=2,"0",AE114),""),"-"))</f>
        <v/>
      </c>
      <c r="E114" s="271" t="str">
        <f t="shared" si="83"/>
        <v/>
      </c>
      <c r="F114" s="272" t="str">
        <f t="shared" si="84"/>
        <v/>
      </c>
      <c r="G114" s="272" t="str">
        <f t="shared" si="85"/>
        <v/>
      </c>
      <c r="H114" s="269" t="str">
        <f t="shared" si="63"/>
        <v/>
      </c>
      <c r="I114" s="272" t="str">
        <f t="shared" si="86"/>
        <v/>
      </c>
      <c r="J114" s="272" t="str">
        <f t="shared" si="87"/>
        <v/>
      </c>
      <c r="K114" s="269" t="str">
        <f t="shared" si="64"/>
        <v/>
      </c>
      <c r="L114" s="272" t="str">
        <f t="shared" si="65"/>
        <v/>
      </c>
      <c r="M114" s="272" t="str">
        <f t="shared" si="88"/>
        <v/>
      </c>
      <c r="N114" s="269" t="str">
        <f t="shared" si="89"/>
        <v/>
      </c>
      <c r="O114" s="272" t="str">
        <f t="shared" si="90"/>
        <v/>
      </c>
      <c r="P114" s="272" t="str">
        <f t="shared" si="91"/>
        <v/>
      </c>
      <c r="Q114" s="269" t="str">
        <f t="shared" si="92"/>
        <v/>
      </c>
      <c r="R114" s="272" t="str">
        <f t="shared" si="93"/>
        <v/>
      </c>
      <c r="S114" s="272" t="str">
        <f t="shared" si="94"/>
        <v/>
      </c>
      <c r="T114" s="269" t="str">
        <f t="shared" si="95"/>
        <v/>
      </c>
      <c r="U114" s="230"/>
      <c r="V114" s="230"/>
      <c r="AB114" s="230" t="e">
        <f>VLOOKUP($B$6,Lookup_Source,107,0)</f>
        <v>#N/A</v>
      </c>
      <c r="AC114" s="254" t="str">
        <f t="shared" si="96"/>
        <v/>
      </c>
      <c r="AD114" s="255">
        <f t="shared" si="97"/>
        <v>7</v>
      </c>
      <c r="AE114" s="274" t="e">
        <f t="shared" si="66"/>
        <v>#N/A</v>
      </c>
      <c r="AF114" s="277" t="e">
        <f t="shared" si="98"/>
        <v>#N/A</v>
      </c>
      <c r="AG114" s="277" t="e">
        <f t="shared" si="99"/>
        <v>#N/A</v>
      </c>
      <c r="AH114" s="276" t="e">
        <f t="shared" si="67"/>
        <v>#N/A</v>
      </c>
      <c r="AI114" s="239">
        <f t="shared" si="100"/>
        <v>7</v>
      </c>
      <c r="AJ114" s="277" t="e">
        <f t="shared" si="68"/>
        <v>#N/A</v>
      </c>
      <c r="AK114" s="277" t="e">
        <f t="shared" si="101"/>
        <v>#N/A</v>
      </c>
      <c r="AL114" s="239" t="e">
        <f t="shared" si="69"/>
        <v>#N/A</v>
      </c>
      <c r="AM114" s="278" t="e">
        <f t="shared" si="102"/>
        <v>#N/A</v>
      </c>
      <c r="AN114" s="279" t="e">
        <f t="shared" si="70"/>
        <v>#N/A</v>
      </c>
      <c r="AO114" s="240" t="e">
        <f t="shared" si="71"/>
        <v>#N/A</v>
      </c>
      <c r="AP114" s="297">
        <f t="shared" si="103"/>
        <v>7</v>
      </c>
      <c r="AQ114" s="298" t="e">
        <f t="shared" si="72"/>
        <v>#N/A</v>
      </c>
      <c r="AR114" s="279" t="e">
        <f t="shared" si="104"/>
        <v>#N/A</v>
      </c>
      <c r="AS114" s="283" t="e">
        <f t="shared" si="73"/>
        <v>#N/A</v>
      </c>
      <c r="AT114" s="284">
        <f t="shared" si="105"/>
        <v>7</v>
      </c>
      <c r="AU114" s="285" t="e">
        <f t="shared" si="106"/>
        <v>#N/A</v>
      </c>
      <c r="AV114" s="286" t="e">
        <f t="shared" si="107"/>
        <v>#N/A</v>
      </c>
      <c r="AW114" s="287" t="e">
        <f t="shared" si="74"/>
        <v>#N/A</v>
      </c>
      <c r="AX114" s="245">
        <f t="shared" si="108"/>
        <v>7</v>
      </c>
      <c r="AY114" s="286" t="e">
        <f t="shared" si="75"/>
        <v>#N/A</v>
      </c>
      <c r="AZ114" s="245" t="e">
        <f t="shared" si="109"/>
        <v>#N/A</v>
      </c>
      <c r="BA114" s="245" t="e">
        <f t="shared" si="76"/>
        <v>#N/A</v>
      </c>
      <c r="BB114" s="288">
        <f t="shared" si="110"/>
        <v>7</v>
      </c>
      <c r="BC114" s="289" t="e">
        <f t="shared" si="111"/>
        <v>#N/A</v>
      </c>
      <c r="BD114" s="290" t="e">
        <f t="shared" si="112"/>
        <v>#N/A</v>
      </c>
      <c r="BE114" s="263" t="e">
        <f t="shared" si="77"/>
        <v>#N/A</v>
      </c>
      <c r="BF114" s="260">
        <f t="shared" si="113"/>
        <v>7</v>
      </c>
      <c r="BG114" s="289" t="e">
        <f t="shared" si="114"/>
        <v>#N/A</v>
      </c>
      <c r="BH114" s="290" t="e">
        <f t="shared" si="115"/>
        <v>#N/A</v>
      </c>
      <c r="BI114" s="263" t="e">
        <f t="shared" si="78"/>
        <v>#N/A</v>
      </c>
      <c r="BJ114" s="264">
        <f t="shared" si="116"/>
        <v>7</v>
      </c>
      <c r="BK114" s="291" t="e">
        <f t="shared" si="117"/>
        <v>#N/A</v>
      </c>
      <c r="BL114" s="291" t="e">
        <f t="shared" si="118"/>
        <v>#N/A</v>
      </c>
      <c r="BM114" s="292" t="e">
        <f t="shared" si="79"/>
        <v>#N/A</v>
      </c>
      <c r="BN114" s="293">
        <f t="shared" si="119"/>
        <v>7</v>
      </c>
      <c r="BO114" s="294" t="e">
        <f t="shared" si="120"/>
        <v>#N/A</v>
      </c>
      <c r="BP114" s="294" t="e">
        <f t="shared" si="121"/>
        <v>#N/A</v>
      </c>
      <c r="BQ114" s="292" t="e">
        <f t="shared" si="80"/>
        <v>#N/A</v>
      </c>
      <c r="BR114" s="295" t="e">
        <f t="shared" si="81"/>
        <v>#N/A</v>
      </c>
      <c r="BS114" s="230" t="e">
        <f>VLOOKUP($B114,SDR22_STOCK_BY_LA!$A$2:$C$11679,3,0)</f>
        <v>#N/A</v>
      </c>
      <c r="BT114" s="230" t="str">
        <f t="shared" si="122"/>
        <v/>
      </c>
    </row>
    <row r="115" spans="1:72" ht="12.5" x14ac:dyDescent="0.25">
      <c r="A115" s="269" t="str">
        <f t="shared" si="123"/>
        <v/>
      </c>
      <c r="B115" s="230" t="str">
        <f t="shared" si="124"/>
        <v/>
      </c>
      <c r="C115" s="270" t="str">
        <f t="shared" si="82"/>
        <v/>
      </c>
      <c r="D115" s="269" t="str">
        <f>IF(B115="","",IF(totals!$Q$3=0,IFERROR(IF(AD115=2,"0",AE115),""),"-"))</f>
        <v/>
      </c>
      <c r="E115" s="271" t="str">
        <f t="shared" si="83"/>
        <v/>
      </c>
      <c r="F115" s="272" t="str">
        <f t="shared" si="84"/>
        <v/>
      </c>
      <c r="G115" s="272" t="str">
        <f t="shared" si="85"/>
        <v/>
      </c>
      <c r="H115" s="269" t="str">
        <f t="shared" si="63"/>
        <v/>
      </c>
      <c r="I115" s="272" t="str">
        <f t="shared" si="86"/>
        <v/>
      </c>
      <c r="J115" s="272" t="str">
        <f t="shared" si="87"/>
        <v/>
      </c>
      <c r="K115" s="269" t="str">
        <f t="shared" si="64"/>
        <v/>
      </c>
      <c r="L115" s="272" t="str">
        <f t="shared" si="65"/>
        <v/>
      </c>
      <c r="M115" s="272" t="str">
        <f t="shared" si="88"/>
        <v/>
      </c>
      <c r="N115" s="269" t="str">
        <f t="shared" si="89"/>
        <v/>
      </c>
      <c r="O115" s="272" t="str">
        <f t="shared" si="90"/>
        <v/>
      </c>
      <c r="P115" s="272" t="str">
        <f t="shared" si="91"/>
        <v/>
      </c>
      <c r="Q115" s="269" t="str">
        <f t="shared" si="92"/>
        <v/>
      </c>
      <c r="R115" s="272" t="str">
        <f t="shared" si="93"/>
        <v/>
      </c>
      <c r="S115" s="272" t="str">
        <f t="shared" si="94"/>
        <v/>
      </c>
      <c r="T115" s="269" t="str">
        <f t="shared" si="95"/>
        <v/>
      </c>
      <c r="U115" s="230"/>
      <c r="V115" s="230"/>
      <c r="AB115" s="270" t="e">
        <f>VLOOKUP($B$6,Lookup_Source,108,0)</f>
        <v>#N/A</v>
      </c>
      <c r="AC115" s="254" t="str">
        <f t="shared" si="96"/>
        <v/>
      </c>
      <c r="AD115" s="255">
        <f t="shared" si="97"/>
        <v>7</v>
      </c>
      <c r="AE115" s="274" t="e">
        <f t="shared" si="66"/>
        <v>#N/A</v>
      </c>
      <c r="AF115" s="277" t="e">
        <f t="shared" si="98"/>
        <v>#N/A</v>
      </c>
      <c r="AG115" s="277" t="e">
        <f t="shared" si="99"/>
        <v>#N/A</v>
      </c>
      <c r="AH115" s="276" t="e">
        <f t="shared" si="67"/>
        <v>#N/A</v>
      </c>
      <c r="AI115" s="239">
        <f t="shared" si="100"/>
        <v>7</v>
      </c>
      <c r="AJ115" s="277" t="e">
        <f t="shared" si="68"/>
        <v>#N/A</v>
      </c>
      <c r="AK115" s="277" t="e">
        <f t="shared" si="101"/>
        <v>#N/A</v>
      </c>
      <c r="AL115" s="239" t="e">
        <f t="shared" si="69"/>
        <v>#N/A</v>
      </c>
      <c r="AM115" s="278" t="e">
        <f t="shared" si="102"/>
        <v>#N/A</v>
      </c>
      <c r="AN115" s="279" t="e">
        <f t="shared" si="70"/>
        <v>#N/A</v>
      </c>
      <c r="AO115" s="240" t="e">
        <f t="shared" si="71"/>
        <v>#N/A</v>
      </c>
      <c r="AP115" s="297">
        <f t="shared" si="103"/>
        <v>7</v>
      </c>
      <c r="AQ115" s="298" t="e">
        <f t="shared" si="72"/>
        <v>#N/A</v>
      </c>
      <c r="AR115" s="279" t="e">
        <f t="shared" si="104"/>
        <v>#N/A</v>
      </c>
      <c r="AS115" s="283" t="e">
        <f t="shared" si="73"/>
        <v>#N/A</v>
      </c>
      <c r="AT115" s="284">
        <f t="shared" si="105"/>
        <v>7</v>
      </c>
      <c r="AU115" s="285" t="e">
        <f t="shared" si="106"/>
        <v>#N/A</v>
      </c>
      <c r="AV115" s="286" t="e">
        <f t="shared" si="107"/>
        <v>#N/A</v>
      </c>
      <c r="AW115" s="287" t="e">
        <f t="shared" si="74"/>
        <v>#N/A</v>
      </c>
      <c r="AX115" s="245">
        <f t="shared" si="108"/>
        <v>7</v>
      </c>
      <c r="AY115" s="286" t="e">
        <f t="shared" si="75"/>
        <v>#N/A</v>
      </c>
      <c r="AZ115" s="245" t="e">
        <f t="shared" si="109"/>
        <v>#N/A</v>
      </c>
      <c r="BA115" s="245" t="e">
        <f t="shared" si="76"/>
        <v>#N/A</v>
      </c>
      <c r="BB115" s="288">
        <f t="shared" si="110"/>
        <v>7</v>
      </c>
      <c r="BC115" s="289" t="e">
        <f t="shared" si="111"/>
        <v>#N/A</v>
      </c>
      <c r="BD115" s="290" t="e">
        <f t="shared" si="112"/>
        <v>#N/A</v>
      </c>
      <c r="BE115" s="263" t="e">
        <f t="shared" si="77"/>
        <v>#N/A</v>
      </c>
      <c r="BF115" s="260">
        <f t="shared" si="113"/>
        <v>7</v>
      </c>
      <c r="BG115" s="289" t="e">
        <f t="shared" si="114"/>
        <v>#N/A</v>
      </c>
      <c r="BH115" s="290" t="e">
        <f t="shared" si="115"/>
        <v>#N/A</v>
      </c>
      <c r="BI115" s="263" t="e">
        <f t="shared" si="78"/>
        <v>#N/A</v>
      </c>
      <c r="BJ115" s="264">
        <f t="shared" si="116"/>
        <v>7</v>
      </c>
      <c r="BK115" s="291" t="e">
        <f t="shared" si="117"/>
        <v>#N/A</v>
      </c>
      <c r="BL115" s="291" t="e">
        <f t="shared" si="118"/>
        <v>#N/A</v>
      </c>
      <c r="BM115" s="292" t="e">
        <f t="shared" si="79"/>
        <v>#N/A</v>
      </c>
      <c r="BN115" s="293">
        <f t="shared" si="119"/>
        <v>7</v>
      </c>
      <c r="BO115" s="294" t="e">
        <f t="shared" si="120"/>
        <v>#N/A</v>
      </c>
      <c r="BP115" s="294" t="e">
        <f t="shared" si="121"/>
        <v>#N/A</v>
      </c>
      <c r="BQ115" s="292" t="e">
        <f t="shared" si="80"/>
        <v>#N/A</v>
      </c>
      <c r="BR115" s="295" t="e">
        <f t="shared" si="81"/>
        <v>#N/A</v>
      </c>
      <c r="BS115" s="230" t="e">
        <f>VLOOKUP($B115,SDR22_STOCK_BY_LA!$A$2:$C$11679,3,0)</f>
        <v>#N/A</v>
      </c>
      <c r="BT115" s="230" t="str">
        <f t="shared" si="122"/>
        <v/>
      </c>
    </row>
    <row r="116" spans="1:72" ht="12.5" x14ac:dyDescent="0.25">
      <c r="A116" s="230" t="str">
        <f t="shared" si="123"/>
        <v/>
      </c>
      <c r="B116" s="230" t="str">
        <f t="shared" si="124"/>
        <v/>
      </c>
      <c r="C116" s="296" t="str">
        <f t="shared" si="82"/>
        <v/>
      </c>
      <c r="D116" s="269" t="str">
        <f>IF(B116="","",IF(totals!$Q$3=0,IFERROR(IF(AD116=2,"0",AE116),""),"-"))</f>
        <v/>
      </c>
      <c r="E116" s="271" t="str">
        <f t="shared" si="83"/>
        <v/>
      </c>
      <c r="F116" s="272" t="str">
        <f t="shared" si="84"/>
        <v/>
      </c>
      <c r="G116" s="272" t="str">
        <f t="shared" si="85"/>
        <v/>
      </c>
      <c r="H116" s="269" t="str">
        <f t="shared" si="63"/>
        <v/>
      </c>
      <c r="I116" s="272" t="str">
        <f t="shared" si="86"/>
        <v/>
      </c>
      <c r="J116" s="272" t="str">
        <f t="shared" si="87"/>
        <v/>
      </c>
      <c r="K116" s="269" t="str">
        <f t="shared" si="64"/>
        <v/>
      </c>
      <c r="L116" s="272" t="str">
        <f t="shared" si="65"/>
        <v/>
      </c>
      <c r="M116" s="272" t="str">
        <f t="shared" si="88"/>
        <v/>
      </c>
      <c r="N116" s="269" t="str">
        <f t="shared" si="89"/>
        <v/>
      </c>
      <c r="O116" s="272" t="str">
        <f t="shared" si="90"/>
        <v/>
      </c>
      <c r="P116" s="272" t="str">
        <f t="shared" si="91"/>
        <v/>
      </c>
      <c r="Q116" s="269" t="str">
        <f t="shared" si="92"/>
        <v/>
      </c>
      <c r="R116" s="272" t="str">
        <f t="shared" si="93"/>
        <v/>
      </c>
      <c r="S116" s="272" t="str">
        <f t="shared" si="94"/>
        <v/>
      </c>
      <c r="T116" s="269" t="str">
        <f t="shared" si="95"/>
        <v/>
      </c>
      <c r="U116" s="230"/>
      <c r="V116" s="230"/>
      <c r="AB116" s="230" t="e">
        <f>VLOOKUP($B$6,Lookup_Source,109,0)</f>
        <v>#N/A</v>
      </c>
      <c r="AC116" s="254" t="str">
        <f t="shared" si="96"/>
        <v/>
      </c>
      <c r="AD116" s="255">
        <f t="shared" si="97"/>
        <v>7</v>
      </c>
      <c r="AE116" s="274" t="e">
        <f t="shared" si="66"/>
        <v>#N/A</v>
      </c>
      <c r="AF116" s="277" t="e">
        <f t="shared" si="98"/>
        <v>#N/A</v>
      </c>
      <c r="AG116" s="277" t="e">
        <f t="shared" si="99"/>
        <v>#N/A</v>
      </c>
      <c r="AH116" s="276" t="e">
        <f t="shared" si="67"/>
        <v>#N/A</v>
      </c>
      <c r="AI116" s="239">
        <f t="shared" si="100"/>
        <v>7</v>
      </c>
      <c r="AJ116" s="277" t="e">
        <f t="shared" si="68"/>
        <v>#N/A</v>
      </c>
      <c r="AK116" s="277" t="e">
        <f t="shared" si="101"/>
        <v>#N/A</v>
      </c>
      <c r="AL116" s="239" t="e">
        <f t="shared" si="69"/>
        <v>#N/A</v>
      </c>
      <c r="AM116" s="278" t="e">
        <f t="shared" si="102"/>
        <v>#N/A</v>
      </c>
      <c r="AN116" s="279" t="e">
        <f t="shared" si="70"/>
        <v>#N/A</v>
      </c>
      <c r="AO116" s="240" t="e">
        <f t="shared" si="71"/>
        <v>#N/A</v>
      </c>
      <c r="AP116" s="297">
        <f t="shared" si="103"/>
        <v>7</v>
      </c>
      <c r="AQ116" s="298" t="e">
        <f t="shared" si="72"/>
        <v>#N/A</v>
      </c>
      <c r="AR116" s="279" t="e">
        <f t="shared" si="104"/>
        <v>#N/A</v>
      </c>
      <c r="AS116" s="283" t="e">
        <f t="shared" si="73"/>
        <v>#N/A</v>
      </c>
      <c r="AT116" s="284">
        <f t="shared" si="105"/>
        <v>7</v>
      </c>
      <c r="AU116" s="285" t="e">
        <f t="shared" si="106"/>
        <v>#N/A</v>
      </c>
      <c r="AV116" s="286" t="e">
        <f t="shared" si="107"/>
        <v>#N/A</v>
      </c>
      <c r="AW116" s="287" t="e">
        <f t="shared" si="74"/>
        <v>#N/A</v>
      </c>
      <c r="AX116" s="245">
        <f t="shared" si="108"/>
        <v>7</v>
      </c>
      <c r="AY116" s="286" t="e">
        <f t="shared" si="75"/>
        <v>#N/A</v>
      </c>
      <c r="AZ116" s="245" t="e">
        <f t="shared" si="109"/>
        <v>#N/A</v>
      </c>
      <c r="BA116" s="245" t="e">
        <f t="shared" si="76"/>
        <v>#N/A</v>
      </c>
      <c r="BB116" s="288">
        <f t="shared" si="110"/>
        <v>7</v>
      </c>
      <c r="BC116" s="289" t="e">
        <f t="shared" si="111"/>
        <v>#N/A</v>
      </c>
      <c r="BD116" s="290" t="e">
        <f t="shared" si="112"/>
        <v>#N/A</v>
      </c>
      <c r="BE116" s="263" t="e">
        <f t="shared" si="77"/>
        <v>#N/A</v>
      </c>
      <c r="BF116" s="260">
        <f t="shared" si="113"/>
        <v>7</v>
      </c>
      <c r="BG116" s="289" t="e">
        <f t="shared" si="114"/>
        <v>#N/A</v>
      </c>
      <c r="BH116" s="290" t="e">
        <f t="shared" si="115"/>
        <v>#N/A</v>
      </c>
      <c r="BI116" s="263" t="e">
        <f t="shared" si="78"/>
        <v>#N/A</v>
      </c>
      <c r="BJ116" s="264">
        <f t="shared" si="116"/>
        <v>7</v>
      </c>
      <c r="BK116" s="291" t="e">
        <f t="shared" si="117"/>
        <v>#N/A</v>
      </c>
      <c r="BL116" s="291" t="e">
        <f t="shared" si="118"/>
        <v>#N/A</v>
      </c>
      <c r="BM116" s="292" t="e">
        <f t="shared" si="79"/>
        <v>#N/A</v>
      </c>
      <c r="BN116" s="293">
        <f t="shared" si="119"/>
        <v>7</v>
      </c>
      <c r="BO116" s="294" t="e">
        <f t="shared" si="120"/>
        <v>#N/A</v>
      </c>
      <c r="BP116" s="294" t="e">
        <f t="shared" si="121"/>
        <v>#N/A</v>
      </c>
      <c r="BQ116" s="292" t="e">
        <f t="shared" si="80"/>
        <v>#N/A</v>
      </c>
      <c r="BR116" s="295" t="e">
        <f t="shared" si="81"/>
        <v>#N/A</v>
      </c>
      <c r="BS116" s="230" t="e">
        <f>VLOOKUP($B116,SDR22_STOCK_BY_LA!$A$2:$C$11679,3,0)</f>
        <v>#N/A</v>
      </c>
      <c r="BT116" s="230" t="str">
        <f t="shared" si="122"/>
        <v/>
      </c>
    </row>
    <row r="117" spans="1:72" ht="12.5" x14ac:dyDescent="0.25">
      <c r="A117" s="269" t="str">
        <f t="shared" si="123"/>
        <v/>
      </c>
      <c r="B117" s="230" t="str">
        <f t="shared" si="124"/>
        <v/>
      </c>
      <c r="C117" s="270" t="str">
        <f t="shared" si="82"/>
        <v/>
      </c>
      <c r="D117" s="269" t="str">
        <f>IF(B117="","",IF(totals!$Q$3=0,IFERROR(IF(AD117=2,"0",AE117),""),"-"))</f>
        <v/>
      </c>
      <c r="E117" s="271" t="str">
        <f t="shared" si="83"/>
        <v/>
      </c>
      <c r="F117" s="272" t="str">
        <f t="shared" si="84"/>
        <v/>
      </c>
      <c r="G117" s="272" t="str">
        <f t="shared" si="85"/>
        <v/>
      </c>
      <c r="H117" s="269" t="str">
        <f t="shared" si="63"/>
        <v/>
      </c>
      <c r="I117" s="272" t="str">
        <f t="shared" si="86"/>
        <v/>
      </c>
      <c r="J117" s="272" t="str">
        <f t="shared" si="87"/>
        <v/>
      </c>
      <c r="K117" s="269" t="str">
        <f t="shared" si="64"/>
        <v/>
      </c>
      <c r="L117" s="272" t="str">
        <f t="shared" si="65"/>
        <v/>
      </c>
      <c r="M117" s="272" t="str">
        <f t="shared" si="88"/>
        <v/>
      </c>
      <c r="N117" s="269" t="str">
        <f t="shared" si="89"/>
        <v/>
      </c>
      <c r="O117" s="272" t="str">
        <f t="shared" si="90"/>
        <v/>
      </c>
      <c r="P117" s="272" t="str">
        <f t="shared" si="91"/>
        <v/>
      </c>
      <c r="Q117" s="269" t="str">
        <f t="shared" si="92"/>
        <v/>
      </c>
      <c r="R117" s="272" t="str">
        <f t="shared" si="93"/>
        <v/>
      </c>
      <c r="S117" s="272" t="str">
        <f t="shared" si="94"/>
        <v/>
      </c>
      <c r="T117" s="269" t="str">
        <f t="shared" si="95"/>
        <v/>
      </c>
      <c r="U117" s="230"/>
      <c r="V117" s="230"/>
      <c r="AB117" s="270" t="e">
        <f>VLOOKUP($B$6,Lookup_Source,110,0)</f>
        <v>#N/A</v>
      </c>
      <c r="AC117" s="254" t="str">
        <f t="shared" si="96"/>
        <v/>
      </c>
      <c r="AD117" s="255">
        <f t="shared" si="97"/>
        <v>7</v>
      </c>
      <c r="AE117" s="274" t="e">
        <f t="shared" si="66"/>
        <v>#N/A</v>
      </c>
      <c r="AF117" s="277" t="e">
        <f t="shared" si="98"/>
        <v>#N/A</v>
      </c>
      <c r="AG117" s="277" t="e">
        <f t="shared" si="99"/>
        <v>#N/A</v>
      </c>
      <c r="AH117" s="276" t="e">
        <f t="shared" si="67"/>
        <v>#N/A</v>
      </c>
      <c r="AI117" s="239">
        <f t="shared" si="100"/>
        <v>7</v>
      </c>
      <c r="AJ117" s="277" t="e">
        <f t="shared" si="68"/>
        <v>#N/A</v>
      </c>
      <c r="AK117" s="277" t="e">
        <f t="shared" si="101"/>
        <v>#N/A</v>
      </c>
      <c r="AL117" s="239" t="e">
        <f t="shared" si="69"/>
        <v>#N/A</v>
      </c>
      <c r="AM117" s="278" t="e">
        <f t="shared" si="102"/>
        <v>#N/A</v>
      </c>
      <c r="AN117" s="279" t="e">
        <f t="shared" si="70"/>
        <v>#N/A</v>
      </c>
      <c r="AO117" s="240" t="e">
        <f t="shared" si="71"/>
        <v>#N/A</v>
      </c>
      <c r="AP117" s="297">
        <f t="shared" si="103"/>
        <v>7</v>
      </c>
      <c r="AQ117" s="298" t="e">
        <f t="shared" si="72"/>
        <v>#N/A</v>
      </c>
      <c r="AR117" s="279" t="e">
        <f t="shared" si="104"/>
        <v>#N/A</v>
      </c>
      <c r="AS117" s="283" t="e">
        <f t="shared" si="73"/>
        <v>#N/A</v>
      </c>
      <c r="AT117" s="284">
        <f t="shared" si="105"/>
        <v>7</v>
      </c>
      <c r="AU117" s="285" t="e">
        <f t="shared" si="106"/>
        <v>#N/A</v>
      </c>
      <c r="AV117" s="286" t="e">
        <f t="shared" si="107"/>
        <v>#N/A</v>
      </c>
      <c r="AW117" s="287" t="e">
        <f t="shared" si="74"/>
        <v>#N/A</v>
      </c>
      <c r="AX117" s="245">
        <f t="shared" si="108"/>
        <v>7</v>
      </c>
      <c r="AY117" s="286" t="e">
        <f t="shared" si="75"/>
        <v>#N/A</v>
      </c>
      <c r="AZ117" s="245" t="e">
        <f t="shared" si="109"/>
        <v>#N/A</v>
      </c>
      <c r="BA117" s="245" t="e">
        <f t="shared" si="76"/>
        <v>#N/A</v>
      </c>
      <c r="BB117" s="288">
        <f t="shared" si="110"/>
        <v>7</v>
      </c>
      <c r="BC117" s="289" t="e">
        <f t="shared" si="111"/>
        <v>#N/A</v>
      </c>
      <c r="BD117" s="290" t="e">
        <f t="shared" si="112"/>
        <v>#N/A</v>
      </c>
      <c r="BE117" s="263" t="e">
        <f t="shared" si="77"/>
        <v>#N/A</v>
      </c>
      <c r="BF117" s="260">
        <f t="shared" si="113"/>
        <v>7</v>
      </c>
      <c r="BG117" s="289" t="e">
        <f t="shared" si="114"/>
        <v>#N/A</v>
      </c>
      <c r="BH117" s="290" t="e">
        <f t="shared" si="115"/>
        <v>#N/A</v>
      </c>
      <c r="BI117" s="263" t="e">
        <f t="shared" si="78"/>
        <v>#N/A</v>
      </c>
      <c r="BJ117" s="264">
        <f t="shared" si="116"/>
        <v>7</v>
      </c>
      <c r="BK117" s="291" t="e">
        <f t="shared" si="117"/>
        <v>#N/A</v>
      </c>
      <c r="BL117" s="291" t="e">
        <f t="shared" si="118"/>
        <v>#N/A</v>
      </c>
      <c r="BM117" s="292" t="e">
        <f t="shared" si="79"/>
        <v>#N/A</v>
      </c>
      <c r="BN117" s="293">
        <f t="shared" si="119"/>
        <v>7</v>
      </c>
      <c r="BO117" s="294" t="e">
        <f t="shared" si="120"/>
        <v>#N/A</v>
      </c>
      <c r="BP117" s="294" t="e">
        <f t="shared" si="121"/>
        <v>#N/A</v>
      </c>
      <c r="BQ117" s="292" t="e">
        <f t="shared" si="80"/>
        <v>#N/A</v>
      </c>
      <c r="BR117" s="295" t="e">
        <f t="shared" si="81"/>
        <v>#N/A</v>
      </c>
      <c r="BS117" s="230" t="e">
        <f>VLOOKUP($B117,SDR22_STOCK_BY_LA!$A$2:$C$11679,3,0)</f>
        <v>#N/A</v>
      </c>
      <c r="BT117" s="230" t="str">
        <f t="shared" si="122"/>
        <v/>
      </c>
    </row>
    <row r="118" spans="1:72" ht="12.5" x14ac:dyDescent="0.25">
      <c r="A118" s="230" t="str">
        <f t="shared" si="123"/>
        <v/>
      </c>
      <c r="B118" s="230" t="str">
        <f t="shared" si="124"/>
        <v/>
      </c>
      <c r="C118" s="296" t="str">
        <f t="shared" si="82"/>
        <v/>
      </c>
      <c r="D118" s="269" t="str">
        <f>IF(B118="","",IF(totals!$Q$3=0,IFERROR(IF(AD118=2,"0",AE118),""),"-"))</f>
        <v/>
      </c>
      <c r="E118" s="271" t="str">
        <f t="shared" si="83"/>
        <v/>
      </c>
      <c r="F118" s="272" t="str">
        <f t="shared" si="84"/>
        <v/>
      </c>
      <c r="G118" s="272" t="str">
        <f t="shared" si="85"/>
        <v/>
      </c>
      <c r="H118" s="269" t="str">
        <f t="shared" si="63"/>
        <v/>
      </c>
      <c r="I118" s="272" t="str">
        <f t="shared" si="86"/>
        <v/>
      </c>
      <c r="J118" s="272" t="str">
        <f t="shared" si="87"/>
        <v/>
      </c>
      <c r="K118" s="269" t="str">
        <f t="shared" si="64"/>
        <v/>
      </c>
      <c r="L118" s="272" t="str">
        <f t="shared" si="65"/>
        <v/>
      </c>
      <c r="M118" s="272" t="str">
        <f t="shared" si="88"/>
        <v/>
      </c>
      <c r="N118" s="269" t="str">
        <f t="shared" si="89"/>
        <v/>
      </c>
      <c r="O118" s="272" t="str">
        <f t="shared" si="90"/>
        <v/>
      </c>
      <c r="P118" s="272" t="str">
        <f t="shared" si="91"/>
        <v/>
      </c>
      <c r="Q118" s="269" t="str">
        <f t="shared" si="92"/>
        <v/>
      </c>
      <c r="R118" s="272" t="str">
        <f t="shared" si="93"/>
        <v/>
      </c>
      <c r="S118" s="272" t="str">
        <f t="shared" si="94"/>
        <v/>
      </c>
      <c r="T118" s="269" t="str">
        <f t="shared" si="95"/>
        <v/>
      </c>
      <c r="U118" s="230"/>
      <c r="V118" s="230"/>
      <c r="AB118" s="230" t="e">
        <f>VLOOKUP($B$6,Lookup_Source,111,0)</f>
        <v>#N/A</v>
      </c>
      <c r="AC118" s="254" t="str">
        <f t="shared" si="96"/>
        <v/>
      </c>
      <c r="AD118" s="255">
        <f t="shared" si="97"/>
        <v>7</v>
      </c>
      <c r="AE118" s="274" t="e">
        <f t="shared" si="66"/>
        <v>#N/A</v>
      </c>
      <c r="AF118" s="277" t="e">
        <f t="shared" si="98"/>
        <v>#N/A</v>
      </c>
      <c r="AG118" s="277" t="e">
        <f t="shared" si="99"/>
        <v>#N/A</v>
      </c>
      <c r="AH118" s="276" t="e">
        <f t="shared" si="67"/>
        <v>#N/A</v>
      </c>
      <c r="AI118" s="239">
        <f t="shared" si="100"/>
        <v>7</v>
      </c>
      <c r="AJ118" s="277" t="e">
        <f t="shared" si="68"/>
        <v>#N/A</v>
      </c>
      <c r="AK118" s="277" t="e">
        <f t="shared" si="101"/>
        <v>#N/A</v>
      </c>
      <c r="AL118" s="239" t="e">
        <f t="shared" si="69"/>
        <v>#N/A</v>
      </c>
      <c r="AM118" s="278" t="e">
        <f t="shared" si="102"/>
        <v>#N/A</v>
      </c>
      <c r="AN118" s="279" t="e">
        <f t="shared" si="70"/>
        <v>#N/A</v>
      </c>
      <c r="AO118" s="240" t="e">
        <f t="shared" si="71"/>
        <v>#N/A</v>
      </c>
      <c r="AP118" s="297">
        <f t="shared" si="103"/>
        <v>7</v>
      </c>
      <c r="AQ118" s="298" t="e">
        <f t="shared" si="72"/>
        <v>#N/A</v>
      </c>
      <c r="AR118" s="279" t="e">
        <f t="shared" si="104"/>
        <v>#N/A</v>
      </c>
      <c r="AS118" s="283" t="e">
        <f t="shared" si="73"/>
        <v>#N/A</v>
      </c>
      <c r="AT118" s="284">
        <f t="shared" si="105"/>
        <v>7</v>
      </c>
      <c r="AU118" s="285" t="e">
        <f t="shared" si="106"/>
        <v>#N/A</v>
      </c>
      <c r="AV118" s="286" t="e">
        <f t="shared" si="107"/>
        <v>#N/A</v>
      </c>
      <c r="AW118" s="287" t="e">
        <f t="shared" si="74"/>
        <v>#N/A</v>
      </c>
      <c r="AX118" s="245">
        <f t="shared" si="108"/>
        <v>7</v>
      </c>
      <c r="AY118" s="286" t="e">
        <f t="shared" si="75"/>
        <v>#N/A</v>
      </c>
      <c r="AZ118" s="245" t="e">
        <f t="shared" si="109"/>
        <v>#N/A</v>
      </c>
      <c r="BA118" s="245" t="e">
        <f t="shared" si="76"/>
        <v>#N/A</v>
      </c>
      <c r="BB118" s="288">
        <f t="shared" si="110"/>
        <v>7</v>
      </c>
      <c r="BC118" s="289" t="e">
        <f t="shared" si="111"/>
        <v>#N/A</v>
      </c>
      <c r="BD118" s="290" t="e">
        <f t="shared" si="112"/>
        <v>#N/A</v>
      </c>
      <c r="BE118" s="263" t="e">
        <f t="shared" si="77"/>
        <v>#N/A</v>
      </c>
      <c r="BF118" s="260">
        <f t="shared" si="113"/>
        <v>7</v>
      </c>
      <c r="BG118" s="289" t="e">
        <f t="shared" si="114"/>
        <v>#N/A</v>
      </c>
      <c r="BH118" s="290" t="e">
        <f t="shared" si="115"/>
        <v>#N/A</v>
      </c>
      <c r="BI118" s="263" t="e">
        <f t="shared" si="78"/>
        <v>#N/A</v>
      </c>
      <c r="BJ118" s="264">
        <f t="shared" si="116"/>
        <v>7</v>
      </c>
      <c r="BK118" s="291" t="e">
        <f t="shared" si="117"/>
        <v>#N/A</v>
      </c>
      <c r="BL118" s="291" t="e">
        <f t="shared" si="118"/>
        <v>#N/A</v>
      </c>
      <c r="BM118" s="292" t="e">
        <f t="shared" si="79"/>
        <v>#N/A</v>
      </c>
      <c r="BN118" s="293">
        <f t="shared" si="119"/>
        <v>7</v>
      </c>
      <c r="BO118" s="294" t="e">
        <f t="shared" si="120"/>
        <v>#N/A</v>
      </c>
      <c r="BP118" s="294" t="e">
        <f t="shared" si="121"/>
        <v>#N/A</v>
      </c>
      <c r="BQ118" s="292" t="e">
        <f t="shared" si="80"/>
        <v>#N/A</v>
      </c>
      <c r="BR118" s="295" t="e">
        <f t="shared" si="81"/>
        <v>#N/A</v>
      </c>
      <c r="BS118" s="230" t="e">
        <f>VLOOKUP($B118,SDR22_STOCK_BY_LA!$A$2:$C$11679,3,0)</f>
        <v>#N/A</v>
      </c>
      <c r="BT118" s="230" t="str">
        <f t="shared" si="122"/>
        <v/>
      </c>
    </row>
    <row r="119" spans="1:72" ht="12.5" x14ac:dyDescent="0.25">
      <c r="A119" s="269" t="str">
        <f t="shared" si="123"/>
        <v/>
      </c>
      <c r="B119" s="230" t="str">
        <f t="shared" si="124"/>
        <v/>
      </c>
      <c r="C119" s="270" t="str">
        <f t="shared" si="82"/>
        <v/>
      </c>
      <c r="D119" s="269" t="str">
        <f>IF(B119="","",IF(totals!$Q$3=0,IFERROR(IF(AD119=2,"0",AE119),""),"-"))</f>
        <v/>
      </c>
      <c r="E119" s="271" t="str">
        <f t="shared" si="83"/>
        <v/>
      </c>
      <c r="F119" s="272" t="str">
        <f t="shared" si="84"/>
        <v/>
      </c>
      <c r="G119" s="272" t="str">
        <f t="shared" si="85"/>
        <v/>
      </c>
      <c r="H119" s="269" t="str">
        <f t="shared" si="63"/>
        <v/>
      </c>
      <c r="I119" s="272" t="str">
        <f t="shared" si="86"/>
        <v/>
      </c>
      <c r="J119" s="272" t="str">
        <f t="shared" si="87"/>
        <v/>
      </c>
      <c r="K119" s="269" t="str">
        <f t="shared" si="64"/>
        <v/>
      </c>
      <c r="L119" s="272" t="str">
        <f t="shared" si="65"/>
        <v/>
      </c>
      <c r="M119" s="272" t="str">
        <f t="shared" si="88"/>
        <v/>
      </c>
      <c r="N119" s="269" t="str">
        <f t="shared" si="89"/>
        <v/>
      </c>
      <c r="O119" s="272" t="str">
        <f t="shared" si="90"/>
        <v/>
      </c>
      <c r="P119" s="272" t="str">
        <f t="shared" si="91"/>
        <v/>
      </c>
      <c r="Q119" s="269" t="str">
        <f t="shared" si="92"/>
        <v/>
      </c>
      <c r="R119" s="272" t="str">
        <f t="shared" si="93"/>
        <v/>
      </c>
      <c r="S119" s="272" t="str">
        <f t="shared" si="94"/>
        <v/>
      </c>
      <c r="T119" s="269" t="str">
        <f t="shared" si="95"/>
        <v/>
      </c>
      <c r="U119" s="230"/>
      <c r="V119" s="230"/>
      <c r="AB119" s="270" t="e">
        <f>VLOOKUP($B$6,Lookup_Source,112,0)</f>
        <v>#N/A</v>
      </c>
      <c r="AC119" s="254" t="str">
        <f t="shared" si="96"/>
        <v/>
      </c>
      <c r="AD119" s="255">
        <f t="shared" si="97"/>
        <v>7</v>
      </c>
      <c r="AE119" s="274" t="e">
        <f t="shared" si="66"/>
        <v>#N/A</v>
      </c>
      <c r="AF119" s="277" t="e">
        <f t="shared" si="98"/>
        <v>#N/A</v>
      </c>
      <c r="AG119" s="277" t="e">
        <f t="shared" si="99"/>
        <v>#N/A</v>
      </c>
      <c r="AH119" s="276" t="e">
        <f t="shared" si="67"/>
        <v>#N/A</v>
      </c>
      <c r="AI119" s="239">
        <f t="shared" si="100"/>
        <v>7</v>
      </c>
      <c r="AJ119" s="277" t="e">
        <f t="shared" si="68"/>
        <v>#N/A</v>
      </c>
      <c r="AK119" s="277" t="e">
        <f t="shared" si="101"/>
        <v>#N/A</v>
      </c>
      <c r="AL119" s="239" t="e">
        <f t="shared" si="69"/>
        <v>#N/A</v>
      </c>
      <c r="AM119" s="278" t="e">
        <f t="shared" si="102"/>
        <v>#N/A</v>
      </c>
      <c r="AN119" s="279" t="e">
        <f t="shared" si="70"/>
        <v>#N/A</v>
      </c>
      <c r="AO119" s="240" t="e">
        <f t="shared" si="71"/>
        <v>#N/A</v>
      </c>
      <c r="AP119" s="297">
        <f t="shared" si="103"/>
        <v>7</v>
      </c>
      <c r="AQ119" s="298" t="e">
        <f t="shared" si="72"/>
        <v>#N/A</v>
      </c>
      <c r="AR119" s="279" t="e">
        <f t="shared" si="104"/>
        <v>#N/A</v>
      </c>
      <c r="AS119" s="283" t="e">
        <f t="shared" si="73"/>
        <v>#N/A</v>
      </c>
      <c r="AT119" s="284">
        <f t="shared" si="105"/>
        <v>7</v>
      </c>
      <c r="AU119" s="285" t="e">
        <f t="shared" si="106"/>
        <v>#N/A</v>
      </c>
      <c r="AV119" s="286" t="e">
        <f t="shared" si="107"/>
        <v>#N/A</v>
      </c>
      <c r="AW119" s="287" t="e">
        <f t="shared" si="74"/>
        <v>#N/A</v>
      </c>
      <c r="AX119" s="245">
        <f t="shared" si="108"/>
        <v>7</v>
      </c>
      <c r="AY119" s="286" t="e">
        <f t="shared" si="75"/>
        <v>#N/A</v>
      </c>
      <c r="AZ119" s="245" t="e">
        <f t="shared" si="109"/>
        <v>#N/A</v>
      </c>
      <c r="BA119" s="245" t="e">
        <f t="shared" si="76"/>
        <v>#N/A</v>
      </c>
      <c r="BB119" s="288">
        <f t="shared" si="110"/>
        <v>7</v>
      </c>
      <c r="BC119" s="289" t="e">
        <f t="shared" si="111"/>
        <v>#N/A</v>
      </c>
      <c r="BD119" s="290" t="e">
        <f t="shared" si="112"/>
        <v>#N/A</v>
      </c>
      <c r="BE119" s="263" t="e">
        <f t="shared" si="77"/>
        <v>#N/A</v>
      </c>
      <c r="BF119" s="260">
        <f t="shared" si="113"/>
        <v>7</v>
      </c>
      <c r="BG119" s="289" t="e">
        <f t="shared" si="114"/>
        <v>#N/A</v>
      </c>
      <c r="BH119" s="290" t="e">
        <f t="shared" si="115"/>
        <v>#N/A</v>
      </c>
      <c r="BI119" s="263" t="e">
        <f t="shared" si="78"/>
        <v>#N/A</v>
      </c>
      <c r="BJ119" s="264">
        <f t="shared" si="116"/>
        <v>7</v>
      </c>
      <c r="BK119" s="291" t="e">
        <f t="shared" si="117"/>
        <v>#N/A</v>
      </c>
      <c r="BL119" s="291" t="e">
        <f t="shared" si="118"/>
        <v>#N/A</v>
      </c>
      <c r="BM119" s="292" t="e">
        <f t="shared" si="79"/>
        <v>#N/A</v>
      </c>
      <c r="BN119" s="293">
        <f t="shared" si="119"/>
        <v>7</v>
      </c>
      <c r="BO119" s="294" t="e">
        <f t="shared" si="120"/>
        <v>#N/A</v>
      </c>
      <c r="BP119" s="294" t="e">
        <f t="shared" si="121"/>
        <v>#N/A</v>
      </c>
      <c r="BQ119" s="292" t="e">
        <f t="shared" si="80"/>
        <v>#N/A</v>
      </c>
      <c r="BR119" s="295" t="e">
        <f t="shared" si="81"/>
        <v>#N/A</v>
      </c>
      <c r="BS119" s="230" t="e">
        <f>VLOOKUP($B119,SDR22_STOCK_BY_LA!$A$2:$C$11679,3,0)</f>
        <v>#N/A</v>
      </c>
      <c r="BT119" s="230" t="str">
        <f t="shared" si="122"/>
        <v/>
      </c>
    </row>
    <row r="120" spans="1:72" ht="12.5" x14ac:dyDescent="0.25">
      <c r="A120" s="230" t="str">
        <f t="shared" si="123"/>
        <v/>
      </c>
      <c r="B120" s="230" t="str">
        <f t="shared" si="124"/>
        <v/>
      </c>
      <c r="C120" s="296" t="str">
        <f t="shared" si="82"/>
        <v/>
      </c>
      <c r="D120" s="269" t="str">
        <f>IF(B120="","",IF(totals!$Q$3=0,IFERROR(IF(AD120=2,"0",AE120),""),"-"))</f>
        <v/>
      </c>
      <c r="E120" s="271" t="str">
        <f t="shared" si="83"/>
        <v/>
      </c>
      <c r="F120" s="272" t="str">
        <f t="shared" si="84"/>
        <v/>
      </c>
      <c r="G120" s="272" t="str">
        <f t="shared" si="85"/>
        <v/>
      </c>
      <c r="H120" s="269" t="str">
        <f t="shared" si="63"/>
        <v/>
      </c>
      <c r="I120" s="272" t="str">
        <f t="shared" si="86"/>
        <v/>
      </c>
      <c r="J120" s="272" t="str">
        <f t="shared" si="87"/>
        <v/>
      </c>
      <c r="K120" s="269" t="str">
        <f t="shared" si="64"/>
        <v/>
      </c>
      <c r="L120" s="272" t="str">
        <f t="shared" si="65"/>
        <v/>
      </c>
      <c r="M120" s="272" t="str">
        <f t="shared" si="88"/>
        <v/>
      </c>
      <c r="N120" s="269" t="str">
        <f t="shared" si="89"/>
        <v/>
      </c>
      <c r="O120" s="272" t="str">
        <f t="shared" si="90"/>
        <v/>
      </c>
      <c r="P120" s="272" t="str">
        <f t="shared" si="91"/>
        <v/>
      </c>
      <c r="Q120" s="269" t="str">
        <f t="shared" si="92"/>
        <v/>
      </c>
      <c r="R120" s="272" t="str">
        <f t="shared" si="93"/>
        <v/>
      </c>
      <c r="S120" s="272" t="str">
        <f t="shared" si="94"/>
        <v/>
      </c>
      <c r="T120" s="269" t="str">
        <f t="shared" si="95"/>
        <v/>
      </c>
      <c r="U120" s="230"/>
      <c r="V120" s="230"/>
      <c r="AB120" s="230" t="e">
        <f>VLOOKUP($B$6,Lookup_Source,113,0)</f>
        <v>#N/A</v>
      </c>
      <c r="AC120" s="254" t="str">
        <f t="shared" si="96"/>
        <v/>
      </c>
      <c r="AD120" s="255">
        <f t="shared" si="97"/>
        <v>7</v>
      </c>
      <c r="AE120" s="274" t="e">
        <f t="shared" si="66"/>
        <v>#N/A</v>
      </c>
      <c r="AF120" s="277" t="e">
        <f t="shared" si="98"/>
        <v>#N/A</v>
      </c>
      <c r="AG120" s="277" t="e">
        <f t="shared" si="99"/>
        <v>#N/A</v>
      </c>
      <c r="AH120" s="276" t="e">
        <f t="shared" si="67"/>
        <v>#N/A</v>
      </c>
      <c r="AI120" s="239">
        <f t="shared" si="100"/>
        <v>7</v>
      </c>
      <c r="AJ120" s="277" t="e">
        <f t="shared" si="68"/>
        <v>#N/A</v>
      </c>
      <c r="AK120" s="277" t="e">
        <f t="shared" si="101"/>
        <v>#N/A</v>
      </c>
      <c r="AL120" s="239" t="e">
        <f t="shared" si="69"/>
        <v>#N/A</v>
      </c>
      <c r="AM120" s="278" t="e">
        <f t="shared" si="102"/>
        <v>#N/A</v>
      </c>
      <c r="AN120" s="279" t="e">
        <f t="shared" si="70"/>
        <v>#N/A</v>
      </c>
      <c r="AO120" s="240" t="e">
        <f t="shared" si="71"/>
        <v>#N/A</v>
      </c>
      <c r="AP120" s="297">
        <f t="shared" si="103"/>
        <v>7</v>
      </c>
      <c r="AQ120" s="298" t="e">
        <f t="shared" si="72"/>
        <v>#N/A</v>
      </c>
      <c r="AR120" s="279" t="e">
        <f t="shared" si="104"/>
        <v>#N/A</v>
      </c>
      <c r="AS120" s="283" t="e">
        <f t="shared" si="73"/>
        <v>#N/A</v>
      </c>
      <c r="AT120" s="284">
        <f t="shared" si="105"/>
        <v>7</v>
      </c>
      <c r="AU120" s="285" t="e">
        <f t="shared" si="106"/>
        <v>#N/A</v>
      </c>
      <c r="AV120" s="286" t="e">
        <f t="shared" si="107"/>
        <v>#N/A</v>
      </c>
      <c r="AW120" s="287" t="e">
        <f t="shared" si="74"/>
        <v>#N/A</v>
      </c>
      <c r="AX120" s="245">
        <f t="shared" si="108"/>
        <v>7</v>
      </c>
      <c r="AY120" s="286" t="e">
        <f t="shared" si="75"/>
        <v>#N/A</v>
      </c>
      <c r="AZ120" s="245" t="e">
        <f t="shared" si="109"/>
        <v>#N/A</v>
      </c>
      <c r="BA120" s="245" t="e">
        <f t="shared" si="76"/>
        <v>#N/A</v>
      </c>
      <c r="BB120" s="288">
        <f t="shared" si="110"/>
        <v>7</v>
      </c>
      <c r="BC120" s="289" t="e">
        <f t="shared" si="111"/>
        <v>#N/A</v>
      </c>
      <c r="BD120" s="290" t="e">
        <f t="shared" si="112"/>
        <v>#N/A</v>
      </c>
      <c r="BE120" s="263" t="e">
        <f t="shared" si="77"/>
        <v>#N/A</v>
      </c>
      <c r="BF120" s="260">
        <f t="shared" si="113"/>
        <v>7</v>
      </c>
      <c r="BG120" s="289" t="e">
        <f t="shared" si="114"/>
        <v>#N/A</v>
      </c>
      <c r="BH120" s="290" t="e">
        <f t="shared" si="115"/>
        <v>#N/A</v>
      </c>
      <c r="BI120" s="263" t="e">
        <f t="shared" si="78"/>
        <v>#N/A</v>
      </c>
      <c r="BJ120" s="264">
        <f t="shared" si="116"/>
        <v>7</v>
      </c>
      <c r="BK120" s="291" t="e">
        <f t="shared" si="117"/>
        <v>#N/A</v>
      </c>
      <c r="BL120" s="291" t="e">
        <f t="shared" si="118"/>
        <v>#N/A</v>
      </c>
      <c r="BM120" s="292" t="e">
        <f t="shared" si="79"/>
        <v>#N/A</v>
      </c>
      <c r="BN120" s="293">
        <f t="shared" si="119"/>
        <v>7</v>
      </c>
      <c r="BO120" s="294" t="e">
        <f t="shared" si="120"/>
        <v>#N/A</v>
      </c>
      <c r="BP120" s="294" t="e">
        <f t="shared" si="121"/>
        <v>#N/A</v>
      </c>
      <c r="BQ120" s="292" t="e">
        <f t="shared" si="80"/>
        <v>#N/A</v>
      </c>
      <c r="BR120" s="295" t="e">
        <f t="shared" si="81"/>
        <v>#N/A</v>
      </c>
      <c r="BS120" s="230" t="e">
        <f>VLOOKUP($B120,SDR22_STOCK_BY_LA!$A$2:$C$11679,3,0)</f>
        <v>#N/A</v>
      </c>
      <c r="BT120" s="230" t="str">
        <f t="shared" si="122"/>
        <v/>
      </c>
    </row>
    <row r="121" spans="1:72" ht="12.5" x14ac:dyDescent="0.25">
      <c r="A121" s="269" t="str">
        <f t="shared" si="123"/>
        <v/>
      </c>
      <c r="B121" s="230" t="str">
        <f t="shared" si="124"/>
        <v/>
      </c>
      <c r="C121" s="270" t="str">
        <f t="shared" si="82"/>
        <v/>
      </c>
      <c r="D121" s="269" t="str">
        <f>IF(B121="","",IF(totals!$Q$3=0,IFERROR(IF(AD121=2,"0",AE121),""),"-"))</f>
        <v/>
      </c>
      <c r="E121" s="271" t="str">
        <f t="shared" si="83"/>
        <v/>
      </c>
      <c r="F121" s="272" t="str">
        <f t="shared" si="84"/>
        <v/>
      </c>
      <c r="G121" s="272" t="str">
        <f t="shared" si="85"/>
        <v/>
      </c>
      <c r="H121" s="269" t="str">
        <f t="shared" si="63"/>
        <v/>
      </c>
      <c r="I121" s="272" t="str">
        <f t="shared" si="86"/>
        <v/>
      </c>
      <c r="J121" s="272" t="str">
        <f t="shared" si="87"/>
        <v/>
      </c>
      <c r="K121" s="269" t="str">
        <f t="shared" si="64"/>
        <v/>
      </c>
      <c r="L121" s="272" t="str">
        <f t="shared" si="65"/>
        <v/>
      </c>
      <c r="M121" s="272" t="str">
        <f t="shared" si="88"/>
        <v/>
      </c>
      <c r="N121" s="269" t="str">
        <f t="shared" si="89"/>
        <v/>
      </c>
      <c r="O121" s="272" t="str">
        <f t="shared" si="90"/>
        <v/>
      </c>
      <c r="P121" s="272" t="str">
        <f t="shared" si="91"/>
        <v/>
      </c>
      <c r="Q121" s="269" t="str">
        <f t="shared" si="92"/>
        <v/>
      </c>
      <c r="R121" s="272" t="str">
        <f t="shared" si="93"/>
        <v/>
      </c>
      <c r="S121" s="272" t="str">
        <f t="shared" si="94"/>
        <v/>
      </c>
      <c r="T121" s="269" t="str">
        <f t="shared" si="95"/>
        <v/>
      </c>
      <c r="U121" s="230"/>
      <c r="V121" s="230"/>
      <c r="AB121" s="270" t="e">
        <f>VLOOKUP($B$6,Lookup_Source,114,0)</f>
        <v>#N/A</v>
      </c>
      <c r="AC121" s="254" t="str">
        <f t="shared" si="96"/>
        <v/>
      </c>
      <c r="AD121" s="255">
        <f t="shared" si="97"/>
        <v>7</v>
      </c>
      <c r="AE121" s="274" t="e">
        <f t="shared" si="66"/>
        <v>#N/A</v>
      </c>
      <c r="AF121" s="277" t="e">
        <f t="shared" si="98"/>
        <v>#N/A</v>
      </c>
      <c r="AG121" s="277" t="e">
        <f t="shared" si="99"/>
        <v>#N/A</v>
      </c>
      <c r="AH121" s="276" t="e">
        <f t="shared" si="67"/>
        <v>#N/A</v>
      </c>
      <c r="AI121" s="239">
        <f t="shared" si="100"/>
        <v>7</v>
      </c>
      <c r="AJ121" s="277" t="e">
        <f t="shared" si="68"/>
        <v>#N/A</v>
      </c>
      <c r="AK121" s="277" t="e">
        <f t="shared" si="101"/>
        <v>#N/A</v>
      </c>
      <c r="AL121" s="239" t="e">
        <f t="shared" si="69"/>
        <v>#N/A</v>
      </c>
      <c r="AM121" s="278" t="e">
        <f t="shared" si="102"/>
        <v>#N/A</v>
      </c>
      <c r="AN121" s="279" t="e">
        <f t="shared" si="70"/>
        <v>#N/A</v>
      </c>
      <c r="AO121" s="240" t="e">
        <f t="shared" si="71"/>
        <v>#N/A</v>
      </c>
      <c r="AP121" s="297">
        <f t="shared" si="103"/>
        <v>7</v>
      </c>
      <c r="AQ121" s="298" t="e">
        <f t="shared" si="72"/>
        <v>#N/A</v>
      </c>
      <c r="AR121" s="279" t="e">
        <f t="shared" si="104"/>
        <v>#N/A</v>
      </c>
      <c r="AS121" s="283" t="e">
        <f t="shared" si="73"/>
        <v>#N/A</v>
      </c>
      <c r="AT121" s="284">
        <f t="shared" si="105"/>
        <v>7</v>
      </c>
      <c r="AU121" s="285" t="e">
        <f t="shared" si="106"/>
        <v>#N/A</v>
      </c>
      <c r="AV121" s="286" t="e">
        <f t="shared" si="107"/>
        <v>#N/A</v>
      </c>
      <c r="AW121" s="287" t="e">
        <f t="shared" si="74"/>
        <v>#N/A</v>
      </c>
      <c r="AX121" s="245">
        <f t="shared" si="108"/>
        <v>7</v>
      </c>
      <c r="AY121" s="286" t="e">
        <f t="shared" si="75"/>
        <v>#N/A</v>
      </c>
      <c r="AZ121" s="245" t="e">
        <f t="shared" si="109"/>
        <v>#N/A</v>
      </c>
      <c r="BA121" s="245" t="e">
        <f t="shared" si="76"/>
        <v>#N/A</v>
      </c>
      <c r="BB121" s="288">
        <f t="shared" si="110"/>
        <v>7</v>
      </c>
      <c r="BC121" s="289" t="e">
        <f t="shared" si="111"/>
        <v>#N/A</v>
      </c>
      <c r="BD121" s="290" t="e">
        <f t="shared" si="112"/>
        <v>#N/A</v>
      </c>
      <c r="BE121" s="263" t="e">
        <f t="shared" si="77"/>
        <v>#N/A</v>
      </c>
      <c r="BF121" s="260">
        <f t="shared" si="113"/>
        <v>7</v>
      </c>
      <c r="BG121" s="289" t="e">
        <f t="shared" si="114"/>
        <v>#N/A</v>
      </c>
      <c r="BH121" s="290" t="e">
        <f t="shared" si="115"/>
        <v>#N/A</v>
      </c>
      <c r="BI121" s="263" t="e">
        <f t="shared" si="78"/>
        <v>#N/A</v>
      </c>
      <c r="BJ121" s="264">
        <f t="shared" si="116"/>
        <v>7</v>
      </c>
      <c r="BK121" s="291" t="e">
        <f t="shared" si="117"/>
        <v>#N/A</v>
      </c>
      <c r="BL121" s="291" t="e">
        <f t="shared" si="118"/>
        <v>#N/A</v>
      </c>
      <c r="BM121" s="292" t="e">
        <f t="shared" si="79"/>
        <v>#N/A</v>
      </c>
      <c r="BN121" s="293">
        <f t="shared" si="119"/>
        <v>7</v>
      </c>
      <c r="BO121" s="294" t="e">
        <f t="shared" si="120"/>
        <v>#N/A</v>
      </c>
      <c r="BP121" s="294" t="e">
        <f t="shared" si="121"/>
        <v>#N/A</v>
      </c>
      <c r="BQ121" s="292" t="e">
        <f t="shared" si="80"/>
        <v>#N/A</v>
      </c>
      <c r="BR121" s="295" t="e">
        <f t="shared" si="81"/>
        <v>#N/A</v>
      </c>
      <c r="BS121" s="230" t="e">
        <f>VLOOKUP($B121,SDR22_STOCK_BY_LA!$A$2:$C$11679,3,0)</f>
        <v>#N/A</v>
      </c>
      <c r="BT121" s="230" t="str">
        <f t="shared" si="122"/>
        <v/>
      </c>
    </row>
    <row r="122" spans="1:72" ht="12.5" x14ac:dyDescent="0.25">
      <c r="A122" s="230" t="str">
        <f t="shared" si="123"/>
        <v/>
      </c>
      <c r="B122" s="230" t="str">
        <f t="shared" si="124"/>
        <v/>
      </c>
      <c r="C122" s="296" t="str">
        <f t="shared" si="82"/>
        <v/>
      </c>
      <c r="D122" s="269" t="str">
        <f>IF(B122="","",IF(totals!$Q$3=0,IFERROR(IF(AD122=2,"0",AE122),""),"-"))</f>
        <v/>
      </c>
      <c r="E122" s="271" t="str">
        <f t="shared" si="83"/>
        <v/>
      </c>
      <c r="F122" s="272" t="str">
        <f t="shared" si="84"/>
        <v/>
      </c>
      <c r="G122" s="272" t="str">
        <f t="shared" si="85"/>
        <v/>
      </c>
      <c r="H122" s="269" t="str">
        <f t="shared" si="63"/>
        <v/>
      </c>
      <c r="I122" s="272" t="str">
        <f t="shared" si="86"/>
        <v/>
      </c>
      <c r="J122" s="272" t="str">
        <f t="shared" si="87"/>
        <v/>
      </c>
      <c r="K122" s="269" t="str">
        <f t="shared" si="64"/>
        <v/>
      </c>
      <c r="L122" s="272" t="str">
        <f t="shared" si="65"/>
        <v/>
      </c>
      <c r="M122" s="272" t="str">
        <f t="shared" si="88"/>
        <v/>
      </c>
      <c r="N122" s="269" t="str">
        <f t="shared" si="89"/>
        <v/>
      </c>
      <c r="O122" s="272" t="str">
        <f t="shared" si="90"/>
        <v/>
      </c>
      <c r="P122" s="272" t="str">
        <f t="shared" si="91"/>
        <v/>
      </c>
      <c r="Q122" s="269" t="str">
        <f t="shared" si="92"/>
        <v/>
      </c>
      <c r="R122" s="272" t="str">
        <f t="shared" si="93"/>
        <v/>
      </c>
      <c r="S122" s="272" t="str">
        <f t="shared" si="94"/>
        <v/>
      </c>
      <c r="T122" s="269" t="str">
        <f t="shared" si="95"/>
        <v/>
      </c>
      <c r="U122" s="230"/>
      <c r="V122" s="230"/>
      <c r="AB122" s="230" t="e">
        <f>VLOOKUP($B$6,Lookup_Source,115,0)</f>
        <v>#N/A</v>
      </c>
      <c r="AC122" s="254" t="str">
        <f t="shared" si="96"/>
        <v/>
      </c>
      <c r="AD122" s="255">
        <f t="shared" si="97"/>
        <v>7</v>
      </c>
      <c r="AE122" s="274" t="e">
        <f t="shared" si="66"/>
        <v>#N/A</v>
      </c>
      <c r="AF122" s="277" t="e">
        <f t="shared" si="98"/>
        <v>#N/A</v>
      </c>
      <c r="AG122" s="277" t="e">
        <f t="shared" si="99"/>
        <v>#N/A</v>
      </c>
      <c r="AH122" s="276" t="e">
        <f t="shared" si="67"/>
        <v>#N/A</v>
      </c>
      <c r="AI122" s="239">
        <f t="shared" si="100"/>
        <v>7</v>
      </c>
      <c r="AJ122" s="277" t="e">
        <f t="shared" si="68"/>
        <v>#N/A</v>
      </c>
      <c r="AK122" s="277" t="e">
        <f t="shared" si="101"/>
        <v>#N/A</v>
      </c>
      <c r="AL122" s="239" t="e">
        <f t="shared" si="69"/>
        <v>#N/A</v>
      </c>
      <c r="AM122" s="278" t="e">
        <f t="shared" si="102"/>
        <v>#N/A</v>
      </c>
      <c r="AN122" s="279" t="e">
        <f t="shared" si="70"/>
        <v>#N/A</v>
      </c>
      <c r="AO122" s="240" t="e">
        <f t="shared" si="71"/>
        <v>#N/A</v>
      </c>
      <c r="AP122" s="297">
        <f t="shared" si="103"/>
        <v>7</v>
      </c>
      <c r="AQ122" s="298" t="e">
        <f t="shared" si="72"/>
        <v>#N/A</v>
      </c>
      <c r="AR122" s="279" t="e">
        <f t="shared" si="104"/>
        <v>#N/A</v>
      </c>
      <c r="AS122" s="283" t="e">
        <f t="shared" si="73"/>
        <v>#N/A</v>
      </c>
      <c r="AT122" s="284">
        <f t="shared" si="105"/>
        <v>7</v>
      </c>
      <c r="AU122" s="285" t="e">
        <f t="shared" si="106"/>
        <v>#N/A</v>
      </c>
      <c r="AV122" s="286" t="e">
        <f t="shared" si="107"/>
        <v>#N/A</v>
      </c>
      <c r="AW122" s="287" t="e">
        <f t="shared" si="74"/>
        <v>#N/A</v>
      </c>
      <c r="AX122" s="245">
        <f t="shared" si="108"/>
        <v>7</v>
      </c>
      <c r="AY122" s="286" t="e">
        <f t="shared" si="75"/>
        <v>#N/A</v>
      </c>
      <c r="AZ122" s="245" t="e">
        <f t="shared" si="109"/>
        <v>#N/A</v>
      </c>
      <c r="BA122" s="245" t="e">
        <f t="shared" si="76"/>
        <v>#N/A</v>
      </c>
      <c r="BB122" s="288">
        <f t="shared" si="110"/>
        <v>7</v>
      </c>
      <c r="BC122" s="289" t="e">
        <f t="shared" si="111"/>
        <v>#N/A</v>
      </c>
      <c r="BD122" s="290" t="e">
        <f t="shared" si="112"/>
        <v>#N/A</v>
      </c>
      <c r="BE122" s="263" t="e">
        <f t="shared" si="77"/>
        <v>#N/A</v>
      </c>
      <c r="BF122" s="260">
        <f t="shared" si="113"/>
        <v>7</v>
      </c>
      <c r="BG122" s="289" t="e">
        <f t="shared" si="114"/>
        <v>#N/A</v>
      </c>
      <c r="BH122" s="290" t="e">
        <f t="shared" si="115"/>
        <v>#N/A</v>
      </c>
      <c r="BI122" s="263" t="e">
        <f t="shared" si="78"/>
        <v>#N/A</v>
      </c>
      <c r="BJ122" s="264">
        <f t="shared" si="116"/>
        <v>7</v>
      </c>
      <c r="BK122" s="291" t="e">
        <f t="shared" si="117"/>
        <v>#N/A</v>
      </c>
      <c r="BL122" s="291" t="e">
        <f t="shared" si="118"/>
        <v>#N/A</v>
      </c>
      <c r="BM122" s="292" t="e">
        <f t="shared" si="79"/>
        <v>#N/A</v>
      </c>
      <c r="BN122" s="293">
        <f t="shared" si="119"/>
        <v>7</v>
      </c>
      <c r="BO122" s="294" t="e">
        <f t="shared" si="120"/>
        <v>#N/A</v>
      </c>
      <c r="BP122" s="294" t="e">
        <f t="shared" si="121"/>
        <v>#N/A</v>
      </c>
      <c r="BQ122" s="292" t="e">
        <f t="shared" si="80"/>
        <v>#N/A</v>
      </c>
      <c r="BR122" s="295" t="e">
        <f t="shared" si="81"/>
        <v>#N/A</v>
      </c>
      <c r="BS122" s="230" t="e">
        <f>VLOOKUP($B122,SDR22_STOCK_BY_LA!$A$2:$C$11679,3,0)</f>
        <v>#N/A</v>
      </c>
      <c r="BT122" s="230" t="str">
        <f t="shared" si="122"/>
        <v/>
      </c>
    </row>
    <row r="123" spans="1:72" ht="12.5" x14ac:dyDescent="0.25">
      <c r="A123" s="269" t="str">
        <f t="shared" si="123"/>
        <v/>
      </c>
      <c r="B123" s="230" t="str">
        <f t="shared" si="124"/>
        <v/>
      </c>
      <c r="C123" s="270" t="str">
        <f t="shared" si="82"/>
        <v/>
      </c>
      <c r="D123" s="269" t="str">
        <f>IF(B123="","",IF(totals!$Q$3=0,IFERROR(IF(AD123=2,"0",AE123),""),"-"))</f>
        <v/>
      </c>
      <c r="E123" s="271" t="str">
        <f t="shared" si="83"/>
        <v/>
      </c>
      <c r="F123" s="272" t="str">
        <f t="shared" si="84"/>
        <v/>
      </c>
      <c r="G123" s="272" t="str">
        <f t="shared" si="85"/>
        <v/>
      </c>
      <c r="H123" s="269" t="str">
        <f t="shared" si="63"/>
        <v/>
      </c>
      <c r="I123" s="272" t="str">
        <f t="shared" si="86"/>
        <v/>
      </c>
      <c r="J123" s="272" t="str">
        <f t="shared" si="87"/>
        <v/>
      </c>
      <c r="K123" s="269" t="str">
        <f t="shared" si="64"/>
        <v/>
      </c>
      <c r="L123" s="272" t="str">
        <f t="shared" si="65"/>
        <v/>
      </c>
      <c r="M123" s="272" t="str">
        <f t="shared" si="88"/>
        <v/>
      </c>
      <c r="N123" s="269" t="str">
        <f t="shared" si="89"/>
        <v/>
      </c>
      <c r="O123" s="272" t="str">
        <f t="shared" si="90"/>
        <v/>
      </c>
      <c r="P123" s="272" t="str">
        <f t="shared" si="91"/>
        <v/>
      </c>
      <c r="Q123" s="269" t="str">
        <f t="shared" si="92"/>
        <v/>
      </c>
      <c r="R123" s="272" t="str">
        <f t="shared" si="93"/>
        <v/>
      </c>
      <c r="S123" s="272" t="str">
        <f t="shared" si="94"/>
        <v/>
      </c>
      <c r="T123" s="269" t="str">
        <f t="shared" si="95"/>
        <v/>
      </c>
      <c r="U123" s="230"/>
      <c r="V123" s="230"/>
      <c r="AB123" s="270" t="e">
        <f>VLOOKUP($B$6,Lookup_Source,116,0)</f>
        <v>#N/A</v>
      </c>
      <c r="AC123" s="254" t="str">
        <f t="shared" si="96"/>
        <v/>
      </c>
      <c r="AD123" s="255">
        <f t="shared" si="97"/>
        <v>7</v>
      </c>
      <c r="AE123" s="274" t="e">
        <f t="shared" si="66"/>
        <v>#N/A</v>
      </c>
      <c r="AF123" s="277" t="e">
        <f t="shared" si="98"/>
        <v>#N/A</v>
      </c>
      <c r="AG123" s="277" t="e">
        <f t="shared" si="99"/>
        <v>#N/A</v>
      </c>
      <c r="AH123" s="276" t="e">
        <f t="shared" si="67"/>
        <v>#N/A</v>
      </c>
      <c r="AI123" s="239">
        <f t="shared" si="100"/>
        <v>7</v>
      </c>
      <c r="AJ123" s="277" t="e">
        <f t="shared" si="68"/>
        <v>#N/A</v>
      </c>
      <c r="AK123" s="277" t="e">
        <f t="shared" si="101"/>
        <v>#N/A</v>
      </c>
      <c r="AL123" s="239" t="e">
        <f t="shared" si="69"/>
        <v>#N/A</v>
      </c>
      <c r="AM123" s="278" t="e">
        <f t="shared" si="102"/>
        <v>#N/A</v>
      </c>
      <c r="AN123" s="279" t="e">
        <f t="shared" si="70"/>
        <v>#N/A</v>
      </c>
      <c r="AO123" s="240" t="e">
        <f t="shared" si="71"/>
        <v>#N/A</v>
      </c>
      <c r="AP123" s="297">
        <f t="shared" si="103"/>
        <v>7</v>
      </c>
      <c r="AQ123" s="298" t="e">
        <f t="shared" si="72"/>
        <v>#N/A</v>
      </c>
      <c r="AR123" s="279" t="e">
        <f t="shared" si="104"/>
        <v>#N/A</v>
      </c>
      <c r="AS123" s="283" t="e">
        <f t="shared" si="73"/>
        <v>#N/A</v>
      </c>
      <c r="AT123" s="284">
        <f t="shared" si="105"/>
        <v>7</v>
      </c>
      <c r="AU123" s="285" t="e">
        <f t="shared" si="106"/>
        <v>#N/A</v>
      </c>
      <c r="AV123" s="286" t="e">
        <f t="shared" si="107"/>
        <v>#N/A</v>
      </c>
      <c r="AW123" s="287" t="e">
        <f t="shared" si="74"/>
        <v>#N/A</v>
      </c>
      <c r="AX123" s="245">
        <f t="shared" si="108"/>
        <v>7</v>
      </c>
      <c r="AY123" s="286" t="e">
        <f t="shared" si="75"/>
        <v>#N/A</v>
      </c>
      <c r="AZ123" s="245" t="e">
        <f t="shared" si="109"/>
        <v>#N/A</v>
      </c>
      <c r="BA123" s="245" t="e">
        <f t="shared" si="76"/>
        <v>#N/A</v>
      </c>
      <c r="BB123" s="288">
        <f t="shared" si="110"/>
        <v>7</v>
      </c>
      <c r="BC123" s="289" t="e">
        <f t="shared" si="111"/>
        <v>#N/A</v>
      </c>
      <c r="BD123" s="290" t="e">
        <f t="shared" si="112"/>
        <v>#N/A</v>
      </c>
      <c r="BE123" s="263" t="e">
        <f t="shared" si="77"/>
        <v>#N/A</v>
      </c>
      <c r="BF123" s="260">
        <f t="shared" si="113"/>
        <v>7</v>
      </c>
      <c r="BG123" s="289" t="e">
        <f t="shared" si="114"/>
        <v>#N/A</v>
      </c>
      <c r="BH123" s="290" t="e">
        <f t="shared" si="115"/>
        <v>#N/A</v>
      </c>
      <c r="BI123" s="263" t="e">
        <f t="shared" si="78"/>
        <v>#N/A</v>
      </c>
      <c r="BJ123" s="264">
        <f t="shared" si="116"/>
        <v>7</v>
      </c>
      <c r="BK123" s="291" t="e">
        <f t="shared" si="117"/>
        <v>#N/A</v>
      </c>
      <c r="BL123" s="291" t="e">
        <f t="shared" si="118"/>
        <v>#N/A</v>
      </c>
      <c r="BM123" s="292" t="e">
        <f t="shared" si="79"/>
        <v>#N/A</v>
      </c>
      <c r="BN123" s="293">
        <f t="shared" si="119"/>
        <v>7</v>
      </c>
      <c r="BO123" s="294" t="e">
        <f t="shared" si="120"/>
        <v>#N/A</v>
      </c>
      <c r="BP123" s="294" t="e">
        <f t="shared" si="121"/>
        <v>#N/A</v>
      </c>
      <c r="BQ123" s="292" t="e">
        <f t="shared" si="80"/>
        <v>#N/A</v>
      </c>
      <c r="BR123" s="295" t="e">
        <f t="shared" si="81"/>
        <v>#N/A</v>
      </c>
      <c r="BS123" s="230" t="e">
        <f>VLOOKUP($B123,SDR22_STOCK_BY_LA!$A$2:$C$11679,3,0)</f>
        <v>#N/A</v>
      </c>
      <c r="BT123" s="230" t="str">
        <f t="shared" si="122"/>
        <v/>
      </c>
    </row>
    <row r="124" spans="1:72" ht="12.5" x14ac:dyDescent="0.25">
      <c r="A124" s="230" t="str">
        <f t="shared" si="123"/>
        <v/>
      </c>
      <c r="B124" s="230" t="str">
        <f t="shared" si="124"/>
        <v/>
      </c>
      <c r="C124" s="296" t="str">
        <f t="shared" si="82"/>
        <v/>
      </c>
      <c r="D124" s="269" t="str">
        <f>IF(B124="","",IF(totals!$Q$3=0,IFERROR(IF(AD124=2,"0",AE124),""),"-"))</f>
        <v/>
      </c>
      <c r="E124" s="271" t="str">
        <f t="shared" si="83"/>
        <v/>
      </c>
      <c r="F124" s="272" t="str">
        <f t="shared" si="84"/>
        <v/>
      </c>
      <c r="G124" s="272" t="str">
        <f t="shared" si="85"/>
        <v/>
      </c>
      <c r="H124" s="269" t="str">
        <f t="shared" si="63"/>
        <v/>
      </c>
      <c r="I124" s="272" t="str">
        <f t="shared" si="86"/>
        <v/>
      </c>
      <c r="J124" s="272" t="str">
        <f t="shared" si="87"/>
        <v/>
      </c>
      <c r="K124" s="269" t="str">
        <f t="shared" si="64"/>
        <v/>
      </c>
      <c r="L124" s="272" t="str">
        <f t="shared" si="65"/>
        <v/>
      </c>
      <c r="M124" s="272" t="str">
        <f t="shared" si="88"/>
        <v/>
      </c>
      <c r="N124" s="269" t="str">
        <f t="shared" si="89"/>
        <v/>
      </c>
      <c r="O124" s="272" t="str">
        <f t="shared" si="90"/>
        <v/>
      </c>
      <c r="P124" s="272" t="str">
        <f t="shared" si="91"/>
        <v/>
      </c>
      <c r="Q124" s="269" t="str">
        <f t="shared" si="92"/>
        <v/>
      </c>
      <c r="R124" s="272" t="str">
        <f t="shared" si="93"/>
        <v/>
      </c>
      <c r="S124" s="272" t="str">
        <f t="shared" si="94"/>
        <v/>
      </c>
      <c r="T124" s="269" t="str">
        <f t="shared" si="95"/>
        <v/>
      </c>
      <c r="U124" s="230"/>
      <c r="V124" s="230"/>
      <c r="AB124" s="230" t="e">
        <f>VLOOKUP($B$6,Lookup_Source,117,0)</f>
        <v>#N/A</v>
      </c>
      <c r="AC124" s="254" t="str">
        <f t="shared" si="96"/>
        <v/>
      </c>
      <c r="AD124" s="255">
        <f t="shared" si="97"/>
        <v>7</v>
      </c>
      <c r="AE124" s="274" t="e">
        <f t="shared" si="66"/>
        <v>#N/A</v>
      </c>
      <c r="AF124" s="277" t="e">
        <f t="shared" si="98"/>
        <v>#N/A</v>
      </c>
      <c r="AG124" s="277" t="e">
        <f t="shared" si="99"/>
        <v>#N/A</v>
      </c>
      <c r="AH124" s="276" t="e">
        <f t="shared" si="67"/>
        <v>#N/A</v>
      </c>
      <c r="AI124" s="239">
        <f t="shared" si="100"/>
        <v>7</v>
      </c>
      <c r="AJ124" s="277" t="e">
        <f t="shared" si="68"/>
        <v>#N/A</v>
      </c>
      <c r="AK124" s="277" t="e">
        <f t="shared" si="101"/>
        <v>#N/A</v>
      </c>
      <c r="AL124" s="239" t="e">
        <f t="shared" si="69"/>
        <v>#N/A</v>
      </c>
      <c r="AM124" s="278" t="e">
        <f t="shared" si="102"/>
        <v>#N/A</v>
      </c>
      <c r="AN124" s="279" t="e">
        <f t="shared" si="70"/>
        <v>#N/A</v>
      </c>
      <c r="AO124" s="240" t="e">
        <f t="shared" si="71"/>
        <v>#N/A</v>
      </c>
      <c r="AP124" s="297">
        <f t="shared" si="103"/>
        <v>7</v>
      </c>
      <c r="AQ124" s="298" t="e">
        <f t="shared" si="72"/>
        <v>#N/A</v>
      </c>
      <c r="AR124" s="279" t="e">
        <f t="shared" si="104"/>
        <v>#N/A</v>
      </c>
      <c r="AS124" s="283" t="e">
        <f t="shared" si="73"/>
        <v>#N/A</v>
      </c>
      <c r="AT124" s="284">
        <f t="shared" si="105"/>
        <v>7</v>
      </c>
      <c r="AU124" s="285" t="e">
        <f t="shared" si="106"/>
        <v>#N/A</v>
      </c>
      <c r="AV124" s="286" t="e">
        <f t="shared" si="107"/>
        <v>#N/A</v>
      </c>
      <c r="AW124" s="287" t="e">
        <f t="shared" si="74"/>
        <v>#N/A</v>
      </c>
      <c r="AX124" s="245">
        <f t="shared" si="108"/>
        <v>7</v>
      </c>
      <c r="AY124" s="286" t="e">
        <f t="shared" si="75"/>
        <v>#N/A</v>
      </c>
      <c r="AZ124" s="245" t="e">
        <f t="shared" si="109"/>
        <v>#N/A</v>
      </c>
      <c r="BA124" s="245" t="e">
        <f t="shared" si="76"/>
        <v>#N/A</v>
      </c>
      <c r="BB124" s="288">
        <f t="shared" si="110"/>
        <v>7</v>
      </c>
      <c r="BC124" s="289" t="e">
        <f t="shared" si="111"/>
        <v>#N/A</v>
      </c>
      <c r="BD124" s="290" t="e">
        <f t="shared" si="112"/>
        <v>#N/A</v>
      </c>
      <c r="BE124" s="263" t="e">
        <f t="shared" si="77"/>
        <v>#N/A</v>
      </c>
      <c r="BF124" s="260">
        <f t="shared" si="113"/>
        <v>7</v>
      </c>
      <c r="BG124" s="289" t="e">
        <f t="shared" si="114"/>
        <v>#N/A</v>
      </c>
      <c r="BH124" s="290" t="e">
        <f t="shared" si="115"/>
        <v>#N/A</v>
      </c>
      <c r="BI124" s="263" t="e">
        <f t="shared" si="78"/>
        <v>#N/A</v>
      </c>
      <c r="BJ124" s="264">
        <f t="shared" si="116"/>
        <v>7</v>
      </c>
      <c r="BK124" s="291" t="e">
        <f t="shared" si="117"/>
        <v>#N/A</v>
      </c>
      <c r="BL124" s="291" t="e">
        <f t="shared" si="118"/>
        <v>#N/A</v>
      </c>
      <c r="BM124" s="292" t="e">
        <f t="shared" si="79"/>
        <v>#N/A</v>
      </c>
      <c r="BN124" s="293">
        <f t="shared" si="119"/>
        <v>7</v>
      </c>
      <c r="BO124" s="294" t="e">
        <f t="shared" si="120"/>
        <v>#N/A</v>
      </c>
      <c r="BP124" s="294" t="e">
        <f t="shared" si="121"/>
        <v>#N/A</v>
      </c>
      <c r="BQ124" s="292" t="e">
        <f t="shared" si="80"/>
        <v>#N/A</v>
      </c>
      <c r="BR124" s="295" t="e">
        <f t="shared" si="81"/>
        <v>#N/A</v>
      </c>
      <c r="BS124" s="230" t="e">
        <f>VLOOKUP($B124,SDR22_STOCK_BY_LA!$A$2:$C$11679,3,0)</f>
        <v>#N/A</v>
      </c>
      <c r="BT124" s="230" t="str">
        <f t="shared" si="122"/>
        <v/>
      </c>
    </row>
    <row r="125" spans="1:72" ht="12.5" x14ac:dyDescent="0.25">
      <c r="A125" s="269" t="str">
        <f t="shared" si="123"/>
        <v/>
      </c>
      <c r="B125" s="230" t="str">
        <f t="shared" si="124"/>
        <v/>
      </c>
      <c r="C125" s="270" t="str">
        <f t="shared" si="82"/>
        <v/>
      </c>
      <c r="D125" s="269" t="str">
        <f>IF(B125="","",IF(totals!$Q$3=0,IFERROR(IF(AD125=2,"0",AE125),""),"-"))</f>
        <v/>
      </c>
      <c r="E125" s="271" t="str">
        <f t="shared" si="83"/>
        <v/>
      </c>
      <c r="F125" s="272" t="str">
        <f t="shared" si="84"/>
        <v/>
      </c>
      <c r="G125" s="272" t="str">
        <f t="shared" si="85"/>
        <v/>
      </c>
      <c r="H125" s="269" t="str">
        <f t="shared" si="63"/>
        <v/>
      </c>
      <c r="I125" s="272" t="str">
        <f t="shared" si="86"/>
        <v/>
      </c>
      <c r="J125" s="272" t="str">
        <f t="shared" si="87"/>
        <v/>
      </c>
      <c r="K125" s="269" t="str">
        <f t="shared" si="64"/>
        <v/>
      </c>
      <c r="L125" s="272" t="str">
        <f t="shared" si="65"/>
        <v/>
      </c>
      <c r="M125" s="272" t="str">
        <f t="shared" si="88"/>
        <v/>
      </c>
      <c r="N125" s="269" t="str">
        <f t="shared" si="89"/>
        <v/>
      </c>
      <c r="O125" s="272" t="str">
        <f t="shared" si="90"/>
        <v/>
      </c>
      <c r="P125" s="272" t="str">
        <f t="shared" si="91"/>
        <v/>
      </c>
      <c r="Q125" s="269" t="str">
        <f t="shared" si="92"/>
        <v/>
      </c>
      <c r="R125" s="272" t="str">
        <f t="shared" si="93"/>
        <v/>
      </c>
      <c r="S125" s="272" t="str">
        <f t="shared" si="94"/>
        <v/>
      </c>
      <c r="T125" s="269" t="str">
        <f t="shared" si="95"/>
        <v/>
      </c>
      <c r="U125" s="230"/>
      <c r="V125" s="230"/>
      <c r="AB125" s="270" t="e">
        <f>VLOOKUP($B$6,Lookup_Source,118,0)</f>
        <v>#N/A</v>
      </c>
      <c r="AC125" s="254" t="str">
        <f t="shared" si="96"/>
        <v/>
      </c>
      <c r="AD125" s="255">
        <f t="shared" si="97"/>
        <v>7</v>
      </c>
      <c r="AE125" s="274" t="e">
        <f t="shared" si="66"/>
        <v>#N/A</v>
      </c>
      <c r="AF125" s="277" t="e">
        <f t="shared" si="98"/>
        <v>#N/A</v>
      </c>
      <c r="AG125" s="277" t="e">
        <f t="shared" si="99"/>
        <v>#N/A</v>
      </c>
      <c r="AH125" s="276" t="e">
        <f t="shared" si="67"/>
        <v>#N/A</v>
      </c>
      <c r="AI125" s="239">
        <f t="shared" si="100"/>
        <v>7</v>
      </c>
      <c r="AJ125" s="277" t="e">
        <f t="shared" si="68"/>
        <v>#N/A</v>
      </c>
      <c r="AK125" s="277" t="e">
        <f t="shared" si="101"/>
        <v>#N/A</v>
      </c>
      <c r="AL125" s="239" t="e">
        <f t="shared" si="69"/>
        <v>#N/A</v>
      </c>
      <c r="AM125" s="278" t="e">
        <f t="shared" si="102"/>
        <v>#N/A</v>
      </c>
      <c r="AN125" s="279" t="e">
        <f t="shared" si="70"/>
        <v>#N/A</v>
      </c>
      <c r="AO125" s="240" t="e">
        <f t="shared" si="71"/>
        <v>#N/A</v>
      </c>
      <c r="AP125" s="297">
        <f t="shared" si="103"/>
        <v>7</v>
      </c>
      <c r="AQ125" s="298" t="e">
        <f t="shared" si="72"/>
        <v>#N/A</v>
      </c>
      <c r="AR125" s="279" t="e">
        <f t="shared" si="104"/>
        <v>#N/A</v>
      </c>
      <c r="AS125" s="283" t="e">
        <f t="shared" si="73"/>
        <v>#N/A</v>
      </c>
      <c r="AT125" s="284">
        <f t="shared" si="105"/>
        <v>7</v>
      </c>
      <c r="AU125" s="285" t="e">
        <f t="shared" si="106"/>
        <v>#N/A</v>
      </c>
      <c r="AV125" s="286" t="e">
        <f t="shared" si="107"/>
        <v>#N/A</v>
      </c>
      <c r="AW125" s="287" t="e">
        <f t="shared" si="74"/>
        <v>#N/A</v>
      </c>
      <c r="AX125" s="245">
        <f t="shared" si="108"/>
        <v>7</v>
      </c>
      <c r="AY125" s="286" t="e">
        <f t="shared" si="75"/>
        <v>#N/A</v>
      </c>
      <c r="AZ125" s="245" t="e">
        <f t="shared" si="109"/>
        <v>#N/A</v>
      </c>
      <c r="BA125" s="245" t="e">
        <f t="shared" si="76"/>
        <v>#N/A</v>
      </c>
      <c r="BB125" s="288">
        <f t="shared" si="110"/>
        <v>7</v>
      </c>
      <c r="BC125" s="289" t="e">
        <f t="shared" si="111"/>
        <v>#N/A</v>
      </c>
      <c r="BD125" s="290" t="e">
        <f t="shared" si="112"/>
        <v>#N/A</v>
      </c>
      <c r="BE125" s="263" t="e">
        <f t="shared" si="77"/>
        <v>#N/A</v>
      </c>
      <c r="BF125" s="260">
        <f t="shared" si="113"/>
        <v>7</v>
      </c>
      <c r="BG125" s="289" t="e">
        <f t="shared" si="114"/>
        <v>#N/A</v>
      </c>
      <c r="BH125" s="290" t="e">
        <f t="shared" si="115"/>
        <v>#N/A</v>
      </c>
      <c r="BI125" s="263" t="e">
        <f t="shared" si="78"/>
        <v>#N/A</v>
      </c>
      <c r="BJ125" s="264">
        <f t="shared" si="116"/>
        <v>7</v>
      </c>
      <c r="BK125" s="291" t="e">
        <f t="shared" si="117"/>
        <v>#N/A</v>
      </c>
      <c r="BL125" s="291" t="e">
        <f t="shared" si="118"/>
        <v>#N/A</v>
      </c>
      <c r="BM125" s="292" t="e">
        <f t="shared" si="79"/>
        <v>#N/A</v>
      </c>
      <c r="BN125" s="293">
        <f t="shared" si="119"/>
        <v>7</v>
      </c>
      <c r="BO125" s="294" t="e">
        <f t="shared" si="120"/>
        <v>#N/A</v>
      </c>
      <c r="BP125" s="294" t="e">
        <f t="shared" si="121"/>
        <v>#N/A</v>
      </c>
      <c r="BQ125" s="292" t="e">
        <f t="shared" si="80"/>
        <v>#N/A</v>
      </c>
      <c r="BR125" s="295" t="e">
        <f t="shared" si="81"/>
        <v>#N/A</v>
      </c>
      <c r="BS125" s="230" t="e">
        <f>VLOOKUP($B125,SDR22_STOCK_BY_LA!$A$2:$C$11679,3,0)</f>
        <v>#N/A</v>
      </c>
      <c r="BT125" s="230" t="str">
        <f t="shared" si="122"/>
        <v/>
      </c>
    </row>
    <row r="126" spans="1:72" ht="12.5" x14ac:dyDescent="0.25">
      <c r="A126" s="230" t="str">
        <f t="shared" si="123"/>
        <v/>
      </c>
      <c r="B126" s="230" t="str">
        <f t="shared" si="124"/>
        <v/>
      </c>
      <c r="C126" s="296" t="str">
        <f t="shared" si="82"/>
        <v/>
      </c>
      <c r="D126" s="269" t="str">
        <f>IF(B126="","",IF(totals!$Q$3=0,IFERROR(IF(AD126=2,"0",AE126),""),"-"))</f>
        <v/>
      </c>
      <c r="E126" s="271" t="str">
        <f t="shared" si="83"/>
        <v/>
      </c>
      <c r="F126" s="272" t="str">
        <f t="shared" si="84"/>
        <v/>
      </c>
      <c r="G126" s="272" t="str">
        <f t="shared" si="85"/>
        <v/>
      </c>
      <c r="H126" s="269" t="str">
        <f t="shared" si="63"/>
        <v/>
      </c>
      <c r="I126" s="272" t="str">
        <f t="shared" si="86"/>
        <v/>
      </c>
      <c r="J126" s="272" t="str">
        <f t="shared" si="87"/>
        <v/>
      </c>
      <c r="K126" s="269" t="str">
        <f t="shared" si="64"/>
        <v/>
      </c>
      <c r="L126" s="272" t="str">
        <f t="shared" si="65"/>
        <v/>
      </c>
      <c r="M126" s="272" t="str">
        <f t="shared" si="88"/>
        <v/>
      </c>
      <c r="N126" s="269" t="str">
        <f t="shared" si="89"/>
        <v/>
      </c>
      <c r="O126" s="272" t="str">
        <f t="shared" si="90"/>
        <v/>
      </c>
      <c r="P126" s="272" t="str">
        <f t="shared" si="91"/>
        <v/>
      </c>
      <c r="Q126" s="269" t="str">
        <f t="shared" si="92"/>
        <v/>
      </c>
      <c r="R126" s="272" t="str">
        <f t="shared" si="93"/>
        <v/>
      </c>
      <c r="S126" s="272" t="str">
        <f t="shared" si="94"/>
        <v/>
      </c>
      <c r="T126" s="269" t="str">
        <f t="shared" si="95"/>
        <v/>
      </c>
      <c r="U126" s="230"/>
      <c r="V126" s="230"/>
      <c r="AB126" s="230" t="e">
        <f>VLOOKUP($B$6,Lookup_Source,119,0)</f>
        <v>#N/A</v>
      </c>
      <c r="AC126" s="254" t="str">
        <f t="shared" si="96"/>
        <v/>
      </c>
      <c r="AD126" s="255">
        <f t="shared" si="97"/>
        <v>7</v>
      </c>
      <c r="AE126" s="274" t="e">
        <f t="shared" si="66"/>
        <v>#N/A</v>
      </c>
      <c r="AF126" s="277" t="e">
        <f t="shared" si="98"/>
        <v>#N/A</v>
      </c>
      <c r="AG126" s="277" t="e">
        <f t="shared" si="99"/>
        <v>#N/A</v>
      </c>
      <c r="AH126" s="276" t="e">
        <f t="shared" si="67"/>
        <v>#N/A</v>
      </c>
      <c r="AI126" s="239">
        <f t="shared" si="100"/>
        <v>7</v>
      </c>
      <c r="AJ126" s="277" t="e">
        <f t="shared" si="68"/>
        <v>#N/A</v>
      </c>
      <c r="AK126" s="277" t="e">
        <f t="shared" si="101"/>
        <v>#N/A</v>
      </c>
      <c r="AL126" s="239" t="e">
        <f t="shared" si="69"/>
        <v>#N/A</v>
      </c>
      <c r="AM126" s="278" t="e">
        <f t="shared" si="102"/>
        <v>#N/A</v>
      </c>
      <c r="AN126" s="279" t="e">
        <f t="shared" si="70"/>
        <v>#N/A</v>
      </c>
      <c r="AO126" s="240" t="e">
        <f t="shared" si="71"/>
        <v>#N/A</v>
      </c>
      <c r="AP126" s="297">
        <f t="shared" si="103"/>
        <v>7</v>
      </c>
      <c r="AQ126" s="298" t="e">
        <f t="shared" si="72"/>
        <v>#N/A</v>
      </c>
      <c r="AR126" s="279" t="e">
        <f t="shared" si="104"/>
        <v>#N/A</v>
      </c>
      <c r="AS126" s="283" t="e">
        <f t="shared" si="73"/>
        <v>#N/A</v>
      </c>
      <c r="AT126" s="284">
        <f t="shared" si="105"/>
        <v>7</v>
      </c>
      <c r="AU126" s="285" t="e">
        <f t="shared" si="106"/>
        <v>#N/A</v>
      </c>
      <c r="AV126" s="286" t="e">
        <f t="shared" si="107"/>
        <v>#N/A</v>
      </c>
      <c r="AW126" s="287" t="e">
        <f t="shared" si="74"/>
        <v>#N/A</v>
      </c>
      <c r="AX126" s="245">
        <f t="shared" si="108"/>
        <v>7</v>
      </c>
      <c r="AY126" s="286" t="e">
        <f t="shared" si="75"/>
        <v>#N/A</v>
      </c>
      <c r="AZ126" s="245" t="e">
        <f t="shared" si="109"/>
        <v>#N/A</v>
      </c>
      <c r="BA126" s="245" t="e">
        <f t="shared" si="76"/>
        <v>#N/A</v>
      </c>
      <c r="BB126" s="288">
        <f t="shared" si="110"/>
        <v>7</v>
      </c>
      <c r="BC126" s="289" t="e">
        <f t="shared" si="111"/>
        <v>#N/A</v>
      </c>
      <c r="BD126" s="290" t="e">
        <f t="shared" si="112"/>
        <v>#N/A</v>
      </c>
      <c r="BE126" s="263" t="e">
        <f t="shared" si="77"/>
        <v>#N/A</v>
      </c>
      <c r="BF126" s="260">
        <f t="shared" si="113"/>
        <v>7</v>
      </c>
      <c r="BG126" s="289" t="e">
        <f t="shared" si="114"/>
        <v>#N/A</v>
      </c>
      <c r="BH126" s="290" t="e">
        <f t="shared" si="115"/>
        <v>#N/A</v>
      </c>
      <c r="BI126" s="263" t="e">
        <f t="shared" si="78"/>
        <v>#N/A</v>
      </c>
      <c r="BJ126" s="264">
        <f t="shared" si="116"/>
        <v>7</v>
      </c>
      <c r="BK126" s="291" t="e">
        <f t="shared" si="117"/>
        <v>#N/A</v>
      </c>
      <c r="BL126" s="291" t="e">
        <f t="shared" si="118"/>
        <v>#N/A</v>
      </c>
      <c r="BM126" s="292" t="e">
        <f t="shared" si="79"/>
        <v>#N/A</v>
      </c>
      <c r="BN126" s="293">
        <f t="shared" si="119"/>
        <v>7</v>
      </c>
      <c r="BO126" s="294" t="e">
        <f t="shared" si="120"/>
        <v>#N/A</v>
      </c>
      <c r="BP126" s="294" t="e">
        <f t="shared" si="121"/>
        <v>#N/A</v>
      </c>
      <c r="BQ126" s="292" t="e">
        <f t="shared" si="80"/>
        <v>#N/A</v>
      </c>
      <c r="BR126" s="295" t="e">
        <f t="shared" si="81"/>
        <v>#N/A</v>
      </c>
      <c r="BS126" s="230" t="e">
        <f>VLOOKUP($B126,SDR22_STOCK_BY_LA!$A$2:$C$11679,3,0)</f>
        <v>#N/A</v>
      </c>
      <c r="BT126" s="230" t="str">
        <f t="shared" si="122"/>
        <v/>
      </c>
    </row>
    <row r="127" spans="1:72" ht="12.5" x14ac:dyDescent="0.25">
      <c r="A127" s="269" t="str">
        <f t="shared" si="123"/>
        <v/>
      </c>
      <c r="B127" s="230" t="str">
        <f t="shared" si="124"/>
        <v/>
      </c>
      <c r="C127" s="270" t="str">
        <f t="shared" si="82"/>
        <v/>
      </c>
      <c r="D127" s="269" t="str">
        <f>IF(B127="","",IF(totals!$Q$3=0,IFERROR(IF(AD127=2,"0",AE127),""),"-"))</f>
        <v/>
      </c>
      <c r="E127" s="271" t="str">
        <f t="shared" si="83"/>
        <v/>
      </c>
      <c r="F127" s="272" t="str">
        <f t="shared" si="84"/>
        <v/>
      </c>
      <c r="G127" s="272" t="str">
        <f t="shared" si="85"/>
        <v/>
      </c>
      <c r="H127" s="269" t="str">
        <f t="shared" si="63"/>
        <v/>
      </c>
      <c r="I127" s="272" t="str">
        <f t="shared" si="86"/>
        <v/>
      </c>
      <c r="J127" s="272" t="str">
        <f t="shared" si="87"/>
        <v/>
      </c>
      <c r="K127" s="269" t="str">
        <f t="shared" si="64"/>
        <v/>
      </c>
      <c r="L127" s="272" t="str">
        <f t="shared" si="65"/>
        <v/>
      </c>
      <c r="M127" s="272" t="str">
        <f t="shared" si="88"/>
        <v/>
      </c>
      <c r="N127" s="269" t="str">
        <f t="shared" si="89"/>
        <v/>
      </c>
      <c r="O127" s="272" t="str">
        <f t="shared" si="90"/>
        <v/>
      </c>
      <c r="P127" s="272" t="str">
        <f t="shared" si="91"/>
        <v/>
      </c>
      <c r="Q127" s="269" t="str">
        <f t="shared" si="92"/>
        <v/>
      </c>
      <c r="R127" s="272" t="str">
        <f t="shared" si="93"/>
        <v/>
      </c>
      <c r="S127" s="272" t="str">
        <f t="shared" si="94"/>
        <v/>
      </c>
      <c r="T127" s="269" t="str">
        <f t="shared" si="95"/>
        <v/>
      </c>
      <c r="U127" s="230"/>
      <c r="V127" s="230"/>
      <c r="AB127" s="270" t="e">
        <f>VLOOKUP($B$6,Lookup_Source,120,0)</f>
        <v>#N/A</v>
      </c>
      <c r="AC127" s="254" t="str">
        <f t="shared" si="96"/>
        <v/>
      </c>
      <c r="AD127" s="255">
        <f t="shared" si="97"/>
        <v>7</v>
      </c>
      <c r="AE127" s="274" t="e">
        <f t="shared" si="66"/>
        <v>#N/A</v>
      </c>
      <c r="AF127" s="277" t="e">
        <f t="shared" si="98"/>
        <v>#N/A</v>
      </c>
      <c r="AG127" s="277" t="e">
        <f t="shared" si="99"/>
        <v>#N/A</v>
      </c>
      <c r="AH127" s="276" t="e">
        <f t="shared" si="67"/>
        <v>#N/A</v>
      </c>
      <c r="AI127" s="239">
        <f t="shared" si="100"/>
        <v>7</v>
      </c>
      <c r="AJ127" s="277" t="e">
        <f t="shared" si="68"/>
        <v>#N/A</v>
      </c>
      <c r="AK127" s="277" t="e">
        <f t="shared" si="101"/>
        <v>#N/A</v>
      </c>
      <c r="AL127" s="239" t="e">
        <f t="shared" si="69"/>
        <v>#N/A</v>
      </c>
      <c r="AM127" s="278" t="e">
        <f t="shared" si="102"/>
        <v>#N/A</v>
      </c>
      <c r="AN127" s="279" t="e">
        <f t="shared" si="70"/>
        <v>#N/A</v>
      </c>
      <c r="AO127" s="240" t="e">
        <f t="shared" si="71"/>
        <v>#N/A</v>
      </c>
      <c r="AP127" s="297">
        <f t="shared" si="103"/>
        <v>7</v>
      </c>
      <c r="AQ127" s="298" t="e">
        <f t="shared" si="72"/>
        <v>#N/A</v>
      </c>
      <c r="AR127" s="279" t="e">
        <f t="shared" si="104"/>
        <v>#N/A</v>
      </c>
      <c r="AS127" s="283" t="e">
        <f t="shared" si="73"/>
        <v>#N/A</v>
      </c>
      <c r="AT127" s="284">
        <f t="shared" si="105"/>
        <v>7</v>
      </c>
      <c r="AU127" s="285" t="e">
        <f t="shared" si="106"/>
        <v>#N/A</v>
      </c>
      <c r="AV127" s="286" t="e">
        <f t="shared" si="107"/>
        <v>#N/A</v>
      </c>
      <c r="AW127" s="287" t="e">
        <f t="shared" si="74"/>
        <v>#N/A</v>
      </c>
      <c r="AX127" s="245">
        <f t="shared" si="108"/>
        <v>7</v>
      </c>
      <c r="AY127" s="286" t="e">
        <f t="shared" si="75"/>
        <v>#N/A</v>
      </c>
      <c r="AZ127" s="245" t="e">
        <f t="shared" si="109"/>
        <v>#N/A</v>
      </c>
      <c r="BA127" s="245" t="e">
        <f t="shared" si="76"/>
        <v>#N/A</v>
      </c>
      <c r="BB127" s="288">
        <f t="shared" si="110"/>
        <v>7</v>
      </c>
      <c r="BC127" s="289" t="e">
        <f t="shared" si="111"/>
        <v>#N/A</v>
      </c>
      <c r="BD127" s="290" t="e">
        <f t="shared" si="112"/>
        <v>#N/A</v>
      </c>
      <c r="BE127" s="263" t="e">
        <f t="shared" si="77"/>
        <v>#N/A</v>
      </c>
      <c r="BF127" s="260">
        <f t="shared" si="113"/>
        <v>7</v>
      </c>
      <c r="BG127" s="289" t="e">
        <f t="shared" si="114"/>
        <v>#N/A</v>
      </c>
      <c r="BH127" s="290" t="e">
        <f t="shared" si="115"/>
        <v>#N/A</v>
      </c>
      <c r="BI127" s="263" t="e">
        <f t="shared" si="78"/>
        <v>#N/A</v>
      </c>
      <c r="BJ127" s="264">
        <f t="shared" si="116"/>
        <v>7</v>
      </c>
      <c r="BK127" s="291" t="e">
        <f t="shared" si="117"/>
        <v>#N/A</v>
      </c>
      <c r="BL127" s="291" t="e">
        <f t="shared" si="118"/>
        <v>#N/A</v>
      </c>
      <c r="BM127" s="292" t="e">
        <f t="shared" si="79"/>
        <v>#N/A</v>
      </c>
      <c r="BN127" s="293">
        <f t="shared" si="119"/>
        <v>7</v>
      </c>
      <c r="BO127" s="294" t="e">
        <f t="shared" si="120"/>
        <v>#N/A</v>
      </c>
      <c r="BP127" s="294" t="e">
        <f t="shared" si="121"/>
        <v>#N/A</v>
      </c>
      <c r="BQ127" s="292" t="e">
        <f t="shared" si="80"/>
        <v>#N/A</v>
      </c>
      <c r="BR127" s="295" t="e">
        <f t="shared" si="81"/>
        <v>#N/A</v>
      </c>
      <c r="BS127" s="230" t="e">
        <f>VLOOKUP($B127,SDR22_STOCK_BY_LA!$A$2:$C$11679,3,0)</f>
        <v>#N/A</v>
      </c>
      <c r="BT127" s="230" t="str">
        <f t="shared" si="122"/>
        <v/>
      </c>
    </row>
    <row r="128" spans="1:72" ht="12.5" x14ac:dyDescent="0.25">
      <c r="A128" s="230" t="str">
        <f t="shared" si="123"/>
        <v/>
      </c>
      <c r="B128" s="230" t="str">
        <f t="shared" si="124"/>
        <v/>
      </c>
      <c r="C128" s="296" t="str">
        <f t="shared" si="82"/>
        <v/>
      </c>
      <c r="D128" s="269" t="str">
        <f>IF(B128="","",IF(totals!$Q$3=0,IFERROR(IF(AD128=2,"0",AE128),""),"-"))</f>
        <v/>
      </c>
      <c r="E128" s="271" t="str">
        <f t="shared" si="83"/>
        <v/>
      </c>
      <c r="F128" s="272" t="str">
        <f t="shared" si="84"/>
        <v/>
      </c>
      <c r="G128" s="272" t="str">
        <f t="shared" si="85"/>
        <v/>
      </c>
      <c r="H128" s="269" t="str">
        <f t="shared" si="63"/>
        <v/>
      </c>
      <c r="I128" s="272" t="str">
        <f t="shared" si="86"/>
        <v/>
      </c>
      <c r="J128" s="272" t="str">
        <f t="shared" si="87"/>
        <v/>
      </c>
      <c r="K128" s="269" t="str">
        <f t="shared" si="64"/>
        <v/>
      </c>
      <c r="L128" s="272" t="str">
        <f t="shared" si="65"/>
        <v/>
      </c>
      <c r="M128" s="272" t="str">
        <f t="shared" si="88"/>
        <v/>
      </c>
      <c r="N128" s="269" t="str">
        <f t="shared" si="89"/>
        <v/>
      </c>
      <c r="O128" s="272" t="str">
        <f t="shared" si="90"/>
        <v/>
      </c>
      <c r="P128" s="272" t="str">
        <f t="shared" si="91"/>
        <v/>
      </c>
      <c r="Q128" s="269" t="str">
        <f t="shared" si="92"/>
        <v/>
      </c>
      <c r="R128" s="272" t="str">
        <f t="shared" si="93"/>
        <v/>
      </c>
      <c r="S128" s="272" t="str">
        <f t="shared" si="94"/>
        <v/>
      </c>
      <c r="T128" s="269" t="str">
        <f t="shared" si="95"/>
        <v/>
      </c>
      <c r="U128" s="230"/>
      <c r="V128" s="230"/>
      <c r="AB128" s="230" t="e">
        <f>VLOOKUP($B$6,Lookup_Source,121,0)</f>
        <v>#N/A</v>
      </c>
      <c r="AC128" s="254" t="str">
        <f t="shared" si="96"/>
        <v/>
      </c>
      <c r="AD128" s="255">
        <f t="shared" si="97"/>
        <v>7</v>
      </c>
      <c r="AE128" s="274" t="e">
        <f t="shared" si="66"/>
        <v>#N/A</v>
      </c>
      <c r="AF128" s="277" t="e">
        <f t="shared" si="98"/>
        <v>#N/A</v>
      </c>
      <c r="AG128" s="277" t="e">
        <f t="shared" si="99"/>
        <v>#N/A</v>
      </c>
      <c r="AH128" s="276" t="e">
        <f t="shared" si="67"/>
        <v>#N/A</v>
      </c>
      <c r="AI128" s="239">
        <f t="shared" si="100"/>
        <v>7</v>
      </c>
      <c r="AJ128" s="277" t="e">
        <f t="shared" si="68"/>
        <v>#N/A</v>
      </c>
      <c r="AK128" s="277" t="e">
        <f t="shared" si="101"/>
        <v>#N/A</v>
      </c>
      <c r="AL128" s="239" t="e">
        <f t="shared" si="69"/>
        <v>#N/A</v>
      </c>
      <c r="AM128" s="278" t="e">
        <f t="shared" si="102"/>
        <v>#N/A</v>
      </c>
      <c r="AN128" s="279" t="e">
        <f t="shared" si="70"/>
        <v>#N/A</v>
      </c>
      <c r="AO128" s="240" t="e">
        <f t="shared" si="71"/>
        <v>#N/A</v>
      </c>
      <c r="AP128" s="297">
        <f t="shared" si="103"/>
        <v>7</v>
      </c>
      <c r="AQ128" s="298" t="e">
        <f t="shared" si="72"/>
        <v>#N/A</v>
      </c>
      <c r="AR128" s="279" t="e">
        <f t="shared" si="104"/>
        <v>#N/A</v>
      </c>
      <c r="AS128" s="283" t="e">
        <f t="shared" si="73"/>
        <v>#N/A</v>
      </c>
      <c r="AT128" s="284">
        <f t="shared" si="105"/>
        <v>7</v>
      </c>
      <c r="AU128" s="285" t="e">
        <f t="shared" si="106"/>
        <v>#N/A</v>
      </c>
      <c r="AV128" s="286" t="e">
        <f t="shared" si="107"/>
        <v>#N/A</v>
      </c>
      <c r="AW128" s="287" t="e">
        <f t="shared" si="74"/>
        <v>#N/A</v>
      </c>
      <c r="AX128" s="245">
        <f t="shared" si="108"/>
        <v>7</v>
      </c>
      <c r="AY128" s="286" t="e">
        <f t="shared" si="75"/>
        <v>#N/A</v>
      </c>
      <c r="AZ128" s="245" t="e">
        <f t="shared" si="109"/>
        <v>#N/A</v>
      </c>
      <c r="BA128" s="245" t="e">
        <f t="shared" si="76"/>
        <v>#N/A</v>
      </c>
      <c r="BB128" s="288">
        <f t="shared" si="110"/>
        <v>7</v>
      </c>
      <c r="BC128" s="289" t="e">
        <f t="shared" si="111"/>
        <v>#N/A</v>
      </c>
      <c r="BD128" s="290" t="e">
        <f t="shared" si="112"/>
        <v>#N/A</v>
      </c>
      <c r="BE128" s="263" t="e">
        <f t="shared" si="77"/>
        <v>#N/A</v>
      </c>
      <c r="BF128" s="260">
        <f t="shared" si="113"/>
        <v>7</v>
      </c>
      <c r="BG128" s="289" t="e">
        <f t="shared" si="114"/>
        <v>#N/A</v>
      </c>
      <c r="BH128" s="290" t="e">
        <f t="shared" si="115"/>
        <v>#N/A</v>
      </c>
      <c r="BI128" s="263" t="e">
        <f t="shared" si="78"/>
        <v>#N/A</v>
      </c>
      <c r="BJ128" s="264">
        <f t="shared" si="116"/>
        <v>7</v>
      </c>
      <c r="BK128" s="291" t="e">
        <f t="shared" si="117"/>
        <v>#N/A</v>
      </c>
      <c r="BL128" s="291" t="e">
        <f t="shared" si="118"/>
        <v>#N/A</v>
      </c>
      <c r="BM128" s="292" t="e">
        <f t="shared" si="79"/>
        <v>#N/A</v>
      </c>
      <c r="BN128" s="293">
        <f t="shared" si="119"/>
        <v>7</v>
      </c>
      <c r="BO128" s="294" t="e">
        <f t="shared" si="120"/>
        <v>#N/A</v>
      </c>
      <c r="BP128" s="294" t="e">
        <f t="shared" si="121"/>
        <v>#N/A</v>
      </c>
      <c r="BQ128" s="292" t="e">
        <f t="shared" si="80"/>
        <v>#N/A</v>
      </c>
      <c r="BR128" s="295" t="e">
        <f t="shared" si="81"/>
        <v>#N/A</v>
      </c>
      <c r="BS128" s="230" t="e">
        <f>VLOOKUP($B128,SDR22_STOCK_BY_LA!$A$2:$C$11679,3,0)</f>
        <v>#N/A</v>
      </c>
      <c r="BT128" s="230" t="str">
        <f t="shared" si="122"/>
        <v/>
      </c>
    </row>
    <row r="129" spans="1:72" ht="12.5" x14ac:dyDescent="0.25">
      <c r="A129" s="269" t="str">
        <f t="shared" si="123"/>
        <v/>
      </c>
      <c r="B129" s="230" t="str">
        <f t="shared" si="124"/>
        <v/>
      </c>
      <c r="C129" s="270" t="str">
        <f t="shared" si="82"/>
        <v/>
      </c>
      <c r="D129" s="269" t="str">
        <f>IF(B129="","",IF(totals!$Q$3=0,IFERROR(IF(AD129=2,"0",AE129),""),"-"))</f>
        <v/>
      </c>
      <c r="E129" s="271" t="str">
        <f t="shared" si="83"/>
        <v/>
      </c>
      <c r="F129" s="272" t="str">
        <f t="shared" si="84"/>
        <v/>
      </c>
      <c r="G129" s="272" t="str">
        <f t="shared" si="85"/>
        <v/>
      </c>
      <c r="H129" s="269" t="str">
        <f t="shared" si="63"/>
        <v/>
      </c>
      <c r="I129" s="272" t="str">
        <f t="shared" si="86"/>
        <v/>
      </c>
      <c r="J129" s="272" t="str">
        <f t="shared" si="87"/>
        <v/>
      </c>
      <c r="K129" s="269" t="str">
        <f t="shared" si="64"/>
        <v/>
      </c>
      <c r="L129" s="272" t="str">
        <f t="shared" si="65"/>
        <v/>
      </c>
      <c r="M129" s="272" t="str">
        <f t="shared" si="88"/>
        <v/>
      </c>
      <c r="N129" s="269" t="str">
        <f t="shared" si="89"/>
        <v/>
      </c>
      <c r="O129" s="272" t="str">
        <f t="shared" si="90"/>
        <v/>
      </c>
      <c r="P129" s="272" t="str">
        <f t="shared" si="91"/>
        <v/>
      </c>
      <c r="Q129" s="269" t="str">
        <f t="shared" si="92"/>
        <v/>
      </c>
      <c r="R129" s="272" t="str">
        <f t="shared" si="93"/>
        <v/>
      </c>
      <c r="S129" s="272" t="str">
        <f t="shared" si="94"/>
        <v/>
      </c>
      <c r="T129" s="269" t="str">
        <f t="shared" si="95"/>
        <v/>
      </c>
      <c r="U129" s="230"/>
      <c r="V129" s="230"/>
      <c r="AB129" s="270" t="e">
        <f>VLOOKUP($B$6,Lookup_Source,122,0)</f>
        <v>#N/A</v>
      </c>
      <c r="AC129" s="254" t="str">
        <f t="shared" si="96"/>
        <v/>
      </c>
      <c r="AD129" s="255">
        <f t="shared" si="97"/>
        <v>7</v>
      </c>
      <c r="AE129" s="274" t="e">
        <f t="shared" si="66"/>
        <v>#N/A</v>
      </c>
      <c r="AF129" s="277" t="e">
        <f t="shared" si="98"/>
        <v>#N/A</v>
      </c>
      <c r="AG129" s="277" t="e">
        <f t="shared" si="99"/>
        <v>#N/A</v>
      </c>
      <c r="AH129" s="276" t="e">
        <f t="shared" si="67"/>
        <v>#N/A</v>
      </c>
      <c r="AI129" s="239">
        <f t="shared" si="100"/>
        <v>7</v>
      </c>
      <c r="AJ129" s="277" t="e">
        <f t="shared" si="68"/>
        <v>#N/A</v>
      </c>
      <c r="AK129" s="277" t="e">
        <f t="shared" si="101"/>
        <v>#N/A</v>
      </c>
      <c r="AL129" s="239" t="e">
        <f t="shared" si="69"/>
        <v>#N/A</v>
      </c>
      <c r="AM129" s="278" t="e">
        <f t="shared" si="102"/>
        <v>#N/A</v>
      </c>
      <c r="AN129" s="279" t="e">
        <f t="shared" si="70"/>
        <v>#N/A</v>
      </c>
      <c r="AO129" s="240" t="e">
        <f t="shared" si="71"/>
        <v>#N/A</v>
      </c>
      <c r="AP129" s="297">
        <f t="shared" si="103"/>
        <v>7</v>
      </c>
      <c r="AQ129" s="298" t="e">
        <f t="shared" si="72"/>
        <v>#N/A</v>
      </c>
      <c r="AR129" s="279" t="e">
        <f t="shared" si="104"/>
        <v>#N/A</v>
      </c>
      <c r="AS129" s="283" t="e">
        <f t="shared" si="73"/>
        <v>#N/A</v>
      </c>
      <c r="AT129" s="284">
        <f t="shared" si="105"/>
        <v>7</v>
      </c>
      <c r="AU129" s="285" t="e">
        <f t="shared" si="106"/>
        <v>#N/A</v>
      </c>
      <c r="AV129" s="286" t="e">
        <f t="shared" si="107"/>
        <v>#N/A</v>
      </c>
      <c r="AW129" s="287" t="e">
        <f t="shared" si="74"/>
        <v>#N/A</v>
      </c>
      <c r="AX129" s="245">
        <f t="shared" si="108"/>
        <v>7</v>
      </c>
      <c r="AY129" s="286" t="e">
        <f t="shared" si="75"/>
        <v>#N/A</v>
      </c>
      <c r="AZ129" s="245" t="e">
        <f t="shared" si="109"/>
        <v>#N/A</v>
      </c>
      <c r="BA129" s="245" t="e">
        <f t="shared" si="76"/>
        <v>#N/A</v>
      </c>
      <c r="BB129" s="288">
        <f t="shared" si="110"/>
        <v>7</v>
      </c>
      <c r="BC129" s="289" t="e">
        <f t="shared" si="111"/>
        <v>#N/A</v>
      </c>
      <c r="BD129" s="290" t="e">
        <f t="shared" si="112"/>
        <v>#N/A</v>
      </c>
      <c r="BE129" s="263" t="e">
        <f t="shared" si="77"/>
        <v>#N/A</v>
      </c>
      <c r="BF129" s="260">
        <f t="shared" si="113"/>
        <v>7</v>
      </c>
      <c r="BG129" s="289" t="e">
        <f t="shared" si="114"/>
        <v>#N/A</v>
      </c>
      <c r="BH129" s="290" t="e">
        <f t="shared" si="115"/>
        <v>#N/A</v>
      </c>
      <c r="BI129" s="263" t="e">
        <f t="shared" si="78"/>
        <v>#N/A</v>
      </c>
      <c r="BJ129" s="264">
        <f t="shared" si="116"/>
        <v>7</v>
      </c>
      <c r="BK129" s="291" t="e">
        <f t="shared" si="117"/>
        <v>#N/A</v>
      </c>
      <c r="BL129" s="291" t="e">
        <f t="shared" si="118"/>
        <v>#N/A</v>
      </c>
      <c r="BM129" s="292" t="e">
        <f t="shared" si="79"/>
        <v>#N/A</v>
      </c>
      <c r="BN129" s="293">
        <f t="shared" si="119"/>
        <v>7</v>
      </c>
      <c r="BO129" s="294" t="e">
        <f t="shared" si="120"/>
        <v>#N/A</v>
      </c>
      <c r="BP129" s="294" t="e">
        <f t="shared" si="121"/>
        <v>#N/A</v>
      </c>
      <c r="BQ129" s="292" t="e">
        <f t="shared" si="80"/>
        <v>#N/A</v>
      </c>
      <c r="BR129" s="295" t="e">
        <f t="shared" si="81"/>
        <v>#N/A</v>
      </c>
      <c r="BS129" s="230" t="e">
        <f>VLOOKUP($B129,SDR22_STOCK_BY_LA!$A$2:$C$11679,3,0)</f>
        <v>#N/A</v>
      </c>
      <c r="BT129" s="230" t="str">
        <f t="shared" si="122"/>
        <v/>
      </c>
    </row>
    <row r="130" spans="1:72" ht="12.5" x14ac:dyDescent="0.25">
      <c r="A130" s="230" t="str">
        <f t="shared" si="123"/>
        <v/>
      </c>
      <c r="B130" s="230" t="str">
        <f t="shared" si="124"/>
        <v/>
      </c>
      <c r="C130" s="296" t="str">
        <f t="shared" si="82"/>
        <v/>
      </c>
      <c r="D130" s="269" t="str">
        <f>IF(B130="","",IF(totals!$Q$3=0,IFERROR(IF(AD130=2,"0",AE130),""),"-"))</f>
        <v/>
      </c>
      <c r="E130" s="271" t="str">
        <f t="shared" si="83"/>
        <v/>
      </c>
      <c r="F130" s="272" t="str">
        <f t="shared" si="84"/>
        <v/>
      </c>
      <c r="G130" s="272" t="str">
        <f t="shared" si="85"/>
        <v/>
      </c>
      <c r="H130" s="269" t="str">
        <f t="shared" si="63"/>
        <v/>
      </c>
      <c r="I130" s="272" t="str">
        <f t="shared" si="86"/>
        <v/>
      </c>
      <c r="J130" s="272" t="str">
        <f t="shared" si="87"/>
        <v/>
      </c>
      <c r="K130" s="269" t="str">
        <f t="shared" si="64"/>
        <v/>
      </c>
      <c r="L130" s="272" t="str">
        <f t="shared" si="65"/>
        <v/>
      </c>
      <c r="M130" s="272" t="str">
        <f t="shared" si="88"/>
        <v/>
      </c>
      <c r="N130" s="269" t="str">
        <f t="shared" si="89"/>
        <v/>
      </c>
      <c r="O130" s="272" t="str">
        <f t="shared" si="90"/>
        <v/>
      </c>
      <c r="P130" s="272" t="str">
        <f t="shared" si="91"/>
        <v/>
      </c>
      <c r="Q130" s="269" t="str">
        <f t="shared" si="92"/>
        <v/>
      </c>
      <c r="R130" s="272" t="str">
        <f t="shared" si="93"/>
        <v/>
      </c>
      <c r="S130" s="272" t="str">
        <f t="shared" si="94"/>
        <v/>
      </c>
      <c r="T130" s="269" t="str">
        <f t="shared" si="95"/>
        <v/>
      </c>
      <c r="U130" s="230"/>
      <c r="V130" s="230"/>
      <c r="AB130" s="230" t="e">
        <f>VLOOKUP($B$6,Lookup_Source,123,0)</f>
        <v>#N/A</v>
      </c>
      <c r="AC130" s="254" t="str">
        <f t="shared" si="96"/>
        <v/>
      </c>
      <c r="AD130" s="255">
        <f t="shared" si="97"/>
        <v>7</v>
      </c>
      <c r="AE130" s="274" t="e">
        <f t="shared" si="66"/>
        <v>#N/A</v>
      </c>
      <c r="AF130" s="277" t="e">
        <f t="shared" si="98"/>
        <v>#N/A</v>
      </c>
      <c r="AG130" s="277" t="e">
        <f t="shared" si="99"/>
        <v>#N/A</v>
      </c>
      <c r="AH130" s="276" t="e">
        <f t="shared" si="67"/>
        <v>#N/A</v>
      </c>
      <c r="AI130" s="239">
        <f t="shared" si="100"/>
        <v>7</v>
      </c>
      <c r="AJ130" s="277" t="e">
        <f t="shared" si="68"/>
        <v>#N/A</v>
      </c>
      <c r="AK130" s="277" t="e">
        <f t="shared" si="101"/>
        <v>#N/A</v>
      </c>
      <c r="AL130" s="239" t="e">
        <f t="shared" si="69"/>
        <v>#N/A</v>
      </c>
      <c r="AM130" s="278" t="e">
        <f t="shared" si="102"/>
        <v>#N/A</v>
      </c>
      <c r="AN130" s="279" t="e">
        <f t="shared" si="70"/>
        <v>#N/A</v>
      </c>
      <c r="AO130" s="240" t="e">
        <f t="shared" si="71"/>
        <v>#N/A</v>
      </c>
      <c r="AP130" s="297">
        <f t="shared" si="103"/>
        <v>7</v>
      </c>
      <c r="AQ130" s="298" t="e">
        <f t="shared" si="72"/>
        <v>#N/A</v>
      </c>
      <c r="AR130" s="279" t="e">
        <f t="shared" si="104"/>
        <v>#N/A</v>
      </c>
      <c r="AS130" s="283" t="e">
        <f t="shared" si="73"/>
        <v>#N/A</v>
      </c>
      <c r="AT130" s="284">
        <f t="shared" si="105"/>
        <v>7</v>
      </c>
      <c r="AU130" s="285" t="e">
        <f t="shared" si="106"/>
        <v>#N/A</v>
      </c>
      <c r="AV130" s="286" t="e">
        <f t="shared" si="107"/>
        <v>#N/A</v>
      </c>
      <c r="AW130" s="287" t="e">
        <f t="shared" si="74"/>
        <v>#N/A</v>
      </c>
      <c r="AX130" s="245">
        <f t="shared" si="108"/>
        <v>7</v>
      </c>
      <c r="AY130" s="286" t="e">
        <f t="shared" si="75"/>
        <v>#N/A</v>
      </c>
      <c r="AZ130" s="245" t="e">
        <f t="shared" si="109"/>
        <v>#N/A</v>
      </c>
      <c r="BA130" s="245" t="e">
        <f t="shared" si="76"/>
        <v>#N/A</v>
      </c>
      <c r="BB130" s="288">
        <f t="shared" si="110"/>
        <v>7</v>
      </c>
      <c r="BC130" s="289" t="e">
        <f t="shared" si="111"/>
        <v>#N/A</v>
      </c>
      <c r="BD130" s="290" t="e">
        <f t="shared" si="112"/>
        <v>#N/A</v>
      </c>
      <c r="BE130" s="263" t="e">
        <f t="shared" si="77"/>
        <v>#N/A</v>
      </c>
      <c r="BF130" s="260">
        <f t="shared" si="113"/>
        <v>7</v>
      </c>
      <c r="BG130" s="289" t="e">
        <f t="shared" si="114"/>
        <v>#N/A</v>
      </c>
      <c r="BH130" s="290" t="e">
        <f t="shared" si="115"/>
        <v>#N/A</v>
      </c>
      <c r="BI130" s="263" t="e">
        <f t="shared" si="78"/>
        <v>#N/A</v>
      </c>
      <c r="BJ130" s="264">
        <f t="shared" si="116"/>
        <v>7</v>
      </c>
      <c r="BK130" s="291" t="e">
        <f t="shared" si="117"/>
        <v>#N/A</v>
      </c>
      <c r="BL130" s="291" t="e">
        <f t="shared" si="118"/>
        <v>#N/A</v>
      </c>
      <c r="BM130" s="292" t="e">
        <f t="shared" si="79"/>
        <v>#N/A</v>
      </c>
      <c r="BN130" s="293">
        <f t="shared" si="119"/>
        <v>7</v>
      </c>
      <c r="BO130" s="294" t="e">
        <f t="shared" si="120"/>
        <v>#N/A</v>
      </c>
      <c r="BP130" s="294" t="e">
        <f t="shared" si="121"/>
        <v>#N/A</v>
      </c>
      <c r="BQ130" s="292" t="e">
        <f t="shared" si="80"/>
        <v>#N/A</v>
      </c>
      <c r="BR130" s="295" t="e">
        <f t="shared" si="81"/>
        <v>#N/A</v>
      </c>
      <c r="BS130" s="230" t="e">
        <f>VLOOKUP($B130,SDR22_STOCK_BY_LA!$A$2:$C$11679,3,0)</f>
        <v>#N/A</v>
      </c>
      <c r="BT130" s="230" t="str">
        <f t="shared" si="122"/>
        <v/>
      </c>
    </row>
    <row r="131" spans="1:72" ht="12.5" x14ac:dyDescent="0.25">
      <c r="A131" s="269" t="str">
        <f t="shared" si="123"/>
        <v/>
      </c>
      <c r="B131" s="230" t="str">
        <f t="shared" si="124"/>
        <v/>
      </c>
      <c r="C131" s="270" t="str">
        <f t="shared" si="82"/>
        <v/>
      </c>
      <c r="D131" s="269" t="str">
        <f>IF(B131="","",IF(totals!$Q$3=0,IFERROR(IF(AD131=2,"0",AE131),""),"-"))</f>
        <v/>
      </c>
      <c r="E131" s="271" t="str">
        <f t="shared" si="83"/>
        <v/>
      </c>
      <c r="F131" s="272" t="str">
        <f t="shared" si="84"/>
        <v/>
      </c>
      <c r="G131" s="272" t="str">
        <f t="shared" si="85"/>
        <v/>
      </c>
      <c r="H131" s="269" t="str">
        <f t="shared" si="63"/>
        <v/>
      </c>
      <c r="I131" s="272" t="str">
        <f t="shared" si="86"/>
        <v/>
      </c>
      <c r="J131" s="272" t="str">
        <f t="shared" si="87"/>
        <v/>
      </c>
      <c r="K131" s="269" t="str">
        <f t="shared" si="64"/>
        <v/>
      </c>
      <c r="L131" s="272" t="str">
        <f t="shared" si="65"/>
        <v/>
      </c>
      <c r="M131" s="272" t="str">
        <f t="shared" si="88"/>
        <v/>
      </c>
      <c r="N131" s="269" t="str">
        <f t="shared" si="89"/>
        <v/>
      </c>
      <c r="O131" s="272" t="str">
        <f t="shared" si="90"/>
        <v/>
      </c>
      <c r="P131" s="272" t="str">
        <f t="shared" si="91"/>
        <v/>
      </c>
      <c r="Q131" s="269" t="str">
        <f t="shared" si="92"/>
        <v/>
      </c>
      <c r="R131" s="272" t="str">
        <f t="shared" si="93"/>
        <v/>
      </c>
      <c r="S131" s="272" t="str">
        <f t="shared" si="94"/>
        <v/>
      </c>
      <c r="T131" s="269" t="str">
        <f t="shared" si="95"/>
        <v/>
      </c>
      <c r="U131" s="230"/>
      <c r="V131" s="230"/>
      <c r="AB131" s="270" t="e">
        <f>VLOOKUP($B$6,Lookup_Source,124,0)</f>
        <v>#N/A</v>
      </c>
      <c r="AC131" s="254" t="str">
        <f t="shared" si="96"/>
        <v/>
      </c>
      <c r="AD131" s="255">
        <f t="shared" si="97"/>
        <v>7</v>
      </c>
      <c r="AE131" s="274" t="e">
        <f t="shared" si="66"/>
        <v>#N/A</v>
      </c>
      <c r="AF131" s="277" t="e">
        <f t="shared" si="98"/>
        <v>#N/A</v>
      </c>
      <c r="AG131" s="277" t="e">
        <f t="shared" si="99"/>
        <v>#N/A</v>
      </c>
      <c r="AH131" s="276" t="e">
        <f t="shared" si="67"/>
        <v>#N/A</v>
      </c>
      <c r="AI131" s="239">
        <f t="shared" si="100"/>
        <v>7</v>
      </c>
      <c r="AJ131" s="277" t="e">
        <f t="shared" si="68"/>
        <v>#N/A</v>
      </c>
      <c r="AK131" s="277" t="e">
        <f t="shared" si="101"/>
        <v>#N/A</v>
      </c>
      <c r="AL131" s="239" t="e">
        <f t="shared" si="69"/>
        <v>#N/A</v>
      </c>
      <c r="AM131" s="278" t="e">
        <f t="shared" si="102"/>
        <v>#N/A</v>
      </c>
      <c r="AN131" s="279" t="e">
        <f t="shared" si="70"/>
        <v>#N/A</v>
      </c>
      <c r="AO131" s="240" t="e">
        <f t="shared" si="71"/>
        <v>#N/A</v>
      </c>
      <c r="AP131" s="297">
        <f t="shared" si="103"/>
        <v>7</v>
      </c>
      <c r="AQ131" s="298" t="e">
        <f t="shared" si="72"/>
        <v>#N/A</v>
      </c>
      <c r="AR131" s="279" t="e">
        <f t="shared" si="104"/>
        <v>#N/A</v>
      </c>
      <c r="AS131" s="283" t="e">
        <f t="shared" si="73"/>
        <v>#N/A</v>
      </c>
      <c r="AT131" s="284">
        <f t="shared" si="105"/>
        <v>7</v>
      </c>
      <c r="AU131" s="285" t="e">
        <f t="shared" si="106"/>
        <v>#N/A</v>
      </c>
      <c r="AV131" s="286" t="e">
        <f t="shared" si="107"/>
        <v>#N/A</v>
      </c>
      <c r="AW131" s="287" t="e">
        <f t="shared" si="74"/>
        <v>#N/A</v>
      </c>
      <c r="AX131" s="245">
        <f t="shared" si="108"/>
        <v>7</v>
      </c>
      <c r="AY131" s="286" t="e">
        <f t="shared" si="75"/>
        <v>#N/A</v>
      </c>
      <c r="AZ131" s="245" t="e">
        <f t="shared" si="109"/>
        <v>#N/A</v>
      </c>
      <c r="BA131" s="245" t="e">
        <f t="shared" si="76"/>
        <v>#N/A</v>
      </c>
      <c r="BB131" s="288">
        <f t="shared" si="110"/>
        <v>7</v>
      </c>
      <c r="BC131" s="289" t="e">
        <f t="shared" si="111"/>
        <v>#N/A</v>
      </c>
      <c r="BD131" s="290" t="e">
        <f t="shared" si="112"/>
        <v>#N/A</v>
      </c>
      <c r="BE131" s="263" t="e">
        <f t="shared" si="77"/>
        <v>#N/A</v>
      </c>
      <c r="BF131" s="260">
        <f t="shared" si="113"/>
        <v>7</v>
      </c>
      <c r="BG131" s="289" t="e">
        <f t="shared" si="114"/>
        <v>#N/A</v>
      </c>
      <c r="BH131" s="290" t="e">
        <f t="shared" si="115"/>
        <v>#N/A</v>
      </c>
      <c r="BI131" s="263" t="e">
        <f t="shared" si="78"/>
        <v>#N/A</v>
      </c>
      <c r="BJ131" s="264">
        <f t="shared" si="116"/>
        <v>7</v>
      </c>
      <c r="BK131" s="291" t="e">
        <f t="shared" si="117"/>
        <v>#N/A</v>
      </c>
      <c r="BL131" s="291" t="e">
        <f t="shared" si="118"/>
        <v>#N/A</v>
      </c>
      <c r="BM131" s="292" t="e">
        <f t="shared" si="79"/>
        <v>#N/A</v>
      </c>
      <c r="BN131" s="293">
        <f t="shared" si="119"/>
        <v>7</v>
      </c>
      <c r="BO131" s="294" t="e">
        <f t="shared" si="120"/>
        <v>#N/A</v>
      </c>
      <c r="BP131" s="294" t="e">
        <f t="shared" si="121"/>
        <v>#N/A</v>
      </c>
      <c r="BQ131" s="292" t="e">
        <f t="shared" si="80"/>
        <v>#N/A</v>
      </c>
      <c r="BR131" s="295" t="e">
        <f t="shared" si="81"/>
        <v>#N/A</v>
      </c>
      <c r="BS131" s="230" t="e">
        <f>VLOOKUP($B131,SDR22_STOCK_BY_LA!$A$2:$C$11679,3,0)</f>
        <v>#N/A</v>
      </c>
      <c r="BT131" s="230" t="str">
        <f t="shared" si="122"/>
        <v/>
      </c>
    </row>
    <row r="132" spans="1:72" ht="12.5" x14ac:dyDescent="0.25">
      <c r="A132" s="230" t="str">
        <f t="shared" si="123"/>
        <v/>
      </c>
      <c r="B132" s="230" t="str">
        <f t="shared" si="124"/>
        <v/>
      </c>
      <c r="C132" s="296" t="str">
        <f t="shared" si="82"/>
        <v/>
      </c>
      <c r="D132" s="269" t="str">
        <f>IF(B132="","",IF(totals!$Q$3=0,IFERROR(IF(AD132=2,"0",AE132),""),"-"))</f>
        <v/>
      </c>
      <c r="E132" s="271" t="str">
        <f t="shared" si="83"/>
        <v/>
      </c>
      <c r="F132" s="272" t="str">
        <f t="shared" si="84"/>
        <v/>
      </c>
      <c r="G132" s="272" t="str">
        <f t="shared" si="85"/>
        <v/>
      </c>
      <c r="H132" s="269" t="str">
        <f t="shared" si="63"/>
        <v/>
      </c>
      <c r="I132" s="272" t="str">
        <f t="shared" si="86"/>
        <v/>
      </c>
      <c r="J132" s="272" t="str">
        <f t="shared" si="87"/>
        <v/>
      </c>
      <c r="K132" s="269" t="str">
        <f t="shared" si="64"/>
        <v/>
      </c>
      <c r="L132" s="272" t="str">
        <f t="shared" si="65"/>
        <v/>
      </c>
      <c r="M132" s="272" t="str">
        <f t="shared" si="88"/>
        <v/>
      </c>
      <c r="N132" s="269" t="str">
        <f t="shared" si="89"/>
        <v/>
      </c>
      <c r="O132" s="272" t="str">
        <f t="shared" si="90"/>
        <v/>
      </c>
      <c r="P132" s="272" t="str">
        <f t="shared" si="91"/>
        <v/>
      </c>
      <c r="Q132" s="269" t="str">
        <f t="shared" si="92"/>
        <v/>
      </c>
      <c r="R132" s="272" t="str">
        <f t="shared" si="93"/>
        <v/>
      </c>
      <c r="S132" s="272" t="str">
        <f t="shared" si="94"/>
        <v/>
      </c>
      <c r="T132" s="269" t="str">
        <f t="shared" si="95"/>
        <v/>
      </c>
      <c r="U132" s="230"/>
      <c r="V132" s="230"/>
      <c r="AB132" s="230" t="e">
        <f>VLOOKUP($B$6,Lookup_Source,125,0)</f>
        <v>#N/A</v>
      </c>
      <c r="AC132" s="254" t="str">
        <f t="shared" si="96"/>
        <v/>
      </c>
      <c r="AD132" s="255">
        <f t="shared" si="97"/>
        <v>7</v>
      </c>
      <c r="AE132" s="274" t="e">
        <f t="shared" si="66"/>
        <v>#N/A</v>
      </c>
      <c r="AF132" s="277" t="e">
        <f t="shared" si="98"/>
        <v>#N/A</v>
      </c>
      <c r="AG132" s="277" t="e">
        <f t="shared" si="99"/>
        <v>#N/A</v>
      </c>
      <c r="AH132" s="276" t="e">
        <f t="shared" si="67"/>
        <v>#N/A</v>
      </c>
      <c r="AI132" s="239">
        <f t="shared" si="100"/>
        <v>7</v>
      </c>
      <c r="AJ132" s="277" t="e">
        <f t="shared" si="68"/>
        <v>#N/A</v>
      </c>
      <c r="AK132" s="277" t="e">
        <f t="shared" si="101"/>
        <v>#N/A</v>
      </c>
      <c r="AL132" s="239" t="e">
        <f t="shared" si="69"/>
        <v>#N/A</v>
      </c>
      <c r="AM132" s="278" t="e">
        <f t="shared" si="102"/>
        <v>#N/A</v>
      </c>
      <c r="AN132" s="279" t="e">
        <f t="shared" si="70"/>
        <v>#N/A</v>
      </c>
      <c r="AO132" s="240" t="e">
        <f t="shared" si="71"/>
        <v>#N/A</v>
      </c>
      <c r="AP132" s="297">
        <f t="shared" si="103"/>
        <v>7</v>
      </c>
      <c r="AQ132" s="298" t="e">
        <f t="shared" si="72"/>
        <v>#N/A</v>
      </c>
      <c r="AR132" s="279" t="e">
        <f t="shared" si="104"/>
        <v>#N/A</v>
      </c>
      <c r="AS132" s="283" t="e">
        <f t="shared" si="73"/>
        <v>#N/A</v>
      </c>
      <c r="AT132" s="284">
        <f t="shared" si="105"/>
        <v>7</v>
      </c>
      <c r="AU132" s="285" t="e">
        <f t="shared" si="106"/>
        <v>#N/A</v>
      </c>
      <c r="AV132" s="286" t="e">
        <f t="shared" si="107"/>
        <v>#N/A</v>
      </c>
      <c r="AW132" s="287" t="e">
        <f t="shared" si="74"/>
        <v>#N/A</v>
      </c>
      <c r="AX132" s="245">
        <f t="shared" si="108"/>
        <v>7</v>
      </c>
      <c r="AY132" s="286" t="e">
        <f t="shared" si="75"/>
        <v>#N/A</v>
      </c>
      <c r="AZ132" s="245" t="e">
        <f t="shared" si="109"/>
        <v>#N/A</v>
      </c>
      <c r="BA132" s="245" t="e">
        <f t="shared" si="76"/>
        <v>#N/A</v>
      </c>
      <c r="BB132" s="288">
        <f t="shared" si="110"/>
        <v>7</v>
      </c>
      <c r="BC132" s="289" t="e">
        <f t="shared" si="111"/>
        <v>#N/A</v>
      </c>
      <c r="BD132" s="290" t="e">
        <f t="shared" si="112"/>
        <v>#N/A</v>
      </c>
      <c r="BE132" s="263" t="e">
        <f t="shared" si="77"/>
        <v>#N/A</v>
      </c>
      <c r="BF132" s="260">
        <f t="shared" si="113"/>
        <v>7</v>
      </c>
      <c r="BG132" s="289" t="e">
        <f t="shared" si="114"/>
        <v>#N/A</v>
      </c>
      <c r="BH132" s="290" t="e">
        <f t="shared" si="115"/>
        <v>#N/A</v>
      </c>
      <c r="BI132" s="263" t="e">
        <f t="shared" si="78"/>
        <v>#N/A</v>
      </c>
      <c r="BJ132" s="264">
        <f t="shared" si="116"/>
        <v>7</v>
      </c>
      <c r="BK132" s="291" t="e">
        <f t="shared" si="117"/>
        <v>#N/A</v>
      </c>
      <c r="BL132" s="291" t="e">
        <f t="shared" si="118"/>
        <v>#N/A</v>
      </c>
      <c r="BM132" s="292" t="e">
        <f t="shared" si="79"/>
        <v>#N/A</v>
      </c>
      <c r="BN132" s="293">
        <f t="shared" si="119"/>
        <v>7</v>
      </c>
      <c r="BO132" s="294" t="e">
        <f t="shared" si="120"/>
        <v>#N/A</v>
      </c>
      <c r="BP132" s="294" t="e">
        <f t="shared" si="121"/>
        <v>#N/A</v>
      </c>
      <c r="BQ132" s="292" t="e">
        <f t="shared" si="80"/>
        <v>#N/A</v>
      </c>
      <c r="BR132" s="295" t="e">
        <f t="shared" si="81"/>
        <v>#N/A</v>
      </c>
      <c r="BS132" s="230" t="e">
        <f>VLOOKUP($B132,SDR22_STOCK_BY_LA!$A$2:$C$11679,3,0)</f>
        <v>#N/A</v>
      </c>
      <c r="BT132" s="230" t="str">
        <f t="shared" si="122"/>
        <v/>
      </c>
    </row>
    <row r="133" spans="1:72" ht="12.5" x14ac:dyDescent="0.25">
      <c r="A133" s="269" t="str">
        <f t="shared" si="123"/>
        <v/>
      </c>
      <c r="B133" s="230" t="str">
        <f t="shared" si="124"/>
        <v/>
      </c>
      <c r="C133" s="270" t="str">
        <f t="shared" si="82"/>
        <v/>
      </c>
      <c r="D133" s="269" t="str">
        <f>IF(B133="","",IF(totals!$Q$3=0,IFERROR(IF(AD133=2,"0",AE133),""),"-"))</f>
        <v/>
      </c>
      <c r="E133" s="271" t="str">
        <f t="shared" si="83"/>
        <v/>
      </c>
      <c r="F133" s="272" t="str">
        <f t="shared" si="84"/>
        <v/>
      </c>
      <c r="G133" s="272" t="str">
        <f t="shared" si="85"/>
        <v/>
      </c>
      <c r="H133" s="269" t="str">
        <f t="shared" si="63"/>
        <v/>
      </c>
      <c r="I133" s="272" t="str">
        <f t="shared" si="86"/>
        <v/>
      </c>
      <c r="J133" s="272" t="str">
        <f t="shared" si="87"/>
        <v/>
      </c>
      <c r="K133" s="269" t="str">
        <f t="shared" si="64"/>
        <v/>
      </c>
      <c r="L133" s="272" t="str">
        <f t="shared" si="65"/>
        <v/>
      </c>
      <c r="M133" s="272" t="str">
        <f t="shared" si="88"/>
        <v/>
      </c>
      <c r="N133" s="269" t="str">
        <f t="shared" si="89"/>
        <v/>
      </c>
      <c r="O133" s="272" t="str">
        <f t="shared" si="90"/>
        <v/>
      </c>
      <c r="P133" s="272" t="str">
        <f t="shared" si="91"/>
        <v/>
      </c>
      <c r="Q133" s="269" t="str">
        <f t="shared" si="92"/>
        <v/>
      </c>
      <c r="R133" s="272" t="str">
        <f t="shared" si="93"/>
        <v/>
      </c>
      <c r="S133" s="272" t="str">
        <f t="shared" si="94"/>
        <v/>
      </c>
      <c r="T133" s="269" t="str">
        <f t="shared" si="95"/>
        <v/>
      </c>
      <c r="U133" s="230"/>
      <c r="V133" s="230"/>
      <c r="AB133" s="270" t="e">
        <f>VLOOKUP($B$6,Lookup_Source,126,0)</f>
        <v>#N/A</v>
      </c>
      <c r="AC133" s="254" t="str">
        <f t="shared" si="96"/>
        <v/>
      </c>
      <c r="AD133" s="255">
        <f t="shared" si="97"/>
        <v>7</v>
      </c>
      <c r="AE133" s="274" t="e">
        <f t="shared" si="66"/>
        <v>#N/A</v>
      </c>
      <c r="AF133" s="277" t="e">
        <f t="shared" si="98"/>
        <v>#N/A</v>
      </c>
      <c r="AG133" s="277" t="e">
        <f t="shared" si="99"/>
        <v>#N/A</v>
      </c>
      <c r="AH133" s="276" t="e">
        <f t="shared" si="67"/>
        <v>#N/A</v>
      </c>
      <c r="AI133" s="239">
        <f t="shared" si="100"/>
        <v>7</v>
      </c>
      <c r="AJ133" s="277" t="e">
        <f t="shared" si="68"/>
        <v>#N/A</v>
      </c>
      <c r="AK133" s="277" t="e">
        <f t="shared" si="101"/>
        <v>#N/A</v>
      </c>
      <c r="AL133" s="239" t="e">
        <f t="shared" si="69"/>
        <v>#N/A</v>
      </c>
      <c r="AM133" s="278" t="e">
        <f t="shared" si="102"/>
        <v>#N/A</v>
      </c>
      <c r="AN133" s="279" t="e">
        <f t="shared" si="70"/>
        <v>#N/A</v>
      </c>
      <c r="AO133" s="240" t="e">
        <f t="shared" si="71"/>
        <v>#N/A</v>
      </c>
      <c r="AP133" s="297">
        <f t="shared" si="103"/>
        <v>7</v>
      </c>
      <c r="AQ133" s="298" t="e">
        <f t="shared" si="72"/>
        <v>#N/A</v>
      </c>
      <c r="AR133" s="279" t="e">
        <f t="shared" si="104"/>
        <v>#N/A</v>
      </c>
      <c r="AS133" s="283" t="e">
        <f t="shared" si="73"/>
        <v>#N/A</v>
      </c>
      <c r="AT133" s="284">
        <f t="shared" si="105"/>
        <v>7</v>
      </c>
      <c r="AU133" s="285" t="e">
        <f t="shared" si="106"/>
        <v>#N/A</v>
      </c>
      <c r="AV133" s="286" t="e">
        <f t="shared" si="107"/>
        <v>#N/A</v>
      </c>
      <c r="AW133" s="287" t="e">
        <f t="shared" si="74"/>
        <v>#N/A</v>
      </c>
      <c r="AX133" s="245">
        <f t="shared" si="108"/>
        <v>7</v>
      </c>
      <c r="AY133" s="286" t="e">
        <f t="shared" si="75"/>
        <v>#N/A</v>
      </c>
      <c r="AZ133" s="245" t="e">
        <f t="shared" si="109"/>
        <v>#N/A</v>
      </c>
      <c r="BA133" s="245" t="e">
        <f t="shared" si="76"/>
        <v>#N/A</v>
      </c>
      <c r="BB133" s="288">
        <f t="shared" si="110"/>
        <v>7</v>
      </c>
      <c r="BC133" s="289" t="e">
        <f t="shared" si="111"/>
        <v>#N/A</v>
      </c>
      <c r="BD133" s="290" t="e">
        <f t="shared" si="112"/>
        <v>#N/A</v>
      </c>
      <c r="BE133" s="263" t="e">
        <f t="shared" si="77"/>
        <v>#N/A</v>
      </c>
      <c r="BF133" s="260">
        <f t="shared" si="113"/>
        <v>7</v>
      </c>
      <c r="BG133" s="289" t="e">
        <f t="shared" si="114"/>
        <v>#N/A</v>
      </c>
      <c r="BH133" s="290" t="e">
        <f t="shared" si="115"/>
        <v>#N/A</v>
      </c>
      <c r="BI133" s="263" t="e">
        <f t="shared" si="78"/>
        <v>#N/A</v>
      </c>
      <c r="BJ133" s="264">
        <f t="shared" si="116"/>
        <v>7</v>
      </c>
      <c r="BK133" s="291" t="e">
        <f t="shared" si="117"/>
        <v>#N/A</v>
      </c>
      <c r="BL133" s="291" t="e">
        <f t="shared" si="118"/>
        <v>#N/A</v>
      </c>
      <c r="BM133" s="292" t="e">
        <f t="shared" si="79"/>
        <v>#N/A</v>
      </c>
      <c r="BN133" s="293">
        <f t="shared" si="119"/>
        <v>7</v>
      </c>
      <c r="BO133" s="294" t="e">
        <f t="shared" si="120"/>
        <v>#N/A</v>
      </c>
      <c r="BP133" s="294" t="e">
        <f t="shared" si="121"/>
        <v>#N/A</v>
      </c>
      <c r="BQ133" s="292" t="e">
        <f t="shared" si="80"/>
        <v>#N/A</v>
      </c>
      <c r="BR133" s="295" t="e">
        <f t="shared" si="81"/>
        <v>#N/A</v>
      </c>
      <c r="BS133" s="230" t="e">
        <f>VLOOKUP($B133,SDR22_STOCK_BY_LA!$A$2:$C$11679,3,0)</f>
        <v>#N/A</v>
      </c>
      <c r="BT133" s="230" t="str">
        <f t="shared" si="122"/>
        <v/>
      </c>
    </row>
    <row r="134" spans="1:72" ht="12.5" x14ac:dyDescent="0.25">
      <c r="A134" s="230" t="str">
        <f t="shared" si="123"/>
        <v/>
      </c>
      <c r="B134" s="230" t="str">
        <f t="shared" si="124"/>
        <v/>
      </c>
      <c r="C134" s="296" t="str">
        <f t="shared" si="82"/>
        <v/>
      </c>
      <c r="D134" s="269" t="str">
        <f>IF(B134="","",IF(totals!$Q$3=0,IFERROR(IF(AD134=2,"0",AE134),""),"-"))</f>
        <v/>
      </c>
      <c r="E134" s="271" t="str">
        <f t="shared" si="83"/>
        <v/>
      </c>
      <c r="F134" s="272" t="str">
        <f t="shared" si="84"/>
        <v/>
      </c>
      <c r="G134" s="272" t="str">
        <f t="shared" si="85"/>
        <v/>
      </c>
      <c r="H134" s="269" t="str">
        <f t="shared" si="63"/>
        <v/>
      </c>
      <c r="I134" s="272" t="str">
        <f t="shared" si="86"/>
        <v/>
      </c>
      <c r="J134" s="272" t="str">
        <f t="shared" si="87"/>
        <v/>
      </c>
      <c r="K134" s="269" t="str">
        <f t="shared" si="64"/>
        <v/>
      </c>
      <c r="L134" s="272" t="str">
        <f t="shared" si="65"/>
        <v/>
      </c>
      <c r="M134" s="272" t="str">
        <f t="shared" si="88"/>
        <v/>
      </c>
      <c r="N134" s="269" t="str">
        <f t="shared" si="89"/>
        <v/>
      </c>
      <c r="O134" s="272" t="str">
        <f t="shared" si="90"/>
        <v/>
      </c>
      <c r="P134" s="272" t="str">
        <f t="shared" si="91"/>
        <v/>
      </c>
      <c r="Q134" s="269" t="str">
        <f t="shared" si="92"/>
        <v/>
      </c>
      <c r="R134" s="272" t="str">
        <f t="shared" si="93"/>
        <v/>
      </c>
      <c r="S134" s="272" t="str">
        <f t="shared" si="94"/>
        <v/>
      </c>
      <c r="T134" s="269" t="str">
        <f t="shared" si="95"/>
        <v/>
      </c>
      <c r="U134" s="230"/>
      <c r="V134" s="230"/>
      <c r="AB134" s="230" t="e">
        <f>VLOOKUP($B$6,Lookup_Source,127,0)</f>
        <v>#N/A</v>
      </c>
      <c r="AC134" s="254" t="str">
        <f t="shared" si="96"/>
        <v/>
      </c>
      <c r="AD134" s="255">
        <f t="shared" si="97"/>
        <v>7</v>
      </c>
      <c r="AE134" s="274" t="e">
        <f t="shared" si="66"/>
        <v>#N/A</v>
      </c>
      <c r="AF134" s="277" t="e">
        <f t="shared" si="98"/>
        <v>#N/A</v>
      </c>
      <c r="AG134" s="277" t="e">
        <f t="shared" si="99"/>
        <v>#N/A</v>
      </c>
      <c r="AH134" s="276" t="e">
        <f t="shared" si="67"/>
        <v>#N/A</v>
      </c>
      <c r="AI134" s="239">
        <f t="shared" si="100"/>
        <v>7</v>
      </c>
      <c r="AJ134" s="277" t="e">
        <f t="shared" si="68"/>
        <v>#N/A</v>
      </c>
      <c r="AK134" s="277" t="e">
        <f t="shared" si="101"/>
        <v>#N/A</v>
      </c>
      <c r="AL134" s="239" t="e">
        <f t="shared" si="69"/>
        <v>#N/A</v>
      </c>
      <c r="AM134" s="278" t="e">
        <f t="shared" si="102"/>
        <v>#N/A</v>
      </c>
      <c r="AN134" s="279" t="e">
        <f t="shared" si="70"/>
        <v>#N/A</v>
      </c>
      <c r="AO134" s="240" t="e">
        <f t="shared" si="71"/>
        <v>#N/A</v>
      </c>
      <c r="AP134" s="297">
        <f t="shared" si="103"/>
        <v>7</v>
      </c>
      <c r="AQ134" s="298" t="e">
        <f t="shared" si="72"/>
        <v>#N/A</v>
      </c>
      <c r="AR134" s="279" t="e">
        <f t="shared" si="104"/>
        <v>#N/A</v>
      </c>
      <c r="AS134" s="283" t="e">
        <f t="shared" si="73"/>
        <v>#N/A</v>
      </c>
      <c r="AT134" s="284">
        <f t="shared" si="105"/>
        <v>7</v>
      </c>
      <c r="AU134" s="285" t="e">
        <f t="shared" si="106"/>
        <v>#N/A</v>
      </c>
      <c r="AV134" s="286" t="e">
        <f t="shared" si="107"/>
        <v>#N/A</v>
      </c>
      <c r="AW134" s="287" t="e">
        <f t="shared" si="74"/>
        <v>#N/A</v>
      </c>
      <c r="AX134" s="245">
        <f t="shared" si="108"/>
        <v>7</v>
      </c>
      <c r="AY134" s="286" t="e">
        <f t="shared" si="75"/>
        <v>#N/A</v>
      </c>
      <c r="AZ134" s="245" t="e">
        <f t="shared" si="109"/>
        <v>#N/A</v>
      </c>
      <c r="BA134" s="245" t="e">
        <f t="shared" si="76"/>
        <v>#N/A</v>
      </c>
      <c r="BB134" s="288">
        <f t="shared" si="110"/>
        <v>7</v>
      </c>
      <c r="BC134" s="289" t="e">
        <f t="shared" si="111"/>
        <v>#N/A</v>
      </c>
      <c r="BD134" s="290" t="e">
        <f t="shared" si="112"/>
        <v>#N/A</v>
      </c>
      <c r="BE134" s="263" t="e">
        <f t="shared" si="77"/>
        <v>#N/A</v>
      </c>
      <c r="BF134" s="260">
        <f t="shared" si="113"/>
        <v>7</v>
      </c>
      <c r="BG134" s="289" t="e">
        <f t="shared" si="114"/>
        <v>#N/A</v>
      </c>
      <c r="BH134" s="290" t="e">
        <f t="shared" si="115"/>
        <v>#N/A</v>
      </c>
      <c r="BI134" s="263" t="e">
        <f t="shared" si="78"/>
        <v>#N/A</v>
      </c>
      <c r="BJ134" s="264">
        <f t="shared" si="116"/>
        <v>7</v>
      </c>
      <c r="BK134" s="291" t="e">
        <f t="shared" si="117"/>
        <v>#N/A</v>
      </c>
      <c r="BL134" s="291" t="e">
        <f t="shared" si="118"/>
        <v>#N/A</v>
      </c>
      <c r="BM134" s="292" t="e">
        <f t="shared" si="79"/>
        <v>#N/A</v>
      </c>
      <c r="BN134" s="293">
        <f t="shared" si="119"/>
        <v>7</v>
      </c>
      <c r="BO134" s="294" t="e">
        <f t="shared" si="120"/>
        <v>#N/A</v>
      </c>
      <c r="BP134" s="294" t="e">
        <f t="shared" si="121"/>
        <v>#N/A</v>
      </c>
      <c r="BQ134" s="292" t="e">
        <f t="shared" si="80"/>
        <v>#N/A</v>
      </c>
      <c r="BR134" s="295" t="e">
        <f t="shared" si="81"/>
        <v>#N/A</v>
      </c>
      <c r="BS134" s="230" t="e">
        <f>VLOOKUP($B134,SDR22_STOCK_BY_LA!$A$2:$C$11679,3,0)</f>
        <v>#N/A</v>
      </c>
      <c r="BT134" s="230" t="str">
        <f t="shared" si="122"/>
        <v/>
      </c>
    </row>
    <row r="135" spans="1:72" ht="12.5" x14ac:dyDescent="0.25">
      <c r="A135" s="269" t="str">
        <f t="shared" si="123"/>
        <v/>
      </c>
      <c r="B135" s="230" t="str">
        <f t="shared" si="124"/>
        <v/>
      </c>
      <c r="C135" s="270" t="str">
        <f t="shared" si="82"/>
        <v/>
      </c>
      <c r="D135" s="269" t="str">
        <f>IF(B135="","",IF(totals!$Q$3=0,IFERROR(IF(AD135=2,"0",AE135),""),"-"))</f>
        <v/>
      </c>
      <c r="E135" s="271" t="str">
        <f t="shared" si="83"/>
        <v/>
      </c>
      <c r="F135" s="272" t="str">
        <f t="shared" si="84"/>
        <v/>
      </c>
      <c r="G135" s="272" t="str">
        <f t="shared" si="85"/>
        <v/>
      </c>
      <c r="H135" s="269" t="str">
        <f t="shared" si="63"/>
        <v/>
      </c>
      <c r="I135" s="272" t="str">
        <f t="shared" si="86"/>
        <v/>
      </c>
      <c r="J135" s="272" t="str">
        <f t="shared" si="87"/>
        <v/>
      </c>
      <c r="K135" s="269" t="str">
        <f t="shared" si="64"/>
        <v/>
      </c>
      <c r="L135" s="272" t="str">
        <f t="shared" si="65"/>
        <v/>
      </c>
      <c r="M135" s="272" t="str">
        <f t="shared" si="88"/>
        <v/>
      </c>
      <c r="N135" s="269" t="str">
        <f t="shared" si="89"/>
        <v/>
      </c>
      <c r="O135" s="272" t="str">
        <f t="shared" si="90"/>
        <v/>
      </c>
      <c r="P135" s="272" t="str">
        <f t="shared" si="91"/>
        <v/>
      </c>
      <c r="Q135" s="269" t="str">
        <f t="shared" si="92"/>
        <v/>
      </c>
      <c r="R135" s="272" t="str">
        <f t="shared" si="93"/>
        <v/>
      </c>
      <c r="S135" s="272" t="str">
        <f t="shared" si="94"/>
        <v/>
      </c>
      <c r="T135" s="269" t="str">
        <f t="shared" si="95"/>
        <v/>
      </c>
      <c r="U135" s="230"/>
      <c r="V135" s="230"/>
      <c r="AB135" s="270" t="e">
        <f>VLOOKUP($B$6,Lookup_Source,128,0)</f>
        <v>#N/A</v>
      </c>
      <c r="AC135" s="254" t="str">
        <f t="shared" si="96"/>
        <v/>
      </c>
      <c r="AD135" s="255">
        <f t="shared" si="97"/>
        <v>7</v>
      </c>
      <c r="AE135" s="274" t="e">
        <f t="shared" si="66"/>
        <v>#N/A</v>
      </c>
      <c r="AF135" s="277" t="e">
        <f t="shared" si="98"/>
        <v>#N/A</v>
      </c>
      <c r="AG135" s="277" t="e">
        <f t="shared" si="99"/>
        <v>#N/A</v>
      </c>
      <c r="AH135" s="276" t="e">
        <f t="shared" si="67"/>
        <v>#N/A</v>
      </c>
      <c r="AI135" s="239">
        <f t="shared" si="100"/>
        <v>7</v>
      </c>
      <c r="AJ135" s="277" t="e">
        <f t="shared" si="68"/>
        <v>#N/A</v>
      </c>
      <c r="AK135" s="277" t="e">
        <f t="shared" si="101"/>
        <v>#N/A</v>
      </c>
      <c r="AL135" s="239" t="e">
        <f t="shared" si="69"/>
        <v>#N/A</v>
      </c>
      <c r="AM135" s="278" t="e">
        <f t="shared" si="102"/>
        <v>#N/A</v>
      </c>
      <c r="AN135" s="279" t="e">
        <f t="shared" si="70"/>
        <v>#N/A</v>
      </c>
      <c r="AO135" s="240" t="e">
        <f t="shared" si="71"/>
        <v>#N/A</v>
      </c>
      <c r="AP135" s="297">
        <f t="shared" si="103"/>
        <v>7</v>
      </c>
      <c r="AQ135" s="298" t="e">
        <f t="shared" si="72"/>
        <v>#N/A</v>
      </c>
      <c r="AR135" s="279" t="e">
        <f t="shared" si="104"/>
        <v>#N/A</v>
      </c>
      <c r="AS135" s="283" t="e">
        <f t="shared" si="73"/>
        <v>#N/A</v>
      </c>
      <c r="AT135" s="284">
        <f t="shared" si="105"/>
        <v>7</v>
      </c>
      <c r="AU135" s="285" t="e">
        <f t="shared" si="106"/>
        <v>#N/A</v>
      </c>
      <c r="AV135" s="286" t="e">
        <f t="shared" si="107"/>
        <v>#N/A</v>
      </c>
      <c r="AW135" s="287" t="e">
        <f t="shared" si="74"/>
        <v>#N/A</v>
      </c>
      <c r="AX135" s="245">
        <f t="shared" si="108"/>
        <v>7</v>
      </c>
      <c r="AY135" s="286" t="e">
        <f t="shared" si="75"/>
        <v>#N/A</v>
      </c>
      <c r="AZ135" s="245" t="e">
        <f t="shared" si="109"/>
        <v>#N/A</v>
      </c>
      <c r="BA135" s="245" t="e">
        <f t="shared" si="76"/>
        <v>#N/A</v>
      </c>
      <c r="BB135" s="288">
        <f t="shared" si="110"/>
        <v>7</v>
      </c>
      <c r="BC135" s="289" t="e">
        <f t="shared" si="111"/>
        <v>#N/A</v>
      </c>
      <c r="BD135" s="290" t="e">
        <f t="shared" si="112"/>
        <v>#N/A</v>
      </c>
      <c r="BE135" s="263" t="e">
        <f t="shared" si="77"/>
        <v>#N/A</v>
      </c>
      <c r="BF135" s="260">
        <f t="shared" si="113"/>
        <v>7</v>
      </c>
      <c r="BG135" s="289" t="e">
        <f t="shared" si="114"/>
        <v>#N/A</v>
      </c>
      <c r="BH135" s="290" t="e">
        <f t="shared" si="115"/>
        <v>#N/A</v>
      </c>
      <c r="BI135" s="263" t="e">
        <f t="shared" si="78"/>
        <v>#N/A</v>
      </c>
      <c r="BJ135" s="264">
        <f t="shared" si="116"/>
        <v>7</v>
      </c>
      <c r="BK135" s="291" t="e">
        <f t="shared" si="117"/>
        <v>#N/A</v>
      </c>
      <c r="BL135" s="291" t="e">
        <f t="shared" si="118"/>
        <v>#N/A</v>
      </c>
      <c r="BM135" s="292" t="e">
        <f t="shared" si="79"/>
        <v>#N/A</v>
      </c>
      <c r="BN135" s="293">
        <f t="shared" si="119"/>
        <v>7</v>
      </c>
      <c r="BO135" s="294" t="e">
        <f t="shared" si="120"/>
        <v>#N/A</v>
      </c>
      <c r="BP135" s="294" t="e">
        <f t="shared" si="121"/>
        <v>#N/A</v>
      </c>
      <c r="BQ135" s="292" t="e">
        <f t="shared" si="80"/>
        <v>#N/A</v>
      </c>
      <c r="BR135" s="295" t="e">
        <f t="shared" si="81"/>
        <v>#N/A</v>
      </c>
      <c r="BS135" s="230" t="e">
        <f>VLOOKUP($B135,SDR22_STOCK_BY_LA!$A$2:$C$11679,3,0)</f>
        <v>#N/A</v>
      </c>
      <c r="BT135" s="230" t="str">
        <f t="shared" si="122"/>
        <v/>
      </c>
    </row>
    <row r="136" spans="1:72" ht="12.5" x14ac:dyDescent="0.25">
      <c r="A136" s="230" t="str">
        <f t="shared" si="123"/>
        <v/>
      </c>
      <c r="B136" s="230" t="str">
        <f t="shared" si="124"/>
        <v/>
      </c>
      <c r="C136" s="296" t="str">
        <f t="shared" si="82"/>
        <v/>
      </c>
      <c r="D136" s="269" t="str">
        <f>IF(B136="","",IF(totals!$Q$3=0,IFERROR(IF(AD136=2,"0",AE136),""),"-"))</f>
        <v/>
      </c>
      <c r="E136" s="271" t="str">
        <f t="shared" si="83"/>
        <v/>
      </c>
      <c r="F136" s="272" t="str">
        <f t="shared" si="84"/>
        <v/>
      </c>
      <c r="G136" s="272" t="str">
        <f t="shared" si="85"/>
        <v/>
      </c>
      <c r="H136" s="269" t="str">
        <f t="shared" si="63"/>
        <v/>
      </c>
      <c r="I136" s="272" t="str">
        <f t="shared" si="86"/>
        <v/>
      </c>
      <c r="J136" s="272" t="str">
        <f t="shared" si="87"/>
        <v/>
      </c>
      <c r="K136" s="269" t="str">
        <f t="shared" si="64"/>
        <v/>
      </c>
      <c r="L136" s="272" t="str">
        <f t="shared" si="65"/>
        <v/>
      </c>
      <c r="M136" s="272" t="str">
        <f t="shared" si="88"/>
        <v/>
      </c>
      <c r="N136" s="269" t="str">
        <f t="shared" si="89"/>
        <v/>
      </c>
      <c r="O136" s="272" t="str">
        <f t="shared" si="90"/>
        <v/>
      </c>
      <c r="P136" s="272" t="str">
        <f t="shared" si="91"/>
        <v/>
      </c>
      <c r="Q136" s="269" t="str">
        <f t="shared" si="92"/>
        <v/>
      </c>
      <c r="R136" s="272" t="str">
        <f t="shared" si="93"/>
        <v/>
      </c>
      <c r="S136" s="272" t="str">
        <f t="shared" si="94"/>
        <v/>
      </c>
      <c r="T136" s="269" t="str">
        <f t="shared" si="95"/>
        <v/>
      </c>
      <c r="U136" s="230"/>
      <c r="V136" s="230"/>
      <c r="AB136" s="230" t="e">
        <f>VLOOKUP($B$6,Lookup_Source,129,0)</f>
        <v>#N/A</v>
      </c>
      <c r="AC136" s="254" t="str">
        <f t="shared" si="96"/>
        <v/>
      </c>
      <c r="AD136" s="255">
        <f t="shared" si="97"/>
        <v>7</v>
      </c>
      <c r="AE136" s="274" t="e">
        <f t="shared" si="66"/>
        <v>#N/A</v>
      </c>
      <c r="AF136" s="277" t="e">
        <f t="shared" si="98"/>
        <v>#N/A</v>
      </c>
      <c r="AG136" s="277" t="e">
        <f t="shared" si="99"/>
        <v>#N/A</v>
      </c>
      <c r="AH136" s="276" t="e">
        <f t="shared" si="67"/>
        <v>#N/A</v>
      </c>
      <c r="AI136" s="239">
        <f t="shared" si="100"/>
        <v>7</v>
      </c>
      <c r="AJ136" s="277" t="e">
        <f t="shared" si="68"/>
        <v>#N/A</v>
      </c>
      <c r="AK136" s="277" t="e">
        <f t="shared" si="101"/>
        <v>#N/A</v>
      </c>
      <c r="AL136" s="239" t="e">
        <f t="shared" si="69"/>
        <v>#N/A</v>
      </c>
      <c r="AM136" s="278" t="e">
        <f t="shared" si="102"/>
        <v>#N/A</v>
      </c>
      <c r="AN136" s="279" t="e">
        <f t="shared" si="70"/>
        <v>#N/A</v>
      </c>
      <c r="AO136" s="240" t="e">
        <f t="shared" si="71"/>
        <v>#N/A</v>
      </c>
      <c r="AP136" s="297">
        <f t="shared" si="103"/>
        <v>7</v>
      </c>
      <c r="AQ136" s="298" t="e">
        <f t="shared" si="72"/>
        <v>#N/A</v>
      </c>
      <c r="AR136" s="279" t="e">
        <f t="shared" si="104"/>
        <v>#N/A</v>
      </c>
      <c r="AS136" s="283" t="e">
        <f t="shared" si="73"/>
        <v>#N/A</v>
      </c>
      <c r="AT136" s="284">
        <f t="shared" si="105"/>
        <v>7</v>
      </c>
      <c r="AU136" s="285" t="e">
        <f t="shared" si="106"/>
        <v>#N/A</v>
      </c>
      <c r="AV136" s="286" t="e">
        <f t="shared" si="107"/>
        <v>#N/A</v>
      </c>
      <c r="AW136" s="287" t="e">
        <f t="shared" si="74"/>
        <v>#N/A</v>
      </c>
      <c r="AX136" s="245">
        <f t="shared" si="108"/>
        <v>7</v>
      </c>
      <c r="AY136" s="286" t="e">
        <f t="shared" si="75"/>
        <v>#N/A</v>
      </c>
      <c r="AZ136" s="245" t="e">
        <f t="shared" si="109"/>
        <v>#N/A</v>
      </c>
      <c r="BA136" s="245" t="e">
        <f t="shared" si="76"/>
        <v>#N/A</v>
      </c>
      <c r="BB136" s="288">
        <f t="shared" si="110"/>
        <v>7</v>
      </c>
      <c r="BC136" s="289" t="e">
        <f t="shared" si="111"/>
        <v>#N/A</v>
      </c>
      <c r="BD136" s="290" t="e">
        <f t="shared" si="112"/>
        <v>#N/A</v>
      </c>
      <c r="BE136" s="263" t="e">
        <f t="shared" si="77"/>
        <v>#N/A</v>
      </c>
      <c r="BF136" s="260">
        <f t="shared" si="113"/>
        <v>7</v>
      </c>
      <c r="BG136" s="289" t="e">
        <f t="shared" si="114"/>
        <v>#N/A</v>
      </c>
      <c r="BH136" s="290" t="e">
        <f t="shared" si="115"/>
        <v>#N/A</v>
      </c>
      <c r="BI136" s="263" t="e">
        <f t="shared" si="78"/>
        <v>#N/A</v>
      </c>
      <c r="BJ136" s="264">
        <f t="shared" si="116"/>
        <v>7</v>
      </c>
      <c r="BK136" s="291" t="e">
        <f t="shared" si="117"/>
        <v>#N/A</v>
      </c>
      <c r="BL136" s="291" t="e">
        <f t="shared" si="118"/>
        <v>#N/A</v>
      </c>
      <c r="BM136" s="292" t="e">
        <f t="shared" si="79"/>
        <v>#N/A</v>
      </c>
      <c r="BN136" s="293">
        <f t="shared" si="119"/>
        <v>7</v>
      </c>
      <c r="BO136" s="294" t="e">
        <f t="shared" si="120"/>
        <v>#N/A</v>
      </c>
      <c r="BP136" s="294" t="e">
        <f t="shared" si="121"/>
        <v>#N/A</v>
      </c>
      <c r="BQ136" s="292" t="e">
        <f t="shared" si="80"/>
        <v>#N/A</v>
      </c>
      <c r="BR136" s="295" t="e">
        <f t="shared" si="81"/>
        <v>#N/A</v>
      </c>
      <c r="BS136" s="230" t="e">
        <f>VLOOKUP($B136,SDR22_STOCK_BY_LA!$A$2:$C$11679,3,0)</f>
        <v>#N/A</v>
      </c>
      <c r="BT136" s="230" t="str">
        <f t="shared" si="122"/>
        <v/>
      </c>
    </row>
    <row r="137" spans="1:72" ht="12.5" x14ac:dyDescent="0.25">
      <c r="A137" s="269" t="str">
        <f t="shared" si="123"/>
        <v/>
      </c>
      <c r="B137" s="230" t="str">
        <f t="shared" si="124"/>
        <v/>
      </c>
      <c r="C137" s="270" t="str">
        <f t="shared" si="82"/>
        <v/>
      </c>
      <c r="D137" s="269" t="str">
        <f>IF(B137="","",IF(totals!$Q$3=0,IFERROR(IF(AD137=2,"0",AE137),""),"-"))</f>
        <v/>
      </c>
      <c r="E137" s="271" t="str">
        <f t="shared" si="83"/>
        <v/>
      </c>
      <c r="F137" s="272" t="str">
        <f t="shared" si="84"/>
        <v/>
      </c>
      <c r="G137" s="272" t="str">
        <f t="shared" si="85"/>
        <v/>
      </c>
      <c r="H137" s="269" t="str">
        <f t="shared" ref="H137:H200" si="125">IFERROR(AO137,"")</f>
        <v/>
      </c>
      <c r="I137" s="272" t="str">
        <f t="shared" si="86"/>
        <v/>
      </c>
      <c r="J137" s="272" t="str">
        <f t="shared" si="87"/>
        <v/>
      </c>
      <c r="K137" s="269" t="str">
        <f t="shared" ref="K137:K200" si="126">IFERROR(AW137,"")</f>
        <v/>
      </c>
      <c r="L137" s="272" t="str">
        <f t="shared" ref="L137:L200" si="127">IFERROR(IF(AT137=2,"-",AU137),"")</f>
        <v/>
      </c>
      <c r="M137" s="272" t="str">
        <f t="shared" si="88"/>
        <v/>
      </c>
      <c r="N137" s="269" t="str">
        <f t="shared" si="89"/>
        <v/>
      </c>
      <c r="O137" s="272" t="str">
        <f t="shared" si="90"/>
        <v/>
      </c>
      <c r="P137" s="272" t="str">
        <f t="shared" si="91"/>
        <v/>
      </c>
      <c r="Q137" s="269" t="str">
        <f t="shared" si="92"/>
        <v/>
      </c>
      <c r="R137" s="272" t="str">
        <f t="shared" si="93"/>
        <v/>
      </c>
      <c r="S137" s="272" t="str">
        <f t="shared" si="94"/>
        <v/>
      </c>
      <c r="T137" s="269" t="str">
        <f t="shared" si="95"/>
        <v/>
      </c>
      <c r="U137" s="230"/>
      <c r="V137" s="230"/>
      <c r="AB137" s="270" t="e">
        <f>VLOOKUP($B$6,Lookup_Source,130,0)</f>
        <v>#N/A</v>
      </c>
      <c r="AC137" s="254" t="str">
        <f t="shared" si="96"/>
        <v/>
      </c>
      <c r="AD137" s="255">
        <f t="shared" si="97"/>
        <v>7</v>
      </c>
      <c r="AE137" s="274" t="e">
        <f t="shared" ref="AE137:AE200" si="128">SUM(VLOOKUP($B137,Totals,8,0)-1)</f>
        <v>#N/A</v>
      </c>
      <c r="AF137" s="277" t="e">
        <f t="shared" si="98"/>
        <v>#N/A</v>
      </c>
      <c r="AG137" s="277" t="e">
        <f t="shared" si="99"/>
        <v>#N/A</v>
      </c>
      <c r="AH137" s="276" t="e">
        <f t="shared" ref="AH137:AH200" si="129">VLOOKUP($BT137,Stock_By_LA,2,0)</f>
        <v>#N/A</v>
      </c>
      <c r="AI137" s="239">
        <f t="shared" si="100"/>
        <v>7</v>
      </c>
      <c r="AJ137" s="277" t="e">
        <f t="shared" ref="AJ137:AJ200" si="130">IF(AK137&gt;0,AK137,"-")</f>
        <v>#N/A</v>
      </c>
      <c r="AK137" s="277" t="e">
        <f t="shared" si="101"/>
        <v>#N/A</v>
      </c>
      <c r="AL137" s="239" t="e">
        <f t="shared" ref="AL137:AL200" si="131">VLOOKUP($B137,Totals,7,0)</f>
        <v>#N/A</v>
      </c>
      <c r="AM137" s="278" t="e">
        <f t="shared" si="102"/>
        <v>#N/A</v>
      </c>
      <c r="AN137" s="279" t="e">
        <f t="shared" ref="AN137:AN200" si="132">$AO137/$AO$8</f>
        <v>#N/A</v>
      </c>
      <c r="AO137" s="240" t="e">
        <f t="shared" ref="AO137:AO200" si="133">VLOOKUP($BT137,Stock_By_LA,3,0)</f>
        <v>#N/A</v>
      </c>
      <c r="AP137" s="297">
        <f t="shared" si="103"/>
        <v>7</v>
      </c>
      <c r="AQ137" s="298" t="e">
        <f t="shared" ref="AQ137:AQ200" si="134">IF(AR137&gt;0,AR137,"-")</f>
        <v>#N/A</v>
      </c>
      <c r="AR137" s="279" t="e">
        <f t="shared" si="104"/>
        <v>#N/A</v>
      </c>
      <c r="AS137" s="283" t="e">
        <f t="shared" ref="AS137:AS200" si="135">VLOOKUP($B137,Totals,2,0)</f>
        <v>#N/A</v>
      </c>
      <c r="AT137" s="284">
        <f t="shared" si="105"/>
        <v>7</v>
      </c>
      <c r="AU137" s="285" t="e">
        <f t="shared" si="106"/>
        <v>#N/A</v>
      </c>
      <c r="AV137" s="286" t="e">
        <f t="shared" si="107"/>
        <v>#N/A</v>
      </c>
      <c r="AW137" s="287" t="e">
        <f t="shared" ref="AW137:AW200" si="136">VLOOKUP($BT137,Stock_By_LA,4,0)</f>
        <v>#N/A</v>
      </c>
      <c r="AX137" s="245">
        <f t="shared" si="108"/>
        <v>7</v>
      </c>
      <c r="AY137" s="286" t="e">
        <f t="shared" ref="AY137:AY200" si="137">IF(AZ137&gt;0,AZ137,"-")</f>
        <v>#N/A</v>
      </c>
      <c r="AZ137" s="245" t="e">
        <f t="shared" si="109"/>
        <v>#N/A</v>
      </c>
      <c r="BA137" s="245" t="e">
        <f t="shared" ref="BA137:BA200" si="138">VLOOKUP($B137,Totals,3,0)</f>
        <v>#N/A</v>
      </c>
      <c r="BB137" s="288">
        <f t="shared" si="110"/>
        <v>7</v>
      </c>
      <c r="BC137" s="289" t="e">
        <f t="shared" si="111"/>
        <v>#N/A</v>
      </c>
      <c r="BD137" s="290" t="e">
        <f t="shared" si="112"/>
        <v>#N/A</v>
      </c>
      <c r="BE137" s="263" t="e">
        <f t="shared" ref="BE137:BE200" si="139">VLOOKUP($BT137,Stock_By_LA,5,0)</f>
        <v>#N/A</v>
      </c>
      <c r="BF137" s="260">
        <f t="shared" si="113"/>
        <v>7</v>
      </c>
      <c r="BG137" s="289" t="e">
        <f t="shared" si="114"/>
        <v>#N/A</v>
      </c>
      <c r="BH137" s="290" t="e">
        <f t="shared" si="115"/>
        <v>#N/A</v>
      </c>
      <c r="BI137" s="263" t="e">
        <f t="shared" ref="BI137:BI200" si="140">VLOOKUP($B137,Totals,4,0)</f>
        <v>#N/A</v>
      </c>
      <c r="BJ137" s="264">
        <f t="shared" si="116"/>
        <v>7</v>
      </c>
      <c r="BK137" s="291" t="e">
        <f t="shared" si="117"/>
        <v>#N/A</v>
      </c>
      <c r="BL137" s="291" t="e">
        <f t="shared" si="118"/>
        <v>#N/A</v>
      </c>
      <c r="BM137" s="292" t="e">
        <f t="shared" ref="BM137:BM200" si="141">VLOOKUP($BT137,Stock_By_LA,6,0)</f>
        <v>#N/A</v>
      </c>
      <c r="BN137" s="293">
        <f t="shared" si="119"/>
        <v>7</v>
      </c>
      <c r="BO137" s="294" t="e">
        <f t="shared" si="120"/>
        <v>#N/A</v>
      </c>
      <c r="BP137" s="294" t="e">
        <f t="shared" si="121"/>
        <v>#N/A</v>
      </c>
      <c r="BQ137" s="292" t="e">
        <f t="shared" ref="BQ137:BQ200" si="142">VLOOKUP($B137,Totals,5,0)</f>
        <v>#N/A</v>
      </c>
      <c r="BR137" s="295" t="e">
        <f t="shared" ref="BR137:BR200" si="143">VLOOKUP($BT137,Stock_By_LA,8,0)</f>
        <v>#N/A</v>
      </c>
      <c r="BS137" s="230" t="e">
        <f>VLOOKUP($B137,SDR22_STOCK_BY_LA!$A$2:$C$11679,3,0)</f>
        <v>#N/A</v>
      </c>
      <c r="BT137" s="230" t="str">
        <f t="shared" si="122"/>
        <v/>
      </c>
    </row>
    <row r="138" spans="1:72" ht="12.5" x14ac:dyDescent="0.25">
      <c r="A138" s="230" t="str">
        <f t="shared" si="123"/>
        <v/>
      </c>
      <c r="B138" s="230" t="str">
        <f t="shared" si="124"/>
        <v/>
      </c>
      <c r="C138" s="296" t="str">
        <f t="shared" ref="C138:C201" si="144">IFERROR(BS138,"")</f>
        <v/>
      </c>
      <c r="D138" s="269" t="str">
        <f>IF(B138="","",IF(totals!$Q$3=0,IFERROR(IF(AD138=2,"0",AE138),""),"-"))</f>
        <v/>
      </c>
      <c r="E138" s="271" t="str">
        <f t="shared" ref="E138:E201" si="145">IFERROR(AH138,"")</f>
        <v/>
      </c>
      <c r="F138" s="272" t="str">
        <f t="shared" ref="F138:F201" si="146">IFERROR(AF138,"")</f>
        <v/>
      </c>
      <c r="G138" s="272" t="str">
        <f t="shared" ref="G138:G201" si="147">IFERROR(IF(AI138=2,"-",AJ138),"")</f>
        <v/>
      </c>
      <c r="H138" s="269" t="str">
        <f t="shared" si="125"/>
        <v/>
      </c>
      <c r="I138" s="272" t="str">
        <f t="shared" ref="I138:I201" si="148">IFERROR(AM138,"")</f>
        <v/>
      </c>
      <c r="J138" s="272" t="str">
        <f t="shared" ref="J138:J201" si="149">IFERROR(IF(AP138=2,"-",AQ138),"")</f>
        <v/>
      </c>
      <c r="K138" s="269" t="str">
        <f t="shared" si="126"/>
        <v/>
      </c>
      <c r="L138" s="272" t="str">
        <f t="shared" si="127"/>
        <v/>
      </c>
      <c r="M138" s="272" t="str">
        <f t="shared" ref="M138:M201" si="150">IFERROR(IF(AX138=2,"-",AY138),"")</f>
        <v/>
      </c>
      <c r="N138" s="269" t="str">
        <f t="shared" ref="N138:N201" si="151">IFERROR(BE138,"")</f>
        <v/>
      </c>
      <c r="O138" s="272" t="str">
        <f t="shared" ref="O138:O201" si="152">IFERROR(IF(BB138=2,"-",BC138),"")</f>
        <v/>
      </c>
      <c r="P138" s="272" t="str">
        <f t="shared" ref="P138:P201" si="153">IFERROR(IF(BF138=2,"-",BG138),"")</f>
        <v/>
      </c>
      <c r="Q138" s="269" t="str">
        <f t="shared" ref="Q138:Q201" si="154">IFERROR(BM138,"")</f>
        <v/>
      </c>
      <c r="R138" s="272" t="str">
        <f t="shared" ref="R138:R201" si="155">IFERROR(IF(BJ138=2,"-",BK138),"")</f>
        <v/>
      </c>
      <c r="S138" s="272" t="str">
        <f t="shared" ref="S138:S201" si="156">IFERROR(IF(BN138=2,"-",BO138),"")</f>
        <v/>
      </c>
      <c r="T138" s="269" t="str">
        <f t="shared" ref="T138:T201" si="157">IFERROR(BR138,"")</f>
        <v/>
      </c>
      <c r="U138" s="230"/>
      <c r="V138" s="230"/>
      <c r="AB138" s="230" t="e">
        <f>VLOOKUP($B$6,Lookup_Source,131,0)</f>
        <v>#N/A</v>
      </c>
      <c r="AC138" s="254" t="str">
        <f t="shared" ref="AC138:AC201" si="158">IF(ISNUMBER(SEARCH("*",B138)),1,"")</f>
        <v/>
      </c>
      <c r="AD138" s="255">
        <f t="shared" ref="AD138:AD201" si="159">IFERROR(ERROR.TYPE(AE138),0)</f>
        <v>7</v>
      </c>
      <c r="AE138" s="274" t="e">
        <f t="shared" si="128"/>
        <v>#N/A</v>
      </c>
      <c r="AF138" s="277" t="e">
        <f t="shared" ref="AF138:AF201" si="160">IF(AG138&gt;0,AG138,"-")</f>
        <v>#N/A</v>
      </c>
      <c r="AG138" s="277" t="e">
        <f t="shared" ref="AG138:AG201" si="161">$AH138/$AH$8</f>
        <v>#N/A</v>
      </c>
      <c r="AH138" s="276" t="e">
        <f t="shared" si="129"/>
        <v>#N/A</v>
      </c>
      <c r="AI138" s="239">
        <f t="shared" ref="AI138:AI201" si="162">IFERROR(ERROR.TYPE(AJ138),0)</f>
        <v>7</v>
      </c>
      <c r="AJ138" s="277" t="e">
        <f t="shared" si="130"/>
        <v>#N/A</v>
      </c>
      <c r="AK138" s="277" t="e">
        <f t="shared" ref="AK138:AK201" si="163">$AH138/$AL138</f>
        <v>#N/A</v>
      </c>
      <c r="AL138" s="239" t="e">
        <f t="shared" si="131"/>
        <v>#N/A</v>
      </c>
      <c r="AM138" s="278" t="e">
        <f t="shared" ref="AM138:AM201" si="164">IF(AN138&gt;0,AN138,"-")</f>
        <v>#N/A</v>
      </c>
      <c r="AN138" s="279" t="e">
        <f t="shared" si="132"/>
        <v>#N/A</v>
      </c>
      <c r="AO138" s="240" t="e">
        <f t="shared" si="133"/>
        <v>#N/A</v>
      </c>
      <c r="AP138" s="297">
        <f t="shared" ref="AP138:AP201" si="165">IFERROR(ERROR.TYPE(AQ138),0)</f>
        <v>7</v>
      </c>
      <c r="AQ138" s="298" t="e">
        <f t="shared" si="134"/>
        <v>#N/A</v>
      </c>
      <c r="AR138" s="279" t="e">
        <f t="shared" ref="AR138:AR201" si="166">$AO138/$AS138</f>
        <v>#N/A</v>
      </c>
      <c r="AS138" s="283" t="e">
        <f t="shared" si="135"/>
        <v>#N/A</v>
      </c>
      <c r="AT138" s="284">
        <f t="shared" ref="AT138:AT201" si="167">IFERROR(ERROR.TYPE(AU138),0)</f>
        <v>7</v>
      </c>
      <c r="AU138" s="285" t="e">
        <f t="shared" ref="AU138:AU201" si="168">IF(AV138&gt;0,AV138,"-")</f>
        <v>#N/A</v>
      </c>
      <c r="AV138" s="286" t="e">
        <f t="shared" ref="AV138:AV201" si="169">AW138/$AW$8</f>
        <v>#N/A</v>
      </c>
      <c r="AW138" s="287" t="e">
        <f t="shared" si="136"/>
        <v>#N/A</v>
      </c>
      <c r="AX138" s="245">
        <f t="shared" ref="AX138:AX201" si="170">IFERROR(ERROR.TYPE(AY138),0)</f>
        <v>7</v>
      </c>
      <c r="AY138" s="286" t="e">
        <f t="shared" si="137"/>
        <v>#N/A</v>
      </c>
      <c r="AZ138" s="245" t="e">
        <f t="shared" ref="AZ138:AZ201" si="171">$AW138/$BA138</f>
        <v>#N/A</v>
      </c>
      <c r="BA138" s="245" t="e">
        <f t="shared" si="138"/>
        <v>#N/A</v>
      </c>
      <c r="BB138" s="288">
        <f t="shared" ref="BB138:BB201" si="172">IFERROR(ERROR.TYPE(BC138),0)</f>
        <v>7</v>
      </c>
      <c r="BC138" s="289" t="e">
        <f t="shared" ref="BC138:BC201" si="173">IF(BD138&gt;0,BD138,"-")</f>
        <v>#N/A</v>
      </c>
      <c r="BD138" s="290" t="e">
        <f t="shared" ref="BD138:BD201" si="174">$BE138/$BE$8</f>
        <v>#N/A</v>
      </c>
      <c r="BE138" s="263" t="e">
        <f t="shared" si="139"/>
        <v>#N/A</v>
      </c>
      <c r="BF138" s="260">
        <f t="shared" ref="BF138:BF201" si="175">IFERROR(ERROR.TYPE(BG138),0)</f>
        <v>7</v>
      </c>
      <c r="BG138" s="289" t="e">
        <f t="shared" ref="BG138:BG201" si="176">IF(BH138&gt;0,BH138,"-")</f>
        <v>#N/A</v>
      </c>
      <c r="BH138" s="290" t="e">
        <f t="shared" ref="BH138:BH201" si="177">$BE138/$BI138</f>
        <v>#N/A</v>
      </c>
      <c r="BI138" s="263" t="e">
        <f t="shared" si="140"/>
        <v>#N/A</v>
      </c>
      <c r="BJ138" s="264">
        <f t="shared" ref="BJ138:BJ201" si="178">IFERROR(ERROR.TYPE(BK138),0)</f>
        <v>7</v>
      </c>
      <c r="BK138" s="291" t="e">
        <f t="shared" ref="BK138:BK201" si="179">IF(BL138&gt;0,BL138,"-")</f>
        <v>#N/A</v>
      </c>
      <c r="BL138" s="291" t="e">
        <f t="shared" ref="BL138:BL201" si="180">$BM138/$BM$8</f>
        <v>#N/A</v>
      </c>
      <c r="BM138" s="292" t="e">
        <f t="shared" si="141"/>
        <v>#N/A</v>
      </c>
      <c r="BN138" s="293">
        <f t="shared" ref="BN138:BN201" si="181">IFERROR(ERROR.TYPE(BO138),0)</f>
        <v>7</v>
      </c>
      <c r="BO138" s="294" t="e">
        <f t="shared" ref="BO138:BO201" si="182">IF(BP138&gt;0,BP138,"-")</f>
        <v>#N/A</v>
      </c>
      <c r="BP138" s="294" t="e">
        <f t="shared" ref="BP138:BP201" si="183">$BM138/$BQ138</f>
        <v>#N/A</v>
      </c>
      <c r="BQ138" s="292" t="e">
        <f t="shared" si="142"/>
        <v>#N/A</v>
      </c>
      <c r="BR138" s="295" t="e">
        <f t="shared" si="143"/>
        <v>#N/A</v>
      </c>
      <c r="BS138" s="230" t="e">
        <f>VLOOKUP($B138,SDR22_STOCK_BY_LA!$A$2:$C$11679,3,0)</f>
        <v>#N/A</v>
      </c>
      <c r="BT138" s="230" t="str">
        <f t="shared" ref="BT138:BT201" si="184">$B$6&amp;$B138</f>
        <v/>
      </c>
    </row>
    <row r="139" spans="1:72" ht="12.5" x14ac:dyDescent="0.25">
      <c r="A139" s="269" t="str">
        <f t="shared" ref="A139:A202" si="185">IF(AC139=1,A138+1,"")</f>
        <v/>
      </c>
      <c r="B139" s="230" t="str">
        <f t="shared" si="124"/>
        <v/>
      </c>
      <c r="C139" s="270" t="str">
        <f t="shared" si="144"/>
        <v/>
      </c>
      <c r="D139" s="269" t="str">
        <f>IF(B139="","",IF(totals!$Q$3=0,IFERROR(IF(AD139=2,"0",AE139),""),"-"))</f>
        <v/>
      </c>
      <c r="E139" s="271" t="str">
        <f t="shared" si="145"/>
        <v/>
      </c>
      <c r="F139" s="272" t="str">
        <f t="shared" si="146"/>
        <v/>
      </c>
      <c r="G139" s="272" t="str">
        <f t="shared" si="147"/>
        <v/>
      </c>
      <c r="H139" s="269" t="str">
        <f t="shared" si="125"/>
        <v/>
      </c>
      <c r="I139" s="272" t="str">
        <f t="shared" si="148"/>
        <v/>
      </c>
      <c r="J139" s="272" t="str">
        <f t="shared" si="149"/>
        <v/>
      </c>
      <c r="K139" s="269" t="str">
        <f t="shared" si="126"/>
        <v/>
      </c>
      <c r="L139" s="272" t="str">
        <f t="shared" si="127"/>
        <v/>
      </c>
      <c r="M139" s="272" t="str">
        <f t="shared" si="150"/>
        <v/>
      </c>
      <c r="N139" s="269" t="str">
        <f t="shared" si="151"/>
        <v/>
      </c>
      <c r="O139" s="272" t="str">
        <f t="shared" si="152"/>
        <v/>
      </c>
      <c r="P139" s="272" t="str">
        <f t="shared" si="153"/>
        <v/>
      </c>
      <c r="Q139" s="269" t="str">
        <f t="shared" si="154"/>
        <v/>
      </c>
      <c r="R139" s="272" t="str">
        <f t="shared" si="155"/>
        <v/>
      </c>
      <c r="S139" s="272" t="str">
        <f t="shared" si="156"/>
        <v/>
      </c>
      <c r="T139" s="269" t="str">
        <f t="shared" si="157"/>
        <v/>
      </c>
      <c r="U139" s="230"/>
      <c r="V139" s="230"/>
      <c r="AB139" s="270" t="e">
        <f>VLOOKUP($B$6,Lookup_Source,132,0)</f>
        <v>#N/A</v>
      </c>
      <c r="AC139" s="254" t="str">
        <f t="shared" si="158"/>
        <v/>
      </c>
      <c r="AD139" s="255">
        <f t="shared" si="159"/>
        <v>7</v>
      </c>
      <c r="AE139" s="274" t="e">
        <f t="shared" si="128"/>
        <v>#N/A</v>
      </c>
      <c r="AF139" s="277" t="e">
        <f t="shared" si="160"/>
        <v>#N/A</v>
      </c>
      <c r="AG139" s="277" t="e">
        <f t="shared" si="161"/>
        <v>#N/A</v>
      </c>
      <c r="AH139" s="276" t="e">
        <f t="shared" si="129"/>
        <v>#N/A</v>
      </c>
      <c r="AI139" s="239">
        <f t="shared" si="162"/>
        <v>7</v>
      </c>
      <c r="AJ139" s="277" t="e">
        <f t="shared" si="130"/>
        <v>#N/A</v>
      </c>
      <c r="AK139" s="277" t="e">
        <f t="shared" si="163"/>
        <v>#N/A</v>
      </c>
      <c r="AL139" s="239" t="e">
        <f t="shared" si="131"/>
        <v>#N/A</v>
      </c>
      <c r="AM139" s="278" t="e">
        <f t="shared" si="164"/>
        <v>#N/A</v>
      </c>
      <c r="AN139" s="279" t="e">
        <f t="shared" si="132"/>
        <v>#N/A</v>
      </c>
      <c r="AO139" s="240" t="e">
        <f t="shared" si="133"/>
        <v>#N/A</v>
      </c>
      <c r="AP139" s="297">
        <f t="shared" si="165"/>
        <v>7</v>
      </c>
      <c r="AQ139" s="298" t="e">
        <f t="shared" si="134"/>
        <v>#N/A</v>
      </c>
      <c r="AR139" s="279" t="e">
        <f t="shared" si="166"/>
        <v>#N/A</v>
      </c>
      <c r="AS139" s="283" t="e">
        <f t="shared" si="135"/>
        <v>#N/A</v>
      </c>
      <c r="AT139" s="284">
        <f t="shared" si="167"/>
        <v>7</v>
      </c>
      <c r="AU139" s="285" t="e">
        <f t="shared" si="168"/>
        <v>#N/A</v>
      </c>
      <c r="AV139" s="286" t="e">
        <f t="shared" si="169"/>
        <v>#N/A</v>
      </c>
      <c r="AW139" s="287" t="e">
        <f t="shared" si="136"/>
        <v>#N/A</v>
      </c>
      <c r="AX139" s="245">
        <f t="shared" si="170"/>
        <v>7</v>
      </c>
      <c r="AY139" s="286" t="e">
        <f t="shared" si="137"/>
        <v>#N/A</v>
      </c>
      <c r="AZ139" s="245" t="e">
        <f t="shared" si="171"/>
        <v>#N/A</v>
      </c>
      <c r="BA139" s="245" t="e">
        <f t="shared" si="138"/>
        <v>#N/A</v>
      </c>
      <c r="BB139" s="288">
        <f t="shared" si="172"/>
        <v>7</v>
      </c>
      <c r="BC139" s="289" t="e">
        <f t="shared" si="173"/>
        <v>#N/A</v>
      </c>
      <c r="BD139" s="290" t="e">
        <f t="shared" si="174"/>
        <v>#N/A</v>
      </c>
      <c r="BE139" s="263" t="e">
        <f t="shared" si="139"/>
        <v>#N/A</v>
      </c>
      <c r="BF139" s="260">
        <f t="shared" si="175"/>
        <v>7</v>
      </c>
      <c r="BG139" s="289" t="e">
        <f t="shared" si="176"/>
        <v>#N/A</v>
      </c>
      <c r="BH139" s="290" t="e">
        <f t="shared" si="177"/>
        <v>#N/A</v>
      </c>
      <c r="BI139" s="263" t="e">
        <f t="shared" si="140"/>
        <v>#N/A</v>
      </c>
      <c r="BJ139" s="264">
        <f t="shared" si="178"/>
        <v>7</v>
      </c>
      <c r="BK139" s="291" t="e">
        <f t="shared" si="179"/>
        <v>#N/A</v>
      </c>
      <c r="BL139" s="291" t="e">
        <f t="shared" si="180"/>
        <v>#N/A</v>
      </c>
      <c r="BM139" s="292" t="e">
        <f t="shared" si="141"/>
        <v>#N/A</v>
      </c>
      <c r="BN139" s="293">
        <f t="shared" si="181"/>
        <v>7</v>
      </c>
      <c r="BO139" s="294" t="e">
        <f t="shared" si="182"/>
        <v>#N/A</v>
      </c>
      <c r="BP139" s="294" t="e">
        <f t="shared" si="183"/>
        <v>#N/A</v>
      </c>
      <c r="BQ139" s="292" t="e">
        <f t="shared" si="142"/>
        <v>#N/A</v>
      </c>
      <c r="BR139" s="295" t="e">
        <f t="shared" si="143"/>
        <v>#N/A</v>
      </c>
      <c r="BS139" s="230" t="e">
        <f>VLOOKUP($B139,SDR22_STOCK_BY_LA!$A$2:$C$11679,3,0)</f>
        <v>#N/A</v>
      </c>
      <c r="BT139" s="230" t="str">
        <f t="shared" si="184"/>
        <v/>
      </c>
    </row>
    <row r="140" spans="1:72" ht="12.5" x14ac:dyDescent="0.25">
      <c r="A140" s="230" t="str">
        <f t="shared" si="185"/>
        <v/>
      </c>
      <c r="B140" s="230" t="str">
        <f t="shared" si="124"/>
        <v/>
      </c>
      <c r="C140" s="296" t="str">
        <f t="shared" si="144"/>
        <v/>
      </c>
      <c r="D140" s="269" t="str">
        <f>IF(B140="","",IF(totals!$Q$3=0,IFERROR(IF(AD140=2,"0",AE140),""),"-"))</f>
        <v/>
      </c>
      <c r="E140" s="271" t="str">
        <f t="shared" si="145"/>
        <v/>
      </c>
      <c r="F140" s="272" t="str">
        <f t="shared" si="146"/>
        <v/>
      </c>
      <c r="G140" s="272" t="str">
        <f t="shared" si="147"/>
        <v/>
      </c>
      <c r="H140" s="269" t="str">
        <f t="shared" si="125"/>
        <v/>
      </c>
      <c r="I140" s="272" t="str">
        <f t="shared" si="148"/>
        <v/>
      </c>
      <c r="J140" s="272" t="str">
        <f t="shared" si="149"/>
        <v/>
      </c>
      <c r="K140" s="269" t="str">
        <f t="shared" si="126"/>
        <v/>
      </c>
      <c r="L140" s="272" t="str">
        <f t="shared" si="127"/>
        <v/>
      </c>
      <c r="M140" s="272" t="str">
        <f t="shared" si="150"/>
        <v/>
      </c>
      <c r="N140" s="269" t="str">
        <f t="shared" si="151"/>
        <v/>
      </c>
      <c r="O140" s="272" t="str">
        <f t="shared" si="152"/>
        <v/>
      </c>
      <c r="P140" s="272" t="str">
        <f t="shared" si="153"/>
        <v/>
      </c>
      <c r="Q140" s="269" t="str">
        <f t="shared" si="154"/>
        <v/>
      </c>
      <c r="R140" s="272" t="str">
        <f t="shared" si="155"/>
        <v/>
      </c>
      <c r="S140" s="272" t="str">
        <f t="shared" si="156"/>
        <v/>
      </c>
      <c r="T140" s="269" t="str">
        <f t="shared" si="157"/>
        <v/>
      </c>
      <c r="U140" s="230"/>
      <c r="V140" s="230"/>
      <c r="AB140" s="230" t="e">
        <f>VLOOKUP($B$6,Lookup_Source,133,0)</f>
        <v>#N/A</v>
      </c>
      <c r="AC140" s="254" t="str">
        <f t="shared" si="158"/>
        <v/>
      </c>
      <c r="AD140" s="255">
        <f t="shared" si="159"/>
        <v>7</v>
      </c>
      <c r="AE140" s="274" t="e">
        <f t="shared" si="128"/>
        <v>#N/A</v>
      </c>
      <c r="AF140" s="277" t="e">
        <f t="shared" si="160"/>
        <v>#N/A</v>
      </c>
      <c r="AG140" s="277" t="e">
        <f t="shared" si="161"/>
        <v>#N/A</v>
      </c>
      <c r="AH140" s="276" t="e">
        <f t="shared" si="129"/>
        <v>#N/A</v>
      </c>
      <c r="AI140" s="239">
        <f t="shared" si="162"/>
        <v>7</v>
      </c>
      <c r="AJ140" s="277" t="e">
        <f t="shared" si="130"/>
        <v>#N/A</v>
      </c>
      <c r="AK140" s="277" t="e">
        <f t="shared" si="163"/>
        <v>#N/A</v>
      </c>
      <c r="AL140" s="239" t="e">
        <f t="shared" si="131"/>
        <v>#N/A</v>
      </c>
      <c r="AM140" s="278" t="e">
        <f t="shared" si="164"/>
        <v>#N/A</v>
      </c>
      <c r="AN140" s="279" t="e">
        <f t="shared" si="132"/>
        <v>#N/A</v>
      </c>
      <c r="AO140" s="240" t="e">
        <f t="shared" si="133"/>
        <v>#N/A</v>
      </c>
      <c r="AP140" s="297">
        <f t="shared" si="165"/>
        <v>7</v>
      </c>
      <c r="AQ140" s="298" t="e">
        <f t="shared" si="134"/>
        <v>#N/A</v>
      </c>
      <c r="AR140" s="279" t="e">
        <f t="shared" si="166"/>
        <v>#N/A</v>
      </c>
      <c r="AS140" s="283" t="e">
        <f t="shared" si="135"/>
        <v>#N/A</v>
      </c>
      <c r="AT140" s="284">
        <f t="shared" si="167"/>
        <v>7</v>
      </c>
      <c r="AU140" s="285" t="e">
        <f t="shared" si="168"/>
        <v>#N/A</v>
      </c>
      <c r="AV140" s="286" t="e">
        <f t="shared" si="169"/>
        <v>#N/A</v>
      </c>
      <c r="AW140" s="287" t="e">
        <f t="shared" si="136"/>
        <v>#N/A</v>
      </c>
      <c r="AX140" s="245">
        <f t="shared" si="170"/>
        <v>7</v>
      </c>
      <c r="AY140" s="286" t="e">
        <f t="shared" si="137"/>
        <v>#N/A</v>
      </c>
      <c r="AZ140" s="245" t="e">
        <f t="shared" si="171"/>
        <v>#N/A</v>
      </c>
      <c r="BA140" s="245" t="e">
        <f t="shared" si="138"/>
        <v>#N/A</v>
      </c>
      <c r="BB140" s="288">
        <f t="shared" si="172"/>
        <v>7</v>
      </c>
      <c r="BC140" s="289" t="e">
        <f t="shared" si="173"/>
        <v>#N/A</v>
      </c>
      <c r="BD140" s="290" t="e">
        <f t="shared" si="174"/>
        <v>#N/A</v>
      </c>
      <c r="BE140" s="263" t="e">
        <f t="shared" si="139"/>
        <v>#N/A</v>
      </c>
      <c r="BF140" s="260">
        <f t="shared" si="175"/>
        <v>7</v>
      </c>
      <c r="BG140" s="289" t="e">
        <f t="shared" si="176"/>
        <v>#N/A</v>
      </c>
      <c r="BH140" s="290" t="e">
        <f t="shared" si="177"/>
        <v>#N/A</v>
      </c>
      <c r="BI140" s="263" t="e">
        <f t="shared" si="140"/>
        <v>#N/A</v>
      </c>
      <c r="BJ140" s="264">
        <f t="shared" si="178"/>
        <v>7</v>
      </c>
      <c r="BK140" s="291" t="e">
        <f t="shared" si="179"/>
        <v>#N/A</v>
      </c>
      <c r="BL140" s="291" t="e">
        <f t="shared" si="180"/>
        <v>#N/A</v>
      </c>
      <c r="BM140" s="292" t="e">
        <f t="shared" si="141"/>
        <v>#N/A</v>
      </c>
      <c r="BN140" s="293">
        <f t="shared" si="181"/>
        <v>7</v>
      </c>
      <c r="BO140" s="294" t="e">
        <f t="shared" si="182"/>
        <v>#N/A</v>
      </c>
      <c r="BP140" s="294" t="e">
        <f t="shared" si="183"/>
        <v>#N/A</v>
      </c>
      <c r="BQ140" s="292" t="e">
        <f t="shared" si="142"/>
        <v>#N/A</v>
      </c>
      <c r="BR140" s="295" t="e">
        <f t="shared" si="143"/>
        <v>#N/A</v>
      </c>
      <c r="BS140" s="230" t="e">
        <f>VLOOKUP($B140,SDR22_STOCK_BY_LA!$A$2:$C$11679,3,0)</f>
        <v>#N/A</v>
      </c>
      <c r="BT140" s="230" t="str">
        <f t="shared" si="184"/>
        <v/>
      </c>
    </row>
    <row r="141" spans="1:72" ht="12.5" x14ac:dyDescent="0.25">
      <c r="A141" s="269" t="str">
        <f t="shared" si="185"/>
        <v/>
      </c>
      <c r="B141" s="230" t="str">
        <f t="shared" ref="B141:B204" si="186">IFERROR(IF(AB141=0,"",AB141),"")</f>
        <v/>
      </c>
      <c r="C141" s="270" t="str">
        <f t="shared" si="144"/>
        <v/>
      </c>
      <c r="D141" s="269" t="str">
        <f>IF(B141="","",IF(totals!$Q$3=0,IFERROR(IF(AD141=2,"0",AE141),""),"-"))</f>
        <v/>
      </c>
      <c r="E141" s="271" t="str">
        <f t="shared" si="145"/>
        <v/>
      </c>
      <c r="F141" s="272" t="str">
        <f t="shared" si="146"/>
        <v/>
      </c>
      <c r="G141" s="272" t="str">
        <f t="shared" si="147"/>
        <v/>
      </c>
      <c r="H141" s="269" t="str">
        <f t="shared" si="125"/>
        <v/>
      </c>
      <c r="I141" s="272" t="str">
        <f t="shared" si="148"/>
        <v/>
      </c>
      <c r="J141" s="272" t="str">
        <f t="shared" si="149"/>
        <v/>
      </c>
      <c r="K141" s="269" t="str">
        <f t="shared" si="126"/>
        <v/>
      </c>
      <c r="L141" s="272" t="str">
        <f t="shared" si="127"/>
        <v/>
      </c>
      <c r="M141" s="272" t="str">
        <f t="shared" si="150"/>
        <v/>
      </c>
      <c r="N141" s="269" t="str">
        <f t="shared" si="151"/>
        <v/>
      </c>
      <c r="O141" s="272" t="str">
        <f t="shared" si="152"/>
        <v/>
      </c>
      <c r="P141" s="272" t="str">
        <f t="shared" si="153"/>
        <v/>
      </c>
      <c r="Q141" s="269" t="str">
        <f t="shared" si="154"/>
        <v/>
      </c>
      <c r="R141" s="272" t="str">
        <f t="shared" si="155"/>
        <v/>
      </c>
      <c r="S141" s="272" t="str">
        <f t="shared" si="156"/>
        <v/>
      </c>
      <c r="T141" s="269" t="str">
        <f t="shared" si="157"/>
        <v/>
      </c>
      <c r="U141" s="230"/>
      <c r="V141" s="230"/>
      <c r="AB141" s="270" t="e">
        <f>VLOOKUP($B$6,Lookup_Source,134,0)</f>
        <v>#N/A</v>
      </c>
      <c r="AC141" s="254" t="str">
        <f t="shared" si="158"/>
        <v/>
      </c>
      <c r="AD141" s="255">
        <f t="shared" si="159"/>
        <v>7</v>
      </c>
      <c r="AE141" s="274" t="e">
        <f t="shared" si="128"/>
        <v>#N/A</v>
      </c>
      <c r="AF141" s="277" t="e">
        <f t="shared" si="160"/>
        <v>#N/A</v>
      </c>
      <c r="AG141" s="277" t="e">
        <f t="shared" si="161"/>
        <v>#N/A</v>
      </c>
      <c r="AH141" s="276" t="e">
        <f t="shared" si="129"/>
        <v>#N/A</v>
      </c>
      <c r="AI141" s="239">
        <f t="shared" si="162"/>
        <v>7</v>
      </c>
      <c r="AJ141" s="277" t="e">
        <f t="shared" si="130"/>
        <v>#N/A</v>
      </c>
      <c r="AK141" s="277" t="e">
        <f t="shared" si="163"/>
        <v>#N/A</v>
      </c>
      <c r="AL141" s="239" t="e">
        <f t="shared" si="131"/>
        <v>#N/A</v>
      </c>
      <c r="AM141" s="278" t="e">
        <f t="shared" si="164"/>
        <v>#N/A</v>
      </c>
      <c r="AN141" s="279" t="e">
        <f t="shared" si="132"/>
        <v>#N/A</v>
      </c>
      <c r="AO141" s="240" t="e">
        <f t="shared" si="133"/>
        <v>#N/A</v>
      </c>
      <c r="AP141" s="297">
        <f t="shared" si="165"/>
        <v>7</v>
      </c>
      <c r="AQ141" s="298" t="e">
        <f t="shared" si="134"/>
        <v>#N/A</v>
      </c>
      <c r="AR141" s="279" t="e">
        <f t="shared" si="166"/>
        <v>#N/A</v>
      </c>
      <c r="AS141" s="283" t="e">
        <f t="shared" si="135"/>
        <v>#N/A</v>
      </c>
      <c r="AT141" s="284">
        <f t="shared" si="167"/>
        <v>7</v>
      </c>
      <c r="AU141" s="285" t="e">
        <f t="shared" si="168"/>
        <v>#N/A</v>
      </c>
      <c r="AV141" s="286" t="e">
        <f t="shared" si="169"/>
        <v>#N/A</v>
      </c>
      <c r="AW141" s="287" t="e">
        <f t="shared" si="136"/>
        <v>#N/A</v>
      </c>
      <c r="AX141" s="245">
        <f t="shared" si="170"/>
        <v>7</v>
      </c>
      <c r="AY141" s="286" t="e">
        <f t="shared" si="137"/>
        <v>#N/A</v>
      </c>
      <c r="AZ141" s="245" t="e">
        <f t="shared" si="171"/>
        <v>#N/A</v>
      </c>
      <c r="BA141" s="245" t="e">
        <f t="shared" si="138"/>
        <v>#N/A</v>
      </c>
      <c r="BB141" s="288">
        <f t="shared" si="172"/>
        <v>7</v>
      </c>
      <c r="BC141" s="289" t="e">
        <f t="shared" si="173"/>
        <v>#N/A</v>
      </c>
      <c r="BD141" s="290" t="e">
        <f t="shared" si="174"/>
        <v>#N/A</v>
      </c>
      <c r="BE141" s="263" t="e">
        <f t="shared" si="139"/>
        <v>#N/A</v>
      </c>
      <c r="BF141" s="260">
        <f t="shared" si="175"/>
        <v>7</v>
      </c>
      <c r="BG141" s="289" t="e">
        <f t="shared" si="176"/>
        <v>#N/A</v>
      </c>
      <c r="BH141" s="290" t="e">
        <f t="shared" si="177"/>
        <v>#N/A</v>
      </c>
      <c r="BI141" s="263" t="e">
        <f t="shared" si="140"/>
        <v>#N/A</v>
      </c>
      <c r="BJ141" s="264">
        <f t="shared" si="178"/>
        <v>7</v>
      </c>
      <c r="BK141" s="291" t="e">
        <f t="shared" si="179"/>
        <v>#N/A</v>
      </c>
      <c r="BL141" s="291" t="e">
        <f t="shared" si="180"/>
        <v>#N/A</v>
      </c>
      <c r="BM141" s="292" t="e">
        <f t="shared" si="141"/>
        <v>#N/A</v>
      </c>
      <c r="BN141" s="293">
        <f t="shared" si="181"/>
        <v>7</v>
      </c>
      <c r="BO141" s="294" t="e">
        <f t="shared" si="182"/>
        <v>#N/A</v>
      </c>
      <c r="BP141" s="294" t="e">
        <f t="shared" si="183"/>
        <v>#N/A</v>
      </c>
      <c r="BQ141" s="292" t="e">
        <f t="shared" si="142"/>
        <v>#N/A</v>
      </c>
      <c r="BR141" s="295" t="e">
        <f t="shared" si="143"/>
        <v>#N/A</v>
      </c>
      <c r="BS141" s="230" t="e">
        <f>VLOOKUP($B141,SDR22_STOCK_BY_LA!$A$2:$C$11679,3,0)</f>
        <v>#N/A</v>
      </c>
      <c r="BT141" s="230" t="str">
        <f t="shared" si="184"/>
        <v/>
      </c>
    </row>
    <row r="142" spans="1:72" ht="12.5" x14ac:dyDescent="0.25">
      <c r="A142" s="230" t="str">
        <f t="shared" si="185"/>
        <v/>
      </c>
      <c r="B142" s="230" t="str">
        <f t="shared" si="186"/>
        <v/>
      </c>
      <c r="C142" s="296" t="str">
        <f t="shared" si="144"/>
        <v/>
      </c>
      <c r="D142" s="269" t="str">
        <f>IF(B142="","",IF(totals!$Q$3=0,IFERROR(IF(AD142=2,"0",AE142),""),"-"))</f>
        <v/>
      </c>
      <c r="E142" s="271" t="str">
        <f t="shared" si="145"/>
        <v/>
      </c>
      <c r="F142" s="272" t="str">
        <f t="shared" si="146"/>
        <v/>
      </c>
      <c r="G142" s="272" t="str">
        <f t="shared" si="147"/>
        <v/>
      </c>
      <c r="H142" s="269" t="str">
        <f t="shared" si="125"/>
        <v/>
      </c>
      <c r="I142" s="272" t="str">
        <f t="shared" si="148"/>
        <v/>
      </c>
      <c r="J142" s="272" t="str">
        <f t="shared" si="149"/>
        <v/>
      </c>
      <c r="K142" s="269" t="str">
        <f t="shared" si="126"/>
        <v/>
      </c>
      <c r="L142" s="272" t="str">
        <f t="shared" si="127"/>
        <v/>
      </c>
      <c r="M142" s="272" t="str">
        <f t="shared" si="150"/>
        <v/>
      </c>
      <c r="N142" s="269" t="str">
        <f t="shared" si="151"/>
        <v/>
      </c>
      <c r="O142" s="272" t="str">
        <f t="shared" si="152"/>
        <v/>
      </c>
      <c r="P142" s="272" t="str">
        <f t="shared" si="153"/>
        <v/>
      </c>
      <c r="Q142" s="269" t="str">
        <f t="shared" si="154"/>
        <v/>
      </c>
      <c r="R142" s="272" t="str">
        <f t="shared" si="155"/>
        <v/>
      </c>
      <c r="S142" s="272" t="str">
        <f t="shared" si="156"/>
        <v/>
      </c>
      <c r="T142" s="269" t="str">
        <f t="shared" si="157"/>
        <v/>
      </c>
      <c r="U142" s="230"/>
      <c r="V142" s="230"/>
      <c r="AB142" s="230" t="e">
        <f>VLOOKUP($B$6,Lookup_Source,135,0)</f>
        <v>#N/A</v>
      </c>
      <c r="AC142" s="254" t="str">
        <f t="shared" si="158"/>
        <v/>
      </c>
      <c r="AD142" s="255">
        <f t="shared" si="159"/>
        <v>7</v>
      </c>
      <c r="AE142" s="274" t="e">
        <f t="shared" si="128"/>
        <v>#N/A</v>
      </c>
      <c r="AF142" s="277" t="e">
        <f t="shared" si="160"/>
        <v>#N/A</v>
      </c>
      <c r="AG142" s="277" t="e">
        <f t="shared" si="161"/>
        <v>#N/A</v>
      </c>
      <c r="AH142" s="276" t="e">
        <f t="shared" si="129"/>
        <v>#N/A</v>
      </c>
      <c r="AI142" s="239">
        <f t="shared" si="162"/>
        <v>7</v>
      </c>
      <c r="AJ142" s="277" t="e">
        <f t="shared" si="130"/>
        <v>#N/A</v>
      </c>
      <c r="AK142" s="277" t="e">
        <f t="shared" si="163"/>
        <v>#N/A</v>
      </c>
      <c r="AL142" s="239" t="e">
        <f t="shared" si="131"/>
        <v>#N/A</v>
      </c>
      <c r="AM142" s="278" t="e">
        <f t="shared" si="164"/>
        <v>#N/A</v>
      </c>
      <c r="AN142" s="279" t="e">
        <f t="shared" si="132"/>
        <v>#N/A</v>
      </c>
      <c r="AO142" s="240" t="e">
        <f t="shared" si="133"/>
        <v>#N/A</v>
      </c>
      <c r="AP142" s="297">
        <f t="shared" si="165"/>
        <v>7</v>
      </c>
      <c r="AQ142" s="298" t="e">
        <f t="shared" si="134"/>
        <v>#N/A</v>
      </c>
      <c r="AR142" s="279" t="e">
        <f t="shared" si="166"/>
        <v>#N/A</v>
      </c>
      <c r="AS142" s="283" t="e">
        <f t="shared" si="135"/>
        <v>#N/A</v>
      </c>
      <c r="AT142" s="284">
        <f t="shared" si="167"/>
        <v>7</v>
      </c>
      <c r="AU142" s="285" t="e">
        <f t="shared" si="168"/>
        <v>#N/A</v>
      </c>
      <c r="AV142" s="286" t="e">
        <f t="shared" si="169"/>
        <v>#N/A</v>
      </c>
      <c r="AW142" s="287" t="e">
        <f t="shared" si="136"/>
        <v>#N/A</v>
      </c>
      <c r="AX142" s="245">
        <f t="shared" si="170"/>
        <v>7</v>
      </c>
      <c r="AY142" s="286" t="e">
        <f t="shared" si="137"/>
        <v>#N/A</v>
      </c>
      <c r="AZ142" s="245" t="e">
        <f t="shared" si="171"/>
        <v>#N/A</v>
      </c>
      <c r="BA142" s="245" t="e">
        <f t="shared" si="138"/>
        <v>#N/A</v>
      </c>
      <c r="BB142" s="288">
        <f t="shared" si="172"/>
        <v>7</v>
      </c>
      <c r="BC142" s="289" t="e">
        <f t="shared" si="173"/>
        <v>#N/A</v>
      </c>
      <c r="BD142" s="290" t="e">
        <f t="shared" si="174"/>
        <v>#N/A</v>
      </c>
      <c r="BE142" s="263" t="e">
        <f t="shared" si="139"/>
        <v>#N/A</v>
      </c>
      <c r="BF142" s="260">
        <f t="shared" si="175"/>
        <v>7</v>
      </c>
      <c r="BG142" s="289" t="e">
        <f t="shared" si="176"/>
        <v>#N/A</v>
      </c>
      <c r="BH142" s="290" t="e">
        <f t="shared" si="177"/>
        <v>#N/A</v>
      </c>
      <c r="BI142" s="263" t="e">
        <f t="shared" si="140"/>
        <v>#N/A</v>
      </c>
      <c r="BJ142" s="264">
        <f t="shared" si="178"/>
        <v>7</v>
      </c>
      <c r="BK142" s="291" t="e">
        <f t="shared" si="179"/>
        <v>#N/A</v>
      </c>
      <c r="BL142" s="291" t="e">
        <f t="shared" si="180"/>
        <v>#N/A</v>
      </c>
      <c r="BM142" s="292" t="e">
        <f t="shared" si="141"/>
        <v>#N/A</v>
      </c>
      <c r="BN142" s="293">
        <f t="shared" si="181"/>
        <v>7</v>
      </c>
      <c r="BO142" s="294" t="e">
        <f t="shared" si="182"/>
        <v>#N/A</v>
      </c>
      <c r="BP142" s="294" t="e">
        <f t="shared" si="183"/>
        <v>#N/A</v>
      </c>
      <c r="BQ142" s="292" t="e">
        <f t="shared" si="142"/>
        <v>#N/A</v>
      </c>
      <c r="BR142" s="295" t="e">
        <f t="shared" si="143"/>
        <v>#N/A</v>
      </c>
      <c r="BS142" s="230" t="e">
        <f>VLOOKUP($B142,SDR22_STOCK_BY_LA!$A$2:$C$11679,3,0)</f>
        <v>#N/A</v>
      </c>
      <c r="BT142" s="230" t="str">
        <f t="shared" si="184"/>
        <v/>
      </c>
    </row>
    <row r="143" spans="1:72" ht="12.5" x14ac:dyDescent="0.25">
      <c r="A143" s="269" t="str">
        <f t="shared" si="185"/>
        <v/>
      </c>
      <c r="B143" s="230" t="str">
        <f t="shared" si="186"/>
        <v/>
      </c>
      <c r="C143" s="270" t="str">
        <f t="shared" si="144"/>
        <v/>
      </c>
      <c r="D143" s="269" t="str">
        <f>IF(B143="","",IF(totals!$Q$3=0,IFERROR(IF(AD143=2,"0",AE143),""),"-"))</f>
        <v/>
      </c>
      <c r="E143" s="271" t="str">
        <f t="shared" si="145"/>
        <v/>
      </c>
      <c r="F143" s="272" t="str">
        <f t="shared" si="146"/>
        <v/>
      </c>
      <c r="G143" s="272" t="str">
        <f t="shared" si="147"/>
        <v/>
      </c>
      <c r="H143" s="269" t="str">
        <f t="shared" si="125"/>
        <v/>
      </c>
      <c r="I143" s="272" t="str">
        <f t="shared" si="148"/>
        <v/>
      </c>
      <c r="J143" s="272" t="str">
        <f t="shared" si="149"/>
        <v/>
      </c>
      <c r="K143" s="269" t="str">
        <f t="shared" si="126"/>
        <v/>
      </c>
      <c r="L143" s="272" t="str">
        <f t="shared" si="127"/>
        <v/>
      </c>
      <c r="M143" s="272" t="str">
        <f t="shared" si="150"/>
        <v/>
      </c>
      <c r="N143" s="269" t="str">
        <f t="shared" si="151"/>
        <v/>
      </c>
      <c r="O143" s="272" t="str">
        <f t="shared" si="152"/>
        <v/>
      </c>
      <c r="P143" s="272" t="str">
        <f t="shared" si="153"/>
        <v/>
      </c>
      <c r="Q143" s="269" t="str">
        <f t="shared" si="154"/>
        <v/>
      </c>
      <c r="R143" s="272" t="str">
        <f t="shared" si="155"/>
        <v/>
      </c>
      <c r="S143" s="272" t="str">
        <f t="shared" si="156"/>
        <v/>
      </c>
      <c r="T143" s="269" t="str">
        <f t="shared" si="157"/>
        <v/>
      </c>
      <c r="U143" s="230"/>
      <c r="V143" s="230"/>
      <c r="AB143" s="270" t="e">
        <f>VLOOKUP($B$6,Lookup_Source,136,0)</f>
        <v>#N/A</v>
      </c>
      <c r="AC143" s="254" t="str">
        <f t="shared" si="158"/>
        <v/>
      </c>
      <c r="AD143" s="255">
        <f t="shared" si="159"/>
        <v>7</v>
      </c>
      <c r="AE143" s="274" t="e">
        <f t="shared" si="128"/>
        <v>#N/A</v>
      </c>
      <c r="AF143" s="277" t="e">
        <f t="shared" si="160"/>
        <v>#N/A</v>
      </c>
      <c r="AG143" s="277" t="e">
        <f t="shared" si="161"/>
        <v>#N/A</v>
      </c>
      <c r="AH143" s="276" t="e">
        <f t="shared" si="129"/>
        <v>#N/A</v>
      </c>
      <c r="AI143" s="239">
        <f t="shared" si="162"/>
        <v>7</v>
      </c>
      <c r="AJ143" s="277" t="e">
        <f t="shared" si="130"/>
        <v>#N/A</v>
      </c>
      <c r="AK143" s="277" t="e">
        <f t="shared" si="163"/>
        <v>#N/A</v>
      </c>
      <c r="AL143" s="239" t="e">
        <f t="shared" si="131"/>
        <v>#N/A</v>
      </c>
      <c r="AM143" s="278" t="e">
        <f t="shared" si="164"/>
        <v>#N/A</v>
      </c>
      <c r="AN143" s="279" t="e">
        <f t="shared" si="132"/>
        <v>#N/A</v>
      </c>
      <c r="AO143" s="240" t="e">
        <f t="shared" si="133"/>
        <v>#N/A</v>
      </c>
      <c r="AP143" s="297">
        <f t="shared" si="165"/>
        <v>7</v>
      </c>
      <c r="AQ143" s="298" t="e">
        <f t="shared" si="134"/>
        <v>#N/A</v>
      </c>
      <c r="AR143" s="279" t="e">
        <f t="shared" si="166"/>
        <v>#N/A</v>
      </c>
      <c r="AS143" s="283" t="e">
        <f t="shared" si="135"/>
        <v>#N/A</v>
      </c>
      <c r="AT143" s="284">
        <f t="shared" si="167"/>
        <v>7</v>
      </c>
      <c r="AU143" s="285" t="e">
        <f t="shared" si="168"/>
        <v>#N/A</v>
      </c>
      <c r="AV143" s="286" t="e">
        <f t="shared" si="169"/>
        <v>#N/A</v>
      </c>
      <c r="AW143" s="287" t="e">
        <f t="shared" si="136"/>
        <v>#N/A</v>
      </c>
      <c r="AX143" s="245">
        <f t="shared" si="170"/>
        <v>7</v>
      </c>
      <c r="AY143" s="286" t="e">
        <f t="shared" si="137"/>
        <v>#N/A</v>
      </c>
      <c r="AZ143" s="245" t="e">
        <f t="shared" si="171"/>
        <v>#N/A</v>
      </c>
      <c r="BA143" s="245" t="e">
        <f t="shared" si="138"/>
        <v>#N/A</v>
      </c>
      <c r="BB143" s="288">
        <f t="shared" si="172"/>
        <v>7</v>
      </c>
      <c r="BC143" s="289" t="e">
        <f t="shared" si="173"/>
        <v>#N/A</v>
      </c>
      <c r="BD143" s="290" t="e">
        <f t="shared" si="174"/>
        <v>#N/A</v>
      </c>
      <c r="BE143" s="263" t="e">
        <f t="shared" si="139"/>
        <v>#N/A</v>
      </c>
      <c r="BF143" s="260">
        <f t="shared" si="175"/>
        <v>7</v>
      </c>
      <c r="BG143" s="289" t="e">
        <f t="shared" si="176"/>
        <v>#N/A</v>
      </c>
      <c r="BH143" s="290" t="e">
        <f t="shared" si="177"/>
        <v>#N/A</v>
      </c>
      <c r="BI143" s="263" t="e">
        <f t="shared" si="140"/>
        <v>#N/A</v>
      </c>
      <c r="BJ143" s="264">
        <f t="shared" si="178"/>
        <v>7</v>
      </c>
      <c r="BK143" s="291" t="e">
        <f t="shared" si="179"/>
        <v>#N/A</v>
      </c>
      <c r="BL143" s="291" t="e">
        <f t="shared" si="180"/>
        <v>#N/A</v>
      </c>
      <c r="BM143" s="292" t="e">
        <f t="shared" si="141"/>
        <v>#N/A</v>
      </c>
      <c r="BN143" s="293">
        <f t="shared" si="181"/>
        <v>7</v>
      </c>
      <c r="BO143" s="294" t="e">
        <f t="shared" si="182"/>
        <v>#N/A</v>
      </c>
      <c r="BP143" s="294" t="e">
        <f t="shared" si="183"/>
        <v>#N/A</v>
      </c>
      <c r="BQ143" s="292" t="e">
        <f t="shared" si="142"/>
        <v>#N/A</v>
      </c>
      <c r="BR143" s="295" t="e">
        <f t="shared" si="143"/>
        <v>#N/A</v>
      </c>
      <c r="BS143" s="230" t="e">
        <f>VLOOKUP($B143,SDR22_STOCK_BY_LA!$A$2:$C$11679,3,0)</f>
        <v>#N/A</v>
      </c>
      <c r="BT143" s="230" t="str">
        <f t="shared" si="184"/>
        <v/>
      </c>
    </row>
    <row r="144" spans="1:72" ht="12.5" x14ac:dyDescent="0.25">
      <c r="A144" s="230" t="str">
        <f t="shared" si="185"/>
        <v/>
      </c>
      <c r="B144" s="230" t="str">
        <f t="shared" si="186"/>
        <v/>
      </c>
      <c r="C144" s="296" t="str">
        <f t="shared" si="144"/>
        <v/>
      </c>
      <c r="D144" s="269" t="str">
        <f>IF(B144="","",IF(totals!$Q$3=0,IFERROR(IF(AD144=2,"0",AE144),""),"-"))</f>
        <v/>
      </c>
      <c r="E144" s="271" t="str">
        <f t="shared" si="145"/>
        <v/>
      </c>
      <c r="F144" s="272" t="str">
        <f t="shared" si="146"/>
        <v/>
      </c>
      <c r="G144" s="272" t="str">
        <f t="shared" si="147"/>
        <v/>
      </c>
      <c r="H144" s="269" t="str">
        <f t="shared" si="125"/>
        <v/>
      </c>
      <c r="I144" s="272" t="str">
        <f t="shared" si="148"/>
        <v/>
      </c>
      <c r="J144" s="272" t="str">
        <f t="shared" si="149"/>
        <v/>
      </c>
      <c r="K144" s="269" t="str">
        <f t="shared" si="126"/>
        <v/>
      </c>
      <c r="L144" s="272" t="str">
        <f t="shared" si="127"/>
        <v/>
      </c>
      <c r="M144" s="272" t="str">
        <f t="shared" si="150"/>
        <v/>
      </c>
      <c r="N144" s="269" t="str">
        <f t="shared" si="151"/>
        <v/>
      </c>
      <c r="O144" s="272" t="str">
        <f t="shared" si="152"/>
        <v/>
      </c>
      <c r="P144" s="272" t="str">
        <f t="shared" si="153"/>
        <v/>
      </c>
      <c r="Q144" s="269" t="str">
        <f t="shared" si="154"/>
        <v/>
      </c>
      <c r="R144" s="272" t="str">
        <f t="shared" si="155"/>
        <v/>
      </c>
      <c r="S144" s="272" t="str">
        <f t="shared" si="156"/>
        <v/>
      </c>
      <c r="T144" s="269" t="str">
        <f t="shared" si="157"/>
        <v/>
      </c>
      <c r="U144" s="230"/>
      <c r="V144" s="230"/>
      <c r="AB144" s="230" t="e">
        <f>VLOOKUP($B$6,Lookup_Source,137,0)</f>
        <v>#N/A</v>
      </c>
      <c r="AC144" s="254" t="str">
        <f t="shared" si="158"/>
        <v/>
      </c>
      <c r="AD144" s="255">
        <f t="shared" si="159"/>
        <v>7</v>
      </c>
      <c r="AE144" s="274" t="e">
        <f t="shared" si="128"/>
        <v>#N/A</v>
      </c>
      <c r="AF144" s="277" t="e">
        <f t="shared" si="160"/>
        <v>#N/A</v>
      </c>
      <c r="AG144" s="277" t="e">
        <f t="shared" si="161"/>
        <v>#N/A</v>
      </c>
      <c r="AH144" s="276" t="e">
        <f t="shared" si="129"/>
        <v>#N/A</v>
      </c>
      <c r="AI144" s="239">
        <f t="shared" si="162"/>
        <v>7</v>
      </c>
      <c r="AJ144" s="277" t="e">
        <f t="shared" si="130"/>
        <v>#N/A</v>
      </c>
      <c r="AK144" s="277" t="e">
        <f t="shared" si="163"/>
        <v>#N/A</v>
      </c>
      <c r="AL144" s="239" t="e">
        <f t="shared" si="131"/>
        <v>#N/A</v>
      </c>
      <c r="AM144" s="278" t="e">
        <f t="shared" si="164"/>
        <v>#N/A</v>
      </c>
      <c r="AN144" s="279" t="e">
        <f t="shared" si="132"/>
        <v>#N/A</v>
      </c>
      <c r="AO144" s="240" t="e">
        <f t="shared" si="133"/>
        <v>#N/A</v>
      </c>
      <c r="AP144" s="297">
        <f t="shared" si="165"/>
        <v>7</v>
      </c>
      <c r="AQ144" s="298" t="e">
        <f t="shared" si="134"/>
        <v>#N/A</v>
      </c>
      <c r="AR144" s="279" t="e">
        <f t="shared" si="166"/>
        <v>#N/A</v>
      </c>
      <c r="AS144" s="283" t="e">
        <f t="shared" si="135"/>
        <v>#N/A</v>
      </c>
      <c r="AT144" s="284">
        <f t="shared" si="167"/>
        <v>7</v>
      </c>
      <c r="AU144" s="285" t="e">
        <f t="shared" si="168"/>
        <v>#N/A</v>
      </c>
      <c r="AV144" s="286" t="e">
        <f t="shared" si="169"/>
        <v>#N/A</v>
      </c>
      <c r="AW144" s="287" t="e">
        <f t="shared" si="136"/>
        <v>#N/A</v>
      </c>
      <c r="AX144" s="245">
        <f t="shared" si="170"/>
        <v>7</v>
      </c>
      <c r="AY144" s="286" t="e">
        <f t="shared" si="137"/>
        <v>#N/A</v>
      </c>
      <c r="AZ144" s="245" t="e">
        <f t="shared" si="171"/>
        <v>#N/A</v>
      </c>
      <c r="BA144" s="245" t="e">
        <f t="shared" si="138"/>
        <v>#N/A</v>
      </c>
      <c r="BB144" s="288">
        <f t="shared" si="172"/>
        <v>7</v>
      </c>
      <c r="BC144" s="289" t="e">
        <f t="shared" si="173"/>
        <v>#N/A</v>
      </c>
      <c r="BD144" s="290" t="e">
        <f t="shared" si="174"/>
        <v>#N/A</v>
      </c>
      <c r="BE144" s="263" t="e">
        <f t="shared" si="139"/>
        <v>#N/A</v>
      </c>
      <c r="BF144" s="260">
        <f t="shared" si="175"/>
        <v>7</v>
      </c>
      <c r="BG144" s="289" t="e">
        <f t="shared" si="176"/>
        <v>#N/A</v>
      </c>
      <c r="BH144" s="290" t="e">
        <f t="shared" si="177"/>
        <v>#N/A</v>
      </c>
      <c r="BI144" s="263" t="e">
        <f t="shared" si="140"/>
        <v>#N/A</v>
      </c>
      <c r="BJ144" s="264">
        <f t="shared" si="178"/>
        <v>7</v>
      </c>
      <c r="BK144" s="291" t="e">
        <f t="shared" si="179"/>
        <v>#N/A</v>
      </c>
      <c r="BL144" s="291" t="e">
        <f t="shared" si="180"/>
        <v>#N/A</v>
      </c>
      <c r="BM144" s="292" t="e">
        <f t="shared" si="141"/>
        <v>#N/A</v>
      </c>
      <c r="BN144" s="293">
        <f t="shared" si="181"/>
        <v>7</v>
      </c>
      <c r="BO144" s="294" t="e">
        <f t="shared" si="182"/>
        <v>#N/A</v>
      </c>
      <c r="BP144" s="294" t="e">
        <f t="shared" si="183"/>
        <v>#N/A</v>
      </c>
      <c r="BQ144" s="292" t="e">
        <f t="shared" si="142"/>
        <v>#N/A</v>
      </c>
      <c r="BR144" s="295" t="e">
        <f t="shared" si="143"/>
        <v>#N/A</v>
      </c>
      <c r="BS144" s="230" t="e">
        <f>VLOOKUP($B144,SDR22_STOCK_BY_LA!$A$2:$C$11679,3,0)</f>
        <v>#N/A</v>
      </c>
      <c r="BT144" s="230" t="str">
        <f t="shared" si="184"/>
        <v/>
      </c>
    </row>
    <row r="145" spans="1:72" ht="12.5" x14ac:dyDescent="0.25">
      <c r="A145" s="269" t="str">
        <f t="shared" si="185"/>
        <v/>
      </c>
      <c r="B145" s="230" t="str">
        <f t="shared" si="186"/>
        <v/>
      </c>
      <c r="C145" s="270" t="str">
        <f t="shared" si="144"/>
        <v/>
      </c>
      <c r="D145" s="269" t="str">
        <f>IF(B145="","",IF(totals!$Q$3=0,IFERROR(IF(AD145=2,"0",AE145),""),"-"))</f>
        <v/>
      </c>
      <c r="E145" s="271" t="str">
        <f t="shared" si="145"/>
        <v/>
      </c>
      <c r="F145" s="272" t="str">
        <f t="shared" si="146"/>
        <v/>
      </c>
      <c r="G145" s="272" t="str">
        <f t="shared" si="147"/>
        <v/>
      </c>
      <c r="H145" s="269" t="str">
        <f t="shared" si="125"/>
        <v/>
      </c>
      <c r="I145" s="272" t="str">
        <f t="shared" si="148"/>
        <v/>
      </c>
      <c r="J145" s="272" t="str">
        <f t="shared" si="149"/>
        <v/>
      </c>
      <c r="K145" s="269" t="str">
        <f t="shared" si="126"/>
        <v/>
      </c>
      <c r="L145" s="272" t="str">
        <f t="shared" si="127"/>
        <v/>
      </c>
      <c r="M145" s="272" t="str">
        <f t="shared" si="150"/>
        <v/>
      </c>
      <c r="N145" s="269" t="str">
        <f t="shared" si="151"/>
        <v/>
      </c>
      <c r="O145" s="272" t="str">
        <f t="shared" si="152"/>
        <v/>
      </c>
      <c r="P145" s="272" t="str">
        <f t="shared" si="153"/>
        <v/>
      </c>
      <c r="Q145" s="269" t="str">
        <f t="shared" si="154"/>
        <v/>
      </c>
      <c r="R145" s="272" t="str">
        <f t="shared" si="155"/>
        <v/>
      </c>
      <c r="S145" s="272" t="str">
        <f t="shared" si="156"/>
        <v/>
      </c>
      <c r="T145" s="269" t="str">
        <f t="shared" si="157"/>
        <v/>
      </c>
      <c r="U145" s="230"/>
      <c r="V145" s="230"/>
      <c r="AB145" s="270" t="e">
        <f>VLOOKUP($B$6,Lookup_Source,138,0)</f>
        <v>#N/A</v>
      </c>
      <c r="AC145" s="254" t="str">
        <f t="shared" si="158"/>
        <v/>
      </c>
      <c r="AD145" s="255">
        <f t="shared" si="159"/>
        <v>7</v>
      </c>
      <c r="AE145" s="274" t="e">
        <f t="shared" si="128"/>
        <v>#N/A</v>
      </c>
      <c r="AF145" s="277" t="e">
        <f t="shared" si="160"/>
        <v>#N/A</v>
      </c>
      <c r="AG145" s="277" t="e">
        <f t="shared" si="161"/>
        <v>#N/A</v>
      </c>
      <c r="AH145" s="276" t="e">
        <f t="shared" si="129"/>
        <v>#N/A</v>
      </c>
      <c r="AI145" s="239">
        <f t="shared" si="162"/>
        <v>7</v>
      </c>
      <c r="AJ145" s="277" t="e">
        <f t="shared" si="130"/>
        <v>#N/A</v>
      </c>
      <c r="AK145" s="277" t="e">
        <f t="shared" si="163"/>
        <v>#N/A</v>
      </c>
      <c r="AL145" s="239" t="e">
        <f t="shared" si="131"/>
        <v>#N/A</v>
      </c>
      <c r="AM145" s="278" t="e">
        <f t="shared" si="164"/>
        <v>#N/A</v>
      </c>
      <c r="AN145" s="279" t="e">
        <f t="shared" si="132"/>
        <v>#N/A</v>
      </c>
      <c r="AO145" s="240" t="e">
        <f t="shared" si="133"/>
        <v>#N/A</v>
      </c>
      <c r="AP145" s="297">
        <f t="shared" si="165"/>
        <v>7</v>
      </c>
      <c r="AQ145" s="298" t="e">
        <f t="shared" si="134"/>
        <v>#N/A</v>
      </c>
      <c r="AR145" s="279" t="e">
        <f t="shared" si="166"/>
        <v>#N/A</v>
      </c>
      <c r="AS145" s="283" t="e">
        <f t="shared" si="135"/>
        <v>#N/A</v>
      </c>
      <c r="AT145" s="284">
        <f t="shared" si="167"/>
        <v>7</v>
      </c>
      <c r="AU145" s="285" t="e">
        <f t="shared" si="168"/>
        <v>#N/A</v>
      </c>
      <c r="AV145" s="286" t="e">
        <f t="shared" si="169"/>
        <v>#N/A</v>
      </c>
      <c r="AW145" s="287" t="e">
        <f t="shared" si="136"/>
        <v>#N/A</v>
      </c>
      <c r="AX145" s="245">
        <f t="shared" si="170"/>
        <v>7</v>
      </c>
      <c r="AY145" s="286" t="e">
        <f t="shared" si="137"/>
        <v>#N/A</v>
      </c>
      <c r="AZ145" s="245" t="e">
        <f t="shared" si="171"/>
        <v>#N/A</v>
      </c>
      <c r="BA145" s="245" t="e">
        <f t="shared" si="138"/>
        <v>#N/A</v>
      </c>
      <c r="BB145" s="288">
        <f t="shared" si="172"/>
        <v>7</v>
      </c>
      <c r="BC145" s="289" t="e">
        <f t="shared" si="173"/>
        <v>#N/A</v>
      </c>
      <c r="BD145" s="290" t="e">
        <f t="shared" si="174"/>
        <v>#N/A</v>
      </c>
      <c r="BE145" s="263" t="e">
        <f t="shared" si="139"/>
        <v>#N/A</v>
      </c>
      <c r="BF145" s="260">
        <f t="shared" si="175"/>
        <v>7</v>
      </c>
      <c r="BG145" s="289" t="e">
        <f t="shared" si="176"/>
        <v>#N/A</v>
      </c>
      <c r="BH145" s="290" t="e">
        <f t="shared" si="177"/>
        <v>#N/A</v>
      </c>
      <c r="BI145" s="263" t="e">
        <f t="shared" si="140"/>
        <v>#N/A</v>
      </c>
      <c r="BJ145" s="264">
        <f t="shared" si="178"/>
        <v>7</v>
      </c>
      <c r="BK145" s="291" t="e">
        <f t="shared" si="179"/>
        <v>#N/A</v>
      </c>
      <c r="BL145" s="291" t="e">
        <f t="shared" si="180"/>
        <v>#N/A</v>
      </c>
      <c r="BM145" s="292" t="e">
        <f t="shared" si="141"/>
        <v>#N/A</v>
      </c>
      <c r="BN145" s="293">
        <f t="shared" si="181"/>
        <v>7</v>
      </c>
      <c r="BO145" s="294" t="e">
        <f t="shared" si="182"/>
        <v>#N/A</v>
      </c>
      <c r="BP145" s="294" t="e">
        <f t="shared" si="183"/>
        <v>#N/A</v>
      </c>
      <c r="BQ145" s="292" t="e">
        <f t="shared" si="142"/>
        <v>#N/A</v>
      </c>
      <c r="BR145" s="295" t="e">
        <f t="shared" si="143"/>
        <v>#N/A</v>
      </c>
      <c r="BS145" s="230" t="e">
        <f>VLOOKUP($B145,SDR22_STOCK_BY_LA!$A$2:$C$11679,3,0)</f>
        <v>#N/A</v>
      </c>
      <c r="BT145" s="230" t="str">
        <f t="shared" si="184"/>
        <v/>
      </c>
    </row>
    <row r="146" spans="1:72" ht="12.5" x14ac:dyDescent="0.25">
      <c r="A146" s="230" t="str">
        <f t="shared" si="185"/>
        <v/>
      </c>
      <c r="B146" s="230" t="str">
        <f t="shared" si="186"/>
        <v/>
      </c>
      <c r="C146" s="296" t="str">
        <f t="shared" si="144"/>
        <v/>
      </c>
      <c r="D146" s="269" t="str">
        <f>IF(B146="","",IF(totals!$Q$3=0,IFERROR(IF(AD146=2,"0",AE146),""),"-"))</f>
        <v/>
      </c>
      <c r="E146" s="271" t="str">
        <f t="shared" si="145"/>
        <v/>
      </c>
      <c r="F146" s="272" t="str">
        <f t="shared" si="146"/>
        <v/>
      </c>
      <c r="G146" s="272" t="str">
        <f t="shared" si="147"/>
        <v/>
      </c>
      <c r="H146" s="269" t="str">
        <f t="shared" si="125"/>
        <v/>
      </c>
      <c r="I146" s="272" t="str">
        <f t="shared" si="148"/>
        <v/>
      </c>
      <c r="J146" s="272" t="str">
        <f t="shared" si="149"/>
        <v/>
      </c>
      <c r="K146" s="269" t="str">
        <f t="shared" si="126"/>
        <v/>
      </c>
      <c r="L146" s="272" t="str">
        <f t="shared" si="127"/>
        <v/>
      </c>
      <c r="M146" s="272" t="str">
        <f t="shared" si="150"/>
        <v/>
      </c>
      <c r="N146" s="269" t="str">
        <f t="shared" si="151"/>
        <v/>
      </c>
      <c r="O146" s="272" t="str">
        <f t="shared" si="152"/>
        <v/>
      </c>
      <c r="P146" s="272" t="str">
        <f t="shared" si="153"/>
        <v/>
      </c>
      <c r="Q146" s="269" t="str">
        <f t="shared" si="154"/>
        <v/>
      </c>
      <c r="R146" s="272" t="str">
        <f t="shared" si="155"/>
        <v/>
      </c>
      <c r="S146" s="272" t="str">
        <f t="shared" si="156"/>
        <v/>
      </c>
      <c r="T146" s="269" t="str">
        <f t="shared" si="157"/>
        <v/>
      </c>
      <c r="U146" s="230"/>
      <c r="V146" s="230"/>
      <c r="AB146" s="230" t="e">
        <f>VLOOKUP($B$6,Lookup_Source,139,0)</f>
        <v>#N/A</v>
      </c>
      <c r="AC146" s="254" t="str">
        <f t="shared" si="158"/>
        <v/>
      </c>
      <c r="AD146" s="255">
        <f t="shared" si="159"/>
        <v>7</v>
      </c>
      <c r="AE146" s="274" t="e">
        <f t="shared" si="128"/>
        <v>#N/A</v>
      </c>
      <c r="AF146" s="277" t="e">
        <f t="shared" si="160"/>
        <v>#N/A</v>
      </c>
      <c r="AG146" s="277" t="e">
        <f t="shared" si="161"/>
        <v>#N/A</v>
      </c>
      <c r="AH146" s="276" t="e">
        <f t="shared" si="129"/>
        <v>#N/A</v>
      </c>
      <c r="AI146" s="239">
        <f t="shared" si="162"/>
        <v>7</v>
      </c>
      <c r="AJ146" s="277" t="e">
        <f t="shared" si="130"/>
        <v>#N/A</v>
      </c>
      <c r="AK146" s="277" t="e">
        <f t="shared" si="163"/>
        <v>#N/A</v>
      </c>
      <c r="AL146" s="239" t="e">
        <f t="shared" si="131"/>
        <v>#N/A</v>
      </c>
      <c r="AM146" s="278" t="e">
        <f t="shared" si="164"/>
        <v>#N/A</v>
      </c>
      <c r="AN146" s="279" t="e">
        <f t="shared" si="132"/>
        <v>#N/A</v>
      </c>
      <c r="AO146" s="240" t="e">
        <f t="shared" si="133"/>
        <v>#N/A</v>
      </c>
      <c r="AP146" s="297">
        <f t="shared" si="165"/>
        <v>7</v>
      </c>
      <c r="AQ146" s="298" t="e">
        <f t="shared" si="134"/>
        <v>#N/A</v>
      </c>
      <c r="AR146" s="279" t="e">
        <f t="shared" si="166"/>
        <v>#N/A</v>
      </c>
      <c r="AS146" s="283" t="e">
        <f t="shared" si="135"/>
        <v>#N/A</v>
      </c>
      <c r="AT146" s="284">
        <f t="shared" si="167"/>
        <v>7</v>
      </c>
      <c r="AU146" s="285" t="e">
        <f t="shared" si="168"/>
        <v>#N/A</v>
      </c>
      <c r="AV146" s="286" t="e">
        <f t="shared" si="169"/>
        <v>#N/A</v>
      </c>
      <c r="AW146" s="287" t="e">
        <f t="shared" si="136"/>
        <v>#N/A</v>
      </c>
      <c r="AX146" s="245">
        <f t="shared" si="170"/>
        <v>7</v>
      </c>
      <c r="AY146" s="286" t="e">
        <f t="shared" si="137"/>
        <v>#N/A</v>
      </c>
      <c r="AZ146" s="245" t="e">
        <f t="shared" si="171"/>
        <v>#N/A</v>
      </c>
      <c r="BA146" s="245" t="e">
        <f t="shared" si="138"/>
        <v>#N/A</v>
      </c>
      <c r="BB146" s="288">
        <f t="shared" si="172"/>
        <v>7</v>
      </c>
      <c r="BC146" s="289" t="e">
        <f t="shared" si="173"/>
        <v>#N/A</v>
      </c>
      <c r="BD146" s="290" t="e">
        <f t="shared" si="174"/>
        <v>#N/A</v>
      </c>
      <c r="BE146" s="263" t="e">
        <f t="shared" si="139"/>
        <v>#N/A</v>
      </c>
      <c r="BF146" s="260">
        <f t="shared" si="175"/>
        <v>7</v>
      </c>
      <c r="BG146" s="289" t="e">
        <f t="shared" si="176"/>
        <v>#N/A</v>
      </c>
      <c r="BH146" s="290" t="e">
        <f t="shared" si="177"/>
        <v>#N/A</v>
      </c>
      <c r="BI146" s="263" t="e">
        <f t="shared" si="140"/>
        <v>#N/A</v>
      </c>
      <c r="BJ146" s="264">
        <f t="shared" si="178"/>
        <v>7</v>
      </c>
      <c r="BK146" s="291" t="e">
        <f t="shared" si="179"/>
        <v>#N/A</v>
      </c>
      <c r="BL146" s="291" t="e">
        <f t="shared" si="180"/>
        <v>#N/A</v>
      </c>
      <c r="BM146" s="292" t="e">
        <f t="shared" si="141"/>
        <v>#N/A</v>
      </c>
      <c r="BN146" s="293">
        <f t="shared" si="181"/>
        <v>7</v>
      </c>
      <c r="BO146" s="294" t="e">
        <f t="shared" si="182"/>
        <v>#N/A</v>
      </c>
      <c r="BP146" s="294" t="e">
        <f t="shared" si="183"/>
        <v>#N/A</v>
      </c>
      <c r="BQ146" s="292" t="e">
        <f t="shared" si="142"/>
        <v>#N/A</v>
      </c>
      <c r="BR146" s="295" t="e">
        <f t="shared" si="143"/>
        <v>#N/A</v>
      </c>
      <c r="BS146" s="230" t="e">
        <f>VLOOKUP($B146,SDR22_STOCK_BY_LA!$A$2:$C$11679,3,0)</f>
        <v>#N/A</v>
      </c>
      <c r="BT146" s="230" t="str">
        <f t="shared" si="184"/>
        <v/>
      </c>
    </row>
    <row r="147" spans="1:72" ht="12.5" x14ac:dyDescent="0.25">
      <c r="A147" s="269" t="str">
        <f t="shared" si="185"/>
        <v/>
      </c>
      <c r="B147" s="230" t="str">
        <f t="shared" si="186"/>
        <v/>
      </c>
      <c r="C147" s="270" t="str">
        <f t="shared" si="144"/>
        <v/>
      </c>
      <c r="D147" s="269" t="str">
        <f>IF(B147="","",IF(totals!$Q$3=0,IFERROR(IF(AD147=2,"0",AE147),""),"-"))</f>
        <v/>
      </c>
      <c r="E147" s="271" t="str">
        <f t="shared" si="145"/>
        <v/>
      </c>
      <c r="F147" s="272" t="str">
        <f t="shared" si="146"/>
        <v/>
      </c>
      <c r="G147" s="272" t="str">
        <f t="shared" si="147"/>
        <v/>
      </c>
      <c r="H147" s="269" t="str">
        <f t="shared" si="125"/>
        <v/>
      </c>
      <c r="I147" s="272" t="str">
        <f t="shared" si="148"/>
        <v/>
      </c>
      <c r="J147" s="272" t="str">
        <f t="shared" si="149"/>
        <v/>
      </c>
      <c r="K147" s="269" t="str">
        <f t="shared" si="126"/>
        <v/>
      </c>
      <c r="L147" s="272" t="str">
        <f t="shared" si="127"/>
        <v/>
      </c>
      <c r="M147" s="272" t="str">
        <f t="shared" si="150"/>
        <v/>
      </c>
      <c r="N147" s="269" t="str">
        <f t="shared" si="151"/>
        <v/>
      </c>
      <c r="O147" s="272" t="str">
        <f t="shared" si="152"/>
        <v/>
      </c>
      <c r="P147" s="272" t="str">
        <f t="shared" si="153"/>
        <v/>
      </c>
      <c r="Q147" s="269" t="str">
        <f t="shared" si="154"/>
        <v/>
      </c>
      <c r="R147" s="272" t="str">
        <f t="shared" si="155"/>
        <v/>
      </c>
      <c r="S147" s="272" t="str">
        <f t="shared" si="156"/>
        <v/>
      </c>
      <c r="T147" s="269" t="str">
        <f t="shared" si="157"/>
        <v/>
      </c>
      <c r="U147" s="230"/>
      <c r="V147" s="230"/>
      <c r="AB147" s="270" t="e">
        <f>VLOOKUP($B$6,Lookup_Source,140,0)</f>
        <v>#N/A</v>
      </c>
      <c r="AC147" s="254" t="str">
        <f t="shared" si="158"/>
        <v/>
      </c>
      <c r="AD147" s="255">
        <f t="shared" si="159"/>
        <v>7</v>
      </c>
      <c r="AE147" s="274" t="e">
        <f t="shared" si="128"/>
        <v>#N/A</v>
      </c>
      <c r="AF147" s="277" t="e">
        <f t="shared" si="160"/>
        <v>#N/A</v>
      </c>
      <c r="AG147" s="277" t="e">
        <f t="shared" si="161"/>
        <v>#N/A</v>
      </c>
      <c r="AH147" s="276" t="e">
        <f t="shared" si="129"/>
        <v>#N/A</v>
      </c>
      <c r="AI147" s="239">
        <f t="shared" si="162"/>
        <v>7</v>
      </c>
      <c r="AJ147" s="277" t="e">
        <f t="shared" si="130"/>
        <v>#N/A</v>
      </c>
      <c r="AK147" s="277" t="e">
        <f t="shared" si="163"/>
        <v>#N/A</v>
      </c>
      <c r="AL147" s="239" t="e">
        <f t="shared" si="131"/>
        <v>#N/A</v>
      </c>
      <c r="AM147" s="278" t="e">
        <f t="shared" si="164"/>
        <v>#N/A</v>
      </c>
      <c r="AN147" s="279" t="e">
        <f t="shared" si="132"/>
        <v>#N/A</v>
      </c>
      <c r="AO147" s="240" t="e">
        <f t="shared" si="133"/>
        <v>#N/A</v>
      </c>
      <c r="AP147" s="297">
        <f t="shared" si="165"/>
        <v>7</v>
      </c>
      <c r="AQ147" s="298" t="e">
        <f t="shared" si="134"/>
        <v>#N/A</v>
      </c>
      <c r="AR147" s="279" t="e">
        <f t="shared" si="166"/>
        <v>#N/A</v>
      </c>
      <c r="AS147" s="283" t="e">
        <f t="shared" si="135"/>
        <v>#N/A</v>
      </c>
      <c r="AT147" s="284">
        <f t="shared" si="167"/>
        <v>7</v>
      </c>
      <c r="AU147" s="285" t="e">
        <f t="shared" si="168"/>
        <v>#N/A</v>
      </c>
      <c r="AV147" s="286" t="e">
        <f t="shared" si="169"/>
        <v>#N/A</v>
      </c>
      <c r="AW147" s="287" t="e">
        <f t="shared" si="136"/>
        <v>#N/A</v>
      </c>
      <c r="AX147" s="245">
        <f t="shared" si="170"/>
        <v>7</v>
      </c>
      <c r="AY147" s="286" t="e">
        <f t="shared" si="137"/>
        <v>#N/A</v>
      </c>
      <c r="AZ147" s="245" t="e">
        <f t="shared" si="171"/>
        <v>#N/A</v>
      </c>
      <c r="BA147" s="245" t="e">
        <f t="shared" si="138"/>
        <v>#N/A</v>
      </c>
      <c r="BB147" s="288">
        <f t="shared" si="172"/>
        <v>7</v>
      </c>
      <c r="BC147" s="289" t="e">
        <f t="shared" si="173"/>
        <v>#N/A</v>
      </c>
      <c r="BD147" s="290" t="e">
        <f t="shared" si="174"/>
        <v>#N/A</v>
      </c>
      <c r="BE147" s="263" t="e">
        <f t="shared" si="139"/>
        <v>#N/A</v>
      </c>
      <c r="BF147" s="260">
        <f t="shared" si="175"/>
        <v>7</v>
      </c>
      <c r="BG147" s="289" t="e">
        <f t="shared" si="176"/>
        <v>#N/A</v>
      </c>
      <c r="BH147" s="290" t="e">
        <f t="shared" si="177"/>
        <v>#N/A</v>
      </c>
      <c r="BI147" s="263" t="e">
        <f t="shared" si="140"/>
        <v>#N/A</v>
      </c>
      <c r="BJ147" s="264">
        <f t="shared" si="178"/>
        <v>7</v>
      </c>
      <c r="BK147" s="291" t="e">
        <f t="shared" si="179"/>
        <v>#N/A</v>
      </c>
      <c r="BL147" s="291" t="e">
        <f t="shared" si="180"/>
        <v>#N/A</v>
      </c>
      <c r="BM147" s="292" t="e">
        <f t="shared" si="141"/>
        <v>#N/A</v>
      </c>
      <c r="BN147" s="293">
        <f t="shared" si="181"/>
        <v>7</v>
      </c>
      <c r="BO147" s="294" t="e">
        <f t="shared" si="182"/>
        <v>#N/A</v>
      </c>
      <c r="BP147" s="294" t="e">
        <f t="shared" si="183"/>
        <v>#N/A</v>
      </c>
      <c r="BQ147" s="292" t="e">
        <f t="shared" si="142"/>
        <v>#N/A</v>
      </c>
      <c r="BR147" s="295" t="e">
        <f t="shared" si="143"/>
        <v>#N/A</v>
      </c>
      <c r="BS147" s="230" t="e">
        <f>VLOOKUP($B147,SDR22_STOCK_BY_LA!$A$2:$C$11679,3,0)</f>
        <v>#N/A</v>
      </c>
      <c r="BT147" s="230" t="str">
        <f t="shared" si="184"/>
        <v/>
      </c>
    </row>
    <row r="148" spans="1:72" ht="12.5" x14ac:dyDescent="0.25">
      <c r="A148" s="230" t="str">
        <f t="shared" si="185"/>
        <v/>
      </c>
      <c r="B148" s="230" t="str">
        <f t="shared" si="186"/>
        <v/>
      </c>
      <c r="C148" s="296" t="str">
        <f t="shared" si="144"/>
        <v/>
      </c>
      <c r="D148" s="269" t="str">
        <f>IF(B148="","",IF(totals!$Q$3=0,IFERROR(IF(AD148=2,"0",AE148),""),"-"))</f>
        <v/>
      </c>
      <c r="E148" s="271" t="str">
        <f t="shared" si="145"/>
        <v/>
      </c>
      <c r="F148" s="272" t="str">
        <f t="shared" si="146"/>
        <v/>
      </c>
      <c r="G148" s="272" t="str">
        <f t="shared" si="147"/>
        <v/>
      </c>
      <c r="H148" s="269" t="str">
        <f t="shared" si="125"/>
        <v/>
      </c>
      <c r="I148" s="272" t="str">
        <f t="shared" si="148"/>
        <v/>
      </c>
      <c r="J148" s="272" t="str">
        <f t="shared" si="149"/>
        <v/>
      </c>
      <c r="K148" s="269" t="str">
        <f t="shared" si="126"/>
        <v/>
      </c>
      <c r="L148" s="272" t="str">
        <f t="shared" si="127"/>
        <v/>
      </c>
      <c r="M148" s="272" t="str">
        <f t="shared" si="150"/>
        <v/>
      </c>
      <c r="N148" s="269" t="str">
        <f t="shared" si="151"/>
        <v/>
      </c>
      <c r="O148" s="272" t="str">
        <f t="shared" si="152"/>
        <v/>
      </c>
      <c r="P148" s="272" t="str">
        <f t="shared" si="153"/>
        <v/>
      </c>
      <c r="Q148" s="269" t="str">
        <f t="shared" si="154"/>
        <v/>
      </c>
      <c r="R148" s="272" t="str">
        <f t="shared" si="155"/>
        <v/>
      </c>
      <c r="S148" s="272" t="str">
        <f t="shared" si="156"/>
        <v/>
      </c>
      <c r="T148" s="269" t="str">
        <f t="shared" si="157"/>
        <v/>
      </c>
      <c r="U148" s="230"/>
      <c r="V148" s="230"/>
      <c r="AB148" s="230" t="e">
        <f>VLOOKUP($B$6,Lookup_Source,141,0)</f>
        <v>#N/A</v>
      </c>
      <c r="AC148" s="254" t="str">
        <f t="shared" si="158"/>
        <v/>
      </c>
      <c r="AD148" s="255">
        <f t="shared" si="159"/>
        <v>7</v>
      </c>
      <c r="AE148" s="274" t="e">
        <f t="shared" si="128"/>
        <v>#N/A</v>
      </c>
      <c r="AF148" s="277" t="e">
        <f t="shared" si="160"/>
        <v>#N/A</v>
      </c>
      <c r="AG148" s="277" t="e">
        <f t="shared" si="161"/>
        <v>#N/A</v>
      </c>
      <c r="AH148" s="276" t="e">
        <f t="shared" si="129"/>
        <v>#N/A</v>
      </c>
      <c r="AI148" s="239">
        <f t="shared" si="162"/>
        <v>7</v>
      </c>
      <c r="AJ148" s="277" t="e">
        <f t="shared" si="130"/>
        <v>#N/A</v>
      </c>
      <c r="AK148" s="277" t="e">
        <f t="shared" si="163"/>
        <v>#N/A</v>
      </c>
      <c r="AL148" s="239" t="e">
        <f t="shared" si="131"/>
        <v>#N/A</v>
      </c>
      <c r="AM148" s="278" t="e">
        <f t="shared" si="164"/>
        <v>#N/A</v>
      </c>
      <c r="AN148" s="279" t="e">
        <f t="shared" si="132"/>
        <v>#N/A</v>
      </c>
      <c r="AO148" s="240" t="e">
        <f t="shared" si="133"/>
        <v>#N/A</v>
      </c>
      <c r="AP148" s="297">
        <f t="shared" si="165"/>
        <v>7</v>
      </c>
      <c r="AQ148" s="298" t="e">
        <f t="shared" si="134"/>
        <v>#N/A</v>
      </c>
      <c r="AR148" s="279" t="e">
        <f t="shared" si="166"/>
        <v>#N/A</v>
      </c>
      <c r="AS148" s="283" t="e">
        <f t="shared" si="135"/>
        <v>#N/A</v>
      </c>
      <c r="AT148" s="284">
        <f t="shared" si="167"/>
        <v>7</v>
      </c>
      <c r="AU148" s="285" t="e">
        <f t="shared" si="168"/>
        <v>#N/A</v>
      </c>
      <c r="AV148" s="286" t="e">
        <f t="shared" si="169"/>
        <v>#N/A</v>
      </c>
      <c r="AW148" s="287" t="e">
        <f t="shared" si="136"/>
        <v>#N/A</v>
      </c>
      <c r="AX148" s="245">
        <f t="shared" si="170"/>
        <v>7</v>
      </c>
      <c r="AY148" s="286" t="e">
        <f t="shared" si="137"/>
        <v>#N/A</v>
      </c>
      <c r="AZ148" s="245" t="e">
        <f t="shared" si="171"/>
        <v>#N/A</v>
      </c>
      <c r="BA148" s="245" t="e">
        <f t="shared" si="138"/>
        <v>#N/A</v>
      </c>
      <c r="BB148" s="288">
        <f t="shared" si="172"/>
        <v>7</v>
      </c>
      <c r="BC148" s="289" t="e">
        <f t="shared" si="173"/>
        <v>#N/A</v>
      </c>
      <c r="BD148" s="290" t="e">
        <f t="shared" si="174"/>
        <v>#N/A</v>
      </c>
      <c r="BE148" s="263" t="e">
        <f t="shared" si="139"/>
        <v>#N/A</v>
      </c>
      <c r="BF148" s="260">
        <f t="shared" si="175"/>
        <v>7</v>
      </c>
      <c r="BG148" s="289" t="e">
        <f t="shared" si="176"/>
        <v>#N/A</v>
      </c>
      <c r="BH148" s="290" t="e">
        <f t="shared" si="177"/>
        <v>#N/A</v>
      </c>
      <c r="BI148" s="263" t="e">
        <f t="shared" si="140"/>
        <v>#N/A</v>
      </c>
      <c r="BJ148" s="264">
        <f t="shared" si="178"/>
        <v>7</v>
      </c>
      <c r="BK148" s="291" t="e">
        <f t="shared" si="179"/>
        <v>#N/A</v>
      </c>
      <c r="BL148" s="291" t="e">
        <f t="shared" si="180"/>
        <v>#N/A</v>
      </c>
      <c r="BM148" s="292" t="e">
        <f t="shared" si="141"/>
        <v>#N/A</v>
      </c>
      <c r="BN148" s="293">
        <f t="shared" si="181"/>
        <v>7</v>
      </c>
      <c r="BO148" s="294" t="e">
        <f t="shared" si="182"/>
        <v>#N/A</v>
      </c>
      <c r="BP148" s="294" t="e">
        <f t="shared" si="183"/>
        <v>#N/A</v>
      </c>
      <c r="BQ148" s="292" t="e">
        <f t="shared" si="142"/>
        <v>#N/A</v>
      </c>
      <c r="BR148" s="295" t="e">
        <f t="shared" si="143"/>
        <v>#N/A</v>
      </c>
      <c r="BS148" s="230" t="e">
        <f>VLOOKUP($B148,SDR22_STOCK_BY_LA!$A$2:$C$11679,3,0)</f>
        <v>#N/A</v>
      </c>
      <c r="BT148" s="230" t="str">
        <f t="shared" si="184"/>
        <v/>
      </c>
    </row>
    <row r="149" spans="1:72" ht="12.5" x14ac:dyDescent="0.25">
      <c r="A149" s="269" t="str">
        <f t="shared" si="185"/>
        <v/>
      </c>
      <c r="B149" s="230" t="str">
        <f t="shared" si="186"/>
        <v/>
      </c>
      <c r="C149" s="270" t="str">
        <f t="shared" si="144"/>
        <v/>
      </c>
      <c r="D149" s="269" t="str">
        <f>IF(B149="","",IF(totals!$Q$3=0,IFERROR(IF(AD149=2,"0",AE149),""),"-"))</f>
        <v/>
      </c>
      <c r="E149" s="271" t="str">
        <f t="shared" si="145"/>
        <v/>
      </c>
      <c r="F149" s="272" t="str">
        <f t="shared" si="146"/>
        <v/>
      </c>
      <c r="G149" s="272" t="str">
        <f t="shared" si="147"/>
        <v/>
      </c>
      <c r="H149" s="269" t="str">
        <f t="shared" si="125"/>
        <v/>
      </c>
      <c r="I149" s="272" t="str">
        <f t="shared" si="148"/>
        <v/>
      </c>
      <c r="J149" s="272" t="str">
        <f t="shared" si="149"/>
        <v/>
      </c>
      <c r="K149" s="269" t="str">
        <f t="shared" si="126"/>
        <v/>
      </c>
      <c r="L149" s="272" t="str">
        <f t="shared" si="127"/>
        <v/>
      </c>
      <c r="M149" s="272" t="str">
        <f t="shared" si="150"/>
        <v/>
      </c>
      <c r="N149" s="269" t="str">
        <f t="shared" si="151"/>
        <v/>
      </c>
      <c r="O149" s="272" t="str">
        <f t="shared" si="152"/>
        <v/>
      </c>
      <c r="P149" s="272" t="str">
        <f t="shared" si="153"/>
        <v/>
      </c>
      <c r="Q149" s="269" t="str">
        <f t="shared" si="154"/>
        <v/>
      </c>
      <c r="R149" s="272" t="str">
        <f t="shared" si="155"/>
        <v/>
      </c>
      <c r="S149" s="272" t="str">
        <f t="shared" si="156"/>
        <v/>
      </c>
      <c r="T149" s="269" t="str">
        <f t="shared" si="157"/>
        <v/>
      </c>
      <c r="U149" s="230"/>
      <c r="V149" s="230"/>
      <c r="AB149" s="270" t="e">
        <f>VLOOKUP($B$6,Lookup_Source,142,0)</f>
        <v>#N/A</v>
      </c>
      <c r="AC149" s="254" t="str">
        <f t="shared" si="158"/>
        <v/>
      </c>
      <c r="AD149" s="255">
        <f t="shared" si="159"/>
        <v>7</v>
      </c>
      <c r="AE149" s="274" t="e">
        <f t="shared" si="128"/>
        <v>#N/A</v>
      </c>
      <c r="AF149" s="277" t="e">
        <f t="shared" si="160"/>
        <v>#N/A</v>
      </c>
      <c r="AG149" s="277" t="e">
        <f t="shared" si="161"/>
        <v>#N/A</v>
      </c>
      <c r="AH149" s="276" t="e">
        <f t="shared" si="129"/>
        <v>#N/A</v>
      </c>
      <c r="AI149" s="239">
        <f t="shared" si="162"/>
        <v>7</v>
      </c>
      <c r="AJ149" s="277" t="e">
        <f t="shared" si="130"/>
        <v>#N/A</v>
      </c>
      <c r="AK149" s="277" t="e">
        <f t="shared" si="163"/>
        <v>#N/A</v>
      </c>
      <c r="AL149" s="239" t="e">
        <f t="shared" si="131"/>
        <v>#N/A</v>
      </c>
      <c r="AM149" s="278" t="e">
        <f t="shared" si="164"/>
        <v>#N/A</v>
      </c>
      <c r="AN149" s="279" t="e">
        <f t="shared" si="132"/>
        <v>#N/A</v>
      </c>
      <c r="AO149" s="240" t="e">
        <f t="shared" si="133"/>
        <v>#N/A</v>
      </c>
      <c r="AP149" s="297">
        <f t="shared" si="165"/>
        <v>7</v>
      </c>
      <c r="AQ149" s="298" t="e">
        <f t="shared" si="134"/>
        <v>#N/A</v>
      </c>
      <c r="AR149" s="279" t="e">
        <f t="shared" si="166"/>
        <v>#N/A</v>
      </c>
      <c r="AS149" s="283" t="e">
        <f t="shared" si="135"/>
        <v>#N/A</v>
      </c>
      <c r="AT149" s="284">
        <f t="shared" si="167"/>
        <v>7</v>
      </c>
      <c r="AU149" s="285" t="e">
        <f t="shared" si="168"/>
        <v>#N/A</v>
      </c>
      <c r="AV149" s="286" t="e">
        <f t="shared" si="169"/>
        <v>#N/A</v>
      </c>
      <c r="AW149" s="287" t="e">
        <f t="shared" si="136"/>
        <v>#N/A</v>
      </c>
      <c r="AX149" s="245">
        <f t="shared" si="170"/>
        <v>7</v>
      </c>
      <c r="AY149" s="286" t="e">
        <f t="shared" si="137"/>
        <v>#N/A</v>
      </c>
      <c r="AZ149" s="245" t="e">
        <f t="shared" si="171"/>
        <v>#N/A</v>
      </c>
      <c r="BA149" s="245" t="e">
        <f t="shared" si="138"/>
        <v>#N/A</v>
      </c>
      <c r="BB149" s="288">
        <f t="shared" si="172"/>
        <v>7</v>
      </c>
      <c r="BC149" s="289" t="e">
        <f t="shared" si="173"/>
        <v>#N/A</v>
      </c>
      <c r="BD149" s="290" t="e">
        <f t="shared" si="174"/>
        <v>#N/A</v>
      </c>
      <c r="BE149" s="263" t="e">
        <f t="shared" si="139"/>
        <v>#N/A</v>
      </c>
      <c r="BF149" s="260">
        <f t="shared" si="175"/>
        <v>7</v>
      </c>
      <c r="BG149" s="289" t="e">
        <f t="shared" si="176"/>
        <v>#N/A</v>
      </c>
      <c r="BH149" s="290" t="e">
        <f t="shared" si="177"/>
        <v>#N/A</v>
      </c>
      <c r="BI149" s="263" t="e">
        <f t="shared" si="140"/>
        <v>#N/A</v>
      </c>
      <c r="BJ149" s="264">
        <f t="shared" si="178"/>
        <v>7</v>
      </c>
      <c r="BK149" s="291" t="e">
        <f t="shared" si="179"/>
        <v>#N/A</v>
      </c>
      <c r="BL149" s="291" t="e">
        <f t="shared" si="180"/>
        <v>#N/A</v>
      </c>
      <c r="BM149" s="292" t="e">
        <f t="shared" si="141"/>
        <v>#N/A</v>
      </c>
      <c r="BN149" s="293">
        <f t="shared" si="181"/>
        <v>7</v>
      </c>
      <c r="BO149" s="294" t="e">
        <f t="shared" si="182"/>
        <v>#N/A</v>
      </c>
      <c r="BP149" s="294" t="e">
        <f t="shared" si="183"/>
        <v>#N/A</v>
      </c>
      <c r="BQ149" s="292" t="e">
        <f t="shared" si="142"/>
        <v>#N/A</v>
      </c>
      <c r="BR149" s="295" t="e">
        <f t="shared" si="143"/>
        <v>#N/A</v>
      </c>
      <c r="BS149" s="230" t="e">
        <f>VLOOKUP($B149,SDR22_STOCK_BY_LA!$A$2:$C$11679,3,0)</f>
        <v>#N/A</v>
      </c>
      <c r="BT149" s="230" t="str">
        <f t="shared" si="184"/>
        <v/>
      </c>
    </row>
    <row r="150" spans="1:72" ht="12.5" x14ac:dyDescent="0.25">
      <c r="A150" s="230" t="str">
        <f t="shared" si="185"/>
        <v/>
      </c>
      <c r="B150" s="230" t="str">
        <f t="shared" si="186"/>
        <v/>
      </c>
      <c r="C150" s="296" t="str">
        <f t="shared" si="144"/>
        <v/>
      </c>
      <c r="D150" s="269" t="str">
        <f>IF(B150="","",IF(totals!$Q$3=0,IFERROR(IF(AD150=2,"0",AE150),""),"-"))</f>
        <v/>
      </c>
      <c r="E150" s="271" t="str">
        <f t="shared" si="145"/>
        <v/>
      </c>
      <c r="F150" s="272" t="str">
        <f t="shared" si="146"/>
        <v/>
      </c>
      <c r="G150" s="272" t="str">
        <f t="shared" si="147"/>
        <v/>
      </c>
      <c r="H150" s="269" t="str">
        <f t="shared" si="125"/>
        <v/>
      </c>
      <c r="I150" s="272" t="str">
        <f t="shared" si="148"/>
        <v/>
      </c>
      <c r="J150" s="272" t="str">
        <f t="shared" si="149"/>
        <v/>
      </c>
      <c r="K150" s="269" t="str">
        <f t="shared" si="126"/>
        <v/>
      </c>
      <c r="L150" s="272" t="str">
        <f t="shared" si="127"/>
        <v/>
      </c>
      <c r="M150" s="272" t="str">
        <f t="shared" si="150"/>
        <v/>
      </c>
      <c r="N150" s="269" t="str">
        <f t="shared" si="151"/>
        <v/>
      </c>
      <c r="O150" s="272" t="str">
        <f t="shared" si="152"/>
        <v/>
      </c>
      <c r="P150" s="272" t="str">
        <f t="shared" si="153"/>
        <v/>
      </c>
      <c r="Q150" s="269" t="str">
        <f t="shared" si="154"/>
        <v/>
      </c>
      <c r="R150" s="272" t="str">
        <f t="shared" si="155"/>
        <v/>
      </c>
      <c r="S150" s="272" t="str">
        <f t="shared" si="156"/>
        <v/>
      </c>
      <c r="T150" s="269" t="str">
        <f t="shared" si="157"/>
        <v/>
      </c>
      <c r="U150" s="230"/>
      <c r="V150" s="230"/>
      <c r="AB150" s="230" t="e">
        <f>VLOOKUP($B$6,Lookup_Source,143,0)</f>
        <v>#N/A</v>
      </c>
      <c r="AC150" s="254" t="str">
        <f t="shared" si="158"/>
        <v/>
      </c>
      <c r="AD150" s="255">
        <f t="shared" si="159"/>
        <v>7</v>
      </c>
      <c r="AE150" s="274" t="e">
        <f t="shared" si="128"/>
        <v>#N/A</v>
      </c>
      <c r="AF150" s="277" t="e">
        <f t="shared" si="160"/>
        <v>#N/A</v>
      </c>
      <c r="AG150" s="277" t="e">
        <f t="shared" si="161"/>
        <v>#N/A</v>
      </c>
      <c r="AH150" s="276" t="e">
        <f t="shared" si="129"/>
        <v>#N/A</v>
      </c>
      <c r="AI150" s="239">
        <f t="shared" si="162"/>
        <v>7</v>
      </c>
      <c r="AJ150" s="277" t="e">
        <f t="shared" si="130"/>
        <v>#N/A</v>
      </c>
      <c r="AK150" s="277" t="e">
        <f t="shared" si="163"/>
        <v>#N/A</v>
      </c>
      <c r="AL150" s="239" t="e">
        <f t="shared" si="131"/>
        <v>#N/A</v>
      </c>
      <c r="AM150" s="278" t="e">
        <f t="shared" si="164"/>
        <v>#N/A</v>
      </c>
      <c r="AN150" s="279" t="e">
        <f t="shared" si="132"/>
        <v>#N/A</v>
      </c>
      <c r="AO150" s="240" t="e">
        <f t="shared" si="133"/>
        <v>#N/A</v>
      </c>
      <c r="AP150" s="297">
        <f t="shared" si="165"/>
        <v>7</v>
      </c>
      <c r="AQ150" s="298" t="e">
        <f t="shared" si="134"/>
        <v>#N/A</v>
      </c>
      <c r="AR150" s="279" t="e">
        <f t="shared" si="166"/>
        <v>#N/A</v>
      </c>
      <c r="AS150" s="283" t="e">
        <f t="shared" si="135"/>
        <v>#N/A</v>
      </c>
      <c r="AT150" s="284">
        <f t="shared" si="167"/>
        <v>7</v>
      </c>
      <c r="AU150" s="285" t="e">
        <f t="shared" si="168"/>
        <v>#N/A</v>
      </c>
      <c r="AV150" s="286" t="e">
        <f t="shared" si="169"/>
        <v>#N/A</v>
      </c>
      <c r="AW150" s="287" t="e">
        <f t="shared" si="136"/>
        <v>#N/A</v>
      </c>
      <c r="AX150" s="245">
        <f t="shared" si="170"/>
        <v>7</v>
      </c>
      <c r="AY150" s="286" t="e">
        <f t="shared" si="137"/>
        <v>#N/A</v>
      </c>
      <c r="AZ150" s="245" t="e">
        <f t="shared" si="171"/>
        <v>#N/A</v>
      </c>
      <c r="BA150" s="245" t="e">
        <f t="shared" si="138"/>
        <v>#N/A</v>
      </c>
      <c r="BB150" s="288">
        <f t="shared" si="172"/>
        <v>7</v>
      </c>
      <c r="BC150" s="289" t="e">
        <f t="shared" si="173"/>
        <v>#N/A</v>
      </c>
      <c r="BD150" s="290" t="e">
        <f t="shared" si="174"/>
        <v>#N/A</v>
      </c>
      <c r="BE150" s="263" t="e">
        <f t="shared" si="139"/>
        <v>#N/A</v>
      </c>
      <c r="BF150" s="260">
        <f t="shared" si="175"/>
        <v>7</v>
      </c>
      <c r="BG150" s="289" t="e">
        <f t="shared" si="176"/>
        <v>#N/A</v>
      </c>
      <c r="BH150" s="290" t="e">
        <f t="shared" si="177"/>
        <v>#N/A</v>
      </c>
      <c r="BI150" s="263" t="e">
        <f t="shared" si="140"/>
        <v>#N/A</v>
      </c>
      <c r="BJ150" s="264">
        <f t="shared" si="178"/>
        <v>7</v>
      </c>
      <c r="BK150" s="291" t="e">
        <f t="shared" si="179"/>
        <v>#N/A</v>
      </c>
      <c r="BL150" s="291" t="e">
        <f t="shared" si="180"/>
        <v>#N/A</v>
      </c>
      <c r="BM150" s="292" t="e">
        <f t="shared" si="141"/>
        <v>#N/A</v>
      </c>
      <c r="BN150" s="293">
        <f t="shared" si="181"/>
        <v>7</v>
      </c>
      <c r="BO150" s="294" t="e">
        <f t="shared" si="182"/>
        <v>#N/A</v>
      </c>
      <c r="BP150" s="294" t="e">
        <f t="shared" si="183"/>
        <v>#N/A</v>
      </c>
      <c r="BQ150" s="292" t="e">
        <f t="shared" si="142"/>
        <v>#N/A</v>
      </c>
      <c r="BR150" s="295" t="e">
        <f t="shared" si="143"/>
        <v>#N/A</v>
      </c>
      <c r="BS150" s="230" t="e">
        <f>VLOOKUP($B150,SDR22_STOCK_BY_LA!$A$2:$C$11679,3,0)</f>
        <v>#N/A</v>
      </c>
      <c r="BT150" s="230" t="str">
        <f t="shared" si="184"/>
        <v/>
      </c>
    </row>
    <row r="151" spans="1:72" ht="12.5" x14ac:dyDescent="0.25">
      <c r="A151" s="269" t="str">
        <f t="shared" si="185"/>
        <v/>
      </c>
      <c r="B151" s="230" t="str">
        <f t="shared" si="186"/>
        <v/>
      </c>
      <c r="C151" s="270" t="str">
        <f t="shared" si="144"/>
        <v/>
      </c>
      <c r="D151" s="269" t="str">
        <f>IF(B151="","",IF(totals!$Q$3=0,IFERROR(IF(AD151=2,"0",AE151),""),"-"))</f>
        <v/>
      </c>
      <c r="E151" s="271" t="str">
        <f t="shared" si="145"/>
        <v/>
      </c>
      <c r="F151" s="272" t="str">
        <f t="shared" si="146"/>
        <v/>
      </c>
      <c r="G151" s="272" t="str">
        <f t="shared" si="147"/>
        <v/>
      </c>
      <c r="H151" s="269" t="str">
        <f t="shared" si="125"/>
        <v/>
      </c>
      <c r="I151" s="272" t="str">
        <f t="shared" si="148"/>
        <v/>
      </c>
      <c r="J151" s="272" t="str">
        <f t="shared" si="149"/>
        <v/>
      </c>
      <c r="K151" s="269" t="str">
        <f t="shared" si="126"/>
        <v/>
      </c>
      <c r="L151" s="272" t="str">
        <f t="shared" si="127"/>
        <v/>
      </c>
      <c r="M151" s="272" t="str">
        <f t="shared" si="150"/>
        <v/>
      </c>
      <c r="N151" s="269" t="str">
        <f t="shared" si="151"/>
        <v/>
      </c>
      <c r="O151" s="272" t="str">
        <f t="shared" si="152"/>
        <v/>
      </c>
      <c r="P151" s="272" t="str">
        <f t="shared" si="153"/>
        <v/>
      </c>
      <c r="Q151" s="269" t="str">
        <f t="shared" si="154"/>
        <v/>
      </c>
      <c r="R151" s="272" t="str">
        <f t="shared" si="155"/>
        <v/>
      </c>
      <c r="S151" s="272" t="str">
        <f t="shared" si="156"/>
        <v/>
      </c>
      <c r="T151" s="269" t="str">
        <f t="shared" si="157"/>
        <v/>
      </c>
      <c r="U151" s="230"/>
      <c r="V151" s="230"/>
      <c r="AB151" s="270" t="e">
        <f>VLOOKUP($B$6,Lookup_Source,144,0)</f>
        <v>#N/A</v>
      </c>
      <c r="AC151" s="254" t="str">
        <f t="shared" si="158"/>
        <v/>
      </c>
      <c r="AD151" s="255">
        <f t="shared" si="159"/>
        <v>7</v>
      </c>
      <c r="AE151" s="274" t="e">
        <f t="shared" si="128"/>
        <v>#N/A</v>
      </c>
      <c r="AF151" s="277" t="e">
        <f t="shared" si="160"/>
        <v>#N/A</v>
      </c>
      <c r="AG151" s="277" t="e">
        <f t="shared" si="161"/>
        <v>#N/A</v>
      </c>
      <c r="AH151" s="276" t="e">
        <f t="shared" si="129"/>
        <v>#N/A</v>
      </c>
      <c r="AI151" s="239">
        <f t="shared" si="162"/>
        <v>7</v>
      </c>
      <c r="AJ151" s="277" t="e">
        <f t="shared" si="130"/>
        <v>#N/A</v>
      </c>
      <c r="AK151" s="277" t="e">
        <f t="shared" si="163"/>
        <v>#N/A</v>
      </c>
      <c r="AL151" s="239" t="e">
        <f t="shared" si="131"/>
        <v>#N/A</v>
      </c>
      <c r="AM151" s="278" t="e">
        <f t="shared" si="164"/>
        <v>#N/A</v>
      </c>
      <c r="AN151" s="279" t="e">
        <f t="shared" si="132"/>
        <v>#N/A</v>
      </c>
      <c r="AO151" s="240" t="e">
        <f t="shared" si="133"/>
        <v>#N/A</v>
      </c>
      <c r="AP151" s="297">
        <f t="shared" si="165"/>
        <v>7</v>
      </c>
      <c r="AQ151" s="298" t="e">
        <f t="shared" si="134"/>
        <v>#N/A</v>
      </c>
      <c r="AR151" s="279" t="e">
        <f t="shared" si="166"/>
        <v>#N/A</v>
      </c>
      <c r="AS151" s="283" t="e">
        <f t="shared" si="135"/>
        <v>#N/A</v>
      </c>
      <c r="AT151" s="284">
        <f t="shared" si="167"/>
        <v>7</v>
      </c>
      <c r="AU151" s="285" t="e">
        <f t="shared" si="168"/>
        <v>#N/A</v>
      </c>
      <c r="AV151" s="286" t="e">
        <f t="shared" si="169"/>
        <v>#N/A</v>
      </c>
      <c r="AW151" s="287" t="e">
        <f t="shared" si="136"/>
        <v>#N/A</v>
      </c>
      <c r="AX151" s="245">
        <f t="shared" si="170"/>
        <v>7</v>
      </c>
      <c r="AY151" s="286" t="e">
        <f t="shared" si="137"/>
        <v>#N/A</v>
      </c>
      <c r="AZ151" s="245" t="e">
        <f t="shared" si="171"/>
        <v>#N/A</v>
      </c>
      <c r="BA151" s="245" t="e">
        <f t="shared" si="138"/>
        <v>#N/A</v>
      </c>
      <c r="BB151" s="288">
        <f t="shared" si="172"/>
        <v>7</v>
      </c>
      <c r="BC151" s="289" t="e">
        <f t="shared" si="173"/>
        <v>#N/A</v>
      </c>
      <c r="BD151" s="290" t="e">
        <f t="shared" si="174"/>
        <v>#N/A</v>
      </c>
      <c r="BE151" s="263" t="e">
        <f t="shared" si="139"/>
        <v>#N/A</v>
      </c>
      <c r="BF151" s="260">
        <f t="shared" si="175"/>
        <v>7</v>
      </c>
      <c r="BG151" s="289" t="e">
        <f t="shared" si="176"/>
        <v>#N/A</v>
      </c>
      <c r="BH151" s="290" t="e">
        <f t="shared" si="177"/>
        <v>#N/A</v>
      </c>
      <c r="BI151" s="263" t="e">
        <f t="shared" si="140"/>
        <v>#N/A</v>
      </c>
      <c r="BJ151" s="264">
        <f t="shared" si="178"/>
        <v>7</v>
      </c>
      <c r="BK151" s="291" t="e">
        <f t="shared" si="179"/>
        <v>#N/A</v>
      </c>
      <c r="BL151" s="291" t="e">
        <f t="shared" si="180"/>
        <v>#N/A</v>
      </c>
      <c r="BM151" s="292" t="e">
        <f t="shared" si="141"/>
        <v>#N/A</v>
      </c>
      <c r="BN151" s="293">
        <f t="shared" si="181"/>
        <v>7</v>
      </c>
      <c r="BO151" s="294" t="e">
        <f t="shared" si="182"/>
        <v>#N/A</v>
      </c>
      <c r="BP151" s="294" t="e">
        <f t="shared" si="183"/>
        <v>#N/A</v>
      </c>
      <c r="BQ151" s="292" t="e">
        <f t="shared" si="142"/>
        <v>#N/A</v>
      </c>
      <c r="BR151" s="295" t="e">
        <f t="shared" si="143"/>
        <v>#N/A</v>
      </c>
      <c r="BS151" s="230" t="e">
        <f>VLOOKUP($B151,SDR22_STOCK_BY_LA!$A$2:$C$11679,3,0)</f>
        <v>#N/A</v>
      </c>
      <c r="BT151" s="230" t="str">
        <f t="shared" si="184"/>
        <v/>
      </c>
    </row>
    <row r="152" spans="1:72" ht="12.5" x14ac:dyDescent="0.25">
      <c r="A152" s="230" t="str">
        <f t="shared" si="185"/>
        <v/>
      </c>
      <c r="B152" s="230" t="str">
        <f t="shared" si="186"/>
        <v/>
      </c>
      <c r="C152" s="296" t="str">
        <f t="shared" si="144"/>
        <v/>
      </c>
      <c r="D152" s="269" t="str">
        <f>IF(B152="","",IF(totals!$Q$3=0,IFERROR(IF(AD152=2,"0",AE152),""),"-"))</f>
        <v/>
      </c>
      <c r="E152" s="271" t="str">
        <f t="shared" si="145"/>
        <v/>
      </c>
      <c r="F152" s="272" t="str">
        <f t="shared" si="146"/>
        <v/>
      </c>
      <c r="G152" s="272" t="str">
        <f t="shared" si="147"/>
        <v/>
      </c>
      <c r="H152" s="269" t="str">
        <f t="shared" si="125"/>
        <v/>
      </c>
      <c r="I152" s="272" t="str">
        <f t="shared" si="148"/>
        <v/>
      </c>
      <c r="J152" s="272" t="str">
        <f t="shared" si="149"/>
        <v/>
      </c>
      <c r="K152" s="269" t="str">
        <f t="shared" si="126"/>
        <v/>
      </c>
      <c r="L152" s="272" t="str">
        <f t="shared" si="127"/>
        <v/>
      </c>
      <c r="M152" s="272" t="str">
        <f t="shared" si="150"/>
        <v/>
      </c>
      <c r="N152" s="269" t="str">
        <f t="shared" si="151"/>
        <v/>
      </c>
      <c r="O152" s="272" t="str">
        <f t="shared" si="152"/>
        <v/>
      </c>
      <c r="P152" s="272" t="str">
        <f t="shared" si="153"/>
        <v/>
      </c>
      <c r="Q152" s="269" t="str">
        <f t="shared" si="154"/>
        <v/>
      </c>
      <c r="R152" s="272" t="str">
        <f t="shared" si="155"/>
        <v/>
      </c>
      <c r="S152" s="272" t="str">
        <f t="shared" si="156"/>
        <v/>
      </c>
      <c r="T152" s="269" t="str">
        <f t="shared" si="157"/>
        <v/>
      </c>
      <c r="U152" s="230"/>
      <c r="V152" s="230"/>
      <c r="AB152" s="230" t="e">
        <f>VLOOKUP($B$6,Lookup_Source,145,0)</f>
        <v>#N/A</v>
      </c>
      <c r="AC152" s="254" t="str">
        <f t="shared" si="158"/>
        <v/>
      </c>
      <c r="AD152" s="255">
        <f t="shared" si="159"/>
        <v>7</v>
      </c>
      <c r="AE152" s="274" t="e">
        <f t="shared" si="128"/>
        <v>#N/A</v>
      </c>
      <c r="AF152" s="277" t="e">
        <f t="shared" si="160"/>
        <v>#N/A</v>
      </c>
      <c r="AG152" s="277" t="e">
        <f t="shared" si="161"/>
        <v>#N/A</v>
      </c>
      <c r="AH152" s="276" t="e">
        <f t="shared" si="129"/>
        <v>#N/A</v>
      </c>
      <c r="AI152" s="239">
        <f t="shared" si="162"/>
        <v>7</v>
      </c>
      <c r="AJ152" s="277" t="e">
        <f t="shared" si="130"/>
        <v>#N/A</v>
      </c>
      <c r="AK152" s="277" t="e">
        <f t="shared" si="163"/>
        <v>#N/A</v>
      </c>
      <c r="AL152" s="239" t="e">
        <f t="shared" si="131"/>
        <v>#N/A</v>
      </c>
      <c r="AM152" s="278" t="e">
        <f t="shared" si="164"/>
        <v>#N/A</v>
      </c>
      <c r="AN152" s="279" t="e">
        <f t="shared" si="132"/>
        <v>#N/A</v>
      </c>
      <c r="AO152" s="240" t="e">
        <f t="shared" si="133"/>
        <v>#N/A</v>
      </c>
      <c r="AP152" s="297">
        <f t="shared" si="165"/>
        <v>7</v>
      </c>
      <c r="AQ152" s="298" t="e">
        <f t="shared" si="134"/>
        <v>#N/A</v>
      </c>
      <c r="AR152" s="279" t="e">
        <f t="shared" si="166"/>
        <v>#N/A</v>
      </c>
      <c r="AS152" s="283" t="e">
        <f t="shared" si="135"/>
        <v>#N/A</v>
      </c>
      <c r="AT152" s="284">
        <f t="shared" si="167"/>
        <v>7</v>
      </c>
      <c r="AU152" s="285" t="e">
        <f t="shared" si="168"/>
        <v>#N/A</v>
      </c>
      <c r="AV152" s="286" t="e">
        <f t="shared" si="169"/>
        <v>#N/A</v>
      </c>
      <c r="AW152" s="287" t="e">
        <f t="shared" si="136"/>
        <v>#N/A</v>
      </c>
      <c r="AX152" s="245">
        <f t="shared" si="170"/>
        <v>7</v>
      </c>
      <c r="AY152" s="286" t="e">
        <f t="shared" si="137"/>
        <v>#N/A</v>
      </c>
      <c r="AZ152" s="245" t="e">
        <f t="shared" si="171"/>
        <v>#N/A</v>
      </c>
      <c r="BA152" s="245" t="e">
        <f t="shared" si="138"/>
        <v>#N/A</v>
      </c>
      <c r="BB152" s="288">
        <f t="shared" si="172"/>
        <v>7</v>
      </c>
      <c r="BC152" s="289" t="e">
        <f t="shared" si="173"/>
        <v>#N/A</v>
      </c>
      <c r="BD152" s="290" t="e">
        <f t="shared" si="174"/>
        <v>#N/A</v>
      </c>
      <c r="BE152" s="263" t="e">
        <f t="shared" si="139"/>
        <v>#N/A</v>
      </c>
      <c r="BF152" s="260">
        <f t="shared" si="175"/>
        <v>7</v>
      </c>
      <c r="BG152" s="289" t="e">
        <f t="shared" si="176"/>
        <v>#N/A</v>
      </c>
      <c r="BH152" s="290" t="e">
        <f t="shared" si="177"/>
        <v>#N/A</v>
      </c>
      <c r="BI152" s="263" t="e">
        <f t="shared" si="140"/>
        <v>#N/A</v>
      </c>
      <c r="BJ152" s="264">
        <f t="shared" si="178"/>
        <v>7</v>
      </c>
      <c r="BK152" s="291" t="e">
        <f t="shared" si="179"/>
        <v>#N/A</v>
      </c>
      <c r="BL152" s="291" t="e">
        <f t="shared" si="180"/>
        <v>#N/A</v>
      </c>
      <c r="BM152" s="292" t="e">
        <f t="shared" si="141"/>
        <v>#N/A</v>
      </c>
      <c r="BN152" s="293">
        <f t="shared" si="181"/>
        <v>7</v>
      </c>
      <c r="BO152" s="294" t="e">
        <f t="shared" si="182"/>
        <v>#N/A</v>
      </c>
      <c r="BP152" s="294" t="e">
        <f t="shared" si="183"/>
        <v>#N/A</v>
      </c>
      <c r="BQ152" s="292" t="e">
        <f t="shared" si="142"/>
        <v>#N/A</v>
      </c>
      <c r="BR152" s="295" t="e">
        <f t="shared" si="143"/>
        <v>#N/A</v>
      </c>
      <c r="BS152" s="230" t="e">
        <f>VLOOKUP($B152,SDR22_STOCK_BY_LA!$A$2:$C$11679,3,0)</f>
        <v>#N/A</v>
      </c>
      <c r="BT152" s="230" t="str">
        <f t="shared" si="184"/>
        <v/>
      </c>
    </row>
    <row r="153" spans="1:72" ht="12.5" x14ac:dyDescent="0.25">
      <c r="A153" s="269" t="str">
        <f t="shared" si="185"/>
        <v/>
      </c>
      <c r="B153" s="230" t="str">
        <f t="shared" si="186"/>
        <v/>
      </c>
      <c r="C153" s="270" t="str">
        <f t="shared" si="144"/>
        <v/>
      </c>
      <c r="D153" s="269" t="str">
        <f>IF(B153="","",IF(totals!$Q$3=0,IFERROR(IF(AD153=2,"0",AE153),""),"-"))</f>
        <v/>
      </c>
      <c r="E153" s="271" t="str">
        <f t="shared" si="145"/>
        <v/>
      </c>
      <c r="F153" s="272" t="str">
        <f t="shared" si="146"/>
        <v/>
      </c>
      <c r="G153" s="272" t="str">
        <f t="shared" si="147"/>
        <v/>
      </c>
      <c r="H153" s="269" t="str">
        <f t="shared" si="125"/>
        <v/>
      </c>
      <c r="I153" s="272" t="str">
        <f t="shared" si="148"/>
        <v/>
      </c>
      <c r="J153" s="272" t="str">
        <f t="shared" si="149"/>
        <v/>
      </c>
      <c r="K153" s="269" t="str">
        <f t="shared" si="126"/>
        <v/>
      </c>
      <c r="L153" s="272" t="str">
        <f t="shared" si="127"/>
        <v/>
      </c>
      <c r="M153" s="272" t="str">
        <f t="shared" si="150"/>
        <v/>
      </c>
      <c r="N153" s="269" t="str">
        <f t="shared" si="151"/>
        <v/>
      </c>
      <c r="O153" s="272" t="str">
        <f t="shared" si="152"/>
        <v/>
      </c>
      <c r="P153" s="272" t="str">
        <f t="shared" si="153"/>
        <v/>
      </c>
      <c r="Q153" s="269" t="str">
        <f t="shared" si="154"/>
        <v/>
      </c>
      <c r="R153" s="272" t="str">
        <f t="shared" si="155"/>
        <v/>
      </c>
      <c r="S153" s="272" t="str">
        <f t="shared" si="156"/>
        <v/>
      </c>
      <c r="T153" s="269" t="str">
        <f t="shared" si="157"/>
        <v/>
      </c>
      <c r="U153" s="230"/>
      <c r="V153" s="230"/>
      <c r="AB153" s="270" t="e">
        <f>VLOOKUP($B$6,Lookup_Source,146,0)</f>
        <v>#N/A</v>
      </c>
      <c r="AC153" s="254" t="str">
        <f t="shared" si="158"/>
        <v/>
      </c>
      <c r="AD153" s="255">
        <f t="shared" si="159"/>
        <v>7</v>
      </c>
      <c r="AE153" s="274" t="e">
        <f t="shared" si="128"/>
        <v>#N/A</v>
      </c>
      <c r="AF153" s="277" t="e">
        <f t="shared" si="160"/>
        <v>#N/A</v>
      </c>
      <c r="AG153" s="277" t="e">
        <f t="shared" si="161"/>
        <v>#N/A</v>
      </c>
      <c r="AH153" s="276" t="e">
        <f t="shared" si="129"/>
        <v>#N/A</v>
      </c>
      <c r="AI153" s="239">
        <f t="shared" si="162"/>
        <v>7</v>
      </c>
      <c r="AJ153" s="277" t="e">
        <f t="shared" si="130"/>
        <v>#N/A</v>
      </c>
      <c r="AK153" s="277" t="e">
        <f t="shared" si="163"/>
        <v>#N/A</v>
      </c>
      <c r="AL153" s="239" t="e">
        <f t="shared" si="131"/>
        <v>#N/A</v>
      </c>
      <c r="AM153" s="278" t="e">
        <f t="shared" si="164"/>
        <v>#N/A</v>
      </c>
      <c r="AN153" s="279" t="e">
        <f t="shared" si="132"/>
        <v>#N/A</v>
      </c>
      <c r="AO153" s="240" t="e">
        <f t="shared" si="133"/>
        <v>#N/A</v>
      </c>
      <c r="AP153" s="297">
        <f t="shared" si="165"/>
        <v>7</v>
      </c>
      <c r="AQ153" s="298" t="e">
        <f t="shared" si="134"/>
        <v>#N/A</v>
      </c>
      <c r="AR153" s="279" t="e">
        <f t="shared" si="166"/>
        <v>#N/A</v>
      </c>
      <c r="AS153" s="283" t="e">
        <f t="shared" si="135"/>
        <v>#N/A</v>
      </c>
      <c r="AT153" s="284">
        <f t="shared" si="167"/>
        <v>7</v>
      </c>
      <c r="AU153" s="285" t="e">
        <f t="shared" si="168"/>
        <v>#N/A</v>
      </c>
      <c r="AV153" s="286" t="e">
        <f t="shared" si="169"/>
        <v>#N/A</v>
      </c>
      <c r="AW153" s="287" t="e">
        <f t="shared" si="136"/>
        <v>#N/A</v>
      </c>
      <c r="AX153" s="245">
        <f t="shared" si="170"/>
        <v>7</v>
      </c>
      <c r="AY153" s="286" t="e">
        <f t="shared" si="137"/>
        <v>#N/A</v>
      </c>
      <c r="AZ153" s="245" t="e">
        <f t="shared" si="171"/>
        <v>#N/A</v>
      </c>
      <c r="BA153" s="245" t="e">
        <f t="shared" si="138"/>
        <v>#N/A</v>
      </c>
      <c r="BB153" s="288">
        <f t="shared" si="172"/>
        <v>7</v>
      </c>
      <c r="BC153" s="289" t="e">
        <f t="shared" si="173"/>
        <v>#N/A</v>
      </c>
      <c r="BD153" s="290" t="e">
        <f t="shared" si="174"/>
        <v>#N/A</v>
      </c>
      <c r="BE153" s="263" t="e">
        <f t="shared" si="139"/>
        <v>#N/A</v>
      </c>
      <c r="BF153" s="260">
        <f t="shared" si="175"/>
        <v>7</v>
      </c>
      <c r="BG153" s="289" t="e">
        <f t="shared" si="176"/>
        <v>#N/A</v>
      </c>
      <c r="BH153" s="290" t="e">
        <f t="shared" si="177"/>
        <v>#N/A</v>
      </c>
      <c r="BI153" s="263" t="e">
        <f t="shared" si="140"/>
        <v>#N/A</v>
      </c>
      <c r="BJ153" s="264">
        <f t="shared" si="178"/>
        <v>7</v>
      </c>
      <c r="BK153" s="291" t="e">
        <f t="shared" si="179"/>
        <v>#N/A</v>
      </c>
      <c r="BL153" s="291" t="e">
        <f t="shared" si="180"/>
        <v>#N/A</v>
      </c>
      <c r="BM153" s="292" t="e">
        <f t="shared" si="141"/>
        <v>#N/A</v>
      </c>
      <c r="BN153" s="293">
        <f t="shared" si="181"/>
        <v>7</v>
      </c>
      <c r="BO153" s="294" t="e">
        <f t="shared" si="182"/>
        <v>#N/A</v>
      </c>
      <c r="BP153" s="294" t="e">
        <f t="shared" si="183"/>
        <v>#N/A</v>
      </c>
      <c r="BQ153" s="292" t="e">
        <f t="shared" si="142"/>
        <v>#N/A</v>
      </c>
      <c r="BR153" s="295" t="e">
        <f t="shared" si="143"/>
        <v>#N/A</v>
      </c>
      <c r="BS153" s="230" t="e">
        <f>VLOOKUP($B153,SDR22_STOCK_BY_LA!$A$2:$C$11679,3,0)</f>
        <v>#N/A</v>
      </c>
      <c r="BT153" s="230" t="str">
        <f t="shared" si="184"/>
        <v/>
      </c>
    </row>
    <row r="154" spans="1:72" ht="12.5" x14ac:dyDescent="0.25">
      <c r="A154" s="230" t="str">
        <f t="shared" si="185"/>
        <v/>
      </c>
      <c r="B154" s="230" t="str">
        <f t="shared" si="186"/>
        <v/>
      </c>
      <c r="C154" s="296" t="str">
        <f t="shared" si="144"/>
        <v/>
      </c>
      <c r="D154" s="269" t="str">
        <f>IF(B154="","",IF(totals!$Q$3=0,IFERROR(IF(AD154=2,"0",AE154),""),"-"))</f>
        <v/>
      </c>
      <c r="E154" s="271" t="str">
        <f t="shared" si="145"/>
        <v/>
      </c>
      <c r="F154" s="272" t="str">
        <f t="shared" si="146"/>
        <v/>
      </c>
      <c r="G154" s="272" t="str">
        <f t="shared" si="147"/>
        <v/>
      </c>
      <c r="H154" s="269" t="str">
        <f t="shared" si="125"/>
        <v/>
      </c>
      <c r="I154" s="272" t="str">
        <f t="shared" si="148"/>
        <v/>
      </c>
      <c r="J154" s="272" t="str">
        <f t="shared" si="149"/>
        <v/>
      </c>
      <c r="K154" s="269" t="str">
        <f t="shared" si="126"/>
        <v/>
      </c>
      <c r="L154" s="272" t="str">
        <f t="shared" si="127"/>
        <v/>
      </c>
      <c r="M154" s="272" t="str">
        <f t="shared" si="150"/>
        <v/>
      </c>
      <c r="N154" s="269" t="str">
        <f t="shared" si="151"/>
        <v/>
      </c>
      <c r="O154" s="272" t="str">
        <f t="shared" si="152"/>
        <v/>
      </c>
      <c r="P154" s="272" t="str">
        <f t="shared" si="153"/>
        <v/>
      </c>
      <c r="Q154" s="269" t="str">
        <f t="shared" si="154"/>
        <v/>
      </c>
      <c r="R154" s="272" t="str">
        <f t="shared" si="155"/>
        <v/>
      </c>
      <c r="S154" s="272" t="str">
        <f t="shared" si="156"/>
        <v/>
      </c>
      <c r="T154" s="269" t="str">
        <f t="shared" si="157"/>
        <v/>
      </c>
      <c r="U154" s="230"/>
      <c r="V154" s="230"/>
      <c r="AB154" s="230" t="e">
        <f>VLOOKUP($B$6,Lookup_Source,147,0)</f>
        <v>#N/A</v>
      </c>
      <c r="AC154" s="254" t="str">
        <f t="shared" si="158"/>
        <v/>
      </c>
      <c r="AD154" s="255">
        <f t="shared" si="159"/>
        <v>7</v>
      </c>
      <c r="AE154" s="274" t="e">
        <f t="shared" si="128"/>
        <v>#N/A</v>
      </c>
      <c r="AF154" s="277" t="e">
        <f t="shared" si="160"/>
        <v>#N/A</v>
      </c>
      <c r="AG154" s="277" t="e">
        <f t="shared" si="161"/>
        <v>#N/A</v>
      </c>
      <c r="AH154" s="276" t="e">
        <f t="shared" si="129"/>
        <v>#N/A</v>
      </c>
      <c r="AI154" s="239">
        <f t="shared" si="162"/>
        <v>7</v>
      </c>
      <c r="AJ154" s="277" t="e">
        <f t="shared" si="130"/>
        <v>#N/A</v>
      </c>
      <c r="AK154" s="277" t="e">
        <f t="shared" si="163"/>
        <v>#N/A</v>
      </c>
      <c r="AL154" s="239" t="e">
        <f t="shared" si="131"/>
        <v>#N/A</v>
      </c>
      <c r="AM154" s="278" t="e">
        <f t="shared" si="164"/>
        <v>#N/A</v>
      </c>
      <c r="AN154" s="279" t="e">
        <f t="shared" si="132"/>
        <v>#N/A</v>
      </c>
      <c r="AO154" s="240" t="e">
        <f t="shared" si="133"/>
        <v>#N/A</v>
      </c>
      <c r="AP154" s="297">
        <f t="shared" si="165"/>
        <v>7</v>
      </c>
      <c r="AQ154" s="298" t="e">
        <f t="shared" si="134"/>
        <v>#N/A</v>
      </c>
      <c r="AR154" s="279" t="e">
        <f t="shared" si="166"/>
        <v>#N/A</v>
      </c>
      <c r="AS154" s="283" t="e">
        <f t="shared" si="135"/>
        <v>#N/A</v>
      </c>
      <c r="AT154" s="284">
        <f t="shared" si="167"/>
        <v>7</v>
      </c>
      <c r="AU154" s="285" t="e">
        <f t="shared" si="168"/>
        <v>#N/A</v>
      </c>
      <c r="AV154" s="286" t="e">
        <f t="shared" si="169"/>
        <v>#N/A</v>
      </c>
      <c r="AW154" s="287" t="e">
        <f t="shared" si="136"/>
        <v>#N/A</v>
      </c>
      <c r="AX154" s="245">
        <f t="shared" si="170"/>
        <v>7</v>
      </c>
      <c r="AY154" s="286" t="e">
        <f t="shared" si="137"/>
        <v>#N/A</v>
      </c>
      <c r="AZ154" s="245" t="e">
        <f t="shared" si="171"/>
        <v>#N/A</v>
      </c>
      <c r="BA154" s="245" t="e">
        <f t="shared" si="138"/>
        <v>#N/A</v>
      </c>
      <c r="BB154" s="288">
        <f t="shared" si="172"/>
        <v>7</v>
      </c>
      <c r="BC154" s="289" t="e">
        <f t="shared" si="173"/>
        <v>#N/A</v>
      </c>
      <c r="BD154" s="290" t="e">
        <f t="shared" si="174"/>
        <v>#N/A</v>
      </c>
      <c r="BE154" s="263" t="e">
        <f t="shared" si="139"/>
        <v>#N/A</v>
      </c>
      <c r="BF154" s="260">
        <f t="shared" si="175"/>
        <v>7</v>
      </c>
      <c r="BG154" s="289" t="e">
        <f t="shared" si="176"/>
        <v>#N/A</v>
      </c>
      <c r="BH154" s="290" t="e">
        <f t="shared" si="177"/>
        <v>#N/A</v>
      </c>
      <c r="BI154" s="263" t="e">
        <f t="shared" si="140"/>
        <v>#N/A</v>
      </c>
      <c r="BJ154" s="264">
        <f t="shared" si="178"/>
        <v>7</v>
      </c>
      <c r="BK154" s="291" t="e">
        <f t="shared" si="179"/>
        <v>#N/A</v>
      </c>
      <c r="BL154" s="291" t="e">
        <f t="shared" si="180"/>
        <v>#N/A</v>
      </c>
      <c r="BM154" s="292" t="e">
        <f t="shared" si="141"/>
        <v>#N/A</v>
      </c>
      <c r="BN154" s="293">
        <f t="shared" si="181"/>
        <v>7</v>
      </c>
      <c r="BO154" s="294" t="e">
        <f t="shared" si="182"/>
        <v>#N/A</v>
      </c>
      <c r="BP154" s="294" t="e">
        <f t="shared" si="183"/>
        <v>#N/A</v>
      </c>
      <c r="BQ154" s="292" t="e">
        <f t="shared" si="142"/>
        <v>#N/A</v>
      </c>
      <c r="BR154" s="295" t="e">
        <f t="shared" si="143"/>
        <v>#N/A</v>
      </c>
      <c r="BS154" s="230" t="e">
        <f>VLOOKUP($B154,SDR22_STOCK_BY_LA!$A$2:$C$11679,3,0)</f>
        <v>#N/A</v>
      </c>
      <c r="BT154" s="230" t="str">
        <f t="shared" si="184"/>
        <v/>
      </c>
    </row>
    <row r="155" spans="1:72" ht="12.5" x14ac:dyDescent="0.25">
      <c r="A155" s="269" t="str">
        <f t="shared" si="185"/>
        <v/>
      </c>
      <c r="B155" s="230" t="str">
        <f t="shared" si="186"/>
        <v/>
      </c>
      <c r="C155" s="270" t="str">
        <f t="shared" si="144"/>
        <v/>
      </c>
      <c r="D155" s="269" t="str">
        <f>IF(B155="","",IF(totals!$Q$3=0,IFERROR(IF(AD155=2,"0",AE155),""),"-"))</f>
        <v/>
      </c>
      <c r="E155" s="271" t="str">
        <f t="shared" si="145"/>
        <v/>
      </c>
      <c r="F155" s="272" t="str">
        <f t="shared" si="146"/>
        <v/>
      </c>
      <c r="G155" s="272" t="str">
        <f t="shared" si="147"/>
        <v/>
      </c>
      <c r="H155" s="269" t="str">
        <f t="shared" si="125"/>
        <v/>
      </c>
      <c r="I155" s="272" t="str">
        <f t="shared" si="148"/>
        <v/>
      </c>
      <c r="J155" s="272" t="str">
        <f t="shared" si="149"/>
        <v/>
      </c>
      <c r="K155" s="269" t="str">
        <f t="shared" si="126"/>
        <v/>
      </c>
      <c r="L155" s="272" t="str">
        <f t="shared" si="127"/>
        <v/>
      </c>
      <c r="M155" s="272" t="str">
        <f t="shared" si="150"/>
        <v/>
      </c>
      <c r="N155" s="269" t="str">
        <f t="shared" si="151"/>
        <v/>
      </c>
      <c r="O155" s="272" t="str">
        <f t="shared" si="152"/>
        <v/>
      </c>
      <c r="P155" s="272" t="str">
        <f t="shared" si="153"/>
        <v/>
      </c>
      <c r="Q155" s="269" t="str">
        <f t="shared" si="154"/>
        <v/>
      </c>
      <c r="R155" s="272" t="str">
        <f t="shared" si="155"/>
        <v/>
      </c>
      <c r="S155" s="272" t="str">
        <f t="shared" si="156"/>
        <v/>
      </c>
      <c r="T155" s="269" t="str">
        <f t="shared" si="157"/>
        <v/>
      </c>
      <c r="U155" s="230"/>
      <c r="V155" s="230"/>
      <c r="AB155" s="270" t="e">
        <f>VLOOKUP($B$6,Lookup_Source,148,0)</f>
        <v>#N/A</v>
      </c>
      <c r="AC155" s="254" t="str">
        <f t="shared" si="158"/>
        <v/>
      </c>
      <c r="AD155" s="255">
        <f t="shared" si="159"/>
        <v>7</v>
      </c>
      <c r="AE155" s="274" t="e">
        <f t="shared" si="128"/>
        <v>#N/A</v>
      </c>
      <c r="AF155" s="277" t="e">
        <f t="shared" si="160"/>
        <v>#N/A</v>
      </c>
      <c r="AG155" s="277" t="e">
        <f t="shared" si="161"/>
        <v>#N/A</v>
      </c>
      <c r="AH155" s="276" t="e">
        <f t="shared" si="129"/>
        <v>#N/A</v>
      </c>
      <c r="AI155" s="239">
        <f t="shared" si="162"/>
        <v>7</v>
      </c>
      <c r="AJ155" s="277" t="e">
        <f t="shared" si="130"/>
        <v>#N/A</v>
      </c>
      <c r="AK155" s="277" t="e">
        <f t="shared" si="163"/>
        <v>#N/A</v>
      </c>
      <c r="AL155" s="239" t="e">
        <f t="shared" si="131"/>
        <v>#N/A</v>
      </c>
      <c r="AM155" s="278" t="e">
        <f t="shared" si="164"/>
        <v>#N/A</v>
      </c>
      <c r="AN155" s="279" t="e">
        <f t="shared" si="132"/>
        <v>#N/A</v>
      </c>
      <c r="AO155" s="240" t="e">
        <f t="shared" si="133"/>
        <v>#N/A</v>
      </c>
      <c r="AP155" s="297">
        <f t="shared" si="165"/>
        <v>7</v>
      </c>
      <c r="AQ155" s="298" t="e">
        <f t="shared" si="134"/>
        <v>#N/A</v>
      </c>
      <c r="AR155" s="279" t="e">
        <f t="shared" si="166"/>
        <v>#N/A</v>
      </c>
      <c r="AS155" s="283" t="e">
        <f t="shared" si="135"/>
        <v>#N/A</v>
      </c>
      <c r="AT155" s="284">
        <f t="shared" si="167"/>
        <v>7</v>
      </c>
      <c r="AU155" s="285" t="e">
        <f t="shared" si="168"/>
        <v>#N/A</v>
      </c>
      <c r="AV155" s="286" t="e">
        <f t="shared" si="169"/>
        <v>#N/A</v>
      </c>
      <c r="AW155" s="287" t="e">
        <f t="shared" si="136"/>
        <v>#N/A</v>
      </c>
      <c r="AX155" s="245">
        <f t="shared" si="170"/>
        <v>7</v>
      </c>
      <c r="AY155" s="286" t="e">
        <f t="shared" si="137"/>
        <v>#N/A</v>
      </c>
      <c r="AZ155" s="245" t="e">
        <f t="shared" si="171"/>
        <v>#N/A</v>
      </c>
      <c r="BA155" s="245" t="e">
        <f t="shared" si="138"/>
        <v>#N/A</v>
      </c>
      <c r="BB155" s="288">
        <f t="shared" si="172"/>
        <v>7</v>
      </c>
      <c r="BC155" s="289" t="e">
        <f t="shared" si="173"/>
        <v>#N/A</v>
      </c>
      <c r="BD155" s="290" t="e">
        <f t="shared" si="174"/>
        <v>#N/A</v>
      </c>
      <c r="BE155" s="263" t="e">
        <f t="shared" si="139"/>
        <v>#N/A</v>
      </c>
      <c r="BF155" s="260">
        <f t="shared" si="175"/>
        <v>7</v>
      </c>
      <c r="BG155" s="289" t="e">
        <f t="shared" si="176"/>
        <v>#N/A</v>
      </c>
      <c r="BH155" s="290" t="e">
        <f t="shared" si="177"/>
        <v>#N/A</v>
      </c>
      <c r="BI155" s="263" t="e">
        <f t="shared" si="140"/>
        <v>#N/A</v>
      </c>
      <c r="BJ155" s="264">
        <f t="shared" si="178"/>
        <v>7</v>
      </c>
      <c r="BK155" s="291" t="e">
        <f t="shared" si="179"/>
        <v>#N/A</v>
      </c>
      <c r="BL155" s="291" t="e">
        <f t="shared" si="180"/>
        <v>#N/A</v>
      </c>
      <c r="BM155" s="292" t="e">
        <f t="shared" si="141"/>
        <v>#N/A</v>
      </c>
      <c r="BN155" s="293">
        <f t="shared" si="181"/>
        <v>7</v>
      </c>
      <c r="BO155" s="294" t="e">
        <f t="shared" si="182"/>
        <v>#N/A</v>
      </c>
      <c r="BP155" s="294" t="e">
        <f t="shared" si="183"/>
        <v>#N/A</v>
      </c>
      <c r="BQ155" s="292" t="e">
        <f t="shared" si="142"/>
        <v>#N/A</v>
      </c>
      <c r="BR155" s="295" t="e">
        <f t="shared" si="143"/>
        <v>#N/A</v>
      </c>
      <c r="BS155" s="230" t="e">
        <f>VLOOKUP($B155,SDR22_STOCK_BY_LA!$A$2:$C$11679,3,0)</f>
        <v>#N/A</v>
      </c>
      <c r="BT155" s="230" t="str">
        <f t="shared" si="184"/>
        <v/>
      </c>
    </row>
    <row r="156" spans="1:72" ht="12.5" x14ac:dyDescent="0.25">
      <c r="A156" s="230" t="str">
        <f t="shared" si="185"/>
        <v/>
      </c>
      <c r="B156" s="230" t="str">
        <f t="shared" si="186"/>
        <v/>
      </c>
      <c r="C156" s="296" t="str">
        <f t="shared" si="144"/>
        <v/>
      </c>
      <c r="D156" s="269" t="str">
        <f>IF(B156="","",IF(totals!$Q$3=0,IFERROR(IF(AD156=2,"0",AE156),""),"-"))</f>
        <v/>
      </c>
      <c r="E156" s="271" t="str">
        <f t="shared" si="145"/>
        <v/>
      </c>
      <c r="F156" s="272" t="str">
        <f t="shared" si="146"/>
        <v/>
      </c>
      <c r="G156" s="272" t="str">
        <f t="shared" si="147"/>
        <v/>
      </c>
      <c r="H156" s="269" t="str">
        <f t="shared" si="125"/>
        <v/>
      </c>
      <c r="I156" s="272" t="str">
        <f t="shared" si="148"/>
        <v/>
      </c>
      <c r="J156" s="272" t="str">
        <f t="shared" si="149"/>
        <v/>
      </c>
      <c r="K156" s="269" t="str">
        <f t="shared" si="126"/>
        <v/>
      </c>
      <c r="L156" s="272" t="str">
        <f t="shared" si="127"/>
        <v/>
      </c>
      <c r="M156" s="272" t="str">
        <f t="shared" si="150"/>
        <v/>
      </c>
      <c r="N156" s="269" t="str">
        <f t="shared" si="151"/>
        <v/>
      </c>
      <c r="O156" s="272" t="str">
        <f t="shared" si="152"/>
        <v/>
      </c>
      <c r="P156" s="272" t="str">
        <f t="shared" si="153"/>
        <v/>
      </c>
      <c r="Q156" s="269" t="str">
        <f t="shared" si="154"/>
        <v/>
      </c>
      <c r="R156" s="272" t="str">
        <f t="shared" si="155"/>
        <v/>
      </c>
      <c r="S156" s="272" t="str">
        <f t="shared" si="156"/>
        <v/>
      </c>
      <c r="T156" s="269" t="str">
        <f t="shared" si="157"/>
        <v/>
      </c>
      <c r="U156" s="230"/>
      <c r="V156" s="230"/>
      <c r="AB156" s="230" t="e">
        <f>VLOOKUP($B$6,Lookup_Source,149,0)</f>
        <v>#N/A</v>
      </c>
      <c r="AC156" s="254" t="str">
        <f t="shared" si="158"/>
        <v/>
      </c>
      <c r="AD156" s="255">
        <f t="shared" si="159"/>
        <v>7</v>
      </c>
      <c r="AE156" s="274" t="e">
        <f t="shared" si="128"/>
        <v>#N/A</v>
      </c>
      <c r="AF156" s="277" t="e">
        <f t="shared" si="160"/>
        <v>#N/A</v>
      </c>
      <c r="AG156" s="277" t="e">
        <f t="shared" si="161"/>
        <v>#N/A</v>
      </c>
      <c r="AH156" s="276" t="e">
        <f t="shared" si="129"/>
        <v>#N/A</v>
      </c>
      <c r="AI156" s="239">
        <f t="shared" si="162"/>
        <v>7</v>
      </c>
      <c r="AJ156" s="277" t="e">
        <f t="shared" si="130"/>
        <v>#N/A</v>
      </c>
      <c r="AK156" s="277" t="e">
        <f t="shared" si="163"/>
        <v>#N/A</v>
      </c>
      <c r="AL156" s="239" t="e">
        <f t="shared" si="131"/>
        <v>#N/A</v>
      </c>
      <c r="AM156" s="278" t="e">
        <f t="shared" si="164"/>
        <v>#N/A</v>
      </c>
      <c r="AN156" s="279" t="e">
        <f t="shared" si="132"/>
        <v>#N/A</v>
      </c>
      <c r="AO156" s="240" t="e">
        <f t="shared" si="133"/>
        <v>#N/A</v>
      </c>
      <c r="AP156" s="297">
        <f t="shared" si="165"/>
        <v>7</v>
      </c>
      <c r="AQ156" s="298" t="e">
        <f t="shared" si="134"/>
        <v>#N/A</v>
      </c>
      <c r="AR156" s="279" t="e">
        <f t="shared" si="166"/>
        <v>#N/A</v>
      </c>
      <c r="AS156" s="283" t="e">
        <f t="shared" si="135"/>
        <v>#N/A</v>
      </c>
      <c r="AT156" s="284">
        <f t="shared" si="167"/>
        <v>7</v>
      </c>
      <c r="AU156" s="285" t="e">
        <f t="shared" si="168"/>
        <v>#N/A</v>
      </c>
      <c r="AV156" s="286" t="e">
        <f t="shared" si="169"/>
        <v>#N/A</v>
      </c>
      <c r="AW156" s="287" t="e">
        <f t="shared" si="136"/>
        <v>#N/A</v>
      </c>
      <c r="AX156" s="245">
        <f t="shared" si="170"/>
        <v>7</v>
      </c>
      <c r="AY156" s="286" t="e">
        <f t="shared" si="137"/>
        <v>#N/A</v>
      </c>
      <c r="AZ156" s="245" t="e">
        <f t="shared" si="171"/>
        <v>#N/A</v>
      </c>
      <c r="BA156" s="245" t="e">
        <f t="shared" si="138"/>
        <v>#N/A</v>
      </c>
      <c r="BB156" s="288">
        <f t="shared" si="172"/>
        <v>7</v>
      </c>
      <c r="BC156" s="289" t="e">
        <f t="shared" si="173"/>
        <v>#N/A</v>
      </c>
      <c r="BD156" s="290" t="e">
        <f t="shared" si="174"/>
        <v>#N/A</v>
      </c>
      <c r="BE156" s="263" t="e">
        <f t="shared" si="139"/>
        <v>#N/A</v>
      </c>
      <c r="BF156" s="260">
        <f t="shared" si="175"/>
        <v>7</v>
      </c>
      <c r="BG156" s="289" t="e">
        <f t="shared" si="176"/>
        <v>#N/A</v>
      </c>
      <c r="BH156" s="290" t="e">
        <f t="shared" si="177"/>
        <v>#N/A</v>
      </c>
      <c r="BI156" s="263" t="e">
        <f t="shared" si="140"/>
        <v>#N/A</v>
      </c>
      <c r="BJ156" s="264">
        <f t="shared" si="178"/>
        <v>7</v>
      </c>
      <c r="BK156" s="291" t="e">
        <f t="shared" si="179"/>
        <v>#N/A</v>
      </c>
      <c r="BL156" s="291" t="e">
        <f t="shared" si="180"/>
        <v>#N/A</v>
      </c>
      <c r="BM156" s="292" t="e">
        <f t="shared" si="141"/>
        <v>#N/A</v>
      </c>
      <c r="BN156" s="293">
        <f t="shared" si="181"/>
        <v>7</v>
      </c>
      <c r="BO156" s="294" t="e">
        <f t="shared" si="182"/>
        <v>#N/A</v>
      </c>
      <c r="BP156" s="294" t="e">
        <f t="shared" si="183"/>
        <v>#N/A</v>
      </c>
      <c r="BQ156" s="292" t="e">
        <f t="shared" si="142"/>
        <v>#N/A</v>
      </c>
      <c r="BR156" s="295" t="e">
        <f t="shared" si="143"/>
        <v>#N/A</v>
      </c>
      <c r="BS156" s="230" t="e">
        <f>VLOOKUP($B156,SDR22_STOCK_BY_LA!$A$2:$C$11679,3,0)</f>
        <v>#N/A</v>
      </c>
      <c r="BT156" s="230" t="str">
        <f t="shared" si="184"/>
        <v/>
      </c>
    </row>
    <row r="157" spans="1:72" ht="12.5" x14ac:dyDescent="0.25">
      <c r="A157" s="269" t="str">
        <f t="shared" si="185"/>
        <v/>
      </c>
      <c r="B157" s="230" t="str">
        <f t="shared" si="186"/>
        <v/>
      </c>
      <c r="C157" s="270" t="str">
        <f t="shared" si="144"/>
        <v/>
      </c>
      <c r="D157" s="269" t="str">
        <f>IF(B157="","",IF(totals!$Q$3=0,IFERROR(IF(AD157=2,"0",AE157),""),"-"))</f>
        <v/>
      </c>
      <c r="E157" s="271" t="str">
        <f t="shared" si="145"/>
        <v/>
      </c>
      <c r="F157" s="272" t="str">
        <f t="shared" si="146"/>
        <v/>
      </c>
      <c r="G157" s="272" t="str">
        <f t="shared" si="147"/>
        <v/>
      </c>
      <c r="H157" s="269" t="str">
        <f t="shared" si="125"/>
        <v/>
      </c>
      <c r="I157" s="272" t="str">
        <f t="shared" si="148"/>
        <v/>
      </c>
      <c r="J157" s="272" t="str">
        <f t="shared" si="149"/>
        <v/>
      </c>
      <c r="K157" s="269" t="str">
        <f t="shared" si="126"/>
        <v/>
      </c>
      <c r="L157" s="272" t="str">
        <f t="shared" si="127"/>
        <v/>
      </c>
      <c r="M157" s="272" t="str">
        <f t="shared" si="150"/>
        <v/>
      </c>
      <c r="N157" s="269" t="str">
        <f t="shared" si="151"/>
        <v/>
      </c>
      <c r="O157" s="272" t="str">
        <f t="shared" si="152"/>
        <v/>
      </c>
      <c r="P157" s="272" t="str">
        <f t="shared" si="153"/>
        <v/>
      </c>
      <c r="Q157" s="269" t="str">
        <f t="shared" si="154"/>
        <v/>
      </c>
      <c r="R157" s="272" t="str">
        <f t="shared" si="155"/>
        <v/>
      </c>
      <c r="S157" s="272" t="str">
        <f t="shared" si="156"/>
        <v/>
      </c>
      <c r="T157" s="269" t="str">
        <f t="shared" si="157"/>
        <v/>
      </c>
      <c r="U157" s="230"/>
      <c r="V157" s="230"/>
      <c r="AB157" s="270" t="e">
        <f>VLOOKUP($B$6,Lookup_Source,150,0)</f>
        <v>#N/A</v>
      </c>
      <c r="AC157" s="254" t="str">
        <f t="shared" si="158"/>
        <v/>
      </c>
      <c r="AD157" s="255">
        <f t="shared" si="159"/>
        <v>7</v>
      </c>
      <c r="AE157" s="274" t="e">
        <f t="shared" si="128"/>
        <v>#N/A</v>
      </c>
      <c r="AF157" s="277" t="e">
        <f t="shared" si="160"/>
        <v>#N/A</v>
      </c>
      <c r="AG157" s="277" t="e">
        <f t="shared" si="161"/>
        <v>#N/A</v>
      </c>
      <c r="AH157" s="276" t="e">
        <f t="shared" si="129"/>
        <v>#N/A</v>
      </c>
      <c r="AI157" s="239">
        <f t="shared" si="162"/>
        <v>7</v>
      </c>
      <c r="AJ157" s="277" t="e">
        <f t="shared" si="130"/>
        <v>#N/A</v>
      </c>
      <c r="AK157" s="277" t="e">
        <f t="shared" si="163"/>
        <v>#N/A</v>
      </c>
      <c r="AL157" s="239" t="e">
        <f t="shared" si="131"/>
        <v>#N/A</v>
      </c>
      <c r="AM157" s="278" t="e">
        <f t="shared" si="164"/>
        <v>#N/A</v>
      </c>
      <c r="AN157" s="279" t="e">
        <f t="shared" si="132"/>
        <v>#N/A</v>
      </c>
      <c r="AO157" s="240" t="e">
        <f t="shared" si="133"/>
        <v>#N/A</v>
      </c>
      <c r="AP157" s="297">
        <f t="shared" si="165"/>
        <v>7</v>
      </c>
      <c r="AQ157" s="298" t="e">
        <f t="shared" si="134"/>
        <v>#N/A</v>
      </c>
      <c r="AR157" s="279" t="e">
        <f t="shared" si="166"/>
        <v>#N/A</v>
      </c>
      <c r="AS157" s="283" t="e">
        <f t="shared" si="135"/>
        <v>#N/A</v>
      </c>
      <c r="AT157" s="284">
        <f t="shared" si="167"/>
        <v>7</v>
      </c>
      <c r="AU157" s="285" t="e">
        <f t="shared" si="168"/>
        <v>#N/A</v>
      </c>
      <c r="AV157" s="286" t="e">
        <f t="shared" si="169"/>
        <v>#N/A</v>
      </c>
      <c r="AW157" s="287" t="e">
        <f t="shared" si="136"/>
        <v>#N/A</v>
      </c>
      <c r="AX157" s="245">
        <f t="shared" si="170"/>
        <v>7</v>
      </c>
      <c r="AY157" s="286" t="e">
        <f t="shared" si="137"/>
        <v>#N/A</v>
      </c>
      <c r="AZ157" s="245" t="e">
        <f t="shared" si="171"/>
        <v>#N/A</v>
      </c>
      <c r="BA157" s="245" t="e">
        <f t="shared" si="138"/>
        <v>#N/A</v>
      </c>
      <c r="BB157" s="288">
        <f t="shared" si="172"/>
        <v>7</v>
      </c>
      <c r="BC157" s="289" t="e">
        <f t="shared" si="173"/>
        <v>#N/A</v>
      </c>
      <c r="BD157" s="290" t="e">
        <f t="shared" si="174"/>
        <v>#N/A</v>
      </c>
      <c r="BE157" s="263" t="e">
        <f t="shared" si="139"/>
        <v>#N/A</v>
      </c>
      <c r="BF157" s="260">
        <f t="shared" si="175"/>
        <v>7</v>
      </c>
      <c r="BG157" s="289" t="e">
        <f t="shared" si="176"/>
        <v>#N/A</v>
      </c>
      <c r="BH157" s="290" t="e">
        <f t="shared" si="177"/>
        <v>#N/A</v>
      </c>
      <c r="BI157" s="263" t="e">
        <f t="shared" si="140"/>
        <v>#N/A</v>
      </c>
      <c r="BJ157" s="264">
        <f t="shared" si="178"/>
        <v>7</v>
      </c>
      <c r="BK157" s="291" t="e">
        <f t="shared" si="179"/>
        <v>#N/A</v>
      </c>
      <c r="BL157" s="291" t="e">
        <f t="shared" si="180"/>
        <v>#N/A</v>
      </c>
      <c r="BM157" s="292" t="e">
        <f t="shared" si="141"/>
        <v>#N/A</v>
      </c>
      <c r="BN157" s="293">
        <f t="shared" si="181"/>
        <v>7</v>
      </c>
      <c r="BO157" s="294" t="e">
        <f t="shared" si="182"/>
        <v>#N/A</v>
      </c>
      <c r="BP157" s="294" t="e">
        <f t="shared" si="183"/>
        <v>#N/A</v>
      </c>
      <c r="BQ157" s="292" t="e">
        <f t="shared" si="142"/>
        <v>#N/A</v>
      </c>
      <c r="BR157" s="295" t="e">
        <f t="shared" si="143"/>
        <v>#N/A</v>
      </c>
      <c r="BS157" s="230" t="e">
        <f>VLOOKUP($B157,SDR22_STOCK_BY_LA!$A$2:$C$11679,3,0)</f>
        <v>#N/A</v>
      </c>
      <c r="BT157" s="230" t="str">
        <f t="shared" si="184"/>
        <v/>
      </c>
    </row>
    <row r="158" spans="1:72" ht="12.5" x14ac:dyDescent="0.25">
      <c r="A158" s="230" t="str">
        <f t="shared" si="185"/>
        <v/>
      </c>
      <c r="B158" s="230" t="str">
        <f t="shared" si="186"/>
        <v/>
      </c>
      <c r="C158" s="296" t="str">
        <f t="shared" si="144"/>
        <v/>
      </c>
      <c r="D158" s="269" t="str">
        <f>IF(B158="","",IF(totals!$Q$3=0,IFERROR(IF(AD158=2,"0",AE158),""),"-"))</f>
        <v/>
      </c>
      <c r="E158" s="271" t="str">
        <f t="shared" si="145"/>
        <v/>
      </c>
      <c r="F158" s="272" t="str">
        <f t="shared" si="146"/>
        <v/>
      </c>
      <c r="G158" s="272" t="str">
        <f t="shared" si="147"/>
        <v/>
      </c>
      <c r="H158" s="269" t="str">
        <f t="shared" si="125"/>
        <v/>
      </c>
      <c r="I158" s="272" t="str">
        <f t="shared" si="148"/>
        <v/>
      </c>
      <c r="J158" s="272" t="str">
        <f t="shared" si="149"/>
        <v/>
      </c>
      <c r="K158" s="269" t="str">
        <f t="shared" si="126"/>
        <v/>
      </c>
      <c r="L158" s="272" t="str">
        <f t="shared" si="127"/>
        <v/>
      </c>
      <c r="M158" s="272" t="str">
        <f t="shared" si="150"/>
        <v/>
      </c>
      <c r="N158" s="269" t="str">
        <f t="shared" si="151"/>
        <v/>
      </c>
      <c r="O158" s="272" t="str">
        <f t="shared" si="152"/>
        <v/>
      </c>
      <c r="P158" s="272" t="str">
        <f t="shared" si="153"/>
        <v/>
      </c>
      <c r="Q158" s="269" t="str">
        <f t="shared" si="154"/>
        <v/>
      </c>
      <c r="R158" s="272" t="str">
        <f t="shared" si="155"/>
        <v/>
      </c>
      <c r="S158" s="272" t="str">
        <f t="shared" si="156"/>
        <v/>
      </c>
      <c r="T158" s="269" t="str">
        <f t="shared" si="157"/>
        <v/>
      </c>
      <c r="U158" s="230"/>
      <c r="V158" s="230"/>
      <c r="AB158" s="230" t="e">
        <f>VLOOKUP($B$6,Lookup_Source,151,0)</f>
        <v>#N/A</v>
      </c>
      <c r="AC158" s="254" t="str">
        <f t="shared" si="158"/>
        <v/>
      </c>
      <c r="AD158" s="255">
        <f t="shared" si="159"/>
        <v>7</v>
      </c>
      <c r="AE158" s="274" t="e">
        <f t="shared" si="128"/>
        <v>#N/A</v>
      </c>
      <c r="AF158" s="277" t="e">
        <f t="shared" si="160"/>
        <v>#N/A</v>
      </c>
      <c r="AG158" s="277" t="e">
        <f t="shared" si="161"/>
        <v>#N/A</v>
      </c>
      <c r="AH158" s="276" t="e">
        <f t="shared" si="129"/>
        <v>#N/A</v>
      </c>
      <c r="AI158" s="239">
        <f t="shared" si="162"/>
        <v>7</v>
      </c>
      <c r="AJ158" s="277" t="e">
        <f t="shared" si="130"/>
        <v>#N/A</v>
      </c>
      <c r="AK158" s="277" t="e">
        <f t="shared" si="163"/>
        <v>#N/A</v>
      </c>
      <c r="AL158" s="239" t="e">
        <f t="shared" si="131"/>
        <v>#N/A</v>
      </c>
      <c r="AM158" s="278" t="e">
        <f t="shared" si="164"/>
        <v>#N/A</v>
      </c>
      <c r="AN158" s="279" t="e">
        <f t="shared" si="132"/>
        <v>#N/A</v>
      </c>
      <c r="AO158" s="240" t="e">
        <f t="shared" si="133"/>
        <v>#N/A</v>
      </c>
      <c r="AP158" s="297">
        <f t="shared" si="165"/>
        <v>7</v>
      </c>
      <c r="AQ158" s="298" t="e">
        <f t="shared" si="134"/>
        <v>#N/A</v>
      </c>
      <c r="AR158" s="279" t="e">
        <f t="shared" si="166"/>
        <v>#N/A</v>
      </c>
      <c r="AS158" s="283" t="e">
        <f t="shared" si="135"/>
        <v>#N/A</v>
      </c>
      <c r="AT158" s="284">
        <f t="shared" si="167"/>
        <v>7</v>
      </c>
      <c r="AU158" s="285" t="e">
        <f t="shared" si="168"/>
        <v>#N/A</v>
      </c>
      <c r="AV158" s="286" t="e">
        <f t="shared" si="169"/>
        <v>#N/A</v>
      </c>
      <c r="AW158" s="287" t="e">
        <f t="shared" si="136"/>
        <v>#N/A</v>
      </c>
      <c r="AX158" s="245">
        <f t="shared" si="170"/>
        <v>7</v>
      </c>
      <c r="AY158" s="286" t="e">
        <f t="shared" si="137"/>
        <v>#N/A</v>
      </c>
      <c r="AZ158" s="245" t="e">
        <f t="shared" si="171"/>
        <v>#N/A</v>
      </c>
      <c r="BA158" s="245" t="e">
        <f t="shared" si="138"/>
        <v>#N/A</v>
      </c>
      <c r="BB158" s="288">
        <f t="shared" si="172"/>
        <v>7</v>
      </c>
      <c r="BC158" s="289" t="e">
        <f t="shared" si="173"/>
        <v>#N/A</v>
      </c>
      <c r="BD158" s="290" t="e">
        <f t="shared" si="174"/>
        <v>#N/A</v>
      </c>
      <c r="BE158" s="263" t="e">
        <f t="shared" si="139"/>
        <v>#N/A</v>
      </c>
      <c r="BF158" s="260">
        <f t="shared" si="175"/>
        <v>7</v>
      </c>
      <c r="BG158" s="289" t="e">
        <f t="shared" si="176"/>
        <v>#N/A</v>
      </c>
      <c r="BH158" s="290" t="e">
        <f t="shared" si="177"/>
        <v>#N/A</v>
      </c>
      <c r="BI158" s="263" t="e">
        <f t="shared" si="140"/>
        <v>#N/A</v>
      </c>
      <c r="BJ158" s="264">
        <f t="shared" si="178"/>
        <v>7</v>
      </c>
      <c r="BK158" s="291" t="e">
        <f t="shared" si="179"/>
        <v>#N/A</v>
      </c>
      <c r="BL158" s="291" t="e">
        <f t="shared" si="180"/>
        <v>#N/A</v>
      </c>
      <c r="BM158" s="292" t="e">
        <f t="shared" si="141"/>
        <v>#N/A</v>
      </c>
      <c r="BN158" s="293">
        <f t="shared" si="181"/>
        <v>7</v>
      </c>
      <c r="BO158" s="294" t="e">
        <f t="shared" si="182"/>
        <v>#N/A</v>
      </c>
      <c r="BP158" s="294" t="e">
        <f t="shared" si="183"/>
        <v>#N/A</v>
      </c>
      <c r="BQ158" s="292" t="e">
        <f t="shared" si="142"/>
        <v>#N/A</v>
      </c>
      <c r="BR158" s="295" t="e">
        <f t="shared" si="143"/>
        <v>#N/A</v>
      </c>
      <c r="BS158" s="230" t="e">
        <f>VLOOKUP($B158,SDR22_STOCK_BY_LA!$A$2:$C$11679,3,0)</f>
        <v>#N/A</v>
      </c>
      <c r="BT158" s="230" t="str">
        <f t="shared" si="184"/>
        <v/>
      </c>
    </row>
    <row r="159" spans="1:72" ht="12.5" x14ac:dyDescent="0.25">
      <c r="A159" s="269" t="str">
        <f t="shared" si="185"/>
        <v/>
      </c>
      <c r="B159" s="230" t="str">
        <f t="shared" si="186"/>
        <v/>
      </c>
      <c r="C159" s="270" t="str">
        <f t="shared" si="144"/>
        <v/>
      </c>
      <c r="D159" s="269" t="str">
        <f>IF(B159="","",IF(totals!$Q$3=0,IFERROR(IF(AD159=2,"0",AE159),""),"-"))</f>
        <v/>
      </c>
      <c r="E159" s="271" t="str">
        <f t="shared" si="145"/>
        <v/>
      </c>
      <c r="F159" s="272" t="str">
        <f t="shared" si="146"/>
        <v/>
      </c>
      <c r="G159" s="272" t="str">
        <f t="shared" si="147"/>
        <v/>
      </c>
      <c r="H159" s="269" t="str">
        <f t="shared" si="125"/>
        <v/>
      </c>
      <c r="I159" s="272" t="str">
        <f t="shared" si="148"/>
        <v/>
      </c>
      <c r="J159" s="272" t="str">
        <f t="shared" si="149"/>
        <v/>
      </c>
      <c r="K159" s="269" t="str">
        <f t="shared" si="126"/>
        <v/>
      </c>
      <c r="L159" s="272" t="str">
        <f t="shared" si="127"/>
        <v/>
      </c>
      <c r="M159" s="272" t="str">
        <f t="shared" si="150"/>
        <v/>
      </c>
      <c r="N159" s="269" t="str">
        <f t="shared" si="151"/>
        <v/>
      </c>
      <c r="O159" s="272" t="str">
        <f t="shared" si="152"/>
        <v/>
      </c>
      <c r="P159" s="272" t="str">
        <f t="shared" si="153"/>
        <v/>
      </c>
      <c r="Q159" s="269" t="str">
        <f t="shared" si="154"/>
        <v/>
      </c>
      <c r="R159" s="272" t="str">
        <f t="shared" si="155"/>
        <v/>
      </c>
      <c r="S159" s="272" t="str">
        <f t="shared" si="156"/>
        <v/>
      </c>
      <c r="T159" s="269" t="str">
        <f t="shared" si="157"/>
        <v/>
      </c>
      <c r="U159" s="230"/>
      <c r="V159" s="230"/>
      <c r="AB159" s="270" t="e">
        <f>VLOOKUP($B$6,Lookup_Source,152,0)</f>
        <v>#N/A</v>
      </c>
      <c r="AC159" s="254" t="str">
        <f t="shared" si="158"/>
        <v/>
      </c>
      <c r="AD159" s="255">
        <f t="shared" si="159"/>
        <v>7</v>
      </c>
      <c r="AE159" s="274" t="e">
        <f t="shared" si="128"/>
        <v>#N/A</v>
      </c>
      <c r="AF159" s="277" t="e">
        <f t="shared" si="160"/>
        <v>#N/A</v>
      </c>
      <c r="AG159" s="277" t="e">
        <f t="shared" si="161"/>
        <v>#N/A</v>
      </c>
      <c r="AH159" s="276" t="e">
        <f t="shared" si="129"/>
        <v>#N/A</v>
      </c>
      <c r="AI159" s="239">
        <f t="shared" si="162"/>
        <v>7</v>
      </c>
      <c r="AJ159" s="277" t="e">
        <f t="shared" si="130"/>
        <v>#N/A</v>
      </c>
      <c r="AK159" s="277" t="e">
        <f t="shared" si="163"/>
        <v>#N/A</v>
      </c>
      <c r="AL159" s="239" t="e">
        <f t="shared" si="131"/>
        <v>#N/A</v>
      </c>
      <c r="AM159" s="278" t="e">
        <f t="shared" si="164"/>
        <v>#N/A</v>
      </c>
      <c r="AN159" s="279" t="e">
        <f t="shared" si="132"/>
        <v>#N/A</v>
      </c>
      <c r="AO159" s="240" t="e">
        <f t="shared" si="133"/>
        <v>#N/A</v>
      </c>
      <c r="AP159" s="297">
        <f t="shared" si="165"/>
        <v>7</v>
      </c>
      <c r="AQ159" s="298" t="e">
        <f t="shared" si="134"/>
        <v>#N/A</v>
      </c>
      <c r="AR159" s="279" t="e">
        <f t="shared" si="166"/>
        <v>#N/A</v>
      </c>
      <c r="AS159" s="283" t="e">
        <f t="shared" si="135"/>
        <v>#N/A</v>
      </c>
      <c r="AT159" s="284">
        <f t="shared" si="167"/>
        <v>7</v>
      </c>
      <c r="AU159" s="285" t="e">
        <f t="shared" si="168"/>
        <v>#N/A</v>
      </c>
      <c r="AV159" s="286" t="e">
        <f t="shared" si="169"/>
        <v>#N/A</v>
      </c>
      <c r="AW159" s="287" t="e">
        <f t="shared" si="136"/>
        <v>#N/A</v>
      </c>
      <c r="AX159" s="245">
        <f t="shared" si="170"/>
        <v>7</v>
      </c>
      <c r="AY159" s="286" t="e">
        <f t="shared" si="137"/>
        <v>#N/A</v>
      </c>
      <c r="AZ159" s="245" t="e">
        <f t="shared" si="171"/>
        <v>#N/A</v>
      </c>
      <c r="BA159" s="245" t="e">
        <f t="shared" si="138"/>
        <v>#N/A</v>
      </c>
      <c r="BB159" s="288">
        <f t="shared" si="172"/>
        <v>7</v>
      </c>
      <c r="BC159" s="289" t="e">
        <f t="shared" si="173"/>
        <v>#N/A</v>
      </c>
      <c r="BD159" s="290" t="e">
        <f t="shared" si="174"/>
        <v>#N/A</v>
      </c>
      <c r="BE159" s="263" t="e">
        <f t="shared" si="139"/>
        <v>#N/A</v>
      </c>
      <c r="BF159" s="260">
        <f t="shared" si="175"/>
        <v>7</v>
      </c>
      <c r="BG159" s="289" t="e">
        <f t="shared" si="176"/>
        <v>#N/A</v>
      </c>
      <c r="BH159" s="290" t="e">
        <f t="shared" si="177"/>
        <v>#N/A</v>
      </c>
      <c r="BI159" s="263" t="e">
        <f t="shared" si="140"/>
        <v>#N/A</v>
      </c>
      <c r="BJ159" s="264">
        <f t="shared" si="178"/>
        <v>7</v>
      </c>
      <c r="BK159" s="291" t="e">
        <f t="shared" si="179"/>
        <v>#N/A</v>
      </c>
      <c r="BL159" s="291" t="e">
        <f t="shared" si="180"/>
        <v>#N/A</v>
      </c>
      <c r="BM159" s="292" t="e">
        <f t="shared" si="141"/>
        <v>#N/A</v>
      </c>
      <c r="BN159" s="293">
        <f t="shared" si="181"/>
        <v>7</v>
      </c>
      <c r="BO159" s="294" t="e">
        <f t="shared" si="182"/>
        <v>#N/A</v>
      </c>
      <c r="BP159" s="294" t="e">
        <f t="shared" si="183"/>
        <v>#N/A</v>
      </c>
      <c r="BQ159" s="292" t="e">
        <f t="shared" si="142"/>
        <v>#N/A</v>
      </c>
      <c r="BR159" s="295" t="e">
        <f t="shared" si="143"/>
        <v>#N/A</v>
      </c>
      <c r="BS159" s="230" t="e">
        <f>VLOOKUP($B159,SDR22_STOCK_BY_LA!$A$2:$C$11679,3,0)</f>
        <v>#N/A</v>
      </c>
      <c r="BT159" s="230" t="str">
        <f t="shared" si="184"/>
        <v/>
      </c>
    </row>
    <row r="160" spans="1:72" ht="12.5" x14ac:dyDescent="0.25">
      <c r="A160" s="230" t="str">
        <f t="shared" si="185"/>
        <v/>
      </c>
      <c r="B160" s="230" t="str">
        <f t="shared" si="186"/>
        <v/>
      </c>
      <c r="C160" s="296" t="str">
        <f t="shared" si="144"/>
        <v/>
      </c>
      <c r="D160" s="269" t="str">
        <f>IF(B160="","",IF(totals!$Q$3=0,IFERROR(IF(AD160=2,"0",AE160),""),"-"))</f>
        <v/>
      </c>
      <c r="E160" s="271" t="str">
        <f t="shared" si="145"/>
        <v/>
      </c>
      <c r="F160" s="272" t="str">
        <f t="shared" si="146"/>
        <v/>
      </c>
      <c r="G160" s="272" t="str">
        <f t="shared" si="147"/>
        <v/>
      </c>
      <c r="H160" s="269" t="str">
        <f t="shared" si="125"/>
        <v/>
      </c>
      <c r="I160" s="272" t="str">
        <f t="shared" si="148"/>
        <v/>
      </c>
      <c r="J160" s="272" t="str">
        <f t="shared" si="149"/>
        <v/>
      </c>
      <c r="K160" s="269" t="str">
        <f t="shared" si="126"/>
        <v/>
      </c>
      <c r="L160" s="272" t="str">
        <f t="shared" si="127"/>
        <v/>
      </c>
      <c r="M160" s="272" t="str">
        <f t="shared" si="150"/>
        <v/>
      </c>
      <c r="N160" s="269" t="str">
        <f t="shared" si="151"/>
        <v/>
      </c>
      <c r="O160" s="272" t="str">
        <f t="shared" si="152"/>
        <v/>
      </c>
      <c r="P160" s="272" t="str">
        <f t="shared" si="153"/>
        <v/>
      </c>
      <c r="Q160" s="269" t="str">
        <f t="shared" si="154"/>
        <v/>
      </c>
      <c r="R160" s="272" t="str">
        <f t="shared" si="155"/>
        <v/>
      </c>
      <c r="S160" s="272" t="str">
        <f t="shared" si="156"/>
        <v/>
      </c>
      <c r="T160" s="269" t="str">
        <f t="shared" si="157"/>
        <v/>
      </c>
      <c r="U160" s="230"/>
      <c r="V160" s="230"/>
      <c r="AB160" s="230" t="e">
        <f>VLOOKUP($B$6,Lookup_Source,153,0)</f>
        <v>#N/A</v>
      </c>
      <c r="AC160" s="254" t="str">
        <f t="shared" si="158"/>
        <v/>
      </c>
      <c r="AD160" s="255">
        <f t="shared" si="159"/>
        <v>7</v>
      </c>
      <c r="AE160" s="274" t="e">
        <f t="shared" si="128"/>
        <v>#N/A</v>
      </c>
      <c r="AF160" s="277" t="e">
        <f t="shared" si="160"/>
        <v>#N/A</v>
      </c>
      <c r="AG160" s="277" t="e">
        <f t="shared" si="161"/>
        <v>#N/A</v>
      </c>
      <c r="AH160" s="276" t="e">
        <f t="shared" si="129"/>
        <v>#N/A</v>
      </c>
      <c r="AI160" s="239">
        <f t="shared" si="162"/>
        <v>7</v>
      </c>
      <c r="AJ160" s="277" t="e">
        <f t="shared" si="130"/>
        <v>#N/A</v>
      </c>
      <c r="AK160" s="277" t="e">
        <f t="shared" si="163"/>
        <v>#N/A</v>
      </c>
      <c r="AL160" s="239" t="e">
        <f t="shared" si="131"/>
        <v>#N/A</v>
      </c>
      <c r="AM160" s="278" t="e">
        <f t="shared" si="164"/>
        <v>#N/A</v>
      </c>
      <c r="AN160" s="279" t="e">
        <f t="shared" si="132"/>
        <v>#N/A</v>
      </c>
      <c r="AO160" s="240" t="e">
        <f t="shared" si="133"/>
        <v>#N/A</v>
      </c>
      <c r="AP160" s="297">
        <f t="shared" si="165"/>
        <v>7</v>
      </c>
      <c r="AQ160" s="298" t="e">
        <f t="shared" si="134"/>
        <v>#N/A</v>
      </c>
      <c r="AR160" s="279" t="e">
        <f t="shared" si="166"/>
        <v>#N/A</v>
      </c>
      <c r="AS160" s="283" t="e">
        <f t="shared" si="135"/>
        <v>#N/A</v>
      </c>
      <c r="AT160" s="284">
        <f t="shared" si="167"/>
        <v>7</v>
      </c>
      <c r="AU160" s="285" t="e">
        <f t="shared" si="168"/>
        <v>#N/A</v>
      </c>
      <c r="AV160" s="286" t="e">
        <f t="shared" si="169"/>
        <v>#N/A</v>
      </c>
      <c r="AW160" s="287" t="e">
        <f t="shared" si="136"/>
        <v>#N/A</v>
      </c>
      <c r="AX160" s="245">
        <f t="shared" si="170"/>
        <v>7</v>
      </c>
      <c r="AY160" s="286" t="e">
        <f t="shared" si="137"/>
        <v>#N/A</v>
      </c>
      <c r="AZ160" s="245" t="e">
        <f t="shared" si="171"/>
        <v>#N/A</v>
      </c>
      <c r="BA160" s="245" t="e">
        <f t="shared" si="138"/>
        <v>#N/A</v>
      </c>
      <c r="BB160" s="288">
        <f t="shared" si="172"/>
        <v>7</v>
      </c>
      <c r="BC160" s="289" t="e">
        <f t="shared" si="173"/>
        <v>#N/A</v>
      </c>
      <c r="BD160" s="290" t="e">
        <f t="shared" si="174"/>
        <v>#N/A</v>
      </c>
      <c r="BE160" s="263" t="e">
        <f t="shared" si="139"/>
        <v>#N/A</v>
      </c>
      <c r="BF160" s="260">
        <f t="shared" si="175"/>
        <v>7</v>
      </c>
      <c r="BG160" s="289" t="e">
        <f t="shared" si="176"/>
        <v>#N/A</v>
      </c>
      <c r="BH160" s="290" t="e">
        <f t="shared" si="177"/>
        <v>#N/A</v>
      </c>
      <c r="BI160" s="263" t="e">
        <f t="shared" si="140"/>
        <v>#N/A</v>
      </c>
      <c r="BJ160" s="264">
        <f t="shared" si="178"/>
        <v>7</v>
      </c>
      <c r="BK160" s="291" t="e">
        <f t="shared" si="179"/>
        <v>#N/A</v>
      </c>
      <c r="BL160" s="291" t="e">
        <f t="shared" si="180"/>
        <v>#N/A</v>
      </c>
      <c r="BM160" s="292" t="e">
        <f t="shared" si="141"/>
        <v>#N/A</v>
      </c>
      <c r="BN160" s="293">
        <f t="shared" si="181"/>
        <v>7</v>
      </c>
      <c r="BO160" s="294" t="e">
        <f t="shared" si="182"/>
        <v>#N/A</v>
      </c>
      <c r="BP160" s="294" t="e">
        <f t="shared" si="183"/>
        <v>#N/A</v>
      </c>
      <c r="BQ160" s="292" t="e">
        <f t="shared" si="142"/>
        <v>#N/A</v>
      </c>
      <c r="BR160" s="295" t="e">
        <f t="shared" si="143"/>
        <v>#N/A</v>
      </c>
      <c r="BS160" s="230" t="e">
        <f>VLOOKUP($B160,SDR22_STOCK_BY_LA!$A$2:$C$11679,3,0)</f>
        <v>#N/A</v>
      </c>
      <c r="BT160" s="230" t="str">
        <f t="shared" si="184"/>
        <v/>
      </c>
    </row>
    <row r="161" spans="1:72" ht="12.5" x14ac:dyDescent="0.25">
      <c r="A161" s="269" t="str">
        <f t="shared" si="185"/>
        <v/>
      </c>
      <c r="B161" s="230" t="str">
        <f t="shared" si="186"/>
        <v/>
      </c>
      <c r="C161" s="270" t="str">
        <f t="shared" si="144"/>
        <v/>
      </c>
      <c r="D161" s="269" t="str">
        <f>IF(B161="","",IF(totals!$Q$3=0,IFERROR(IF(AD161=2,"0",AE161),""),"-"))</f>
        <v/>
      </c>
      <c r="E161" s="271" t="str">
        <f t="shared" si="145"/>
        <v/>
      </c>
      <c r="F161" s="272" t="str">
        <f t="shared" si="146"/>
        <v/>
      </c>
      <c r="G161" s="272" t="str">
        <f t="shared" si="147"/>
        <v/>
      </c>
      <c r="H161" s="269" t="str">
        <f t="shared" si="125"/>
        <v/>
      </c>
      <c r="I161" s="272" t="str">
        <f t="shared" si="148"/>
        <v/>
      </c>
      <c r="J161" s="272" t="str">
        <f t="shared" si="149"/>
        <v/>
      </c>
      <c r="K161" s="269" t="str">
        <f t="shared" si="126"/>
        <v/>
      </c>
      <c r="L161" s="272" t="str">
        <f t="shared" si="127"/>
        <v/>
      </c>
      <c r="M161" s="272" t="str">
        <f t="shared" si="150"/>
        <v/>
      </c>
      <c r="N161" s="269" t="str">
        <f t="shared" si="151"/>
        <v/>
      </c>
      <c r="O161" s="272" t="str">
        <f t="shared" si="152"/>
        <v/>
      </c>
      <c r="P161" s="272" t="str">
        <f t="shared" si="153"/>
        <v/>
      </c>
      <c r="Q161" s="269" t="str">
        <f t="shared" si="154"/>
        <v/>
      </c>
      <c r="R161" s="272" t="str">
        <f t="shared" si="155"/>
        <v/>
      </c>
      <c r="S161" s="272" t="str">
        <f t="shared" si="156"/>
        <v/>
      </c>
      <c r="T161" s="269" t="str">
        <f t="shared" si="157"/>
        <v/>
      </c>
      <c r="U161" s="230"/>
      <c r="V161" s="230"/>
      <c r="AB161" s="270" t="e">
        <f>VLOOKUP($B$6,Lookup_Source,154,0)</f>
        <v>#N/A</v>
      </c>
      <c r="AC161" s="254" t="str">
        <f t="shared" si="158"/>
        <v/>
      </c>
      <c r="AD161" s="255">
        <f t="shared" si="159"/>
        <v>7</v>
      </c>
      <c r="AE161" s="274" t="e">
        <f t="shared" si="128"/>
        <v>#N/A</v>
      </c>
      <c r="AF161" s="277" t="e">
        <f t="shared" si="160"/>
        <v>#N/A</v>
      </c>
      <c r="AG161" s="277" t="e">
        <f t="shared" si="161"/>
        <v>#N/A</v>
      </c>
      <c r="AH161" s="276" t="e">
        <f t="shared" si="129"/>
        <v>#N/A</v>
      </c>
      <c r="AI161" s="239">
        <f t="shared" si="162"/>
        <v>7</v>
      </c>
      <c r="AJ161" s="277" t="e">
        <f t="shared" si="130"/>
        <v>#N/A</v>
      </c>
      <c r="AK161" s="277" t="e">
        <f t="shared" si="163"/>
        <v>#N/A</v>
      </c>
      <c r="AL161" s="239" t="e">
        <f t="shared" si="131"/>
        <v>#N/A</v>
      </c>
      <c r="AM161" s="278" t="e">
        <f t="shared" si="164"/>
        <v>#N/A</v>
      </c>
      <c r="AN161" s="279" t="e">
        <f t="shared" si="132"/>
        <v>#N/A</v>
      </c>
      <c r="AO161" s="240" t="e">
        <f t="shared" si="133"/>
        <v>#N/A</v>
      </c>
      <c r="AP161" s="297">
        <f t="shared" si="165"/>
        <v>7</v>
      </c>
      <c r="AQ161" s="298" t="e">
        <f t="shared" si="134"/>
        <v>#N/A</v>
      </c>
      <c r="AR161" s="279" t="e">
        <f t="shared" si="166"/>
        <v>#N/A</v>
      </c>
      <c r="AS161" s="283" t="e">
        <f t="shared" si="135"/>
        <v>#N/A</v>
      </c>
      <c r="AT161" s="284">
        <f t="shared" si="167"/>
        <v>7</v>
      </c>
      <c r="AU161" s="285" t="e">
        <f t="shared" si="168"/>
        <v>#N/A</v>
      </c>
      <c r="AV161" s="286" t="e">
        <f t="shared" si="169"/>
        <v>#N/A</v>
      </c>
      <c r="AW161" s="287" t="e">
        <f t="shared" si="136"/>
        <v>#N/A</v>
      </c>
      <c r="AX161" s="245">
        <f t="shared" si="170"/>
        <v>7</v>
      </c>
      <c r="AY161" s="286" t="e">
        <f t="shared" si="137"/>
        <v>#N/A</v>
      </c>
      <c r="AZ161" s="245" t="e">
        <f t="shared" si="171"/>
        <v>#N/A</v>
      </c>
      <c r="BA161" s="245" t="e">
        <f t="shared" si="138"/>
        <v>#N/A</v>
      </c>
      <c r="BB161" s="288">
        <f t="shared" si="172"/>
        <v>7</v>
      </c>
      <c r="BC161" s="289" t="e">
        <f t="shared" si="173"/>
        <v>#N/A</v>
      </c>
      <c r="BD161" s="290" t="e">
        <f t="shared" si="174"/>
        <v>#N/A</v>
      </c>
      <c r="BE161" s="263" t="e">
        <f t="shared" si="139"/>
        <v>#N/A</v>
      </c>
      <c r="BF161" s="260">
        <f t="shared" si="175"/>
        <v>7</v>
      </c>
      <c r="BG161" s="289" t="e">
        <f t="shared" si="176"/>
        <v>#N/A</v>
      </c>
      <c r="BH161" s="290" t="e">
        <f t="shared" si="177"/>
        <v>#N/A</v>
      </c>
      <c r="BI161" s="263" t="e">
        <f t="shared" si="140"/>
        <v>#N/A</v>
      </c>
      <c r="BJ161" s="264">
        <f t="shared" si="178"/>
        <v>7</v>
      </c>
      <c r="BK161" s="291" t="e">
        <f t="shared" si="179"/>
        <v>#N/A</v>
      </c>
      <c r="BL161" s="291" t="e">
        <f t="shared" si="180"/>
        <v>#N/A</v>
      </c>
      <c r="BM161" s="292" t="e">
        <f t="shared" si="141"/>
        <v>#N/A</v>
      </c>
      <c r="BN161" s="293">
        <f t="shared" si="181"/>
        <v>7</v>
      </c>
      <c r="BO161" s="294" t="e">
        <f t="shared" si="182"/>
        <v>#N/A</v>
      </c>
      <c r="BP161" s="294" t="e">
        <f t="shared" si="183"/>
        <v>#N/A</v>
      </c>
      <c r="BQ161" s="292" t="e">
        <f t="shared" si="142"/>
        <v>#N/A</v>
      </c>
      <c r="BR161" s="295" t="e">
        <f t="shared" si="143"/>
        <v>#N/A</v>
      </c>
      <c r="BS161" s="230" t="e">
        <f>VLOOKUP($B161,SDR22_STOCK_BY_LA!$A$2:$C$11679,3,0)</f>
        <v>#N/A</v>
      </c>
      <c r="BT161" s="230" t="str">
        <f t="shared" si="184"/>
        <v/>
      </c>
    </row>
    <row r="162" spans="1:72" ht="12.5" x14ac:dyDescent="0.25">
      <c r="A162" s="230" t="str">
        <f t="shared" si="185"/>
        <v/>
      </c>
      <c r="B162" s="230" t="str">
        <f t="shared" si="186"/>
        <v/>
      </c>
      <c r="C162" s="296" t="str">
        <f t="shared" si="144"/>
        <v/>
      </c>
      <c r="D162" s="269" t="str">
        <f>IF(B162="","",IF(totals!$Q$3=0,IFERROR(IF(AD162=2,"0",AE162),""),"-"))</f>
        <v/>
      </c>
      <c r="E162" s="271" t="str">
        <f t="shared" si="145"/>
        <v/>
      </c>
      <c r="F162" s="272" t="str">
        <f t="shared" si="146"/>
        <v/>
      </c>
      <c r="G162" s="272" t="str">
        <f t="shared" si="147"/>
        <v/>
      </c>
      <c r="H162" s="269" t="str">
        <f t="shared" si="125"/>
        <v/>
      </c>
      <c r="I162" s="272" t="str">
        <f t="shared" si="148"/>
        <v/>
      </c>
      <c r="J162" s="272" t="str">
        <f t="shared" si="149"/>
        <v/>
      </c>
      <c r="K162" s="269" t="str">
        <f t="shared" si="126"/>
        <v/>
      </c>
      <c r="L162" s="272" t="str">
        <f t="shared" si="127"/>
        <v/>
      </c>
      <c r="M162" s="272" t="str">
        <f t="shared" si="150"/>
        <v/>
      </c>
      <c r="N162" s="269" t="str">
        <f t="shared" si="151"/>
        <v/>
      </c>
      <c r="O162" s="272" t="str">
        <f t="shared" si="152"/>
        <v/>
      </c>
      <c r="P162" s="272" t="str">
        <f t="shared" si="153"/>
        <v/>
      </c>
      <c r="Q162" s="269" t="str">
        <f t="shared" si="154"/>
        <v/>
      </c>
      <c r="R162" s="272" t="str">
        <f t="shared" si="155"/>
        <v/>
      </c>
      <c r="S162" s="272" t="str">
        <f t="shared" si="156"/>
        <v/>
      </c>
      <c r="T162" s="269" t="str">
        <f t="shared" si="157"/>
        <v/>
      </c>
      <c r="U162" s="230"/>
      <c r="V162" s="230"/>
      <c r="AB162" s="230" t="e">
        <f>VLOOKUP($B$6,Lookup_Source,155,0)</f>
        <v>#N/A</v>
      </c>
      <c r="AC162" s="254" t="str">
        <f t="shared" si="158"/>
        <v/>
      </c>
      <c r="AD162" s="255">
        <f t="shared" si="159"/>
        <v>7</v>
      </c>
      <c r="AE162" s="274" t="e">
        <f t="shared" si="128"/>
        <v>#N/A</v>
      </c>
      <c r="AF162" s="277" t="e">
        <f t="shared" si="160"/>
        <v>#N/A</v>
      </c>
      <c r="AG162" s="277" t="e">
        <f t="shared" si="161"/>
        <v>#N/A</v>
      </c>
      <c r="AH162" s="276" t="e">
        <f t="shared" si="129"/>
        <v>#N/A</v>
      </c>
      <c r="AI162" s="239">
        <f t="shared" si="162"/>
        <v>7</v>
      </c>
      <c r="AJ162" s="277" t="e">
        <f t="shared" si="130"/>
        <v>#N/A</v>
      </c>
      <c r="AK162" s="277" t="e">
        <f t="shared" si="163"/>
        <v>#N/A</v>
      </c>
      <c r="AL162" s="239" t="e">
        <f t="shared" si="131"/>
        <v>#N/A</v>
      </c>
      <c r="AM162" s="278" t="e">
        <f t="shared" si="164"/>
        <v>#N/A</v>
      </c>
      <c r="AN162" s="279" t="e">
        <f t="shared" si="132"/>
        <v>#N/A</v>
      </c>
      <c r="AO162" s="240" t="e">
        <f t="shared" si="133"/>
        <v>#N/A</v>
      </c>
      <c r="AP162" s="297">
        <f t="shared" si="165"/>
        <v>7</v>
      </c>
      <c r="AQ162" s="298" t="e">
        <f t="shared" si="134"/>
        <v>#N/A</v>
      </c>
      <c r="AR162" s="279" t="e">
        <f t="shared" si="166"/>
        <v>#N/A</v>
      </c>
      <c r="AS162" s="283" t="e">
        <f t="shared" si="135"/>
        <v>#N/A</v>
      </c>
      <c r="AT162" s="284">
        <f t="shared" si="167"/>
        <v>7</v>
      </c>
      <c r="AU162" s="285" t="e">
        <f t="shared" si="168"/>
        <v>#N/A</v>
      </c>
      <c r="AV162" s="286" t="e">
        <f t="shared" si="169"/>
        <v>#N/A</v>
      </c>
      <c r="AW162" s="287" t="e">
        <f t="shared" si="136"/>
        <v>#N/A</v>
      </c>
      <c r="AX162" s="245">
        <f t="shared" si="170"/>
        <v>7</v>
      </c>
      <c r="AY162" s="286" t="e">
        <f t="shared" si="137"/>
        <v>#N/A</v>
      </c>
      <c r="AZ162" s="245" t="e">
        <f t="shared" si="171"/>
        <v>#N/A</v>
      </c>
      <c r="BA162" s="245" t="e">
        <f t="shared" si="138"/>
        <v>#N/A</v>
      </c>
      <c r="BB162" s="288">
        <f t="shared" si="172"/>
        <v>7</v>
      </c>
      <c r="BC162" s="289" t="e">
        <f t="shared" si="173"/>
        <v>#N/A</v>
      </c>
      <c r="BD162" s="290" t="e">
        <f t="shared" si="174"/>
        <v>#N/A</v>
      </c>
      <c r="BE162" s="263" t="e">
        <f t="shared" si="139"/>
        <v>#N/A</v>
      </c>
      <c r="BF162" s="260">
        <f t="shared" si="175"/>
        <v>7</v>
      </c>
      <c r="BG162" s="289" t="e">
        <f t="shared" si="176"/>
        <v>#N/A</v>
      </c>
      <c r="BH162" s="290" t="e">
        <f t="shared" si="177"/>
        <v>#N/A</v>
      </c>
      <c r="BI162" s="263" t="e">
        <f t="shared" si="140"/>
        <v>#N/A</v>
      </c>
      <c r="BJ162" s="264">
        <f t="shared" si="178"/>
        <v>7</v>
      </c>
      <c r="BK162" s="291" t="e">
        <f t="shared" si="179"/>
        <v>#N/A</v>
      </c>
      <c r="BL162" s="291" t="e">
        <f t="shared" si="180"/>
        <v>#N/A</v>
      </c>
      <c r="BM162" s="292" t="e">
        <f t="shared" si="141"/>
        <v>#N/A</v>
      </c>
      <c r="BN162" s="293">
        <f t="shared" si="181"/>
        <v>7</v>
      </c>
      <c r="BO162" s="294" t="e">
        <f t="shared" si="182"/>
        <v>#N/A</v>
      </c>
      <c r="BP162" s="294" t="e">
        <f t="shared" si="183"/>
        <v>#N/A</v>
      </c>
      <c r="BQ162" s="292" t="e">
        <f t="shared" si="142"/>
        <v>#N/A</v>
      </c>
      <c r="BR162" s="295" t="e">
        <f t="shared" si="143"/>
        <v>#N/A</v>
      </c>
      <c r="BS162" s="230" t="e">
        <f>VLOOKUP($B162,SDR22_STOCK_BY_LA!$A$2:$C$11679,3,0)</f>
        <v>#N/A</v>
      </c>
      <c r="BT162" s="230" t="str">
        <f t="shared" si="184"/>
        <v/>
      </c>
    </row>
    <row r="163" spans="1:72" ht="12.5" x14ac:dyDescent="0.25">
      <c r="A163" s="269" t="str">
        <f t="shared" si="185"/>
        <v/>
      </c>
      <c r="B163" s="230" t="str">
        <f t="shared" si="186"/>
        <v/>
      </c>
      <c r="C163" s="270" t="str">
        <f t="shared" si="144"/>
        <v/>
      </c>
      <c r="D163" s="269" t="str">
        <f>IF(B163="","",IF(totals!$Q$3=0,IFERROR(IF(AD163=2,"0",AE163),""),"-"))</f>
        <v/>
      </c>
      <c r="E163" s="271" t="str">
        <f t="shared" si="145"/>
        <v/>
      </c>
      <c r="F163" s="272" t="str">
        <f t="shared" si="146"/>
        <v/>
      </c>
      <c r="G163" s="272" t="str">
        <f t="shared" si="147"/>
        <v/>
      </c>
      <c r="H163" s="269" t="str">
        <f t="shared" si="125"/>
        <v/>
      </c>
      <c r="I163" s="272" t="str">
        <f t="shared" si="148"/>
        <v/>
      </c>
      <c r="J163" s="272" t="str">
        <f t="shared" si="149"/>
        <v/>
      </c>
      <c r="K163" s="269" t="str">
        <f t="shared" si="126"/>
        <v/>
      </c>
      <c r="L163" s="272" t="str">
        <f t="shared" si="127"/>
        <v/>
      </c>
      <c r="M163" s="272" t="str">
        <f t="shared" si="150"/>
        <v/>
      </c>
      <c r="N163" s="269" t="str">
        <f t="shared" si="151"/>
        <v/>
      </c>
      <c r="O163" s="272" t="str">
        <f t="shared" si="152"/>
        <v/>
      </c>
      <c r="P163" s="272" t="str">
        <f t="shared" si="153"/>
        <v/>
      </c>
      <c r="Q163" s="269" t="str">
        <f t="shared" si="154"/>
        <v/>
      </c>
      <c r="R163" s="272" t="str">
        <f t="shared" si="155"/>
        <v/>
      </c>
      <c r="S163" s="272" t="str">
        <f t="shared" si="156"/>
        <v/>
      </c>
      <c r="T163" s="269" t="str">
        <f t="shared" si="157"/>
        <v/>
      </c>
      <c r="U163" s="230"/>
      <c r="V163" s="230"/>
      <c r="AB163" s="270" t="e">
        <f>VLOOKUP($B$6,Lookup_Source,156,0)</f>
        <v>#N/A</v>
      </c>
      <c r="AC163" s="254" t="str">
        <f t="shared" si="158"/>
        <v/>
      </c>
      <c r="AD163" s="255">
        <f t="shared" si="159"/>
        <v>7</v>
      </c>
      <c r="AE163" s="274" t="e">
        <f t="shared" si="128"/>
        <v>#N/A</v>
      </c>
      <c r="AF163" s="277" t="e">
        <f t="shared" si="160"/>
        <v>#N/A</v>
      </c>
      <c r="AG163" s="277" t="e">
        <f t="shared" si="161"/>
        <v>#N/A</v>
      </c>
      <c r="AH163" s="276" t="e">
        <f t="shared" si="129"/>
        <v>#N/A</v>
      </c>
      <c r="AI163" s="239">
        <f t="shared" si="162"/>
        <v>7</v>
      </c>
      <c r="AJ163" s="277" t="e">
        <f t="shared" si="130"/>
        <v>#N/A</v>
      </c>
      <c r="AK163" s="277" t="e">
        <f t="shared" si="163"/>
        <v>#N/A</v>
      </c>
      <c r="AL163" s="239" t="e">
        <f t="shared" si="131"/>
        <v>#N/A</v>
      </c>
      <c r="AM163" s="278" t="e">
        <f t="shared" si="164"/>
        <v>#N/A</v>
      </c>
      <c r="AN163" s="279" t="e">
        <f t="shared" si="132"/>
        <v>#N/A</v>
      </c>
      <c r="AO163" s="240" t="e">
        <f t="shared" si="133"/>
        <v>#N/A</v>
      </c>
      <c r="AP163" s="297">
        <f t="shared" si="165"/>
        <v>7</v>
      </c>
      <c r="AQ163" s="298" t="e">
        <f t="shared" si="134"/>
        <v>#N/A</v>
      </c>
      <c r="AR163" s="279" t="e">
        <f t="shared" si="166"/>
        <v>#N/A</v>
      </c>
      <c r="AS163" s="283" t="e">
        <f t="shared" si="135"/>
        <v>#N/A</v>
      </c>
      <c r="AT163" s="284">
        <f t="shared" si="167"/>
        <v>7</v>
      </c>
      <c r="AU163" s="285" t="e">
        <f t="shared" si="168"/>
        <v>#N/A</v>
      </c>
      <c r="AV163" s="286" t="e">
        <f t="shared" si="169"/>
        <v>#N/A</v>
      </c>
      <c r="AW163" s="287" t="e">
        <f t="shared" si="136"/>
        <v>#N/A</v>
      </c>
      <c r="AX163" s="245">
        <f t="shared" si="170"/>
        <v>7</v>
      </c>
      <c r="AY163" s="286" t="e">
        <f t="shared" si="137"/>
        <v>#N/A</v>
      </c>
      <c r="AZ163" s="245" t="e">
        <f t="shared" si="171"/>
        <v>#N/A</v>
      </c>
      <c r="BA163" s="245" t="e">
        <f t="shared" si="138"/>
        <v>#N/A</v>
      </c>
      <c r="BB163" s="288">
        <f t="shared" si="172"/>
        <v>7</v>
      </c>
      <c r="BC163" s="289" t="e">
        <f t="shared" si="173"/>
        <v>#N/A</v>
      </c>
      <c r="BD163" s="290" t="e">
        <f t="shared" si="174"/>
        <v>#N/A</v>
      </c>
      <c r="BE163" s="263" t="e">
        <f t="shared" si="139"/>
        <v>#N/A</v>
      </c>
      <c r="BF163" s="260">
        <f t="shared" si="175"/>
        <v>7</v>
      </c>
      <c r="BG163" s="289" t="e">
        <f t="shared" si="176"/>
        <v>#N/A</v>
      </c>
      <c r="BH163" s="290" t="e">
        <f t="shared" si="177"/>
        <v>#N/A</v>
      </c>
      <c r="BI163" s="263" t="e">
        <f t="shared" si="140"/>
        <v>#N/A</v>
      </c>
      <c r="BJ163" s="264">
        <f t="shared" si="178"/>
        <v>7</v>
      </c>
      <c r="BK163" s="291" t="e">
        <f t="shared" si="179"/>
        <v>#N/A</v>
      </c>
      <c r="BL163" s="291" t="e">
        <f t="shared" si="180"/>
        <v>#N/A</v>
      </c>
      <c r="BM163" s="292" t="e">
        <f t="shared" si="141"/>
        <v>#N/A</v>
      </c>
      <c r="BN163" s="293">
        <f t="shared" si="181"/>
        <v>7</v>
      </c>
      <c r="BO163" s="294" t="e">
        <f t="shared" si="182"/>
        <v>#N/A</v>
      </c>
      <c r="BP163" s="294" t="e">
        <f t="shared" si="183"/>
        <v>#N/A</v>
      </c>
      <c r="BQ163" s="292" t="e">
        <f t="shared" si="142"/>
        <v>#N/A</v>
      </c>
      <c r="BR163" s="295" t="e">
        <f t="shared" si="143"/>
        <v>#N/A</v>
      </c>
      <c r="BS163" s="230" t="e">
        <f>VLOOKUP($B163,SDR22_STOCK_BY_LA!$A$2:$C$11679,3,0)</f>
        <v>#N/A</v>
      </c>
      <c r="BT163" s="230" t="str">
        <f t="shared" si="184"/>
        <v/>
      </c>
    </row>
    <row r="164" spans="1:72" ht="12.5" x14ac:dyDescent="0.25">
      <c r="A164" s="230" t="str">
        <f t="shared" si="185"/>
        <v/>
      </c>
      <c r="B164" s="230" t="str">
        <f t="shared" si="186"/>
        <v/>
      </c>
      <c r="C164" s="296" t="str">
        <f t="shared" si="144"/>
        <v/>
      </c>
      <c r="D164" s="269" t="str">
        <f>IF(B164="","",IF(totals!$Q$3=0,IFERROR(IF(AD164=2,"0",AE164),""),"-"))</f>
        <v/>
      </c>
      <c r="E164" s="271" t="str">
        <f t="shared" si="145"/>
        <v/>
      </c>
      <c r="F164" s="272" t="str">
        <f t="shared" si="146"/>
        <v/>
      </c>
      <c r="G164" s="272" t="str">
        <f t="shared" si="147"/>
        <v/>
      </c>
      <c r="H164" s="269" t="str">
        <f t="shared" si="125"/>
        <v/>
      </c>
      <c r="I164" s="272" t="str">
        <f t="shared" si="148"/>
        <v/>
      </c>
      <c r="J164" s="272" t="str">
        <f t="shared" si="149"/>
        <v/>
      </c>
      <c r="K164" s="269" t="str">
        <f t="shared" si="126"/>
        <v/>
      </c>
      <c r="L164" s="272" t="str">
        <f t="shared" si="127"/>
        <v/>
      </c>
      <c r="M164" s="272" t="str">
        <f t="shared" si="150"/>
        <v/>
      </c>
      <c r="N164" s="269" t="str">
        <f t="shared" si="151"/>
        <v/>
      </c>
      <c r="O164" s="272" t="str">
        <f t="shared" si="152"/>
        <v/>
      </c>
      <c r="P164" s="272" t="str">
        <f t="shared" si="153"/>
        <v/>
      </c>
      <c r="Q164" s="269" t="str">
        <f t="shared" si="154"/>
        <v/>
      </c>
      <c r="R164" s="272" t="str">
        <f t="shared" si="155"/>
        <v/>
      </c>
      <c r="S164" s="272" t="str">
        <f t="shared" si="156"/>
        <v/>
      </c>
      <c r="T164" s="269" t="str">
        <f t="shared" si="157"/>
        <v/>
      </c>
      <c r="U164" s="230"/>
      <c r="V164" s="230"/>
      <c r="AB164" s="230" t="e">
        <f>VLOOKUP($B$6,Lookup_Source,157,0)</f>
        <v>#N/A</v>
      </c>
      <c r="AC164" s="254" t="str">
        <f t="shared" si="158"/>
        <v/>
      </c>
      <c r="AD164" s="255">
        <f t="shared" si="159"/>
        <v>7</v>
      </c>
      <c r="AE164" s="274" t="e">
        <f t="shared" si="128"/>
        <v>#N/A</v>
      </c>
      <c r="AF164" s="277" t="e">
        <f t="shared" si="160"/>
        <v>#N/A</v>
      </c>
      <c r="AG164" s="277" t="e">
        <f t="shared" si="161"/>
        <v>#N/A</v>
      </c>
      <c r="AH164" s="276" t="e">
        <f t="shared" si="129"/>
        <v>#N/A</v>
      </c>
      <c r="AI164" s="239">
        <f t="shared" si="162"/>
        <v>7</v>
      </c>
      <c r="AJ164" s="277" t="e">
        <f t="shared" si="130"/>
        <v>#N/A</v>
      </c>
      <c r="AK164" s="277" t="e">
        <f t="shared" si="163"/>
        <v>#N/A</v>
      </c>
      <c r="AL164" s="239" t="e">
        <f t="shared" si="131"/>
        <v>#N/A</v>
      </c>
      <c r="AM164" s="278" t="e">
        <f t="shared" si="164"/>
        <v>#N/A</v>
      </c>
      <c r="AN164" s="279" t="e">
        <f t="shared" si="132"/>
        <v>#N/A</v>
      </c>
      <c r="AO164" s="240" t="e">
        <f t="shared" si="133"/>
        <v>#N/A</v>
      </c>
      <c r="AP164" s="297">
        <f t="shared" si="165"/>
        <v>7</v>
      </c>
      <c r="AQ164" s="298" t="e">
        <f t="shared" si="134"/>
        <v>#N/A</v>
      </c>
      <c r="AR164" s="279" t="e">
        <f t="shared" si="166"/>
        <v>#N/A</v>
      </c>
      <c r="AS164" s="283" t="e">
        <f t="shared" si="135"/>
        <v>#N/A</v>
      </c>
      <c r="AT164" s="284">
        <f t="shared" si="167"/>
        <v>7</v>
      </c>
      <c r="AU164" s="285" t="e">
        <f t="shared" si="168"/>
        <v>#N/A</v>
      </c>
      <c r="AV164" s="286" t="e">
        <f t="shared" si="169"/>
        <v>#N/A</v>
      </c>
      <c r="AW164" s="287" t="e">
        <f t="shared" si="136"/>
        <v>#N/A</v>
      </c>
      <c r="AX164" s="245">
        <f t="shared" si="170"/>
        <v>7</v>
      </c>
      <c r="AY164" s="286" t="e">
        <f t="shared" si="137"/>
        <v>#N/A</v>
      </c>
      <c r="AZ164" s="245" t="e">
        <f t="shared" si="171"/>
        <v>#N/A</v>
      </c>
      <c r="BA164" s="245" t="e">
        <f t="shared" si="138"/>
        <v>#N/A</v>
      </c>
      <c r="BB164" s="288">
        <f t="shared" si="172"/>
        <v>7</v>
      </c>
      <c r="BC164" s="289" t="e">
        <f t="shared" si="173"/>
        <v>#N/A</v>
      </c>
      <c r="BD164" s="290" t="e">
        <f t="shared" si="174"/>
        <v>#N/A</v>
      </c>
      <c r="BE164" s="263" t="e">
        <f t="shared" si="139"/>
        <v>#N/A</v>
      </c>
      <c r="BF164" s="260">
        <f t="shared" si="175"/>
        <v>7</v>
      </c>
      <c r="BG164" s="289" t="e">
        <f t="shared" si="176"/>
        <v>#N/A</v>
      </c>
      <c r="BH164" s="290" t="e">
        <f t="shared" si="177"/>
        <v>#N/A</v>
      </c>
      <c r="BI164" s="263" t="e">
        <f t="shared" si="140"/>
        <v>#N/A</v>
      </c>
      <c r="BJ164" s="264">
        <f t="shared" si="178"/>
        <v>7</v>
      </c>
      <c r="BK164" s="291" t="e">
        <f t="shared" si="179"/>
        <v>#N/A</v>
      </c>
      <c r="BL164" s="291" t="e">
        <f t="shared" si="180"/>
        <v>#N/A</v>
      </c>
      <c r="BM164" s="292" t="e">
        <f t="shared" si="141"/>
        <v>#N/A</v>
      </c>
      <c r="BN164" s="293">
        <f t="shared" si="181"/>
        <v>7</v>
      </c>
      <c r="BO164" s="294" t="e">
        <f t="shared" si="182"/>
        <v>#N/A</v>
      </c>
      <c r="BP164" s="294" t="e">
        <f t="shared" si="183"/>
        <v>#N/A</v>
      </c>
      <c r="BQ164" s="292" t="e">
        <f t="shared" si="142"/>
        <v>#N/A</v>
      </c>
      <c r="BR164" s="295" t="e">
        <f t="shared" si="143"/>
        <v>#N/A</v>
      </c>
      <c r="BS164" s="230" t="e">
        <f>VLOOKUP($B164,SDR22_STOCK_BY_LA!$A$2:$C$11679,3,0)</f>
        <v>#N/A</v>
      </c>
      <c r="BT164" s="230" t="str">
        <f t="shared" si="184"/>
        <v/>
      </c>
    </row>
    <row r="165" spans="1:72" ht="12.5" x14ac:dyDescent="0.25">
      <c r="A165" s="269" t="str">
        <f t="shared" si="185"/>
        <v/>
      </c>
      <c r="B165" s="230" t="str">
        <f t="shared" si="186"/>
        <v/>
      </c>
      <c r="C165" s="270" t="str">
        <f t="shared" si="144"/>
        <v/>
      </c>
      <c r="D165" s="269" t="str">
        <f>IF(B165="","",IF(totals!$Q$3=0,IFERROR(IF(AD165=2,"0",AE165),""),"-"))</f>
        <v/>
      </c>
      <c r="E165" s="271" t="str">
        <f t="shared" si="145"/>
        <v/>
      </c>
      <c r="F165" s="272" t="str">
        <f t="shared" si="146"/>
        <v/>
      </c>
      <c r="G165" s="272" t="str">
        <f t="shared" si="147"/>
        <v/>
      </c>
      <c r="H165" s="269" t="str">
        <f t="shared" si="125"/>
        <v/>
      </c>
      <c r="I165" s="272" t="str">
        <f t="shared" si="148"/>
        <v/>
      </c>
      <c r="J165" s="272" t="str">
        <f t="shared" si="149"/>
        <v/>
      </c>
      <c r="K165" s="269" t="str">
        <f t="shared" si="126"/>
        <v/>
      </c>
      <c r="L165" s="272" t="str">
        <f t="shared" si="127"/>
        <v/>
      </c>
      <c r="M165" s="272" t="str">
        <f t="shared" si="150"/>
        <v/>
      </c>
      <c r="N165" s="269" t="str">
        <f t="shared" si="151"/>
        <v/>
      </c>
      <c r="O165" s="272" t="str">
        <f t="shared" si="152"/>
        <v/>
      </c>
      <c r="P165" s="272" t="str">
        <f t="shared" si="153"/>
        <v/>
      </c>
      <c r="Q165" s="269" t="str">
        <f t="shared" si="154"/>
        <v/>
      </c>
      <c r="R165" s="272" t="str">
        <f t="shared" si="155"/>
        <v/>
      </c>
      <c r="S165" s="272" t="str">
        <f t="shared" si="156"/>
        <v/>
      </c>
      <c r="T165" s="269" t="str">
        <f t="shared" si="157"/>
        <v/>
      </c>
      <c r="U165" s="230"/>
      <c r="V165" s="230"/>
      <c r="AB165" s="270" t="e">
        <f>VLOOKUP($B$6,Lookup_Source,158,0)</f>
        <v>#N/A</v>
      </c>
      <c r="AC165" s="254" t="str">
        <f t="shared" si="158"/>
        <v/>
      </c>
      <c r="AD165" s="255">
        <f t="shared" si="159"/>
        <v>7</v>
      </c>
      <c r="AE165" s="274" t="e">
        <f t="shared" si="128"/>
        <v>#N/A</v>
      </c>
      <c r="AF165" s="277" t="e">
        <f t="shared" si="160"/>
        <v>#N/A</v>
      </c>
      <c r="AG165" s="277" t="e">
        <f t="shared" si="161"/>
        <v>#N/A</v>
      </c>
      <c r="AH165" s="276" t="e">
        <f t="shared" si="129"/>
        <v>#N/A</v>
      </c>
      <c r="AI165" s="239">
        <f t="shared" si="162"/>
        <v>7</v>
      </c>
      <c r="AJ165" s="277" t="e">
        <f t="shared" si="130"/>
        <v>#N/A</v>
      </c>
      <c r="AK165" s="277" t="e">
        <f t="shared" si="163"/>
        <v>#N/A</v>
      </c>
      <c r="AL165" s="239" t="e">
        <f t="shared" si="131"/>
        <v>#N/A</v>
      </c>
      <c r="AM165" s="278" t="e">
        <f t="shared" si="164"/>
        <v>#N/A</v>
      </c>
      <c r="AN165" s="279" t="e">
        <f t="shared" si="132"/>
        <v>#N/A</v>
      </c>
      <c r="AO165" s="240" t="e">
        <f t="shared" si="133"/>
        <v>#N/A</v>
      </c>
      <c r="AP165" s="297">
        <f t="shared" si="165"/>
        <v>7</v>
      </c>
      <c r="AQ165" s="298" t="e">
        <f t="shared" si="134"/>
        <v>#N/A</v>
      </c>
      <c r="AR165" s="279" t="e">
        <f t="shared" si="166"/>
        <v>#N/A</v>
      </c>
      <c r="AS165" s="283" t="e">
        <f t="shared" si="135"/>
        <v>#N/A</v>
      </c>
      <c r="AT165" s="284">
        <f t="shared" si="167"/>
        <v>7</v>
      </c>
      <c r="AU165" s="285" t="e">
        <f t="shared" si="168"/>
        <v>#N/A</v>
      </c>
      <c r="AV165" s="286" t="e">
        <f t="shared" si="169"/>
        <v>#N/A</v>
      </c>
      <c r="AW165" s="287" t="e">
        <f t="shared" si="136"/>
        <v>#N/A</v>
      </c>
      <c r="AX165" s="245">
        <f t="shared" si="170"/>
        <v>7</v>
      </c>
      <c r="AY165" s="286" t="e">
        <f t="shared" si="137"/>
        <v>#N/A</v>
      </c>
      <c r="AZ165" s="245" t="e">
        <f t="shared" si="171"/>
        <v>#N/A</v>
      </c>
      <c r="BA165" s="245" t="e">
        <f t="shared" si="138"/>
        <v>#N/A</v>
      </c>
      <c r="BB165" s="288">
        <f t="shared" si="172"/>
        <v>7</v>
      </c>
      <c r="BC165" s="289" t="e">
        <f t="shared" si="173"/>
        <v>#N/A</v>
      </c>
      <c r="BD165" s="290" t="e">
        <f t="shared" si="174"/>
        <v>#N/A</v>
      </c>
      <c r="BE165" s="263" t="e">
        <f t="shared" si="139"/>
        <v>#N/A</v>
      </c>
      <c r="BF165" s="260">
        <f t="shared" si="175"/>
        <v>7</v>
      </c>
      <c r="BG165" s="289" t="e">
        <f t="shared" si="176"/>
        <v>#N/A</v>
      </c>
      <c r="BH165" s="290" t="e">
        <f t="shared" si="177"/>
        <v>#N/A</v>
      </c>
      <c r="BI165" s="263" t="e">
        <f t="shared" si="140"/>
        <v>#N/A</v>
      </c>
      <c r="BJ165" s="264">
        <f t="shared" si="178"/>
        <v>7</v>
      </c>
      <c r="BK165" s="291" t="e">
        <f t="shared" si="179"/>
        <v>#N/A</v>
      </c>
      <c r="BL165" s="291" t="e">
        <f t="shared" si="180"/>
        <v>#N/A</v>
      </c>
      <c r="BM165" s="292" t="e">
        <f t="shared" si="141"/>
        <v>#N/A</v>
      </c>
      <c r="BN165" s="293">
        <f t="shared" si="181"/>
        <v>7</v>
      </c>
      <c r="BO165" s="294" t="e">
        <f t="shared" si="182"/>
        <v>#N/A</v>
      </c>
      <c r="BP165" s="294" t="e">
        <f t="shared" si="183"/>
        <v>#N/A</v>
      </c>
      <c r="BQ165" s="292" t="e">
        <f t="shared" si="142"/>
        <v>#N/A</v>
      </c>
      <c r="BR165" s="295" t="e">
        <f t="shared" si="143"/>
        <v>#N/A</v>
      </c>
      <c r="BS165" s="230" t="e">
        <f>VLOOKUP($B165,SDR22_STOCK_BY_LA!$A$2:$C$11679,3,0)</f>
        <v>#N/A</v>
      </c>
      <c r="BT165" s="230" t="str">
        <f t="shared" si="184"/>
        <v/>
      </c>
    </row>
    <row r="166" spans="1:72" ht="12.5" x14ac:dyDescent="0.25">
      <c r="A166" s="230" t="str">
        <f t="shared" si="185"/>
        <v/>
      </c>
      <c r="B166" s="230" t="str">
        <f t="shared" si="186"/>
        <v/>
      </c>
      <c r="C166" s="296" t="str">
        <f t="shared" si="144"/>
        <v/>
      </c>
      <c r="D166" s="269" t="str">
        <f>IF(B166="","",IF(totals!$Q$3=0,IFERROR(IF(AD166=2,"0",AE166),""),"-"))</f>
        <v/>
      </c>
      <c r="E166" s="271" t="str">
        <f t="shared" si="145"/>
        <v/>
      </c>
      <c r="F166" s="272" t="str">
        <f t="shared" si="146"/>
        <v/>
      </c>
      <c r="G166" s="272" t="str">
        <f t="shared" si="147"/>
        <v/>
      </c>
      <c r="H166" s="269" t="str">
        <f t="shared" si="125"/>
        <v/>
      </c>
      <c r="I166" s="272" t="str">
        <f t="shared" si="148"/>
        <v/>
      </c>
      <c r="J166" s="272" t="str">
        <f t="shared" si="149"/>
        <v/>
      </c>
      <c r="K166" s="269" t="str">
        <f t="shared" si="126"/>
        <v/>
      </c>
      <c r="L166" s="272" t="str">
        <f t="shared" si="127"/>
        <v/>
      </c>
      <c r="M166" s="272" t="str">
        <f t="shared" si="150"/>
        <v/>
      </c>
      <c r="N166" s="269" t="str">
        <f t="shared" si="151"/>
        <v/>
      </c>
      <c r="O166" s="272" t="str">
        <f t="shared" si="152"/>
        <v/>
      </c>
      <c r="P166" s="272" t="str">
        <f t="shared" si="153"/>
        <v/>
      </c>
      <c r="Q166" s="269" t="str">
        <f t="shared" si="154"/>
        <v/>
      </c>
      <c r="R166" s="272" t="str">
        <f t="shared" si="155"/>
        <v/>
      </c>
      <c r="S166" s="272" t="str">
        <f t="shared" si="156"/>
        <v/>
      </c>
      <c r="T166" s="269" t="str">
        <f t="shared" si="157"/>
        <v/>
      </c>
      <c r="U166" s="230"/>
      <c r="V166" s="230"/>
      <c r="AB166" s="230" t="e">
        <f>VLOOKUP($B$6,Lookup_Source,159,0)</f>
        <v>#N/A</v>
      </c>
      <c r="AC166" s="254" t="str">
        <f t="shared" si="158"/>
        <v/>
      </c>
      <c r="AD166" s="255">
        <f t="shared" si="159"/>
        <v>7</v>
      </c>
      <c r="AE166" s="274" t="e">
        <f t="shared" si="128"/>
        <v>#N/A</v>
      </c>
      <c r="AF166" s="277" t="e">
        <f t="shared" si="160"/>
        <v>#N/A</v>
      </c>
      <c r="AG166" s="277" t="e">
        <f t="shared" si="161"/>
        <v>#N/A</v>
      </c>
      <c r="AH166" s="276" t="e">
        <f t="shared" si="129"/>
        <v>#N/A</v>
      </c>
      <c r="AI166" s="239">
        <f t="shared" si="162"/>
        <v>7</v>
      </c>
      <c r="AJ166" s="277" t="e">
        <f t="shared" si="130"/>
        <v>#N/A</v>
      </c>
      <c r="AK166" s="277" t="e">
        <f t="shared" si="163"/>
        <v>#N/A</v>
      </c>
      <c r="AL166" s="239" t="e">
        <f t="shared" si="131"/>
        <v>#N/A</v>
      </c>
      <c r="AM166" s="278" t="e">
        <f t="shared" si="164"/>
        <v>#N/A</v>
      </c>
      <c r="AN166" s="279" t="e">
        <f t="shared" si="132"/>
        <v>#N/A</v>
      </c>
      <c r="AO166" s="240" t="e">
        <f t="shared" si="133"/>
        <v>#N/A</v>
      </c>
      <c r="AP166" s="297">
        <f t="shared" si="165"/>
        <v>7</v>
      </c>
      <c r="AQ166" s="298" t="e">
        <f t="shared" si="134"/>
        <v>#N/A</v>
      </c>
      <c r="AR166" s="279" t="e">
        <f t="shared" si="166"/>
        <v>#N/A</v>
      </c>
      <c r="AS166" s="283" t="e">
        <f t="shared" si="135"/>
        <v>#N/A</v>
      </c>
      <c r="AT166" s="284">
        <f t="shared" si="167"/>
        <v>7</v>
      </c>
      <c r="AU166" s="285" t="e">
        <f t="shared" si="168"/>
        <v>#N/A</v>
      </c>
      <c r="AV166" s="286" t="e">
        <f t="shared" si="169"/>
        <v>#N/A</v>
      </c>
      <c r="AW166" s="287" t="e">
        <f t="shared" si="136"/>
        <v>#N/A</v>
      </c>
      <c r="AX166" s="245">
        <f t="shared" si="170"/>
        <v>7</v>
      </c>
      <c r="AY166" s="286" t="e">
        <f t="shared" si="137"/>
        <v>#N/A</v>
      </c>
      <c r="AZ166" s="245" t="e">
        <f t="shared" si="171"/>
        <v>#N/A</v>
      </c>
      <c r="BA166" s="245" t="e">
        <f t="shared" si="138"/>
        <v>#N/A</v>
      </c>
      <c r="BB166" s="288">
        <f t="shared" si="172"/>
        <v>7</v>
      </c>
      <c r="BC166" s="289" t="e">
        <f t="shared" si="173"/>
        <v>#N/A</v>
      </c>
      <c r="BD166" s="290" t="e">
        <f t="shared" si="174"/>
        <v>#N/A</v>
      </c>
      <c r="BE166" s="263" t="e">
        <f t="shared" si="139"/>
        <v>#N/A</v>
      </c>
      <c r="BF166" s="260">
        <f t="shared" si="175"/>
        <v>7</v>
      </c>
      <c r="BG166" s="289" t="e">
        <f t="shared" si="176"/>
        <v>#N/A</v>
      </c>
      <c r="BH166" s="290" t="e">
        <f t="shared" si="177"/>
        <v>#N/A</v>
      </c>
      <c r="BI166" s="263" t="e">
        <f t="shared" si="140"/>
        <v>#N/A</v>
      </c>
      <c r="BJ166" s="264">
        <f t="shared" si="178"/>
        <v>7</v>
      </c>
      <c r="BK166" s="291" t="e">
        <f t="shared" si="179"/>
        <v>#N/A</v>
      </c>
      <c r="BL166" s="291" t="e">
        <f t="shared" si="180"/>
        <v>#N/A</v>
      </c>
      <c r="BM166" s="292" t="e">
        <f t="shared" si="141"/>
        <v>#N/A</v>
      </c>
      <c r="BN166" s="293">
        <f t="shared" si="181"/>
        <v>7</v>
      </c>
      <c r="BO166" s="294" t="e">
        <f t="shared" si="182"/>
        <v>#N/A</v>
      </c>
      <c r="BP166" s="294" t="e">
        <f t="shared" si="183"/>
        <v>#N/A</v>
      </c>
      <c r="BQ166" s="292" t="e">
        <f t="shared" si="142"/>
        <v>#N/A</v>
      </c>
      <c r="BR166" s="295" t="e">
        <f t="shared" si="143"/>
        <v>#N/A</v>
      </c>
      <c r="BS166" s="230" t="e">
        <f>VLOOKUP($B166,SDR22_STOCK_BY_LA!$A$2:$C$11679,3,0)</f>
        <v>#N/A</v>
      </c>
      <c r="BT166" s="230" t="str">
        <f t="shared" si="184"/>
        <v/>
      </c>
    </row>
    <row r="167" spans="1:72" ht="12.5" x14ac:dyDescent="0.25">
      <c r="A167" s="269" t="str">
        <f t="shared" si="185"/>
        <v/>
      </c>
      <c r="B167" s="230" t="str">
        <f t="shared" si="186"/>
        <v/>
      </c>
      <c r="C167" s="270" t="str">
        <f t="shared" si="144"/>
        <v/>
      </c>
      <c r="D167" s="269" t="str">
        <f>IF(B167="","",IF(totals!$Q$3=0,IFERROR(IF(AD167=2,"0",AE167),""),"-"))</f>
        <v/>
      </c>
      <c r="E167" s="271" t="str">
        <f t="shared" si="145"/>
        <v/>
      </c>
      <c r="F167" s="272" t="str">
        <f t="shared" si="146"/>
        <v/>
      </c>
      <c r="G167" s="272" t="str">
        <f t="shared" si="147"/>
        <v/>
      </c>
      <c r="H167" s="269" t="str">
        <f t="shared" si="125"/>
        <v/>
      </c>
      <c r="I167" s="272" t="str">
        <f t="shared" si="148"/>
        <v/>
      </c>
      <c r="J167" s="272" t="str">
        <f t="shared" si="149"/>
        <v/>
      </c>
      <c r="K167" s="269" t="str">
        <f t="shared" si="126"/>
        <v/>
      </c>
      <c r="L167" s="272" t="str">
        <f t="shared" si="127"/>
        <v/>
      </c>
      <c r="M167" s="272" t="str">
        <f t="shared" si="150"/>
        <v/>
      </c>
      <c r="N167" s="269" t="str">
        <f t="shared" si="151"/>
        <v/>
      </c>
      <c r="O167" s="272" t="str">
        <f t="shared" si="152"/>
        <v/>
      </c>
      <c r="P167" s="272" t="str">
        <f t="shared" si="153"/>
        <v/>
      </c>
      <c r="Q167" s="269" t="str">
        <f t="shared" si="154"/>
        <v/>
      </c>
      <c r="R167" s="272" t="str">
        <f t="shared" si="155"/>
        <v/>
      </c>
      <c r="S167" s="272" t="str">
        <f t="shared" si="156"/>
        <v/>
      </c>
      <c r="T167" s="269" t="str">
        <f t="shared" si="157"/>
        <v/>
      </c>
      <c r="U167" s="230"/>
      <c r="V167" s="230"/>
      <c r="AB167" s="270" t="e">
        <f>VLOOKUP($B$6,Lookup_Source,160,0)</f>
        <v>#N/A</v>
      </c>
      <c r="AC167" s="254" t="str">
        <f t="shared" si="158"/>
        <v/>
      </c>
      <c r="AD167" s="255">
        <f t="shared" si="159"/>
        <v>7</v>
      </c>
      <c r="AE167" s="274" t="e">
        <f t="shared" si="128"/>
        <v>#N/A</v>
      </c>
      <c r="AF167" s="277" t="e">
        <f t="shared" si="160"/>
        <v>#N/A</v>
      </c>
      <c r="AG167" s="277" t="e">
        <f t="shared" si="161"/>
        <v>#N/A</v>
      </c>
      <c r="AH167" s="276" t="e">
        <f t="shared" si="129"/>
        <v>#N/A</v>
      </c>
      <c r="AI167" s="239">
        <f t="shared" si="162"/>
        <v>7</v>
      </c>
      <c r="AJ167" s="277" t="e">
        <f t="shared" si="130"/>
        <v>#N/A</v>
      </c>
      <c r="AK167" s="277" t="e">
        <f t="shared" si="163"/>
        <v>#N/A</v>
      </c>
      <c r="AL167" s="239" t="e">
        <f t="shared" si="131"/>
        <v>#N/A</v>
      </c>
      <c r="AM167" s="278" t="e">
        <f t="shared" si="164"/>
        <v>#N/A</v>
      </c>
      <c r="AN167" s="279" t="e">
        <f t="shared" si="132"/>
        <v>#N/A</v>
      </c>
      <c r="AO167" s="240" t="e">
        <f t="shared" si="133"/>
        <v>#N/A</v>
      </c>
      <c r="AP167" s="297">
        <f t="shared" si="165"/>
        <v>7</v>
      </c>
      <c r="AQ167" s="298" t="e">
        <f t="shared" si="134"/>
        <v>#N/A</v>
      </c>
      <c r="AR167" s="279" t="e">
        <f t="shared" si="166"/>
        <v>#N/A</v>
      </c>
      <c r="AS167" s="283" t="e">
        <f t="shared" si="135"/>
        <v>#N/A</v>
      </c>
      <c r="AT167" s="284">
        <f t="shared" si="167"/>
        <v>7</v>
      </c>
      <c r="AU167" s="285" t="e">
        <f t="shared" si="168"/>
        <v>#N/A</v>
      </c>
      <c r="AV167" s="286" t="e">
        <f t="shared" si="169"/>
        <v>#N/A</v>
      </c>
      <c r="AW167" s="287" t="e">
        <f t="shared" si="136"/>
        <v>#N/A</v>
      </c>
      <c r="AX167" s="245">
        <f t="shared" si="170"/>
        <v>7</v>
      </c>
      <c r="AY167" s="286" t="e">
        <f t="shared" si="137"/>
        <v>#N/A</v>
      </c>
      <c r="AZ167" s="245" t="e">
        <f t="shared" si="171"/>
        <v>#N/A</v>
      </c>
      <c r="BA167" s="245" t="e">
        <f t="shared" si="138"/>
        <v>#N/A</v>
      </c>
      <c r="BB167" s="288">
        <f t="shared" si="172"/>
        <v>7</v>
      </c>
      <c r="BC167" s="289" t="e">
        <f t="shared" si="173"/>
        <v>#N/A</v>
      </c>
      <c r="BD167" s="290" t="e">
        <f t="shared" si="174"/>
        <v>#N/A</v>
      </c>
      <c r="BE167" s="263" t="e">
        <f t="shared" si="139"/>
        <v>#N/A</v>
      </c>
      <c r="BF167" s="260">
        <f t="shared" si="175"/>
        <v>7</v>
      </c>
      <c r="BG167" s="289" t="e">
        <f t="shared" si="176"/>
        <v>#N/A</v>
      </c>
      <c r="BH167" s="290" t="e">
        <f t="shared" si="177"/>
        <v>#N/A</v>
      </c>
      <c r="BI167" s="263" t="e">
        <f t="shared" si="140"/>
        <v>#N/A</v>
      </c>
      <c r="BJ167" s="264">
        <f t="shared" si="178"/>
        <v>7</v>
      </c>
      <c r="BK167" s="291" t="e">
        <f t="shared" si="179"/>
        <v>#N/A</v>
      </c>
      <c r="BL167" s="291" t="e">
        <f t="shared" si="180"/>
        <v>#N/A</v>
      </c>
      <c r="BM167" s="292" t="e">
        <f t="shared" si="141"/>
        <v>#N/A</v>
      </c>
      <c r="BN167" s="293">
        <f t="shared" si="181"/>
        <v>7</v>
      </c>
      <c r="BO167" s="294" t="e">
        <f t="shared" si="182"/>
        <v>#N/A</v>
      </c>
      <c r="BP167" s="294" t="e">
        <f t="shared" si="183"/>
        <v>#N/A</v>
      </c>
      <c r="BQ167" s="292" t="e">
        <f t="shared" si="142"/>
        <v>#N/A</v>
      </c>
      <c r="BR167" s="295" t="e">
        <f t="shared" si="143"/>
        <v>#N/A</v>
      </c>
      <c r="BS167" s="230" t="e">
        <f>VLOOKUP($B167,SDR22_STOCK_BY_LA!$A$2:$C$11679,3,0)</f>
        <v>#N/A</v>
      </c>
      <c r="BT167" s="230" t="str">
        <f t="shared" si="184"/>
        <v/>
      </c>
    </row>
    <row r="168" spans="1:72" ht="12.5" x14ac:dyDescent="0.25">
      <c r="A168" s="230" t="str">
        <f t="shared" si="185"/>
        <v/>
      </c>
      <c r="B168" s="230" t="str">
        <f t="shared" si="186"/>
        <v/>
      </c>
      <c r="C168" s="296" t="str">
        <f t="shared" si="144"/>
        <v/>
      </c>
      <c r="D168" s="269" t="str">
        <f>IF(B168="","",IF(totals!$Q$3=0,IFERROR(IF(AD168=2,"0",AE168),""),"-"))</f>
        <v/>
      </c>
      <c r="E168" s="271" t="str">
        <f t="shared" si="145"/>
        <v/>
      </c>
      <c r="F168" s="272" t="str">
        <f t="shared" si="146"/>
        <v/>
      </c>
      <c r="G168" s="272" t="str">
        <f t="shared" si="147"/>
        <v/>
      </c>
      <c r="H168" s="269" t="str">
        <f t="shared" si="125"/>
        <v/>
      </c>
      <c r="I168" s="272" t="str">
        <f t="shared" si="148"/>
        <v/>
      </c>
      <c r="J168" s="272" t="str">
        <f t="shared" si="149"/>
        <v/>
      </c>
      <c r="K168" s="269" t="str">
        <f t="shared" si="126"/>
        <v/>
      </c>
      <c r="L168" s="272" t="str">
        <f t="shared" si="127"/>
        <v/>
      </c>
      <c r="M168" s="272" t="str">
        <f t="shared" si="150"/>
        <v/>
      </c>
      <c r="N168" s="269" t="str">
        <f t="shared" si="151"/>
        <v/>
      </c>
      <c r="O168" s="272" t="str">
        <f t="shared" si="152"/>
        <v/>
      </c>
      <c r="P168" s="272" t="str">
        <f t="shared" si="153"/>
        <v/>
      </c>
      <c r="Q168" s="269" t="str">
        <f t="shared" si="154"/>
        <v/>
      </c>
      <c r="R168" s="272" t="str">
        <f t="shared" si="155"/>
        <v/>
      </c>
      <c r="S168" s="272" t="str">
        <f t="shared" si="156"/>
        <v/>
      </c>
      <c r="T168" s="269" t="str">
        <f t="shared" si="157"/>
        <v/>
      </c>
      <c r="U168" s="230"/>
      <c r="V168" s="230"/>
      <c r="AB168" s="230" t="e">
        <f>VLOOKUP($B$6,Lookup_Source,161,0)</f>
        <v>#N/A</v>
      </c>
      <c r="AC168" s="254" t="str">
        <f t="shared" si="158"/>
        <v/>
      </c>
      <c r="AD168" s="255">
        <f t="shared" si="159"/>
        <v>7</v>
      </c>
      <c r="AE168" s="274" t="e">
        <f t="shared" si="128"/>
        <v>#N/A</v>
      </c>
      <c r="AF168" s="277" t="e">
        <f t="shared" si="160"/>
        <v>#N/A</v>
      </c>
      <c r="AG168" s="277" t="e">
        <f t="shared" si="161"/>
        <v>#N/A</v>
      </c>
      <c r="AH168" s="276" t="e">
        <f t="shared" si="129"/>
        <v>#N/A</v>
      </c>
      <c r="AI168" s="239">
        <f t="shared" si="162"/>
        <v>7</v>
      </c>
      <c r="AJ168" s="277" t="e">
        <f t="shared" si="130"/>
        <v>#N/A</v>
      </c>
      <c r="AK168" s="277" t="e">
        <f t="shared" si="163"/>
        <v>#N/A</v>
      </c>
      <c r="AL168" s="239" t="e">
        <f t="shared" si="131"/>
        <v>#N/A</v>
      </c>
      <c r="AM168" s="278" t="e">
        <f t="shared" si="164"/>
        <v>#N/A</v>
      </c>
      <c r="AN168" s="279" t="e">
        <f t="shared" si="132"/>
        <v>#N/A</v>
      </c>
      <c r="AO168" s="240" t="e">
        <f t="shared" si="133"/>
        <v>#N/A</v>
      </c>
      <c r="AP168" s="297">
        <f t="shared" si="165"/>
        <v>7</v>
      </c>
      <c r="AQ168" s="298" t="e">
        <f t="shared" si="134"/>
        <v>#N/A</v>
      </c>
      <c r="AR168" s="279" t="e">
        <f t="shared" si="166"/>
        <v>#N/A</v>
      </c>
      <c r="AS168" s="283" t="e">
        <f t="shared" si="135"/>
        <v>#N/A</v>
      </c>
      <c r="AT168" s="284">
        <f t="shared" si="167"/>
        <v>7</v>
      </c>
      <c r="AU168" s="285" t="e">
        <f t="shared" si="168"/>
        <v>#N/A</v>
      </c>
      <c r="AV168" s="286" t="e">
        <f t="shared" si="169"/>
        <v>#N/A</v>
      </c>
      <c r="AW168" s="287" t="e">
        <f t="shared" si="136"/>
        <v>#N/A</v>
      </c>
      <c r="AX168" s="245">
        <f t="shared" si="170"/>
        <v>7</v>
      </c>
      <c r="AY168" s="286" t="e">
        <f t="shared" si="137"/>
        <v>#N/A</v>
      </c>
      <c r="AZ168" s="245" t="e">
        <f t="shared" si="171"/>
        <v>#N/A</v>
      </c>
      <c r="BA168" s="245" t="e">
        <f t="shared" si="138"/>
        <v>#N/A</v>
      </c>
      <c r="BB168" s="288">
        <f t="shared" si="172"/>
        <v>7</v>
      </c>
      <c r="BC168" s="289" t="e">
        <f t="shared" si="173"/>
        <v>#N/A</v>
      </c>
      <c r="BD168" s="290" t="e">
        <f t="shared" si="174"/>
        <v>#N/A</v>
      </c>
      <c r="BE168" s="263" t="e">
        <f t="shared" si="139"/>
        <v>#N/A</v>
      </c>
      <c r="BF168" s="260">
        <f t="shared" si="175"/>
        <v>7</v>
      </c>
      <c r="BG168" s="289" t="e">
        <f t="shared" si="176"/>
        <v>#N/A</v>
      </c>
      <c r="BH168" s="290" t="e">
        <f t="shared" si="177"/>
        <v>#N/A</v>
      </c>
      <c r="BI168" s="263" t="e">
        <f t="shared" si="140"/>
        <v>#N/A</v>
      </c>
      <c r="BJ168" s="264">
        <f t="shared" si="178"/>
        <v>7</v>
      </c>
      <c r="BK168" s="291" t="e">
        <f t="shared" si="179"/>
        <v>#N/A</v>
      </c>
      <c r="BL168" s="291" t="e">
        <f t="shared" si="180"/>
        <v>#N/A</v>
      </c>
      <c r="BM168" s="292" t="e">
        <f t="shared" si="141"/>
        <v>#N/A</v>
      </c>
      <c r="BN168" s="293">
        <f t="shared" si="181"/>
        <v>7</v>
      </c>
      <c r="BO168" s="294" t="e">
        <f t="shared" si="182"/>
        <v>#N/A</v>
      </c>
      <c r="BP168" s="294" t="e">
        <f t="shared" si="183"/>
        <v>#N/A</v>
      </c>
      <c r="BQ168" s="292" t="e">
        <f t="shared" si="142"/>
        <v>#N/A</v>
      </c>
      <c r="BR168" s="295" t="e">
        <f t="shared" si="143"/>
        <v>#N/A</v>
      </c>
      <c r="BS168" s="230" t="e">
        <f>VLOOKUP($B168,SDR22_STOCK_BY_LA!$A$2:$C$11679,3,0)</f>
        <v>#N/A</v>
      </c>
      <c r="BT168" s="230" t="str">
        <f t="shared" si="184"/>
        <v/>
      </c>
    </row>
    <row r="169" spans="1:72" ht="12.5" x14ac:dyDescent="0.25">
      <c r="A169" s="269" t="str">
        <f t="shared" si="185"/>
        <v/>
      </c>
      <c r="B169" s="230" t="str">
        <f t="shared" si="186"/>
        <v/>
      </c>
      <c r="C169" s="270" t="str">
        <f t="shared" si="144"/>
        <v/>
      </c>
      <c r="D169" s="269" t="str">
        <f>IF(B169="","",IF(totals!$Q$3=0,IFERROR(IF(AD169=2,"0",AE169),""),"-"))</f>
        <v/>
      </c>
      <c r="E169" s="271" t="str">
        <f t="shared" si="145"/>
        <v/>
      </c>
      <c r="F169" s="272" t="str">
        <f t="shared" si="146"/>
        <v/>
      </c>
      <c r="G169" s="272" t="str">
        <f t="shared" si="147"/>
        <v/>
      </c>
      <c r="H169" s="269" t="str">
        <f t="shared" si="125"/>
        <v/>
      </c>
      <c r="I169" s="272" t="str">
        <f t="shared" si="148"/>
        <v/>
      </c>
      <c r="J169" s="272" t="str">
        <f t="shared" si="149"/>
        <v/>
      </c>
      <c r="K169" s="269" t="str">
        <f t="shared" si="126"/>
        <v/>
      </c>
      <c r="L169" s="272" t="str">
        <f t="shared" si="127"/>
        <v/>
      </c>
      <c r="M169" s="272" t="str">
        <f t="shared" si="150"/>
        <v/>
      </c>
      <c r="N169" s="269" t="str">
        <f t="shared" si="151"/>
        <v/>
      </c>
      <c r="O169" s="272" t="str">
        <f t="shared" si="152"/>
        <v/>
      </c>
      <c r="P169" s="272" t="str">
        <f t="shared" si="153"/>
        <v/>
      </c>
      <c r="Q169" s="269" t="str">
        <f t="shared" si="154"/>
        <v/>
      </c>
      <c r="R169" s="272" t="str">
        <f t="shared" si="155"/>
        <v/>
      </c>
      <c r="S169" s="272" t="str">
        <f t="shared" si="156"/>
        <v/>
      </c>
      <c r="T169" s="269" t="str">
        <f t="shared" si="157"/>
        <v/>
      </c>
      <c r="U169" s="230"/>
      <c r="V169" s="230"/>
      <c r="AB169" s="270" t="e">
        <f>VLOOKUP($B$6,Lookup_Source,162,0)</f>
        <v>#N/A</v>
      </c>
      <c r="AC169" s="254" t="str">
        <f t="shared" si="158"/>
        <v/>
      </c>
      <c r="AD169" s="255">
        <f t="shared" si="159"/>
        <v>7</v>
      </c>
      <c r="AE169" s="274" t="e">
        <f t="shared" si="128"/>
        <v>#N/A</v>
      </c>
      <c r="AF169" s="277" t="e">
        <f t="shared" si="160"/>
        <v>#N/A</v>
      </c>
      <c r="AG169" s="277" t="e">
        <f t="shared" si="161"/>
        <v>#N/A</v>
      </c>
      <c r="AH169" s="276" t="e">
        <f t="shared" si="129"/>
        <v>#N/A</v>
      </c>
      <c r="AI169" s="239">
        <f t="shared" si="162"/>
        <v>7</v>
      </c>
      <c r="AJ169" s="277" t="e">
        <f t="shared" si="130"/>
        <v>#N/A</v>
      </c>
      <c r="AK169" s="277" t="e">
        <f t="shared" si="163"/>
        <v>#N/A</v>
      </c>
      <c r="AL169" s="239" t="e">
        <f t="shared" si="131"/>
        <v>#N/A</v>
      </c>
      <c r="AM169" s="278" t="e">
        <f t="shared" si="164"/>
        <v>#N/A</v>
      </c>
      <c r="AN169" s="279" t="e">
        <f t="shared" si="132"/>
        <v>#N/A</v>
      </c>
      <c r="AO169" s="240" t="e">
        <f t="shared" si="133"/>
        <v>#N/A</v>
      </c>
      <c r="AP169" s="297">
        <f t="shared" si="165"/>
        <v>7</v>
      </c>
      <c r="AQ169" s="298" t="e">
        <f t="shared" si="134"/>
        <v>#N/A</v>
      </c>
      <c r="AR169" s="279" t="e">
        <f t="shared" si="166"/>
        <v>#N/A</v>
      </c>
      <c r="AS169" s="283" t="e">
        <f t="shared" si="135"/>
        <v>#N/A</v>
      </c>
      <c r="AT169" s="284">
        <f t="shared" si="167"/>
        <v>7</v>
      </c>
      <c r="AU169" s="285" t="e">
        <f t="shared" si="168"/>
        <v>#N/A</v>
      </c>
      <c r="AV169" s="286" t="e">
        <f t="shared" si="169"/>
        <v>#N/A</v>
      </c>
      <c r="AW169" s="287" t="e">
        <f t="shared" si="136"/>
        <v>#N/A</v>
      </c>
      <c r="AX169" s="245">
        <f t="shared" si="170"/>
        <v>7</v>
      </c>
      <c r="AY169" s="286" t="e">
        <f t="shared" si="137"/>
        <v>#N/A</v>
      </c>
      <c r="AZ169" s="245" t="e">
        <f t="shared" si="171"/>
        <v>#N/A</v>
      </c>
      <c r="BA169" s="245" t="e">
        <f t="shared" si="138"/>
        <v>#N/A</v>
      </c>
      <c r="BB169" s="288">
        <f t="shared" si="172"/>
        <v>7</v>
      </c>
      <c r="BC169" s="289" t="e">
        <f t="shared" si="173"/>
        <v>#N/A</v>
      </c>
      <c r="BD169" s="290" t="e">
        <f t="shared" si="174"/>
        <v>#N/A</v>
      </c>
      <c r="BE169" s="263" t="e">
        <f t="shared" si="139"/>
        <v>#N/A</v>
      </c>
      <c r="BF169" s="260">
        <f t="shared" si="175"/>
        <v>7</v>
      </c>
      <c r="BG169" s="289" t="e">
        <f t="shared" si="176"/>
        <v>#N/A</v>
      </c>
      <c r="BH169" s="290" t="e">
        <f t="shared" si="177"/>
        <v>#N/A</v>
      </c>
      <c r="BI169" s="263" t="e">
        <f t="shared" si="140"/>
        <v>#N/A</v>
      </c>
      <c r="BJ169" s="264">
        <f t="shared" si="178"/>
        <v>7</v>
      </c>
      <c r="BK169" s="291" t="e">
        <f t="shared" si="179"/>
        <v>#N/A</v>
      </c>
      <c r="BL169" s="291" t="e">
        <f t="shared" si="180"/>
        <v>#N/A</v>
      </c>
      <c r="BM169" s="292" t="e">
        <f t="shared" si="141"/>
        <v>#N/A</v>
      </c>
      <c r="BN169" s="293">
        <f t="shared" si="181"/>
        <v>7</v>
      </c>
      <c r="BO169" s="294" t="e">
        <f t="shared" si="182"/>
        <v>#N/A</v>
      </c>
      <c r="BP169" s="294" t="e">
        <f t="shared" si="183"/>
        <v>#N/A</v>
      </c>
      <c r="BQ169" s="292" t="e">
        <f t="shared" si="142"/>
        <v>#N/A</v>
      </c>
      <c r="BR169" s="295" t="e">
        <f t="shared" si="143"/>
        <v>#N/A</v>
      </c>
      <c r="BS169" s="230" t="e">
        <f>VLOOKUP($B169,SDR22_STOCK_BY_LA!$A$2:$C$11679,3,0)</f>
        <v>#N/A</v>
      </c>
      <c r="BT169" s="230" t="str">
        <f t="shared" si="184"/>
        <v/>
      </c>
    </row>
    <row r="170" spans="1:72" ht="12.5" x14ac:dyDescent="0.25">
      <c r="A170" s="230" t="str">
        <f t="shared" si="185"/>
        <v/>
      </c>
      <c r="B170" s="230" t="str">
        <f t="shared" si="186"/>
        <v/>
      </c>
      <c r="C170" s="296" t="str">
        <f t="shared" si="144"/>
        <v/>
      </c>
      <c r="D170" s="269" t="str">
        <f>IF(B170="","",IF(totals!$Q$3=0,IFERROR(IF(AD170=2,"0",AE170),""),"-"))</f>
        <v/>
      </c>
      <c r="E170" s="271" t="str">
        <f t="shared" si="145"/>
        <v/>
      </c>
      <c r="F170" s="272" t="str">
        <f t="shared" si="146"/>
        <v/>
      </c>
      <c r="G170" s="272" t="str">
        <f t="shared" si="147"/>
        <v/>
      </c>
      <c r="H170" s="269" t="str">
        <f t="shared" si="125"/>
        <v/>
      </c>
      <c r="I170" s="272" t="str">
        <f t="shared" si="148"/>
        <v/>
      </c>
      <c r="J170" s="272" t="str">
        <f t="shared" si="149"/>
        <v/>
      </c>
      <c r="K170" s="269" t="str">
        <f t="shared" si="126"/>
        <v/>
      </c>
      <c r="L170" s="272" t="str">
        <f t="shared" si="127"/>
        <v/>
      </c>
      <c r="M170" s="272" t="str">
        <f t="shared" si="150"/>
        <v/>
      </c>
      <c r="N170" s="269" t="str">
        <f t="shared" si="151"/>
        <v/>
      </c>
      <c r="O170" s="272" t="str">
        <f t="shared" si="152"/>
        <v/>
      </c>
      <c r="P170" s="272" t="str">
        <f t="shared" si="153"/>
        <v/>
      </c>
      <c r="Q170" s="269" t="str">
        <f t="shared" si="154"/>
        <v/>
      </c>
      <c r="R170" s="272" t="str">
        <f t="shared" si="155"/>
        <v/>
      </c>
      <c r="S170" s="272" t="str">
        <f t="shared" si="156"/>
        <v/>
      </c>
      <c r="T170" s="269" t="str">
        <f t="shared" si="157"/>
        <v/>
      </c>
      <c r="U170" s="230"/>
      <c r="V170" s="230"/>
      <c r="AB170" s="230" t="e">
        <f>VLOOKUP($B$6,Lookup_Source,163,0)</f>
        <v>#N/A</v>
      </c>
      <c r="AC170" s="254" t="str">
        <f t="shared" si="158"/>
        <v/>
      </c>
      <c r="AD170" s="255">
        <f t="shared" si="159"/>
        <v>7</v>
      </c>
      <c r="AE170" s="274" t="e">
        <f t="shared" si="128"/>
        <v>#N/A</v>
      </c>
      <c r="AF170" s="277" t="e">
        <f t="shared" si="160"/>
        <v>#N/A</v>
      </c>
      <c r="AG170" s="277" t="e">
        <f t="shared" si="161"/>
        <v>#N/A</v>
      </c>
      <c r="AH170" s="276" t="e">
        <f t="shared" si="129"/>
        <v>#N/A</v>
      </c>
      <c r="AI170" s="239">
        <f t="shared" si="162"/>
        <v>7</v>
      </c>
      <c r="AJ170" s="277" t="e">
        <f t="shared" si="130"/>
        <v>#N/A</v>
      </c>
      <c r="AK170" s="277" t="e">
        <f t="shared" si="163"/>
        <v>#N/A</v>
      </c>
      <c r="AL170" s="239" t="e">
        <f t="shared" si="131"/>
        <v>#N/A</v>
      </c>
      <c r="AM170" s="278" t="e">
        <f t="shared" si="164"/>
        <v>#N/A</v>
      </c>
      <c r="AN170" s="279" t="e">
        <f t="shared" si="132"/>
        <v>#N/A</v>
      </c>
      <c r="AO170" s="240" t="e">
        <f t="shared" si="133"/>
        <v>#N/A</v>
      </c>
      <c r="AP170" s="297">
        <f t="shared" si="165"/>
        <v>7</v>
      </c>
      <c r="AQ170" s="298" t="e">
        <f t="shared" si="134"/>
        <v>#N/A</v>
      </c>
      <c r="AR170" s="279" t="e">
        <f t="shared" si="166"/>
        <v>#N/A</v>
      </c>
      <c r="AS170" s="283" t="e">
        <f t="shared" si="135"/>
        <v>#N/A</v>
      </c>
      <c r="AT170" s="284">
        <f t="shared" si="167"/>
        <v>7</v>
      </c>
      <c r="AU170" s="285" t="e">
        <f t="shared" si="168"/>
        <v>#N/A</v>
      </c>
      <c r="AV170" s="286" t="e">
        <f t="shared" si="169"/>
        <v>#N/A</v>
      </c>
      <c r="AW170" s="287" t="e">
        <f t="shared" si="136"/>
        <v>#N/A</v>
      </c>
      <c r="AX170" s="245">
        <f t="shared" si="170"/>
        <v>7</v>
      </c>
      <c r="AY170" s="286" t="e">
        <f t="shared" si="137"/>
        <v>#N/A</v>
      </c>
      <c r="AZ170" s="245" t="e">
        <f t="shared" si="171"/>
        <v>#N/A</v>
      </c>
      <c r="BA170" s="245" t="e">
        <f t="shared" si="138"/>
        <v>#N/A</v>
      </c>
      <c r="BB170" s="288">
        <f t="shared" si="172"/>
        <v>7</v>
      </c>
      <c r="BC170" s="289" t="e">
        <f t="shared" si="173"/>
        <v>#N/A</v>
      </c>
      <c r="BD170" s="290" t="e">
        <f t="shared" si="174"/>
        <v>#N/A</v>
      </c>
      <c r="BE170" s="263" t="e">
        <f t="shared" si="139"/>
        <v>#N/A</v>
      </c>
      <c r="BF170" s="260">
        <f t="shared" si="175"/>
        <v>7</v>
      </c>
      <c r="BG170" s="289" t="e">
        <f t="shared" si="176"/>
        <v>#N/A</v>
      </c>
      <c r="BH170" s="290" t="e">
        <f t="shared" si="177"/>
        <v>#N/A</v>
      </c>
      <c r="BI170" s="263" t="e">
        <f t="shared" si="140"/>
        <v>#N/A</v>
      </c>
      <c r="BJ170" s="264">
        <f t="shared" si="178"/>
        <v>7</v>
      </c>
      <c r="BK170" s="291" t="e">
        <f t="shared" si="179"/>
        <v>#N/A</v>
      </c>
      <c r="BL170" s="291" t="e">
        <f t="shared" si="180"/>
        <v>#N/A</v>
      </c>
      <c r="BM170" s="292" t="e">
        <f t="shared" si="141"/>
        <v>#N/A</v>
      </c>
      <c r="BN170" s="293">
        <f t="shared" si="181"/>
        <v>7</v>
      </c>
      <c r="BO170" s="294" t="e">
        <f t="shared" si="182"/>
        <v>#N/A</v>
      </c>
      <c r="BP170" s="294" t="e">
        <f t="shared" si="183"/>
        <v>#N/A</v>
      </c>
      <c r="BQ170" s="292" t="e">
        <f t="shared" si="142"/>
        <v>#N/A</v>
      </c>
      <c r="BR170" s="295" t="e">
        <f t="shared" si="143"/>
        <v>#N/A</v>
      </c>
      <c r="BS170" s="230" t="e">
        <f>VLOOKUP($B170,SDR22_STOCK_BY_LA!$A$2:$C$11679,3,0)</f>
        <v>#N/A</v>
      </c>
      <c r="BT170" s="230" t="str">
        <f t="shared" si="184"/>
        <v/>
      </c>
    </row>
    <row r="171" spans="1:72" ht="12.5" x14ac:dyDescent="0.25">
      <c r="A171" s="269" t="str">
        <f t="shared" si="185"/>
        <v/>
      </c>
      <c r="B171" s="230" t="str">
        <f t="shared" si="186"/>
        <v/>
      </c>
      <c r="C171" s="270" t="str">
        <f t="shared" si="144"/>
        <v/>
      </c>
      <c r="D171" s="269" t="str">
        <f>IF(B171="","",IF(totals!$Q$3=0,IFERROR(IF(AD171=2,"0",AE171),""),"-"))</f>
        <v/>
      </c>
      <c r="E171" s="271" t="str">
        <f t="shared" si="145"/>
        <v/>
      </c>
      <c r="F171" s="272" t="str">
        <f t="shared" si="146"/>
        <v/>
      </c>
      <c r="G171" s="272" t="str">
        <f t="shared" si="147"/>
        <v/>
      </c>
      <c r="H171" s="269" t="str">
        <f t="shared" si="125"/>
        <v/>
      </c>
      <c r="I171" s="272" t="str">
        <f t="shared" si="148"/>
        <v/>
      </c>
      <c r="J171" s="272" t="str">
        <f t="shared" si="149"/>
        <v/>
      </c>
      <c r="K171" s="269" t="str">
        <f t="shared" si="126"/>
        <v/>
      </c>
      <c r="L171" s="272" t="str">
        <f t="shared" si="127"/>
        <v/>
      </c>
      <c r="M171" s="272" t="str">
        <f t="shared" si="150"/>
        <v/>
      </c>
      <c r="N171" s="269" t="str">
        <f t="shared" si="151"/>
        <v/>
      </c>
      <c r="O171" s="272" t="str">
        <f t="shared" si="152"/>
        <v/>
      </c>
      <c r="P171" s="272" t="str">
        <f t="shared" si="153"/>
        <v/>
      </c>
      <c r="Q171" s="269" t="str">
        <f t="shared" si="154"/>
        <v/>
      </c>
      <c r="R171" s="272" t="str">
        <f t="shared" si="155"/>
        <v/>
      </c>
      <c r="S171" s="272" t="str">
        <f t="shared" si="156"/>
        <v/>
      </c>
      <c r="T171" s="269" t="str">
        <f t="shared" si="157"/>
        <v/>
      </c>
      <c r="U171" s="230"/>
      <c r="V171" s="230"/>
      <c r="AB171" s="270" t="e">
        <f>VLOOKUP($B$6,Lookup_Source,164,0)</f>
        <v>#N/A</v>
      </c>
      <c r="AC171" s="254" t="str">
        <f t="shared" si="158"/>
        <v/>
      </c>
      <c r="AD171" s="255">
        <f t="shared" si="159"/>
        <v>7</v>
      </c>
      <c r="AE171" s="274" t="e">
        <f t="shared" si="128"/>
        <v>#N/A</v>
      </c>
      <c r="AF171" s="277" t="e">
        <f t="shared" si="160"/>
        <v>#N/A</v>
      </c>
      <c r="AG171" s="277" t="e">
        <f t="shared" si="161"/>
        <v>#N/A</v>
      </c>
      <c r="AH171" s="276" t="e">
        <f t="shared" si="129"/>
        <v>#N/A</v>
      </c>
      <c r="AI171" s="239">
        <f t="shared" si="162"/>
        <v>7</v>
      </c>
      <c r="AJ171" s="277" t="e">
        <f t="shared" si="130"/>
        <v>#N/A</v>
      </c>
      <c r="AK171" s="277" t="e">
        <f t="shared" si="163"/>
        <v>#N/A</v>
      </c>
      <c r="AL171" s="239" t="e">
        <f t="shared" si="131"/>
        <v>#N/A</v>
      </c>
      <c r="AM171" s="278" t="e">
        <f t="shared" si="164"/>
        <v>#N/A</v>
      </c>
      <c r="AN171" s="279" t="e">
        <f t="shared" si="132"/>
        <v>#N/A</v>
      </c>
      <c r="AO171" s="240" t="e">
        <f t="shared" si="133"/>
        <v>#N/A</v>
      </c>
      <c r="AP171" s="297">
        <f t="shared" si="165"/>
        <v>7</v>
      </c>
      <c r="AQ171" s="298" t="e">
        <f t="shared" si="134"/>
        <v>#N/A</v>
      </c>
      <c r="AR171" s="279" t="e">
        <f t="shared" si="166"/>
        <v>#N/A</v>
      </c>
      <c r="AS171" s="283" t="e">
        <f t="shared" si="135"/>
        <v>#N/A</v>
      </c>
      <c r="AT171" s="284">
        <f t="shared" si="167"/>
        <v>7</v>
      </c>
      <c r="AU171" s="285" t="e">
        <f t="shared" si="168"/>
        <v>#N/A</v>
      </c>
      <c r="AV171" s="286" t="e">
        <f t="shared" si="169"/>
        <v>#N/A</v>
      </c>
      <c r="AW171" s="287" t="e">
        <f t="shared" si="136"/>
        <v>#N/A</v>
      </c>
      <c r="AX171" s="245">
        <f t="shared" si="170"/>
        <v>7</v>
      </c>
      <c r="AY171" s="286" t="e">
        <f t="shared" si="137"/>
        <v>#N/A</v>
      </c>
      <c r="AZ171" s="245" t="e">
        <f t="shared" si="171"/>
        <v>#N/A</v>
      </c>
      <c r="BA171" s="245" t="e">
        <f t="shared" si="138"/>
        <v>#N/A</v>
      </c>
      <c r="BB171" s="288">
        <f t="shared" si="172"/>
        <v>7</v>
      </c>
      <c r="BC171" s="289" t="e">
        <f t="shared" si="173"/>
        <v>#N/A</v>
      </c>
      <c r="BD171" s="290" t="e">
        <f t="shared" si="174"/>
        <v>#N/A</v>
      </c>
      <c r="BE171" s="263" t="e">
        <f t="shared" si="139"/>
        <v>#N/A</v>
      </c>
      <c r="BF171" s="260">
        <f t="shared" si="175"/>
        <v>7</v>
      </c>
      <c r="BG171" s="289" t="e">
        <f t="shared" si="176"/>
        <v>#N/A</v>
      </c>
      <c r="BH171" s="290" t="e">
        <f t="shared" si="177"/>
        <v>#N/A</v>
      </c>
      <c r="BI171" s="263" t="e">
        <f t="shared" si="140"/>
        <v>#N/A</v>
      </c>
      <c r="BJ171" s="264">
        <f t="shared" si="178"/>
        <v>7</v>
      </c>
      <c r="BK171" s="291" t="e">
        <f t="shared" si="179"/>
        <v>#N/A</v>
      </c>
      <c r="BL171" s="291" t="e">
        <f t="shared" si="180"/>
        <v>#N/A</v>
      </c>
      <c r="BM171" s="292" t="e">
        <f t="shared" si="141"/>
        <v>#N/A</v>
      </c>
      <c r="BN171" s="293">
        <f t="shared" si="181"/>
        <v>7</v>
      </c>
      <c r="BO171" s="294" t="e">
        <f t="shared" si="182"/>
        <v>#N/A</v>
      </c>
      <c r="BP171" s="294" t="e">
        <f t="shared" si="183"/>
        <v>#N/A</v>
      </c>
      <c r="BQ171" s="292" t="e">
        <f t="shared" si="142"/>
        <v>#N/A</v>
      </c>
      <c r="BR171" s="295" t="e">
        <f t="shared" si="143"/>
        <v>#N/A</v>
      </c>
      <c r="BS171" s="230" t="e">
        <f>VLOOKUP($B171,SDR22_STOCK_BY_LA!$A$2:$C$11679,3,0)</f>
        <v>#N/A</v>
      </c>
      <c r="BT171" s="230" t="str">
        <f t="shared" si="184"/>
        <v/>
      </c>
    </row>
    <row r="172" spans="1:72" ht="12.5" x14ac:dyDescent="0.25">
      <c r="A172" s="230" t="str">
        <f t="shared" si="185"/>
        <v/>
      </c>
      <c r="B172" s="230" t="str">
        <f t="shared" si="186"/>
        <v/>
      </c>
      <c r="C172" s="296" t="str">
        <f t="shared" si="144"/>
        <v/>
      </c>
      <c r="D172" s="269" t="str">
        <f>IF(B172="","",IF(totals!$Q$3=0,IFERROR(IF(AD172=2,"0",AE172),""),"-"))</f>
        <v/>
      </c>
      <c r="E172" s="271" t="str">
        <f t="shared" si="145"/>
        <v/>
      </c>
      <c r="F172" s="272" t="str">
        <f t="shared" si="146"/>
        <v/>
      </c>
      <c r="G172" s="272" t="str">
        <f t="shared" si="147"/>
        <v/>
      </c>
      <c r="H172" s="269" t="str">
        <f t="shared" si="125"/>
        <v/>
      </c>
      <c r="I172" s="272" t="str">
        <f t="shared" si="148"/>
        <v/>
      </c>
      <c r="J172" s="272" t="str">
        <f t="shared" si="149"/>
        <v/>
      </c>
      <c r="K172" s="269" t="str">
        <f t="shared" si="126"/>
        <v/>
      </c>
      <c r="L172" s="272" t="str">
        <f t="shared" si="127"/>
        <v/>
      </c>
      <c r="M172" s="272" t="str">
        <f t="shared" si="150"/>
        <v/>
      </c>
      <c r="N172" s="269" t="str">
        <f t="shared" si="151"/>
        <v/>
      </c>
      <c r="O172" s="272" t="str">
        <f t="shared" si="152"/>
        <v/>
      </c>
      <c r="P172" s="272" t="str">
        <f t="shared" si="153"/>
        <v/>
      </c>
      <c r="Q172" s="269" t="str">
        <f t="shared" si="154"/>
        <v/>
      </c>
      <c r="R172" s="272" t="str">
        <f t="shared" si="155"/>
        <v/>
      </c>
      <c r="S172" s="272" t="str">
        <f t="shared" si="156"/>
        <v/>
      </c>
      <c r="T172" s="269" t="str">
        <f t="shared" si="157"/>
        <v/>
      </c>
      <c r="U172" s="230"/>
      <c r="V172" s="230"/>
      <c r="AB172" s="230" t="e">
        <f>VLOOKUP($B$6,Lookup_Source,165,0)</f>
        <v>#N/A</v>
      </c>
      <c r="AC172" s="254" t="str">
        <f t="shared" si="158"/>
        <v/>
      </c>
      <c r="AD172" s="255">
        <f t="shared" si="159"/>
        <v>7</v>
      </c>
      <c r="AE172" s="274" t="e">
        <f t="shared" si="128"/>
        <v>#N/A</v>
      </c>
      <c r="AF172" s="277" t="e">
        <f t="shared" si="160"/>
        <v>#N/A</v>
      </c>
      <c r="AG172" s="277" t="e">
        <f t="shared" si="161"/>
        <v>#N/A</v>
      </c>
      <c r="AH172" s="276" t="e">
        <f t="shared" si="129"/>
        <v>#N/A</v>
      </c>
      <c r="AI172" s="239">
        <f t="shared" si="162"/>
        <v>7</v>
      </c>
      <c r="AJ172" s="277" t="e">
        <f t="shared" si="130"/>
        <v>#N/A</v>
      </c>
      <c r="AK172" s="277" t="e">
        <f t="shared" si="163"/>
        <v>#N/A</v>
      </c>
      <c r="AL172" s="239" t="e">
        <f t="shared" si="131"/>
        <v>#N/A</v>
      </c>
      <c r="AM172" s="278" t="e">
        <f t="shared" si="164"/>
        <v>#N/A</v>
      </c>
      <c r="AN172" s="279" t="e">
        <f t="shared" si="132"/>
        <v>#N/A</v>
      </c>
      <c r="AO172" s="240" t="e">
        <f t="shared" si="133"/>
        <v>#N/A</v>
      </c>
      <c r="AP172" s="297">
        <f t="shared" si="165"/>
        <v>7</v>
      </c>
      <c r="AQ172" s="298" t="e">
        <f t="shared" si="134"/>
        <v>#N/A</v>
      </c>
      <c r="AR172" s="279" t="e">
        <f t="shared" si="166"/>
        <v>#N/A</v>
      </c>
      <c r="AS172" s="283" t="e">
        <f t="shared" si="135"/>
        <v>#N/A</v>
      </c>
      <c r="AT172" s="284">
        <f t="shared" si="167"/>
        <v>7</v>
      </c>
      <c r="AU172" s="285" t="e">
        <f t="shared" si="168"/>
        <v>#N/A</v>
      </c>
      <c r="AV172" s="286" t="e">
        <f t="shared" si="169"/>
        <v>#N/A</v>
      </c>
      <c r="AW172" s="287" t="e">
        <f t="shared" si="136"/>
        <v>#N/A</v>
      </c>
      <c r="AX172" s="245">
        <f t="shared" si="170"/>
        <v>7</v>
      </c>
      <c r="AY172" s="286" t="e">
        <f t="shared" si="137"/>
        <v>#N/A</v>
      </c>
      <c r="AZ172" s="245" t="e">
        <f t="shared" si="171"/>
        <v>#N/A</v>
      </c>
      <c r="BA172" s="245" t="e">
        <f t="shared" si="138"/>
        <v>#N/A</v>
      </c>
      <c r="BB172" s="288">
        <f t="shared" si="172"/>
        <v>7</v>
      </c>
      <c r="BC172" s="289" t="e">
        <f t="shared" si="173"/>
        <v>#N/A</v>
      </c>
      <c r="BD172" s="290" t="e">
        <f t="shared" si="174"/>
        <v>#N/A</v>
      </c>
      <c r="BE172" s="263" t="e">
        <f t="shared" si="139"/>
        <v>#N/A</v>
      </c>
      <c r="BF172" s="260">
        <f t="shared" si="175"/>
        <v>7</v>
      </c>
      <c r="BG172" s="289" t="e">
        <f t="shared" si="176"/>
        <v>#N/A</v>
      </c>
      <c r="BH172" s="290" t="e">
        <f t="shared" si="177"/>
        <v>#N/A</v>
      </c>
      <c r="BI172" s="263" t="e">
        <f t="shared" si="140"/>
        <v>#N/A</v>
      </c>
      <c r="BJ172" s="264">
        <f t="shared" si="178"/>
        <v>7</v>
      </c>
      <c r="BK172" s="291" t="e">
        <f t="shared" si="179"/>
        <v>#N/A</v>
      </c>
      <c r="BL172" s="291" t="e">
        <f t="shared" si="180"/>
        <v>#N/A</v>
      </c>
      <c r="BM172" s="292" t="e">
        <f t="shared" si="141"/>
        <v>#N/A</v>
      </c>
      <c r="BN172" s="293">
        <f t="shared" si="181"/>
        <v>7</v>
      </c>
      <c r="BO172" s="294" t="e">
        <f t="shared" si="182"/>
        <v>#N/A</v>
      </c>
      <c r="BP172" s="294" t="e">
        <f t="shared" si="183"/>
        <v>#N/A</v>
      </c>
      <c r="BQ172" s="292" t="e">
        <f t="shared" si="142"/>
        <v>#N/A</v>
      </c>
      <c r="BR172" s="295" t="e">
        <f t="shared" si="143"/>
        <v>#N/A</v>
      </c>
      <c r="BS172" s="230" t="e">
        <f>VLOOKUP($B172,SDR22_STOCK_BY_LA!$A$2:$C$11679,3,0)</f>
        <v>#N/A</v>
      </c>
      <c r="BT172" s="230" t="str">
        <f t="shared" si="184"/>
        <v/>
      </c>
    </row>
    <row r="173" spans="1:72" ht="12.5" x14ac:dyDescent="0.25">
      <c r="A173" s="269" t="str">
        <f t="shared" si="185"/>
        <v/>
      </c>
      <c r="B173" s="230" t="str">
        <f t="shared" si="186"/>
        <v/>
      </c>
      <c r="C173" s="270" t="str">
        <f t="shared" si="144"/>
        <v/>
      </c>
      <c r="D173" s="269" t="str">
        <f>IF(B173="","",IF(totals!$Q$3=0,IFERROR(IF(AD173=2,"0",AE173),""),"-"))</f>
        <v/>
      </c>
      <c r="E173" s="271" t="str">
        <f t="shared" si="145"/>
        <v/>
      </c>
      <c r="F173" s="272" t="str">
        <f t="shared" si="146"/>
        <v/>
      </c>
      <c r="G173" s="272" t="str">
        <f t="shared" si="147"/>
        <v/>
      </c>
      <c r="H173" s="269" t="str">
        <f t="shared" si="125"/>
        <v/>
      </c>
      <c r="I173" s="272" t="str">
        <f t="shared" si="148"/>
        <v/>
      </c>
      <c r="J173" s="272" t="str">
        <f t="shared" si="149"/>
        <v/>
      </c>
      <c r="K173" s="269" t="str">
        <f t="shared" si="126"/>
        <v/>
      </c>
      <c r="L173" s="272" t="str">
        <f t="shared" si="127"/>
        <v/>
      </c>
      <c r="M173" s="272" t="str">
        <f t="shared" si="150"/>
        <v/>
      </c>
      <c r="N173" s="269" t="str">
        <f t="shared" si="151"/>
        <v/>
      </c>
      <c r="O173" s="272" t="str">
        <f t="shared" si="152"/>
        <v/>
      </c>
      <c r="P173" s="272" t="str">
        <f t="shared" si="153"/>
        <v/>
      </c>
      <c r="Q173" s="269" t="str">
        <f t="shared" si="154"/>
        <v/>
      </c>
      <c r="R173" s="272" t="str">
        <f t="shared" si="155"/>
        <v/>
      </c>
      <c r="S173" s="272" t="str">
        <f t="shared" si="156"/>
        <v/>
      </c>
      <c r="T173" s="269" t="str">
        <f t="shared" si="157"/>
        <v/>
      </c>
      <c r="U173" s="230"/>
      <c r="V173" s="230"/>
      <c r="AB173" s="270" t="e">
        <f>VLOOKUP($B$6,Lookup_Source,166,0)</f>
        <v>#N/A</v>
      </c>
      <c r="AC173" s="254" t="str">
        <f t="shared" si="158"/>
        <v/>
      </c>
      <c r="AD173" s="255">
        <f t="shared" si="159"/>
        <v>7</v>
      </c>
      <c r="AE173" s="274" t="e">
        <f t="shared" si="128"/>
        <v>#N/A</v>
      </c>
      <c r="AF173" s="277" t="e">
        <f t="shared" si="160"/>
        <v>#N/A</v>
      </c>
      <c r="AG173" s="277" t="e">
        <f t="shared" si="161"/>
        <v>#N/A</v>
      </c>
      <c r="AH173" s="276" t="e">
        <f t="shared" si="129"/>
        <v>#N/A</v>
      </c>
      <c r="AI173" s="239">
        <f t="shared" si="162"/>
        <v>7</v>
      </c>
      <c r="AJ173" s="277" t="e">
        <f t="shared" si="130"/>
        <v>#N/A</v>
      </c>
      <c r="AK173" s="277" t="e">
        <f t="shared" si="163"/>
        <v>#N/A</v>
      </c>
      <c r="AL173" s="239" t="e">
        <f t="shared" si="131"/>
        <v>#N/A</v>
      </c>
      <c r="AM173" s="278" t="e">
        <f t="shared" si="164"/>
        <v>#N/A</v>
      </c>
      <c r="AN173" s="279" t="e">
        <f t="shared" si="132"/>
        <v>#N/A</v>
      </c>
      <c r="AO173" s="240" t="e">
        <f t="shared" si="133"/>
        <v>#N/A</v>
      </c>
      <c r="AP173" s="297">
        <f t="shared" si="165"/>
        <v>7</v>
      </c>
      <c r="AQ173" s="298" t="e">
        <f t="shared" si="134"/>
        <v>#N/A</v>
      </c>
      <c r="AR173" s="279" t="e">
        <f t="shared" si="166"/>
        <v>#N/A</v>
      </c>
      <c r="AS173" s="283" t="e">
        <f t="shared" si="135"/>
        <v>#N/A</v>
      </c>
      <c r="AT173" s="284">
        <f t="shared" si="167"/>
        <v>7</v>
      </c>
      <c r="AU173" s="285" t="e">
        <f t="shared" si="168"/>
        <v>#N/A</v>
      </c>
      <c r="AV173" s="286" t="e">
        <f t="shared" si="169"/>
        <v>#N/A</v>
      </c>
      <c r="AW173" s="287" t="e">
        <f t="shared" si="136"/>
        <v>#N/A</v>
      </c>
      <c r="AX173" s="245">
        <f t="shared" si="170"/>
        <v>7</v>
      </c>
      <c r="AY173" s="286" t="e">
        <f t="shared" si="137"/>
        <v>#N/A</v>
      </c>
      <c r="AZ173" s="245" t="e">
        <f t="shared" si="171"/>
        <v>#N/A</v>
      </c>
      <c r="BA173" s="245" t="e">
        <f t="shared" si="138"/>
        <v>#N/A</v>
      </c>
      <c r="BB173" s="288">
        <f t="shared" si="172"/>
        <v>7</v>
      </c>
      <c r="BC173" s="289" t="e">
        <f t="shared" si="173"/>
        <v>#N/A</v>
      </c>
      <c r="BD173" s="290" t="e">
        <f t="shared" si="174"/>
        <v>#N/A</v>
      </c>
      <c r="BE173" s="263" t="e">
        <f t="shared" si="139"/>
        <v>#N/A</v>
      </c>
      <c r="BF173" s="260">
        <f t="shared" si="175"/>
        <v>7</v>
      </c>
      <c r="BG173" s="289" t="e">
        <f t="shared" si="176"/>
        <v>#N/A</v>
      </c>
      <c r="BH173" s="290" t="e">
        <f t="shared" si="177"/>
        <v>#N/A</v>
      </c>
      <c r="BI173" s="263" t="e">
        <f t="shared" si="140"/>
        <v>#N/A</v>
      </c>
      <c r="BJ173" s="264">
        <f t="shared" si="178"/>
        <v>7</v>
      </c>
      <c r="BK173" s="291" t="e">
        <f t="shared" si="179"/>
        <v>#N/A</v>
      </c>
      <c r="BL173" s="291" t="e">
        <f t="shared" si="180"/>
        <v>#N/A</v>
      </c>
      <c r="BM173" s="292" t="e">
        <f t="shared" si="141"/>
        <v>#N/A</v>
      </c>
      <c r="BN173" s="293">
        <f t="shared" si="181"/>
        <v>7</v>
      </c>
      <c r="BO173" s="294" t="e">
        <f t="shared" si="182"/>
        <v>#N/A</v>
      </c>
      <c r="BP173" s="294" t="e">
        <f t="shared" si="183"/>
        <v>#N/A</v>
      </c>
      <c r="BQ173" s="292" t="e">
        <f t="shared" si="142"/>
        <v>#N/A</v>
      </c>
      <c r="BR173" s="295" t="e">
        <f t="shared" si="143"/>
        <v>#N/A</v>
      </c>
      <c r="BS173" s="230" t="e">
        <f>VLOOKUP($B173,SDR22_STOCK_BY_LA!$A$2:$C$11679,3,0)</f>
        <v>#N/A</v>
      </c>
      <c r="BT173" s="230" t="str">
        <f t="shared" si="184"/>
        <v/>
      </c>
    </row>
    <row r="174" spans="1:72" ht="12.5" x14ac:dyDescent="0.25">
      <c r="A174" s="230" t="str">
        <f t="shared" si="185"/>
        <v/>
      </c>
      <c r="B174" s="230" t="str">
        <f t="shared" si="186"/>
        <v/>
      </c>
      <c r="C174" s="296" t="str">
        <f t="shared" si="144"/>
        <v/>
      </c>
      <c r="D174" s="269" t="str">
        <f>IF(B174="","",IF(totals!$Q$3=0,IFERROR(IF(AD174=2,"0",AE174),""),"-"))</f>
        <v/>
      </c>
      <c r="E174" s="271" t="str">
        <f t="shared" si="145"/>
        <v/>
      </c>
      <c r="F174" s="272" t="str">
        <f t="shared" si="146"/>
        <v/>
      </c>
      <c r="G174" s="272" t="str">
        <f t="shared" si="147"/>
        <v/>
      </c>
      <c r="H174" s="269" t="str">
        <f t="shared" si="125"/>
        <v/>
      </c>
      <c r="I174" s="272" t="str">
        <f t="shared" si="148"/>
        <v/>
      </c>
      <c r="J174" s="272" t="str">
        <f t="shared" si="149"/>
        <v/>
      </c>
      <c r="K174" s="269" t="str">
        <f t="shared" si="126"/>
        <v/>
      </c>
      <c r="L174" s="272" t="str">
        <f t="shared" si="127"/>
        <v/>
      </c>
      <c r="M174" s="272" t="str">
        <f t="shared" si="150"/>
        <v/>
      </c>
      <c r="N174" s="269" t="str">
        <f t="shared" si="151"/>
        <v/>
      </c>
      <c r="O174" s="272" t="str">
        <f t="shared" si="152"/>
        <v/>
      </c>
      <c r="P174" s="272" t="str">
        <f t="shared" si="153"/>
        <v/>
      </c>
      <c r="Q174" s="269" t="str">
        <f t="shared" si="154"/>
        <v/>
      </c>
      <c r="R174" s="272" t="str">
        <f t="shared" si="155"/>
        <v/>
      </c>
      <c r="S174" s="272" t="str">
        <f t="shared" si="156"/>
        <v/>
      </c>
      <c r="T174" s="269" t="str">
        <f t="shared" si="157"/>
        <v/>
      </c>
      <c r="U174" s="230"/>
      <c r="V174" s="230"/>
      <c r="AB174" s="230" t="e">
        <f>VLOOKUP($B$6,Lookup_Source,167,0)</f>
        <v>#N/A</v>
      </c>
      <c r="AC174" s="254" t="str">
        <f t="shared" si="158"/>
        <v/>
      </c>
      <c r="AD174" s="255">
        <f t="shared" si="159"/>
        <v>7</v>
      </c>
      <c r="AE174" s="274" t="e">
        <f t="shared" si="128"/>
        <v>#N/A</v>
      </c>
      <c r="AF174" s="277" t="e">
        <f t="shared" si="160"/>
        <v>#N/A</v>
      </c>
      <c r="AG174" s="277" t="e">
        <f t="shared" si="161"/>
        <v>#N/A</v>
      </c>
      <c r="AH174" s="276" t="e">
        <f t="shared" si="129"/>
        <v>#N/A</v>
      </c>
      <c r="AI174" s="239">
        <f t="shared" si="162"/>
        <v>7</v>
      </c>
      <c r="AJ174" s="277" t="e">
        <f t="shared" si="130"/>
        <v>#N/A</v>
      </c>
      <c r="AK174" s="277" t="e">
        <f t="shared" si="163"/>
        <v>#N/A</v>
      </c>
      <c r="AL174" s="239" t="e">
        <f t="shared" si="131"/>
        <v>#N/A</v>
      </c>
      <c r="AM174" s="278" t="e">
        <f t="shared" si="164"/>
        <v>#N/A</v>
      </c>
      <c r="AN174" s="279" t="e">
        <f t="shared" si="132"/>
        <v>#N/A</v>
      </c>
      <c r="AO174" s="240" t="e">
        <f t="shared" si="133"/>
        <v>#N/A</v>
      </c>
      <c r="AP174" s="297">
        <f t="shared" si="165"/>
        <v>7</v>
      </c>
      <c r="AQ174" s="298" t="e">
        <f t="shared" si="134"/>
        <v>#N/A</v>
      </c>
      <c r="AR174" s="279" t="e">
        <f t="shared" si="166"/>
        <v>#N/A</v>
      </c>
      <c r="AS174" s="283" t="e">
        <f t="shared" si="135"/>
        <v>#N/A</v>
      </c>
      <c r="AT174" s="284">
        <f t="shared" si="167"/>
        <v>7</v>
      </c>
      <c r="AU174" s="285" t="e">
        <f t="shared" si="168"/>
        <v>#N/A</v>
      </c>
      <c r="AV174" s="286" t="e">
        <f t="shared" si="169"/>
        <v>#N/A</v>
      </c>
      <c r="AW174" s="287" t="e">
        <f t="shared" si="136"/>
        <v>#N/A</v>
      </c>
      <c r="AX174" s="245">
        <f t="shared" si="170"/>
        <v>7</v>
      </c>
      <c r="AY174" s="286" t="e">
        <f t="shared" si="137"/>
        <v>#N/A</v>
      </c>
      <c r="AZ174" s="245" t="e">
        <f t="shared" si="171"/>
        <v>#N/A</v>
      </c>
      <c r="BA174" s="245" t="e">
        <f t="shared" si="138"/>
        <v>#N/A</v>
      </c>
      <c r="BB174" s="288">
        <f t="shared" si="172"/>
        <v>7</v>
      </c>
      <c r="BC174" s="289" t="e">
        <f t="shared" si="173"/>
        <v>#N/A</v>
      </c>
      <c r="BD174" s="290" t="e">
        <f t="shared" si="174"/>
        <v>#N/A</v>
      </c>
      <c r="BE174" s="263" t="e">
        <f t="shared" si="139"/>
        <v>#N/A</v>
      </c>
      <c r="BF174" s="260">
        <f t="shared" si="175"/>
        <v>7</v>
      </c>
      <c r="BG174" s="289" t="e">
        <f t="shared" si="176"/>
        <v>#N/A</v>
      </c>
      <c r="BH174" s="290" t="e">
        <f t="shared" si="177"/>
        <v>#N/A</v>
      </c>
      <c r="BI174" s="263" t="e">
        <f t="shared" si="140"/>
        <v>#N/A</v>
      </c>
      <c r="BJ174" s="264">
        <f t="shared" si="178"/>
        <v>7</v>
      </c>
      <c r="BK174" s="291" t="e">
        <f t="shared" si="179"/>
        <v>#N/A</v>
      </c>
      <c r="BL174" s="291" t="e">
        <f t="shared" si="180"/>
        <v>#N/A</v>
      </c>
      <c r="BM174" s="292" t="e">
        <f t="shared" si="141"/>
        <v>#N/A</v>
      </c>
      <c r="BN174" s="293">
        <f t="shared" si="181"/>
        <v>7</v>
      </c>
      <c r="BO174" s="294" t="e">
        <f t="shared" si="182"/>
        <v>#N/A</v>
      </c>
      <c r="BP174" s="294" t="e">
        <f t="shared" si="183"/>
        <v>#N/A</v>
      </c>
      <c r="BQ174" s="292" t="e">
        <f t="shared" si="142"/>
        <v>#N/A</v>
      </c>
      <c r="BR174" s="295" t="e">
        <f t="shared" si="143"/>
        <v>#N/A</v>
      </c>
      <c r="BS174" s="230" t="e">
        <f>VLOOKUP($B174,SDR22_STOCK_BY_LA!$A$2:$C$11679,3,0)</f>
        <v>#N/A</v>
      </c>
      <c r="BT174" s="230" t="str">
        <f t="shared" si="184"/>
        <v/>
      </c>
    </row>
    <row r="175" spans="1:72" ht="12.5" x14ac:dyDescent="0.25">
      <c r="A175" s="269" t="str">
        <f t="shared" si="185"/>
        <v/>
      </c>
      <c r="B175" s="230" t="str">
        <f t="shared" si="186"/>
        <v/>
      </c>
      <c r="C175" s="270" t="str">
        <f t="shared" si="144"/>
        <v/>
      </c>
      <c r="D175" s="269" t="str">
        <f>IF(B175="","",IF(totals!$Q$3=0,IFERROR(IF(AD175=2,"0",AE175),""),"-"))</f>
        <v/>
      </c>
      <c r="E175" s="271" t="str">
        <f t="shared" si="145"/>
        <v/>
      </c>
      <c r="F175" s="272" t="str">
        <f t="shared" si="146"/>
        <v/>
      </c>
      <c r="G175" s="272" t="str">
        <f t="shared" si="147"/>
        <v/>
      </c>
      <c r="H175" s="269" t="str">
        <f t="shared" si="125"/>
        <v/>
      </c>
      <c r="I175" s="272" t="str">
        <f t="shared" si="148"/>
        <v/>
      </c>
      <c r="J175" s="272" t="str">
        <f t="shared" si="149"/>
        <v/>
      </c>
      <c r="K175" s="269" t="str">
        <f t="shared" si="126"/>
        <v/>
      </c>
      <c r="L175" s="272" t="str">
        <f t="shared" si="127"/>
        <v/>
      </c>
      <c r="M175" s="272" t="str">
        <f t="shared" si="150"/>
        <v/>
      </c>
      <c r="N175" s="269" t="str">
        <f t="shared" si="151"/>
        <v/>
      </c>
      <c r="O175" s="272" t="str">
        <f t="shared" si="152"/>
        <v/>
      </c>
      <c r="P175" s="272" t="str">
        <f t="shared" si="153"/>
        <v/>
      </c>
      <c r="Q175" s="269" t="str">
        <f t="shared" si="154"/>
        <v/>
      </c>
      <c r="R175" s="272" t="str">
        <f t="shared" si="155"/>
        <v/>
      </c>
      <c r="S175" s="272" t="str">
        <f t="shared" si="156"/>
        <v/>
      </c>
      <c r="T175" s="269" t="str">
        <f t="shared" si="157"/>
        <v/>
      </c>
      <c r="U175" s="230"/>
      <c r="V175" s="230"/>
      <c r="AB175" s="270" t="e">
        <f>VLOOKUP($B$6,Lookup_Source,168,0)</f>
        <v>#N/A</v>
      </c>
      <c r="AC175" s="254" t="str">
        <f t="shared" si="158"/>
        <v/>
      </c>
      <c r="AD175" s="255">
        <f t="shared" si="159"/>
        <v>7</v>
      </c>
      <c r="AE175" s="274" t="e">
        <f t="shared" si="128"/>
        <v>#N/A</v>
      </c>
      <c r="AF175" s="277" t="e">
        <f t="shared" si="160"/>
        <v>#N/A</v>
      </c>
      <c r="AG175" s="277" t="e">
        <f t="shared" si="161"/>
        <v>#N/A</v>
      </c>
      <c r="AH175" s="276" t="e">
        <f t="shared" si="129"/>
        <v>#N/A</v>
      </c>
      <c r="AI175" s="239">
        <f t="shared" si="162"/>
        <v>7</v>
      </c>
      <c r="AJ175" s="277" t="e">
        <f t="shared" si="130"/>
        <v>#N/A</v>
      </c>
      <c r="AK175" s="277" t="e">
        <f t="shared" si="163"/>
        <v>#N/A</v>
      </c>
      <c r="AL175" s="239" t="e">
        <f t="shared" si="131"/>
        <v>#N/A</v>
      </c>
      <c r="AM175" s="278" t="e">
        <f t="shared" si="164"/>
        <v>#N/A</v>
      </c>
      <c r="AN175" s="279" t="e">
        <f t="shared" si="132"/>
        <v>#N/A</v>
      </c>
      <c r="AO175" s="240" t="e">
        <f t="shared" si="133"/>
        <v>#N/A</v>
      </c>
      <c r="AP175" s="297">
        <f t="shared" si="165"/>
        <v>7</v>
      </c>
      <c r="AQ175" s="298" t="e">
        <f t="shared" si="134"/>
        <v>#N/A</v>
      </c>
      <c r="AR175" s="279" t="e">
        <f t="shared" si="166"/>
        <v>#N/A</v>
      </c>
      <c r="AS175" s="283" t="e">
        <f t="shared" si="135"/>
        <v>#N/A</v>
      </c>
      <c r="AT175" s="284">
        <f t="shared" si="167"/>
        <v>7</v>
      </c>
      <c r="AU175" s="285" t="e">
        <f t="shared" si="168"/>
        <v>#N/A</v>
      </c>
      <c r="AV175" s="286" t="e">
        <f t="shared" si="169"/>
        <v>#N/A</v>
      </c>
      <c r="AW175" s="287" t="e">
        <f t="shared" si="136"/>
        <v>#N/A</v>
      </c>
      <c r="AX175" s="245">
        <f t="shared" si="170"/>
        <v>7</v>
      </c>
      <c r="AY175" s="286" t="e">
        <f t="shared" si="137"/>
        <v>#N/A</v>
      </c>
      <c r="AZ175" s="245" t="e">
        <f t="shared" si="171"/>
        <v>#N/A</v>
      </c>
      <c r="BA175" s="245" t="e">
        <f t="shared" si="138"/>
        <v>#N/A</v>
      </c>
      <c r="BB175" s="288">
        <f t="shared" si="172"/>
        <v>7</v>
      </c>
      <c r="BC175" s="289" t="e">
        <f t="shared" si="173"/>
        <v>#N/A</v>
      </c>
      <c r="BD175" s="290" t="e">
        <f t="shared" si="174"/>
        <v>#N/A</v>
      </c>
      <c r="BE175" s="263" t="e">
        <f t="shared" si="139"/>
        <v>#N/A</v>
      </c>
      <c r="BF175" s="260">
        <f t="shared" si="175"/>
        <v>7</v>
      </c>
      <c r="BG175" s="289" t="e">
        <f t="shared" si="176"/>
        <v>#N/A</v>
      </c>
      <c r="BH175" s="290" t="e">
        <f t="shared" si="177"/>
        <v>#N/A</v>
      </c>
      <c r="BI175" s="263" t="e">
        <f t="shared" si="140"/>
        <v>#N/A</v>
      </c>
      <c r="BJ175" s="264">
        <f t="shared" si="178"/>
        <v>7</v>
      </c>
      <c r="BK175" s="291" t="e">
        <f t="shared" si="179"/>
        <v>#N/A</v>
      </c>
      <c r="BL175" s="291" t="e">
        <f t="shared" si="180"/>
        <v>#N/A</v>
      </c>
      <c r="BM175" s="292" t="e">
        <f t="shared" si="141"/>
        <v>#N/A</v>
      </c>
      <c r="BN175" s="293">
        <f t="shared" si="181"/>
        <v>7</v>
      </c>
      <c r="BO175" s="294" t="e">
        <f t="shared" si="182"/>
        <v>#N/A</v>
      </c>
      <c r="BP175" s="294" t="e">
        <f t="shared" si="183"/>
        <v>#N/A</v>
      </c>
      <c r="BQ175" s="292" t="e">
        <f t="shared" si="142"/>
        <v>#N/A</v>
      </c>
      <c r="BR175" s="295" t="e">
        <f t="shared" si="143"/>
        <v>#N/A</v>
      </c>
      <c r="BS175" s="230" t="e">
        <f>VLOOKUP($B175,SDR22_STOCK_BY_LA!$A$2:$C$11679,3,0)</f>
        <v>#N/A</v>
      </c>
      <c r="BT175" s="230" t="str">
        <f t="shared" si="184"/>
        <v/>
      </c>
    </row>
    <row r="176" spans="1:72" ht="12.5" x14ac:dyDescent="0.25">
      <c r="A176" s="230" t="str">
        <f t="shared" si="185"/>
        <v/>
      </c>
      <c r="B176" s="230" t="str">
        <f t="shared" si="186"/>
        <v/>
      </c>
      <c r="C176" s="296" t="str">
        <f t="shared" si="144"/>
        <v/>
      </c>
      <c r="D176" s="269" t="str">
        <f>IF(B176="","",IF(totals!$Q$3=0,IFERROR(IF(AD176=2,"0",AE176),""),"-"))</f>
        <v/>
      </c>
      <c r="E176" s="271" t="str">
        <f t="shared" si="145"/>
        <v/>
      </c>
      <c r="F176" s="272" t="str">
        <f t="shared" si="146"/>
        <v/>
      </c>
      <c r="G176" s="272" t="str">
        <f t="shared" si="147"/>
        <v/>
      </c>
      <c r="H176" s="269" t="str">
        <f t="shared" si="125"/>
        <v/>
      </c>
      <c r="I176" s="272" t="str">
        <f t="shared" si="148"/>
        <v/>
      </c>
      <c r="J176" s="272" t="str">
        <f t="shared" si="149"/>
        <v/>
      </c>
      <c r="K176" s="269" t="str">
        <f t="shared" si="126"/>
        <v/>
      </c>
      <c r="L176" s="272" t="str">
        <f t="shared" si="127"/>
        <v/>
      </c>
      <c r="M176" s="272" t="str">
        <f t="shared" si="150"/>
        <v/>
      </c>
      <c r="N176" s="269" t="str">
        <f t="shared" si="151"/>
        <v/>
      </c>
      <c r="O176" s="272" t="str">
        <f t="shared" si="152"/>
        <v/>
      </c>
      <c r="P176" s="272" t="str">
        <f t="shared" si="153"/>
        <v/>
      </c>
      <c r="Q176" s="269" t="str">
        <f t="shared" si="154"/>
        <v/>
      </c>
      <c r="R176" s="272" t="str">
        <f t="shared" si="155"/>
        <v/>
      </c>
      <c r="S176" s="272" t="str">
        <f t="shared" si="156"/>
        <v/>
      </c>
      <c r="T176" s="269" t="str">
        <f t="shared" si="157"/>
        <v/>
      </c>
      <c r="U176" s="230"/>
      <c r="V176" s="230"/>
      <c r="AB176" s="230" t="e">
        <f>VLOOKUP($B$6,Lookup_Source,169,0)</f>
        <v>#N/A</v>
      </c>
      <c r="AC176" s="254" t="str">
        <f t="shared" si="158"/>
        <v/>
      </c>
      <c r="AD176" s="255">
        <f t="shared" si="159"/>
        <v>7</v>
      </c>
      <c r="AE176" s="274" t="e">
        <f t="shared" si="128"/>
        <v>#N/A</v>
      </c>
      <c r="AF176" s="277" t="e">
        <f t="shared" si="160"/>
        <v>#N/A</v>
      </c>
      <c r="AG176" s="277" t="e">
        <f t="shared" si="161"/>
        <v>#N/A</v>
      </c>
      <c r="AH176" s="276" t="e">
        <f t="shared" si="129"/>
        <v>#N/A</v>
      </c>
      <c r="AI176" s="239">
        <f t="shared" si="162"/>
        <v>7</v>
      </c>
      <c r="AJ176" s="277" t="e">
        <f t="shared" si="130"/>
        <v>#N/A</v>
      </c>
      <c r="AK176" s="277" t="e">
        <f t="shared" si="163"/>
        <v>#N/A</v>
      </c>
      <c r="AL176" s="239" t="e">
        <f t="shared" si="131"/>
        <v>#N/A</v>
      </c>
      <c r="AM176" s="278" t="e">
        <f t="shared" si="164"/>
        <v>#N/A</v>
      </c>
      <c r="AN176" s="279" t="e">
        <f t="shared" si="132"/>
        <v>#N/A</v>
      </c>
      <c r="AO176" s="240" t="e">
        <f t="shared" si="133"/>
        <v>#N/A</v>
      </c>
      <c r="AP176" s="297">
        <f t="shared" si="165"/>
        <v>7</v>
      </c>
      <c r="AQ176" s="298" t="e">
        <f t="shared" si="134"/>
        <v>#N/A</v>
      </c>
      <c r="AR176" s="279" t="e">
        <f t="shared" si="166"/>
        <v>#N/A</v>
      </c>
      <c r="AS176" s="283" t="e">
        <f t="shared" si="135"/>
        <v>#N/A</v>
      </c>
      <c r="AT176" s="284">
        <f t="shared" si="167"/>
        <v>7</v>
      </c>
      <c r="AU176" s="285" t="e">
        <f t="shared" si="168"/>
        <v>#N/A</v>
      </c>
      <c r="AV176" s="286" t="e">
        <f t="shared" si="169"/>
        <v>#N/A</v>
      </c>
      <c r="AW176" s="287" t="e">
        <f t="shared" si="136"/>
        <v>#N/A</v>
      </c>
      <c r="AX176" s="245">
        <f t="shared" si="170"/>
        <v>7</v>
      </c>
      <c r="AY176" s="286" t="e">
        <f t="shared" si="137"/>
        <v>#N/A</v>
      </c>
      <c r="AZ176" s="245" t="e">
        <f t="shared" si="171"/>
        <v>#N/A</v>
      </c>
      <c r="BA176" s="245" t="e">
        <f t="shared" si="138"/>
        <v>#N/A</v>
      </c>
      <c r="BB176" s="288">
        <f t="shared" si="172"/>
        <v>7</v>
      </c>
      <c r="BC176" s="289" t="e">
        <f t="shared" si="173"/>
        <v>#N/A</v>
      </c>
      <c r="BD176" s="290" t="e">
        <f t="shared" si="174"/>
        <v>#N/A</v>
      </c>
      <c r="BE176" s="263" t="e">
        <f t="shared" si="139"/>
        <v>#N/A</v>
      </c>
      <c r="BF176" s="260">
        <f t="shared" si="175"/>
        <v>7</v>
      </c>
      <c r="BG176" s="289" t="e">
        <f t="shared" si="176"/>
        <v>#N/A</v>
      </c>
      <c r="BH176" s="290" t="e">
        <f t="shared" si="177"/>
        <v>#N/A</v>
      </c>
      <c r="BI176" s="263" t="e">
        <f t="shared" si="140"/>
        <v>#N/A</v>
      </c>
      <c r="BJ176" s="264">
        <f t="shared" si="178"/>
        <v>7</v>
      </c>
      <c r="BK176" s="291" t="e">
        <f t="shared" si="179"/>
        <v>#N/A</v>
      </c>
      <c r="BL176" s="291" t="e">
        <f t="shared" si="180"/>
        <v>#N/A</v>
      </c>
      <c r="BM176" s="292" t="e">
        <f t="shared" si="141"/>
        <v>#N/A</v>
      </c>
      <c r="BN176" s="293">
        <f t="shared" si="181"/>
        <v>7</v>
      </c>
      <c r="BO176" s="294" t="e">
        <f t="shared" si="182"/>
        <v>#N/A</v>
      </c>
      <c r="BP176" s="294" t="e">
        <f t="shared" si="183"/>
        <v>#N/A</v>
      </c>
      <c r="BQ176" s="292" t="e">
        <f t="shared" si="142"/>
        <v>#N/A</v>
      </c>
      <c r="BR176" s="295" t="e">
        <f t="shared" si="143"/>
        <v>#N/A</v>
      </c>
      <c r="BS176" s="230" t="e">
        <f>VLOOKUP($B176,SDR22_STOCK_BY_LA!$A$2:$C$11679,3,0)</f>
        <v>#N/A</v>
      </c>
      <c r="BT176" s="230" t="str">
        <f t="shared" si="184"/>
        <v/>
      </c>
    </row>
    <row r="177" spans="1:72" ht="12.5" x14ac:dyDescent="0.25">
      <c r="A177" s="269" t="str">
        <f t="shared" si="185"/>
        <v/>
      </c>
      <c r="B177" s="230" t="str">
        <f t="shared" si="186"/>
        <v/>
      </c>
      <c r="C177" s="270" t="str">
        <f t="shared" si="144"/>
        <v/>
      </c>
      <c r="D177" s="269" t="str">
        <f>IF(B177="","",IF(totals!$Q$3=0,IFERROR(IF(AD177=2,"0",AE177),""),"-"))</f>
        <v/>
      </c>
      <c r="E177" s="271" t="str">
        <f t="shared" si="145"/>
        <v/>
      </c>
      <c r="F177" s="272" t="str">
        <f t="shared" si="146"/>
        <v/>
      </c>
      <c r="G177" s="272" t="str">
        <f t="shared" si="147"/>
        <v/>
      </c>
      <c r="H177" s="269" t="str">
        <f t="shared" si="125"/>
        <v/>
      </c>
      <c r="I177" s="272" t="str">
        <f t="shared" si="148"/>
        <v/>
      </c>
      <c r="J177" s="272" t="str">
        <f t="shared" si="149"/>
        <v/>
      </c>
      <c r="K177" s="269" t="str">
        <f t="shared" si="126"/>
        <v/>
      </c>
      <c r="L177" s="272" t="str">
        <f t="shared" si="127"/>
        <v/>
      </c>
      <c r="M177" s="272" t="str">
        <f t="shared" si="150"/>
        <v/>
      </c>
      <c r="N177" s="269" t="str">
        <f t="shared" si="151"/>
        <v/>
      </c>
      <c r="O177" s="272" t="str">
        <f t="shared" si="152"/>
        <v/>
      </c>
      <c r="P177" s="272" t="str">
        <f t="shared" si="153"/>
        <v/>
      </c>
      <c r="Q177" s="269" t="str">
        <f t="shared" si="154"/>
        <v/>
      </c>
      <c r="R177" s="272" t="str">
        <f t="shared" si="155"/>
        <v/>
      </c>
      <c r="S177" s="272" t="str">
        <f t="shared" si="156"/>
        <v/>
      </c>
      <c r="T177" s="269" t="str">
        <f t="shared" si="157"/>
        <v/>
      </c>
      <c r="U177" s="230"/>
      <c r="V177" s="230"/>
      <c r="AB177" s="270" t="e">
        <f>VLOOKUP($B$6,Lookup_Source,170,0)</f>
        <v>#N/A</v>
      </c>
      <c r="AC177" s="254" t="str">
        <f t="shared" si="158"/>
        <v/>
      </c>
      <c r="AD177" s="255">
        <f t="shared" si="159"/>
        <v>7</v>
      </c>
      <c r="AE177" s="274" t="e">
        <f t="shared" si="128"/>
        <v>#N/A</v>
      </c>
      <c r="AF177" s="277" t="e">
        <f t="shared" si="160"/>
        <v>#N/A</v>
      </c>
      <c r="AG177" s="277" t="e">
        <f t="shared" si="161"/>
        <v>#N/A</v>
      </c>
      <c r="AH177" s="276" t="e">
        <f t="shared" si="129"/>
        <v>#N/A</v>
      </c>
      <c r="AI177" s="239">
        <f t="shared" si="162"/>
        <v>7</v>
      </c>
      <c r="AJ177" s="277" t="e">
        <f t="shared" si="130"/>
        <v>#N/A</v>
      </c>
      <c r="AK177" s="277" t="e">
        <f t="shared" si="163"/>
        <v>#N/A</v>
      </c>
      <c r="AL177" s="239" t="e">
        <f t="shared" si="131"/>
        <v>#N/A</v>
      </c>
      <c r="AM177" s="278" t="e">
        <f t="shared" si="164"/>
        <v>#N/A</v>
      </c>
      <c r="AN177" s="279" t="e">
        <f t="shared" si="132"/>
        <v>#N/A</v>
      </c>
      <c r="AO177" s="240" t="e">
        <f t="shared" si="133"/>
        <v>#N/A</v>
      </c>
      <c r="AP177" s="297">
        <f t="shared" si="165"/>
        <v>7</v>
      </c>
      <c r="AQ177" s="298" t="e">
        <f t="shared" si="134"/>
        <v>#N/A</v>
      </c>
      <c r="AR177" s="279" t="e">
        <f t="shared" si="166"/>
        <v>#N/A</v>
      </c>
      <c r="AS177" s="283" t="e">
        <f t="shared" si="135"/>
        <v>#N/A</v>
      </c>
      <c r="AT177" s="284">
        <f t="shared" si="167"/>
        <v>7</v>
      </c>
      <c r="AU177" s="285" t="e">
        <f t="shared" si="168"/>
        <v>#N/A</v>
      </c>
      <c r="AV177" s="286" t="e">
        <f t="shared" si="169"/>
        <v>#N/A</v>
      </c>
      <c r="AW177" s="287" t="e">
        <f t="shared" si="136"/>
        <v>#N/A</v>
      </c>
      <c r="AX177" s="245">
        <f t="shared" si="170"/>
        <v>7</v>
      </c>
      <c r="AY177" s="286" t="e">
        <f t="shared" si="137"/>
        <v>#N/A</v>
      </c>
      <c r="AZ177" s="245" t="e">
        <f t="shared" si="171"/>
        <v>#N/A</v>
      </c>
      <c r="BA177" s="245" t="e">
        <f t="shared" si="138"/>
        <v>#N/A</v>
      </c>
      <c r="BB177" s="288">
        <f t="shared" si="172"/>
        <v>7</v>
      </c>
      <c r="BC177" s="289" t="e">
        <f t="shared" si="173"/>
        <v>#N/A</v>
      </c>
      <c r="BD177" s="290" t="e">
        <f t="shared" si="174"/>
        <v>#N/A</v>
      </c>
      <c r="BE177" s="263" t="e">
        <f t="shared" si="139"/>
        <v>#N/A</v>
      </c>
      <c r="BF177" s="260">
        <f t="shared" si="175"/>
        <v>7</v>
      </c>
      <c r="BG177" s="289" t="e">
        <f t="shared" si="176"/>
        <v>#N/A</v>
      </c>
      <c r="BH177" s="290" t="e">
        <f t="shared" si="177"/>
        <v>#N/A</v>
      </c>
      <c r="BI177" s="263" t="e">
        <f t="shared" si="140"/>
        <v>#N/A</v>
      </c>
      <c r="BJ177" s="264">
        <f t="shared" si="178"/>
        <v>7</v>
      </c>
      <c r="BK177" s="291" t="e">
        <f t="shared" si="179"/>
        <v>#N/A</v>
      </c>
      <c r="BL177" s="291" t="e">
        <f t="shared" si="180"/>
        <v>#N/A</v>
      </c>
      <c r="BM177" s="292" t="e">
        <f t="shared" si="141"/>
        <v>#N/A</v>
      </c>
      <c r="BN177" s="293">
        <f t="shared" si="181"/>
        <v>7</v>
      </c>
      <c r="BO177" s="294" t="e">
        <f t="shared" si="182"/>
        <v>#N/A</v>
      </c>
      <c r="BP177" s="294" t="e">
        <f t="shared" si="183"/>
        <v>#N/A</v>
      </c>
      <c r="BQ177" s="292" t="e">
        <f t="shared" si="142"/>
        <v>#N/A</v>
      </c>
      <c r="BR177" s="295" t="e">
        <f t="shared" si="143"/>
        <v>#N/A</v>
      </c>
      <c r="BS177" s="230" t="e">
        <f>VLOOKUP($B177,SDR22_STOCK_BY_LA!$A$2:$C$11679,3,0)</f>
        <v>#N/A</v>
      </c>
      <c r="BT177" s="230" t="str">
        <f t="shared" si="184"/>
        <v/>
      </c>
    </row>
    <row r="178" spans="1:72" ht="12.5" x14ac:dyDescent="0.25">
      <c r="A178" s="230" t="str">
        <f t="shared" si="185"/>
        <v/>
      </c>
      <c r="B178" s="230" t="str">
        <f t="shared" si="186"/>
        <v/>
      </c>
      <c r="C178" s="296" t="str">
        <f t="shared" si="144"/>
        <v/>
      </c>
      <c r="D178" s="269" t="str">
        <f>IF(B178="","",IF(totals!$Q$3=0,IFERROR(IF(AD178=2,"0",AE178),""),"-"))</f>
        <v/>
      </c>
      <c r="E178" s="271" t="str">
        <f t="shared" si="145"/>
        <v/>
      </c>
      <c r="F178" s="272" t="str">
        <f t="shared" si="146"/>
        <v/>
      </c>
      <c r="G178" s="272" t="str">
        <f t="shared" si="147"/>
        <v/>
      </c>
      <c r="H178" s="269" t="str">
        <f t="shared" si="125"/>
        <v/>
      </c>
      <c r="I178" s="272" t="str">
        <f t="shared" si="148"/>
        <v/>
      </c>
      <c r="J178" s="272" t="str">
        <f t="shared" si="149"/>
        <v/>
      </c>
      <c r="K178" s="269" t="str">
        <f t="shared" si="126"/>
        <v/>
      </c>
      <c r="L178" s="272" t="str">
        <f t="shared" si="127"/>
        <v/>
      </c>
      <c r="M178" s="272" t="str">
        <f t="shared" si="150"/>
        <v/>
      </c>
      <c r="N178" s="269" t="str">
        <f t="shared" si="151"/>
        <v/>
      </c>
      <c r="O178" s="272" t="str">
        <f t="shared" si="152"/>
        <v/>
      </c>
      <c r="P178" s="272" t="str">
        <f t="shared" si="153"/>
        <v/>
      </c>
      <c r="Q178" s="269" t="str">
        <f t="shared" si="154"/>
        <v/>
      </c>
      <c r="R178" s="272" t="str">
        <f t="shared" si="155"/>
        <v/>
      </c>
      <c r="S178" s="272" t="str">
        <f t="shared" si="156"/>
        <v/>
      </c>
      <c r="T178" s="269" t="str">
        <f t="shared" si="157"/>
        <v/>
      </c>
      <c r="U178" s="230"/>
      <c r="V178" s="230"/>
      <c r="AB178" s="230" t="e">
        <f>VLOOKUP($B$6,Lookup_Source,171,0)</f>
        <v>#N/A</v>
      </c>
      <c r="AC178" s="254" t="str">
        <f t="shared" si="158"/>
        <v/>
      </c>
      <c r="AD178" s="255">
        <f t="shared" si="159"/>
        <v>7</v>
      </c>
      <c r="AE178" s="274" t="e">
        <f t="shared" si="128"/>
        <v>#N/A</v>
      </c>
      <c r="AF178" s="277" t="e">
        <f t="shared" si="160"/>
        <v>#N/A</v>
      </c>
      <c r="AG178" s="277" t="e">
        <f t="shared" si="161"/>
        <v>#N/A</v>
      </c>
      <c r="AH178" s="276" t="e">
        <f t="shared" si="129"/>
        <v>#N/A</v>
      </c>
      <c r="AI178" s="239">
        <f t="shared" si="162"/>
        <v>7</v>
      </c>
      <c r="AJ178" s="277" t="e">
        <f t="shared" si="130"/>
        <v>#N/A</v>
      </c>
      <c r="AK178" s="277" t="e">
        <f t="shared" si="163"/>
        <v>#N/A</v>
      </c>
      <c r="AL178" s="239" t="e">
        <f t="shared" si="131"/>
        <v>#N/A</v>
      </c>
      <c r="AM178" s="278" t="e">
        <f t="shared" si="164"/>
        <v>#N/A</v>
      </c>
      <c r="AN178" s="279" t="e">
        <f t="shared" si="132"/>
        <v>#N/A</v>
      </c>
      <c r="AO178" s="240" t="e">
        <f t="shared" si="133"/>
        <v>#N/A</v>
      </c>
      <c r="AP178" s="297">
        <f t="shared" si="165"/>
        <v>7</v>
      </c>
      <c r="AQ178" s="298" t="e">
        <f t="shared" si="134"/>
        <v>#N/A</v>
      </c>
      <c r="AR178" s="279" t="e">
        <f t="shared" si="166"/>
        <v>#N/A</v>
      </c>
      <c r="AS178" s="283" t="e">
        <f t="shared" si="135"/>
        <v>#N/A</v>
      </c>
      <c r="AT178" s="284">
        <f t="shared" si="167"/>
        <v>7</v>
      </c>
      <c r="AU178" s="285" t="e">
        <f t="shared" si="168"/>
        <v>#N/A</v>
      </c>
      <c r="AV178" s="286" t="e">
        <f t="shared" si="169"/>
        <v>#N/A</v>
      </c>
      <c r="AW178" s="287" t="e">
        <f t="shared" si="136"/>
        <v>#N/A</v>
      </c>
      <c r="AX178" s="245">
        <f t="shared" si="170"/>
        <v>7</v>
      </c>
      <c r="AY178" s="286" t="e">
        <f t="shared" si="137"/>
        <v>#N/A</v>
      </c>
      <c r="AZ178" s="245" t="e">
        <f t="shared" si="171"/>
        <v>#N/A</v>
      </c>
      <c r="BA178" s="245" t="e">
        <f t="shared" si="138"/>
        <v>#N/A</v>
      </c>
      <c r="BB178" s="288">
        <f t="shared" si="172"/>
        <v>7</v>
      </c>
      <c r="BC178" s="289" t="e">
        <f t="shared" si="173"/>
        <v>#N/A</v>
      </c>
      <c r="BD178" s="290" t="e">
        <f t="shared" si="174"/>
        <v>#N/A</v>
      </c>
      <c r="BE178" s="263" t="e">
        <f t="shared" si="139"/>
        <v>#N/A</v>
      </c>
      <c r="BF178" s="260">
        <f t="shared" si="175"/>
        <v>7</v>
      </c>
      <c r="BG178" s="289" t="e">
        <f t="shared" si="176"/>
        <v>#N/A</v>
      </c>
      <c r="BH178" s="290" t="e">
        <f t="shared" si="177"/>
        <v>#N/A</v>
      </c>
      <c r="BI178" s="263" t="e">
        <f t="shared" si="140"/>
        <v>#N/A</v>
      </c>
      <c r="BJ178" s="264">
        <f t="shared" si="178"/>
        <v>7</v>
      </c>
      <c r="BK178" s="291" t="e">
        <f t="shared" si="179"/>
        <v>#N/A</v>
      </c>
      <c r="BL178" s="291" t="e">
        <f t="shared" si="180"/>
        <v>#N/A</v>
      </c>
      <c r="BM178" s="292" t="e">
        <f t="shared" si="141"/>
        <v>#N/A</v>
      </c>
      <c r="BN178" s="293">
        <f t="shared" si="181"/>
        <v>7</v>
      </c>
      <c r="BO178" s="294" t="e">
        <f t="shared" si="182"/>
        <v>#N/A</v>
      </c>
      <c r="BP178" s="294" t="e">
        <f t="shared" si="183"/>
        <v>#N/A</v>
      </c>
      <c r="BQ178" s="292" t="e">
        <f t="shared" si="142"/>
        <v>#N/A</v>
      </c>
      <c r="BR178" s="295" t="e">
        <f t="shared" si="143"/>
        <v>#N/A</v>
      </c>
      <c r="BS178" s="230" t="e">
        <f>VLOOKUP($B178,SDR22_STOCK_BY_LA!$A$2:$C$11679,3,0)</f>
        <v>#N/A</v>
      </c>
      <c r="BT178" s="230" t="str">
        <f t="shared" si="184"/>
        <v/>
      </c>
    </row>
    <row r="179" spans="1:72" ht="12.5" x14ac:dyDescent="0.25">
      <c r="A179" s="269" t="str">
        <f t="shared" si="185"/>
        <v/>
      </c>
      <c r="B179" s="230" t="str">
        <f t="shared" si="186"/>
        <v/>
      </c>
      <c r="C179" s="270" t="str">
        <f t="shared" si="144"/>
        <v/>
      </c>
      <c r="D179" s="269" t="str">
        <f>IF(B179="","",IF(totals!$Q$3=0,IFERROR(IF(AD179=2,"0",AE179),""),"-"))</f>
        <v/>
      </c>
      <c r="E179" s="271" t="str">
        <f t="shared" si="145"/>
        <v/>
      </c>
      <c r="F179" s="272" t="str">
        <f t="shared" si="146"/>
        <v/>
      </c>
      <c r="G179" s="272" t="str">
        <f t="shared" si="147"/>
        <v/>
      </c>
      <c r="H179" s="269" t="str">
        <f t="shared" si="125"/>
        <v/>
      </c>
      <c r="I179" s="272" t="str">
        <f t="shared" si="148"/>
        <v/>
      </c>
      <c r="J179" s="272" t="str">
        <f t="shared" si="149"/>
        <v/>
      </c>
      <c r="K179" s="269" t="str">
        <f t="shared" si="126"/>
        <v/>
      </c>
      <c r="L179" s="272" t="str">
        <f t="shared" si="127"/>
        <v/>
      </c>
      <c r="M179" s="272" t="str">
        <f t="shared" si="150"/>
        <v/>
      </c>
      <c r="N179" s="269" t="str">
        <f t="shared" si="151"/>
        <v/>
      </c>
      <c r="O179" s="272" t="str">
        <f t="shared" si="152"/>
        <v/>
      </c>
      <c r="P179" s="272" t="str">
        <f t="shared" si="153"/>
        <v/>
      </c>
      <c r="Q179" s="269" t="str">
        <f t="shared" si="154"/>
        <v/>
      </c>
      <c r="R179" s="272" t="str">
        <f t="shared" si="155"/>
        <v/>
      </c>
      <c r="S179" s="272" t="str">
        <f t="shared" si="156"/>
        <v/>
      </c>
      <c r="T179" s="269" t="str">
        <f t="shared" si="157"/>
        <v/>
      </c>
      <c r="U179" s="230"/>
      <c r="V179" s="230"/>
      <c r="AB179" s="270" t="e">
        <f>VLOOKUP($B$6,Lookup_Source,172,0)</f>
        <v>#N/A</v>
      </c>
      <c r="AC179" s="254" t="str">
        <f t="shared" si="158"/>
        <v/>
      </c>
      <c r="AD179" s="255">
        <f t="shared" si="159"/>
        <v>7</v>
      </c>
      <c r="AE179" s="274" t="e">
        <f t="shared" si="128"/>
        <v>#N/A</v>
      </c>
      <c r="AF179" s="277" t="e">
        <f t="shared" si="160"/>
        <v>#N/A</v>
      </c>
      <c r="AG179" s="277" t="e">
        <f t="shared" si="161"/>
        <v>#N/A</v>
      </c>
      <c r="AH179" s="276" t="e">
        <f t="shared" si="129"/>
        <v>#N/A</v>
      </c>
      <c r="AI179" s="239">
        <f t="shared" si="162"/>
        <v>7</v>
      </c>
      <c r="AJ179" s="277" t="e">
        <f t="shared" si="130"/>
        <v>#N/A</v>
      </c>
      <c r="AK179" s="277" t="e">
        <f t="shared" si="163"/>
        <v>#N/A</v>
      </c>
      <c r="AL179" s="239" t="e">
        <f t="shared" si="131"/>
        <v>#N/A</v>
      </c>
      <c r="AM179" s="278" t="e">
        <f t="shared" si="164"/>
        <v>#N/A</v>
      </c>
      <c r="AN179" s="279" t="e">
        <f t="shared" si="132"/>
        <v>#N/A</v>
      </c>
      <c r="AO179" s="240" t="e">
        <f t="shared" si="133"/>
        <v>#N/A</v>
      </c>
      <c r="AP179" s="297">
        <f t="shared" si="165"/>
        <v>7</v>
      </c>
      <c r="AQ179" s="298" t="e">
        <f t="shared" si="134"/>
        <v>#N/A</v>
      </c>
      <c r="AR179" s="279" t="e">
        <f t="shared" si="166"/>
        <v>#N/A</v>
      </c>
      <c r="AS179" s="283" t="e">
        <f t="shared" si="135"/>
        <v>#N/A</v>
      </c>
      <c r="AT179" s="284">
        <f t="shared" si="167"/>
        <v>7</v>
      </c>
      <c r="AU179" s="285" t="e">
        <f t="shared" si="168"/>
        <v>#N/A</v>
      </c>
      <c r="AV179" s="286" t="e">
        <f t="shared" si="169"/>
        <v>#N/A</v>
      </c>
      <c r="AW179" s="287" t="e">
        <f t="shared" si="136"/>
        <v>#N/A</v>
      </c>
      <c r="AX179" s="245">
        <f t="shared" si="170"/>
        <v>7</v>
      </c>
      <c r="AY179" s="286" t="e">
        <f t="shared" si="137"/>
        <v>#N/A</v>
      </c>
      <c r="AZ179" s="245" t="e">
        <f t="shared" si="171"/>
        <v>#N/A</v>
      </c>
      <c r="BA179" s="245" t="e">
        <f t="shared" si="138"/>
        <v>#N/A</v>
      </c>
      <c r="BB179" s="288">
        <f t="shared" si="172"/>
        <v>7</v>
      </c>
      <c r="BC179" s="289" t="e">
        <f t="shared" si="173"/>
        <v>#N/A</v>
      </c>
      <c r="BD179" s="290" t="e">
        <f t="shared" si="174"/>
        <v>#N/A</v>
      </c>
      <c r="BE179" s="263" t="e">
        <f t="shared" si="139"/>
        <v>#N/A</v>
      </c>
      <c r="BF179" s="260">
        <f t="shared" si="175"/>
        <v>7</v>
      </c>
      <c r="BG179" s="289" t="e">
        <f t="shared" si="176"/>
        <v>#N/A</v>
      </c>
      <c r="BH179" s="290" t="e">
        <f t="shared" si="177"/>
        <v>#N/A</v>
      </c>
      <c r="BI179" s="263" t="e">
        <f t="shared" si="140"/>
        <v>#N/A</v>
      </c>
      <c r="BJ179" s="264">
        <f t="shared" si="178"/>
        <v>7</v>
      </c>
      <c r="BK179" s="291" t="e">
        <f t="shared" si="179"/>
        <v>#N/A</v>
      </c>
      <c r="BL179" s="291" t="e">
        <f t="shared" si="180"/>
        <v>#N/A</v>
      </c>
      <c r="BM179" s="292" t="e">
        <f t="shared" si="141"/>
        <v>#N/A</v>
      </c>
      <c r="BN179" s="293">
        <f t="shared" si="181"/>
        <v>7</v>
      </c>
      <c r="BO179" s="294" t="e">
        <f t="shared" si="182"/>
        <v>#N/A</v>
      </c>
      <c r="BP179" s="294" t="e">
        <f t="shared" si="183"/>
        <v>#N/A</v>
      </c>
      <c r="BQ179" s="292" t="e">
        <f t="shared" si="142"/>
        <v>#N/A</v>
      </c>
      <c r="BR179" s="295" t="e">
        <f t="shared" si="143"/>
        <v>#N/A</v>
      </c>
      <c r="BS179" s="230" t="e">
        <f>VLOOKUP($B179,SDR22_STOCK_BY_LA!$A$2:$C$11679,3,0)</f>
        <v>#N/A</v>
      </c>
      <c r="BT179" s="230" t="str">
        <f t="shared" si="184"/>
        <v/>
      </c>
    </row>
    <row r="180" spans="1:72" ht="12.5" x14ac:dyDescent="0.25">
      <c r="A180" s="230" t="str">
        <f t="shared" si="185"/>
        <v/>
      </c>
      <c r="B180" s="230" t="str">
        <f t="shared" si="186"/>
        <v/>
      </c>
      <c r="C180" s="296" t="str">
        <f t="shared" si="144"/>
        <v/>
      </c>
      <c r="D180" s="269" t="str">
        <f>IF(B180="","",IF(totals!$Q$3=0,IFERROR(IF(AD180=2,"0",AE180),""),"-"))</f>
        <v/>
      </c>
      <c r="E180" s="271" t="str">
        <f t="shared" si="145"/>
        <v/>
      </c>
      <c r="F180" s="272" t="str">
        <f t="shared" si="146"/>
        <v/>
      </c>
      <c r="G180" s="272" t="str">
        <f t="shared" si="147"/>
        <v/>
      </c>
      <c r="H180" s="269" t="str">
        <f t="shared" si="125"/>
        <v/>
      </c>
      <c r="I180" s="272" t="str">
        <f t="shared" si="148"/>
        <v/>
      </c>
      <c r="J180" s="272" t="str">
        <f t="shared" si="149"/>
        <v/>
      </c>
      <c r="K180" s="269" t="str">
        <f t="shared" si="126"/>
        <v/>
      </c>
      <c r="L180" s="272" t="str">
        <f t="shared" si="127"/>
        <v/>
      </c>
      <c r="M180" s="272" t="str">
        <f t="shared" si="150"/>
        <v/>
      </c>
      <c r="N180" s="269" t="str">
        <f t="shared" si="151"/>
        <v/>
      </c>
      <c r="O180" s="272" t="str">
        <f t="shared" si="152"/>
        <v/>
      </c>
      <c r="P180" s="272" t="str">
        <f t="shared" si="153"/>
        <v/>
      </c>
      <c r="Q180" s="269" t="str">
        <f t="shared" si="154"/>
        <v/>
      </c>
      <c r="R180" s="272" t="str">
        <f t="shared" si="155"/>
        <v/>
      </c>
      <c r="S180" s="272" t="str">
        <f t="shared" si="156"/>
        <v/>
      </c>
      <c r="T180" s="269" t="str">
        <f t="shared" si="157"/>
        <v/>
      </c>
      <c r="U180" s="230"/>
      <c r="V180" s="230"/>
      <c r="AB180" s="230" t="e">
        <f>VLOOKUP($B$6,Lookup_Source,173,0)</f>
        <v>#N/A</v>
      </c>
      <c r="AC180" s="254" t="str">
        <f t="shared" si="158"/>
        <v/>
      </c>
      <c r="AD180" s="255">
        <f t="shared" si="159"/>
        <v>7</v>
      </c>
      <c r="AE180" s="274" t="e">
        <f t="shared" si="128"/>
        <v>#N/A</v>
      </c>
      <c r="AF180" s="277" t="e">
        <f t="shared" si="160"/>
        <v>#N/A</v>
      </c>
      <c r="AG180" s="277" t="e">
        <f t="shared" si="161"/>
        <v>#N/A</v>
      </c>
      <c r="AH180" s="276" t="e">
        <f t="shared" si="129"/>
        <v>#N/A</v>
      </c>
      <c r="AI180" s="239">
        <f t="shared" si="162"/>
        <v>7</v>
      </c>
      <c r="AJ180" s="277" t="e">
        <f t="shared" si="130"/>
        <v>#N/A</v>
      </c>
      <c r="AK180" s="277" t="e">
        <f t="shared" si="163"/>
        <v>#N/A</v>
      </c>
      <c r="AL180" s="239" t="e">
        <f t="shared" si="131"/>
        <v>#N/A</v>
      </c>
      <c r="AM180" s="278" t="e">
        <f t="shared" si="164"/>
        <v>#N/A</v>
      </c>
      <c r="AN180" s="279" t="e">
        <f t="shared" si="132"/>
        <v>#N/A</v>
      </c>
      <c r="AO180" s="240" t="e">
        <f t="shared" si="133"/>
        <v>#N/A</v>
      </c>
      <c r="AP180" s="297">
        <f t="shared" si="165"/>
        <v>7</v>
      </c>
      <c r="AQ180" s="298" t="e">
        <f t="shared" si="134"/>
        <v>#N/A</v>
      </c>
      <c r="AR180" s="279" t="e">
        <f t="shared" si="166"/>
        <v>#N/A</v>
      </c>
      <c r="AS180" s="283" t="e">
        <f t="shared" si="135"/>
        <v>#N/A</v>
      </c>
      <c r="AT180" s="284">
        <f t="shared" si="167"/>
        <v>7</v>
      </c>
      <c r="AU180" s="285" t="e">
        <f t="shared" si="168"/>
        <v>#N/A</v>
      </c>
      <c r="AV180" s="286" t="e">
        <f t="shared" si="169"/>
        <v>#N/A</v>
      </c>
      <c r="AW180" s="287" t="e">
        <f t="shared" si="136"/>
        <v>#N/A</v>
      </c>
      <c r="AX180" s="245">
        <f t="shared" si="170"/>
        <v>7</v>
      </c>
      <c r="AY180" s="286" t="e">
        <f t="shared" si="137"/>
        <v>#N/A</v>
      </c>
      <c r="AZ180" s="245" t="e">
        <f t="shared" si="171"/>
        <v>#N/A</v>
      </c>
      <c r="BA180" s="245" t="e">
        <f t="shared" si="138"/>
        <v>#N/A</v>
      </c>
      <c r="BB180" s="288">
        <f t="shared" si="172"/>
        <v>7</v>
      </c>
      <c r="BC180" s="289" t="e">
        <f t="shared" si="173"/>
        <v>#N/A</v>
      </c>
      <c r="BD180" s="290" t="e">
        <f t="shared" si="174"/>
        <v>#N/A</v>
      </c>
      <c r="BE180" s="263" t="e">
        <f t="shared" si="139"/>
        <v>#N/A</v>
      </c>
      <c r="BF180" s="260">
        <f t="shared" si="175"/>
        <v>7</v>
      </c>
      <c r="BG180" s="289" t="e">
        <f t="shared" si="176"/>
        <v>#N/A</v>
      </c>
      <c r="BH180" s="290" t="e">
        <f t="shared" si="177"/>
        <v>#N/A</v>
      </c>
      <c r="BI180" s="263" t="e">
        <f t="shared" si="140"/>
        <v>#N/A</v>
      </c>
      <c r="BJ180" s="264">
        <f t="shared" si="178"/>
        <v>7</v>
      </c>
      <c r="BK180" s="291" t="e">
        <f t="shared" si="179"/>
        <v>#N/A</v>
      </c>
      <c r="BL180" s="291" t="e">
        <f t="shared" si="180"/>
        <v>#N/A</v>
      </c>
      <c r="BM180" s="292" t="e">
        <f t="shared" si="141"/>
        <v>#N/A</v>
      </c>
      <c r="BN180" s="293">
        <f t="shared" si="181"/>
        <v>7</v>
      </c>
      <c r="BO180" s="294" t="e">
        <f t="shared" si="182"/>
        <v>#N/A</v>
      </c>
      <c r="BP180" s="294" t="e">
        <f t="shared" si="183"/>
        <v>#N/A</v>
      </c>
      <c r="BQ180" s="292" t="e">
        <f t="shared" si="142"/>
        <v>#N/A</v>
      </c>
      <c r="BR180" s="295" t="e">
        <f t="shared" si="143"/>
        <v>#N/A</v>
      </c>
      <c r="BS180" s="230" t="e">
        <f>VLOOKUP($B180,SDR22_STOCK_BY_LA!$A$2:$C$11679,3,0)</f>
        <v>#N/A</v>
      </c>
      <c r="BT180" s="230" t="str">
        <f t="shared" si="184"/>
        <v/>
      </c>
    </row>
    <row r="181" spans="1:72" ht="12.5" x14ac:dyDescent="0.25">
      <c r="A181" s="269" t="str">
        <f t="shared" si="185"/>
        <v/>
      </c>
      <c r="B181" s="230" t="str">
        <f t="shared" si="186"/>
        <v/>
      </c>
      <c r="C181" s="270" t="str">
        <f t="shared" si="144"/>
        <v/>
      </c>
      <c r="D181" s="269" t="str">
        <f>IF(B181="","",IF(totals!$Q$3=0,IFERROR(IF(AD181=2,"0",AE181),""),"-"))</f>
        <v/>
      </c>
      <c r="E181" s="271" t="str">
        <f t="shared" si="145"/>
        <v/>
      </c>
      <c r="F181" s="272" t="str">
        <f t="shared" si="146"/>
        <v/>
      </c>
      <c r="G181" s="272" t="str">
        <f t="shared" si="147"/>
        <v/>
      </c>
      <c r="H181" s="269" t="str">
        <f t="shared" si="125"/>
        <v/>
      </c>
      <c r="I181" s="272" t="str">
        <f t="shared" si="148"/>
        <v/>
      </c>
      <c r="J181" s="272" t="str">
        <f t="shared" si="149"/>
        <v/>
      </c>
      <c r="K181" s="269" t="str">
        <f t="shared" si="126"/>
        <v/>
      </c>
      <c r="L181" s="272" t="str">
        <f t="shared" si="127"/>
        <v/>
      </c>
      <c r="M181" s="272" t="str">
        <f t="shared" si="150"/>
        <v/>
      </c>
      <c r="N181" s="269" t="str">
        <f t="shared" si="151"/>
        <v/>
      </c>
      <c r="O181" s="272" t="str">
        <f t="shared" si="152"/>
        <v/>
      </c>
      <c r="P181" s="272" t="str">
        <f t="shared" si="153"/>
        <v/>
      </c>
      <c r="Q181" s="269" t="str">
        <f t="shared" si="154"/>
        <v/>
      </c>
      <c r="R181" s="272" t="str">
        <f t="shared" si="155"/>
        <v/>
      </c>
      <c r="S181" s="272" t="str">
        <f t="shared" si="156"/>
        <v/>
      </c>
      <c r="T181" s="269" t="str">
        <f t="shared" si="157"/>
        <v/>
      </c>
      <c r="U181" s="230"/>
      <c r="V181" s="230"/>
      <c r="AB181" s="270" t="e">
        <f>VLOOKUP($B$6,Lookup_Source,174,0)</f>
        <v>#N/A</v>
      </c>
      <c r="AC181" s="254" t="str">
        <f t="shared" si="158"/>
        <v/>
      </c>
      <c r="AD181" s="255">
        <f t="shared" si="159"/>
        <v>7</v>
      </c>
      <c r="AE181" s="274" t="e">
        <f t="shared" si="128"/>
        <v>#N/A</v>
      </c>
      <c r="AF181" s="277" t="e">
        <f t="shared" si="160"/>
        <v>#N/A</v>
      </c>
      <c r="AG181" s="277" t="e">
        <f t="shared" si="161"/>
        <v>#N/A</v>
      </c>
      <c r="AH181" s="276" t="e">
        <f t="shared" si="129"/>
        <v>#N/A</v>
      </c>
      <c r="AI181" s="239">
        <f t="shared" si="162"/>
        <v>7</v>
      </c>
      <c r="AJ181" s="277" t="e">
        <f t="shared" si="130"/>
        <v>#N/A</v>
      </c>
      <c r="AK181" s="277" t="e">
        <f t="shared" si="163"/>
        <v>#N/A</v>
      </c>
      <c r="AL181" s="239" t="e">
        <f t="shared" si="131"/>
        <v>#N/A</v>
      </c>
      <c r="AM181" s="278" t="e">
        <f t="shared" si="164"/>
        <v>#N/A</v>
      </c>
      <c r="AN181" s="279" t="e">
        <f t="shared" si="132"/>
        <v>#N/A</v>
      </c>
      <c r="AO181" s="240" t="e">
        <f t="shared" si="133"/>
        <v>#N/A</v>
      </c>
      <c r="AP181" s="297">
        <f t="shared" si="165"/>
        <v>7</v>
      </c>
      <c r="AQ181" s="298" t="e">
        <f t="shared" si="134"/>
        <v>#N/A</v>
      </c>
      <c r="AR181" s="279" t="e">
        <f t="shared" si="166"/>
        <v>#N/A</v>
      </c>
      <c r="AS181" s="283" t="e">
        <f t="shared" si="135"/>
        <v>#N/A</v>
      </c>
      <c r="AT181" s="284">
        <f t="shared" si="167"/>
        <v>7</v>
      </c>
      <c r="AU181" s="285" t="e">
        <f t="shared" si="168"/>
        <v>#N/A</v>
      </c>
      <c r="AV181" s="286" t="e">
        <f t="shared" si="169"/>
        <v>#N/A</v>
      </c>
      <c r="AW181" s="287" t="e">
        <f t="shared" si="136"/>
        <v>#N/A</v>
      </c>
      <c r="AX181" s="245">
        <f t="shared" si="170"/>
        <v>7</v>
      </c>
      <c r="AY181" s="286" t="e">
        <f t="shared" si="137"/>
        <v>#N/A</v>
      </c>
      <c r="AZ181" s="245" t="e">
        <f t="shared" si="171"/>
        <v>#N/A</v>
      </c>
      <c r="BA181" s="245" t="e">
        <f t="shared" si="138"/>
        <v>#N/A</v>
      </c>
      <c r="BB181" s="288">
        <f t="shared" si="172"/>
        <v>7</v>
      </c>
      <c r="BC181" s="289" t="e">
        <f t="shared" si="173"/>
        <v>#N/A</v>
      </c>
      <c r="BD181" s="290" t="e">
        <f t="shared" si="174"/>
        <v>#N/A</v>
      </c>
      <c r="BE181" s="263" t="e">
        <f t="shared" si="139"/>
        <v>#N/A</v>
      </c>
      <c r="BF181" s="260">
        <f t="shared" si="175"/>
        <v>7</v>
      </c>
      <c r="BG181" s="289" t="e">
        <f t="shared" si="176"/>
        <v>#N/A</v>
      </c>
      <c r="BH181" s="290" t="e">
        <f t="shared" si="177"/>
        <v>#N/A</v>
      </c>
      <c r="BI181" s="263" t="e">
        <f t="shared" si="140"/>
        <v>#N/A</v>
      </c>
      <c r="BJ181" s="264">
        <f t="shared" si="178"/>
        <v>7</v>
      </c>
      <c r="BK181" s="291" t="e">
        <f t="shared" si="179"/>
        <v>#N/A</v>
      </c>
      <c r="BL181" s="291" t="e">
        <f t="shared" si="180"/>
        <v>#N/A</v>
      </c>
      <c r="BM181" s="292" t="e">
        <f t="shared" si="141"/>
        <v>#N/A</v>
      </c>
      <c r="BN181" s="293">
        <f t="shared" si="181"/>
        <v>7</v>
      </c>
      <c r="BO181" s="294" t="e">
        <f t="shared" si="182"/>
        <v>#N/A</v>
      </c>
      <c r="BP181" s="294" t="e">
        <f t="shared" si="183"/>
        <v>#N/A</v>
      </c>
      <c r="BQ181" s="292" t="e">
        <f t="shared" si="142"/>
        <v>#N/A</v>
      </c>
      <c r="BR181" s="295" t="e">
        <f t="shared" si="143"/>
        <v>#N/A</v>
      </c>
      <c r="BS181" s="230" t="e">
        <f>VLOOKUP($B181,SDR22_STOCK_BY_LA!$A$2:$C$11679,3,0)</f>
        <v>#N/A</v>
      </c>
      <c r="BT181" s="230" t="str">
        <f t="shared" si="184"/>
        <v/>
      </c>
    </row>
    <row r="182" spans="1:72" ht="12.5" x14ac:dyDescent="0.25">
      <c r="A182" s="230" t="str">
        <f t="shared" si="185"/>
        <v/>
      </c>
      <c r="B182" s="230" t="str">
        <f t="shared" si="186"/>
        <v/>
      </c>
      <c r="C182" s="296" t="str">
        <f t="shared" si="144"/>
        <v/>
      </c>
      <c r="D182" s="269" t="str">
        <f>IF(B182="","",IF(totals!$Q$3=0,IFERROR(IF(AD182=2,"0",AE182),""),"-"))</f>
        <v/>
      </c>
      <c r="E182" s="271" t="str">
        <f t="shared" si="145"/>
        <v/>
      </c>
      <c r="F182" s="272" t="str">
        <f t="shared" si="146"/>
        <v/>
      </c>
      <c r="G182" s="272" t="str">
        <f t="shared" si="147"/>
        <v/>
      </c>
      <c r="H182" s="269" t="str">
        <f t="shared" si="125"/>
        <v/>
      </c>
      <c r="I182" s="272" t="str">
        <f t="shared" si="148"/>
        <v/>
      </c>
      <c r="J182" s="272" t="str">
        <f t="shared" si="149"/>
        <v/>
      </c>
      <c r="K182" s="269" t="str">
        <f t="shared" si="126"/>
        <v/>
      </c>
      <c r="L182" s="272" t="str">
        <f t="shared" si="127"/>
        <v/>
      </c>
      <c r="M182" s="272" t="str">
        <f t="shared" si="150"/>
        <v/>
      </c>
      <c r="N182" s="269" t="str">
        <f t="shared" si="151"/>
        <v/>
      </c>
      <c r="O182" s="272" t="str">
        <f t="shared" si="152"/>
        <v/>
      </c>
      <c r="P182" s="272" t="str">
        <f t="shared" si="153"/>
        <v/>
      </c>
      <c r="Q182" s="269" t="str">
        <f t="shared" si="154"/>
        <v/>
      </c>
      <c r="R182" s="272" t="str">
        <f t="shared" si="155"/>
        <v/>
      </c>
      <c r="S182" s="272" t="str">
        <f t="shared" si="156"/>
        <v/>
      </c>
      <c r="T182" s="269" t="str">
        <f t="shared" si="157"/>
        <v/>
      </c>
      <c r="U182" s="230"/>
      <c r="V182" s="230"/>
      <c r="AB182" s="230" t="e">
        <f>VLOOKUP($B$6,Lookup_Source,175,0)</f>
        <v>#N/A</v>
      </c>
      <c r="AC182" s="254" t="str">
        <f t="shared" si="158"/>
        <v/>
      </c>
      <c r="AD182" s="255">
        <f t="shared" si="159"/>
        <v>7</v>
      </c>
      <c r="AE182" s="274" t="e">
        <f t="shared" si="128"/>
        <v>#N/A</v>
      </c>
      <c r="AF182" s="277" t="e">
        <f t="shared" si="160"/>
        <v>#N/A</v>
      </c>
      <c r="AG182" s="277" t="e">
        <f t="shared" si="161"/>
        <v>#N/A</v>
      </c>
      <c r="AH182" s="276" t="e">
        <f t="shared" si="129"/>
        <v>#N/A</v>
      </c>
      <c r="AI182" s="239">
        <f t="shared" si="162"/>
        <v>7</v>
      </c>
      <c r="AJ182" s="277" t="e">
        <f t="shared" si="130"/>
        <v>#N/A</v>
      </c>
      <c r="AK182" s="277" t="e">
        <f t="shared" si="163"/>
        <v>#N/A</v>
      </c>
      <c r="AL182" s="239" t="e">
        <f t="shared" si="131"/>
        <v>#N/A</v>
      </c>
      <c r="AM182" s="278" t="e">
        <f t="shared" si="164"/>
        <v>#N/A</v>
      </c>
      <c r="AN182" s="279" t="e">
        <f t="shared" si="132"/>
        <v>#N/A</v>
      </c>
      <c r="AO182" s="240" t="e">
        <f t="shared" si="133"/>
        <v>#N/A</v>
      </c>
      <c r="AP182" s="297">
        <f t="shared" si="165"/>
        <v>7</v>
      </c>
      <c r="AQ182" s="298" t="e">
        <f t="shared" si="134"/>
        <v>#N/A</v>
      </c>
      <c r="AR182" s="279" t="e">
        <f t="shared" si="166"/>
        <v>#N/A</v>
      </c>
      <c r="AS182" s="283" t="e">
        <f t="shared" si="135"/>
        <v>#N/A</v>
      </c>
      <c r="AT182" s="284">
        <f t="shared" si="167"/>
        <v>7</v>
      </c>
      <c r="AU182" s="285" t="e">
        <f t="shared" si="168"/>
        <v>#N/A</v>
      </c>
      <c r="AV182" s="286" t="e">
        <f t="shared" si="169"/>
        <v>#N/A</v>
      </c>
      <c r="AW182" s="287" t="e">
        <f t="shared" si="136"/>
        <v>#N/A</v>
      </c>
      <c r="AX182" s="245">
        <f t="shared" si="170"/>
        <v>7</v>
      </c>
      <c r="AY182" s="286" t="e">
        <f t="shared" si="137"/>
        <v>#N/A</v>
      </c>
      <c r="AZ182" s="245" t="e">
        <f t="shared" si="171"/>
        <v>#N/A</v>
      </c>
      <c r="BA182" s="245" t="e">
        <f t="shared" si="138"/>
        <v>#N/A</v>
      </c>
      <c r="BB182" s="288">
        <f t="shared" si="172"/>
        <v>7</v>
      </c>
      <c r="BC182" s="289" t="e">
        <f t="shared" si="173"/>
        <v>#N/A</v>
      </c>
      <c r="BD182" s="290" t="e">
        <f t="shared" si="174"/>
        <v>#N/A</v>
      </c>
      <c r="BE182" s="263" t="e">
        <f t="shared" si="139"/>
        <v>#N/A</v>
      </c>
      <c r="BF182" s="260">
        <f t="shared" si="175"/>
        <v>7</v>
      </c>
      <c r="BG182" s="289" t="e">
        <f t="shared" si="176"/>
        <v>#N/A</v>
      </c>
      <c r="BH182" s="290" t="e">
        <f t="shared" si="177"/>
        <v>#N/A</v>
      </c>
      <c r="BI182" s="263" t="e">
        <f t="shared" si="140"/>
        <v>#N/A</v>
      </c>
      <c r="BJ182" s="264">
        <f t="shared" si="178"/>
        <v>7</v>
      </c>
      <c r="BK182" s="291" t="e">
        <f t="shared" si="179"/>
        <v>#N/A</v>
      </c>
      <c r="BL182" s="291" t="e">
        <f t="shared" si="180"/>
        <v>#N/A</v>
      </c>
      <c r="BM182" s="292" t="e">
        <f t="shared" si="141"/>
        <v>#N/A</v>
      </c>
      <c r="BN182" s="293">
        <f t="shared" si="181"/>
        <v>7</v>
      </c>
      <c r="BO182" s="294" t="e">
        <f t="shared" si="182"/>
        <v>#N/A</v>
      </c>
      <c r="BP182" s="294" t="e">
        <f t="shared" si="183"/>
        <v>#N/A</v>
      </c>
      <c r="BQ182" s="292" t="e">
        <f t="shared" si="142"/>
        <v>#N/A</v>
      </c>
      <c r="BR182" s="295" t="e">
        <f t="shared" si="143"/>
        <v>#N/A</v>
      </c>
      <c r="BS182" s="230" t="e">
        <f>VLOOKUP($B182,SDR22_STOCK_BY_LA!$A$2:$C$11679,3,0)</f>
        <v>#N/A</v>
      </c>
      <c r="BT182" s="230" t="str">
        <f t="shared" si="184"/>
        <v/>
      </c>
    </row>
    <row r="183" spans="1:72" ht="12.5" x14ac:dyDescent="0.25">
      <c r="A183" s="269" t="str">
        <f t="shared" si="185"/>
        <v/>
      </c>
      <c r="B183" s="230" t="str">
        <f t="shared" si="186"/>
        <v/>
      </c>
      <c r="C183" s="270" t="str">
        <f t="shared" si="144"/>
        <v/>
      </c>
      <c r="D183" s="269" t="str">
        <f>IF(B183="","",IF(totals!$Q$3=0,IFERROR(IF(AD183=2,"0",AE183),""),"-"))</f>
        <v/>
      </c>
      <c r="E183" s="271" t="str">
        <f t="shared" si="145"/>
        <v/>
      </c>
      <c r="F183" s="272" t="str">
        <f t="shared" si="146"/>
        <v/>
      </c>
      <c r="G183" s="272" t="str">
        <f t="shared" si="147"/>
        <v/>
      </c>
      <c r="H183" s="269" t="str">
        <f t="shared" si="125"/>
        <v/>
      </c>
      <c r="I183" s="272" t="str">
        <f t="shared" si="148"/>
        <v/>
      </c>
      <c r="J183" s="272" t="str">
        <f t="shared" si="149"/>
        <v/>
      </c>
      <c r="K183" s="269" t="str">
        <f t="shared" si="126"/>
        <v/>
      </c>
      <c r="L183" s="272" t="str">
        <f t="shared" si="127"/>
        <v/>
      </c>
      <c r="M183" s="272" t="str">
        <f t="shared" si="150"/>
        <v/>
      </c>
      <c r="N183" s="269" t="str">
        <f t="shared" si="151"/>
        <v/>
      </c>
      <c r="O183" s="272" t="str">
        <f t="shared" si="152"/>
        <v/>
      </c>
      <c r="P183" s="272" t="str">
        <f t="shared" si="153"/>
        <v/>
      </c>
      <c r="Q183" s="269" t="str">
        <f t="shared" si="154"/>
        <v/>
      </c>
      <c r="R183" s="272" t="str">
        <f t="shared" si="155"/>
        <v/>
      </c>
      <c r="S183" s="272" t="str">
        <f t="shared" si="156"/>
        <v/>
      </c>
      <c r="T183" s="269" t="str">
        <f t="shared" si="157"/>
        <v/>
      </c>
      <c r="U183" s="230"/>
      <c r="V183" s="230"/>
      <c r="AB183" s="270" t="e">
        <f>VLOOKUP($B$6,Lookup_Source,176,0)</f>
        <v>#N/A</v>
      </c>
      <c r="AC183" s="254" t="str">
        <f t="shared" si="158"/>
        <v/>
      </c>
      <c r="AD183" s="255">
        <f t="shared" si="159"/>
        <v>7</v>
      </c>
      <c r="AE183" s="274" t="e">
        <f t="shared" si="128"/>
        <v>#N/A</v>
      </c>
      <c r="AF183" s="277" t="e">
        <f t="shared" si="160"/>
        <v>#N/A</v>
      </c>
      <c r="AG183" s="277" t="e">
        <f t="shared" si="161"/>
        <v>#N/A</v>
      </c>
      <c r="AH183" s="276" t="e">
        <f t="shared" si="129"/>
        <v>#N/A</v>
      </c>
      <c r="AI183" s="239">
        <f t="shared" si="162"/>
        <v>7</v>
      </c>
      <c r="AJ183" s="277" t="e">
        <f t="shared" si="130"/>
        <v>#N/A</v>
      </c>
      <c r="AK183" s="277" t="e">
        <f t="shared" si="163"/>
        <v>#N/A</v>
      </c>
      <c r="AL183" s="239" t="e">
        <f t="shared" si="131"/>
        <v>#N/A</v>
      </c>
      <c r="AM183" s="278" t="e">
        <f t="shared" si="164"/>
        <v>#N/A</v>
      </c>
      <c r="AN183" s="279" t="e">
        <f t="shared" si="132"/>
        <v>#N/A</v>
      </c>
      <c r="AO183" s="240" t="e">
        <f t="shared" si="133"/>
        <v>#N/A</v>
      </c>
      <c r="AP183" s="297">
        <f t="shared" si="165"/>
        <v>7</v>
      </c>
      <c r="AQ183" s="298" t="e">
        <f t="shared" si="134"/>
        <v>#N/A</v>
      </c>
      <c r="AR183" s="279" t="e">
        <f t="shared" si="166"/>
        <v>#N/A</v>
      </c>
      <c r="AS183" s="283" t="e">
        <f t="shared" si="135"/>
        <v>#N/A</v>
      </c>
      <c r="AT183" s="284">
        <f t="shared" si="167"/>
        <v>7</v>
      </c>
      <c r="AU183" s="285" t="e">
        <f t="shared" si="168"/>
        <v>#N/A</v>
      </c>
      <c r="AV183" s="286" t="e">
        <f t="shared" si="169"/>
        <v>#N/A</v>
      </c>
      <c r="AW183" s="287" t="e">
        <f t="shared" si="136"/>
        <v>#N/A</v>
      </c>
      <c r="AX183" s="245">
        <f t="shared" si="170"/>
        <v>7</v>
      </c>
      <c r="AY183" s="286" t="e">
        <f t="shared" si="137"/>
        <v>#N/A</v>
      </c>
      <c r="AZ183" s="245" t="e">
        <f t="shared" si="171"/>
        <v>#N/A</v>
      </c>
      <c r="BA183" s="245" t="e">
        <f t="shared" si="138"/>
        <v>#N/A</v>
      </c>
      <c r="BB183" s="288">
        <f t="shared" si="172"/>
        <v>7</v>
      </c>
      <c r="BC183" s="289" t="e">
        <f t="shared" si="173"/>
        <v>#N/A</v>
      </c>
      <c r="BD183" s="290" t="e">
        <f t="shared" si="174"/>
        <v>#N/A</v>
      </c>
      <c r="BE183" s="263" t="e">
        <f t="shared" si="139"/>
        <v>#N/A</v>
      </c>
      <c r="BF183" s="260">
        <f t="shared" si="175"/>
        <v>7</v>
      </c>
      <c r="BG183" s="289" t="e">
        <f t="shared" si="176"/>
        <v>#N/A</v>
      </c>
      <c r="BH183" s="290" t="e">
        <f t="shared" si="177"/>
        <v>#N/A</v>
      </c>
      <c r="BI183" s="263" t="e">
        <f t="shared" si="140"/>
        <v>#N/A</v>
      </c>
      <c r="BJ183" s="264">
        <f t="shared" si="178"/>
        <v>7</v>
      </c>
      <c r="BK183" s="291" t="e">
        <f t="shared" si="179"/>
        <v>#N/A</v>
      </c>
      <c r="BL183" s="291" t="e">
        <f t="shared" si="180"/>
        <v>#N/A</v>
      </c>
      <c r="BM183" s="292" t="e">
        <f t="shared" si="141"/>
        <v>#N/A</v>
      </c>
      <c r="BN183" s="293">
        <f t="shared" si="181"/>
        <v>7</v>
      </c>
      <c r="BO183" s="294" t="e">
        <f t="shared" si="182"/>
        <v>#N/A</v>
      </c>
      <c r="BP183" s="294" t="e">
        <f t="shared" si="183"/>
        <v>#N/A</v>
      </c>
      <c r="BQ183" s="292" t="e">
        <f t="shared" si="142"/>
        <v>#N/A</v>
      </c>
      <c r="BR183" s="295" t="e">
        <f t="shared" si="143"/>
        <v>#N/A</v>
      </c>
      <c r="BS183" s="230" t="e">
        <f>VLOOKUP($B183,SDR22_STOCK_BY_LA!$A$2:$C$11679,3,0)</f>
        <v>#N/A</v>
      </c>
      <c r="BT183" s="230" t="str">
        <f t="shared" si="184"/>
        <v/>
      </c>
    </row>
    <row r="184" spans="1:72" ht="12.5" x14ac:dyDescent="0.25">
      <c r="A184" s="230" t="str">
        <f t="shared" si="185"/>
        <v/>
      </c>
      <c r="B184" s="230" t="str">
        <f t="shared" si="186"/>
        <v/>
      </c>
      <c r="C184" s="296" t="str">
        <f t="shared" si="144"/>
        <v/>
      </c>
      <c r="D184" s="269" t="str">
        <f>IF(B184="","",IF(totals!$Q$3=0,IFERROR(IF(AD184=2,"0",AE184),""),"-"))</f>
        <v/>
      </c>
      <c r="E184" s="271" t="str">
        <f t="shared" si="145"/>
        <v/>
      </c>
      <c r="F184" s="272" t="str">
        <f t="shared" si="146"/>
        <v/>
      </c>
      <c r="G184" s="272" t="str">
        <f t="shared" si="147"/>
        <v/>
      </c>
      <c r="H184" s="269" t="str">
        <f t="shared" si="125"/>
        <v/>
      </c>
      <c r="I184" s="272" t="str">
        <f t="shared" si="148"/>
        <v/>
      </c>
      <c r="J184" s="272" t="str">
        <f t="shared" si="149"/>
        <v/>
      </c>
      <c r="K184" s="269" t="str">
        <f t="shared" si="126"/>
        <v/>
      </c>
      <c r="L184" s="272" t="str">
        <f t="shared" si="127"/>
        <v/>
      </c>
      <c r="M184" s="272" t="str">
        <f t="shared" si="150"/>
        <v/>
      </c>
      <c r="N184" s="269" t="str">
        <f t="shared" si="151"/>
        <v/>
      </c>
      <c r="O184" s="272" t="str">
        <f t="shared" si="152"/>
        <v/>
      </c>
      <c r="P184" s="272" t="str">
        <f t="shared" si="153"/>
        <v/>
      </c>
      <c r="Q184" s="269" t="str">
        <f t="shared" si="154"/>
        <v/>
      </c>
      <c r="R184" s="272" t="str">
        <f t="shared" si="155"/>
        <v/>
      </c>
      <c r="S184" s="272" t="str">
        <f t="shared" si="156"/>
        <v/>
      </c>
      <c r="T184" s="269" t="str">
        <f t="shared" si="157"/>
        <v/>
      </c>
      <c r="U184" s="230"/>
      <c r="V184" s="230"/>
      <c r="AB184" s="230" t="e">
        <f>VLOOKUP($B$6,Lookup_Source,177,0)</f>
        <v>#N/A</v>
      </c>
      <c r="AC184" s="254" t="str">
        <f t="shared" si="158"/>
        <v/>
      </c>
      <c r="AD184" s="255">
        <f t="shared" si="159"/>
        <v>7</v>
      </c>
      <c r="AE184" s="274" t="e">
        <f t="shared" si="128"/>
        <v>#N/A</v>
      </c>
      <c r="AF184" s="277" t="e">
        <f t="shared" si="160"/>
        <v>#N/A</v>
      </c>
      <c r="AG184" s="277" t="e">
        <f t="shared" si="161"/>
        <v>#N/A</v>
      </c>
      <c r="AH184" s="276" t="e">
        <f t="shared" si="129"/>
        <v>#N/A</v>
      </c>
      <c r="AI184" s="239">
        <f t="shared" si="162"/>
        <v>7</v>
      </c>
      <c r="AJ184" s="277" t="e">
        <f t="shared" si="130"/>
        <v>#N/A</v>
      </c>
      <c r="AK184" s="277" t="e">
        <f t="shared" si="163"/>
        <v>#N/A</v>
      </c>
      <c r="AL184" s="239" t="e">
        <f t="shared" si="131"/>
        <v>#N/A</v>
      </c>
      <c r="AM184" s="278" t="e">
        <f t="shared" si="164"/>
        <v>#N/A</v>
      </c>
      <c r="AN184" s="279" t="e">
        <f t="shared" si="132"/>
        <v>#N/A</v>
      </c>
      <c r="AO184" s="240" t="e">
        <f t="shared" si="133"/>
        <v>#N/A</v>
      </c>
      <c r="AP184" s="297">
        <f t="shared" si="165"/>
        <v>7</v>
      </c>
      <c r="AQ184" s="298" t="e">
        <f t="shared" si="134"/>
        <v>#N/A</v>
      </c>
      <c r="AR184" s="279" t="e">
        <f t="shared" si="166"/>
        <v>#N/A</v>
      </c>
      <c r="AS184" s="283" t="e">
        <f t="shared" si="135"/>
        <v>#N/A</v>
      </c>
      <c r="AT184" s="284">
        <f t="shared" si="167"/>
        <v>7</v>
      </c>
      <c r="AU184" s="285" t="e">
        <f t="shared" si="168"/>
        <v>#N/A</v>
      </c>
      <c r="AV184" s="286" t="e">
        <f t="shared" si="169"/>
        <v>#N/A</v>
      </c>
      <c r="AW184" s="287" t="e">
        <f t="shared" si="136"/>
        <v>#N/A</v>
      </c>
      <c r="AX184" s="245">
        <f t="shared" si="170"/>
        <v>7</v>
      </c>
      <c r="AY184" s="286" t="e">
        <f t="shared" si="137"/>
        <v>#N/A</v>
      </c>
      <c r="AZ184" s="245" t="e">
        <f t="shared" si="171"/>
        <v>#N/A</v>
      </c>
      <c r="BA184" s="245" t="e">
        <f t="shared" si="138"/>
        <v>#N/A</v>
      </c>
      <c r="BB184" s="288">
        <f t="shared" si="172"/>
        <v>7</v>
      </c>
      <c r="BC184" s="289" t="e">
        <f t="shared" si="173"/>
        <v>#N/A</v>
      </c>
      <c r="BD184" s="290" t="e">
        <f t="shared" si="174"/>
        <v>#N/A</v>
      </c>
      <c r="BE184" s="263" t="e">
        <f t="shared" si="139"/>
        <v>#N/A</v>
      </c>
      <c r="BF184" s="260">
        <f t="shared" si="175"/>
        <v>7</v>
      </c>
      <c r="BG184" s="289" t="e">
        <f t="shared" si="176"/>
        <v>#N/A</v>
      </c>
      <c r="BH184" s="290" t="e">
        <f t="shared" si="177"/>
        <v>#N/A</v>
      </c>
      <c r="BI184" s="263" t="e">
        <f t="shared" si="140"/>
        <v>#N/A</v>
      </c>
      <c r="BJ184" s="264">
        <f t="shared" si="178"/>
        <v>7</v>
      </c>
      <c r="BK184" s="291" t="e">
        <f t="shared" si="179"/>
        <v>#N/A</v>
      </c>
      <c r="BL184" s="291" t="e">
        <f t="shared" si="180"/>
        <v>#N/A</v>
      </c>
      <c r="BM184" s="292" t="e">
        <f t="shared" si="141"/>
        <v>#N/A</v>
      </c>
      <c r="BN184" s="293">
        <f t="shared" si="181"/>
        <v>7</v>
      </c>
      <c r="BO184" s="294" t="e">
        <f t="shared" si="182"/>
        <v>#N/A</v>
      </c>
      <c r="BP184" s="294" t="e">
        <f t="shared" si="183"/>
        <v>#N/A</v>
      </c>
      <c r="BQ184" s="292" t="e">
        <f t="shared" si="142"/>
        <v>#N/A</v>
      </c>
      <c r="BR184" s="295" t="e">
        <f t="shared" si="143"/>
        <v>#N/A</v>
      </c>
      <c r="BS184" s="230" t="e">
        <f>VLOOKUP($B184,SDR22_STOCK_BY_LA!$A$2:$C$11679,3,0)</f>
        <v>#N/A</v>
      </c>
      <c r="BT184" s="230" t="str">
        <f t="shared" si="184"/>
        <v/>
      </c>
    </row>
    <row r="185" spans="1:72" ht="12.5" x14ac:dyDescent="0.25">
      <c r="A185" s="269" t="str">
        <f t="shared" si="185"/>
        <v/>
      </c>
      <c r="B185" s="230" t="str">
        <f t="shared" si="186"/>
        <v/>
      </c>
      <c r="C185" s="270" t="str">
        <f t="shared" si="144"/>
        <v/>
      </c>
      <c r="D185" s="269" t="str">
        <f>IF(B185="","",IF(totals!$Q$3=0,IFERROR(IF(AD185=2,"0",AE185),""),"-"))</f>
        <v/>
      </c>
      <c r="E185" s="271" t="str">
        <f t="shared" si="145"/>
        <v/>
      </c>
      <c r="F185" s="272" t="str">
        <f t="shared" si="146"/>
        <v/>
      </c>
      <c r="G185" s="272" t="str">
        <f t="shared" si="147"/>
        <v/>
      </c>
      <c r="H185" s="269" t="str">
        <f t="shared" si="125"/>
        <v/>
      </c>
      <c r="I185" s="272" t="str">
        <f t="shared" si="148"/>
        <v/>
      </c>
      <c r="J185" s="272" t="str">
        <f t="shared" si="149"/>
        <v/>
      </c>
      <c r="K185" s="269" t="str">
        <f t="shared" si="126"/>
        <v/>
      </c>
      <c r="L185" s="272" t="str">
        <f t="shared" si="127"/>
        <v/>
      </c>
      <c r="M185" s="272" t="str">
        <f t="shared" si="150"/>
        <v/>
      </c>
      <c r="N185" s="269" t="str">
        <f t="shared" si="151"/>
        <v/>
      </c>
      <c r="O185" s="272" t="str">
        <f t="shared" si="152"/>
        <v/>
      </c>
      <c r="P185" s="272" t="str">
        <f t="shared" si="153"/>
        <v/>
      </c>
      <c r="Q185" s="269" t="str">
        <f t="shared" si="154"/>
        <v/>
      </c>
      <c r="R185" s="272" t="str">
        <f t="shared" si="155"/>
        <v/>
      </c>
      <c r="S185" s="272" t="str">
        <f t="shared" si="156"/>
        <v/>
      </c>
      <c r="T185" s="269" t="str">
        <f t="shared" si="157"/>
        <v/>
      </c>
      <c r="U185" s="230"/>
      <c r="V185" s="230"/>
      <c r="AB185" s="270" t="e">
        <f>VLOOKUP($B$6,Lookup_Source,178,0)</f>
        <v>#N/A</v>
      </c>
      <c r="AC185" s="254" t="str">
        <f t="shared" si="158"/>
        <v/>
      </c>
      <c r="AD185" s="255">
        <f t="shared" si="159"/>
        <v>7</v>
      </c>
      <c r="AE185" s="274" t="e">
        <f t="shared" si="128"/>
        <v>#N/A</v>
      </c>
      <c r="AF185" s="277" t="e">
        <f t="shared" si="160"/>
        <v>#N/A</v>
      </c>
      <c r="AG185" s="277" t="e">
        <f t="shared" si="161"/>
        <v>#N/A</v>
      </c>
      <c r="AH185" s="276" t="e">
        <f t="shared" si="129"/>
        <v>#N/A</v>
      </c>
      <c r="AI185" s="239">
        <f t="shared" si="162"/>
        <v>7</v>
      </c>
      <c r="AJ185" s="277" t="e">
        <f t="shared" si="130"/>
        <v>#N/A</v>
      </c>
      <c r="AK185" s="277" t="e">
        <f t="shared" si="163"/>
        <v>#N/A</v>
      </c>
      <c r="AL185" s="239" t="e">
        <f t="shared" si="131"/>
        <v>#N/A</v>
      </c>
      <c r="AM185" s="278" t="e">
        <f t="shared" si="164"/>
        <v>#N/A</v>
      </c>
      <c r="AN185" s="279" t="e">
        <f t="shared" si="132"/>
        <v>#N/A</v>
      </c>
      <c r="AO185" s="240" t="e">
        <f t="shared" si="133"/>
        <v>#N/A</v>
      </c>
      <c r="AP185" s="297">
        <f t="shared" si="165"/>
        <v>7</v>
      </c>
      <c r="AQ185" s="298" t="e">
        <f t="shared" si="134"/>
        <v>#N/A</v>
      </c>
      <c r="AR185" s="279" t="e">
        <f t="shared" si="166"/>
        <v>#N/A</v>
      </c>
      <c r="AS185" s="283" t="e">
        <f t="shared" si="135"/>
        <v>#N/A</v>
      </c>
      <c r="AT185" s="284">
        <f t="shared" si="167"/>
        <v>7</v>
      </c>
      <c r="AU185" s="285" t="e">
        <f t="shared" si="168"/>
        <v>#N/A</v>
      </c>
      <c r="AV185" s="286" t="e">
        <f t="shared" si="169"/>
        <v>#N/A</v>
      </c>
      <c r="AW185" s="287" t="e">
        <f t="shared" si="136"/>
        <v>#N/A</v>
      </c>
      <c r="AX185" s="245">
        <f t="shared" si="170"/>
        <v>7</v>
      </c>
      <c r="AY185" s="286" t="e">
        <f t="shared" si="137"/>
        <v>#N/A</v>
      </c>
      <c r="AZ185" s="245" t="e">
        <f t="shared" si="171"/>
        <v>#N/A</v>
      </c>
      <c r="BA185" s="245" t="e">
        <f t="shared" si="138"/>
        <v>#N/A</v>
      </c>
      <c r="BB185" s="288">
        <f t="shared" si="172"/>
        <v>7</v>
      </c>
      <c r="BC185" s="289" t="e">
        <f t="shared" si="173"/>
        <v>#N/A</v>
      </c>
      <c r="BD185" s="290" t="e">
        <f t="shared" si="174"/>
        <v>#N/A</v>
      </c>
      <c r="BE185" s="263" t="e">
        <f t="shared" si="139"/>
        <v>#N/A</v>
      </c>
      <c r="BF185" s="260">
        <f t="shared" si="175"/>
        <v>7</v>
      </c>
      <c r="BG185" s="289" t="e">
        <f t="shared" si="176"/>
        <v>#N/A</v>
      </c>
      <c r="BH185" s="290" t="e">
        <f t="shared" si="177"/>
        <v>#N/A</v>
      </c>
      <c r="BI185" s="263" t="e">
        <f t="shared" si="140"/>
        <v>#N/A</v>
      </c>
      <c r="BJ185" s="264">
        <f t="shared" si="178"/>
        <v>7</v>
      </c>
      <c r="BK185" s="291" t="e">
        <f t="shared" si="179"/>
        <v>#N/A</v>
      </c>
      <c r="BL185" s="291" t="e">
        <f t="shared" si="180"/>
        <v>#N/A</v>
      </c>
      <c r="BM185" s="292" t="e">
        <f t="shared" si="141"/>
        <v>#N/A</v>
      </c>
      <c r="BN185" s="293">
        <f t="shared" si="181"/>
        <v>7</v>
      </c>
      <c r="BO185" s="294" t="e">
        <f t="shared" si="182"/>
        <v>#N/A</v>
      </c>
      <c r="BP185" s="294" t="e">
        <f t="shared" si="183"/>
        <v>#N/A</v>
      </c>
      <c r="BQ185" s="292" t="e">
        <f t="shared" si="142"/>
        <v>#N/A</v>
      </c>
      <c r="BR185" s="295" t="e">
        <f t="shared" si="143"/>
        <v>#N/A</v>
      </c>
      <c r="BS185" s="230" t="e">
        <f>VLOOKUP($B185,SDR22_STOCK_BY_LA!$A$2:$C$11679,3,0)</f>
        <v>#N/A</v>
      </c>
      <c r="BT185" s="230" t="str">
        <f t="shared" si="184"/>
        <v/>
      </c>
    </row>
    <row r="186" spans="1:72" ht="12.5" x14ac:dyDescent="0.25">
      <c r="A186" s="230" t="str">
        <f t="shared" si="185"/>
        <v/>
      </c>
      <c r="B186" s="230" t="str">
        <f t="shared" si="186"/>
        <v/>
      </c>
      <c r="C186" s="296" t="str">
        <f t="shared" si="144"/>
        <v/>
      </c>
      <c r="D186" s="269" t="str">
        <f>IF(B186="","",IF(totals!$Q$3=0,IFERROR(IF(AD186=2,"0",AE186),""),"-"))</f>
        <v/>
      </c>
      <c r="E186" s="271" t="str">
        <f t="shared" si="145"/>
        <v/>
      </c>
      <c r="F186" s="272" t="str">
        <f t="shared" si="146"/>
        <v/>
      </c>
      <c r="G186" s="272" t="str">
        <f t="shared" si="147"/>
        <v/>
      </c>
      <c r="H186" s="269" t="str">
        <f t="shared" si="125"/>
        <v/>
      </c>
      <c r="I186" s="272" t="str">
        <f t="shared" si="148"/>
        <v/>
      </c>
      <c r="J186" s="272" t="str">
        <f t="shared" si="149"/>
        <v/>
      </c>
      <c r="K186" s="269" t="str">
        <f t="shared" si="126"/>
        <v/>
      </c>
      <c r="L186" s="272" t="str">
        <f t="shared" si="127"/>
        <v/>
      </c>
      <c r="M186" s="272" t="str">
        <f t="shared" si="150"/>
        <v/>
      </c>
      <c r="N186" s="269" t="str">
        <f t="shared" si="151"/>
        <v/>
      </c>
      <c r="O186" s="272" t="str">
        <f t="shared" si="152"/>
        <v/>
      </c>
      <c r="P186" s="272" t="str">
        <f t="shared" si="153"/>
        <v/>
      </c>
      <c r="Q186" s="269" t="str">
        <f t="shared" si="154"/>
        <v/>
      </c>
      <c r="R186" s="272" t="str">
        <f t="shared" si="155"/>
        <v/>
      </c>
      <c r="S186" s="272" t="str">
        <f t="shared" si="156"/>
        <v/>
      </c>
      <c r="T186" s="269" t="str">
        <f t="shared" si="157"/>
        <v/>
      </c>
      <c r="U186" s="230"/>
      <c r="V186" s="230"/>
      <c r="AB186" s="230" t="e">
        <f>VLOOKUP($B$6,Lookup_Source,179,0)</f>
        <v>#N/A</v>
      </c>
      <c r="AC186" s="254" t="str">
        <f t="shared" si="158"/>
        <v/>
      </c>
      <c r="AD186" s="255">
        <f t="shared" si="159"/>
        <v>7</v>
      </c>
      <c r="AE186" s="274" t="e">
        <f t="shared" si="128"/>
        <v>#N/A</v>
      </c>
      <c r="AF186" s="277" t="e">
        <f t="shared" si="160"/>
        <v>#N/A</v>
      </c>
      <c r="AG186" s="277" t="e">
        <f t="shared" si="161"/>
        <v>#N/A</v>
      </c>
      <c r="AH186" s="276" t="e">
        <f t="shared" si="129"/>
        <v>#N/A</v>
      </c>
      <c r="AI186" s="239">
        <f t="shared" si="162"/>
        <v>7</v>
      </c>
      <c r="AJ186" s="277" t="e">
        <f t="shared" si="130"/>
        <v>#N/A</v>
      </c>
      <c r="AK186" s="277" t="e">
        <f t="shared" si="163"/>
        <v>#N/A</v>
      </c>
      <c r="AL186" s="239" t="e">
        <f t="shared" si="131"/>
        <v>#N/A</v>
      </c>
      <c r="AM186" s="278" t="e">
        <f t="shared" si="164"/>
        <v>#N/A</v>
      </c>
      <c r="AN186" s="279" t="e">
        <f t="shared" si="132"/>
        <v>#N/A</v>
      </c>
      <c r="AO186" s="240" t="e">
        <f t="shared" si="133"/>
        <v>#N/A</v>
      </c>
      <c r="AP186" s="297">
        <f t="shared" si="165"/>
        <v>7</v>
      </c>
      <c r="AQ186" s="298" t="e">
        <f t="shared" si="134"/>
        <v>#N/A</v>
      </c>
      <c r="AR186" s="279" t="e">
        <f t="shared" si="166"/>
        <v>#N/A</v>
      </c>
      <c r="AS186" s="283" t="e">
        <f t="shared" si="135"/>
        <v>#N/A</v>
      </c>
      <c r="AT186" s="284">
        <f t="shared" si="167"/>
        <v>7</v>
      </c>
      <c r="AU186" s="285" t="e">
        <f t="shared" si="168"/>
        <v>#N/A</v>
      </c>
      <c r="AV186" s="286" t="e">
        <f t="shared" si="169"/>
        <v>#N/A</v>
      </c>
      <c r="AW186" s="287" t="e">
        <f t="shared" si="136"/>
        <v>#N/A</v>
      </c>
      <c r="AX186" s="245">
        <f t="shared" si="170"/>
        <v>7</v>
      </c>
      <c r="AY186" s="286" t="e">
        <f t="shared" si="137"/>
        <v>#N/A</v>
      </c>
      <c r="AZ186" s="245" t="e">
        <f t="shared" si="171"/>
        <v>#N/A</v>
      </c>
      <c r="BA186" s="245" t="e">
        <f t="shared" si="138"/>
        <v>#N/A</v>
      </c>
      <c r="BB186" s="288">
        <f t="shared" si="172"/>
        <v>7</v>
      </c>
      <c r="BC186" s="289" t="e">
        <f t="shared" si="173"/>
        <v>#N/A</v>
      </c>
      <c r="BD186" s="290" t="e">
        <f t="shared" si="174"/>
        <v>#N/A</v>
      </c>
      <c r="BE186" s="263" t="e">
        <f t="shared" si="139"/>
        <v>#N/A</v>
      </c>
      <c r="BF186" s="260">
        <f t="shared" si="175"/>
        <v>7</v>
      </c>
      <c r="BG186" s="289" t="e">
        <f t="shared" si="176"/>
        <v>#N/A</v>
      </c>
      <c r="BH186" s="290" t="e">
        <f t="shared" si="177"/>
        <v>#N/A</v>
      </c>
      <c r="BI186" s="263" t="e">
        <f t="shared" si="140"/>
        <v>#N/A</v>
      </c>
      <c r="BJ186" s="264">
        <f t="shared" si="178"/>
        <v>7</v>
      </c>
      <c r="BK186" s="291" t="e">
        <f t="shared" si="179"/>
        <v>#N/A</v>
      </c>
      <c r="BL186" s="291" t="e">
        <f t="shared" si="180"/>
        <v>#N/A</v>
      </c>
      <c r="BM186" s="292" t="e">
        <f t="shared" si="141"/>
        <v>#N/A</v>
      </c>
      <c r="BN186" s="293">
        <f t="shared" si="181"/>
        <v>7</v>
      </c>
      <c r="BO186" s="294" t="e">
        <f t="shared" si="182"/>
        <v>#N/A</v>
      </c>
      <c r="BP186" s="294" t="e">
        <f t="shared" si="183"/>
        <v>#N/A</v>
      </c>
      <c r="BQ186" s="292" t="e">
        <f t="shared" si="142"/>
        <v>#N/A</v>
      </c>
      <c r="BR186" s="295" t="e">
        <f t="shared" si="143"/>
        <v>#N/A</v>
      </c>
      <c r="BS186" s="230" t="e">
        <f>VLOOKUP($B186,SDR22_STOCK_BY_LA!$A$2:$C$11679,3,0)</f>
        <v>#N/A</v>
      </c>
      <c r="BT186" s="230" t="str">
        <f t="shared" si="184"/>
        <v/>
      </c>
    </row>
    <row r="187" spans="1:72" ht="12.5" x14ac:dyDescent="0.25">
      <c r="A187" s="269" t="str">
        <f t="shared" si="185"/>
        <v/>
      </c>
      <c r="B187" s="230" t="str">
        <f t="shared" si="186"/>
        <v/>
      </c>
      <c r="C187" s="270" t="str">
        <f t="shared" si="144"/>
        <v/>
      </c>
      <c r="D187" s="269" t="str">
        <f>IF(B187="","",IF(totals!$Q$3=0,IFERROR(IF(AD187=2,"0",AE187),""),"-"))</f>
        <v/>
      </c>
      <c r="E187" s="271" t="str">
        <f t="shared" si="145"/>
        <v/>
      </c>
      <c r="F187" s="272" t="str">
        <f t="shared" si="146"/>
        <v/>
      </c>
      <c r="G187" s="272" t="str">
        <f t="shared" si="147"/>
        <v/>
      </c>
      <c r="H187" s="269" t="str">
        <f t="shared" si="125"/>
        <v/>
      </c>
      <c r="I187" s="272" t="str">
        <f t="shared" si="148"/>
        <v/>
      </c>
      <c r="J187" s="272" t="str">
        <f t="shared" si="149"/>
        <v/>
      </c>
      <c r="K187" s="269" t="str">
        <f t="shared" si="126"/>
        <v/>
      </c>
      <c r="L187" s="272" t="str">
        <f t="shared" si="127"/>
        <v/>
      </c>
      <c r="M187" s="272" t="str">
        <f t="shared" si="150"/>
        <v/>
      </c>
      <c r="N187" s="269" t="str">
        <f t="shared" si="151"/>
        <v/>
      </c>
      <c r="O187" s="272" t="str">
        <f t="shared" si="152"/>
        <v/>
      </c>
      <c r="P187" s="272" t="str">
        <f t="shared" si="153"/>
        <v/>
      </c>
      <c r="Q187" s="269" t="str">
        <f t="shared" si="154"/>
        <v/>
      </c>
      <c r="R187" s="272" t="str">
        <f t="shared" si="155"/>
        <v/>
      </c>
      <c r="S187" s="272" t="str">
        <f t="shared" si="156"/>
        <v/>
      </c>
      <c r="T187" s="269" t="str">
        <f t="shared" si="157"/>
        <v/>
      </c>
      <c r="U187" s="230"/>
      <c r="V187" s="230"/>
      <c r="AB187" s="270" t="e">
        <f>VLOOKUP($B$6,Lookup_Source,180,0)</f>
        <v>#N/A</v>
      </c>
      <c r="AC187" s="254" t="str">
        <f t="shared" si="158"/>
        <v/>
      </c>
      <c r="AD187" s="255">
        <f t="shared" si="159"/>
        <v>7</v>
      </c>
      <c r="AE187" s="274" t="e">
        <f t="shared" si="128"/>
        <v>#N/A</v>
      </c>
      <c r="AF187" s="277" t="e">
        <f t="shared" si="160"/>
        <v>#N/A</v>
      </c>
      <c r="AG187" s="277" t="e">
        <f t="shared" si="161"/>
        <v>#N/A</v>
      </c>
      <c r="AH187" s="276" t="e">
        <f t="shared" si="129"/>
        <v>#N/A</v>
      </c>
      <c r="AI187" s="239">
        <f t="shared" si="162"/>
        <v>7</v>
      </c>
      <c r="AJ187" s="277" t="e">
        <f t="shared" si="130"/>
        <v>#N/A</v>
      </c>
      <c r="AK187" s="277" t="e">
        <f t="shared" si="163"/>
        <v>#N/A</v>
      </c>
      <c r="AL187" s="239" t="e">
        <f t="shared" si="131"/>
        <v>#N/A</v>
      </c>
      <c r="AM187" s="278" t="e">
        <f t="shared" si="164"/>
        <v>#N/A</v>
      </c>
      <c r="AN187" s="279" t="e">
        <f t="shared" si="132"/>
        <v>#N/A</v>
      </c>
      <c r="AO187" s="240" t="e">
        <f t="shared" si="133"/>
        <v>#N/A</v>
      </c>
      <c r="AP187" s="297">
        <f t="shared" si="165"/>
        <v>7</v>
      </c>
      <c r="AQ187" s="298" t="e">
        <f t="shared" si="134"/>
        <v>#N/A</v>
      </c>
      <c r="AR187" s="279" t="e">
        <f t="shared" si="166"/>
        <v>#N/A</v>
      </c>
      <c r="AS187" s="283" t="e">
        <f t="shared" si="135"/>
        <v>#N/A</v>
      </c>
      <c r="AT187" s="284">
        <f t="shared" si="167"/>
        <v>7</v>
      </c>
      <c r="AU187" s="285" t="e">
        <f t="shared" si="168"/>
        <v>#N/A</v>
      </c>
      <c r="AV187" s="286" t="e">
        <f t="shared" si="169"/>
        <v>#N/A</v>
      </c>
      <c r="AW187" s="287" t="e">
        <f t="shared" si="136"/>
        <v>#N/A</v>
      </c>
      <c r="AX187" s="245">
        <f t="shared" si="170"/>
        <v>7</v>
      </c>
      <c r="AY187" s="286" t="e">
        <f t="shared" si="137"/>
        <v>#N/A</v>
      </c>
      <c r="AZ187" s="245" t="e">
        <f t="shared" si="171"/>
        <v>#N/A</v>
      </c>
      <c r="BA187" s="245" t="e">
        <f t="shared" si="138"/>
        <v>#N/A</v>
      </c>
      <c r="BB187" s="288">
        <f t="shared" si="172"/>
        <v>7</v>
      </c>
      <c r="BC187" s="289" t="e">
        <f t="shared" si="173"/>
        <v>#N/A</v>
      </c>
      <c r="BD187" s="290" t="e">
        <f t="shared" si="174"/>
        <v>#N/A</v>
      </c>
      <c r="BE187" s="263" t="e">
        <f t="shared" si="139"/>
        <v>#N/A</v>
      </c>
      <c r="BF187" s="260">
        <f t="shared" si="175"/>
        <v>7</v>
      </c>
      <c r="BG187" s="289" t="e">
        <f t="shared" si="176"/>
        <v>#N/A</v>
      </c>
      <c r="BH187" s="290" t="e">
        <f t="shared" si="177"/>
        <v>#N/A</v>
      </c>
      <c r="BI187" s="263" t="e">
        <f t="shared" si="140"/>
        <v>#N/A</v>
      </c>
      <c r="BJ187" s="264">
        <f t="shared" si="178"/>
        <v>7</v>
      </c>
      <c r="BK187" s="291" t="e">
        <f t="shared" si="179"/>
        <v>#N/A</v>
      </c>
      <c r="BL187" s="291" t="e">
        <f t="shared" si="180"/>
        <v>#N/A</v>
      </c>
      <c r="BM187" s="292" t="e">
        <f t="shared" si="141"/>
        <v>#N/A</v>
      </c>
      <c r="BN187" s="293">
        <f t="shared" si="181"/>
        <v>7</v>
      </c>
      <c r="BO187" s="294" t="e">
        <f t="shared" si="182"/>
        <v>#N/A</v>
      </c>
      <c r="BP187" s="294" t="e">
        <f t="shared" si="183"/>
        <v>#N/A</v>
      </c>
      <c r="BQ187" s="292" t="e">
        <f t="shared" si="142"/>
        <v>#N/A</v>
      </c>
      <c r="BR187" s="295" t="e">
        <f t="shared" si="143"/>
        <v>#N/A</v>
      </c>
      <c r="BS187" s="230" t="e">
        <f>VLOOKUP($B187,SDR22_STOCK_BY_LA!$A$2:$C$11679,3,0)</f>
        <v>#N/A</v>
      </c>
      <c r="BT187" s="230" t="str">
        <f t="shared" si="184"/>
        <v/>
      </c>
    </row>
    <row r="188" spans="1:72" ht="12.5" x14ac:dyDescent="0.25">
      <c r="A188" s="230" t="str">
        <f t="shared" si="185"/>
        <v/>
      </c>
      <c r="B188" s="230" t="str">
        <f t="shared" si="186"/>
        <v/>
      </c>
      <c r="C188" s="296" t="str">
        <f t="shared" si="144"/>
        <v/>
      </c>
      <c r="D188" s="269" t="str">
        <f>IF(B188="","",IF(totals!$Q$3=0,IFERROR(IF(AD188=2,"0",AE188),""),"-"))</f>
        <v/>
      </c>
      <c r="E188" s="271" t="str">
        <f t="shared" si="145"/>
        <v/>
      </c>
      <c r="F188" s="272" t="str">
        <f t="shared" si="146"/>
        <v/>
      </c>
      <c r="G188" s="272" t="str">
        <f t="shared" si="147"/>
        <v/>
      </c>
      <c r="H188" s="269" t="str">
        <f t="shared" si="125"/>
        <v/>
      </c>
      <c r="I188" s="272" t="str">
        <f t="shared" si="148"/>
        <v/>
      </c>
      <c r="J188" s="272" t="str">
        <f t="shared" si="149"/>
        <v/>
      </c>
      <c r="K188" s="269" t="str">
        <f t="shared" si="126"/>
        <v/>
      </c>
      <c r="L188" s="272" t="str">
        <f t="shared" si="127"/>
        <v/>
      </c>
      <c r="M188" s="272" t="str">
        <f t="shared" si="150"/>
        <v/>
      </c>
      <c r="N188" s="269" t="str">
        <f t="shared" si="151"/>
        <v/>
      </c>
      <c r="O188" s="272" t="str">
        <f t="shared" si="152"/>
        <v/>
      </c>
      <c r="P188" s="272" t="str">
        <f t="shared" si="153"/>
        <v/>
      </c>
      <c r="Q188" s="269" t="str">
        <f t="shared" si="154"/>
        <v/>
      </c>
      <c r="R188" s="272" t="str">
        <f t="shared" si="155"/>
        <v/>
      </c>
      <c r="S188" s="272" t="str">
        <f t="shared" si="156"/>
        <v/>
      </c>
      <c r="T188" s="269" t="str">
        <f t="shared" si="157"/>
        <v/>
      </c>
      <c r="U188" s="230"/>
      <c r="V188" s="230"/>
      <c r="AB188" s="230" t="e">
        <f>VLOOKUP($B$6,Lookup_Source,181,0)</f>
        <v>#N/A</v>
      </c>
      <c r="AC188" s="254" t="str">
        <f t="shared" si="158"/>
        <v/>
      </c>
      <c r="AD188" s="255">
        <f t="shared" si="159"/>
        <v>7</v>
      </c>
      <c r="AE188" s="274" t="e">
        <f t="shared" si="128"/>
        <v>#N/A</v>
      </c>
      <c r="AF188" s="277" t="e">
        <f t="shared" si="160"/>
        <v>#N/A</v>
      </c>
      <c r="AG188" s="277" t="e">
        <f t="shared" si="161"/>
        <v>#N/A</v>
      </c>
      <c r="AH188" s="276" t="e">
        <f t="shared" si="129"/>
        <v>#N/A</v>
      </c>
      <c r="AI188" s="239">
        <f t="shared" si="162"/>
        <v>7</v>
      </c>
      <c r="AJ188" s="277" t="e">
        <f t="shared" si="130"/>
        <v>#N/A</v>
      </c>
      <c r="AK188" s="277" t="e">
        <f t="shared" si="163"/>
        <v>#N/A</v>
      </c>
      <c r="AL188" s="239" t="e">
        <f t="shared" si="131"/>
        <v>#N/A</v>
      </c>
      <c r="AM188" s="278" t="e">
        <f t="shared" si="164"/>
        <v>#N/A</v>
      </c>
      <c r="AN188" s="279" t="e">
        <f t="shared" si="132"/>
        <v>#N/A</v>
      </c>
      <c r="AO188" s="240" t="e">
        <f t="shared" si="133"/>
        <v>#N/A</v>
      </c>
      <c r="AP188" s="297">
        <f t="shared" si="165"/>
        <v>7</v>
      </c>
      <c r="AQ188" s="298" t="e">
        <f t="shared" si="134"/>
        <v>#N/A</v>
      </c>
      <c r="AR188" s="279" t="e">
        <f t="shared" si="166"/>
        <v>#N/A</v>
      </c>
      <c r="AS188" s="283" t="e">
        <f t="shared" si="135"/>
        <v>#N/A</v>
      </c>
      <c r="AT188" s="284">
        <f t="shared" si="167"/>
        <v>7</v>
      </c>
      <c r="AU188" s="285" t="e">
        <f t="shared" si="168"/>
        <v>#N/A</v>
      </c>
      <c r="AV188" s="286" t="e">
        <f t="shared" si="169"/>
        <v>#N/A</v>
      </c>
      <c r="AW188" s="287" t="e">
        <f t="shared" si="136"/>
        <v>#N/A</v>
      </c>
      <c r="AX188" s="245">
        <f t="shared" si="170"/>
        <v>7</v>
      </c>
      <c r="AY188" s="286" t="e">
        <f t="shared" si="137"/>
        <v>#N/A</v>
      </c>
      <c r="AZ188" s="245" t="e">
        <f t="shared" si="171"/>
        <v>#N/A</v>
      </c>
      <c r="BA188" s="245" t="e">
        <f t="shared" si="138"/>
        <v>#N/A</v>
      </c>
      <c r="BB188" s="288">
        <f t="shared" si="172"/>
        <v>7</v>
      </c>
      <c r="BC188" s="289" t="e">
        <f t="shared" si="173"/>
        <v>#N/A</v>
      </c>
      <c r="BD188" s="290" t="e">
        <f t="shared" si="174"/>
        <v>#N/A</v>
      </c>
      <c r="BE188" s="263" t="e">
        <f t="shared" si="139"/>
        <v>#N/A</v>
      </c>
      <c r="BF188" s="260">
        <f t="shared" si="175"/>
        <v>7</v>
      </c>
      <c r="BG188" s="289" t="e">
        <f t="shared" si="176"/>
        <v>#N/A</v>
      </c>
      <c r="BH188" s="290" t="e">
        <f t="shared" si="177"/>
        <v>#N/A</v>
      </c>
      <c r="BI188" s="263" t="e">
        <f t="shared" si="140"/>
        <v>#N/A</v>
      </c>
      <c r="BJ188" s="264">
        <f t="shared" si="178"/>
        <v>7</v>
      </c>
      <c r="BK188" s="291" t="e">
        <f t="shared" si="179"/>
        <v>#N/A</v>
      </c>
      <c r="BL188" s="291" t="e">
        <f t="shared" si="180"/>
        <v>#N/A</v>
      </c>
      <c r="BM188" s="292" t="e">
        <f t="shared" si="141"/>
        <v>#N/A</v>
      </c>
      <c r="BN188" s="293">
        <f t="shared" si="181"/>
        <v>7</v>
      </c>
      <c r="BO188" s="294" t="e">
        <f t="shared" si="182"/>
        <v>#N/A</v>
      </c>
      <c r="BP188" s="294" t="e">
        <f t="shared" si="183"/>
        <v>#N/A</v>
      </c>
      <c r="BQ188" s="292" t="e">
        <f t="shared" si="142"/>
        <v>#N/A</v>
      </c>
      <c r="BR188" s="295" t="e">
        <f t="shared" si="143"/>
        <v>#N/A</v>
      </c>
      <c r="BS188" s="230" t="e">
        <f>VLOOKUP($B188,SDR22_STOCK_BY_LA!$A$2:$C$11679,3,0)</f>
        <v>#N/A</v>
      </c>
      <c r="BT188" s="230" t="str">
        <f t="shared" si="184"/>
        <v/>
      </c>
    </row>
    <row r="189" spans="1:72" ht="12.5" x14ac:dyDescent="0.25">
      <c r="A189" s="269" t="str">
        <f t="shared" si="185"/>
        <v/>
      </c>
      <c r="B189" s="230" t="str">
        <f t="shared" si="186"/>
        <v/>
      </c>
      <c r="C189" s="270" t="str">
        <f t="shared" si="144"/>
        <v/>
      </c>
      <c r="D189" s="269" t="str">
        <f>IF(B189="","",IF(totals!$Q$3=0,IFERROR(IF(AD189=2,"0",AE189),""),"-"))</f>
        <v/>
      </c>
      <c r="E189" s="271" t="str">
        <f t="shared" si="145"/>
        <v/>
      </c>
      <c r="F189" s="272" t="str">
        <f t="shared" si="146"/>
        <v/>
      </c>
      <c r="G189" s="272" t="str">
        <f t="shared" si="147"/>
        <v/>
      </c>
      <c r="H189" s="269" t="str">
        <f t="shared" si="125"/>
        <v/>
      </c>
      <c r="I189" s="272" t="str">
        <f t="shared" si="148"/>
        <v/>
      </c>
      <c r="J189" s="272" t="str">
        <f t="shared" si="149"/>
        <v/>
      </c>
      <c r="K189" s="269" t="str">
        <f t="shared" si="126"/>
        <v/>
      </c>
      <c r="L189" s="272" t="str">
        <f t="shared" si="127"/>
        <v/>
      </c>
      <c r="M189" s="272" t="str">
        <f t="shared" si="150"/>
        <v/>
      </c>
      <c r="N189" s="269" t="str">
        <f t="shared" si="151"/>
        <v/>
      </c>
      <c r="O189" s="272" t="str">
        <f t="shared" si="152"/>
        <v/>
      </c>
      <c r="P189" s="272" t="str">
        <f t="shared" si="153"/>
        <v/>
      </c>
      <c r="Q189" s="269" t="str">
        <f t="shared" si="154"/>
        <v/>
      </c>
      <c r="R189" s="272" t="str">
        <f t="shared" si="155"/>
        <v/>
      </c>
      <c r="S189" s="272" t="str">
        <f t="shared" si="156"/>
        <v/>
      </c>
      <c r="T189" s="269" t="str">
        <f t="shared" si="157"/>
        <v/>
      </c>
      <c r="U189" s="230"/>
      <c r="V189" s="230"/>
      <c r="AB189" s="270" t="e">
        <f>VLOOKUP($B$6,Lookup_Source,182,0)</f>
        <v>#N/A</v>
      </c>
      <c r="AC189" s="254" t="str">
        <f t="shared" si="158"/>
        <v/>
      </c>
      <c r="AD189" s="255">
        <f t="shared" si="159"/>
        <v>7</v>
      </c>
      <c r="AE189" s="274" t="e">
        <f t="shared" si="128"/>
        <v>#N/A</v>
      </c>
      <c r="AF189" s="277" t="e">
        <f t="shared" si="160"/>
        <v>#N/A</v>
      </c>
      <c r="AG189" s="277" t="e">
        <f t="shared" si="161"/>
        <v>#N/A</v>
      </c>
      <c r="AH189" s="276" t="e">
        <f t="shared" si="129"/>
        <v>#N/A</v>
      </c>
      <c r="AI189" s="239">
        <f t="shared" si="162"/>
        <v>7</v>
      </c>
      <c r="AJ189" s="277" t="e">
        <f t="shared" si="130"/>
        <v>#N/A</v>
      </c>
      <c r="AK189" s="277" t="e">
        <f t="shared" si="163"/>
        <v>#N/A</v>
      </c>
      <c r="AL189" s="239" t="e">
        <f t="shared" si="131"/>
        <v>#N/A</v>
      </c>
      <c r="AM189" s="278" t="e">
        <f t="shared" si="164"/>
        <v>#N/A</v>
      </c>
      <c r="AN189" s="279" t="e">
        <f t="shared" si="132"/>
        <v>#N/A</v>
      </c>
      <c r="AO189" s="240" t="e">
        <f t="shared" si="133"/>
        <v>#N/A</v>
      </c>
      <c r="AP189" s="297">
        <f t="shared" si="165"/>
        <v>7</v>
      </c>
      <c r="AQ189" s="298" t="e">
        <f t="shared" si="134"/>
        <v>#N/A</v>
      </c>
      <c r="AR189" s="279" t="e">
        <f t="shared" si="166"/>
        <v>#N/A</v>
      </c>
      <c r="AS189" s="283" t="e">
        <f t="shared" si="135"/>
        <v>#N/A</v>
      </c>
      <c r="AT189" s="284">
        <f t="shared" si="167"/>
        <v>7</v>
      </c>
      <c r="AU189" s="285" t="e">
        <f t="shared" si="168"/>
        <v>#N/A</v>
      </c>
      <c r="AV189" s="286" t="e">
        <f t="shared" si="169"/>
        <v>#N/A</v>
      </c>
      <c r="AW189" s="287" t="e">
        <f t="shared" si="136"/>
        <v>#N/A</v>
      </c>
      <c r="AX189" s="245">
        <f t="shared" si="170"/>
        <v>7</v>
      </c>
      <c r="AY189" s="286" t="e">
        <f t="shared" si="137"/>
        <v>#N/A</v>
      </c>
      <c r="AZ189" s="245" t="e">
        <f t="shared" si="171"/>
        <v>#N/A</v>
      </c>
      <c r="BA189" s="245" t="e">
        <f t="shared" si="138"/>
        <v>#N/A</v>
      </c>
      <c r="BB189" s="288">
        <f t="shared" si="172"/>
        <v>7</v>
      </c>
      <c r="BC189" s="289" t="e">
        <f t="shared" si="173"/>
        <v>#N/A</v>
      </c>
      <c r="BD189" s="290" t="e">
        <f t="shared" si="174"/>
        <v>#N/A</v>
      </c>
      <c r="BE189" s="263" t="e">
        <f t="shared" si="139"/>
        <v>#N/A</v>
      </c>
      <c r="BF189" s="260">
        <f t="shared" si="175"/>
        <v>7</v>
      </c>
      <c r="BG189" s="289" t="e">
        <f t="shared" si="176"/>
        <v>#N/A</v>
      </c>
      <c r="BH189" s="290" t="e">
        <f t="shared" si="177"/>
        <v>#N/A</v>
      </c>
      <c r="BI189" s="263" t="e">
        <f t="shared" si="140"/>
        <v>#N/A</v>
      </c>
      <c r="BJ189" s="264">
        <f t="shared" si="178"/>
        <v>7</v>
      </c>
      <c r="BK189" s="291" t="e">
        <f t="shared" si="179"/>
        <v>#N/A</v>
      </c>
      <c r="BL189" s="291" t="e">
        <f t="shared" si="180"/>
        <v>#N/A</v>
      </c>
      <c r="BM189" s="292" t="e">
        <f t="shared" si="141"/>
        <v>#N/A</v>
      </c>
      <c r="BN189" s="293">
        <f t="shared" si="181"/>
        <v>7</v>
      </c>
      <c r="BO189" s="294" t="e">
        <f t="shared" si="182"/>
        <v>#N/A</v>
      </c>
      <c r="BP189" s="294" t="e">
        <f t="shared" si="183"/>
        <v>#N/A</v>
      </c>
      <c r="BQ189" s="292" t="e">
        <f t="shared" si="142"/>
        <v>#N/A</v>
      </c>
      <c r="BR189" s="295" t="e">
        <f t="shared" si="143"/>
        <v>#N/A</v>
      </c>
      <c r="BS189" s="230" t="e">
        <f>VLOOKUP($B189,SDR22_STOCK_BY_LA!$A$2:$C$11679,3,0)</f>
        <v>#N/A</v>
      </c>
      <c r="BT189" s="230" t="str">
        <f t="shared" si="184"/>
        <v/>
      </c>
    </row>
    <row r="190" spans="1:72" ht="12.5" x14ac:dyDescent="0.25">
      <c r="A190" s="230" t="str">
        <f t="shared" si="185"/>
        <v/>
      </c>
      <c r="B190" s="230" t="str">
        <f t="shared" si="186"/>
        <v/>
      </c>
      <c r="C190" s="296" t="str">
        <f t="shared" si="144"/>
        <v/>
      </c>
      <c r="D190" s="269" t="str">
        <f>IF(B190="","",IF(totals!$Q$3=0,IFERROR(IF(AD190=2,"0",AE190),""),"-"))</f>
        <v/>
      </c>
      <c r="E190" s="271" t="str">
        <f t="shared" si="145"/>
        <v/>
      </c>
      <c r="F190" s="272" t="str">
        <f t="shared" si="146"/>
        <v/>
      </c>
      <c r="G190" s="272" t="str">
        <f t="shared" si="147"/>
        <v/>
      </c>
      <c r="H190" s="269" t="str">
        <f t="shared" si="125"/>
        <v/>
      </c>
      <c r="I190" s="272" t="str">
        <f t="shared" si="148"/>
        <v/>
      </c>
      <c r="J190" s="272" t="str">
        <f t="shared" si="149"/>
        <v/>
      </c>
      <c r="K190" s="269" t="str">
        <f t="shared" si="126"/>
        <v/>
      </c>
      <c r="L190" s="272" t="str">
        <f t="shared" si="127"/>
        <v/>
      </c>
      <c r="M190" s="272" t="str">
        <f t="shared" si="150"/>
        <v/>
      </c>
      <c r="N190" s="269" t="str">
        <f t="shared" si="151"/>
        <v/>
      </c>
      <c r="O190" s="272" t="str">
        <f t="shared" si="152"/>
        <v/>
      </c>
      <c r="P190" s="272" t="str">
        <f t="shared" si="153"/>
        <v/>
      </c>
      <c r="Q190" s="269" t="str">
        <f t="shared" si="154"/>
        <v/>
      </c>
      <c r="R190" s="272" t="str">
        <f t="shared" si="155"/>
        <v/>
      </c>
      <c r="S190" s="272" t="str">
        <f t="shared" si="156"/>
        <v/>
      </c>
      <c r="T190" s="269" t="str">
        <f t="shared" si="157"/>
        <v/>
      </c>
      <c r="U190" s="230"/>
      <c r="V190" s="230"/>
      <c r="AB190" s="230" t="e">
        <f>VLOOKUP($B$6,Lookup_Source,183,0)</f>
        <v>#N/A</v>
      </c>
      <c r="AC190" s="254" t="str">
        <f t="shared" si="158"/>
        <v/>
      </c>
      <c r="AD190" s="255">
        <f t="shared" si="159"/>
        <v>7</v>
      </c>
      <c r="AE190" s="274" t="e">
        <f t="shared" si="128"/>
        <v>#N/A</v>
      </c>
      <c r="AF190" s="277" t="e">
        <f t="shared" si="160"/>
        <v>#N/A</v>
      </c>
      <c r="AG190" s="277" t="e">
        <f t="shared" si="161"/>
        <v>#N/A</v>
      </c>
      <c r="AH190" s="276" t="e">
        <f t="shared" si="129"/>
        <v>#N/A</v>
      </c>
      <c r="AI190" s="239">
        <f t="shared" si="162"/>
        <v>7</v>
      </c>
      <c r="AJ190" s="277" t="e">
        <f t="shared" si="130"/>
        <v>#N/A</v>
      </c>
      <c r="AK190" s="277" t="e">
        <f t="shared" si="163"/>
        <v>#N/A</v>
      </c>
      <c r="AL190" s="239" t="e">
        <f t="shared" si="131"/>
        <v>#N/A</v>
      </c>
      <c r="AM190" s="278" t="e">
        <f t="shared" si="164"/>
        <v>#N/A</v>
      </c>
      <c r="AN190" s="279" t="e">
        <f t="shared" si="132"/>
        <v>#N/A</v>
      </c>
      <c r="AO190" s="240" t="e">
        <f t="shared" si="133"/>
        <v>#N/A</v>
      </c>
      <c r="AP190" s="297">
        <f t="shared" si="165"/>
        <v>7</v>
      </c>
      <c r="AQ190" s="298" t="e">
        <f t="shared" si="134"/>
        <v>#N/A</v>
      </c>
      <c r="AR190" s="279" t="e">
        <f t="shared" si="166"/>
        <v>#N/A</v>
      </c>
      <c r="AS190" s="283" t="e">
        <f t="shared" si="135"/>
        <v>#N/A</v>
      </c>
      <c r="AT190" s="284">
        <f t="shared" si="167"/>
        <v>7</v>
      </c>
      <c r="AU190" s="285" t="e">
        <f t="shared" si="168"/>
        <v>#N/A</v>
      </c>
      <c r="AV190" s="286" t="e">
        <f t="shared" si="169"/>
        <v>#N/A</v>
      </c>
      <c r="AW190" s="287" t="e">
        <f t="shared" si="136"/>
        <v>#N/A</v>
      </c>
      <c r="AX190" s="245">
        <f t="shared" si="170"/>
        <v>7</v>
      </c>
      <c r="AY190" s="286" t="e">
        <f t="shared" si="137"/>
        <v>#N/A</v>
      </c>
      <c r="AZ190" s="245" t="e">
        <f t="shared" si="171"/>
        <v>#N/A</v>
      </c>
      <c r="BA190" s="245" t="e">
        <f t="shared" si="138"/>
        <v>#N/A</v>
      </c>
      <c r="BB190" s="288">
        <f t="shared" si="172"/>
        <v>7</v>
      </c>
      <c r="BC190" s="289" t="e">
        <f t="shared" si="173"/>
        <v>#N/A</v>
      </c>
      <c r="BD190" s="290" t="e">
        <f t="shared" si="174"/>
        <v>#N/A</v>
      </c>
      <c r="BE190" s="263" t="e">
        <f t="shared" si="139"/>
        <v>#N/A</v>
      </c>
      <c r="BF190" s="260">
        <f t="shared" si="175"/>
        <v>7</v>
      </c>
      <c r="BG190" s="289" t="e">
        <f t="shared" si="176"/>
        <v>#N/A</v>
      </c>
      <c r="BH190" s="290" t="e">
        <f t="shared" si="177"/>
        <v>#N/A</v>
      </c>
      <c r="BI190" s="263" t="e">
        <f t="shared" si="140"/>
        <v>#N/A</v>
      </c>
      <c r="BJ190" s="264">
        <f t="shared" si="178"/>
        <v>7</v>
      </c>
      <c r="BK190" s="291" t="e">
        <f t="shared" si="179"/>
        <v>#N/A</v>
      </c>
      <c r="BL190" s="291" t="e">
        <f t="shared" si="180"/>
        <v>#N/A</v>
      </c>
      <c r="BM190" s="292" t="e">
        <f t="shared" si="141"/>
        <v>#N/A</v>
      </c>
      <c r="BN190" s="293">
        <f t="shared" si="181"/>
        <v>7</v>
      </c>
      <c r="BO190" s="294" t="e">
        <f t="shared" si="182"/>
        <v>#N/A</v>
      </c>
      <c r="BP190" s="294" t="e">
        <f t="shared" si="183"/>
        <v>#N/A</v>
      </c>
      <c r="BQ190" s="292" t="e">
        <f t="shared" si="142"/>
        <v>#N/A</v>
      </c>
      <c r="BR190" s="295" t="e">
        <f t="shared" si="143"/>
        <v>#N/A</v>
      </c>
      <c r="BS190" s="230" t="e">
        <f>VLOOKUP($B190,SDR22_STOCK_BY_LA!$A$2:$C$11679,3,0)</f>
        <v>#N/A</v>
      </c>
      <c r="BT190" s="230" t="str">
        <f t="shared" si="184"/>
        <v/>
      </c>
    </row>
    <row r="191" spans="1:72" ht="12.5" x14ac:dyDescent="0.25">
      <c r="A191" s="269" t="str">
        <f t="shared" si="185"/>
        <v/>
      </c>
      <c r="B191" s="230" t="str">
        <f t="shared" si="186"/>
        <v/>
      </c>
      <c r="C191" s="270" t="str">
        <f t="shared" si="144"/>
        <v/>
      </c>
      <c r="D191" s="269" t="str">
        <f>IF(B191="","",IF(totals!$Q$3=0,IFERROR(IF(AD191=2,"0",AE191),""),"-"))</f>
        <v/>
      </c>
      <c r="E191" s="271" t="str">
        <f t="shared" si="145"/>
        <v/>
      </c>
      <c r="F191" s="272" t="str">
        <f t="shared" si="146"/>
        <v/>
      </c>
      <c r="G191" s="272" t="str">
        <f t="shared" si="147"/>
        <v/>
      </c>
      <c r="H191" s="269" t="str">
        <f t="shared" si="125"/>
        <v/>
      </c>
      <c r="I191" s="272" t="str">
        <f t="shared" si="148"/>
        <v/>
      </c>
      <c r="J191" s="272" t="str">
        <f t="shared" si="149"/>
        <v/>
      </c>
      <c r="K191" s="269" t="str">
        <f t="shared" si="126"/>
        <v/>
      </c>
      <c r="L191" s="272" t="str">
        <f t="shared" si="127"/>
        <v/>
      </c>
      <c r="M191" s="272" t="str">
        <f t="shared" si="150"/>
        <v/>
      </c>
      <c r="N191" s="269" t="str">
        <f t="shared" si="151"/>
        <v/>
      </c>
      <c r="O191" s="272" t="str">
        <f t="shared" si="152"/>
        <v/>
      </c>
      <c r="P191" s="272" t="str">
        <f t="shared" si="153"/>
        <v/>
      </c>
      <c r="Q191" s="269" t="str">
        <f t="shared" si="154"/>
        <v/>
      </c>
      <c r="R191" s="272" t="str">
        <f t="shared" si="155"/>
        <v/>
      </c>
      <c r="S191" s="272" t="str">
        <f t="shared" si="156"/>
        <v/>
      </c>
      <c r="T191" s="269" t="str">
        <f t="shared" si="157"/>
        <v/>
      </c>
      <c r="U191" s="230"/>
      <c r="V191" s="230"/>
      <c r="AB191" s="270" t="e">
        <f>VLOOKUP($B$6,Lookup_Source,184,0)</f>
        <v>#N/A</v>
      </c>
      <c r="AC191" s="254" t="str">
        <f t="shared" si="158"/>
        <v/>
      </c>
      <c r="AD191" s="255">
        <f t="shared" si="159"/>
        <v>7</v>
      </c>
      <c r="AE191" s="274" t="e">
        <f t="shared" si="128"/>
        <v>#N/A</v>
      </c>
      <c r="AF191" s="277" t="e">
        <f t="shared" si="160"/>
        <v>#N/A</v>
      </c>
      <c r="AG191" s="277" t="e">
        <f t="shared" si="161"/>
        <v>#N/A</v>
      </c>
      <c r="AH191" s="276" t="e">
        <f t="shared" si="129"/>
        <v>#N/A</v>
      </c>
      <c r="AI191" s="239">
        <f t="shared" si="162"/>
        <v>7</v>
      </c>
      <c r="AJ191" s="277" t="e">
        <f t="shared" si="130"/>
        <v>#N/A</v>
      </c>
      <c r="AK191" s="277" t="e">
        <f t="shared" si="163"/>
        <v>#N/A</v>
      </c>
      <c r="AL191" s="239" t="e">
        <f t="shared" si="131"/>
        <v>#N/A</v>
      </c>
      <c r="AM191" s="278" t="e">
        <f t="shared" si="164"/>
        <v>#N/A</v>
      </c>
      <c r="AN191" s="279" t="e">
        <f t="shared" si="132"/>
        <v>#N/A</v>
      </c>
      <c r="AO191" s="240" t="e">
        <f t="shared" si="133"/>
        <v>#N/A</v>
      </c>
      <c r="AP191" s="297">
        <f t="shared" si="165"/>
        <v>7</v>
      </c>
      <c r="AQ191" s="298" t="e">
        <f t="shared" si="134"/>
        <v>#N/A</v>
      </c>
      <c r="AR191" s="279" t="e">
        <f t="shared" si="166"/>
        <v>#N/A</v>
      </c>
      <c r="AS191" s="283" t="e">
        <f t="shared" si="135"/>
        <v>#N/A</v>
      </c>
      <c r="AT191" s="284">
        <f t="shared" si="167"/>
        <v>7</v>
      </c>
      <c r="AU191" s="285" t="e">
        <f t="shared" si="168"/>
        <v>#N/A</v>
      </c>
      <c r="AV191" s="286" t="e">
        <f t="shared" si="169"/>
        <v>#N/A</v>
      </c>
      <c r="AW191" s="287" t="e">
        <f t="shared" si="136"/>
        <v>#N/A</v>
      </c>
      <c r="AX191" s="245">
        <f t="shared" si="170"/>
        <v>7</v>
      </c>
      <c r="AY191" s="286" t="e">
        <f t="shared" si="137"/>
        <v>#N/A</v>
      </c>
      <c r="AZ191" s="245" t="e">
        <f t="shared" si="171"/>
        <v>#N/A</v>
      </c>
      <c r="BA191" s="245" t="e">
        <f t="shared" si="138"/>
        <v>#N/A</v>
      </c>
      <c r="BB191" s="288">
        <f t="shared" si="172"/>
        <v>7</v>
      </c>
      <c r="BC191" s="289" t="e">
        <f t="shared" si="173"/>
        <v>#N/A</v>
      </c>
      <c r="BD191" s="290" t="e">
        <f t="shared" si="174"/>
        <v>#N/A</v>
      </c>
      <c r="BE191" s="263" t="e">
        <f t="shared" si="139"/>
        <v>#N/A</v>
      </c>
      <c r="BF191" s="260">
        <f t="shared" si="175"/>
        <v>7</v>
      </c>
      <c r="BG191" s="289" t="e">
        <f t="shared" si="176"/>
        <v>#N/A</v>
      </c>
      <c r="BH191" s="290" t="e">
        <f t="shared" si="177"/>
        <v>#N/A</v>
      </c>
      <c r="BI191" s="263" t="e">
        <f t="shared" si="140"/>
        <v>#N/A</v>
      </c>
      <c r="BJ191" s="264">
        <f t="shared" si="178"/>
        <v>7</v>
      </c>
      <c r="BK191" s="291" t="e">
        <f t="shared" si="179"/>
        <v>#N/A</v>
      </c>
      <c r="BL191" s="291" t="e">
        <f t="shared" si="180"/>
        <v>#N/A</v>
      </c>
      <c r="BM191" s="292" t="e">
        <f t="shared" si="141"/>
        <v>#N/A</v>
      </c>
      <c r="BN191" s="293">
        <f t="shared" si="181"/>
        <v>7</v>
      </c>
      <c r="BO191" s="294" t="e">
        <f t="shared" si="182"/>
        <v>#N/A</v>
      </c>
      <c r="BP191" s="294" t="e">
        <f t="shared" si="183"/>
        <v>#N/A</v>
      </c>
      <c r="BQ191" s="292" t="e">
        <f t="shared" si="142"/>
        <v>#N/A</v>
      </c>
      <c r="BR191" s="295" t="e">
        <f t="shared" si="143"/>
        <v>#N/A</v>
      </c>
      <c r="BS191" s="230" t="e">
        <f>VLOOKUP($B191,SDR22_STOCK_BY_LA!$A$2:$C$11679,3,0)</f>
        <v>#N/A</v>
      </c>
      <c r="BT191" s="230" t="str">
        <f t="shared" si="184"/>
        <v/>
      </c>
    </row>
    <row r="192" spans="1:72" ht="12.5" x14ac:dyDescent="0.25">
      <c r="A192" s="230" t="str">
        <f t="shared" si="185"/>
        <v/>
      </c>
      <c r="B192" s="230" t="str">
        <f t="shared" si="186"/>
        <v/>
      </c>
      <c r="C192" s="296" t="str">
        <f t="shared" si="144"/>
        <v/>
      </c>
      <c r="D192" s="269" t="str">
        <f>IF(B192="","",IF(totals!$Q$3=0,IFERROR(IF(AD192=2,"0",AE192),""),"-"))</f>
        <v/>
      </c>
      <c r="E192" s="271" t="str">
        <f t="shared" si="145"/>
        <v/>
      </c>
      <c r="F192" s="272" t="str">
        <f t="shared" si="146"/>
        <v/>
      </c>
      <c r="G192" s="272" t="str">
        <f t="shared" si="147"/>
        <v/>
      </c>
      <c r="H192" s="269" t="str">
        <f t="shared" si="125"/>
        <v/>
      </c>
      <c r="I192" s="272" t="str">
        <f t="shared" si="148"/>
        <v/>
      </c>
      <c r="J192" s="272" t="str">
        <f t="shared" si="149"/>
        <v/>
      </c>
      <c r="K192" s="269" t="str">
        <f t="shared" si="126"/>
        <v/>
      </c>
      <c r="L192" s="272" t="str">
        <f t="shared" si="127"/>
        <v/>
      </c>
      <c r="M192" s="272" t="str">
        <f t="shared" si="150"/>
        <v/>
      </c>
      <c r="N192" s="269" t="str">
        <f t="shared" si="151"/>
        <v/>
      </c>
      <c r="O192" s="272" t="str">
        <f t="shared" si="152"/>
        <v/>
      </c>
      <c r="P192" s="272" t="str">
        <f t="shared" si="153"/>
        <v/>
      </c>
      <c r="Q192" s="269" t="str">
        <f t="shared" si="154"/>
        <v/>
      </c>
      <c r="R192" s="272" t="str">
        <f t="shared" si="155"/>
        <v/>
      </c>
      <c r="S192" s="272" t="str">
        <f t="shared" si="156"/>
        <v/>
      </c>
      <c r="T192" s="269" t="str">
        <f t="shared" si="157"/>
        <v/>
      </c>
      <c r="U192" s="230"/>
      <c r="V192" s="230"/>
      <c r="AB192" s="230" t="e">
        <f>VLOOKUP($B$6,Lookup_Source,185,0)</f>
        <v>#N/A</v>
      </c>
      <c r="AC192" s="254" t="str">
        <f t="shared" si="158"/>
        <v/>
      </c>
      <c r="AD192" s="255">
        <f t="shared" si="159"/>
        <v>7</v>
      </c>
      <c r="AE192" s="274" t="e">
        <f t="shared" si="128"/>
        <v>#N/A</v>
      </c>
      <c r="AF192" s="277" t="e">
        <f t="shared" si="160"/>
        <v>#N/A</v>
      </c>
      <c r="AG192" s="277" t="e">
        <f t="shared" si="161"/>
        <v>#N/A</v>
      </c>
      <c r="AH192" s="276" t="e">
        <f t="shared" si="129"/>
        <v>#N/A</v>
      </c>
      <c r="AI192" s="239">
        <f t="shared" si="162"/>
        <v>7</v>
      </c>
      <c r="AJ192" s="277" t="e">
        <f t="shared" si="130"/>
        <v>#N/A</v>
      </c>
      <c r="AK192" s="277" t="e">
        <f t="shared" si="163"/>
        <v>#N/A</v>
      </c>
      <c r="AL192" s="239" t="e">
        <f t="shared" si="131"/>
        <v>#N/A</v>
      </c>
      <c r="AM192" s="278" t="e">
        <f t="shared" si="164"/>
        <v>#N/A</v>
      </c>
      <c r="AN192" s="279" t="e">
        <f t="shared" si="132"/>
        <v>#N/A</v>
      </c>
      <c r="AO192" s="240" t="e">
        <f t="shared" si="133"/>
        <v>#N/A</v>
      </c>
      <c r="AP192" s="297">
        <f t="shared" si="165"/>
        <v>7</v>
      </c>
      <c r="AQ192" s="298" t="e">
        <f t="shared" si="134"/>
        <v>#N/A</v>
      </c>
      <c r="AR192" s="279" t="e">
        <f t="shared" si="166"/>
        <v>#N/A</v>
      </c>
      <c r="AS192" s="283" t="e">
        <f t="shared" si="135"/>
        <v>#N/A</v>
      </c>
      <c r="AT192" s="284">
        <f t="shared" si="167"/>
        <v>7</v>
      </c>
      <c r="AU192" s="285" t="e">
        <f t="shared" si="168"/>
        <v>#N/A</v>
      </c>
      <c r="AV192" s="286" t="e">
        <f t="shared" si="169"/>
        <v>#N/A</v>
      </c>
      <c r="AW192" s="287" t="e">
        <f t="shared" si="136"/>
        <v>#N/A</v>
      </c>
      <c r="AX192" s="245">
        <f t="shared" si="170"/>
        <v>7</v>
      </c>
      <c r="AY192" s="286" t="e">
        <f t="shared" si="137"/>
        <v>#N/A</v>
      </c>
      <c r="AZ192" s="245" t="e">
        <f t="shared" si="171"/>
        <v>#N/A</v>
      </c>
      <c r="BA192" s="245" t="e">
        <f t="shared" si="138"/>
        <v>#N/A</v>
      </c>
      <c r="BB192" s="288">
        <f t="shared" si="172"/>
        <v>7</v>
      </c>
      <c r="BC192" s="289" t="e">
        <f t="shared" si="173"/>
        <v>#N/A</v>
      </c>
      <c r="BD192" s="290" t="e">
        <f t="shared" si="174"/>
        <v>#N/A</v>
      </c>
      <c r="BE192" s="263" t="e">
        <f t="shared" si="139"/>
        <v>#N/A</v>
      </c>
      <c r="BF192" s="260">
        <f t="shared" si="175"/>
        <v>7</v>
      </c>
      <c r="BG192" s="289" t="e">
        <f t="shared" si="176"/>
        <v>#N/A</v>
      </c>
      <c r="BH192" s="290" t="e">
        <f t="shared" si="177"/>
        <v>#N/A</v>
      </c>
      <c r="BI192" s="263" t="e">
        <f t="shared" si="140"/>
        <v>#N/A</v>
      </c>
      <c r="BJ192" s="264">
        <f t="shared" si="178"/>
        <v>7</v>
      </c>
      <c r="BK192" s="291" t="e">
        <f t="shared" si="179"/>
        <v>#N/A</v>
      </c>
      <c r="BL192" s="291" t="e">
        <f t="shared" si="180"/>
        <v>#N/A</v>
      </c>
      <c r="BM192" s="292" t="e">
        <f t="shared" si="141"/>
        <v>#N/A</v>
      </c>
      <c r="BN192" s="293">
        <f t="shared" si="181"/>
        <v>7</v>
      </c>
      <c r="BO192" s="294" t="e">
        <f t="shared" si="182"/>
        <v>#N/A</v>
      </c>
      <c r="BP192" s="294" t="e">
        <f t="shared" si="183"/>
        <v>#N/A</v>
      </c>
      <c r="BQ192" s="292" t="e">
        <f t="shared" si="142"/>
        <v>#N/A</v>
      </c>
      <c r="BR192" s="295" t="e">
        <f t="shared" si="143"/>
        <v>#N/A</v>
      </c>
      <c r="BS192" s="230" t="e">
        <f>VLOOKUP($B192,SDR22_STOCK_BY_LA!$A$2:$C$11679,3,0)</f>
        <v>#N/A</v>
      </c>
      <c r="BT192" s="230" t="str">
        <f t="shared" si="184"/>
        <v/>
      </c>
    </row>
    <row r="193" spans="1:72" ht="12.5" x14ac:dyDescent="0.25">
      <c r="A193" s="269" t="str">
        <f t="shared" si="185"/>
        <v/>
      </c>
      <c r="B193" s="230" t="str">
        <f t="shared" si="186"/>
        <v/>
      </c>
      <c r="C193" s="270" t="str">
        <f t="shared" si="144"/>
        <v/>
      </c>
      <c r="D193" s="269" t="str">
        <f>IF(B193="","",IF(totals!$Q$3=0,IFERROR(IF(AD193=2,"0",AE193),""),"-"))</f>
        <v/>
      </c>
      <c r="E193" s="271" t="str">
        <f t="shared" si="145"/>
        <v/>
      </c>
      <c r="F193" s="272" t="str">
        <f t="shared" si="146"/>
        <v/>
      </c>
      <c r="G193" s="272" t="str">
        <f t="shared" si="147"/>
        <v/>
      </c>
      <c r="H193" s="269" t="str">
        <f t="shared" si="125"/>
        <v/>
      </c>
      <c r="I193" s="272" t="str">
        <f t="shared" si="148"/>
        <v/>
      </c>
      <c r="J193" s="272" t="str">
        <f t="shared" si="149"/>
        <v/>
      </c>
      <c r="K193" s="269" t="str">
        <f t="shared" si="126"/>
        <v/>
      </c>
      <c r="L193" s="272" t="str">
        <f t="shared" si="127"/>
        <v/>
      </c>
      <c r="M193" s="272" t="str">
        <f t="shared" si="150"/>
        <v/>
      </c>
      <c r="N193" s="269" t="str">
        <f t="shared" si="151"/>
        <v/>
      </c>
      <c r="O193" s="272" t="str">
        <f t="shared" si="152"/>
        <v/>
      </c>
      <c r="P193" s="272" t="str">
        <f t="shared" si="153"/>
        <v/>
      </c>
      <c r="Q193" s="269" t="str">
        <f t="shared" si="154"/>
        <v/>
      </c>
      <c r="R193" s="272" t="str">
        <f t="shared" si="155"/>
        <v/>
      </c>
      <c r="S193" s="272" t="str">
        <f t="shared" si="156"/>
        <v/>
      </c>
      <c r="T193" s="269" t="str">
        <f t="shared" si="157"/>
        <v/>
      </c>
      <c r="U193" s="230"/>
      <c r="V193" s="230"/>
      <c r="AB193" s="270" t="e">
        <f>VLOOKUP($B$6,Lookup_Source,186,0)</f>
        <v>#N/A</v>
      </c>
      <c r="AC193" s="254" t="str">
        <f t="shared" si="158"/>
        <v/>
      </c>
      <c r="AD193" s="255">
        <f t="shared" si="159"/>
        <v>7</v>
      </c>
      <c r="AE193" s="274" t="e">
        <f t="shared" si="128"/>
        <v>#N/A</v>
      </c>
      <c r="AF193" s="277" t="e">
        <f t="shared" si="160"/>
        <v>#N/A</v>
      </c>
      <c r="AG193" s="277" t="e">
        <f t="shared" si="161"/>
        <v>#N/A</v>
      </c>
      <c r="AH193" s="276" t="e">
        <f t="shared" si="129"/>
        <v>#N/A</v>
      </c>
      <c r="AI193" s="239">
        <f t="shared" si="162"/>
        <v>7</v>
      </c>
      <c r="AJ193" s="277" t="e">
        <f t="shared" si="130"/>
        <v>#N/A</v>
      </c>
      <c r="AK193" s="277" t="e">
        <f t="shared" si="163"/>
        <v>#N/A</v>
      </c>
      <c r="AL193" s="239" t="e">
        <f t="shared" si="131"/>
        <v>#N/A</v>
      </c>
      <c r="AM193" s="278" t="e">
        <f t="shared" si="164"/>
        <v>#N/A</v>
      </c>
      <c r="AN193" s="279" t="e">
        <f t="shared" si="132"/>
        <v>#N/A</v>
      </c>
      <c r="AO193" s="240" t="e">
        <f t="shared" si="133"/>
        <v>#N/A</v>
      </c>
      <c r="AP193" s="297">
        <f t="shared" si="165"/>
        <v>7</v>
      </c>
      <c r="AQ193" s="298" t="e">
        <f t="shared" si="134"/>
        <v>#N/A</v>
      </c>
      <c r="AR193" s="279" t="e">
        <f t="shared" si="166"/>
        <v>#N/A</v>
      </c>
      <c r="AS193" s="283" t="e">
        <f t="shared" si="135"/>
        <v>#N/A</v>
      </c>
      <c r="AT193" s="284">
        <f t="shared" si="167"/>
        <v>7</v>
      </c>
      <c r="AU193" s="285" t="e">
        <f t="shared" si="168"/>
        <v>#N/A</v>
      </c>
      <c r="AV193" s="286" t="e">
        <f t="shared" si="169"/>
        <v>#N/A</v>
      </c>
      <c r="AW193" s="287" t="e">
        <f t="shared" si="136"/>
        <v>#N/A</v>
      </c>
      <c r="AX193" s="245">
        <f t="shared" si="170"/>
        <v>7</v>
      </c>
      <c r="AY193" s="286" t="e">
        <f t="shared" si="137"/>
        <v>#N/A</v>
      </c>
      <c r="AZ193" s="245" t="e">
        <f t="shared" si="171"/>
        <v>#N/A</v>
      </c>
      <c r="BA193" s="245" t="e">
        <f t="shared" si="138"/>
        <v>#N/A</v>
      </c>
      <c r="BB193" s="288">
        <f t="shared" si="172"/>
        <v>7</v>
      </c>
      <c r="BC193" s="289" t="e">
        <f t="shared" si="173"/>
        <v>#N/A</v>
      </c>
      <c r="BD193" s="290" t="e">
        <f t="shared" si="174"/>
        <v>#N/A</v>
      </c>
      <c r="BE193" s="263" t="e">
        <f t="shared" si="139"/>
        <v>#N/A</v>
      </c>
      <c r="BF193" s="260">
        <f t="shared" si="175"/>
        <v>7</v>
      </c>
      <c r="BG193" s="289" t="e">
        <f t="shared" si="176"/>
        <v>#N/A</v>
      </c>
      <c r="BH193" s="290" t="e">
        <f t="shared" si="177"/>
        <v>#N/A</v>
      </c>
      <c r="BI193" s="263" t="e">
        <f t="shared" si="140"/>
        <v>#N/A</v>
      </c>
      <c r="BJ193" s="264">
        <f t="shared" si="178"/>
        <v>7</v>
      </c>
      <c r="BK193" s="291" t="e">
        <f t="shared" si="179"/>
        <v>#N/A</v>
      </c>
      <c r="BL193" s="291" t="e">
        <f t="shared" si="180"/>
        <v>#N/A</v>
      </c>
      <c r="BM193" s="292" t="e">
        <f t="shared" si="141"/>
        <v>#N/A</v>
      </c>
      <c r="BN193" s="293">
        <f t="shared" si="181"/>
        <v>7</v>
      </c>
      <c r="BO193" s="294" t="e">
        <f t="shared" si="182"/>
        <v>#N/A</v>
      </c>
      <c r="BP193" s="294" t="e">
        <f t="shared" si="183"/>
        <v>#N/A</v>
      </c>
      <c r="BQ193" s="292" t="e">
        <f t="shared" si="142"/>
        <v>#N/A</v>
      </c>
      <c r="BR193" s="295" t="e">
        <f t="shared" si="143"/>
        <v>#N/A</v>
      </c>
      <c r="BS193" s="230" t="e">
        <f>VLOOKUP($B193,SDR22_STOCK_BY_LA!$A$2:$C$11679,3,0)</f>
        <v>#N/A</v>
      </c>
      <c r="BT193" s="230" t="str">
        <f t="shared" si="184"/>
        <v/>
      </c>
    </row>
    <row r="194" spans="1:72" ht="12.5" x14ac:dyDescent="0.25">
      <c r="A194" s="230" t="str">
        <f t="shared" si="185"/>
        <v/>
      </c>
      <c r="B194" s="230" t="str">
        <f t="shared" si="186"/>
        <v/>
      </c>
      <c r="C194" s="296" t="str">
        <f t="shared" si="144"/>
        <v/>
      </c>
      <c r="D194" s="269" t="str">
        <f>IF(B194="","",IF(totals!$Q$3=0,IFERROR(IF(AD194=2,"0",AE194),""),"-"))</f>
        <v/>
      </c>
      <c r="E194" s="271" t="str">
        <f t="shared" si="145"/>
        <v/>
      </c>
      <c r="F194" s="272" t="str">
        <f t="shared" si="146"/>
        <v/>
      </c>
      <c r="G194" s="272" t="str">
        <f t="shared" si="147"/>
        <v/>
      </c>
      <c r="H194" s="269" t="str">
        <f t="shared" si="125"/>
        <v/>
      </c>
      <c r="I194" s="272" t="str">
        <f t="shared" si="148"/>
        <v/>
      </c>
      <c r="J194" s="272" t="str">
        <f t="shared" si="149"/>
        <v/>
      </c>
      <c r="K194" s="269" t="str">
        <f t="shared" si="126"/>
        <v/>
      </c>
      <c r="L194" s="272" t="str">
        <f t="shared" si="127"/>
        <v/>
      </c>
      <c r="M194" s="272" t="str">
        <f t="shared" si="150"/>
        <v/>
      </c>
      <c r="N194" s="269" t="str">
        <f t="shared" si="151"/>
        <v/>
      </c>
      <c r="O194" s="272" t="str">
        <f t="shared" si="152"/>
        <v/>
      </c>
      <c r="P194" s="272" t="str">
        <f t="shared" si="153"/>
        <v/>
      </c>
      <c r="Q194" s="269" t="str">
        <f t="shared" si="154"/>
        <v/>
      </c>
      <c r="R194" s="272" t="str">
        <f t="shared" si="155"/>
        <v/>
      </c>
      <c r="S194" s="272" t="str">
        <f t="shared" si="156"/>
        <v/>
      </c>
      <c r="T194" s="269" t="str">
        <f t="shared" si="157"/>
        <v/>
      </c>
      <c r="U194" s="230"/>
      <c r="V194" s="230"/>
      <c r="AB194" s="230" t="e">
        <f>VLOOKUP($B$6,Lookup_Source,187,0)</f>
        <v>#N/A</v>
      </c>
      <c r="AC194" s="254" t="str">
        <f t="shared" si="158"/>
        <v/>
      </c>
      <c r="AD194" s="255">
        <f t="shared" si="159"/>
        <v>7</v>
      </c>
      <c r="AE194" s="274" t="e">
        <f t="shared" si="128"/>
        <v>#N/A</v>
      </c>
      <c r="AF194" s="277" t="e">
        <f t="shared" si="160"/>
        <v>#N/A</v>
      </c>
      <c r="AG194" s="277" t="e">
        <f t="shared" si="161"/>
        <v>#N/A</v>
      </c>
      <c r="AH194" s="276" t="e">
        <f t="shared" si="129"/>
        <v>#N/A</v>
      </c>
      <c r="AI194" s="239">
        <f t="shared" si="162"/>
        <v>7</v>
      </c>
      <c r="AJ194" s="277" t="e">
        <f t="shared" si="130"/>
        <v>#N/A</v>
      </c>
      <c r="AK194" s="277" t="e">
        <f t="shared" si="163"/>
        <v>#N/A</v>
      </c>
      <c r="AL194" s="239" t="e">
        <f t="shared" si="131"/>
        <v>#N/A</v>
      </c>
      <c r="AM194" s="278" t="e">
        <f t="shared" si="164"/>
        <v>#N/A</v>
      </c>
      <c r="AN194" s="279" t="e">
        <f t="shared" si="132"/>
        <v>#N/A</v>
      </c>
      <c r="AO194" s="240" t="e">
        <f t="shared" si="133"/>
        <v>#N/A</v>
      </c>
      <c r="AP194" s="297">
        <f t="shared" si="165"/>
        <v>7</v>
      </c>
      <c r="AQ194" s="298" t="e">
        <f t="shared" si="134"/>
        <v>#N/A</v>
      </c>
      <c r="AR194" s="279" t="e">
        <f t="shared" si="166"/>
        <v>#N/A</v>
      </c>
      <c r="AS194" s="283" t="e">
        <f t="shared" si="135"/>
        <v>#N/A</v>
      </c>
      <c r="AT194" s="284">
        <f t="shared" si="167"/>
        <v>7</v>
      </c>
      <c r="AU194" s="285" t="e">
        <f t="shared" si="168"/>
        <v>#N/A</v>
      </c>
      <c r="AV194" s="286" t="e">
        <f t="shared" si="169"/>
        <v>#N/A</v>
      </c>
      <c r="AW194" s="287" t="e">
        <f t="shared" si="136"/>
        <v>#N/A</v>
      </c>
      <c r="AX194" s="245">
        <f t="shared" si="170"/>
        <v>7</v>
      </c>
      <c r="AY194" s="286" t="e">
        <f t="shared" si="137"/>
        <v>#N/A</v>
      </c>
      <c r="AZ194" s="245" t="e">
        <f t="shared" si="171"/>
        <v>#N/A</v>
      </c>
      <c r="BA194" s="245" t="e">
        <f t="shared" si="138"/>
        <v>#N/A</v>
      </c>
      <c r="BB194" s="288">
        <f t="shared" si="172"/>
        <v>7</v>
      </c>
      <c r="BC194" s="289" t="e">
        <f t="shared" si="173"/>
        <v>#N/A</v>
      </c>
      <c r="BD194" s="290" t="e">
        <f t="shared" si="174"/>
        <v>#N/A</v>
      </c>
      <c r="BE194" s="263" t="e">
        <f t="shared" si="139"/>
        <v>#N/A</v>
      </c>
      <c r="BF194" s="260">
        <f t="shared" si="175"/>
        <v>7</v>
      </c>
      <c r="BG194" s="289" t="e">
        <f t="shared" si="176"/>
        <v>#N/A</v>
      </c>
      <c r="BH194" s="290" t="e">
        <f t="shared" si="177"/>
        <v>#N/A</v>
      </c>
      <c r="BI194" s="263" t="e">
        <f t="shared" si="140"/>
        <v>#N/A</v>
      </c>
      <c r="BJ194" s="264">
        <f t="shared" si="178"/>
        <v>7</v>
      </c>
      <c r="BK194" s="291" t="e">
        <f t="shared" si="179"/>
        <v>#N/A</v>
      </c>
      <c r="BL194" s="291" t="e">
        <f t="shared" si="180"/>
        <v>#N/A</v>
      </c>
      <c r="BM194" s="292" t="e">
        <f t="shared" si="141"/>
        <v>#N/A</v>
      </c>
      <c r="BN194" s="293">
        <f t="shared" si="181"/>
        <v>7</v>
      </c>
      <c r="BO194" s="294" t="e">
        <f t="shared" si="182"/>
        <v>#N/A</v>
      </c>
      <c r="BP194" s="294" t="e">
        <f t="shared" si="183"/>
        <v>#N/A</v>
      </c>
      <c r="BQ194" s="292" t="e">
        <f t="shared" si="142"/>
        <v>#N/A</v>
      </c>
      <c r="BR194" s="295" t="e">
        <f t="shared" si="143"/>
        <v>#N/A</v>
      </c>
      <c r="BS194" s="230" t="e">
        <f>VLOOKUP($B194,SDR22_STOCK_BY_LA!$A$2:$C$11679,3,0)</f>
        <v>#N/A</v>
      </c>
      <c r="BT194" s="230" t="str">
        <f t="shared" si="184"/>
        <v/>
      </c>
    </row>
    <row r="195" spans="1:72" ht="12.5" x14ac:dyDescent="0.25">
      <c r="A195" s="269" t="str">
        <f t="shared" si="185"/>
        <v/>
      </c>
      <c r="B195" s="230" t="str">
        <f t="shared" si="186"/>
        <v/>
      </c>
      <c r="C195" s="270" t="str">
        <f t="shared" si="144"/>
        <v/>
      </c>
      <c r="D195" s="269" t="str">
        <f>IF(B195="","",IF(totals!$Q$3=0,IFERROR(IF(AD195=2,"0",AE195),""),"-"))</f>
        <v/>
      </c>
      <c r="E195" s="271" t="str">
        <f t="shared" si="145"/>
        <v/>
      </c>
      <c r="F195" s="272" t="str">
        <f t="shared" si="146"/>
        <v/>
      </c>
      <c r="G195" s="272" t="str">
        <f t="shared" si="147"/>
        <v/>
      </c>
      <c r="H195" s="269" t="str">
        <f t="shared" si="125"/>
        <v/>
      </c>
      <c r="I195" s="272" t="str">
        <f t="shared" si="148"/>
        <v/>
      </c>
      <c r="J195" s="272" t="str">
        <f t="shared" si="149"/>
        <v/>
      </c>
      <c r="K195" s="269" t="str">
        <f t="shared" si="126"/>
        <v/>
      </c>
      <c r="L195" s="272" t="str">
        <f t="shared" si="127"/>
        <v/>
      </c>
      <c r="M195" s="272" t="str">
        <f t="shared" si="150"/>
        <v/>
      </c>
      <c r="N195" s="269" t="str">
        <f t="shared" si="151"/>
        <v/>
      </c>
      <c r="O195" s="272" t="str">
        <f t="shared" si="152"/>
        <v/>
      </c>
      <c r="P195" s="272" t="str">
        <f t="shared" si="153"/>
        <v/>
      </c>
      <c r="Q195" s="269" t="str">
        <f t="shared" si="154"/>
        <v/>
      </c>
      <c r="R195" s="272" t="str">
        <f t="shared" si="155"/>
        <v/>
      </c>
      <c r="S195" s="272" t="str">
        <f t="shared" si="156"/>
        <v/>
      </c>
      <c r="T195" s="269" t="str">
        <f t="shared" si="157"/>
        <v/>
      </c>
      <c r="U195" s="230"/>
      <c r="V195" s="230"/>
      <c r="AB195" s="270" t="e">
        <f>VLOOKUP($B$6,Lookup_Source,188,0)</f>
        <v>#N/A</v>
      </c>
      <c r="AC195" s="254" t="str">
        <f t="shared" si="158"/>
        <v/>
      </c>
      <c r="AD195" s="255">
        <f t="shared" si="159"/>
        <v>7</v>
      </c>
      <c r="AE195" s="274" t="e">
        <f t="shared" si="128"/>
        <v>#N/A</v>
      </c>
      <c r="AF195" s="277" t="e">
        <f t="shared" si="160"/>
        <v>#N/A</v>
      </c>
      <c r="AG195" s="277" t="e">
        <f t="shared" si="161"/>
        <v>#N/A</v>
      </c>
      <c r="AH195" s="276" t="e">
        <f t="shared" si="129"/>
        <v>#N/A</v>
      </c>
      <c r="AI195" s="239">
        <f t="shared" si="162"/>
        <v>7</v>
      </c>
      <c r="AJ195" s="277" t="e">
        <f t="shared" si="130"/>
        <v>#N/A</v>
      </c>
      <c r="AK195" s="277" t="e">
        <f t="shared" si="163"/>
        <v>#N/A</v>
      </c>
      <c r="AL195" s="239" t="e">
        <f t="shared" si="131"/>
        <v>#N/A</v>
      </c>
      <c r="AM195" s="278" t="e">
        <f t="shared" si="164"/>
        <v>#N/A</v>
      </c>
      <c r="AN195" s="279" t="e">
        <f t="shared" si="132"/>
        <v>#N/A</v>
      </c>
      <c r="AO195" s="240" t="e">
        <f t="shared" si="133"/>
        <v>#N/A</v>
      </c>
      <c r="AP195" s="297">
        <f t="shared" si="165"/>
        <v>7</v>
      </c>
      <c r="AQ195" s="298" t="e">
        <f t="shared" si="134"/>
        <v>#N/A</v>
      </c>
      <c r="AR195" s="279" t="e">
        <f t="shared" si="166"/>
        <v>#N/A</v>
      </c>
      <c r="AS195" s="283" t="e">
        <f t="shared" si="135"/>
        <v>#N/A</v>
      </c>
      <c r="AT195" s="284">
        <f t="shared" si="167"/>
        <v>7</v>
      </c>
      <c r="AU195" s="285" t="e">
        <f t="shared" si="168"/>
        <v>#N/A</v>
      </c>
      <c r="AV195" s="286" t="e">
        <f t="shared" si="169"/>
        <v>#N/A</v>
      </c>
      <c r="AW195" s="287" t="e">
        <f t="shared" si="136"/>
        <v>#N/A</v>
      </c>
      <c r="AX195" s="245">
        <f t="shared" si="170"/>
        <v>7</v>
      </c>
      <c r="AY195" s="286" t="e">
        <f t="shared" si="137"/>
        <v>#N/A</v>
      </c>
      <c r="AZ195" s="245" t="e">
        <f t="shared" si="171"/>
        <v>#N/A</v>
      </c>
      <c r="BA195" s="245" t="e">
        <f t="shared" si="138"/>
        <v>#N/A</v>
      </c>
      <c r="BB195" s="288">
        <f t="shared" si="172"/>
        <v>7</v>
      </c>
      <c r="BC195" s="289" t="e">
        <f t="shared" si="173"/>
        <v>#N/A</v>
      </c>
      <c r="BD195" s="290" t="e">
        <f t="shared" si="174"/>
        <v>#N/A</v>
      </c>
      <c r="BE195" s="263" t="e">
        <f t="shared" si="139"/>
        <v>#N/A</v>
      </c>
      <c r="BF195" s="260">
        <f t="shared" si="175"/>
        <v>7</v>
      </c>
      <c r="BG195" s="289" t="e">
        <f t="shared" si="176"/>
        <v>#N/A</v>
      </c>
      <c r="BH195" s="290" t="e">
        <f t="shared" si="177"/>
        <v>#N/A</v>
      </c>
      <c r="BI195" s="263" t="e">
        <f t="shared" si="140"/>
        <v>#N/A</v>
      </c>
      <c r="BJ195" s="264">
        <f t="shared" si="178"/>
        <v>7</v>
      </c>
      <c r="BK195" s="291" t="e">
        <f t="shared" si="179"/>
        <v>#N/A</v>
      </c>
      <c r="BL195" s="291" t="e">
        <f t="shared" si="180"/>
        <v>#N/A</v>
      </c>
      <c r="BM195" s="292" t="e">
        <f t="shared" si="141"/>
        <v>#N/A</v>
      </c>
      <c r="BN195" s="293">
        <f t="shared" si="181"/>
        <v>7</v>
      </c>
      <c r="BO195" s="294" t="e">
        <f t="shared" si="182"/>
        <v>#N/A</v>
      </c>
      <c r="BP195" s="294" t="e">
        <f t="shared" si="183"/>
        <v>#N/A</v>
      </c>
      <c r="BQ195" s="292" t="e">
        <f t="shared" si="142"/>
        <v>#N/A</v>
      </c>
      <c r="BR195" s="295" t="e">
        <f t="shared" si="143"/>
        <v>#N/A</v>
      </c>
      <c r="BS195" s="230" t="e">
        <f>VLOOKUP($B195,SDR22_STOCK_BY_LA!$A$2:$C$11679,3,0)</f>
        <v>#N/A</v>
      </c>
      <c r="BT195" s="230" t="str">
        <f t="shared" si="184"/>
        <v/>
      </c>
    </row>
    <row r="196" spans="1:72" ht="12.5" x14ac:dyDescent="0.25">
      <c r="A196" s="230" t="str">
        <f t="shared" si="185"/>
        <v/>
      </c>
      <c r="B196" s="230" t="str">
        <f t="shared" si="186"/>
        <v/>
      </c>
      <c r="C196" s="296" t="str">
        <f t="shared" si="144"/>
        <v/>
      </c>
      <c r="D196" s="269" t="str">
        <f>IF(B196="","",IF(totals!$Q$3=0,IFERROR(IF(AD196=2,"0",AE196),""),"-"))</f>
        <v/>
      </c>
      <c r="E196" s="271" t="str">
        <f t="shared" si="145"/>
        <v/>
      </c>
      <c r="F196" s="272" t="str">
        <f t="shared" si="146"/>
        <v/>
      </c>
      <c r="G196" s="272" t="str">
        <f t="shared" si="147"/>
        <v/>
      </c>
      <c r="H196" s="269" t="str">
        <f t="shared" si="125"/>
        <v/>
      </c>
      <c r="I196" s="272" t="str">
        <f t="shared" si="148"/>
        <v/>
      </c>
      <c r="J196" s="272" t="str">
        <f t="shared" si="149"/>
        <v/>
      </c>
      <c r="K196" s="269" t="str">
        <f t="shared" si="126"/>
        <v/>
      </c>
      <c r="L196" s="272" t="str">
        <f t="shared" si="127"/>
        <v/>
      </c>
      <c r="M196" s="272" t="str">
        <f t="shared" si="150"/>
        <v/>
      </c>
      <c r="N196" s="269" t="str">
        <f t="shared" si="151"/>
        <v/>
      </c>
      <c r="O196" s="272" t="str">
        <f t="shared" si="152"/>
        <v/>
      </c>
      <c r="P196" s="272" t="str">
        <f t="shared" si="153"/>
        <v/>
      </c>
      <c r="Q196" s="269" t="str">
        <f t="shared" si="154"/>
        <v/>
      </c>
      <c r="R196" s="272" t="str">
        <f t="shared" si="155"/>
        <v/>
      </c>
      <c r="S196" s="272" t="str">
        <f t="shared" si="156"/>
        <v/>
      </c>
      <c r="T196" s="269" t="str">
        <f t="shared" si="157"/>
        <v/>
      </c>
      <c r="U196" s="230"/>
      <c r="V196" s="230"/>
      <c r="AB196" s="230" t="e">
        <f>VLOOKUP($B$6,Lookup_Source,189,0)</f>
        <v>#N/A</v>
      </c>
      <c r="AC196" s="254" t="str">
        <f t="shared" si="158"/>
        <v/>
      </c>
      <c r="AD196" s="255">
        <f t="shared" si="159"/>
        <v>7</v>
      </c>
      <c r="AE196" s="274" t="e">
        <f t="shared" si="128"/>
        <v>#N/A</v>
      </c>
      <c r="AF196" s="277" t="e">
        <f t="shared" si="160"/>
        <v>#N/A</v>
      </c>
      <c r="AG196" s="277" t="e">
        <f t="shared" si="161"/>
        <v>#N/A</v>
      </c>
      <c r="AH196" s="276" t="e">
        <f t="shared" si="129"/>
        <v>#N/A</v>
      </c>
      <c r="AI196" s="239">
        <f t="shared" si="162"/>
        <v>7</v>
      </c>
      <c r="AJ196" s="277" t="e">
        <f t="shared" si="130"/>
        <v>#N/A</v>
      </c>
      <c r="AK196" s="277" t="e">
        <f t="shared" si="163"/>
        <v>#N/A</v>
      </c>
      <c r="AL196" s="239" t="e">
        <f t="shared" si="131"/>
        <v>#N/A</v>
      </c>
      <c r="AM196" s="278" t="e">
        <f t="shared" si="164"/>
        <v>#N/A</v>
      </c>
      <c r="AN196" s="279" t="e">
        <f t="shared" si="132"/>
        <v>#N/A</v>
      </c>
      <c r="AO196" s="240" t="e">
        <f t="shared" si="133"/>
        <v>#N/A</v>
      </c>
      <c r="AP196" s="297">
        <f t="shared" si="165"/>
        <v>7</v>
      </c>
      <c r="AQ196" s="298" t="e">
        <f t="shared" si="134"/>
        <v>#N/A</v>
      </c>
      <c r="AR196" s="279" t="e">
        <f t="shared" si="166"/>
        <v>#N/A</v>
      </c>
      <c r="AS196" s="283" t="e">
        <f t="shared" si="135"/>
        <v>#N/A</v>
      </c>
      <c r="AT196" s="284">
        <f t="shared" si="167"/>
        <v>7</v>
      </c>
      <c r="AU196" s="285" t="e">
        <f t="shared" si="168"/>
        <v>#N/A</v>
      </c>
      <c r="AV196" s="286" t="e">
        <f t="shared" si="169"/>
        <v>#N/A</v>
      </c>
      <c r="AW196" s="287" t="e">
        <f t="shared" si="136"/>
        <v>#N/A</v>
      </c>
      <c r="AX196" s="245">
        <f t="shared" si="170"/>
        <v>7</v>
      </c>
      <c r="AY196" s="286" t="e">
        <f t="shared" si="137"/>
        <v>#N/A</v>
      </c>
      <c r="AZ196" s="245" t="e">
        <f t="shared" si="171"/>
        <v>#N/A</v>
      </c>
      <c r="BA196" s="245" t="e">
        <f t="shared" si="138"/>
        <v>#N/A</v>
      </c>
      <c r="BB196" s="288">
        <f t="shared" si="172"/>
        <v>7</v>
      </c>
      <c r="BC196" s="289" t="e">
        <f t="shared" si="173"/>
        <v>#N/A</v>
      </c>
      <c r="BD196" s="290" t="e">
        <f t="shared" si="174"/>
        <v>#N/A</v>
      </c>
      <c r="BE196" s="263" t="e">
        <f t="shared" si="139"/>
        <v>#N/A</v>
      </c>
      <c r="BF196" s="260">
        <f t="shared" si="175"/>
        <v>7</v>
      </c>
      <c r="BG196" s="289" t="e">
        <f t="shared" si="176"/>
        <v>#N/A</v>
      </c>
      <c r="BH196" s="290" t="e">
        <f t="shared" si="177"/>
        <v>#N/A</v>
      </c>
      <c r="BI196" s="263" t="e">
        <f t="shared" si="140"/>
        <v>#N/A</v>
      </c>
      <c r="BJ196" s="264">
        <f t="shared" si="178"/>
        <v>7</v>
      </c>
      <c r="BK196" s="291" t="e">
        <f t="shared" si="179"/>
        <v>#N/A</v>
      </c>
      <c r="BL196" s="291" t="e">
        <f t="shared" si="180"/>
        <v>#N/A</v>
      </c>
      <c r="BM196" s="292" t="e">
        <f t="shared" si="141"/>
        <v>#N/A</v>
      </c>
      <c r="BN196" s="293">
        <f t="shared" si="181"/>
        <v>7</v>
      </c>
      <c r="BO196" s="294" t="e">
        <f t="shared" si="182"/>
        <v>#N/A</v>
      </c>
      <c r="BP196" s="294" t="e">
        <f t="shared" si="183"/>
        <v>#N/A</v>
      </c>
      <c r="BQ196" s="292" t="e">
        <f t="shared" si="142"/>
        <v>#N/A</v>
      </c>
      <c r="BR196" s="295" t="e">
        <f t="shared" si="143"/>
        <v>#N/A</v>
      </c>
      <c r="BS196" s="230" t="e">
        <f>VLOOKUP($B196,SDR22_STOCK_BY_LA!$A$2:$C$11679,3,0)</f>
        <v>#N/A</v>
      </c>
      <c r="BT196" s="230" t="str">
        <f t="shared" si="184"/>
        <v/>
      </c>
    </row>
    <row r="197" spans="1:72" ht="12.5" x14ac:dyDescent="0.25">
      <c r="A197" s="269" t="str">
        <f t="shared" si="185"/>
        <v/>
      </c>
      <c r="B197" s="230" t="str">
        <f t="shared" si="186"/>
        <v/>
      </c>
      <c r="C197" s="270" t="str">
        <f t="shared" si="144"/>
        <v/>
      </c>
      <c r="D197" s="269" t="str">
        <f>IF(B197="","",IF(totals!$Q$3=0,IFERROR(IF(AD197=2,"0",AE197),""),"-"))</f>
        <v/>
      </c>
      <c r="E197" s="271" t="str">
        <f t="shared" si="145"/>
        <v/>
      </c>
      <c r="F197" s="272" t="str">
        <f t="shared" si="146"/>
        <v/>
      </c>
      <c r="G197" s="272" t="str">
        <f t="shared" si="147"/>
        <v/>
      </c>
      <c r="H197" s="269" t="str">
        <f t="shared" si="125"/>
        <v/>
      </c>
      <c r="I197" s="272" t="str">
        <f t="shared" si="148"/>
        <v/>
      </c>
      <c r="J197" s="272" t="str">
        <f t="shared" si="149"/>
        <v/>
      </c>
      <c r="K197" s="269" t="str">
        <f t="shared" si="126"/>
        <v/>
      </c>
      <c r="L197" s="272" t="str">
        <f t="shared" si="127"/>
        <v/>
      </c>
      <c r="M197" s="272" t="str">
        <f t="shared" si="150"/>
        <v/>
      </c>
      <c r="N197" s="269" t="str">
        <f t="shared" si="151"/>
        <v/>
      </c>
      <c r="O197" s="272" t="str">
        <f t="shared" si="152"/>
        <v/>
      </c>
      <c r="P197" s="272" t="str">
        <f t="shared" si="153"/>
        <v/>
      </c>
      <c r="Q197" s="269" t="str">
        <f t="shared" si="154"/>
        <v/>
      </c>
      <c r="R197" s="272" t="str">
        <f t="shared" si="155"/>
        <v/>
      </c>
      <c r="S197" s="272" t="str">
        <f t="shared" si="156"/>
        <v/>
      </c>
      <c r="T197" s="269" t="str">
        <f t="shared" si="157"/>
        <v/>
      </c>
      <c r="U197" s="230"/>
      <c r="V197" s="230"/>
      <c r="AB197" s="270" t="e">
        <f>VLOOKUP($B$6,Lookup_Source,190,0)</f>
        <v>#N/A</v>
      </c>
      <c r="AC197" s="254" t="str">
        <f t="shared" si="158"/>
        <v/>
      </c>
      <c r="AD197" s="255">
        <f t="shared" si="159"/>
        <v>7</v>
      </c>
      <c r="AE197" s="274" t="e">
        <f t="shared" si="128"/>
        <v>#N/A</v>
      </c>
      <c r="AF197" s="277" t="e">
        <f t="shared" si="160"/>
        <v>#N/A</v>
      </c>
      <c r="AG197" s="277" t="e">
        <f t="shared" si="161"/>
        <v>#N/A</v>
      </c>
      <c r="AH197" s="276" t="e">
        <f t="shared" si="129"/>
        <v>#N/A</v>
      </c>
      <c r="AI197" s="239">
        <f t="shared" si="162"/>
        <v>7</v>
      </c>
      <c r="AJ197" s="277" t="e">
        <f t="shared" si="130"/>
        <v>#N/A</v>
      </c>
      <c r="AK197" s="277" t="e">
        <f t="shared" si="163"/>
        <v>#N/A</v>
      </c>
      <c r="AL197" s="239" t="e">
        <f t="shared" si="131"/>
        <v>#N/A</v>
      </c>
      <c r="AM197" s="278" t="e">
        <f t="shared" si="164"/>
        <v>#N/A</v>
      </c>
      <c r="AN197" s="279" t="e">
        <f t="shared" si="132"/>
        <v>#N/A</v>
      </c>
      <c r="AO197" s="240" t="e">
        <f t="shared" si="133"/>
        <v>#N/A</v>
      </c>
      <c r="AP197" s="297">
        <f t="shared" si="165"/>
        <v>7</v>
      </c>
      <c r="AQ197" s="298" t="e">
        <f t="shared" si="134"/>
        <v>#N/A</v>
      </c>
      <c r="AR197" s="279" t="e">
        <f t="shared" si="166"/>
        <v>#N/A</v>
      </c>
      <c r="AS197" s="283" t="e">
        <f t="shared" si="135"/>
        <v>#N/A</v>
      </c>
      <c r="AT197" s="284">
        <f t="shared" si="167"/>
        <v>7</v>
      </c>
      <c r="AU197" s="285" t="e">
        <f t="shared" si="168"/>
        <v>#N/A</v>
      </c>
      <c r="AV197" s="286" t="e">
        <f t="shared" si="169"/>
        <v>#N/A</v>
      </c>
      <c r="AW197" s="287" t="e">
        <f t="shared" si="136"/>
        <v>#N/A</v>
      </c>
      <c r="AX197" s="245">
        <f t="shared" si="170"/>
        <v>7</v>
      </c>
      <c r="AY197" s="286" t="e">
        <f t="shared" si="137"/>
        <v>#N/A</v>
      </c>
      <c r="AZ197" s="245" t="e">
        <f t="shared" si="171"/>
        <v>#N/A</v>
      </c>
      <c r="BA197" s="245" t="e">
        <f t="shared" si="138"/>
        <v>#N/A</v>
      </c>
      <c r="BB197" s="288">
        <f t="shared" si="172"/>
        <v>7</v>
      </c>
      <c r="BC197" s="289" t="e">
        <f t="shared" si="173"/>
        <v>#N/A</v>
      </c>
      <c r="BD197" s="290" t="e">
        <f t="shared" si="174"/>
        <v>#N/A</v>
      </c>
      <c r="BE197" s="263" t="e">
        <f t="shared" si="139"/>
        <v>#N/A</v>
      </c>
      <c r="BF197" s="260">
        <f t="shared" si="175"/>
        <v>7</v>
      </c>
      <c r="BG197" s="289" t="e">
        <f t="shared" si="176"/>
        <v>#N/A</v>
      </c>
      <c r="BH197" s="290" t="e">
        <f t="shared" si="177"/>
        <v>#N/A</v>
      </c>
      <c r="BI197" s="263" t="e">
        <f t="shared" si="140"/>
        <v>#N/A</v>
      </c>
      <c r="BJ197" s="264">
        <f t="shared" si="178"/>
        <v>7</v>
      </c>
      <c r="BK197" s="291" t="e">
        <f t="shared" si="179"/>
        <v>#N/A</v>
      </c>
      <c r="BL197" s="291" t="e">
        <f t="shared" si="180"/>
        <v>#N/A</v>
      </c>
      <c r="BM197" s="292" t="e">
        <f t="shared" si="141"/>
        <v>#N/A</v>
      </c>
      <c r="BN197" s="293">
        <f t="shared" si="181"/>
        <v>7</v>
      </c>
      <c r="BO197" s="294" t="e">
        <f t="shared" si="182"/>
        <v>#N/A</v>
      </c>
      <c r="BP197" s="294" t="e">
        <f t="shared" si="183"/>
        <v>#N/A</v>
      </c>
      <c r="BQ197" s="292" t="e">
        <f t="shared" si="142"/>
        <v>#N/A</v>
      </c>
      <c r="BR197" s="295" t="e">
        <f t="shared" si="143"/>
        <v>#N/A</v>
      </c>
      <c r="BS197" s="230" t="e">
        <f>VLOOKUP($B197,SDR22_STOCK_BY_LA!$A$2:$C$11679,3,0)</f>
        <v>#N/A</v>
      </c>
      <c r="BT197" s="230" t="str">
        <f t="shared" si="184"/>
        <v/>
      </c>
    </row>
    <row r="198" spans="1:72" ht="12.5" x14ac:dyDescent="0.25">
      <c r="A198" s="230" t="str">
        <f t="shared" si="185"/>
        <v/>
      </c>
      <c r="B198" s="230" t="str">
        <f t="shared" si="186"/>
        <v/>
      </c>
      <c r="C198" s="296" t="str">
        <f t="shared" si="144"/>
        <v/>
      </c>
      <c r="D198" s="269" t="str">
        <f>IF(B198="","",IF(totals!$Q$3=0,IFERROR(IF(AD198=2,"0",AE198),""),"-"))</f>
        <v/>
      </c>
      <c r="E198" s="271" t="str">
        <f t="shared" si="145"/>
        <v/>
      </c>
      <c r="F198" s="272" t="str">
        <f t="shared" si="146"/>
        <v/>
      </c>
      <c r="G198" s="272" t="str">
        <f t="shared" si="147"/>
        <v/>
      </c>
      <c r="H198" s="269" t="str">
        <f t="shared" si="125"/>
        <v/>
      </c>
      <c r="I198" s="272" t="str">
        <f t="shared" si="148"/>
        <v/>
      </c>
      <c r="J198" s="272" t="str">
        <f t="shared" si="149"/>
        <v/>
      </c>
      <c r="K198" s="269" t="str">
        <f t="shared" si="126"/>
        <v/>
      </c>
      <c r="L198" s="272" t="str">
        <f t="shared" si="127"/>
        <v/>
      </c>
      <c r="M198" s="272" t="str">
        <f t="shared" si="150"/>
        <v/>
      </c>
      <c r="N198" s="269" t="str">
        <f t="shared" si="151"/>
        <v/>
      </c>
      <c r="O198" s="272" t="str">
        <f t="shared" si="152"/>
        <v/>
      </c>
      <c r="P198" s="272" t="str">
        <f t="shared" si="153"/>
        <v/>
      </c>
      <c r="Q198" s="269" t="str">
        <f t="shared" si="154"/>
        <v/>
      </c>
      <c r="R198" s="272" t="str">
        <f t="shared" si="155"/>
        <v/>
      </c>
      <c r="S198" s="272" t="str">
        <f t="shared" si="156"/>
        <v/>
      </c>
      <c r="T198" s="269" t="str">
        <f t="shared" si="157"/>
        <v/>
      </c>
      <c r="U198" s="230"/>
      <c r="V198" s="230"/>
      <c r="AB198" s="230" t="e">
        <f>VLOOKUP($B$6,Lookup_Source,191,0)</f>
        <v>#N/A</v>
      </c>
      <c r="AC198" s="254" t="str">
        <f t="shared" si="158"/>
        <v/>
      </c>
      <c r="AD198" s="255">
        <f t="shared" si="159"/>
        <v>7</v>
      </c>
      <c r="AE198" s="274" t="e">
        <f t="shared" si="128"/>
        <v>#N/A</v>
      </c>
      <c r="AF198" s="277" t="e">
        <f t="shared" si="160"/>
        <v>#N/A</v>
      </c>
      <c r="AG198" s="277" t="e">
        <f t="shared" si="161"/>
        <v>#N/A</v>
      </c>
      <c r="AH198" s="276" t="e">
        <f t="shared" si="129"/>
        <v>#N/A</v>
      </c>
      <c r="AI198" s="239">
        <f t="shared" si="162"/>
        <v>7</v>
      </c>
      <c r="AJ198" s="277" t="e">
        <f t="shared" si="130"/>
        <v>#N/A</v>
      </c>
      <c r="AK198" s="277" t="e">
        <f t="shared" si="163"/>
        <v>#N/A</v>
      </c>
      <c r="AL198" s="239" t="e">
        <f t="shared" si="131"/>
        <v>#N/A</v>
      </c>
      <c r="AM198" s="278" t="e">
        <f t="shared" si="164"/>
        <v>#N/A</v>
      </c>
      <c r="AN198" s="279" t="e">
        <f t="shared" si="132"/>
        <v>#N/A</v>
      </c>
      <c r="AO198" s="240" t="e">
        <f t="shared" si="133"/>
        <v>#N/A</v>
      </c>
      <c r="AP198" s="297">
        <f t="shared" si="165"/>
        <v>7</v>
      </c>
      <c r="AQ198" s="298" t="e">
        <f t="shared" si="134"/>
        <v>#N/A</v>
      </c>
      <c r="AR198" s="279" t="e">
        <f t="shared" si="166"/>
        <v>#N/A</v>
      </c>
      <c r="AS198" s="283" t="e">
        <f t="shared" si="135"/>
        <v>#N/A</v>
      </c>
      <c r="AT198" s="284">
        <f t="shared" si="167"/>
        <v>7</v>
      </c>
      <c r="AU198" s="285" t="e">
        <f t="shared" si="168"/>
        <v>#N/A</v>
      </c>
      <c r="AV198" s="286" t="e">
        <f t="shared" si="169"/>
        <v>#N/A</v>
      </c>
      <c r="AW198" s="287" t="e">
        <f t="shared" si="136"/>
        <v>#N/A</v>
      </c>
      <c r="AX198" s="245">
        <f t="shared" si="170"/>
        <v>7</v>
      </c>
      <c r="AY198" s="286" t="e">
        <f t="shared" si="137"/>
        <v>#N/A</v>
      </c>
      <c r="AZ198" s="245" t="e">
        <f t="shared" si="171"/>
        <v>#N/A</v>
      </c>
      <c r="BA198" s="245" t="e">
        <f t="shared" si="138"/>
        <v>#N/A</v>
      </c>
      <c r="BB198" s="288">
        <f t="shared" si="172"/>
        <v>7</v>
      </c>
      <c r="BC198" s="289" t="e">
        <f t="shared" si="173"/>
        <v>#N/A</v>
      </c>
      <c r="BD198" s="290" t="e">
        <f t="shared" si="174"/>
        <v>#N/A</v>
      </c>
      <c r="BE198" s="263" t="e">
        <f t="shared" si="139"/>
        <v>#N/A</v>
      </c>
      <c r="BF198" s="260">
        <f t="shared" si="175"/>
        <v>7</v>
      </c>
      <c r="BG198" s="289" t="e">
        <f t="shared" si="176"/>
        <v>#N/A</v>
      </c>
      <c r="BH198" s="290" t="e">
        <f t="shared" si="177"/>
        <v>#N/A</v>
      </c>
      <c r="BI198" s="263" t="e">
        <f t="shared" si="140"/>
        <v>#N/A</v>
      </c>
      <c r="BJ198" s="264">
        <f t="shared" si="178"/>
        <v>7</v>
      </c>
      <c r="BK198" s="291" t="e">
        <f t="shared" si="179"/>
        <v>#N/A</v>
      </c>
      <c r="BL198" s="291" t="e">
        <f t="shared" si="180"/>
        <v>#N/A</v>
      </c>
      <c r="BM198" s="292" t="e">
        <f t="shared" si="141"/>
        <v>#N/A</v>
      </c>
      <c r="BN198" s="293">
        <f t="shared" si="181"/>
        <v>7</v>
      </c>
      <c r="BO198" s="294" t="e">
        <f t="shared" si="182"/>
        <v>#N/A</v>
      </c>
      <c r="BP198" s="294" t="e">
        <f t="shared" si="183"/>
        <v>#N/A</v>
      </c>
      <c r="BQ198" s="292" t="e">
        <f t="shared" si="142"/>
        <v>#N/A</v>
      </c>
      <c r="BR198" s="295" t="e">
        <f t="shared" si="143"/>
        <v>#N/A</v>
      </c>
      <c r="BS198" s="230" t="e">
        <f>VLOOKUP($B198,SDR22_STOCK_BY_LA!$A$2:$C$11679,3,0)</f>
        <v>#N/A</v>
      </c>
      <c r="BT198" s="230" t="str">
        <f t="shared" si="184"/>
        <v/>
      </c>
    </row>
    <row r="199" spans="1:72" ht="12.5" x14ac:dyDescent="0.25">
      <c r="A199" s="269" t="str">
        <f t="shared" si="185"/>
        <v/>
      </c>
      <c r="B199" s="230" t="str">
        <f t="shared" si="186"/>
        <v/>
      </c>
      <c r="C199" s="270" t="str">
        <f t="shared" si="144"/>
        <v/>
      </c>
      <c r="D199" s="269" t="str">
        <f>IF(B199="","",IF(totals!$Q$3=0,IFERROR(IF(AD199=2,"0",AE199),""),"-"))</f>
        <v/>
      </c>
      <c r="E199" s="271" t="str">
        <f t="shared" si="145"/>
        <v/>
      </c>
      <c r="F199" s="272" t="str">
        <f t="shared" si="146"/>
        <v/>
      </c>
      <c r="G199" s="272" t="str">
        <f t="shared" si="147"/>
        <v/>
      </c>
      <c r="H199" s="269" t="str">
        <f t="shared" si="125"/>
        <v/>
      </c>
      <c r="I199" s="272" t="str">
        <f t="shared" si="148"/>
        <v/>
      </c>
      <c r="J199" s="272" t="str">
        <f t="shared" si="149"/>
        <v/>
      </c>
      <c r="K199" s="269" t="str">
        <f t="shared" si="126"/>
        <v/>
      </c>
      <c r="L199" s="272" t="str">
        <f t="shared" si="127"/>
        <v/>
      </c>
      <c r="M199" s="272" t="str">
        <f t="shared" si="150"/>
        <v/>
      </c>
      <c r="N199" s="269" t="str">
        <f t="shared" si="151"/>
        <v/>
      </c>
      <c r="O199" s="272" t="str">
        <f t="shared" si="152"/>
        <v/>
      </c>
      <c r="P199" s="272" t="str">
        <f t="shared" si="153"/>
        <v/>
      </c>
      <c r="Q199" s="269" t="str">
        <f t="shared" si="154"/>
        <v/>
      </c>
      <c r="R199" s="272" t="str">
        <f t="shared" si="155"/>
        <v/>
      </c>
      <c r="S199" s="272" t="str">
        <f t="shared" si="156"/>
        <v/>
      </c>
      <c r="T199" s="269" t="str">
        <f t="shared" si="157"/>
        <v/>
      </c>
      <c r="U199" s="230"/>
      <c r="V199" s="230"/>
      <c r="AB199" s="270" t="e">
        <f>VLOOKUP($B$6,Lookup_Source,192,0)</f>
        <v>#N/A</v>
      </c>
      <c r="AC199" s="254" t="str">
        <f t="shared" si="158"/>
        <v/>
      </c>
      <c r="AD199" s="255">
        <f t="shared" si="159"/>
        <v>7</v>
      </c>
      <c r="AE199" s="274" t="e">
        <f t="shared" si="128"/>
        <v>#N/A</v>
      </c>
      <c r="AF199" s="277" t="e">
        <f t="shared" si="160"/>
        <v>#N/A</v>
      </c>
      <c r="AG199" s="277" t="e">
        <f t="shared" si="161"/>
        <v>#N/A</v>
      </c>
      <c r="AH199" s="276" t="e">
        <f t="shared" si="129"/>
        <v>#N/A</v>
      </c>
      <c r="AI199" s="239">
        <f t="shared" si="162"/>
        <v>7</v>
      </c>
      <c r="AJ199" s="277" t="e">
        <f t="shared" si="130"/>
        <v>#N/A</v>
      </c>
      <c r="AK199" s="277" t="e">
        <f t="shared" si="163"/>
        <v>#N/A</v>
      </c>
      <c r="AL199" s="239" t="e">
        <f t="shared" si="131"/>
        <v>#N/A</v>
      </c>
      <c r="AM199" s="278" t="e">
        <f t="shared" si="164"/>
        <v>#N/A</v>
      </c>
      <c r="AN199" s="279" t="e">
        <f t="shared" si="132"/>
        <v>#N/A</v>
      </c>
      <c r="AO199" s="240" t="e">
        <f t="shared" si="133"/>
        <v>#N/A</v>
      </c>
      <c r="AP199" s="297">
        <f t="shared" si="165"/>
        <v>7</v>
      </c>
      <c r="AQ199" s="298" t="e">
        <f t="shared" si="134"/>
        <v>#N/A</v>
      </c>
      <c r="AR199" s="279" t="e">
        <f t="shared" si="166"/>
        <v>#N/A</v>
      </c>
      <c r="AS199" s="283" t="e">
        <f t="shared" si="135"/>
        <v>#N/A</v>
      </c>
      <c r="AT199" s="284">
        <f t="shared" si="167"/>
        <v>7</v>
      </c>
      <c r="AU199" s="285" t="e">
        <f t="shared" si="168"/>
        <v>#N/A</v>
      </c>
      <c r="AV199" s="286" t="e">
        <f t="shared" si="169"/>
        <v>#N/A</v>
      </c>
      <c r="AW199" s="287" t="e">
        <f t="shared" si="136"/>
        <v>#N/A</v>
      </c>
      <c r="AX199" s="245">
        <f t="shared" si="170"/>
        <v>7</v>
      </c>
      <c r="AY199" s="286" t="e">
        <f t="shared" si="137"/>
        <v>#N/A</v>
      </c>
      <c r="AZ199" s="245" t="e">
        <f t="shared" si="171"/>
        <v>#N/A</v>
      </c>
      <c r="BA199" s="245" t="e">
        <f t="shared" si="138"/>
        <v>#N/A</v>
      </c>
      <c r="BB199" s="288">
        <f t="shared" si="172"/>
        <v>7</v>
      </c>
      <c r="BC199" s="289" t="e">
        <f t="shared" si="173"/>
        <v>#N/A</v>
      </c>
      <c r="BD199" s="290" t="e">
        <f t="shared" si="174"/>
        <v>#N/A</v>
      </c>
      <c r="BE199" s="263" t="e">
        <f t="shared" si="139"/>
        <v>#N/A</v>
      </c>
      <c r="BF199" s="260">
        <f t="shared" si="175"/>
        <v>7</v>
      </c>
      <c r="BG199" s="289" t="e">
        <f t="shared" si="176"/>
        <v>#N/A</v>
      </c>
      <c r="BH199" s="290" t="e">
        <f t="shared" si="177"/>
        <v>#N/A</v>
      </c>
      <c r="BI199" s="263" t="e">
        <f t="shared" si="140"/>
        <v>#N/A</v>
      </c>
      <c r="BJ199" s="264">
        <f t="shared" si="178"/>
        <v>7</v>
      </c>
      <c r="BK199" s="291" t="e">
        <f t="shared" si="179"/>
        <v>#N/A</v>
      </c>
      <c r="BL199" s="291" t="e">
        <f t="shared" si="180"/>
        <v>#N/A</v>
      </c>
      <c r="BM199" s="292" t="e">
        <f t="shared" si="141"/>
        <v>#N/A</v>
      </c>
      <c r="BN199" s="293">
        <f t="shared" si="181"/>
        <v>7</v>
      </c>
      <c r="BO199" s="294" t="e">
        <f t="shared" si="182"/>
        <v>#N/A</v>
      </c>
      <c r="BP199" s="294" t="e">
        <f t="shared" si="183"/>
        <v>#N/A</v>
      </c>
      <c r="BQ199" s="292" t="e">
        <f t="shared" si="142"/>
        <v>#N/A</v>
      </c>
      <c r="BR199" s="295" t="e">
        <f t="shared" si="143"/>
        <v>#N/A</v>
      </c>
      <c r="BS199" s="230" t="e">
        <f>VLOOKUP($B199,SDR22_STOCK_BY_LA!$A$2:$C$11679,3,0)</f>
        <v>#N/A</v>
      </c>
      <c r="BT199" s="230" t="str">
        <f t="shared" si="184"/>
        <v/>
      </c>
    </row>
    <row r="200" spans="1:72" ht="12.5" x14ac:dyDescent="0.25">
      <c r="A200" s="230" t="str">
        <f t="shared" si="185"/>
        <v/>
      </c>
      <c r="B200" s="230" t="str">
        <f t="shared" si="186"/>
        <v/>
      </c>
      <c r="C200" s="296" t="str">
        <f t="shared" si="144"/>
        <v/>
      </c>
      <c r="D200" s="269" t="str">
        <f>IF(B200="","",IF(totals!$Q$3=0,IFERROR(IF(AD200=2,"0",AE200),""),"-"))</f>
        <v/>
      </c>
      <c r="E200" s="271" t="str">
        <f t="shared" si="145"/>
        <v/>
      </c>
      <c r="F200" s="272" t="str">
        <f t="shared" si="146"/>
        <v/>
      </c>
      <c r="G200" s="272" t="str">
        <f t="shared" si="147"/>
        <v/>
      </c>
      <c r="H200" s="269" t="str">
        <f t="shared" si="125"/>
        <v/>
      </c>
      <c r="I200" s="272" t="str">
        <f t="shared" si="148"/>
        <v/>
      </c>
      <c r="J200" s="272" t="str">
        <f t="shared" si="149"/>
        <v/>
      </c>
      <c r="K200" s="269" t="str">
        <f t="shared" si="126"/>
        <v/>
      </c>
      <c r="L200" s="272" t="str">
        <f t="shared" si="127"/>
        <v/>
      </c>
      <c r="M200" s="272" t="str">
        <f t="shared" si="150"/>
        <v/>
      </c>
      <c r="N200" s="269" t="str">
        <f t="shared" si="151"/>
        <v/>
      </c>
      <c r="O200" s="272" t="str">
        <f t="shared" si="152"/>
        <v/>
      </c>
      <c r="P200" s="272" t="str">
        <f t="shared" si="153"/>
        <v/>
      </c>
      <c r="Q200" s="269" t="str">
        <f t="shared" si="154"/>
        <v/>
      </c>
      <c r="R200" s="272" t="str">
        <f t="shared" si="155"/>
        <v/>
      </c>
      <c r="S200" s="272" t="str">
        <f t="shared" si="156"/>
        <v/>
      </c>
      <c r="T200" s="269" t="str">
        <f t="shared" si="157"/>
        <v/>
      </c>
      <c r="U200" s="230"/>
      <c r="V200" s="230"/>
      <c r="AB200" s="230" t="e">
        <f>VLOOKUP($B$6,Lookup_Source,193,0)</f>
        <v>#N/A</v>
      </c>
      <c r="AC200" s="254" t="str">
        <f t="shared" si="158"/>
        <v/>
      </c>
      <c r="AD200" s="255">
        <f t="shared" si="159"/>
        <v>7</v>
      </c>
      <c r="AE200" s="274" t="e">
        <f t="shared" si="128"/>
        <v>#N/A</v>
      </c>
      <c r="AF200" s="277" t="e">
        <f t="shared" si="160"/>
        <v>#N/A</v>
      </c>
      <c r="AG200" s="277" t="e">
        <f t="shared" si="161"/>
        <v>#N/A</v>
      </c>
      <c r="AH200" s="276" t="e">
        <f t="shared" si="129"/>
        <v>#N/A</v>
      </c>
      <c r="AI200" s="239">
        <f t="shared" si="162"/>
        <v>7</v>
      </c>
      <c r="AJ200" s="277" t="e">
        <f t="shared" si="130"/>
        <v>#N/A</v>
      </c>
      <c r="AK200" s="277" t="e">
        <f t="shared" si="163"/>
        <v>#N/A</v>
      </c>
      <c r="AL200" s="239" t="e">
        <f t="shared" si="131"/>
        <v>#N/A</v>
      </c>
      <c r="AM200" s="278" t="e">
        <f t="shared" si="164"/>
        <v>#N/A</v>
      </c>
      <c r="AN200" s="279" t="e">
        <f t="shared" si="132"/>
        <v>#N/A</v>
      </c>
      <c r="AO200" s="240" t="e">
        <f t="shared" si="133"/>
        <v>#N/A</v>
      </c>
      <c r="AP200" s="297">
        <f t="shared" si="165"/>
        <v>7</v>
      </c>
      <c r="AQ200" s="298" t="e">
        <f t="shared" si="134"/>
        <v>#N/A</v>
      </c>
      <c r="AR200" s="279" t="e">
        <f t="shared" si="166"/>
        <v>#N/A</v>
      </c>
      <c r="AS200" s="283" t="e">
        <f t="shared" si="135"/>
        <v>#N/A</v>
      </c>
      <c r="AT200" s="284">
        <f t="shared" si="167"/>
        <v>7</v>
      </c>
      <c r="AU200" s="285" t="e">
        <f t="shared" si="168"/>
        <v>#N/A</v>
      </c>
      <c r="AV200" s="286" t="e">
        <f t="shared" si="169"/>
        <v>#N/A</v>
      </c>
      <c r="AW200" s="287" t="e">
        <f t="shared" si="136"/>
        <v>#N/A</v>
      </c>
      <c r="AX200" s="245">
        <f t="shared" si="170"/>
        <v>7</v>
      </c>
      <c r="AY200" s="286" t="e">
        <f t="shared" si="137"/>
        <v>#N/A</v>
      </c>
      <c r="AZ200" s="245" t="e">
        <f t="shared" si="171"/>
        <v>#N/A</v>
      </c>
      <c r="BA200" s="245" t="e">
        <f t="shared" si="138"/>
        <v>#N/A</v>
      </c>
      <c r="BB200" s="288">
        <f t="shared" si="172"/>
        <v>7</v>
      </c>
      <c r="BC200" s="289" t="e">
        <f t="shared" si="173"/>
        <v>#N/A</v>
      </c>
      <c r="BD200" s="290" t="e">
        <f t="shared" si="174"/>
        <v>#N/A</v>
      </c>
      <c r="BE200" s="263" t="e">
        <f t="shared" si="139"/>
        <v>#N/A</v>
      </c>
      <c r="BF200" s="260">
        <f t="shared" si="175"/>
        <v>7</v>
      </c>
      <c r="BG200" s="289" t="e">
        <f t="shared" si="176"/>
        <v>#N/A</v>
      </c>
      <c r="BH200" s="290" t="e">
        <f t="shared" si="177"/>
        <v>#N/A</v>
      </c>
      <c r="BI200" s="263" t="e">
        <f t="shared" si="140"/>
        <v>#N/A</v>
      </c>
      <c r="BJ200" s="264">
        <f t="shared" si="178"/>
        <v>7</v>
      </c>
      <c r="BK200" s="291" t="e">
        <f t="shared" si="179"/>
        <v>#N/A</v>
      </c>
      <c r="BL200" s="291" t="e">
        <f t="shared" si="180"/>
        <v>#N/A</v>
      </c>
      <c r="BM200" s="292" t="e">
        <f t="shared" si="141"/>
        <v>#N/A</v>
      </c>
      <c r="BN200" s="293">
        <f t="shared" si="181"/>
        <v>7</v>
      </c>
      <c r="BO200" s="294" t="e">
        <f t="shared" si="182"/>
        <v>#N/A</v>
      </c>
      <c r="BP200" s="294" t="e">
        <f t="shared" si="183"/>
        <v>#N/A</v>
      </c>
      <c r="BQ200" s="292" t="e">
        <f t="shared" si="142"/>
        <v>#N/A</v>
      </c>
      <c r="BR200" s="295" t="e">
        <f t="shared" si="143"/>
        <v>#N/A</v>
      </c>
      <c r="BS200" s="230" t="e">
        <f>VLOOKUP($B200,SDR22_STOCK_BY_LA!$A$2:$C$11679,3,0)</f>
        <v>#N/A</v>
      </c>
      <c r="BT200" s="230" t="str">
        <f t="shared" si="184"/>
        <v/>
      </c>
    </row>
    <row r="201" spans="1:72" ht="12.5" x14ac:dyDescent="0.25">
      <c r="A201" s="269" t="str">
        <f t="shared" si="185"/>
        <v/>
      </c>
      <c r="B201" s="230" t="str">
        <f t="shared" si="186"/>
        <v/>
      </c>
      <c r="C201" s="270" t="str">
        <f t="shared" si="144"/>
        <v/>
      </c>
      <c r="D201" s="269" t="str">
        <f>IF(B201="","",IF(totals!$Q$3=0,IFERROR(IF(AD201=2,"0",AE201),""),"-"))</f>
        <v/>
      </c>
      <c r="E201" s="271" t="str">
        <f t="shared" si="145"/>
        <v/>
      </c>
      <c r="F201" s="272" t="str">
        <f t="shared" si="146"/>
        <v/>
      </c>
      <c r="G201" s="272" t="str">
        <f t="shared" si="147"/>
        <v/>
      </c>
      <c r="H201" s="269" t="str">
        <f t="shared" ref="H201:H264" si="187">IFERROR(AO201,"")</f>
        <v/>
      </c>
      <c r="I201" s="272" t="str">
        <f t="shared" si="148"/>
        <v/>
      </c>
      <c r="J201" s="272" t="str">
        <f t="shared" si="149"/>
        <v/>
      </c>
      <c r="K201" s="269" t="str">
        <f t="shared" ref="K201:K264" si="188">IFERROR(AW201,"")</f>
        <v/>
      </c>
      <c r="L201" s="272" t="str">
        <f t="shared" ref="L201:L264" si="189">IFERROR(IF(AT201=2,"-",AU201),"")</f>
        <v/>
      </c>
      <c r="M201" s="272" t="str">
        <f t="shared" si="150"/>
        <v/>
      </c>
      <c r="N201" s="269" t="str">
        <f t="shared" si="151"/>
        <v/>
      </c>
      <c r="O201" s="272" t="str">
        <f t="shared" si="152"/>
        <v/>
      </c>
      <c r="P201" s="272" t="str">
        <f t="shared" si="153"/>
        <v/>
      </c>
      <c r="Q201" s="269" t="str">
        <f t="shared" si="154"/>
        <v/>
      </c>
      <c r="R201" s="272" t="str">
        <f t="shared" si="155"/>
        <v/>
      </c>
      <c r="S201" s="272" t="str">
        <f t="shared" si="156"/>
        <v/>
      </c>
      <c r="T201" s="269" t="str">
        <f t="shared" si="157"/>
        <v/>
      </c>
      <c r="U201" s="230"/>
      <c r="V201" s="230"/>
      <c r="AB201" s="270" t="e">
        <f>VLOOKUP($B$6,Lookup_Source,194,0)</f>
        <v>#N/A</v>
      </c>
      <c r="AC201" s="254" t="str">
        <f t="shared" si="158"/>
        <v/>
      </c>
      <c r="AD201" s="255">
        <f t="shared" si="159"/>
        <v>7</v>
      </c>
      <c r="AE201" s="274" t="e">
        <f t="shared" ref="AE201:AE264" si="190">SUM(VLOOKUP($B201,Totals,8,0)-1)</f>
        <v>#N/A</v>
      </c>
      <c r="AF201" s="277" t="e">
        <f t="shared" si="160"/>
        <v>#N/A</v>
      </c>
      <c r="AG201" s="277" t="e">
        <f t="shared" si="161"/>
        <v>#N/A</v>
      </c>
      <c r="AH201" s="276" t="e">
        <f t="shared" ref="AH201:AH264" si="191">VLOOKUP($BT201,Stock_By_LA,2,0)</f>
        <v>#N/A</v>
      </c>
      <c r="AI201" s="239">
        <f t="shared" si="162"/>
        <v>7</v>
      </c>
      <c r="AJ201" s="277" t="e">
        <f t="shared" ref="AJ201:AJ264" si="192">IF(AK201&gt;0,AK201,"-")</f>
        <v>#N/A</v>
      </c>
      <c r="AK201" s="277" t="e">
        <f t="shared" si="163"/>
        <v>#N/A</v>
      </c>
      <c r="AL201" s="239" t="e">
        <f t="shared" ref="AL201:AL264" si="193">VLOOKUP($B201,Totals,7,0)</f>
        <v>#N/A</v>
      </c>
      <c r="AM201" s="278" t="e">
        <f t="shared" si="164"/>
        <v>#N/A</v>
      </c>
      <c r="AN201" s="279" t="e">
        <f t="shared" ref="AN201:AN264" si="194">$AO201/$AO$8</f>
        <v>#N/A</v>
      </c>
      <c r="AO201" s="240" t="e">
        <f t="shared" ref="AO201:AO264" si="195">VLOOKUP($BT201,Stock_By_LA,3,0)</f>
        <v>#N/A</v>
      </c>
      <c r="AP201" s="297">
        <f t="shared" si="165"/>
        <v>7</v>
      </c>
      <c r="AQ201" s="298" t="e">
        <f t="shared" ref="AQ201:AQ264" si="196">IF(AR201&gt;0,AR201,"-")</f>
        <v>#N/A</v>
      </c>
      <c r="AR201" s="279" t="e">
        <f t="shared" si="166"/>
        <v>#N/A</v>
      </c>
      <c r="AS201" s="283" t="e">
        <f t="shared" ref="AS201:AS264" si="197">VLOOKUP($B201,Totals,2,0)</f>
        <v>#N/A</v>
      </c>
      <c r="AT201" s="284">
        <f t="shared" si="167"/>
        <v>7</v>
      </c>
      <c r="AU201" s="285" t="e">
        <f t="shared" si="168"/>
        <v>#N/A</v>
      </c>
      <c r="AV201" s="286" t="e">
        <f t="shared" si="169"/>
        <v>#N/A</v>
      </c>
      <c r="AW201" s="287" t="e">
        <f t="shared" ref="AW201:AW264" si="198">VLOOKUP($BT201,Stock_By_LA,4,0)</f>
        <v>#N/A</v>
      </c>
      <c r="AX201" s="245">
        <f t="shared" si="170"/>
        <v>7</v>
      </c>
      <c r="AY201" s="286" t="e">
        <f t="shared" ref="AY201:AY264" si="199">IF(AZ201&gt;0,AZ201,"-")</f>
        <v>#N/A</v>
      </c>
      <c r="AZ201" s="245" t="e">
        <f t="shared" si="171"/>
        <v>#N/A</v>
      </c>
      <c r="BA201" s="245" t="e">
        <f t="shared" ref="BA201:BA264" si="200">VLOOKUP($B201,Totals,3,0)</f>
        <v>#N/A</v>
      </c>
      <c r="BB201" s="288">
        <f t="shared" si="172"/>
        <v>7</v>
      </c>
      <c r="BC201" s="289" t="e">
        <f t="shared" si="173"/>
        <v>#N/A</v>
      </c>
      <c r="BD201" s="290" t="e">
        <f t="shared" si="174"/>
        <v>#N/A</v>
      </c>
      <c r="BE201" s="263" t="e">
        <f t="shared" ref="BE201:BE264" si="201">VLOOKUP($BT201,Stock_By_LA,5,0)</f>
        <v>#N/A</v>
      </c>
      <c r="BF201" s="260">
        <f t="shared" si="175"/>
        <v>7</v>
      </c>
      <c r="BG201" s="289" t="e">
        <f t="shared" si="176"/>
        <v>#N/A</v>
      </c>
      <c r="BH201" s="290" t="e">
        <f t="shared" si="177"/>
        <v>#N/A</v>
      </c>
      <c r="BI201" s="263" t="e">
        <f t="shared" ref="BI201:BI264" si="202">VLOOKUP($B201,Totals,4,0)</f>
        <v>#N/A</v>
      </c>
      <c r="BJ201" s="264">
        <f t="shared" si="178"/>
        <v>7</v>
      </c>
      <c r="BK201" s="291" t="e">
        <f t="shared" si="179"/>
        <v>#N/A</v>
      </c>
      <c r="BL201" s="291" t="e">
        <f t="shared" si="180"/>
        <v>#N/A</v>
      </c>
      <c r="BM201" s="292" t="e">
        <f t="shared" ref="BM201:BM264" si="203">VLOOKUP($BT201,Stock_By_LA,6,0)</f>
        <v>#N/A</v>
      </c>
      <c r="BN201" s="293">
        <f t="shared" si="181"/>
        <v>7</v>
      </c>
      <c r="BO201" s="294" t="e">
        <f t="shared" si="182"/>
        <v>#N/A</v>
      </c>
      <c r="BP201" s="294" t="e">
        <f t="shared" si="183"/>
        <v>#N/A</v>
      </c>
      <c r="BQ201" s="292" t="e">
        <f t="shared" ref="BQ201:BQ264" si="204">VLOOKUP($B201,Totals,5,0)</f>
        <v>#N/A</v>
      </c>
      <c r="BR201" s="295" t="e">
        <f t="shared" ref="BR201:BR264" si="205">VLOOKUP($BT201,Stock_By_LA,8,0)</f>
        <v>#N/A</v>
      </c>
      <c r="BS201" s="230" t="e">
        <f>VLOOKUP($B201,SDR22_STOCK_BY_LA!$A$2:$C$11679,3,0)</f>
        <v>#N/A</v>
      </c>
      <c r="BT201" s="230" t="str">
        <f t="shared" si="184"/>
        <v/>
      </c>
    </row>
    <row r="202" spans="1:72" ht="12.5" x14ac:dyDescent="0.25">
      <c r="A202" s="230" t="str">
        <f t="shared" si="185"/>
        <v/>
      </c>
      <c r="B202" s="230" t="str">
        <f t="shared" si="186"/>
        <v/>
      </c>
      <c r="C202" s="296" t="str">
        <f t="shared" ref="C202:C265" si="206">IFERROR(BS202,"")</f>
        <v/>
      </c>
      <c r="D202" s="269" t="str">
        <f>IF(B202="","",IF(totals!$Q$3=0,IFERROR(IF(AD202=2,"0",AE202),""),"-"))</f>
        <v/>
      </c>
      <c r="E202" s="271" t="str">
        <f t="shared" ref="E202:E265" si="207">IFERROR(AH202,"")</f>
        <v/>
      </c>
      <c r="F202" s="272" t="str">
        <f t="shared" ref="F202:F265" si="208">IFERROR(AF202,"")</f>
        <v/>
      </c>
      <c r="G202" s="272" t="str">
        <f t="shared" ref="G202:G265" si="209">IFERROR(IF(AI202=2,"-",AJ202),"")</f>
        <v/>
      </c>
      <c r="H202" s="269" t="str">
        <f t="shared" si="187"/>
        <v/>
      </c>
      <c r="I202" s="272" t="str">
        <f t="shared" ref="I202:I265" si="210">IFERROR(AM202,"")</f>
        <v/>
      </c>
      <c r="J202" s="272" t="str">
        <f t="shared" ref="J202:J265" si="211">IFERROR(IF(AP202=2,"-",AQ202),"")</f>
        <v/>
      </c>
      <c r="K202" s="269" t="str">
        <f t="shared" si="188"/>
        <v/>
      </c>
      <c r="L202" s="272" t="str">
        <f t="shared" si="189"/>
        <v/>
      </c>
      <c r="M202" s="272" t="str">
        <f t="shared" ref="M202:M265" si="212">IFERROR(IF(AX202=2,"-",AY202),"")</f>
        <v/>
      </c>
      <c r="N202" s="269" t="str">
        <f t="shared" ref="N202:N265" si="213">IFERROR(BE202,"")</f>
        <v/>
      </c>
      <c r="O202" s="272" t="str">
        <f t="shared" ref="O202:O265" si="214">IFERROR(IF(BB202=2,"-",BC202),"")</f>
        <v/>
      </c>
      <c r="P202" s="272" t="str">
        <f t="shared" ref="P202:P265" si="215">IFERROR(IF(BF202=2,"-",BG202),"")</f>
        <v/>
      </c>
      <c r="Q202" s="269" t="str">
        <f t="shared" ref="Q202:Q265" si="216">IFERROR(BM202,"")</f>
        <v/>
      </c>
      <c r="R202" s="272" t="str">
        <f t="shared" ref="R202:R265" si="217">IFERROR(IF(BJ202=2,"-",BK202),"")</f>
        <v/>
      </c>
      <c r="S202" s="272" t="str">
        <f t="shared" ref="S202:S265" si="218">IFERROR(IF(BN202=2,"-",BO202),"")</f>
        <v/>
      </c>
      <c r="T202" s="269" t="str">
        <f t="shared" ref="T202:T265" si="219">IFERROR(BR202,"")</f>
        <v/>
      </c>
      <c r="U202" s="230"/>
      <c r="V202" s="230"/>
      <c r="AB202" s="230" t="e">
        <f>VLOOKUP($B$6,Lookup_Source,195,0)</f>
        <v>#N/A</v>
      </c>
      <c r="AC202" s="254" t="str">
        <f t="shared" ref="AC202:AC265" si="220">IF(ISNUMBER(SEARCH("*",B202)),1,"")</f>
        <v/>
      </c>
      <c r="AD202" s="255">
        <f t="shared" ref="AD202:AD265" si="221">IFERROR(ERROR.TYPE(AE202),0)</f>
        <v>7</v>
      </c>
      <c r="AE202" s="274" t="e">
        <f t="shared" si="190"/>
        <v>#N/A</v>
      </c>
      <c r="AF202" s="277" t="e">
        <f t="shared" ref="AF202:AF265" si="222">IF(AG202&gt;0,AG202,"-")</f>
        <v>#N/A</v>
      </c>
      <c r="AG202" s="277" t="e">
        <f t="shared" ref="AG202:AG265" si="223">$AH202/$AH$8</f>
        <v>#N/A</v>
      </c>
      <c r="AH202" s="276" t="e">
        <f t="shared" si="191"/>
        <v>#N/A</v>
      </c>
      <c r="AI202" s="239">
        <f t="shared" ref="AI202:AI265" si="224">IFERROR(ERROR.TYPE(AJ202),0)</f>
        <v>7</v>
      </c>
      <c r="AJ202" s="277" t="e">
        <f t="shared" si="192"/>
        <v>#N/A</v>
      </c>
      <c r="AK202" s="277" t="e">
        <f t="shared" ref="AK202:AK265" si="225">$AH202/$AL202</f>
        <v>#N/A</v>
      </c>
      <c r="AL202" s="239" t="e">
        <f t="shared" si="193"/>
        <v>#N/A</v>
      </c>
      <c r="AM202" s="278" t="e">
        <f t="shared" ref="AM202:AM265" si="226">IF(AN202&gt;0,AN202,"-")</f>
        <v>#N/A</v>
      </c>
      <c r="AN202" s="279" t="e">
        <f t="shared" si="194"/>
        <v>#N/A</v>
      </c>
      <c r="AO202" s="240" t="e">
        <f t="shared" si="195"/>
        <v>#N/A</v>
      </c>
      <c r="AP202" s="297">
        <f t="shared" ref="AP202:AP265" si="227">IFERROR(ERROR.TYPE(AQ202),0)</f>
        <v>7</v>
      </c>
      <c r="AQ202" s="298" t="e">
        <f t="shared" si="196"/>
        <v>#N/A</v>
      </c>
      <c r="AR202" s="279" t="e">
        <f t="shared" ref="AR202:AR265" si="228">$AO202/$AS202</f>
        <v>#N/A</v>
      </c>
      <c r="AS202" s="283" t="e">
        <f t="shared" si="197"/>
        <v>#N/A</v>
      </c>
      <c r="AT202" s="284">
        <f t="shared" ref="AT202:AT265" si="229">IFERROR(ERROR.TYPE(AU202),0)</f>
        <v>7</v>
      </c>
      <c r="AU202" s="285" t="e">
        <f t="shared" ref="AU202:AU265" si="230">IF(AV202&gt;0,AV202,"-")</f>
        <v>#N/A</v>
      </c>
      <c r="AV202" s="286" t="e">
        <f t="shared" ref="AV202:AV265" si="231">AW202/$AW$8</f>
        <v>#N/A</v>
      </c>
      <c r="AW202" s="287" t="e">
        <f t="shared" si="198"/>
        <v>#N/A</v>
      </c>
      <c r="AX202" s="245">
        <f t="shared" ref="AX202:AX265" si="232">IFERROR(ERROR.TYPE(AY202),0)</f>
        <v>7</v>
      </c>
      <c r="AY202" s="286" t="e">
        <f t="shared" si="199"/>
        <v>#N/A</v>
      </c>
      <c r="AZ202" s="245" t="e">
        <f t="shared" ref="AZ202:AZ265" si="233">$AW202/$BA202</f>
        <v>#N/A</v>
      </c>
      <c r="BA202" s="245" t="e">
        <f t="shared" si="200"/>
        <v>#N/A</v>
      </c>
      <c r="BB202" s="288">
        <f t="shared" ref="BB202:BB265" si="234">IFERROR(ERROR.TYPE(BC202),0)</f>
        <v>7</v>
      </c>
      <c r="BC202" s="289" t="e">
        <f t="shared" ref="BC202:BC265" si="235">IF(BD202&gt;0,BD202,"-")</f>
        <v>#N/A</v>
      </c>
      <c r="BD202" s="290" t="e">
        <f t="shared" ref="BD202:BD265" si="236">$BE202/$BE$8</f>
        <v>#N/A</v>
      </c>
      <c r="BE202" s="263" t="e">
        <f t="shared" si="201"/>
        <v>#N/A</v>
      </c>
      <c r="BF202" s="260">
        <f t="shared" ref="BF202:BF265" si="237">IFERROR(ERROR.TYPE(BG202),0)</f>
        <v>7</v>
      </c>
      <c r="BG202" s="289" t="e">
        <f t="shared" ref="BG202:BG265" si="238">IF(BH202&gt;0,BH202,"-")</f>
        <v>#N/A</v>
      </c>
      <c r="BH202" s="290" t="e">
        <f t="shared" ref="BH202:BH265" si="239">$BE202/$BI202</f>
        <v>#N/A</v>
      </c>
      <c r="BI202" s="263" t="e">
        <f t="shared" si="202"/>
        <v>#N/A</v>
      </c>
      <c r="BJ202" s="264">
        <f t="shared" ref="BJ202:BJ265" si="240">IFERROR(ERROR.TYPE(BK202),0)</f>
        <v>7</v>
      </c>
      <c r="BK202" s="291" t="e">
        <f t="shared" ref="BK202:BK265" si="241">IF(BL202&gt;0,BL202,"-")</f>
        <v>#N/A</v>
      </c>
      <c r="BL202" s="291" t="e">
        <f t="shared" ref="BL202:BL265" si="242">$BM202/$BM$8</f>
        <v>#N/A</v>
      </c>
      <c r="BM202" s="292" t="e">
        <f t="shared" si="203"/>
        <v>#N/A</v>
      </c>
      <c r="BN202" s="293">
        <f t="shared" ref="BN202:BN265" si="243">IFERROR(ERROR.TYPE(BO202),0)</f>
        <v>7</v>
      </c>
      <c r="BO202" s="294" t="e">
        <f t="shared" ref="BO202:BO265" si="244">IF(BP202&gt;0,BP202,"-")</f>
        <v>#N/A</v>
      </c>
      <c r="BP202" s="294" t="e">
        <f t="shared" ref="BP202:BP265" si="245">$BM202/$BQ202</f>
        <v>#N/A</v>
      </c>
      <c r="BQ202" s="292" t="e">
        <f t="shared" si="204"/>
        <v>#N/A</v>
      </c>
      <c r="BR202" s="295" t="e">
        <f t="shared" si="205"/>
        <v>#N/A</v>
      </c>
      <c r="BS202" s="230" t="e">
        <f>VLOOKUP($B202,SDR22_STOCK_BY_LA!$A$2:$C$11679,3,0)</f>
        <v>#N/A</v>
      </c>
      <c r="BT202" s="230" t="str">
        <f t="shared" ref="BT202:BT265" si="246">$B$6&amp;$B202</f>
        <v/>
      </c>
    </row>
    <row r="203" spans="1:72" ht="12.5" x14ac:dyDescent="0.25">
      <c r="A203" s="269" t="str">
        <f t="shared" ref="A203:A266" si="247">IF(AC203=1,A202+1,"")</f>
        <v/>
      </c>
      <c r="B203" s="230" t="str">
        <f t="shared" si="186"/>
        <v/>
      </c>
      <c r="C203" s="270" t="str">
        <f t="shared" si="206"/>
        <v/>
      </c>
      <c r="D203" s="269" t="str">
        <f>IF(B203="","",IF(totals!$Q$3=0,IFERROR(IF(AD203=2,"0",AE203),""),"-"))</f>
        <v/>
      </c>
      <c r="E203" s="271" t="str">
        <f t="shared" si="207"/>
        <v/>
      </c>
      <c r="F203" s="272" t="str">
        <f t="shared" si="208"/>
        <v/>
      </c>
      <c r="G203" s="272" t="str">
        <f t="shared" si="209"/>
        <v/>
      </c>
      <c r="H203" s="269" t="str">
        <f t="shared" si="187"/>
        <v/>
      </c>
      <c r="I203" s="272" t="str">
        <f t="shared" si="210"/>
        <v/>
      </c>
      <c r="J203" s="272" t="str">
        <f t="shared" si="211"/>
        <v/>
      </c>
      <c r="K203" s="269" t="str">
        <f t="shared" si="188"/>
        <v/>
      </c>
      <c r="L203" s="272" t="str">
        <f t="shared" si="189"/>
        <v/>
      </c>
      <c r="M203" s="272" t="str">
        <f t="shared" si="212"/>
        <v/>
      </c>
      <c r="N203" s="269" t="str">
        <f t="shared" si="213"/>
        <v/>
      </c>
      <c r="O203" s="272" t="str">
        <f t="shared" si="214"/>
        <v/>
      </c>
      <c r="P203" s="272" t="str">
        <f t="shared" si="215"/>
        <v/>
      </c>
      <c r="Q203" s="269" t="str">
        <f t="shared" si="216"/>
        <v/>
      </c>
      <c r="R203" s="272" t="str">
        <f t="shared" si="217"/>
        <v/>
      </c>
      <c r="S203" s="272" t="str">
        <f t="shared" si="218"/>
        <v/>
      </c>
      <c r="T203" s="269" t="str">
        <f t="shared" si="219"/>
        <v/>
      </c>
      <c r="U203" s="230"/>
      <c r="V203" s="230"/>
      <c r="AB203" s="270" t="e">
        <f>VLOOKUP($B$6,Lookup_Source,196,0)</f>
        <v>#N/A</v>
      </c>
      <c r="AC203" s="254" t="str">
        <f t="shared" si="220"/>
        <v/>
      </c>
      <c r="AD203" s="255">
        <f t="shared" si="221"/>
        <v>7</v>
      </c>
      <c r="AE203" s="274" t="e">
        <f t="shared" si="190"/>
        <v>#N/A</v>
      </c>
      <c r="AF203" s="277" t="e">
        <f t="shared" si="222"/>
        <v>#N/A</v>
      </c>
      <c r="AG203" s="277" t="e">
        <f t="shared" si="223"/>
        <v>#N/A</v>
      </c>
      <c r="AH203" s="276" t="e">
        <f t="shared" si="191"/>
        <v>#N/A</v>
      </c>
      <c r="AI203" s="239">
        <f t="shared" si="224"/>
        <v>7</v>
      </c>
      <c r="AJ203" s="277" t="e">
        <f t="shared" si="192"/>
        <v>#N/A</v>
      </c>
      <c r="AK203" s="277" t="e">
        <f t="shared" si="225"/>
        <v>#N/A</v>
      </c>
      <c r="AL203" s="239" t="e">
        <f t="shared" si="193"/>
        <v>#N/A</v>
      </c>
      <c r="AM203" s="278" t="e">
        <f t="shared" si="226"/>
        <v>#N/A</v>
      </c>
      <c r="AN203" s="279" t="e">
        <f t="shared" si="194"/>
        <v>#N/A</v>
      </c>
      <c r="AO203" s="240" t="e">
        <f t="shared" si="195"/>
        <v>#N/A</v>
      </c>
      <c r="AP203" s="297">
        <f t="shared" si="227"/>
        <v>7</v>
      </c>
      <c r="AQ203" s="298" t="e">
        <f t="shared" si="196"/>
        <v>#N/A</v>
      </c>
      <c r="AR203" s="279" t="e">
        <f t="shared" si="228"/>
        <v>#N/A</v>
      </c>
      <c r="AS203" s="283" t="e">
        <f t="shared" si="197"/>
        <v>#N/A</v>
      </c>
      <c r="AT203" s="284">
        <f t="shared" si="229"/>
        <v>7</v>
      </c>
      <c r="AU203" s="285" t="e">
        <f t="shared" si="230"/>
        <v>#N/A</v>
      </c>
      <c r="AV203" s="286" t="e">
        <f t="shared" si="231"/>
        <v>#N/A</v>
      </c>
      <c r="AW203" s="287" t="e">
        <f t="shared" si="198"/>
        <v>#N/A</v>
      </c>
      <c r="AX203" s="245">
        <f t="shared" si="232"/>
        <v>7</v>
      </c>
      <c r="AY203" s="286" t="e">
        <f t="shared" si="199"/>
        <v>#N/A</v>
      </c>
      <c r="AZ203" s="245" t="e">
        <f t="shared" si="233"/>
        <v>#N/A</v>
      </c>
      <c r="BA203" s="245" t="e">
        <f t="shared" si="200"/>
        <v>#N/A</v>
      </c>
      <c r="BB203" s="288">
        <f t="shared" si="234"/>
        <v>7</v>
      </c>
      <c r="BC203" s="289" t="e">
        <f t="shared" si="235"/>
        <v>#N/A</v>
      </c>
      <c r="BD203" s="290" t="e">
        <f t="shared" si="236"/>
        <v>#N/A</v>
      </c>
      <c r="BE203" s="263" t="e">
        <f t="shared" si="201"/>
        <v>#N/A</v>
      </c>
      <c r="BF203" s="260">
        <f t="shared" si="237"/>
        <v>7</v>
      </c>
      <c r="BG203" s="289" t="e">
        <f t="shared" si="238"/>
        <v>#N/A</v>
      </c>
      <c r="BH203" s="290" t="e">
        <f t="shared" si="239"/>
        <v>#N/A</v>
      </c>
      <c r="BI203" s="263" t="e">
        <f t="shared" si="202"/>
        <v>#N/A</v>
      </c>
      <c r="BJ203" s="264">
        <f t="shared" si="240"/>
        <v>7</v>
      </c>
      <c r="BK203" s="291" t="e">
        <f t="shared" si="241"/>
        <v>#N/A</v>
      </c>
      <c r="BL203" s="291" t="e">
        <f t="shared" si="242"/>
        <v>#N/A</v>
      </c>
      <c r="BM203" s="292" t="e">
        <f t="shared" si="203"/>
        <v>#N/A</v>
      </c>
      <c r="BN203" s="293">
        <f t="shared" si="243"/>
        <v>7</v>
      </c>
      <c r="BO203" s="294" t="e">
        <f t="shared" si="244"/>
        <v>#N/A</v>
      </c>
      <c r="BP203" s="294" t="e">
        <f t="shared" si="245"/>
        <v>#N/A</v>
      </c>
      <c r="BQ203" s="292" t="e">
        <f t="shared" si="204"/>
        <v>#N/A</v>
      </c>
      <c r="BR203" s="295" t="e">
        <f t="shared" si="205"/>
        <v>#N/A</v>
      </c>
      <c r="BS203" s="230" t="e">
        <f>VLOOKUP($B203,SDR22_STOCK_BY_LA!$A$2:$C$11679,3,0)</f>
        <v>#N/A</v>
      </c>
      <c r="BT203" s="230" t="str">
        <f t="shared" si="246"/>
        <v/>
      </c>
    </row>
    <row r="204" spans="1:72" ht="12.5" x14ac:dyDescent="0.25">
      <c r="A204" s="230" t="str">
        <f t="shared" si="247"/>
        <v/>
      </c>
      <c r="B204" s="230" t="str">
        <f t="shared" si="186"/>
        <v/>
      </c>
      <c r="C204" s="296" t="str">
        <f t="shared" si="206"/>
        <v/>
      </c>
      <c r="D204" s="269" t="str">
        <f>IF(B204="","",IF(totals!$Q$3=0,IFERROR(IF(AD204=2,"0",AE204),""),"-"))</f>
        <v/>
      </c>
      <c r="E204" s="271" t="str">
        <f t="shared" si="207"/>
        <v/>
      </c>
      <c r="F204" s="272" t="str">
        <f t="shared" si="208"/>
        <v/>
      </c>
      <c r="G204" s="272" t="str">
        <f t="shared" si="209"/>
        <v/>
      </c>
      <c r="H204" s="269" t="str">
        <f t="shared" si="187"/>
        <v/>
      </c>
      <c r="I204" s="272" t="str">
        <f t="shared" si="210"/>
        <v/>
      </c>
      <c r="J204" s="272" t="str">
        <f t="shared" si="211"/>
        <v/>
      </c>
      <c r="K204" s="269" t="str">
        <f t="shared" si="188"/>
        <v/>
      </c>
      <c r="L204" s="272" t="str">
        <f t="shared" si="189"/>
        <v/>
      </c>
      <c r="M204" s="272" t="str">
        <f t="shared" si="212"/>
        <v/>
      </c>
      <c r="N204" s="269" t="str">
        <f t="shared" si="213"/>
        <v/>
      </c>
      <c r="O204" s="272" t="str">
        <f t="shared" si="214"/>
        <v/>
      </c>
      <c r="P204" s="272" t="str">
        <f t="shared" si="215"/>
        <v/>
      </c>
      <c r="Q204" s="269" t="str">
        <f t="shared" si="216"/>
        <v/>
      </c>
      <c r="R204" s="272" t="str">
        <f t="shared" si="217"/>
        <v/>
      </c>
      <c r="S204" s="272" t="str">
        <f t="shared" si="218"/>
        <v/>
      </c>
      <c r="T204" s="269" t="str">
        <f t="shared" si="219"/>
        <v/>
      </c>
      <c r="U204" s="230"/>
      <c r="V204" s="230"/>
      <c r="AB204" s="230" t="e">
        <f>VLOOKUP($B$6,Lookup_Source,197,0)</f>
        <v>#N/A</v>
      </c>
      <c r="AC204" s="254" t="str">
        <f t="shared" si="220"/>
        <v/>
      </c>
      <c r="AD204" s="255">
        <f t="shared" si="221"/>
        <v>7</v>
      </c>
      <c r="AE204" s="274" t="e">
        <f t="shared" si="190"/>
        <v>#N/A</v>
      </c>
      <c r="AF204" s="277" t="e">
        <f t="shared" si="222"/>
        <v>#N/A</v>
      </c>
      <c r="AG204" s="277" t="e">
        <f t="shared" si="223"/>
        <v>#N/A</v>
      </c>
      <c r="AH204" s="276" t="e">
        <f t="shared" si="191"/>
        <v>#N/A</v>
      </c>
      <c r="AI204" s="239">
        <f t="shared" si="224"/>
        <v>7</v>
      </c>
      <c r="AJ204" s="277" t="e">
        <f t="shared" si="192"/>
        <v>#N/A</v>
      </c>
      <c r="AK204" s="277" t="e">
        <f t="shared" si="225"/>
        <v>#N/A</v>
      </c>
      <c r="AL204" s="239" t="e">
        <f t="shared" si="193"/>
        <v>#N/A</v>
      </c>
      <c r="AM204" s="278" t="e">
        <f t="shared" si="226"/>
        <v>#N/A</v>
      </c>
      <c r="AN204" s="279" t="e">
        <f t="shared" si="194"/>
        <v>#N/A</v>
      </c>
      <c r="AO204" s="240" t="e">
        <f t="shared" si="195"/>
        <v>#N/A</v>
      </c>
      <c r="AP204" s="297">
        <f t="shared" si="227"/>
        <v>7</v>
      </c>
      <c r="AQ204" s="298" t="e">
        <f t="shared" si="196"/>
        <v>#N/A</v>
      </c>
      <c r="AR204" s="279" t="e">
        <f t="shared" si="228"/>
        <v>#N/A</v>
      </c>
      <c r="AS204" s="283" t="e">
        <f t="shared" si="197"/>
        <v>#N/A</v>
      </c>
      <c r="AT204" s="284">
        <f t="shared" si="229"/>
        <v>7</v>
      </c>
      <c r="AU204" s="285" t="e">
        <f t="shared" si="230"/>
        <v>#N/A</v>
      </c>
      <c r="AV204" s="286" t="e">
        <f t="shared" si="231"/>
        <v>#N/A</v>
      </c>
      <c r="AW204" s="287" t="e">
        <f t="shared" si="198"/>
        <v>#N/A</v>
      </c>
      <c r="AX204" s="245">
        <f t="shared" si="232"/>
        <v>7</v>
      </c>
      <c r="AY204" s="286" t="e">
        <f t="shared" si="199"/>
        <v>#N/A</v>
      </c>
      <c r="AZ204" s="245" t="e">
        <f t="shared" si="233"/>
        <v>#N/A</v>
      </c>
      <c r="BA204" s="245" t="e">
        <f t="shared" si="200"/>
        <v>#N/A</v>
      </c>
      <c r="BB204" s="288">
        <f t="shared" si="234"/>
        <v>7</v>
      </c>
      <c r="BC204" s="289" t="e">
        <f t="shared" si="235"/>
        <v>#N/A</v>
      </c>
      <c r="BD204" s="290" t="e">
        <f t="shared" si="236"/>
        <v>#N/A</v>
      </c>
      <c r="BE204" s="263" t="e">
        <f t="shared" si="201"/>
        <v>#N/A</v>
      </c>
      <c r="BF204" s="260">
        <f t="shared" si="237"/>
        <v>7</v>
      </c>
      <c r="BG204" s="289" t="e">
        <f t="shared" si="238"/>
        <v>#N/A</v>
      </c>
      <c r="BH204" s="290" t="e">
        <f t="shared" si="239"/>
        <v>#N/A</v>
      </c>
      <c r="BI204" s="263" t="e">
        <f t="shared" si="202"/>
        <v>#N/A</v>
      </c>
      <c r="BJ204" s="264">
        <f t="shared" si="240"/>
        <v>7</v>
      </c>
      <c r="BK204" s="291" t="e">
        <f t="shared" si="241"/>
        <v>#N/A</v>
      </c>
      <c r="BL204" s="291" t="e">
        <f t="shared" si="242"/>
        <v>#N/A</v>
      </c>
      <c r="BM204" s="292" t="e">
        <f t="shared" si="203"/>
        <v>#N/A</v>
      </c>
      <c r="BN204" s="293">
        <f t="shared" si="243"/>
        <v>7</v>
      </c>
      <c r="BO204" s="294" t="e">
        <f t="shared" si="244"/>
        <v>#N/A</v>
      </c>
      <c r="BP204" s="294" t="e">
        <f t="shared" si="245"/>
        <v>#N/A</v>
      </c>
      <c r="BQ204" s="292" t="e">
        <f t="shared" si="204"/>
        <v>#N/A</v>
      </c>
      <c r="BR204" s="295" t="e">
        <f t="shared" si="205"/>
        <v>#N/A</v>
      </c>
      <c r="BS204" s="230" t="e">
        <f>VLOOKUP($B204,SDR22_STOCK_BY_LA!$A$2:$C$11679,3,0)</f>
        <v>#N/A</v>
      </c>
      <c r="BT204" s="230" t="str">
        <f t="shared" si="246"/>
        <v/>
      </c>
    </row>
    <row r="205" spans="1:72" ht="12.5" x14ac:dyDescent="0.25">
      <c r="A205" s="269" t="str">
        <f t="shared" si="247"/>
        <v/>
      </c>
      <c r="B205" s="230" t="str">
        <f t="shared" ref="B205:B268" si="248">IFERROR(IF(AB205=0,"",AB205),"")</f>
        <v/>
      </c>
      <c r="C205" s="270" t="str">
        <f t="shared" si="206"/>
        <v/>
      </c>
      <c r="D205" s="269" t="str">
        <f>IF(B205="","",IF(totals!$Q$3=0,IFERROR(IF(AD205=2,"0",AE205),""),"-"))</f>
        <v/>
      </c>
      <c r="E205" s="271" t="str">
        <f t="shared" si="207"/>
        <v/>
      </c>
      <c r="F205" s="272" t="str">
        <f t="shared" si="208"/>
        <v/>
      </c>
      <c r="G205" s="272" t="str">
        <f t="shared" si="209"/>
        <v/>
      </c>
      <c r="H205" s="269" t="str">
        <f t="shared" si="187"/>
        <v/>
      </c>
      <c r="I205" s="272" t="str">
        <f t="shared" si="210"/>
        <v/>
      </c>
      <c r="J205" s="272" t="str">
        <f t="shared" si="211"/>
        <v/>
      </c>
      <c r="K205" s="269" t="str">
        <f t="shared" si="188"/>
        <v/>
      </c>
      <c r="L205" s="272" t="str">
        <f t="shared" si="189"/>
        <v/>
      </c>
      <c r="M205" s="272" t="str">
        <f t="shared" si="212"/>
        <v/>
      </c>
      <c r="N205" s="269" t="str">
        <f t="shared" si="213"/>
        <v/>
      </c>
      <c r="O205" s="272" t="str">
        <f t="shared" si="214"/>
        <v/>
      </c>
      <c r="P205" s="272" t="str">
        <f t="shared" si="215"/>
        <v/>
      </c>
      <c r="Q205" s="269" t="str">
        <f t="shared" si="216"/>
        <v/>
      </c>
      <c r="R205" s="272" t="str">
        <f t="shared" si="217"/>
        <v/>
      </c>
      <c r="S205" s="272" t="str">
        <f t="shared" si="218"/>
        <v/>
      </c>
      <c r="T205" s="269" t="str">
        <f t="shared" si="219"/>
        <v/>
      </c>
      <c r="U205" s="230"/>
      <c r="V205" s="230"/>
      <c r="AB205" s="270" t="e">
        <f>VLOOKUP($B$6,Lookup_Source,198,0)</f>
        <v>#N/A</v>
      </c>
      <c r="AC205" s="254" t="str">
        <f t="shared" si="220"/>
        <v/>
      </c>
      <c r="AD205" s="255">
        <f t="shared" si="221"/>
        <v>7</v>
      </c>
      <c r="AE205" s="274" t="e">
        <f t="shared" si="190"/>
        <v>#N/A</v>
      </c>
      <c r="AF205" s="277" t="e">
        <f t="shared" si="222"/>
        <v>#N/A</v>
      </c>
      <c r="AG205" s="277" t="e">
        <f t="shared" si="223"/>
        <v>#N/A</v>
      </c>
      <c r="AH205" s="276" t="e">
        <f t="shared" si="191"/>
        <v>#N/A</v>
      </c>
      <c r="AI205" s="239">
        <f t="shared" si="224"/>
        <v>7</v>
      </c>
      <c r="AJ205" s="277" t="e">
        <f t="shared" si="192"/>
        <v>#N/A</v>
      </c>
      <c r="AK205" s="277" t="e">
        <f t="shared" si="225"/>
        <v>#N/A</v>
      </c>
      <c r="AL205" s="239" t="e">
        <f t="shared" si="193"/>
        <v>#N/A</v>
      </c>
      <c r="AM205" s="278" t="e">
        <f t="shared" si="226"/>
        <v>#N/A</v>
      </c>
      <c r="AN205" s="279" t="e">
        <f t="shared" si="194"/>
        <v>#N/A</v>
      </c>
      <c r="AO205" s="240" t="e">
        <f t="shared" si="195"/>
        <v>#N/A</v>
      </c>
      <c r="AP205" s="297">
        <f t="shared" si="227"/>
        <v>7</v>
      </c>
      <c r="AQ205" s="298" t="e">
        <f t="shared" si="196"/>
        <v>#N/A</v>
      </c>
      <c r="AR205" s="279" t="e">
        <f t="shared" si="228"/>
        <v>#N/A</v>
      </c>
      <c r="AS205" s="283" t="e">
        <f t="shared" si="197"/>
        <v>#N/A</v>
      </c>
      <c r="AT205" s="284">
        <f t="shared" si="229"/>
        <v>7</v>
      </c>
      <c r="AU205" s="285" t="e">
        <f t="shared" si="230"/>
        <v>#N/A</v>
      </c>
      <c r="AV205" s="286" t="e">
        <f t="shared" si="231"/>
        <v>#N/A</v>
      </c>
      <c r="AW205" s="287" t="e">
        <f t="shared" si="198"/>
        <v>#N/A</v>
      </c>
      <c r="AX205" s="245">
        <f t="shared" si="232"/>
        <v>7</v>
      </c>
      <c r="AY205" s="286" t="e">
        <f t="shared" si="199"/>
        <v>#N/A</v>
      </c>
      <c r="AZ205" s="245" t="e">
        <f t="shared" si="233"/>
        <v>#N/A</v>
      </c>
      <c r="BA205" s="245" t="e">
        <f t="shared" si="200"/>
        <v>#N/A</v>
      </c>
      <c r="BB205" s="288">
        <f t="shared" si="234"/>
        <v>7</v>
      </c>
      <c r="BC205" s="289" t="e">
        <f t="shared" si="235"/>
        <v>#N/A</v>
      </c>
      <c r="BD205" s="290" t="e">
        <f t="shared" si="236"/>
        <v>#N/A</v>
      </c>
      <c r="BE205" s="263" t="e">
        <f t="shared" si="201"/>
        <v>#N/A</v>
      </c>
      <c r="BF205" s="260">
        <f t="shared" si="237"/>
        <v>7</v>
      </c>
      <c r="BG205" s="289" t="e">
        <f t="shared" si="238"/>
        <v>#N/A</v>
      </c>
      <c r="BH205" s="290" t="e">
        <f t="shared" si="239"/>
        <v>#N/A</v>
      </c>
      <c r="BI205" s="263" t="e">
        <f t="shared" si="202"/>
        <v>#N/A</v>
      </c>
      <c r="BJ205" s="264">
        <f t="shared" si="240"/>
        <v>7</v>
      </c>
      <c r="BK205" s="291" t="e">
        <f t="shared" si="241"/>
        <v>#N/A</v>
      </c>
      <c r="BL205" s="291" t="e">
        <f t="shared" si="242"/>
        <v>#N/A</v>
      </c>
      <c r="BM205" s="292" t="e">
        <f t="shared" si="203"/>
        <v>#N/A</v>
      </c>
      <c r="BN205" s="293">
        <f t="shared" si="243"/>
        <v>7</v>
      </c>
      <c r="BO205" s="294" t="e">
        <f t="shared" si="244"/>
        <v>#N/A</v>
      </c>
      <c r="BP205" s="294" t="e">
        <f t="shared" si="245"/>
        <v>#N/A</v>
      </c>
      <c r="BQ205" s="292" t="e">
        <f t="shared" si="204"/>
        <v>#N/A</v>
      </c>
      <c r="BR205" s="295" t="e">
        <f t="shared" si="205"/>
        <v>#N/A</v>
      </c>
      <c r="BS205" s="230" t="e">
        <f>VLOOKUP($B205,SDR22_STOCK_BY_LA!$A$2:$C$11679,3,0)</f>
        <v>#N/A</v>
      </c>
      <c r="BT205" s="230" t="str">
        <f t="shared" si="246"/>
        <v/>
      </c>
    </row>
    <row r="206" spans="1:72" ht="12.5" x14ac:dyDescent="0.25">
      <c r="A206" s="230" t="str">
        <f t="shared" si="247"/>
        <v/>
      </c>
      <c r="B206" s="230" t="str">
        <f t="shared" si="248"/>
        <v/>
      </c>
      <c r="C206" s="296" t="str">
        <f t="shared" si="206"/>
        <v/>
      </c>
      <c r="D206" s="269" t="str">
        <f>IF(B206="","",IF(totals!$Q$3=0,IFERROR(IF(AD206=2,"0",AE206),""),"-"))</f>
        <v/>
      </c>
      <c r="E206" s="271" t="str">
        <f t="shared" si="207"/>
        <v/>
      </c>
      <c r="F206" s="272" t="str">
        <f t="shared" si="208"/>
        <v/>
      </c>
      <c r="G206" s="272" t="str">
        <f t="shared" si="209"/>
        <v/>
      </c>
      <c r="H206" s="269" t="str">
        <f t="shared" si="187"/>
        <v/>
      </c>
      <c r="I206" s="272" t="str">
        <f t="shared" si="210"/>
        <v/>
      </c>
      <c r="J206" s="272" t="str">
        <f t="shared" si="211"/>
        <v/>
      </c>
      <c r="K206" s="269" t="str">
        <f t="shared" si="188"/>
        <v/>
      </c>
      <c r="L206" s="272" t="str">
        <f t="shared" si="189"/>
        <v/>
      </c>
      <c r="M206" s="272" t="str">
        <f t="shared" si="212"/>
        <v/>
      </c>
      <c r="N206" s="269" t="str">
        <f t="shared" si="213"/>
        <v/>
      </c>
      <c r="O206" s="272" t="str">
        <f t="shared" si="214"/>
        <v/>
      </c>
      <c r="P206" s="272" t="str">
        <f t="shared" si="215"/>
        <v/>
      </c>
      <c r="Q206" s="269" t="str">
        <f t="shared" si="216"/>
        <v/>
      </c>
      <c r="R206" s="272" t="str">
        <f t="shared" si="217"/>
        <v/>
      </c>
      <c r="S206" s="272" t="str">
        <f t="shared" si="218"/>
        <v/>
      </c>
      <c r="T206" s="269" t="str">
        <f t="shared" si="219"/>
        <v/>
      </c>
      <c r="U206" s="230"/>
      <c r="V206" s="230"/>
      <c r="AB206" s="230" t="e">
        <f>VLOOKUP($B$6,Lookup_Source,199,0)</f>
        <v>#N/A</v>
      </c>
      <c r="AC206" s="254" t="str">
        <f t="shared" si="220"/>
        <v/>
      </c>
      <c r="AD206" s="255">
        <f t="shared" si="221"/>
        <v>7</v>
      </c>
      <c r="AE206" s="274" t="e">
        <f t="shared" si="190"/>
        <v>#N/A</v>
      </c>
      <c r="AF206" s="277" t="e">
        <f t="shared" si="222"/>
        <v>#N/A</v>
      </c>
      <c r="AG206" s="277" t="e">
        <f t="shared" si="223"/>
        <v>#N/A</v>
      </c>
      <c r="AH206" s="276" t="e">
        <f t="shared" si="191"/>
        <v>#N/A</v>
      </c>
      <c r="AI206" s="239">
        <f t="shared" si="224"/>
        <v>7</v>
      </c>
      <c r="AJ206" s="277" t="e">
        <f t="shared" si="192"/>
        <v>#N/A</v>
      </c>
      <c r="AK206" s="277" t="e">
        <f t="shared" si="225"/>
        <v>#N/A</v>
      </c>
      <c r="AL206" s="239" t="e">
        <f t="shared" si="193"/>
        <v>#N/A</v>
      </c>
      <c r="AM206" s="278" t="e">
        <f t="shared" si="226"/>
        <v>#N/A</v>
      </c>
      <c r="AN206" s="279" t="e">
        <f t="shared" si="194"/>
        <v>#N/A</v>
      </c>
      <c r="AO206" s="240" t="e">
        <f t="shared" si="195"/>
        <v>#N/A</v>
      </c>
      <c r="AP206" s="297">
        <f t="shared" si="227"/>
        <v>7</v>
      </c>
      <c r="AQ206" s="298" t="e">
        <f t="shared" si="196"/>
        <v>#N/A</v>
      </c>
      <c r="AR206" s="279" t="e">
        <f t="shared" si="228"/>
        <v>#N/A</v>
      </c>
      <c r="AS206" s="283" t="e">
        <f t="shared" si="197"/>
        <v>#N/A</v>
      </c>
      <c r="AT206" s="284">
        <f t="shared" si="229"/>
        <v>7</v>
      </c>
      <c r="AU206" s="285" t="e">
        <f t="shared" si="230"/>
        <v>#N/A</v>
      </c>
      <c r="AV206" s="286" t="e">
        <f t="shared" si="231"/>
        <v>#N/A</v>
      </c>
      <c r="AW206" s="287" t="e">
        <f t="shared" si="198"/>
        <v>#N/A</v>
      </c>
      <c r="AX206" s="245">
        <f t="shared" si="232"/>
        <v>7</v>
      </c>
      <c r="AY206" s="286" t="e">
        <f t="shared" si="199"/>
        <v>#N/A</v>
      </c>
      <c r="AZ206" s="245" t="e">
        <f t="shared" si="233"/>
        <v>#N/A</v>
      </c>
      <c r="BA206" s="245" t="e">
        <f t="shared" si="200"/>
        <v>#N/A</v>
      </c>
      <c r="BB206" s="288">
        <f t="shared" si="234"/>
        <v>7</v>
      </c>
      <c r="BC206" s="289" t="e">
        <f t="shared" si="235"/>
        <v>#N/A</v>
      </c>
      <c r="BD206" s="290" t="e">
        <f t="shared" si="236"/>
        <v>#N/A</v>
      </c>
      <c r="BE206" s="263" t="e">
        <f t="shared" si="201"/>
        <v>#N/A</v>
      </c>
      <c r="BF206" s="260">
        <f t="shared" si="237"/>
        <v>7</v>
      </c>
      <c r="BG206" s="289" t="e">
        <f t="shared" si="238"/>
        <v>#N/A</v>
      </c>
      <c r="BH206" s="290" t="e">
        <f t="shared" si="239"/>
        <v>#N/A</v>
      </c>
      <c r="BI206" s="263" t="e">
        <f t="shared" si="202"/>
        <v>#N/A</v>
      </c>
      <c r="BJ206" s="264">
        <f t="shared" si="240"/>
        <v>7</v>
      </c>
      <c r="BK206" s="291" t="e">
        <f t="shared" si="241"/>
        <v>#N/A</v>
      </c>
      <c r="BL206" s="291" t="e">
        <f t="shared" si="242"/>
        <v>#N/A</v>
      </c>
      <c r="BM206" s="292" t="e">
        <f t="shared" si="203"/>
        <v>#N/A</v>
      </c>
      <c r="BN206" s="293">
        <f t="shared" si="243"/>
        <v>7</v>
      </c>
      <c r="BO206" s="294" t="e">
        <f t="shared" si="244"/>
        <v>#N/A</v>
      </c>
      <c r="BP206" s="294" t="e">
        <f t="shared" si="245"/>
        <v>#N/A</v>
      </c>
      <c r="BQ206" s="292" t="e">
        <f t="shared" si="204"/>
        <v>#N/A</v>
      </c>
      <c r="BR206" s="295" t="e">
        <f t="shared" si="205"/>
        <v>#N/A</v>
      </c>
      <c r="BS206" s="230" t="e">
        <f>VLOOKUP($B206,SDR22_STOCK_BY_LA!$A$2:$C$11679,3,0)</f>
        <v>#N/A</v>
      </c>
      <c r="BT206" s="230" t="str">
        <f t="shared" si="246"/>
        <v/>
      </c>
    </row>
    <row r="207" spans="1:72" ht="12.5" x14ac:dyDescent="0.25">
      <c r="A207" s="269" t="str">
        <f t="shared" si="247"/>
        <v/>
      </c>
      <c r="B207" s="230" t="str">
        <f t="shared" si="248"/>
        <v/>
      </c>
      <c r="C207" s="270" t="str">
        <f t="shared" si="206"/>
        <v/>
      </c>
      <c r="D207" s="269" t="str">
        <f>IF(B207="","",IF(totals!$Q$3=0,IFERROR(IF(AD207=2,"0",AE207),""),"-"))</f>
        <v/>
      </c>
      <c r="E207" s="271" t="str">
        <f t="shared" si="207"/>
        <v/>
      </c>
      <c r="F207" s="272" t="str">
        <f t="shared" si="208"/>
        <v/>
      </c>
      <c r="G207" s="272" t="str">
        <f t="shared" si="209"/>
        <v/>
      </c>
      <c r="H207" s="269" t="str">
        <f t="shared" si="187"/>
        <v/>
      </c>
      <c r="I207" s="272" t="str">
        <f t="shared" si="210"/>
        <v/>
      </c>
      <c r="J207" s="272" t="str">
        <f t="shared" si="211"/>
        <v/>
      </c>
      <c r="K207" s="269" t="str">
        <f t="shared" si="188"/>
        <v/>
      </c>
      <c r="L207" s="272" t="str">
        <f t="shared" si="189"/>
        <v/>
      </c>
      <c r="M207" s="272" t="str">
        <f t="shared" si="212"/>
        <v/>
      </c>
      <c r="N207" s="269" t="str">
        <f t="shared" si="213"/>
        <v/>
      </c>
      <c r="O207" s="272" t="str">
        <f t="shared" si="214"/>
        <v/>
      </c>
      <c r="P207" s="272" t="str">
        <f t="shared" si="215"/>
        <v/>
      </c>
      <c r="Q207" s="269" t="str">
        <f t="shared" si="216"/>
        <v/>
      </c>
      <c r="R207" s="272" t="str">
        <f t="shared" si="217"/>
        <v/>
      </c>
      <c r="S207" s="272" t="str">
        <f t="shared" si="218"/>
        <v/>
      </c>
      <c r="T207" s="269" t="str">
        <f t="shared" si="219"/>
        <v/>
      </c>
      <c r="U207" s="230"/>
      <c r="V207" s="230"/>
      <c r="AB207" s="270" t="e">
        <f>VLOOKUP($B$6,Lookup_Source,200,0)</f>
        <v>#N/A</v>
      </c>
      <c r="AC207" s="254" t="str">
        <f t="shared" si="220"/>
        <v/>
      </c>
      <c r="AD207" s="255">
        <f t="shared" si="221"/>
        <v>7</v>
      </c>
      <c r="AE207" s="274" t="e">
        <f t="shared" si="190"/>
        <v>#N/A</v>
      </c>
      <c r="AF207" s="277" t="e">
        <f t="shared" si="222"/>
        <v>#N/A</v>
      </c>
      <c r="AG207" s="277" t="e">
        <f t="shared" si="223"/>
        <v>#N/A</v>
      </c>
      <c r="AH207" s="276" t="e">
        <f t="shared" si="191"/>
        <v>#N/A</v>
      </c>
      <c r="AI207" s="239">
        <f t="shared" si="224"/>
        <v>7</v>
      </c>
      <c r="AJ207" s="277" t="e">
        <f t="shared" si="192"/>
        <v>#N/A</v>
      </c>
      <c r="AK207" s="277" t="e">
        <f t="shared" si="225"/>
        <v>#N/A</v>
      </c>
      <c r="AL207" s="239" t="e">
        <f t="shared" si="193"/>
        <v>#N/A</v>
      </c>
      <c r="AM207" s="278" t="e">
        <f t="shared" si="226"/>
        <v>#N/A</v>
      </c>
      <c r="AN207" s="279" t="e">
        <f t="shared" si="194"/>
        <v>#N/A</v>
      </c>
      <c r="AO207" s="240" t="e">
        <f t="shared" si="195"/>
        <v>#N/A</v>
      </c>
      <c r="AP207" s="297">
        <f t="shared" si="227"/>
        <v>7</v>
      </c>
      <c r="AQ207" s="298" t="e">
        <f t="shared" si="196"/>
        <v>#N/A</v>
      </c>
      <c r="AR207" s="279" t="e">
        <f t="shared" si="228"/>
        <v>#N/A</v>
      </c>
      <c r="AS207" s="283" t="e">
        <f t="shared" si="197"/>
        <v>#N/A</v>
      </c>
      <c r="AT207" s="284">
        <f t="shared" si="229"/>
        <v>7</v>
      </c>
      <c r="AU207" s="285" t="e">
        <f t="shared" si="230"/>
        <v>#N/A</v>
      </c>
      <c r="AV207" s="286" t="e">
        <f t="shared" si="231"/>
        <v>#N/A</v>
      </c>
      <c r="AW207" s="287" t="e">
        <f t="shared" si="198"/>
        <v>#N/A</v>
      </c>
      <c r="AX207" s="245">
        <f t="shared" si="232"/>
        <v>7</v>
      </c>
      <c r="AY207" s="286" t="e">
        <f t="shared" si="199"/>
        <v>#N/A</v>
      </c>
      <c r="AZ207" s="245" t="e">
        <f t="shared" si="233"/>
        <v>#N/A</v>
      </c>
      <c r="BA207" s="245" t="e">
        <f t="shared" si="200"/>
        <v>#N/A</v>
      </c>
      <c r="BB207" s="288">
        <f t="shared" si="234"/>
        <v>7</v>
      </c>
      <c r="BC207" s="289" t="e">
        <f t="shared" si="235"/>
        <v>#N/A</v>
      </c>
      <c r="BD207" s="290" t="e">
        <f t="shared" si="236"/>
        <v>#N/A</v>
      </c>
      <c r="BE207" s="263" t="e">
        <f t="shared" si="201"/>
        <v>#N/A</v>
      </c>
      <c r="BF207" s="260">
        <f t="shared" si="237"/>
        <v>7</v>
      </c>
      <c r="BG207" s="289" t="e">
        <f t="shared" si="238"/>
        <v>#N/A</v>
      </c>
      <c r="BH207" s="290" t="e">
        <f t="shared" si="239"/>
        <v>#N/A</v>
      </c>
      <c r="BI207" s="263" t="e">
        <f t="shared" si="202"/>
        <v>#N/A</v>
      </c>
      <c r="BJ207" s="264">
        <f t="shared" si="240"/>
        <v>7</v>
      </c>
      <c r="BK207" s="291" t="e">
        <f t="shared" si="241"/>
        <v>#N/A</v>
      </c>
      <c r="BL207" s="291" t="e">
        <f t="shared" si="242"/>
        <v>#N/A</v>
      </c>
      <c r="BM207" s="292" t="e">
        <f t="shared" si="203"/>
        <v>#N/A</v>
      </c>
      <c r="BN207" s="293">
        <f t="shared" si="243"/>
        <v>7</v>
      </c>
      <c r="BO207" s="294" t="e">
        <f t="shared" si="244"/>
        <v>#N/A</v>
      </c>
      <c r="BP207" s="294" t="e">
        <f t="shared" si="245"/>
        <v>#N/A</v>
      </c>
      <c r="BQ207" s="292" t="e">
        <f t="shared" si="204"/>
        <v>#N/A</v>
      </c>
      <c r="BR207" s="295" t="e">
        <f t="shared" si="205"/>
        <v>#N/A</v>
      </c>
      <c r="BS207" s="230" t="e">
        <f>VLOOKUP($B207,SDR22_STOCK_BY_LA!$A$2:$C$11679,3,0)</f>
        <v>#N/A</v>
      </c>
      <c r="BT207" s="230" t="str">
        <f t="shared" si="246"/>
        <v/>
      </c>
    </row>
    <row r="208" spans="1:72" ht="12.5" x14ac:dyDescent="0.25">
      <c r="A208" s="230" t="str">
        <f t="shared" si="247"/>
        <v/>
      </c>
      <c r="B208" s="230" t="str">
        <f t="shared" si="248"/>
        <v/>
      </c>
      <c r="C208" s="296" t="str">
        <f t="shared" si="206"/>
        <v/>
      </c>
      <c r="D208" s="269" t="str">
        <f>IF(B208="","",IF(totals!$Q$3=0,IFERROR(IF(AD208=2,"0",AE208),""),"-"))</f>
        <v/>
      </c>
      <c r="E208" s="271" t="str">
        <f t="shared" si="207"/>
        <v/>
      </c>
      <c r="F208" s="272" t="str">
        <f t="shared" si="208"/>
        <v/>
      </c>
      <c r="G208" s="272" t="str">
        <f t="shared" si="209"/>
        <v/>
      </c>
      <c r="H208" s="269" t="str">
        <f t="shared" si="187"/>
        <v/>
      </c>
      <c r="I208" s="272" t="str">
        <f t="shared" si="210"/>
        <v/>
      </c>
      <c r="J208" s="272" t="str">
        <f t="shared" si="211"/>
        <v/>
      </c>
      <c r="K208" s="269" t="str">
        <f t="shared" si="188"/>
        <v/>
      </c>
      <c r="L208" s="272" t="str">
        <f t="shared" si="189"/>
        <v/>
      </c>
      <c r="M208" s="272" t="str">
        <f t="shared" si="212"/>
        <v/>
      </c>
      <c r="N208" s="269" t="str">
        <f t="shared" si="213"/>
        <v/>
      </c>
      <c r="O208" s="272" t="str">
        <f t="shared" si="214"/>
        <v/>
      </c>
      <c r="P208" s="272" t="str">
        <f t="shared" si="215"/>
        <v/>
      </c>
      <c r="Q208" s="269" t="str">
        <f t="shared" si="216"/>
        <v/>
      </c>
      <c r="R208" s="272" t="str">
        <f t="shared" si="217"/>
        <v/>
      </c>
      <c r="S208" s="272" t="str">
        <f t="shared" si="218"/>
        <v/>
      </c>
      <c r="T208" s="269" t="str">
        <f t="shared" si="219"/>
        <v/>
      </c>
      <c r="U208" s="230"/>
      <c r="V208" s="230"/>
      <c r="AB208" s="230" t="e">
        <f>VLOOKUP($B$6,Lookup_Source,201,0)</f>
        <v>#N/A</v>
      </c>
      <c r="AC208" s="254" t="str">
        <f t="shared" si="220"/>
        <v/>
      </c>
      <c r="AD208" s="255">
        <f t="shared" si="221"/>
        <v>7</v>
      </c>
      <c r="AE208" s="274" t="e">
        <f t="shared" si="190"/>
        <v>#N/A</v>
      </c>
      <c r="AF208" s="277" t="e">
        <f t="shared" si="222"/>
        <v>#N/A</v>
      </c>
      <c r="AG208" s="277" t="e">
        <f t="shared" si="223"/>
        <v>#N/A</v>
      </c>
      <c r="AH208" s="276" t="e">
        <f t="shared" si="191"/>
        <v>#N/A</v>
      </c>
      <c r="AI208" s="239">
        <f t="shared" si="224"/>
        <v>7</v>
      </c>
      <c r="AJ208" s="277" t="e">
        <f t="shared" si="192"/>
        <v>#N/A</v>
      </c>
      <c r="AK208" s="277" t="e">
        <f t="shared" si="225"/>
        <v>#N/A</v>
      </c>
      <c r="AL208" s="239" t="e">
        <f t="shared" si="193"/>
        <v>#N/A</v>
      </c>
      <c r="AM208" s="278" t="e">
        <f t="shared" si="226"/>
        <v>#N/A</v>
      </c>
      <c r="AN208" s="279" t="e">
        <f t="shared" si="194"/>
        <v>#N/A</v>
      </c>
      <c r="AO208" s="240" t="e">
        <f t="shared" si="195"/>
        <v>#N/A</v>
      </c>
      <c r="AP208" s="297">
        <f t="shared" si="227"/>
        <v>7</v>
      </c>
      <c r="AQ208" s="298" t="e">
        <f t="shared" si="196"/>
        <v>#N/A</v>
      </c>
      <c r="AR208" s="279" t="e">
        <f t="shared" si="228"/>
        <v>#N/A</v>
      </c>
      <c r="AS208" s="283" t="e">
        <f t="shared" si="197"/>
        <v>#N/A</v>
      </c>
      <c r="AT208" s="284">
        <f t="shared" si="229"/>
        <v>7</v>
      </c>
      <c r="AU208" s="285" t="e">
        <f t="shared" si="230"/>
        <v>#N/A</v>
      </c>
      <c r="AV208" s="286" t="e">
        <f t="shared" si="231"/>
        <v>#N/A</v>
      </c>
      <c r="AW208" s="287" t="e">
        <f t="shared" si="198"/>
        <v>#N/A</v>
      </c>
      <c r="AX208" s="245">
        <f t="shared" si="232"/>
        <v>7</v>
      </c>
      <c r="AY208" s="286" t="e">
        <f t="shared" si="199"/>
        <v>#N/A</v>
      </c>
      <c r="AZ208" s="245" t="e">
        <f t="shared" si="233"/>
        <v>#N/A</v>
      </c>
      <c r="BA208" s="245" t="e">
        <f t="shared" si="200"/>
        <v>#N/A</v>
      </c>
      <c r="BB208" s="288">
        <f t="shared" si="234"/>
        <v>7</v>
      </c>
      <c r="BC208" s="289" t="e">
        <f t="shared" si="235"/>
        <v>#N/A</v>
      </c>
      <c r="BD208" s="290" t="e">
        <f t="shared" si="236"/>
        <v>#N/A</v>
      </c>
      <c r="BE208" s="263" t="e">
        <f t="shared" si="201"/>
        <v>#N/A</v>
      </c>
      <c r="BF208" s="260">
        <f t="shared" si="237"/>
        <v>7</v>
      </c>
      <c r="BG208" s="289" t="e">
        <f t="shared" si="238"/>
        <v>#N/A</v>
      </c>
      <c r="BH208" s="290" t="e">
        <f t="shared" si="239"/>
        <v>#N/A</v>
      </c>
      <c r="BI208" s="263" t="e">
        <f t="shared" si="202"/>
        <v>#N/A</v>
      </c>
      <c r="BJ208" s="264">
        <f t="shared" si="240"/>
        <v>7</v>
      </c>
      <c r="BK208" s="291" t="e">
        <f t="shared" si="241"/>
        <v>#N/A</v>
      </c>
      <c r="BL208" s="291" t="e">
        <f t="shared" si="242"/>
        <v>#N/A</v>
      </c>
      <c r="BM208" s="292" t="e">
        <f t="shared" si="203"/>
        <v>#N/A</v>
      </c>
      <c r="BN208" s="293">
        <f t="shared" si="243"/>
        <v>7</v>
      </c>
      <c r="BO208" s="294" t="e">
        <f t="shared" si="244"/>
        <v>#N/A</v>
      </c>
      <c r="BP208" s="294" t="e">
        <f t="shared" si="245"/>
        <v>#N/A</v>
      </c>
      <c r="BQ208" s="292" t="e">
        <f t="shared" si="204"/>
        <v>#N/A</v>
      </c>
      <c r="BR208" s="295" t="e">
        <f t="shared" si="205"/>
        <v>#N/A</v>
      </c>
      <c r="BS208" s="230" t="e">
        <f>VLOOKUP($B208,SDR22_STOCK_BY_LA!$A$2:$C$11679,3,0)</f>
        <v>#N/A</v>
      </c>
      <c r="BT208" s="230" t="str">
        <f t="shared" si="246"/>
        <v/>
      </c>
    </row>
    <row r="209" spans="1:72" ht="12.5" x14ac:dyDescent="0.25">
      <c r="A209" s="269" t="str">
        <f t="shared" si="247"/>
        <v/>
      </c>
      <c r="B209" s="230" t="str">
        <f t="shared" si="248"/>
        <v/>
      </c>
      <c r="C209" s="270" t="str">
        <f t="shared" si="206"/>
        <v/>
      </c>
      <c r="D209" s="269" t="str">
        <f>IF(B209="","",IF(totals!$Q$3=0,IFERROR(IF(AD209=2,"0",AE209),""),"-"))</f>
        <v/>
      </c>
      <c r="E209" s="271" t="str">
        <f t="shared" si="207"/>
        <v/>
      </c>
      <c r="F209" s="272" t="str">
        <f t="shared" si="208"/>
        <v/>
      </c>
      <c r="G209" s="272" t="str">
        <f t="shared" si="209"/>
        <v/>
      </c>
      <c r="H209" s="269" t="str">
        <f t="shared" si="187"/>
        <v/>
      </c>
      <c r="I209" s="272" t="str">
        <f t="shared" si="210"/>
        <v/>
      </c>
      <c r="J209" s="272" t="str">
        <f t="shared" si="211"/>
        <v/>
      </c>
      <c r="K209" s="269" t="str">
        <f t="shared" si="188"/>
        <v/>
      </c>
      <c r="L209" s="272" t="str">
        <f t="shared" si="189"/>
        <v/>
      </c>
      <c r="M209" s="272" t="str">
        <f t="shared" si="212"/>
        <v/>
      </c>
      <c r="N209" s="269" t="str">
        <f t="shared" si="213"/>
        <v/>
      </c>
      <c r="O209" s="272" t="str">
        <f t="shared" si="214"/>
        <v/>
      </c>
      <c r="P209" s="272" t="str">
        <f t="shared" si="215"/>
        <v/>
      </c>
      <c r="Q209" s="269" t="str">
        <f t="shared" si="216"/>
        <v/>
      </c>
      <c r="R209" s="272" t="str">
        <f t="shared" si="217"/>
        <v/>
      </c>
      <c r="S209" s="272" t="str">
        <f t="shared" si="218"/>
        <v/>
      </c>
      <c r="T209" s="269" t="str">
        <f t="shared" si="219"/>
        <v/>
      </c>
      <c r="U209" s="230"/>
      <c r="V209" s="230"/>
      <c r="AB209" s="270" t="e">
        <f>VLOOKUP($B$6,Lookup_Source,202,0)</f>
        <v>#N/A</v>
      </c>
      <c r="AC209" s="254" t="str">
        <f t="shared" si="220"/>
        <v/>
      </c>
      <c r="AD209" s="255">
        <f t="shared" si="221"/>
        <v>7</v>
      </c>
      <c r="AE209" s="274" t="e">
        <f t="shared" si="190"/>
        <v>#N/A</v>
      </c>
      <c r="AF209" s="277" t="e">
        <f t="shared" si="222"/>
        <v>#N/A</v>
      </c>
      <c r="AG209" s="277" t="e">
        <f t="shared" si="223"/>
        <v>#N/A</v>
      </c>
      <c r="AH209" s="276" t="e">
        <f t="shared" si="191"/>
        <v>#N/A</v>
      </c>
      <c r="AI209" s="239">
        <f t="shared" si="224"/>
        <v>7</v>
      </c>
      <c r="AJ209" s="277" t="e">
        <f t="shared" si="192"/>
        <v>#N/A</v>
      </c>
      <c r="AK209" s="277" t="e">
        <f t="shared" si="225"/>
        <v>#N/A</v>
      </c>
      <c r="AL209" s="239" t="e">
        <f t="shared" si="193"/>
        <v>#N/A</v>
      </c>
      <c r="AM209" s="278" t="e">
        <f t="shared" si="226"/>
        <v>#N/A</v>
      </c>
      <c r="AN209" s="279" t="e">
        <f t="shared" si="194"/>
        <v>#N/A</v>
      </c>
      <c r="AO209" s="240" t="e">
        <f t="shared" si="195"/>
        <v>#N/A</v>
      </c>
      <c r="AP209" s="297">
        <f t="shared" si="227"/>
        <v>7</v>
      </c>
      <c r="AQ209" s="298" t="e">
        <f t="shared" si="196"/>
        <v>#N/A</v>
      </c>
      <c r="AR209" s="279" t="e">
        <f t="shared" si="228"/>
        <v>#N/A</v>
      </c>
      <c r="AS209" s="283" t="e">
        <f t="shared" si="197"/>
        <v>#N/A</v>
      </c>
      <c r="AT209" s="284">
        <f t="shared" si="229"/>
        <v>7</v>
      </c>
      <c r="AU209" s="285" t="e">
        <f t="shared" si="230"/>
        <v>#N/A</v>
      </c>
      <c r="AV209" s="286" t="e">
        <f t="shared" si="231"/>
        <v>#N/A</v>
      </c>
      <c r="AW209" s="287" t="e">
        <f t="shared" si="198"/>
        <v>#N/A</v>
      </c>
      <c r="AX209" s="245">
        <f t="shared" si="232"/>
        <v>7</v>
      </c>
      <c r="AY209" s="286" t="e">
        <f t="shared" si="199"/>
        <v>#N/A</v>
      </c>
      <c r="AZ209" s="245" t="e">
        <f t="shared" si="233"/>
        <v>#N/A</v>
      </c>
      <c r="BA209" s="245" t="e">
        <f t="shared" si="200"/>
        <v>#N/A</v>
      </c>
      <c r="BB209" s="288">
        <f t="shared" si="234"/>
        <v>7</v>
      </c>
      <c r="BC209" s="289" t="e">
        <f t="shared" si="235"/>
        <v>#N/A</v>
      </c>
      <c r="BD209" s="290" t="e">
        <f t="shared" si="236"/>
        <v>#N/A</v>
      </c>
      <c r="BE209" s="263" t="e">
        <f t="shared" si="201"/>
        <v>#N/A</v>
      </c>
      <c r="BF209" s="260">
        <f t="shared" si="237"/>
        <v>7</v>
      </c>
      <c r="BG209" s="289" t="e">
        <f t="shared" si="238"/>
        <v>#N/A</v>
      </c>
      <c r="BH209" s="290" t="e">
        <f t="shared" si="239"/>
        <v>#N/A</v>
      </c>
      <c r="BI209" s="263" t="e">
        <f t="shared" si="202"/>
        <v>#N/A</v>
      </c>
      <c r="BJ209" s="264">
        <f t="shared" si="240"/>
        <v>7</v>
      </c>
      <c r="BK209" s="291" t="e">
        <f t="shared" si="241"/>
        <v>#N/A</v>
      </c>
      <c r="BL209" s="291" t="e">
        <f t="shared" si="242"/>
        <v>#N/A</v>
      </c>
      <c r="BM209" s="292" t="e">
        <f t="shared" si="203"/>
        <v>#N/A</v>
      </c>
      <c r="BN209" s="293">
        <f t="shared" si="243"/>
        <v>7</v>
      </c>
      <c r="BO209" s="294" t="e">
        <f t="shared" si="244"/>
        <v>#N/A</v>
      </c>
      <c r="BP209" s="294" t="e">
        <f t="shared" si="245"/>
        <v>#N/A</v>
      </c>
      <c r="BQ209" s="292" t="e">
        <f t="shared" si="204"/>
        <v>#N/A</v>
      </c>
      <c r="BR209" s="295" t="e">
        <f t="shared" si="205"/>
        <v>#N/A</v>
      </c>
      <c r="BS209" s="230" t="e">
        <f>VLOOKUP($B209,SDR22_STOCK_BY_LA!$A$2:$C$11679,3,0)</f>
        <v>#N/A</v>
      </c>
      <c r="BT209" s="230" t="str">
        <f t="shared" si="246"/>
        <v/>
      </c>
    </row>
    <row r="210" spans="1:72" ht="12.5" x14ac:dyDescent="0.25">
      <c r="A210" s="230" t="str">
        <f t="shared" si="247"/>
        <v/>
      </c>
      <c r="B210" s="230" t="str">
        <f t="shared" si="248"/>
        <v/>
      </c>
      <c r="C210" s="296" t="str">
        <f t="shared" si="206"/>
        <v/>
      </c>
      <c r="D210" s="269" t="str">
        <f>IF(B210="","",IF(totals!$Q$3=0,IFERROR(IF(AD210=2,"0",AE210),""),"-"))</f>
        <v/>
      </c>
      <c r="E210" s="271" t="str">
        <f t="shared" si="207"/>
        <v/>
      </c>
      <c r="F210" s="272" t="str">
        <f t="shared" si="208"/>
        <v/>
      </c>
      <c r="G210" s="272" t="str">
        <f t="shared" si="209"/>
        <v/>
      </c>
      <c r="H210" s="269" t="str">
        <f t="shared" si="187"/>
        <v/>
      </c>
      <c r="I210" s="272" t="str">
        <f t="shared" si="210"/>
        <v/>
      </c>
      <c r="J210" s="272" t="str">
        <f t="shared" si="211"/>
        <v/>
      </c>
      <c r="K210" s="269" t="str">
        <f t="shared" si="188"/>
        <v/>
      </c>
      <c r="L210" s="272" t="str">
        <f t="shared" si="189"/>
        <v/>
      </c>
      <c r="M210" s="272" t="str">
        <f t="shared" si="212"/>
        <v/>
      </c>
      <c r="N210" s="269" t="str">
        <f t="shared" si="213"/>
        <v/>
      </c>
      <c r="O210" s="272" t="str">
        <f t="shared" si="214"/>
        <v/>
      </c>
      <c r="P210" s="272" t="str">
        <f t="shared" si="215"/>
        <v/>
      </c>
      <c r="Q210" s="269" t="str">
        <f t="shared" si="216"/>
        <v/>
      </c>
      <c r="R210" s="272" t="str">
        <f t="shared" si="217"/>
        <v/>
      </c>
      <c r="S210" s="272" t="str">
        <f t="shared" si="218"/>
        <v/>
      </c>
      <c r="T210" s="269" t="str">
        <f t="shared" si="219"/>
        <v/>
      </c>
      <c r="U210" s="230"/>
      <c r="V210" s="230"/>
      <c r="AB210" s="230" t="e">
        <f>VLOOKUP($B$6,Lookup_Source,203,0)</f>
        <v>#N/A</v>
      </c>
      <c r="AC210" s="254" t="str">
        <f t="shared" si="220"/>
        <v/>
      </c>
      <c r="AD210" s="255">
        <f t="shared" si="221"/>
        <v>7</v>
      </c>
      <c r="AE210" s="274" t="e">
        <f t="shared" si="190"/>
        <v>#N/A</v>
      </c>
      <c r="AF210" s="277" t="e">
        <f t="shared" si="222"/>
        <v>#N/A</v>
      </c>
      <c r="AG210" s="277" t="e">
        <f t="shared" si="223"/>
        <v>#N/A</v>
      </c>
      <c r="AH210" s="276" t="e">
        <f t="shared" si="191"/>
        <v>#N/A</v>
      </c>
      <c r="AI210" s="239">
        <f t="shared" si="224"/>
        <v>7</v>
      </c>
      <c r="AJ210" s="277" t="e">
        <f t="shared" si="192"/>
        <v>#N/A</v>
      </c>
      <c r="AK210" s="277" t="e">
        <f t="shared" si="225"/>
        <v>#N/A</v>
      </c>
      <c r="AL210" s="239" t="e">
        <f t="shared" si="193"/>
        <v>#N/A</v>
      </c>
      <c r="AM210" s="278" t="e">
        <f t="shared" si="226"/>
        <v>#N/A</v>
      </c>
      <c r="AN210" s="279" t="e">
        <f t="shared" si="194"/>
        <v>#N/A</v>
      </c>
      <c r="AO210" s="240" t="e">
        <f t="shared" si="195"/>
        <v>#N/A</v>
      </c>
      <c r="AP210" s="297">
        <f t="shared" si="227"/>
        <v>7</v>
      </c>
      <c r="AQ210" s="298" t="e">
        <f t="shared" si="196"/>
        <v>#N/A</v>
      </c>
      <c r="AR210" s="279" t="e">
        <f t="shared" si="228"/>
        <v>#N/A</v>
      </c>
      <c r="AS210" s="283" t="e">
        <f t="shared" si="197"/>
        <v>#N/A</v>
      </c>
      <c r="AT210" s="284">
        <f t="shared" si="229"/>
        <v>7</v>
      </c>
      <c r="AU210" s="285" t="e">
        <f t="shared" si="230"/>
        <v>#N/A</v>
      </c>
      <c r="AV210" s="286" t="e">
        <f t="shared" si="231"/>
        <v>#N/A</v>
      </c>
      <c r="AW210" s="287" t="e">
        <f t="shared" si="198"/>
        <v>#N/A</v>
      </c>
      <c r="AX210" s="245">
        <f t="shared" si="232"/>
        <v>7</v>
      </c>
      <c r="AY210" s="286" t="e">
        <f t="shared" si="199"/>
        <v>#N/A</v>
      </c>
      <c r="AZ210" s="245" t="e">
        <f t="shared" si="233"/>
        <v>#N/A</v>
      </c>
      <c r="BA210" s="245" t="e">
        <f t="shared" si="200"/>
        <v>#N/A</v>
      </c>
      <c r="BB210" s="288">
        <f t="shared" si="234"/>
        <v>7</v>
      </c>
      <c r="BC210" s="289" t="e">
        <f t="shared" si="235"/>
        <v>#N/A</v>
      </c>
      <c r="BD210" s="290" t="e">
        <f t="shared" si="236"/>
        <v>#N/A</v>
      </c>
      <c r="BE210" s="263" t="e">
        <f t="shared" si="201"/>
        <v>#N/A</v>
      </c>
      <c r="BF210" s="260">
        <f t="shared" si="237"/>
        <v>7</v>
      </c>
      <c r="BG210" s="289" t="e">
        <f t="shared" si="238"/>
        <v>#N/A</v>
      </c>
      <c r="BH210" s="290" t="e">
        <f t="shared" si="239"/>
        <v>#N/A</v>
      </c>
      <c r="BI210" s="263" t="e">
        <f t="shared" si="202"/>
        <v>#N/A</v>
      </c>
      <c r="BJ210" s="264">
        <f t="shared" si="240"/>
        <v>7</v>
      </c>
      <c r="BK210" s="291" t="e">
        <f t="shared" si="241"/>
        <v>#N/A</v>
      </c>
      <c r="BL210" s="291" t="e">
        <f t="shared" si="242"/>
        <v>#N/A</v>
      </c>
      <c r="BM210" s="292" t="e">
        <f t="shared" si="203"/>
        <v>#N/A</v>
      </c>
      <c r="BN210" s="293">
        <f t="shared" si="243"/>
        <v>7</v>
      </c>
      <c r="BO210" s="294" t="e">
        <f t="shared" si="244"/>
        <v>#N/A</v>
      </c>
      <c r="BP210" s="294" t="e">
        <f t="shared" si="245"/>
        <v>#N/A</v>
      </c>
      <c r="BQ210" s="292" t="e">
        <f t="shared" si="204"/>
        <v>#N/A</v>
      </c>
      <c r="BR210" s="295" t="e">
        <f t="shared" si="205"/>
        <v>#N/A</v>
      </c>
      <c r="BS210" s="230" t="e">
        <f>VLOOKUP($B210,SDR22_STOCK_BY_LA!$A$2:$C$11679,3,0)</f>
        <v>#N/A</v>
      </c>
      <c r="BT210" s="230" t="str">
        <f t="shared" si="246"/>
        <v/>
      </c>
    </row>
    <row r="211" spans="1:72" ht="12.5" x14ac:dyDescent="0.25">
      <c r="A211" s="269" t="str">
        <f t="shared" si="247"/>
        <v/>
      </c>
      <c r="B211" s="230" t="str">
        <f t="shared" si="248"/>
        <v/>
      </c>
      <c r="C211" s="270" t="str">
        <f t="shared" si="206"/>
        <v/>
      </c>
      <c r="D211" s="269" t="str">
        <f>IF(B211="","",IF(totals!$Q$3=0,IFERROR(IF(AD211=2,"0",AE211),""),"-"))</f>
        <v/>
      </c>
      <c r="E211" s="271" t="str">
        <f t="shared" si="207"/>
        <v/>
      </c>
      <c r="F211" s="272" t="str">
        <f t="shared" si="208"/>
        <v/>
      </c>
      <c r="G211" s="272" t="str">
        <f t="shared" si="209"/>
        <v/>
      </c>
      <c r="H211" s="269" t="str">
        <f t="shared" si="187"/>
        <v/>
      </c>
      <c r="I211" s="272" t="str">
        <f t="shared" si="210"/>
        <v/>
      </c>
      <c r="J211" s="272" t="str">
        <f t="shared" si="211"/>
        <v/>
      </c>
      <c r="K211" s="269" t="str">
        <f t="shared" si="188"/>
        <v/>
      </c>
      <c r="L211" s="272" t="str">
        <f t="shared" si="189"/>
        <v/>
      </c>
      <c r="M211" s="272" t="str">
        <f t="shared" si="212"/>
        <v/>
      </c>
      <c r="N211" s="269" t="str">
        <f t="shared" si="213"/>
        <v/>
      </c>
      <c r="O211" s="272" t="str">
        <f t="shared" si="214"/>
        <v/>
      </c>
      <c r="P211" s="272" t="str">
        <f t="shared" si="215"/>
        <v/>
      </c>
      <c r="Q211" s="269" t="str">
        <f t="shared" si="216"/>
        <v/>
      </c>
      <c r="R211" s="272" t="str">
        <f t="shared" si="217"/>
        <v/>
      </c>
      <c r="S211" s="272" t="str">
        <f t="shared" si="218"/>
        <v/>
      </c>
      <c r="T211" s="269" t="str">
        <f t="shared" si="219"/>
        <v/>
      </c>
      <c r="U211" s="230"/>
      <c r="V211" s="230"/>
      <c r="AB211" s="270" t="e">
        <f>VLOOKUP($B$6,Lookup_Source,204,0)</f>
        <v>#N/A</v>
      </c>
      <c r="AC211" s="254" t="str">
        <f t="shared" si="220"/>
        <v/>
      </c>
      <c r="AD211" s="255">
        <f t="shared" si="221"/>
        <v>7</v>
      </c>
      <c r="AE211" s="274" t="e">
        <f t="shared" si="190"/>
        <v>#N/A</v>
      </c>
      <c r="AF211" s="277" t="e">
        <f t="shared" si="222"/>
        <v>#N/A</v>
      </c>
      <c r="AG211" s="277" t="e">
        <f t="shared" si="223"/>
        <v>#N/A</v>
      </c>
      <c r="AH211" s="276" t="e">
        <f t="shared" si="191"/>
        <v>#N/A</v>
      </c>
      <c r="AI211" s="239">
        <f t="shared" si="224"/>
        <v>7</v>
      </c>
      <c r="AJ211" s="277" t="e">
        <f t="shared" si="192"/>
        <v>#N/A</v>
      </c>
      <c r="AK211" s="277" t="e">
        <f t="shared" si="225"/>
        <v>#N/A</v>
      </c>
      <c r="AL211" s="239" t="e">
        <f t="shared" si="193"/>
        <v>#N/A</v>
      </c>
      <c r="AM211" s="278" t="e">
        <f t="shared" si="226"/>
        <v>#N/A</v>
      </c>
      <c r="AN211" s="279" t="e">
        <f t="shared" si="194"/>
        <v>#N/A</v>
      </c>
      <c r="AO211" s="240" t="e">
        <f t="shared" si="195"/>
        <v>#N/A</v>
      </c>
      <c r="AP211" s="297">
        <f t="shared" si="227"/>
        <v>7</v>
      </c>
      <c r="AQ211" s="298" t="e">
        <f t="shared" si="196"/>
        <v>#N/A</v>
      </c>
      <c r="AR211" s="279" t="e">
        <f t="shared" si="228"/>
        <v>#N/A</v>
      </c>
      <c r="AS211" s="283" t="e">
        <f t="shared" si="197"/>
        <v>#N/A</v>
      </c>
      <c r="AT211" s="284">
        <f t="shared" si="229"/>
        <v>7</v>
      </c>
      <c r="AU211" s="285" t="e">
        <f t="shared" si="230"/>
        <v>#N/A</v>
      </c>
      <c r="AV211" s="286" t="e">
        <f t="shared" si="231"/>
        <v>#N/A</v>
      </c>
      <c r="AW211" s="287" t="e">
        <f t="shared" si="198"/>
        <v>#N/A</v>
      </c>
      <c r="AX211" s="245">
        <f t="shared" si="232"/>
        <v>7</v>
      </c>
      <c r="AY211" s="286" t="e">
        <f t="shared" si="199"/>
        <v>#N/A</v>
      </c>
      <c r="AZ211" s="245" t="e">
        <f t="shared" si="233"/>
        <v>#N/A</v>
      </c>
      <c r="BA211" s="245" t="e">
        <f t="shared" si="200"/>
        <v>#N/A</v>
      </c>
      <c r="BB211" s="288">
        <f t="shared" si="234"/>
        <v>7</v>
      </c>
      <c r="BC211" s="289" t="e">
        <f t="shared" si="235"/>
        <v>#N/A</v>
      </c>
      <c r="BD211" s="290" t="e">
        <f t="shared" si="236"/>
        <v>#N/A</v>
      </c>
      <c r="BE211" s="263" t="e">
        <f t="shared" si="201"/>
        <v>#N/A</v>
      </c>
      <c r="BF211" s="260">
        <f t="shared" si="237"/>
        <v>7</v>
      </c>
      <c r="BG211" s="289" t="e">
        <f t="shared" si="238"/>
        <v>#N/A</v>
      </c>
      <c r="BH211" s="290" t="e">
        <f t="shared" si="239"/>
        <v>#N/A</v>
      </c>
      <c r="BI211" s="263" t="e">
        <f t="shared" si="202"/>
        <v>#N/A</v>
      </c>
      <c r="BJ211" s="264">
        <f t="shared" si="240"/>
        <v>7</v>
      </c>
      <c r="BK211" s="291" t="e">
        <f t="shared" si="241"/>
        <v>#N/A</v>
      </c>
      <c r="BL211" s="291" t="e">
        <f t="shared" si="242"/>
        <v>#N/A</v>
      </c>
      <c r="BM211" s="292" t="e">
        <f t="shared" si="203"/>
        <v>#N/A</v>
      </c>
      <c r="BN211" s="293">
        <f t="shared" si="243"/>
        <v>7</v>
      </c>
      <c r="BO211" s="294" t="e">
        <f t="shared" si="244"/>
        <v>#N/A</v>
      </c>
      <c r="BP211" s="294" t="e">
        <f t="shared" si="245"/>
        <v>#N/A</v>
      </c>
      <c r="BQ211" s="292" t="e">
        <f t="shared" si="204"/>
        <v>#N/A</v>
      </c>
      <c r="BR211" s="295" t="e">
        <f t="shared" si="205"/>
        <v>#N/A</v>
      </c>
      <c r="BS211" s="230" t="e">
        <f>VLOOKUP($B211,SDR22_STOCK_BY_LA!$A$2:$C$11679,3,0)</f>
        <v>#N/A</v>
      </c>
      <c r="BT211" s="230" t="str">
        <f t="shared" si="246"/>
        <v/>
      </c>
    </row>
    <row r="212" spans="1:72" ht="12.5" x14ac:dyDescent="0.25">
      <c r="A212" s="230" t="str">
        <f t="shared" si="247"/>
        <v/>
      </c>
      <c r="B212" s="230" t="str">
        <f t="shared" si="248"/>
        <v/>
      </c>
      <c r="C212" s="296" t="str">
        <f t="shared" si="206"/>
        <v/>
      </c>
      <c r="D212" s="269" t="str">
        <f>IF(B212="","",IF(totals!$Q$3=0,IFERROR(IF(AD212=2,"0",AE212),""),"-"))</f>
        <v/>
      </c>
      <c r="E212" s="271" t="str">
        <f t="shared" si="207"/>
        <v/>
      </c>
      <c r="F212" s="272" t="str">
        <f t="shared" si="208"/>
        <v/>
      </c>
      <c r="G212" s="272" t="str">
        <f t="shared" si="209"/>
        <v/>
      </c>
      <c r="H212" s="269" t="str">
        <f t="shared" si="187"/>
        <v/>
      </c>
      <c r="I212" s="272" t="str">
        <f t="shared" si="210"/>
        <v/>
      </c>
      <c r="J212" s="272" t="str">
        <f t="shared" si="211"/>
        <v/>
      </c>
      <c r="K212" s="269" t="str">
        <f t="shared" si="188"/>
        <v/>
      </c>
      <c r="L212" s="272" t="str">
        <f t="shared" si="189"/>
        <v/>
      </c>
      <c r="M212" s="272" t="str">
        <f t="shared" si="212"/>
        <v/>
      </c>
      <c r="N212" s="269" t="str">
        <f t="shared" si="213"/>
        <v/>
      </c>
      <c r="O212" s="272" t="str">
        <f t="shared" si="214"/>
        <v/>
      </c>
      <c r="P212" s="272" t="str">
        <f t="shared" si="215"/>
        <v/>
      </c>
      <c r="Q212" s="269" t="str">
        <f t="shared" si="216"/>
        <v/>
      </c>
      <c r="R212" s="272" t="str">
        <f t="shared" si="217"/>
        <v/>
      </c>
      <c r="S212" s="272" t="str">
        <f t="shared" si="218"/>
        <v/>
      </c>
      <c r="T212" s="269" t="str">
        <f t="shared" si="219"/>
        <v/>
      </c>
      <c r="U212" s="230"/>
      <c r="V212" s="230"/>
      <c r="AB212" s="230" t="e">
        <f>VLOOKUP($B$6,Lookup_Source,205,0)</f>
        <v>#N/A</v>
      </c>
      <c r="AC212" s="254" t="str">
        <f t="shared" si="220"/>
        <v/>
      </c>
      <c r="AD212" s="255">
        <f t="shared" si="221"/>
        <v>7</v>
      </c>
      <c r="AE212" s="274" t="e">
        <f t="shared" si="190"/>
        <v>#N/A</v>
      </c>
      <c r="AF212" s="277" t="e">
        <f t="shared" si="222"/>
        <v>#N/A</v>
      </c>
      <c r="AG212" s="277" t="e">
        <f t="shared" si="223"/>
        <v>#N/A</v>
      </c>
      <c r="AH212" s="276" t="e">
        <f t="shared" si="191"/>
        <v>#N/A</v>
      </c>
      <c r="AI212" s="239">
        <f t="shared" si="224"/>
        <v>7</v>
      </c>
      <c r="AJ212" s="277" t="e">
        <f t="shared" si="192"/>
        <v>#N/A</v>
      </c>
      <c r="AK212" s="277" t="e">
        <f t="shared" si="225"/>
        <v>#N/A</v>
      </c>
      <c r="AL212" s="239" t="e">
        <f t="shared" si="193"/>
        <v>#N/A</v>
      </c>
      <c r="AM212" s="278" t="e">
        <f t="shared" si="226"/>
        <v>#N/A</v>
      </c>
      <c r="AN212" s="279" t="e">
        <f t="shared" si="194"/>
        <v>#N/A</v>
      </c>
      <c r="AO212" s="240" t="e">
        <f t="shared" si="195"/>
        <v>#N/A</v>
      </c>
      <c r="AP212" s="297">
        <f t="shared" si="227"/>
        <v>7</v>
      </c>
      <c r="AQ212" s="298" t="e">
        <f t="shared" si="196"/>
        <v>#N/A</v>
      </c>
      <c r="AR212" s="279" t="e">
        <f t="shared" si="228"/>
        <v>#N/A</v>
      </c>
      <c r="AS212" s="283" t="e">
        <f t="shared" si="197"/>
        <v>#N/A</v>
      </c>
      <c r="AT212" s="284">
        <f t="shared" si="229"/>
        <v>7</v>
      </c>
      <c r="AU212" s="285" t="e">
        <f t="shared" si="230"/>
        <v>#N/A</v>
      </c>
      <c r="AV212" s="286" t="e">
        <f t="shared" si="231"/>
        <v>#N/A</v>
      </c>
      <c r="AW212" s="287" t="e">
        <f t="shared" si="198"/>
        <v>#N/A</v>
      </c>
      <c r="AX212" s="245">
        <f t="shared" si="232"/>
        <v>7</v>
      </c>
      <c r="AY212" s="286" t="e">
        <f t="shared" si="199"/>
        <v>#N/A</v>
      </c>
      <c r="AZ212" s="245" t="e">
        <f t="shared" si="233"/>
        <v>#N/A</v>
      </c>
      <c r="BA212" s="245" t="e">
        <f t="shared" si="200"/>
        <v>#N/A</v>
      </c>
      <c r="BB212" s="288">
        <f t="shared" si="234"/>
        <v>7</v>
      </c>
      <c r="BC212" s="289" t="e">
        <f t="shared" si="235"/>
        <v>#N/A</v>
      </c>
      <c r="BD212" s="290" t="e">
        <f t="shared" si="236"/>
        <v>#N/A</v>
      </c>
      <c r="BE212" s="263" t="e">
        <f t="shared" si="201"/>
        <v>#N/A</v>
      </c>
      <c r="BF212" s="260">
        <f t="shared" si="237"/>
        <v>7</v>
      </c>
      <c r="BG212" s="289" t="e">
        <f t="shared" si="238"/>
        <v>#N/A</v>
      </c>
      <c r="BH212" s="290" t="e">
        <f t="shared" si="239"/>
        <v>#N/A</v>
      </c>
      <c r="BI212" s="263" t="e">
        <f t="shared" si="202"/>
        <v>#N/A</v>
      </c>
      <c r="BJ212" s="264">
        <f t="shared" si="240"/>
        <v>7</v>
      </c>
      <c r="BK212" s="291" t="e">
        <f t="shared" si="241"/>
        <v>#N/A</v>
      </c>
      <c r="BL212" s="291" t="e">
        <f t="shared" si="242"/>
        <v>#N/A</v>
      </c>
      <c r="BM212" s="292" t="e">
        <f t="shared" si="203"/>
        <v>#N/A</v>
      </c>
      <c r="BN212" s="293">
        <f t="shared" si="243"/>
        <v>7</v>
      </c>
      <c r="BO212" s="294" t="e">
        <f t="shared" si="244"/>
        <v>#N/A</v>
      </c>
      <c r="BP212" s="294" t="e">
        <f t="shared" si="245"/>
        <v>#N/A</v>
      </c>
      <c r="BQ212" s="292" t="e">
        <f t="shared" si="204"/>
        <v>#N/A</v>
      </c>
      <c r="BR212" s="295" t="e">
        <f t="shared" si="205"/>
        <v>#N/A</v>
      </c>
      <c r="BS212" s="230" t="e">
        <f>VLOOKUP($B212,SDR22_STOCK_BY_LA!$A$2:$C$11679,3,0)</f>
        <v>#N/A</v>
      </c>
      <c r="BT212" s="230" t="str">
        <f t="shared" si="246"/>
        <v/>
      </c>
    </row>
    <row r="213" spans="1:72" ht="12.5" x14ac:dyDescent="0.25">
      <c r="A213" s="269" t="str">
        <f t="shared" si="247"/>
        <v/>
      </c>
      <c r="B213" s="230" t="str">
        <f t="shared" si="248"/>
        <v/>
      </c>
      <c r="C213" s="270" t="str">
        <f t="shared" si="206"/>
        <v/>
      </c>
      <c r="D213" s="269" t="str">
        <f>IF(B213="","",IF(totals!$Q$3=0,IFERROR(IF(AD213=2,"0",AE213),""),"-"))</f>
        <v/>
      </c>
      <c r="E213" s="271" t="str">
        <f t="shared" si="207"/>
        <v/>
      </c>
      <c r="F213" s="272" t="str">
        <f t="shared" si="208"/>
        <v/>
      </c>
      <c r="G213" s="272" t="str">
        <f t="shared" si="209"/>
        <v/>
      </c>
      <c r="H213" s="269" t="str">
        <f t="shared" si="187"/>
        <v/>
      </c>
      <c r="I213" s="272" t="str">
        <f t="shared" si="210"/>
        <v/>
      </c>
      <c r="J213" s="272" t="str">
        <f t="shared" si="211"/>
        <v/>
      </c>
      <c r="K213" s="269" t="str">
        <f t="shared" si="188"/>
        <v/>
      </c>
      <c r="L213" s="272" t="str">
        <f t="shared" si="189"/>
        <v/>
      </c>
      <c r="M213" s="272" t="str">
        <f t="shared" si="212"/>
        <v/>
      </c>
      <c r="N213" s="269" t="str">
        <f t="shared" si="213"/>
        <v/>
      </c>
      <c r="O213" s="272" t="str">
        <f t="shared" si="214"/>
        <v/>
      </c>
      <c r="P213" s="272" t="str">
        <f t="shared" si="215"/>
        <v/>
      </c>
      <c r="Q213" s="269" t="str">
        <f t="shared" si="216"/>
        <v/>
      </c>
      <c r="R213" s="272" t="str">
        <f t="shared" si="217"/>
        <v/>
      </c>
      <c r="S213" s="272" t="str">
        <f t="shared" si="218"/>
        <v/>
      </c>
      <c r="T213" s="269" t="str">
        <f t="shared" si="219"/>
        <v/>
      </c>
      <c r="U213" s="230"/>
      <c r="V213" s="230"/>
      <c r="AB213" s="270" t="e">
        <f>VLOOKUP($B$6,Lookup_Source,206,0)</f>
        <v>#N/A</v>
      </c>
      <c r="AC213" s="254" t="str">
        <f t="shared" si="220"/>
        <v/>
      </c>
      <c r="AD213" s="255">
        <f t="shared" si="221"/>
        <v>7</v>
      </c>
      <c r="AE213" s="274" t="e">
        <f t="shared" si="190"/>
        <v>#N/A</v>
      </c>
      <c r="AF213" s="277" t="e">
        <f t="shared" si="222"/>
        <v>#N/A</v>
      </c>
      <c r="AG213" s="277" t="e">
        <f t="shared" si="223"/>
        <v>#N/A</v>
      </c>
      <c r="AH213" s="276" t="e">
        <f t="shared" si="191"/>
        <v>#N/A</v>
      </c>
      <c r="AI213" s="239">
        <f t="shared" si="224"/>
        <v>7</v>
      </c>
      <c r="AJ213" s="277" t="e">
        <f t="shared" si="192"/>
        <v>#N/A</v>
      </c>
      <c r="AK213" s="277" t="e">
        <f t="shared" si="225"/>
        <v>#N/A</v>
      </c>
      <c r="AL213" s="239" t="e">
        <f t="shared" si="193"/>
        <v>#N/A</v>
      </c>
      <c r="AM213" s="278" t="e">
        <f t="shared" si="226"/>
        <v>#N/A</v>
      </c>
      <c r="AN213" s="279" t="e">
        <f t="shared" si="194"/>
        <v>#N/A</v>
      </c>
      <c r="AO213" s="240" t="e">
        <f t="shared" si="195"/>
        <v>#N/A</v>
      </c>
      <c r="AP213" s="297">
        <f t="shared" si="227"/>
        <v>7</v>
      </c>
      <c r="AQ213" s="298" t="e">
        <f t="shared" si="196"/>
        <v>#N/A</v>
      </c>
      <c r="AR213" s="279" t="e">
        <f t="shared" si="228"/>
        <v>#N/A</v>
      </c>
      <c r="AS213" s="283" t="e">
        <f t="shared" si="197"/>
        <v>#N/A</v>
      </c>
      <c r="AT213" s="284">
        <f t="shared" si="229"/>
        <v>7</v>
      </c>
      <c r="AU213" s="285" t="e">
        <f t="shared" si="230"/>
        <v>#N/A</v>
      </c>
      <c r="AV213" s="286" t="e">
        <f t="shared" si="231"/>
        <v>#N/A</v>
      </c>
      <c r="AW213" s="287" t="e">
        <f t="shared" si="198"/>
        <v>#N/A</v>
      </c>
      <c r="AX213" s="245">
        <f t="shared" si="232"/>
        <v>7</v>
      </c>
      <c r="AY213" s="286" t="e">
        <f t="shared" si="199"/>
        <v>#N/A</v>
      </c>
      <c r="AZ213" s="245" t="e">
        <f t="shared" si="233"/>
        <v>#N/A</v>
      </c>
      <c r="BA213" s="245" t="e">
        <f t="shared" si="200"/>
        <v>#N/A</v>
      </c>
      <c r="BB213" s="288">
        <f t="shared" si="234"/>
        <v>7</v>
      </c>
      <c r="BC213" s="289" t="e">
        <f t="shared" si="235"/>
        <v>#N/A</v>
      </c>
      <c r="BD213" s="290" t="e">
        <f t="shared" si="236"/>
        <v>#N/A</v>
      </c>
      <c r="BE213" s="263" t="e">
        <f t="shared" si="201"/>
        <v>#N/A</v>
      </c>
      <c r="BF213" s="260">
        <f t="shared" si="237"/>
        <v>7</v>
      </c>
      <c r="BG213" s="289" t="e">
        <f t="shared" si="238"/>
        <v>#N/A</v>
      </c>
      <c r="BH213" s="290" t="e">
        <f t="shared" si="239"/>
        <v>#N/A</v>
      </c>
      <c r="BI213" s="263" t="e">
        <f t="shared" si="202"/>
        <v>#N/A</v>
      </c>
      <c r="BJ213" s="264">
        <f t="shared" si="240"/>
        <v>7</v>
      </c>
      <c r="BK213" s="291" t="e">
        <f t="shared" si="241"/>
        <v>#N/A</v>
      </c>
      <c r="BL213" s="291" t="e">
        <f t="shared" si="242"/>
        <v>#N/A</v>
      </c>
      <c r="BM213" s="292" t="e">
        <f t="shared" si="203"/>
        <v>#N/A</v>
      </c>
      <c r="BN213" s="293">
        <f t="shared" si="243"/>
        <v>7</v>
      </c>
      <c r="BO213" s="294" t="e">
        <f t="shared" si="244"/>
        <v>#N/A</v>
      </c>
      <c r="BP213" s="294" t="e">
        <f t="shared" si="245"/>
        <v>#N/A</v>
      </c>
      <c r="BQ213" s="292" t="e">
        <f t="shared" si="204"/>
        <v>#N/A</v>
      </c>
      <c r="BR213" s="295" t="e">
        <f t="shared" si="205"/>
        <v>#N/A</v>
      </c>
      <c r="BS213" s="230" t="e">
        <f>VLOOKUP($B213,SDR22_STOCK_BY_LA!$A$2:$C$11679,3,0)</f>
        <v>#N/A</v>
      </c>
      <c r="BT213" s="230" t="str">
        <f t="shared" si="246"/>
        <v/>
      </c>
    </row>
    <row r="214" spans="1:72" ht="12.5" x14ac:dyDescent="0.25">
      <c r="A214" s="230" t="str">
        <f t="shared" si="247"/>
        <v/>
      </c>
      <c r="B214" s="230" t="str">
        <f t="shared" si="248"/>
        <v/>
      </c>
      <c r="C214" s="296" t="str">
        <f t="shared" si="206"/>
        <v/>
      </c>
      <c r="D214" s="269" t="str">
        <f>IF(B214="","",IF(totals!$Q$3=0,IFERROR(IF(AD214=2,"0",AE214),""),"-"))</f>
        <v/>
      </c>
      <c r="E214" s="271" t="str">
        <f t="shared" si="207"/>
        <v/>
      </c>
      <c r="F214" s="272" t="str">
        <f t="shared" si="208"/>
        <v/>
      </c>
      <c r="G214" s="272" t="str">
        <f t="shared" si="209"/>
        <v/>
      </c>
      <c r="H214" s="269" t="str">
        <f t="shared" si="187"/>
        <v/>
      </c>
      <c r="I214" s="272" t="str">
        <f t="shared" si="210"/>
        <v/>
      </c>
      <c r="J214" s="272" t="str">
        <f t="shared" si="211"/>
        <v/>
      </c>
      <c r="K214" s="269" t="str">
        <f t="shared" si="188"/>
        <v/>
      </c>
      <c r="L214" s="272" t="str">
        <f t="shared" si="189"/>
        <v/>
      </c>
      <c r="M214" s="272" t="str">
        <f t="shared" si="212"/>
        <v/>
      </c>
      <c r="N214" s="269" t="str">
        <f t="shared" si="213"/>
        <v/>
      </c>
      <c r="O214" s="272" t="str">
        <f t="shared" si="214"/>
        <v/>
      </c>
      <c r="P214" s="272" t="str">
        <f t="shared" si="215"/>
        <v/>
      </c>
      <c r="Q214" s="269" t="str">
        <f t="shared" si="216"/>
        <v/>
      </c>
      <c r="R214" s="272" t="str">
        <f t="shared" si="217"/>
        <v/>
      </c>
      <c r="S214" s="272" t="str">
        <f t="shared" si="218"/>
        <v/>
      </c>
      <c r="T214" s="269" t="str">
        <f t="shared" si="219"/>
        <v/>
      </c>
      <c r="U214" s="230"/>
      <c r="V214" s="230"/>
      <c r="AB214" s="230" t="e">
        <f>VLOOKUP($B$6,Lookup_Source,207,0)</f>
        <v>#N/A</v>
      </c>
      <c r="AC214" s="254" t="str">
        <f t="shared" si="220"/>
        <v/>
      </c>
      <c r="AD214" s="255">
        <f t="shared" si="221"/>
        <v>7</v>
      </c>
      <c r="AE214" s="274" t="e">
        <f t="shared" si="190"/>
        <v>#N/A</v>
      </c>
      <c r="AF214" s="277" t="e">
        <f t="shared" si="222"/>
        <v>#N/A</v>
      </c>
      <c r="AG214" s="277" t="e">
        <f t="shared" si="223"/>
        <v>#N/A</v>
      </c>
      <c r="AH214" s="276" t="e">
        <f t="shared" si="191"/>
        <v>#N/A</v>
      </c>
      <c r="AI214" s="239">
        <f t="shared" si="224"/>
        <v>7</v>
      </c>
      <c r="AJ214" s="277" t="e">
        <f t="shared" si="192"/>
        <v>#N/A</v>
      </c>
      <c r="AK214" s="277" t="e">
        <f t="shared" si="225"/>
        <v>#N/A</v>
      </c>
      <c r="AL214" s="239" t="e">
        <f t="shared" si="193"/>
        <v>#N/A</v>
      </c>
      <c r="AM214" s="278" t="e">
        <f t="shared" si="226"/>
        <v>#N/A</v>
      </c>
      <c r="AN214" s="279" t="e">
        <f t="shared" si="194"/>
        <v>#N/A</v>
      </c>
      <c r="AO214" s="240" t="e">
        <f t="shared" si="195"/>
        <v>#N/A</v>
      </c>
      <c r="AP214" s="297">
        <f t="shared" si="227"/>
        <v>7</v>
      </c>
      <c r="AQ214" s="298" t="e">
        <f t="shared" si="196"/>
        <v>#N/A</v>
      </c>
      <c r="AR214" s="279" t="e">
        <f t="shared" si="228"/>
        <v>#N/A</v>
      </c>
      <c r="AS214" s="283" t="e">
        <f t="shared" si="197"/>
        <v>#N/A</v>
      </c>
      <c r="AT214" s="284">
        <f t="shared" si="229"/>
        <v>7</v>
      </c>
      <c r="AU214" s="285" t="e">
        <f t="shared" si="230"/>
        <v>#N/A</v>
      </c>
      <c r="AV214" s="286" t="e">
        <f t="shared" si="231"/>
        <v>#N/A</v>
      </c>
      <c r="AW214" s="287" t="e">
        <f t="shared" si="198"/>
        <v>#N/A</v>
      </c>
      <c r="AX214" s="245">
        <f t="shared" si="232"/>
        <v>7</v>
      </c>
      <c r="AY214" s="286" t="e">
        <f t="shared" si="199"/>
        <v>#N/A</v>
      </c>
      <c r="AZ214" s="245" t="e">
        <f t="shared" si="233"/>
        <v>#N/A</v>
      </c>
      <c r="BA214" s="245" t="e">
        <f t="shared" si="200"/>
        <v>#N/A</v>
      </c>
      <c r="BB214" s="288">
        <f t="shared" si="234"/>
        <v>7</v>
      </c>
      <c r="BC214" s="289" t="e">
        <f t="shared" si="235"/>
        <v>#N/A</v>
      </c>
      <c r="BD214" s="290" t="e">
        <f t="shared" si="236"/>
        <v>#N/A</v>
      </c>
      <c r="BE214" s="263" t="e">
        <f t="shared" si="201"/>
        <v>#N/A</v>
      </c>
      <c r="BF214" s="260">
        <f t="shared" si="237"/>
        <v>7</v>
      </c>
      <c r="BG214" s="289" t="e">
        <f t="shared" si="238"/>
        <v>#N/A</v>
      </c>
      <c r="BH214" s="290" t="e">
        <f t="shared" si="239"/>
        <v>#N/A</v>
      </c>
      <c r="BI214" s="263" t="e">
        <f t="shared" si="202"/>
        <v>#N/A</v>
      </c>
      <c r="BJ214" s="264">
        <f t="shared" si="240"/>
        <v>7</v>
      </c>
      <c r="BK214" s="291" t="e">
        <f t="shared" si="241"/>
        <v>#N/A</v>
      </c>
      <c r="BL214" s="291" t="e">
        <f t="shared" si="242"/>
        <v>#N/A</v>
      </c>
      <c r="BM214" s="292" t="e">
        <f t="shared" si="203"/>
        <v>#N/A</v>
      </c>
      <c r="BN214" s="293">
        <f t="shared" si="243"/>
        <v>7</v>
      </c>
      <c r="BO214" s="294" t="e">
        <f t="shared" si="244"/>
        <v>#N/A</v>
      </c>
      <c r="BP214" s="294" t="e">
        <f t="shared" si="245"/>
        <v>#N/A</v>
      </c>
      <c r="BQ214" s="292" t="e">
        <f t="shared" si="204"/>
        <v>#N/A</v>
      </c>
      <c r="BR214" s="295" t="e">
        <f t="shared" si="205"/>
        <v>#N/A</v>
      </c>
      <c r="BS214" s="230" t="e">
        <f>VLOOKUP($B214,SDR22_STOCK_BY_LA!$A$2:$C$11679,3,0)</f>
        <v>#N/A</v>
      </c>
      <c r="BT214" s="230" t="str">
        <f t="shared" si="246"/>
        <v/>
      </c>
    </row>
    <row r="215" spans="1:72" ht="12.5" x14ac:dyDescent="0.25">
      <c r="A215" s="269" t="str">
        <f t="shared" si="247"/>
        <v/>
      </c>
      <c r="B215" s="230" t="str">
        <f t="shared" si="248"/>
        <v/>
      </c>
      <c r="C215" s="270" t="str">
        <f t="shared" si="206"/>
        <v/>
      </c>
      <c r="D215" s="269" t="str">
        <f>IF(B215="","",IF(totals!$Q$3=0,IFERROR(IF(AD215=2,"0",AE215),""),"-"))</f>
        <v/>
      </c>
      <c r="E215" s="271" t="str">
        <f t="shared" si="207"/>
        <v/>
      </c>
      <c r="F215" s="272" t="str">
        <f t="shared" si="208"/>
        <v/>
      </c>
      <c r="G215" s="272" t="str">
        <f t="shared" si="209"/>
        <v/>
      </c>
      <c r="H215" s="269" t="str">
        <f t="shared" si="187"/>
        <v/>
      </c>
      <c r="I215" s="272" t="str">
        <f t="shared" si="210"/>
        <v/>
      </c>
      <c r="J215" s="272" t="str">
        <f t="shared" si="211"/>
        <v/>
      </c>
      <c r="K215" s="269" t="str">
        <f t="shared" si="188"/>
        <v/>
      </c>
      <c r="L215" s="272" t="str">
        <f t="shared" si="189"/>
        <v/>
      </c>
      <c r="M215" s="272" t="str">
        <f t="shared" si="212"/>
        <v/>
      </c>
      <c r="N215" s="269" t="str">
        <f t="shared" si="213"/>
        <v/>
      </c>
      <c r="O215" s="272" t="str">
        <f t="shared" si="214"/>
        <v/>
      </c>
      <c r="P215" s="272" t="str">
        <f t="shared" si="215"/>
        <v/>
      </c>
      <c r="Q215" s="269" t="str">
        <f t="shared" si="216"/>
        <v/>
      </c>
      <c r="R215" s="272" t="str">
        <f t="shared" si="217"/>
        <v/>
      </c>
      <c r="S215" s="272" t="str">
        <f t="shared" si="218"/>
        <v/>
      </c>
      <c r="T215" s="269" t="str">
        <f t="shared" si="219"/>
        <v/>
      </c>
      <c r="U215" s="230"/>
      <c r="V215" s="230"/>
      <c r="AB215" s="270" t="e">
        <f>VLOOKUP($B$6,Lookup_Source,208,0)</f>
        <v>#N/A</v>
      </c>
      <c r="AC215" s="254" t="str">
        <f t="shared" si="220"/>
        <v/>
      </c>
      <c r="AD215" s="255">
        <f t="shared" si="221"/>
        <v>7</v>
      </c>
      <c r="AE215" s="274" t="e">
        <f t="shared" si="190"/>
        <v>#N/A</v>
      </c>
      <c r="AF215" s="277" t="e">
        <f t="shared" si="222"/>
        <v>#N/A</v>
      </c>
      <c r="AG215" s="277" t="e">
        <f t="shared" si="223"/>
        <v>#N/A</v>
      </c>
      <c r="AH215" s="276" t="e">
        <f t="shared" si="191"/>
        <v>#N/A</v>
      </c>
      <c r="AI215" s="239">
        <f t="shared" si="224"/>
        <v>7</v>
      </c>
      <c r="AJ215" s="277" t="e">
        <f t="shared" si="192"/>
        <v>#N/A</v>
      </c>
      <c r="AK215" s="277" t="e">
        <f t="shared" si="225"/>
        <v>#N/A</v>
      </c>
      <c r="AL215" s="239" t="e">
        <f t="shared" si="193"/>
        <v>#N/A</v>
      </c>
      <c r="AM215" s="278" t="e">
        <f t="shared" si="226"/>
        <v>#N/A</v>
      </c>
      <c r="AN215" s="279" t="e">
        <f t="shared" si="194"/>
        <v>#N/A</v>
      </c>
      <c r="AO215" s="240" t="e">
        <f t="shared" si="195"/>
        <v>#N/A</v>
      </c>
      <c r="AP215" s="297">
        <f t="shared" si="227"/>
        <v>7</v>
      </c>
      <c r="AQ215" s="298" t="e">
        <f t="shared" si="196"/>
        <v>#N/A</v>
      </c>
      <c r="AR215" s="279" t="e">
        <f t="shared" si="228"/>
        <v>#N/A</v>
      </c>
      <c r="AS215" s="283" t="e">
        <f t="shared" si="197"/>
        <v>#N/A</v>
      </c>
      <c r="AT215" s="284">
        <f t="shared" si="229"/>
        <v>7</v>
      </c>
      <c r="AU215" s="285" t="e">
        <f t="shared" si="230"/>
        <v>#N/A</v>
      </c>
      <c r="AV215" s="286" t="e">
        <f t="shared" si="231"/>
        <v>#N/A</v>
      </c>
      <c r="AW215" s="287" t="e">
        <f t="shared" si="198"/>
        <v>#N/A</v>
      </c>
      <c r="AX215" s="245">
        <f t="shared" si="232"/>
        <v>7</v>
      </c>
      <c r="AY215" s="286" t="e">
        <f t="shared" si="199"/>
        <v>#N/A</v>
      </c>
      <c r="AZ215" s="245" t="e">
        <f t="shared" si="233"/>
        <v>#N/A</v>
      </c>
      <c r="BA215" s="245" t="e">
        <f t="shared" si="200"/>
        <v>#N/A</v>
      </c>
      <c r="BB215" s="288">
        <f t="shared" si="234"/>
        <v>7</v>
      </c>
      <c r="BC215" s="289" t="e">
        <f t="shared" si="235"/>
        <v>#N/A</v>
      </c>
      <c r="BD215" s="290" t="e">
        <f t="shared" si="236"/>
        <v>#N/A</v>
      </c>
      <c r="BE215" s="263" t="e">
        <f t="shared" si="201"/>
        <v>#N/A</v>
      </c>
      <c r="BF215" s="260">
        <f t="shared" si="237"/>
        <v>7</v>
      </c>
      <c r="BG215" s="289" t="e">
        <f t="shared" si="238"/>
        <v>#N/A</v>
      </c>
      <c r="BH215" s="290" t="e">
        <f t="shared" si="239"/>
        <v>#N/A</v>
      </c>
      <c r="BI215" s="263" t="e">
        <f t="shared" si="202"/>
        <v>#N/A</v>
      </c>
      <c r="BJ215" s="264">
        <f t="shared" si="240"/>
        <v>7</v>
      </c>
      <c r="BK215" s="291" t="e">
        <f t="shared" si="241"/>
        <v>#N/A</v>
      </c>
      <c r="BL215" s="291" t="e">
        <f t="shared" si="242"/>
        <v>#N/A</v>
      </c>
      <c r="BM215" s="292" t="e">
        <f t="shared" si="203"/>
        <v>#N/A</v>
      </c>
      <c r="BN215" s="293">
        <f t="shared" si="243"/>
        <v>7</v>
      </c>
      <c r="BO215" s="294" t="e">
        <f t="shared" si="244"/>
        <v>#N/A</v>
      </c>
      <c r="BP215" s="294" t="e">
        <f t="shared" si="245"/>
        <v>#N/A</v>
      </c>
      <c r="BQ215" s="292" t="e">
        <f t="shared" si="204"/>
        <v>#N/A</v>
      </c>
      <c r="BR215" s="295" t="e">
        <f t="shared" si="205"/>
        <v>#N/A</v>
      </c>
      <c r="BS215" s="230" t="e">
        <f>VLOOKUP($B215,SDR22_STOCK_BY_LA!$A$2:$C$11679,3,0)</f>
        <v>#N/A</v>
      </c>
      <c r="BT215" s="230" t="str">
        <f t="shared" si="246"/>
        <v/>
      </c>
    </row>
    <row r="216" spans="1:72" ht="12.5" x14ac:dyDescent="0.25">
      <c r="A216" s="230" t="str">
        <f t="shared" si="247"/>
        <v/>
      </c>
      <c r="B216" s="230" t="str">
        <f t="shared" si="248"/>
        <v/>
      </c>
      <c r="C216" s="296" t="str">
        <f t="shared" si="206"/>
        <v/>
      </c>
      <c r="D216" s="269" t="str">
        <f>IF(B216="","",IF(totals!$Q$3=0,IFERROR(IF(AD216=2,"0",AE216),""),"-"))</f>
        <v/>
      </c>
      <c r="E216" s="271" t="str">
        <f t="shared" si="207"/>
        <v/>
      </c>
      <c r="F216" s="272" t="str">
        <f t="shared" si="208"/>
        <v/>
      </c>
      <c r="G216" s="272" t="str">
        <f t="shared" si="209"/>
        <v/>
      </c>
      <c r="H216" s="269" t="str">
        <f t="shared" si="187"/>
        <v/>
      </c>
      <c r="I216" s="272" t="str">
        <f t="shared" si="210"/>
        <v/>
      </c>
      <c r="J216" s="272" t="str">
        <f t="shared" si="211"/>
        <v/>
      </c>
      <c r="K216" s="269" t="str">
        <f t="shared" si="188"/>
        <v/>
      </c>
      <c r="L216" s="272" t="str">
        <f t="shared" si="189"/>
        <v/>
      </c>
      <c r="M216" s="272" t="str">
        <f t="shared" si="212"/>
        <v/>
      </c>
      <c r="N216" s="269" t="str">
        <f t="shared" si="213"/>
        <v/>
      </c>
      <c r="O216" s="272" t="str">
        <f t="shared" si="214"/>
        <v/>
      </c>
      <c r="P216" s="272" t="str">
        <f t="shared" si="215"/>
        <v/>
      </c>
      <c r="Q216" s="269" t="str">
        <f t="shared" si="216"/>
        <v/>
      </c>
      <c r="R216" s="272" t="str">
        <f t="shared" si="217"/>
        <v/>
      </c>
      <c r="S216" s="272" t="str">
        <f t="shared" si="218"/>
        <v/>
      </c>
      <c r="T216" s="269" t="str">
        <f t="shared" si="219"/>
        <v/>
      </c>
      <c r="U216" s="230"/>
      <c r="V216" s="230"/>
      <c r="AB216" s="230" t="e">
        <f>VLOOKUP($B$6,Lookup_Source,209,0)</f>
        <v>#N/A</v>
      </c>
      <c r="AC216" s="254" t="str">
        <f t="shared" si="220"/>
        <v/>
      </c>
      <c r="AD216" s="255">
        <f t="shared" si="221"/>
        <v>7</v>
      </c>
      <c r="AE216" s="274" t="e">
        <f t="shared" si="190"/>
        <v>#N/A</v>
      </c>
      <c r="AF216" s="277" t="e">
        <f t="shared" si="222"/>
        <v>#N/A</v>
      </c>
      <c r="AG216" s="277" t="e">
        <f t="shared" si="223"/>
        <v>#N/A</v>
      </c>
      <c r="AH216" s="276" t="e">
        <f t="shared" si="191"/>
        <v>#N/A</v>
      </c>
      <c r="AI216" s="239">
        <f t="shared" si="224"/>
        <v>7</v>
      </c>
      <c r="AJ216" s="277" t="e">
        <f t="shared" si="192"/>
        <v>#N/A</v>
      </c>
      <c r="AK216" s="277" t="e">
        <f t="shared" si="225"/>
        <v>#N/A</v>
      </c>
      <c r="AL216" s="239" t="e">
        <f t="shared" si="193"/>
        <v>#N/A</v>
      </c>
      <c r="AM216" s="278" t="e">
        <f t="shared" si="226"/>
        <v>#N/A</v>
      </c>
      <c r="AN216" s="279" t="e">
        <f t="shared" si="194"/>
        <v>#N/A</v>
      </c>
      <c r="AO216" s="240" t="e">
        <f t="shared" si="195"/>
        <v>#N/A</v>
      </c>
      <c r="AP216" s="297">
        <f t="shared" si="227"/>
        <v>7</v>
      </c>
      <c r="AQ216" s="298" t="e">
        <f t="shared" si="196"/>
        <v>#N/A</v>
      </c>
      <c r="AR216" s="279" t="e">
        <f t="shared" si="228"/>
        <v>#N/A</v>
      </c>
      <c r="AS216" s="283" t="e">
        <f t="shared" si="197"/>
        <v>#N/A</v>
      </c>
      <c r="AT216" s="284">
        <f t="shared" si="229"/>
        <v>7</v>
      </c>
      <c r="AU216" s="285" t="e">
        <f t="shared" si="230"/>
        <v>#N/A</v>
      </c>
      <c r="AV216" s="286" t="e">
        <f t="shared" si="231"/>
        <v>#N/A</v>
      </c>
      <c r="AW216" s="287" t="e">
        <f t="shared" si="198"/>
        <v>#N/A</v>
      </c>
      <c r="AX216" s="245">
        <f t="shared" si="232"/>
        <v>7</v>
      </c>
      <c r="AY216" s="286" t="e">
        <f t="shared" si="199"/>
        <v>#N/A</v>
      </c>
      <c r="AZ216" s="245" t="e">
        <f t="shared" si="233"/>
        <v>#N/A</v>
      </c>
      <c r="BA216" s="245" t="e">
        <f t="shared" si="200"/>
        <v>#N/A</v>
      </c>
      <c r="BB216" s="288">
        <f t="shared" si="234"/>
        <v>7</v>
      </c>
      <c r="BC216" s="289" t="e">
        <f t="shared" si="235"/>
        <v>#N/A</v>
      </c>
      <c r="BD216" s="290" t="e">
        <f t="shared" si="236"/>
        <v>#N/A</v>
      </c>
      <c r="BE216" s="263" t="e">
        <f t="shared" si="201"/>
        <v>#N/A</v>
      </c>
      <c r="BF216" s="260">
        <f t="shared" si="237"/>
        <v>7</v>
      </c>
      <c r="BG216" s="289" t="e">
        <f t="shared" si="238"/>
        <v>#N/A</v>
      </c>
      <c r="BH216" s="290" t="e">
        <f t="shared" si="239"/>
        <v>#N/A</v>
      </c>
      <c r="BI216" s="263" t="e">
        <f t="shared" si="202"/>
        <v>#N/A</v>
      </c>
      <c r="BJ216" s="264">
        <f t="shared" si="240"/>
        <v>7</v>
      </c>
      <c r="BK216" s="291" t="e">
        <f t="shared" si="241"/>
        <v>#N/A</v>
      </c>
      <c r="BL216" s="291" t="e">
        <f t="shared" si="242"/>
        <v>#N/A</v>
      </c>
      <c r="BM216" s="292" t="e">
        <f t="shared" si="203"/>
        <v>#N/A</v>
      </c>
      <c r="BN216" s="293">
        <f t="shared" si="243"/>
        <v>7</v>
      </c>
      <c r="BO216" s="294" t="e">
        <f t="shared" si="244"/>
        <v>#N/A</v>
      </c>
      <c r="BP216" s="294" t="e">
        <f t="shared" si="245"/>
        <v>#N/A</v>
      </c>
      <c r="BQ216" s="292" t="e">
        <f t="shared" si="204"/>
        <v>#N/A</v>
      </c>
      <c r="BR216" s="295" t="e">
        <f t="shared" si="205"/>
        <v>#N/A</v>
      </c>
      <c r="BS216" s="230" t="e">
        <f>VLOOKUP($B216,SDR22_STOCK_BY_LA!$A$2:$C$11679,3,0)</f>
        <v>#N/A</v>
      </c>
      <c r="BT216" s="230" t="str">
        <f t="shared" si="246"/>
        <v/>
      </c>
    </row>
    <row r="217" spans="1:72" ht="12.5" x14ac:dyDescent="0.25">
      <c r="A217" s="269" t="str">
        <f t="shared" si="247"/>
        <v/>
      </c>
      <c r="B217" s="230" t="str">
        <f t="shared" si="248"/>
        <v/>
      </c>
      <c r="C217" s="270" t="str">
        <f t="shared" si="206"/>
        <v/>
      </c>
      <c r="D217" s="269" t="str">
        <f>IF(B217="","",IF(totals!$Q$3=0,IFERROR(IF(AD217=2,"0",AE217),""),"-"))</f>
        <v/>
      </c>
      <c r="E217" s="271" t="str">
        <f t="shared" si="207"/>
        <v/>
      </c>
      <c r="F217" s="272" t="str">
        <f t="shared" si="208"/>
        <v/>
      </c>
      <c r="G217" s="272" t="str">
        <f t="shared" si="209"/>
        <v/>
      </c>
      <c r="H217" s="269" t="str">
        <f t="shared" si="187"/>
        <v/>
      </c>
      <c r="I217" s="272" t="str">
        <f t="shared" si="210"/>
        <v/>
      </c>
      <c r="J217" s="272" t="str">
        <f t="shared" si="211"/>
        <v/>
      </c>
      <c r="K217" s="269" t="str">
        <f t="shared" si="188"/>
        <v/>
      </c>
      <c r="L217" s="272" t="str">
        <f t="shared" si="189"/>
        <v/>
      </c>
      <c r="M217" s="272" t="str">
        <f t="shared" si="212"/>
        <v/>
      </c>
      <c r="N217" s="269" t="str">
        <f t="shared" si="213"/>
        <v/>
      </c>
      <c r="O217" s="272" t="str">
        <f t="shared" si="214"/>
        <v/>
      </c>
      <c r="P217" s="272" t="str">
        <f t="shared" si="215"/>
        <v/>
      </c>
      <c r="Q217" s="269" t="str">
        <f t="shared" si="216"/>
        <v/>
      </c>
      <c r="R217" s="272" t="str">
        <f t="shared" si="217"/>
        <v/>
      </c>
      <c r="S217" s="272" t="str">
        <f t="shared" si="218"/>
        <v/>
      </c>
      <c r="T217" s="269" t="str">
        <f t="shared" si="219"/>
        <v/>
      </c>
      <c r="U217" s="230"/>
      <c r="V217" s="230"/>
      <c r="AB217" s="270" t="e">
        <f>VLOOKUP($B$6,Lookup_Source,210,0)</f>
        <v>#N/A</v>
      </c>
      <c r="AC217" s="254" t="str">
        <f t="shared" si="220"/>
        <v/>
      </c>
      <c r="AD217" s="255">
        <f t="shared" si="221"/>
        <v>7</v>
      </c>
      <c r="AE217" s="274" t="e">
        <f t="shared" si="190"/>
        <v>#N/A</v>
      </c>
      <c r="AF217" s="277" t="e">
        <f t="shared" si="222"/>
        <v>#N/A</v>
      </c>
      <c r="AG217" s="277" t="e">
        <f t="shared" si="223"/>
        <v>#N/A</v>
      </c>
      <c r="AH217" s="276" t="e">
        <f t="shared" si="191"/>
        <v>#N/A</v>
      </c>
      <c r="AI217" s="239">
        <f t="shared" si="224"/>
        <v>7</v>
      </c>
      <c r="AJ217" s="277" t="e">
        <f t="shared" si="192"/>
        <v>#N/A</v>
      </c>
      <c r="AK217" s="277" t="e">
        <f t="shared" si="225"/>
        <v>#N/A</v>
      </c>
      <c r="AL217" s="239" t="e">
        <f t="shared" si="193"/>
        <v>#N/A</v>
      </c>
      <c r="AM217" s="278" t="e">
        <f t="shared" si="226"/>
        <v>#N/A</v>
      </c>
      <c r="AN217" s="279" t="e">
        <f t="shared" si="194"/>
        <v>#N/A</v>
      </c>
      <c r="AO217" s="240" t="e">
        <f t="shared" si="195"/>
        <v>#N/A</v>
      </c>
      <c r="AP217" s="297">
        <f t="shared" si="227"/>
        <v>7</v>
      </c>
      <c r="AQ217" s="298" t="e">
        <f t="shared" si="196"/>
        <v>#N/A</v>
      </c>
      <c r="AR217" s="279" t="e">
        <f t="shared" si="228"/>
        <v>#N/A</v>
      </c>
      <c r="AS217" s="283" t="e">
        <f t="shared" si="197"/>
        <v>#N/A</v>
      </c>
      <c r="AT217" s="284">
        <f t="shared" si="229"/>
        <v>7</v>
      </c>
      <c r="AU217" s="285" t="e">
        <f t="shared" si="230"/>
        <v>#N/A</v>
      </c>
      <c r="AV217" s="286" t="e">
        <f t="shared" si="231"/>
        <v>#N/A</v>
      </c>
      <c r="AW217" s="287" t="e">
        <f t="shared" si="198"/>
        <v>#N/A</v>
      </c>
      <c r="AX217" s="245">
        <f t="shared" si="232"/>
        <v>7</v>
      </c>
      <c r="AY217" s="286" t="e">
        <f t="shared" si="199"/>
        <v>#N/A</v>
      </c>
      <c r="AZ217" s="245" t="e">
        <f t="shared" si="233"/>
        <v>#N/A</v>
      </c>
      <c r="BA217" s="245" t="e">
        <f t="shared" si="200"/>
        <v>#N/A</v>
      </c>
      <c r="BB217" s="288">
        <f t="shared" si="234"/>
        <v>7</v>
      </c>
      <c r="BC217" s="289" t="e">
        <f t="shared" si="235"/>
        <v>#N/A</v>
      </c>
      <c r="BD217" s="290" t="e">
        <f t="shared" si="236"/>
        <v>#N/A</v>
      </c>
      <c r="BE217" s="263" t="e">
        <f t="shared" si="201"/>
        <v>#N/A</v>
      </c>
      <c r="BF217" s="260">
        <f t="shared" si="237"/>
        <v>7</v>
      </c>
      <c r="BG217" s="289" t="e">
        <f t="shared" si="238"/>
        <v>#N/A</v>
      </c>
      <c r="BH217" s="290" t="e">
        <f t="shared" si="239"/>
        <v>#N/A</v>
      </c>
      <c r="BI217" s="263" t="e">
        <f t="shared" si="202"/>
        <v>#N/A</v>
      </c>
      <c r="BJ217" s="264">
        <f t="shared" si="240"/>
        <v>7</v>
      </c>
      <c r="BK217" s="291" t="e">
        <f t="shared" si="241"/>
        <v>#N/A</v>
      </c>
      <c r="BL217" s="291" t="e">
        <f t="shared" si="242"/>
        <v>#N/A</v>
      </c>
      <c r="BM217" s="292" t="e">
        <f t="shared" si="203"/>
        <v>#N/A</v>
      </c>
      <c r="BN217" s="293">
        <f t="shared" si="243"/>
        <v>7</v>
      </c>
      <c r="BO217" s="294" t="e">
        <f t="shared" si="244"/>
        <v>#N/A</v>
      </c>
      <c r="BP217" s="294" t="e">
        <f t="shared" si="245"/>
        <v>#N/A</v>
      </c>
      <c r="BQ217" s="292" t="e">
        <f t="shared" si="204"/>
        <v>#N/A</v>
      </c>
      <c r="BR217" s="295" t="e">
        <f t="shared" si="205"/>
        <v>#N/A</v>
      </c>
      <c r="BS217" s="230" t="e">
        <f>VLOOKUP($B217,SDR22_STOCK_BY_LA!$A$2:$C$11679,3,0)</f>
        <v>#N/A</v>
      </c>
      <c r="BT217" s="230" t="str">
        <f t="shared" si="246"/>
        <v/>
      </c>
    </row>
    <row r="218" spans="1:72" ht="12.5" x14ac:dyDescent="0.25">
      <c r="A218" s="230" t="str">
        <f t="shared" si="247"/>
        <v/>
      </c>
      <c r="B218" s="230" t="str">
        <f t="shared" si="248"/>
        <v/>
      </c>
      <c r="C218" s="296" t="str">
        <f t="shared" si="206"/>
        <v/>
      </c>
      <c r="D218" s="269" t="str">
        <f>IF(B218="","",IF(totals!$Q$3=0,IFERROR(IF(AD218=2,"0",AE218),""),"-"))</f>
        <v/>
      </c>
      <c r="E218" s="271" t="str">
        <f t="shared" si="207"/>
        <v/>
      </c>
      <c r="F218" s="272" t="str">
        <f t="shared" si="208"/>
        <v/>
      </c>
      <c r="G218" s="272" t="str">
        <f t="shared" si="209"/>
        <v/>
      </c>
      <c r="H218" s="269" t="str">
        <f t="shared" si="187"/>
        <v/>
      </c>
      <c r="I218" s="272" t="str">
        <f t="shared" si="210"/>
        <v/>
      </c>
      <c r="J218" s="272" t="str">
        <f t="shared" si="211"/>
        <v/>
      </c>
      <c r="K218" s="269" t="str">
        <f t="shared" si="188"/>
        <v/>
      </c>
      <c r="L218" s="272" t="str">
        <f t="shared" si="189"/>
        <v/>
      </c>
      <c r="M218" s="272" t="str">
        <f t="shared" si="212"/>
        <v/>
      </c>
      <c r="N218" s="269" t="str">
        <f t="shared" si="213"/>
        <v/>
      </c>
      <c r="O218" s="272" t="str">
        <f t="shared" si="214"/>
        <v/>
      </c>
      <c r="P218" s="272" t="str">
        <f t="shared" si="215"/>
        <v/>
      </c>
      <c r="Q218" s="269" t="str">
        <f t="shared" si="216"/>
        <v/>
      </c>
      <c r="R218" s="272" t="str">
        <f t="shared" si="217"/>
        <v/>
      </c>
      <c r="S218" s="272" t="str">
        <f t="shared" si="218"/>
        <v/>
      </c>
      <c r="T218" s="269" t="str">
        <f t="shared" si="219"/>
        <v/>
      </c>
      <c r="U218" s="230"/>
      <c r="V218" s="230"/>
      <c r="AB218" s="230" t="e">
        <f>VLOOKUP($B$6,Lookup_Source,211,0)</f>
        <v>#N/A</v>
      </c>
      <c r="AC218" s="254" t="str">
        <f t="shared" si="220"/>
        <v/>
      </c>
      <c r="AD218" s="255">
        <f t="shared" si="221"/>
        <v>7</v>
      </c>
      <c r="AE218" s="274" t="e">
        <f t="shared" si="190"/>
        <v>#N/A</v>
      </c>
      <c r="AF218" s="277" t="e">
        <f t="shared" si="222"/>
        <v>#N/A</v>
      </c>
      <c r="AG218" s="277" t="e">
        <f t="shared" si="223"/>
        <v>#N/A</v>
      </c>
      <c r="AH218" s="276" t="e">
        <f t="shared" si="191"/>
        <v>#N/A</v>
      </c>
      <c r="AI218" s="239">
        <f t="shared" si="224"/>
        <v>7</v>
      </c>
      <c r="AJ218" s="277" t="e">
        <f t="shared" si="192"/>
        <v>#N/A</v>
      </c>
      <c r="AK218" s="277" t="e">
        <f t="shared" si="225"/>
        <v>#N/A</v>
      </c>
      <c r="AL218" s="239" t="e">
        <f t="shared" si="193"/>
        <v>#N/A</v>
      </c>
      <c r="AM218" s="278" t="e">
        <f t="shared" si="226"/>
        <v>#N/A</v>
      </c>
      <c r="AN218" s="279" t="e">
        <f t="shared" si="194"/>
        <v>#N/A</v>
      </c>
      <c r="AO218" s="240" t="e">
        <f t="shared" si="195"/>
        <v>#N/A</v>
      </c>
      <c r="AP218" s="297">
        <f t="shared" si="227"/>
        <v>7</v>
      </c>
      <c r="AQ218" s="298" t="e">
        <f t="shared" si="196"/>
        <v>#N/A</v>
      </c>
      <c r="AR218" s="279" t="e">
        <f t="shared" si="228"/>
        <v>#N/A</v>
      </c>
      <c r="AS218" s="283" t="e">
        <f t="shared" si="197"/>
        <v>#N/A</v>
      </c>
      <c r="AT218" s="284">
        <f t="shared" si="229"/>
        <v>7</v>
      </c>
      <c r="AU218" s="285" t="e">
        <f t="shared" si="230"/>
        <v>#N/A</v>
      </c>
      <c r="AV218" s="286" t="e">
        <f t="shared" si="231"/>
        <v>#N/A</v>
      </c>
      <c r="AW218" s="287" t="e">
        <f t="shared" si="198"/>
        <v>#N/A</v>
      </c>
      <c r="AX218" s="245">
        <f t="shared" si="232"/>
        <v>7</v>
      </c>
      <c r="AY218" s="286" t="e">
        <f t="shared" si="199"/>
        <v>#N/A</v>
      </c>
      <c r="AZ218" s="245" t="e">
        <f t="shared" si="233"/>
        <v>#N/A</v>
      </c>
      <c r="BA218" s="245" t="e">
        <f t="shared" si="200"/>
        <v>#N/A</v>
      </c>
      <c r="BB218" s="288">
        <f t="shared" si="234"/>
        <v>7</v>
      </c>
      <c r="BC218" s="289" t="e">
        <f t="shared" si="235"/>
        <v>#N/A</v>
      </c>
      <c r="BD218" s="290" t="e">
        <f t="shared" si="236"/>
        <v>#N/A</v>
      </c>
      <c r="BE218" s="263" t="e">
        <f t="shared" si="201"/>
        <v>#N/A</v>
      </c>
      <c r="BF218" s="260">
        <f t="shared" si="237"/>
        <v>7</v>
      </c>
      <c r="BG218" s="289" t="e">
        <f t="shared" si="238"/>
        <v>#N/A</v>
      </c>
      <c r="BH218" s="290" t="e">
        <f t="shared" si="239"/>
        <v>#N/A</v>
      </c>
      <c r="BI218" s="263" t="e">
        <f t="shared" si="202"/>
        <v>#N/A</v>
      </c>
      <c r="BJ218" s="264">
        <f t="shared" si="240"/>
        <v>7</v>
      </c>
      <c r="BK218" s="291" t="e">
        <f t="shared" si="241"/>
        <v>#N/A</v>
      </c>
      <c r="BL218" s="291" t="e">
        <f t="shared" si="242"/>
        <v>#N/A</v>
      </c>
      <c r="BM218" s="292" t="e">
        <f t="shared" si="203"/>
        <v>#N/A</v>
      </c>
      <c r="BN218" s="293">
        <f t="shared" si="243"/>
        <v>7</v>
      </c>
      <c r="BO218" s="294" t="e">
        <f t="shared" si="244"/>
        <v>#N/A</v>
      </c>
      <c r="BP218" s="294" t="e">
        <f t="shared" si="245"/>
        <v>#N/A</v>
      </c>
      <c r="BQ218" s="292" t="e">
        <f t="shared" si="204"/>
        <v>#N/A</v>
      </c>
      <c r="BR218" s="295" t="e">
        <f t="shared" si="205"/>
        <v>#N/A</v>
      </c>
      <c r="BS218" s="230" t="e">
        <f>VLOOKUP($B218,SDR22_STOCK_BY_LA!$A$2:$C$11679,3,0)</f>
        <v>#N/A</v>
      </c>
      <c r="BT218" s="230" t="str">
        <f t="shared" si="246"/>
        <v/>
      </c>
    </row>
    <row r="219" spans="1:72" ht="12.5" x14ac:dyDescent="0.25">
      <c r="A219" s="269" t="str">
        <f t="shared" si="247"/>
        <v/>
      </c>
      <c r="B219" s="230" t="str">
        <f t="shared" si="248"/>
        <v/>
      </c>
      <c r="C219" s="270" t="str">
        <f t="shared" si="206"/>
        <v/>
      </c>
      <c r="D219" s="269" t="str">
        <f>IF(B219="","",IF(totals!$Q$3=0,IFERROR(IF(AD219=2,"0",AE219),""),"-"))</f>
        <v/>
      </c>
      <c r="E219" s="271" t="str">
        <f t="shared" si="207"/>
        <v/>
      </c>
      <c r="F219" s="272" t="str">
        <f t="shared" si="208"/>
        <v/>
      </c>
      <c r="G219" s="272" t="str">
        <f t="shared" si="209"/>
        <v/>
      </c>
      <c r="H219" s="269" t="str">
        <f t="shared" si="187"/>
        <v/>
      </c>
      <c r="I219" s="272" t="str">
        <f t="shared" si="210"/>
        <v/>
      </c>
      <c r="J219" s="272" t="str">
        <f t="shared" si="211"/>
        <v/>
      </c>
      <c r="K219" s="269" t="str">
        <f t="shared" si="188"/>
        <v/>
      </c>
      <c r="L219" s="272" t="str">
        <f t="shared" si="189"/>
        <v/>
      </c>
      <c r="M219" s="272" t="str">
        <f t="shared" si="212"/>
        <v/>
      </c>
      <c r="N219" s="269" t="str">
        <f t="shared" si="213"/>
        <v/>
      </c>
      <c r="O219" s="272" t="str">
        <f t="shared" si="214"/>
        <v/>
      </c>
      <c r="P219" s="272" t="str">
        <f t="shared" si="215"/>
        <v/>
      </c>
      <c r="Q219" s="269" t="str">
        <f t="shared" si="216"/>
        <v/>
      </c>
      <c r="R219" s="272" t="str">
        <f t="shared" si="217"/>
        <v/>
      </c>
      <c r="S219" s="272" t="str">
        <f t="shared" si="218"/>
        <v/>
      </c>
      <c r="T219" s="269" t="str">
        <f t="shared" si="219"/>
        <v/>
      </c>
      <c r="U219" s="230"/>
      <c r="V219" s="230"/>
      <c r="AB219" s="270" t="e">
        <f>VLOOKUP($B$6,Lookup_Source,212,0)</f>
        <v>#N/A</v>
      </c>
      <c r="AC219" s="254" t="str">
        <f t="shared" si="220"/>
        <v/>
      </c>
      <c r="AD219" s="255">
        <f t="shared" si="221"/>
        <v>7</v>
      </c>
      <c r="AE219" s="274" t="e">
        <f t="shared" si="190"/>
        <v>#N/A</v>
      </c>
      <c r="AF219" s="277" t="e">
        <f t="shared" si="222"/>
        <v>#N/A</v>
      </c>
      <c r="AG219" s="277" t="e">
        <f t="shared" si="223"/>
        <v>#N/A</v>
      </c>
      <c r="AH219" s="276" t="e">
        <f t="shared" si="191"/>
        <v>#N/A</v>
      </c>
      <c r="AI219" s="239">
        <f t="shared" si="224"/>
        <v>7</v>
      </c>
      <c r="AJ219" s="277" t="e">
        <f t="shared" si="192"/>
        <v>#N/A</v>
      </c>
      <c r="AK219" s="277" t="e">
        <f t="shared" si="225"/>
        <v>#N/A</v>
      </c>
      <c r="AL219" s="239" t="e">
        <f t="shared" si="193"/>
        <v>#N/A</v>
      </c>
      <c r="AM219" s="278" t="e">
        <f t="shared" si="226"/>
        <v>#N/A</v>
      </c>
      <c r="AN219" s="279" t="e">
        <f t="shared" si="194"/>
        <v>#N/A</v>
      </c>
      <c r="AO219" s="240" t="e">
        <f t="shared" si="195"/>
        <v>#N/A</v>
      </c>
      <c r="AP219" s="297">
        <f t="shared" si="227"/>
        <v>7</v>
      </c>
      <c r="AQ219" s="298" t="e">
        <f t="shared" si="196"/>
        <v>#N/A</v>
      </c>
      <c r="AR219" s="279" t="e">
        <f t="shared" si="228"/>
        <v>#N/A</v>
      </c>
      <c r="AS219" s="283" t="e">
        <f t="shared" si="197"/>
        <v>#N/A</v>
      </c>
      <c r="AT219" s="284">
        <f t="shared" si="229"/>
        <v>7</v>
      </c>
      <c r="AU219" s="285" t="e">
        <f t="shared" si="230"/>
        <v>#N/A</v>
      </c>
      <c r="AV219" s="286" t="e">
        <f t="shared" si="231"/>
        <v>#N/A</v>
      </c>
      <c r="AW219" s="287" t="e">
        <f t="shared" si="198"/>
        <v>#N/A</v>
      </c>
      <c r="AX219" s="245">
        <f t="shared" si="232"/>
        <v>7</v>
      </c>
      <c r="AY219" s="286" t="e">
        <f t="shared" si="199"/>
        <v>#N/A</v>
      </c>
      <c r="AZ219" s="245" t="e">
        <f t="shared" si="233"/>
        <v>#N/A</v>
      </c>
      <c r="BA219" s="245" t="e">
        <f t="shared" si="200"/>
        <v>#N/A</v>
      </c>
      <c r="BB219" s="288">
        <f t="shared" si="234"/>
        <v>7</v>
      </c>
      <c r="BC219" s="289" t="e">
        <f t="shared" si="235"/>
        <v>#N/A</v>
      </c>
      <c r="BD219" s="290" t="e">
        <f t="shared" si="236"/>
        <v>#N/A</v>
      </c>
      <c r="BE219" s="263" t="e">
        <f t="shared" si="201"/>
        <v>#N/A</v>
      </c>
      <c r="BF219" s="260">
        <f t="shared" si="237"/>
        <v>7</v>
      </c>
      <c r="BG219" s="289" t="e">
        <f t="shared" si="238"/>
        <v>#N/A</v>
      </c>
      <c r="BH219" s="290" t="e">
        <f t="shared" si="239"/>
        <v>#N/A</v>
      </c>
      <c r="BI219" s="263" t="e">
        <f t="shared" si="202"/>
        <v>#N/A</v>
      </c>
      <c r="BJ219" s="264">
        <f t="shared" si="240"/>
        <v>7</v>
      </c>
      <c r="BK219" s="291" t="e">
        <f t="shared" si="241"/>
        <v>#N/A</v>
      </c>
      <c r="BL219" s="291" t="e">
        <f t="shared" si="242"/>
        <v>#N/A</v>
      </c>
      <c r="BM219" s="292" t="e">
        <f t="shared" si="203"/>
        <v>#N/A</v>
      </c>
      <c r="BN219" s="293">
        <f t="shared" si="243"/>
        <v>7</v>
      </c>
      <c r="BO219" s="294" t="e">
        <f t="shared" si="244"/>
        <v>#N/A</v>
      </c>
      <c r="BP219" s="294" t="e">
        <f t="shared" si="245"/>
        <v>#N/A</v>
      </c>
      <c r="BQ219" s="292" t="e">
        <f t="shared" si="204"/>
        <v>#N/A</v>
      </c>
      <c r="BR219" s="295" t="e">
        <f t="shared" si="205"/>
        <v>#N/A</v>
      </c>
      <c r="BS219" s="230" t="e">
        <f>VLOOKUP($B219,SDR22_STOCK_BY_LA!$A$2:$C$11679,3,0)</f>
        <v>#N/A</v>
      </c>
      <c r="BT219" s="230" t="str">
        <f t="shared" si="246"/>
        <v/>
      </c>
    </row>
    <row r="220" spans="1:72" ht="12.5" x14ac:dyDescent="0.25">
      <c r="A220" s="230" t="str">
        <f t="shared" si="247"/>
        <v/>
      </c>
      <c r="B220" s="230" t="str">
        <f t="shared" si="248"/>
        <v/>
      </c>
      <c r="C220" s="296" t="str">
        <f t="shared" si="206"/>
        <v/>
      </c>
      <c r="D220" s="269" t="str">
        <f>IF(B220="","",IF(totals!$Q$3=0,IFERROR(IF(AD220=2,"0",AE220),""),"-"))</f>
        <v/>
      </c>
      <c r="E220" s="271" t="str">
        <f t="shared" si="207"/>
        <v/>
      </c>
      <c r="F220" s="272" t="str">
        <f t="shared" si="208"/>
        <v/>
      </c>
      <c r="G220" s="272" t="str">
        <f t="shared" si="209"/>
        <v/>
      </c>
      <c r="H220" s="269" t="str">
        <f t="shared" si="187"/>
        <v/>
      </c>
      <c r="I220" s="272" t="str">
        <f t="shared" si="210"/>
        <v/>
      </c>
      <c r="J220" s="272" t="str">
        <f t="shared" si="211"/>
        <v/>
      </c>
      <c r="K220" s="269" t="str">
        <f t="shared" si="188"/>
        <v/>
      </c>
      <c r="L220" s="272" t="str">
        <f t="shared" si="189"/>
        <v/>
      </c>
      <c r="M220" s="272" t="str">
        <f t="shared" si="212"/>
        <v/>
      </c>
      <c r="N220" s="269" t="str">
        <f t="shared" si="213"/>
        <v/>
      </c>
      <c r="O220" s="272" t="str">
        <f t="shared" si="214"/>
        <v/>
      </c>
      <c r="P220" s="272" t="str">
        <f t="shared" si="215"/>
        <v/>
      </c>
      <c r="Q220" s="269" t="str">
        <f t="shared" si="216"/>
        <v/>
      </c>
      <c r="R220" s="272" t="str">
        <f t="shared" si="217"/>
        <v/>
      </c>
      <c r="S220" s="272" t="str">
        <f t="shared" si="218"/>
        <v/>
      </c>
      <c r="T220" s="269" t="str">
        <f t="shared" si="219"/>
        <v/>
      </c>
      <c r="U220" s="230"/>
      <c r="V220" s="230"/>
      <c r="AB220" s="230" t="e">
        <f>VLOOKUP($B$6,Lookup_Source,213,0)</f>
        <v>#N/A</v>
      </c>
      <c r="AC220" s="254" t="str">
        <f t="shared" si="220"/>
        <v/>
      </c>
      <c r="AD220" s="255">
        <f t="shared" si="221"/>
        <v>7</v>
      </c>
      <c r="AE220" s="274" t="e">
        <f t="shared" si="190"/>
        <v>#N/A</v>
      </c>
      <c r="AF220" s="277" t="e">
        <f t="shared" si="222"/>
        <v>#N/A</v>
      </c>
      <c r="AG220" s="277" t="e">
        <f t="shared" si="223"/>
        <v>#N/A</v>
      </c>
      <c r="AH220" s="276" t="e">
        <f t="shared" si="191"/>
        <v>#N/A</v>
      </c>
      <c r="AI220" s="239">
        <f t="shared" si="224"/>
        <v>7</v>
      </c>
      <c r="AJ220" s="277" t="e">
        <f t="shared" si="192"/>
        <v>#N/A</v>
      </c>
      <c r="AK220" s="277" t="e">
        <f t="shared" si="225"/>
        <v>#N/A</v>
      </c>
      <c r="AL220" s="239" t="e">
        <f t="shared" si="193"/>
        <v>#N/A</v>
      </c>
      <c r="AM220" s="278" t="e">
        <f t="shared" si="226"/>
        <v>#N/A</v>
      </c>
      <c r="AN220" s="279" t="e">
        <f t="shared" si="194"/>
        <v>#N/A</v>
      </c>
      <c r="AO220" s="240" t="e">
        <f t="shared" si="195"/>
        <v>#N/A</v>
      </c>
      <c r="AP220" s="297">
        <f t="shared" si="227"/>
        <v>7</v>
      </c>
      <c r="AQ220" s="298" t="e">
        <f t="shared" si="196"/>
        <v>#N/A</v>
      </c>
      <c r="AR220" s="279" t="e">
        <f t="shared" si="228"/>
        <v>#N/A</v>
      </c>
      <c r="AS220" s="283" t="e">
        <f t="shared" si="197"/>
        <v>#N/A</v>
      </c>
      <c r="AT220" s="284">
        <f t="shared" si="229"/>
        <v>7</v>
      </c>
      <c r="AU220" s="285" t="e">
        <f t="shared" si="230"/>
        <v>#N/A</v>
      </c>
      <c r="AV220" s="286" t="e">
        <f t="shared" si="231"/>
        <v>#N/A</v>
      </c>
      <c r="AW220" s="287" t="e">
        <f t="shared" si="198"/>
        <v>#N/A</v>
      </c>
      <c r="AX220" s="245">
        <f t="shared" si="232"/>
        <v>7</v>
      </c>
      <c r="AY220" s="286" t="e">
        <f t="shared" si="199"/>
        <v>#N/A</v>
      </c>
      <c r="AZ220" s="245" t="e">
        <f t="shared" si="233"/>
        <v>#N/A</v>
      </c>
      <c r="BA220" s="245" t="e">
        <f t="shared" si="200"/>
        <v>#N/A</v>
      </c>
      <c r="BB220" s="288">
        <f t="shared" si="234"/>
        <v>7</v>
      </c>
      <c r="BC220" s="289" t="e">
        <f t="shared" si="235"/>
        <v>#N/A</v>
      </c>
      <c r="BD220" s="290" t="e">
        <f t="shared" si="236"/>
        <v>#N/A</v>
      </c>
      <c r="BE220" s="263" t="e">
        <f t="shared" si="201"/>
        <v>#N/A</v>
      </c>
      <c r="BF220" s="260">
        <f t="shared" si="237"/>
        <v>7</v>
      </c>
      <c r="BG220" s="289" t="e">
        <f t="shared" si="238"/>
        <v>#N/A</v>
      </c>
      <c r="BH220" s="290" t="e">
        <f t="shared" si="239"/>
        <v>#N/A</v>
      </c>
      <c r="BI220" s="263" t="e">
        <f t="shared" si="202"/>
        <v>#N/A</v>
      </c>
      <c r="BJ220" s="264">
        <f t="shared" si="240"/>
        <v>7</v>
      </c>
      <c r="BK220" s="291" t="e">
        <f t="shared" si="241"/>
        <v>#N/A</v>
      </c>
      <c r="BL220" s="291" t="e">
        <f t="shared" si="242"/>
        <v>#N/A</v>
      </c>
      <c r="BM220" s="292" t="e">
        <f t="shared" si="203"/>
        <v>#N/A</v>
      </c>
      <c r="BN220" s="293">
        <f t="shared" si="243"/>
        <v>7</v>
      </c>
      <c r="BO220" s="294" t="e">
        <f t="shared" si="244"/>
        <v>#N/A</v>
      </c>
      <c r="BP220" s="294" t="e">
        <f t="shared" si="245"/>
        <v>#N/A</v>
      </c>
      <c r="BQ220" s="292" t="e">
        <f t="shared" si="204"/>
        <v>#N/A</v>
      </c>
      <c r="BR220" s="295" t="e">
        <f t="shared" si="205"/>
        <v>#N/A</v>
      </c>
      <c r="BS220" s="230" t="e">
        <f>VLOOKUP($B220,SDR22_STOCK_BY_LA!$A$2:$C$11679,3,0)</f>
        <v>#N/A</v>
      </c>
      <c r="BT220" s="230" t="str">
        <f t="shared" si="246"/>
        <v/>
      </c>
    </row>
    <row r="221" spans="1:72" ht="12.5" x14ac:dyDescent="0.25">
      <c r="A221" s="269" t="str">
        <f t="shared" si="247"/>
        <v/>
      </c>
      <c r="B221" s="230" t="str">
        <f t="shared" si="248"/>
        <v/>
      </c>
      <c r="C221" s="270" t="str">
        <f t="shared" si="206"/>
        <v/>
      </c>
      <c r="D221" s="269" t="str">
        <f>IF(B221="","",IF(totals!$Q$3=0,IFERROR(IF(AD221=2,"0",AE221),""),"-"))</f>
        <v/>
      </c>
      <c r="E221" s="271" t="str">
        <f t="shared" si="207"/>
        <v/>
      </c>
      <c r="F221" s="272" t="str">
        <f t="shared" si="208"/>
        <v/>
      </c>
      <c r="G221" s="272" t="str">
        <f t="shared" si="209"/>
        <v/>
      </c>
      <c r="H221" s="269" t="str">
        <f t="shared" si="187"/>
        <v/>
      </c>
      <c r="I221" s="272" t="str">
        <f t="shared" si="210"/>
        <v/>
      </c>
      <c r="J221" s="272" t="str">
        <f t="shared" si="211"/>
        <v/>
      </c>
      <c r="K221" s="269" t="str">
        <f t="shared" si="188"/>
        <v/>
      </c>
      <c r="L221" s="272" t="str">
        <f t="shared" si="189"/>
        <v/>
      </c>
      <c r="M221" s="272" t="str">
        <f t="shared" si="212"/>
        <v/>
      </c>
      <c r="N221" s="269" t="str">
        <f t="shared" si="213"/>
        <v/>
      </c>
      <c r="O221" s="272" t="str">
        <f t="shared" si="214"/>
        <v/>
      </c>
      <c r="P221" s="272" t="str">
        <f t="shared" si="215"/>
        <v/>
      </c>
      <c r="Q221" s="269" t="str">
        <f t="shared" si="216"/>
        <v/>
      </c>
      <c r="R221" s="272" t="str">
        <f t="shared" si="217"/>
        <v/>
      </c>
      <c r="S221" s="272" t="str">
        <f t="shared" si="218"/>
        <v/>
      </c>
      <c r="T221" s="269" t="str">
        <f t="shared" si="219"/>
        <v/>
      </c>
      <c r="U221" s="230"/>
      <c r="V221" s="230"/>
      <c r="AB221" s="270" t="e">
        <f>VLOOKUP($B$6,Lookup_Source,214,0)</f>
        <v>#N/A</v>
      </c>
      <c r="AC221" s="254" t="str">
        <f t="shared" si="220"/>
        <v/>
      </c>
      <c r="AD221" s="255">
        <f t="shared" si="221"/>
        <v>7</v>
      </c>
      <c r="AE221" s="274" t="e">
        <f t="shared" si="190"/>
        <v>#N/A</v>
      </c>
      <c r="AF221" s="277" t="e">
        <f t="shared" si="222"/>
        <v>#N/A</v>
      </c>
      <c r="AG221" s="277" t="e">
        <f t="shared" si="223"/>
        <v>#N/A</v>
      </c>
      <c r="AH221" s="276" t="e">
        <f t="shared" si="191"/>
        <v>#N/A</v>
      </c>
      <c r="AI221" s="239">
        <f t="shared" si="224"/>
        <v>7</v>
      </c>
      <c r="AJ221" s="277" t="e">
        <f t="shared" si="192"/>
        <v>#N/A</v>
      </c>
      <c r="AK221" s="277" t="e">
        <f t="shared" si="225"/>
        <v>#N/A</v>
      </c>
      <c r="AL221" s="239" t="e">
        <f t="shared" si="193"/>
        <v>#N/A</v>
      </c>
      <c r="AM221" s="278" t="e">
        <f t="shared" si="226"/>
        <v>#N/A</v>
      </c>
      <c r="AN221" s="279" t="e">
        <f t="shared" si="194"/>
        <v>#N/A</v>
      </c>
      <c r="AO221" s="240" t="e">
        <f t="shared" si="195"/>
        <v>#N/A</v>
      </c>
      <c r="AP221" s="297">
        <f t="shared" si="227"/>
        <v>7</v>
      </c>
      <c r="AQ221" s="298" t="e">
        <f t="shared" si="196"/>
        <v>#N/A</v>
      </c>
      <c r="AR221" s="279" t="e">
        <f t="shared" si="228"/>
        <v>#N/A</v>
      </c>
      <c r="AS221" s="283" t="e">
        <f t="shared" si="197"/>
        <v>#N/A</v>
      </c>
      <c r="AT221" s="284">
        <f t="shared" si="229"/>
        <v>7</v>
      </c>
      <c r="AU221" s="285" t="e">
        <f t="shared" si="230"/>
        <v>#N/A</v>
      </c>
      <c r="AV221" s="286" t="e">
        <f t="shared" si="231"/>
        <v>#N/A</v>
      </c>
      <c r="AW221" s="287" t="e">
        <f t="shared" si="198"/>
        <v>#N/A</v>
      </c>
      <c r="AX221" s="245">
        <f t="shared" si="232"/>
        <v>7</v>
      </c>
      <c r="AY221" s="286" t="e">
        <f t="shared" si="199"/>
        <v>#N/A</v>
      </c>
      <c r="AZ221" s="245" t="e">
        <f t="shared" si="233"/>
        <v>#N/A</v>
      </c>
      <c r="BA221" s="245" t="e">
        <f t="shared" si="200"/>
        <v>#N/A</v>
      </c>
      <c r="BB221" s="288">
        <f t="shared" si="234"/>
        <v>7</v>
      </c>
      <c r="BC221" s="289" t="e">
        <f t="shared" si="235"/>
        <v>#N/A</v>
      </c>
      <c r="BD221" s="290" t="e">
        <f t="shared" si="236"/>
        <v>#N/A</v>
      </c>
      <c r="BE221" s="263" t="e">
        <f t="shared" si="201"/>
        <v>#N/A</v>
      </c>
      <c r="BF221" s="260">
        <f t="shared" si="237"/>
        <v>7</v>
      </c>
      <c r="BG221" s="289" t="e">
        <f t="shared" si="238"/>
        <v>#N/A</v>
      </c>
      <c r="BH221" s="290" t="e">
        <f t="shared" si="239"/>
        <v>#N/A</v>
      </c>
      <c r="BI221" s="263" t="e">
        <f t="shared" si="202"/>
        <v>#N/A</v>
      </c>
      <c r="BJ221" s="264">
        <f t="shared" si="240"/>
        <v>7</v>
      </c>
      <c r="BK221" s="291" t="e">
        <f t="shared" si="241"/>
        <v>#N/A</v>
      </c>
      <c r="BL221" s="291" t="e">
        <f t="shared" si="242"/>
        <v>#N/A</v>
      </c>
      <c r="BM221" s="292" t="e">
        <f t="shared" si="203"/>
        <v>#N/A</v>
      </c>
      <c r="BN221" s="293">
        <f t="shared" si="243"/>
        <v>7</v>
      </c>
      <c r="BO221" s="294" t="e">
        <f t="shared" si="244"/>
        <v>#N/A</v>
      </c>
      <c r="BP221" s="294" t="e">
        <f t="shared" si="245"/>
        <v>#N/A</v>
      </c>
      <c r="BQ221" s="292" t="e">
        <f t="shared" si="204"/>
        <v>#N/A</v>
      </c>
      <c r="BR221" s="295" t="e">
        <f t="shared" si="205"/>
        <v>#N/A</v>
      </c>
      <c r="BS221" s="230" t="e">
        <f>VLOOKUP($B221,SDR22_STOCK_BY_LA!$A$2:$C$11679,3,0)</f>
        <v>#N/A</v>
      </c>
      <c r="BT221" s="230" t="str">
        <f t="shared" si="246"/>
        <v/>
      </c>
    </row>
    <row r="222" spans="1:72" ht="12.5" x14ac:dyDescent="0.25">
      <c r="A222" s="230" t="str">
        <f t="shared" si="247"/>
        <v/>
      </c>
      <c r="B222" s="230" t="str">
        <f t="shared" si="248"/>
        <v/>
      </c>
      <c r="C222" s="296" t="str">
        <f t="shared" si="206"/>
        <v/>
      </c>
      <c r="D222" s="269" t="str">
        <f>IF(B222="","",IF(totals!$Q$3=0,IFERROR(IF(AD222=2,"0",AE222),""),"-"))</f>
        <v/>
      </c>
      <c r="E222" s="271" t="str">
        <f t="shared" si="207"/>
        <v/>
      </c>
      <c r="F222" s="272" t="str">
        <f t="shared" si="208"/>
        <v/>
      </c>
      <c r="G222" s="272" t="str">
        <f t="shared" si="209"/>
        <v/>
      </c>
      <c r="H222" s="269" t="str">
        <f t="shared" si="187"/>
        <v/>
      </c>
      <c r="I222" s="272" t="str">
        <f t="shared" si="210"/>
        <v/>
      </c>
      <c r="J222" s="272" t="str">
        <f t="shared" si="211"/>
        <v/>
      </c>
      <c r="K222" s="269" t="str">
        <f t="shared" si="188"/>
        <v/>
      </c>
      <c r="L222" s="272" t="str">
        <f t="shared" si="189"/>
        <v/>
      </c>
      <c r="M222" s="272" t="str">
        <f t="shared" si="212"/>
        <v/>
      </c>
      <c r="N222" s="269" t="str">
        <f t="shared" si="213"/>
        <v/>
      </c>
      <c r="O222" s="272" t="str">
        <f t="shared" si="214"/>
        <v/>
      </c>
      <c r="P222" s="272" t="str">
        <f t="shared" si="215"/>
        <v/>
      </c>
      <c r="Q222" s="269" t="str">
        <f t="shared" si="216"/>
        <v/>
      </c>
      <c r="R222" s="272" t="str">
        <f t="shared" si="217"/>
        <v/>
      </c>
      <c r="S222" s="272" t="str">
        <f t="shared" si="218"/>
        <v/>
      </c>
      <c r="T222" s="269" t="str">
        <f t="shared" si="219"/>
        <v/>
      </c>
      <c r="U222" s="230"/>
      <c r="V222" s="230"/>
      <c r="AB222" s="230" t="e">
        <f>VLOOKUP($B$6,Lookup_Source,215,0)</f>
        <v>#N/A</v>
      </c>
      <c r="AC222" s="254" t="str">
        <f t="shared" si="220"/>
        <v/>
      </c>
      <c r="AD222" s="255">
        <f t="shared" si="221"/>
        <v>7</v>
      </c>
      <c r="AE222" s="274" t="e">
        <f t="shared" si="190"/>
        <v>#N/A</v>
      </c>
      <c r="AF222" s="277" t="e">
        <f t="shared" si="222"/>
        <v>#N/A</v>
      </c>
      <c r="AG222" s="277" t="e">
        <f t="shared" si="223"/>
        <v>#N/A</v>
      </c>
      <c r="AH222" s="276" t="e">
        <f t="shared" si="191"/>
        <v>#N/A</v>
      </c>
      <c r="AI222" s="239">
        <f t="shared" si="224"/>
        <v>7</v>
      </c>
      <c r="AJ222" s="277" t="e">
        <f t="shared" si="192"/>
        <v>#N/A</v>
      </c>
      <c r="AK222" s="277" t="e">
        <f t="shared" si="225"/>
        <v>#N/A</v>
      </c>
      <c r="AL222" s="239" t="e">
        <f t="shared" si="193"/>
        <v>#N/A</v>
      </c>
      <c r="AM222" s="278" t="e">
        <f t="shared" si="226"/>
        <v>#N/A</v>
      </c>
      <c r="AN222" s="279" t="e">
        <f t="shared" si="194"/>
        <v>#N/A</v>
      </c>
      <c r="AO222" s="240" t="e">
        <f t="shared" si="195"/>
        <v>#N/A</v>
      </c>
      <c r="AP222" s="297">
        <f t="shared" si="227"/>
        <v>7</v>
      </c>
      <c r="AQ222" s="298" t="e">
        <f t="shared" si="196"/>
        <v>#N/A</v>
      </c>
      <c r="AR222" s="279" t="e">
        <f t="shared" si="228"/>
        <v>#N/A</v>
      </c>
      <c r="AS222" s="283" t="e">
        <f t="shared" si="197"/>
        <v>#N/A</v>
      </c>
      <c r="AT222" s="284">
        <f t="shared" si="229"/>
        <v>7</v>
      </c>
      <c r="AU222" s="285" t="e">
        <f t="shared" si="230"/>
        <v>#N/A</v>
      </c>
      <c r="AV222" s="286" t="e">
        <f t="shared" si="231"/>
        <v>#N/A</v>
      </c>
      <c r="AW222" s="287" t="e">
        <f t="shared" si="198"/>
        <v>#N/A</v>
      </c>
      <c r="AX222" s="245">
        <f t="shared" si="232"/>
        <v>7</v>
      </c>
      <c r="AY222" s="286" t="e">
        <f t="shared" si="199"/>
        <v>#N/A</v>
      </c>
      <c r="AZ222" s="245" t="e">
        <f t="shared" si="233"/>
        <v>#N/A</v>
      </c>
      <c r="BA222" s="245" t="e">
        <f t="shared" si="200"/>
        <v>#N/A</v>
      </c>
      <c r="BB222" s="288">
        <f t="shared" si="234"/>
        <v>7</v>
      </c>
      <c r="BC222" s="289" t="e">
        <f t="shared" si="235"/>
        <v>#N/A</v>
      </c>
      <c r="BD222" s="290" t="e">
        <f t="shared" si="236"/>
        <v>#N/A</v>
      </c>
      <c r="BE222" s="263" t="e">
        <f t="shared" si="201"/>
        <v>#N/A</v>
      </c>
      <c r="BF222" s="260">
        <f t="shared" si="237"/>
        <v>7</v>
      </c>
      <c r="BG222" s="289" t="e">
        <f t="shared" si="238"/>
        <v>#N/A</v>
      </c>
      <c r="BH222" s="290" t="e">
        <f t="shared" si="239"/>
        <v>#N/A</v>
      </c>
      <c r="BI222" s="263" t="e">
        <f t="shared" si="202"/>
        <v>#N/A</v>
      </c>
      <c r="BJ222" s="264">
        <f t="shared" si="240"/>
        <v>7</v>
      </c>
      <c r="BK222" s="291" t="e">
        <f t="shared" si="241"/>
        <v>#N/A</v>
      </c>
      <c r="BL222" s="291" t="e">
        <f t="shared" si="242"/>
        <v>#N/A</v>
      </c>
      <c r="BM222" s="292" t="e">
        <f t="shared" si="203"/>
        <v>#N/A</v>
      </c>
      <c r="BN222" s="293">
        <f t="shared" si="243"/>
        <v>7</v>
      </c>
      <c r="BO222" s="294" t="e">
        <f t="shared" si="244"/>
        <v>#N/A</v>
      </c>
      <c r="BP222" s="294" t="e">
        <f t="shared" si="245"/>
        <v>#N/A</v>
      </c>
      <c r="BQ222" s="292" t="e">
        <f t="shared" si="204"/>
        <v>#N/A</v>
      </c>
      <c r="BR222" s="295" t="e">
        <f t="shared" si="205"/>
        <v>#N/A</v>
      </c>
      <c r="BS222" s="230" t="e">
        <f>VLOOKUP($B222,SDR22_STOCK_BY_LA!$A$2:$C$11679,3,0)</f>
        <v>#N/A</v>
      </c>
      <c r="BT222" s="230" t="str">
        <f t="shared" si="246"/>
        <v/>
      </c>
    </row>
    <row r="223" spans="1:72" ht="12.5" x14ac:dyDescent="0.25">
      <c r="A223" s="269" t="str">
        <f t="shared" si="247"/>
        <v/>
      </c>
      <c r="B223" s="230" t="str">
        <f t="shared" si="248"/>
        <v/>
      </c>
      <c r="C223" s="270" t="str">
        <f t="shared" si="206"/>
        <v/>
      </c>
      <c r="D223" s="269" t="str">
        <f>IF(B223="","",IF(totals!$Q$3=0,IFERROR(IF(AD223=2,"0",AE223),""),"-"))</f>
        <v/>
      </c>
      <c r="E223" s="271" t="str">
        <f t="shared" si="207"/>
        <v/>
      </c>
      <c r="F223" s="272" t="str">
        <f t="shared" si="208"/>
        <v/>
      </c>
      <c r="G223" s="272" t="str">
        <f t="shared" si="209"/>
        <v/>
      </c>
      <c r="H223" s="269" t="str">
        <f t="shared" si="187"/>
        <v/>
      </c>
      <c r="I223" s="272" t="str">
        <f t="shared" si="210"/>
        <v/>
      </c>
      <c r="J223" s="272" t="str">
        <f t="shared" si="211"/>
        <v/>
      </c>
      <c r="K223" s="269" t="str">
        <f t="shared" si="188"/>
        <v/>
      </c>
      <c r="L223" s="272" t="str">
        <f t="shared" si="189"/>
        <v/>
      </c>
      <c r="M223" s="272" t="str">
        <f t="shared" si="212"/>
        <v/>
      </c>
      <c r="N223" s="269" t="str">
        <f t="shared" si="213"/>
        <v/>
      </c>
      <c r="O223" s="272" t="str">
        <f t="shared" si="214"/>
        <v/>
      </c>
      <c r="P223" s="272" t="str">
        <f t="shared" si="215"/>
        <v/>
      </c>
      <c r="Q223" s="269" t="str">
        <f t="shared" si="216"/>
        <v/>
      </c>
      <c r="R223" s="272" t="str">
        <f t="shared" si="217"/>
        <v/>
      </c>
      <c r="S223" s="272" t="str">
        <f t="shared" si="218"/>
        <v/>
      </c>
      <c r="T223" s="269" t="str">
        <f t="shared" si="219"/>
        <v/>
      </c>
      <c r="U223" s="230"/>
      <c r="V223" s="230"/>
      <c r="AB223" s="270" t="e">
        <f>VLOOKUP($B$6,Lookup_Source,216,0)</f>
        <v>#N/A</v>
      </c>
      <c r="AC223" s="254" t="str">
        <f t="shared" si="220"/>
        <v/>
      </c>
      <c r="AD223" s="255">
        <f t="shared" si="221"/>
        <v>7</v>
      </c>
      <c r="AE223" s="274" t="e">
        <f t="shared" si="190"/>
        <v>#N/A</v>
      </c>
      <c r="AF223" s="277" t="e">
        <f t="shared" si="222"/>
        <v>#N/A</v>
      </c>
      <c r="AG223" s="277" t="e">
        <f t="shared" si="223"/>
        <v>#N/A</v>
      </c>
      <c r="AH223" s="276" t="e">
        <f t="shared" si="191"/>
        <v>#N/A</v>
      </c>
      <c r="AI223" s="239">
        <f t="shared" si="224"/>
        <v>7</v>
      </c>
      <c r="AJ223" s="277" t="e">
        <f t="shared" si="192"/>
        <v>#N/A</v>
      </c>
      <c r="AK223" s="277" t="e">
        <f t="shared" si="225"/>
        <v>#N/A</v>
      </c>
      <c r="AL223" s="239" t="e">
        <f t="shared" si="193"/>
        <v>#N/A</v>
      </c>
      <c r="AM223" s="278" t="e">
        <f t="shared" si="226"/>
        <v>#N/A</v>
      </c>
      <c r="AN223" s="279" t="e">
        <f t="shared" si="194"/>
        <v>#N/A</v>
      </c>
      <c r="AO223" s="240" t="e">
        <f t="shared" si="195"/>
        <v>#N/A</v>
      </c>
      <c r="AP223" s="297">
        <f t="shared" si="227"/>
        <v>7</v>
      </c>
      <c r="AQ223" s="298" t="e">
        <f t="shared" si="196"/>
        <v>#N/A</v>
      </c>
      <c r="AR223" s="279" t="e">
        <f t="shared" si="228"/>
        <v>#N/A</v>
      </c>
      <c r="AS223" s="283" t="e">
        <f t="shared" si="197"/>
        <v>#N/A</v>
      </c>
      <c r="AT223" s="284">
        <f t="shared" si="229"/>
        <v>7</v>
      </c>
      <c r="AU223" s="285" t="e">
        <f t="shared" si="230"/>
        <v>#N/A</v>
      </c>
      <c r="AV223" s="286" t="e">
        <f t="shared" si="231"/>
        <v>#N/A</v>
      </c>
      <c r="AW223" s="287" t="e">
        <f t="shared" si="198"/>
        <v>#N/A</v>
      </c>
      <c r="AX223" s="245">
        <f t="shared" si="232"/>
        <v>7</v>
      </c>
      <c r="AY223" s="286" t="e">
        <f t="shared" si="199"/>
        <v>#N/A</v>
      </c>
      <c r="AZ223" s="245" t="e">
        <f t="shared" si="233"/>
        <v>#N/A</v>
      </c>
      <c r="BA223" s="245" t="e">
        <f t="shared" si="200"/>
        <v>#N/A</v>
      </c>
      <c r="BB223" s="288">
        <f t="shared" si="234"/>
        <v>7</v>
      </c>
      <c r="BC223" s="289" t="e">
        <f t="shared" si="235"/>
        <v>#N/A</v>
      </c>
      <c r="BD223" s="290" t="e">
        <f t="shared" si="236"/>
        <v>#N/A</v>
      </c>
      <c r="BE223" s="263" t="e">
        <f t="shared" si="201"/>
        <v>#N/A</v>
      </c>
      <c r="BF223" s="260">
        <f t="shared" si="237"/>
        <v>7</v>
      </c>
      <c r="BG223" s="289" t="e">
        <f t="shared" si="238"/>
        <v>#N/A</v>
      </c>
      <c r="BH223" s="290" t="e">
        <f t="shared" si="239"/>
        <v>#N/A</v>
      </c>
      <c r="BI223" s="263" t="e">
        <f t="shared" si="202"/>
        <v>#N/A</v>
      </c>
      <c r="BJ223" s="264">
        <f t="shared" si="240"/>
        <v>7</v>
      </c>
      <c r="BK223" s="291" t="e">
        <f t="shared" si="241"/>
        <v>#N/A</v>
      </c>
      <c r="BL223" s="291" t="e">
        <f t="shared" si="242"/>
        <v>#N/A</v>
      </c>
      <c r="BM223" s="292" t="e">
        <f t="shared" si="203"/>
        <v>#N/A</v>
      </c>
      <c r="BN223" s="293">
        <f t="shared" si="243"/>
        <v>7</v>
      </c>
      <c r="BO223" s="294" t="e">
        <f t="shared" si="244"/>
        <v>#N/A</v>
      </c>
      <c r="BP223" s="294" t="e">
        <f t="shared" si="245"/>
        <v>#N/A</v>
      </c>
      <c r="BQ223" s="292" t="e">
        <f t="shared" si="204"/>
        <v>#N/A</v>
      </c>
      <c r="BR223" s="295" t="e">
        <f t="shared" si="205"/>
        <v>#N/A</v>
      </c>
      <c r="BS223" s="230" t="e">
        <f>VLOOKUP($B223,SDR22_STOCK_BY_LA!$A$2:$C$11679,3,0)</f>
        <v>#N/A</v>
      </c>
      <c r="BT223" s="230" t="str">
        <f t="shared" si="246"/>
        <v/>
      </c>
    </row>
    <row r="224" spans="1:72" ht="12.5" x14ac:dyDescent="0.25">
      <c r="A224" s="230" t="str">
        <f t="shared" si="247"/>
        <v/>
      </c>
      <c r="B224" s="230" t="str">
        <f t="shared" si="248"/>
        <v/>
      </c>
      <c r="C224" s="296" t="str">
        <f t="shared" si="206"/>
        <v/>
      </c>
      <c r="D224" s="269" t="str">
        <f>IF(B224="","",IF(totals!$Q$3=0,IFERROR(IF(AD224=2,"0",AE224),""),"-"))</f>
        <v/>
      </c>
      <c r="E224" s="271" t="str">
        <f t="shared" si="207"/>
        <v/>
      </c>
      <c r="F224" s="272" t="str">
        <f t="shared" si="208"/>
        <v/>
      </c>
      <c r="G224" s="272" t="str">
        <f t="shared" si="209"/>
        <v/>
      </c>
      <c r="H224" s="269" t="str">
        <f t="shared" si="187"/>
        <v/>
      </c>
      <c r="I224" s="272" t="str">
        <f t="shared" si="210"/>
        <v/>
      </c>
      <c r="J224" s="272" t="str">
        <f t="shared" si="211"/>
        <v/>
      </c>
      <c r="K224" s="269" t="str">
        <f t="shared" si="188"/>
        <v/>
      </c>
      <c r="L224" s="272" t="str">
        <f t="shared" si="189"/>
        <v/>
      </c>
      <c r="M224" s="272" t="str">
        <f t="shared" si="212"/>
        <v/>
      </c>
      <c r="N224" s="269" t="str">
        <f t="shared" si="213"/>
        <v/>
      </c>
      <c r="O224" s="272" t="str">
        <f t="shared" si="214"/>
        <v/>
      </c>
      <c r="P224" s="272" t="str">
        <f t="shared" si="215"/>
        <v/>
      </c>
      <c r="Q224" s="269" t="str">
        <f t="shared" si="216"/>
        <v/>
      </c>
      <c r="R224" s="272" t="str">
        <f t="shared" si="217"/>
        <v/>
      </c>
      <c r="S224" s="272" t="str">
        <f t="shared" si="218"/>
        <v/>
      </c>
      <c r="T224" s="269" t="str">
        <f t="shared" si="219"/>
        <v/>
      </c>
      <c r="U224" s="230"/>
      <c r="V224" s="230"/>
      <c r="AB224" s="230" t="e">
        <f>VLOOKUP($B$6,Lookup_Source,217,0)</f>
        <v>#N/A</v>
      </c>
      <c r="AC224" s="254" t="str">
        <f t="shared" si="220"/>
        <v/>
      </c>
      <c r="AD224" s="255">
        <f t="shared" si="221"/>
        <v>7</v>
      </c>
      <c r="AE224" s="274" t="e">
        <f t="shared" si="190"/>
        <v>#N/A</v>
      </c>
      <c r="AF224" s="277" t="e">
        <f t="shared" si="222"/>
        <v>#N/A</v>
      </c>
      <c r="AG224" s="277" t="e">
        <f t="shared" si="223"/>
        <v>#N/A</v>
      </c>
      <c r="AH224" s="276" t="e">
        <f t="shared" si="191"/>
        <v>#N/A</v>
      </c>
      <c r="AI224" s="239">
        <f t="shared" si="224"/>
        <v>7</v>
      </c>
      <c r="AJ224" s="277" t="e">
        <f t="shared" si="192"/>
        <v>#N/A</v>
      </c>
      <c r="AK224" s="277" t="e">
        <f t="shared" si="225"/>
        <v>#N/A</v>
      </c>
      <c r="AL224" s="239" t="e">
        <f t="shared" si="193"/>
        <v>#N/A</v>
      </c>
      <c r="AM224" s="278" t="e">
        <f t="shared" si="226"/>
        <v>#N/A</v>
      </c>
      <c r="AN224" s="279" t="e">
        <f t="shared" si="194"/>
        <v>#N/A</v>
      </c>
      <c r="AO224" s="240" t="e">
        <f t="shared" si="195"/>
        <v>#N/A</v>
      </c>
      <c r="AP224" s="297">
        <f t="shared" si="227"/>
        <v>7</v>
      </c>
      <c r="AQ224" s="298" t="e">
        <f t="shared" si="196"/>
        <v>#N/A</v>
      </c>
      <c r="AR224" s="279" t="e">
        <f t="shared" si="228"/>
        <v>#N/A</v>
      </c>
      <c r="AS224" s="283" t="e">
        <f t="shared" si="197"/>
        <v>#N/A</v>
      </c>
      <c r="AT224" s="284">
        <f t="shared" si="229"/>
        <v>7</v>
      </c>
      <c r="AU224" s="285" t="e">
        <f t="shared" si="230"/>
        <v>#N/A</v>
      </c>
      <c r="AV224" s="286" t="e">
        <f t="shared" si="231"/>
        <v>#N/A</v>
      </c>
      <c r="AW224" s="287" t="e">
        <f t="shared" si="198"/>
        <v>#N/A</v>
      </c>
      <c r="AX224" s="245">
        <f t="shared" si="232"/>
        <v>7</v>
      </c>
      <c r="AY224" s="286" t="e">
        <f t="shared" si="199"/>
        <v>#N/A</v>
      </c>
      <c r="AZ224" s="245" t="e">
        <f t="shared" si="233"/>
        <v>#N/A</v>
      </c>
      <c r="BA224" s="245" t="e">
        <f t="shared" si="200"/>
        <v>#N/A</v>
      </c>
      <c r="BB224" s="288">
        <f t="shared" si="234"/>
        <v>7</v>
      </c>
      <c r="BC224" s="289" t="e">
        <f t="shared" si="235"/>
        <v>#N/A</v>
      </c>
      <c r="BD224" s="290" t="e">
        <f t="shared" si="236"/>
        <v>#N/A</v>
      </c>
      <c r="BE224" s="263" t="e">
        <f t="shared" si="201"/>
        <v>#N/A</v>
      </c>
      <c r="BF224" s="260">
        <f t="shared" si="237"/>
        <v>7</v>
      </c>
      <c r="BG224" s="289" t="e">
        <f t="shared" si="238"/>
        <v>#N/A</v>
      </c>
      <c r="BH224" s="290" t="e">
        <f t="shared" si="239"/>
        <v>#N/A</v>
      </c>
      <c r="BI224" s="263" t="e">
        <f t="shared" si="202"/>
        <v>#N/A</v>
      </c>
      <c r="BJ224" s="264">
        <f t="shared" si="240"/>
        <v>7</v>
      </c>
      <c r="BK224" s="291" t="e">
        <f t="shared" si="241"/>
        <v>#N/A</v>
      </c>
      <c r="BL224" s="291" t="e">
        <f t="shared" si="242"/>
        <v>#N/A</v>
      </c>
      <c r="BM224" s="292" t="e">
        <f t="shared" si="203"/>
        <v>#N/A</v>
      </c>
      <c r="BN224" s="293">
        <f t="shared" si="243"/>
        <v>7</v>
      </c>
      <c r="BO224" s="294" t="e">
        <f t="shared" si="244"/>
        <v>#N/A</v>
      </c>
      <c r="BP224" s="294" t="e">
        <f t="shared" si="245"/>
        <v>#N/A</v>
      </c>
      <c r="BQ224" s="292" t="e">
        <f t="shared" si="204"/>
        <v>#N/A</v>
      </c>
      <c r="BR224" s="295" t="e">
        <f t="shared" si="205"/>
        <v>#N/A</v>
      </c>
      <c r="BS224" s="230" t="e">
        <f>VLOOKUP($B224,SDR22_STOCK_BY_LA!$A$2:$C$11679,3,0)</f>
        <v>#N/A</v>
      </c>
      <c r="BT224" s="230" t="str">
        <f t="shared" si="246"/>
        <v/>
      </c>
    </row>
    <row r="225" spans="1:72" ht="12.5" x14ac:dyDescent="0.25">
      <c r="A225" s="269" t="str">
        <f t="shared" si="247"/>
        <v/>
      </c>
      <c r="B225" s="230" t="str">
        <f t="shared" si="248"/>
        <v/>
      </c>
      <c r="C225" s="270" t="str">
        <f t="shared" si="206"/>
        <v/>
      </c>
      <c r="D225" s="269" t="str">
        <f>IF(B225="","",IF(totals!$Q$3=0,IFERROR(IF(AD225=2,"0",AE225),""),"-"))</f>
        <v/>
      </c>
      <c r="E225" s="271" t="str">
        <f t="shared" si="207"/>
        <v/>
      </c>
      <c r="F225" s="272" t="str">
        <f t="shared" si="208"/>
        <v/>
      </c>
      <c r="G225" s="272" t="str">
        <f t="shared" si="209"/>
        <v/>
      </c>
      <c r="H225" s="269" t="str">
        <f t="shared" si="187"/>
        <v/>
      </c>
      <c r="I225" s="272" t="str">
        <f t="shared" si="210"/>
        <v/>
      </c>
      <c r="J225" s="272" t="str">
        <f t="shared" si="211"/>
        <v/>
      </c>
      <c r="K225" s="269" t="str">
        <f t="shared" si="188"/>
        <v/>
      </c>
      <c r="L225" s="272" t="str">
        <f t="shared" si="189"/>
        <v/>
      </c>
      <c r="M225" s="272" t="str">
        <f t="shared" si="212"/>
        <v/>
      </c>
      <c r="N225" s="269" t="str">
        <f t="shared" si="213"/>
        <v/>
      </c>
      <c r="O225" s="272" t="str">
        <f t="shared" si="214"/>
        <v/>
      </c>
      <c r="P225" s="272" t="str">
        <f t="shared" si="215"/>
        <v/>
      </c>
      <c r="Q225" s="269" t="str">
        <f t="shared" si="216"/>
        <v/>
      </c>
      <c r="R225" s="272" t="str">
        <f t="shared" si="217"/>
        <v/>
      </c>
      <c r="S225" s="272" t="str">
        <f t="shared" si="218"/>
        <v/>
      </c>
      <c r="T225" s="269" t="str">
        <f t="shared" si="219"/>
        <v/>
      </c>
      <c r="U225" s="230"/>
      <c r="V225" s="230"/>
      <c r="AB225" s="270" t="e">
        <f>VLOOKUP($B$6,Lookup_Source,218,0)</f>
        <v>#N/A</v>
      </c>
      <c r="AC225" s="254" t="str">
        <f t="shared" si="220"/>
        <v/>
      </c>
      <c r="AD225" s="255">
        <f t="shared" si="221"/>
        <v>7</v>
      </c>
      <c r="AE225" s="274" t="e">
        <f t="shared" si="190"/>
        <v>#N/A</v>
      </c>
      <c r="AF225" s="277" t="e">
        <f t="shared" si="222"/>
        <v>#N/A</v>
      </c>
      <c r="AG225" s="277" t="e">
        <f t="shared" si="223"/>
        <v>#N/A</v>
      </c>
      <c r="AH225" s="276" t="e">
        <f t="shared" si="191"/>
        <v>#N/A</v>
      </c>
      <c r="AI225" s="239">
        <f t="shared" si="224"/>
        <v>7</v>
      </c>
      <c r="AJ225" s="277" t="e">
        <f t="shared" si="192"/>
        <v>#N/A</v>
      </c>
      <c r="AK225" s="277" t="e">
        <f t="shared" si="225"/>
        <v>#N/A</v>
      </c>
      <c r="AL225" s="239" t="e">
        <f t="shared" si="193"/>
        <v>#N/A</v>
      </c>
      <c r="AM225" s="278" t="e">
        <f t="shared" si="226"/>
        <v>#N/A</v>
      </c>
      <c r="AN225" s="279" t="e">
        <f t="shared" si="194"/>
        <v>#N/A</v>
      </c>
      <c r="AO225" s="240" t="e">
        <f t="shared" si="195"/>
        <v>#N/A</v>
      </c>
      <c r="AP225" s="297">
        <f t="shared" si="227"/>
        <v>7</v>
      </c>
      <c r="AQ225" s="298" t="e">
        <f t="shared" si="196"/>
        <v>#N/A</v>
      </c>
      <c r="AR225" s="279" t="e">
        <f t="shared" si="228"/>
        <v>#N/A</v>
      </c>
      <c r="AS225" s="283" t="e">
        <f t="shared" si="197"/>
        <v>#N/A</v>
      </c>
      <c r="AT225" s="284">
        <f t="shared" si="229"/>
        <v>7</v>
      </c>
      <c r="AU225" s="285" t="e">
        <f t="shared" si="230"/>
        <v>#N/A</v>
      </c>
      <c r="AV225" s="286" t="e">
        <f t="shared" si="231"/>
        <v>#N/A</v>
      </c>
      <c r="AW225" s="287" t="e">
        <f t="shared" si="198"/>
        <v>#N/A</v>
      </c>
      <c r="AX225" s="245">
        <f t="shared" si="232"/>
        <v>7</v>
      </c>
      <c r="AY225" s="286" t="e">
        <f t="shared" si="199"/>
        <v>#N/A</v>
      </c>
      <c r="AZ225" s="245" t="e">
        <f t="shared" si="233"/>
        <v>#N/A</v>
      </c>
      <c r="BA225" s="245" t="e">
        <f t="shared" si="200"/>
        <v>#N/A</v>
      </c>
      <c r="BB225" s="288">
        <f t="shared" si="234"/>
        <v>7</v>
      </c>
      <c r="BC225" s="289" t="e">
        <f t="shared" si="235"/>
        <v>#N/A</v>
      </c>
      <c r="BD225" s="290" t="e">
        <f t="shared" si="236"/>
        <v>#N/A</v>
      </c>
      <c r="BE225" s="263" t="e">
        <f t="shared" si="201"/>
        <v>#N/A</v>
      </c>
      <c r="BF225" s="260">
        <f t="shared" si="237"/>
        <v>7</v>
      </c>
      <c r="BG225" s="289" t="e">
        <f t="shared" si="238"/>
        <v>#N/A</v>
      </c>
      <c r="BH225" s="290" t="e">
        <f t="shared" si="239"/>
        <v>#N/A</v>
      </c>
      <c r="BI225" s="263" t="e">
        <f t="shared" si="202"/>
        <v>#N/A</v>
      </c>
      <c r="BJ225" s="264">
        <f t="shared" si="240"/>
        <v>7</v>
      </c>
      <c r="BK225" s="291" t="e">
        <f t="shared" si="241"/>
        <v>#N/A</v>
      </c>
      <c r="BL225" s="291" t="e">
        <f t="shared" si="242"/>
        <v>#N/A</v>
      </c>
      <c r="BM225" s="292" t="e">
        <f t="shared" si="203"/>
        <v>#N/A</v>
      </c>
      <c r="BN225" s="293">
        <f t="shared" si="243"/>
        <v>7</v>
      </c>
      <c r="BO225" s="294" t="e">
        <f t="shared" si="244"/>
        <v>#N/A</v>
      </c>
      <c r="BP225" s="294" t="e">
        <f t="shared" si="245"/>
        <v>#N/A</v>
      </c>
      <c r="BQ225" s="292" t="e">
        <f t="shared" si="204"/>
        <v>#N/A</v>
      </c>
      <c r="BR225" s="295" t="e">
        <f t="shared" si="205"/>
        <v>#N/A</v>
      </c>
      <c r="BS225" s="230" t="e">
        <f>VLOOKUP($B225,SDR22_STOCK_BY_LA!$A$2:$C$11679,3,0)</f>
        <v>#N/A</v>
      </c>
      <c r="BT225" s="230" t="str">
        <f t="shared" si="246"/>
        <v/>
      </c>
    </row>
    <row r="226" spans="1:72" ht="12.5" x14ac:dyDescent="0.25">
      <c r="A226" s="230" t="str">
        <f t="shared" si="247"/>
        <v/>
      </c>
      <c r="B226" s="230" t="str">
        <f t="shared" si="248"/>
        <v/>
      </c>
      <c r="C226" s="296" t="str">
        <f t="shared" si="206"/>
        <v/>
      </c>
      <c r="D226" s="269" t="str">
        <f>IF(B226="","",IF(totals!$Q$3=0,IFERROR(IF(AD226=2,"0",AE226),""),"-"))</f>
        <v/>
      </c>
      <c r="E226" s="271" t="str">
        <f t="shared" si="207"/>
        <v/>
      </c>
      <c r="F226" s="272" t="str">
        <f t="shared" si="208"/>
        <v/>
      </c>
      <c r="G226" s="272" t="str">
        <f t="shared" si="209"/>
        <v/>
      </c>
      <c r="H226" s="269" t="str">
        <f t="shared" si="187"/>
        <v/>
      </c>
      <c r="I226" s="272" t="str">
        <f t="shared" si="210"/>
        <v/>
      </c>
      <c r="J226" s="272" t="str">
        <f t="shared" si="211"/>
        <v/>
      </c>
      <c r="K226" s="269" t="str">
        <f t="shared" si="188"/>
        <v/>
      </c>
      <c r="L226" s="272" t="str">
        <f t="shared" si="189"/>
        <v/>
      </c>
      <c r="M226" s="272" t="str">
        <f t="shared" si="212"/>
        <v/>
      </c>
      <c r="N226" s="269" t="str">
        <f t="shared" si="213"/>
        <v/>
      </c>
      <c r="O226" s="272" t="str">
        <f t="shared" si="214"/>
        <v/>
      </c>
      <c r="P226" s="272" t="str">
        <f t="shared" si="215"/>
        <v/>
      </c>
      <c r="Q226" s="269" t="str">
        <f t="shared" si="216"/>
        <v/>
      </c>
      <c r="R226" s="272" t="str">
        <f t="shared" si="217"/>
        <v/>
      </c>
      <c r="S226" s="272" t="str">
        <f t="shared" si="218"/>
        <v/>
      </c>
      <c r="T226" s="269" t="str">
        <f t="shared" si="219"/>
        <v/>
      </c>
      <c r="U226" s="230"/>
      <c r="V226" s="230"/>
      <c r="AB226" s="230" t="e">
        <f>VLOOKUP($B$6,Lookup_Source,219,0)</f>
        <v>#N/A</v>
      </c>
      <c r="AC226" s="254" t="str">
        <f t="shared" si="220"/>
        <v/>
      </c>
      <c r="AD226" s="255">
        <f t="shared" si="221"/>
        <v>7</v>
      </c>
      <c r="AE226" s="274" t="e">
        <f t="shared" si="190"/>
        <v>#N/A</v>
      </c>
      <c r="AF226" s="277" t="e">
        <f t="shared" si="222"/>
        <v>#N/A</v>
      </c>
      <c r="AG226" s="277" t="e">
        <f t="shared" si="223"/>
        <v>#N/A</v>
      </c>
      <c r="AH226" s="276" t="e">
        <f t="shared" si="191"/>
        <v>#N/A</v>
      </c>
      <c r="AI226" s="239">
        <f t="shared" si="224"/>
        <v>7</v>
      </c>
      <c r="AJ226" s="277" t="e">
        <f t="shared" si="192"/>
        <v>#N/A</v>
      </c>
      <c r="AK226" s="277" t="e">
        <f t="shared" si="225"/>
        <v>#N/A</v>
      </c>
      <c r="AL226" s="239" t="e">
        <f t="shared" si="193"/>
        <v>#N/A</v>
      </c>
      <c r="AM226" s="278" t="e">
        <f t="shared" si="226"/>
        <v>#N/A</v>
      </c>
      <c r="AN226" s="279" t="e">
        <f t="shared" si="194"/>
        <v>#N/A</v>
      </c>
      <c r="AO226" s="240" t="e">
        <f t="shared" si="195"/>
        <v>#N/A</v>
      </c>
      <c r="AP226" s="297">
        <f t="shared" si="227"/>
        <v>7</v>
      </c>
      <c r="AQ226" s="298" t="e">
        <f t="shared" si="196"/>
        <v>#N/A</v>
      </c>
      <c r="AR226" s="279" t="e">
        <f t="shared" si="228"/>
        <v>#N/A</v>
      </c>
      <c r="AS226" s="283" t="e">
        <f t="shared" si="197"/>
        <v>#N/A</v>
      </c>
      <c r="AT226" s="284">
        <f t="shared" si="229"/>
        <v>7</v>
      </c>
      <c r="AU226" s="285" t="e">
        <f t="shared" si="230"/>
        <v>#N/A</v>
      </c>
      <c r="AV226" s="286" t="e">
        <f t="shared" si="231"/>
        <v>#N/A</v>
      </c>
      <c r="AW226" s="287" t="e">
        <f t="shared" si="198"/>
        <v>#N/A</v>
      </c>
      <c r="AX226" s="245">
        <f t="shared" si="232"/>
        <v>7</v>
      </c>
      <c r="AY226" s="286" t="e">
        <f t="shared" si="199"/>
        <v>#N/A</v>
      </c>
      <c r="AZ226" s="245" t="e">
        <f t="shared" si="233"/>
        <v>#N/A</v>
      </c>
      <c r="BA226" s="245" t="e">
        <f t="shared" si="200"/>
        <v>#N/A</v>
      </c>
      <c r="BB226" s="288">
        <f t="shared" si="234"/>
        <v>7</v>
      </c>
      <c r="BC226" s="289" t="e">
        <f t="shared" si="235"/>
        <v>#N/A</v>
      </c>
      <c r="BD226" s="290" t="e">
        <f t="shared" si="236"/>
        <v>#N/A</v>
      </c>
      <c r="BE226" s="263" t="e">
        <f t="shared" si="201"/>
        <v>#N/A</v>
      </c>
      <c r="BF226" s="260">
        <f t="shared" si="237"/>
        <v>7</v>
      </c>
      <c r="BG226" s="289" t="e">
        <f t="shared" si="238"/>
        <v>#N/A</v>
      </c>
      <c r="BH226" s="290" t="e">
        <f t="shared" si="239"/>
        <v>#N/A</v>
      </c>
      <c r="BI226" s="263" t="e">
        <f t="shared" si="202"/>
        <v>#N/A</v>
      </c>
      <c r="BJ226" s="264">
        <f t="shared" si="240"/>
        <v>7</v>
      </c>
      <c r="BK226" s="291" t="e">
        <f t="shared" si="241"/>
        <v>#N/A</v>
      </c>
      <c r="BL226" s="291" t="e">
        <f t="shared" si="242"/>
        <v>#N/A</v>
      </c>
      <c r="BM226" s="292" t="e">
        <f t="shared" si="203"/>
        <v>#N/A</v>
      </c>
      <c r="BN226" s="293">
        <f t="shared" si="243"/>
        <v>7</v>
      </c>
      <c r="BO226" s="294" t="e">
        <f t="shared" si="244"/>
        <v>#N/A</v>
      </c>
      <c r="BP226" s="294" t="e">
        <f t="shared" si="245"/>
        <v>#N/A</v>
      </c>
      <c r="BQ226" s="292" t="e">
        <f t="shared" si="204"/>
        <v>#N/A</v>
      </c>
      <c r="BR226" s="295" t="e">
        <f t="shared" si="205"/>
        <v>#N/A</v>
      </c>
      <c r="BS226" s="230" t="e">
        <f>VLOOKUP($B226,SDR22_STOCK_BY_LA!$A$2:$C$11679,3,0)</f>
        <v>#N/A</v>
      </c>
      <c r="BT226" s="230" t="str">
        <f t="shared" si="246"/>
        <v/>
      </c>
    </row>
    <row r="227" spans="1:72" ht="12.5" x14ac:dyDescent="0.25">
      <c r="A227" s="269" t="str">
        <f t="shared" si="247"/>
        <v/>
      </c>
      <c r="B227" s="230" t="str">
        <f t="shared" si="248"/>
        <v/>
      </c>
      <c r="C227" s="270" t="str">
        <f t="shared" si="206"/>
        <v/>
      </c>
      <c r="D227" s="269" t="str">
        <f>IF(B227="","",IF(totals!$Q$3=0,IFERROR(IF(AD227=2,"0",AE227),""),"-"))</f>
        <v/>
      </c>
      <c r="E227" s="271" t="str">
        <f t="shared" si="207"/>
        <v/>
      </c>
      <c r="F227" s="272" t="str">
        <f t="shared" si="208"/>
        <v/>
      </c>
      <c r="G227" s="272" t="str">
        <f t="shared" si="209"/>
        <v/>
      </c>
      <c r="H227" s="269" t="str">
        <f t="shared" si="187"/>
        <v/>
      </c>
      <c r="I227" s="272" t="str">
        <f t="shared" si="210"/>
        <v/>
      </c>
      <c r="J227" s="272" t="str">
        <f t="shared" si="211"/>
        <v/>
      </c>
      <c r="K227" s="269" t="str">
        <f t="shared" si="188"/>
        <v/>
      </c>
      <c r="L227" s="272" t="str">
        <f t="shared" si="189"/>
        <v/>
      </c>
      <c r="M227" s="272" t="str">
        <f t="shared" si="212"/>
        <v/>
      </c>
      <c r="N227" s="269" t="str">
        <f t="shared" si="213"/>
        <v/>
      </c>
      <c r="O227" s="272" t="str">
        <f t="shared" si="214"/>
        <v/>
      </c>
      <c r="P227" s="272" t="str">
        <f t="shared" si="215"/>
        <v/>
      </c>
      <c r="Q227" s="269" t="str">
        <f t="shared" si="216"/>
        <v/>
      </c>
      <c r="R227" s="272" t="str">
        <f t="shared" si="217"/>
        <v/>
      </c>
      <c r="S227" s="272" t="str">
        <f t="shared" si="218"/>
        <v/>
      </c>
      <c r="T227" s="269" t="str">
        <f t="shared" si="219"/>
        <v/>
      </c>
      <c r="U227" s="230"/>
      <c r="V227" s="230"/>
      <c r="AB227" s="270" t="e">
        <f>VLOOKUP($B$6,Lookup_Source,220,0)</f>
        <v>#N/A</v>
      </c>
      <c r="AC227" s="254" t="str">
        <f t="shared" si="220"/>
        <v/>
      </c>
      <c r="AD227" s="255">
        <f t="shared" si="221"/>
        <v>7</v>
      </c>
      <c r="AE227" s="274" t="e">
        <f t="shared" si="190"/>
        <v>#N/A</v>
      </c>
      <c r="AF227" s="277" t="e">
        <f t="shared" si="222"/>
        <v>#N/A</v>
      </c>
      <c r="AG227" s="277" t="e">
        <f t="shared" si="223"/>
        <v>#N/A</v>
      </c>
      <c r="AH227" s="276" t="e">
        <f t="shared" si="191"/>
        <v>#N/A</v>
      </c>
      <c r="AI227" s="239">
        <f t="shared" si="224"/>
        <v>7</v>
      </c>
      <c r="AJ227" s="277" t="e">
        <f t="shared" si="192"/>
        <v>#N/A</v>
      </c>
      <c r="AK227" s="277" t="e">
        <f t="shared" si="225"/>
        <v>#N/A</v>
      </c>
      <c r="AL227" s="239" t="e">
        <f t="shared" si="193"/>
        <v>#N/A</v>
      </c>
      <c r="AM227" s="278" t="e">
        <f t="shared" si="226"/>
        <v>#N/A</v>
      </c>
      <c r="AN227" s="279" t="e">
        <f t="shared" si="194"/>
        <v>#N/A</v>
      </c>
      <c r="AO227" s="240" t="e">
        <f t="shared" si="195"/>
        <v>#N/A</v>
      </c>
      <c r="AP227" s="297">
        <f t="shared" si="227"/>
        <v>7</v>
      </c>
      <c r="AQ227" s="298" t="e">
        <f t="shared" si="196"/>
        <v>#N/A</v>
      </c>
      <c r="AR227" s="279" t="e">
        <f t="shared" si="228"/>
        <v>#N/A</v>
      </c>
      <c r="AS227" s="283" t="e">
        <f t="shared" si="197"/>
        <v>#N/A</v>
      </c>
      <c r="AT227" s="284">
        <f t="shared" si="229"/>
        <v>7</v>
      </c>
      <c r="AU227" s="285" t="e">
        <f t="shared" si="230"/>
        <v>#N/A</v>
      </c>
      <c r="AV227" s="286" t="e">
        <f t="shared" si="231"/>
        <v>#N/A</v>
      </c>
      <c r="AW227" s="287" t="e">
        <f t="shared" si="198"/>
        <v>#N/A</v>
      </c>
      <c r="AX227" s="245">
        <f t="shared" si="232"/>
        <v>7</v>
      </c>
      <c r="AY227" s="286" t="e">
        <f t="shared" si="199"/>
        <v>#N/A</v>
      </c>
      <c r="AZ227" s="245" t="e">
        <f t="shared" si="233"/>
        <v>#N/A</v>
      </c>
      <c r="BA227" s="245" t="e">
        <f t="shared" si="200"/>
        <v>#N/A</v>
      </c>
      <c r="BB227" s="288">
        <f t="shared" si="234"/>
        <v>7</v>
      </c>
      <c r="BC227" s="289" t="e">
        <f t="shared" si="235"/>
        <v>#N/A</v>
      </c>
      <c r="BD227" s="290" t="e">
        <f t="shared" si="236"/>
        <v>#N/A</v>
      </c>
      <c r="BE227" s="263" t="e">
        <f t="shared" si="201"/>
        <v>#N/A</v>
      </c>
      <c r="BF227" s="260">
        <f t="shared" si="237"/>
        <v>7</v>
      </c>
      <c r="BG227" s="289" t="e">
        <f t="shared" si="238"/>
        <v>#N/A</v>
      </c>
      <c r="BH227" s="290" t="e">
        <f t="shared" si="239"/>
        <v>#N/A</v>
      </c>
      <c r="BI227" s="263" t="e">
        <f t="shared" si="202"/>
        <v>#N/A</v>
      </c>
      <c r="BJ227" s="264">
        <f t="shared" si="240"/>
        <v>7</v>
      </c>
      <c r="BK227" s="291" t="e">
        <f t="shared" si="241"/>
        <v>#N/A</v>
      </c>
      <c r="BL227" s="291" t="e">
        <f t="shared" si="242"/>
        <v>#N/A</v>
      </c>
      <c r="BM227" s="292" t="e">
        <f t="shared" si="203"/>
        <v>#N/A</v>
      </c>
      <c r="BN227" s="293">
        <f t="shared" si="243"/>
        <v>7</v>
      </c>
      <c r="BO227" s="294" t="e">
        <f t="shared" si="244"/>
        <v>#N/A</v>
      </c>
      <c r="BP227" s="294" t="e">
        <f t="shared" si="245"/>
        <v>#N/A</v>
      </c>
      <c r="BQ227" s="292" t="e">
        <f t="shared" si="204"/>
        <v>#N/A</v>
      </c>
      <c r="BR227" s="295" t="e">
        <f t="shared" si="205"/>
        <v>#N/A</v>
      </c>
      <c r="BS227" s="230" t="e">
        <f>VLOOKUP($B227,SDR22_STOCK_BY_LA!$A$2:$C$11679,3,0)</f>
        <v>#N/A</v>
      </c>
      <c r="BT227" s="230" t="str">
        <f t="shared" si="246"/>
        <v/>
      </c>
    </row>
    <row r="228" spans="1:72" ht="12.5" x14ac:dyDescent="0.25">
      <c r="A228" s="230" t="str">
        <f t="shared" si="247"/>
        <v/>
      </c>
      <c r="B228" s="230" t="str">
        <f t="shared" si="248"/>
        <v/>
      </c>
      <c r="C228" s="296" t="str">
        <f t="shared" si="206"/>
        <v/>
      </c>
      <c r="D228" s="269" t="str">
        <f>IF(B228="","",IF(totals!$Q$3=0,IFERROR(IF(AD228=2,"0",AE228),""),"-"))</f>
        <v/>
      </c>
      <c r="E228" s="271" t="str">
        <f t="shared" si="207"/>
        <v/>
      </c>
      <c r="F228" s="272" t="str">
        <f t="shared" si="208"/>
        <v/>
      </c>
      <c r="G228" s="272" t="str">
        <f t="shared" si="209"/>
        <v/>
      </c>
      <c r="H228" s="269" t="str">
        <f t="shared" si="187"/>
        <v/>
      </c>
      <c r="I228" s="272" t="str">
        <f t="shared" si="210"/>
        <v/>
      </c>
      <c r="J228" s="272" t="str">
        <f t="shared" si="211"/>
        <v/>
      </c>
      <c r="K228" s="269" t="str">
        <f t="shared" si="188"/>
        <v/>
      </c>
      <c r="L228" s="272" t="str">
        <f t="shared" si="189"/>
        <v/>
      </c>
      <c r="M228" s="272" t="str">
        <f t="shared" si="212"/>
        <v/>
      </c>
      <c r="N228" s="269" t="str">
        <f t="shared" si="213"/>
        <v/>
      </c>
      <c r="O228" s="272" t="str">
        <f t="shared" si="214"/>
        <v/>
      </c>
      <c r="P228" s="272" t="str">
        <f t="shared" si="215"/>
        <v/>
      </c>
      <c r="Q228" s="269" t="str">
        <f t="shared" si="216"/>
        <v/>
      </c>
      <c r="R228" s="272" t="str">
        <f t="shared" si="217"/>
        <v/>
      </c>
      <c r="S228" s="272" t="str">
        <f t="shared" si="218"/>
        <v/>
      </c>
      <c r="T228" s="269" t="str">
        <f t="shared" si="219"/>
        <v/>
      </c>
      <c r="U228" s="230"/>
      <c r="V228" s="230"/>
      <c r="AB228" s="230" t="e">
        <f>VLOOKUP($B$6,Lookup_Source,221,0)</f>
        <v>#N/A</v>
      </c>
      <c r="AC228" s="254" t="str">
        <f t="shared" si="220"/>
        <v/>
      </c>
      <c r="AD228" s="255">
        <f t="shared" si="221"/>
        <v>7</v>
      </c>
      <c r="AE228" s="274" t="e">
        <f t="shared" si="190"/>
        <v>#N/A</v>
      </c>
      <c r="AF228" s="277" t="e">
        <f t="shared" si="222"/>
        <v>#N/A</v>
      </c>
      <c r="AG228" s="277" t="e">
        <f t="shared" si="223"/>
        <v>#N/A</v>
      </c>
      <c r="AH228" s="276" t="e">
        <f t="shared" si="191"/>
        <v>#N/A</v>
      </c>
      <c r="AI228" s="239">
        <f t="shared" si="224"/>
        <v>7</v>
      </c>
      <c r="AJ228" s="277" t="e">
        <f t="shared" si="192"/>
        <v>#N/A</v>
      </c>
      <c r="AK228" s="277" t="e">
        <f t="shared" si="225"/>
        <v>#N/A</v>
      </c>
      <c r="AL228" s="239" t="e">
        <f t="shared" si="193"/>
        <v>#N/A</v>
      </c>
      <c r="AM228" s="278" t="e">
        <f t="shared" si="226"/>
        <v>#N/A</v>
      </c>
      <c r="AN228" s="279" t="e">
        <f t="shared" si="194"/>
        <v>#N/A</v>
      </c>
      <c r="AO228" s="240" t="e">
        <f t="shared" si="195"/>
        <v>#N/A</v>
      </c>
      <c r="AP228" s="297">
        <f t="shared" si="227"/>
        <v>7</v>
      </c>
      <c r="AQ228" s="298" t="e">
        <f t="shared" si="196"/>
        <v>#N/A</v>
      </c>
      <c r="AR228" s="279" t="e">
        <f t="shared" si="228"/>
        <v>#N/A</v>
      </c>
      <c r="AS228" s="283" t="e">
        <f t="shared" si="197"/>
        <v>#N/A</v>
      </c>
      <c r="AT228" s="284">
        <f t="shared" si="229"/>
        <v>7</v>
      </c>
      <c r="AU228" s="285" t="e">
        <f t="shared" si="230"/>
        <v>#N/A</v>
      </c>
      <c r="AV228" s="286" t="e">
        <f t="shared" si="231"/>
        <v>#N/A</v>
      </c>
      <c r="AW228" s="287" t="e">
        <f t="shared" si="198"/>
        <v>#N/A</v>
      </c>
      <c r="AX228" s="245">
        <f t="shared" si="232"/>
        <v>7</v>
      </c>
      <c r="AY228" s="286" t="e">
        <f t="shared" si="199"/>
        <v>#N/A</v>
      </c>
      <c r="AZ228" s="245" t="e">
        <f t="shared" si="233"/>
        <v>#N/A</v>
      </c>
      <c r="BA228" s="245" t="e">
        <f t="shared" si="200"/>
        <v>#N/A</v>
      </c>
      <c r="BB228" s="288">
        <f t="shared" si="234"/>
        <v>7</v>
      </c>
      <c r="BC228" s="289" t="e">
        <f t="shared" si="235"/>
        <v>#N/A</v>
      </c>
      <c r="BD228" s="290" t="e">
        <f t="shared" si="236"/>
        <v>#N/A</v>
      </c>
      <c r="BE228" s="263" t="e">
        <f t="shared" si="201"/>
        <v>#N/A</v>
      </c>
      <c r="BF228" s="260">
        <f t="shared" si="237"/>
        <v>7</v>
      </c>
      <c r="BG228" s="289" t="e">
        <f t="shared" si="238"/>
        <v>#N/A</v>
      </c>
      <c r="BH228" s="290" t="e">
        <f t="shared" si="239"/>
        <v>#N/A</v>
      </c>
      <c r="BI228" s="263" t="e">
        <f t="shared" si="202"/>
        <v>#N/A</v>
      </c>
      <c r="BJ228" s="264">
        <f t="shared" si="240"/>
        <v>7</v>
      </c>
      <c r="BK228" s="291" t="e">
        <f t="shared" si="241"/>
        <v>#N/A</v>
      </c>
      <c r="BL228" s="291" t="e">
        <f t="shared" si="242"/>
        <v>#N/A</v>
      </c>
      <c r="BM228" s="292" t="e">
        <f t="shared" si="203"/>
        <v>#N/A</v>
      </c>
      <c r="BN228" s="293">
        <f t="shared" si="243"/>
        <v>7</v>
      </c>
      <c r="BO228" s="294" t="e">
        <f t="shared" si="244"/>
        <v>#N/A</v>
      </c>
      <c r="BP228" s="294" t="e">
        <f t="shared" si="245"/>
        <v>#N/A</v>
      </c>
      <c r="BQ228" s="292" t="e">
        <f t="shared" si="204"/>
        <v>#N/A</v>
      </c>
      <c r="BR228" s="295" t="e">
        <f t="shared" si="205"/>
        <v>#N/A</v>
      </c>
      <c r="BS228" s="230" t="e">
        <f>VLOOKUP($B228,SDR22_STOCK_BY_LA!$A$2:$C$11679,3,0)</f>
        <v>#N/A</v>
      </c>
      <c r="BT228" s="230" t="str">
        <f t="shared" si="246"/>
        <v/>
      </c>
    </row>
    <row r="229" spans="1:72" ht="12.5" x14ac:dyDescent="0.25">
      <c r="A229" s="269" t="str">
        <f t="shared" si="247"/>
        <v/>
      </c>
      <c r="B229" s="230" t="str">
        <f t="shared" si="248"/>
        <v/>
      </c>
      <c r="C229" s="270" t="str">
        <f t="shared" si="206"/>
        <v/>
      </c>
      <c r="D229" s="269" t="str">
        <f>IF(B229="","",IF(totals!$Q$3=0,IFERROR(IF(AD229=2,"0",AE229),""),"-"))</f>
        <v/>
      </c>
      <c r="E229" s="271" t="str">
        <f t="shared" si="207"/>
        <v/>
      </c>
      <c r="F229" s="272" t="str">
        <f t="shared" si="208"/>
        <v/>
      </c>
      <c r="G229" s="272" t="str">
        <f t="shared" si="209"/>
        <v/>
      </c>
      <c r="H229" s="269" t="str">
        <f t="shared" si="187"/>
        <v/>
      </c>
      <c r="I229" s="272" t="str">
        <f t="shared" si="210"/>
        <v/>
      </c>
      <c r="J229" s="272" t="str">
        <f t="shared" si="211"/>
        <v/>
      </c>
      <c r="K229" s="269" t="str">
        <f t="shared" si="188"/>
        <v/>
      </c>
      <c r="L229" s="272" t="str">
        <f t="shared" si="189"/>
        <v/>
      </c>
      <c r="M229" s="272" t="str">
        <f t="shared" si="212"/>
        <v/>
      </c>
      <c r="N229" s="269" t="str">
        <f t="shared" si="213"/>
        <v/>
      </c>
      <c r="O229" s="272" t="str">
        <f t="shared" si="214"/>
        <v/>
      </c>
      <c r="P229" s="272" t="str">
        <f t="shared" si="215"/>
        <v/>
      </c>
      <c r="Q229" s="269" t="str">
        <f t="shared" si="216"/>
        <v/>
      </c>
      <c r="R229" s="272" t="str">
        <f t="shared" si="217"/>
        <v/>
      </c>
      <c r="S229" s="272" t="str">
        <f t="shared" si="218"/>
        <v/>
      </c>
      <c r="T229" s="269" t="str">
        <f t="shared" si="219"/>
        <v/>
      </c>
      <c r="U229" s="230"/>
      <c r="V229" s="230"/>
      <c r="AB229" s="270" t="e">
        <f>VLOOKUP($B$6,Lookup_Source,222,0)</f>
        <v>#N/A</v>
      </c>
      <c r="AC229" s="254" t="str">
        <f t="shared" si="220"/>
        <v/>
      </c>
      <c r="AD229" s="255">
        <f t="shared" si="221"/>
        <v>7</v>
      </c>
      <c r="AE229" s="274" t="e">
        <f t="shared" si="190"/>
        <v>#N/A</v>
      </c>
      <c r="AF229" s="277" t="e">
        <f t="shared" si="222"/>
        <v>#N/A</v>
      </c>
      <c r="AG229" s="277" t="e">
        <f t="shared" si="223"/>
        <v>#N/A</v>
      </c>
      <c r="AH229" s="276" t="e">
        <f t="shared" si="191"/>
        <v>#N/A</v>
      </c>
      <c r="AI229" s="239">
        <f t="shared" si="224"/>
        <v>7</v>
      </c>
      <c r="AJ229" s="277" t="e">
        <f t="shared" si="192"/>
        <v>#N/A</v>
      </c>
      <c r="AK229" s="277" t="e">
        <f t="shared" si="225"/>
        <v>#N/A</v>
      </c>
      <c r="AL229" s="239" t="e">
        <f t="shared" si="193"/>
        <v>#N/A</v>
      </c>
      <c r="AM229" s="278" t="e">
        <f t="shared" si="226"/>
        <v>#N/A</v>
      </c>
      <c r="AN229" s="279" t="e">
        <f t="shared" si="194"/>
        <v>#N/A</v>
      </c>
      <c r="AO229" s="240" t="e">
        <f t="shared" si="195"/>
        <v>#N/A</v>
      </c>
      <c r="AP229" s="297">
        <f t="shared" si="227"/>
        <v>7</v>
      </c>
      <c r="AQ229" s="298" t="e">
        <f t="shared" si="196"/>
        <v>#N/A</v>
      </c>
      <c r="AR229" s="279" t="e">
        <f t="shared" si="228"/>
        <v>#N/A</v>
      </c>
      <c r="AS229" s="283" t="e">
        <f t="shared" si="197"/>
        <v>#N/A</v>
      </c>
      <c r="AT229" s="284">
        <f t="shared" si="229"/>
        <v>7</v>
      </c>
      <c r="AU229" s="285" t="e">
        <f t="shared" si="230"/>
        <v>#N/A</v>
      </c>
      <c r="AV229" s="286" t="e">
        <f t="shared" si="231"/>
        <v>#N/A</v>
      </c>
      <c r="AW229" s="287" t="e">
        <f t="shared" si="198"/>
        <v>#N/A</v>
      </c>
      <c r="AX229" s="245">
        <f t="shared" si="232"/>
        <v>7</v>
      </c>
      <c r="AY229" s="286" t="e">
        <f t="shared" si="199"/>
        <v>#N/A</v>
      </c>
      <c r="AZ229" s="245" t="e">
        <f t="shared" si="233"/>
        <v>#N/A</v>
      </c>
      <c r="BA229" s="245" t="e">
        <f t="shared" si="200"/>
        <v>#N/A</v>
      </c>
      <c r="BB229" s="288">
        <f t="shared" si="234"/>
        <v>7</v>
      </c>
      <c r="BC229" s="289" t="e">
        <f t="shared" si="235"/>
        <v>#N/A</v>
      </c>
      <c r="BD229" s="290" t="e">
        <f t="shared" si="236"/>
        <v>#N/A</v>
      </c>
      <c r="BE229" s="263" t="e">
        <f t="shared" si="201"/>
        <v>#N/A</v>
      </c>
      <c r="BF229" s="260">
        <f t="shared" si="237"/>
        <v>7</v>
      </c>
      <c r="BG229" s="289" t="e">
        <f t="shared" si="238"/>
        <v>#N/A</v>
      </c>
      <c r="BH229" s="290" t="e">
        <f t="shared" si="239"/>
        <v>#N/A</v>
      </c>
      <c r="BI229" s="263" t="e">
        <f t="shared" si="202"/>
        <v>#N/A</v>
      </c>
      <c r="BJ229" s="264">
        <f t="shared" si="240"/>
        <v>7</v>
      </c>
      <c r="BK229" s="291" t="e">
        <f t="shared" si="241"/>
        <v>#N/A</v>
      </c>
      <c r="BL229" s="291" t="e">
        <f t="shared" si="242"/>
        <v>#N/A</v>
      </c>
      <c r="BM229" s="292" t="e">
        <f t="shared" si="203"/>
        <v>#N/A</v>
      </c>
      <c r="BN229" s="293">
        <f t="shared" si="243"/>
        <v>7</v>
      </c>
      <c r="BO229" s="294" t="e">
        <f t="shared" si="244"/>
        <v>#N/A</v>
      </c>
      <c r="BP229" s="294" t="e">
        <f t="shared" si="245"/>
        <v>#N/A</v>
      </c>
      <c r="BQ229" s="292" t="e">
        <f t="shared" si="204"/>
        <v>#N/A</v>
      </c>
      <c r="BR229" s="295" t="e">
        <f t="shared" si="205"/>
        <v>#N/A</v>
      </c>
      <c r="BS229" s="230" t="e">
        <f>VLOOKUP($B229,SDR22_STOCK_BY_LA!$A$2:$C$11679,3,0)</f>
        <v>#N/A</v>
      </c>
      <c r="BT229" s="230" t="str">
        <f t="shared" si="246"/>
        <v/>
      </c>
    </row>
    <row r="230" spans="1:72" ht="12.5" x14ac:dyDescent="0.25">
      <c r="A230" s="230" t="str">
        <f t="shared" si="247"/>
        <v/>
      </c>
      <c r="B230" s="230" t="str">
        <f t="shared" si="248"/>
        <v/>
      </c>
      <c r="C230" s="296" t="str">
        <f t="shared" si="206"/>
        <v/>
      </c>
      <c r="D230" s="269" t="str">
        <f>IF(B230="","",IF(totals!$Q$3=0,IFERROR(IF(AD230=2,"0",AE230),""),"-"))</f>
        <v/>
      </c>
      <c r="E230" s="271" t="str">
        <f t="shared" si="207"/>
        <v/>
      </c>
      <c r="F230" s="272" t="str">
        <f t="shared" si="208"/>
        <v/>
      </c>
      <c r="G230" s="272" t="str">
        <f t="shared" si="209"/>
        <v/>
      </c>
      <c r="H230" s="269" t="str">
        <f t="shared" si="187"/>
        <v/>
      </c>
      <c r="I230" s="272" t="str">
        <f t="shared" si="210"/>
        <v/>
      </c>
      <c r="J230" s="272" t="str">
        <f t="shared" si="211"/>
        <v/>
      </c>
      <c r="K230" s="269" t="str">
        <f t="shared" si="188"/>
        <v/>
      </c>
      <c r="L230" s="272" t="str">
        <f t="shared" si="189"/>
        <v/>
      </c>
      <c r="M230" s="272" t="str">
        <f t="shared" si="212"/>
        <v/>
      </c>
      <c r="N230" s="269" t="str">
        <f t="shared" si="213"/>
        <v/>
      </c>
      <c r="O230" s="272" t="str">
        <f t="shared" si="214"/>
        <v/>
      </c>
      <c r="P230" s="272" t="str">
        <f t="shared" si="215"/>
        <v/>
      </c>
      <c r="Q230" s="269" t="str">
        <f t="shared" si="216"/>
        <v/>
      </c>
      <c r="R230" s="272" t="str">
        <f t="shared" si="217"/>
        <v/>
      </c>
      <c r="S230" s="272" t="str">
        <f t="shared" si="218"/>
        <v/>
      </c>
      <c r="T230" s="269" t="str">
        <f t="shared" si="219"/>
        <v/>
      </c>
      <c r="U230" s="230"/>
      <c r="V230" s="230"/>
      <c r="AB230" s="230" t="e">
        <f>VLOOKUP($B$6,Lookup_Source,223,0)</f>
        <v>#N/A</v>
      </c>
      <c r="AC230" s="254" t="str">
        <f t="shared" si="220"/>
        <v/>
      </c>
      <c r="AD230" s="255">
        <f t="shared" si="221"/>
        <v>7</v>
      </c>
      <c r="AE230" s="274" t="e">
        <f t="shared" si="190"/>
        <v>#N/A</v>
      </c>
      <c r="AF230" s="277" t="e">
        <f t="shared" si="222"/>
        <v>#N/A</v>
      </c>
      <c r="AG230" s="277" t="e">
        <f t="shared" si="223"/>
        <v>#N/A</v>
      </c>
      <c r="AH230" s="276" t="e">
        <f t="shared" si="191"/>
        <v>#N/A</v>
      </c>
      <c r="AI230" s="239">
        <f t="shared" si="224"/>
        <v>7</v>
      </c>
      <c r="AJ230" s="277" t="e">
        <f t="shared" si="192"/>
        <v>#N/A</v>
      </c>
      <c r="AK230" s="277" t="e">
        <f t="shared" si="225"/>
        <v>#N/A</v>
      </c>
      <c r="AL230" s="239" t="e">
        <f t="shared" si="193"/>
        <v>#N/A</v>
      </c>
      <c r="AM230" s="278" t="e">
        <f t="shared" si="226"/>
        <v>#N/A</v>
      </c>
      <c r="AN230" s="279" t="e">
        <f t="shared" si="194"/>
        <v>#N/A</v>
      </c>
      <c r="AO230" s="240" t="e">
        <f t="shared" si="195"/>
        <v>#N/A</v>
      </c>
      <c r="AP230" s="297">
        <f t="shared" si="227"/>
        <v>7</v>
      </c>
      <c r="AQ230" s="298" t="e">
        <f t="shared" si="196"/>
        <v>#N/A</v>
      </c>
      <c r="AR230" s="279" t="e">
        <f t="shared" si="228"/>
        <v>#N/A</v>
      </c>
      <c r="AS230" s="283" t="e">
        <f t="shared" si="197"/>
        <v>#N/A</v>
      </c>
      <c r="AT230" s="284">
        <f t="shared" si="229"/>
        <v>7</v>
      </c>
      <c r="AU230" s="285" t="e">
        <f t="shared" si="230"/>
        <v>#N/A</v>
      </c>
      <c r="AV230" s="286" t="e">
        <f t="shared" si="231"/>
        <v>#N/A</v>
      </c>
      <c r="AW230" s="287" t="e">
        <f t="shared" si="198"/>
        <v>#N/A</v>
      </c>
      <c r="AX230" s="245">
        <f t="shared" si="232"/>
        <v>7</v>
      </c>
      <c r="AY230" s="286" t="e">
        <f t="shared" si="199"/>
        <v>#N/A</v>
      </c>
      <c r="AZ230" s="245" t="e">
        <f t="shared" si="233"/>
        <v>#N/A</v>
      </c>
      <c r="BA230" s="245" t="e">
        <f t="shared" si="200"/>
        <v>#N/A</v>
      </c>
      <c r="BB230" s="288">
        <f t="shared" si="234"/>
        <v>7</v>
      </c>
      <c r="BC230" s="289" t="e">
        <f t="shared" si="235"/>
        <v>#N/A</v>
      </c>
      <c r="BD230" s="290" t="e">
        <f t="shared" si="236"/>
        <v>#N/A</v>
      </c>
      <c r="BE230" s="263" t="e">
        <f t="shared" si="201"/>
        <v>#N/A</v>
      </c>
      <c r="BF230" s="260">
        <f t="shared" si="237"/>
        <v>7</v>
      </c>
      <c r="BG230" s="289" t="e">
        <f t="shared" si="238"/>
        <v>#N/A</v>
      </c>
      <c r="BH230" s="290" t="e">
        <f t="shared" si="239"/>
        <v>#N/A</v>
      </c>
      <c r="BI230" s="263" t="e">
        <f t="shared" si="202"/>
        <v>#N/A</v>
      </c>
      <c r="BJ230" s="264">
        <f t="shared" si="240"/>
        <v>7</v>
      </c>
      <c r="BK230" s="291" t="e">
        <f t="shared" si="241"/>
        <v>#N/A</v>
      </c>
      <c r="BL230" s="291" t="e">
        <f t="shared" si="242"/>
        <v>#N/A</v>
      </c>
      <c r="BM230" s="292" t="e">
        <f t="shared" si="203"/>
        <v>#N/A</v>
      </c>
      <c r="BN230" s="293">
        <f t="shared" si="243"/>
        <v>7</v>
      </c>
      <c r="BO230" s="294" t="e">
        <f t="shared" si="244"/>
        <v>#N/A</v>
      </c>
      <c r="BP230" s="294" t="e">
        <f t="shared" si="245"/>
        <v>#N/A</v>
      </c>
      <c r="BQ230" s="292" t="e">
        <f t="shared" si="204"/>
        <v>#N/A</v>
      </c>
      <c r="BR230" s="295" t="e">
        <f t="shared" si="205"/>
        <v>#N/A</v>
      </c>
      <c r="BS230" s="230" t="e">
        <f>VLOOKUP($B230,SDR22_STOCK_BY_LA!$A$2:$C$11679,3,0)</f>
        <v>#N/A</v>
      </c>
      <c r="BT230" s="230" t="str">
        <f t="shared" si="246"/>
        <v/>
      </c>
    </row>
    <row r="231" spans="1:72" ht="12.5" x14ac:dyDescent="0.25">
      <c r="A231" s="269" t="str">
        <f t="shared" si="247"/>
        <v/>
      </c>
      <c r="B231" s="230" t="str">
        <f t="shared" si="248"/>
        <v/>
      </c>
      <c r="C231" s="270" t="str">
        <f t="shared" si="206"/>
        <v/>
      </c>
      <c r="D231" s="269" t="str">
        <f>IF(B231="","",IF(totals!$Q$3=0,IFERROR(IF(AD231=2,"0",AE231),""),"-"))</f>
        <v/>
      </c>
      <c r="E231" s="271" t="str">
        <f t="shared" si="207"/>
        <v/>
      </c>
      <c r="F231" s="272" t="str">
        <f t="shared" si="208"/>
        <v/>
      </c>
      <c r="G231" s="272" t="str">
        <f t="shared" si="209"/>
        <v/>
      </c>
      <c r="H231" s="269" t="str">
        <f t="shared" si="187"/>
        <v/>
      </c>
      <c r="I231" s="272" t="str">
        <f t="shared" si="210"/>
        <v/>
      </c>
      <c r="J231" s="272" t="str">
        <f t="shared" si="211"/>
        <v/>
      </c>
      <c r="K231" s="269" t="str">
        <f t="shared" si="188"/>
        <v/>
      </c>
      <c r="L231" s="272" t="str">
        <f t="shared" si="189"/>
        <v/>
      </c>
      <c r="M231" s="272" t="str">
        <f t="shared" si="212"/>
        <v/>
      </c>
      <c r="N231" s="269" t="str">
        <f t="shared" si="213"/>
        <v/>
      </c>
      <c r="O231" s="272" t="str">
        <f t="shared" si="214"/>
        <v/>
      </c>
      <c r="P231" s="272" t="str">
        <f t="shared" si="215"/>
        <v/>
      </c>
      <c r="Q231" s="269" t="str">
        <f t="shared" si="216"/>
        <v/>
      </c>
      <c r="R231" s="272" t="str">
        <f t="shared" si="217"/>
        <v/>
      </c>
      <c r="S231" s="272" t="str">
        <f t="shared" si="218"/>
        <v/>
      </c>
      <c r="T231" s="269" t="str">
        <f t="shared" si="219"/>
        <v/>
      </c>
      <c r="U231" s="230"/>
      <c r="V231" s="230"/>
      <c r="AB231" s="270" t="e">
        <f>VLOOKUP($B$6,Lookup_Source,224,0)</f>
        <v>#N/A</v>
      </c>
      <c r="AC231" s="254" t="str">
        <f t="shared" si="220"/>
        <v/>
      </c>
      <c r="AD231" s="255">
        <f t="shared" si="221"/>
        <v>7</v>
      </c>
      <c r="AE231" s="274" t="e">
        <f t="shared" si="190"/>
        <v>#N/A</v>
      </c>
      <c r="AF231" s="277" t="e">
        <f t="shared" si="222"/>
        <v>#N/A</v>
      </c>
      <c r="AG231" s="277" t="e">
        <f t="shared" si="223"/>
        <v>#N/A</v>
      </c>
      <c r="AH231" s="276" t="e">
        <f t="shared" si="191"/>
        <v>#N/A</v>
      </c>
      <c r="AI231" s="239">
        <f t="shared" si="224"/>
        <v>7</v>
      </c>
      <c r="AJ231" s="277" t="e">
        <f t="shared" si="192"/>
        <v>#N/A</v>
      </c>
      <c r="AK231" s="277" t="e">
        <f t="shared" si="225"/>
        <v>#N/A</v>
      </c>
      <c r="AL231" s="239" t="e">
        <f t="shared" si="193"/>
        <v>#N/A</v>
      </c>
      <c r="AM231" s="278" t="e">
        <f t="shared" si="226"/>
        <v>#N/A</v>
      </c>
      <c r="AN231" s="279" t="e">
        <f t="shared" si="194"/>
        <v>#N/A</v>
      </c>
      <c r="AO231" s="240" t="e">
        <f t="shared" si="195"/>
        <v>#N/A</v>
      </c>
      <c r="AP231" s="297">
        <f t="shared" si="227"/>
        <v>7</v>
      </c>
      <c r="AQ231" s="298" t="e">
        <f t="shared" si="196"/>
        <v>#N/A</v>
      </c>
      <c r="AR231" s="279" t="e">
        <f t="shared" si="228"/>
        <v>#N/A</v>
      </c>
      <c r="AS231" s="283" t="e">
        <f t="shared" si="197"/>
        <v>#N/A</v>
      </c>
      <c r="AT231" s="284">
        <f t="shared" si="229"/>
        <v>7</v>
      </c>
      <c r="AU231" s="285" t="e">
        <f t="shared" si="230"/>
        <v>#N/A</v>
      </c>
      <c r="AV231" s="286" t="e">
        <f t="shared" si="231"/>
        <v>#N/A</v>
      </c>
      <c r="AW231" s="287" t="e">
        <f t="shared" si="198"/>
        <v>#N/A</v>
      </c>
      <c r="AX231" s="245">
        <f t="shared" si="232"/>
        <v>7</v>
      </c>
      <c r="AY231" s="286" t="e">
        <f t="shared" si="199"/>
        <v>#N/A</v>
      </c>
      <c r="AZ231" s="245" t="e">
        <f t="shared" si="233"/>
        <v>#N/A</v>
      </c>
      <c r="BA231" s="245" t="e">
        <f t="shared" si="200"/>
        <v>#N/A</v>
      </c>
      <c r="BB231" s="288">
        <f t="shared" si="234"/>
        <v>7</v>
      </c>
      <c r="BC231" s="289" t="e">
        <f t="shared" si="235"/>
        <v>#N/A</v>
      </c>
      <c r="BD231" s="290" t="e">
        <f t="shared" si="236"/>
        <v>#N/A</v>
      </c>
      <c r="BE231" s="263" t="e">
        <f t="shared" si="201"/>
        <v>#N/A</v>
      </c>
      <c r="BF231" s="260">
        <f t="shared" si="237"/>
        <v>7</v>
      </c>
      <c r="BG231" s="289" t="e">
        <f t="shared" si="238"/>
        <v>#N/A</v>
      </c>
      <c r="BH231" s="290" t="e">
        <f t="shared" si="239"/>
        <v>#N/A</v>
      </c>
      <c r="BI231" s="263" t="e">
        <f t="shared" si="202"/>
        <v>#N/A</v>
      </c>
      <c r="BJ231" s="264">
        <f t="shared" si="240"/>
        <v>7</v>
      </c>
      <c r="BK231" s="291" t="e">
        <f t="shared" si="241"/>
        <v>#N/A</v>
      </c>
      <c r="BL231" s="291" t="e">
        <f t="shared" si="242"/>
        <v>#N/A</v>
      </c>
      <c r="BM231" s="292" t="e">
        <f t="shared" si="203"/>
        <v>#N/A</v>
      </c>
      <c r="BN231" s="293">
        <f t="shared" si="243"/>
        <v>7</v>
      </c>
      <c r="BO231" s="294" t="e">
        <f t="shared" si="244"/>
        <v>#N/A</v>
      </c>
      <c r="BP231" s="294" t="e">
        <f t="shared" si="245"/>
        <v>#N/A</v>
      </c>
      <c r="BQ231" s="292" t="e">
        <f t="shared" si="204"/>
        <v>#N/A</v>
      </c>
      <c r="BR231" s="295" t="e">
        <f t="shared" si="205"/>
        <v>#N/A</v>
      </c>
      <c r="BS231" s="230" t="e">
        <f>VLOOKUP($B231,SDR22_STOCK_BY_LA!$A$2:$C$11679,3,0)</f>
        <v>#N/A</v>
      </c>
      <c r="BT231" s="230" t="str">
        <f t="shared" si="246"/>
        <v/>
      </c>
    </row>
    <row r="232" spans="1:72" ht="12.5" x14ac:dyDescent="0.25">
      <c r="A232" s="230" t="str">
        <f t="shared" si="247"/>
        <v/>
      </c>
      <c r="B232" s="230" t="str">
        <f t="shared" si="248"/>
        <v/>
      </c>
      <c r="C232" s="296" t="str">
        <f t="shared" si="206"/>
        <v/>
      </c>
      <c r="D232" s="269" t="str">
        <f>IF(B232="","",IF(totals!$Q$3=0,IFERROR(IF(AD232=2,"0",AE232),""),"-"))</f>
        <v/>
      </c>
      <c r="E232" s="271" t="str">
        <f t="shared" si="207"/>
        <v/>
      </c>
      <c r="F232" s="272" t="str">
        <f t="shared" si="208"/>
        <v/>
      </c>
      <c r="G232" s="272" t="str">
        <f t="shared" si="209"/>
        <v/>
      </c>
      <c r="H232" s="269" t="str">
        <f t="shared" si="187"/>
        <v/>
      </c>
      <c r="I232" s="272" t="str">
        <f t="shared" si="210"/>
        <v/>
      </c>
      <c r="J232" s="272" t="str">
        <f t="shared" si="211"/>
        <v/>
      </c>
      <c r="K232" s="269" t="str">
        <f t="shared" si="188"/>
        <v/>
      </c>
      <c r="L232" s="272" t="str">
        <f t="shared" si="189"/>
        <v/>
      </c>
      <c r="M232" s="272" t="str">
        <f t="shared" si="212"/>
        <v/>
      </c>
      <c r="N232" s="269" t="str">
        <f t="shared" si="213"/>
        <v/>
      </c>
      <c r="O232" s="272" t="str">
        <f t="shared" si="214"/>
        <v/>
      </c>
      <c r="P232" s="272" t="str">
        <f t="shared" si="215"/>
        <v/>
      </c>
      <c r="Q232" s="269" t="str">
        <f t="shared" si="216"/>
        <v/>
      </c>
      <c r="R232" s="272" t="str">
        <f t="shared" si="217"/>
        <v/>
      </c>
      <c r="S232" s="272" t="str">
        <f t="shared" si="218"/>
        <v/>
      </c>
      <c r="T232" s="269" t="str">
        <f t="shared" si="219"/>
        <v/>
      </c>
      <c r="U232" s="230"/>
      <c r="V232" s="230"/>
      <c r="AB232" s="230" t="e">
        <f>VLOOKUP($B$6,Lookup_Source,225,0)</f>
        <v>#N/A</v>
      </c>
      <c r="AC232" s="254" t="str">
        <f t="shared" si="220"/>
        <v/>
      </c>
      <c r="AD232" s="255">
        <f t="shared" si="221"/>
        <v>7</v>
      </c>
      <c r="AE232" s="274" t="e">
        <f t="shared" si="190"/>
        <v>#N/A</v>
      </c>
      <c r="AF232" s="277" t="e">
        <f t="shared" si="222"/>
        <v>#N/A</v>
      </c>
      <c r="AG232" s="277" t="e">
        <f t="shared" si="223"/>
        <v>#N/A</v>
      </c>
      <c r="AH232" s="276" t="e">
        <f t="shared" si="191"/>
        <v>#N/A</v>
      </c>
      <c r="AI232" s="239">
        <f t="shared" si="224"/>
        <v>7</v>
      </c>
      <c r="AJ232" s="277" t="e">
        <f t="shared" si="192"/>
        <v>#N/A</v>
      </c>
      <c r="AK232" s="277" t="e">
        <f t="shared" si="225"/>
        <v>#N/A</v>
      </c>
      <c r="AL232" s="239" t="e">
        <f t="shared" si="193"/>
        <v>#N/A</v>
      </c>
      <c r="AM232" s="278" t="e">
        <f t="shared" si="226"/>
        <v>#N/A</v>
      </c>
      <c r="AN232" s="279" t="e">
        <f t="shared" si="194"/>
        <v>#N/A</v>
      </c>
      <c r="AO232" s="240" t="e">
        <f t="shared" si="195"/>
        <v>#N/A</v>
      </c>
      <c r="AP232" s="297">
        <f t="shared" si="227"/>
        <v>7</v>
      </c>
      <c r="AQ232" s="298" t="e">
        <f t="shared" si="196"/>
        <v>#N/A</v>
      </c>
      <c r="AR232" s="279" t="e">
        <f t="shared" si="228"/>
        <v>#N/A</v>
      </c>
      <c r="AS232" s="283" t="e">
        <f t="shared" si="197"/>
        <v>#N/A</v>
      </c>
      <c r="AT232" s="284">
        <f t="shared" si="229"/>
        <v>7</v>
      </c>
      <c r="AU232" s="285" t="e">
        <f t="shared" si="230"/>
        <v>#N/A</v>
      </c>
      <c r="AV232" s="286" t="e">
        <f t="shared" si="231"/>
        <v>#N/A</v>
      </c>
      <c r="AW232" s="287" t="e">
        <f t="shared" si="198"/>
        <v>#N/A</v>
      </c>
      <c r="AX232" s="245">
        <f t="shared" si="232"/>
        <v>7</v>
      </c>
      <c r="AY232" s="286" t="e">
        <f t="shared" si="199"/>
        <v>#N/A</v>
      </c>
      <c r="AZ232" s="245" t="e">
        <f t="shared" si="233"/>
        <v>#N/A</v>
      </c>
      <c r="BA232" s="245" t="e">
        <f t="shared" si="200"/>
        <v>#N/A</v>
      </c>
      <c r="BB232" s="288">
        <f t="shared" si="234"/>
        <v>7</v>
      </c>
      <c r="BC232" s="289" t="e">
        <f t="shared" si="235"/>
        <v>#N/A</v>
      </c>
      <c r="BD232" s="290" t="e">
        <f t="shared" si="236"/>
        <v>#N/A</v>
      </c>
      <c r="BE232" s="263" t="e">
        <f t="shared" si="201"/>
        <v>#N/A</v>
      </c>
      <c r="BF232" s="260">
        <f t="shared" si="237"/>
        <v>7</v>
      </c>
      <c r="BG232" s="289" t="e">
        <f t="shared" si="238"/>
        <v>#N/A</v>
      </c>
      <c r="BH232" s="290" t="e">
        <f t="shared" si="239"/>
        <v>#N/A</v>
      </c>
      <c r="BI232" s="263" t="e">
        <f t="shared" si="202"/>
        <v>#N/A</v>
      </c>
      <c r="BJ232" s="264">
        <f t="shared" si="240"/>
        <v>7</v>
      </c>
      <c r="BK232" s="291" t="e">
        <f t="shared" si="241"/>
        <v>#N/A</v>
      </c>
      <c r="BL232" s="291" t="e">
        <f t="shared" si="242"/>
        <v>#N/A</v>
      </c>
      <c r="BM232" s="292" t="e">
        <f t="shared" si="203"/>
        <v>#N/A</v>
      </c>
      <c r="BN232" s="293">
        <f t="shared" si="243"/>
        <v>7</v>
      </c>
      <c r="BO232" s="294" t="e">
        <f t="shared" si="244"/>
        <v>#N/A</v>
      </c>
      <c r="BP232" s="294" t="e">
        <f t="shared" si="245"/>
        <v>#N/A</v>
      </c>
      <c r="BQ232" s="292" t="e">
        <f t="shared" si="204"/>
        <v>#N/A</v>
      </c>
      <c r="BR232" s="295" t="e">
        <f t="shared" si="205"/>
        <v>#N/A</v>
      </c>
      <c r="BS232" s="230" t="e">
        <f>VLOOKUP($B232,SDR22_STOCK_BY_LA!$A$2:$C$11679,3,0)</f>
        <v>#N/A</v>
      </c>
      <c r="BT232" s="230" t="str">
        <f t="shared" si="246"/>
        <v/>
      </c>
    </row>
    <row r="233" spans="1:72" ht="12.5" x14ac:dyDescent="0.25">
      <c r="A233" s="269" t="str">
        <f t="shared" si="247"/>
        <v/>
      </c>
      <c r="B233" s="230" t="str">
        <f t="shared" si="248"/>
        <v/>
      </c>
      <c r="C233" s="270" t="str">
        <f t="shared" si="206"/>
        <v/>
      </c>
      <c r="D233" s="269" t="str">
        <f>IF(B233="","",IF(totals!$Q$3=0,IFERROR(IF(AD233=2,"0",AE233),""),"-"))</f>
        <v/>
      </c>
      <c r="E233" s="271" t="str">
        <f t="shared" si="207"/>
        <v/>
      </c>
      <c r="F233" s="272" t="str">
        <f t="shared" si="208"/>
        <v/>
      </c>
      <c r="G233" s="272" t="str">
        <f t="shared" si="209"/>
        <v/>
      </c>
      <c r="H233" s="269" t="str">
        <f t="shared" si="187"/>
        <v/>
      </c>
      <c r="I233" s="272" t="str">
        <f t="shared" si="210"/>
        <v/>
      </c>
      <c r="J233" s="272" t="str">
        <f t="shared" si="211"/>
        <v/>
      </c>
      <c r="K233" s="269" t="str">
        <f t="shared" si="188"/>
        <v/>
      </c>
      <c r="L233" s="272" t="str">
        <f t="shared" si="189"/>
        <v/>
      </c>
      <c r="M233" s="272" t="str">
        <f t="shared" si="212"/>
        <v/>
      </c>
      <c r="N233" s="269" t="str">
        <f t="shared" si="213"/>
        <v/>
      </c>
      <c r="O233" s="272" t="str">
        <f t="shared" si="214"/>
        <v/>
      </c>
      <c r="P233" s="272" t="str">
        <f t="shared" si="215"/>
        <v/>
      </c>
      <c r="Q233" s="269" t="str">
        <f t="shared" si="216"/>
        <v/>
      </c>
      <c r="R233" s="272" t="str">
        <f t="shared" si="217"/>
        <v/>
      </c>
      <c r="S233" s="272" t="str">
        <f t="shared" si="218"/>
        <v/>
      </c>
      <c r="T233" s="269" t="str">
        <f t="shared" si="219"/>
        <v/>
      </c>
      <c r="U233" s="230"/>
      <c r="V233" s="230"/>
      <c r="AB233" s="270" t="e">
        <f>VLOOKUP($B$6,Lookup_Source,226,0)</f>
        <v>#N/A</v>
      </c>
      <c r="AC233" s="254" t="str">
        <f t="shared" si="220"/>
        <v/>
      </c>
      <c r="AD233" s="255">
        <f t="shared" si="221"/>
        <v>7</v>
      </c>
      <c r="AE233" s="274" t="e">
        <f t="shared" si="190"/>
        <v>#N/A</v>
      </c>
      <c r="AF233" s="277" t="e">
        <f t="shared" si="222"/>
        <v>#N/A</v>
      </c>
      <c r="AG233" s="277" t="e">
        <f t="shared" si="223"/>
        <v>#N/A</v>
      </c>
      <c r="AH233" s="276" t="e">
        <f t="shared" si="191"/>
        <v>#N/A</v>
      </c>
      <c r="AI233" s="239">
        <f t="shared" si="224"/>
        <v>7</v>
      </c>
      <c r="AJ233" s="277" t="e">
        <f t="shared" si="192"/>
        <v>#N/A</v>
      </c>
      <c r="AK233" s="277" t="e">
        <f t="shared" si="225"/>
        <v>#N/A</v>
      </c>
      <c r="AL233" s="239" t="e">
        <f t="shared" si="193"/>
        <v>#N/A</v>
      </c>
      <c r="AM233" s="278" t="e">
        <f t="shared" si="226"/>
        <v>#N/A</v>
      </c>
      <c r="AN233" s="279" t="e">
        <f t="shared" si="194"/>
        <v>#N/A</v>
      </c>
      <c r="AO233" s="240" t="e">
        <f t="shared" si="195"/>
        <v>#N/A</v>
      </c>
      <c r="AP233" s="297">
        <f t="shared" si="227"/>
        <v>7</v>
      </c>
      <c r="AQ233" s="298" t="e">
        <f t="shared" si="196"/>
        <v>#N/A</v>
      </c>
      <c r="AR233" s="279" t="e">
        <f t="shared" si="228"/>
        <v>#N/A</v>
      </c>
      <c r="AS233" s="283" t="e">
        <f t="shared" si="197"/>
        <v>#N/A</v>
      </c>
      <c r="AT233" s="284">
        <f t="shared" si="229"/>
        <v>7</v>
      </c>
      <c r="AU233" s="285" t="e">
        <f t="shared" si="230"/>
        <v>#N/A</v>
      </c>
      <c r="AV233" s="286" t="e">
        <f t="shared" si="231"/>
        <v>#N/A</v>
      </c>
      <c r="AW233" s="287" t="e">
        <f t="shared" si="198"/>
        <v>#N/A</v>
      </c>
      <c r="AX233" s="245">
        <f t="shared" si="232"/>
        <v>7</v>
      </c>
      <c r="AY233" s="286" t="e">
        <f t="shared" si="199"/>
        <v>#N/A</v>
      </c>
      <c r="AZ233" s="245" t="e">
        <f t="shared" si="233"/>
        <v>#N/A</v>
      </c>
      <c r="BA233" s="245" t="e">
        <f t="shared" si="200"/>
        <v>#N/A</v>
      </c>
      <c r="BB233" s="288">
        <f t="shared" si="234"/>
        <v>7</v>
      </c>
      <c r="BC233" s="289" t="e">
        <f t="shared" si="235"/>
        <v>#N/A</v>
      </c>
      <c r="BD233" s="290" t="e">
        <f t="shared" si="236"/>
        <v>#N/A</v>
      </c>
      <c r="BE233" s="263" t="e">
        <f t="shared" si="201"/>
        <v>#N/A</v>
      </c>
      <c r="BF233" s="260">
        <f t="shared" si="237"/>
        <v>7</v>
      </c>
      <c r="BG233" s="289" t="e">
        <f t="shared" si="238"/>
        <v>#N/A</v>
      </c>
      <c r="BH233" s="290" t="e">
        <f t="shared" si="239"/>
        <v>#N/A</v>
      </c>
      <c r="BI233" s="263" t="e">
        <f t="shared" si="202"/>
        <v>#N/A</v>
      </c>
      <c r="BJ233" s="264">
        <f t="shared" si="240"/>
        <v>7</v>
      </c>
      <c r="BK233" s="291" t="e">
        <f t="shared" si="241"/>
        <v>#N/A</v>
      </c>
      <c r="BL233" s="291" t="e">
        <f t="shared" si="242"/>
        <v>#N/A</v>
      </c>
      <c r="BM233" s="292" t="e">
        <f t="shared" si="203"/>
        <v>#N/A</v>
      </c>
      <c r="BN233" s="293">
        <f t="shared" si="243"/>
        <v>7</v>
      </c>
      <c r="BO233" s="294" t="e">
        <f t="shared" si="244"/>
        <v>#N/A</v>
      </c>
      <c r="BP233" s="294" t="e">
        <f t="shared" si="245"/>
        <v>#N/A</v>
      </c>
      <c r="BQ233" s="292" t="e">
        <f t="shared" si="204"/>
        <v>#N/A</v>
      </c>
      <c r="BR233" s="295" t="e">
        <f t="shared" si="205"/>
        <v>#N/A</v>
      </c>
      <c r="BS233" s="230" t="e">
        <f>VLOOKUP($B233,SDR22_STOCK_BY_LA!$A$2:$C$11679,3,0)</f>
        <v>#N/A</v>
      </c>
      <c r="BT233" s="230" t="str">
        <f t="shared" si="246"/>
        <v/>
      </c>
    </row>
    <row r="234" spans="1:72" ht="12.5" x14ac:dyDescent="0.25">
      <c r="A234" s="230" t="str">
        <f t="shared" si="247"/>
        <v/>
      </c>
      <c r="B234" s="230" t="str">
        <f t="shared" si="248"/>
        <v/>
      </c>
      <c r="C234" s="296" t="str">
        <f t="shared" si="206"/>
        <v/>
      </c>
      <c r="D234" s="269" t="str">
        <f>IF(B234="","",IF(totals!$Q$3=0,IFERROR(IF(AD234=2,"0",AE234),""),"-"))</f>
        <v/>
      </c>
      <c r="E234" s="271" t="str">
        <f t="shared" si="207"/>
        <v/>
      </c>
      <c r="F234" s="272" t="str">
        <f t="shared" si="208"/>
        <v/>
      </c>
      <c r="G234" s="272" t="str">
        <f t="shared" si="209"/>
        <v/>
      </c>
      <c r="H234" s="269" t="str">
        <f t="shared" si="187"/>
        <v/>
      </c>
      <c r="I234" s="272" t="str">
        <f t="shared" si="210"/>
        <v/>
      </c>
      <c r="J234" s="272" t="str">
        <f t="shared" si="211"/>
        <v/>
      </c>
      <c r="K234" s="269" t="str">
        <f t="shared" si="188"/>
        <v/>
      </c>
      <c r="L234" s="272" t="str">
        <f t="shared" si="189"/>
        <v/>
      </c>
      <c r="M234" s="272" t="str">
        <f t="shared" si="212"/>
        <v/>
      </c>
      <c r="N234" s="269" t="str">
        <f t="shared" si="213"/>
        <v/>
      </c>
      <c r="O234" s="272" t="str">
        <f t="shared" si="214"/>
        <v/>
      </c>
      <c r="P234" s="272" t="str">
        <f t="shared" si="215"/>
        <v/>
      </c>
      <c r="Q234" s="269" t="str">
        <f t="shared" si="216"/>
        <v/>
      </c>
      <c r="R234" s="272" t="str">
        <f t="shared" si="217"/>
        <v/>
      </c>
      <c r="S234" s="272" t="str">
        <f t="shared" si="218"/>
        <v/>
      </c>
      <c r="T234" s="269" t="str">
        <f t="shared" si="219"/>
        <v/>
      </c>
      <c r="U234" s="230"/>
      <c r="V234" s="230"/>
      <c r="AB234" s="230" t="e">
        <f>VLOOKUP($B$6,Lookup_Source,227,0)</f>
        <v>#N/A</v>
      </c>
      <c r="AC234" s="254" t="str">
        <f t="shared" si="220"/>
        <v/>
      </c>
      <c r="AD234" s="255">
        <f t="shared" si="221"/>
        <v>7</v>
      </c>
      <c r="AE234" s="274" t="e">
        <f t="shared" si="190"/>
        <v>#N/A</v>
      </c>
      <c r="AF234" s="277" t="e">
        <f t="shared" si="222"/>
        <v>#N/A</v>
      </c>
      <c r="AG234" s="277" t="e">
        <f t="shared" si="223"/>
        <v>#N/A</v>
      </c>
      <c r="AH234" s="276" t="e">
        <f t="shared" si="191"/>
        <v>#N/A</v>
      </c>
      <c r="AI234" s="239">
        <f t="shared" si="224"/>
        <v>7</v>
      </c>
      <c r="AJ234" s="277" t="e">
        <f t="shared" si="192"/>
        <v>#N/A</v>
      </c>
      <c r="AK234" s="277" t="e">
        <f t="shared" si="225"/>
        <v>#N/A</v>
      </c>
      <c r="AL234" s="239" t="e">
        <f t="shared" si="193"/>
        <v>#N/A</v>
      </c>
      <c r="AM234" s="278" t="e">
        <f t="shared" si="226"/>
        <v>#N/A</v>
      </c>
      <c r="AN234" s="279" t="e">
        <f t="shared" si="194"/>
        <v>#N/A</v>
      </c>
      <c r="AO234" s="240" t="e">
        <f t="shared" si="195"/>
        <v>#N/A</v>
      </c>
      <c r="AP234" s="297">
        <f t="shared" si="227"/>
        <v>7</v>
      </c>
      <c r="AQ234" s="298" t="e">
        <f t="shared" si="196"/>
        <v>#N/A</v>
      </c>
      <c r="AR234" s="279" t="e">
        <f t="shared" si="228"/>
        <v>#N/A</v>
      </c>
      <c r="AS234" s="283" t="e">
        <f t="shared" si="197"/>
        <v>#N/A</v>
      </c>
      <c r="AT234" s="284">
        <f t="shared" si="229"/>
        <v>7</v>
      </c>
      <c r="AU234" s="285" t="e">
        <f t="shared" si="230"/>
        <v>#N/A</v>
      </c>
      <c r="AV234" s="286" t="e">
        <f t="shared" si="231"/>
        <v>#N/A</v>
      </c>
      <c r="AW234" s="287" t="e">
        <f t="shared" si="198"/>
        <v>#N/A</v>
      </c>
      <c r="AX234" s="245">
        <f t="shared" si="232"/>
        <v>7</v>
      </c>
      <c r="AY234" s="286" t="e">
        <f t="shared" si="199"/>
        <v>#N/A</v>
      </c>
      <c r="AZ234" s="245" t="e">
        <f t="shared" si="233"/>
        <v>#N/A</v>
      </c>
      <c r="BA234" s="245" t="e">
        <f t="shared" si="200"/>
        <v>#N/A</v>
      </c>
      <c r="BB234" s="288">
        <f t="shared" si="234"/>
        <v>7</v>
      </c>
      <c r="BC234" s="289" t="e">
        <f t="shared" si="235"/>
        <v>#N/A</v>
      </c>
      <c r="BD234" s="290" t="e">
        <f t="shared" si="236"/>
        <v>#N/A</v>
      </c>
      <c r="BE234" s="263" t="e">
        <f t="shared" si="201"/>
        <v>#N/A</v>
      </c>
      <c r="BF234" s="260">
        <f t="shared" si="237"/>
        <v>7</v>
      </c>
      <c r="BG234" s="289" t="e">
        <f t="shared" si="238"/>
        <v>#N/A</v>
      </c>
      <c r="BH234" s="290" t="e">
        <f t="shared" si="239"/>
        <v>#N/A</v>
      </c>
      <c r="BI234" s="263" t="e">
        <f t="shared" si="202"/>
        <v>#N/A</v>
      </c>
      <c r="BJ234" s="264">
        <f t="shared" si="240"/>
        <v>7</v>
      </c>
      <c r="BK234" s="291" t="e">
        <f t="shared" si="241"/>
        <v>#N/A</v>
      </c>
      <c r="BL234" s="291" t="e">
        <f t="shared" si="242"/>
        <v>#N/A</v>
      </c>
      <c r="BM234" s="292" t="e">
        <f t="shared" si="203"/>
        <v>#N/A</v>
      </c>
      <c r="BN234" s="293">
        <f t="shared" si="243"/>
        <v>7</v>
      </c>
      <c r="BO234" s="294" t="e">
        <f t="shared" si="244"/>
        <v>#N/A</v>
      </c>
      <c r="BP234" s="294" t="e">
        <f t="shared" si="245"/>
        <v>#N/A</v>
      </c>
      <c r="BQ234" s="292" t="e">
        <f t="shared" si="204"/>
        <v>#N/A</v>
      </c>
      <c r="BR234" s="295" t="e">
        <f t="shared" si="205"/>
        <v>#N/A</v>
      </c>
      <c r="BS234" s="230" t="e">
        <f>VLOOKUP($B234,SDR22_STOCK_BY_LA!$A$2:$C$11679,3,0)</f>
        <v>#N/A</v>
      </c>
      <c r="BT234" s="230" t="str">
        <f t="shared" si="246"/>
        <v/>
      </c>
    </row>
    <row r="235" spans="1:72" ht="12.5" x14ac:dyDescent="0.25">
      <c r="A235" s="269" t="str">
        <f t="shared" si="247"/>
        <v/>
      </c>
      <c r="B235" s="230" t="str">
        <f t="shared" si="248"/>
        <v/>
      </c>
      <c r="C235" s="270" t="str">
        <f t="shared" si="206"/>
        <v/>
      </c>
      <c r="D235" s="269" t="str">
        <f>IF(B235="","",IF(totals!$Q$3=0,IFERROR(IF(AD235=2,"0",AE235),""),"-"))</f>
        <v/>
      </c>
      <c r="E235" s="271" t="str">
        <f t="shared" si="207"/>
        <v/>
      </c>
      <c r="F235" s="272" t="str">
        <f t="shared" si="208"/>
        <v/>
      </c>
      <c r="G235" s="272" t="str">
        <f t="shared" si="209"/>
        <v/>
      </c>
      <c r="H235" s="269" t="str">
        <f t="shared" si="187"/>
        <v/>
      </c>
      <c r="I235" s="272" t="str">
        <f t="shared" si="210"/>
        <v/>
      </c>
      <c r="J235" s="272" t="str">
        <f t="shared" si="211"/>
        <v/>
      </c>
      <c r="K235" s="269" t="str">
        <f t="shared" si="188"/>
        <v/>
      </c>
      <c r="L235" s="272" t="str">
        <f t="shared" si="189"/>
        <v/>
      </c>
      <c r="M235" s="272" t="str">
        <f t="shared" si="212"/>
        <v/>
      </c>
      <c r="N235" s="269" t="str">
        <f t="shared" si="213"/>
        <v/>
      </c>
      <c r="O235" s="272" t="str">
        <f t="shared" si="214"/>
        <v/>
      </c>
      <c r="P235" s="272" t="str">
        <f t="shared" si="215"/>
        <v/>
      </c>
      <c r="Q235" s="269" t="str">
        <f t="shared" si="216"/>
        <v/>
      </c>
      <c r="R235" s="272" t="str">
        <f t="shared" si="217"/>
        <v/>
      </c>
      <c r="S235" s="272" t="str">
        <f t="shared" si="218"/>
        <v/>
      </c>
      <c r="T235" s="269" t="str">
        <f t="shared" si="219"/>
        <v/>
      </c>
      <c r="U235" s="230"/>
      <c r="V235" s="230"/>
      <c r="AB235" s="270" t="e">
        <f>VLOOKUP($B$6,Lookup_Source,228,0)</f>
        <v>#N/A</v>
      </c>
      <c r="AC235" s="254" t="str">
        <f t="shared" si="220"/>
        <v/>
      </c>
      <c r="AD235" s="255">
        <f t="shared" si="221"/>
        <v>7</v>
      </c>
      <c r="AE235" s="274" t="e">
        <f t="shared" si="190"/>
        <v>#N/A</v>
      </c>
      <c r="AF235" s="277" t="e">
        <f t="shared" si="222"/>
        <v>#N/A</v>
      </c>
      <c r="AG235" s="277" t="e">
        <f t="shared" si="223"/>
        <v>#N/A</v>
      </c>
      <c r="AH235" s="276" t="e">
        <f t="shared" si="191"/>
        <v>#N/A</v>
      </c>
      <c r="AI235" s="239">
        <f t="shared" si="224"/>
        <v>7</v>
      </c>
      <c r="AJ235" s="277" t="e">
        <f t="shared" si="192"/>
        <v>#N/A</v>
      </c>
      <c r="AK235" s="277" t="e">
        <f t="shared" si="225"/>
        <v>#N/A</v>
      </c>
      <c r="AL235" s="239" t="e">
        <f t="shared" si="193"/>
        <v>#N/A</v>
      </c>
      <c r="AM235" s="278" t="e">
        <f t="shared" si="226"/>
        <v>#N/A</v>
      </c>
      <c r="AN235" s="279" t="e">
        <f t="shared" si="194"/>
        <v>#N/A</v>
      </c>
      <c r="AO235" s="240" t="e">
        <f t="shared" si="195"/>
        <v>#N/A</v>
      </c>
      <c r="AP235" s="297">
        <f t="shared" si="227"/>
        <v>7</v>
      </c>
      <c r="AQ235" s="298" t="e">
        <f t="shared" si="196"/>
        <v>#N/A</v>
      </c>
      <c r="AR235" s="279" t="e">
        <f t="shared" si="228"/>
        <v>#N/A</v>
      </c>
      <c r="AS235" s="283" t="e">
        <f t="shared" si="197"/>
        <v>#N/A</v>
      </c>
      <c r="AT235" s="284">
        <f t="shared" si="229"/>
        <v>7</v>
      </c>
      <c r="AU235" s="285" t="e">
        <f t="shared" si="230"/>
        <v>#N/A</v>
      </c>
      <c r="AV235" s="286" t="e">
        <f t="shared" si="231"/>
        <v>#N/A</v>
      </c>
      <c r="AW235" s="287" t="e">
        <f t="shared" si="198"/>
        <v>#N/A</v>
      </c>
      <c r="AX235" s="245">
        <f t="shared" si="232"/>
        <v>7</v>
      </c>
      <c r="AY235" s="286" t="e">
        <f t="shared" si="199"/>
        <v>#N/A</v>
      </c>
      <c r="AZ235" s="245" t="e">
        <f t="shared" si="233"/>
        <v>#N/A</v>
      </c>
      <c r="BA235" s="245" t="e">
        <f t="shared" si="200"/>
        <v>#N/A</v>
      </c>
      <c r="BB235" s="288">
        <f t="shared" si="234"/>
        <v>7</v>
      </c>
      <c r="BC235" s="289" t="e">
        <f t="shared" si="235"/>
        <v>#N/A</v>
      </c>
      <c r="BD235" s="290" t="e">
        <f t="shared" si="236"/>
        <v>#N/A</v>
      </c>
      <c r="BE235" s="263" t="e">
        <f t="shared" si="201"/>
        <v>#N/A</v>
      </c>
      <c r="BF235" s="260">
        <f t="shared" si="237"/>
        <v>7</v>
      </c>
      <c r="BG235" s="289" t="e">
        <f t="shared" si="238"/>
        <v>#N/A</v>
      </c>
      <c r="BH235" s="290" t="e">
        <f t="shared" si="239"/>
        <v>#N/A</v>
      </c>
      <c r="BI235" s="263" t="e">
        <f t="shared" si="202"/>
        <v>#N/A</v>
      </c>
      <c r="BJ235" s="264">
        <f t="shared" si="240"/>
        <v>7</v>
      </c>
      <c r="BK235" s="291" t="e">
        <f t="shared" si="241"/>
        <v>#N/A</v>
      </c>
      <c r="BL235" s="291" t="e">
        <f t="shared" si="242"/>
        <v>#N/A</v>
      </c>
      <c r="BM235" s="292" t="e">
        <f t="shared" si="203"/>
        <v>#N/A</v>
      </c>
      <c r="BN235" s="293">
        <f t="shared" si="243"/>
        <v>7</v>
      </c>
      <c r="BO235" s="294" t="e">
        <f t="shared" si="244"/>
        <v>#N/A</v>
      </c>
      <c r="BP235" s="294" t="e">
        <f t="shared" si="245"/>
        <v>#N/A</v>
      </c>
      <c r="BQ235" s="292" t="e">
        <f t="shared" si="204"/>
        <v>#N/A</v>
      </c>
      <c r="BR235" s="295" t="e">
        <f t="shared" si="205"/>
        <v>#N/A</v>
      </c>
      <c r="BS235" s="230" t="e">
        <f>VLOOKUP($B235,SDR22_STOCK_BY_LA!$A$2:$C$11679,3,0)</f>
        <v>#N/A</v>
      </c>
      <c r="BT235" s="230" t="str">
        <f t="shared" si="246"/>
        <v/>
      </c>
    </row>
    <row r="236" spans="1:72" ht="12.5" x14ac:dyDescent="0.25">
      <c r="A236" s="230" t="str">
        <f t="shared" si="247"/>
        <v/>
      </c>
      <c r="B236" s="230" t="str">
        <f t="shared" si="248"/>
        <v/>
      </c>
      <c r="C236" s="296" t="str">
        <f t="shared" si="206"/>
        <v/>
      </c>
      <c r="D236" s="269" t="str">
        <f>IF(B236="","",IF(totals!$Q$3=0,IFERROR(IF(AD236=2,"0",AE236),""),"-"))</f>
        <v/>
      </c>
      <c r="E236" s="271" t="str">
        <f t="shared" si="207"/>
        <v/>
      </c>
      <c r="F236" s="272" t="str">
        <f t="shared" si="208"/>
        <v/>
      </c>
      <c r="G236" s="272" t="str">
        <f t="shared" si="209"/>
        <v/>
      </c>
      <c r="H236" s="269" t="str">
        <f t="shared" si="187"/>
        <v/>
      </c>
      <c r="I236" s="272" t="str">
        <f t="shared" si="210"/>
        <v/>
      </c>
      <c r="J236" s="272" t="str">
        <f t="shared" si="211"/>
        <v/>
      </c>
      <c r="K236" s="269" t="str">
        <f t="shared" si="188"/>
        <v/>
      </c>
      <c r="L236" s="272" t="str">
        <f t="shared" si="189"/>
        <v/>
      </c>
      <c r="M236" s="272" t="str">
        <f t="shared" si="212"/>
        <v/>
      </c>
      <c r="N236" s="269" t="str">
        <f t="shared" si="213"/>
        <v/>
      </c>
      <c r="O236" s="272" t="str">
        <f t="shared" si="214"/>
        <v/>
      </c>
      <c r="P236" s="272" t="str">
        <f t="shared" si="215"/>
        <v/>
      </c>
      <c r="Q236" s="269" t="str">
        <f t="shared" si="216"/>
        <v/>
      </c>
      <c r="R236" s="272" t="str">
        <f t="shared" si="217"/>
        <v/>
      </c>
      <c r="S236" s="272" t="str">
        <f t="shared" si="218"/>
        <v/>
      </c>
      <c r="T236" s="269" t="str">
        <f t="shared" si="219"/>
        <v/>
      </c>
      <c r="U236" s="230"/>
      <c r="V236" s="230"/>
      <c r="AB236" s="230" t="e">
        <f>VLOOKUP($B$6,Lookup_Source,229,0)</f>
        <v>#N/A</v>
      </c>
      <c r="AC236" s="254" t="str">
        <f t="shared" si="220"/>
        <v/>
      </c>
      <c r="AD236" s="255">
        <f t="shared" si="221"/>
        <v>7</v>
      </c>
      <c r="AE236" s="274" t="e">
        <f t="shared" si="190"/>
        <v>#N/A</v>
      </c>
      <c r="AF236" s="277" t="e">
        <f t="shared" si="222"/>
        <v>#N/A</v>
      </c>
      <c r="AG236" s="277" t="e">
        <f t="shared" si="223"/>
        <v>#N/A</v>
      </c>
      <c r="AH236" s="276" t="e">
        <f t="shared" si="191"/>
        <v>#N/A</v>
      </c>
      <c r="AI236" s="239">
        <f t="shared" si="224"/>
        <v>7</v>
      </c>
      <c r="AJ236" s="277" t="e">
        <f t="shared" si="192"/>
        <v>#N/A</v>
      </c>
      <c r="AK236" s="277" t="e">
        <f t="shared" si="225"/>
        <v>#N/A</v>
      </c>
      <c r="AL236" s="239" t="e">
        <f t="shared" si="193"/>
        <v>#N/A</v>
      </c>
      <c r="AM236" s="278" t="e">
        <f t="shared" si="226"/>
        <v>#N/A</v>
      </c>
      <c r="AN236" s="279" t="e">
        <f t="shared" si="194"/>
        <v>#N/A</v>
      </c>
      <c r="AO236" s="240" t="e">
        <f t="shared" si="195"/>
        <v>#N/A</v>
      </c>
      <c r="AP236" s="297">
        <f t="shared" si="227"/>
        <v>7</v>
      </c>
      <c r="AQ236" s="298" t="e">
        <f t="shared" si="196"/>
        <v>#N/A</v>
      </c>
      <c r="AR236" s="279" t="e">
        <f t="shared" si="228"/>
        <v>#N/A</v>
      </c>
      <c r="AS236" s="283" t="e">
        <f t="shared" si="197"/>
        <v>#N/A</v>
      </c>
      <c r="AT236" s="284">
        <f t="shared" si="229"/>
        <v>7</v>
      </c>
      <c r="AU236" s="285" t="e">
        <f t="shared" si="230"/>
        <v>#N/A</v>
      </c>
      <c r="AV236" s="286" t="e">
        <f t="shared" si="231"/>
        <v>#N/A</v>
      </c>
      <c r="AW236" s="287" t="e">
        <f t="shared" si="198"/>
        <v>#N/A</v>
      </c>
      <c r="AX236" s="245">
        <f t="shared" si="232"/>
        <v>7</v>
      </c>
      <c r="AY236" s="286" t="e">
        <f t="shared" si="199"/>
        <v>#N/A</v>
      </c>
      <c r="AZ236" s="245" t="e">
        <f t="shared" si="233"/>
        <v>#N/A</v>
      </c>
      <c r="BA236" s="245" t="e">
        <f t="shared" si="200"/>
        <v>#N/A</v>
      </c>
      <c r="BB236" s="288">
        <f t="shared" si="234"/>
        <v>7</v>
      </c>
      <c r="BC236" s="289" t="e">
        <f t="shared" si="235"/>
        <v>#N/A</v>
      </c>
      <c r="BD236" s="290" t="e">
        <f t="shared" si="236"/>
        <v>#N/A</v>
      </c>
      <c r="BE236" s="263" t="e">
        <f t="shared" si="201"/>
        <v>#N/A</v>
      </c>
      <c r="BF236" s="260">
        <f t="shared" si="237"/>
        <v>7</v>
      </c>
      <c r="BG236" s="289" t="e">
        <f t="shared" si="238"/>
        <v>#N/A</v>
      </c>
      <c r="BH236" s="290" t="e">
        <f t="shared" si="239"/>
        <v>#N/A</v>
      </c>
      <c r="BI236" s="263" t="e">
        <f t="shared" si="202"/>
        <v>#N/A</v>
      </c>
      <c r="BJ236" s="264">
        <f t="shared" si="240"/>
        <v>7</v>
      </c>
      <c r="BK236" s="291" t="e">
        <f t="shared" si="241"/>
        <v>#N/A</v>
      </c>
      <c r="BL236" s="291" t="e">
        <f t="shared" si="242"/>
        <v>#N/A</v>
      </c>
      <c r="BM236" s="292" t="e">
        <f t="shared" si="203"/>
        <v>#N/A</v>
      </c>
      <c r="BN236" s="293">
        <f t="shared" si="243"/>
        <v>7</v>
      </c>
      <c r="BO236" s="294" t="e">
        <f t="shared" si="244"/>
        <v>#N/A</v>
      </c>
      <c r="BP236" s="294" t="e">
        <f t="shared" si="245"/>
        <v>#N/A</v>
      </c>
      <c r="BQ236" s="292" t="e">
        <f t="shared" si="204"/>
        <v>#N/A</v>
      </c>
      <c r="BR236" s="295" t="e">
        <f t="shared" si="205"/>
        <v>#N/A</v>
      </c>
      <c r="BS236" s="230" t="e">
        <f>VLOOKUP($B236,SDR22_STOCK_BY_LA!$A$2:$C$11679,3,0)</f>
        <v>#N/A</v>
      </c>
      <c r="BT236" s="230" t="str">
        <f t="shared" si="246"/>
        <v/>
      </c>
    </row>
    <row r="237" spans="1:72" ht="12.5" x14ac:dyDescent="0.25">
      <c r="A237" s="269" t="str">
        <f t="shared" si="247"/>
        <v/>
      </c>
      <c r="B237" s="230" t="str">
        <f t="shared" si="248"/>
        <v/>
      </c>
      <c r="C237" s="270" t="str">
        <f t="shared" si="206"/>
        <v/>
      </c>
      <c r="D237" s="269" t="str">
        <f>IF(B237="","",IF(totals!$Q$3=0,IFERROR(IF(AD237=2,"0",AE237),""),"-"))</f>
        <v/>
      </c>
      <c r="E237" s="271" t="str">
        <f t="shared" si="207"/>
        <v/>
      </c>
      <c r="F237" s="272" t="str">
        <f t="shared" si="208"/>
        <v/>
      </c>
      <c r="G237" s="272" t="str">
        <f t="shared" si="209"/>
        <v/>
      </c>
      <c r="H237" s="269" t="str">
        <f t="shared" si="187"/>
        <v/>
      </c>
      <c r="I237" s="272" t="str">
        <f t="shared" si="210"/>
        <v/>
      </c>
      <c r="J237" s="272" t="str">
        <f t="shared" si="211"/>
        <v/>
      </c>
      <c r="K237" s="269" t="str">
        <f t="shared" si="188"/>
        <v/>
      </c>
      <c r="L237" s="272" t="str">
        <f t="shared" si="189"/>
        <v/>
      </c>
      <c r="M237" s="272" t="str">
        <f t="shared" si="212"/>
        <v/>
      </c>
      <c r="N237" s="269" t="str">
        <f t="shared" si="213"/>
        <v/>
      </c>
      <c r="O237" s="272" t="str">
        <f t="shared" si="214"/>
        <v/>
      </c>
      <c r="P237" s="272" t="str">
        <f t="shared" si="215"/>
        <v/>
      </c>
      <c r="Q237" s="269" t="str">
        <f t="shared" si="216"/>
        <v/>
      </c>
      <c r="R237" s="272" t="str">
        <f t="shared" si="217"/>
        <v/>
      </c>
      <c r="S237" s="272" t="str">
        <f t="shared" si="218"/>
        <v/>
      </c>
      <c r="T237" s="269" t="str">
        <f t="shared" si="219"/>
        <v/>
      </c>
      <c r="U237" s="230"/>
      <c r="V237" s="230"/>
      <c r="AB237" s="270" t="e">
        <f>VLOOKUP($B$6,Lookup_Source,230,0)</f>
        <v>#N/A</v>
      </c>
      <c r="AC237" s="254" t="str">
        <f t="shared" si="220"/>
        <v/>
      </c>
      <c r="AD237" s="255">
        <f t="shared" si="221"/>
        <v>7</v>
      </c>
      <c r="AE237" s="274" t="e">
        <f t="shared" si="190"/>
        <v>#N/A</v>
      </c>
      <c r="AF237" s="277" t="e">
        <f t="shared" si="222"/>
        <v>#N/A</v>
      </c>
      <c r="AG237" s="277" t="e">
        <f t="shared" si="223"/>
        <v>#N/A</v>
      </c>
      <c r="AH237" s="276" t="e">
        <f t="shared" si="191"/>
        <v>#N/A</v>
      </c>
      <c r="AI237" s="239">
        <f t="shared" si="224"/>
        <v>7</v>
      </c>
      <c r="AJ237" s="277" t="e">
        <f t="shared" si="192"/>
        <v>#N/A</v>
      </c>
      <c r="AK237" s="277" t="e">
        <f t="shared" si="225"/>
        <v>#N/A</v>
      </c>
      <c r="AL237" s="239" t="e">
        <f t="shared" si="193"/>
        <v>#N/A</v>
      </c>
      <c r="AM237" s="278" t="e">
        <f t="shared" si="226"/>
        <v>#N/A</v>
      </c>
      <c r="AN237" s="279" t="e">
        <f t="shared" si="194"/>
        <v>#N/A</v>
      </c>
      <c r="AO237" s="240" t="e">
        <f t="shared" si="195"/>
        <v>#N/A</v>
      </c>
      <c r="AP237" s="297">
        <f t="shared" si="227"/>
        <v>7</v>
      </c>
      <c r="AQ237" s="298" t="e">
        <f t="shared" si="196"/>
        <v>#N/A</v>
      </c>
      <c r="AR237" s="279" t="e">
        <f t="shared" si="228"/>
        <v>#N/A</v>
      </c>
      <c r="AS237" s="283" t="e">
        <f t="shared" si="197"/>
        <v>#N/A</v>
      </c>
      <c r="AT237" s="284">
        <f t="shared" si="229"/>
        <v>7</v>
      </c>
      <c r="AU237" s="285" t="e">
        <f t="shared" si="230"/>
        <v>#N/A</v>
      </c>
      <c r="AV237" s="286" t="e">
        <f t="shared" si="231"/>
        <v>#N/A</v>
      </c>
      <c r="AW237" s="287" t="e">
        <f t="shared" si="198"/>
        <v>#N/A</v>
      </c>
      <c r="AX237" s="245">
        <f t="shared" si="232"/>
        <v>7</v>
      </c>
      <c r="AY237" s="286" t="e">
        <f t="shared" si="199"/>
        <v>#N/A</v>
      </c>
      <c r="AZ237" s="245" t="e">
        <f t="shared" si="233"/>
        <v>#N/A</v>
      </c>
      <c r="BA237" s="245" t="e">
        <f t="shared" si="200"/>
        <v>#N/A</v>
      </c>
      <c r="BB237" s="288">
        <f t="shared" si="234"/>
        <v>7</v>
      </c>
      <c r="BC237" s="289" t="e">
        <f t="shared" si="235"/>
        <v>#N/A</v>
      </c>
      <c r="BD237" s="290" t="e">
        <f t="shared" si="236"/>
        <v>#N/A</v>
      </c>
      <c r="BE237" s="263" t="e">
        <f t="shared" si="201"/>
        <v>#N/A</v>
      </c>
      <c r="BF237" s="260">
        <f t="shared" si="237"/>
        <v>7</v>
      </c>
      <c r="BG237" s="289" t="e">
        <f t="shared" si="238"/>
        <v>#N/A</v>
      </c>
      <c r="BH237" s="290" t="e">
        <f t="shared" si="239"/>
        <v>#N/A</v>
      </c>
      <c r="BI237" s="263" t="e">
        <f t="shared" si="202"/>
        <v>#N/A</v>
      </c>
      <c r="BJ237" s="264">
        <f t="shared" si="240"/>
        <v>7</v>
      </c>
      <c r="BK237" s="291" t="e">
        <f t="shared" si="241"/>
        <v>#N/A</v>
      </c>
      <c r="BL237" s="291" t="e">
        <f t="shared" si="242"/>
        <v>#N/A</v>
      </c>
      <c r="BM237" s="292" t="e">
        <f t="shared" si="203"/>
        <v>#N/A</v>
      </c>
      <c r="BN237" s="293">
        <f t="shared" si="243"/>
        <v>7</v>
      </c>
      <c r="BO237" s="294" t="e">
        <f t="shared" si="244"/>
        <v>#N/A</v>
      </c>
      <c r="BP237" s="294" t="e">
        <f t="shared" si="245"/>
        <v>#N/A</v>
      </c>
      <c r="BQ237" s="292" t="e">
        <f t="shared" si="204"/>
        <v>#N/A</v>
      </c>
      <c r="BR237" s="295" t="e">
        <f t="shared" si="205"/>
        <v>#N/A</v>
      </c>
      <c r="BS237" s="230" t="e">
        <f>VLOOKUP($B237,SDR22_STOCK_BY_LA!$A$2:$C$11679,3,0)</f>
        <v>#N/A</v>
      </c>
      <c r="BT237" s="230" t="str">
        <f t="shared" si="246"/>
        <v/>
      </c>
    </row>
    <row r="238" spans="1:72" ht="12.5" x14ac:dyDescent="0.25">
      <c r="A238" s="230" t="str">
        <f t="shared" si="247"/>
        <v/>
      </c>
      <c r="B238" s="230" t="str">
        <f t="shared" si="248"/>
        <v/>
      </c>
      <c r="C238" s="296" t="str">
        <f t="shared" si="206"/>
        <v/>
      </c>
      <c r="D238" s="269" t="str">
        <f>IF(B238="","",IF(totals!$Q$3=0,IFERROR(IF(AD238=2,"0",AE238),""),"-"))</f>
        <v/>
      </c>
      <c r="E238" s="271" t="str">
        <f t="shared" si="207"/>
        <v/>
      </c>
      <c r="F238" s="272" t="str">
        <f t="shared" si="208"/>
        <v/>
      </c>
      <c r="G238" s="272" t="str">
        <f t="shared" si="209"/>
        <v/>
      </c>
      <c r="H238" s="269" t="str">
        <f t="shared" si="187"/>
        <v/>
      </c>
      <c r="I238" s="272" t="str">
        <f t="shared" si="210"/>
        <v/>
      </c>
      <c r="J238" s="272" t="str">
        <f t="shared" si="211"/>
        <v/>
      </c>
      <c r="K238" s="269" t="str">
        <f t="shared" si="188"/>
        <v/>
      </c>
      <c r="L238" s="272" t="str">
        <f t="shared" si="189"/>
        <v/>
      </c>
      <c r="M238" s="272" t="str">
        <f t="shared" si="212"/>
        <v/>
      </c>
      <c r="N238" s="269" t="str">
        <f t="shared" si="213"/>
        <v/>
      </c>
      <c r="O238" s="272" t="str">
        <f t="shared" si="214"/>
        <v/>
      </c>
      <c r="P238" s="272" t="str">
        <f t="shared" si="215"/>
        <v/>
      </c>
      <c r="Q238" s="269" t="str">
        <f t="shared" si="216"/>
        <v/>
      </c>
      <c r="R238" s="272" t="str">
        <f t="shared" si="217"/>
        <v/>
      </c>
      <c r="S238" s="272" t="str">
        <f t="shared" si="218"/>
        <v/>
      </c>
      <c r="T238" s="269" t="str">
        <f t="shared" si="219"/>
        <v/>
      </c>
      <c r="U238" s="230"/>
      <c r="V238" s="230"/>
      <c r="AB238" s="230" t="e">
        <f>VLOOKUP($B$6,Lookup_Source,231,0)</f>
        <v>#N/A</v>
      </c>
      <c r="AC238" s="254" t="str">
        <f t="shared" si="220"/>
        <v/>
      </c>
      <c r="AD238" s="255">
        <f t="shared" si="221"/>
        <v>7</v>
      </c>
      <c r="AE238" s="274" t="e">
        <f t="shared" si="190"/>
        <v>#N/A</v>
      </c>
      <c r="AF238" s="277" t="e">
        <f t="shared" si="222"/>
        <v>#N/A</v>
      </c>
      <c r="AG238" s="277" t="e">
        <f t="shared" si="223"/>
        <v>#N/A</v>
      </c>
      <c r="AH238" s="276" t="e">
        <f t="shared" si="191"/>
        <v>#N/A</v>
      </c>
      <c r="AI238" s="239">
        <f t="shared" si="224"/>
        <v>7</v>
      </c>
      <c r="AJ238" s="277" t="e">
        <f t="shared" si="192"/>
        <v>#N/A</v>
      </c>
      <c r="AK238" s="277" t="e">
        <f t="shared" si="225"/>
        <v>#N/A</v>
      </c>
      <c r="AL238" s="239" t="e">
        <f t="shared" si="193"/>
        <v>#N/A</v>
      </c>
      <c r="AM238" s="278" t="e">
        <f t="shared" si="226"/>
        <v>#N/A</v>
      </c>
      <c r="AN238" s="279" t="e">
        <f t="shared" si="194"/>
        <v>#N/A</v>
      </c>
      <c r="AO238" s="240" t="e">
        <f t="shared" si="195"/>
        <v>#N/A</v>
      </c>
      <c r="AP238" s="297">
        <f t="shared" si="227"/>
        <v>7</v>
      </c>
      <c r="AQ238" s="298" t="e">
        <f t="shared" si="196"/>
        <v>#N/A</v>
      </c>
      <c r="AR238" s="279" t="e">
        <f t="shared" si="228"/>
        <v>#N/A</v>
      </c>
      <c r="AS238" s="283" t="e">
        <f t="shared" si="197"/>
        <v>#N/A</v>
      </c>
      <c r="AT238" s="284">
        <f t="shared" si="229"/>
        <v>7</v>
      </c>
      <c r="AU238" s="285" t="e">
        <f t="shared" si="230"/>
        <v>#N/A</v>
      </c>
      <c r="AV238" s="286" t="e">
        <f t="shared" si="231"/>
        <v>#N/A</v>
      </c>
      <c r="AW238" s="287" t="e">
        <f t="shared" si="198"/>
        <v>#N/A</v>
      </c>
      <c r="AX238" s="245">
        <f t="shared" si="232"/>
        <v>7</v>
      </c>
      <c r="AY238" s="286" t="e">
        <f t="shared" si="199"/>
        <v>#N/A</v>
      </c>
      <c r="AZ238" s="245" t="e">
        <f t="shared" si="233"/>
        <v>#N/A</v>
      </c>
      <c r="BA238" s="245" t="e">
        <f t="shared" si="200"/>
        <v>#N/A</v>
      </c>
      <c r="BB238" s="288">
        <f t="shared" si="234"/>
        <v>7</v>
      </c>
      <c r="BC238" s="289" t="e">
        <f t="shared" si="235"/>
        <v>#N/A</v>
      </c>
      <c r="BD238" s="290" t="e">
        <f t="shared" si="236"/>
        <v>#N/A</v>
      </c>
      <c r="BE238" s="263" t="e">
        <f t="shared" si="201"/>
        <v>#N/A</v>
      </c>
      <c r="BF238" s="260">
        <f t="shared" si="237"/>
        <v>7</v>
      </c>
      <c r="BG238" s="289" t="e">
        <f t="shared" si="238"/>
        <v>#N/A</v>
      </c>
      <c r="BH238" s="290" t="e">
        <f t="shared" si="239"/>
        <v>#N/A</v>
      </c>
      <c r="BI238" s="263" t="e">
        <f t="shared" si="202"/>
        <v>#N/A</v>
      </c>
      <c r="BJ238" s="264">
        <f t="shared" si="240"/>
        <v>7</v>
      </c>
      <c r="BK238" s="291" t="e">
        <f t="shared" si="241"/>
        <v>#N/A</v>
      </c>
      <c r="BL238" s="291" t="e">
        <f t="shared" si="242"/>
        <v>#N/A</v>
      </c>
      <c r="BM238" s="292" t="e">
        <f t="shared" si="203"/>
        <v>#N/A</v>
      </c>
      <c r="BN238" s="293">
        <f t="shared" si="243"/>
        <v>7</v>
      </c>
      <c r="BO238" s="294" t="e">
        <f t="shared" si="244"/>
        <v>#N/A</v>
      </c>
      <c r="BP238" s="294" t="e">
        <f t="shared" si="245"/>
        <v>#N/A</v>
      </c>
      <c r="BQ238" s="292" t="e">
        <f t="shared" si="204"/>
        <v>#N/A</v>
      </c>
      <c r="BR238" s="295" t="e">
        <f t="shared" si="205"/>
        <v>#N/A</v>
      </c>
      <c r="BS238" s="230" t="e">
        <f>VLOOKUP($B238,SDR22_STOCK_BY_LA!$A$2:$C$11679,3,0)</f>
        <v>#N/A</v>
      </c>
      <c r="BT238" s="230" t="str">
        <f t="shared" si="246"/>
        <v/>
      </c>
    </row>
    <row r="239" spans="1:72" ht="12.5" x14ac:dyDescent="0.25">
      <c r="A239" s="269" t="str">
        <f t="shared" si="247"/>
        <v/>
      </c>
      <c r="B239" s="230" t="str">
        <f t="shared" si="248"/>
        <v/>
      </c>
      <c r="C239" s="270" t="str">
        <f t="shared" si="206"/>
        <v/>
      </c>
      <c r="D239" s="269" t="str">
        <f>IF(B239="","",IF(totals!$Q$3=0,IFERROR(IF(AD239=2,"0",AE239),""),"-"))</f>
        <v/>
      </c>
      <c r="E239" s="271" t="str">
        <f t="shared" si="207"/>
        <v/>
      </c>
      <c r="F239" s="272" t="str">
        <f t="shared" si="208"/>
        <v/>
      </c>
      <c r="G239" s="272" t="str">
        <f t="shared" si="209"/>
        <v/>
      </c>
      <c r="H239" s="269" t="str">
        <f t="shared" si="187"/>
        <v/>
      </c>
      <c r="I239" s="272" t="str">
        <f t="shared" si="210"/>
        <v/>
      </c>
      <c r="J239" s="272" t="str">
        <f t="shared" si="211"/>
        <v/>
      </c>
      <c r="K239" s="269" t="str">
        <f t="shared" si="188"/>
        <v/>
      </c>
      <c r="L239" s="272" t="str">
        <f t="shared" si="189"/>
        <v/>
      </c>
      <c r="M239" s="272" t="str">
        <f t="shared" si="212"/>
        <v/>
      </c>
      <c r="N239" s="269" t="str">
        <f t="shared" si="213"/>
        <v/>
      </c>
      <c r="O239" s="272" t="str">
        <f t="shared" si="214"/>
        <v/>
      </c>
      <c r="P239" s="272" t="str">
        <f t="shared" si="215"/>
        <v/>
      </c>
      <c r="Q239" s="269" t="str">
        <f t="shared" si="216"/>
        <v/>
      </c>
      <c r="R239" s="272" t="str">
        <f t="shared" si="217"/>
        <v/>
      </c>
      <c r="S239" s="272" t="str">
        <f t="shared" si="218"/>
        <v/>
      </c>
      <c r="T239" s="269" t="str">
        <f t="shared" si="219"/>
        <v/>
      </c>
      <c r="U239" s="230"/>
      <c r="V239" s="230"/>
      <c r="AB239" s="270" t="e">
        <f>VLOOKUP($B$6,Lookup_Source,232,0)</f>
        <v>#N/A</v>
      </c>
      <c r="AC239" s="254" t="str">
        <f t="shared" si="220"/>
        <v/>
      </c>
      <c r="AD239" s="255">
        <f t="shared" si="221"/>
        <v>7</v>
      </c>
      <c r="AE239" s="274" t="e">
        <f t="shared" si="190"/>
        <v>#N/A</v>
      </c>
      <c r="AF239" s="277" t="e">
        <f t="shared" si="222"/>
        <v>#N/A</v>
      </c>
      <c r="AG239" s="277" t="e">
        <f t="shared" si="223"/>
        <v>#N/A</v>
      </c>
      <c r="AH239" s="276" t="e">
        <f t="shared" si="191"/>
        <v>#N/A</v>
      </c>
      <c r="AI239" s="239">
        <f t="shared" si="224"/>
        <v>7</v>
      </c>
      <c r="AJ239" s="277" t="e">
        <f t="shared" si="192"/>
        <v>#N/A</v>
      </c>
      <c r="AK239" s="277" t="e">
        <f t="shared" si="225"/>
        <v>#N/A</v>
      </c>
      <c r="AL239" s="239" t="e">
        <f t="shared" si="193"/>
        <v>#N/A</v>
      </c>
      <c r="AM239" s="278" t="e">
        <f t="shared" si="226"/>
        <v>#N/A</v>
      </c>
      <c r="AN239" s="279" t="e">
        <f t="shared" si="194"/>
        <v>#N/A</v>
      </c>
      <c r="AO239" s="240" t="e">
        <f t="shared" si="195"/>
        <v>#N/A</v>
      </c>
      <c r="AP239" s="297">
        <f t="shared" si="227"/>
        <v>7</v>
      </c>
      <c r="AQ239" s="298" t="e">
        <f t="shared" si="196"/>
        <v>#N/A</v>
      </c>
      <c r="AR239" s="279" t="e">
        <f t="shared" si="228"/>
        <v>#N/A</v>
      </c>
      <c r="AS239" s="283" t="e">
        <f t="shared" si="197"/>
        <v>#N/A</v>
      </c>
      <c r="AT239" s="284">
        <f t="shared" si="229"/>
        <v>7</v>
      </c>
      <c r="AU239" s="285" t="e">
        <f t="shared" si="230"/>
        <v>#N/A</v>
      </c>
      <c r="AV239" s="286" t="e">
        <f t="shared" si="231"/>
        <v>#N/A</v>
      </c>
      <c r="AW239" s="287" t="e">
        <f t="shared" si="198"/>
        <v>#N/A</v>
      </c>
      <c r="AX239" s="245">
        <f t="shared" si="232"/>
        <v>7</v>
      </c>
      <c r="AY239" s="286" t="e">
        <f t="shared" si="199"/>
        <v>#N/A</v>
      </c>
      <c r="AZ239" s="245" t="e">
        <f t="shared" si="233"/>
        <v>#N/A</v>
      </c>
      <c r="BA239" s="245" t="e">
        <f t="shared" si="200"/>
        <v>#N/A</v>
      </c>
      <c r="BB239" s="288">
        <f t="shared" si="234"/>
        <v>7</v>
      </c>
      <c r="BC239" s="289" t="e">
        <f t="shared" si="235"/>
        <v>#N/A</v>
      </c>
      <c r="BD239" s="290" t="e">
        <f t="shared" si="236"/>
        <v>#N/A</v>
      </c>
      <c r="BE239" s="263" t="e">
        <f t="shared" si="201"/>
        <v>#N/A</v>
      </c>
      <c r="BF239" s="260">
        <f t="shared" si="237"/>
        <v>7</v>
      </c>
      <c r="BG239" s="289" t="e">
        <f t="shared" si="238"/>
        <v>#N/A</v>
      </c>
      <c r="BH239" s="290" t="e">
        <f t="shared" si="239"/>
        <v>#N/A</v>
      </c>
      <c r="BI239" s="263" t="e">
        <f t="shared" si="202"/>
        <v>#N/A</v>
      </c>
      <c r="BJ239" s="264">
        <f t="shared" si="240"/>
        <v>7</v>
      </c>
      <c r="BK239" s="291" t="e">
        <f t="shared" si="241"/>
        <v>#N/A</v>
      </c>
      <c r="BL239" s="291" t="e">
        <f t="shared" si="242"/>
        <v>#N/A</v>
      </c>
      <c r="BM239" s="292" t="e">
        <f t="shared" si="203"/>
        <v>#N/A</v>
      </c>
      <c r="BN239" s="293">
        <f t="shared" si="243"/>
        <v>7</v>
      </c>
      <c r="BO239" s="294" t="e">
        <f t="shared" si="244"/>
        <v>#N/A</v>
      </c>
      <c r="BP239" s="294" t="e">
        <f t="shared" si="245"/>
        <v>#N/A</v>
      </c>
      <c r="BQ239" s="292" t="e">
        <f t="shared" si="204"/>
        <v>#N/A</v>
      </c>
      <c r="BR239" s="295" t="e">
        <f t="shared" si="205"/>
        <v>#N/A</v>
      </c>
      <c r="BS239" s="230" t="e">
        <f>VLOOKUP($B239,SDR22_STOCK_BY_LA!$A$2:$C$11679,3,0)</f>
        <v>#N/A</v>
      </c>
      <c r="BT239" s="230" t="str">
        <f t="shared" si="246"/>
        <v/>
      </c>
    </row>
    <row r="240" spans="1:72" ht="12.5" x14ac:dyDescent="0.25">
      <c r="A240" s="230" t="str">
        <f t="shared" si="247"/>
        <v/>
      </c>
      <c r="B240" s="230" t="str">
        <f t="shared" si="248"/>
        <v/>
      </c>
      <c r="C240" s="296" t="str">
        <f t="shared" si="206"/>
        <v/>
      </c>
      <c r="D240" s="269" t="str">
        <f>IF(B240="","",IF(totals!$Q$3=0,IFERROR(IF(AD240=2,"0",AE240),""),"-"))</f>
        <v/>
      </c>
      <c r="E240" s="271" t="str">
        <f t="shared" si="207"/>
        <v/>
      </c>
      <c r="F240" s="272" t="str">
        <f t="shared" si="208"/>
        <v/>
      </c>
      <c r="G240" s="272" t="str">
        <f t="shared" si="209"/>
        <v/>
      </c>
      <c r="H240" s="269" t="str">
        <f t="shared" si="187"/>
        <v/>
      </c>
      <c r="I240" s="272" t="str">
        <f t="shared" si="210"/>
        <v/>
      </c>
      <c r="J240" s="272" t="str">
        <f t="shared" si="211"/>
        <v/>
      </c>
      <c r="K240" s="269" t="str">
        <f t="shared" si="188"/>
        <v/>
      </c>
      <c r="L240" s="272" t="str">
        <f t="shared" si="189"/>
        <v/>
      </c>
      <c r="M240" s="272" t="str">
        <f t="shared" si="212"/>
        <v/>
      </c>
      <c r="N240" s="269" t="str">
        <f t="shared" si="213"/>
        <v/>
      </c>
      <c r="O240" s="272" t="str">
        <f t="shared" si="214"/>
        <v/>
      </c>
      <c r="P240" s="272" t="str">
        <f t="shared" si="215"/>
        <v/>
      </c>
      <c r="Q240" s="269" t="str">
        <f t="shared" si="216"/>
        <v/>
      </c>
      <c r="R240" s="272" t="str">
        <f t="shared" si="217"/>
        <v/>
      </c>
      <c r="S240" s="272" t="str">
        <f t="shared" si="218"/>
        <v/>
      </c>
      <c r="T240" s="269" t="str">
        <f t="shared" si="219"/>
        <v/>
      </c>
      <c r="U240" s="230"/>
      <c r="V240" s="230"/>
      <c r="AB240" s="230" t="e">
        <f>VLOOKUP($B$6,Lookup_Source,233,0)</f>
        <v>#N/A</v>
      </c>
      <c r="AC240" s="254" t="str">
        <f t="shared" si="220"/>
        <v/>
      </c>
      <c r="AD240" s="255">
        <f t="shared" si="221"/>
        <v>7</v>
      </c>
      <c r="AE240" s="274" t="e">
        <f t="shared" si="190"/>
        <v>#N/A</v>
      </c>
      <c r="AF240" s="277" t="e">
        <f t="shared" si="222"/>
        <v>#N/A</v>
      </c>
      <c r="AG240" s="277" t="e">
        <f t="shared" si="223"/>
        <v>#N/A</v>
      </c>
      <c r="AH240" s="276" t="e">
        <f t="shared" si="191"/>
        <v>#N/A</v>
      </c>
      <c r="AI240" s="239">
        <f t="shared" si="224"/>
        <v>7</v>
      </c>
      <c r="AJ240" s="277" t="e">
        <f t="shared" si="192"/>
        <v>#N/A</v>
      </c>
      <c r="AK240" s="277" t="e">
        <f t="shared" si="225"/>
        <v>#N/A</v>
      </c>
      <c r="AL240" s="239" t="e">
        <f t="shared" si="193"/>
        <v>#N/A</v>
      </c>
      <c r="AM240" s="278" t="e">
        <f t="shared" si="226"/>
        <v>#N/A</v>
      </c>
      <c r="AN240" s="279" t="e">
        <f t="shared" si="194"/>
        <v>#N/A</v>
      </c>
      <c r="AO240" s="240" t="e">
        <f t="shared" si="195"/>
        <v>#N/A</v>
      </c>
      <c r="AP240" s="297">
        <f t="shared" si="227"/>
        <v>7</v>
      </c>
      <c r="AQ240" s="298" t="e">
        <f t="shared" si="196"/>
        <v>#N/A</v>
      </c>
      <c r="AR240" s="279" t="e">
        <f t="shared" si="228"/>
        <v>#N/A</v>
      </c>
      <c r="AS240" s="283" t="e">
        <f t="shared" si="197"/>
        <v>#N/A</v>
      </c>
      <c r="AT240" s="284">
        <f t="shared" si="229"/>
        <v>7</v>
      </c>
      <c r="AU240" s="285" t="e">
        <f t="shared" si="230"/>
        <v>#N/A</v>
      </c>
      <c r="AV240" s="286" t="e">
        <f t="shared" si="231"/>
        <v>#N/A</v>
      </c>
      <c r="AW240" s="287" t="e">
        <f t="shared" si="198"/>
        <v>#N/A</v>
      </c>
      <c r="AX240" s="245">
        <f t="shared" si="232"/>
        <v>7</v>
      </c>
      <c r="AY240" s="286" t="e">
        <f t="shared" si="199"/>
        <v>#N/A</v>
      </c>
      <c r="AZ240" s="245" t="e">
        <f t="shared" si="233"/>
        <v>#N/A</v>
      </c>
      <c r="BA240" s="245" t="e">
        <f t="shared" si="200"/>
        <v>#N/A</v>
      </c>
      <c r="BB240" s="288">
        <f t="shared" si="234"/>
        <v>7</v>
      </c>
      <c r="BC240" s="289" t="e">
        <f t="shared" si="235"/>
        <v>#N/A</v>
      </c>
      <c r="BD240" s="290" t="e">
        <f t="shared" si="236"/>
        <v>#N/A</v>
      </c>
      <c r="BE240" s="263" t="e">
        <f t="shared" si="201"/>
        <v>#N/A</v>
      </c>
      <c r="BF240" s="260">
        <f t="shared" si="237"/>
        <v>7</v>
      </c>
      <c r="BG240" s="289" t="e">
        <f t="shared" si="238"/>
        <v>#N/A</v>
      </c>
      <c r="BH240" s="290" t="e">
        <f t="shared" si="239"/>
        <v>#N/A</v>
      </c>
      <c r="BI240" s="263" t="e">
        <f t="shared" si="202"/>
        <v>#N/A</v>
      </c>
      <c r="BJ240" s="264">
        <f t="shared" si="240"/>
        <v>7</v>
      </c>
      <c r="BK240" s="291" t="e">
        <f t="shared" si="241"/>
        <v>#N/A</v>
      </c>
      <c r="BL240" s="291" t="e">
        <f t="shared" si="242"/>
        <v>#N/A</v>
      </c>
      <c r="BM240" s="292" t="e">
        <f t="shared" si="203"/>
        <v>#N/A</v>
      </c>
      <c r="BN240" s="293">
        <f t="shared" si="243"/>
        <v>7</v>
      </c>
      <c r="BO240" s="294" t="e">
        <f t="shared" si="244"/>
        <v>#N/A</v>
      </c>
      <c r="BP240" s="294" t="e">
        <f t="shared" si="245"/>
        <v>#N/A</v>
      </c>
      <c r="BQ240" s="292" t="e">
        <f t="shared" si="204"/>
        <v>#N/A</v>
      </c>
      <c r="BR240" s="295" t="e">
        <f t="shared" si="205"/>
        <v>#N/A</v>
      </c>
      <c r="BS240" s="230" t="e">
        <f>VLOOKUP($B240,SDR22_STOCK_BY_LA!$A$2:$C$11679,3,0)</f>
        <v>#N/A</v>
      </c>
      <c r="BT240" s="230" t="str">
        <f t="shared" si="246"/>
        <v/>
      </c>
    </row>
    <row r="241" spans="1:72" ht="12.5" x14ac:dyDescent="0.25">
      <c r="A241" s="269" t="str">
        <f t="shared" si="247"/>
        <v/>
      </c>
      <c r="B241" s="230" t="str">
        <f t="shared" si="248"/>
        <v/>
      </c>
      <c r="C241" s="270" t="str">
        <f t="shared" si="206"/>
        <v/>
      </c>
      <c r="D241" s="269" t="str">
        <f>IF(B241="","",IF(totals!$Q$3=0,IFERROR(IF(AD241=2,"0",AE241),""),"-"))</f>
        <v/>
      </c>
      <c r="E241" s="271" t="str">
        <f t="shared" si="207"/>
        <v/>
      </c>
      <c r="F241" s="272" t="str">
        <f t="shared" si="208"/>
        <v/>
      </c>
      <c r="G241" s="272" t="str">
        <f t="shared" si="209"/>
        <v/>
      </c>
      <c r="H241" s="269" t="str">
        <f t="shared" si="187"/>
        <v/>
      </c>
      <c r="I241" s="272" t="str">
        <f t="shared" si="210"/>
        <v/>
      </c>
      <c r="J241" s="272" t="str">
        <f t="shared" si="211"/>
        <v/>
      </c>
      <c r="K241" s="269" t="str">
        <f t="shared" si="188"/>
        <v/>
      </c>
      <c r="L241" s="272" t="str">
        <f t="shared" si="189"/>
        <v/>
      </c>
      <c r="M241" s="272" t="str">
        <f t="shared" si="212"/>
        <v/>
      </c>
      <c r="N241" s="269" t="str">
        <f t="shared" si="213"/>
        <v/>
      </c>
      <c r="O241" s="272" t="str">
        <f t="shared" si="214"/>
        <v/>
      </c>
      <c r="P241" s="272" t="str">
        <f t="shared" si="215"/>
        <v/>
      </c>
      <c r="Q241" s="269" t="str">
        <f t="shared" si="216"/>
        <v/>
      </c>
      <c r="R241" s="272" t="str">
        <f t="shared" si="217"/>
        <v/>
      </c>
      <c r="S241" s="272" t="str">
        <f t="shared" si="218"/>
        <v/>
      </c>
      <c r="T241" s="269" t="str">
        <f t="shared" si="219"/>
        <v/>
      </c>
      <c r="U241" s="230"/>
      <c r="V241" s="230"/>
      <c r="AB241" s="270" t="e">
        <f>VLOOKUP($B$6,Lookup_Source,234,0)</f>
        <v>#N/A</v>
      </c>
      <c r="AC241" s="254" t="str">
        <f t="shared" si="220"/>
        <v/>
      </c>
      <c r="AD241" s="255">
        <f t="shared" si="221"/>
        <v>7</v>
      </c>
      <c r="AE241" s="274" t="e">
        <f t="shared" si="190"/>
        <v>#N/A</v>
      </c>
      <c r="AF241" s="277" t="e">
        <f t="shared" si="222"/>
        <v>#N/A</v>
      </c>
      <c r="AG241" s="277" t="e">
        <f t="shared" si="223"/>
        <v>#N/A</v>
      </c>
      <c r="AH241" s="276" t="e">
        <f t="shared" si="191"/>
        <v>#N/A</v>
      </c>
      <c r="AI241" s="239">
        <f t="shared" si="224"/>
        <v>7</v>
      </c>
      <c r="AJ241" s="277" t="e">
        <f t="shared" si="192"/>
        <v>#N/A</v>
      </c>
      <c r="AK241" s="277" t="e">
        <f t="shared" si="225"/>
        <v>#N/A</v>
      </c>
      <c r="AL241" s="239" t="e">
        <f t="shared" si="193"/>
        <v>#N/A</v>
      </c>
      <c r="AM241" s="278" t="e">
        <f t="shared" si="226"/>
        <v>#N/A</v>
      </c>
      <c r="AN241" s="279" t="e">
        <f t="shared" si="194"/>
        <v>#N/A</v>
      </c>
      <c r="AO241" s="240" t="e">
        <f t="shared" si="195"/>
        <v>#N/A</v>
      </c>
      <c r="AP241" s="297">
        <f t="shared" si="227"/>
        <v>7</v>
      </c>
      <c r="AQ241" s="298" t="e">
        <f t="shared" si="196"/>
        <v>#N/A</v>
      </c>
      <c r="AR241" s="279" t="e">
        <f t="shared" si="228"/>
        <v>#N/A</v>
      </c>
      <c r="AS241" s="283" t="e">
        <f t="shared" si="197"/>
        <v>#N/A</v>
      </c>
      <c r="AT241" s="284">
        <f t="shared" si="229"/>
        <v>7</v>
      </c>
      <c r="AU241" s="285" t="e">
        <f t="shared" si="230"/>
        <v>#N/A</v>
      </c>
      <c r="AV241" s="286" t="e">
        <f t="shared" si="231"/>
        <v>#N/A</v>
      </c>
      <c r="AW241" s="287" t="e">
        <f t="shared" si="198"/>
        <v>#N/A</v>
      </c>
      <c r="AX241" s="245">
        <f t="shared" si="232"/>
        <v>7</v>
      </c>
      <c r="AY241" s="286" t="e">
        <f t="shared" si="199"/>
        <v>#N/A</v>
      </c>
      <c r="AZ241" s="245" t="e">
        <f t="shared" si="233"/>
        <v>#N/A</v>
      </c>
      <c r="BA241" s="245" t="e">
        <f t="shared" si="200"/>
        <v>#N/A</v>
      </c>
      <c r="BB241" s="288">
        <f t="shared" si="234"/>
        <v>7</v>
      </c>
      <c r="BC241" s="289" t="e">
        <f t="shared" si="235"/>
        <v>#N/A</v>
      </c>
      <c r="BD241" s="290" t="e">
        <f t="shared" si="236"/>
        <v>#N/A</v>
      </c>
      <c r="BE241" s="263" t="e">
        <f t="shared" si="201"/>
        <v>#N/A</v>
      </c>
      <c r="BF241" s="260">
        <f t="shared" si="237"/>
        <v>7</v>
      </c>
      <c r="BG241" s="289" t="e">
        <f t="shared" si="238"/>
        <v>#N/A</v>
      </c>
      <c r="BH241" s="290" t="e">
        <f t="shared" si="239"/>
        <v>#N/A</v>
      </c>
      <c r="BI241" s="263" t="e">
        <f t="shared" si="202"/>
        <v>#N/A</v>
      </c>
      <c r="BJ241" s="264">
        <f t="shared" si="240"/>
        <v>7</v>
      </c>
      <c r="BK241" s="291" t="e">
        <f t="shared" si="241"/>
        <v>#N/A</v>
      </c>
      <c r="BL241" s="291" t="e">
        <f t="shared" si="242"/>
        <v>#N/A</v>
      </c>
      <c r="BM241" s="292" t="e">
        <f t="shared" si="203"/>
        <v>#N/A</v>
      </c>
      <c r="BN241" s="293">
        <f t="shared" si="243"/>
        <v>7</v>
      </c>
      <c r="BO241" s="294" t="e">
        <f t="shared" si="244"/>
        <v>#N/A</v>
      </c>
      <c r="BP241" s="294" t="e">
        <f t="shared" si="245"/>
        <v>#N/A</v>
      </c>
      <c r="BQ241" s="292" t="e">
        <f t="shared" si="204"/>
        <v>#N/A</v>
      </c>
      <c r="BR241" s="295" t="e">
        <f t="shared" si="205"/>
        <v>#N/A</v>
      </c>
      <c r="BS241" s="230" t="e">
        <f>VLOOKUP($B241,SDR22_STOCK_BY_LA!$A$2:$C$11679,3,0)</f>
        <v>#N/A</v>
      </c>
      <c r="BT241" s="230" t="str">
        <f t="shared" si="246"/>
        <v/>
      </c>
    </row>
    <row r="242" spans="1:72" ht="12.5" x14ac:dyDescent="0.25">
      <c r="A242" s="230" t="str">
        <f t="shared" si="247"/>
        <v/>
      </c>
      <c r="B242" s="230" t="str">
        <f t="shared" si="248"/>
        <v/>
      </c>
      <c r="C242" s="296" t="str">
        <f t="shared" si="206"/>
        <v/>
      </c>
      <c r="D242" s="269" t="str">
        <f>IF(B242="","",IF(totals!$Q$3=0,IFERROR(IF(AD242=2,"0",AE242),""),"-"))</f>
        <v/>
      </c>
      <c r="E242" s="271" t="str">
        <f t="shared" si="207"/>
        <v/>
      </c>
      <c r="F242" s="272" t="str">
        <f t="shared" si="208"/>
        <v/>
      </c>
      <c r="G242" s="272" t="str">
        <f t="shared" si="209"/>
        <v/>
      </c>
      <c r="H242" s="269" t="str">
        <f t="shared" si="187"/>
        <v/>
      </c>
      <c r="I242" s="272" t="str">
        <f t="shared" si="210"/>
        <v/>
      </c>
      <c r="J242" s="272" t="str">
        <f t="shared" si="211"/>
        <v/>
      </c>
      <c r="K242" s="269" t="str">
        <f t="shared" si="188"/>
        <v/>
      </c>
      <c r="L242" s="272" t="str">
        <f t="shared" si="189"/>
        <v/>
      </c>
      <c r="M242" s="272" t="str">
        <f t="shared" si="212"/>
        <v/>
      </c>
      <c r="N242" s="269" t="str">
        <f t="shared" si="213"/>
        <v/>
      </c>
      <c r="O242" s="272" t="str">
        <f t="shared" si="214"/>
        <v/>
      </c>
      <c r="P242" s="272" t="str">
        <f t="shared" si="215"/>
        <v/>
      </c>
      <c r="Q242" s="269" t="str">
        <f t="shared" si="216"/>
        <v/>
      </c>
      <c r="R242" s="272" t="str">
        <f t="shared" si="217"/>
        <v/>
      </c>
      <c r="S242" s="272" t="str">
        <f t="shared" si="218"/>
        <v/>
      </c>
      <c r="T242" s="269" t="str">
        <f t="shared" si="219"/>
        <v/>
      </c>
      <c r="U242" s="230"/>
      <c r="V242" s="230"/>
      <c r="AB242" s="230" t="e">
        <f>VLOOKUP($B$6,Lookup_Source,235,0)</f>
        <v>#N/A</v>
      </c>
      <c r="AC242" s="254" t="str">
        <f t="shared" si="220"/>
        <v/>
      </c>
      <c r="AD242" s="255">
        <f t="shared" si="221"/>
        <v>7</v>
      </c>
      <c r="AE242" s="274" t="e">
        <f t="shared" si="190"/>
        <v>#N/A</v>
      </c>
      <c r="AF242" s="277" t="e">
        <f t="shared" si="222"/>
        <v>#N/A</v>
      </c>
      <c r="AG242" s="277" t="e">
        <f t="shared" si="223"/>
        <v>#N/A</v>
      </c>
      <c r="AH242" s="276" t="e">
        <f t="shared" si="191"/>
        <v>#N/A</v>
      </c>
      <c r="AI242" s="239">
        <f t="shared" si="224"/>
        <v>7</v>
      </c>
      <c r="AJ242" s="277" t="e">
        <f t="shared" si="192"/>
        <v>#N/A</v>
      </c>
      <c r="AK242" s="277" t="e">
        <f t="shared" si="225"/>
        <v>#N/A</v>
      </c>
      <c r="AL242" s="239" t="e">
        <f t="shared" si="193"/>
        <v>#N/A</v>
      </c>
      <c r="AM242" s="278" t="e">
        <f t="shared" si="226"/>
        <v>#N/A</v>
      </c>
      <c r="AN242" s="279" t="e">
        <f t="shared" si="194"/>
        <v>#N/A</v>
      </c>
      <c r="AO242" s="240" t="e">
        <f t="shared" si="195"/>
        <v>#N/A</v>
      </c>
      <c r="AP242" s="297">
        <f t="shared" si="227"/>
        <v>7</v>
      </c>
      <c r="AQ242" s="298" t="e">
        <f t="shared" si="196"/>
        <v>#N/A</v>
      </c>
      <c r="AR242" s="279" t="e">
        <f t="shared" si="228"/>
        <v>#N/A</v>
      </c>
      <c r="AS242" s="283" t="e">
        <f t="shared" si="197"/>
        <v>#N/A</v>
      </c>
      <c r="AT242" s="284">
        <f t="shared" si="229"/>
        <v>7</v>
      </c>
      <c r="AU242" s="285" t="e">
        <f t="shared" si="230"/>
        <v>#N/A</v>
      </c>
      <c r="AV242" s="286" t="e">
        <f t="shared" si="231"/>
        <v>#N/A</v>
      </c>
      <c r="AW242" s="287" t="e">
        <f t="shared" si="198"/>
        <v>#N/A</v>
      </c>
      <c r="AX242" s="245">
        <f t="shared" si="232"/>
        <v>7</v>
      </c>
      <c r="AY242" s="286" t="e">
        <f t="shared" si="199"/>
        <v>#N/A</v>
      </c>
      <c r="AZ242" s="245" t="e">
        <f t="shared" si="233"/>
        <v>#N/A</v>
      </c>
      <c r="BA242" s="245" t="e">
        <f t="shared" si="200"/>
        <v>#N/A</v>
      </c>
      <c r="BB242" s="288">
        <f t="shared" si="234"/>
        <v>7</v>
      </c>
      <c r="BC242" s="289" t="e">
        <f t="shared" si="235"/>
        <v>#N/A</v>
      </c>
      <c r="BD242" s="290" t="e">
        <f t="shared" si="236"/>
        <v>#N/A</v>
      </c>
      <c r="BE242" s="263" t="e">
        <f t="shared" si="201"/>
        <v>#N/A</v>
      </c>
      <c r="BF242" s="260">
        <f t="shared" si="237"/>
        <v>7</v>
      </c>
      <c r="BG242" s="289" t="e">
        <f t="shared" si="238"/>
        <v>#N/A</v>
      </c>
      <c r="BH242" s="290" t="e">
        <f t="shared" si="239"/>
        <v>#N/A</v>
      </c>
      <c r="BI242" s="263" t="e">
        <f t="shared" si="202"/>
        <v>#N/A</v>
      </c>
      <c r="BJ242" s="264">
        <f t="shared" si="240"/>
        <v>7</v>
      </c>
      <c r="BK242" s="291" t="e">
        <f t="shared" si="241"/>
        <v>#N/A</v>
      </c>
      <c r="BL242" s="291" t="e">
        <f t="shared" si="242"/>
        <v>#N/A</v>
      </c>
      <c r="BM242" s="292" t="e">
        <f t="shared" si="203"/>
        <v>#N/A</v>
      </c>
      <c r="BN242" s="293">
        <f t="shared" si="243"/>
        <v>7</v>
      </c>
      <c r="BO242" s="294" t="e">
        <f t="shared" si="244"/>
        <v>#N/A</v>
      </c>
      <c r="BP242" s="294" t="e">
        <f t="shared" si="245"/>
        <v>#N/A</v>
      </c>
      <c r="BQ242" s="292" t="e">
        <f t="shared" si="204"/>
        <v>#N/A</v>
      </c>
      <c r="BR242" s="295" t="e">
        <f t="shared" si="205"/>
        <v>#N/A</v>
      </c>
      <c r="BS242" s="230" t="e">
        <f>VLOOKUP($B242,SDR22_STOCK_BY_LA!$A$2:$C$11679,3,0)</f>
        <v>#N/A</v>
      </c>
      <c r="BT242" s="230" t="str">
        <f t="shared" si="246"/>
        <v/>
      </c>
    </row>
    <row r="243" spans="1:72" ht="12.5" x14ac:dyDescent="0.25">
      <c r="A243" s="269" t="str">
        <f t="shared" si="247"/>
        <v/>
      </c>
      <c r="B243" s="230" t="str">
        <f t="shared" si="248"/>
        <v/>
      </c>
      <c r="C243" s="270" t="str">
        <f t="shared" si="206"/>
        <v/>
      </c>
      <c r="D243" s="269" t="str">
        <f>IF(B243="","",IF(totals!$Q$3=0,IFERROR(IF(AD243=2,"0",AE243),""),"-"))</f>
        <v/>
      </c>
      <c r="E243" s="271" t="str">
        <f t="shared" si="207"/>
        <v/>
      </c>
      <c r="F243" s="272" t="str">
        <f t="shared" si="208"/>
        <v/>
      </c>
      <c r="G243" s="272" t="str">
        <f t="shared" si="209"/>
        <v/>
      </c>
      <c r="H243" s="269" t="str">
        <f t="shared" si="187"/>
        <v/>
      </c>
      <c r="I243" s="272" t="str">
        <f t="shared" si="210"/>
        <v/>
      </c>
      <c r="J243" s="272" t="str">
        <f t="shared" si="211"/>
        <v/>
      </c>
      <c r="K243" s="269" t="str">
        <f t="shared" si="188"/>
        <v/>
      </c>
      <c r="L243" s="272" t="str">
        <f t="shared" si="189"/>
        <v/>
      </c>
      <c r="M243" s="272" t="str">
        <f t="shared" si="212"/>
        <v/>
      </c>
      <c r="N243" s="269" t="str">
        <f t="shared" si="213"/>
        <v/>
      </c>
      <c r="O243" s="272" t="str">
        <f t="shared" si="214"/>
        <v/>
      </c>
      <c r="P243" s="272" t="str">
        <f t="shared" si="215"/>
        <v/>
      </c>
      <c r="Q243" s="269" t="str">
        <f t="shared" si="216"/>
        <v/>
      </c>
      <c r="R243" s="272" t="str">
        <f t="shared" si="217"/>
        <v/>
      </c>
      <c r="S243" s="272" t="str">
        <f t="shared" si="218"/>
        <v/>
      </c>
      <c r="T243" s="269" t="str">
        <f t="shared" si="219"/>
        <v/>
      </c>
      <c r="U243" s="230"/>
      <c r="V243" s="230"/>
      <c r="AB243" s="270" t="e">
        <f>VLOOKUP($B$6,Lookup_Source,236,0)</f>
        <v>#N/A</v>
      </c>
      <c r="AC243" s="254" t="str">
        <f t="shared" si="220"/>
        <v/>
      </c>
      <c r="AD243" s="255">
        <f t="shared" si="221"/>
        <v>7</v>
      </c>
      <c r="AE243" s="274" t="e">
        <f t="shared" si="190"/>
        <v>#N/A</v>
      </c>
      <c r="AF243" s="277" t="e">
        <f t="shared" si="222"/>
        <v>#N/A</v>
      </c>
      <c r="AG243" s="277" t="e">
        <f t="shared" si="223"/>
        <v>#N/A</v>
      </c>
      <c r="AH243" s="276" t="e">
        <f t="shared" si="191"/>
        <v>#N/A</v>
      </c>
      <c r="AI243" s="239">
        <f t="shared" si="224"/>
        <v>7</v>
      </c>
      <c r="AJ243" s="277" t="e">
        <f t="shared" si="192"/>
        <v>#N/A</v>
      </c>
      <c r="AK243" s="277" t="e">
        <f t="shared" si="225"/>
        <v>#N/A</v>
      </c>
      <c r="AL243" s="239" t="e">
        <f t="shared" si="193"/>
        <v>#N/A</v>
      </c>
      <c r="AM243" s="278" t="e">
        <f t="shared" si="226"/>
        <v>#N/A</v>
      </c>
      <c r="AN243" s="279" t="e">
        <f t="shared" si="194"/>
        <v>#N/A</v>
      </c>
      <c r="AO243" s="240" t="e">
        <f t="shared" si="195"/>
        <v>#N/A</v>
      </c>
      <c r="AP243" s="297">
        <f t="shared" si="227"/>
        <v>7</v>
      </c>
      <c r="AQ243" s="298" t="e">
        <f t="shared" si="196"/>
        <v>#N/A</v>
      </c>
      <c r="AR243" s="279" t="e">
        <f t="shared" si="228"/>
        <v>#N/A</v>
      </c>
      <c r="AS243" s="283" t="e">
        <f t="shared" si="197"/>
        <v>#N/A</v>
      </c>
      <c r="AT243" s="284">
        <f t="shared" si="229"/>
        <v>7</v>
      </c>
      <c r="AU243" s="285" t="e">
        <f t="shared" si="230"/>
        <v>#N/A</v>
      </c>
      <c r="AV243" s="286" t="e">
        <f t="shared" si="231"/>
        <v>#N/A</v>
      </c>
      <c r="AW243" s="287" t="e">
        <f t="shared" si="198"/>
        <v>#N/A</v>
      </c>
      <c r="AX243" s="245">
        <f t="shared" si="232"/>
        <v>7</v>
      </c>
      <c r="AY243" s="286" t="e">
        <f t="shared" si="199"/>
        <v>#N/A</v>
      </c>
      <c r="AZ243" s="245" t="e">
        <f t="shared" si="233"/>
        <v>#N/A</v>
      </c>
      <c r="BA243" s="245" t="e">
        <f t="shared" si="200"/>
        <v>#N/A</v>
      </c>
      <c r="BB243" s="288">
        <f t="shared" si="234"/>
        <v>7</v>
      </c>
      <c r="BC243" s="289" t="e">
        <f t="shared" si="235"/>
        <v>#N/A</v>
      </c>
      <c r="BD243" s="290" t="e">
        <f t="shared" si="236"/>
        <v>#N/A</v>
      </c>
      <c r="BE243" s="263" t="e">
        <f t="shared" si="201"/>
        <v>#N/A</v>
      </c>
      <c r="BF243" s="260">
        <f t="shared" si="237"/>
        <v>7</v>
      </c>
      <c r="BG243" s="289" t="e">
        <f t="shared" si="238"/>
        <v>#N/A</v>
      </c>
      <c r="BH243" s="290" t="e">
        <f t="shared" si="239"/>
        <v>#N/A</v>
      </c>
      <c r="BI243" s="263" t="e">
        <f t="shared" si="202"/>
        <v>#N/A</v>
      </c>
      <c r="BJ243" s="264">
        <f t="shared" si="240"/>
        <v>7</v>
      </c>
      <c r="BK243" s="291" t="e">
        <f t="shared" si="241"/>
        <v>#N/A</v>
      </c>
      <c r="BL243" s="291" t="e">
        <f t="shared" si="242"/>
        <v>#N/A</v>
      </c>
      <c r="BM243" s="292" t="e">
        <f t="shared" si="203"/>
        <v>#N/A</v>
      </c>
      <c r="BN243" s="293">
        <f t="shared" si="243"/>
        <v>7</v>
      </c>
      <c r="BO243" s="294" t="e">
        <f t="shared" si="244"/>
        <v>#N/A</v>
      </c>
      <c r="BP243" s="294" t="e">
        <f t="shared" si="245"/>
        <v>#N/A</v>
      </c>
      <c r="BQ243" s="292" t="e">
        <f t="shared" si="204"/>
        <v>#N/A</v>
      </c>
      <c r="BR243" s="295" t="e">
        <f t="shared" si="205"/>
        <v>#N/A</v>
      </c>
      <c r="BS243" s="230" t="e">
        <f>VLOOKUP($B243,SDR22_STOCK_BY_LA!$A$2:$C$11679,3,0)</f>
        <v>#N/A</v>
      </c>
      <c r="BT243" s="230" t="str">
        <f t="shared" si="246"/>
        <v/>
      </c>
    </row>
    <row r="244" spans="1:72" ht="12.5" x14ac:dyDescent="0.25">
      <c r="A244" s="230" t="str">
        <f t="shared" si="247"/>
        <v/>
      </c>
      <c r="B244" s="230" t="str">
        <f t="shared" si="248"/>
        <v/>
      </c>
      <c r="C244" s="296" t="str">
        <f t="shared" si="206"/>
        <v/>
      </c>
      <c r="D244" s="269" t="str">
        <f>IF(B244="","",IF(totals!$Q$3=0,IFERROR(IF(AD244=2,"0",AE244),""),"-"))</f>
        <v/>
      </c>
      <c r="E244" s="271" t="str">
        <f t="shared" si="207"/>
        <v/>
      </c>
      <c r="F244" s="272" t="str">
        <f t="shared" si="208"/>
        <v/>
      </c>
      <c r="G244" s="272" t="str">
        <f t="shared" si="209"/>
        <v/>
      </c>
      <c r="H244" s="269" t="str">
        <f t="shared" si="187"/>
        <v/>
      </c>
      <c r="I244" s="272" t="str">
        <f t="shared" si="210"/>
        <v/>
      </c>
      <c r="J244" s="272" t="str">
        <f t="shared" si="211"/>
        <v/>
      </c>
      <c r="K244" s="269" t="str">
        <f t="shared" si="188"/>
        <v/>
      </c>
      <c r="L244" s="272" t="str">
        <f t="shared" si="189"/>
        <v/>
      </c>
      <c r="M244" s="272" t="str">
        <f t="shared" si="212"/>
        <v/>
      </c>
      <c r="N244" s="269" t="str">
        <f t="shared" si="213"/>
        <v/>
      </c>
      <c r="O244" s="272" t="str">
        <f t="shared" si="214"/>
        <v/>
      </c>
      <c r="P244" s="272" t="str">
        <f t="shared" si="215"/>
        <v/>
      </c>
      <c r="Q244" s="269" t="str">
        <f t="shared" si="216"/>
        <v/>
      </c>
      <c r="R244" s="272" t="str">
        <f t="shared" si="217"/>
        <v/>
      </c>
      <c r="S244" s="272" t="str">
        <f t="shared" si="218"/>
        <v/>
      </c>
      <c r="T244" s="269" t="str">
        <f t="shared" si="219"/>
        <v/>
      </c>
      <c r="U244" s="230"/>
      <c r="V244" s="230"/>
      <c r="AB244" s="230" t="e">
        <f>VLOOKUP($B$6,Lookup_Source,237,0)</f>
        <v>#N/A</v>
      </c>
      <c r="AC244" s="254" t="str">
        <f t="shared" si="220"/>
        <v/>
      </c>
      <c r="AD244" s="255">
        <f t="shared" si="221"/>
        <v>7</v>
      </c>
      <c r="AE244" s="274" t="e">
        <f t="shared" si="190"/>
        <v>#N/A</v>
      </c>
      <c r="AF244" s="277" t="e">
        <f t="shared" si="222"/>
        <v>#N/A</v>
      </c>
      <c r="AG244" s="277" t="e">
        <f t="shared" si="223"/>
        <v>#N/A</v>
      </c>
      <c r="AH244" s="276" t="e">
        <f t="shared" si="191"/>
        <v>#N/A</v>
      </c>
      <c r="AI244" s="239">
        <f t="shared" si="224"/>
        <v>7</v>
      </c>
      <c r="AJ244" s="277" t="e">
        <f t="shared" si="192"/>
        <v>#N/A</v>
      </c>
      <c r="AK244" s="277" t="e">
        <f t="shared" si="225"/>
        <v>#N/A</v>
      </c>
      <c r="AL244" s="239" t="e">
        <f t="shared" si="193"/>
        <v>#N/A</v>
      </c>
      <c r="AM244" s="278" t="e">
        <f t="shared" si="226"/>
        <v>#N/A</v>
      </c>
      <c r="AN244" s="279" t="e">
        <f t="shared" si="194"/>
        <v>#N/A</v>
      </c>
      <c r="AO244" s="240" t="e">
        <f t="shared" si="195"/>
        <v>#N/A</v>
      </c>
      <c r="AP244" s="297">
        <f t="shared" si="227"/>
        <v>7</v>
      </c>
      <c r="AQ244" s="298" t="e">
        <f t="shared" si="196"/>
        <v>#N/A</v>
      </c>
      <c r="AR244" s="279" t="e">
        <f t="shared" si="228"/>
        <v>#N/A</v>
      </c>
      <c r="AS244" s="283" t="e">
        <f t="shared" si="197"/>
        <v>#N/A</v>
      </c>
      <c r="AT244" s="284">
        <f t="shared" si="229"/>
        <v>7</v>
      </c>
      <c r="AU244" s="285" t="e">
        <f t="shared" si="230"/>
        <v>#N/A</v>
      </c>
      <c r="AV244" s="286" t="e">
        <f t="shared" si="231"/>
        <v>#N/A</v>
      </c>
      <c r="AW244" s="287" t="e">
        <f t="shared" si="198"/>
        <v>#N/A</v>
      </c>
      <c r="AX244" s="245">
        <f t="shared" si="232"/>
        <v>7</v>
      </c>
      <c r="AY244" s="286" t="e">
        <f t="shared" si="199"/>
        <v>#N/A</v>
      </c>
      <c r="AZ244" s="245" t="e">
        <f t="shared" si="233"/>
        <v>#N/A</v>
      </c>
      <c r="BA244" s="245" t="e">
        <f t="shared" si="200"/>
        <v>#N/A</v>
      </c>
      <c r="BB244" s="288">
        <f t="shared" si="234"/>
        <v>7</v>
      </c>
      <c r="BC244" s="289" t="e">
        <f t="shared" si="235"/>
        <v>#N/A</v>
      </c>
      <c r="BD244" s="290" t="e">
        <f t="shared" si="236"/>
        <v>#N/A</v>
      </c>
      <c r="BE244" s="263" t="e">
        <f t="shared" si="201"/>
        <v>#N/A</v>
      </c>
      <c r="BF244" s="260">
        <f t="shared" si="237"/>
        <v>7</v>
      </c>
      <c r="BG244" s="289" t="e">
        <f t="shared" si="238"/>
        <v>#N/A</v>
      </c>
      <c r="BH244" s="290" t="e">
        <f t="shared" si="239"/>
        <v>#N/A</v>
      </c>
      <c r="BI244" s="263" t="e">
        <f t="shared" si="202"/>
        <v>#N/A</v>
      </c>
      <c r="BJ244" s="264">
        <f t="shared" si="240"/>
        <v>7</v>
      </c>
      <c r="BK244" s="291" t="e">
        <f t="shared" si="241"/>
        <v>#N/A</v>
      </c>
      <c r="BL244" s="291" t="e">
        <f t="shared" si="242"/>
        <v>#N/A</v>
      </c>
      <c r="BM244" s="292" t="e">
        <f t="shared" si="203"/>
        <v>#N/A</v>
      </c>
      <c r="BN244" s="293">
        <f t="shared" si="243"/>
        <v>7</v>
      </c>
      <c r="BO244" s="294" t="e">
        <f t="shared" si="244"/>
        <v>#N/A</v>
      </c>
      <c r="BP244" s="294" t="e">
        <f t="shared" si="245"/>
        <v>#N/A</v>
      </c>
      <c r="BQ244" s="292" t="e">
        <f t="shared" si="204"/>
        <v>#N/A</v>
      </c>
      <c r="BR244" s="295" t="e">
        <f t="shared" si="205"/>
        <v>#N/A</v>
      </c>
      <c r="BS244" s="230" t="e">
        <f>VLOOKUP($B244,SDR22_STOCK_BY_LA!$A$2:$C$11679,3,0)</f>
        <v>#N/A</v>
      </c>
      <c r="BT244" s="230" t="str">
        <f t="shared" si="246"/>
        <v/>
      </c>
    </row>
    <row r="245" spans="1:72" ht="12.5" x14ac:dyDescent="0.25">
      <c r="A245" s="269" t="str">
        <f t="shared" si="247"/>
        <v/>
      </c>
      <c r="B245" s="230" t="str">
        <f t="shared" si="248"/>
        <v/>
      </c>
      <c r="C245" s="270" t="str">
        <f t="shared" si="206"/>
        <v/>
      </c>
      <c r="D245" s="269" t="str">
        <f>IF(B245="","",IF(totals!$Q$3=0,IFERROR(IF(AD245=2,"0",AE245),""),"-"))</f>
        <v/>
      </c>
      <c r="E245" s="271" t="str">
        <f t="shared" si="207"/>
        <v/>
      </c>
      <c r="F245" s="272" t="str">
        <f t="shared" si="208"/>
        <v/>
      </c>
      <c r="G245" s="272" t="str">
        <f t="shared" si="209"/>
        <v/>
      </c>
      <c r="H245" s="269" t="str">
        <f t="shared" si="187"/>
        <v/>
      </c>
      <c r="I245" s="272" t="str">
        <f t="shared" si="210"/>
        <v/>
      </c>
      <c r="J245" s="272" t="str">
        <f t="shared" si="211"/>
        <v/>
      </c>
      <c r="K245" s="269" t="str">
        <f t="shared" si="188"/>
        <v/>
      </c>
      <c r="L245" s="272" t="str">
        <f t="shared" si="189"/>
        <v/>
      </c>
      <c r="M245" s="272" t="str">
        <f t="shared" si="212"/>
        <v/>
      </c>
      <c r="N245" s="269" t="str">
        <f t="shared" si="213"/>
        <v/>
      </c>
      <c r="O245" s="272" t="str">
        <f t="shared" si="214"/>
        <v/>
      </c>
      <c r="P245" s="272" t="str">
        <f t="shared" si="215"/>
        <v/>
      </c>
      <c r="Q245" s="269" t="str">
        <f t="shared" si="216"/>
        <v/>
      </c>
      <c r="R245" s="272" t="str">
        <f t="shared" si="217"/>
        <v/>
      </c>
      <c r="S245" s="272" t="str">
        <f t="shared" si="218"/>
        <v/>
      </c>
      <c r="T245" s="269" t="str">
        <f t="shared" si="219"/>
        <v/>
      </c>
      <c r="U245" s="230"/>
      <c r="V245" s="230"/>
      <c r="AB245" s="270" t="e">
        <f>VLOOKUP($B$6,Lookup_Source,238,0)</f>
        <v>#N/A</v>
      </c>
      <c r="AC245" s="254" t="str">
        <f t="shared" si="220"/>
        <v/>
      </c>
      <c r="AD245" s="255">
        <f t="shared" si="221"/>
        <v>7</v>
      </c>
      <c r="AE245" s="274" t="e">
        <f t="shared" si="190"/>
        <v>#N/A</v>
      </c>
      <c r="AF245" s="277" t="e">
        <f t="shared" si="222"/>
        <v>#N/A</v>
      </c>
      <c r="AG245" s="277" t="e">
        <f t="shared" si="223"/>
        <v>#N/A</v>
      </c>
      <c r="AH245" s="276" t="e">
        <f t="shared" si="191"/>
        <v>#N/A</v>
      </c>
      <c r="AI245" s="239">
        <f t="shared" si="224"/>
        <v>7</v>
      </c>
      <c r="AJ245" s="277" t="e">
        <f t="shared" si="192"/>
        <v>#N/A</v>
      </c>
      <c r="AK245" s="277" t="e">
        <f t="shared" si="225"/>
        <v>#N/A</v>
      </c>
      <c r="AL245" s="239" t="e">
        <f t="shared" si="193"/>
        <v>#N/A</v>
      </c>
      <c r="AM245" s="278" t="e">
        <f t="shared" si="226"/>
        <v>#N/A</v>
      </c>
      <c r="AN245" s="279" t="e">
        <f t="shared" si="194"/>
        <v>#N/A</v>
      </c>
      <c r="AO245" s="240" t="e">
        <f t="shared" si="195"/>
        <v>#N/A</v>
      </c>
      <c r="AP245" s="297">
        <f t="shared" si="227"/>
        <v>7</v>
      </c>
      <c r="AQ245" s="298" t="e">
        <f t="shared" si="196"/>
        <v>#N/A</v>
      </c>
      <c r="AR245" s="279" t="e">
        <f t="shared" si="228"/>
        <v>#N/A</v>
      </c>
      <c r="AS245" s="283" t="e">
        <f t="shared" si="197"/>
        <v>#N/A</v>
      </c>
      <c r="AT245" s="284">
        <f t="shared" si="229"/>
        <v>7</v>
      </c>
      <c r="AU245" s="285" t="e">
        <f t="shared" si="230"/>
        <v>#N/A</v>
      </c>
      <c r="AV245" s="286" t="e">
        <f t="shared" si="231"/>
        <v>#N/A</v>
      </c>
      <c r="AW245" s="287" t="e">
        <f t="shared" si="198"/>
        <v>#N/A</v>
      </c>
      <c r="AX245" s="245">
        <f t="shared" si="232"/>
        <v>7</v>
      </c>
      <c r="AY245" s="286" t="e">
        <f t="shared" si="199"/>
        <v>#N/A</v>
      </c>
      <c r="AZ245" s="245" t="e">
        <f t="shared" si="233"/>
        <v>#N/A</v>
      </c>
      <c r="BA245" s="245" t="e">
        <f t="shared" si="200"/>
        <v>#N/A</v>
      </c>
      <c r="BB245" s="288">
        <f t="shared" si="234"/>
        <v>7</v>
      </c>
      <c r="BC245" s="289" t="e">
        <f t="shared" si="235"/>
        <v>#N/A</v>
      </c>
      <c r="BD245" s="290" t="e">
        <f t="shared" si="236"/>
        <v>#N/A</v>
      </c>
      <c r="BE245" s="263" t="e">
        <f t="shared" si="201"/>
        <v>#N/A</v>
      </c>
      <c r="BF245" s="260">
        <f t="shared" si="237"/>
        <v>7</v>
      </c>
      <c r="BG245" s="289" t="e">
        <f t="shared" si="238"/>
        <v>#N/A</v>
      </c>
      <c r="BH245" s="290" t="e">
        <f t="shared" si="239"/>
        <v>#N/A</v>
      </c>
      <c r="BI245" s="263" t="e">
        <f t="shared" si="202"/>
        <v>#N/A</v>
      </c>
      <c r="BJ245" s="264">
        <f t="shared" si="240"/>
        <v>7</v>
      </c>
      <c r="BK245" s="291" t="e">
        <f t="shared" si="241"/>
        <v>#N/A</v>
      </c>
      <c r="BL245" s="291" t="e">
        <f t="shared" si="242"/>
        <v>#N/A</v>
      </c>
      <c r="BM245" s="292" t="e">
        <f t="shared" si="203"/>
        <v>#N/A</v>
      </c>
      <c r="BN245" s="293">
        <f t="shared" si="243"/>
        <v>7</v>
      </c>
      <c r="BO245" s="294" t="e">
        <f t="shared" si="244"/>
        <v>#N/A</v>
      </c>
      <c r="BP245" s="294" t="e">
        <f t="shared" si="245"/>
        <v>#N/A</v>
      </c>
      <c r="BQ245" s="292" t="e">
        <f t="shared" si="204"/>
        <v>#N/A</v>
      </c>
      <c r="BR245" s="295" t="e">
        <f t="shared" si="205"/>
        <v>#N/A</v>
      </c>
      <c r="BS245" s="230" t="e">
        <f>VLOOKUP($B245,SDR22_STOCK_BY_LA!$A$2:$C$11679,3,0)</f>
        <v>#N/A</v>
      </c>
      <c r="BT245" s="230" t="str">
        <f t="shared" si="246"/>
        <v/>
      </c>
    </row>
    <row r="246" spans="1:72" ht="12.5" x14ac:dyDescent="0.25">
      <c r="A246" s="230" t="str">
        <f t="shared" si="247"/>
        <v/>
      </c>
      <c r="B246" s="230" t="str">
        <f t="shared" si="248"/>
        <v/>
      </c>
      <c r="C246" s="296" t="str">
        <f t="shared" si="206"/>
        <v/>
      </c>
      <c r="D246" s="269" t="str">
        <f>IF(B246="","",IF(totals!$Q$3=0,IFERROR(IF(AD246=2,"0",AE246),""),"-"))</f>
        <v/>
      </c>
      <c r="E246" s="271" t="str">
        <f t="shared" si="207"/>
        <v/>
      </c>
      <c r="F246" s="272" t="str">
        <f t="shared" si="208"/>
        <v/>
      </c>
      <c r="G246" s="272" t="str">
        <f t="shared" si="209"/>
        <v/>
      </c>
      <c r="H246" s="269" t="str">
        <f t="shared" si="187"/>
        <v/>
      </c>
      <c r="I246" s="272" t="str">
        <f t="shared" si="210"/>
        <v/>
      </c>
      <c r="J246" s="272" t="str">
        <f t="shared" si="211"/>
        <v/>
      </c>
      <c r="K246" s="269" t="str">
        <f t="shared" si="188"/>
        <v/>
      </c>
      <c r="L246" s="272" t="str">
        <f t="shared" si="189"/>
        <v/>
      </c>
      <c r="M246" s="272" t="str">
        <f t="shared" si="212"/>
        <v/>
      </c>
      <c r="N246" s="269" t="str">
        <f t="shared" si="213"/>
        <v/>
      </c>
      <c r="O246" s="272" t="str">
        <f t="shared" si="214"/>
        <v/>
      </c>
      <c r="P246" s="272" t="str">
        <f t="shared" si="215"/>
        <v/>
      </c>
      <c r="Q246" s="269" t="str">
        <f t="shared" si="216"/>
        <v/>
      </c>
      <c r="R246" s="272" t="str">
        <f t="shared" si="217"/>
        <v/>
      </c>
      <c r="S246" s="272" t="str">
        <f t="shared" si="218"/>
        <v/>
      </c>
      <c r="T246" s="269" t="str">
        <f t="shared" si="219"/>
        <v/>
      </c>
      <c r="U246" s="230"/>
      <c r="V246" s="230"/>
      <c r="AB246" s="230" t="e">
        <f>VLOOKUP($B$6,Lookup_Source,239,0)</f>
        <v>#N/A</v>
      </c>
      <c r="AC246" s="254" t="str">
        <f t="shared" si="220"/>
        <v/>
      </c>
      <c r="AD246" s="255">
        <f t="shared" si="221"/>
        <v>7</v>
      </c>
      <c r="AE246" s="274" t="e">
        <f t="shared" si="190"/>
        <v>#N/A</v>
      </c>
      <c r="AF246" s="277" t="e">
        <f t="shared" si="222"/>
        <v>#N/A</v>
      </c>
      <c r="AG246" s="277" t="e">
        <f t="shared" si="223"/>
        <v>#N/A</v>
      </c>
      <c r="AH246" s="276" t="e">
        <f t="shared" si="191"/>
        <v>#N/A</v>
      </c>
      <c r="AI246" s="239">
        <f t="shared" si="224"/>
        <v>7</v>
      </c>
      <c r="AJ246" s="277" t="e">
        <f t="shared" si="192"/>
        <v>#N/A</v>
      </c>
      <c r="AK246" s="277" t="e">
        <f t="shared" si="225"/>
        <v>#N/A</v>
      </c>
      <c r="AL246" s="239" t="e">
        <f t="shared" si="193"/>
        <v>#N/A</v>
      </c>
      <c r="AM246" s="278" t="e">
        <f t="shared" si="226"/>
        <v>#N/A</v>
      </c>
      <c r="AN246" s="279" t="e">
        <f t="shared" si="194"/>
        <v>#N/A</v>
      </c>
      <c r="AO246" s="240" t="e">
        <f t="shared" si="195"/>
        <v>#N/A</v>
      </c>
      <c r="AP246" s="297">
        <f t="shared" si="227"/>
        <v>7</v>
      </c>
      <c r="AQ246" s="298" t="e">
        <f t="shared" si="196"/>
        <v>#N/A</v>
      </c>
      <c r="AR246" s="279" t="e">
        <f t="shared" si="228"/>
        <v>#N/A</v>
      </c>
      <c r="AS246" s="283" t="e">
        <f t="shared" si="197"/>
        <v>#N/A</v>
      </c>
      <c r="AT246" s="284">
        <f t="shared" si="229"/>
        <v>7</v>
      </c>
      <c r="AU246" s="285" t="e">
        <f t="shared" si="230"/>
        <v>#N/A</v>
      </c>
      <c r="AV246" s="286" t="e">
        <f t="shared" si="231"/>
        <v>#N/A</v>
      </c>
      <c r="AW246" s="287" t="e">
        <f t="shared" si="198"/>
        <v>#N/A</v>
      </c>
      <c r="AX246" s="245">
        <f t="shared" si="232"/>
        <v>7</v>
      </c>
      <c r="AY246" s="286" t="e">
        <f t="shared" si="199"/>
        <v>#N/A</v>
      </c>
      <c r="AZ246" s="245" t="e">
        <f t="shared" si="233"/>
        <v>#N/A</v>
      </c>
      <c r="BA246" s="245" t="e">
        <f t="shared" si="200"/>
        <v>#N/A</v>
      </c>
      <c r="BB246" s="288">
        <f t="shared" si="234"/>
        <v>7</v>
      </c>
      <c r="BC246" s="289" t="e">
        <f t="shared" si="235"/>
        <v>#N/A</v>
      </c>
      <c r="BD246" s="290" t="e">
        <f t="shared" si="236"/>
        <v>#N/A</v>
      </c>
      <c r="BE246" s="263" t="e">
        <f t="shared" si="201"/>
        <v>#N/A</v>
      </c>
      <c r="BF246" s="260">
        <f t="shared" si="237"/>
        <v>7</v>
      </c>
      <c r="BG246" s="289" t="e">
        <f t="shared" si="238"/>
        <v>#N/A</v>
      </c>
      <c r="BH246" s="290" t="e">
        <f t="shared" si="239"/>
        <v>#N/A</v>
      </c>
      <c r="BI246" s="263" t="e">
        <f t="shared" si="202"/>
        <v>#N/A</v>
      </c>
      <c r="BJ246" s="264">
        <f t="shared" si="240"/>
        <v>7</v>
      </c>
      <c r="BK246" s="291" t="e">
        <f t="shared" si="241"/>
        <v>#N/A</v>
      </c>
      <c r="BL246" s="291" t="e">
        <f t="shared" si="242"/>
        <v>#N/A</v>
      </c>
      <c r="BM246" s="292" t="e">
        <f t="shared" si="203"/>
        <v>#N/A</v>
      </c>
      <c r="BN246" s="293">
        <f t="shared" si="243"/>
        <v>7</v>
      </c>
      <c r="BO246" s="294" t="e">
        <f t="shared" si="244"/>
        <v>#N/A</v>
      </c>
      <c r="BP246" s="294" t="e">
        <f t="shared" si="245"/>
        <v>#N/A</v>
      </c>
      <c r="BQ246" s="292" t="e">
        <f t="shared" si="204"/>
        <v>#N/A</v>
      </c>
      <c r="BR246" s="295" t="e">
        <f t="shared" si="205"/>
        <v>#N/A</v>
      </c>
      <c r="BS246" s="230" t="e">
        <f>VLOOKUP($B246,SDR22_STOCK_BY_LA!$A$2:$C$11679,3,0)</f>
        <v>#N/A</v>
      </c>
      <c r="BT246" s="230" t="str">
        <f t="shared" si="246"/>
        <v/>
      </c>
    </row>
    <row r="247" spans="1:72" ht="12.5" x14ac:dyDescent="0.25">
      <c r="A247" s="269" t="str">
        <f t="shared" si="247"/>
        <v/>
      </c>
      <c r="B247" s="230" t="str">
        <f t="shared" si="248"/>
        <v/>
      </c>
      <c r="C247" s="270" t="str">
        <f t="shared" si="206"/>
        <v/>
      </c>
      <c r="D247" s="269" t="str">
        <f>IF(B247="","",IF(totals!$Q$3=0,IFERROR(IF(AD247=2,"0",AE247),""),"-"))</f>
        <v/>
      </c>
      <c r="E247" s="271" t="str">
        <f t="shared" si="207"/>
        <v/>
      </c>
      <c r="F247" s="272" t="str">
        <f t="shared" si="208"/>
        <v/>
      </c>
      <c r="G247" s="272" t="str">
        <f t="shared" si="209"/>
        <v/>
      </c>
      <c r="H247" s="269" t="str">
        <f t="shared" si="187"/>
        <v/>
      </c>
      <c r="I247" s="272" t="str">
        <f t="shared" si="210"/>
        <v/>
      </c>
      <c r="J247" s="272" t="str">
        <f t="shared" si="211"/>
        <v/>
      </c>
      <c r="K247" s="269" t="str">
        <f t="shared" si="188"/>
        <v/>
      </c>
      <c r="L247" s="272" t="str">
        <f t="shared" si="189"/>
        <v/>
      </c>
      <c r="M247" s="272" t="str">
        <f t="shared" si="212"/>
        <v/>
      </c>
      <c r="N247" s="269" t="str">
        <f t="shared" si="213"/>
        <v/>
      </c>
      <c r="O247" s="272" t="str">
        <f t="shared" si="214"/>
        <v/>
      </c>
      <c r="P247" s="272" t="str">
        <f t="shared" si="215"/>
        <v/>
      </c>
      <c r="Q247" s="269" t="str">
        <f t="shared" si="216"/>
        <v/>
      </c>
      <c r="R247" s="272" t="str">
        <f t="shared" si="217"/>
        <v/>
      </c>
      <c r="S247" s="272" t="str">
        <f t="shared" si="218"/>
        <v/>
      </c>
      <c r="T247" s="269" t="str">
        <f t="shared" si="219"/>
        <v/>
      </c>
      <c r="U247" s="230"/>
      <c r="V247" s="230"/>
      <c r="AB247" s="270" t="e">
        <f>VLOOKUP($B$6,Lookup_Source,240,0)</f>
        <v>#N/A</v>
      </c>
      <c r="AC247" s="254" t="str">
        <f t="shared" si="220"/>
        <v/>
      </c>
      <c r="AD247" s="255">
        <f t="shared" si="221"/>
        <v>7</v>
      </c>
      <c r="AE247" s="274" t="e">
        <f t="shared" si="190"/>
        <v>#N/A</v>
      </c>
      <c r="AF247" s="277" t="e">
        <f t="shared" si="222"/>
        <v>#N/A</v>
      </c>
      <c r="AG247" s="277" t="e">
        <f t="shared" si="223"/>
        <v>#N/A</v>
      </c>
      <c r="AH247" s="276" t="e">
        <f t="shared" si="191"/>
        <v>#N/A</v>
      </c>
      <c r="AI247" s="239">
        <f t="shared" si="224"/>
        <v>7</v>
      </c>
      <c r="AJ247" s="277" t="e">
        <f t="shared" si="192"/>
        <v>#N/A</v>
      </c>
      <c r="AK247" s="277" t="e">
        <f t="shared" si="225"/>
        <v>#N/A</v>
      </c>
      <c r="AL247" s="239" t="e">
        <f t="shared" si="193"/>
        <v>#N/A</v>
      </c>
      <c r="AM247" s="278" t="e">
        <f t="shared" si="226"/>
        <v>#N/A</v>
      </c>
      <c r="AN247" s="279" t="e">
        <f t="shared" si="194"/>
        <v>#N/A</v>
      </c>
      <c r="AO247" s="240" t="e">
        <f t="shared" si="195"/>
        <v>#N/A</v>
      </c>
      <c r="AP247" s="297">
        <f t="shared" si="227"/>
        <v>7</v>
      </c>
      <c r="AQ247" s="298" t="e">
        <f t="shared" si="196"/>
        <v>#N/A</v>
      </c>
      <c r="AR247" s="279" t="e">
        <f t="shared" si="228"/>
        <v>#N/A</v>
      </c>
      <c r="AS247" s="283" t="e">
        <f t="shared" si="197"/>
        <v>#N/A</v>
      </c>
      <c r="AT247" s="284">
        <f t="shared" si="229"/>
        <v>7</v>
      </c>
      <c r="AU247" s="285" t="e">
        <f t="shared" si="230"/>
        <v>#N/A</v>
      </c>
      <c r="AV247" s="286" t="e">
        <f t="shared" si="231"/>
        <v>#N/A</v>
      </c>
      <c r="AW247" s="287" t="e">
        <f t="shared" si="198"/>
        <v>#N/A</v>
      </c>
      <c r="AX247" s="245">
        <f t="shared" si="232"/>
        <v>7</v>
      </c>
      <c r="AY247" s="286" t="e">
        <f t="shared" si="199"/>
        <v>#N/A</v>
      </c>
      <c r="AZ247" s="245" t="e">
        <f t="shared" si="233"/>
        <v>#N/A</v>
      </c>
      <c r="BA247" s="245" t="e">
        <f t="shared" si="200"/>
        <v>#N/A</v>
      </c>
      <c r="BB247" s="288">
        <f t="shared" si="234"/>
        <v>7</v>
      </c>
      <c r="BC247" s="289" t="e">
        <f t="shared" si="235"/>
        <v>#N/A</v>
      </c>
      <c r="BD247" s="290" t="e">
        <f t="shared" si="236"/>
        <v>#N/A</v>
      </c>
      <c r="BE247" s="263" t="e">
        <f t="shared" si="201"/>
        <v>#N/A</v>
      </c>
      <c r="BF247" s="260">
        <f t="shared" si="237"/>
        <v>7</v>
      </c>
      <c r="BG247" s="289" t="e">
        <f t="shared" si="238"/>
        <v>#N/A</v>
      </c>
      <c r="BH247" s="290" t="e">
        <f t="shared" si="239"/>
        <v>#N/A</v>
      </c>
      <c r="BI247" s="263" t="e">
        <f t="shared" si="202"/>
        <v>#N/A</v>
      </c>
      <c r="BJ247" s="264">
        <f t="shared" si="240"/>
        <v>7</v>
      </c>
      <c r="BK247" s="291" t="e">
        <f t="shared" si="241"/>
        <v>#N/A</v>
      </c>
      <c r="BL247" s="291" t="e">
        <f t="shared" si="242"/>
        <v>#N/A</v>
      </c>
      <c r="BM247" s="292" t="e">
        <f t="shared" si="203"/>
        <v>#N/A</v>
      </c>
      <c r="BN247" s="293">
        <f t="shared" si="243"/>
        <v>7</v>
      </c>
      <c r="BO247" s="294" t="e">
        <f t="shared" si="244"/>
        <v>#N/A</v>
      </c>
      <c r="BP247" s="294" t="e">
        <f t="shared" si="245"/>
        <v>#N/A</v>
      </c>
      <c r="BQ247" s="292" t="e">
        <f t="shared" si="204"/>
        <v>#N/A</v>
      </c>
      <c r="BR247" s="295" t="e">
        <f t="shared" si="205"/>
        <v>#N/A</v>
      </c>
      <c r="BS247" s="230" t="e">
        <f>VLOOKUP($B247,SDR22_STOCK_BY_LA!$A$2:$C$11679,3,0)</f>
        <v>#N/A</v>
      </c>
      <c r="BT247" s="230" t="str">
        <f t="shared" si="246"/>
        <v/>
      </c>
    </row>
    <row r="248" spans="1:72" ht="12.5" x14ac:dyDescent="0.25">
      <c r="A248" s="230" t="str">
        <f t="shared" si="247"/>
        <v/>
      </c>
      <c r="B248" s="230" t="str">
        <f t="shared" si="248"/>
        <v/>
      </c>
      <c r="C248" s="296" t="str">
        <f t="shared" si="206"/>
        <v/>
      </c>
      <c r="D248" s="269" t="str">
        <f>IF(B248="","",IF(totals!$Q$3=0,IFERROR(IF(AD248=2,"0",AE248),""),"-"))</f>
        <v/>
      </c>
      <c r="E248" s="271" t="str">
        <f t="shared" si="207"/>
        <v/>
      </c>
      <c r="F248" s="272" t="str">
        <f t="shared" si="208"/>
        <v/>
      </c>
      <c r="G248" s="272" t="str">
        <f t="shared" si="209"/>
        <v/>
      </c>
      <c r="H248" s="269" t="str">
        <f t="shared" si="187"/>
        <v/>
      </c>
      <c r="I248" s="272" t="str">
        <f t="shared" si="210"/>
        <v/>
      </c>
      <c r="J248" s="272" t="str">
        <f t="shared" si="211"/>
        <v/>
      </c>
      <c r="K248" s="269" t="str">
        <f t="shared" si="188"/>
        <v/>
      </c>
      <c r="L248" s="272" t="str">
        <f t="shared" si="189"/>
        <v/>
      </c>
      <c r="M248" s="272" t="str">
        <f t="shared" si="212"/>
        <v/>
      </c>
      <c r="N248" s="269" t="str">
        <f t="shared" si="213"/>
        <v/>
      </c>
      <c r="O248" s="272" t="str">
        <f t="shared" si="214"/>
        <v/>
      </c>
      <c r="P248" s="272" t="str">
        <f t="shared" si="215"/>
        <v/>
      </c>
      <c r="Q248" s="269" t="str">
        <f t="shared" si="216"/>
        <v/>
      </c>
      <c r="R248" s="272" t="str">
        <f t="shared" si="217"/>
        <v/>
      </c>
      <c r="S248" s="272" t="str">
        <f t="shared" si="218"/>
        <v/>
      </c>
      <c r="T248" s="269" t="str">
        <f t="shared" si="219"/>
        <v/>
      </c>
      <c r="U248" s="230"/>
      <c r="V248" s="230"/>
      <c r="AB248" s="230" t="e">
        <f>VLOOKUP($B$6,Lookup_Source,241,0)</f>
        <v>#N/A</v>
      </c>
      <c r="AC248" s="254" t="str">
        <f t="shared" si="220"/>
        <v/>
      </c>
      <c r="AD248" s="255">
        <f t="shared" si="221"/>
        <v>7</v>
      </c>
      <c r="AE248" s="274" t="e">
        <f t="shared" si="190"/>
        <v>#N/A</v>
      </c>
      <c r="AF248" s="277" t="e">
        <f t="shared" si="222"/>
        <v>#N/A</v>
      </c>
      <c r="AG248" s="277" t="e">
        <f t="shared" si="223"/>
        <v>#N/A</v>
      </c>
      <c r="AH248" s="276" t="e">
        <f t="shared" si="191"/>
        <v>#N/A</v>
      </c>
      <c r="AI248" s="239">
        <f t="shared" si="224"/>
        <v>7</v>
      </c>
      <c r="AJ248" s="277" t="e">
        <f t="shared" si="192"/>
        <v>#N/A</v>
      </c>
      <c r="AK248" s="277" t="e">
        <f t="shared" si="225"/>
        <v>#N/A</v>
      </c>
      <c r="AL248" s="239" t="e">
        <f t="shared" si="193"/>
        <v>#N/A</v>
      </c>
      <c r="AM248" s="278" t="e">
        <f t="shared" si="226"/>
        <v>#N/A</v>
      </c>
      <c r="AN248" s="279" t="e">
        <f t="shared" si="194"/>
        <v>#N/A</v>
      </c>
      <c r="AO248" s="240" t="e">
        <f t="shared" si="195"/>
        <v>#N/A</v>
      </c>
      <c r="AP248" s="297">
        <f t="shared" si="227"/>
        <v>7</v>
      </c>
      <c r="AQ248" s="298" t="e">
        <f t="shared" si="196"/>
        <v>#N/A</v>
      </c>
      <c r="AR248" s="279" t="e">
        <f t="shared" si="228"/>
        <v>#N/A</v>
      </c>
      <c r="AS248" s="283" t="e">
        <f t="shared" si="197"/>
        <v>#N/A</v>
      </c>
      <c r="AT248" s="284">
        <f t="shared" si="229"/>
        <v>7</v>
      </c>
      <c r="AU248" s="285" t="e">
        <f t="shared" si="230"/>
        <v>#N/A</v>
      </c>
      <c r="AV248" s="286" t="e">
        <f t="shared" si="231"/>
        <v>#N/A</v>
      </c>
      <c r="AW248" s="287" t="e">
        <f t="shared" si="198"/>
        <v>#N/A</v>
      </c>
      <c r="AX248" s="245">
        <f t="shared" si="232"/>
        <v>7</v>
      </c>
      <c r="AY248" s="286" t="e">
        <f t="shared" si="199"/>
        <v>#N/A</v>
      </c>
      <c r="AZ248" s="245" t="e">
        <f t="shared" si="233"/>
        <v>#N/A</v>
      </c>
      <c r="BA248" s="245" t="e">
        <f t="shared" si="200"/>
        <v>#N/A</v>
      </c>
      <c r="BB248" s="288">
        <f t="shared" si="234"/>
        <v>7</v>
      </c>
      <c r="BC248" s="289" t="e">
        <f t="shared" si="235"/>
        <v>#N/A</v>
      </c>
      <c r="BD248" s="290" t="e">
        <f t="shared" si="236"/>
        <v>#N/A</v>
      </c>
      <c r="BE248" s="263" t="e">
        <f t="shared" si="201"/>
        <v>#N/A</v>
      </c>
      <c r="BF248" s="260">
        <f t="shared" si="237"/>
        <v>7</v>
      </c>
      <c r="BG248" s="289" t="e">
        <f t="shared" si="238"/>
        <v>#N/A</v>
      </c>
      <c r="BH248" s="290" t="e">
        <f t="shared" si="239"/>
        <v>#N/A</v>
      </c>
      <c r="BI248" s="263" t="e">
        <f t="shared" si="202"/>
        <v>#N/A</v>
      </c>
      <c r="BJ248" s="264">
        <f t="shared" si="240"/>
        <v>7</v>
      </c>
      <c r="BK248" s="291" t="e">
        <f t="shared" si="241"/>
        <v>#N/A</v>
      </c>
      <c r="BL248" s="291" t="e">
        <f t="shared" si="242"/>
        <v>#N/A</v>
      </c>
      <c r="BM248" s="292" t="e">
        <f t="shared" si="203"/>
        <v>#N/A</v>
      </c>
      <c r="BN248" s="293">
        <f t="shared" si="243"/>
        <v>7</v>
      </c>
      <c r="BO248" s="294" t="e">
        <f t="shared" si="244"/>
        <v>#N/A</v>
      </c>
      <c r="BP248" s="294" t="e">
        <f t="shared" si="245"/>
        <v>#N/A</v>
      </c>
      <c r="BQ248" s="292" t="e">
        <f t="shared" si="204"/>
        <v>#N/A</v>
      </c>
      <c r="BR248" s="295" t="e">
        <f t="shared" si="205"/>
        <v>#N/A</v>
      </c>
      <c r="BS248" s="230" t="e">
        <f>VLOOKUP($B248,SDR22_STOCK_BY_LA!$A$2:$C$11679,3,0)</f>
        <v>#N/A</v>
      </c>
      <c r="BT248" s="230" t="str">
        <f t="shared" si="246"/>
        <v/>
      </c>
    </row>
    <row r="249" spans="1:72" ht="12.5" x14ac:dyDescent="0.25">
      <c r="A249" s="269" t="str">
        <f t="shared" si="247"/>
        <v/>
      </c>
      <c r="B249" s="230" t="str">
        <f t="shared" si="248"/>
        <v/>
      </c>
      <c r="C249" s="270" t="str">
        <f t="shared" si="206"/>
        <v/>
      </c>
      <c r="D249" s="269" t="str">
        <f>IF(B249="","",IF(totals!$Q$3=0,IFERROR(IF(AD249=2,"0",AE249),""),"-"))</f>
        <v/>
      </c>
      <c r="E249" s="271" t="str">
        <f t="shared" si="207"/>
        <v/>
      </c>
      <c r="F249" s="272" t="str">
        <f t="shared" si="208"/>
        <v/>
      </c>
      <c r="G249" s="272" t="str">
        <f t="shared" si="209"/>
        <v/>
      </c>
      <c r="H249" s="269" t="str">
        <f t="shared" si="187"/>
        <v/>
      </c>
      <c r="I249" s="272" t="str">
        <f t="shared" si="210"/>
        <v/>
      </c>
      <c r="J249" s="272" t="str">
        <f t="shared" si="211"/>
        <v/>
      </c>
      <c r="K249" s="269" t="str">
        <f t="shared" si="188"/>
        <v/>
      </c>
      <c r="L249" s="272" t="str">
        <f t="shared" si="189"/>
        <v/>
      </c>
      <c r="M249" s="272" t="str">
        <f t="shared" si="212"/>
        <v/>
      </c>
      <c r="N249" s="269" t="str">
        <f t="shared" si="213"/>
        <v/>
      </c>
      <c r="O249" s="272" t="str">
        <f t="shared" si="214"/>
        <v/>
      </c>
      <c r="P249" s="272" t="str">
        <f t="shared" si="215"/>
        <v/>
      </c>
      <c r="Q249" s="269" t="str">
        <f t="shared" si="216"/>
        <v/>
      </c>
      <c r="R249" s="272" t="str">
        <f t="shared" si="217"/>
        <v/>
      </c>
      <c r="S249" s="272" t="str">
        <f t="shared" si="218"/>
        <v/>
      </c>
      <c r="T249" s="269" t="str">
        <f t="shared" si="219"/>
        <v/>
      </c>
      <c r="U249" s="230"/>
      <c r="V249" s="230"/>
      <c r="AB249" s="270" t="e">
        <f>VLOOKUP($B$6,Lookup_Source,242,0)</f>
        <v>#N/A</v>
      </c>
      <c r="AC249" s="254" t="str">
        <f t="shared" si="220"/>
        <v/>
      </c>
      <c r="AD249" s="255">
        <f t="shared" si="221"/>
        <v>7</v>
      </c>
      <c r="AE249" s="274" t="e">
        <f t="shared" si="190"/>
        <v>#N/A</v>
      </c>
      <c r="AF249" s="277" t="e">
        <f t="shared" si="222"/>
        <v>#N/A</v>
      </c>
      <c r="AG249" s="277" t="e">
        <f t="shared" si="223"/>
        <v>#N/A</v>
      </c>
      <c r="AH249" s="276" t="e">
        <f t="shared" si="191"/>
        <v>#N/A</v>
      </c>
      <c r="AI249" s="239">
        <f t="shared" si="224"/>
        <v>7</v>
      </c>
      <c r="AJ249" s="277" t="e">
        <f t="shared" si="192"/>
        <v>#N/A</v>
      </c>
      <c r="AK249" s="277" t="e">
        <f t="shared" si="225"/>
        <v>#N/A</v>
      </c>
      <c r="AL249" s="239" t="e">
        <f t="shared" si="193"/>
        <v>#N/A</v>
      </c>
      <c r="AM249" s="278" t="e">
        <f t="shared" si="226"/>
        <v>#N/A</v>
      </c>
      <c r="AN249" s="279" t="e">
        <f t="shared" si="194"/>
        <v>#N/A</v>
      </c>
      <c r="AO249" s="240" t="e">
        <f t="shared" si="195"/>
        <v>#N/A</v>
      </c>
      <c r="AP249" s="297">
        <f t="shared" si="227"/>
        <v>7</v>
      </c>
      <c r="AQ249" s="298" t="e">
        <f t="shared" si="196"/>
        <v>#N/A</v>
      </c>
      <c r="AR249" s="279" t="e">
        <f t="shared" si="228"/>
        <v>#N/A</v>
      </c>
      <c r="AS249" s="283" t="e">
        <f t="shared" si="197"/>
        <v>#N/A</v>
      </c>
      <c r="AT249" s="284">
        <f t="shared" si="229"/>
        <v>7</v>
      </c>
      <c r="AU249" s="285" t="e">
        <f t="shared" si="230"/>
        <v>#N/A</v>
      </c>
      <c r="AV249" s="286" t="e">
        <f t="shared" si="231"/>
        <v>#N/A</v>
      </c>
      <c r="AW249" s="287" t="e">
        <f t="shared" si="198"/>
        <v>#N/A</v>
      </c>
      <c r="AX249" s="245">
        <f t="shared" si="232"/>
        <v>7</v>
      </c>
      <c r="AY249" s="286" t="e">
        <f t="shared" si="199"/>
        <v>#N/A</v>
      </c>
      <c r="AZ249" s="245" t="e">
        <f t="shared" si="233"/>
        <v>#N/A</v>
      </c>
      <c r="BA249" s="245" t="e">
        <f t="shared" si="200"/>
        <v>#N/A</v>
      </c>
      <c r="BB249" s="288">
        <f t="shared" si="234"/>
        <v>7</v>
      </c>
      <c r="BC249" s="289" t="e">
        <f t="shared" si="235"/>
        <v>#N/A</v>
      </c>
      <c r="BD249" s="290" t="e">
        <f t="shared" si="236"/>
        <v>#N/A</v>
      </c>
      <c r="BE249" s="263" t="e">
        <f t="shared" si="201"/>
        <v>#N/A</v>
      </c>
      <c r="BF249" s="260">
        <f t="shared" si="237"/>
        <v>7</v>
      </c>
      <c r="BG249" s="289" t="e">
        <f t="shared" si="238"/>
        <v>#N/A</v>
      </c>
      <c r="BH249" s="290" t="e">
        <f t="shared" si="239"/>
        <v>#N/A</v>
      </c>
      <c r="BI249" s="263" t="e">
        <f t="shared" si="202"/>
        <v>#N/A</v>
      </c>
      <c r="BJ249" s="264">
        <f t="shared" si="240"/>
        <v>7</v>
      </c>
      <c r="BK249" s="291" t="e">
        <f t="shared" si="241"/>
        <v>#N/A</v>
      </c>
      <c r="BL249" s="291" t="e">
        <f t="shared" si="242"/>
        <v>#N/A</v>
      </c>
      <c r="BM249" s="292" t="e">
        <f t="shared" si="203"/>
        <v>#N/A</v>
      </c>
      <c r="BN249" s="293">
        <f t="shared" si="243"/>
        <v>7</v>
      </c>
      <c r="BO249" s="294" t="e">
        <f t="shared" si="244"/>
        <v>#N/A</v>
      </c>
      <c r="BP249" s="294" t="e">
        <f t="shared" si="245"/>
        <v>#N/A</v>
      </c>
      <c r="BQ249" s="292" t="e">
        <f t="shared" si="204"/>
        <v>#N/A</v>
      </c>
      <c r="BR249" s="295" t="e">
        <f t="shared" si="205"/>
        <v>#N/A</v>
      </c>
      <c r="BS249" s="230" t="e">
        <f>VLOOKUP($B249,SDR22_STOCK_BY_LA!$A$2:$C$11679,3,0)</f>
        <v>#N/A</v>
      </c>
      <c r="BT249" s="230" t="str">
        <f t="shared" si="246"/>
        <v/>
      </c>
    </row>
    <row r="250" spans="1:72" ht="12.5" x14ac:dyDescent="0.25">
      <c r="A250" s="230" t="str">
        <f t="shared" si="247"/>
        <v/>
      </c>
      <c r="B250" s="230" t="str">
        <f t="shared" si="248"/>
        <v/>
      </c>
      <c r="C250" s="296" t="str">
        <f t="shared" si="206"/>
        <v/>
      </c>
      <c r="D250" s="269" t="str">
        <f>IF(B250="","",IF(totals!$Q$3=0,IFERROR(IF(AD250=2,"0",AE250),""),"-"))</f>
        <v/>
      </c>
      <c r="E250" s="271" t="str">
        <f t="shared" si="207"/>
        <v/>
      </c>
      <c r="F250" s="272" t="str">
        <f t="shared" si="208"/>
        <v/>
      </c>
      <c r="G250" s="272" t="str">
        <f t="shared" si="209"/>
        <v/>
      </c>
      <c r="H250" s="269" t="str">
        <f t="shared" si="187"/>
        <v/>
      </c>
      <c r="I250" s="272" t="str">
        <f t="shared" si="210"/>
        <v/>
      </c>
      <c r="J250" s="272" t="str">
        <f t="shared" si="211"/>
        <v/>
      </c>
      <c r="K250" s="269" t="str">
        <f t="shared" si="188"/>
        <v/>
      </c>
      <c r="L250" s="272" t="str">
        <f t="shared" si="189"/>
        <v/>
      </c>
      <c r="M250" s="272" t="str">
        <f t="shared" si="212"/>
        <v/>
      </c>
      <c r="N250" s="269" t="str">
        <f t="shared" si="213"/>
        <v/>
      </c>
      <c r="O250" s="272" t="str">
        <f t="shared" si="214"/>
        <v/>
      </c>
      <c r="P250" s="272" t="str">
        <f t="shared" si="215"/>
        <v/>
      </c>
      <c r="Q250" s="269" t="str">
        <f t="shared" si="216"/>
        <v/>
      </c>
      <c r="R250" s="272" t="str">
        <f t="shared" si="217"/>
        <v/>
      </c>
      <c r="S250" s="272" t="str">
        <f t="shared" si="218"/>
        <v/>
      </c>
      <c r="T250" s="269" t="str">
        <f t="shared" si="219"/>
        <v/>
      </c>
      <c r="U250" s="230"/>
      <c r="V250" s="230"/>
      <c r="AB250" s="230" t="e">
        <f>VLOOKUP($B$6,Lookup_Source,243,0)</f>
        <v>#N/A</v>
      </c>
      <c r="AC250" s="254" t="str">
        <f t="shared" si="220"/>
        <v/>
      </c>
      <c r="AD250" s="255">
        <f t="shared" si="221"/>
        <v>7</v>
      </c>
      <c r="AE250" s="274" t="e">
        <f t="shared" si="190"/>
        <v>#N/A</v>
      </c>
      <c r="AF250" s="277" t="e">
        <f t="shared" si="222"/>
        <v>#N/A</v>
      </c>
      <c r="AG250" s="277" t="e">
        <f t="shared" si="223"/>
        <v>#N/A</v>
      </c>
      <c r="AH250" s="276" t="e">
        <f t="shared" si="191"/>
        <v>#N/A</v>
      </c>
      <c r="AI250" s="239">
        <f t="shared" si="224"/>
        <v>7</v>
      </c>
      <c r="AJ250" s="277" t="e">
        <f t="shared" si="192"/>
        <v>#N/A</v>
      </c>
      <c r="AK250" s="277" t="e">
        <f t="shared" si="225"/>
        <v>#N/A</v>
      </c>
      <c r="AL250" s="239" t="e">
        <f t="shared" si="193"/>
        <v>#N/A</v>
      </c>
      <c r="AM250" s="278" t="e">
        <f t="shared" si="226"/>
        <v>#N/A</v>
      </c>
      <c r="AN250" s="279" t="e">
        <f t="shared" si="194"/>
        <v>#N/A</v>
      </c>
      <c r="AO250" s="240" t="e">
        <f t="shared" si="195"/>
        <v>#N/A</v>
      </c>
      <c r="AP250" s="297">
        <f t="shared" si="227"/>
        <v>7</v>
      </c>
      <c r="AQ250" s="298" t="e">
        <f t="shared" si="196"/>
        <v>#N/A</v>
      </c>
      <c r="AR250" s="279" t="e">
        <f t="shared" si="228"/>
        <v>#N/A</v>
      </c>
      <c r="AS250" s="283" t="e">
        <f t="shared" si="197"/>
        <v>#N/A</v>
      </c>
      <c r="AT250" s="284">
        <f t="shared" si="229"/>
        <v>7</v>
      </c>
      <c r="AU250" s="285" t="e">
        <f t="shared" si="230"/>
        <v>#N/A</v>
      </c>
      <c r="AV250" s="286" t="e">
        <f t="shared" si="231"/>
        <v>#N/A</v>
      </c>
      <c r="AW250" s="287" t="e">
        <f t="shared" si="198"/>
        <v>#N/A</v>
      </c>
      <c r="AX250" s="245">
        <f t="shared" si="232"/>
        <v>7</v>
      </c>
      <c r="AY250" s="286" t="e">
        <f t="shared" si="199"/>
        <v>#N/A</v>
      </c>
      <c r="AZ250" s="245" t="e">
        <f t="shared" si="233"/>
        <v>#N/A</v>
      </c>
      <c r="BA250" s="245" t="e">
        <f t="shared" si="200"/>
        <v>#N/A</v>
      </c>
      <c r="BB250" s="288">
        <f t="shared" si="234"/>
        <v>7</v>
      </c>
      <c r="BC250" s="289" t="e">
        <f t="shared" si="235"/>
        <v>#N/A</v>
      </c>
      <c r="BD250" s="290" t="e">
        <f t="shared" si="236"/>
        <v>#N/A</v>
      </c>
      <c r="BE250" s="263" t="e">
        <f t="shared" si="201"/>
        <v>#N/A</v>
      </c>
      <c r="BF250" s="260">
        <f t="shared" si="237"/>
        <v>7</v>
      </c>
      <c r="BG250" s="289" t="e">
        <f t="shared" si="238"/>
        <v>#N/A</v>
      </c>
      <c r="BH250" s="290" t="e">
        <f t="shared" si="239"/>
        <v>#N/A</v>
      </c>
      <c r="BI250" s="263" t="e">
        <f t="shared" si="202"/>
        <v>#N/A</v>
      </c>
      <c r="BJ250" s="264">
        <f t="shared" si="240"/>
        <v>7</v>
      </c>
      <c r="BK250" s="291" t="e">
        <f t="shared" si="241"/>
        <v>#N/A</v>
      </c>
      <c r="BL250" s="291" t="e">
        <f t="shared" si="242"/>
        <v>#N/A</v>
      </c>
      <c r="BM250" s="292" t="e">
        <f t="shared" si="203"/>
        <v>#N/A</v>
      </c>
      <c r="BN250" s="293">
        <f t="shared" si="243"/>
        <v>7</v>
      </c>
      <c r="BO250" s="294" t="e">
        <f t="shared" si="244"/>
        <v>#N/A</v>
      </c>
      <c r="BP250" s="294" t="e">
        <f t="shared" si="245"/>
        <v>#N/A</v>
      </c>
      <c r="BQ250" s="292" t="e">
        <f t="shared" si="204"/>
        <v>#N/A</v>
      </c>
      <c r="BR250" s="295" t="e">
        <f t="shared" si="205"/>
        <v>#N/A</v>
      </c>
      <c r="BS250" s="230" t="e">
        <f>VLOOKUP($B250,SDR22_STOCK_BY_LA!$A$2:$C$11679,3,0)</f>
        <v>#N/A</v>
      </c>
      <c r="BT250" s="230" t="str">
        <f t="shared" si="246"/>
        <v/>
      </c>
    </row>
    <row r="251" spans="1:72" ht="12.5" x14ac:dyDescent="0.25">
      <c r="A251" s="269" t="str">
        <f t="shared" si="247"/>
        <v/>
      </c>
      <c r="B251" s="230" t="str">
        <f t="shared" si="248"/>
        <v/>
      </c>
      <c r="C251" s="270" t="str">
        <f t="shared" si="206"/>
        <v/>
      </c>
      <c r="D251" s="269" t="str">
        <f>IF(B251="","",IF(totals!$Q$3=0,IFERROR(IF(AD251=2,"0",AE251),""),"-"))</f>
        <v/>
      </c>
      <c r="E251" s="271" t="str">
        <f t="shared" si="207"/>
        <v/>
      </c>
      <c r="F251" s="272" t="str">
        <f t="shared" si="208"/>
        <v/>
      </c>
      <c r="G251" s="272" t="str">
        <f t="shared" si="209"/>
        <v/>
      </c>
      <c r="H251" s="269" t="str">
        <f t="shared" si="187"/>
        <v/>
      </c>
      <c r="I251" s="272" t="str">
        <f t="shared" si="210"/>
        <v/>
      </c>
      <c r="J251" s="272" t="str">
        <f t="shared" si="211"/>
        <v/>
      </c>
      <c r="K251" s="269" t="str">
        <f t="shared" si="188"/>
        <v/>
      </c>
      <c r="L251" s="272" t="str">
        <f t="shared" si="189"/>
        <v/>
      </c>
      <c r="M251" s="272" t="str">
        <f t="shared" si="212"/>
        <v/>
      </c>
      <c r="N251" s="269" t="str">
        <f t="shared" si="213"/>
        <v/>
      </c>
      <c r="O251" s="272" t="str">
        <f t="shared" si="214"/>
        <v/>
      </c>
      <c r="P251" s="272" t="str">
        <f t="shared" si="215"/>
        <v/>
      </c>
      <c r="Q251" s="269" t="str">
        <f t="shared" si="216"/>
        <v/>
      </c>
      <c r="R251" s="272" t="str">
        <f t="shared" si="217"/>
        <v/>
      </c>
      <c r="S251" s="272" t="str">
        <f t="shared" si="218"/>
        <v/>
      </c>
      <c r="T251" s="269" t="str">
        <f t="shared" si="219"/>
        <v/>
      </c>
      <c r="U251" s="230"/>
      <c r="V251" s="230"/>
      <c r="AB251" s="270" t="e">
        <f>VLOOKUP($B$6,Lookup_Source,244,0)</f>
        <v>#N/A</v>
      </c>
      <c r="AC251" s="254" t="str">
        <f t="shared" si="220"/>
        <v/>
      </c>
      <c r="AD251" s="255">
        <f t="shared" si="221"/>
        <v>7</v>
      </c>
      <c r="AE251" s="274" t="e">
        <f t="shared" si="190"/>
        <v>#N/A</v>
      </c>
      <c r="AF251" s="277" t="e">
        <f t="shared" si="222"/>
        <v>#N/A</v>
      </c>
      <c r="AG251" s="277" t="e">
        <f t="shared" si="223"/>
        <v>#N/A</v>
      </c>
      <c r="AH251" s="276" t="e">
        <f t="shared" si="191"/>
        <v>#N/A</v>
      </c>
      <c r="AI251" s="239">
        <f t="shared" si="224"/>
        <v>7</v>
      </c>
      <c r="AJ251" s="277" t="e">
        <f t="shared" si="192"/>
        <v>#N/A</v>
      </c>
      <c r="AK251" s="277" t="e">
        <f t="shared" si="225"/>
        <v>#N/A</v>
      </c>
      <c r="AL251" s="239" t="e">
        <f t="shared" si="193"/>
        <v>#N/A</v>
      </c>
      <c r="AM251" s="278" t="e">
        <f t="shared" si="226"/>
        <v>#N/A</v>
      </c>
      <c r="AN251" s="279" t="e">
        <f t="shared" si="194"/>
        <v>#N/A</v>
      </c>
      <c r="AO251" s="240" t="e">
        <f t="shared" si="195"/>
        <v>#N/A</v>
      </c>
      <c r="AP251" s="297">
        <f t="shared" si="227"/>
        <v>7</v>
      </c>
      <c r="AQ251" s="298" t="e">
        <f t="shared" si="196"/>
        <v>#N/A</v>
      </c>
      <c r="AR251" s="279" t="e">
        <f t="shared" si="228"/>
        <v>#N/A</v>
      </c>
      <c r="AS251" s="283" t="e">
        <f t="shared" si="197"/>
        <v>#N/A</v>
      </c>
      <c r="AT251" s="284">
        <f t="shared" si="229"/>
        <v>7</v>
      </c>
      <c r="AU251" s="285" t="e">
        <f t="shared" si="230"/>
        <v>#N/A</v>
      </c>
      <c r="AV251" s="286" t="e">
        <f t="shared" si="231"/>
        <v>#N/A</v>
      </c>
      <c r="AW251" s="287" t="e">
        <f t="shared" si="198"/>
        <v>#N/A</v>
      </c>
      <c r="AX251" s="245">
        <f t="shared" si="232"/>
        <v>7</v>
      </c>
      <c r="AY251" s="286" t="e">
        <f t="shared" si="199"/>
        <v>#N/A</v>
      </c>
      <c r="AZ251" s="245" t="e">
        <f t="shared" si="233"/>
        <v>#N/A</v>
      </c>
      <c r="BA251" s="245" t="e">
        <f t="shared" si="200"/>
        <v>#N/A</v>
      </c>
      <c r="BB251" s="288">
        <f t="shared" si="234"/>
        <v>7</v>
      </c>
      <c r="BC251" s="289" t="e">
        <f t="shared" si="235"/>
        <v>#N/A</v>
      </c>
      <c r="BD251" s="290" t="e">
        <f t="shared" si="236"/>
        <v>#N/A</v>
      </c>
      <c r="BE251" s="263" t="e">
        <f t="shared" si="201"/>
        <v>#N/A</v>
      </c>
      <c r="BF251" s="260">
        <f t="shared" si="237"/>
        <v>7</v>
      </c>
      <c r="BG251" s="289" t="e">
        <f t="shared" si="238"/>
        <v>#N/A</v>
      </c>
      <c r="BH251" s="290" t="e">
        <f t="shared" si="239"/>
        <v>#N/A</v>
      </c>
      <c r="BI251" s="263" t="e">
        <f t="shared" si="202"/>
        <v>#N/A</v>
      </c>
      <c r="BJ251" s="264">
        <f t="shared" si="240"/>
        <v>7</v>
      </c>
      <c r="BK251" s="291" t="e">
        <f t="shared" si="241"/>
        <v>#N/A</v>
      </c>
      <c r="BL251" s="291" t="e">
        <f t="shared" si="242"/>
        <v>#N/A</v>
      </c>
      <c r="BM251" s="292" t="e">
        <f t="shared" si="203"/>
        <v>#N/A</v>
      </c>
      <c r="BN251" s="293">
        <f t="shared" si="243"/>
        <v>7</v>
      </c>
      <c r="BO251" s="294" t="e">
        <f t="shared" si="244"/>
        <v>#N/A</v>
      </c>
      <c r="BP251" s="294" t="e">
        <f t="shared" si="245"/>
        <v>#N/A</v>
      </c>
      <c r="BQ251" s="292" t="e">
        <f t="shared" si="204"/>
        <v>#N/A</v>
      </c>
      <c r="BR251" s="295" t="e">
        <f t="shared" si="205"/>
        <v>#N/A</v>
      </c>
      <c r="BS251" s="230" t="e">
        <f>VLOOKUP($B251,SDR22_STOCK_BY_LA!$A$2:$C$11679,3,0)</f>
        <v>#N/A</v>
      </c>
      <c r="BT251" s="230" t="str">
        <f t="shared" si="246"/>
        <v/>
      </c>
    </row>
    <row r="252" spans="1:72" ht="12.5" x14ac:dyDescent="0.25">
      <c r="A252" s="230" t="str">
        <f t="shared" si="247"/>
        <v/>
      </c>
      <c r="B252" s="230" t="str">
        <f t="shared" si="248"/>
        <v/>
      </c>
      <c r="C252" s="296" t="str">
        <f t="shared" si="206"/>
        <v/>
      </c>
      <c r="D252" s="269" t="str">
        <f>IF(B252="","",IF(totals!$Q$3=0,IFERROR(IF(AD252=2,"0",AE252),""),"-"))</f>
        <v/>
      </c>
      <c r="E252" s="271" t="str">
        <f t="shared" si="207"/>
        <v/>
      </c>
      <c r="F252" s="272" t="str">
        <f t="shared" si="208"/>
        <v/>
      </c>
      <c r="G252" s="272" t="str">
        <f t="shared" si="209"/>
        <v/>
      </c>
      <c r="H252" s="269" t="str">
        <f t="shared" si="187"/>
        <v/>
      </c>
      <c r="I252" s="272" t="str">
        <f t="shared" si="210"/>
        <v/>
      </c>
      <c r="J252" s="272" t="str">
        <f t="shared" si="211"/>
        <v/>
      </c>
      <c r="K252" s="269" t="str">
        <f t="shared" si="188"/>
        <v/>
      </c>
      <c r="L252" s="272" t="str">
        <f t="shared" si="189"/>
        <v/>
      </c>
      <c r="M252" s="272" t="str">
        <f t="shared" si="212"/>
        <v/>
      </c>
      <c r="N252" s="269" t="str">
        <f t="shared" si="213"/>
        <v/>
      </c>
      <c r="O252" s="272" t="str">
        <f t="shared" si="214"/>
        <v/>
      </c>
      <c r="P252" s="272" t="str">
        <f t="shared" si="215"/>
        <v/>
      </c>
      <c r="Q252" s="269" t="str">
        <f t="shared" si="216"/>
        <v/>
      </c>
      <c r="R252" s="272" t="str">
        <f t="shared" si="217"/>
        <v/>
      </c>
      <c r="S252" s="272" t="str">
        <f t="shared" si="218"/>
        <v/>
      </c>
      <c r="T252" s="269" t="str">
        <f t="shared" si="219"/>
        <v/>
      </c>
      <c r="U252" s="230"/>
      <c r="V252" s="230"/>
      <c r="AB252" s="230" t="e">
        <f>VLOOKUP($B$6,Lookup_Source,245,0)</f>
        <v>#N/A</v>
      </c>
      <c r="AC252" s="254" t="str">
        <f t="shared" si="220"/>
        <v/>
      </c>
      <c r="AD252" s="255">
        <f t="shared" si="221"/>
        <v>7</v>
      </c>
      <c r="AE252" s="274" t="e">
        <f t="shared" si="190"/>
        <v>#N/A</v>
      </c>
      <c r="AF252" s="277" t="e">
        <f t="shared" si="222"/>
        <v>#N/A</v>
      </c>
      <c r="AG252" s="277" t="e">
        <f t="shared" si="223"/>
        <v>#N/A</v>
      </c>
      <c r="AH252" s="276" t="e">
        <f t="shared" si="191"/>
        <v>#N/A</v>
      </c>
      <c r="AI252" s="239">
        <f t="shared" si="224"/>
        <v>7</v>
      </c>
      <c r="AJ252" s="277" t="e">
        <f t="shared" si="192"/>
        <v>#N/A</v>
      </c>
      <c r="AK252" s="277" t="e">
        <f t="shared" si="225"/>
        <v>#N/A</v>
      </c>
      <c r="AL252" s="239" t="e">
        <f t="shared" si="193"/>
        <v>#N/A</v>
      </c>
      <c r="AM252" s="278" t="e">
        <f t="shared" si="226"/>
        <v>#N/A</v>
      </c>
      <c r="AN252" s="279" t="e">
        <f t="shared" si="194"/>
        <v>#N/A</v>
      </c>
      <c r="AO252" s="240" t="e">
        <f t="shared" si="195"/>
        <v>#N/A</v>
      </c>
      <c r="AP252" s="297">
        <f t="shared" si="227"/>
        <v>7</v>
      </c>
      <c r="AQ252" s="298" t="e">
        <f t="shared" si="196"/>
        <v>#N/A</v>
      </c>
      <c r="AR252" s="279" t="e">
        <f t="shared" si="228"/>
        <v>#N/A</v>
      </c>
      <c r="AS252" s="283" t="e">
        <f t="shared" si="197"/>
        <v>#N/A</v>
      </c>
      <c r="AT252" s="284">
        <f t="shared" si="229"/>
        <v>7</v>
      </c>
      <c r="AU252" s="285" t="e">
        <f t="shared" si="230"/>
        <v>#N/A</v>
      </c>
      <c r="AV252" s="286" t="e">
        <f t="shared" si="231"/>
        <v>#N/A</v>
      </c>
      <c r="AW252" s="287" t="e">
        <f t="shared" si="198"/>
        <v>#N/A</v>
      </c>
      <c r="AX252" s="245">
        <f t="shared" si="232"/>
        <v>7</v>
      </c>
      <c r="AY252" s="286" t="e">
        <f t="shared" si="199"/>
        <v>#N/A</v>
      </c>
      <c r="AZ252" s="245" t="e">
        <f t="shared" si="233"/>
        <v>#N/A</v>
      </c>
      <c r="BA252" s="245" t="e">
        <f t="shared" si="200"/>
        <v>#N/A</v>
      </c>
      <c r="BB252" s="288">
        <f t="shared" si="234"/>
        <v>7</v>
      </c>
      <c r="BC252" s="289" t="e">
        <f t="shared" si="235"/>
        <v>#N/A</v>
      </c>
      <c r="BD252" s="290" t="e">
        <f t="shared" si="236"/>
        <v>#N/A</v>
      </c>
      <c r="BE252" s="263" t="e">
        <f t="shared" si="201"/>
        <v>#N/A</v>
      </c>
      <c r="BF252" s="260">
        <f t="shared" si="237"/>
        <v>7</v>
      </c>
      <c r="BG252" s="289" t="e">
        <f t="shared" si="238"/>
        <v>#N/A</v>
      </c>
      <c r="BH252" s="290" t="e">
        <f t="shared" si="239"/>
        <v>#N/A</v>
      </c>
      <c r="BI252" s="263" t="e">
        <f t="shared" si="202"/>
        <v>#N/A</v>
      </c>
      <c r="BJ252" s="264">
        <f t="shared" si="240"/>
        <v>7</v>
      </c>
      <c r="BK252" s="291" t="e">
        <f t="shared" si="241"/>
        <v>#N/A</v>
      </c>
      <c r="BL252" s="291" t="e">
        <f t="shared" si="242"/>
        <v>#N/A</v>
      </c>
      <c r="BM252" s="292" t="e">
        <f t="shared" si="203"/>
        <v>#N/A</v>
      </c>
      <c r="BN252" s="293">
        <f t="shared" si="243"/>
        <v>7</v>
      </c>
      <c r="BO252" s="294" t="e">
        <f t="shared" si="244"/>
        <v>#N/A</v>
      </c>
      <c r="BP252" s="294" t="e">
        <f t="shared" si="245"/>
        <v>#N/A</v>
      </c>
      <c r="BQ252" s="292" t="e">
        <f t="shared" si="204"/>
        <v>#N/A</v>
      </c>
      <c r="BR252" s="295" t="e">
        <f t="shared" si="205"/>
        <v>#N/A</v>
      </c>
      <c r="BS252" s="230" t="e">
        <f>VLOOKUP($B252,SDR22_STOCK_BY_LA!$A$2:$C$11679,3,0)</f>
        <v>#N/A</v>
      </c>
      <c r="BT252" s="230" t="str">
        <f t="shared" si="246"/>
        <v/>
      </c>
    </row>
    <row r="253" spans="1:72" ht="12.5" x14ac:dyDescent="0.25">
      <c r="A253" s="269" t="str">
        <f t="shared" si="247"/>
        <v/>
      </c>
      <c r="B253" s="230" t="str">
        <f t="shared" si="248"/>
        <v/>
      </c>
      <c r="C253" s="270" t="str">
        <f t="shared" si="206"/>
        <v/>
      </c>
      <c r="D253" s="269" t="str">
        <f>IF(B253="","",IF(totals!$Q$3=0,IFERROR(IF(AD253=2,"0",AE253),""),"-"))</f>
        <v/>
      </c>
      <c r="E253" s="271" t="str">
        <f t="shared" si="207"/>
        <v/>
      </c>
      <c r="F253" s="272" t="str">
        <f t="shared" si="208"/>
        <v/>
      </c>
      <c r="G253" s="272" t="str">
        <f t="shared" si="209"/>
        <v/>
      </c>
      <c r="H253" s="269" t="str">
        <f t="shared" si="187"/>
        <v/>
      </c>
      <c r="I253" s="272" t="str">
        <f t="shared" si="210"/>
        <v/>
      </c>
      <c r="J253" s="272" t="str">
        <f t="shared" si="211"/>
        <v/>
      </c>
      <c r="K253" s="269" t="str">
        <f t="shared" si="188"/>
        <v/>
      </c>
      <c r="L253" s="272" t="str">
        <f t="shared" si="189"/>
        <v/>
      </c>
      <c r="M253" s="272" t="str">
        <f t="shared" si="212"/>
        <v/>
      </c>
      <c r="N253" s="269" t="str">
        <f t="shared" si="213"/>
        <v/>
      </c>
      <c r="O253" s="272" t="str">
        <f t="shared" si="214"/>
        <v/>
      </c>
      <c r="P253" s="272" t="str">
        <f t="shared" si="215"/>
        <v/>
      </c>
      <c r="Q253" s="269" t="str">
        <f t="shared" si="216"/>
        <v/>
      </c>
      <c r="R253" s="272" t="str">
        <f t="shared" si="217"/>
        <v/>
      </c>
      <c r="S253" s="272" t="str">
        <f t="shared" si="218"/>
        <v/>
      </c>
      <c r="T253" s="269" t="str">
        <f t="shared" si="219"/>
        <v/>
      </c>
      <c r="U253" s="230"/>
      <c r="V253" s="230"/>
      <c r="AB253" s="270" t="e">
        <f>VLOOKUP($B$6,Lookup_Source,246,0)</f>
        <v>#N/A</v>
      </c>
      <c r="AC253" s="254" t="str">
        <f t="shared" si="220"/>
        <v/>
      </c>
      <c r="AD253" s="255">
        <f t="shared" si="221"/>
        <v>7</v>
      </c>
      <c r="AE253" s="274" t="e">
        <f t="shared" si="190"/>
        <v>#N/A</v>
      </c>
      <c r="AF253" s="277" t="e">
        <f t="shared" si="222"/>
        <v>#N/A</v>
      </c>
      <c r="AG253" s="277" t="e">
        <f t="shared" si="223"/>
        <v>#N/A</v>
      </c>
      <c r="AH253" s="276" t="e">
        <f t="shared" si="191"/>
        <v>#N/A</v>
      </c>
      <c r="AI253" s="239">
        <f t="shared" si="224"/>
        <v>7</v>
      </c>
      <c r="AJ253" s="277" t="e">
        <f t="shared" si="192"/>
        <v>#N/A</v>
      </c>
      <c r="AK253" s="277" t="e">
        <f t="shared" si="225"/>
        <v>#N/A</v>
      </c>
      <c r="AL253" s="239" t="e">
        <f t="shared" si="193"/>
        <v>#N/A</v>
      </c>
      <c r="AM253" s="278" t="e">
        <f t="shared" si="226"/>
        <v>#N/A</v>
      </c>
      <c r="AN253" s="279" t="e">
        <f t="shared" si="194"/>
        <v>#N/A</v>
      </c>
      <c r="AO253" s="240" t="e">
        <f t="shared" si="195"/>
        <v>#N/A</v>
      </c>
      <c r="AP253" s="297">
        <f t="shared" si="227"/>
        <v>7</v>
      </c>
      <c r="AQ253" s="298" t="e">
        <f t="shared" si="196"/>
        <v>#N/A</v>
      </c>
      <c r="AR253" s="279" t="e">
        <f t="shared" si="228"/>
        <v>#N/A</v>
      </c>
      <c r="AS253" s="283" t="e">
        <f t="shared" si="197"/>
        <v>#N/A</v>
      </c>
      <c r="AT253" s="284">
        <f t="shared" si="229"/>
        <v>7</v>
      </c>
      <c r="AU253" s="285" t="e">
        <f t="shared" si="230"/>
        <v>#N/A</v>
      </c>
      <c r="AV253" s="286" t="e">
        <f t="shared" si="231"/>
        <v>#N/A</v>
      </c>
      <c r="AW253" s="287" t="e">
        <f t="shared" si="198"/>
        <v>#N/A</v>
      </c>
      <c r="AX253" s="245">
        <f t="shared" si="232"/>
        <v>7</v>
      </c>
      <c r="AY253" s="286" t="e">
        <f t="shared" si="199"/>
        <v>#N/A</v>
      </c>
      <c r="AZ253" s="245" t="e">
        <f t="shared" si="233"/>
        <v>#N/A</v>
      </c>
      <c r="BA253" s="245" t="e">
        <f t="shared" si="200"/>
        <v>#N/A</v>
      </c>
      <c r="BB253" s="288">
        <f t="shared" si="234"/>
        <v>7</v>
      </c>
      <c r="BC253" s="289" t="e">
        <f t="shared" si="235"/>
        <v>#N/A</v>
      </c>
      <c r="BD253" s="290" t="e">
        <f t="shared" si="236"/>
        <v>#N/A</v>
      </c>
      <c r="BE253" s="263" t="e">
        <f t="shared" si="201"/>
        <v>#N/A</v>
      </c>
      <c r="BF253" s="260">
        <f t="shared" si="237"/>
        <v>7</v>
      </c>
      <c r="BG253" s="289" t="e">
        <f t="shared" si="238"/>
        <v>#N/A</v>
      </c>
      <c r="BH253" s="290" t="e">
        <f t="shared" si="239"/>
        <v>#N/A</v>
      </c>
      <c r="BI253" s="263" t="e">
        <f t="shared" si="202"/>
        <v>#N/A</v>
      </c>
      <c r="BJ253" s="264">
        <f t="shared" si="240"/>
        <v>7</v>
      </c>
      <c r="BK253" s="291" t="e">
        <f t="shared" si="241"/>
        <v>#N/A</v>
      </c>
      <c r="BL253" s="291" t="e">
        <f t="shared" si="242"/>
        <v>#N/A</v>
      </c>
      <c r="BM253" s="292" t="e">
        <f t="shared" si="203"/>
        <v>#N/A</v>
      </c>
      <c r="BN253" s="293">
        <f t="shared" si="243"/>
        <v>7</v>
      </c>
      <c r="BO253" s="294" t="e">
        <f t="shared" si="244"/>
        <v>#N/A</v>
      </c>
      <c r="BP253" s="294" t="e">
        <f t="shared" si="245"/>
        <v>#N/A</v>
      </c>
      <c r="BQ253" s="292" t="e">
        <f t="shared" si="204"/>
        <v>#N/A</v>
      </c>
      <c r="BR253" s="295" t="e">
        <f t="shared" si="205"/>
        <v>#N/A</v>
      </c>
      <c r="BS253" s="230" t="e">
        <f>VLOOKUP($B253,SDR22_STOCK_BY_LA!$A$2:$C$11679,3,0)</f>
        <v>#N/A</v>
      </c>
      <c r="BT253" s="230" t="str">
        <f t="shared" si="246"/>
        <v/>
      </c>
    </row>
    <row r="254" spans="1:72" ht="12.5" x14ac:dyDescent="0.25">
      <c r="A254" s="230" t="str">
        <f t="shared" si="247"/>
        <v/>
      </c>
      <c r="B254" s="230" t="str">
        <f t="shared" si="248"/>
        <v/>
      </c>
      <c r="C254" s="296" t="str">
        <f t="shared" si="206"/>
        <v/>
      </c>
      <c r="D254" s="269" t="str">
        <f>IF(B254="","",IF(totals!$Q$3=0,IFERROR(IF(AD254=2,"0",AE254),""),"-"))</f>
        <v/>
      </c>
      <c r="E254" s="271" t="str">
        <f t="shared" si="207"/>
        <v/>
      </c>
      <c r="F254" s="272" t="str">
        <f t="shared" si="208"/>
        <v/>
      </c>
      <c r="G254" s="272" t="str">
        <f t="shared" si="209"/>
        <v/>
      </c>
      <c r="H254" s="269" t="str">
        <f t="shared" si="187"/>
        <v/>
      </c>
      <c r="I254" s="272" t="str">
        <f t="shared" si="210"/>
        <v/>
      </c>
      <c r="J254" s="272" t="str">
        <f t="shared" si="211"/>
        <v/>
      </c>
      <c r="K254" s="269" t="str">
        <f t="shared" si="188"/>
        <v/>
      </c>
      <c r="L254" s="272" t="str">
        <f t="shared" si="189"/>
        <v/>
      </c>
      <c r="M254" s="272" t="str">
        <f t="shared" si="212"/>
        <v/>
      </c>
      <c r="N254" s="269" t="str">
        <f t="shared" si="213"/>
        <v/>
      </c>
      <c r="O254" s="272" t="str">
        <f t="shared" si="214"/>
        <v/>
      </c>
      <c r="P254" s="272" t="str">
        <f t="shared" si="215"/>
        <v/>
      </c>
      <c r="Q254" s="269" t="str">
        <f t="shared" si="216"/>
        <v/>
      </c>
      <c r="R254" s="272" t="str">
        <f t="shared" si="217"/>
        <v/>
      </c>
      <c r="S254" s="272" t="str">
        <f t="shared" si="218"/>
        <v/>
      </c>
      <c r="T254" s="269" t="str">
        <f t="shared" si="219"/>
        <v/>
      </c>
      <c r="U254" s="230"/>
      <c r="V254" s="230"/>
      <c r="AB254" s="230" t="e">
        <f>VLOOKUP($B$6,Lookup_Source,247,0)</f>
        <v>#N/A</v>
      </c>
      <c r="AC254" s="254" t="str">
        <f t="shared" si="220"/>
        <v/>
      </c>
      <c r="AD254" s="255">
        <f t="shared" si="221"/>
        <v>7</v>
      </c>
      <c r="AE254" s="274" t="e">
        <f t="shared" si="190"/>
        <v>#N/A</v>
      </c>
      <c r="AF254" s="277" t="e">
        <f t="shared" si="222"/>
        <v>#N/A</v>
      </c>
      <c r="AG254" s="277" t="e">
        <f t="shared" si="223"/>
        <v>#N/A</v>
      </c>
      <c r="AH254" s="276" t="e">
        <f t="shared" si="191"/>
        <v>#N/A</v>
      </c>
      <c r="AI254" s="239">
        <f t="shared" si="224"/>
        <v>7</v>
      </c>
      <c r="AJ254" s="277" t="e">
        <f t="shared" si="192"/>
        <v>#N/A</v>
      </c>
      <c r="AK254" s="277" t="e">
        <f t="shared" si="225"/>
        <v>#N/A</v>
      </c>
      <c r="AL254" s="239" t="e">
        <f t="shared" si="193"/>
        <v>#N/A</v>
      </c>
      <c r="AM254" s="278" t="e">
        <f t="shared" si="226"/>
        <v>#N/A</v>
      </c>
      <c r="AN254" s="279" t="e">
        <f t="shared" si="194"/>
        <v>#N/A</v>
      </c>
      <c r="AO254" s="240" t="e">
        <f t="shared" si="195"/>
        <v>#N/A</v>
      </c>
      <c r="AP254" s="297">
        <f t="shared" si="227"/>
        <v>7</v>
      </c>
      <c r="AQ254" s="298" t="e">
        <f t="shared" si="196"/>
        <v>#N/A</v>
      </c>
      <c r="AR254" s="279" t="e">
        <f t="shared" si="228"/>
        <v>#N/A</v>
      </c>
      <c r="AS254" s="283" t="e">
        <f t="shared" si="197"/>
        <v>#N/A</v>
      </c>
      <c r="AT254" s="284">
        <f t="shared" si="229"/>
        <v>7</v>
      </c>
      <c r="AU254" s="285" t="e">
        <f t="shared" si="230"/>
        <v>#N/A</v>
      </c>
      <c r="AV254" s="286" t="e">
        <f t="shared" si="231"/>
        <v>#N/A</v>
      </c>
      <c r="AW254" s="287" t="e">
        <f t="shared" si="198"/>
        <v>#N/A</v>
      </c>
      <c r="AX254" s="245">
        <f t="shared" si="232"/>
        <v>7</v>
      </c>
      <c r="AY254" s="286" t="e">
        <f t="shared" si="199"/>
        <v>#N/A</v>
      </c>
      <c r="AZ254" s="245" t="e">
        <f t="shared" si="233"/>
        <v>#N/A</v>
      </c>
      <c r="BA254" s="245" t="e">
        <f t="shared" si="200"/>
        <v>#N/A</v>
      </c>
      <c r="BB254" s="288">
        <f t="shared" si="234"/>
        <v>7</v>
      </c>
      <c r="BC254" s="289" t="e">
        <f t="shared" si="235"/>
        <v>#N/A</v>
      </c>
      <c r="BD254" s="290" t="e">
        <f t="shared" si="236"/>
        <v>#N/A</v>
      </c>
      <c r="BE254" s="263" t="e">
        <f t="shared" si="201"/>
        <v>#N/A</v>
      </c>
      <c r="BF254" s="260">
        <f t="shared" si="237"/>
        <v>7</v>
      </c>
      <c r="BG254" s="289" t="e">
        <f t="shared" si="238"/>
        <v>#N/A</v>
      </c>
      <c r="BH254" s="290" t="e">
        <f t="shared" si="239"/>
        <v>#N/A</v>
      </c>
      <c r="BI254" s="263" t="e">
        <f t="shared" si="202"/>
        <v>#N/A</v>
      </c>
      <c r="BJ254" s="264">
        <f t="shared" si="240"/>
        <v>7</v>
      </c>
      <c r="BK254" s="291" t="e">
        <f t="shared" si="241"/>
        <v>#N/A</v>
      </c>
      <c r="BL254" s="291" t="e">
        <f t="shared" si="242"/>
        <v>#N/A</v>
      </c>
      <c r="BM254" s="292" t="e">
        <f t="shared" si="203"/>
        <v>#N/A</v>
      </c>
      <c r="BN254" s="293">
        <f t="shared" si="243"/>
        <v>7</v>
      </c>
      <c r="BO254" s="294" t="e">
        <f t="shared" si="244"/>
        <v>#N/A</v>
      </c>
      <c r="BP254" s="294" t="e">
        <f t="shared" si="245"/>
        <v>#N/A</v>
      </c>
      <c r="BQ254" s="292" t="e">
        <f t="shared" si="204"/>
        <v>#N/A</v>
      </c>
      <c r="BR254" s="295" t="e">
        <f t="shared" si="205"/>
        <v>#N/A</v>
      </c>
      <c r="BS254" s="230" t="e">
        <f>VLOOKUP($B254,SDR22_STOCK_BY_LA!$A$2:$C$11679,3,0)</f>
        <v>#N/A</v>
      </c>
      <c r="BT254" s="230" t="str">
        <f t="shared" si="246"/>
        <v/>
      </c>
    </row>
    <row r="255" spans="1:72" ht="12.5" x14ac:dyDescent="0.25">
      <c r="A255" s="269" t="str">
        <f t="shared" si="247"/>
        <v/>
      </c>
      <c r="B255" s="230" t="str">
        <f t="shared" si="248"/>
        <v/>
      </c>
      <c r="C255" s="270" t="str">
        <f t="shared" si="206"/>
        <v/>
      </c>
      <c r="D255" s="269" t="str">
        <f>IF(B255="","",IF(totals!$Q$3=0,IFERROR(IF(AD255=2,"0",AE255),""),"-"))</f>
        <v/>
      </c>
      <c r="E255" s="271" t="str">
        <f t="shared" si="207"/>
        <v/>
      </c>
      <c r="F255" s="272" t="str">
        <f t="shared" si="208"/>
        <v/>
      </c>
      <c r="G255" s="272" t="str">
        <f t="shared" si="209"/>
        <v/>
      </c>
      <c r="H255" s="269" t="str">
        <f t="shared" si="187"/>
        <v/>
      </c>
      <c r="I255" s="272" t="str">
        <f t="shared" si="210"/>
        <v/>
      </c>
      <c r="J255" s="272" t="str">
        <f t="shared" si="211"/>
        <v/>
      </c>
      <c r="K255" s="269" t="str">
        <f t="shared" si="188"/>
        <v/>
      </c>
      <c r="L255" s="272" t="str">
        <f t="shared" si="189"/>
        <v/>
      </c>
      <c r="M255" s="272" t="str">
        <f t="shared" si="212"/>
        <v/>
      </c>
      <c r="N255" s="269" t="str">
        <f t="shared" si="213"/>
        <v/>
      </c>
      <c r="O255" s="272" t="str">
        <f t="shared" si="214"/>
        <v/>
      </c>
      <c r="P255" s="272" t="str">
        <f t="shared" si="215"/>
        <v/>
      </c>
      <c r="Q255" s="269" t="str">
        <f t="shared" si="216"/>
        <v/>
      </c>
      <c r="R255" s="272" t="str">
        <f t="shared" si="217"/>
        <v/>
      </c>
      <c r="S255" s="272" t="str">
        <f t="shared" si="218"/>
        <v/>
      </c>
      <c r="T255" s="269" t="str">
        <f t="shared" si="219"/>
        <v/>
      </c>
      <c r="U255" s="230"/>
      <c r="V255" s="230"/>
      <c r="AB255" s="270" t="e">
        <f>VLOOKUP($B$6,Lookup_Source,248,0)</f>
        <v>#N/A</v>
      </c>
      <c r="AC255" s="254" t="str">
        <f t="shared" si="220"/>
        <v/>
      </c>
      <c r="AD255" s="255">
        <f t="shared" si="221"/>
        <v>7</v>
      </c>
      <c r="AE255" s="274" t="e">
        <f t="shared" si="190"/>
        <v>#N/A</v>
      </c>
      <c r="AF255" s="277" t="e">
        <f t="shared" si="222"/>
        <v>#N/A</v>
      </c>
      <c r="AG255" s="277" t="e">
        <f t="shared" si="223"/>
        <v>#N/A</v>
      </c>
      <c r="AH255" s="276" t="e">
        <f t="shared" si="191"/>
        <v>#N/A</v>
      </c>
      <c r="AI255" s="239">
        <f t="shared" si="224"/>
        <v>7</v>
      </c>
      <c r="AJ255" s="277" t="e">
        <f t="shared" si="192"/>
        <v>#N/A</v>
      </c>
      <c r="AK255" s="277" t="e">
        <f t="shared" si="225"/>
        <v>#N/A</v>
      </c>
      <c r="AL255" s="239" t="e">
        <f t="shared" si="193"/>
        <v>#N/A</v>
      </c>
      <c r="AM255" s="278" t="e">
        <f t="shared" si="226"/>
        <v>#N/A</v>
      </c>
      <c r="AN255" s="279" t="e">
        <f t="shared" si="194"/>
        <v>#N/A</v>
      </c>
      <c r="AO255" s="240" t="e">
        <f t="shared" si="195"/>
        <v>#N/A</v>
      </c>
      <c r="AP255" s="297">
        <f t="shared" si="227"/>
        <v>7</v>
      </c>
      <c r="AQ255" s="298" t="e">
        <f t="shared" si="196"/>
        <v>#N/A</v>
      </c>
      <c r="AR255" s="279" t="e">
        <f t="shared" si="228"/>
        <v>#N/A</v>
      </c>
      <c r="AS255" s="283" t="e">
        <f t="shared" si="197"/>
        <v>#N/A</v>
      </c>
      <c r="AT255" s="284">
        <f t="shared" si="229"/>
        <v>7</v>
      </c>
      <c r="AU255" s="285" t="e">
        <f t="shared" si="230"/>
        <v>#N/A</v>
      </c>
      <c r="AV255" s="286" t="e">
        <f t="shared" si="231"/>
        <v>#N/A</v>
      </c>
      <c r="AW255" s="287" t="e">
        <f t="shared" si="198"/>
        <v>#N/A</v>
      </c>
      <c r="AX255" s="245">
        <f t="shared" si="232"/>
        <v>7</v>
      </c>
      <c r="AY255" s="286" t="e">
        <f t="shared" si="199"/>
        <v>#N/A</v>
      </c>
      <c r="AZ255" s="245" t="e">
        <f t="shared" si="233"/>
        <v>#N/A</v>
      </c>
      <c r="BA255" s="245" t="e">
        <f t="shared" si="200"/>
        <v>#N/A</v>
      </c>
      <c r="BB255" s="288">
        <f t="shared" si="234"/>
        <v>7</v>
      </c>
      <c r="BC255" s="289" t="e">
        <f t="shared" si="235"/>
        <v>#N/A</v>
      </c>
      <c r="BD255" s="290" t="e">
        <f t="shared" si="236"/>
        <v>#N/A</v>
      </c>
      <c r="BE255" s="263" t="e">
        <f t="shared" si="201"/>
        <v>#N/A</v>
      </c>
      <c r="BF255" s="260">
        <f t="shared" si="237"/>
        <v>7</v>
      </c>
      <c r="BG255" s="289" t="e">
        <f t="shared" si="238"/>
        <v>#N/A</v>
      </c>
      <c r="BH255" s="290" t="e">
        <f t="shared" si="239"/>
        <v>#N/A</v>
      </c>
      <c r="BI255" s="263" t="e">
        <f t="shared" si="202"/>
        <v>#N/A</v>
      </c>
      <c r="BJ255" s="264">
        <f t="shared" si="240"/>
        <v>7</v>
      </c>
      <c r="BK255" s="291" t="e">
        <f t="shared" si="241"/>
        <v>#N/A</v>
      </c>
      <c r="BL255" s="291" t="e">
        <f t="shared" si="242"/>
        <v>#N/A</v>
      </c>
      <c r="BM255" s="292" t="e">
        <f t="shared" si="203"/>
        <v>#N/A</v>
      </c>
      <c r="BN255" s="293">
        <f t="shared" si="243"/>
        <v>7</v>
      </c>
      <c r="BO255" s="294" t="e">
        <f t="shared" si="244"/>
        <v>#N/A</v>
      </c>
      <c r="BP255" s="294" t="e">
        <f t="shared" si="245"/>
        <v>#N/A</v>
      </c>
      <c r="BQ255" s="292" t="e">
        <f t="shared" si="204"/>
        <v>#N/A</v>
      </c>
      <c r="BR255" s="295" t="e">
        <f t="shared" si="205"/>
        <v>#N/A</v>
      </c>
      <c r="BS255" s="230" t="e">
        <f>VLOOKUP($B255,SDR22_STOCK_BY_LA!$A$2:$C$11679,3,0)</f>
        <v>#N/A</v>
      </c>
      <c r="BT255" s="230" t="str">
        <f t="shared" si="246"/>
        <v/>
      </c>
    </row>
    <row r="256" spans="1:72" ht="12.5" x14ac:dyDescent="0.25">
      <c r="A256" s="230" t="str">
        <f t="shared" si="247"/>
        <v/>
      </c>
      <c r="B256" s="230" t="str">
        <f t="shared" si="248"/>
        <v/>
      </c>
      <c r="C256" s="296" t="str">
        <f t="shared" si="206"/>
        <v/>
      </c>
      <c r="D256" s="269" t="str">
        <f>IF(B256="","",IF(totals!$Q$3=0,IFERROR(IF(AD256=2,"0",AE256),""),"-"))</f>
        <v/>
      </c>
      <c r="E256" s="271" t="str">
        <f t="shared" si="207"/>
        <v/>
      </c>
      <c r="F256" s="272" t="str">
        <f t="shared" si="208"/>
        <v/>
      </c>
      <c r="G256" s="272" t="str">
        <f t="shared" si="209"/>
        <v/>
      </c>
      <c r="H256" s="269" t="str">
        <f t="shared" si="187"/>
        <v/>
      </c>
      <c r="I256" s="272" t="str">
        <f t="shared" si="210"/>
        <v/>
      </c>
      <c r="J256" s="272" t="str">
        <f t="shared" si="211"/>
        <v/>
      </c>
      <c r="K256" s="269" t="str">
        <f t="shared" si="188"/>
        <v/>
      </c>
      <c r="L256" s="272" t="str">
        <f t="shared" si="189"/>
        <v/>
      </c>
      <c r="M256" s="272" t="str">
        <f t="shared" si="212"/>
        <v/>
      </c>
      <c r="N256" s="269" t="str">
        <f t="shared" si="213"/>
        <v/>
      </c>
      <c r="O256" s="272" t="str">
        <f t="shared" si="214"/>
        <v/>
      </c>
      <c r="P256" s="272" t="str">
        <f t="shared" si="215"/>
        <v/>
      </c>
      <c r="Q256" s="269" t="str">
        <f t="shared" si="216"/>
        <v/>
      </c>
      <c r="R256" s="272" t="str">
        <f t="shared" si="217"/>
        <v/>
      </c>
      <c r="S256" s="272" t="str">
        <f t="shared" si="218"/>
        <v/>
      </c>
      <c r="T256" s="269" t="str">
        <f t="shared" si="219"/>
        <v/>
      </c>
      <c r="U256" s="230"/>
      <c r="V256" s="230"/>
      <c r="AB256" s="230" t="e">
        <f>VLOOKUP($B$6,Lookup_Source,249,0)</f>
        <v>#N/A</v>
      </c>
      <c r="AC256" s="254" t="str">
        <f t="shared" si="220"/>
        <v/>
      </c>
      <c r="AD256" s="255">
        <f t="shared" si="221"/>
        <v>7</v>
      </c>
      <c r="AE256" s="274" t="e">
        <f t="shared" si="190"/>
        <v>#N/A</v>
      </c>
      <c r="AF256" s="277" t="e">
        <f t="shared" si="222"/>
        <v>#N/A</v>
      </c>
      <c r="AG256" s="277" t="e">
        <f t="shared" si="223"/>
        <v>#N/A</v>
      </c>
      <c r="AH256" s="276" t="e">
        <f t="shared" si="191"/>
        <v>#N/A</v>
      </c>
      <c r="AI256" s="239">
        <f t="shared" si="224"/>
        <v>7</v>
      </c>
      <c r="AJ256" s="277" t="e">
        <f t="shared" si="192"/>
        <v>#N/A</v>
      </c>
      <c r="AK256" s="277" t="e">
        <f t="shared" si="225"/>
        <v>#N/A</v>
      </c>
      <c r="AL256" s="239" t="e">
        <f t="shared" si="193"/>
        <v>#N/A</v>
      </c>
      <c r="AM256" s="278" t="e">
        <f t="shared" si="226"/>
        <v>#N/A</v>
      </c>
      <c r="AN256" s="279" t="e">
        <f t="shared" si="194"/>
        <v>#N/A</v>
      </c>
      <c r="AO256" s="240" t="e">
        <f t="shared" si="195"/>
        <v>#N/A</v>
      </c>
      <c r="AP256" s="297">
        <f t="shared" si="227"/>
        <v>7</v>
      </c>
      <c r="AQ256" s="298" t="e">
        <f t="shared" si="196"/>
        <v>#N/A</v>
      </c>
      <c r="AR256" s="279" t="e">
        <f t="shared" si="228"/>
        <v>#N/A</v>
      </c>
      <c r="AS256" s="283" t="e">
        <f t="shared" si="197"/>
        <v>#N/A</v>
      </c>
      <c r="AT256" s="284">
        <f t="shared" si="229"/>
        <v>7</v>
      </c>
      <c r="AU256" s="285" t="e">
        <f t="shared" si="230"/>
        <v>#N/A</v>
      </c>
      <c r="AV256" s="286" t="e">
        <f t="shared" si="231"/>
        <v>#N/A</v>
      </c>
      <c r="AW256" s="287" t="e">
        <f t="shared" si="198"/>
        <v>#N/A</v>
      </c>
      <c r="AX256" s="245">
        <f t="shared" si="232"/>
        <v>7</v>
      </c>
      <c r="AY256" s="286" t="e">
        <f t="shared" si="199"/>
        <v>#N/A</v>
      </c>
      <c r="AZ256" s="245" t="e">
        <f t="shared" si="233"/>
        <v>#N/A</v>
      </c>
      <c r="BA256" s="245" t="e">
        <f t="shared" si="200"/>
        <v>#N/A</v>
      </c>
      <c r="BB256" s="288">
        <f t="shared" si="234"/>
        <v>7</v>
      </c>
      <c r="BC256" s="289" t="e">
        <f t="shared" si="235"/>
        <v>#N/A</v>
      </c>
      <c r="BD256" s="290" t="e">
        <f t="shared" si="236"/>
        <v>#N/A</v>
      </c>
      <c r="BE256" s="263" t="e">
        <f t="shared" si="201"/>
        <v>#N/A</v>
      </c>
      <c r="BF256" s="260">
        <f t="shared" si="237"/>
        <v>7</v>
      </c>
      <c r="BG256" s="289" t="e">
        <f t="shared" si="238"/>
        <v>#N/A</v>
      </c>
      <c r="BH256" s="290" t="e">
        <f t="shared" si="239"/>
        <v>#N/A</v>
      </c>
      <c r="BI256" s="263" t="e">
        <f t="shared" si="202"/>
        <v>#N/A</v>
      </c>
      <c r="BJ256" s="264">
        <f t="shared" si="240"/>
        <v>7</v>
      </c>
      <c r="BK256" s="291" t="e">
        <f t="shared" si="241"/>
        <v>#N/A</v>
      </c>
      <c r="BL256" s="291" t="e">
        <f t="shared" si="242"/>
        <v>#N/A</v>
      </c>
      <c r="BM256" s="292" t="e">
        <f t="shared" si="203"/>
        <v>#N/A</v>
      </c>
      <c r="BN256" s="293">
        <f t="shared" si="243"/>
        <v>7</v>
      </c>
      <c r="BO256" s="294" t="e">
        <f t="shared" si="244"/>
        <v>#N/A</v>
      </c>
      <c r="BP256" s="294" t="e">
        <f t="shared" si="245"/>
        <v>#N/A</v>
      </c>
      <c r="BQ256" s="292" t="e">
        <f t="shared" si="204"/>
        <v>#N/A</v>
      </c>
      <c r="BR256" s="295" t="e">
        <f t="shared" si="205"/>
        <v>#N/A</v>
      </c>
      <c r="BS256" s="230" t="e">
        <f>VLOOKUP($B256,SDR22_STOCK_BY_LA!$A$2:$C$11679,3,0)</f>
        <v>#N/A</v>
      </c>
      <c r="BT256" s="230" t="str">
        <f t="shared" si="246"/>
        <v/>
      </c>
    </row>
    <row r="257" spans="1:72" ht="12.5" x14ac:dyDescent="0.25">
      <c r="A257" s="269" t="str">
        <f t="shared" si="247"/>
        <v/>
      </c>
      <c r="B257" s="230" t="str">
        <f t="shared" si="248"/>
        <v/>
      </c>
      <c r="C257" s="270" t="str">
        <f t="shared" si="206"/>
        <v/>
      </c>
      <c r="D257" s="269" t="str">
        <f>IF(B257="","",IF(totals!$Q$3=0,IFERROR(IF(AD257=2,"0",AE257),""),"-"))</f>
        <v/>
      </c>
      <c r="E257" s="271" t="str">
        <f t="shared" si="207"/>
        <v/>
      </c>
      <c r="F257" s="272" t="str">
        <f t="shared" si="208"/>
        <v/>
      </c>
      <c r="G257" s="272" t="str">
        <f t="shared" si="209"/>
        <v/>
      </c>
      <c r="H257" s="269" t="str">
        <f t="shared" si="187"/>
        <v/>
      </c>
      <c r="I257" s="272" t="str">
        <f t="shared" si="210"/>
        <v/>
      </c>
      <c r="J257" s="272" t="str">
        <f t="shared" si="211"/>
        <v/>
      </c>
      <c r="K257" s="269" t="str">
        <f t="shared" si="188"/>
        <v/>
      </c>
      <c r="L257" s="272" t="str">
        <f t="shared" si="189"/>
        <v/>
      </c>
      <c r="M257" s="272" t="str">
        <f t="shared" si="212"/>
        <v/>
      </c>
      <c r="N257" s="269" t="str">
        <f t="shared" si="213"/>
        <v/>
      </c>
      <c r="O257" s="272" t="str">
        <f t="shared" si="214"/>
        <v/>
      </c>
      <c r="P257" s="272" t="str">
        <f t="shared" si="215"/>
        <v/>
      </c>
      <c r="Q257" s="269" t="str">
        <f t="shared" si="216"/>
        <v/>
      </c>
      <c r="R257" s="272" t="str">
        <f t="shared" si="217"/>
        <v/>
      </c>
      <c r="S257" s="272" t="str">
        <f t="shared" si="218"/>
        <v/>
      </c>
      <c r="T257" s="269" t="str">
        <f t="shared" si="219"/>
        <v/>
      </c>
      <c r="U257" s="230"/>
      <c r="V257" s="230"/>
      <c r="AB257" s="270" t="e">
        <f>VLOOKUP($B$6,Lookup_Source,250,0)</f>
        <v>#N/A</v>
      </c>
      <c r="AC257" s="254" t="str">
        <f t="shared" si="220"/>
        <v/>
      </c>
      <c r="AD257" s="255">
        <f t="shared" si="221"/>
        <v>7</v>
      </c>
      <c r="AE257" s="274" t="e">
        <f t="shared" si="190"/>
        <v>#N/A</v>
      </c>
      <c r="AF257" s="277" t="e">
        <f t="shared" si="222"/>
        <v>#N/A</v>
      </c>
      <c r="AG257" s="277" t="e">
        <f t="shared" si="223"/>
        <v>#N/A</v>
      </c>
      <c r="AH257" s="276" t="e">
        <f t="shared" si="191"/>
        <v>#N/A</v>
      </c>
      <c r="AI257" s="239">
        <f t="shared" si="224"/>
        <v>7</v>
      </c>
      <c r="AJ257" s="277" t="e">
        <f t="shared" si="192"/>
        <v>#N/A</v>
      </c>
      <c r="AK257" s="277" t="e">
        <f t="shared" si="225"/>
        <v>#N/A</v>
      </c>
      <c r="AL257" s="239" t="e">
        <f t="shared" si="193"/>
        <v>#N/A</v>
      </c>
      <c r="AM257" s="278" t="e">
        <f t="shared" si="226"/>
        <v>#N/A</v>
      </c>
      <c r="AN257" s="279" t="e">
        <f t="shared" si="194"/>
        <v>#N/A</v>
      </c>
      <c r="AO257" s="240" t="e">
        <f t="shared" si="195"/>
        <v>#N/A</v>
      </c>
      <c r="AP257" s="297">
        <f t="shared" si="227"/>
        <v>7</v>
      </c>
      <c r="AQ257" s="298" t="e">
        <f t="shared" si="196"/>
        <v>#N/A</v>
      </c>
      <c r="AR257" s="279" t="e">
        <f t="shared" si="228"/>
        <v>#N/A</v>
      </c>
      <c r="AS257" s="283" t="e">
        <f t="shared" si="197"/>
        <v>#N/A</v>
      </c>
      <c r="AT257" s="284">
        <f t="shared" si="229"/>
        <v>7</v>
      </c>
      <c r="AU257" s="285" t="e">
        <f t="shared" si="230"/>
        <v>#N/A</v>
      </c>
      <c r="AV257" s="286" t="e">
        <f t="shared" si="231"/>
        <v>#N/A</v>
      </c>
      <c r="AW257" s="287" t="e">
        <f t="shared" si="198"/>
        <v>#N/A</v>
      </c>
      <c r="AX257" s="245">
        <f t="shared" si="232"/>
        <v>7</v>
      </c>
      <c r="AY257" s="286" t="e">
        <f t="shared" si="199"/>
        <v>#N/A</v>
      </c>
      <c r="AZ257" s="245" t="e">
        <f t="shared" si="233"/>
        <v>#N/A</v>
      </c>
      <c r="BA257" s="245" t="e">
        <f t="shared" si="200"/>
        <v>#N/A</v>
      </c>
      <c r="BB257" s="288">
        <f t="shared" si="234"/>
        <v>7</v>
      </c>
      <c r="BC257" s="289" t="e">
        <f t="shared" si="235"/>
        <v>#N/A</v>
      </c>
      <c r="BD257" s="290" t="e">
        <f t="shared" si="236"/>
        <v>#N/A</v>
      </c>
      <c r="BE257" s="263" t="e">
        <f t="shared" si="201"/>
        <v>#N/A</v>
      </c>
      <c r="BF257" s="260">
        <f t="shared" si="237"/>
        <v>7</v>
      </c>
      <c r="BG257" s="289" t="e">
        <f t="shared" si="238"/>
        <v>#N/A</v>
      </c>
      <c r="BH257" s="290" t="e">
        <f t="shared" si="239"/>
        <v>#N/A</v>
      </c>
      <c r="BI257" s="263" t="e">
        <f t="shared" si="202"/>
        <v>#N/A</v>
      </c>
      <c r="BJ257" s="264">
        <f t="shared" si="240"/>
        <v>7</v>
      </c>
      <c r="BK257" s="291" t="e">
        <f t="shared" si="241"/>
        <v>#N/A</v>
      </c>
      <c r="BL257" s="291" t="e">
        <f t="shared" si="242"/>
        <v>#N/A</v>
      </c>
      <c r="BM257" s="292" t="e">
        <f t="shared" si="203"/>
        <v>#N/A</v>
      </c>
      <c r="BN257" s="293">
        <f t="shared" si="243"/>
        <v>7</v>
      </c>
      <c r="BO257" s="294" t="e">
        <f t="shared" si="244"/>
        <v>#N/A</v>
      </c>
      <c r="BP257" s="294" t="e">
        <f t="shared" si="245"/>
        <v>#N/A</v>
      </c>
      <c r="BQ257" s="292" t="e">
        <f t="shared" si="204"/>
        <v>#N/A</v>
      </c>
      <c r="BR257" s="295" t="e">
        <f t="shared" si="205"/>
        <v>#N/A</v>
      </c>
      <c r="BS257" s="230" t="e">
        <f>VLOOKUP($B257,SDR22_STOCK_BY_LA!$A$2:$C$11679,3,0)</f>
        <v>#N/A</v>
      </c>
      <c r="BT257" s="230" t="str">
        <f t="shared" si="246"/>
        <v/>
      </c>
    </row>
    <row r="258" spans="1:72" ht="12.5" x14ac:dyDescent="0.25">
      <c r="A258" s="230" t="str">
        <f t="shared" si="247"/>
        <v/>
      </c>
      <c r="B258" s="230" t="str">
        <f t="shared" si="248"/>
        <v/>
      </c>
      <c r="C258" s="296" t="str">
        <f t="shared" si="206"/>
        <v/>
      </c>
      <c r="D258" s="269" t="str">
        <f>IF(B258="","",IF(totals!$Q$3=0,IFERROR(IF(AD258=2,"0",AE258),""),"-"))</f>
        <v/>
      </c>
      <c r="E258" s="271" t="str">
        <f t="shared" si="207"/>
        <v/>
      </c>
      <c r="F258" s="272" t="str">
        <f t="shared" si="208"/>
        <v/>
      </c>
      <c r="G258" s="272" t="str">
        <f t="shared" si="209"/>
        <v/>
      </c>
      <c r="H258" s="269" t="str">
        <f t="shared" si="187"/>
        <v/>
      </c>
      <c r="I258" s="272" t="str">
        <f t="shared" si="210"/>
        <v/>
      </c>
      <c r="J258" s="272" t="str">
        <f t="shared" si="211"/>
        <v/>
      </c>
      <c r="K258" s="269" t="str">
        <f t="shared" si="188"/>
        <v/>
      </c>
      <c r="L258" s="272" t="str">
        <f t="shared" si="189"/>
        <v/>
      </c>
      <c r="M258" s="272" t="str">
        <f t="shared" si="212"/>
        <v/>
      </c>
      <c r="N258" s="269" t="str">
        <f t="shared" si="213"/>
        <v/>
      </c>
      <c r="O258" s="272" t="str">
        <f t="shared" si="214"/>
        <v/>
      </c>
      <c r="P258" s="272" t="str">
        <f t="shared" si="215"/>
        <v/>
      </c>
      <c r="Q258" s="269" t="str">
        <f t="shared" si="216"/>
        <v/>
      </c>
      <c r="R258" s="272" t="str">
        <f t="shared" si="217"/>
        <v/>
      </c>
      <c r="S258" s="272" t="str">
        <f t="shared" si="218"/>
        <v/>
      </c>
      <c r="T258" s="269" t="str">
        <f t="shared" si="219"/>
        <v/>
      </c>
      <c r="U258" s="230"/>
      <c r="V258" s="230"/>
      <c r="AB258" s="230" t="e">
        <f>VLOOKUP($B$6,Lookup_Source,251,0)</f>
        <v>#N/A</v>
      </c>
      <c r="AC258" s="254" t="str">
        <f t="shared" si="220"/>
        <v/>
      </c>
      <c r="AD258" s="255">
        <f t="shared" si="221"/>
        <v>7</v>
      </c>
      <c r="AE258" s="274" t="e">
        <f t="shared" si="190"/>
        <v>#N/A</v>
      </c>
      <c r="AF258" s="277" t="e">
        <f t="shared" si="222"/>
        <v>#N/A</v>
      </c>
      <c r="AG258" s="277" t="e">
        <f t="shared" si="223"/>
        <v>#N/A</v>
      </c>
      <c r="AH258" s="276" t="e">
        <f t="shared" si="191"/>
        <v>#N/A</v>
      </c>
      <c r="AI258" s="239">
        <f t="shared" si="224"/>
        <v>7</v>
      </c>
      <c r="AJ258" s="277" t="e">
        <f t="shared" si="192"/>
        <v>#N/A</v>
      </c>
      <c r="AK258" s="277" t="e">
        <f t="shared" si="225"/>
        <v>#N/A</v>
      </c>
      <c r="AL258" s="239" t="e">
        <f t="shared" si="193"/>
        <v>#N/A</v>
      </c>
      <c r="AM258" s="278" t="e">
        <f t="shared" si="226"/>
        <v>#N/A</v>
      </c>
      <c r="AN258" s="279" t="e">
        <f t="shared" si="194"/>
        <v>#N/A</v>
      </c>
      <c r="AO258" s="240" t="e">
        <f t="shared" si="195"/>
        <v>#N/A</v>
      </c>
      <c r="AP258" s="297">
        <f t="shared" si="227"/>
        <v>7</v>
      </c>
      <c r="AQ258" s="298" t="e">
        <f t="shared" si="196"/>
        <v>#N/A</v>
      </c>
      <c r="AR258" s="279" t="e">
        <f t="shared" si="228"/>
        <v>#N/A</v>
      </c>
      <c r="AS258" s="283" t="e">
        <f t="shared" si="197"/>
        <v>#N/A</v>
      </c>
      <c r="AT258" s="284">
        <f t="shared" si="229"/>
        <v>7</v>
      </c>
      <c r="AU258" s="285" t="e">
        <f t="shared" si="230"/>
        <v>#N/A</v>
      </c>
      <c r="AV258" s="286" t="e">
        <f t="shared" si="231"/>
        <v>#N/A</v>
      </c>
      <c r="AW258" s="287" t="e">
        <f t="shared" si="198"/>
        <v>#N/A</v>
      </c>
      <c r="AX258" s="245">
        <f t="shared" si="232"/>
        <v>7</v>
      </c>
      <c r="AY258" s="286" t="e">
        <f t="shared" si="199"/>
        <v>#N/A</v>
      </c>
      <c r="AZ258" s="245" t="e">
        <f t="shared" si="233"/>
        <v>#N/A</v>
      </c>
      <c r="BA258" s="245" t="e">
        <f t="shared" si="200"/>
        <v>#N/A</v>
      </c>
      <c r="BB258" s="288">
        <f t="shared" si="234"/>
        <v>7</v>
      </c>
      <c r="BC258" s="289" t="e">
        <f t="shared" si="235"/>
        <v>#N/A</v>
      </c>
      <c r="BD258" s="290" t="e">
        <f t="shared" si="236"/>
        <v>#N/A</v>
      </c>
      <c r="BE258" s="263" t="e">
        <f t="shared" si="201"/>
        <v>#N/A</v>
      </c>
      <c r="BF258" s="260">
        <f t="shared" si="237"/>
        <v>7</v>
      </c>
      <c r="BG258" s="289" t="e">
        <f t="shared" si="238"/>
        <v>#N/A</v>
      </c>
      <c r="BH258" s="290" t="e">
        <f t="shared" si="239"/>
        <v>#N/A</v>
      </c>
      <c r="BI258" s="263" t="e">
        <f t="shared" si="202"/>
        <v>#N/A</v>
      </c>
      <c r="BJ258" s="264">
        <f t="shared" si="240"/>
        <v>7</v>
      </c>
      <c r="BK258" s="291" t="e">
        <f t="shared" si="241"/>
        <v>#N/A</v>
      </c>
      <c r="BL258" s="291" t="e">
        <f t="shared" si="242"/>
        <v>#N/A</v>
      </c>
      <c r="BM258" s="292" t="e">
        <f t="shared" si="203"/>
        <v>#N/A</v>
      </c>
      <c r="BN258" s="293">
        <f t="shared" si="243"/>
        <v>7</v>
      </c>
      <c r="BO258" s="294" t="e">
        <f t="shared" si="244"/>
        <v>#N/A</v>
      </c>
      <c r="BP258" s="294" t="e">
        <f t="shared" si="245"/>
        <v>#N/A</v>
      </c>
      <c r="BQ258" s="292" t="e">
        <f t="shared" si="204"/>
        <v>#N/A</v>
      </c>
      <c r="BR258" s="295" t="e">
        <f t="shared" si="205"/>
        <v>#N/A</v>
      </c>
      <c r="BS258" s="230" t="e">
        <f>VLOOKUP($B258,SDR22_STOCK_BY_LA!$A$2:$C$11679,3,0)</f>
        <v>#N/A</v>
      </c>
      <c r="BT258" s="230" t="str">
        <f t="shared" si="246"/>
        <v/>
      </c>
    </row>
    <row r="259" spans="1:72" ht="12.5" x14ac:dyDescent="0.25">
      <c r="A259" s="269" t="str">
        <f t="shared" si="247"/>
        <v/>
      </c>
      <c r="B259" s="230" t="str">
        <f t="shared" si="248"/>
        <v/>
      </c>
      <c r="C259" s="270" t="str">
        <f t="shared" si="206"/>
        <v/>
      </c>
      <c r="D259" s="269" t="str">
        <f>IF(B259="","",IF(totals!$Q$3=0,IFERROR(IF(AD259=2,"0",AE259),""),"-"))</f>
        <v/>
      </c>
      <c r="E259" s="271" t="str">
        <f t="shared" si="207"/>
        <v/>
      </c>
      <c r="F259" s="272" t="str">
        <f t="shared" si="208"/>
        <v/>
      </c>
      <c r="G259" s="272" t="str">
        <f t="shared" si="209"/>
        <v/>
      </c>
      <c r="H259" s="269" t="str">
        <f t="shared" si="187"/>
        <v/>
      </c>
      <c r="I259" s="272" t="str">
        <f t="shared" si="210"/>
        <v/>
      </c>
      <c r="J259" s="272" t="str">
        <f t="shared" si="211"/>
        <v/>
      </c>
      <c r="K259" s="269" t="str">
        <f t="shared" si="188"/>
        <v/>
      </c>
      <c r="L259" s="272" t="str">
        <f t="shared" si="189"/>
        <v/>
      </c>
      <c r="M259" s="272" t="str">
        <f t="shared" si="212"/>
        <v/>
      </c>
      <c r="N259" s="269" t="str">
        <f t="shared" si="213"/>
        <v/>
      </c>
      <c r="O259" s="272" t="str">
        <f t="shared" si="214"/>
        <v/>
      </c>
      <c r="P259" s="272" t="str">
        <f t="shared" si="215"/>
        <v/>
      </c>
      <c r="Q259" s="269" t="str">
        <f t="shared" si="216"/>
        <v/>
      </c>
      <c r="R259" s="272" t="str">
        <f t="shared" si="217"/>
        <v/>
      </c>
      <c r="S259" s="272" t="str">
        <f t="shared" si="218"/>
        <v/>
      </c>
      <c r="T259" s="269" t="str">
        <f t="shared" si="219"/>
        <v/>
      </c>
      <c r="U259" s="230"/>
      <c r="V259" s="230"/>
      <c r="AB259" s="270" t="e">
        <f>VLOOKUP($B$6,Lookup_Source,252,0)</f>
        <v>#N/A</v>
      </c>
      <c r="AC259" s="254" t="str">
        <f t="shared" si="220"/>
        <v/>
      </c>
      <c r="AD259" s="255">
        <f t="shared" si="221"/>
        <v>7</v>
      </c>
      <c r="AE259" s="274" t="e">
        <f t="shared" si="190"/>
        <v>#N/A</v>
      </c>
      <c r="AF259" s="277" t="e">
        <f t="shared" si="222"/>
        <v>#N/A</v>
      </c>
      <c r="AG259" s="277" t="e">
        <f t="shared" si="223"/>
        <v>#N/A</v>
      </c>
      <c r="AH259" s="276" t="e">
        <f t="shared" si="191"/>
        <v>#N/A</v>
      </c>
      <c r="AI259" s="239">
        <f t="shared" si="224"/>
        <v>7</v>
      </c>
      <c r="AJ259" s="277" t="e">
        <f t="shared" si="192"/>
        <v>#N/A</v>
      </c>
      <c r="AK259" s="277" t="e">
        <f t="shared" si="225"/>
        <v>#N/A</v>
      </c>
      <c r="AL259" s="239" t="e">
        <f t="shared" si="193"/>
        <v>#N/A</v>
      </c>
      <c r="AM259" s="278" t="e">
        <f t="shared" si="226"/>
        <v>#N/A</v>
      </c>
      <c r="AN259" s="279" t="e">
        <f t="shared" si="194"/>
        <v>#N/A</v>
      </c>
      <c r="AO259" s="240" t="e">
        <f t="shared" si="195"/>
        <v>#N/A</v>
      </c>
      <c r="AP259" s="297">
        <f t="shared" si="227"/>
        <v>7</v>
      </c>
      <c r="AQ259" s="298" t="e">
        <f t="shared" si="196"/>
        <v>#N/A</v>
      </c>
      <c r="AR259" s="279" t="e">
        <f t="shared" si="228"/>
        <v>#N/A</v>
      </c>
      <c r="AS259" s="283" t="e">
        <f t="shared" si="197"/>
        <v>#N/A</v>
      </c>
      <c r="AT259" s="284">
        <f t="shared" si="229"/>
        <v>7</v>
      </c>
      <c r="AU259" s="285" t="e">
        <f t="shared" si="230"/>
        <v>#N/A</v>
      </c>
      <c r="AV259" s="286" t="e">
        <f t="shared" si="231"/>
        <v>#N/A</v>
      </c>
      <c r="AW259" s="287" t="e">
        <f t="shared" si="198"/>
        <v>#N/A</v>
      </c>
      <c r="AX259" s="245">
        <f t="shared" si="232"/>
        <v>7</v>
      </c>
      <c r="AY259" s="286" t="e">
        <f t="shared" si="199"/>
        <v>#N/A</v>
      </c>
      <c r="AZ259" s="245" t="e">
        <f t="shared" si="233"/>
        <v>#N/A</v>
      </c>
      <c r="BA259" s="245" t="e">
        <f t="shared" si="200"/>
        <v>#N/A</v>
      </c>
      <c r="BB259" s="288">
        <f t="shared" si="234"/>
        <v>7</v>
      </c>
      <c r="BC259" s="289" t="e">
        <f t="shared" si="235"/>
        <v>#N/A</v>
      </c>
      <c r="BD259" s="290" t="e">
        <f t="shared" si="236"/>
        <v>#N/A</v>
      </c>
      <c r="BE259" s="263" t="e">
        <f t="shared" si="201"/>
        <v>#N/A</v>
      </c>
      <c r="BF259" s="260">
        <f t="shared" si="237"/>
        <v>7</v>
      </c>
      <c r="BG259" s="289" t="e">
        <f t="shared" si="238"/>
        <v>#N/A</v>
      </c>
      <c r="BH259" s="290" t="e">
        <f t="shared" si="239"/>
        <v>#N/A</v>
      </c>
      <c r="BI259" s="263" t="e">
        <f t="shared" si="202"/>
        <v>#N/A</v>
      </c>
      <c r="BJ259" s="264">
        <f t="shared" si="240"/>
        <v>7</v>
      </c>
      <c r="BK259" s="291" t="e">
        <f t="shared" si="241"/>
        <v>#N/A</v>
      </c>
      <c r="BL259" s="291" t="e">
        <f t="shared" si="242"/>
        <v>#N/A</v>
      </c>
      <c r="BM259" s="292" t="e">
        <f t="shared" si="203"/>
        <v>#N/A</v>
      </c>
      <c r="BN259" s="293">
        <f t="shared" si="243"/>
        <v>7</v>
      </c>
      <c r="BO259" s="294" t="e">
        <f t="shared" si="244"/>
        <v>#N/A</v>
      </c>
      <c r="BP259" s="294" t="e">
        <f t="shared" si="245"/>
        <v>#N/A</v>
      </c>
      <c r="BQ259" s="292" t="e">
        <f t="shared" si="204"/>
        <v>#N/A</v>
      </c>
      <c r="BR259" s="295" t="e">
        <f t="shared" si="205"/>
        <v>#N/A</v>
      </c>
      <c r="BS259" s="230" t="e">
        <f>VLOOKUP($B259,SDR22_STOCK_BY_LA!$A$2:$C$11679,3,0)</f>
        <v>#N/A</v>
      </c>
      <c r="BT259" s="230" t="str">
        <f t="shared" si="246"/>
        <v/>
      </c>
    </row>
    <row r="260" spans="1:72" ht="12.5" x14ac:dyDescent="0.25">
      <c r="A260" s="230" t="str">
        <f t="shared" si="247"/>
        <v/>
      </c>
      <c r="B260" s="230" t="str">
        <f t="shared" si="248"/>
        <v/>
      </c>
      <c r="C260" s="296" t="str">
        <f t="shared" si="206"/>
        <v/>
      </c>
      <c r="D260" s="269" t="str">
        <f>IF(B260="","",IF(totals!$Q$3=0,IFERROR(IF(AD260=2,"0",AE260),""),"-"))</f>
        <v/>
      </c>
      <c r="E260" s="271" t="str">
        <f t="shared" si="207"/>
        <v/>
      </c>
      <c r="F260" s="272" t="str">
        <f t="shared" si="208"/>
        <v/>
      </c>
      <c r="G260" s="272" t="str">
        <f t="shared" si="209"/>
        <v/>
      </c>
      <c r="H260" s="269" t="str">
        <f t="shared" si="187"/>
        <v/>
      </c>
      <c r="I260" s="272" t="str">
        <f t="shared" si="210"/>
        <v/>
      </c>
      <c r="J260" s="272" t="str">
        <f t="shared" si="211"/>
        <v/>
      </c>
      <c r="K260" s="269" t="str">
        <f t="shared" si="188"/>
        <v/>
      </c>
      <c r="L260" s="272" t="str">
        <f t="shared" si="189"/>
        <v/>
      </c>
      <c r="M260" s="272" t="str">
        <f t="shared" si="212"/>
        <v/>
      </c>
      <c r="N260" s="269" t="str">
        <f t="shared" si="213"/>
        <v/>
      </c>
      <c r="O260" s="272" t="str">
        <f t="shared" si="214"/>
        <v/>
      </c>
      <c r="P260" s="272" t="str">
        <f t="shared" si="215"/>
        <v/>
      </c>
      <c r="Q260" s="269" t="str">
        <f t="shared" si="216"/>
        <v/>
      </c>
      <c r="R260" s="272" t="str">
        <f t="shared" si="217"/>
        <v/>
      </c>
      <c r="S260" s="272" t="str">
        <f t="shared" si="218"/>
        <v/>
      </c>
      <c r="T260" s="269" t="str">
        <f t="shared" si="219"/>
        <v/>
      </c>
      <c r="U260" s="230"/>
      <c r="V260" s="230"/>
      <c r="AB260" s="230" t="e">
        <f>VLOOKUP($B$6,Lookup_Source,253,0)</f>
        <v>#N/A</v>
      </c>
      <c r="AC260" s="254" t="str">
        <f t="shared" si="220"/>
        <v/>
      </c>
      <c r="AD260" s="255">
        <f t="shared" si="221"/>
        <v>7</v>
      </c>
      <c r="AE260" s="274" t="e">
        <f t="shared" si="190"/>
        <v>#N/A</v>
      </c>
      <c r="AF260" s="277" t="e">
        <f t="shared" si="222"/>
        <v>#N/A</v>
      </c>
      <c r="AG260" s="277" t="e">
        <f t="shared" si="223"/>
        <v>#N/A</v>
      </c>
      <c r="AH260" s="276" t="e">
        <f t="shared" si="191"/>
        <v>#N/A</v>
      </c>
      <c r="AI260" s="239">
        <f t="shared" si="224"/>
        <v>7</v>
      </c>
      <c r="AJ260" s="277" t="e">
        <f t="shared" si="192"/>
        <v>#N/A</v>
      </c>
      <c r="AK260" s="277" t="e">
        <f t="shared" si="225"/>
        <v>#N/A</v>
      </c>
      <c r="AL260" s="239" t="e">
        <f t="shared" si="193"/>
        <v>#N/A</v>
      </c>
      <c r="AM260" s="278" t="e">
        <f t="shared" si="226"/>
        <v>#N/A</v>
      </c>
      <c r="AN260" s="279" t="e">
        <f t="shared" si="194"/>
        <v>#N/A</v>
      </c>
      <c r="AO260" s="240" t="e">
        <f t="shared" si="195"/>
        <v>#N/A</v>
      </c>
      <c r="AP260" s="297">
        <f t="shared" si="227"/>
        <v>7</v>
      </c>
      <c r="AQ260" s="298" t="e">
        <f t="shared" si="196"/>
        <v>#N/A</v>
      </c>
      <c r="AR260" s="279" t="e">
        <f t="shared" si="228"/>
        <v>#N/A</v>
      </c>
      <c r="AS260" s="283" t="e">
        <f t="shared" si="197"/>
        <v>#N/A</v>
      </c>
      <c r="AT260" s="284">
        <f t="shared" si="229"/>
        <v>7</v>
      </c>
      <c r="AU260" s="285" t="e">
        <f t="shared" si="230"/>
        <v>#N/A</v>
      </c>
      <c r="AV260" s="286" t="e">
        <f t="shared" si="231"/>
        <v>#N/A</v>
      </c>
      <c r="AW260" s="287" t="e">
        <f t="shared" si="198"/>
        <v>#N/A</v>
      </c>
      <c r="AX260" s="245">
        <f t="shared" si="232"/>
        <v>7</v>
      </c>
      <c r="AY260" s="286" t="e">
        <f t="shared" si="199"/>
        <v>#N/A</v>
      </c>
      <c r="AZ260" s="245" t="e">
        <f t="shared" si="233"/>
        <v>#N/A</v>
      </c>
      <c r="BA260" s="245" t="e">
        <f t="shared" si="200"/>
        <v>#N/A</v>
      </c>
      <c r="BB260" s="288">
        <f t="shared" si="234"/>
        <v>7</v>
      </c>
      <c r="BC260" s="289" t="e">
        <f t="shared" si="235"/>
        <v>#N/A</v>
      </c>
      <c r="BD260" s="290" t="e">
        <f t="shared" si="236"/>
        <v>#N/A</v>
      </c>
      <c r="BE260" s="263" t="e">
        <f t="shared" si="201"/>
        <v>#N/A</v>
      </c>
      <c r="BF260" s="260">
        <f t="shared" si="237"/>
        <v>7</v>
      </c>
      <c r="BG260" s="289" t="e">
        <f t="shared" si="238"/>
        <v>#N/A</v>
      </c>
      <c r="BH260" s="290" t="e">
        <f t="shared" si="239"/>
        <v>#N/A</v>
      </c>
      <c r="BI260" s="263" t="e">
        <f t="shared" si="202"/>
        <v>#N/A</v>
      </c>
      <c r="BJ260" s="264">
        <f t="shared" si="240"/>
        <v>7</v>
      </c>
      <c r="BK260" s="291" t="e">
        <f t="shared" si="241"/>
        <v>#N/A</v>
      </c>
      <c r="BL260" s="291" t="e">
        <f t="shared" si="242"/>
        <v>#N/A</v>
      </c>
      <c r="BM260" s="292" t="e">
        <f t="shared" si="203"/>
        <v>#N/A</v>
      </c>
      <c r="BN260" s="293">
        <f t="shared" si="243"/>
        <v>7</v>
      </c>
      <c r="BO260" s="294" t="e">
        <f t="shared" si="244"/>
        <v>#N/A</v>
      </c>
      <c r="BP260" s="294" t="e">
        <f t="shared" si="245"/>
        <v>#N/A</v>
      </c>
      <c r="BQ260" s="292" t="e">
        <f t="shared" si="204"/>
        <v>#N/A</v>
      </c>
      <c r="BR260" s="295" t="e">
        <f t="shared" si="205"/>
        <v>#N/A</v>
      </c>
      <c r="BS260" s="230" t="e">
        <f>VLOOKUP($B260,SDR22_STOCK_BY_LA!$A$2:$C$11679,3,0)</f>
        <v>#N/A</v>
      </c>
      <c r="BT260" s="230" t="str">
        <f t="shared" si="246"/>
        <v/>
      </c>
    </row>
    <row r="261" spans="1:72" ht="12.5" x14ac:dyDescent="0.25">
      <c r="A261" s="269" t="str">
        <f t="shared" si="247"/>
        <v/>
      </c>
      <c r="B261" s="230" t="str">
        <f t="shared" si="248"/>
        <v/>
      </c>
      <c r="C261" s="270" t="str">
        <f t="shared" si="206"/>
        <v/>
      </c>
      <c r="D261" s="269" t="str">
        <f>IF(B261="","",IF(totals!$Q$3=0,IFERROR(IF(AD261=2,"0",AE261),""),"-"))</f>
        <v/>
      </c>
      <c r="E261" s="271" t="str">
        <f t="shared" si="207"/>
        <v/>
      </c>
      <c r="F261" s="272" t="str">
        <f t="shared" si="208"/>
        <v/>
      </c>
      <c r="G261" s="272" t="str">
        <f t="shared" si="209"/>
        <v/>
      </c>
      <c r="H261" s="269" t="str">
        <f t="shared" si="187"/>
        <v/>
      </c>
      <c r="I261" s="272" t="str">
        <f t="shared" si="210"/>
        <v/>
      </c>
      <c r="J261" s="272" t="str">
        <f t="shared" si="211"/>
        <v/>
      </c>
      <c r="K261" s="269" t="str">
        <f t="shared" si="188"/>
        <v/>
      </c>
      <c r="L261" s="272" t="str">
        <f t="shared" si="189"/>
        <v/>
      </c>
      <c r="M261" s="272" t="str">
        <f t="shared" si="212"/>
        <v/>
      </c>
      <c r="N261" s="269" t="str">
        <f t="shared" si="213"/>
        <v/>
      </c>
      <c r="O261" s="272" t="str">
        <f t="shared" si="214"/>
        <v/>
      </c>
      <c r="P261" s="272" t="str">
        <f t="shared" si="215"/>
        <v/>
      </c>
      <c r="Q261" s="269" t="str">
        <f t="shared" si="216"/>
        <v/>
      </c>
      <c r="R261" s="272" t="str">
        <f t="shared" si="217"/>
        <v/>
      </c>
      <c r="S261" s="272" t="str">
        <f t="shared" si="218"/>
        <v/>
      </c>
      <c r="T261" s="269" t="str">
        <f t="shared" si="219"/>
        <v/>
      </c>
      <c r="U261" s="230"/>
      <c r="V261" s="230"/>
      <c r="AB261" s="270" t="e">
        <f>VLOOKUP($B$6,Lookup_Source,254,0)</f>
        <v>#N/A</v>
      </c>
      <c r="AC261" s="254" t="str">
        <f t="shared" si="220"/>
        <v/>
      </c>
      <c r="AD261" s="255">
        <f t="shared" si="221"/>
        <v>7</v>
      </c>
      <c r="AE261" s="274" t="e">
        <f t="shared" si="190"/>
        <v>#N/A</v>
      </c>
      <c r="AF261" s="277" t="e">
        <f t="shared" si="222"/>
        <v>#N/A</v>
      </c>
      <c r="AG261" s="277" t="e">
        <f t="shared" si="223"/>
        <v>#N/A</v>
      </c>
      <c r="AH261" s="276" t="e">
        <f t="shared" si="191"/>
        <v>#N/A</v>
      </c>
      <c r="AI261" s="239">
        <f t="shared" si="224"/>
        <v>7</v>
      </c>
      <c r="AJ261" s="277" t="e">
        <f t="shared" si="192"/>
        <v>#N/A</v>
      </c>
      <c r="AK261" s="277" t="e">
        <f t="shared" si="225"/>
        <v>#N/A</v>
      </c>
      <c r="AL261" s="239" t="e">
        <f t="shared" si="193"/>
        <v>#N/A</v>
      </c>
      <c r="AM261" s="278" t="e">
        <f t="shared" si="226"/>
        <v>#N/A</v>
      </c>
      <c r="AN261" s="279" t="e">
        <f t="shared" si="194"/>
        <v>#N/A</v>
      </c>
      <c r="AO261" s="240" t="e">
        <f t="shared" si="195"/>
        <v>#N/A</v>
      </c>
      <c r="AP261" s="297">
        <f t="shared" si="227"/>
        <v>7</v>
      </c>
      <c r="AQ261" s="298" t="e">
        <f t="shared" si="196"/>
        <v>#N/A</v>
      </c>
      <c r="AR261" s="279" t="e">
        <f t="shared" si="228"/>
        <v>#N/A</v>
      </c>
      <c r="AS261" s="283" t="e">
        <f t="shared" si="197"/>
        <v>#N/A</v>
      </c>
      <c r="AT261" s="284">
        <f t="shared" si="229"/>
        <v>7</v>
      </c>
      <c r="AU261" s="285" t="e">
        <f t="shared" si="230"/>
        <v>#N/A</v>
      </c>
      <c r="AV261" s="286" t="e">
        <f t="shared" si="231"/>
        <v>#N/A</v>
      </c>
      <c r="AW261" s="287" t="e">
        <f t="shared" si="198"/>
        <v>#N/A</v>
      </c>
      <c r="AX261" s="245">
        <f t="shared" si="232"/>
        <v>7</v>
      </c>
      <c r="AY261" s="286" t="e">
        <f t="shared" si="199"/>
        <v>#N/A</v>
      </c>
      <c r="AZ261" s="245" t="e">
        <f t="shared" si="233"/>
        <v>#N/A</v>
      </c>
      <c r="BA261" s="245" t="e">
        <f t="shared" si="200"/>
        <v>#N/A</v>
      </c>
      <c r="BB261" s="288">
        <f t="shared" si="234"/>
        <v>7</v>
      </c>
      <c r="BC261" s="289" t="e">
        <f t="shared" si="235"/>
        <v>#N/A</v>
      </c>
      <c r="BD261" s="290" t="e">
        <f t="shared" si="236"/>
        <v>#N/A</v>
      </c>
      <c r="BE261" s="263" t="e">
        <f t="shared" si="201"/>
        <v>#N/A</v>
      </c>
      <c r="BF261" s="260">
        <f t="shared" si="237"/>
        <v>7</v>
      </c>
      <c r="BG261" s="289" t="e">
        <f t="shared" si="238"/>
        <v>#N/A</v>
      </c>
      <c r="BH261" s="290" t="e">
        <f t="shared" si="239"/>
        <v>#N/A</v>
      </c>
      <c r="BI261" s="263" t="e">
        <f t="shared" si="202"/>
        <v>#N/A</v>
      </c>
      <c r="BJ261" s="264">
        <f t="shared" si="240"/>
        <v>7</v>
      </c>
      <c r="BK261" s="291" t="e">
        <f t="shared" si="241"/>
        <v>#N/A</v>
      </c>
      <c r="BL261" s="291" t="e">
        <f t="shared" si="242"/>
        <v>#N/A</v>
      </c>
      <c r="BM261" s="292" t="e">
        <f t="shared" si="203"/>
        <v>#N/A</v>
      </c>
      <c r="BN261" s="293">
        <f t="shared" si="243"/>
        <v>7</v>
      </c>
      <c r="BO261" s="294" t="e">
        <f t="shared" si="244"/>
        <v>#N/A</v>
      </c>
      <c r="BP261" s="294" t="e">
        <f t="shared" si="245"/>
        <v>#N/A</v>
      </c>
      <c r="BQ261" s="292" t="e">
        <f t="shared" si="204"/>
        <v>#N/A</v>
      </c>
      <c r="BR261" s="295" t="e">
        <f t="shared" si="205"/>
        <v>#N/A</v>
      </c>
      <c r="BS261" s="230" t="e">
        <f>VLOOKUP($B261,SDR22_STOCK_BY_LA!$A$2:$C$11679,3,0)</f>
        <v>#N/A</v>
      </c>
      <c r="BT261" s="230" t="str">
        <f t="shared" si="246"/>
        <v/>
      </c>
    </row>
    <row r="262" spans="1:72" ht="12.5" x14ac:dyDescent="0.25">
      <c r="A262" s="230" t="str">
        <f t="shared" si="247"/>
        <v/>
      </c>
      <c r="B262" s="230" t="str">
        <f t="shared" si="248"/>
        <v/>
      </c>
      <c r="C262" s="296" t="str">
        <f t="shared" si="206"/>
        <v/>
      </c>
      <c r="D262" s="269" t="str">
        <f>IF(B262="","",IF(totals!$Q$3=0,IFERROR(IF(AD262=2,"0",AE262),""),"-"))</f>
        <v/>
      </c>
      <c r="E262" s="271" t="str">
        <f t="shared" si="207"/>
        <v/>
      </c>
      <c r="F262" s="272" t="str">
        <f t="shared" si="208"/>
        <v/>
      </c>
      <c r="G262" s="272" t="str">
        <f t="shared" si="209"/>
        <v/>
      </c>
      <c r="H262" s="269" t="str">
        <f t="shared" si="187"/>
        <v/>
      </c>
      <c r="I262" s="272" t="str">
        <f t="shared" si="210"/>
        <v/>
      </c>
      <c r="J262" s="272" t="str">
        <f t="shared" si="211"/>
        <v/>
      </c>
      <c r="K262" s="269" t="str">
        <f t="shared" si="188"/>
        <v/>
      </c>
      <c r="L262" s="272" t="str">
        <f t="shared" si="189"/>
        <v/>
      </c>
      <c r="M262" s="272" t="str">
        <f t="shared" si="212"/>
        <v/>
      </c>
      <c r="N262" s="269" t="str">
        <f t="shared" si="213"/>
        <v/>
      </c>
      <c r="O262" s="272" t="str">
        <f t="shared" si="214"/>
        <v/>
      </c>
      <c r="P262" s="272" t="str">
        <f t="shared" si="215"/>
        <v/>
      </c>
      <c r="Q262" s="269" t="str">
        <f t="shared" si="216"/>
        <v/>
      </c>
      <c r="R262" s="272" t="str">
        <f t="shared" si="217"/>
        <v/>
      </c>
      <c r="S262" s="272" t="str">
        <f t="shared" si="218"/>
        <v/>
      </c>
      <c r="T262" s="269" t="str">
        <f t="shared" si="219"/>
        <v/>
      </c>
      <c r="U262" s="230"/>
      <c r="V262" s="230"/>
      <c r="AB262" s="230" t="e">
        <f>VLOOKUP($B$6,Lookup_Source,255,0)</f>
        <v>#N/A</v>
      </c>
      <c r="AC262" s="254" t="str">
        <f t="shared" si="220"/>
        <v/>
      </c>
      <c r="AD262" s="255">
        <f t="shared" si="221"/>
        <v>7</v>
      </c>
      <c r="AE262" s="274" t="e">
        <f t="shared" si="190"/>
        <v>#N/A</v>
      </c>
      <c r="AF262" s="277" t="e">
        <f t="shared" si="222"/>
        <v>#N/A</v>
      </c>
      <c r="AG262" s="277" t="e">
        <f t="shared" si="223"/>
        <v>#N/A</v>
      </c>
      <c r="AH262" s="276" t="e">
        <f t="shared" si="191"/>
        <v>#N/A</v>
      </c>
      <c r="AI262" s="239">
        <f t="shared" si="224"/>
        <v>7</v>
      </c>
      <c r="AJ262" s="277" t="e">
        <f t="shared" si="192"/>
        <v>#N/A</v>
      </c>
      <c r="AK262" s="277" t="e">
        <f t="shared" si="225"/>
        <v>#N/A</v>
      </c>
      <c r="AL262" s="239" t="e">
        <f t="shared" si="193"/>
        <v>#N/A</v>
      </c>
      <c r="AM262" s="278" t="e">
        <f t="shared" si="226"/>
        <v>#N/A</v>
      </c>
      <c r="AN262" s="279" t="e">
        <f t="shared" si="194"/>
        <v>#N/A</v>
      </c>
      <c r="AO262" s="240" t="e">
        <f t="shared" si="195"/>
        <v>#N/A</v>
      </c>
      <c r="AP262" s="297">
        <f t="shared" si="227"/>
        <v>7</v>
      </c>
      <c r="AQ262" s="298" t="e">
        <f t="shared" si="196"/>
        <v>#N/A</v>
      </c>
      <c r="AR262" s="279" t="e">
        <f t="shared" si="228"/>
        <v>#N/A</v>
      </c>
      <c r="AS262" s="283" t="e">
        <f t="shared" si="197"/>
        <v>#N/A</v>
      </c>
      <c r="AT262" s="284">
        <f t="shared" si="229"/>
        <v>7</v>
      </c>
      <c r="AU262" s="285" t="e">
        <f t="shared" si="230"/>
        <v>#N/A</v>
      </c>
      <c r="AV262" s="286" t="e">
        <f t="shared" si="231"/>
        <v>#N/A</v>
      </c>
      <c r="AW262" s="287" t="e">
        <f t="shared" si="198"/>
        <v>#N/A</v>
      </c>
      <c r="AX262" s="245">
        <f t="shared" si="232"/>
        <v>7</v>
      </c>
      <c r="AY262" s="286" t="e">
        <f t="shared" si="199"/>
        <v>#N/A</v>
      </c>
      <c r="AZ262" s="245" t="e">
        <f t="shared" si="233"/>
        <v>#N/A</v>
      </c>
      <c r="BA262" s="245" t="e">
        <f t="shared" si="200"/>
        <v>#N/A</v>
      </c>
      <c r="BB262" s="288">
        <f t="shared" si="234"/>
        <v>7</v>
      </c>
      <c r="BC262" s="289" t="e">
        <f t="shared" si="235"/>
        <v>#N/A</v>
      </c>
      <c r="BD262" s="290" t="e">
        <f t="shared" si="236"/>
        <v>#N/A</v>
      </c>
      <c r="BE262" s="263" t="e">
        <f t="shared" si="201"/>
        <v>#N/A</v>
      </c>
      <c r="BF262" s="260">
        <f t="shared" si="237"/>
        <v>7</v>
      </c>
      <c r="BG262" s="289" t="e">
        <f t="shared" si="238"/>
        <v>#N/A</v>
      </c>
      <c r="BH262" s="290" t="e">
        <f t="shared" si="239"/>
        <v>#N/A</v>
      </c>
      <c r="BI262" s="263" t="e">
        <f t="shared" si="202"/>
        <v>#N/A</v>
      </c>
      <c r="BJ262" s="264">
        <f t="shared" si="240"/>
        <v>7</v>
      </c>
      <c r="BK262" s="291" t="e">
        <f t="shared" si="241"/>
        <v>#N/A</v>
      </c>
      <c r="BL262" s="291" t="e">
        <f t="shared" si="242"/>
        <v>#N/A</v>
      </c>
      <c r="BM262" s="292" t="e">
        <f t="shared" si="203"/>
        <v>#N/A</v>
      </c>
      <c r="BN262" s="293">
        <f t="shared" si="243"/>
        <v>7</v>
      </c>
      <c r="BO262" s="294" t="e">
        <f t="shared" si="244"/>
        <v>#N/A</v>
      </c>
      <c r="BP262" s="294" t="e">
        <f t="shared" si="245"/>
        <v>#N/A</v>
      </c>
      <c r="BQ262" s="292" t="e">
        <f t="shared" si="204"/>
        <v>#N/A</v>
      </c>
      <c r="BR262" s="295" t="e">
        <f t="shared" si="205"/>
        <v>#N/A</v>
      </c>
      <c r="BS262" s="230" t="e">
        <f>VLOOKUP($B262,SDR22_STOCK_BY_LA!$A$2:$C$11679,3,0)</f>
        <v>#N/A</v>
      </c>
      <c r="BT262" s="230" t="str">
        <f t="shared" si="246"/>
        <v/>
      </c>
    </row>
    <row r="263" spans="1:72" ht="12.5" x14ac:dyDescent="0.25">
      <c r="A263" s="269" t="str">
        <f t="shared" si="247"/>
        <v/>
      </c>
      <c r="B263" s="230" t="str">
        <f t="shared" si="248"/>
        <v/>
      </c>
      <c r="C263" s="270" t="str">
        <f t="shared" si="206"/>
        <v/>
      </c>
      <c r="D263" s="269" t="str">
        <f>IF(B263="","",IF(totals!$Q$3=0,IFERROR(IF(AD263=2,"0",AE263),""),"-"))</f>
        <v/>
      </c>
      <c r="E263" s="271" t="str">
        <f t="shared" si="207"/>
        <v/>
      </c>
      <c r="F263" s="272" t="str">
        <f t="shared" si="208"/>
        <v/>
      </c>
      <c r="G263" s="272" t="str">
        <f t="shared" si="209"/>
        <v/>
      </c>
      <c r="H263" s="269" t="str">
        <f t="shared" si="187"/>
        <v/>
      </c>
      <c r="I263" s="272" t="str">
        <f t="shared" si="210"/>
        <v/>
      </c>
      <c r="J263" s="272" t="str">
        <f t="shared" si="211"/>
        <v/>
      </c>
      <c r="K263" s="269" t="str">
        <f t="shared" si="188"/>
        <v/>
      </c>
      <c r="L263" s="272" t="str">
        <f t="shared" si="189"/>
        <v/>
      </c>
      <c r="M263" s="272" t="str">
        <f t="shared" si="212"/>
        <v/>
      </c>
      <c r="N263" s="269" t="str">
        <f t="shared" si="213"/>
        <v/>
      </c>
      <c r="O263" s="272" t="str">
        <f t="shared" si="214"/>
        <v/>
      </c>
      <c r="P263" s="272" t="str">
        <f t="shared" si="215"/>
        <v/>
      </c>
      <c r="Q263" s="269" t="str">
        <f t="shared" si="216"/>
        <v/>
      </c>
      <c r="R263" s="272" t="str">
        <f t="shared" si="217"/>
        <v/>
      </c>
      <c r="S263" s="272" t="str">
        <f t="shared" si="218"/>
        <v/>
      </c>
      <c r="T263" s="269" t="str">
        <f t="shared" si="219"/>
        <v/>
      </c>
      <c r="U263" s="230"/>
      <c r="V263" s="230"/>
      <c r="AB263" s="270" t="e">
        <f>VLOOKUP($B$6,Lookup_Source,256,0)</f>
        <v>#N/A</v>
      </c>
      <c r="AC263" s="254" t="str">
        <f t="shared" si="220"/>
        <v/>
      </c>
      <c r="AD263" s="255">
        <f t="shared" si="221"/>
        <v>7</v>
      </c>
      <c r="AE263" s="274" t="e">
        <f t="shared" si="190"/>
        <v>#N/A</v>
      </c>
      <c r="AF263" s="277" t="e">
        <f t="shared" si="222"/>
        <v>#N/A</v>
      </c>
      <c r="AG263" s="277" t="e">
        <f t="shared" si="223"/>
        <v>#N/A</v>
      </c>
      <c r="AH263" s="276" t="e">
        <f t="shared" si="191"/>
        <v>#N/A</v>
      </c>
      <c r="AI263" s="239">
        <f t="shared" si="224"/>
        <v>7</v>
      </c>
      <c r="AJ263" s="277" t="e">
        <f t="shared" si="192"/>
        <v>#N/A</v>
      </c>
      <c r="AK263" s="277" t="e">
        <f t="shared" si="225"/>
        <v>#N/A</v>
      </c>
      <c r="AL263" s="239" t="e">
        <f t="shared" si="193"/>
        <v>#N/A</v>
      </c>
      <c r="AM263" s="278" t="e">
        <f t="shared" si="226"/>
        <v>#N/A</v>
      </c>
      <c r="AN263" s="279" t="e">
        <f t="shared" si="194"/>
        <v>#N/A</v>
      </c>
      <c r="AO263" s="240" t="e">
        <f t="shared" si="195"/>
        <v>#N/A</v>
      </c>
      <c r="AP263" s="297">
        <f t="shared" si="227"/>
        <v>7</v>
      </c>
      <c r="AQ263" s="298" t="e">
        <f t="shared" si="196"/>
        <v>#N/A</v>
      </c>
      <c r="AR263" s="279" t="e">
        <f t="shared" si="228"/>
        <v>#N/A</v>
      </c>
      <c r="AS263" s="283" t="e">
        <f t="shared" si="197"/>
        <v>#N/A</v>
      </c>
      <c r="AT263" s="284">
        <f t="shared" si="229"/>
        <v>7</v>
      </c>
      <c r="AU263" s="285" t="e">
        <f t="shared" si="230"/>
        <v>#N/A</v>
      </c>
      <c r="AV263" s="286" t="e">
        <f t="shared" si="231"/>
        <v>#N/A</v>
      </c>
      <c r="AW263" s="287" t="e">
        <f t="shared" si="198"/>
        <v>#N/A</v>
      </c>
      <c r="AX263" s="245">
        <f t="shared" si="232"/>
        <v>7</v>
      </c>
      <c r="AY263" s="286" t="e">
        <f t="shared" si="199"/>
        <v>#N/A</v>
      </c>
      <c r="AZ263" s="245" t="e">
        <f t="shared" si="233"/>
        <v>#N/A</v>
      </c>
      <c r="BA263" s="245" t="e">
        <f t="shared" si="200"/>
        <v>#N/A</v>
      </c>
      <c r="BB263" s="288">
        <f t="shared" si="234"/>
        <v>7</v>
      </c>
      <c r="BC263" s="289" t="e">
        <f t="shared" si="235"/>
        <v>#N/A</v>
      </c>
      <c r="BD263" s="290" t="e">
        <f t="shared" si="236"/>
        <v>#N/A</v>
      </c>
      <c r="BE263" s="263" t="e">
        <f t="shared" si="201"/>
        <v>#N/A</v>
      </c>
      <c r="BF263" s="260">
        <f t="shared" si="237"/>
        <v>7</v>
      </c>
      <c r="BG263" s="289" t="e">
        <f t="shared" si="238"/>
        <v>#N/A</v>
      </c>
      <c r="BH263" s="290" t="e">
        <f t="shared" si="239"/>
        <v>#N/A</v>
      </c>
      <c r="BI263" s="263" t="e">
        <f t="shared" si="202"/>
        <v>#N/A</v>
      </c>
      <c r="BJ263" s="264">
        <f t="shared" si="240"/>
        <v>7</v>
      </c>
      <c r="BK263" s="291" t="e">
        <f t="shared" si="241"/>
        <v>#N/A</v>
      </c>
      <c r="BL263" s="291" t="e">
        <f t="shared" si="242"/>
        <v>#N/A</v>
      </c>
      <c r="BM263" s="292" t="e">
        <f t="shared" si="203"/>
        <v>#N/A</v>
      </c>
      <c r="BN263" s="293">
        <f t="shared" si="243"/>
        <v>7</v>
      </c>
      <c r="BO263" s="294" t="e">
        <f t="shared" si="244"/>
        <v>#N/A</v>
      </c>
      <c r="BP263" s="294" t="e">
        <f t="shared" si="245"/>
        <v>#N/A</v>
      </c>
      <c r="BQ263" s="292" t="e">
        <f t="shared" si="204"/>
        <v>#N/A</v>
      </c>
      <c r="BR263" s="295" t="e">
        <f t="shared" si="205"/>
        <v>#N/A</v>
      </c>
      <c r="BS263" s="230" t="e">
        <f>VLOOKUP($B263,SDR22_STOCK_BY_LA!$A$2:$C$11679,3,0)</f>
        <v>#N/A</v>
      </c>
      <c r="BT263" s="230" t="str">
        <f t="shared" si="246"/>
        <v/>
      </c>
    </row>
    <row r="264" spans="1:72" ht="12.5" x14ac:dyDescent="0.25">
      <c r="A264" s="230" t="str">
        <f t="shared" si="247"/>
        <v/>
      </c>
      <c r="B264" s="230" t="str">
        <f t="shared" si="248"/>
        <v/>
      </c>
      <c r="C264" s="296" t="str">
        <f t="shared" si="206"/>
        <v/>
      </c>
      <c r="D264" s="269" t="str">
        <f>IF(B264="","",IF(totals!$Q$3=0,IFERROR(IF(AD264=2,"0",AE264),""),"-"))</f>
        <v/>
      </c>
      <c r="E264" s="271" t="str">
        <f t="shared" si="207"/>
        <v/>
      </c>
      <c r="F264" s="272" t="str">
        <f t="shared" si="208"/>
        <v/>
      </c>
      <c r="G264" s="272" t="str">
        <f t="shared" si="209"/>
        <v/>
      </c>
      <c r="H264" s="269" t="str">
        <f t="shared" si="187"/>
        <v/>
      </c>
      <c r="I264" s="272" t="str">
        <f t="shared" si="210"/>
        <v/>
      </c>
      <c r="J264" s="272" t="str">
        <f t="shared" si="211"/>
        <v/>
      </c>
      <c r="K264" s="269" t="str">
        <f t="shared" si="188"/>
        <v/>
      </c>
      <c r="L264" s="272" t="str">
        <f t="shared" si="189"/>
        <v/>
      </c>
      <c r="M264" s="272" t="str">
        <f t="shared" si="212"/>
        <v/>
      </c>
      <c r="N264" s="269" t="str">
        <f t="shared" si="213"/>
        <v/>
      </c>
      <c r="O264" s="272" t="str">
        <f t="shared" si="214"/>
        <v/>
      </c>
      <c r="P264" s="272" t="str">
        <f t="shared" si="215"/>
        <v/>
      </c>
      <c r="Q264" s="269" t="str">
        <f t="shared" si="216"/>
        <v/>
      </c>
      <c r="R264" s="272" t="str">
        <f t="shared" si="217"/>
        <v/>
      </c>
      <c r="S264" s="272" t="str">
        <f t="shared" si="218"/>
        <v/>
      </c>
      <c r="T264" s="269" t="str">
        <f t="shared" si="219"/>
        <v/>
      </c>
      <c r="U264" s="230"/>
      <c r="V264" s="230"/>
      <c r="AB264" s="230" t="e">
        <f>VLOOKUP($B$6,Lookup_Source,257,0)</f>
        <v>#N/A</v>
      </c>
      <c r="AC264" s="254" t="str">
        <f t="shared" si="220"/>
        <v/>
      </c>
      <c r="AD264" s="255">
        <f t="shared" si="221"/>
        <v>7</v>
      </c>
      <c r="AE264" s="274" t="e">
        <f t="shared" si="190"/>
        <v>#N/A</v>
      </c>
      <c r="AF264" s="277" t="e">
        <f t="shared" si="222"/>
        <v>#N/A</v>
      </c>
      <c r="AG264" s="277" t="e">
        <f t="shared" si="223"/>
        <v>#N/A</v>
      </c>
      <c r="AH264" s="276" t="e">
        <f t="shared" si="191"/>
        <v>#N/A</v>
      </c>
      <c r="AI264" s="239">
        <f t="shared" si="224"/>
        <v>7</v>
      </c>
      <c r="AJ264" s="277" t="e">
        <f t="shared" si="192"/>
        <v>#N/A</v>
      </c>
      <c r="AK264" s="277" t="e">
        <f t="shared" si="225"/>
        <v>#N/A</v>
      </c>
      <c r="AL264" s="239" t="e">
        <f t="shared" si="193"/>
        <v>#N/A</v>
      </c>
      <c r="AM264" s="278" t="e">
        <f t="shared" si="226"/>
        <v>#N/A</v>
      </c>
      <c r="AN264" s="279" t="e">
        <f t="shared" si="194"/>
        <v>#N/A</v>
      </c>
      <c r="AO264" s="240" t="e">
        <f t="shared" si="195"/>
        <v>#N/A</v>
      </c>
      <c r="AP264" s="297">
        <f t="shared" si="227"/>
        <v>7</v>
      </c>
      <c r="AQ264" s="298" t="e">
        <f t="shared" si="196"/>
        <v>#N/A</v>
      </c>
      <c r="AR264" s="279" t="e">
        <f t="shared" si="228"/>
        <v>#N/A</v>
      </c>
      <c r="AS264" s="283" t="e">
        <f t="shared" si="197"/>
        <v>#N/A</v>
      </c>
      <c r="AT264" s="284">
        <f t="shared" si="229"/>
        <v>7</v>
      </c>
      <c r="AU264" s="285" t="e">
        <f t="shared" si="230"/>
        <v>#N/A</v>
      </c>
      <c r="AV264" s="286" t="e">
        <f t="shared" si="231"/>
        <v>#N/A</v>
      </c>
      <c r="AW264" s="287" t="e">
        <f t="shared" si="198"/>
        <v>#N/A</v>
      </c>
      <c r="AX264" s="245">
        <f t="shared" si="232"/>
        <v>7</v>
      </c>
      <c r="AY264" s="286" t="e">
        <f t="shared" si="199"/>
        <v>#N/A</v>
      </c>
      <c r="AZ264" s="245" t="e">
        <f t="shared" si="233"/>
        <v>#N/A</v>
      </c>
      <c r="BA264" s="245" t="e">
        <f t="shared" si="200"/>
        <v>#N/A</v>
      </c>
      <c r="BB264" s="288">
        <f t="shared" si="234"/>
        <v>7</v>
      </c>
      <c r="BC264" s="289" t="e">
        <f t="shared" si="235"/>
        <v>#N/A</v>
      </c>
      <c r="BD264" s="290" t="e">
        <f t="shared" si="236"/>
        <v>#N/A</v>
      </c>
      <c r="BE264" s="263" t="e">
        <f t="shared" si="201"/>
        <v>#N/A</v>
      </c>
      <c r="BF264" s="260">
        <f t="shared" si="237"/>
        <v>7</v>
      </c>
      <c r="BG264" s="289" t="e">
        <f t="shared" si="238"/>
        <v>#N/A</v>
      </c>
      <c r="BH264" s="290" t="e">
        <f t="shared" si="239"/>
        <v>#N/A</v>
      </c>
      <c r="BI264" s="263" t="e">
        <f t="shared" si="202"/>
        <v>#N/A</v>
      </c>
      <c r="BJ264" s="264">
        <f t="shared" si="240"/>
        <v>7</v>
      </c>
      <c r="BK264" s="291" t="e">
        <f t="shared" si="241"/>
        <v>#N/A</v>
      </c>
      <c r="BL264" s="291" t="e">
        <f t="shared" si="242"/>
        <v>#N/A</v>
      </c>
      <c r="BM264" s="292" t="e">
        <f t="shared" si="203"/>
        <v>#N/A</v>
      </c>
      <c r="BN264" s="293">
        <f t="shared" si="243"/>
        <v>7</v>
      </c>
      <c r="BO264" s="294" t="e">
        <f t="shared" si="244"/>
        <v>#N/A</v>
      </c>
      <c r="BP264" s="294" t="e">
        <f t="shared" si="245"/>
        <v>#N/A</v>
      </c>
      <c r="BQ264" s="292" t="e">
        <f t="shared" si="204"/>
        <v>#N/A</v>
      </c>
      <c r="BR264" s="295" t="e">
        <f t="shared" si="205"/>
        <v>#N/A</v>
      </c>
      <c r="BS264" s="230" t="e">
        <f>VLOOKUP($B264,SDR22_STOCK_BY_LA!$A$2:$C$11679,3,0)</f>
        <v>#N/A</v>
      </c>
      <c r="BT264" s="230" t="str">
        <f t="shared" si="246"/>
        <v/>
      </c>
    </row>
    <row r="265" spans="1:72" ht="12.5" x14ac:dyDescent="0.25">
      <c r="A265" s="269" t="str">
        <f t="shared" si="247"/>
        <v/>
      </c>
      <c r="B265" s="230" t="str">
        <f t="shared" si="248"/>
        <v/>
      </c>
      <c r="C265" s="270" t="str">
        <f t="shared" si="206"/>
        <v/>
      </c>
      <c r="D265" s="269" t="str">
        <f>IF(B265="","",IF(totals!$Q$3=0,IFERROR(IF(AD265=2,"0",AE265),""),"-"))</f>
        <v/>
      </c>
      <c r="E265" s="271" t="str">
        <f t="shared" si="207"/>
        <v/>
      </c>
      <c r="F265" s="272" t="str">
        <f t="shared" si="208"/>
        <v/>
      </c>
      <c r="G265" s="272" t="str">
        <f t="shared" si="209"/>
        <v/>
      </c>
      <c r="H265" s="269" t="str">
        <f t="shared" ref="H265:H328" si="249">IFERROR(AO265,"")</f>
        <v/>
      </c>
      <c r="I265" s="272" t="str">
        <f t="shared" si="210"/>
        <v/>
      </c>
      <c r="J265" s="272" t="str">
        <f t="shared" si="211"/>
        <v/>
      </c>
      <c r="K265" s="269" t="str">
        <f t="shared" ref="K265:K328" si="250">IFERROR(AW265,"")</f>
        <v/>
      </c>
      <c r="L265" s="272" t="str">
        <f t="shared" ref="L265:L328" si="251">IFERROR(IF(AT265=2,"-",AU265),"")</f>
        <v/>
      </c>
      <c r="M265" s="272" t="str">
        <f t="shared" si="212"/>
        <v/>
      </c>
      <c r="N265" s="269" t="str">
        <f t="shared" si="213"/>
        <v/>
      </c>
      <c r="O265" s="272" t="str">
        <f t="shared" si="214"/>
        <v/>
      </c>
      <c r="P265" s="272" t="str">
        <f t="shared" si="215"/>
        <v/>
      </c>
      <c r="Q265" s="269" t="str">
        <f t="shared" si="216"/>
        <v/>
      </c>
      <c r="R265" s="272" t="str">
        <f t="shared" si="217"/>
        <v/>
      </c>
      <c r="S265" s="272" t="str">
        <f t="shared" si="218"/>
        <v/>
      </c>
      <c r="T265" s="269" t="str">
        <f t="shared" si="219"/>
        <v/>
      </c>
      <c r="U265" s="230"/>
      <c r="V265" s="230"/>
      <c r="AB265" s="270" t="e">
        <f>VLOOKUP($B$6,Lookup_Source,258,0)</f>
        <v>#N/A</v>
      </c>
      <c r="AC265" s="254" t="str">
        <f t="shared" si="220"/>
        <v/>
      </c>
      <c r="AD265" s="255">
        <f t="shared" si="221"/>
        <v>7</v>
      </c>
      <c r="AE265" s="274" t="e">
        <f t="shared" ref="AE265:AE328" si="252">SUM(VLOOKUP($B265,Totals,8,0)-1)</f>
        <v>#N/A</v>
      </c>
      <c r="AF265" s="277" t="e">
        <f t="shared" si="222"/>
        <v>#N/A</v>
      </c>
      <c r="AG265" s="277" t="e">
        <f t="shared" si="223"/>
        <v>#N/A</v>
      </c>
      <c r="AH265" s="276" t="e">
        <f t="shared" ref="AH265:AH328" si="253">VLOOKUP($BT265,Stock_By_LA,2,0)</f>
        <v>#N/A</v>
      </c>
      <c r="AI265" s="239">
        <f t="shared" si="224"/>
        <v>7</v>
      </c>
      <c r="AJ265" s="277" t="e">
        <f t="shared" ref="AJ265:AJ328" si="254">IF(AK265&gt;0,AK265,"-")</f>
        <v>#N/A</v>
      </c>
      <c r="AK265" s="277" t="e">
        <f t="shared" si="225"/>
        <v>#N/A</v>
      </c>
      <c r="AL265" s="239" t="e">
        <f t="shared" ref="AL265:AL328" si="255">VLOOKUP($B265,Totals,7,0)</f>
        <v>#N/A</v>
      </c>
      <c r="AM265" s="278" t="e">
        <f t="shared" si="226"/>
        <v>#N/A</v>
      </c>
      <c r="AN265" s="279" t="e">
        <f t="shared" ref="AN265:AN328" si="256">$AO265/$AO$8</f>
        <v>#N/A</v>
      </c>
      <c r="AO265" s="240" t="e">
        <f t="shared" ref="AO265:AO328" si="257">VLOOKUP($BT265,Stock_By_LA,3,0)</f>
        <v>#N/A</v>
      </c>
      <c r="AP265" s="297">
        <f t="shared" si="227"/>
        <v>7</v>
      </c>
      <c r="AQ265" s="298" t="e">
        <f t="shared" ref="AQ265:AQ328" si="258">IF(AR265&gt;0,AR265,"-")</f>
        <v>#N/A</v>
      </c>
      <c r="AR265" s="279" t="e">
        <f t="shared" si="228"/>
        <v>#N/A</v>
      </c>
      <c r="AS265" s="283" t="e">
        <f t="shared" ref="AS265:AS328" si="259">VLOOKUP($B265,Totals,2,0)</f>
        <v>#N/A</v>
      </c>
      <c r="AT265" s="284">
        <f t="shared" si="229"/>
        <v>7</v>
      </c>
      <c r="AU265" s="285" t="e">
        <f t="shared" si="230"/>
        <v>#N/A</v>
      </c>
      <c r="AV265" s="286" t="e">
        <f t="shared" si="231"/>
        <v>#N/A</v>
      </c>
      <c r="AW265" s="287" t="e">
        <f t="shared" ref="AW265:AW328" si="260">VLOOKUP($BT265,Stock_By_LA,4,0)</f>
        <v>#N/A</v>
      </c>
      <c r="AX265" s="245">
        <f t="shared" si="232"/>
        <v>7</v>
      </c>
      <c r="AY265" s="286" t="e">
        <f t="shared" ref="AY265:AY328" si="261">IF(AZ265&gt;0,AZ265,"-")</f>
        <v>#N/A</v>
      </c>
      <c r="AZ265" s="245" t="e">
        <f t="shared" si="233"/>
        <v>#N/A</v>
      </c>
      <c r="BA265" s="245" t="e">
        <f t="shared" ref="BA265:BA328" si="262">VLOOKUP($B265,Totals,3,0)</f>
        <v>#N/A</v>
      </c>
      <c r="BB265" s="288">
        <f t="shared" si="234"/>
        <v>7</v>
      </c>
      <c r="BC265" s="289" t="e">
        <f t="shared" si="235"/>
        <v>#N/A</v>
      </c>
      <c r="BD265" s="290" t="e">
        <f t="shared" si="236"/>
        <v>#N/A</v>
      </c>
      <c r="BE265" s="263" t="e">
        <f t="shared" ref="BE265:BE328" si="263">VLOOKUP($BT265,Stock_By_LA,5,0)</f>
        <v>#N/A</v>
      </c>
      <c r="BF265" s="260">
        <f t="shared" si="237"/>
        <v>7</v>
      </c>
      <c r="BG265" s="289" t="e">
        <f t="shared" si="238"/>
        <v>#N/A</v>
      </c>
      <c r="BH265" s="290" t="e">
        <f t="shared" si="239"/>
        <v>#N/A</v>
      </c>
      <c r="BI265" s="263" t="e">
        <f t="shared" ref="BI265:BI328" si="264">VLOOKUP($B265,Totals,4,0)</f>
        <v>#N/A</v>
      </c>
      <c r="BJ265" s="264">
        <f t="shared" si="240"/>
        <v>7</v>
      </c>
      <c r="BK265" s="291" t="e">
        <f t="shared" si="241"/>
        <v>#N/A</v>
      </c>
      <c r="BL265" s="291" t="e">
        <f t="shared" si="242"/>
        <v>#N/A</v>
      </c>
      <c r="BM265" s="292" t="e">
        <f t="shared" ref="BM265:BM328" si="265">VLOOKUP($BT265,Stock_By_LA,6,0)</f>
        <v>#N/A</v>
      </c>
      <c r="BN265" s="293">
        <f t="shared" si="243"/>
        <v>7</v>
      </c>
      <c r="BO265" s="294" t="e">
        <f t="shared" si="244"/>
        <v>#N/A</v>
      </c>
      <c r="BP265" s="294" t="e">
        <f t="shared" si="245"/>
        <v>#N/A</v>
      </c>
      <c r="BQ265" s="292" t="e">
        <f t="shared" ref="BQ265:BQ328" si="266">VLOOKUP($B265,Totals,5,0)</f>
        <v>#N/A</v>
      </c>
      <c r="BR265" s="295" t="e">
        <f t="shared" ref="BR265:BR328" si="267">VLOOKUP($BT265,Stock_By_LA,8,0)</f>
        <v>#N/A</v>
      </c>
      <c r="BS265" s="230" t="e">
        <f>VLOOKUP($B265,SDR22_STOCK_BY_LA!$A$2:$C$11679,3,0)</f>
        <v>#N/A</v>
      </c>
      <c r="BT265" s="230" t="str">
        <f t="shared" si="246"/>
        <v/>
      </c>
    </row>
    <row r="266" spans="1:72" ht="12.5" x14ac:dyDescent="0.25">
      <c r="A266" s="230" t="str">
        <f t="shared" si="247"/>
        <v/>
      </c>
      <c r="B266" s="230" t="str">
        <f t="shared" si="248"/>
        <v/>
      </c>
      <c r="C266" s="296" t="str">
        <f t="shared" ref="C266:C329" si="268">IFERROR(BS266,"")</f>
        <v/>
      </c>
      <c r="D266" s="269" t="str">
        <f>IF(B266="","",IF(totals!$Q$3=0,IFERROR(IF(AD266=2,"0",AE266),""),"-"))</f>
        <v/>
      </c>
      <c r="E266" s="271" t="str">
        <f t="shared" ref="E266:E329" si="269">IFERROR(AH266,"")</f>
        <v/>
      </c>
      <c r="F266" s="272" t="str">
        <f t="shared" ref="F266:F329" si="270">IFERROR(AF266,"")</f>
        <v/>
      </c>
      <c r="G266" s="272" t="str">
        <f t="shared" ref="G266:G329" si="271">IFERROR(IF(AI266=2,"-",AJ266),"")</f>
        <v/>
      </c>
      <c r="H266" s="269" t="str">
        <f t="shared" si="249"/>
        <v/>
      </c>
      <c r="I266" s="272" t="str">
        <f t="shared" ref="I266:I329" si="272">IFERROR(AM266,"")</f>
        <v/>
      </c>
      <c r="J266" s="272" t="str">
        <f t="shared" ref="J266:J329" si="273">IFERROR(IF(AP266=2,"-",AQ266),"")</f>
        <v/>
      </c>
      <c r="K266" s="269" t="str">
        <f t="shared" si="250"/>
        <v/>
      </c>
      <c r="L266" s="272" t="str">
        <f t="shared" si="251"/>
        <v/>
      </c>
      <c r="M266" s="272" t="str">
        <f t="shared" ref="M266:M329" si="274">IFERROR(IF(AX266=2,"-",AY266),"")</f>
        <v/>
      </c>
      <c r="N266" s="269" t="str">
        <f t="shared" ref="N266:N329" si="275">IFERROR(BE266,"")</f>
        <v/>
      </c>
      <c r="O266" s="272" t="str">
        <f t="shared" ref="O266:O329" si="276">IFERROR(IF(BB266=2,"-",BC266),"")</f>
        <v/>
      </c>
      <c r="P266" s="272" t="str">
        <f t="shared" ref="P266:P329" si="277">IFERROR(IF(BF266=2,"-",BG266),"")</f>
        <v/>
      </c>
      <c r="Q266" s="269" t="str">
        <f t="shared" ref="Q266:Q329" si="278">IFERROR(BM266,"")</f>
        <v/>
      </c>
      <c r="R266" s="272" t="str">
        <f t="shared" ref="R266:R329" si="279">IFERROR(IF(BJ266=2,"-",BK266),"")</f>
        <v/>
      </c>
      <c r="S266" s="272" t="str">
        <f t="shared" ref="S266:S329" si="280">IFERROR(IF(BN266=2,"-",BO266),"")</f>
        <v/>
      </c>
      <c r="T266" s="269" t="str">
        <f t="shared" ref="T266:T329" si="281">IFERROR(BR266,"")</f>
        <v/>
      </c>
      <c r="U266" s="230"/>
      <c r="V266" s="230"/>
      <c r="AB266" s="230" t="e">
        <f>VLOOKUP($B$6,Lookup_Source,259,0)</f>
        <v>#N/A</v>
      </c>
      <c r="AC266" s="254" t="str">
        <f t="shared" ref="AC266:AC329" si="282">IF(ISNUMBER(SEARCH("*",B266)),1,"")</f>
        <v/>
      </c>
      <c r="AD266" s="255">
        <f t="shared" ref="AD266:AD329" si="283">IFERROR(ERROR.TYPE(AE266),0)</f>
        <v>7</v>
      </c>
      <c r="AE266" s="274" t="e">
        <f t="shared" si="252"/>
        <v>#N/A</v>
      </c>
      <c r="AF266" s="277" t="e">
        <f t="shared" ref="AF266:AF329" si="284">IF(AG266&gt;0,AG266,"-")</f>
        <v>#N/A</v>
      </c>
      <c r="AG266" s="277" t="e">
        <f t="shared" ref="AG266:AG329" si="285">$AH266/$AH$8</f>
        <v>#N/A</v>
      </c>
      <c r="AH266" s="276" t="e">
        <f t="shared" si="253"/>
        <v>#N/A</v>
      </c>
      <c r="AI266" s="239">
        <f t="shared" ref="AI266:AI329" si="286">IFERROR(ERROR.TYPE(AJ266),0)</f>
        <v>7</v>
      </c>
      <c r="AJ266" s="277" t="e">
        <f t="shared" si="254"/>
        <v>#N/A</v>
      </c>
      <c r="AK266" s="277" t="e">
        <f t="shared" ref="AK266:AK329" si="287">$AH266/$AL266</f>
        <v>#N/A</v>
      </c>
      <c r="AL266" s="239" t="e">
        <f t="shared" si="255"/>
        <v>#N/A</v>
      </c>
      <c r="AM266" s="278" t="e">
        <f t="shared" ref="AM266:AM329" si="288">IF(AN266&gt;0,AN266,"-")</f>
        <v>#N/A</v>
      </c>
      <c r="AN266" s="279" t="e">
        <f t="shared" si="256"/>
        <v>#N/A</v>
      </c>
      <c r="AO266" s="240" t="e">
        <f t="shared" si="257"/>
        <v>#N/A</v>
      </c>
      <c r="AP266" s="297">
        <f t="shared" ref="AP266:AP329" si="289">IFERROR(ERROR.TYPE(AQ266),0)</f>
        <v>7</v>
      </c>
      <c r="AQ266" s="298" t="e">
        <f t="shared" si="258"/>
        <v>#N/A</v>
      </c>
      <c r="AR266" s="279" t="e">
        <f t="shared" ref="AR266:AR329" si="290">$AO266/$AS266</f>
        <v>#N/A</v>
      </c>
      <c r="AS266" s="283" t="e">
        <f t="shared" si="259"/>
        <v>#N/A</v>
      </c>
      <c r="AT266" s="284">
        <f t="shared" ref="AT266:AT329" si="291">IFERROR(ERROR.TYPE(AU266),0)</f>
        <v>7</v>
      </c>
      <c r="AU266" s="285" t="e">
        <f t="shared" ref="AU266:AU329" si="292">IF(AV266&gt;0,AV266,"-")</f>
        <v>#N/A</v>
      </c>
      <c r="AV266" s="286" t="e">
        <f t="shared" ref="AV266:AV329" si="293">AW266/$AW$8</f>
        <v>#N/A</v>
      </c>
      <c r="AW266" s="287" t="e">
        <f t="shared" si="260"/>
        <v>#N/A</v>
      </c>
      <c r="AX266" s="245">
        <f t="shared" ref="AX266:AX329" si="294">IFERROR(ERROR.TYPE(AY266),0)</f>
        <v>7</v>
      </c>
      <c r="AY266" s="286" t="e">
        <f t="shared" si="261"/>
        <v>#N/A</v>
      </c>
      <c r="AZ266" s="245" t="e">
        <f t="shared" ref="AZ266:AZ329" si="295">$AW266/$BA266</f>
        <v>#N/A</v>
      </c>
      <c r="BA266" s="245" t="e">
        <f t="shared" si="262"/>
        <v>#N/A</v>
      </c>
      <c r="BB266" s="288">
        <f t="shared" ref="BB266:BB329" si="296">IFERROR(ERROR.TYPE(BC266),0)</f>
        <v>7</v>
      </c>
      <c r="BC266" s="289" t="e">
        <f t="shared" ref="BC266:BC329" si="297">IF(BD266&gt;0,BD266,"-")</f>
        <v>#N/A</v>
      </c>
      <c r="BD266" s="290" t="e">
        <f t="shared" ref="BD266:BD329" si="298">$BE266/$BE$8</f>
        <v>#N/A</v>
      </c>
      <c r="BE266" s="263" t="e">
        <f t="shared" si="263"/>
        <v>#N/A</v>
      </c>
      <c r="BF266" s="260">
        <f t="shared" ref="BF266:BF329" si="299">IFERROR(ERROR.TYPE(BG266),0)</f>
        <v>7</v>
      </c>
      <c r="BG266" s="289" t="e">
        <f t="shared" ref="BG266:BG329" si="300">IF(BH266&gt;0,BH266,"-")</f>
        <v>#N/A</v>
      </c>
      <c r="BH266" s="290" t="e">
        <f t="shared" ref="BH266:BH329" si="301">$BE266/$BI266</f>
        <v>#N/A</v>
      </c>
      <c r="BI266" s="263" t="e">
        <f t="shared" si="264"/>
        <v>#N/A</v>
      </c>
      <c r="BJ266" s="264">
        <f t="shared" ref="BJ266:BJ329" si="302">IFERROR(ERROR.TYPE(BK266),0)</f>
        <v>7</v>
      </c>
      <c r="BK266" s="291" t="e">
        <f t="shared" ref="BK266:BK329" si="303">IF(BL266&gt;0,BL266,"-")</f>
        <v>#N/A</v>
      </c>
      <c r="BL266" s="291" t="e">
        <f t="shared" ref="BL266:BL329" si="304">$BM266/$BM$8</f>
        <v>#N/A</v>
      </c>
      <c r="BM266" s="292" t="e">
        <f t="shared" si="265"/>
        <v>#N/A</v>
      </c>
      <c r="BN266" s="293">
        <f t="shared" ref="BN266:BN329" si="305">IFERROR(ERROR.TYPE(BO266),0)</f>
        <v>7</v>
      </c>
      <c r="BO266" s="294" t="e">
        <f t="shared" ref="BO266:BO329" si="306">IF(BP266&gt;0,BP266,"-")</f>
        <v>#N/A</v>
      </c>
      <c r="BP266" s="294" t="e">
        <f t="shared" ref="BP266:BP329" si="307">$BM266/$BQ266</f>
        <v>#N/A</v>
      </c>
      <c r="BQ266" s="292" t="e">
        <f t="shared" si="266"/>
        <v>#N/A</v>
      </c>
      <c r="BR266" s="295" t="e">
        <f t="shared" si="267"/>
        <v>#N/A</v>
      </c>
      <c r="BS266" s="230" t="e">
        <f>VLOOKUP($B266,SDR22_STOCK_BY_LA!$A$2:$C$11679,3,0)</f>
        <v>#N/A</v>
      </c>
      <c r="BT266" s="230" t="str">
        <f t="shared" ref="BT266:BT329" si="308">$B$6&amp;$B266</f>
        <v/>
      </c>
    </row>
    <row r="267" spans="1:72" ht="12.5" x14ac:dyDescent="0.25">
      <c r="A267" s="269" t="str">
        <f t="shared" ref="A267:A330" si="309">IF(AC267=1,A266+1,"")</f>
        <v/>
      </c>
      <c r="B267" s="230" t="str">
        <f t="shared" si="248"/>
        <v/>
      </c>
      <c r="C267" s="270" t="str">
        <f t="shared" si="268"/>
        <v/>
      </c>
      <c r="D267" s="269" t="str">
        <f>IF(B267="","",IF(totals!$Q$3=0,IFERROR(IF(AD267=2,"0",AE267),""),"-"))</f>
        <v/>
      </c>
      <c r="E267" s="271" t="str">
        <f t="shared" si="269"/>
        <v/>
      </c>
      <c r="F267" s="272" t="str">
        <f t="shared" si="270"/>
        <v/>
      </c>
      <c r="G267" s="272" t="str">
        <f t="shared" si="271"/>
        <v/>
      </c>
      <c r="H267" s="269" t="str">
        <f t="shared" si="249"/>
        <v/>
      </c>
      <c r="I267" s="272" t="str">
        <f t="shared" si="272"/>
        <v/>
      </c>
      <c r="J267" s="272" t="str">
        <f t="shared" si="273"/>
        <v/>
      </c>
      <c r="K267" s="269" t="str">
        <f t="shared" si="250"/>
        <v/>
      </c>
      <c r="L267" s="272" t="str">
        <f t="shared" si="251"/>
        <v/>
      </c>
      <c r="M267" s="272" t="str">
        <f t="shared" si="274"/>
        <v/>
      </c>
      <c r="N267" s="269" t="str">
        <f t="shared" si="275"/>
        <v/>
      </c>
      <c r="O267" s="272" t="str">
        <f t="shared" si="276"/>
        <v/>
      </c>
      <c r="P267" s="272" t="str">
        <f t="shared" si="277"/>
        <v/>
      </c>
      <c r="Q267" s="269" t="str">
        <f t="shared" si="278"/>
        <v/>
      </c>
      <c r="R267" s="272" t="str">
        <f t="shared" si="279"/>
        <v/>
      </c>
      <c r="S267" s="272" t="str">
        <f t="shared" si="280"/>
        <v/>
      </c>
      <c r="T267" s="269" t="str">
        <f t="shared" si="281"/>
        <v/>
      </c>
      <c r="U267" s="230"/>
      <c r="V267" s="230"/>
      <c r="AB267" s="270" t="e">
        <f>VLOOKUP($B$6,Lookup_Source,260,0)</f>
        <v>#N/A</v>
      </c>
      <c r="AC267" s="254" t="str">
        <f t="shared" si="282"/>
        <v/>
      </c>
      <c r="AD267" s="255">
        <f t="shared" si="283"/>
        <v>7</v>
      </c>
      <c r="AE267" s="274" t="e">
        <f t="shared" si="252"/>
        <v>#N/A</v>
      </c>
      <c r="AF267" s="277" t="e">
        <f t="shared" si="284"/>
        <v>#N/A</v>
      </c>
      <c r="AG267" s="277" t="e">
        <f t="shared" si="285"/>
        <v>#N/A</v>
      </c>
      <c r="AH267" s="276" t="e">
        <f t="shared" si="253"/>
        <v>#N/A</v>
      </c>
      <c r="AI267" s="239">
        <f t="shared" si="286"/>
        <v>7</v>
      </c>
      <c r="AJ267" s="277" t="e">
        <f t="shared" si="254"/>
        <v>#N/A</v>
      </c>
      <c r="AK267" s="277" t="e">
        <f t="shared" si="287"/>
        <v>#N/A</v>
      </c>
      <c r="AL267" s="239" t="e">
        <f t="shared" si="255"/>
        <v>#N/A</v>
      </c>
      <c r="AM267" s="278" t="e">
        <f t="shared" si="288"/>
        <v>#N/A</v>
      </c>
      <c r="AN267" s="279" t="e">
        <f t="shared" si="256"/>
        <v>#N/A</v>
      </c>
      <c r="AO267" s="240" t="e">
        <f t="shared" si="257"/>
        <v>#N/A</v>
      </c>
      <c r="AP267" s="297">
        <f t="shared" si="289"/>
        <v>7</v>
      </c>
      <c r="AQ267" s="298" t="e">
        <f t="shared" si="258"/>
        <v>#N/A</v>
      </c>
      <c r="AR267" s="279" t="e">
        <f t="shared" si="290"/>
        <v>#N/A</v>
      </c>
      <c r="AS267" s="283" t="e">
        <f t="shared" si="259"/>
        <v>#N/A</v>
      </c>
      <c r="AT267" s="284">
        <f t="shared" si="291"/>
        <v>7</v>
      </c>
      <c r="AU267" s="285" t="e">
        <f t="shared" si="292"/>
        <v>#N/A</v>
      </c>
      <c r="AV267" s="286" t="e">
        <f t="shared" si="293"/>
        <v>#N/A</v>
      </c>
      <c r="AW267" s="287" t="e">
        <f t="shared" si="260"/>
        <v>#N/A</v>
      </c>
      <c r="AX267" s="245">
        <f t="shared" si="294"/>
        <v>7</v>
      </c>
      <c r="AY267" s="286" t="e">
        <f t="shared" si="261"/>
        <v>#N/A</v>
      </c>
      <c r="AZ267" s="245" t="e">
        <f t="shared" si="295"/>
        <v>#N/A</v>
      </c>
      <c r="BA267" s="245" t="e">
        <f t="shared" si="262"/>
        <v>#N/A</v>
      </c>
      <c r="BB267" s="288">
        <f t="shared" si="296"/>
        <v>7</v>
      </c>
      <c r="BC267" s="289" t="e">
        <f t="shared" si="297"/>
        <v>#N/A</v>
      </c>
      <c r="BD267" s="290" t="e">
        <f t="shared" si="298"/>
        <v>#N/A</v>
      </c>
      <c r="BE267" s="263" t="e">
        <f t="shared" si="263"/>
        <v>#N/A</v>
      </c>
      <c r="BF267" s="260">
        <f t="shared" si="299"/>
        <v>7</v>
      </c>
      <c r="BG267" s="289" t="e">
        <f t="shared" si="300"/>
        <v>#N/A</v>
      </c>
      <c r="BH267" s="290" t="e">
        <f t="shared" si="301"/>
        <v>#N/A</v>
      </c>
      <c r="BI267" s="263" t="e">
        <f t="shared" si="264"/>
        <v>#N/A</v>
      </c>
      <c r="BJ267" s="264">
        <f t="shared" si="302"/>
        <v>7</v>
      </c>
      <c r="BK267" s="291" t="e">
        <f t="shared" si="303"/>
        <v>#N/A</v>
      </c>
      <c r="BL267" s="291" t="e">
        <f t="shared" si="304"/>
        <v>#N/A</v>
      </c>
      <c r="BM267" s="292" t="e">
        <f t="shared" si="265"/>
        <v>#N/A</v>
      </c>
      <c r="BN267" s="293">
        <f t="shared" si="305"/>
        <v>7</v>
      </c>
      <c r="BO267" s="294" t="e">
        <f t="shared" si="306"/>
        <v>#N/A</v>
      </c>
      <c r="BP267" s="294" t="e">
        <f t="shared" si="307"/>
        <v>#N/A</v>
      </c>
      <c r="BQ267" s="292" t="e">
        <f t="shared" si="266"/>
        <v>#N/A</v>
      </c>
      <c r="BR267" s="295" t="e">
        <f t="shared" si="267"/>
        <v>#N/A</v>
      </c>
      <c r="BS267" s="230" t="e">
        <f>VLOOKUP($B267,SDR22_STOCK_BY_LA!$A$2:$C$11679,3,0)</f>
        <v>#N/A</v>
      </c>
      <c r="BT267" s="230" t="str">
        <f t="shared" si="308"/>
        <v/>
      </c>
    </row>
    <row r="268" spans="1:72" ht="12.5" x14ac:dyDescent="0.25">
      <c r="A268" s="230" t="str">
        <f t="shared" si="309"/>
        <v/>
      </c>
      <c r="B268" s="230" t="str">
        <f t="shared" si="248"/>
        <v/>
      </c>
      <c r="C268" s="296" t="str">
        <f t="shared" si="268"/>
        <v/>
      </c>
      <c r="D268" s="269" t="str">
        <f>IF(B268="","",IF(totals!$Q$3=0,IFERROR(IF(AD268=2,"0",AE268),""),"-"))</f>
        <v/>
      </c>
      <c r="E268" s="271" t="str">
        <f t="shared" si="269"/>
        <v/>
      </c>
      <c r="F268" s="272" t="str">
        <f t="shared" si="270"/>
        <v/>
      </c>
      <c r="G268" s="272" t="str">
        <f t="shared" si="271"/>
        <v/>
      </c>
      <c r="H268" s="269" t="str">
        <f t="shared" si="249"/>
        <v/>
      </c>
      <c r="I268" s="272" t="str">
        <f t="shared" si="272"/>
        <v/>
      </c>
      <c r="J268" s="272" t="str">
        <f t="shared" si="273"/>
        <v/>
      </c>
      <c r="K268" s="269" t="str">
        <f t="shared" si="250"/>
        <v/>
      </c>
      <c r="L268" s="272" t="str">
        <f t="shared" si="251"/>
        <v/>
      </c>
      <c r="M268" s="272" t="str">
        <f t="shared" si="274"/>
        <v/>
      </c>
      <c r="N268" s="269" t="str">
        <f t="shared" si="275"/>
        <v/>
      </c>
      <c r="O268" s="272" t="str">
        <f t="shared" si="276"/>
        <v/>
      </c>
      <c r="P268" s="272" t="str">
        <f t="shared" si="277"/>
        <v/>
      </c>
      <c r="Q268" s="269" t="str">
        <f t="shared" si="278"/>
        <v/>
      </c>
      <c r="R268" s="272" t="str">
        <f t="shared" si="279"/>
        <v/>
      </c>
      <c r="S268" s="272" t="str">
        <f t="shared" si="280"/>
        <v/>
      </c>
      <c r="T268" s="269" t="str">
        <f t="shared" si="281"/>
        <v/>
      </c>
      <c r="U268" s="230"/>
      <c r="V268" s="230"/>
      <c r="AB268" s="230" t="e">
        <f>VLOOKUP($B$6,Lookup_Source,261,0)</f>
        <v>#N/A</v>
      </c>
      <c r="AC268" s="254" t="str">
        <f t="shared" si="282"/>
        <v/>
      </c>
      <c r="AD268" s="255">
        <f t="shared" si="283"/>
        <v>7</v>
      </c>
      <c r="AE268" s="274" t="e">
        <f t="shared" si="252"/>
        <v>#N/A</v>
      </c>
      <c r="AF268" s="277" t="e">
        <f t="shared" si="284"/>
        <v>#N/A</v>
      </c>
      <c r="AG268" s="277" t="e">
        <f t="shared" si="285"/>
        <v>#N/A</v>
      </c>
      <c r="AH268" s="276" t="e">
        <f t="shared" si="253"/>
        <v>#N/A</v>
      </c>
      <c r="AI268" s="239">
        <f t="shared" si="286"/>
        <v>7</v>
      </c>
      <c r="AJ268" s="277" t="e">
        <f t="shared" si="254"/>
        <v>#N/A</v>
      </c>
      <c r="AK268" s="277" t="e">
        <f t="shared" si="287"/>
        <v>#N/A</v>
      </c>
      <c r="AL268" s="239" t="e">
        <f t="shared" si="255"/>
        <v>#N/A</v>
      </c>
      <c r="AM268" s="278" t="e">
        <f t="shared" si="288"/>
        <v>#N/A</v>
      </c>
      <c r="AN268" s="279" t="e">
        <f t="shared" si="256"/>
        <v>#N/A</v>
      </c>
      <c r="AO268" s="240" t="e">
        <f t="shared" si="257"/>
        <v>#N/A</v>
      </c>
      <c r="AP268" s="297">
        <f t="shared" si="289"/>
        <v>7</v>
      </c>
      <c r="AQ268" s="298" t="e">
        <f t="shared" si="258"/>
        <v>#N/A</v>
      </c>
      <c r="AR268" s="279" t="e">
        <f t="shared" si="290"/>
        <v>#N/A</v>
      </c>
      <c r="AS268" s="283" t="e">
        <f t="shared" si="259"/>
        <v>#N/A</v>
      </c>
      <c r="AT268" s="284">
        <f t="shared" si="291"/>
        <v>7</v>
      </c>
      <c r="AU268" s="285" t="e">
        <f t="shared" si="292"/>
        <v>#N/A</v>
      </c>
      <c r="AV268" s="286" t="e">
        <f t="shared" si="293"/>
        <v>#N/A</v>
      </c>
      <c r="AW268" s="287" t="e">
        <f t="shared" si="260"/>
        <v>#N/A</v>
      </c>
      <c r="AX268" s="245">
        <f t="shared" si="294"/>
        <v>7</v>
      </c>
      <c r="AY268" s="286" t="e">
        <f t="shared" si="261"/>
        <v>#N/A</v>
      </c>
      <c r="AZ268" s="245" t="e">
        <f t="shared" si="295"/>
        <v>#N/A</v>
      </c>
      <c r="BA268" s="245" t="e">
        <f t="shared" si="262"/>
        <v>#N/A</v>
      </c>
      <c r="BB268" s="288">
        <f t="shared" si="296"/>
        <v>7</v>
      </c>
      <c r="BC268" s="289" t="e">
        <f t="shared" si="297"/>
        <v>#N/A</v>
      </c>
      <c r="BD268" s="290" t="e">
        <f t="shared" si="298"/>
        <v>#N/A</v>
      </c>
      <c r="BE268" s="263" t="e">
        <f t="shared" si="263"/>
        <v>#N/A</v>
      </c>
      <c r="BF268" s="260">
        <f t="shared" si="299"/>
        <v>7</v>
      </c>
      <c r="BG268" s="289" t="e">
        <f t="shared" si="300"/>
        <v>#N/A</v>
      </c>
      <c r="BH268" s="290" t="e">
        <f t="shared" si="301"/>
        <v>#N/A</v>
      </c>
      <c r="BI268" s="263" t="e">
        <f t="shared" si="264"/>
        <v>#N/A</v>
      </c>
      <c r="BJ268" s="264">
        <f t="shared" si="302"/>
        <v>7</v>
      </c>
      <c r="BK268" s="291" t="e">
        <f t="shared" si="303"/>
        <v>#N/A</v>
      </c>
      <c r="BL268" s="291" t="e">
        <f t="shared" si="304"/>
        <v>#N/A</v>
      </c>
      <c r="BM268" s="292" t="e">
        <f t="shared" si="265"/>
        <v>#N/A</v>
      </c>
      <c r="BN268" s="293">
        <f t="shared" si="305"/>
        <v>7</v>
      </c>
      <c r="BO268" s="294" t="e">
        <f t="shared" si="306"/>
        <v>#N/A</v>
      </c>
      <c r="BP268" s="294" t="e">
        <f t="shared" si="307"/>
        <v>#N/A</v>
      </c>
      <c r="BQ268" s="292" t="e">
        <f t="shared" si="266"/>
        <v>#N/A</v>
      </c>
      <c r="BR268" s="295" t="e">
        <f t="shared" si="267"/>
        <v>#N/A</v>
      </c>
      <c r="BS268" s="230" t="e">
        <f>VLOOKUP($B268,SDR22_STOCK_BY_LA!$A$2:$C$11679,3,0)</f>
        <v>#N/A</v>
      </c>
      <c r="BT268" s="230" t="str">
        <f t="shared" si="308"/>
        <v/>
      </c>
    </row>
    <row r="269" spans="1:72" ht="12.5" x14ac:dyDescent="0.25">
      <c r="A269" s="269" t="str">
        <f t="shared" si="309"/>
        <v/>
      </c>
      <c r="B269" s="230" t="str">
        <f t="shared" ref="B269:B332" si="310">IFERROR(IF(AB269=0,"",AB269),"")</f>
        <v/>
      </c>
      <c r="C269" s="270" t="str">
        <f t="shared" si="268"/>
        <v/>
      </c>
      <c r="D269" s="269" t="str">
        <f>IF(B269="","",IF(totals!$Q$3=0,IFERROR(IF(AD269=2,"0",AE269),""),"-"))</f>
        <v/>
      </c>
      <c r="E269" s="271" t="str">
        <f t="shared" si="269"/>
        <v/>
      </c>
      <c r="F269" s="272" t="str">
        <f t="shared" si="270"/>
        <v/>
      </c>
      <c r="G269" s="272" t="str">
        <f t="shared" si="271"/>
        <v/>
      </c>
      <c r="H269" s="269" t="str">
        <f t="shared" si="249"/>
        <v/>
      </c>
      <c r="I269" s="272" t="str">
        <f t="shared" si="272"/>
        <v/>
      </c>
      <c r="J269" s="272" t="str">
        <f t="shared" si="273"/>
        <v/>
      </c>
      <c r="K269" s="269" t="str">
        <f t="shared" si="250"/>
        <v/>
      </c>
      <c r="L269" s="272" t="str">
        <f t="shared" si="251"/>
        <v/>
      </c>
      <c r="M269" s="272" t="str">
        <f t="shared" si="274"/>
        <v/>
      </c>
      <c r="N269" s="269" t="str">
        <f t="shared" si="275"/>
        <v/>
      </c>
      <c r="O269" s="272" t="str">
        <f t="shared" si="276"/>
        <v/>
      </c>
      <c r="P269" s="272" t="str">
        <f t="shared" si="277"/>
        <v/>
      </c>
      <c r="Q269" s="269" t="str">
        <f t="shared" si="278"/>
        <v/>
      </c>
      <c r="R269" s="272" t="str">
        <f t="shared" si="279"/>
        <v/>
      </c>
      <c r="S269" s="272" t="str">
        <f t="shared" si="280"/>
        <v/>
      </c>
      <c r="T269" s="269" t="str">
        <f t="shared" si="281"/>
        <v/>
      </c>
      <c r="U269" s="230"/>
      <c r="V269" s="230"/>
      <c r="AB269" s="270" t="e">
        <f>VLOOKUP($B$6,Lookup_Source,262,0)</f>
        <v>#N/A</v>
      </c>
      <c r="AC269" s="254" t="str">
        <f t="shared" si="282"/>
        <v/>
      </c>
      <c r="AD269" s="255">
        <f t="shared" si="283"/>
        <v>7</v>
      </c>
      <c r="AE269" s="274" t="e">
        <f t="shared" si="252"/>
        <v>#N/A</v>
      </c>
      <c r="AF269" s="277" t="e">
        <f t="shared" si="284"/>
        <v>#N/A</v>
      </c>
      <c r="AG269" s="277" t="e">
        <f t="shared" si="285"/>
        <v>#N/A</v>
      </c>
      <c r="AH269" s="276" t="e">
        <f t="shared" si="253"/>
        <v>#N/A</v>
      </c>
      <c r="AI269" s="239">
        <f t="shared" si="286"/>
        <v>7</v>
      </c>
      <c r="AJ269" s="277" t="e">
        <f t="shared" si="254"/>
        <v>#N/A</v>
      </c>
      <c r="AK269" s="277" t="e">
        <f t="shared" si="287"/>
        <v>#N/A</v>
      </c>
      <c r="AL269" s="239" t="e">
        <f t="shared" si="255"/>
        <v>#N/A</v>
      </c>
      <c r="AM269" s="278" t="e">
        <f t="shared" si="288"/>
        <v>#N/A</v>
      </c>
      <c r="AN269" s="279" t="e">
        <f t="shared" si="256"/>
        <v>#N/A</v>
      </c>
      <c r="AO269" s="240" t="e">
        <f t="shared" si="257"/>
        <v>#N/A</v>
      </c>
      <c r="AP269" s="297">
        <f t="shared" si="289"/>
        <v>7</v>
      </c>
      <c r="AQ269" s="298" t="e">
        <f t="shared" si="258"/>
        <v>#N/A</v>
      </c>
      <c r="AR269" s="279" t="e">
        <f t="shared" si="290"/>
        <v>#N/A</v>
      </c>
      <c r="AS269" s="283" t="e">
        <f t="shared" si="259"/>
        <v>#N/A</v>
      </c>
      <c r="AT269" s="284">
        <f t="shared" si="291"/>
        <v>7</v>
      </c>
      <c r="AU269" s="285" t="e">
        <f t="shared" si="292"/>
        <v>#N/A</v>
      </c>
      <c r="AV269" s="286" t="e">
        <f t="shared" si="293"/>
        <v>#N/A</v>
      </c>
      <c r="AW269" s="287" t="e">
        <f t="shared" si="260"/>
        <v>#N/A</v>
      </c>
      <c r="AX269" s="245">
        <f t="shared" si="294"/>
        <v>7</v>
      </c>
      <c r="AY269" s="286" t="e">
        <f t="shared" si="261"/>
        <v>#N/A</v>
      </c>
      <c r="AZ269" s="245" t="e">
        <f t="shared" si="295"/>
        <v>#N/A</v>
      </c>
      <c r="BA269" s="245" t="e">
        <f t="shared" si="262"/>
        <v>#N/A</v>
      </c>
      <c r="BB269" s="288">
        <f t="shared" si="296"/>
        <v>7</v>
      </c>
      <c r="BC269" s="289" t="e">
        <f t="shared" si="297"/>
        <v>#N/A</v>
      </c>
      <c r="BD269" s="290" t="e">
        <f t="shared" si="298"/>
        <v>#N/A</v>
      </c>
      <c r="BE269" s="263" t="e">
        <f t="shared" si="263"/>
        <v>#N/A</v>
      </c>
      <c r="BF269" s="260">
        <f t="shared" si="299"/>
        <v>7</v>
      </c>
      <c r="BG269" s="289" t="e">
        <f t="shared" si="300"/>
        <v>#N/A</v>
      </c>
      <c r="BH269" s="290" t="e">
        <f t="shared" si="301"/>
        <v>#N/A</v>
      </c>
      <c r="BI269" s="263" t="e">
        <f t="shared" si="264"/>
        <v>#N/A</v>
      </c>
      <c r="BJ269" s="264">
        <f t="shared" si="302"/>
        <v>7</v>
      </c>
      <c r="BK269" s="291" t="e">
        <f t="shared" si="303"/>
        <v>#N/A</v>
      </c>
      <c r="BL269" s="291" t="e">
        <f t="shared" si="304"/>
        <v>#N/A</v>
      </c>
      <c r="BM269" s="292" t="e">
        <f t="shared" si="265"/>
        <v>#N/A</v>
      </c>
      <c r="BN269" s="293">
        <f t="shared" si="305"/>
        <v>7</v>
      </c>
      <c r="BO269" s="294" t="e">
        <f t="shared" si="306"/>
        <v>#N/A</v>
      </c>
      <c r="BP269" s="294" t="e">
        <f t="shared" si="307"/>
        <v>#N/A</v>
      </c>
      <c r="BQ269" s="292" t="e">
        <f t="shared" si="266"/>
        <v>#N/A</v>
      </c>
      <c r="BR269" s="295" t="e">
        <f t="shared" si="267"/>
        <v>#N/A</v>
      </c>
      <c r="BS269" s="230" t="e">
        <f>VLOOKUP($B269,SDR22_STOCK_BY_LA!$A$2:$C$11679,3,0)</f>
        <v>#N/A</v>
      </c>
      <c r="BT269" s="230" t="str">
        <f t="shared" si="308"/>
        <v/>
      </c>
    </row>
    <row r="270" spans="1:72" ht="12.5" x14ac:dyDescent="0.25">
      <c r="A270" s="230" t="str">
        <f t="shared" si="309"/>
        <v/>
      </c>
      <c r="B270" s="230" t="str">
        <f t="shared" si="310"/>
        <v/>
      </c>
      <c r="C270" s="296" t="str">
        <f t="shared" si="268"/>
        <v/>
      </c>
      <c r="D270" s="269" t="str">
        <f>IF(B270="","",IF(totals!$Q$3=0,IFERROR(IF(AD270=2,"0",AE270),""),"-"))</f>
        <v/>
      </c>
      <c r="E270" s="271" t="str">
        <f t="shared" si="269"/>
        <v/>
      </c>
      <c r="F270" s="272" t="str">
        <f t="shared" si="270"/>
        <v/>
      </c>
      <c r="G270" s="272" t="str">
        <f t="shared" si="271"/>
        <v/>
      </c>
      <c r="H270" s="269" t="str">
        <f t="shared" si="249"/>
        <v/>
      </c>
      <c r="I270" s="272" t="str">
        <f t="shared" si="272"/>
        <v/>
      </c>
      <c r="J270" s="272" t="str">
        <f t="shared" si="273"/>
        <v/>
      </c>
      <c r="K270" s="269" t="str">
        <f t="shared" si="250"/>
        <v/>
      </c>
      <c r="L270" s="272" t="str">
        <f t="shared" si="251"/>
        <v/>
      </c>
      <c r="M270" s="272" t="str">
        <f t="shared" si="274"/>
        <v/>
      </c>
      <c r="N270" s="269" t="str">
        <f t="shared" si="275"/>
        <v/>
      </c>
      <c r="O270" s="272" t="str">
        <f t="shared" si="276"/>
        <v/>
      </c>
      <c r="P270" s="272" t="str">
        <f t="shared" si="277"/>
        <v/>
      </c>
      <c r="Q270" s="269" t="str">
        <f t="shared" si="278"/>
        <v/>
      </c>
      <c r="R270" s="272" t="str">
        <f t="shared" si="279"/>
        <v/>
      </c>
      <c r="S270" s="272" t="str">
        <f t="shared" si="280"/>
        <v/>
      </c>
      <c r="T270" s="269" t="str">
        <f t="shared" si="281"/>
        <v/>
      </c>
      <c r="U270" s="230"/>
      <c r="V270" s="230"/>
      <c r="AB270" s="230" t="e">
        <f>VLOOKUP($B$6,Lookup_Source,263,0)</f>
        <v>#N/A</v>
      </c>
      <c r="AC270" s="254" t="str">
        <f t="shared" si="282"/>
        <v/>
      </c>
      <c r="AD270" s="255">
        <f t="shared" si="283"/>
        <v>7</v>
      </c>
      <c r="AE270" s="274" t="e">
        <f t="shared" si="252"/>
        <v>#N/A</v>
      </c>
      <c r="AF270" s="277" t="e">
        <f t="shared" si="284"/>
        <v>#N/A</v>
      </c>
      <c r="AG270" s="277" t="e">
        <f t="shared" si="285"/>
        <v>#N/A</v>
      </c>
      <c r="AH270" s="276" t="e">
        <f t="shared" si="253"/>
        <v>#N/A</v>
      </c>
      <c r="AI270" s="239">
        <f t="shared" si="286"/>
        <v>7</v>
      </c>
      <c r="AJ270" s="277" t="e">
        <f t="shared" si="254"/>
        <v>#N/A</v>
      </c>
      <c r="AK270" s="277" t="e">
        <f t="shared" si="287"/>
        <v>#N/A</v>
      </c>
      <c r="AL270" s="239" t="e">
        <f t="shared" si="255"/>
        <v>#N/A</v>
      </c>
      <c r="AM270" s="278" t="e">
        <f t="shared" si="288"/>
        <v>#N/A</v>
      </c>
      <c r="AN270" s="279" t="e">
        <f t="shared" si="256"/>
        <v>#N/A</v>
      </c>
      <c r="AO270" s="240" t="e">
        <f t="shared" si="257"/>
        <v>#N/A</v>
      </c>
      <c r="AP270" s="297">
        <f t="shared" si="289"/>
        <v>7</v>
      </c>
      <c r="AQ270" s="298" t="e">
        <f t="shared" si="258"/>
        <v>#N/A</v>
      </c>
      <c r="AR270" s="279" t="e">
        <f t="shared" si="290"/>
        <v>#N/A</v>
      </c>
      <c r="AS270" s="283" t="e">
        <f t="shared" si="259"/>
        <v>#N/A</v>
      </c>
      <c r="AT270" s="284">
        <f t="shared" si="291"/>
        <v>7</v>
      </c>
      <c r="AU270" s="285" t="e">
        <f t="shared" si="292"/>
        <v>#N/A</v>
      </c>
      <c r="AV270" s="286" t="e">
        <f t="shared" si="293"/>
        <v>#N/A</v>
      </c>
      <c r="AW270" s="287" t="e">
        <f t="shared" si="260"/>
        <v>#N/A</v>
      </c>
      <c r="AX270" s="245">
        <f t="shared" si="294"/>
        <v>7</v>
      </c>
      <c r="AY270" s="286" t="e">
        <f t="shared" si="261"/>
        <v>#N/A</v>
      </c>
      <c r="AZ270" s="245" t="e">
        <f t="shared" si="295"/>
        <v>#N/A</v>
      </c>
      <c r="BA270" s="245" t="e">
        <f t="shared" si="262"/>
        <v>#N/A</v>
      </c>
      <c r="BB270" s="288">
        <f t="shared" si="296"/>
        <v>7</v>
      </c>
      <c r="BC270" s="289" t="e">
        <f t="shared" si="297"/>
        <v>#N/A</v>
      </c>
      <c r="BD270" s="290" t="e">
        <f t="shared" si="298"/>
        <v>#N/A</v>
      </c>
      <c r="BE270" s="263" t="e">
        <f t="shared" si="263"/>
        <v>#N/A</v>
      </c>
      <c r="BF270" s="260">
        <f t="shared" si="299"/>
        <v>7</v>
      </c>
      <c r="BG270" s="289" t="e">
        <f t="shared" si="300"/>
        <v>#N/A</v>
      </c>
      <c r="BH270" s="290" t="e">
        <f t="shared" si="301"/>
        <v>#N/A</v>
      </c>
      <c r="BI270" s="263" t="e">
        <f t="shared" si="264"/>
        <v>#N/A</v>
      </c>
      <c r="BJ270" s="264">
        <f t="shared" si="302"/>
        <v>7</v>
      </c>
      <c r="BK270" s="291" t="e">
        <f t="shared" si="303"/>
        <v>#N/A</v>
      </c>
      <c r="BL270" s="291" t="e">
        <f t="shared" si="304"/>
        <v>#N/A</v>
      </c>
      <c r="BM270" s="292" t="e">
        <f t="shared" si="265"/>
        <v>#N/A</v>
      </c>
      <c r="BN270" s="293">
        <f t="shared" si="305"/>
        <v>7</v>
      </c>
      <c r="BO270" s="294" t="e">
        <f t="shared" si="306"/>
        <v>#N/A</v>
      </c>
      <c r="BP270" s="294" t="e">
        <f t="shared" si="307"/>
        <v>#N/A</v>
      </c>
      <c r="BQ270" s="292" t="e">
        <f t="shared" si="266"/>
        <v>#N/A</v>
      </c>
      <c r="BR270" s="295" t="e">
        <f t="shared" si="267"/>
        <v>#N/A</v>
      </c>
      <c r="BS270" s="230" t="e">
        <f>VLOOKUP($B270,SDR22_STOCK_BY_LA!$A$2:$C$11679,3,0)</f>
        <v>#N/A</v>
      </c>
      <c r="BT270" s="230" t="str">
        <f t="shared" si="308"/>
        <v/>
      </c>
    </row>
    <row r="271" spans="1:72" ht="12.5" x14ac:dyDescent="0.25">
      <c r="A271" s="269" t="str">
        <f t="shared" si="309"/>
        <v/>
      </c>
      <c r="B271" s="230" t="str">
        <f t="shared" si="310"/>
        <v/>
      </c>
      <c r="C271" s="270" t="str">
        <f t="shared" si="268"/>
        <v/>
      </c>
      <c r="D271" s="269" t="str">
        <f>IF(B271="","",IF(totals!$Q$3=0,IFERROR(IF(AD271=2,"0",AE271),""),"-"))</f>
        <v/>
      </c>
      <c r="E271" s="271" t="str">
        <f t="shared" si="269"/>
        <v/>
      </c>
      <c r="F271" s="272" t="str">
        <f t="shared" si="270"/>
        <v/>
      </c>
      <c r="G271" s="272" t="str">
        <f t="shared" si="271"/>
        <v/>
      </c>
      <c r="H271" s="269" t="str">
        <f t="shared" si="249"/>
        <v/>
      </c>
      <c r="I271" s="272" t="str">
        <f t="shared" si="272"/>
        <v/>
      </c>
      <c r="J271" s="272" t="str">
        <f t="shared" si="273"/>
        <v/>
      </c>
      <c r="K271" s="269" t="str">
        <f t="shared" si="250"/>
        <v/>
      </c>
      <c r="L271" s="272" t="str">
        <f t="shared" si="251"/>
        <v/>
      </c>
      <c r="M271" s="272" t="str">
        <f t="shared" si="274"/>
        <v/>
      </c>
      <c r="N271" s="269" t="str">
        <f t="shared" si="275"/>
        <v/>
      </c>
      <c r="O271" s="272" t="str">
        <f t="shared" si="276"/>
        <v/>
      </c>
      <c r="P271" s="272" t="str">
        <f t="shared" si="277"/>
        <v/>
      </c>
      <c r="Q271" s="269" t="str">
        <f t="shared" si="278"/>
        <v/>
      </c>
      <c r="R271" s="272" t="str">
        <f t="shared" si="279"/>
        <v/>
      </c>
      <c r="S271" s="272" t="str">
        <f t="shared" si="280"/>
        <v/>
      </c>
      <c r="T271" s="269" t="str">
        <f t="shared" si="281"/>
        <v/>
      </c>
      <c r="U271" s="230"/>
      <c r="V271" s="230"/>
      <c r="AB271" s="270" t="e">
        <f>VLOOKUP($B$6,Lookup_Source,264,0)</f>
        <v>#N/A</v>
      </c>
      <c r="AC271" s="254" t="str">
        <f t="shared" si="282"/>
        <v/>
      </c>
      <c r="AD271" s="255">
        <f t="shared" si="283"/>
        <v>7</v>
      </c>
      <c r="AE271" s="274" t="e">
        <f t="shared" si="252"/>
        <v>#N/A</v>
      </c>
      <c r="AF271" s="277" t="e">
        <f t="shared" si="284"/>
        <v>#N/A</v>
      </c>
      <c r="AG271" s="277" t="e">
        <f t="shared" si="285"/>
        <v>#N/A</v>
      </c>
      <c r="AH271" s="276" t="e">
        <f t="shared" si="253"/>
        <v>#N/A</v>
      </c>
      <c r="AI271" s="239">
        <f t="shared" si="286"/>
        <v>7</v>
      </c>
      <c r="AJ271" s="277" t="e">
        <f t="shared" si="254"/>
        <v>#N/A</v>
      </c>
      <c r="AK271" s="277" t="e">
        <f t="shared" si="287"/>
        <v>#N/A</v>
      </c>
      <c r="AL271" s="239" t="e">
        <f t="shared" si="255"/>
        <v>#N/A</v>
      </c>
      <c r="AM271" s="278" t="e">
        <f t="shared" si="288"/>
        <v>#N/A</v>
      </c>
      <c r="AN271" s="279" t="e">
        <f t="shared" si="256"/>
        <v>#N/A</v>
      </c>
      <c r="AO271" s="240" t="e">
        <f t="shared" si="257"/>
        <v>#N/A</v>
      </c>
      <c r="AP271" s="297">
        <f t="shared" si="289"/>
        <v>7</v>
      </c>
      <c r="AQ271" s="298" t="e">
        <f t="shared" si="258"/>
        <v>#N/A</v>
      </c>
      <c r="AR271" s="279" t="e">
        <f t="shared" si="290"/>
        <v>#N/A</v>
      </c>
      <c r="AS271" s="283" t="e">
        <f t="shared" si="259"/>
        <v>#N/A</v>
      </c>
      <c r="AT271" s="284">
        <f t="shared" si="291"/>
        <v>7</v>
      </c>
      <c r="AU271" s="285" t="e">
        <f t="shared" si="292"/>
        <v>#N/A</v>
      </c>
      <c r="AV271" s="286" t="e">
        <f t="shared" si="293"/>
        <v>#N/A</v>
      </c>
      <c r="AW271" s="287" t="e">
        <f t="shared" si="260"/>
        <v>#N/A</v>
      </c>
      <c r="AX271" s="245">
        <f t="shared" si="294"/>
        <v>7</v>
      </c>
      <c r="AY271" s="286" t="e">
        <f t="shared" si="261"/>
        <v>#N/A</v>
      </c>
      <c r="AZ271" s="245" t="e">
        <f t="shared" si="295"/>
        <v>#N/A</v>
      </c>
      <c r="BA271" s="245" t="e">
        <f t="shared" si="262"/>
        <v>#N/A</v>
      </c>
      <c r="BB271" s="288">
        <f t="shared" si="296"/>
        <v>7</v>
      </c>
      <c r="BC271" s="289" t="e">
        <f t="shared" si="297"/>
        <v>#N/A</v>
      </c>
      <c r="BD271" s="290" t="e">
        <f t="shared" si="298"/>
        <v>#N/A</v>
      </c>
      <c r="BE271" s="263" t="e">
        <f t="shared" si="263"/>
        <v>#N/A</v>
      </c>
      <c r="BF271" s="260">
        <f t="shared" si="299"/>
        <v>7</v>
      </c>
      <c r="BG271" s="289" t="e">
        <f t="shared" si="300"/>
        <v>#N/A</v>
      </c>
      <c r="BH271" s="290" t="e">
        <f t="shared" si="301"/>
        <v>#N/A</v>
      </c>
      <c r="BI271" s="263" t="e">
        <f t="shared" si="264"/>
        <v>#N/A</v>
      </c>
      <c r="BJ271" s="264">
        <f t="shared" si="302"/>
        <v>7</v>
      </c>
      <c r="BK271" s="291" t="e">
        <f t="shared" si="303"/>
        <v>#N/A</v>
      </c>
      <c r="BL271" s="291" t="e">
        <f t="shared" si="304"/>
        <v>#N/A</v>
      </c>
      <c r="BM271" s="292" t="e">
        <f t="shared" si="265"/>
        <v>#N/A</v>
      </c>
      <c r="BN271" s="293">
        <f t="shared" si="305"/>
        <v>7</v>
      </c>
      <c r="BO271" s="294" t="e">
        <f t="shared" si="306"/>
        <v>#N/A</v>
      </c>
      <c r="BP271" s="294" t="e">
        <f t="shared" si="307"/>
        <v>#N/A</v>
      </c>
      <c r="BQ271" s="292" t="e">
        <f t="shared" si="266"/>
        <v>#N/A</v>
      </c>
      <c r="BR271" s="295" t="e">
        <f t="shared" si="267"/>
        <v>#N/A</v>
      </c>
      <c r="BS271" s="230" t="e">
        <f>VLOOKUP($B271,SDR22_STOCK_BY_LA!$A$2:$C$11679,3,0)</f>
        <v>#N/A</v>
      </c>
      <c r="BT271" s="230" t="str">
        <f t="shared" si="308"/>
        <v/>
      </c>
    </row>
    <row r="272" spans="1:72" ht="12.5" x14ac:dyDescent="0.25">
      <c r="A272" s="230" t="str">
        <f t="shared" si="309"/>
        <v/>
      </c>
      <c r="B272" s="230" t="str">
        <f t="shared" si="310"/>
        <v/>
      </c>
      <c r="C272" s="296" t="str">
        <f t="shared" si="268"/>
        <v/>
      </c>
      <c r="D272" s="269" t="str">
        <f>IF(B272="","",IF(totals!$Q$3=0,IFERROR(IF(AD272=2,"0",AE272),""),"-"))</f>
        <v/>
      </c>
      <c r="E272" s="271" t="str">
        <f t="shared" si="269"/>
        <v/>
      </c>
      <c r="F272" s="272" t="str">
        <f t="shared" si="270"/>
        <v/>
      </c>
      <c r="G272" s="272" t="str">
        <f t="shared" si="271"/>
        <v/>
      </c>
      <c r="H272" s="269" t="str">
        <f t="shared" si="249"/>
        <v/>
      </c>
      <c r="I272" s="272" t="str">
        <f t="shared" si="272"/>
        <v/>
      </c>
      <c r="J272" s="272" t="str">
        <f t="shared" si="273"/>
        <v/>
      </c>
      <c r="K272" s="269" t="str">
        <f t="shared" si="250"/>
        <v/>
      </c>
      <c r="L272" s="272" t="str">
        <f t="shared" si="251"/>
        <v/>
      </c>
      <c r="M272" s="272" t="str">
        <f t="shared" si="274"/>
        <v/>
      </c>
      <c r="N272" s="269" t="str">
        <f t="shared" si="275"/>
        <v/>
      </c>
      <c r="O272" s="272" t="str">
        <f t="shared" si="276"/>
        <v/>
      </c>
      <c r="P272" s="272" t="str">
        <f t="shared" si="277"/>
        <v/>
      </c>
      <c r="Q272" s="269" t="str">
        <f t="shared" si="278"/>
        <v/>
      </c>
      <c r="R272" s="272" t="str">
        <f t="shared" si="279"/>
        <v/>
      </c>
      <c r="S272" s="272" t="str">
        <f t="shared" si="280"/>
        <v/>
      </c>
      <c r="T272" s="269" t="str">
        <f t="shared" si="281"/>
        <v/>
      </c>
      <c r="U272" s="230"/>
      <c r="V272" s="230"/>
      <c r="AB272" s="230" t="e">
        <f>VLOOKUP($B$6,Lookup_Source,265,0)</f>
        <v>#N/A</v>
      </c>
      <c r="AC272" s="254" t="str">
        <f t="shared" si="282"/>
        <v/>
      </c>
      <c r="AD272" s="255">
        <f t="shared" si="283"/>
        <v>7</v>
      </c>
      <c r="AE272" s="274" t="e">
        <f t="shared" si="252"/>
        <v>#N/A</v>
      </c>
      <c r="AF272" s="277" t="e">
        <f t="shared" si="284"/>
        <v>#N/A</v>
      </c>
      <c r="AG272" s="277" t="e">
        <f t="shared" si="285"/>
        <v>#N/A</v>
      </c>
      <c r="AH272" s="276" t="e">
        <f t="shared" si="253"/>
        <v>#N/A</v>
      </c>
      <c r="AI272" s="239">
        <f t="shared" si="286"/>
        <v>7</v>
      </c>
      <c r="AJ272" s="277" t="e">
        <f t="shared" si="254"/>
        <v>#N/A</v>
      </c>
      <c r="AK272" s="277" t="e">
        <f t="shared" si="287"/>
        <v>#N/A</v>
      </c>
      <c r="AL272" s="239" t="e">
        <f t="shared" si="255"/>
        <v>#N/A</v>
      </c>
      <c r="AM272" s="278" t="e">
        <f t="shared" si="288"/>
        <v>#N/A</v>
      </c>
      <c r="AN272" s="279" t="e">
        <f t="shared" si="256"/>
        <v>#N/A</v>
      </c>
      <c r="AO272" s="240" t="e">
        <f t="shared" si="257"/>
        <v>#N/A</v>
      </c>
      <c r="AP272" s="297">
        <f t="shared" si="289"/>
        <v>7</v>
      </c>
      <c r="AQ272" s="298" t="e">
        <f t="shared" si="258"/>
        <v>#N/A</v>
      </c>
      <c r="AR272" s="279" t="e">
        <f t="shared" si="290"/>
        <v>#N/A</v>
      </c>
      <c r="AS272" s="283" t="e">
        <f t="shared" si="259"/>
        <v>#N/A</v>
      </c>
      <c r="AT272" s="284">
        <f t="shared" si="291"/>
        <v>7</v>
      </c>
      <c r="AU272" s="285" t="e">
        <f t="shared" si="292"/>
        <v>#N/A</v>
      </c>
      <c r="AV272" s="286" t="e">
        <f t="shared" si="293"/>
        <v>#N/A</v>
      </c>
      <c r="AW272" s="287" t="e">
        <f t="shared" si="260"/>
        <v>#N/A</v>
      </c>
      <c r="AX272" s="245">
        <f t="shared" si="294"/>
        <v>7</v>
      </c>
      <c r="AY272" s="286" t="e">
        <f t="shared" si="261"/>
        <v>#N/A</v>
      </c>
      <c r="AZ272" s="245" t="e">
        <f t="shared" si="295"/>
        <v>#N/A</v>
      </c>
      <c r="BA272" s="245" t="e">
        <f t="shared" si="262"/>
        <v>#N/A</v>
      </c>
      <c r="BB272" s="288">
        <f t="shared" si="296"/>
        <v>7</v>
      </c>
      <c r="BC272" s="289" t="e">
        <f t="shared" si="297"/>
        <v>#N/A</v>
      </c>
      <c r="BD272" s="290" t="e">
        <f t="shared" si="298"/>
        <v>#N/A</v>
      </c>
      <c r="BE272" s="263" t="e">
        <f t="shared" si="263"/>
        <v>#N/A</v>
      </c>
      <c r="BF272" s="260">
        <f t="shared" si="299"/>
        <v>7</v>
      </c>
      <c r="BG272" s="289" t="e">
        <f t="shared" si="300"/>
        <v>#N/A</v>
      </c>
      <c r="BH272" s="290" t="e">
        <f t="shared" si="301"/>
        <v>#N/A</v>
      </c>
      <c r="BI272" s="263" t="e">
        <f t="shared" si="264"/>
        <v>#N/A</v>
      </c>
      <c r="BJ272" s="264">
        <f t="shared" si="302"/>
        <v>7</v>
      </c>
      <c r="BK272" s="291" t="e">
        <f t="shared" si="303"/>
        <v>#N/A</v>
      </c>
      <c r="BL272" s="291" t="e">
        <f t="shared" si="304"/>
        <v>#N/A</v>
      </c>
      <c r="BM272" s="292" t="e">
        <f t="shared" si="265"/>
        <v>#N/A</v>
      </c>
      <c r="BN272" s="293">
        <f t="shared" si="305"/>
        <v>7</v>
      </c>
      <c r="BO272" s="294" t="e">
        <f t="shared" si="306"/>
        <v>#N/A</v>
      </c>
      <c r="BP272" s="294" t="e">
        <f t="shared" si="307"/>
        <v>#N/A</v>
      </c>
      <c r="BQ272" s="292" t="e">
        <f t="shared" si="266"/>
        <v>#N/A</v>
      </c>
      <c r="BR272" s="295" t="e">
        <f t="shared" si="267"/>
        <v>#N/A</v>
      </c>
      <c r="BS272" s="230" t="e">
        <f>VLOOKUP($B272,SDR22_STOCK_BY_LA!$A$2:$C$11679,3,0)</f>
        <v>#N/A</v>
      </c>
      <c r="BT272" s="230" t="str">
        <f t="shared" si="308"/>
        <v/>
      </c>
    </row>
    <row r="273" spans="1:72" ht="12.5" x14ac:dyDescent="0.25">
      <c r="A273" s="269" t="str">
        <f t="shared" si="309"/>
        <v/>
      </c>
      <c r="B273" s="230" t="str">
        <f t="shared" si="310"/>
        <v/>
      </c>
      <c r="C273" s="270" t="str">
        <f t="shared" si="268"/>
        <v/>
      </c>
      <c r="D273" s="269" t="str">
        <f>IF(B273="","",IF(totals!$Q$3=0,IFERROR(IF(AD273=2,"0",AE273),""),"-"))</f>
        <v/>
      </c>
      <c r="E273" s="271" t="str">
        <f t="shared" si="269"/>
        <v/>
      </c>
      <c r="F273" s="272" t="str">
        <f t="shared" si="270"/>
        <v/>
      </c>
      <c r="G273" s="272" t="str">
        <f t="shared" si="271"/>
        <v/>
      </c>
      <c r="H273" s="269" t="str">
        <f t="shared" si="249"/>
        <v/>
      </c>
      <c r="I273" s="272" t="str">
        <f t="shared" si="272"/>
        <v/>
      </c>
      <c r="J273" s="272" t="str">
        <f t="shared" si="273"/>
        <v/>
      </c>
      <c r="K273" s="269" t="str">
        <f t="shared" si="250"/>
        <v/>
      </c>
      <c r="L273" s="272" t="str">
        <f t="shared" si="251"/>
        <v/>
      </c>
      <c r="M273" s="272" t="str">
        <f t="shared" si="274"/>
        <v/>
      </c>
      <c r="N273" s="269" t="str">
        <f t="shared" si="275"/>
        <v/>
      </c>
      <c r="O273" s="272" t="str">
        <f t="shared" si="276"/>
        <v/>
      </c>
      <c r="P273" s="272" t="str">
        <f t="shared" si="277"/>
        <v/>
      </c>
      <c r="Q273" s="269" t="str">
        <f t="shared" si="278"/>
        <v/>
      </c>
      <c r="R273" s="272" t="str">
        <f t="shared" si="279"/>
        <v/>
      </c>
      <c r="S273" s="272" t="str">
        <f t="shared" si="280"/>
        <v/>
      </c>
      <c r="T273" s="269" t="str">
        <f t="shared" si="281"/>
        <v/>
      </c>
      <c r="U273" s="230"/>
      <c r="V273" s="230"/>
      <c r="AB273" s="270" t="e">
        <f>VLOOKUP($B$6,Lookup_Source,266,0)</f>
        <v>#N/A</v>
      </c>
      <c r="AC273" s="254" t="str">
        <f t="shared" si="282"/>
        <v/>
      </c>
      <c r="AD273" s="255">
        <f t="shared" si="283"/>
        <v>7</v>
      </c>
      <c r="AE273" s="274" t="e">
        <f t="shared" si="252"/>
        <v>#N/A</v>
      </c>
      <c r="AF273" s="277" t="e">
        <f t="shared" si="284"/>
        <v>#N/A</v>
      </c>
      <c r="AG273" s="277" t="e">
        <f t="shared" si="285"/>
        <v>#N/A</v>
      </c>
      <c r="AH273" s="276" t="e">
        <f t="shared" si="253"/>
        <v>#N/A</v>
      </c>
      <c r="AI273" s="239">
        <f t="shared" si="286"/>
        <v>7</v>
      </c>
      <c r="AJ273" s="277" t="e">
        <f t="shared" si="254"/>
        <v>#N/A</v>
      </c>
      <c r="AK273" s="277" t="e">
        <f t="shared" si="287"/>
        <v>#N/A</v>
      </c>
      <c r="AL273" s="239" t="e">
        <f t="shared" si="255"/>
        <v>#N/A</v>
      </c>
      <c r="AM273" s="278" t="e">
        <f t="shared" si="288"/>
        <v>#N/A</v>
      </c>
      <c r="AN273" s="279" t="e">
        <f t="shared" si="256"/>
        <v>#N/A</v>
      </c>
      <c r="AO273" s="240" t="e">
        <f t="shared" si="257"/>
        <v>#N/A</v>
      </c>
      <c r="AP273" s="297">
        <f t="shared" si="289"/>
        <v>7</v>
      </c>
      <c r="AQ273" s="298" t="e">
        <f t="shared" si="258"/>
        <v>#N/A</v>
      </c>
      <c r="AR273" s="279" t="e">
        <f t="shared" si="290"/>
        <v>#N/A</v>
      </c>
      <c r="AS273" s="283" t="e">
        <f t="shared" si="259"/>
        <v>#N/A</v>
      </c>
      <c r="AT273" s="284">
        <f t="shared" si="291"/>
        <v>7</v>
      </c>
      <c r="AU273" s="285" t="e">
        <f t="shared" si="292"/>
        <v>#N/A</v>
      </c>
      <c r="AV273" s="286" t="e">
        <f t="shared" si="293"/>
        <v>#N/A</v>
      </c>
      <c r="AW273" s="287" t="e">
        <f t="shared" si="260"/>
        <v>#N/A</v>
      </c>
      <c r="AX273" s="245">
        <f t="shared" si="294"/>
        <v>7</v>
      </c>
      <c r="AY273" s="286" t="e">
        <f t="shared" si="261"/>
        <v>#N/A</v>
      </c>
      <c r="AZ273" s="245" t="e">
        <f t="shared" si="295"/>
        <v>#N/A</v>
      </c>
      <c r="BA273" s="245" t="e">
        <f t="shared" si="262"/>
        <v>#N/A</v>
      </c>
      <c r="BB273" s="288">
        <f t="shared" si="296"/>
        <v>7</v>
      </c>
      <c r="BC273" s="289" t="e">
        <f t="shared" si="297"/>
        <v>#N/A</v>
      </c>
      <c r="BD273" s="290" t="e">
        <f t="shared" si="298"/>
        <v>#N/A</v>
      </c>
      <c r="BE273" s="263" t="e">
        <f t="shared" si="263"/>
        <v>#N/A</v>
      </c>
      <c r="BF273" s="260">
        <f t="shared" si="299"/>
        <v>7</v>
      </c>
      <c r="BG273" s="289" t="e">
        <f t="shared" si="300"/>
        <v>#N/A</v>
      </c>
      <c r="BH273" s="290" t="e">
        <f t="shared" si="301"/>
        <v>#N/A</v>
      </c>
      <c r="BI273" s="263" t="e">
        <f t="shared" si="264"/>
        <v>#N/A</v>
      </c>
      <c r="BJ273" s="264">
        <f t="shared" si="302"/>
        <v>7</v>
      </c>
      <c r="BK273" s="291" t="e">
        <f t="shared" si="303"/>
        <v>#N/A</v>
      </c>
      <c r="BL273" s="291" t="e">
        <f t="shared" si="304"/>
        <v>#N/A</v>
      </c>
      <c r="BM273" s="292" t="e">
        <f t="shared" si="265"/>
        <v>#N/A</v>
      </c>
      <c r="BN273" s="293">
        <f t="shared" si="305"/>
        <v>7</v>
      </c>
      <c r="BO273" s="294" t="e">
        <f t="shared" si="306"/>
        <v>#N/A</v>
      </c>
      <c r="BP273" s="294" t="e">
        <f t="shared" si="307"/>
        <v>#N/A</v>
      </c>
      <c r="BQ273" s="292" t="e">
        <f t="shared" si="266"/>
        <v>#N/A</v>
      </c>
      <c r="BR273" s="295" t="e">
        <f t="shared" si="267"/>
        <v>#N/A</v>
      </c>
      <c r="BS273" s="230" t="e">
        <f>VLOOKUP($B273,SDR22_STOCK_BY_LA!$A$2:$C$11679,3,0)</f>
        <v>#N/A</v>
      </c>
      <c r="BT273" s="230" t="str">
        <f t="shared" si="308"/>
        <v/>
      </c>
    </row>
    <row r="274" spans="1:72" ht="12.5" x14ac:dyDescent="0.25">
      <c r="A274" s="230" t="str">
        <f t="shared" si="309"/>
        <v/>
      </c>
      <c r="B274" s="230" t="str">
        <f t="shared" si="310"/>
        <v/>
      </c>
      <c r="C274" s="296" t="str">
        <f t="shared" si="268"/>
        <v/>
      </c>
      <c r="D274" s="269" t="str">
        <f>IF(B274="","",IF(totals!$Q$3=0,IFERROR(IF(AD274=2,"0",AE274),""),"-"))</f>
        <v/>
      </c>
      <c r="E274" s="271" t="str">
        <f t="shared" si="269"/>
        <v/>
      </c>
      <c r="F274" s="272" t="str">
        <f t="shared" si="270"/>
        <v/>
      </c>
      <c r="G274" s="272" t="str">
        <f t="shared" si="271"/>
        <v/>
      </c>
      <c r="H274" s="269" t="str">
        <f t="shared" si="249"/>
        <v/>
      </c>
      <c r="I274" s="272" t="str">
        <f t="shared" si="272"/>
        <v/>
      </c>
      <c r="J274" s="272" t="str">
        <f t="shared" si="273"/>
        <v/>
      </c>
      <c r="K274" s="269" t="str">
        <f t="shared" si="250"/>
        <v/>
      </c>
      <c r="L274" s="272" t="str">
        <f t="shared" si="251"/>
        <v/>
      </c>
      <c r="M274" s="272" t="str">
        <f t="shared" si="274"/>
        <v/>
      </c>
      <c r="N274" s="269" t="str">
        <f t="shared" si="275"/>
        <v/>
      </c>
      <c r="O274" s="272" t="str">
        <f t="shared" si="276"/>
        <v/>
      </c>
      <c r="P274" s="272" t="str">
        <f t="shared" si="277"/>
        <v/>
      </c>
      <c r="Q274" s="269" t="str">
        <f t="shared" si="278"/>
        <v/>
      </c>
      <c r="R274" s="272" t="str">
        <f t="shared" si="279"/>
        <v/>
      </c>
      <c r="S274" s="272" t="str">
        <f t="shared" si="280"/>
        <v/>
      </c>
      <c r="T274" s="269" t="str">
        <f t="shared" si="281"/>
        <v/>
      </c>
      <c r="U274" s="230"/>
      <c r="V274" s="230"/>
      <c r="AB274" s="230" t="e">
        <f>VLOOKUP($B$6,Lookup_Source,267,0)</f>
        <v>#N/A</v>
      </c>
      <c r="AC274" s="254" t="str">
        <f t="shared" si="282"/>
        <v/>
      </c>
      <c r="AD274" s="255">
        <f t="shared" si="283"/>
        <v>7</v>
      </c>
      <c r="AE274" s="274" t="e">
        <f t="shared" si="252"/>
        <v>#N/A</v>
      </c>
      <c r="AF274" s="277" t="e">
        <f t="shared" si="284"/>
        <v>#N/A</v>
      </c>
      <c r="AG274" s="277" t="e">
        <f t="shared" si="285"/>
        <v>#N/A</v>
      </c>
      <c r="AH274" s="276" t="e">
        <f t="shared" si="253"/>
        <v>#N/A</v>
      </c>
      <c r="AI274" s="239">
        <f t="shared" si="286"/>
        <v>7</v>
      </c>
      <c r="AJ274" s="277" t="e">
        <f t="shared" si="254"/>
        <v>#N/A</v>
      </c>
      <c r="AK274" s="277" t="e">
        <f t="shared" si="287"/>
        <v>#N/A</v>
      </c>
      <c r="AL274" s="239" t="e">
        <f t="shared" si="255"/>
        <v>#N/A</v>
      </c>
      <c r="AM274" s="278" t="e">
        <f t="shared" si="288"/>
        <v>#N/A</v>
      </c>
      <c r="AN274" s="279" t="e">
        <f t="shared" si="256"/>
        <v>#N/A</v>
      </c>
      <c r="AO274" s="240" t="e">
        <f t="shared" si="257"/>
        <v>#N/A</v>
      </c>
      <c r="AP274" s="297">
        <f t="shared" si="289"/>
        <v>7</v>
      </c>
      <c r="AQ274" s="298" t="e">
        <f t="shared" si="258"/>
        <v>#N/A</v>
      </c>
      <c r="AR274" s="279" t="e">
        <f t="shared" si="290"/>
        <v>#N/A</v>
      </c>
      <c r="AS274" s="283" t="e">
        <f t="shared" si="259"/>
        <v>#N/A</v>
      </c>
      <c r="AT274" s="284">
        <f t="shared" si="291"/>
        <v>7</v>
      </c>
      <c r="AU274" s="285" t="e">
        <f t="shared" si="292"/>
        <v>#N/A</v>
      </c>
      <c r="AV274" s="286" t="e">
        <f t="shared" si="293"/>
        <v>#N/A</v>
      </c>
      <c r="AW274" s="287" t="e">
        <f t="shared" si="260"/>
        <v>#N/A</v>
      </c>
      <c r="AX274" s="245">
        <f t="shared" si="294"/>
        <v>7</v>
      </c>
      <c r="AY274" s="286" t="e">
        <f t="shared" si="261"/>
        <v>#N/A</v>
      </c>
      <c r="AZ274" s="245" t="e">
        <f t="shared" si="295"/>
        <v>#N/A</v>
      </c>
      <c r="BA274" s="245" t="e">
        <f t="shared" si="262"/>
        <v>#N/A</v>
      </c>
      <c r="BB274" s="288">
        <f t="shared" si="296"/>
        <v>7</v>
      </c>
      <c r="BC274" s="289" t="e">
        <f t="shared" si="297"/>
        <v>#N/A</v>
      </c>
      <c r="BD274" s="290" t="e">
        <f t="shared" si="298"/>
        <v>#N/A</v>
      </c>
      <c r="BE274" s="263" t="e">
        <f t="shared" si="263"/>
        <v>#N/A</v>
      </c>
      <c r="BF274" s="260">
        <f t="shared" si="299"/>
        <v>7</v>
      </c>
      <c r="BG274" s="289" t="e">
        <f t="shared" si="300"/>
        <v>#N/A</v>
      </c>
      <c r="BH274" s="290" t="e">
        <f t="shared" si="301"/>
        <v>#N/A</v>
      </c>
      <c r="BI274" s="263" t="e">
        <f t="shared" si="264"/>
        <v>#N/A</v>
      </c>
      <c r="BJ274" s="264">
        <f t="shared" si="302"/>
        <v>7</v>
      </c>
      <c r="BK274" s="291" t="e">
        <f t="shared" si="303"/>
        <v>#N/A</v>
      </c>
      <c r="BL274" s="291" t="e">
        <f t="shared" si="304"/>
        <v>#N/A</v>
      </c>
      <c r="BM274" s="292" t="e">
        <f t="shared" si="265"/>
        <v>#N/A</v>
      </c>
      <c r="BN274" s="293">
        <f t="shared" si="305"/>
        <v>7</v>
      </c>
      <c r="BO274" s="294" t="e">
        <f t="shared" si="306"/>
        <v>#N/A</v>
      </c>
      <c r="BP274" s="294" t="e">
        <f t="shared" si="307"/>
        <v>#N/A</v>
      </c>
      <c r="BQ274" s="292" t="e">
        <f t="shared" si="266"/>
        <v>#N/A</v>
      </c>
      <c r="BR274" s="295" t="e">
        <f t="shared" si="267"/>
        <v>#N/A</v>
      </c>
      <c r="BS274" s="230" t="e">
        <f>VLOOKUP($B274,SDR22_STOCK_BY_LA!$A$2:$C$11679,3,0)</f>
        <v>#N/A</v>
      </c>
      <c r="BT274" s="230" t="str">
        <f t="shared" si="308"/>
        <v/>
      </c>
    </row>
    <row r="275" spans="1:72" ht="12.5" x14ac:dyDescent="0.25">
      <c r="A275" s="269" t="str">
        <f t="shared" si="309"/>
        <v/>
      </c>
      <c r="B275" s="230" t="str">
        <f t="shared" si="310"/>
        <v/>
      </c>
      <c r="C275" s="270" t="str">
        <f t="shared" si="268"/>
        <v/>
      </c>
      <c r="D275" s="269" t="str">
        <f>IF(B275="","",IF(totals!$Q$3=0,IFERROR(IF(AD275=2,"0",AE275),""),"-"))</f>
        <v/>
      </c>
      <c r="E275" s="271" t="str">
        <f t="shared" si="269"/>
        <v/>
      </c>
      <c r="F275" s="272" t="str">
        <f t="shared" si="270"/>
        <v/>
      </c>
      <c r="G275" s="272" t="str">
        <f t="shared" si="271"/>
        <v/>
      </c>
      <c r="H275" s="269" t="str">
        <f t="shared" si="249"/>
        <v/>
      </c>
      <c r="I275" s="272" t="str">
        <f t="shared" si="272"/>
        <v/>
      </c>
      <c r="J275" s="272" t="str">
        <f t="shared" si="273"/>
        <v/>
      </c>
      <c r="K275" s="269" t="str">
        <f t="shared" si="250"/>
        <v/>
      </c>
      <c r="L275" s="272" t="str">
        <f t="shared" si="251"/>
        <v/>
      </c>
      <c r="M275" s="272" t="str">
        <f t="shared" si="274"/>
        <v/>
      </c>
      <c r="N275" s="269" t="str">
        <f t="shared" si="275"/>
        <v/>
      </c>
      <c r="O275" s="272" t="str">
        <f t="shared" si="276"/>
        <v/>
      </c>
      <c r="P275" s="272" t="str">
        <f t="shared" si="277"/>
        <v/>
      </c>
      <c r="Q275" s="269" t="str">
        <f t="shared" si="278"/>
        <v/>
      </c>
      <c r="R275" s="272" t="str">
        <f t="shared" si="279"/>
        <v/>
      </c>
      <c r="S275" s="272" t="str">
        <f t="shared" si="280"/>
        <v/>
      </c>
      <c r="T275" s="269" t="str">
        <f t="shared" si="281"/>
        <v/>
      </c>
      <c r="U275" s="230"/>
      <c r="V275" s="230"/>
      <c r="AB275" s="270" t="e">
        <f>VLOOKUP($B$6,Lookup_Source,268,0)</f>
        <v>#N/A</v>
      </c>
      <c r="AC275" s="254" t="str">
        <f t="shared" si="282"/>
        <v/>
      </c>
      <c r="AD275" s="255">
        <f t="shared" si="283"/>
        <v>7</v>
      </c>
      <c r="AE275" s="274" t="e">
        <f t="shared" si="252"/>
        <v>#N/A</v>
      </c>
      <c r="AF275" s="277" t="e">
        <f t="shared" si="284"/>
        <v>#N/A</v>
      </c>
      <c r="AG275" s="277" t="e">
        <f t="shared" si="285"/>
        <v>#N/A</v>
      </c>
      <c r="AH275" s="276" t="e">
        <f t="shared" si="253"/>
        <v>#N/A</v>
      </c>
      <c r="AI275" s="239">
        <f t="shared" si="286"/>
        <v>7</v>
      </c>
      <c r="AJ275" s="277" t="e">
        <f t="shared" si="254"/>
        <v>#N/A</v>
      </c>
      <c r="AK275" s="277" t="e">
        <f t="shared" si="287"/>
        <v>#N/A</v>
      </c>
      <c r="AL275" s="239" t="e">
        <f t="shared" si="255"/>
        <v>#N/A</v>
      </c>
      <c r="AM275" s="278" t="e">
        <f t="shared" si="288"/>
        <v>#N/A</v>
      </c>
      <c r="AN275" s="279" t="e">
        <f t="shared" si="256"/>
        <v>#N/A</v>
      </c>
      <c r="AO275" s="240" t="e">
        <f t="shared" si="257"/>
        <v>#N/A</v>
      </c>
      <c r="AP275" s="297">
        <f t="shared" si="289"/>
        <v>7</v>
      </c>
      <c r="AQ275" s="298" t="e">
        <f t="shared" si="258"/>
        <v>#N/A</v>
      </c>
      <c r="AR275" s="279" t="e">
        <f t="shared" si="290"/>
        <v>#N/A</v>
      </c>
      <c r="AS275" s="283" t="e">
        <f t="shared" si="259"/>
        <v>#N/A</v>
      </c>
      <c r="AT275" s="284">
        <f t="shared" si="291"/>
        <v>7</v>
      </c>
      <c r="AU275" s="285" t="e">
        <f t="shared" si="292"/>
        <v>#N/A</v>
      </c>
      <c r="AV275" s="286" t="e">
        <f t="shared" si="293"/>
        <v>#N/A</v>
      </c>
      <c r="AW275" s="287" t="e">
        <f t="shared" si="260"/>
        <v>#N/A</v>
      </c>
      <c r="AX275" s="245">
        <f t="shared" si="294"/>
        <v>7</v>
      </c>
      <c r="AY275" s="286" t="e">
        <f t="shared" si="261"/>
        <v>#N/A</v>
      </c>
      <c r="AZ275" s="245" t="e">
        <f t="shared" si="295"/>
        <v>#N/A</v>
      </c>
      <c r="BA275" s="245" t="e">
        <f t="shared" si="262"/>
        <v>#N/A</v>
      </c>
      <c r="BB275" s="288">
        <f t="shared" si="296"/>
        <v>7</v>
      </c>
      <c r="BC275" s="289" t="e">
        <f t="shared" si="297"/>
        <v>#N/A</v>
      </c>
      <c r="BD275" s="290" t="e">
        <f t="shared" si="298"/>
        <v>#N/A</v>
      </c>
      <c r="BE275" s="263" t="e">
        <f t="shared" si="263"/>
        <v>#N/A</v>
      </c>
      <c r="BF275" s="260">
        <f t="shared" si="299"/>
        <v>7</v>
      </c>
      <c r="BG275" s="289" t="e">
        <f t="shared" si="300"/>
        <v>#N/A</v>
      </c>
      <c r="BH275" s="290" t="e">
        <f t="shared" si="301"/>
        <v>#N/A</v>
      </c>
      <c r="BI275" s="263" t="e">
        <f t="shared" si="264"/>
        <v>#N/A</v>
      </c>
      <c r="BJ275" s="264">
        <f t="shared" si="302"/>
        <v>7</v>
      </c>
      <c r="BK275" s="291" t="e">
        <f t="shared" si="303"/>
        <v>#N/A</v>
      </c>
      <c r="BL275" s="291" t="e">
        <f t="shared" si="304"/>
        <v>#N/A</v>
      </c>
      <c r="BM275" s="292" t="e">
        <f t="shared" si="265"/>
        <v>#N/A</v>
      </c>
      <c r="BN275" s="293">
        <f t="shared" si="305"/>
        <v>7</v>
      </c>
      <c r="BO275" s="294" t="e">
        <f t="shared" si="306"/>
        <v>#N/A</v>
      </c>
      <c r="BP275" s="294" t="e">
        <f t="shared" si="307"/>
        <v>#N/A</v>
      </c>
      <c r="BQ275" s="292" t="e">
        <f t="shared" si="266"/>
        <v>#N/A</v>
      </c>
      <c r="BR275" s="295" t="e">
        <f t="shared" si="267"/>
        <v>#N/A</v>
      </c>
      <c r="BS275" s="230" t="e">
        <f>VLOOKUP($B275,SDR22_STOCK_BY_LA!$A$2:$C$11679,3,0)</f>
        <v>#N/A</v>
      </c>
      <c r="BT275" s="230" t="str">
        <f t="shared" si="308"/>
        <v/>
      </c>
    </row>
    <row r="276" spans="1:72" ht="12.5" x14ac:dyDescent="0.25">
      <c r="A276" s="230" t="str">
        <f t="shared" si="309"/>
        <v/>
      </c>
      <c r="B276" s="230" t="str">
        <f t="shared" si="310"/>
        <v/>
      </c>
      <c r="C276" s="296" t="str">
        <f t="shared" si="268"/>
        <v/>
      </c>
      <c r="D276" s="269" t="str">
        <f>IF(B276="","",IF(totals!$Q$3=0,IFERROR(IF(AD276=2,"0",AE276),""),"-"))</f>
        <v/>
      </c>
      <c r="E276" s="271" t="str">
        <f t="shared" si="269"/>
        <v/>
      </c>
      <c r="F276" s="272" t="str">
        <f t="shared" si="270"/>
        <v/>
      </c>
      <c r="G276" s="272" t="str">
        <f t="shared" si="271"/>
        <v/>
      </c>
      <c r="H276" s="269" t="str">
        <f t="shared" si="249"/>
        <v/>
      </c>
      <c r="I276" s="272" t="str">
        <f t="shared" si="272"/>
        <v/>
      </c>
      <c r="J276" s="272" t="str">
        <f t="shared" si="273"/>
        <v/>
      </c>
      <c r="K276" s="269" t="str">
        <f t="shared" si="250"/>
        <v/>
      </c>
      <c r="L276" s="272" t="str">
        <f t="shared" si="251"/>
        <v/>
      </c>
      <c r="M276" s="272" t="str">
        <f t="shared" si="274"/>
        <v/>
      </c>
      <c r="N276" s="269" t="str">
        <f t="shared" si="275"/>
        <v/>
      </c>
      <c r="O276" s="272" t="str">
        <f t="shared" si="276"/>
        <v/>
      </c>
      <c r="P276" s="272" t="str">
        <f t="shared" si="277"/>
        <v/>
      </c>
      <c r="Q276" s="269" t="str">
        <f t="shared" si="278"/>
        <v/>
      </c>
      <c r="R276" s="272" t="str">
        <f t="shared" si="279"/>
        <v/>
      </c>
      <c r="S276" s="272" t="str">
        <f t="shared" si="280"/>
        <v/>
      </c>
      <c r="T276" s="269" t="str">
        <f t="shared" si="281"/>
        <v/>
      </c>
      <c r="U276" s="230"/>
      <c r="V276" s="230"/>
      <c r="AB276" s="230" t="e">
        <f>VLOOKUP($B$6,Lookup_Source,269,0)</f>
        <v>#N/A</v>
      </c>
      <c r="AC276" s="254" t="str">
        <f t="shared" si="282"/>
        <v/>
      </c>
      <c r="AD276" s="255">
        <f t="shared" si="283"/>
        <v>7</v>
      </c>
      <c r="AE276" s="274" t="e">
        <f t="shared" si="252"/>
        <v>#N/A</v>
      </c>
      <c r="AF276" s="277" t="e">
        <f t="shared" si="284"/>
        <v>#N/A</v>
      </c>
      <c r="AG276" s="277" t="e">
        <f t="shared" si="285"/>
        <v>#N/A</v>
      </c>
      <c r="AH276" s="276" t="e">
        <f t="shared" si="253"/>
        <v>#N/A</v>
      </c>
      <c r="AI276" s="239">
        <f t="shared" si="286"/>
        <v>7</v>
      </c>
      <c r="AJ276" s="277" t="e">
        <f t="shared" si="254"/>
        <v>#N/A</v>
      </c>
      <c r="AK276" s="277" t="e">
        <f t="shared" si="287"/>
        <v>#N/A</v>
      </c>
      <c r="AL276" s="239" t="e">
        <f t="shared" si="255"/>
        <v>#N/A</v>
      </c>
      <c r="AM276" s="278" t="e">
        <f t="shared" si="288"/>
        <v>#N/A</v>
      </c>
      <c r="AN276" s="279" t="e">
        <f t="shared" si="256"/>
        <v>#N/A</v>
      </c>
      <c r="AO276" s="240" t="e">
        <f t="shared" si="257"/>
        <v>#N/A</v>
      </c>
      <c r="AP276" s="297">
        <f t="shared" si="289"/>
        <v>7</v>
      </c>
      <c r="AQ276" s="298" t="e">
        <f t="shared" si="258"/>
        <v>#N/A</v>
      </c>
      <c r="AR276" s="279" t="e">
        <f t="shared" si="290"/>
        <v>#N/A</v>
      </c>
      <c r="AS276" s="283" t="e">
        <f t="shared" si="259"/>
        <v>#N/A</v>
      </c>
      <c r="AT276" s="284">
        <f t="shared" si="291"/>
        <v>7</v>
      </c>
      <c r="AU276" s="285" t="e">
        <f t="shared" si="292"/>
        <v>#N/A</v>
      </c>
      <c r="AV276" s="286" t="e">
        <f t="shared" si="293"/>
        <v>#N/A</v>
      </c>
      <c r="AW276" s="287" t="e">
        <f t="shared" si="260"/>
        <v>#N/A</v>
      </c>
      <c r="AX276" s="245">
        <f t="shared" si="294"/>
        <v>7</v>
      </c>
      <c r="AY276" s="286" t="e">
        <f t="shared" si="261"/>
        <v>#N/A</v>
      </c>
      <c r="AZ276" s="245" t="e">
        <f t="shared" si="295"/>
        <v>#N/A</v>
      </c>
      <c r="BA276" s="245" t="e">
        <f t="shared" si="262"/>
        <v>#N/A</v>
      </c>
      <c r="BB276" s="288">
        <f t="shared" si="296"/>
        <v>7</v>
      </c>
      <c r="BC276" s="289" t="e">
        <f t="shared" si="297"/>
        <v>#N/A</v>
      </c>
      <c r="BD276" s="290" t="e">
        <f t="shared" si="298"/>
        <v>#N/A</v>
      </c>
      <c r="BE276" s="263" t="e">
        <f t="shared" si="263"/>
        <v>#N/A</v>
      </c>
      <c r="BF276" s="260">
        <f t="shared" si="299"/>
        <v>7</v>
      </c>
      <c r="BG276" s="289" t="e">
        <f t="shared" si="300"/>
        <v>#N/A</v>
      </c>
      <c r="BH276" s="290" t="e">
        <f t="shared" si="301"/>
        <v>#N/A</v>
      </c>
      <c r="BI276" s="263" t="e">
        <f t="shared" si="264"/>
        <v>#N/A</v>
      </c>
      <c r="BJ276" s="264">
        <f t="shared" si="302"/>
        <v>7</v>
      </c>
      <c r="BK276" s="291" t="e">
        <f t="shared" si="303"/>
        <v>#N/A</v>
      </c>
      <c r="BL276" s="291" t="e">
        <f t="shared" si="304"/>
        <v>#N/A</v>
      </c>
      <c r="BM276" s="292" t="e">
        <f t="shared" si="265"/>
        <v>#N/A</v>
      </c>
      <c r="BN276" s="293">
        <f t="shared" si="305"/>
        <v>7</v>
      </c>
      <c r="BO276" s="294" t="e">
        <f t="shared" si="306"/>
        <v>#N/A</v>
      </c>
      <c r="BP276" s="294" t="e">
        <f t="shared" si="307"/>
        <v>#N/A</v>
      </c>
      <c r="BQ276" s="292" t="e">
        <f t="shared" si="266"/>
        <v>#N/A</v>
      </c>
      <c r="BR276" s="295" t="e">
        <f t="shared" si="267"/>
        <v>#N/A</v>
      </c>
      <c r="BS276" s="230" t="e">
        <f>VLOOKUP($B276,SDR22_STOCK_BY_LA!$A$2:$C$11679,3,0)</f>
        <v>#N/A</v>
      </c>
      <c r="BT276" s="230" t="str">
        <f t="shared" si="308"/>
        <v/>
      </c>
    </row>
    <row r="277" spans="1:72" ht="12.5" x14ac:dyDescent="0.25">
      <c r="A277" s="269" t="str">
        <f t="shared" si="309"/>
        <v/>
      </c>
      <c r="B277" s="230" t="str">
        <f t="shared" si="310"/>
        <v/>
      </c>
      <c r="C277" s="270" t="str">
        <f t="shared" si="268"/>
        <v/>
      </c>
      <c r="D277" s="269" t="str">
        <f>IF(B277="","",IF(totals!$Q$3=0,IFERROR(IF(AD277=2,"0",AE277),""),"-"))</f>
        <v/>
      </c>
      <c r="E277" s="271" t="str">
        <f t="shared" si="269"/>
        <v/>
      </c>
      <c r="F277" s="272" t="str">
        <f t="shared" si="270"/>
        <v/>
      </c>
      <c r="G277" s="272" t="str">
        <f t="shared" si="271"/>
        <v/>
      </c>
      <c r="H277" s="269" t="str">
        <f t="shared" si="249"/>
        <v/>
      </c>
      <c r="I277" s="272" t="str">
        <f t="shared" si="272"/>
        <v/>
      </c>
      <c r="J277" s="272" t="str">
        <f t="shared" si="273"/>
        <v/>
      </c>
      <c r="K277" s="269" t="str">
        <f t="shared" si="250"/>
        <v/>
      </c>
      <c r="L277" s="272" t="str">
        <f t="shared" si="251"/>
        <v/>
      </c>
      <c r="M277" s="272" t="str">
        <f t="shared" si="274"/>
        <v/>
      </c>
      <c r="N277" s="269" t="str">
        <f t="shared" si="275"/>
        <v/>
      </c>
      <c r="O277" s="272" t="str">
        <f t="shared" si="276"/>
        <v/>
      </c>
      <c r="P277" s="272" t="str">
        <f t="shared" si="277"/>
        <v/>
      </c>
      <c r="Q277" s="269" t="str">
        <f t="shared" si="278"/>
        <v/>
      </c>
      <c r="R277" s="272" t="str">
        <f t="shared" si="279"/>
        <v/>
      </c>
      <c r="S277" s="272" t="str">
        <f t="shared" si="280"/>
        <v/>
      </c>
      <c r="T277" s="269" t="str">
        <f t="shared" si="281"/>
        <v/>
      </c>
      <c r="U277" s="230"/>
      <c r="V277" s="230"/>
      <c r="AB277" s="270" t="e">
        <f>VLOOKUP($B$6,Lookup_Source,270,0)</f>
        <v>#N/A</v>
      </c>
      <c r="AC277" s="254" t="str">
        <f t="shared" si="282"/>
        <v/>
      </c>
      <c r="AD277" s="255">
        <f t="shared" si="283"/>
        <v>7</v>
      </c>
      <c r="AE277" s="274" t="e">
        <f t="shared" si="252"/>
        <v>#N/A</v>
      </c>
      <c r="AF277" s="277" t="e">
        <f t="shared" si="284"/>
        <v>#N/A</v>
      </c>
      <c r="AG277" s="277" t="e">
        <f t="shared" si="285"/>
        <v>#N/A</v>
      </c>
      <c r="AH277" s="276" t="e">
        <f t="shared" si="253"/>
        <v>#N/A</v>
      </c>
      <c r="AI277" s="239">
        <f t="shared" si="286"/>
        <v>7</v>
      </c>
      <c r="AJ277" s="277" t="e">
        <f t="shared" si="254"/>
        <v>#N/A</v>
      </c>
      <c r="AK277" s="277" t="e">
        <f t="shared" si="287"/>
        <v>#N/A</v>
      </c>
      <c r="AL277" s="239" t="e">
        <f t="shared" si="255"/>
        <v>#N/A</v>
      </c>
      <c r="AM277" s="278" t="e">
        <f t="shared" si="288"/>
        <v>#N/A</v>
      </c>
      <c r="AN277" s="279" t="e">
        <f t="shared" si="256"/>
        <v>#N/A</v>
      </c>
      <c r="AO277" s="240" t="e">
        <f t="shared" si="257"/>
        <v>#N/A</v>
      </c>
      <c r="AP277" s="297">
        <f t="shared" si="289"/>
        <v>7</v>
      </c>
      <c r="AQ277" s="298" t="e">
        <f t="shared" si="258"/>
        <v>#N/A</v>
      </c>
      <c r="AR277" s="279" t="e">
        <f t="shared" si="290"/>
        <v>#N/A</v>
      </c>
      <c r="AS277" s="283" t="e">
        <f t="shared" si="259"/>
        <v>#N/A</v>
      </c>
      <c r="AT277" s="284">
        <f t="shared" si="291"/>
        <v>7</v>
      </c>
      <c r="AU277" s="285" t="e">
        <f t="shared" si="292"/>
        <v>#N/A</v>
      </c>
      <c r="AV277" s="286" t="e">
        <f t="shared" si="293"/>
        <v>#N/A</v>
      </c>
      <c r="AW277" s="287" t="e">
        <f t="shared" si="260"/>
        <v>#N/A</v>
      </c>
      <c r="AX277" s="245">
        <f t="shared" si="294"/>
        <v>7</v>
      </c>
      <c r="AY277" s="286" t="e">
        <f t="shared" si="261"/>
        <v>#N/A</v>
      </c>
      <c r="AZ277" s="245" t="e">
        <f t="shared" si="295"/>
        <v>#N/A</v>
      </c>
      <c r="BA277" s="245" t="e">
        <f t="shared" si="262"/>
        <v>#N/A</v>
      </c>
      <c r="BB277" s="288">
        <f t="shared" si="296"/>
        <v>7</v>
      </c>
      <c r="BC277" s="289" t="e">
        <f t="shared" si="297"/>
        <v>#N/A</v>
      </c>
      <c r="BD277" s="290" t="e">
        <f t="shared" si="298"/>
        <v>#N/A</v>
      </c>
      <c r="BE277" s="263" t="e">
        <f t="shared" si="263"/>
        <v>#N/A</v>
      </c>
      <c r="BF277" s="260">
        <f t="shared" si="299"/>
        <v>7</v>
      </c>
      <c r="BG277" s="289" t="e">
        <f t="shared" si="300"/>
        <v>#N/A</v>
      </c>
      <c r="BH277" s="290" t="e">
        <f t="shared" si="301"/>
        <v>#N/A</v>
      </c>
      <c r="BI277" s="263" t="e">
        <f t="shared" si="264"/>
        <v>#N/A</v>
      </c>
      <c r="BJ277" s="264">
        <f t="shared" si="302"/>
        <v>7</v>
      </c>
      <c r="BK277" s="291" t="e">
        <f t="shared" si="303"/>
        <v>#N/A</v>
      </c>
      <c r="BL277" s="291" t="e">
        <f t="shared" si="304"/>
        <v>#N/A</v>
      </c>
      <c r="BM277" s="292" t="e">
        <f t="shared" si="265"/>
        <v>#N/A</v>
      </c>
      <c r="BN277" s="293">
        <f t="shared" si="305"/>
        <v>7</v>
      </c>
      <c r="BO277" s="294" t="e">
        <f t="shared" si="306"/>
        <v>#N/A</v>
      </c>
      <c r="BP277" s="294" t="e">
        <f t="shared" si="307"/>
        <v>#N/A</v>
      </c>
      <c r="BQ277" s="292" t="e">
        <f t="shared" si="266"/>
        <v>#N/A</v>
      </c>
      <c r="BR277" s="295" t="e">
        <f t="shared" si="267"/>
        <v>#N/A</v>
      </c>
      <c r="BS277" s="230" t="e">
        <f>VLOOKUP($B277,SDR22_STOCK_BY_LA!$A$2:$C$11679,3,0)</f>
        <v>#N/A</v>
      </c>
      <c r="BT277" s="230" t="str">
        <f t="shared" si="308"/>
        <v/>
      </c>
    </row>
    <row r="278" spans="1:72" ht="12.5" x14ac:dyDescent="0.25">
      <c r="A278" s="230" t="str">
        <f t="shared" si="309"/>
        <v/>
      </c>
      <c r="B278" s="230" t="str">
        <f t="shared" si="310"/>
        <v/>
      </c>
      <c r="C278" s="296" t="str">
        <f t="shared" si="268"/>
        <v/>
      </c>
      <c r="D278" s="269" t="str">
        <f>IF(B278="","",IF(totals!$Q$3=0,IFERROR(IF(AD278=2,"0",AE278),""),"-"))</f>
        <v/>
      </c>
      <c r="E278" s="271" t="str">
        <f t="shared" si="269"/>
        <v/>
      </c>
      <c r="F278" s="272" t="str">
        <f t="shared" si="270"/>
        <v/>
      </c>
      <c r="G278" s="272" t="str">
        <f t="shared" si="271"/>
        <v/>
      </c>
      <c r="H278" s="269" t="str">
        <f t="shared" si="249"/>
        <v/>
      </c>
      <c r="I278" s="272" t="str">
        <f t="shared" si="272"/>
        <v/>
      </c>
      <c r="J278" s="272" t="str">
        <f t="shared" si="273"/>
        <v/>
      </c>
      <c r="K278" s="269" t="str">
        <f t="shared" si="250"/>
        <v/>
      </c>
      <c r="L278" s="272" t="str">
        <f t="shared" si="251"/>
        <v/>
      </c>
      <c r="M278" s="272" t="str">
        <f t="shared" si="274"/>
        <v/>
      </c>
      <c r="N278" s="269" t="str">
        <f t="shared" si="275"/>
        <v/>
      </c>
      <c r="O278" s="272" t="str">
        <f t="shared" si="276"/>
        <v/>
      </c>
      <c r="P278" s="272" t="str">
        <f t="shared" si="277"/>
        <v/>
      </c>
      <c r="Q278" s="269" t="str">
        <f t="shared" si="278"/>
        <v/>
      </c>
      <c r="R278" s="272" t="str">
        <f t="shared" si="279"/>
        <v/>
      </c>
      <c r="S278" s="272" t="str">
        <f t="shared" si="280"/>
        <v/>
      </c>
      <c r="T278" s="269" t="str">
        <f t="shared" si="281"/>
        <v/>
      </c>
      <c r="U278" s="230"/>
      <c r="V278" s="230"/>
      <c r="AB278" s="230" t="e">
        <f>VLOOKUP($B$6,Lookup_Source,271,0)</f>
        <v>#N/A</v>
      </c>
      <c r="AC278" s="254" t="str">
        <f t="shared" si="282"/>
        <v/>
      </c>
      <c r="AD278" s="255">
        <f t="shared" si="283"/>
        <v>7</v>
      </c>
      <c r="AE278" s="274" t="e">
        <f t="shared" si="252"/>
        <v>#N/A</v>
      </c>
      <c r="AF278" s="277" t="e">
        <f t="shared" si="284"/>
        <v>#N/A</v>
      </c>
      <c r="AG278" s="277" t="e">
        <f t="shared" si="285"/>
        <v>#N/A</v>
      </c>
      <c r="AH278" s="276" t="e">
        <f t="shared" si="253"/>
        <v>#N/A</v>
      </c>
      <c r="AI278" s="239">
        <f t="shared" si="286"/>
        <v>7</v>
      </c>
      <c r="AJ278" s="277" t="e">
        <f t="shared" si="254"/>
        <v>#N/A</v>
      </c>
      <c r="AK278" s="277" t="e">
        <f t="shared" si="287"/>
        <v>#N/A</v>
      </c>
      <c r="AL278" s="239" t="e">
        <f t="shared" si="255"/>
        <v>#N/A</v>
      </c>
      <c r="AM278" s="278" t="e">
        <f t="shared" si="288"/>
        <v>#N/A</v>
      </c>
      <c r="AN278" s="279" t="e">
        <f t="shared" si="256"/>
        <v>#N/A</v>
      </c>
      <c r="AO278" s="240" t="e">
        <f t="shared" si="257"/>
        <v>#N/A</v>
      </c>
      <c r="AP278" s="297">
        <f t="shared" si="289"/>
        <v>7</v>
      </c>
      <c r="AQ278" s="298" t="e">
        <f t="shared" si="258"/>
        <v>#N/A</v>
      </c>
      <c r="AR278" s="279" t="e">
        <f t="shared" si="290"/>
        <v>#N/A</v>
      </c>
      <c r="AS278" s="283" t="e">
        <f t="shared" si="259"/>
        <v>#N/A</v>
      </c>
      <c r="AT278" s="284">
        <f t="shared" si="291"/>
        <v>7</v>
      </c>
      <c r="AU278" s="285" t="e">
        <f t="shared" si="292"/>
        <v>#N/A</v>
      </c>
      <c r="AV278" s="286" t="e">
        <f t="shared" si="293"/>
        <v>#N/A</v>
      </c>
      <c r="AW278" s="287" t="e">
        <f t="shared" si="260"/>
        <v>#N/A</v>
      </c>
      <c r="AX278" s="245">
        <f t="shared" si="294"/>
        <v>7</v>
      </c>
      <c r="AY278" s="286" t="e">
        <f t="shared" si="261"/>
        <v>#N/A</v>
      </c>
      <c r="AZ278" s="245" t="e">
        <f t="shared" si="295"/>
        <v>#N/A</v>
      </c>
      <c r="BA278" s="245" t="e">
        <f t="shared" si="262"/>
        <v>#N/A</v>
      </c>
      <c r="BB278" s="288">
        <f t="shared" si="296"/>
        <v>7</v>
      </c>
      <c r="BC278" s="289" t="e">
        <f t="shared" si="297"/>
        <v>#N/A</v>
      </c>
      <c r="BD278" s="290" t="e">
        <f t="shared" si="298"/>
        <v>#N/A</v>
      </c>
      <c r="BE278" s="263" t="e">
        <f t="shared" si="263"/>
        <v>#N/A</v>
      </c>
      <c r="BF278" s="260">
        <f t="shared" si="299"/>
        <v>7</v>
      </c>
      <c r="BG278" s="289" t="e">
        <f t="shared" si="300"/>
        <v>#N/A</v>
      </c>
      <c r="BH278" s="290" t="e">
        <f t="shared" si="301"/>
        <v>#N/A</v>
      </c>
      <c r="BI278" s="263" t="e">
        <f t="shared" si="264"/>
        <v>#N/A</v>
      </c>
      <c r="BJ278" s="264">
        <f t="shared" si="302"/>
        <v>7</v>
      </c>
      <c r="BK278" s="291" t="e">
        <f t="shared" si="303"/>
        <v>#N/A</v>
      </c>
      <c r="BL278" s="291" t="e">
        <f t="shared" si="304"/>
        <v>#N/A</v>
      </c>
      <c r="BM278" s="292" t="e">
        <f t="shared" si="265"/>
        <v>#N/A</v>
      </c>
      <c r="BN278" s="293">
        <f t="shared" si="305"/>
        <v>7</v>
      </c>
      <c r="BO278" s="294" t="e">
        <f t="shared" si="306"/>
        <v>#N/A</v>
      </c>
      <c r="BP278" s="294" t="e">
        <f t="shared" si="307"/>
        <v>#N/A</v>
      </c>
      <c r="BQ278" s="292" t="e">
        <f t="shared" si="266"/>
        <v>#N/A</v>
      </c>
      <c r="BR278" s="295" t="e">
        <f t="shared" si="267"/>
        <v>#N/A</v>
      </c>
      <c r="BS278" s="230" t="e">
        <f>VLOOKUP($B278,SDR22_STOCK_BY_LA!$A$2:$C$11679,3,0)</f>
        <v>#N/A</v>
      </c>
      <c r="BT278" s="230" t="str">
        <f t="shared" si="308"/>
        <v/>
      </c>
    </row>
    <row r="279" spans="1:72" ht="12.5" x14ac:dyDescent="0.25">
      <c r="A279" s="269" t="str">
        <f t="shared" si="309"/>
        <v/>
      </c>
      <c r="B279" s="230" t="str">
        <f t="shared" si="310"/>
        <v/>
      </c>
      <c r="C279" s="270" t="str">
        <f t="shared" si="268"/>
        <v/>
      </c>
      <c r="D279" s="269" t="str">
        <f>IF(B279="","",IF(totals!$Q$3=0,IFERROR(IF(AD279=2,"0",AE279),""),"-"))</f>
        <v/>
      </c>
      <c r="E279" s="271" t="str">
        <f t="shared" si="269"/>
        <v/>
      </c>
      <c r="F279" s="272" t="str">
        <f t="shared" si="270"/>
        <v/>
      </c>
      <c r="G279" s="272" t="str">
        <f t="shared" si="271"/>
        <v/>
      </c>
      <c r="H279" s="269" t="str">
        <f t="shared" si="249"/>
        <v/>
      </c>
      <c r="I279" s="272" t="str">
        <f t="shared" si="272"/>
        <v/>
      </c>
      <c r="J279" s="272" t="str">
        <f t="shared" si="273"/>
        <v/>
      </c>
      <c r="K279" s="269" t="str">
        <f t="shared" si="250"/>
        <v/>
      </c>
      <c r="L279" s="272" t="str">
        <f t="shared" si="251"/>
        <v/>
      </c>
      <c r="M279" s="272" t="str">
        <f t="shared" si="274"/>
        <v/>
      </c>
      <c r="N279" s="269" t="str">
        <f t="shared" si="275"/>
        <v/>
      </c>
      <c r="O279" s="272" t="str">
        <f t="shared" si="276"/>
        <v/>
      </c>
      <c r="P279" s="272" t="str">
        <f t="shared" si="277"/>
        <v/>
      </c>
      <c r="Q279" s="269" t="str">
        <f t="shared" si="278"/>
        <v/>
      </c>
      <c r="R279" s="272" t="str">
        <f t="shared" si="279"/>
        <v/>
      </c>
      <c r="S279" s="272" t="str">
        <f t="shared" si="280"/>
        <v/>
      </c>
      <c r="T279" s="269" t="str">
        <f t="shared" si="281"/>
        <v/>
      </c>
      <c r="U279" s="230"/>
      <c r="V279" s="230"/>
      <c r="AB279" s="270" t="e">
        <f>VLOOKUP($B$6,Lookup_Source,272,0)</f>
        <v>#N/A</v>
      </c>
      <c r="AC279" s="254" t="str">
        <f t="shared" si="282"/>
        <v/>
      </c>
      <c r="AD279" s="255">
        <f t="shared" si="283"/>
        <v>7</v>
      </c>
      <c r="AE279" s="274" t="e">
        <f t="shared" si="252"/>
        <v>#N/A</v>
      </c>
      <c r="AF279" s="277" t="e">
        <f t="shared" si="284"/>
        <v>#N/A</v>
      </c>
      <c r="AG279" s="277" t="e">
        <f t="shared" si="285"/>
        <v>#N/A</v>
      </c>
      <c r="AH279" s="276" t="e">
        <f t="shared" si="253"/>
        <v>#N/A</v>
      </c>
      <c r="AI279" s="239">
        <f t="shared" si="286"/>
        <v>7</v>
      </c>
      <c r="AJ279" s="277" t="e">
        <f t="shared" si="254"/>
        <v>#N/A</v>
      </c>
      <c r="AK279" s="277" t="e">
        <f t="shared" si="287"/>
        <v>#N/A</v>
      </c>
      <c r="AL279" s="239" t="e">
        <f t="shared" si="255"/>
        <v>#N/A</v>
      </c>
      <c r="AM279" s="278" t="e">
        <f t="shared" si="288"/>
        <v>#N/A</v>
      </c>
      <c r="AN279" s="279" t="e">
        <f t="shared" si="256"/>
        <v>#N/A</v>
      </c>
      <c r="AO279" s="240" t="e">
        <f t="shared" si="257"/>
        <v>#N/A</v>
      </c>
      <c r="AP279" s="297">
        <f t="shared" si="289"/>
        <v>7</v>
      </c>
      <c r="AQ279" s="298" t="e">
        <f t="shared" si="258"/>
        <v>#N/A</v>
      </c>
      <c r="AR279" s="279" t="e">
        <f t="shared" si="290"/>
        <v>#N/A</v>
      </c>
      <c r="AS279" s="283" t="e">
        <f t="shared" si="259"/>
        <v>#N/A</v>
      </c>
      <c r="AT279" s="284">
        <f t="shared" si="291"/>
        <v>7</v>
      </c>
      <c r="AU279" s="285" t="e">
        <f t="shared" si="292"/>
        <v>#N/A</v>
      </c>
      <c r="AV279" s="286" t="e">
        <f t="shared" si="293"/>
        <v>#N/A</v>
      </c>
      <c r="AW279" s="287" t="e">
        <f t="shared" si="260"/>
        <v>#N/A</v>
      </c>
      <c r="AX279" s="245">
        <f t="shared" si="294"/>
        <v>7</v>
      </c>
      <c r="AY279" s="286" t="e">
        <f t="shared" si="261"/>
        <v>#N/A</v>
      </c>
      <c r="AZ279" s="245" t="e">
        <f t="shared" si="295"/>
        <v>#N/A</v>
      </c>
      <c r="BA279" s="245" t="e">
        <f t="shared" si="262"/>
        <v>#N/A</v>
      </c>
      <c r="BB279" s="288">
        <f t="shared" si="296"/>
        <v>7</v>
      </c>
      <c r="BC279" s="289" t="e">
        <f t="shared" si="297"/>
        <v>#N/A</v>
      </c>
      <c r="BD279" s="290" t="e">
        <f t="shared" si="298"/>
        <v>#N/A</v>
      </c>
      <c r="BE279" s="263" t="e">
        <f t="shared" si="263"/>
        <v>#N/A</v>
      </c>
      <c r="BF279" s="260">
        <f t="shared" si="299"/>
        <v>7</v>
      </c>
      <c r="BG279" s="289" t="e">
        <f t="shared" si="300"/>
        <v>#N/A</v>
      </c>
      <c r="BH279" s="290" t="e">
        <f t="shared" si="301"/>
        <v>#N/A</v>
      </c>
      <c r="BI279" s="263" t="e">
        <f t="shared" si="264"/>
        <v>#N/A</v>
      </c>
      <c r="BJ279" s="264">
        <f t="shared" si="302"/>
        <v>7</v>
      </c>
      <c r="BK279" s="291" t="e">
        <f t="shared" si="303"/>
        <v>#N/A</v>
      </c>
      <c r="BL279" s="291" t="e">
        <f t="shared" si="304"/>
        <v>#N/A</v>
      </c>
      <c r="BM279" s="292" t="e">
        <f t="shared" si="265"/>
        <v>#N/A</v>
      </c>
      <c r="BN279" s="293">
        <f t="shared" si="305"/>
        <v>7</v>
      </c>
      <c r="BO279" s="294" t="e">
        <f t="shared" si="306"/>
        <v>#N/A</v>
      </c>
      <c r="BP279" s="294" t="e">
        <f t="shared" si="307"/>
        <v>#N/A</v>
      </c>
      <c r="BQ279" s="292" t="e">
        <f t="shared" si="266"/>
        <v>#N/A</v>
      </c>
      <c r="BR279" s="295" t="e">
        <f t="shared" si="267"/>
        <v>#N/A</v>
      </c>
      <c r="BS279" s="230" t="e">
        <f>VLOOKUP($B279,SDR22_STOCK_BY_LA!$A$2:$C$11679,3,0)</f>
        <v>#N/A</v>
      </c>
      <c r="BT279" s="230" t="str">
        <f t="shared" si="308"/>
        <v/>
      </c>
    </row>
    <row r="280" spans="1:72" ht="12.5" x14ac:dyDescent="0.25">
      <c r="A280" s="230" t="str">
        <f t="shared" si="309"/>
        <v/>
      </c>
      <c r="B280" s="230" t="str">
        <f t="shared" si="310"/>
        <v/>
      </c>
      <c r="C280" s="296" t="str">
        <f t="shared" si="268"/>
        <v/>
      </c>
      <c r="D280" s="269" t="str">
        <f>IF(B280="","",IF(totals!$Q$3=0,IFERROR(IF(AD280=2,"0",AE280),""),"-"))</f>
        <v/>
      </c>
      <c r="E280" s="271" t="str">
        <f t="shared" si="269"/>
        <v/>
      </c>
      <c r="F280" s="272" t="str">
        <f t="shared" si="270"/>
        <v/>
      </c>
      <c r="G280" s="272" t="str">
        <f t="shared" si="271"/>
        <v/>
      </c>
      <c r="H280" s="269" t="str">
        <f t="shared" si="249"/>
        <v/>
      </c>
      <c r="I280" s="272" t="str">
        <f t="shared" si="272"/>
        <v/>
      </c>
      <c r="J280" s="272" t="str">
        <f t="shared" si="273"/>
        <v/>
      </c>
      <c r="K280" s="269" t="str">
        <f t="shared" si="250"/>
        <v/>
      </c>
      <c r="L280" s="272" t="str">
        <f t="shared" si="251"/>
        <v/>
      </c>
      <c r="M280" s="272" t="str">
        <f t="shared" si="274"/>
        <v/>
      </c>
      <c r="N280" s="269" t="str">
        <f t="shared" si="275"/>
        <v/>
      </c>
      <c r="O280" s="272" t="str">
        <f t="shared" si="276"/>
        <v/>
      </c>
      <c r="P280" s="272" t="str">
        <f t="shared" si="277"/>
        <v/>
      </c>
      <c r="Q280" s="269" t="str">
        <f t="shared" si="278"/>
        <v/>
      </c>
      <c r="R280" s="272" t="str">
        <f t="shared" si="279"/>
        <v/>
      </c>
      <c r="S280" s="272" t="str">
        <f t="shared" si="280"/>
        <v/>
      </c>
      <c r="T280" s="269" t="str">
        <f t="shared" si="281"/>
        <v/>
      </c>
      <c r="U280" s="230"/>
      <c r="V280" s="230"/>
      <c r="AB280" s="230" t="e">
        <f>VLOOKUP($B$6,Lookup_Source,273,0)</f>
        <v>#N/A</v>
      </c>
      <c r="AC280" s="254" t="str">
        <f t="shared" si="282"/>
        <v/>
      </c>
      <c r="AD280" s="255">
        <f t="shared" si="283"/>
        <v>7</v>
      </c>
      <c r="AE280" s="274" t="e">
        <f t="shared" si="252"/>
        <v>#N/A</v>
      </c>
      <c r="AF280" s="277" t="e">
        <f t="shared" si="284"/>
        <v>#N/A</v>
      </c>
      <c r="AG280" s="277" t="e">
        <f t="shared" si="285"/>
        <v>#N/A</v>
      </c>
      <c r="AH280" s="276" t="e">
        <f t="shared" si="253"/>
        <v>#N/A</v>
      </c>
      <c r="AI280" s="239">
        <f t="shared" si="286"/>
        <v>7</v>
      </c>
      <c r="AJ280" s="277" t="e">
        <f t="shared" si="254"/>
        <v>#N/A</v>
      </c>
      <c r="AK280" s="277" t="e">
        <f t="shared" si="287"/>
        <v>#N/A</v>
      </c>
      <c r="AL280" s="239" t="e">
        <f t="shared" si="255"/>
        <v>#N/A</v>
      </c>
      <c r="AM280" s="278" t="e">
        <f t="shared" si="288"/>
        <v>#N/A</v>
      </c>
      <c r="AN280" s="279" t="e">
        <f t="shared" si="256"/>
        <v>#N/A</v>
      </c>
      <c r="AO280" s="240" t="e">
        <f t="shared" si="257"/>
        <v>#N/A</v>
      </c>
      <c r="AP280" s="297">
        <f t="shared" si="289"/>
        <v>7</v>
      </c>
      <c r="AQ280" s="298" t="e">
        <f t="shared" si="258"/>
        <v>#N/A</v>
      </c>
      <c r="AR280" s="279" t="e">
        <f t="shared" si="290"/>
        <v>#N/A</v>
      </c>
      <c r="AS280" s="283" t="e">
        <f t="shared" si="259"/>
        <v>#N/A</v>
      </c>
      <c r="AT280" s="284">
        <f t="shared" si="291"/>
        <v>7</v>
      </c>
      <c r="AU280" s="285" t="e">
        <f t="shared" si="292"/>
        <v>#N/A</v>
      </c>
      <c r="AV280" s="286" t="e">
        <f t="shared" si="293"/>
        <v>#N/A</v>
      </c>
      <c r="AW280" s="287" t="e">
        <f t="shared" si="260"/>
        <v>#N/A</v>
      </c>
      <c r="AX280" s="245">
        <f t="shared" si="294"/>
        <v>7</v>
      </c>
      <c r="AY280" s="286" t="e">
        <f t="shared" si="261"/>
        <v>#N/A</v>
      </c>
      <c r="AZ280" s="245" t="e">
        <f t="shared" si="295"/>
        <v>#N/A</v>
      </c>
      <c r="BA280" s="245" t="e">
        <f t="shared" si="262"/>
        <v>#N/A</v>
      </c>
      <c r="BB280" s="288">
        <f t="shared" si="296"/>
        <v>7</v>
      </c>
      <c r="BC280" s="289" t="e">
        <f t="shared" si="297"/>
        <v>#N/A</v>
      </c>
      <c r="BD280" s="290" t="e">
        <f t="shared" si="298"/>
        <v>#N/A</v>
      </c>
      <c r="BE280" s="263" t="e">
        <f t="shared" si="263"/>
        <v>#N/A</v>
      </c>
      <c r="BF280" s="260">
        <f t="shared" si="299"/>
        <v>7</v>
      </c>
      <c r="BG280" s="289" t="e">
        <f t="shared" si="300"/>
        <v>#N/A</v>
      </c>
      <c r="BH280" s="290" t="e">
        <f t="shared" si="301"/>
        <v>#N/A</v>
      </c>
      <c r="BI280" s="263" t="e">
        <f t="shared" si="264"/>
        <v>#N/A</v>
      </c>
      <c r="BJ280" s="264">
        <f t="shared" si="302"/>
        <v>7</v>
      </c>
      <c r="BK280" s="291" t="e">
        <f t="shared" si="303"/>
        <v>#N/A</v>
      </c>
      <c r="BL280" s="291" t="e">
        <f t="shared" si="304"/>
        <v>#N/A</v>
      </c>
      <c r="BM280" s="292" t="e">
        <f t="shared" si="265"/>
        <v>#N/A</v>
      </c>
      <c r="BN280" s="293">
        <f t="shared" si="305"/>
        <v>7</v>
      </c>
      <c r="BO280" s="294" t="e">
        <f t="shared" si="306"/>
        <v>#N/A</v>
      </c>
      <c r="BP280" s="294" t="e">
        <f t="shared" si="307"/>
        <v>#N/A</v>
      </c>
      <c r="BQ280" s="292" t="e">
        <f t="shared" si="266"/>
        <v>#N/A</v>
      </c>
      <c r="BR280" s="295" t="e">
        <f t="shared" si="267"/>
        <v>#N/A</v>
      </c>
      <c r="BS280" s="230" t="e">
        <f>VLOOKUP($B280,SDR22_STOCK_BY_LA!$A$2:$C$11679,3,0)</f>
        <v>#N/A</v>
      </c>
      <c r="BT280" s="230" t="str">
        <f t="shared" si="308"/>
        <v/>
      </c>
    </row>
    <row r="281" spans="1:72" ht="12.5" x14ac:dyDescent="0.25">
      <c r="A281" s="269" t="str">
        <f t="shared" si="309"/>
        <v/>
      </c>
      <c r="B281" s="230" t="str">
        <f t="shared" si="310"/>
        <v/>
      </c>
      <c r="C281" s="270" t="str">
        <f t="shared" si="268"/>
        <v/>
      </c>
      <c r="D281" s="269" t="str">
        <f>IF(B281="","",IF(totals!$Q$3=0,IFERROR(IF(AD281=2,"0",AE281),""),"-"))</f>
        <v/>
      </c>
      <c r="E281" s="271" t="str">
        <f t="shared" si="269"/>
        <v/>
      </c>
      <c r="F281" s="272" t="str">
        <f t="shared" si="270"/>
        <v/>
      </c>
      <c r="G281" s="272" t="str">
        <f t="shared" si="271"/>
        <v/>
      </c>
      <c r="H281" s="269" t="str">
        <f t="shared" si="249"/>
        <v/>
      </c>
      <c r="I281" s="272" t="str">
        <f t="shared" si="272"/>
        <v/>
      </c>
      <c r="J281" s="272" t="str">
        <f t="shared" si="273"/>
        <v/>
      </c>
      <c r="K281" s="269" t="str">
        <f t="shared" si="250"/>
        <v/>
      </c>
      <c r="L281" s="272" t="str">
        <f t="shared" si="251"/>
        <v/>
      </c>
      <c r="M281" s="272" t="str">
        <f t="shared" si="274"/>
        <v/>
      </c>
      <c r="N281" s="269" t="str">
        <f t="shared" si="275"/>
        <v/>
      </c>
      <c r="O281" s="272" t="str">
        <f t="shared" si="276"/>
        <v/>
      </c>
      <c r="P281" s="272" t="str">
        <f t="shared" si="277"/>
        <v/>
      </c>
      <c r="Q281" s="269" t="str">
        <f t="shared" si="278"/>
        <v/>
      </c>
      <c r="R281" s="272" t="str">
        <f t="shared" si="279"/>
        <v/>
      </c>
      <c r="S281" s="272" t="str">
        <f t="shared" si="280"/>
        <v/>
      </c>
      <c r="T281" s="269" t="str">
        <f t="shared" si="281"/>
        <v/>
      </c>
      <c r="U281" s="230"/>
      <c r="V281" s="230"/>
      <c r="AB281" s="270" t="e">
        <f>VLOOKUP($B$6,Lookup_Source,274,0)</f>
        <v>#N/A</v>
      </c>
      <c r="AC281" s="254" t="str">
        <f t="shared" si="282"/>
        <v/>
      </c>
      <c r="AD281" s="255">
        <f t="shared" si="283"/>
        <v>7</v>
      </c>
      <c r="AE281" s="274" t="e">
        <f t="shared" si="252"/>
        <v>#N/A</v>
      </c>
      <c r="AF281" s="277" t="e">
        <f t="shared" si="284"/>
        <v>#N/A</v>
      </c>
      <c r="AG281" s="277" t="e">
        <f t="shared" si="285"/>
        <v>#N/A</v>
      </c>
      <c r="AH281" s="276" t="e">
        <f t="shared" si="253"/>
        <v>#N/A</v>
      </c>
      <c r="AI281" s="239">
        <f t="shared" si="286"/>
        <v>7</v>
      </c>
      <c r="AJ281" s="277" t="e">
        <f t="shared" si="254"/>
        <v>#N/A</v>
      </c>
      <c r="AK281" s="277" t="e">
        <f t="shared" si="287"/>
        <v>#N/A</v>
      </c>
      <c r="AL281" s="239" t="e">
        <f t="shared" si="255"/>
        <v>#N/A</v>
      </c>
      <c r="AM281" s="278" t="e">
        <f t="shared" si="288"/>
        <v>#N/A</v>
      </c>
      <c r="AN281" s="279" t="e">
        <f t="shared" si="256"/>
        <v>#N/A</v>
      </c>
      <c r="AO281" s="240" t="e">
        <f t="shared" si="257"/>
        <v>#N/A</v>
      </c>
      <c r="AP281" s="297">
        <f t="shared" si="289"/>
        <v>7</v>
      </c>
      <c r="AQ281" s="298" t="e">
        <f t="shared" si="258"/>
        <v>#N/A</v>
      </c>
      <c r="AR281" s="279" t="e">
        <f t="shared" si="290"/>
        <v>#N/A</v>
      </c>
      <c r="AS281" s="283" t="e">
        <f t="shared" si="259"/>
        <v>#N/A</v>
      </c>
      <c r="AT281" s="284">
        <f t="shared" si="291"/>
        <v>7</v>
      </c>
      <c r="AU281" s="285" t="e">
        <f t="shared" si="292"/>
        <v>#N/A</v>
      </c>
      <c r="AV281" s="286" t="e">
        <f t="shared" si="293"/>
        <v>#N/A</v>
      </c>
      <c r="AW281" s="287" t="e">
        <f t="shared" si="260"/>
        <v>#N/A</v>
      </c>
      <c r="AX281" s="245">
        <f t="shared" si="294"/>
        <v>7</v>
      </c>
      <c r="AY281" s="286" t="e">
        <f t="shared" si="261"/>
        <v>#N/A</v>
      </c>
      <c r="AZ281" s="245" t="e">
        <f t="shared" si="295"/>
        <v>#N/A</v>
      </c>
      <c r="BA281" s="245" t="e">
        <f t="shared" si="262"/>
        <v>#N/A</v>
      </c>
      <c r="BB281" s="288">
        <f t="shared" si="296"/>
        <v>7</v>
      </c>
      <c r="BC281" s="289" t="e">
        <f t="shared" si="297"/>
        <v>#N/A</v>
      </c>
      <c r="BD281" s="290" t="e">
        <f t="shared" si="298"/>
        <v>#N/A</v>
      </c>
      <c r="BE281" s="263" t="e">
        <f t="shared" si="263"/>
        <v>#N/A</v>
      </c>
      <c r="BF281" s="260">
        <f t="shared" si="299"/>
        <v>7</v>
      </c>
      <c r="BG281" s="289" t="e">
        <f t="shared" si="300"/>
        <v>#N/A</v>
      </c>
      <c r="BH281" s="290" t="e">
        <f t="shared" si="301"/>
        <v>#N/A</v>
      </c>
      <c r="BI281" s="263" t="e">
        <f t="shared" si="264"/>
        <v>#N/A</v>
      </c>
      <c r="BJ281" s="264">
        <f t="shared" si="302"/>
        <v>7</v>
      </c>
      <c r="BK281" s="291" t="e">
        <f t="shared" si="303"/>
        <v>#N/A</v>
      </c>
      <c r="BL281" s="291" t="e">
        <f t="shared" si="304"/>
        <v>#N/A</v>
      </c>
      <c r="BM281" s="292" t="e">
        <f t="shared" si="265"/>
        <v>#N/A</v>
      </c>
      <c r="BN281" s="293">
        <f t="shared" si="305"/>
        <v>7</v>
      </c>
      <c r="BO281" s="294" t="e">
        <f t="shared" si="306"/>
        <v>#N/A</v>
      </c>
      <c r="BP281" s="294" t="e">
        <f t="shared" si="307"/>
        <v>#N/A</v>
      </c>
      <c r="BQ281" s="292" t="e">
        <f t="shared" si="266"/>
        <v>#N/A</v>
      </c>
      <c r="BR281" s="295" t="e">
        <f t="shared" si="267"/>
        <v>#N/A</v>
      </c>
      <c r="BS281" s="230" t="e">
        <f>VLOOKUP($B281,SDR22_STOCK_BY_LA!$A$2:$C$11679,3,0)</f>
        <v>#N/A</v>
      </c>
      <c r="BT281" s="230" t="str">
        <f t="shared" si="308"/>
        <v/>
      </c>
    </row>
    <row r="282" spans="1:72" ht="12.5" x14ac:dyDescent="0.25">
      <c r="A282" s="230" t="str">
        <f t="shared" si="309"/>
        <v/>
      </c>
      <c r="B282" s="230" t="str">
        <f t="shared" si="310"/>
        <v/>
      </c>
      <c r="C282" s="296" t="str">
        <f t="shared" si="268"/>
        <v/>
      </c>
      <c r="D282" s="269" t="str">
        <f>IF(B282="","",IF(totals!$Q$3=0,IFERROR(IF(AD282=2,"0",AE282),""),"-"))</f>
        <v/>
      </c>
      <c r="E282" s="271" t="str">
        <f t="shared" si="269"/>
        <v/>
      </c>
      <c r="F282" s="272" t="str">
        <f t="shared" si="270"/>
        <v/>
      </c>
      <c r="G282" s="272" t="str">
        <f t="shared" si="271"/>
        <v/>
      </c>
      <c r="H282" s="269" t="str">
        <f t="shared" si="249"/>
        <v/>
      </c>
      <c r="I282" s="272" t="str">
        <f t="shared" si="272"/>
        <v/>
      </c>
      <c r="J282" s="272" t="str">
        <f t="shared" si="273"/>
        <v/>
      </c>
      <c r="K282" s="269" t="str">
        <f t="shared" si="250"/>
        <v/>
      </c>
      <c r="L282" s="272" t="str">
        <f t="shared" si="251"/>
        <v/>
      </c>
      <c r="M282" s="272" t="str">
        <f t="shared" si="274"/>
        <v/>
      </c>
      <c r="N282" s="269" t="str">
        <f t="shared" si="275"/>
        <v/>
      </c>
      <c r="O282" s="272" t="str">
        <f t="shared" si="276"/>
        <v/>
      </c>
      <c r="P282" s="272" t="str">
        <f t="shared" si="277"/>
        <v/>
      </c>
      <c r="Q282" s="269" t="str">
        <f t="shared" si="278"/>
        <v/>
      </c>
      <c r="R282" s="272" t="str">
        <f t="shared" si="279"/>
        <v/>
      </c>
      <c r="S282" s="272" t="str">
        <f t="shared" si="280"/>
        <v/>
      </c>
      <c r="T282" s="269" t="str">
        <f t="shared" si="281"/>
        <v/>
      </c>
      <c r="U282" s="230"/>
      <c r="V282" s="230"/>
      <c r="AB282" s="230" t="e">
        <f>VLOOKUP($B$6,Lookup_Source,275,0)</f>
        <v>#N/A</v>
      </c>
      <c r="AC282" s="254" t="str">
        <f t="shared" si="282"/>
        <v/>
      </c>
      <c r="AD282" s="255">
        <f t="shared" si="283"/>
        <v>7</v>
      </c>
      <c r="AE282" s="274" t="e">
        <f t="shared" si="252"/>
        <v>#N/A</v>
      </c>
      <c r="AF282" s="277" t="e">
        <f t="shared" si="284"/>
        <v>#N/A</v>
      </c>
      <c r="AG282" s="277" t="e">
        <f t="shared" si="285"/>
        <v>#N/A</v>
      </c>
      <c r="AH282" s="276" t="e">
        <f t="shared" si="253"/>
        <v>#N/A</v>
      </c>
      <c r="AI282" s="239">
        <f t="shared" si="286"/>
        <v>7</v>
      </c>
      <c r="AJ282" s="277" t="e">
        <f t="shared" si="254"/>
        <v>#N/A</v>
      </c>
      <c r="AK282" s="277" t="e">
        <f t="shared" si="287"/>
        <v>#N/A</v>
      </c>
      <c r="AL282" s="239" t="e">
        <f t="shared" si="255"/>
        <v>#N/A</v>
      </c>
      <c r="AM282" s="278" t="e">
        <f t="shared" si="288"/>
        <v>#N/A</v>
      </c>
      <c r="AN282" s="279" t="e">
        <f t="shared" si="256"/>
        <v>#N/A</v>
      </c>
      <c r="AO282" s="240" t="e">
        <f t="shared" si="257"/>
        <v>#N/A</v>
      </c>
      <c r="AP282" s="297">
        <f t="shared" si="289"/>
        <v>7</v>
      </c>
      <c r="AQ282" s="298" t="e">
        <f t="shared" si="258"/>
        <v>#N/A</v>
      </c>
      <c r="AR282" s="279" t="e">
        <f t="shared" si="290"/>
        <v>#N/A</v>
      </c>
      <c r="AS282" s="283" t="e">
        <f t="shared" si="259"/>
        <v>#N/A</v>
      </c>
      <c r="AT282" s="284">
        <f t="shared" si="291"/>
        <v>7</v>
      </c>
      <c r="AU282" s="285" t="e">
        <f t="shared" si="292"/>
        <v>#N/A</v>
      </c>
      <c r="AV282" s="286" t="e">
        <f t="shared" si="293"/>
        <v>#N/A</v>
      </c>
      <c r="AW282" s="287" t="e">
        <f t="shared" si="260"/>
        <v>#N/A</v>
      </c>
      <c r="AX282" s="245">
        <f t="shared" si="294"/>
        <v>7</v>
      </c>
      <c r="AY282" s="286" t="e">
        <f t="shared" si="261"/>
        <v>#N/A</v>
      </c>
      <c r="AZ282" s="245" t="e">
        <f t="shared" si="295"/>
        <v>#N/A</v>
      </c>
      <c r="BA282" s="245" t="e">
        <f t="shared" si="262"/>
        <v>#N/A</v>
      </c>
      <c r="BB282" s="288">
        <f t="shared" si="296"/>
        <v>7</v>
      </c>
      <c r="BC282" s="289" t="e">
        <f t="shared" si="297"/>
        <v>#N/A</v>
      </c>
      <c r="BD282" s="290" t="e">
        <f t="shared" si="298"/>
        <v>#N/A</v>
      </c>
      <c r="BE282" s="263" t="e">
        <f t="shared" si="263"/>
        <v>#N/A</v>
      </c>
      <c r="BF282" s="260">
        <f t="shared" si="299"/>
        <v>7</v>
      </c>
      <c r="BG282" s="289" t="e">
        <f t="shared" si="300"/>
        <v>#N/A</v>
      </c>
      <c r="BH282" s="290" t="e">
        <f t="shared" si="301"/>
        <v>#N/A</v>
      </c>
      <c r="BI282" s="263" t="e">
        <f t="shared" si="264"/>
        <v>#N/A</v>
      </c>
      <c r="BJ282" s="264">
        <f t="shared" si="302"/>
        <v>7</v>
      </c>
      <c r="BK282" s="291" t="e">
        <f t="shared" si="303"/>
        <v>#N/A</v>
      </c>
      <c r="BL282" s="291" t="e">
        <f t="shared" si="304"/>
        <v>#N/A</v>
      </c>
      <c r="BM282" s="292" t="e">
        <f t="shared" si="265"/>
        <v>#N/A</v>
      </c>
      <c r="BN282" s="293">
        <f t="shared" si="305"/>
        <v>7</v>
      </c>
      <c r="BO282" s="294" t="e">
        <f t="shared" si="306"/>
        <v>#N/A</v>
      </c>
      <c r="BP282" s="294" t="e">
        <f t="shared" si="307"/>
        <v>#N/A</v>
      </c>
      <c r="BQ282" s="292" t="e">
        <f t="shared" si="266"/>
        <v>#N/A</v>
      </c>
      <c r="BR282" s="295" t="e">
        <f t="shared" si="267"/>
        <v>#N/A</v>
      </c>
      <c r="BS282" s="230" t="e">
        <f>VLOOKUP($B282,SDR22_STOCK_BY_LA!$A$2:$C$11679,3,0)</f>
        <v>#N/A</v>
      </c>
      <c r="BT282" s="230" t="str">
        <f t="shared" si="308"/>
        <v/>
      </c>
    </row>
    <row r="283" spans="1:72" ht="12.5" x14ac:dyDescent="0.25">
      <c r="A283" s="269" t="str">
        <f t="shared" si="309"/>
        <v/>
      </c>
      <c r="B283" s="230" t="str">
        <f t="shared" si="310"/>
        <v/>
      </c>
      <c r="C283" s="270" t="str">
        <f t="shared" si="268"/>
        <v/>
      </c>
      <c r="D283" s="269" t="str">
        <f>IF(B283="","",IF(totals!$Q$3=0,IFERROR(IF(AD283=2,"0",AE283),""),"-"))</f>
        <v/>
      </c>
      <c r="E283" s="271" t="str">
        <f t="shared" si="269"/>
        <v/>
      </c>
      <c r="F283" s="272" t="str">
        <f t="shared" si="270"/>
        <v/>
      </c>
      <c r="G283" s="272" t="str">
        <f t="shared" si="271"/>
        <v/>
      </c>
      <c r="H283" s="269" t="str">
        <f t="shared" si="249"/>
        <v/>
      </c>
      <c r="I283" s="272" t="str">
        <f t="shared" si="272"/>
        <v/>
      </c>
      <c r="J283" s="272" t="str">
        <f t="shared" si="273"/>
        <v/>
      </c>
      <c r="K283" s="269" t="str">
        <f t="shared" si="250"/>
        <v/>
      </c>
      <c r="L283" s="272" t="str">
        <f t="shared" si="251"/>
        <v/>
      </c>
      <c r="M283" s="272" t="str">
        <f t="shared" si="274"/>
        <v/>
      </c>
      <c r="N283" s="269" t="str">
        <f t="shared" si="275"/>
        <v/>
      </c>
      <c r="O283" s="272" t="str">
        <f t="shared" si="276"/>
        <v/>
      </c>
      <c r="P283" s="272" t="str">
        <f t="shared" si="277"/>
        <v/>
      </c>
      <c r="Q283" s="269" t="str">
        <f t="shared" si="278"/>
        <v/>
      </c>
      <c r="R283" s="272" t="str">
        <f t="shared" si="279"/>
        <v/>
      </c>
      <c r="S283" s="272" t="str">
        <f t="shared" si="280"/>
        <v/>
      </c>
      <c r="T283" s="269" t="str">
        <f t="shared" si="281"/>
        <v/>
      </c>
      <c r="U283" s="230"/>
      <c r="V283" s="230"/>
      <c r="AB283" s="270" t="e">
        <f>VLOOKUP($B$6,Lookup_Source,276,0)</f>
        <v>#N/A</v>
      </c>
      <c r="AC283" s="254" t="str">
        <f t="shared" si="282"/>
        <v/>
      </c>
      <c r="AD283" s="255">
        <f t="shared" si="283"/>
        <v>7</v>
      </c>
      <c r="AE283" s="274" t="e">
        <f t="shared" si="252"/>
        <v>#N/A</v>
      </c>
      <c r="AF283" s="277" t="e">
        <f t="shared" si="284"/>
        <v>#N/A</v>
      </c>
      <c r="AG283" s="277" t="e">
        <f t="shared" si="285"/>
        <v>#N/A</v>
      </c>
      <c r="AH283" s="276" t="e">
        <f t="shared" si="253"/>
        <v>#N/A</v>
      </c>
      <c r="AI283" s="239">
        <f t="shared" si="286"/>
        <v>7</v>
      </c>
      <c r="AJ283" s="277" t="e">
        <f t="shared" si="254"/>
        <v>#N/A</v>
      </c>
      <c r="AK283" s="277" t="e">
        <f t="shared" si="287"/>
        <v>#N/A</v>
      </c>
      <c r="AL283" s="239" t="e">
        <f t="shared" si="255"/>
        <v>#N/A</v>
      </c>
      <c r="AM283" s="278" t="e">
        <f t="shared" si="288"/>
        <v>#N/A</v>
      </c>
      <c r="AN283" s="279" t="e">
        <f t="shared" si="256"/>
        <v>#N/A</v>
      </c>
      <c r="AO283" s="240" t="e">
        <f t="shared" si="257"/>
        <v>#N/A</v>
      </c>
      <c r="AP283" s="297">
        <f t="shared" si="289"/>
        <v>7</v>
      </c>
      <c r="AQ283" s="298" t="e">
        <f t="shared" si="258"/>
        <v>#N/A</v>
      </c>
      <c r="AR283" s="279" t="e">
        <f t="shared" si="290"/>
        <v>#N/A</v>
      </c>
      <c r="AS283" s="283" t="e">
        <f t="shared" si="259"/>
        <v>#N/A</v>
      </c>
      <c r="AT283" s="284">
        <f t="shared" si="291"/>
        <v>7</v>
      </c>
      <c r="AU283" s="285" t="e">
        <f t="shared" si="292"/>
        <v>#N/A</v>
      </c>
      <c r="AV283" s="286" t="e">
        <f t="shared" si="293"/>
        <v>#N/A</v>
      </c>
      <c r="AW283" s="287" t="e">
        <f t="shared" si="260"/>
        <v>#N/A</v>
      </c>
      <c r="AX283" s="245">
        <f t="shared" si="294"/>
        <v>7</v>
      </c>
      <c r="AY283" s="286" t="e">
        <f t="shared" si="261"/>
        <v>#N/A</v>
      </c>
      <c r="AZ283" s="245" t="e">
        <f t="shared" si="295"/>
        <v>#N/A</v>
      </c>
      <c r="BA283" s="245" t="e">
        <f t="shared" si="262"/>
        <v>#N/A</v>
      </c>
      <c r="BB283" s="288">
        <f t="shared" si="296"/>
        <v>7</v>
      </c>
      <c r="BC283" s="289" t="e">
        <f t="shared" si="297"/>
        <v>#N/A</v>
      </c>
      <c r="BD283" s="290" t="e">
        <f t="shared" si="298"/>
        <v>#N/A</v>
      </c>
      <c r="BE283" s="263" t="e">
        <f t="shared" si="263"/>
        <v>#N/A</v>
      </c>
      <c r="BF283" s="260">
        <f t="shared" si="299"/>
        <v>7</v>
      </c>
      <c r="BG283" s="289" t="e">
        <f t="shared" si="300"/>
        <v>#N/A</v>
      </c>
      <c r="BH283" s="290" t="e">
        <f t="shared" si="301"/>
        <v>#N/A</v>
      </c>
      <c r="BI283" s="263" t="e">
        <f t="shared" si="264"/>
        <v>#N/A</v>
      </c>
      <c r="BJ283" s="264">
        <f t="shared" si="302"/>
        <v>7</v>
      </c>
      <c r="BK283" s="291" t="e">
        <f t="shared" si="303"/>
        <v>#N/A</v>
      </c>
      <c r="BL283" s="291" t="e">
        <f t="shared" si="304"/>
        <v>#N/A</v>
      </c>
      <c r="BM283" s="292" t="e">
        <f t="shared" si="265"/>
        <v>#N/A</v>
      </c>
      <c r="BN283" s="293">
        <f t="shared" si="305"/>
        <v>7</v>
      </c>
      <c r="BO283" s="294" t="e">
        <f t="shared" si="306"/>
        <v>#N/A</v>
      </c>
      <c r="BP283" s="294" t="e">
        <f t="shared" si="307"/>
        <v>#N/A</v>
      </c>
      <c r="BQ283" s="292" t="e">
        <f t="shared" si="266"/>
        <v>#N/A</v>
      </c>
      <c r="BR283" s="295" t="e">
        <f t="shared" si="267"/>
        <v>#N/A</v>
      </c>
      <c r="BS283" s="230" t="e">
        <f>VLOOKUP($B283,SDR22_STOCK_BY_LA!$A$2:$C$11679,3,0)</f>
        <v>#N/A</v>
      </c>
      <c r="BT283" s="230" t="str">
        <f t="shared" si="308"/>
        <v/>
      </c>
    </row>
    <row r="284" spans="1:72" ht="12.5" x14ac:dyDescent="0.25">
      <c r="A284" s="230" t="str">
        <f t="shared" si="309"/>
        <v/>
      </c>
      <c r="B284" s="230" t="str">
        <f t="shared" si="310"/>
        <v/>
      </c>
      <c r="C284" s="296" t="str">
        <f t="shared" si="268"/>
        <v/>
      </c>
      <c r="D284" s="269" t="str">
        <f>IF(B284="","",IF(totals!$Q$3=0,IFERROR(IF(AD284=2,"0",AE284),""),"-"))</f>
        <v/>
      </c>
      <c r="E284" s="271" t="str">
        <f t="shared" si="269"/>
        <v/>
      </c>
      <c r="F284" s="272" t="str">
        <f t="shared" si="270"/>
        <v/>
      </c>
      <c r="G284" s="272" t="str">
        <f t="shared" si="271"/>
        <v/>
      </c>
      <c r="H284" s="269" t="str">
        <f t="shared" si="249"/>
        <v/>
      </c>
      <c r="I284" s="272" t="str">
        <f t="shared" si="272"/>
        <v/>
      </c>
      <c r="J284" s="272" t="str">
        <f t="shared" si="273"/>
        <v/>
      </c>
      <c r="K284" s="269" t="str">
        <f t="shared" si="250"/>
        <v/>
      </c>
      <c r="L284" s="272" t="str">
        <f t="shared" si="251"/>
        <v/>
      </c>
      <c r="M284" s="272" t="str">
        <f t="shared" si="274"/>
        <v/>
      </c>
      <c r="N284" s="269" t="str">
        <f t="shared" si="275"/>
        <v/>
      </c>
      <c r="O284" s="272" t="str">
        <f t="shared" si="276"/>
        <v/>
      </c>
      <c r="P284" s="272" t="str">
        <f t="shared" si="277"/>
        <v/>
      </c>
      <c r="Q284" s="269" t="str">
        <f t="shared" si="278"/>
        <v/>
      </c>
      <c r="R284" s="272" t="str">
        <f t="shared" si="279"/>
        <v/>
      </c>
      <c r="S284" s="272" t="str">
        <f t="shared" si="280"/>
        <v/>
      </c>
      <c r="T284" s="269" t="str">
        <f t="shared" si="281"/>
        <v/>
      </c>
      <c r="U284" s="230"/>
      <c r="V284" s="230"/>
      <c r="AB284" s="230" t="e">
        <f>VLOOKUP($B$6,Lookup_Source,277,0)</f>
        <v>#N/A</v>
      </c>
      <c r="AC284" s="254" t="str">
        <f t="shared" si="282"/>
        <v/>
      </c>
      <c r="AD284" s="255">
        <f t="shared" si="283"/>
        <v>7</v>
      </c>
      <c r="AE284" s="274" t="e">
        <f t="shared" si="252"/>
        <v>#N/A</v>
      </c>
      <c r="AF284" s="277" t="e">
        <f t="shared" si="284"/>
        <v>#N/A</v>
      </c>
      <c r="AG284" s="277" t="e">
        <f t="shared" si="285"/>
        <v>#N/A</v>
      </c>
      <c r="AH284" s="276" t="e">
        <f t="shared" si="253"/>
        <v>#N/A</v>
      </c>
      <c r="AI284" s="239">
        <f t="shared" si="286"/>
        <v>7</v>
      </c>
      <c r="AJ284" s="277" t="e">
        <f t="shared" si="254"/>
        <v>#N/A</v>
      </c>
      <c r="AK284" s="277" t="e">
        <f t="shared" si="287"/>
        <v>#N/A</v>
      </c>
      <c r="AL284" s="239" t="e">
        <f t="shared" si="255"/>
        <v>#N/A</v>
      </c>
      <c r="AM284" s="278" t="e">
        <f t="shared" si="288"/>
        <v>#N/A</v>
      </c>
      <c r="AN284" s="279" t="e">
        <f t="shared" si="256"/>
        <v>#N/A</v>
      </c>
      <c r="AO284" s="240" t="e">
        <f t="shared" si="257"/>
        <v>#N/A</v>
      </c>
      <c r="AP284" s="297">
        <f t="shared" si="289"/>
        <v>7</v>
      </c>
      <c r="AQ284" s="298" t="e">
        <f t="shared" si="258"/>
        <v>#N/A</v>
      </c>
      <c r="AR284" s="279" t="e">
        <f t="shared" si="290"/>
        <v>#N/A</v>
      </c>
      <c r="AS284" s="283" t="e">
        <f t="shared" si="259"/>
        <v>#N/A</v>
      </c>
      <c r="AT284" s="284">
        <f t="shared" si="291"/>
        <v>7</v>
      </c>
      <c r="AU284" s="285" t="e">
        <f t="shared" si="292"/>
        <v>#N/A</v>
      </c>
      <c r="AV284" s="286" t="e">
        <f t="shared" si="293"/>
        <v>#N/A</v>
      </c>
      <c r="AW284" s="287" t="e">
        <f t="shared" si="260"/>
        <v>#N/A</v>
      </c>
      <c r="AX284" s="245">
        <f t="shared" si="294"/>
        <v>7</v>
      </c>
      <c r="AY284" s="286" t="e">
        <f t="shared" si="261"/>
        <v>#N/A</v>
      </c>
      <c r="AZ284" s="245" t="e">
        <f t="shared" si="295"/>
        <v>#N/A</v>
      </c>
      <c r="BA284" s="245" t="e">
        <f t="shared" si="262"/>
        <v>#N/A</v>
      </c>
      <c r="BB284" s="288">
        <f t="shared" si="296"/>
        <v>7</v>
      </c>
      <c r="BC284" s="289" t="e">
        <f t="shared" si="297"/>
        <v>#N/A</v>
      </c>
      <c r="BD284" s="290" t="e">
        <f t="shared" si="298"/>
        <v>#N/A</v>
      </c>
      <c r="BE284" s="263" t="e">
        <f t="shared" si="263"/>
        <v>#N/A</v>
      </c>
      <c r="BF284" s="260">
        <f t="shared" si="299"/>
        <v>7</v>
      </c>
      <c r="BG284" s="289" t="e">
        <f t="shared" si="300"/>
        <v>#N/A</v>
      </c>
      <c r="BH284" s="290" t="e">
        <f t="shared" si="301"/>
        <v>#N/A</v>
      </c>
      <c r="BI284" s="263" t="e">
        <f t="shared" si="264"/>
        <v>#N/A</v>
      </c>
      <c r="BJ284" s="264">
        <f t="shared" si="302"/>
        <v>7</v>
      </c>
      <c r="BK284" s="291" t="e">
        <f t="shared" si="303"/>
        <v>#N/A</v>
      </c>
      <c r="BL284" s="291" t="e">
        <f t="shared" si="304"/>
        <v>#N/A</v>
      </c>
      <c r="BM284" s="292" t="e">
        <f t="shared" si="265"/>
        <v>#N/A</v>
      </c>
      <c r="BN284" s="293">
        <f t="shared" si="305"/>
        <v>7</v>
      </c>
      <c r="BO284" s="294" t="e">
        <f t="shared" si="306"/>
        <v>#N/A</v>
      </c>
      <c r="BP284" s="294" t="e">
        <f t="shared" si="307"/>
        <v>#N/A</v>
      </c>
      <c r="BQ284" s="292" t="e">
        <f t="shared" si="266"/>
        <v>#N/A</v>
      </c>
      <c r="BR284" s="295" t="e">
        <f t="shared" si="267"/>
        <v>#N/A</v>
      </c>
      <c r="BS284" s="230" t="e">
        <f>VLOOKUP($B284,SDR22_STOCK_BY_LA!$A$2:$C$11679,3,0)</f>
        <v>#N/A</v>
      </c>
      <c r="BT284" s="230" t="str">
        <f t="shared" si="308"/>
        <v/>
      </c>
    </row>
    <row r="285" spans="1:72" ht="12.5" x14ac:dyDescent="0.25">
      <c r="A285" s="269" t="str">
        <f t="shared" si="309"/>
        <v/>
      </c>
      <c r="B285" s="230" t="str">
        <f t="shared" si="310"/>
        <v/>
      </c>
      <c r="C285" s="270" t="str">
        <f t="shared" si="268"/>
        <v/>
      </c>
      <c r="D285" s="269" t="str">
        <f>IF(B285="","",IF(totals!$Q$3=0,IFERROR(IF(AD285=2,"0",AE285),""),"-"))</f>
        <v/>
      </c>
      <c r="E285" s="271" t="str">
        <f t="shared" si="269"/>
        <v/>
      </c>
      <c r="F285" s="272" t="str">
        <f t="shared" si="270"/>
        <v/>
      </c>
      <c r="G285" s="272" t="str">
        <f t="shared" si="271"/>
        <v/>
      </c>
      <c r="H285" s="269" t="str">
        <f t="shared" si="249"/>
        <v/>
      </c>
      <c r="I285" s="272" t="str">
        <f t="shared" si="272"/>
        <v/>
      </c>
      <c r="J285" s="272" t="str">
        <f t="shared" si="273"/>
        <v/>
      </c>
      <c r="K285" s="269" t="str">
        <f t="shared" si="250"/>
        <v/>
      </c>
      <c r="L285" s="272" t="str">
        <f t="shared" si="251"/>
        <v/>
      </c>
      <c r="M285" s="272" t="str">
        <f t="shared" si="274"/>
        <v/>
      </c>
      <c r="N285" s="269" t="str">
        <f t="shared" si="275"/>
        <v/>
      </c>
      <c r="O285" s="272" t="str">
        <f t="shared" si="276"/>
        <v/>
      </c>
      <c r="P285" s="272" t="str">
        <f t="shared" si="277"/>
        <v/>
      </c>
      <c r="Q285" s="269" t="str">
        <f t="shared" si="278"/>
        <v/>
      </c>
      <c r="R285" s="272" t="str">
        <f t="shared" si="279"/>
        <v/>
      </c>
      <c r="S285" s="272" t="str">
        <f t="shared" si="280"/>
        <v/>
      </c>
      <c r="T285" s="269" t="str">
        <f t="shared" si="281"/>
        <v/>
      </c>
      <c r="U285" s="230"/>
      <c r="V285" s="230"/>
      <c r="AB285" s="270" t="e">
        <f>VLOOKUP($B$6,Lookup_Source,278,0)</f>
        <v>#N/A</v>
      </c>
      <c r="AC285" s="254" t="str">
        <f t="shared" si="282"/>
        <v/>
      </c>
      <c r="AD285" s="255">
        <f t="shared" si="283"/>
        <v>7</v>
      </c>
      <c r="AE285" s="274" t="e">
        <f t="shared" si="252"/>
        <v>#N/A</v>
      </c>
      <c r="AF285" s="277" t="e">
        <f t="shared" si="284"/>
        <v>#N/A</v>
      </c>
      <c r="AG285" s="277" t="e">
        <f t="shared" si="285"/>
        <v>#N/A</v>
      </c>
      <c r="AH285" s="276" t="e">
        <f t="shared" si="253"/>
        <v>#N/A</v>
      </c>
      <c r="AI285" s="239">
        <f t="shared" si="286"/>
        <v>7</v>
      </c>
      <c r="AJ285" s="277" t="e">
        <f t="shared" si="254"/>
        <v>#N/A</v>
      </c>
      <c r="AK285" s="277" t="e">
        <f t="shared" si="287"/>
        <v>#N/A</v>
      </c>
      <c r="AL285" s="239" t="e">
        <f t="shared" si="255"/>
        <v>#N/A</v>
      </c>
      <c r="AM285" s="278" t="e">
        <f t="shared" si="288"/>
        <v>#N/A</v>
      </c>
      <c r="AN285" s="279" t="e">
        <f t="shared" si="256"/>
        <v>#N/A</v>
      </c>
      <c r="AO285" s="240" t="e">
        <f t="shared" si="257"/>
        <v>#N/A</v>
      </c>
      <c r="AP285" s="297">
        <f t="shared" si="289"/>
        <v>7</v>
      </c>
      <c r="AQ285" s="298" t="e">
        <f t="shared" si="258"/>
        <v>#N/A</v>
      </c>
      <c r="AR285" s="279" t="e">
        <f t="shared" si="290"/>
        <v>#N/A</v>
      </c>
      <c r="AS285" s="283" t="e">
        <f t="shared" si="259"/>
        <v>#N/A</v>
      </c>
      <c r="AT285" s="284">
        <f t="shared" si="291"/>
        <v>7</v>
      </c>
      <c r="AU285" s="285" t="e">
        <f t="shared" si="292"/>
        <v>#N/A</v>
      </c>
      <c r="AV285" s="286" t="e">
        <f t="shared" si="293"/>
        <v>#N/A</v>
      </c>
      <c r="AW285" s="287" t="e">
        <f t="shared" si="260"/>
        <v>#N/A</v>
      </c>
      <c r="AX285" s="245">
        <f t="shared" si="294"/>
        <v>7</v>
      </c>
      <c r="AY285" s="286" t="e">
        <f t="shared" si="261"/>
        <v>#N/A</v>
      </c>
      <c r="AZ285" s="245" t="e">
        <f t="shared" si="295"/>
        <v>#N/A</v>
      </c>
      <c r="BA285" s="245" t="e">
        <f t="shared" si="262"/>
        <v>#N/A</v>
      </c>
      <c r="BB285" s="288">
        <f t="shared" si="296"/>
        <v>7</v>
      </c>
      <c r="BC285" s="289" t="e">
        <f t="shared" si="297"/>
        <v>#N/A</v>
      </c>
      <c r="BD285" s="290" t="e">
        <f t="shared" si="298"/>
        <v>#N/A</v>
      </c>
      <c r="BE285" s="263" t="e">
        <f t="shared" si="263"/>
        <v>#N/A</v>
      </c>
      <c r="BF285" s="260">
        <f t="shared" si="299"/>
        <v>7</v>
      </c>
      <c r="BG285" s="289" t="e">
        <f t="shared" si="300"/>
        <v>#N/A</v>
      </c>
      <c r="BH285" s="290" t="e">
        <f t="shared" si="301"/>
        <v>#N/A</v>
      </c>
      <c r="BI285" s="263" t="e">
        <f t="shared" si="264"/>
        <v>#N/A</v>
      </c>
      <c r="BJ285" s="264">
        <f t="shared" si="302"/>
        <v>7</v>
      </c>
      <c r="BK285" s="291" t="e">
        <f t="shared" si="303"/>
        <v>#N/A</v>
      </c>
      <c r="BL285" s="291" t="e">
        <f t="shared" si="304"/>
        <v>#N/A</v>
      </c>
      <c r="BM285" s="292" t="e">
        <f t="shared" si="265"/>
        <v>#N/A</v>
      </c>
      <c r="BN285" s="293">
        <f t="shared" si="305"/>
        <v>7</v>
      </c>
      <c r="BO285" s="294" t="e">
        <f t="shared" si="306"/>
        <v>#N/A</v>
      </c>
      <c r="BP285" s="294" t="e">
        <f t="shared" si="307"/>
        <v>#N/A</v>
      </c>
      <c r="BQ285" s="292" t="e">
        <f t="shared" si="266"/>
        <v>#N/A</v>
      </c>
      <c r="BR285" s="295" t="e">
        <f t="shared" si="267"/>
        <v>#N/A</v>
      </c>
      <c r="BS285" s="230" t="e">
        <f>VLOOKUP($B285,SDR22_STOCK_BY_LA!$A$2:$C$11679,3,0)</f>
        <v>#N/A</v>
      </c>
      <c r="BT285" s="230" t="str">
        <f t="shared" si="308"/>
        <v/>
      </c>
    </row>
    <row r="286" spans="1:72" ht="12.5" x14ac:dyDescent="0.25">
      <c r="A286" s="230" t="str">
        <f t="shared" si="309"/>
        <v/>
      </c>
      <c r="B286" s="230" t="str">
        <f t="shared" si="310"/>
        <v/>
      </c>
      <c r="C286" s="296" t="str">
        <f t="shared" si="268"/>
        <v/>
      </c>
      <c r="D286" s="269" t="str">
        <f>IF(B286="","",IF(totals!$Q$3=0,IFERROR(IF(AD286=2,"0",AE286),""),"-"))</f>
        <v/>
      </c>
      <c r="E286" s="271" t="str">
        <f t="shared" si="269"/>
        <v/>
      </c>
      <c r="F286" s="272" t="str">
        <f t="shared" si="270"/>
        <v/>
      </c>
      <c r="G286" s="272" t="str">
        <f t="shared" si="271"/>
        <v/>
      </c>
      <c r="H286" s="269" t="str">
        <f t="shared" si="249"/>
        <v/>
      </c>
      <c r="I286" s="272" t="str">
        <f t="shared" si="272"/>
        <v/>
      </c>
      <c r="J286" s="272" t="str">
        <f t="shared" si="273"/>
        <v/>
      </c>
      <c r="K286" s="269" t="str">
        <f t="shared" si="250"/>
        <v/>
      </c>
      <c r="L286" s="272" t="str">
        <f t="shared" si="251"/>
        <v/>
      </c>
      <c r="M286" s="272" t="str">
        <f t="shared" si="274"/>
        <v/>
      </c>
      <c r="N286" s="269" t="str">
        <f t="shared" si="275"/>
        <v/>
      </c>
      <c r="O286" s="272" t="str">
        <f t="shared" si="276"/>
        <v/>
      </c>
      <c r="P286" s="272" t="str">
        <f t="shared" si="277"/>
        <v/>
      </c>
      <c r="Q286" s="269" t="str">
        <f t="shared" si="278"/>
        <v/>
      </c>
      <c r="R286" s="272" t="str">
        <f t="shared" si="279"/>
        <v/>
      </c>
      <c r="S286" s="272" t="str">
        <f t="shared" si="280"/>
        <v/>
      </c>
      <c r="T286" s="269" t="str">
        <f t="shared" si="281"/>
        <v/>
      </c>
      <c r="U286" s="230"/>
      <c r="V286" s="230"/>
      <c r="AB286" s="230" t="e">
        <f>VLOOKUP($B$6,Lookup_Source,279,0)</f>
        <v>#N/A</v>
      </c>
      <c r="AC286" s="254" t="str">
        <f t="shared" si="282"/>
        <v/>
      </c>
      <c r="AD286" s="255">
        <f t="shared" si="283"/>
        <v>7</v>
      </c>
      <c r="AE286" s="274" t="e">
        <f t="shared" si="252"/>
        <v>#N/A</v>
      </c>
      <c r="AF286" s="277" t="e">
        <f t="shared" si="284"/>
        <v>#N/A</v>
      </c>
      <c r="AG286" s="277" t="e">
        <f t="shared" si="285"/>
        <v>#N/A</v>
      </c>
      <c r="AH286" s="276" t="e">
        <f t="shared" si="253"/>
        <v>#N/A</v>
      </c>
      <c r="AI286" s="239">
        <f t="shared" si="286"/>
        <v>7</v>
      </c>
      <c r="AJ286" s="277" t="e">
        <f t="shared" si="254"/>
        <v>#N/A</v>
      </c>
      <c r="AK286" s="277" t="e">
        <f t="shared" si="287"/>
        <v>#N/A</v>
      </c>
      <c r="AL286" s="239" t="e">
        <f t="shared" si="255"/>
        <v>#N/A</v>
      </c>
      <c r="AM286" s="278" t="e">
        <f t="shared" si="288"/>
        <v>#N/A</v>
      </c>
      <c r="AN286" s="279" t="e">
        <f t="shared" si="256"/>
        <v>#N/A</v>
      </c>
      <c r="AO286" s="240" t="e">
        <f t="shared" si="257"/>
        <v>#N/A</v>
      </c>
      <c r="AP286" s="297">
        <f t="shared" si="289"/>
        <v>7</v>
      </c>
      <c r="AQ286" s="298" t="e">
        <f t="shared" si="258"/>
        <v>#N/A</v>
      </c>
      <c r="AR286" s="279" t="e">
        <f t="shared" si="290"/>
        <v>#N/A</v>
      </c>
      <c r="AS286" s="283" t="e">
        <f t="shared" si="259"/>
        <v>#N/A</v>
      </c>
      <c r="AT286" s="284">
        <f t="shared" si="291"/>
        <v>7</v>
      </c>
      <c r="AU286" s="285" t="e">
        <f t="shared" si="292"/>
        <v>#N/A</v>
      </c>
      <c r="AV286" s="286" t="e">
        <f t="shared" si="293"/>
        <v>#N/A</v>
      </c>
      <c r="AW286" s="287" t="e">
        <f t="shared" si="260"/>
        <v>#N/A</v>
      </c>
      <c r="AX286" s="245">
        <f t="shared" si="294"/>
        <v>7</v>
      </c>
      <c r="AY286" s="286" t="e">
        <f t="shared" si="261"/>
        <v>#N/A</v>
      </c>
      <c r="AZ286" s="245" t="e">
        <f t="shared" si="295"/>
        <v>#N/A</v>
      </c>
      <c r="BA286" s="245" t="e">
        <f t="shared" si="262"/>
        <v>#N/A</v>
      </c>
      <c r="BB286" s="288">
        <f t="shared" si="296"/>
        <v>7</v>
      </c>
      <c r="BC286" s="289" t="e">
        <f t="shared" si="297"/>
        <v>#N/A</v>
      </c>
      <c r="BD286" s="290" t="e">
        <f t="shared" si="298"/>
        <v>#N/A</v>
      </c>
      <c r="BE286" s="263" t="e">
        <f t="shared" si="263"/>
        <v>#N/A</v>
      </c>
      <c r="BF286" s="260">
        <f t="shared" si="299"/>
        <v>7</v>
      </c>
      <c r="BG286" s="289" t="e">
        <f t="shared" si="300"/>
        <v>#N/A</v>
      </c>
      <c r="BH286" s="290" t="e">
        <f t="shared" si="301"/>
        <v>#N/A</v>
      </c>
      <c r="BI286" s="263" t="e">
        <f t="shared" si="264"/>
        <v>#N/A</v>
      </c>
      <c r="BJ286" s="264">
        <f t="shared" si="302"/>
        <v>7</v>
      </c>
      <c r="BK286" s="291" t="e">
        <f t="shared" si="303"/>
        <v>#N/A</v>
      </c>
      <c r="BL286" s="291" t="e">
        <f t="shared" si="304"/>
        <v>#N/A</v>
      </c>
      <c r="BM286" s="292" t="e">
        <f t="shared" si="265"/>
        <v>#N/A</v>
      </c>
      <c r="BN286" s="293">
        <f t="shared" si="305"/>
        <v>7</v>
      </c>
      <c r="BO286" s="294" t="e">
        <f t="shared" si="306"/>
        <v>#N/A</v>
      </c>
      <c r="BP286" s="294" t="e">
        <f t="shared" si="307"/>
        <v>#N/A</v>
      </c>
      <c r="BQ286" s="292" t="e">
        <f t="shared" si="266"/>
        <v>#N/A</v>
      </c>
      <c r="BR286" s="295" t="e">
        <f t="shared" si="267"/>
        <v>#N/A</v>
      </c>
      <c r="BS286" s="230" t="e">
        <f>VLOOKUP($B286,SDR22_STOCK_BY_LA!$A$2:$C$11679,3,0)</f>
        <v>#N/A</v>
      </c>
      <c r="BT286" s="230" t="str">
        <f t="shared" si="308"/>
        <v/>
      </c>
    </row>
    <row r="287" spans="1:72" ht="12.5" x14ac:dyDescent="0.25">
      <c r="A287" s="269" t="str">
        <f t="shared" si="309"/>
        <v/>
      </c>
      <c r="B287" s="230" t="str">
        <f t="shared" si="310"/>
        <v/>
      </c>
      <c r="C287" s="270" t="str">
        <f t="shared" si="268"/>
        <v/>
      </c>
      <c r="D287" s="269" t="str">
        <f>IF(B287="","",IF(totals!$Q$3=0,IFERROR(IF(AD287=2,"0",AE287),""),"-"))</f>
        <v/>
      </c>
      <c r="E287" s="271" t="str">
        <f t="shared" si="269"/>
        <v/>
      </c>
      <c r="F287" s="272" t="str">
        <f t="shared" si="270"/>
        <v/>
      </c>
      <c r="G287" s="272" t="str">
        <f t="shared" si="271"/>
        <v/>
      </c>
      <c r="H287" s="269" t="str">
        <f t="shared" si="249"/>
        <v/>
      </c>
      <c r="I287" s="272" t="str">
        <f t="shared" si="272"/>
        <v/>
      </c>
      <c r="J287" s="272" t="str">
        <f t="shared" si="273"/>
        <v/>
      </c>
      <c r="K287" s="269" t="str">
        <f t="shared" si="250"/>
        <v/>
      </c>
      <c r="L287" s="272" t="str">
        <f t="shared" si="251"/>
        <v/>
      </c>
      <c r="M287" s="272" t="str">
        <f t="shared" si="274"/>
        <v/>
      </c>
      <c r="N287" s="269" t="str">
        <f t="shared" si="275"/>
        <v/>
      </c>
      <c r="O287" s="272" t="str">
        <f t="shared" si="276"/>
        <v/>
      </c>
      <c r="P287" s="272" t="str">
        <f t="shared" si="277"/>
        <v/>
      </c>
      <c r="Q287" s="269" t="str">
        <f t="shared" si="278"/>
        <v/>
      </c>
      <c r="R287" s="272" t="str">
        <f t="shared" si="279"/>
        <v/>
      </c>
      <c r="S287" s="272" t="str">
        <f t="shared" si="280"/>
        <v/>
      </c>
      <c r="T287" s="269" t="str">
        <f t="shared" si="281"/>
        <v/>
      </c>
      <c r="U287" s="230"/>
      <c r="V287" s="230"/>
      <c r="AB287" s="270" t="e">
        <f>VLOOKUP($B$6,Lookup_Source,280,0)</f>
        <v>#N/A</v>
      </c>
      <c r="AC287" s="254" t="str">
        <f t="shared" si="282"/>
        <v/>
      </c>
      <c r="AD287" s="255">
        <f t="shared" si="283"/>
        <v>7</v>
      </c>
      <c r="AE287" s="274" t="e">
        <f t="shared" si="252"/>
        <v>#N/A</v>
      </c>
      <c r="AF287" s="277" t="e">
        <f t="shared" si="284"/>
        <v>#N/A</v>
      </c>
      <c r="AG287" s="277" t="e">
        <f t="shared" si="285"/>
        <v>#N/A</v>
      </c>
      <c r="AH287" s="276" t="e">
        <f t="shared" si="253"/>
        <v>#N/A</v>
      </c>
      <c r="AI287" s="239">
        <f t="shared" si="286"/>
        <v>7</v>
      </c>
      <c r="AJ287" s="277" t="e">
        <f t="shared" si="254"/>
        <v>#N/A</v>
      </c>
      <c r="AK287" s="277" t="e">
        <f t="shared" si="287"/>
        <v>#N/A</v>
      </c>
      <c r="AL287" s="239" t="e">
        <f t="shared" si="255"/>
        <v>#N/A</v>
      </c>
      <c r="AM287" s="278" t="e">
        <f t="shared" si="288"/>
        <v>#N/A</v>
      </c>
      <c r="AN287" s="279" t="e">
        <f t="shared" si="256"/>
        <v>#N/A</v>
      </c>
      <c r="AO287" s="240" t="e">
        <f t="shared" si="257"/>
        <v>#N/A</v>
      </c>
      <c r="AP287" s="297">
        <f t="shared" si="289"/>
        <v>7</v>
      </c>
      <c r="AQ287" s="298" t="e">
        <f t="shared" si="258"/>
        <v>#N/A</v>
      </c>
      <c r="AR287" s="279" t="e">
        <f t="shared" si="290"/>
        <v>#N/A</v>
      </c>
      <c r="AS287" s="283" t="e">
        <f t="shared" si="259"/>
        <v>#N/A</v>
      </c>
      <c r="AT287" s="284">
        <f t="shared" si="291"/>
        <v>7</v>
      </c>
      <c r="AU287" s="285" t="e">
        <f t="shared" si="292"/>
        <v>#N/A</v>
      </c>
      <c r="AV287" s="286" t="e">
        <f t="shared" si="293"/>
        <v>#N/A</v>
      </c>
      <c r="AW287" s="287" t="e">
        <f t="shared" si="260"/>
        <v>#N/A</v>
      </c>
      <c r="AX287" s="245">
        <f t="shared" si="294"/>
        <v>7</v>
      </c>
      <c r="AY287" s="286" t="e">
        <f t="shared" si="261"/>
        <v>#N/A</v>
      </c>
      <c r="AZ287" s="245" t="e">
        <f t="shared" si="295"/>
        <v>#N/A</v>
      </c>
      <c r="BA287" s="245" t="e">
        <f t="shared" si="262"/>
        <v>#N/A</v>
      </c>
      <c r="BB287" s="288">
        <f t="shared" si="296"/>
        <v>7</v>
      </c>
      <c r="BC287" s="289" t="e">
        <f t="shared" si="297"/>
        <v>#N/A</v>
      </c>
      <c r="BD287" s="290" t="e">
        <f t="shared" si="298"/>
        <v>#N/A</v>
      </c>
      <c r="BE287" s="263" t="e">
        <f t="shared" si="263"/>
        <v>#N/A</v>
      </c>
      <c r="BF287" s="260">
        <f t="shared" si="299"/>
        <v>7</v>
      </c>
      <c r="BG287" s="289" t="e">
        <f t="shared" si="300"/>
        <v>#N/A</v>
      </c>
      <c r="BH287" s="290" t="e">
        <f t="shared" si="301"/>
        <v>#N/A</v>
      </c>
      <c r="BI287" s="263" t="e">
        <f t="shared" si="264"/>
        <v>#N/A</v>
      </c>
      <c r="BJ287" s="264">
        <f t="shared" si="302"/>
        <v>7</v>
      </c>
      <c r="BK287" s="291" t="e">
        <f t="shared" si="303"/>
        <v>#N/A</v>
      </c>
      <c r="BL287" s="291" t="e">
        <f t="shared" si="304"/>
        <v>#N/A</v>
      </c>
      <c r="BM287" s="292" t="e">
        <f t="shared" si="265"/>
        <v>#N/A</v>
      </c>
      <c r="BN287" s="293">
        <f t="shared" si="305"/>
        <v>7</v>
      </c>
      <c r="BO287" s="294" t="e">
        <f t="shared" si="306"/>
        <v>#N/A</v>
      </c>
      <c r="BP287" s="294" t="e">
        <f t="shared" si="307"/>
        <v>#N/A</v>
      </c>
      <c r="BQ287" s="292" t="e">
        <f t="shared" si="266"/>
        <v>#N/A</v>
      </c>
      <c r="BR287" s="295" t="e">
        <f t="shared" si="267"/>
        <v>#N/A</v>
      </c>
      <c r="BS287" s="230" t="e">
        <f>VLOOKUP($B287,SDR22_STOCK_BY_LA!$A$2:$C$11679,3,0)</f>
        <v>#N/A</v>
      </c>
      <c r="BT287" s="230" t="str">
        <f t="shared" si="308"/>
        <v/>
      </c>
    </row>
    <row r="288" spans="1:72" ht="12.5" x14ac:dyDescent="0.25">
      <c r="A288" s="230" t="str">
        <f t="shared" si="309"/>
        <v/>
      </c>
      <c r="B288" s="230" t="str">
        <f t="shared" si="310"/>
        <v/>
      </c>
      <c r="C288" s="296" t="str">
        <f t="shared" si="268"/>
        <v/>
      </c>
      <c r="D288" s="269" t="str">
        <f>IF(B288="","",IF(totals!$Q$3=0,IFERROR(IF(AD288=2,"0",AE288),""),"-"))</f>
        <v/>
      </c>
      <c r="E288" s="271" t="str">
        <f t="shared" si="269"/>
        <v/>
      </c>
      <c r="F288" s="272" t="str">
        <f t="shared" si="270"/>
        <v/>
      </c>
      <c r="G288" s="272" t="str">
        <f t="shared" si="271"/>
        <v/>
      </c>
      <c r="H288" s="269" t="str">
        <f t="shared" si="249"/>
        <v/>
      </c>
      <c r="I288" s="272" t="str">
        <f t="shared" si="272"/>
        <v/>
      </c>
      <c r="J288" s="272" t="str">
        <f t="shared" si="273"/>
        <v/>
      </c>
      <c r="K288" s="269" t="str">
        <f t="shared" si="250"/>
        <v/>
      </c>
      <c r="L288" s="272" t="str">
        <f t="shared" si="251"/>
        <v/>
      </c>
      <c r="M288" s="272" t="str">
        <f t="shared" si="274"/>
        <v/>
      </c>
      <c r="N288" s="269" t="str">
        <f t="shared" si="275"/>
        <v/>
      </c>
      <c r="O288" s="272" t="str">
        <f t="shared" si="276"/>
        <v/>
      </c>
      <c r="P288" s="272" t="str">
        <f t="shared" si="277"/>
        <v/>
      </c>
      <c r="Q288" s="269" t="str">
        <f t="shared" si="278"/>
        <v/>
      </c>
      <c r="R288" s="272" t="str">
        <f t="shared" si="279"/>
        <v/>
      </c>
      <c r="S288" s="272" t="str">
        <f t="shared" si="280"/>
        <v/>
      </c>
      <c r="T288" s="269" t="str">
        <f t="shared" si="281"/>
        <v/>
      </c>
      <c r="U288" s="230"/>
      <c r="V288" s="230"/>
      <c r="AB288" s="230" t="e">
        <f>VLOOKUP($B$6,Lookup_Source,281,0)</f>
        <v>#N/A</v>
      </c>
      <c r="AC288" s="254" t="str">
        <f t="shared" si="282"/>
        <v/>
      </c>
      <c r="AD288" s="255">
        <f t="shared" si="283"/>
        <v>7</v>
      </c>
      <c r="AE288" s="274" t="e">
        <f t="shared" si="252"/>
        <v>#N/A</v>
      </c>
      <c r="AF288" s="277" t="e">
        <f t="shared" si="284"/>
        <v>#N/A</v>
      </c>
      <c r="AG288" s="277" t="e">
        <f t="shared" si="285"/>
        <v>#N/A</v>
      </c>
      <c r="AH288" s="276" t="e">
        <f t="shared" si="253"/>
        <v>#N/A</v>
      </c>
      <c r="AI288" s="239">
        <f t="shared" si="286"/>
        <v>7</v>
      </c>
      <c r="AJ288" s="277" t="e">
        <f t="shared" si="254"/>
        <v>#N/A</v>
      </c>
      <c r="AK288" s="277" t="e">
        <f t="shared" si="287"/>
        <v>#N/A</v>
      </c>
      <c r="AL288" s="239" t="e">
        <f t="shared" si="255"/>
        <v>#N/A</v>
      </c>
      <c r="AM288" s="278" t="e">
        <f t="shared" si="288"/>
        <v>#N/A</v>
      </c>
      <c r="AN288" s="279" t="e">
        <f t="shared" si="256"/>
        <v>#N/A</v>
      </c>
      <c r="AO288" s="240" t="e">
        <f t="shared" si="257"/>
        <v>#N/A</v>
      </c>
      <c r="AP288" s="297">
        <f t="shared" si="289"/>
        <v>7</v>
      </c>
      <c r="AQ288" s="298" t="e">
        <f t="shared" si="258"/>
        <v>#N/A</v>
      </c>
      <c r="AR288" s="279" t="e">
        <f t="shared" si="290"/>
        <v>#N/A</v>
      </c>
      <c r="AS288" s="283" t="e">
        <f t="shared" si="259"/>
        <v>#N/A</v>
      </c>
      <c r="AT288" s="284">
        <f t="shared" si="291"/>
        <v>7</v>
      </c>
      <c r="AU288" s="285" t="e">
        <f t="shared" si="292"/>
        <v>#N/A</v>
      </c>
      <c r="AV288" s="286" t="e">
        <f t="shared" si="293"/>
        <v>#N/A</v>
      </c>
      <c r="AW288" s="287" t="e">
        <f t="shared" si="260"/>
        <v>#N/A</v>
      </c>
      <c r="AX288" s="245">
        <f t="shared" si="294"/>
        <v>7</v>
      </c>
      <c r="AY288" s="286" t="e">
        <f t="shared" si="261"/>
        <v>#N/A</v>
      </c>
      <c r="AZ288" s="245" t="e">
        <f t="shared" si="295"/>
        <v>#N/A</v>
      </c>
      <c r="BA288" s="245" t="e">
        <f t="shared" si="262"/>
        <v>#N/A</v>
      </c>
      <c r="BB288" s="288">
        <f t="shared" si="296"/>
        <v>7</v>
      </c>
      <c r="BC288" s="289" t="e">
        <f t="shared" si="297"/>
        <v>#N/A</v>
      </c>
      <c r="BD288" s="290" t="e">
        <f t="shared" si="298"/>
        <v>#N/A</v>
      </c>
      <c r="BE288" s="263" t="e">
        <f t="shared" si="263"/>
        <v>#N/A</v>
      </c>
      <c r="BF288" s="260">
        <f t="shared" si="299"/>
        <v>7</v>
      </c>
      <c r="BG288" s="289" t="e">
        <f t="shared" si="300"/>
        <v>#N/A</v>
      </c>
      <c r="BH288" s="290" t="e">
        <f t="shared" si="301"/>
        <v>#N/A</v>
      </c>
      <c r="BI288" s="263" t="e">
        <f t="shared" si="264"/>
        <v>#N/A</v>
      </c>
      <c r="BJ288" s="264">
        <f t="shared" si="302"/>
        <v>7</v>
      </c>
      <c r="BK288" s="291" t="e">
        <f t="shared" si="303"/>
        <v>#N/A</v>
      </c>
      <c r="BL288" s="291" t="e">
        <f t="shared" si="304"/>
        <v>#N/A</v>
      </c>
      <c r="BM288" s="292" t="e">
        <f t="shared" si="265"/>
        <v>#N/A</v>
      </c>
      <c r="BN288" s="293">
        <f t="shared" si="305"/>
        <v>7</v>
      </c>
      <c r="BO288" s="294" t="e">
        <f t="shared" si="306"/>
        <v>#N/A</v>
      </c>
      <c r="BP288" s="294" t="e">
        <f t="shared" si="307"/>
        <v>#N/A</v>
      </c>
      <c r="BQ288" s="292" t="e">
        <f t="shared" si="266"/>
        <v>#N/A</v>
      </c>
      <c r="BR288" s="295" t="e">
        <f t="shared" si="267"/>
        <v>#N/A</v>
      </c>
      <c r="BS288" s="230" t="e">
        <f>VLOOKUP($B288,SDR22_STOCK_BY_LA!$A$2:$C$11679,3,0)</f>
        <v>#N/A</v>
      </c>
      <c r="BT288" s="230" t="str">
        <f t="shared" si="308"/>
        <v/>
      </c>
    </row>
    <row r="289" spans="1:72" ht="12.5" x14ac:dyDescent="0.25">
      <c r="A289" s="269" t="str">
        <f t="shared" si="309"/>
        <v/>
      </c>
      <c r="B289" s="230" t="str">
        <f t="shared" si="310"/>
        <v/>
      </c>
      <c r="C289" s="270" t="str">
        <f t="shared" si="268"/>
        <v/>
      </c>
      <c r="D289" s="269" t="str">
        <f>IF(B289="","",IF(totals!$Q$3=0,IFERROR(IF(AD289=2,"0",AE289),""),"-"))</f>
        <v/>
      </c>
      <c r="E289" s="271" t="str">
        <f t="shared" si="269"/>
        <v/>
      </c>
      <c r="F289" s="272" t="str">
        <f t="shared" si="270"/>
        <v/>
      </c>
      <c r="G289" s="272" t="str">
        <f t="shared" si="271"/>
        <v/>
      </c>
      <c r="H289" s="269" t="str">
        <f t="shared" si="249"/>
        <v/>
      </c>
      <c r="I289" s="272" t="str">
        <f t="shared" si="272"/>
        <v/>
      </c>
      <c r="J289" s="272" t="str">
        <f t="shared" si="273"/>
        <v/>
      </c>
      <c r="K289" s="269" t="str">
        <f t="shared" si="250"/>
        <v/>
      </c>
      <c r="L289" s="272" t="str">
        <f t="shared" si="251"/>
        <v/>
      </c>
      <c r="M289" s="272" t="str">
        <f t="shared" si="274"/>
        <v/>
      </c>
      <c r="N289" s="269" t="str">
        <f t="shared" si="275"/>
        <v/>
      </c>
      <c r="O289" s="272" t="str">
        <f t="shared" si="276"/>
        <v/>
      </c>
      <c r="P289" s="272" t="str">
        <f t="shared" si="277"/>
        <v/>
      </c>
      <c r="Q289" s="269" t="str">
        <f t="shared" si="278"/>
        <v/>
      </c>
      <c r="R289" s="272" t="str">
        <f t="shared" si="279"/>
        <v/>
      </c>
      <c r="S289" s="272" t="str">
        <f t="shared" si="280"/>
        <v/>
      </c>
      <c r="T289" s="269" t="str">
        <f t="shared" si="281"/>
        <v/>
      </c>
      <c r="U289" s="230"/>
      <c r="V289" s="230"/>
      <c r="AB289" s="270" t="e">
        <f>VLOOKUP($B$6,Lookup_Source,282,0)</f>
        <v>#N/A</v>
      </c>
      <c r="AC289" s="254" t="str">
        <f t="shared" si="282"/>
        <v/>
      </c>
      <c r="AD289" s="255">
        <f t="shared" si="283"/>
        <v>7</v>
      </c>
      <c r="AE289" s="274" t="e">
        <f t="shared" si="252"/>
        <v>#N/A</v>
      </c>
      <c r="AF289" s="277" t="e">
        <f t="shared" si="284"/>
        <v>#N/A</v>
      </c>
      <c r="AG289" s="277" t="e">
        <f t="shared" si="285"/>
        <v>#N/A</v>
      </c>
      <c r="AH289" s="276" t="e">
        <f t="shared" si="253"/>
        <v>#N/A</v>
      </c>
      <c r="AI289" s="239">
        <f t="shared" si="286"/>
        <v>7</v>
      </c>
      <c r="AJ289" s="277" t="e">
        <f t="shared" si="254"/>
        <v>#N/A</v>
      </c>
      <c r="AK289" s="277" t="e">
        <f t="shared" si="287"/>
        <v>#N/A</v>
      </c>
      <c r="AL289" s="239" t="e">
        <f t="shared" si="255"/>
        <v>#N/A</v>
      </c>
      <c r="AM289" s="278" t="e">
        <f t="shared" si="288"/>
        <v>#N/A</v>
      </c>
      <c r="AN289" s="279" t="e">
        <f t="shared" si="256"/>
        <v>#N/A</v>
      </c>
      <c r="AO289" s="240" t="e">
        <f t="shared" si="257"/>
        <v>#N/A</v>
      </c>
      <c r="AP289" s="297">
        <f t="shared" si="289"/>
        <v>7</v>
      </c>
      <c r="AQ289" s="298" t="e">
        <f t="shared" si="258"/>
        <v>#N/A</v>
      </c>
      <c r="AR289" s="279" t="e">
        <f t="shared" si="290"/>
        <v>#N/A</v>
      </c>
      <c r="AS289" s="283" t="e">
        <f t="shared" si="259"/>
        <v>#N/A</v>
      </c>
      <c r="AT289" s="284">
        <f t="shared" si="291"/>
        <v>7</v>
      </c>
      <c r="AU289" s="285" t="e">
        <f t="shared" si="292"/>
        <v>#N/A</v>
      </c>
      <c r="AV289" s="286" t="e">
        <f t="shared" si="293"/>
        <v>#N/A</v>
      </c>
      <c r="AW289" s="287" t="e">
        <f t="shared" si="260"/>
        <v>#N/A</v>
      </c>
      <c r="AX289" s="245">
        <f t="shared" si="294"/>
        <v>7</v>
      </c>
      <c r="AY289" s="286" t="e">
        <f t="shared" si="261"/>
        <v>#N/A</v>
      </c>
      <c r="AZ289" s="245" t="e">
        <f t="shared" si="295"/>
        <v>#N/A</v>
      </c>
      <c r="BA289" s="245" t="e">
        <f t="shared" si="262"/>
        <v>#N/A</v>
      </c>
      <c r="BB289" s="288">
        <f t="shared" si="296"/>
        <v>7</v>
      </c>
      <c r="BC289" s="289" t="e">
        <f t="shared" si="297"/>
        <v>#N/A</v>
      </c>
      <c r="BD289" s="290" t="e">
        <f t="shared" si="298"/>
        <v>#N/A</v>
      </c>
      <c r="BE289" s="263" t="e">
        <f t="shared" si="263"/>
        <v>#N/A</v>
      </c>
      <c r="BF289" s="260">
        <f t="shared" si="299"/>
        <v>7</v>
      </c>
      <c r="BG289" s="289" t="e">
        <f t="shared" si="300"/>
        <v>#N/A</v>
      </c>
      <c r="BH289" s="290" t="e">
        <f t="shared" si="301"/>
        <v>#N/A</v>
      </c>
      <c r="BI289" s="263" t="e">
        <f t="shared" si="264"/>
        <v>#N/A</v>
      </c>
      <c r="BJ289" s="264">
        <f t="shared" si="302"/>
        <v>7</v>
      </c>
      <c r="BK289" s="291" t="e">
        <f t="shared" si="303"/>
        <v>#N/A</v>
      </c>
      <c r="BL289" s="291" t="e">
        <f t="shared" si="304"/>
        <v>#N/A</v>
      </c>
      <c r="BM289" s="292" t="e">
        <f t="shared" si="265"/>
        <v>#N/A</v>
      </c>
      <c r="BN289" s="293">
        <f t="shared" si="305"/>
        <v>7</v>
      </c>
      <c r="BO289" s="294" t="e">
        <f t="shared" si="306"/>
        <v>#N/A</v>
      </c>
      <c r="BP289" s="294" t="e">
        <f t="shared" si="307"/>
        <v>#N/A</v>
      </c>
      <c r="BQ289" s="292" t="e">
        <f t="shared" si="266"/>
        <v>#N/A</v>
      </c>
      <c r="BR289" s="295" t="e">
        <f t="shared" si="267"/>
        <v>#N/A</v>
      </c>
      <c r="BS289" s="230" t="e">
        <f>VLOOKUP($B289,SDR22_STOCK_BY_LA!$A$2:$C$11679,3,0)</f>
        <v>#N/A</v>
      </c>
      <c r="BT289" s="230" t="str">
        <f t="shared" si="308"/>
        <v/>
      </c>
    </row>
    <row r="290" spans="1:72" ht="12.5" x14ac:dyDescent="0.25">
      <c r="A290" s="230" t="str">
        <f t="shared" si="309"/>
        <v/>
      </c>
      <c r="B290" s="230" t="str">
        <f t="shared" si="310"/>
        <v/>
      </c>
      <c r="C290" s="296" t="str">
        <f t="shared" si="268"/>
        <v/>
      </c>
      <c r="D290" s="269" t="str">
        <f>IF(B290="","",IF(totals!$Q$3=0,IFERROR(IF(AD290=2,"0",AE290),""),"-"))</f>
        <v/>
      </c>
      <c r="E290" s="271" t="str">
        <f t="shared" si="269"/>
        <v/>
      </c>
      <c r="F290" s="272" t="str">
        <f t="shared" si="270"/>
        <v/>
      </c>
      <c r="G290" s="272" t="str">
        <f t="shared" si="271"/>
        <v/>
      </c>
      <c r="H290" s="269" t="str">
        <f t="shared" si="249"/>
        <v/>
      </c>
      <c r="I290" s="272" t="str">
        <f t="shared" si="272"/>
        <v/>
      </c>
      <c r="J290" s="272" t="str">
        <f t="shared" si="273"/>
        <v/>
      </c>
      <c r="K290" s="269" t="str">
        <f t="shared" si="250"/>
        <v/>
      </c>
      <c r="L290" s="272" t="str">
        <f t="shared" si="251"/>
        <v/>
      </c>
      <c r="M290" s="272" t="str">
        <f t="shared" si="274"/>
        <v/>
      </c>
      <c r="N290" s="269" t="str">
        <f t="shared" si="275"/>
        <v/>
      </c>
      <c r="O290" s="272" t="str">
        <f t="shared" si="276"/>
        <v/>
      </c>
      <c r="P290" s="272" t="str">
        <f t="shared" si="277"/>
        <v/>
      </c>
      <c r="Q290" s="269" t="str">
        <f t="shared" si="278"/>
        <v/>
      </c>
      <c r="R290" s="272" t="str">
        <f t="shared" si="279"/>
        <v/>
      </c>
      <c r="S290" s="272" t="str">
        <f t="shared" si="280"/>
        <v/>
      </c>
      <c r="T290" s="269" t="str">
        <f t="shared" si="281"/>
        <v/>
      </c>
      <c r="U290" s="230"/>
      <c r="V290" s="230"/>
      <c r="AB290" s="230" t="e">
        <f>VLOOKUP($B$6,Lookup_Source,283,0)</f>
        <v>#N/A</v>
      </c>
      <c r="AC290" s="254" t="str">
        <f t="shared" si="282"/>
        <v/>
      </c>
      <c r="AD290" s="255">
        <f t="shared" si="283"/>
        <v>7</v>
      </c>
      <c r="AE290" s="274" t="e">
        <f t="shared" si="252"/>
        <v>#N/A</v>
      </c>
      <c r="AF290" s="277" t="e">
        <f t="shared" si="284"/>
        <v>#N/A</v>
      </c>
      <c r="AG290" s="277" t="e">
        <f t="shared" si="285"/>
        <v>#N/A</v>
      </c>
      <c r="AH290" s="276" t="e">
        <f t="shared" si="253"/>
        <v>#N/A</v>
      </c>
      <c r="AI290" s="239">
        <f t="shared" si="286"/>
        <v>7</v>
      </c>
      <c r="AJ290" s="277" t="e">
        <f t="shared" si="254"/>
        <v>#N/A</v>
      </c>
      <c r="AK290" s="277" t="e">
        <f t="shared" si="287"/>
        <v>#N/A</v>
      </c>
      <c r="AL290" s="239" t="e">
        <f t="shared" si="255"/>
        <v>#N/A</v>
      </c>
      <c r="AM290" s="278" t="e">
        <f t="shared" si="288"/>
        <v>#N/A</v>
      </c>
      <c r="AN290" s="279" t="e">
        <f t="shared" si="256"/>
        <v>#N/A</v>
      </c>
      <c r="AO290" s="240" t="e">
        <f t="shared" si="257"/>
        <v>#N/A</v>
      </c>
      <c r="AP290" s="297">
        <f t="shared" si="289"/>
        <v>7</v>
      </c>
      <c r="AQ290" s="298" t="e">
        <f t="shared" si="258"/>
        <v>#N/A</v>
      </c>
      <c r="AR290" s="279" t="e">
        <f t="shared" si="290"/>
        <v>#N/A</v>
      </c>
      <c r="AS290" s="283" t="e">
        <f t="shared" si="259"/>
        <v>#N/A</v>
      </c>
      <c r="AT290" s="284">
        <f t="shared" si="291"/>
        <v>7</v>
      </c>
      <c r="AU290" s="285" t="e">
        <f t="shared" si="292"/>
        <v>#N/A</v>
      </c>
      <c r="AV290" s="286" t="e">
        <f t="shared" si="293"/>
        <v>#N/A</v>
      </c>
      <c r="AW290" s="287" t="e">
        <f t="shared" si="260"/>
        <v>#N/A</v>
      </c>
      <c r="AX290" s="245">
        <f t="shared" si="294"/>
        <v>7</v>
      </c>
      <c r="AY290" s="286" t="e">
        <f t="shared" si="261"/>
        <v>#N/A</v>
      </c>
      <c r="AZ290" s="245" t="e">
        <f t="shared" si="295"/>
        <v>#N/A</v>
      </c>
      <c r="BA290" s="245" t="e">
        <f t="shared" si="262"/>
        <v>#N/A</v>
      </c>
      <c r="BB290" s="288">
        <f t="shared" si="296"/>
        <v>7</v>
      </c>
      <c r="BC290" s="289" t="e">
        <f t="shared" si="297"/>
        <v>#N/A</v>
      </c>
      <c r="BD290" s="290" t="e">
        <f t="shared" si="298"/>
        <v>#N/A</v>
      </c>
      <c r="BE290" s="263" t="e">
        <f t="shared" si="263"/>
        <v>#N/A</v>
      </c>
      <c r="BF290" s="260">
        <f t="shared" si="299"/>
        <v>7</v>
      </c>
      <c r="BG290" s="289" t="e">
        <f t="shared" si="300"/>
        <v>#N/A</v>
      </c>
      <c r="BH290" s="290" t="e">
        <f t="shared" si="301"/>
        <v>#N/A</v>
      </c>
      <c r="BI290" s="263" t="e">
        <f t="shared" si="264"/>
        <v>#N/A</v>
      </c>
      <c r="BJ290" s="264">
        <f t="shared" si="302"/>
        <v>7</v>
      </c>
      <c r="BK290" s="291" t="e">
        <f t="shared" si="303"/>
        <v>#N/A</v>
      </c>
      <c r="BL290" s="291" t="e">
        <f t="shared" si="304"/>
        <v>#N/A</v>
      </c>
      <c r="BM290" s="292" t="e">
        <f t="shared" si="265"/>
        <v>#N/A</v>
      </c>
      <c r="BN290" s="293">
        <f t="shared" si="305"/>
        <v>7</v>
      </c>
      <c r="BO290" s="294" t="e">
        <f t="shared" si="306"/>
        <v>#N/A</v>
      </c>
      <c r="BP290" s="294" t="e">
        <f t="shared" si="307"/>
        <v>#N/A</v>
      </c>
      <c r="BQ290" s="292" t="e">
        <f t="shared" si="266"/>
        <v>#N/A</v>
      </c>
      <c r="BR290" s="295" t="e">
        <f t="shared" si="267"/>
        <v>#N/A</v>
      </c>
      <c r="BS290" s="230" t="e">
        <f>VLOOKUP($B290,SDR22_STOCK_BY_LA!$A$2:$C$11679,3,0)</f>
        <v>#N/A</v>
      </c>
      <c r="BT290" s="230" t="str">
        <f t="shared" si="308"/>
        <v/>
      </c>
    </row>
    <row r="291" spans="1:72" ht="12.5" x14ac:dyDescent="0.25">
      <c r="A291" s="269" t="str">
        <f t="shared" si="309"/>
        <v/>
      </c>
      <c r="B291" s="230" t="str">
        <f t="shared" si="310"/>
        <v/>
      </c>
      <c r="C291" s="270" t="str">
        <f t="shared" si="268"/>
        <v/>
      </c>
      <c r="D291" s="269" t="str">
        <f>IF(B291="","",IF(totals!$Q$3=0,IFERROR(IF(AD291=2,"0",AE291),""),"-"))</f>
        <v/>
      </c>
      <c r="E291" s="271" t="str">
        <f t="shared" si="269"/>
        <v/>
      </c>
      <c r="F291" s="272" t="str">
        <f t="shared" si="270"/>
        <v/>
      </c>
      <c r="G291" s="272" t="str">
        <f t="shared" si="271"/>
        <v/>
      </c>
      <c r="H291" s="269" t="str">
        <f t="shared" si="249"/>
        <v/>
      </c>
      <c r="I291" s="272" t="str">
        <f t="shared" si="272"/>
        <v/>
      </c>
      <c r="J291" s="272" t="str">
        <f t="shared" si="273"/>
        <v/>
      </c>
      <c r="K291" s="269" t="str">
        <f t="shared" si="250"/>
        <v/>
      </c>
      <c r="L291" s="272" t="str">
        <f t="shared" si="251"/>
        <v/>
      </c>
      <c r="M291" s="272" t="str">
        <f t="shared" si="274"/>
        <v/>
      </c>
      <c r="N291" s="269" t="str">
        <f t="shared" si="275"/>
        <v/>
      </c>
      <c r="O291" s="272" t="str">
        <f t="shared" si="276"/>
        <v/>
      </c>
      <c r="P291" s="272" t="str">
        <f t="shared" si="277"/>
        <v/>
      </c>
      <c r="Q291" s="269" t="str">
        <f t="shared" si="278"/>
        <v/>
      </c>
      <c r="R291" s="272" t="str">
        <f t="shared" si="279"/>
        <v/>
      </c>
      <c r="S291" s="272" t="str">
        <f t="shared" si="280"/>
        <v/>
      </c>
      <c r="T291" s="269" t="str">
        <f t="shared" si="281"/>
        <v/>
      </c>
      <c r="U291" s="230"/>
      <c r="V291" s="230"/>
      <c r="AB291" s="270" t="e">
        <f>VLOOKUP($B$6,Lookup_Source,284,0)</f>
        <v>#N/A</v>
      </c>
      <c r="AC291" s="254" t="str">
        <f t="shared" si="282"/>
        <v/>
      </c>
      <c r="AD291" s="255">
        <f t="shared" si="283"/>
        <v>7</v>
      </c>
      <c r="AE291" s="274" t="e">
        <f t="shared" si="252"/>
        <v>#N/A</v>
      </c>
      <c r="AF291" s="277" t="e">
        <f t="shared" si="284"/>
        <v>#N/A</v>
      </c>
      <c r="AG291" s="277" t="e">
        <f t="shared" si="285"/>
        <v>#N/A</v>
      </c>
      <c r="AH291" s="276" t="e">
        <f t="shared" si="253"/>
        <v>#N/A</v>
      </c>
      <c r="AI291" s="239">
        <f t="shared" si="286"/>
        <v>7</v>
      </c>
      <c r="AJ291" s="277" t="e">
        <f t="shared" si="254"/>
        <v>#N/A</v>
      </c>
      <c r="AK291" s="277" t="e">
        <f t="shared" si="287"/>
        <v>#N/A</v>
      </c>
      <c r="AL291" s="239" t="e">
        <f t="shared" si="255"/>
        <v>#N/A</v>
      </c>
      <c r="AM291" s="278" t="e">
        <f t="shared" si="288"/>
        <v>#N/A</v>
      </c>
      <c r="AN291" s="279" t="e">
        <f t="shared" si="256"/>
        <v>#N/A</v>
      </c>
      <c r="AO291" s="240" t="e">
        <f t="shared" si="257"/>
        <v>#N/A</v>
      </c>
      <c r="AP291" s="297">
        <f t="shared" si="289"/>
        <v>7</v>
      </c>
      <c r="AQ291" s="298" t="e">
        <f t="shared" si="258"/>
        <v>#N/A</v>
      </c>
      <c r="AR291" s="279" t="e">
        <f t="shared" si="290"/>
        <v>#N/A</v>
      </c>
      <c r="AS291" s="283" t="e">
        <f t="shared" si="259"/>
        <v>#N/A</v>
      </c>
      <c r="AT291" s="284">
        <f t="shared" si="291"/>
        <v>7</v>
      </c>
      <c r="AU291" s="285" t="e">
        <f t="shared" si="292"/>
        <v>#N/A</v>
      </c>
      <c r="AV291" s="286" t="e">
        <f t="shared" si="293"/>
        <v>#N/A</v>
      </c>
      <c r="AW291" s="287" t="e">
        <f t="shared" si="260"/>
        <v>#N/A</v>
      </c>
      <c r="AX291" s="245">
        <f t="shared" si="294"/>
        <v>7</v>
      </c>
      <c r="AY291" s="286" t="e">
        <f t="shared" si="261"/>
        <v>#N/A</v>
      </c>
      <c r="AZ291" s="245" t="e">
        <f t="shared" si="295"/>
        <v>#N/A</v>
      </c>
      <c r="BA291" s="245" t="e">
        <f t="shared" si="262"/>
        <v>#N/A</v>
      </c>
      <c r="BB291" s="288">
        <f t="shared" si="296"/>
        <v>7</v>
      </c>
      <c r="BC291" s="289" t="e">
        <f t="shared" si="297"/>
        <v>#N/A</v>
      </c>
      <c r="BD291" s="290" t="e">
        <f t="shared" si="298"/>
        <v>#N/A</v>
      </c>
      <c r="BE291" s="263" t="e">
        <f t="shared" si="263"/>
        <v>#N/A</v>
      </c>
      <c r="BF291" s="260">
        <f t="shared" si="299"/>
        <v>7</v>
      </c>
      <c r="BG291" s="289" t="e">
        <f t="shared" si="300"/>
        <v>#N/A</v>
      </c>
      <c r="BH291" s="290" t="e">
        <f t="shared" si="301"/>
        <v>#N/A</v>
      </c>
      <c r="BI291" s="263" t="e">
        <f t="shared" si="264"/>
        <v>#N/A</v>
      </c>
      <c r="BJ291" s="264">
        <f t="shared" si="302"/>
        <v>7</v>
      </c>
      <c r="BK291" s="291" t="e">
        <f t="shared" si="303"/>
        <v>#N/A</v>
      </c>
      <c r="BL291" s="291" t="e">
        <f t="shared" si="304"/>
        <v>#N/A</v>
      </c>
      <c r="BM291" s="292" t="e">
        <f t="shared" si="265"/>
        <v>#N/A</v>
      </c>
      <c r="BN291" s="293">
        <f t="shared" si="305"/>
        <v>7</v>
      </c>
      <c r="BO291" s="294" t="e">
        <f t="shared" si="306"/>
        <v>#N/A</v>
      </c>
      <c r="BP291" s="294" t="e">
        <f t="shared" si="307"/>
        <v>#N/A</v>
      </c>
      <c r="BQ291" s="292" t="e">
        <f t="shared" si="266"/>
        <v>#N/A</v>
      </c>
      <c r="BR291" s="295" t="e">
        <f t="shared" si="267"/>
        <v>#N/A</v>
      </c>
      <c r="BS291" s="230" t="e">
        <f>VLOOKUP($B291,SDR22_STOCK_BY_LA!$A$2:$C$11679,3,0)</f>
        <v>#N/A</v>
      </c>
      <c r="BT291" s="230" t="str">
        <f t="shared" si="308"/>
        <v/>
      </c>
    </row>
    <row r="292" spans="1:72" ht="12.5" x14ac:dyDescent="0.25">
      <c r="A292" s="230" t="str">
        <f t="shared" si="309"/>
        <v/>
      </c>
      <c r="B292" s="230" t="str">
        <f t="shared" si="310"/>
        <v/>
      </c>
      <c r="C292" s="296" t="str">
        <f t="shared" si="268"/>
        <v/>
      </c>
      <c r="D292" s="269" t="str">
        <f>IF(B292="","",IF(totals!$Q$3=0,IFERROR(IF(AD292=2,"0",AE292),""),"-"))</f>
        <v/>
      </c>
      <c r="E292" s="271" t="str">
        <f t="shared" si="269"/>
        <v/>
      </c>
      <c r="F292" s="272" t="str">
        <f t="shared" si="270"/>
        <v/>
      </c>
      <c r="G292" s="272" t="str">
        <f t="shared" si="271"/>
        <v/>
      </c>
      <c r="H292" s="269" t="str">
        <f t="shared" si="249"/>
        <v/>
      </c>
      <c r="I292" s="272" t="str">
        <f t="shared" si="272"/>
        <v/>
      </c>
      <c r="J292" s="272" t="str">
        <f t="shared" si="273"/>
        <v/>
      </c>
      <c r="K292" s="269" t="str">
        <f t="shared" si="250"/>
        <v/>
      </c>
      <c r="L292" s="272" t="str">
        <f t="shared" si="251"/>
        <v/>
      </c>
      <c r="M292" s="272" t="str">
        <f t="shared" si="274"/>
        <v/>
      </c>
      <c r="N292" s="269" t="str">
        <f t="shared" si="275"/>
        <v/>
      </c>
      <c r="O292" s="272" t="str">
        <f t="shared" si="276"/>
        <v/>
      </c>
      <c r="P292" s="272" t="str">
        <f t="shared" si="277"/>
        <v/>
      </c>
      <c r="Q292" s="269" t="str">
        <f t="shared" si="278"/>
        <v/>
      </c>
      <c r="R292" s="272" t="str">
        <f t="shared" si="279"/>
        <v/>
      </c>
      <c r="S292" s="272" t="str">
        <f t="shared" si="280"/>
        <v/>
      </c>
      <c r="T292" s="269" t="str">
        <f t="shared" si="281"/>
        <v/>
      </c>
      <c r="U292" s="230"/>
      <c r="V292" s="230"/>
      <c r="AB292" s="230" t="e">
        <f>VLOOKUP($B$6,Lookup_Source,285,0)</f>
        <v>#N/A</v>
      </c>
      <c r="AC292" s="254" t="str">
        <f t="shared" si="282"/>
        <v/>
      </c>
      <c r="AD292" s="255">
        <f t="shared" si="283"/>
        <v>7</v>
      </c>
      <c r="AE292" s="274" t="e">
        <f t="shared" si="252"/>
        <v>#N/A</v>
      </c>
      <c r="AF292" s="277" t="e">
        <f t="shared" si="284"/>
        <v>#N/A</v>
      </c>
      <c r="AG292" s="277" t="e">
        <f t="shared" si="285"/>
        <v>#N/A</v>
      </c>
      <c r="AH292" s="276" t="e">
        <f t="shared" si="253"/>
        <v>#N/A</v>
      </c>
      <c r="AI292" s="239">
        <f t="shared" si="286"/>
        <v>7</v>
      </c>
      <c r="AJ292" s="277" t="e">
        <f t="shared" si="254"/>
        <v>#N/A</v>
      </c>
      <c r="AK292" s="277" t="e">
        <f t="shared" si="287"/>
        <v>#N/A</v>
      </c>
      <c r="AL292" s="239" t="e">
        <f t="shared" si="255"/>
        <v>#N/A</v>
      </c>
      <c r="AM292" s="278" t="e">
        <f t="shared" si="288"/>
        <v>#N/A</v>
      </c>
      <c r="AN292" s="279" t="e">
        <f t="shared" si="256"/>
        <v>#N/A</v>
      </c>
      <c r="AO292" s="240" t="e">
        <f t="shared" si="257"/>
        <v>#N/A</v>
      </c>
      <c r="AP292" s="297">
        <f t="shared" si="289"/>
        <v>7</v>
      </c>
      <c r="AQ292" s="298" t="e">
        <f t="shared" si="258"/>
        <v>#N/A</v>
      </c>
      <c r="AR292" s="279" t="e">
        <f t="shared" si="290"/>
        <v>#N/A</v>
      </c>
      <c r="AS292" s="283" t="e">
        <f t="shared" si="259"/>
        <v>#N/A</v>
      </c>
      <c r="AT292" s="284">
        <f t="shared" si="291"/>
        <v>7</v>
      </c>
      <c r="AU292" s="285" t="e">
        <f t="shared" si="292"/>
        <v>#N/A</v>
      </c>
      <c r="AV292" s="286" t="e">
        <f t="shared" si="293"/>
        <v>#N/A</v>
      </c>
      <c r="AW292" s="287" t="e">
        <f t="shared" si="260"/>
        <v>#N/A</v>
      </c>
      <c r="AX292" s="245">
        <f t="shared" si="294"/>
        <v>7</v>
      </c>
      <c r="AY292" s="286" t="e">
        <f t="shared" si="261"/>
        <v>#N/A</v>
      </c>
      <c r="AZ292" s="245" t="e">
        <f t="shared" si="295"/>
        <v>#N/A</v>
      </c>
      <c r="BA292" s="245" t="e">
        <f t="shared" si="262"/>
        <v>#N/A</v>
      </c>
      <c r="BB292" s="288">
        <f t="shared" si="296"/>
        <v>7</v>
      </c>
      <c r="BC292" s="289" t="e">
        <f t="shared" si="297"/>
        <v>#N/A</v>
      </c>
      <c r="BD292" s="290" t="e">
        <f t="shared" si="298"/>
        <v>#N/A</v>
      </c>
      <c r="BE292" s="263" t="e">
        <f t="shared" si="263"/>
        <v>#N/A</v>
      </c>
      <c r="BF292" s="260">
        <f t="shared" si="299"/>
        <v>7</v>
      </c>
      <c r="BG292" s="289" t="e">
        <f t="shared" si="300"/>
        <v>#N/A</v>
      </c>
      <c r="BH292" s="290" t="e">
        <f t="shared" si="301"/>
        <v>#N/A</v>
      </c>
      <c r="BI292" s="263" t="e">
        <f t="shared" si="264"/>
        <v>#N/A</v>
      </c>
      <c r="BJ292" s="264">
        <f t="shared" si="302"/>
        <v>7</v>
      </c>
      <c r="BK292" s="291" t="e">
        <f t="shared" si="303"/>
        <v>#N/A</v>
      </c>
      <c r="BL292" s="291" t="e">
        <f t="shared" si="304"/>
        <v>#N/A</v>
      </c>
      <c r="BM292" s="292" t="e">
        <f t="shared" si="265"/>
        <v>#N/A</v>
      </c>
      <c r="BN292" s="293">
        <f t="shared" si="305"/>
        <v>7</v>
      </c>
      <c r="BO292" s="294" t="e">
        <f t="shared" si="306"/>
        <v>#N/A</v>
      </c>
      <c r="BP292" s="294" t="e">
        <f t="shared" si="307"/>
        <v>#N/A</v>
      </c>
      <c r="BQ292" s="292" t="e">
        <f t="shared" si="266"/>
        <v>#N/A</v>
      </c>
      <c r="BR292" s="295" t="e">
        <f t="shared" si="267"/>
        <v>#N/A</v>
      </c>
      <c r="BS292" s="230" t="e">
        <f>VLOOKUP($B292,SDR22_STOCK_BY_LA!$A$2:$C$11679,3,0)</f>
        <v>#N/A</v>
      </c>
      <c r="BT292" s="230" t="str">
        <f t="shared" si="308"/>
        <v/>
      </c>
    </row>
    <row r="293" spans="1:72" ht="12.5" x14ac:dyDescent="0.25">
      <c r="A293" s="269" t="str">
        <f t="shared" si="309"/>
        <v/>
      </c>
      <c r="B293" s="230" t="str">
        <f t="shared" si="310"/>
        <v/>
      </c>
      <c r="C293" s="270" t="str">
        <f t="shared" si="268"/>
        <v/>
      </c>
      <c r="D293" s="269" t="str">
        <f>IF(B293="","",IF(totals!$Q$3=0,IFERROR(IF(AD293=2,"0",AE293),""),"-"))</f>
        <v/>
      </c>
      <c r="E293" s="271" t="str">
        <f t="shared" si="269"/>
        <v/>
      </c>
      <c r="F293" s="272" t="str">
        <f t="shared" si="270"/>
        <v/>
      </c>
      <c r="G293" s="272" t="str">
        <f t="shared" si="271"/>
        <v/>
      </c>
      <c r="H293" s="269" t="str">
        <f t="shared" si="249"/>
        <v/>
      </c>
      <c r="I293" s="272" t="str">
        <f t="shared" si="272"/>
        <v/>
      </c>
      <c r="J293" s="272" t="str">
        <f t="shared" si="273"/>
        <v/>
      </c>
      <c r="K293" s="269" t="str">
        <f t="shared" si="250"/>
        <v/>
      </c>
      <c r="L293" s="272" t="str">
        <f t="shared" si="251"/>
        <v/>
      </c>
      <c r="M293" s="272" t="str">
        <f t="shared" si="274"/>
        <v/>
      </c>
      <c r="N293" s="269" t="str">
        <f t="shared" si="275"/>
        <v/>
      </c>
      <c r="O293" s="272" t="str">
        <f t="shared" si="276"/>
        <v/>
      </c>
      <c r="P293" s="272" t="str">
        <f t="shared" si="277"/>
        <v/>
      </c>
      <c r="Q293" s="269" t="str">
        <f t="shared" si="278"/>
        <v/>
      </c>
      <c r="R293" s="272" t="str">
        <f t="shared" si="279"/>
        <v/>
      </c>
      <c r="S293" s="272" t="str">
        <f t="shared" si="280"/>
        <v/>
      </c>
      <c r="T293" s="269" t="str">
        <f t="shared" si="281"/>
        <v/>
      </c>
      <c r="U293" s="230"/>
      <c r="V293" s="230"/>
      <c r="AB293" s="270" t="e">
        <f>VLOOKUP($B$6,Lookup_Source,286,0)</f>
        <v>#N/A</v>
      </c>
      <c r="AC293" s="254" t="str">
        <f t="shared" si="282"/>
        <v/>
      </c>
      <c r="AD293" s="255">
        <f t="shared" si="283"/>
        <v>7</v>
      </c>
      <c r="AE293" s="274" t="e">
        <f t="shared" si="252"/>
        <v>#N/A</v>
      </c>
      <c r="AF293" s="277" t="e">
        <f t="shared" si="284"/>
        <v>#N/A</v>
      </c>
      <c r="AG293" s="277" t="e">
        <f t="shared" si="285"/>
        <v>#N/A</v>
      </c>
      <c r="AH293" s="276" t="e">
        <f t="shared" si="253"/>
        <v>#N/A</v>
      </c>
      <c r="AI293" s="239">
        <f t="shared" si="286"/>
        <v>7</v>
      </c>
      <c r="AJ293" s="277" t="e">
        <f t="shared" si="254"/>
        <v>#N/A</v>
      </c>
      <c r="AK293" s="277" t="e">
        <f t="shared" si="287"/>
        <v>#N/A</v>
      </c>
      <c r="AL293" s="239" t="e">
        <f t="shared" si="255"/>
        <v>#N/A</v>
      </c>
      <c r="AM293" s="278" t="e">
        <f t="shared" si="288"/>
        <v>#N/A</v>
      </c>
      <c r="AN293" s="279" t="e">
        <f t="shared" si="256"/>
        <v>#N/A</v>
      </c>
      <c r="AO293" s="240" t="e">
        <f t="shared" si="257"/>
        <v>#N/A</v>
      </c>
      <c r="AP293" s="297">
        <f t="shared" si="289"/>
        <v>7</v>
      </c>
      <c r="AQ293" s="298" t="e">
        <f t="shared" si="258"/>
        <v>#N/A</v>
      </c>
      <c r="AR293" s="279" t="e">
        <f t="shared" si="290"/>
        <v>#N/A</v>
      </c>
      <c r="AS293" s="283" t="e">
        <f t="shared" si="259"/>
        <v>#N/A</v>
      </c>
      <c r="AT293" s="284">
        <f t="shared" si="291"/>
        <v>7</v>
      </c>
      <c r="AU293" s="285" t="e">
        <f t="shared" si="292"/>
        <v>#N/A</v>
      </c>
      <c r="AV293" s="286" t="e">
        <f t="shared" si="293"/>
        <v>#N/A</v>
      </c>
      <c r="AW293" s="287" t="e">
        <f t="shared" si="260"/>
        <v>#N/A</v>
      </c>
      <c r="AX293" s="245">
        <f t="shared" si="294"/>
        <v>7</v>
      </c>
      <c r="AY293" s="286" t="e">
        <f t="shared" si="261"/>
        <v>#N/A</v>
      </c>
      <c r="AZ293" s="245" t="e">
        <f t="shared" si="295"/>
        <v>#N/A</v>
      </c>
      <c r="BA293" s="245" t="e">
        <f t="shared" si="262"/>
        <v>#N/A</v>
      </c>
      <c r="BB293" s="288">
        <f t="shared" si="296"/>
        <v>7</v>
      </c>
      <c r="BC293" s="289" t="e">
        <f t="shared" si="297"/>
        <v>#N/A</v>
      </c>
      <c r="BD293" s="290" t="e">
        <f t="shared" si="298"/>
        <v>#N/A</v>
      </c>
      <c r="BE293" s="263" t="e">
        <f t="shared" si="263"/>
        <v>#N/A</v>
      </c>
      <c r="BF293" s="260">
        <f t="shared" si="299"/>
        <v>7</v>
      </c>
      <c r="BG293" s="289" t="e">
        <f t="shared" si="300"/>
        <v>#N/A</v>
      </c>
      <c r="BH293" s="290" t="e">
        <f t="shared" si="301"/>
        <v>#N/A</v>
      </c>
      <c r="BI293" s="263" t="e">
        <f t="shared" si="264"/>
        <v>#N/A</v>
      </c>
      <c r="BJ293" s="264">
        <f t="shared" si="302"/>
        <v>7</v>
      </c>
      <c r="BK293" s="291" t="e">
        <f t="shared" si="303"/>
        <v>#N/A</v>
      </c>
      <c r="BL293" s="291" t="e">
        <f t="shared" si="304"/>
        <v>#N/A</v>
      </c>
      <c r="BM293" s="292" t="e">
        <f t="shared" si="265"/>
        <v>#N/A</v>
      </c>
      <c r="BN293" s="293">
        <f t="shared" si="305"/>
        <v>7</v>
      </c>
      <c r="BO293" s="294" t="e">
        <f t="shared" si="306"/>
        <v>#N/A</v>
      </c>
      <c r="BP293" s="294" t="e">
        <f t="shared" si="307"/>
        <v>#N/A</v>
      </c>
      <c r="BQ293" s="292" t="e">
        <f t="shared" si="266"/>
        <v>#N/A</v>
      </c>
      <c r="BR293" s="295" t="e">
        <f t="shared" si="267"/>
        <v>#N/A</v>
      </c>
      <c r="BS293" s="230" t="e">
        <f>VLOOKUP($B293,SDR22_STOCK_BY_LA!$A$2:$C$11679,3,0)</f>
        <v>#N/A</v>
      </c>
      <c r="BT293" s="230" t="str">
        <f t="shared" si="308"/>
        <v/>
      </c>
    </row>
    <row r="294" spans="1:72" ht="12.5" x14ac:dyDescent="0.25">
      <c r="A294" s="230" t="str">
        <f t="shared" si="309"/>
        <v/>
      </c>
      <c r="B294" s="230" t="str">
        <f t="shared" si="310"/>
        <v/>
      </c>
      <c r="C294" s="296" t="str">
        <f t="shared" si="268"/>
        <v/>
      </c>
      <c r="D294" s="269" t="str">
        <f>IF(B294="","",IF(totals!$Q$3=0,IFERROR(IF(AD294=2,"0",AE294),""),"-"))</f>
        <v/>
      </c>
      <c r="E294" s="271" t="str">
        <f t="shared" si="269"/>
        <v/>
      </c>
      <c r="F294" s="272" t="str">
        <f t="shared" si="270"/>
        <v/>
      </c>
      <c r="G294" s="272" t="str">
        <f t="shared" si="271"/>
        <v/>
      </c>
      <c r="H294" s="269" t="str">
        <f t="shared" si="249"/>
        <v/>
      </c>
      <c r="I294" s="272" t="str">
        <f t="shared" si="272"/>
        <v/>
      </c>
      <c r="J294" s="272" t="str">
        <f t="shared" si="273"/>
        <v/>
      </c>
      <c r="K294" s="269" t="str">
        <f t="shared" si="250"/>
        <v/>
      </c>
      <c r="L294" s="272" t="str">
        <f t="shared" si="251"/>
        <v/>
      </c>
      <c r="M294" s="272" t="str">
        <f t="shared" si="274"/>
        <v/>
      </c>
      <c r="N294" s="269" t="str">
        <f t="shared" si="275"/>
        <v/>
      </c>
      <c r="O294" s="272" t="str">
        <f t="shared" si="276"/>
        <v/>
      </c>
      <c r="P294" s="272" t="str">
        <f t="shared" si="277"/>
        <v/>
      </c>
      <c r="Q294" s="269" t="str">
        <f t="shared" si="278"/>
        <v/>
      </c>
      <c r="R294" s="272" t="str">
        <f t="shared" si="279"/>
        <v/>
      </c>
      <c r="S294" s="272" t="str">
        <f t="shared" si="280"/>
        <v/>
      </c>
      <c r="T294" s="269" t="str">
        <f t="shared" si="281"/>
        <v/>
      </c>
      <c r="U294" s="230"/>
      <c r="V294" s="230"/>
      <c r="AB294" s="230" t="e">
        <f>VLOOKUP($B$6,Lookup_Source,287,0)</f>
        <v>#N/A</v>
      </c>
      <c r="AC294" s="254" t="str">
        <f t="shared" si="282"/>
        <v/>
      </c>
      <c r="AD294" s="255">
        <f t="shared" si="283"/>
        <v>7</v>
      </c>
      <c r="AE294" s="274" t="e">
        <f t="shared" si="252"/>
        <v>#N/A</v>
      </c>
      <c r="AF294" s="277" t="e">
        <f t="shared" si="284"/>
        <v>#N/A</v>
      </c>
      <c r="AG294" s="277" t="e">
        <f t="shared" si="285"/>
        <v>#N/A</v>
      </c>
      <c r="AH294" s="276" t="e">
        <f t="shared" si="253"/>
        <v>#N/A</v>
      </c>
      <c r="AI294" s="239">
        <f t="shared" si="286"/>
        <v>7</v>
      </c>
      <c r="AJ294" s="277" t="e">
        <f t="shared" si="254"/>
        <v>#N/A</v>
      </c>
      <c r="AK294" s="277" t="e">
        <f t="shared" si="287"/>
        <v>#N/A</v>
      </c>
      <c r="AL294" s="239" t="e">
        <f t="shared" si="255"/>
        <v>#N/A</v>
      </c>
      <c r="AM294" s="278" t="e">
        <f t="shared" si="288"/>
        <v>#N/A</v>
      </c>
      <c r="AN294" s="279" t="e">
        <f t="shared" si="256"/>
        <v>#N/A</v>
      </c>
      <c r="AO294" s="240" t="e">
        <f t="shared" si="257"/>
        <v>#N/A</v>
      </c>
      <c r="AP294" s="297">
        <f t="shared" si="289"/>
        <v>7</v>
      </c>
      <c r="AQ294" s="298" t="e">
        <f t="shared" si="258"/>
        <v>#N/A</v>
      </c>
      <c r="AR294" s="279" t="e">
        <f t="shared" si="290"/>
        <v>#N/A</v>
      </c>
      <c r="AS294" s="283" t="e">
        <f t="shared" si="259"/>
        <v>#N/A</v>
      </c>
      <c r="AT294" s="284">
        <f t="shared" si="291"/>
        <v>7</v>
      </c>
      <c r="AU294" s="285" t="e">
        <f t="shared" si="292"/>
        <v>#N/A</v>
      </c>
      <c r="AV294" s="286" t="e">
        <f t="shared" si="293"/>
        <v>#N/A</v>
      </c>
      <c r="AW294" s="287" t="e">
        <f t="shared" si="260"/>
        <v>#N/A</v>
      </c>
      <c r="AX294" s="245">
        <f t="shared" si="294"/>
        <v>7</v>
      </c>
      <c r="AY294" s="286" t="e">
        <f t="shared" si="261"/>
        <v>#N/A</v>
      </c>
      <c r="AZ294" s="245" t="e">
        <f t="shared" si="295"/>
        <v>#N/A</v>
      </c>
      <c r="BA294" s="245" t="e">
        <f t="shared" si="262"/>
        <v>#N/A</v>
      </c>
      <c r="BB294" s="288">
        <f t="shared" si="296"/>
        <v>7</v>
      </c>
      <c r="BC294" s="289" t="e">
        <f t="shared" si="297"/>
        <v>#N/A</v>
      </c>
      <c r="BD294" s="290" t="e">
        <f t="shared" si="298"/>
        <v>#N/A</v>
      </c>
      <c r="BE294" s="263" t="e">
        <f t="shared" si="263"/>
        <v>#N/A</v>
      </c>
      <c r="BF294" s="260">
        <f t="shared" si="299"/>
        <v>7</v>
      </c>
      <c r="BG294" s="289" t="e">
        <f t="shared" si="300"/>
        <v>#N/A</v>
      </c>
      <c r="BH294" s="290" t="e">
        <f t="shared" si="301"/>
        <v>#N/A</v>
      </c>
      <c r="BI294" s="263" t="e">
        <f t="shared" si="264"/>
        <v>#N/A</v>
      </c>
      <c r="BJ294" s="264">
        <f t="shared" si="302"/>
        <v>7</v>
      </c>
      <c r="BK294" s="291" t="e">
        <f t="shared" si="303"/>
        <v>#N/A</v>
      </c>
      <c r="BL294" s="291" t="e">
        <f t="shared" si="304"/>
        <v>#N/A</v>
      </c>
      <c r="BM294" s="292" t="e">
        <f t="shared" si="265"/>
        <v>#N/A</v>
      </c>
      <c r="BN294" s="293">
        <f t="shared" si="305"/>
        <v>7</v>
      </c>
      <c r="BO294" s="294" t="e">
        <f t="shared" si="306"/>
        <v>#N/A</v>
      </c>
      <c r="BP294" s="294" t="e">
        <f t="shared" si="307"/>
        <v>#N/A</v>
      </c>
      <c r="BQ294" s="292" t="e">
        <f t="shared" si="266"/>
        <v>#N/A</v>
      </c>
      <c r="BR294" s="295" t="e">
        <f t="shared" si="267"/>
        <v>#N/A</v>
      </c>
      <c r="BS294" s="230" t="e">
        <f>VLOOKUP($B294,SDR22_STOCK_BY_LA!$A$2:$C$11679,3,0)</f>
        <v>#N/A</v>
      </c>
      <c r="BT294" s="230" t="str">
        <f t="shared" si="308"/>
        <v/>
      </c>
    </row>
    <row r="295" spans="1:72" ht="12.5" x14ac:dyDescent="0.25">
      <c r="A295" s="269" t="str">
        <f t="shared" si="309"/>
        <v/>
      </c>
      <c r="B295" s="230" t="str">
        <f t="shared" si="310"/>
        <v/>
      </c>
      <c r="C295" s="270" t="str">
        <f t="shared" si="268"/>
        <v/>
      </c>
      <c r="D295" s="269" t="str">
        <f>IF(B295="","",IF(totals!$Q$3=0,IFERROR(IF(AD295=2,"0",AE295),""),"-"))</f>
        <v/>
      </c>
      <c r="E295" s="271" t="str">
        <f t="shared" si="269"/>
        <v/>
      </c>
      <c r="F295" s="272" t="str">
        <f t="shared" si="270"/>
        <v/>
      </c>
      <c r="G295" s="272" t="str">
        <f t="shared" si="271"/>
        <v/>
      </c>
      <c r="H295" s="269" t="str">
        <f t="shared" si="249"/>
        <v/>
      </c>
      <c r="I295" s="272" t="str">
        <f t="shared" si="272"/>
        <v/>
      </c>
      <c r="J295" s="272" t="str">
        <f t="shared" si="273"/>
        <v/>
      </c>
      <c r="K295" s="269" t="str">
        <f t="shared" si="250"/>
        <v/>
      </c>
      <c r="L295" s="272" t="str">
        <f t="shared" si="251"/>
        <v/>
      </c>
      <c r="M295" s="272" t="str">
        <f t="shared" si="274"/>
        <v/>
      </c>
      <c r="N295" s="269" t="str">
        <f t="shared" si="275"/>
        <v/>
      </c>
      <c r="O295" s="272" t="str">
        <f t="shared" si="276"/>
        <v/>
      </c>
      <c r="P295" s="272" t="str">
        <f t="shared" si="277"/>
        <v/>
      </c>
      <c r="Q295" s="269" t="str">
        <f t="shared" si="278"/>
        <v/>
      </c>
      <c r="R295" s="272" t="str">
        <f t="shared" si="279"/>
        <v/>
      </c>
      <c r="S295" s="272" t="str">
        <f t="shared" si="280"/>
        <v/>
      </c>
      <c r="T295" s="269" t="str">
        <f t="shared" si="281"/>
        <v/>
      </c>
      <c r="U295" s="230"/>
      <c r="V295" s="230"/>
      <c r="AB295" s="270" t="e">
        <f>VLOOKUP($B$6,Lookup_Source,288,0)</f>
        <v>#N/A</v>
      </c>
      <c r="AC295" s="254" t="str">
        <f t="shared" si="282"/>
        <v/>
      </c>
      <c r="AD295" s="255">
        <f t="shared" si="283"/>
        <v>7</v>
      </c>
      <c r="AE295" s="274" t="e">
        <f t="shared" si="252"/>
        <v>#N/A</v>
      </c>
      <c r="AF295" s="277" t="e">
        <f t="shared" si="284"/>
        <v>#N/A</v>
      </c>
      <c r="AG295" s="277" t="e">
        <f t="shared" si="285"/>
        <v>#N/A</v>
      </c>
      <c r="AH295" s="276" t="e">
        <f t="shared" si="253"/>
        <v>#N/A</v>
      </c>
      <c r="AI295" s="239">
        <f t="shared" si="286"/>
        <v>7</v>
      </c>
      <c r="AJ295" s="277" t="e">
        <f t="shared" si="254"/>
        <v>#N/A</v>
      </c>
      <c r="AK295" s="277" t="e">
        <f t="shared" si="287"/>
        <v>#N/A</v>
      </c>
      <c r="AL295" s="239" t="e">
        <f t="shared" si="255"/>
        <v>#N/A</v>
      </c>
      <c r="AM295" s="278" t="e">
        <f t="shared" si="288"/>
        <v>#N/A</v>
      </c>
      <c r="AN295" s="279" t="e">
        <f t="shared" si="256"/>
        <v>#N/A</v>
      </c>
      <c r="AO295" s="240" t="e">
        <f t="shared" si="257"/>
        <v>#N/A</v>
      </c>
      <c r="AP295" s="297">
        <f t="shared" si="289"/>
        <v>7</v>
      </c>
      <c r="AQ295" s="298" t="e">
        <f t="shared" si="258"/>
        <v>#N/A</v>
      </c>
      <c r="AR295" s="279" t="e">
        <f t="shared" si="290"/>
        <v>#N/A</v>
      </c>
      <c r="AS295" s="283" t="e">
        <f t="shared" si="259"/>
        <v>#N/A</v>
      </c>
      <c r="AT295" s="284">
        <f t="shared" si="291"/>
        <v>7</v>
      </c>
      <c r="AU295" s="285" t="e">
        <f t="shared" si="292"/>
        <v>#N/A</v>
      </c>
      <c r="AV295" s="286" t="e">
        <f t="shared" si="293"/>
        <v>#N/A</v>
      </c>
      <c r="AW295" s="287" t="e">
        <f t="shared" si="260"/>
        <v>#N/A</v>
      </c>
      <c r="AX295" s="245">
        <f t="shared" si="294"/>
        <v>7</v>
      </c>
      <c r="AY295" s="286" t="e">
        <f t="shared" si="261"/>
        <v>#N/A</v>
      </c>
      <c r="AZ295" s="245" t="e">
        <f t="shared" si="295"/>
        <v>#N/A</v>
      </c>
      <c r="BA295" s="245" t="e">
        <f t="shared" si="262"/>
        <v>#N/A</v>
      </c>
      <c r="BB295" s="288">
        <f t="shared" si="296"/>
        <v>7</v>
      </c>
      <c r="BC295" s="289" t="e">
        <f t="shared" si="297"/>
        <v>#N/A</v>
      </c>
      <c r="BD295" s="290" t="e">
        <f t="shared" si="298"/>
        <v>#N/A</v>
      </c>
      <c r="BE295" s="263" t="e">
        <f t="shared" si="263"/>
        <v>#N/A</v>
      </c>
      <c r="BF295" s="260">
        <f t="shared" si="299"/>
        <v>7</v>
      </c>
      <c r="BG295" s="289" t="e">
        <f t="shared" si="300"/>
        <v>#N/A</v>
      </c>
      <c r="BH295" s="290" t="e">
        <f t="shared" si="301"/>
        <v>#N/A</v>
      </c>
      <c r="BI295" s="263" t="e">
        <f t="shared" si="264"/>
        <v>#N/A</v>
      </c>
      <c r="BJ295" s="264">
        <f t="shared" si="302"/>
        <v>7</v>
      </c>
      <c r="BK295" s="291" t="e">
        <f t="shared" si="303"/>
        <v>#N/A</v>
      </c>
      <c r="BL295" s="291" t="e">
        <f t="shared" si="304"/>
        <v>#N/A</v>
      </c>
      <c r="BM295" s="292" t="e">
        <f t="shared" si="265"/>
        <v>#N/A</v>
      </c>
      <c r="BN295" s="293">
        <f t="shared" si="305"/>
        <v>7</v>
      </c>
      <c r="BO295" s="294" t="e">
        <f t="shared" si="306"/>
        <v>#N/A</v>
      </c>
      <c r="BP295" s="294" t="e">
        <f t="shared" si="307"/>
        <v>#N/A</v>
      </c>
      <c r="BQ295" s="292" t="e">
        <f t="shared" si="266"/>
        <v>#N/A</v>
      </c>
      <c r="BR295" s="295" t="e">
        <f t="shared" si="267"/>
        <v>#N/A</v>
      </c>
      <c r="BS295" s="230" t="e">
        <f>VLOOKUP($B295,SDR22_STOCK_BY_LA!$A$2:$C$11679,3,0)</f>
        <v>#N/A</v>
      </c>
      <c r="BT295" s="230" t="str">
        <f t="shared" si="308"/>
        <v/>
      </c>
    </row>
    <row r="296" spans="1:72" ht="12.5" x14ac:dyDescent="0.25">
      <c r="A296" s="230" t="str">
        <f t="shared" si="309"/>
        <v/>
      </c>
      <c r="B296" s="230" t="str">
        <f t="shared" si="310"/>
        <v/>
      </c>
      <c r="C296" s="296" t="str">
        <f t="shared" si="268"/>
        <v/>
      </c>
      <c r="D296" s="269" t="str">
        <f>IF(B296="","",IF(totals!$Q$3=0,IFERROR(IF(AD296=2,"0",AE296),""),"-"))</f>
        <v/>
      </c>
      <c r="E296" s="271" t="str">
        <f t="shared" si="269"/>
        <v/>
      </c>
      <c r="F296" s="272" t="str">
        <f t="shared" si="270"/>
        <v/>
      </c>
      <c r="G296" s="272" t="str">
        <f t="shared" si="271"/>
        <v/>
      </c>
      <c r="H296" s="269" t="str">
        <f t="shared" si="249"/>
        <v/>
      </c>
      <c r="I296" s="272" t="str">
        <f t="shared" si="272"/>
        <v/>
      </c>
      <c r="J296" s="272" t="str">
        <f t="shared" si="273"/>
        <v/>
      </c>
      <c r="K296" s="269" t="str">
        <f t="shared" si="250"/>
        <v/>
      </c>
      <c r="L296" s="272" t="str">
        <f t="shared" si="251"/>
        <v/>
      </c>
      <c r="M296" s="272" t="str">
        <f t="shared" si="274"/>
        <v/>
      </c>
      <c r="N296" s="269" t="str">
        <f t="shared" si="275"/>
        <v/>
      </c>
      <c r="O296" s="272" t="str">
        <f t="shared" si="276"/>
        <v/>
      </c>
      <c r="P296" s="272" t="str">
        <f t="shared" si="277"/>
        <v/>
      </c>
      <c r="Q296" s="269" t="str">
        <f t="shared" si="278"/>
        <v/>
      </c>
      <c r="R296" s="272" t="str">
        <f t="shared" si="279"/>
        <v/>
      </c>
      <c r="S296" s="272" t="str">
        <f t="shared" si="280"/>
        <v/>
      </c>
      <c r="T296" s="269" t="str">
        <f t="shared" si="281"/>
        <v/>
      </c>
      <c r="U296" s="230"/>
      <c r="V296" s="230"/>
      <c r="AB296" s="230" t="e">
        <f>VLOOKUP($B$6,Lookup_Source,289,0)</f>
        <v>#N/A</v>
      </c>
      <c r="AC296" s="254" t="str">
        <f t="shared" si="282"/>
        <v/>
      </c>
      <c r="AD296" s="255">
        <f t="shared" si="283"/>
        <v>7</v>
      </c>
      <c r="AE296" s="274" t="e">
        <f t="shared" si="252"/>
        <v>#N/A</v>
      </c>
      <c r="AF296" s="277" t="e">
        <f t="shared" si="284"/>
        <v>#N/A</v>
      </c>
      <c r="AG296" s="277" t="e">
        <f t="shared" si="285"/>
        <v>#N/A</v>
      </c>
      <c r="AH296" s="276" t="e">
        <f t="shared" si="253"/>
        <v>#N/A</v>
      </c>
      <c r="AI296" s="239">
        <f t="shared" si="286"/>
        <v>7</v>
      </c>
      <c r="AJ296" s="277" t="e">
        <f t="shared" si="254"/>
        <v>#N/A</v>
      </c>
      <c r="AK296" s="277" t="e">
        <f t="shared" si="287"/>
        <v>#N/A</v>
      </c>
      <c r="AL296" s="239" t="e">
        <f t="shared" si="255"/>
        <v>#N/A</v>
      </c>
      <c r="AM296" s="278" t="e">
        <f t="shared" si="288"/>
        <v>#N/A</v>
      </c>
      <c r="AN296" s="279" t="e">
        <f t="shared" si="256"/>
        <v>#N/A</v>
      </c>
      <c r="AO296" s="240" t="e">
        <f t="shared" si="257"/>
        <v>#N/A</v>
      </c>
      <c r="AP296" s="297">
        <f t="shared" si="289"/>
        <v>7</v>
      </c>
      <c r="AQ296" s="298" t="e">
        <f t="shared" si="258"/>
        <v>#N/A</v>
      </c>
      <c r="AR296" s="279" t="e">
        <f t="shared" si="290"/>
        <v>#N/A</v>
      </c>
      <c r="AS296" s="283" t="e">
        <f t="shared" si="259"/>
        <v>#N/A</v>
      </c>
      <c r="AT296" s="284">
        <f t="shared" si="291"/>
        <v>7</v>
      </c>
      <c r="AU296" s="285" t="e">
        <f t="shared" si="292"/>
        <v>#N/A</v>
      </c>
      <c r="AV296" s="286" t="e">
        <f t="shared" si="293"/>
        <v>#N/A</v>
      </c>
      <c r="AW296" s="287" t="e">
        <f t="shared" si="260"/>
        <v>#N/A</v>
      </c>
      <c r="AX296" s="245">
        <f t="shared" si="294"/>
        <v>7</v>
      </c>
      <c r="AY296" s="286" t="e">
        <f t="shared" si="261"/>
        <v>#N/A</v>
      </c>
      <c r="AZ296" s="245" t="e">
        <f t="shared" si="295"/>
        <v>#N/A</v>
      </c>
      <c r="BA296" s="245" t="e">
        <f t="shared" si="262"/>
        <v>#N/A</v>
      </c>
      <c r="BB296" s="288">
        <f t="shared" si="296"/>
        <v>7</v>
      </c>
      <c r="BC296" s="289" t="e">
        <f t="shared" si="297"/>
        <v>#N/A</v>
      </c>
      <c r="BD296" s="290" t="e">
        <f t="shared" si="298"/>
        <v>#N/A</v>
      </c>
      <c r="BE296" s="263" t="e">
        <f t="shared" si="263"/>
        <v>#N/A</v>
      </c>
      <c r="BF296" s="260">
        <f t="shared" si="299"/>
        <v>7</v>
      </c>
      <c r="BG296" s="289" t="e">
        <f t="shared" si="300"/>
        <v>#N/A</v>
      </c>
      <c r="BH296" s="290" t="e">
        <f t="shared" si="301"/>
        <v>#N/A</v>
      </c>
      <c r="BI296" s="263" t="e">
        <f t="shared" si="264"/>
        <v>#N/A</v>
      </c>
      <c r="BJ296" s="264">
        <f t="shared" si="302"/>
        <v>7</v>
      </c>
      <c r="BK296" s="291" t="e">
        <f t="shared" si="303"/>
        <v>#N/A</v>
      </c>
      <c r="BL296" s="291" t="e">
        <f t="shared" si="304"/>
        <v>#N/A</v>
      </c>
      <c r="BM296" s="292" t="e">
        <f t="shared" si="265"/>
        <v>#N/A</v>
      </c>
      <c r="BN296" s="293">
        <f t="shared" si="305"/>
        <v>7</v>
      </c>
      <c r="BO296" s="294" t="e">
        <f t="shared" si="306"/>
        <v>#N/A</v>
      </c>
      <c r="BP296" s="294" t="e">
        <f t="shared" si="307"/>
        <v>#N/A</v>
      </c>
      <c r="BQ296" s="292" t="e">
        <f t="shared" si="266"/>
        <v>#N/A</v>
      </c>
      <c r="BR296" s="295" t="e">
        <f t="shared" si="267"/>
        <v>#N/A</v>
      </c>
      <c r="BS296" s="230" t="e">
        <f>VLOOKUP($B296,SDR22_STOCK_BY_LA!$A$2:$C$11679,3,0)</f>
        <v>#N/A</v>
      </c>
      <c r="BT296" s="230" t="str">
        <f t="shared" si="308"/>
        <v/>
      </c>
    </row>
    <row r="297" spans="1:72" ht="12.5" x14ac:dyDescent="0.25">
      <c r="A297" s="269" t="str">
        <f t="shared" si="309"/>
        <v/>
      </c>
      <c r="B297" s="230" t="str">
        <f t="shared" si="310"/>
        <v/>
      </c>
      <c r="C297" s="270" t="str">
        <f t="shared" si="268"/>
        <v/>
      </c>
      <c r="D297" s="269" t="str">
        <f>IF(B297="","",IF(totals!$Q$3=0,IFERROR(IF(AD297=2,"0",AE297),""),"-"))</f>
        <v/>
      </c>
      <c r="E297" s="271" t="str">
        <f t="shared" si="269"/>
        <v/>
      </c>
      <c r="F297" s="272" t="str">
        <f t="shared" si="270"/>
        <v/>
      </c>
      <c r="G297" s="272" t="str">
        <f t="shared" si="271"/>
        <v/>
      </c>
      <c r="H297" s="269" t="str">
        <f t="shared" si="249"/>
        <v/>
      </c>
      <c r="I297" s="272" t="str">
        <f t="shared" si="272"/>
        <v/>
      </c>
      <c r="J297" s="272" t="str">
        <f t="shared" si="273"/>
        <v/>
      </c>
      <c r="K297" s="269" t="str">
        <f t="shared" si="250"/>
        <v/>
      </c>
      <c r="L297" s="272" t="str">
        <f t="shared" si="251"/>
        <v/>
      </c>
      <c r="M297" s="272" t="str">
        <f t="shared" si="274"/>
        <v/>
      </c>
      <c r="N297" s="269" t="str">
        <f t="shared" si="275"/>
        <v/>
      </c>
      <c r="O297" s="272" t="str">
        <f t="shared" si="276"/>
        <v/>
      </c>
      <c r="P297" s="272" t="str">
        <f t="shared" si="277"/>
        <v/>
      </c>
      <c r="Q297" s="269" t="str">
        <f t="shared" si="278"/>
        <v/>
      </c>
      <c r="R297" s="272" t="str">
        <f t="shared" si="279"/>
        <v/>
      </c>
      <c r="S297" s="272" t="str">
        <f t="shared" si="280"/>
        <v/>
      </c>
      <c r="T297" s="269" t="str">
        <f t="shared" si="281"/>
        <v/>
      </c>
      <c r="U297" s="230"/>
      <c r="V297" s="230"/>
      <c r="AB297" s="270" t="e">
        <f>VLOOKUP($B$6,Lookup_Source,290,0)</f>
        <v>#N/A</v>
      </c>
      <c r="AC297" s="254" t="str">
        <f t="shared" si="282"/>
        <v/>
      </c>
      <c r="AD297" s="255">
        <f t="shared" si="283"/>
        <v>7</v>
      </c>
      <c r="AE297" s="274" t="e">
        <f t="shared" si="252"/>
        <v>#N/A</v>
      </c>
      <c r="AF297" s="277" t="e">
        <f t="shared" si="284"/>
        <v>#N/A</v>
      </c>
      <c r="AG297" s="277" t="e">
        <f t="shared" si="285"/>
        <v>#N/A</v>
      </c>
      <c r="AH297" s="276" t="e">
        <f t="shared" si="253"/>
        <v>#N/A</v>
      </c>
      <c r="AI297" s="239">
        <f t="shared" si="286"/>
        <v>7</v>
      </c>
      <c r="AJ297" s="277" t="e">
        <f t="shared" si="254"/>
        <v>#N/A</v>
      </c>
      <c r="AK297" s="277" t="e">
        <f t="shared" si="287"/>
        <v>#N/A</v>
      </c>
      <c r="AL297" s="239" t="e">
        <f t="shared" si="255"/>
        <v>#N/A</v>
      </c>
      <c r="AM297" s="278" t="e">
        <f t="shared" si="288"/>
        <v>#N/A</v>
      </c>
      <c r="AN297" s="279" t="e">
        <f t="shared" si="256"/>
        <v>#N/A</v>
      </c>
      <c r="AO297" s="240" t="e">
        <f t="shared" si="257"/>
        <v>#N/A</v>
      </c>
      <c r="AP297" s="297">
        <f t="shared" si="289"/>
        <v>7</v>
      </c>
      <c r="AQ297" s="298" t="e">
        <f t="shared" si="258"/>
        <v>#N/A</v>
      </c>
      <c r="AR297" s="279" t="e">
        <f t="shared" si="290"/>
        <v>#N/A</v>
      </c>
      <c r="AS297" s="283" t="e">
        <f t="shared" si="259"/>
        <v>#N/A</v>
      </c>
      <c r="AT297" s="284">
        <f t="shared" si="291"/>
        <v>7</v>
      </c>
      <c r="AU297" s="285" t="e">
        <f t="shared" si="292"/>
        <v>#N/A</v>
      </c>
      <c r="AV297" s="286" t="e">
        <f t="shared" si="293"/>
        <v>#N/A</v>
      </c>
      <c r="AW297" s="287" t="e">
        <f t="shared" si="260"/>
        <v>#N/A</v>
      </c>
      <c r="AX297" s="245">
        <f t="shared" si="294"/>
        <v>7</v>
      </c>
      <c r="AY297" s="286" t="e">
        <f t="shared" si="261"/>
        <v>#N/A</v>
      </c>
      <c r="AZ297" s="245" t="e">
        <f t="shared" si="295"/>
        <v>#N/A</v>
      </c>
      <c r="BA297" s="245" t="e">
        <f t="shared" si="262"/>
        <v>#N/A</v>
      </c>
      <c r="BB297" s="288">
        <f t="shared" si="296"/>
        <v>7</v>
      </c>
      <c r="BC297" s="289" t="e">
        <f t="shared" si="297"/>
        <v>#N/A</v>
      </c>
      <c r="BD297" s="290" t="e">
        <f t="shared" si="298"/>
        <v>#N/A</v>
      </c>
      <c r="BE297" s="263" t="e">
        <f t="shared" si="263"/>
        <v>#N/A</v>
      </c>
      <c r="BF297" s="260">
        <f t="shared" si="299"/>
        <v>7</v>
      </c>
      <c r="BG297" s="289" t="e">
        <f t="shared" si="300"/>
        <v>#N/A</v>
      </c>
      <c r="BH297" s="290" t="e">
        <f t="shared" si="301"/>
        <v>#N/A</v>
      </c>
      <c r="BI297" s="263" t="e">
        <f t="shared" si="264"/>
        <v>#N/A</v>
      </c>
      <c r="BJ297" s="264">
        <f t="shared" si="302"/>
        <v>7</v>
      </c>
      <c r="BK297" s="291" t="e">
        <f t="shared" si="303"/>
        <v>#N/A</v>
      </c>
      <c r="BL297" s="291" t="e">
        <f t="shared" si="304"/>
        <v>#N/A</v>
      </c>
      <c r="BM297" s="292" t="e">
        <f t="shared" si="265"/>
        <v>#N/A</v>
      </c>
      <c r="BN297" s="293">
        <f t="shared" si="305"/>
        <v>7</v>
      </c>
      <c r="BO297" s="294" t="e">
        <f t="shared" si="306"/>
        <v>#N/A</v>
      </c>
      <c r="BP297" s="294" t="e">
        <f t="shared" si="307"/>
        <v>#N/A</v>
      </c>
      <c r="BQ297" s="292" t="e">
        <f t="shared" si="266"/>
        <v>#N/A</v>
      </c>
      <c r="BR297" s="295" t="e">
        <f t="shared" si="267"/>
        <v>#N/A</v>
      </c>
      <c r="BS297" s="230" t="e">
        <f>VLOOKUP($B297,SDR22_STOCK_BY_LA!$A$2:$C$11679,3,0)</f>
        <v>#N/A</v>
      </c>
      <c r="BT297" s="230" t="str">
        <f t="shared" si="308"/>
        <v/>
      </c>
    </row>
    <row r="298" spans="1:72" ht="12.5" x14ac:dyDescent="0.25">
      <c r="A298" s="230" t="str">
        <f t="shared" si="309"/>
        <v/>
      </c>
      <c r="B298" s="230" t="str">
        <f t="shared" si="310"/>
        <v/>
      </c>
      <c r="C298" s="296" t="str">
        <f t="shared" si="268"/>
        <v/>
      </c>
      <c r="D298" s="269" t="str">
        <f>IF(B298="","",IF(totals!$Q$3=0,IFERROR(IF(AD298=2,"0",AE298),""),"-"))</f>
        <v/>
      </c>
      <c r="E298" s="271" t="str">
        <f t="shared" si="269"/>
        <v/>
      </c>
      <c r="F298" s="272" t="str">
        <f t="shared" si="270"/>
        <v/>
      </c>
      <c r="G298" s="272" t="str">
        <f t="shared" si="271"/>
        <v/>
      </c>
      <c r="H298" s="269" t="str">
        <f t="shared" si="249"/>
        <v/>
      </c>
      <c r="I298" s="272" t="str">
        <f t="shared" si="272"/>
        <v/>
      </c>
      <c r="J298" s="272" t="str">
        <f t="shared" si="273"/>
        <v/>
      </c>
      <c r="K298" s="269" t="str">
        <f t="shared" si="250"/>
        <v/>
      </c>
      <c r="L298" s="272" t="str">
        <f t="shared" si="251"/>
        <v/>
      </c>
      <c r="M298" s="272" t="str">
        <f t="shared" si="274"/>
        <v/>
      </c>
      <c r="N298" s="269" t="str">
        <f t="shared" si="275"/>
        <v/>
      </c>
      <c r="O298" s="272" t="str">
        <f t="shared" si="276"/>
        <v/>
      </c>
      <c r="P298" s="272" t="str">
        <f t="shared" si="277"/>
        <v/>
      </c>
      <c r="Q298" s="269" t="str">
        <f t="shared" si="278"/>
        <v/>
      </c>
      <c r="R298" s="272" t="str">
        <f t="shared" si="279"/>
        <v/>
      </c>
      <c r="S298" s="272" t="str">
        <f t="shared" si="280"/>
        <v/>
      </c>
      <c r="T298" s="269" t="str">
        <f t="shared" si="281"/>
        <v/>
      </c>
      <c r="U298" s="230"/>
      <c r="V298" s="230"/>
      <c r="AB298" s="230" t="e">
        <f>VLOOKUP($B$6,Lookup_Source,291,0)</f>
        <v>#N/A</v>
      </c>
      <c r="AC298" s="254" t="str">
        <f t="shared" si="282"/>
        <v/>
      </c>
      <c r="AD298" s="255">
        <f t="shared" si="283"/>
        <v>7</v>
      </c>
      <c r="AE298" s="274" t="e">
        <f t="shared" si="252"/>
        <v>#N/A</v>
      </c>
      <c r="AF298" s="277" t="e">
        <f t="shared" si="284"/>
        <v>#N/A</v>
      </c>
      <c r="AG298" s="277" t="e">
        <f t="shared" si="285"/>
        <v>#N/A</v>
      </c>
      <c r="AH298" s="276" t="e">
        <f t="shared" si="253"/>
        <v>#N/A</v>
      </c>
      <c r="AI298" s="239">
        <f t="shared" si="286"/>
        <v>7</v>
      </c>
      <c r="AJ298" s="277" t="e">
        <f t="shared" si="254"/>
        <v>#N/A</v>
      </c>
      <c r="AK298" s="277" t="e">
        <f t="shared" si="287"/>
        <v>#N/A</v>
      </c>
      <c r="AL298" s="239" t="e">
        <f t="shared" si="255"/>
        <v>#N/A</v>
      </c>
      <c r="AM298" s="278" t="e">
        <f t="shared" si="288"/>
        <v>#N/A</v>
      </c>
      <c r="AN298" s="279" t="e">
        <f t="shared" si="256"/>
        <v>#N/A</v>
      </c>
      <c r="AO298" s="240" t="e">
        <f t="shared" si="257"/>
        <v>#N/A</v>
      </c>
      <c r="AP298" s="297">
        <f t="shared" si="289"/>
        <v>7</v>
      </c>
      <c r="AQ298" s="298" t="e">
        <f t="shared" si="258"/>
        <v>#N/A</v>
      </c>
      <c r="AR298" s="279" t="e">
        <f t="shared" si="290"/>
        <v>#N/A</v>
      </c>
      <c r="AS298" s="283" t="e">
        <f t="shared" si="259"/>
        <v>#N/A</v>
      </c>
      <c r="AT298" s="284">
        <f t="shared" si="291"/>
        <v>7</v>
      </c>
      <c r="AU298" s="285" t="e">
        <f t="shared" si="292"/>
        <v>#N/A</v>
      </c>
      <c r="AV298" s="286" t="e">
        <f t="shared" si="293"/>
        <v>#N/A</v>
      </c>
      <c r="AW298" s="287" t="e">
        <f t="shared" si="260"/>
        <v>#N/A</v>
      </c>
      <c r="AX298" s="245">
        <f t="shared" si="294"/>
        <v>7</v>
      </c>
      <c r="AY298" s="286" t="e">
        <f t="shared" si="261"/>
        <v>#N/A</v>
      </c>
      <c r="AZ298" s="245" t="e">
        <f t="shared" si="295"/>
        <v>#N/A</v>
      </c>
      <c r="BA298" s="245" t="e">
        <f t="shared" si="262"/>
        <v>#N/A</v>
      </c>
      <c r="BB298" s="288">
        <f t="shared" si="296"/>
        <v>7</v>
      </c>
      <c r="BC298" s="289" t="e">
        <f t="shared" si="297"/>
        <v>#N/A</v>
      </c>
      <c r="BD298" s="290" t="e">
        <f t="shared" si="298"/>
        <v>#N/A</v>
      </c>
      <c r="BE298" s="263" t="e">
        <f t="shared" si="263"/>
        <v>#N/A</v>
      </c>
      <c r="BF298" s="260">
        <f t="shared" si="299"/>
        <v>7</v>
      </c>
      <c r="BG298" s="289" t="e">
        <f t="shared" si="300"/>
        <v>#N/A</v>
      </c>
      <c r="BH298" s="290" t="e">
        <f t="shared" si="301"/>
        <v>#N/A</v>
      </c>
      <c r="BI298" s="263" t="e">
        <f t="shared" si="264"/>
        <v>#N/A</v>
      </c>
      <c r="BJ298" s="264">
        <f t="shared" si="302"/>
        <v>7</v>
      </c>
      <c r="BK298" s="291" t="e">
        <f t="shared" si="303"/>
        <v>#N/A</v>
      </c>
      <c r="BL298" s="291" t="e">
        <f t="shared" si="304"/>
        <v>#N/A</v>
      </c>
      <c r="BM298" s="292" t="e">
        <f t="shared" si="265"/>
        <v>#N/A</v>
      </c>
      <c r="BN298" s="293">
        <f t="shared" si="305"/>
        <v>7</v>
      </c>
      <c r="BO298" s="294" t="e">
        <f t="shared" si="306"/>
        <v>#N/A</v>
      </c>
      <c r="BP298" s="294" t="e">
        <f t="shared" si="307"/>
        <v>#N/A</v>
      </c>
      <c r="BQ298" s="292" t="e">
        <f t="shared" si="266"/>
        <v>#N/A</v>
      </c>
      <c r="BR298" s="295" t="e">
        <f t="shared" si="267"/>
        <v>#N/A</v>
      </c>
      <c r="BS298" s="230" t="e">
        <f>VLOOKUP($B298,SDR22_STOCK_BY_LA!$A$2:$C$11679,3,0)</f>
        <v>#N/A</v>
      </c>
      <c r="BT298" s="230" t="str">
        <f t="shared" si="308"/>
        <v/>
      </c>
    </row>
    <row r="299" spans="1:72" ht="12.5" x14ac:dyDescent="0.25">
      <c r="A299" s="269" t="str">
        <f t="shared" si="309"/>
        <v/>
      </c>
      <c r="B299" s="230" t="str">
        <f t="shared" si="310"/>
        <v/>
      </c>
      <c r="C299" s="270" t="str">
        <f t="shared" si="268"/>
        <v/>
      </c>
      <c r="D299" s="269" t="str">
        <f>IF(B299="","",IF(totals!$Q$3=0,IFERROR(IF(AD299=2,"0",AE299),""),"-"))</f>
        <v/>
      </c>
      <c r="E299" s="271" t="str">
        <f t="shared" si="269"/>
        <v/>
      </c>
      <c r="F299" s="272" t="str">
        <f t="shared" si="270"/>
        <v/>
      </c>
      <c r="G299" s="272" t="str">
        <f t="shared" si="271"/>
        <v/>
      </c>
      <c r="H299" s="269" t="str">
        <f t="shared" si="249"/>
        <v/>
      </c>
      <c r="I299" s="272" t="str">
        <f t="shared" si="272"/>
        <v/>
      </c>
      <c r="J299" s="272" t="str">
        <f t="shared" si="273"/>
        <v/>
      </c>
      <c r="K299" s="269" t="str">
        <f t="shared" si="250"/>
        <v/>
      </c>
      <c r="L299" s="272" t="str">
        <f t="shared" si="251"/>
        <v/>
      </c>
      <c r="M299" s="272" t="str">
        <f t="shared" si="274"/>
        <v/>
      </c>
      <c r="N299" s="269" t="str">
        <f t="shared" si="275"/>
        <v/>
      </c>
      <c r="O299" s="272" t="str">
        <f t="shared" si="276"/>
        <v/>
      </c>
      <c r="P299" s="272" t="str">
        <f t="shared" si="277"/>
        <v/>
      </c>
      <c r="Q299" s="269" t="str">
        <f t="shared" si="278"/>
        <v/>
      </c>
      <c r="R299" s="272" t="str">
        <f t="shared" si="279"/>
        <v/>
      </c>
      <c r="S299" s="272" t="str">
        <f t="shared" si="280"/>
        <v/>
      </c>
      <c r="T299" s="269" t="str">
        <f t="shared" si="281"/>
        <v/>
      </c>
      <c r="U299" s="230"/>
      <c r="V299" s="230"/>
      <c r="AB299" s="270" t="e">
        <f>VLOOKUP($B$6,Lookup_Source,292,0)</f>
        <v>#N/A</v>
      </c>
      <c r="AC299" s="254" t="str">
        <f t="shared" si="282"/>
        <v/>
      </c>
      <c r="AD299" s="255">
        <f t="shared" si="283"/>
        <v>7</v>
      </c>
      <c r="AE299" s="274" t="e">
        <f t="shared" si="252"/>
        <v>#N/A</v>
      </c>
      <c r="AF299" s="277" t="e">
        <f t="shared" si="284"/>
        <v>#N/A</v>
      </c>
      <c r="AG299" s="277" t="e">
        <f t="shared" si="285"/>
        <v>#N/A</v>
      </c>
      <c r="AH299" s="276" t="e">
        <f t="shared" si="253"/>
        <v>#N/A</v>
      </c>
      <c r="AI299" s="239">
        <f t="shared" si="286"/>
        <v>7</v>
      </c>
      <c r="AJ299" s="277" t="e">
        <f t="shared" si="254"/>
        <v>#N/A</v>
      </c>
      <c r="AK299" s="277" t="e">
        <f t="shared" si="287"/>
        <v>#N/A</v>
      </c>
      <c r="AL299" s="239" t="e">
        <f t="shared" si="255"/>
        <v>#N/A</v>
      </c>
      <c r="AM299" s="278" t="e">
        <f t="shared" si="288"/>
        <v>#N/A</v>
      </c>
      <c r="AN299" s="279" t="e">
        <f t="shared" si="256"/>
        <v>#N/A</v>
      </c>
      <c r="AO299" s="240" t="e">
        <f t="shared" si="257"/>
        <v>#N/A</v>
      </c>
      <c r="AP299" s="297">
        <f t="shared" si="289"/>
        <v>7</v>
      </c>
      <c r="AQ299" s="298" t="e">
        <f t="shared" si="258"/>
        <v>#N/A</v>
      </c>
      <c r="AR299" s="279" t="e">
        <f t="shared" si="290"/>
        <v>#N/A</v>
      </c>
      <c r="AS299" s="283" t="e">
        <f t="shared" si="259"/>
        <v>#N/A</v>
      </c>
      <c r="AT299" s="284">
        <f t="shared" si="291"/>
        <v>7</v>
      </c>
      <c r="AU299" s="285" t="e">
        <f t="shared" si="292"/>
        <v>#N/A</v>
      </c>
      <c r="AV299" s="286" t="e">
        <f t="shared" si="293"/>
        <v>#N/A</v>
      </c>
      <c r="AW299" s="287" t="e">
        <f t="shared" si="260"/>
        <v>#N/A</v>
      </c>
      <c r="AX299" s="245">
        <f t="shared" si="294"/>
        <v>7</v>
      </c>
      <c r="AY299" s="286" t="e">
        <f t="shared" si="261"/>
        <v>#N/A</v>
      </c>
      <c r="AZ299" s="245" t="e">
        <f t="shared" si="295"/>
        <v>#N/A</v>
      </c>
      <c r="BA299" s="245" t="e">
        <f t="shared" si="262"/>
        <v>#N/A</v>
      </c>
      <c r="BB299" s="288">
        <f t="shared" si="296"/>
        <v>7</v>
      </c>
      <c r="BC299" s="289" t="e">
        <f t="shared" si="297"/>
        <v>#N/A</v>
      </c>
      <c r="BD299" s="290" t="e">
        <f t="shared" si="298"/>
        <v>#N/A</v>
      </c>
      <c r="BE299" s="263" t="e">
        <f t="shared" si="263"/>
        <v>#N/A</v>
      </c>
      <c r="BF299" s="260">
        <f t="shared" si="299"/>
        <v>7</v>
      </c>
      <c r="BG299" s="289" t="e">
        <f t="shared" si="300"/>
        <v>#N/A</v>
      </c>
      <c r="BH299" s="290" t="e">
        <f t="shared" si="301"/>
        <v>#N/A</v>
      </c>
      <c r="BI299" s="263" t="e">
        <f t="shared" si="264"/>
        <v>#N/A</v>
      </c>
      <c r="BJ299" s="264">
        <f t="shared" si="302"/>
        <v>7</v>
      </c>
      <c r="BK299" s="291" t="e">
        <f t="shared" si="303"/>
        <v>#N/A</v>
      </c>
      <c r="BL299" s="291" t="e">
        <f t="shared" si="304"/>
        <v>#N/A</v>
      </c>
      <c r="BM299" s="292" t="e">
        <f t="shared" si="265"/>
        <v>#N/A</v>
      </c>
      <c r="BN299" s="293">
        <f t="shared" si="305"/>
        <v>7</v>
      </c>
      <c r="BO299" s="294" t="e">
        <f t="shared" si="306"/>
        <v>#N/A</v>
      </c>
      <c r="BP299" s="294" t="e">
        <f t="shared" si="307"/>
        <v>#N/A</v>
      </c>
      <c r="BQ299" s="292" t="e">
        <f t="shared" si="266"/>
        <v>#N/A</v>
      </c>
      <c r="BR299" s="295" t="e">
        <f t="shared" si="267"/>
        <v>#N/A</v>
      </c>
      <c r="BS299" s="230" t="e">
        <f>VLOOKUP($B299,SDR22_STOCK_BY_LA!$A$2:$C$11679,3,0)</f>
        <v>#N/A</v>
      </c>
      <c r="BT299" s="230" t="str">
        <f t="shared" si="308"/>
        <v/>
      </c>
    </row>
    <row r="300" spans="1:72" ht="12.5" x14ac:dyDescent="0.25">
      <c r="A300" s="230" t="str">
        <f t="shared" si="309"/>
        <v/>
      </c>
      <c r="B300" s="230" t="str">
        <f t="shared" si="310"/>
        <v/>
      </c>
      <c r="C300" s="296" t="str">
        <f t="shared" si="268"/>
        <v/>
      </c>
      <c r="D300" s="269" t="str">
        <f>IF(B300="","",IF(totals!$Q$3=0,IFERROR(IF(AD300=2,"0",AE300),""),"-"))</f>
        <v/>
      </c>
      <c r="E300" s="271" t="str">
        <f t="shared" si="269"/>
        <v/>
      </c>
      <c r="F300" s="272" t="str">
        <f t="shared" si="270"/>
        <v/>
      </c>
      <c r="G300" s="272" t="str">
        <f t="shared" si="271"/>
        <v/>
      </c>
      <c r="H300" s="269" t="str">
        <f t="shared" si="249"/>
        <v/>
      </c>
      <c r="I300" s="272" t="str">
        <f t="shared" si="272"/>
        <v/>
      </c>
      <c r="J300" s="272" t="str">
        <f t="shared" si="273"/>
        <v/>
      </c>
      <c r="K300" s="269" t="str">
        <f t="shared" si="250"/>
        <v/>
      </c>
      <c r="L300" s="272" t="str">
        <f t="shared" si="251"/>
        <v/>
      </c>
      <c r="M300" s="272" t="str">
        <f t="shared" si="274"/>
        <v/>
      </c>
      <c r="N300" s="269" t="str">
        <f t="shared" si="275"/>
        <v/>
      </c>
      <c r="O300" s="272" t="str">
        <f t="shared" si="276"/>
        <v/>
      </c>
      <c r="P300" s="272" t="str">
        <f t="shared" si="277"/>
        <v/>
      </c>
      <c r="Q300" s="269" t="str">
        <f t="shared" si="278"/>
        <v/>
      </c>
      <c r="R300" s="272" t="str">
        <f t="shared" si="279"/>
        <v/>
      </c>
      <c r="S300" s="272" t="str">
        <f t="shared" si="280"/>
        <v/>
      </c>
      <c r="T300" s="269" t="str">
        <f t="shared" si="281"/>
        <v/>
      </c>
      <c r="U300" s="230"/>
      <c r="V300" s="230"/>
      <c r="AB300" s="230" t="e">
        <f>VLOOKUP($B$6,Lookup_Source,293,0)</f>
        <v>#N/A</v>
      </c>
      <c r="AC300" s="254" t="str">
        <f t="shared" si="282"/>
        <v/>
      </c>
      <c r="AD300" s="255">
        <f t="shared" si="283"/>
        <v>7</v>
      </c>
      <c r="AE300" s="274" t="e">
        <f t="shared" si="252"/>
        <v>#N/A</v>
      </c>
      <c r="AF300" s="277" t="e">
        <f t="shared" si="284"/>
        <v>#N/A</v>
      </c>
      <c r="AG300" s="277" t="e">
        <f t="shared" si="285"/>
        <v>#N/A</v>
      </c>
      <c r="AH300" s="276" t="e">
        <f t="shared" si="253"/>
        <v>#N/A</v>
      </c>
      <c r="AI300" s="239">
        <f t="shared" si="286"/>
        <v>7</v>
      </c>
      <c r="AJ300" s="277" t="e">
        <f t="shared" si="254"/>
        <v>#N/A</v>
      </c>
      <c r="AK300" s="277" t="e">
        <f t="shared" si="287"/>
        <v>#N/A</v>
      </c>
      <c r="AL300" s="239" t="e">
        <f t="shared" si="255"/>
        <v>#N/A</v>
      </c>
      <c r="AM300" s="278" t="e">
        <f t="shared" si="288"/>
        <v>#N/A</v>
      </c>
      <c r="AN300" s="279" t="e">
        <f t="shared" si="256"/>
        <v>#N/A</v>
      </c>
      <c r="AO300" s="240" t="e">
        <f t="shared" si="257"/>
        <v>#N/A</v>
      </c>
      <c r="AP300" s="297">
        <f t="shared" si="289"/>
        <v>7</v>
      </c>
      <c r="AQ300" s="298" t="e">
        <f t="shared" si="258"/>
        <v>#N/A</v>
      </c>
      <c r="AR300" s="279" t="e">
        <f t="shared" si="290"/>
        <v>#N/A</v>
      </c>
      <c r="AS300" s="283" t="e">
        <f t="shared" si="259"/>
        <v>#N/A</v>
      </c>
      <c r="AT300" s="284">
        <f t="shared" si="291"/>
        <v>7</v>
      </c>
      <c r="AU300" s="285" t="e">
        <f t="shared" si="292"/>
        <v>#N/A</v>
      </c>
      <c r="AV300" s="286" t="e">
        <f t="shared" si="293"/>
        <v>#N/A</v>
      </c>
      <c r="AW300" s="287" t="e">
        <f t="shared" si="260"/>
        <v>#N/A</v>
      </c>
      <c r="AX300" s="245">
        <f t="shared" si="294"/>
        <v>7</v>
      </c>
      <c r="AY300" s="286" t="e">
        <f t="shared" si="261"/>
        <v>#N/A</v>
      </c>
      <c r="AZ300" s="245" t="e">
        <f t="shared" si="295"/>
        <v>#N/A</v>
      </c>
      <c r="BA300" s="245" t="e">
        <f t="shared" si="262"/>
        <v>#N/A</v>
      </c>
      <c r="BB300" s="288">
        <f t="shared" si="296"/>
        <v>7</v>
      </c>
      <c r="BC300" s="289" t="e">
        <f t="shared" si="297"/>
        <v>#N/A</v>
      </c>
      <c r="BD300" s="290" t="e">
        <f t="shared" si="298"/>
        <v>#N/A</v>
      </c>
      <c r="BE300" s="263" t="e">
        <f t="shared" si="263"/>
        <v>#N/A</v>
      </c>
      <c r="BF300" s="260">
        <f t="shared" si="299"/>
        <v>7</v>
      </c>
      <c r="BG300" s="289" t="e">
        <f t="shared" si="300"/>
        <v>#N/A</v>
      </c>
      <c r="BH300" s="290" t="e">
        <f t="shared" si="301"/>
        <v>#N/A</v>
      </c>
      <c r="BI300" s="263" t="e">
        <f t="shared" si="264"/>
        <v>#N/A</v>
      </c>
      <c r="BJ300" s="264">
        <f t="shared" si="302"/>
        <v>7</v>
      </c>
      <c r="BK300" s="291" t="e">
        <f t="shared" si="303"/>
        <v>#N/A</v>
      </c>
      <c r="BL300" s="291" t="e">
        <f t="shared" si="304"/>
        <v>#N/A</v>
      </c>
      <c r="BM300" s="292" t="e">
        <f t="shared" si="265"/>
        <v>#N/A</v>
      </c>
      <c r="BN300" s="293">
        <f t="shared" si="305"/>
        <v>7</v>
      </c>
      <c r="BO300" s="294" t="e">
        <f t="shared" si="306"/>
        <v>#N/A</v>
      </c>
      <c r="BP300" s="294" t="e">
        <f t="shared" si="307"/>
        <v>#N/A</v>
      </c>
      <c r="BQ300" s="292" t="e">
        <f t="shared" si="266"/>
        <v>#N/A</v>
      </c>
      <c r="BR300" s="295" t="e">
        <f t="shared" si="267"/>
        <v>#N/A</v>
      </c>
      <c r="BS300" s="230" t="e">
        <f>VLOOKUP($B300,SDR22_STOCK_BY_LA!$A$2:$C$11679,3,0)</f>
        <v>#N/A</v>
      </c>
      <c r="BT300" s="230" t="str">
        <f t="shared" si="308"/>
        <v/>
      </c>
    </row>
    <row r="301" spans="1:72" ht="12.5" x14ac:dyDescent="0.25">
      <c r="A301" s="269" t="str">
        <f t="shared" si="309"/>
        <v/>
      </c>
      <c r="B301" s="230" t="str">
        <f t="shared" si="310"/>
        <v/>
      </c>
      <c r="C301" s="270" t="str">
        <f t="shared" si="268"/>
        <v/>
      </c>
      <c r="D301" s="269" t="str">
        <f>IF(B301="","",IF(totals!$Q$3=0,IFERROR(IF(AD301=2,"0",AE301),""),"-"))</f>
        <v/>
      </c>
      <c r="E301" s="271" t="str">
        <f t="shared" si="269"/>
        <v/>
      </c>
      <c r="F301" s="272" t="str">
        <f t="shared" si="270"/>
        <v/>
      </c>
      <c r="G301" s="272" t="str">
        <f t="shared" si="271"/>
        <v/>
      </c>
      <c r="H301" s="269" t="str">
        <f t="shared" si="249"/>
        <v/>
      </c>
      <c r="I301" s="272" t="str">
        <f t="shared" si="272"/>
        <v/>
      </c>
      <c r="J301" s="272" t="str">
        <f t="shared" si="273"/>
        <v/>
      </c>
      <c r="K301" s="269" t="str">
        <f t="shared" si="250"/>
        <v/>
      </c>
      <c r="L301" s="272" t="str">
        <f t="shared" si="251"/>
        <v/>
      </c>
      <c r="M301" s="272" t="str">
        <f t="shared" si="274"/>
        <v/>
      </c>
      <c r="N301" s="269" t="str">
        <f t="shared" si="275"/>
        <v/>
      </c>
      <c r="O301" s="272" t="str">
        <f t="shared" si="276"/>
        <v/>
      </c>
      <c r="P301" s="272" t="str">
        <f t="shared" si="277"/>
        <v/>
      </c>
      <c r="Q301" s="269" t="str">
        <f t="shared" si="278"/>
        <v/>
      </c>
      <c r="R301" s="272" t="str">
        <f t="shared" si="279"/>
        <v/>
      </c>
      <c r="S301" s="272" t="str">
        <f t="shared" si="280"/>
        <v/>
      </c>
      <c r="T301" s="269" t="str">
        <f t="shared" si="281"/>
        <v/>
      </c>
      <c r="U301" s="230"/>
      <c r="V301" s="230"/>
      <c r="AB301" s="270" t="e">
        <f>VLOOKUP($B$6,Lookup_Source,294,0)</f>
        <v>#N/A</v>
      </c>
      <c r="AC301" s="254" t="str">
        <f t="shared" si="282"/>
        <v/>
      </c>
      <c r="AD301" s="255">
        <f t="shared" si="283"/>
        <v>7</v>
      </c>
      <c r="AE301" s="274" t="e">
        <f t="shared" si="252"/>
        <v>#N/A</v>
      </c>
      <c r="AF301" s="277" t="e">
        <f t="shared" si="284"/>
        <v>#N/A</v>
      </c>
      <c r="AG301" s="277" t="e">
        <f t="shared" si="285"/>
        <v>#N/A</v>
      </c>
      <c r="AH301" s="276" t="e">
        <f t="shared" si="253"/>
        <v>#N/A</v>
      </c>
      <c r="AI301" s="239">
        <f t="shared" si="286"/>
        <v>7</v>
      </c>
      <c r="AJ301" s="277" t="e">
        <f t="shared" si="254"/>
        <v>#N/A</v>
      </c>
      <c r="AK301" s="277" t="e">
        <f t="shared" si="287"/>
        <v>#N/A</v>
      </c>
      <c r="AL301" s="239" t="e">
        <f t="shared" si="255"/>
        <v>#N/A</v>
      </c>
      <c r="AM301" s="278" t="e">
        <f t="shared" si="288"/>
        <v>#N/A</v>
      </c>
      <c r="AN301" s="279" t="e">
        <f t="shared" si="256"/>
        <v>#N/A</v>
      </c>
      <c r="AO301" s="240" t="e">
        <f t="shared" si="257"/>
        <v>#N/A</v>
      </c>
      <c r="AP301" s="297">
        <f t="shared" si="289"/>
        <v>7</v>
      </c>
      <c r="AQ301" s="298" t="e">
        <f t="shared" si="258"/>
        <v>#N/A</v>
      </c>
      <c r="AR301" s="279" t="e">
        <f t="shared" si="290"/>
        <v>#N/A</v>
      </c>
      <c r="AS301" s="283" t="e">
        <f t="shared" si="259"/>
        <v>#N/A</v>
      </c>
      <c r="AT301" s="284">
        <f t="shared" si="291"/>
        <v>7</v>
      </c>
      <c r="AU301" s="285" t="e">
        <f t="shared" si="292"/>
        <v>#N/A</v>
      </c>
      <c r="AV301" s="286" t="e">
        <f t="shared" si="293"/>
        <v>#N/A</v>
      </c>
      <c r="AW301" s="287" t="e">
        <f t="shared" si="260"/>
        <v>#N/A</v>
      </c>
      <c r="AX301" s="245">
        <f t="shared" si="294"/>
        <v>7</v>
      </c>
      <c r="AY301" s="286" t="e">
        <f t="shared" si="261"/>
        <v>#N/A</v>
      </c>
      <c r="AZ301" s="245" t="e">
        <f t="shared" si="295"/>
        <v>#N/A</v>
      </c>
      <c r="BA301" s="245" t="e">
        <f t="shared" si="262"/>
        <v>#N/A</v>
      </c>
      <c r="BB301" s="288">
        <f t="shared" si="296"/>
        <v>7</v>
      </c>
      <c r="BC301" s="289" t="e">
        <f t="shared" si="297"/>
        <v>#N/A</v>
      </c>
      <c r="BD301" s="290" t="e">
        <f t="shared" si="298"/>
        <v>#N/A</v>
      </c>
      <c r="BE301" s="263" t="e">
        <f t="shared" si="263"/>
        <v>#N/A</v>
      </c>
      <c r="BF301" s="260">
        <f t="shared" si="299"/>
        <v>7</v>
      </c>
      <c r="BG301" s="289" t="e">
        <f t="shared" si="300"/>
        <v>#N/A</v>
      </c>
      <c r="BH301" s="290" t="e">
        <f t="shared" si="301"/>
        <v>#N/A</v>
      </c>
      <c r="BI301" s="263" t="e">
        <f t="shared" si="264"/>
        <v>#N/A</v>
      </c>
      <c r="BJ301" s="264">
        <f t="shared" si="302"/>
        <v>7</v>
      </c>
      <c r="BK301" s="291" t="e">
        <f t="shared" si="303"/>
        <v>#N/A</v>
      </c>
      <c r="BL301" s="291" t="e">
        <f t="shared" si="304"/>
        <v>#N/A</v>
      </c>
      <c r="BM301" s="292" t="e">
        <f t="shared" si="265"/>
        <v>#N/A</v>
      </c>
      <c r="BN301" s="293">
        <f t="shared" si="305"/>
        <v>7</v>
      </c>
      <c r="BO301" s="294" t="e">
        <f t="shared" si="306"/>
        <v>#N/A</v>
      </c>
      <c r="BP301" s="294" t="e">
        <f t="shared" si="307"/>
        <v>#N/A</v>
      </c>
      <c r="BQ301" s="292" t="e">
        <f t="shared" si="266"/>
        <v>#N/A</v>
      </c>
      <c r="BR301" s="295" t="e">
        <f t="shared" si="267"/>
        <v>#N/A</v>
      </c>
      <c r="BS301" s="230" t="e">
        <f>VLOOKUP($B301,SDR22_STOCK_BY_LA!$A$2:$C$11679,3,0)</f>
        <v>#N/A</v>
      </c>
      <c r="BT301" s="230" t="str">
        <f t="shared" si="308"/>
        <v/>
      </c>
    </row>
    <row r="302" spans="1:72" ht="12.5" x14ac:dyDescent="0.25">
      <c r="A302" s="230" t="str">
        <f t="shared" si="309"/>
        <v/>
      </c>
      <c r="B302" s="230" t="str">
        <f t="shared" si="310"/>
        <v/>
      </c>
      <c r="C302" s="296" t="str">
        <f t="shared" si="268"/>
        <v/>
      </c>
      <c r="D302" s="269" t="str">
        <f>IF(B302="","",IF(totals!$Q$3=0,IFERROR(IF(AD302=2,"0",AE302),""),"-"))</f>
        <v/>
      </c>
      <c r="E302" s="271" t="str">
        <f t="shared" si="269"/>
        <v/>
      </c>
      <c r="F302" s="272" t="str">
        <f t="shared" si="270"/>
        <v/>
      </c>
      <c r="G302" s="272" t="str">
        <f t="shared" si="271"/>
        <v/>
      </c>
      <c r="H302" s="269" t="str">
        <f t="shared" si="249"/>
        <v/>
      </c>
      <c r="I302" s="272" t="str">
        <f t="shared" si="272"/>
        <v/>
      </c>
      <c r="J302" s="272" t="str">
        <f t="shared" si="273"/>
        <v/>
      </c>
      <c r="K302" s="269" t="str">
        <f t="shared" si="250"/>
        <v/>
      </c>
      <c r="L302" s="272" t="str">
        <f t="shared" si="251"/>
        <v/>
      </c>
      <c r="M302" s="272" t="str">
        <f t="shared" si="274"/>
        <v/>
      </c>
      <c r="N302" s="269" t="str">
        <f t="shared" si="275"/>
        <v/>
      </c>
      <c r="O302" s="272" t="str">
        <f t="shared" si="276"/>
        <v/>
      </c>
      <c r="P302" s="272" t="str">
        <f t="shared" si="277"/>
        <v/>
      </c>
      <c r="Q302" s="269" t="str">
        <f t="shared" si="278"/>
        <v/>
      </c>
      <c r="R302" s="272" t="str">
        <f t="shared" si="279"/>
        <v/>
      </c>
      <c r="S302" s="272" t="str">
        <f t="shared" si="280"/>
        <v/>
      </c>
      <c r="T302" s="269" t="str">
        <f t="shared" si="281"/>
        <v/>
      </c>
      <c r="U302" s="230"/>
      <c r="V302" s="230"/>
      <c r="AB302" s="230" t="e">
        <f>VLOOKUP($B$6,Lookup_Source,295,0)</f>
        <v>#N/A</v>
      </c>
      <c r="AC302" s="254" t="str">
        <f t="shared" si="282"/>
        <v/>
      </c>
      <c r="AD302" s="255">
        <f t="shared" si="283"/>
        <v>7</v>
      </c>
      <c r="AE302" s="274" t="e">
        <f t="shared" si="252"/>
        <v>#N/A</v>
      </c>
      <c r="AF302" s="277" t="e">
        <f t="shared" si="284"/>
        <v>#N/A</v>
      </c>
      <c r="AG302" s="277" t="e">
        <f t="shared" si="285"/>
        <v>#N/A</v>
      </c>
      <c r="AH302" s="276" t="e">
        <f t="shared" si="253"/>
        <v>#N/A</v>
      </c>
      <c r="AI302" s="239">
        <f t="shared" si="286"/>
        <v>7</v>
      </c>
      <c r="AJ302" s="277" t="e">
        <f t="shared" si="254"/>
        <v>#N/A</v>
      </c>
      <c r="AK302" s="277" t="e">
        <f t="shared" si="287"/>
        <v>#N/A</v>
      </c>
      <c r="AL302" s="239" t="e">
        <f t="shared" si="255"/>
        <v>#N/A</v>
      </c>
      <c r="AM302" s="278" t="e">
        <f t="shared" si="288"/>
        <v>#N/A</v>
      </c>
      <c r="AN302" s="279" t="e">
        <f t="shared" si="256"/>
        <v>#N/A</v>
      </c>
      <c r="AO302" s="240" t="e">
        <f t="shared" si="257"/>
        <v>#N/A</v>
      </c>
      <c r="AP302" s="297">
        <f t="shared" si="289"/>
        <v>7</v>
      </c>
      <c r="AQ302" s="298" t="e">
        <f t="shared" si="258"/>
        <v>#N/A</v>
      </c>
      <c r="AR302" s="279" t="e">
        <f t="shared" si="290"/>
        <v>#N/A</v>
      </c>
      <c r="AS302" s="283" t="e">
        <f t="shared" si="259"/>
        <v>#N/A</v>
      </c>
      <c r="AT302" s="284">
        <f t="shared" si="291"/>
        <v>7</v>
      </c>
      <c r="AU302" s="285" t="e">
        <f t="shared" si="292"/>
        <v>#N/A</v>
      </c>
      <c r="AV302" s="286" t="e">
        <f t="shared" si="293"/>
        <v>#N/A</v>
      </c>
      <c r="AW302" s="287" t="e">
        <f t="shared" si="260"/>
        <v>#N/A</v>
      </c>
      <c r="AX302" s="245">
        <f t="shared" si="294"/>
        <v>7</v>
      </c>
      <c r="AY302" s="286" t="e">
        <f t="shared" si="261"/>
        <v>#N/A</v>
      </c>
      <c r="AZ302" s="245" t="e">
        <f t="shared" si="295"/>
        <v>#N/A</v>
      </c>
      <c r="BA302" s="245" t="e">
        <f t="shared" si="262"/>
        <v>#N/A</v>
      </c>
      <c r="BB302" s="288">
        <f t="shared" si="296"/>
        <v>7</v>
      </c>
      <c r="BC302" s="289" t="e">
        <f t="shared" si="297"/>
        <v>#N/A</v>
      </c>
      <c r="BD302" s="290" t="e">
        <f t="shared" si="298"/>
        <v>#N/A</v>
      </c>
      <c r="BE302" s="263" t="e">
        <f t="shared" si="263"/>
        <v>#N/A</v>
      </c>
      <c r="BF302" s="260">
        <f t="shared" si="299"/>
        <v>7</v>
      </c>
      <c r="BG302" s="289" t="e">
        <f t="shared" si="300"/>
        <v>#N/A</v>
      </c>
      <c r="BH302" s="290" t="e">
        <f t="shared" si="301"/>
        <v>#N/A</v>
      </c>
      <c r="BI302" s="263" t="e">
        <f t="shared" si="264"/>
        <v>#N/A</v>
      </c>
      <c r="BJ302" s="264">
        <f t="shared" si="302"/>
        <v>7</v>
      </c>
      <c r="BK302" s="291" t="e">
        <f t="shared" si="303"/>
        <v>#N/A</v>
      </c>
      <c r="BL302" s="291" t="e">
        <f t="shared" si="304"/>
        <v>#N/A</v>
      </c>
      <c r="BM302" s="292" t="e">
        <f t="shared" si="265"/>
        <v>#N/A</v>
      </c>
      <c r="BN302" s="293">
        <f t="shared" si="305"/>
        <v>7</v>
      </c>
      <c r="BO302" s="294" t="e">
        <f t="shared" si="306"/>
        <v>#N/A</v>
      </c>
      <c r="BP302" s="294" t="e">
        <f t="shared" si="307"/>
        <v>#N/A</v>
      </c>
      <c r="BQ302" s="292" t="e">
        <f t="shared" si="266"/>
        <v>#N/A</v>
      </c>
      <c r="BR302" s="295" t="e">
        <f t="shared" si="267"/>
        <v>#N/A</v>
      </c>
      <c r="BS302" s="230" t="e">
        <f>VLOOKUP($B302,SDR22_STOCK_BY_LA!$A$2:$C$11679,3,0)</f>
        <v>#N/A</v>
      </c>
      <c r="BT302" s="230" t="str">
        <f t="shared" si="308"/>
        <v/>
      </c>
    </row>
    <row r="303" spans="1:72" ht="12.5" x14ac:dyDescent="0.25">
      <c r="A303" s="269" t="str">
        <f t="shared" si="309"/>
        <v/>
      </c>
      <c r="B303" s="230" t="str">
        <f t="shared" si="310"/>
        <v/>
      </c>
      <c r="C303" s="270" t="str">
        <f t="shared" si="268"/>
        <v/>
      </c>
      <c r="D303" s="269" t="str">
        <f>IF(B303="","",IF(totals!$Q$3=0,IFERROR(IF(AD303=2,"0",AE303),""),"-"))</f>
        <v/>
      </c>
      <c r="E303" s="271" t="str">
        <f t="shared" si="269"/>
        <v/>
      </c>
      <c r="F303" s="272" t="str">
        <f t="shared" si="270"/>
        <v/>
      </c>
      <c r="G303" s="272" t="str">
        <f t="shared" si="271"/>
        <v/>
      </c>
      <c r="H303" s="269" t="str">
        <f t="shared" si="249"/>
        <v/>
      </c>
      <c r="I303" s="272" t="str">
        <f t="shared" si="272"/>
        <v/>
      </c>
      <c r="J303" s="272" t="str">
        <f t="shared" si="273"/>
        <v/>
      </c>
      <c r="K303" s="269" t="str">
        <f t="shared" si="250"/>
        <v/>
      </c>
      <c r="L303" s="272" t="str">
        <f t="shared" si="251"/>
        <v/>
      </c>
      <c r="M303" s="272" t="str">
        <f t="shared" si="274"/>
        <v/>
      </c>
      <c r="N303" s="269" t="str">
        <f t="shared" si="275"/>
        <v/>
      </c>
      <c r="O303" s="272" t="str">
        <f t="shared" si="276"/>
        <v/>
      </c>
      <c r="P303" s="272" t="str">
        <f t="shared" si="277"/>
        <v/>
      </c>
      <c r="Q303" s="269" t="str">
        <f t="shared" si="278"/>
        <v/>
      </c>
      <c r="R303" s="272" t="str">
        <f t="shared" si="279"/>
        <v/>
      </c>
      <c r="S303" s="272" t="str">
        <f t="shared" si="280"/>
        <v/>
      </c>
      <c r="T303" s="269" t="str">
        <f t="shared" si="281"/>
        <v/>
      </c>
      <c r="U303" s="230"/>
      <c r="V303" s="230"/>
      <c r="AB303" s="270" t="e">
        <f>VLOOKUP($B$6,Lookup_Source,296,0)</f>
        <v>#N/A</v>
      </c>
      <c r="AC303" s="254" t="str">
        <f t="shared" si="282"/>
        <v/>
      </c>
      <c r="AD303" s="255">
        <f t="shared" si="283"/>
        <v>7</v>
      </c>
      <c r="AE303" s="274" t="e">
        <f t="shared" si="252"/>
        <v>#N/A</v>
      </c>
      <c r="AF303" s="277" t="e">
        <f t="shared" si="284"/>
        <v>#N/A</v>
      </c>
      <c r="AG303" s="277" t="e">
        <f t="shared" si="285"/>
        <v>#N/A</v>
      </c>
      <c r="AH303" s="276" t="e">
        <f t="shared" si="253"/>
        <v>#N/A</v>
      </c>
      <c r="AI303" s="239">
        <f t="shared" si="286"/>
        <v>7</v>
      </c>
      <c r="AJ303" s="277" t="e">
        <f t="shared" si="254"/>
        <v>#N/A</v>
      </c>
      <c r="AK303" s="277" t="e">
        <f t="shared" si="287"/>
        <v>#N/A</v>
      </c>
      <c r="AL303" s="239" t="e">
        <f t="shared" si="255"/>
        <v>#N/A</v>
      </c>
      <c r="AM303" s="278" t="e">
        <f t="shared" si="288"/>
        <v>#N/A</v>
      </c>
      <c r="AN303" s="279" t="e">
        <f t="shared" si="256"/>
        <v>#N/A</v>
      </c>
      <c r="AO303" s="240" t="e">
        <f t="shared" si="257"/>
        <v>#N/A</v>
      </c>
      <c r="AP303" s="297">
        <f t="shared" si="289"/>
        <v>7</v>
      </c>
      <c r="AQ303" s="298" t="e">
        <f t="shared" si="258"/>
        <v>#N/A</v>
      </c>
      <c r="AR303" s="279" t="e">
        <f t="shared" si="290"/>
        <v>#N/A</v>
      </c>
      <c r="AS303" s="283" t="e">
        <f t="shared" si="259"/>
        <v>#N/A</v>
      </c>
      <c r="AT303" s="284">
        <f t="shared" si="291"/>
        <v>7</v>
      </c>
      <c r="AU303" s="285" t="e">
        <f t="shared" si="292"/>
        <v>#N/A</v>
      </c>
      <c r="AV303" s="286" t="e">
        <f t="shared" si="293"/>
        <v>#N/A</v>
      </c>
      <c r="AW303" s="287" t="e">
        <f t="shared" si="260"/>
        <v>#N/A</v>
      </c>
      <c r="AX303" s="245">
        <f t="shared" si="294"/>
        <v>7</v>
      </c>
      <c r="AY303" s="286" t="e">
        <f t="shared" si="261"/>
        <v>#N/A</v>
      </c>
      <c r="AZ303" s="245" t="e">
        <f t="shared" si="295"/>
        <v>#N/A</v>
      </c>
      <c r="BA303" s="245" t="e">
        <f t="shared" si="262"/>
        <v>#N/A</v>
      </c>
      <c r="BB303" s="288">
        <f t="shared" si="296"/>
        <v>7</v>
      </c>
      <c r="BC303" s="289" t="e">
        <f t="shared" si="297"/>
        <v>#N/A</v>
      </c>
      <c r="BD303" s="290" t="e">
        <f t="shared" si="298"/>
        <v>#N/A</v>
      </c>
      <c r="BE303" s="263" t="e">
        <f t="shared" si="263"/>
        <v>#N/A</v>
      </c>
      <c r="BF303" s="260">
        <f t="shared" si="299"/>
        <v>7</v>
      </c>
      <c r="BG303" s="289" t="e">
        <f t="shared" si="300"/>
        <v>#N/A</v>
      </c>
      <c r="BH303" s="290" t="e">
        <f t="shared" si="301"/>
        <v>#N/A</v>
      </c>
      <c r="BI303" s="263" t="e">
        <f t="shared" si="264"/>
        <v>#N/A</v>
      </c>
      <c r="BJ303" s="264">
        <f t="shared" si="302"/>
        <v>7</v>
      </c>
      <c r="BK303" s="291" t="e">
        <f t="shared" si="303"/>
        <v>#N/A</v>
      </c>
      <c r="BL303" s="291" t="e">
        <f t="shared" si="304"/>
        <v>#N/A</v>
      </c>
      <c r="BM303" s="292" t="e">
        <f t="shared" si="265"/>
        <v>#N/A</v>
      </c>
      <c r="BN303" s="293">
        <f t="shared" si="305"/>
        <v>7</v>
      </c>
      <c r="BO303" s="294" t="e">
        <f t="shared" si="306"/>
        <v>#N/A</v>
      </c>
      <c r="BP303" s="294" t="e">
        <f t="shared" si="307"/>
        <v>#N/A</v>
      </c>
      <c r="BQ303" s="292" t="e">
        <f t="shared" si="266"/>
        <v>#N/A</v>
      </c>
      <c r="BR303" s="295" t="e">
        <f t="shared" si="267"/>
        <v>#N/A</v>
      </c>
      <c r="BS303" s="230" t="e">
        <f>VLOOKUP($B303,SDR22_STOCK_BY_LA!$A$2:$C$11679,3,0)</f>
        <v>#N/A</v>
      </c>
      <c r="BT303" s="230" t="str">
        <f t="shared" si="308"/>
        <v/>
      </c>
    </row>
    <row r="304" spans="1:72" ht="12.5" x14ac:dyDescent="0.25">
      <c r="A304" s="230" t="str">
        <f t="shared" si="309"/>
        <v/>
      </c>
      <c r="B304" s="230" t="str">
        <f t="shared" si="310"/>
        <v/>
      </c>
      <c r="C304" s="296" t="str">
        <f t="shared" si="268"/>
        <v/>
      </c>
      <c r="D304" s="269" t="str">
        <f>IF(B304="","",IF(totals!$Q$3=0,IFERROR(IF(AD304=2,"0",AE304),""),"-"))</f>
        <v/>
      </c>
      <c r="E304" s="271" t="str">
        <f t="shared" si="269"/>
        <v/>
      </c>
      <c r="F304" s="272" t="str">
        <f t="shared" si="270"/>
        <v/>
      </c>
      <c r="G304" s="272" t="str">
        <f t="shared" si="271"/>
        <v/>
      </c>
      <c r="H304" s="269" t="str">
        <f t="shared" si="249"/>
        <v/>
      </c>
      <c r="I304" s="272" t="str">
        <f t="shared" si="272"/>
        <v/>
      </c>
      <c r="J304" s="272" t="str">
        <f t="shared" si="273"/>
        <v/>
      </c>
      <c r="K304" s="269" t="str">
        <f t="shared" si="250"/>
        <v/>
      </c>
      <c r="L304" s="272" t="str">
        <f t="shared" si="251"/>
        <v/>
      </c>
      <c r="M304" s="272" t="str">
        <f t="shared" si="274"/>
        <v/>
      </c>
      <c r="N304" s="269" t="str">
        <f t="shared" si="275"/>
        <v/>
      </c>
      <c r="O304" s="272" t="str">
        <f t="shared" si="276"/>
        <v/>
      </c>
      <c r="P304" s="272" t="str">
        <f t="shared" si="277"/>
        <v/>
      </c>
      <c r="Q304" s="269" t="str">
        <f t="shared" si="278"/>
        <v/>
      </c>
      <c r="R304" s="272" t="str">
        <f t="shared" si="279"/>
        <v/>
      </c>
      <c r="S304" s="272" t="str">
        <f t="shared" si="280"/>
        <v/>
      </c>
      <c r="T304" s="269" t="str">
        <f t="shared" si="281"/>
        <v/>
      </c>
      <c r="U304" s="230"/>
      <c r="V304" s="230"/>
      <c r="AB304" s="230" t="e">
        <f>VLOOKUP($B$6,Lookup_Source,297,0)</f>
        <v>#N/A</v>
      </c>
      <c r="AC304" s="254" t="str">
        <f t="shared" si="282"/>
        <v/>
      </c>
      <c r="AD304" s="255">
        <f t="shared" si="283"/>
        <v>7</v>
      </c>
      <c r="AE304" s="274" t="e">
        <f t="shared" si="252"/>
        <v>#N/A</v>
      </c>
      <c r="AF304" s="277" t="e">
        <f t="shared" si="284"/>
        <v>#N/A</v>
      </c>
      <c r="AG304" s="277" t="e">
        <f t="shared" si="285"/>
        <v>#N/A</v>
      </c>
      <c r="AH304" s="276" t="e">
        <f t="shared" si="253"/>
        <v>#N/A</v>
      </c>
      <c r="AI304" s="239">
        <f t="shared" si="286"/>
        <v>7</v>
      </c>
      <c r="AJ304" s="277" t="e">
        <f t="shared" si="254"/>
        <v>#N/A</v>
      </c>
      <c r="AK304" s="277" t="e">
        <f t="shared" si="287"/>
        <v>#N/A</v>
      </c>
      <c r="AL304" s="239" t="e">
        <f t="shared" si="255"/>
        <v>#N/A</v>
      </c>
      <c r="AM304" s="278" t="e">
        <f t="shared" si="288"/>
        <v>#N/A</v>
      </c>
      <c r="AN304" s="279" t="e">
        <f t="shared" si="256"/>
        <v>#N/A</v>
      </c>
      <c r="AO304" s="240" t="e">
        <f t="shared" si="257"/>
        <v>#N/A</v>
      </c>
      <c r="AP304" s="297">
        <f t="shared" si="289"/>
        <v>7</v>
      </c>
      <c r="AQ304" s="298" t="e">
        <f t="shared" si="258"/>
        <v>#N/A</v>
      </c>
      <c r="AR304" s="279" t="e">
        <f t="shared" si="290"/>
        <v>#N/A</v>
      </c>
      <c r="AS304" s="283" t="e">
        <f t="shared" si="259"/>
        <v>#N/A</v>
      </c>
      <c r="AT304" s="284">
        <f t="shared" si="291"/>
        <v>7</v>
      </c>
      <c r="AU304" s="285" t="e">
        <f t="shared" si="292"/>
        <v>#N/A</v>
      </c>
      <c r="AV304" s="286" t="e">
        <f t="shared" si="293"/>
        <v>#N/A</v>
      </c>
      <c r="AW304" s="287" t="e">
        <f t="shared" si="260"/>
        <v>#N/A</v>
      </c>
      <c r="AX304" s="245">
        <f t="shared" si="294"/>
        <v>7</v>
      </c>
      <c r="AY304" s="286" t="e">
        <f t="shared" si="261"/>
        <v>#N/A</v>
      </c>
      <c r="AZ304" s="245" t="e">
        <f t="shared" si="295"/>
        <v>#N/A</v>
      </c>
      <c r="BA304" s="245" t="e">
        <f t="shared" si="262"/>
        <v>#N/A</v>
      </c>
      <c r="BB304" s="288">
        <f t="shared" si="296"/>
        <v>7</v>
      </c>
      <c r="BC304" s="289" t="e">
        <f t="shared" si="297"/>
        <v>#N/A</v>
      </c>
      <c r="BD304" s="290" t="e">
        <f t="shared" si="298"/>
        <v>#N/A</v>
      </c>
      <c r="BE304" s="263" t="e">
        <f t="shared" si="263"/>
        <v>#N/A</v>
      </c>
      <c r="BF304" s="260">
        <f t="shared" si="299"/>
        <v>7</v>
      </c>
      <c r="BG304" s="289" t="e">
        <f t="shared" si="300"/>
        <v>#N/A</v>
      </c>
      <c r="BH304" s="290" t="e">
        <f t="shared" si="301"/>
        <v>#N/A</v>
      </c>
      <c r="BI304" s="263" t="e">
        <f t="shared" si="264"/>
        <v>#N/A</v>
      </c>
      <c r="BJ304" s="264">
        <f t="shared" si="302"/>
        <v>7</v>
      </c>
      <c r="BK304" s="291" t="e">
        <f t="shared" si="303"/>
        <v>#N/A</v>
      </c>
      <c r="BL304" s="291" t="e">
        <f t="shared" si="304"/>
        <v>#N/A</v>
      </c>
      <c r="BM304" s="292" t="e">
        <f t="shared" si="265"/>
        <v>#N/A</v>
      </c>
      <c r="BN304" s="293">
        <f t="shared" si="305"/>
        <v>7</v>
      </c>
      <c r="BO304" s="294" t="e">
        <f t="shared" si="306"/>
        <v>#N/A</v>
      </c>
      <c r="BP304" s="294" t="e">
        <f t="shared" si="307"/>
        <v>#N/A</v>
      </c>
      <c r="BQ304" s="292" t="e">
        <f t="shared" si="266"/>
        <v>#N/A</v>
      </c>
      <c r="BR304" s="295" t="e">
        <f t="shared" si="267"/>
        <v>#N/A</v>
      </c>
      <c r="BS304" s="230" t="e">
        <f>VLOOKUP($B304,SDR22_STOCK_BY_LA!$A$2:$C$11679,3,0)</f>
        <v>#N/A</v>
      </c>
      <c r="BT304" s="230" t="str">
        <f t="shared" si="308"/>
        <v/>
      </c>
    </row>
    <row r="305" spans="1:72" ht="12.5" x14ac:dyDescent="0.25">
      <c r="A305" s="269" t="str">
        <f t="shared" si="309"/>
        <v/>
      </c>
      <c r="B305" s="230" t="str">
        <f t="shared" si="310"/>
        <v/>
      </c>
      <c r="C305" s="270" t="str">
        <f t="shared" si="268"/>
        <v/>
      </c>
      <c r="D305" s="269" t="str">
        <f>IF(B305="","",IF(totals!$Q$3=0,IFERROR(IF(AD305=2,"0",AE305),""),"-"))</f>
        <v/>
      </c>
      <c r="E305" s="271" t="str">
        <f t="shared" si="269"/>
        <v/>
      </c>
      <c r="F305" s="272" t="str">
        <f t="shared" si="270"/>
        <v/>
      </c>
      <c r="G305" s="272" t="str">
        <f t="shared" si="271"/>
        <v/>
      </c>
      <c r="H305" s="269" t="str">
        <f t="shared" si="249"/>
        <v/>
      </c>
      <c r="I305" s="272" t="str">
        <f t="shared" si="272"/>
        <v/>
      </c>
      <c r="J305" s="272" t="str">
        <f t="shared" si="273"/>
        <v/>
      </c>
      <c r="K305" s="269" t="str">
        <f t="shared" si="250"/>
        <v/>
      </c>
      <c r="L305" s="272" t="str">
        <f t="shared" si="251"/>
        <v/>
      </c>
      <c r="M305" s="272" t="str">
        <f t="shared" si="274"/>
        <v/>
      </c>
      <c r="N305" s="269" t="str">
        <f t="shared" si="275"/>
        <v/>
      </c>
      <c r="O305" s="272" t="str">
        <f t="shared" si="276"/>
        <v/>
      </c>
      <c r="P305" s="272" t="str">
        <f t="shared" si="277"/>
        <v/>
      </c>
      <c r="Q305" s="269" t="str">
        <f t="shared" si="278"/>
        <v/>
      </c>
      <c r="R305" s="272" t="str">
        <f t="shared" si="279"/>
        <v/>
      </c>
      <c r="S305" s="272" t="str">
        <f t="shared" si="280"/>
        <v/>
      </c>
      <c r="T305" s="269" t="str">
        <f t="shared" si="281"/>
        <v/>
      </c>
      <c r="U305" s="230"/>
      <c r="V305" s="230"/>
      <c r="AB305" s="270" t="e">
        <f>VLOOKUP($B$6,Lookup_Source,298,0)</f>
        <v>#N/A</v>
      </c>
      <c r="AC305" s="254" t="str">
        <f t="shared" si="282"/>
        <v/>
      </c>
      <c r="AD305" s="255">
        <f t="shared" si="283"/>
        <v>7</v>
      </c>
      <c r="AE305" s="274" t="e">
        <f t="shared" si="252"/>
        <v>#N/A</v>
      </c>
      <c r="AF305" s="277" t="e">
        <f t="shared" si="284"/>
        <v>#N/A</v>
      </c>
      <c r="AG305" s="277" t="e">
        <f t="shared" si="285"/>
        <v>#N/A</v>
      </c>
      <c r="AH305" s="276" t="e">
        <f t="shared" si="253"/>
        <v>#N/A</v>
      </c>
      <c r="AI305" s="239">
        <f t="shared" si="286"/>
        <v>7</v>
      </c>
      <c r="AJ305" s="277" t="e">
        <f t="shared" si="254"/>
        <v>#N/A</v>
      </c>
      <c r="AK305" s="277" t="e">
        <f t="shared" si="287"/>
        <v>#N/A</v>
      </c>
      <c r="AL305" s="239" t="e">
        <f t="shared" si="255"/>
        <v>#N/A</v>
      </c>
      <c r="AM305" s="278" t="e">
        <f t="shared" si="288"/>
        <v>#N/A</v>
      </c>
      <c r="AN305" s="279" t="e">
        <f t="shared" si="256"/>
        <v>#N/A</v>
      </c>
      <c r="AO305" s="240" t="e">
        <f t="shared" si="257"/>
        <v>#N/A</v>
      </c>
      <c r="AP305" s="297">
        <f t="shared" si="289"/>
        <v>7</v>
      </c>
      <c r="AQ305" s="298" t="e">
        <f t="shared" si="258"/>
        <v>#N/A</v>
      </c>
      <c r="AR305" s="279" t="e">
        <f t="shared" si="290"/>
        <v>#N/A</v>
      </c>
      <c r="AS305" s="283" t="e">
        <f t="shared" si="259"/>
        <v>#N/A</v>
      </c>
      <c r="AT305" s="284">
        <f t="shared" si="291"/>
        <v>7</v>
      </c>
      <c r="AU305" s="285" t="e">
        <f t="shared" si="292"/>
        <v>#N/A</v>
      </c>
      <c r="AV305" s="286" t="e">
        <f t="shared" si="293"/>
        <v>#N/A</v>
      </c>
      <c r="AW305" s="287" t="e">
        <f t="shared" si="260"/>
        <v>#N/A</v>
      </c>
      <c r="AX305" s="245">
        <f t="shared" si="294"/>
        <v>7</v>
      </c>
      <c r="AY305" s="286" t="e">
        <f t="shared" si="261"/>
        <v>#N/A</v>
      </c>
      <c r="AZ305" s="245" t="e">
        <f t="shared" si="295"/>
        <v>#N/A</v>
      </c>
      <c r="BA305" s="245" t="e">
        <f t="shared" si="262"/>
        <v>#N/A</v>
      </c>
      <c r="BB305" s="288">
        <f t="shared" si="296"/>
        <v>7</v>
      </c>
      <c r="BC305" s="289" t="e">
        <f t="shared" si="297"/>
        <v>#N/A</v>
      </c>
      <c r="BD305" s="290" t="e">
        <f t="shared" si="298"/>
        <v>#N/A</v>
      </c>
      <c r="BE305" s="263" t="e">
        <f t="shared" si="263"/>
        <v>#N/A</v>
      </c>
      <c r="BF305" s="260">
        <f t="shared" si="299"/>
        <v>7</v>
      </c>
      <c r="BG305" s="289" t="e">
        <f t="shared" si="300"/>
        <v>#N/A</v>
      </c>
      <c r="BH305" s="290" t="e">
        <f t="shared" si="301"/>
        <v>#N/A</v>
      </c>
      <c r="BI305" s="263" t="e">
        <f t="shared" si="264"/>
        <v>#N/A</v>
      </c>
      <c r="BJ305" s="264">
        <f t="shared" si="302"/>
        <v>7</v>
      </c>
      <c r="BK305" s="291" t="e">
        <f t="shared" si="303"/>
        <v>#N/A</v>
      </c>
      <c r="BL305" s="291" t="e">
        <f t="shared" si="304"/>
        <v>#N/A</v>
      </c>
      <c r="BM305" s="292" t="e">
        <f t="shared" si="265"/>
        <v>#N/A</v>
      </c>
      <c r="BN305" s="293">
        <f t="shared" si="305"/>
        <v>7</v>
      </c>
      <c r="BO305" s="294" t="e">
        <f t="shared" si="306"/>
        <v>#N/A</v>
      </c>
      <c r="BP305" s="294" t="e">
        <f t="shared" si="307"/>
        <v>#N/A</v>
      </c>
      <c r="BQ305" s="292" t="e">
        <f t="shared" si="266"/>
        <v>#N/A</v>
      </c>
      <c r="BR305" s="295" t="e">
        <f t="shared" si="267"/>
        <v>#N/A</v>
      </c>
      <c r="BS305" s="230" t="e">
        <f>VLOOKUP($B305,SDR22_STOCK_BY_LA!$A$2:$C$11679,3,0)</f>
        <v>#N/A</v>
      </c>
      <c r="BT305" s="230" t="str">
        <f t="shared" si="308"/>
        <v/>
      </c>
    </row>
    <row r="306" spans="1:72" ht="12.5" x14ac:dyDescent="0.25">
      <c r="A306" s="230" t="str">
        <f t="shared" si="309"/>
        <v/>
      </c>
      <c r="B306" s="230" t="str">
        <f t="shared" si="310"/>
        <v/>
      </c>
      <c r="C306" s="296" t="str">
        <f t="shared" si="268"/>
        <v/>
      </c>
      <c r="D306" s="269" t="str">
        <f>IF(B306="","",IF(totals!$Q$3=0,IFERROR(IF(AD306=2,"0",AE306),""),"-"))</f>
        <v/>
      </c>
      <c r="E306" s="271" t="str">
        <f t="shared" si="269"/>
        <v/>
      </c>
      <c r="F306" s="272" t="str">
        <f t="shared" si="270"/>
        <v/>
      </c>
      <c r="G306" s="272" t="str">
        <f t="shared" si="271"/>
        <v/>
      </c>
      <c r="H306" s="269" t="str">
        <f t="shared" si="249"/>
        <v/>
      </c>
      <c r="I306" s="272" t="str">
        <f t="shared" si="272"/>
        <v/>
      </c>
      <c r="J306" s="272" t="str">
        <f t="shared" si="273"/>
        <v/>
      </c>
      <c r="K306" s="269" t="str">
        <f t="shared" si="250"/>
        <v/>
      </c>
      <c r="L306" s="272" t="str">
        <f t="shared" si="251"/>
        <v/>
      </c>
      <c r="M306" s="272" t="str">
        <f t="shared" si="274"/>
        <v/>
      </c>
      <c r="N306" s="269" t="str">
        <f t="shared" si="275"/>
        <v/>
      </c>
      <c r="O306" s="272" t="str">
        <f t="shared" si="276"/>
        <v/>
      </c>
      <c r="P306" s="272" t="str">
        <f t="shared" si="277"/>
        <v/>
      </c>
      <c r="Q306" s="269" t="str">
        <f t="shared" si="278"/>
        <v/>
      </c>
      <c r="R306" s="272" t="str">
        <f t="shared" si="279"/>
        <v/>
      </c>
      <c r="S306" s="272" t="str">
        <f t="shared" si="280"/>
        <v/>
      </c>
      <c r="T306" s="269" t="str">
        <f t="shared" si="281"/>
        <v/>
      </c>
      <c r="U306" s="230"/>
      <c r="V306" s="230"/>
      <c r="AB306" s="230" t="e">
        <f>VLOOKUP($B$6,Lookup_Source,299,0)</f>
        <v>#N/A</v>
      </c>
      <c r="AC306" s="254" t="str">
        <f t="shared" si="282"/>
        <v/>
      </c>
      <c r="AD306" s="255">
        <f t="shared" si="283"/>
        <v>7</v>
      </c>
      <c r="AE306" s="274" t="e">
        <f t="shared" si="252"/>
        <v>#N/A</v>
      </c>
      <c r="AF306" s="277" t="e">
        <f t="shared" si="284"/>
        <v>#N/A</v>
      </c>
      <c r="AG306" s="277" t="e">
        <f t="shared" si="285"/>
        <v>#N/A</v>
      </c>
      <c r="AH306" s="276" t="e">
        <f t="shared" si="253"/>
        <v>#N/A</v>
      </c>
      <c r="AI306" s="239">
        <f t="shared" si="286"/>
        <v>7</v>
      </c>
      <c r="AJ306" s="277" t="e">
        <f t="shared" si="254"/>
        <v>#N/A</v>
      </c>
      <c r="AK306" s="277" t="e">
        <f t="shared" si="287"/>
        <v>#N/A</v>
      </c>
      <c r="AL306" s="239" t="e">
        <f t="shared" si="255"/>
        <v>#N/A</v>
      </c>
      <c r="AM306" s="278" t="e">
        <f t="shared" si="288"/>
        <v>#N/A</v>
      </c>
      <c r="AN306" s="279" t="e">
        <f t="shared" si="256"/>
        <v>#N/A</v>
      </c>
      <c r="AO306" s="240" t="e">
        <f t="shared" si="257"/>
        <v>#N/A</v>
      </c>
      <c r="AP306" s="297">
        <f t="shared" si="289"/>
        <v>7</v>
      </c>
      <c r="AQ306" s="298" t="e">
        <f t="shared" si="258"/>
        <v>#N/A</v>
      </c>
      <c r="AR306" s="279" t="e">
        <f t="shared" si="290"/>
        <v>#N/A</v>
      </c>
      <c r="AS306" s="283" t="e">
        <f t="shared" si="259"/>
        <v>#N/A</v>
      </c>
      <c r="AT306" s="284">
        <f t="shared" si="291"/>
        <v>7</v>
      </c>
      <c r="AU306" s="285" t="e">
        <f t="shared" si="292"/>
        <v>#N/A</v>
      </c>
      <c r="AV306" s="286" t="e">
        <f t="shared" si="293"/>
        <v>#N/A</v>
      </c>
      <c r="AW306" s="287" t="e">
        <f t="shared" si="260"/>
        <v>#N/A</v>
      </c>
      <c r="AX306" s="245">
        <f t="shared" si="294"/>
        <v>7</v>
      </c>
      <c r="AY306" s="286" t="e">
        <f t="shared" si="261"/>
        <v>#N/A</v>
      </c>
      <c r="AZ306" s="245" t="e">
        <f t="shared" si="295"/>
        <v>#N/A</v>
      </c>
      <c r="BA306" s="245" t="e">
        <f t="shared" si="262"/>
        <v>#N/A</v>
      </c>
      <c r="BB306" s="288">
        <f t="shared" si="296"/>
        <v>7</v>
      </c>
      <c r="BC306" s="289" t="e">
        <f t="shared" si="297"/>
        <v>#N/A</v>
      </c>
      <c r="BD306" s="290" t="e">
        <f t="shared" si="298"/>
        <v>#N/A</v>
      </c>
      <c r="BE306" s="263" t="e">
        <f t="shared" si="263"/>
        <v>#N/A</v>
      </c>
      <c r="BF306" s="260">
        <f t="shared" si="299"/>
        <v>7</v>
      </c>
      <c r="BG306" s="289" t="e">
        <f t="shared" si="300"/>
        <v>#N/A</v>
      </c>
      <c r="BH306" s="290" t="e">
        <f t="shared" si="301"/>
        <v>#N/A</v>
      </c>
      <c r="BI306" s="263" t="e">
        <f t="shared" si="264"/>
        <v>#N/A</v>
      </c>
      <c r="BJ306" s="264">
        <f t="shared" si="302"/>
        <v>7</v>
      </c>
      <c r="BK306" s="291" t="e">
        <f t="shared" si="303"/>
        <v>#N/A</v>
      </c>
      <c r="BL306" s="291" t="e">
        <f t="shared" si="304"/>
        <v>#N/A</v>
      </c>
      <c r="BM306" s="292" t="e">
        <f t="shared" si="265"/>
        <v>#N/A</v>
      </c>
      <c r="BN306" s="293">
        <f t="shared" si="305"/>
        <v>7</v>
      </c>
      <c r="BO306" s="294" t="e">
        <f t="shared" si="306"/>
        <v>#N/A</v>
      </c>
      <c r="BP306" s="294" t="e">
        <f t="shared" si="307"/>
        <v>#N/A</v>
      </c>
      <c r="BQ306" s="292" t="e">
        <f t="shared" si="266"/>
        <v>#N/A</v>
      </c>
      <c r="BR306" s="295" t="e">
        <f t="shared" si="267"/>
        <v>#N/A</v>
      </c>
      <c r="BS306" s="230" t="e">
        <f>VLOOKUP($B306,SDR22_STOCK_BY_LA!$A$2:$C$11679,3,0)</f>
        <v>#N/A</v>
      </c>
      <c r="BT306" s="230" t="str">
        <f t="shared" si="308"/>
        <v/>
      </c>
    </row>
    <row r="307" spans="1:72" ht="12.5" x14ac:dyDescent="0.25">
      <c r="A307" s="269" t="str">
        <f t="shared" si="309"/>
        <v/>
      </c>
      <c r="B307" s="230" t="str">
        <f t="shared" si="310"/>
        <v/>
      </c>
      <c r="C307" s="270" t="str">
        <f t="shared" si="268"/>
        <v/>
      </c>
      <c r="D307" s="269" t="str">
        <f>IF(B307="","",IF(totals!$Q$3=0,IFERROR(IF(AD307=2,"0",AE307),""),"-"))</f>
        <v/>
      </c>
      <c r="E307" s="271" t="str">
        <f t="shared" si="269"/>
        <v/>
      </c>
      <c r="F307" s="272" t="str">
        <f t="shared" si="270"/>
        <v/>
      </c>
      <c r="G307" s="272" t="str">
        <f t="shared" si="271"/>
        <v/>
      </c>
      <c r="H307" s="269" t="str">
        <f t="shared" si="249"/>
        <v/>
      </c>
      <c r="I307" s="272" t="str">
        <f t="shared" si="272"/>
        <v/>
      </c>
      <c r="J307" s="272" t="str">
        <f t="shared" si="273"/>
        <v/>
      </c>
      <c r="K307" s="269" t="str">
        <f t="shared" si="250"/>
        <v/>
      </c>
      <c r="L307" s="272" t="str">
        <f t="shared" si="251"/>
        <v/>
      </c>
      <c r="M307" s="272" t="str">
        <f t="shared" si="274"/>
        <v/>
      </c>
      <c r="N307" s="269" t="str">
        <f t="shared" si="275"/>
        <v/>
      </c>
      <c r="O307" s="272" t="str">
        <f t="shared" si="276"/>
        <v/>
      </c>
      <c r="P307" s="272" t="str">
        <f t="shared" si="277"/>
        <v/>
      </c>
      <c r="Q307" s="269" t="str">
        <f t="shared" si="278"/>
        <v/>
      </c>
      <c r="R307" s="272" t="str">
        <f t="shared" si="279"/>
        <v/>
      </c>
      <c r="S307" s="272" t="str">
        <f t="shared" si="280"/>
        <v/>
      </c>
      <c r="T307" s="269" t="str">
        <f t="shared" si="281"/>
        <v/>
      </c>
      <c r="U307" s="230"/>
      <c r="V307" s="230"/>
      <c r="AB307" s="270" t="e">
        <f>VLOOKUP($B$6,Lookup_Source,300,0)</f>
        <v>#N/A</v>
      </c>
      <c r="AC307" s="254" t="str">
        <f t="shared" si="282"/>
        <v/>
      </c>
      <c r="AD307" s="255">
        <f t="shared" si="283"/>
        <v>7</v>
      </c>
      <c r="AE307" s="274" t="e">
        <f t="shared" si="252"/>
        <v>#N/A</v>
      </c>
      <c r="AF307" s="277" t="e">
        <f t="shared" si="284"/>
        <v>#N/A</v>
      </c>
      <c r="AG307" s="277" t="e">
        <f t="shared" si="285"/>
        <v>#N/A</v>
      </c>
      <c r="AH307" s="276" t="e">
        <f t="shared" si="253"/>
        <v>#N/A</v>
      </c>
      <c r="AI307" s="239">
        <f t="shared" si="286"/>
        <v>7</v>
      </c>
      <c r="AJ307" s="277" t="e">
        <f t="shared" si="254"/>
        <v>#N/A</v>
      </c>
      <c r="AK307" s="277" t="e">
        <f t="shared" si="287"/>
        <v>#N/A</v>
      </c>
      <c r="AL307" s="239" t="e">
        <f t="shared" si="255"/>
        <v>#N/A</v>
      </c>
      <c r="AM307" s="278" t="e">
        <f t="shared" si="288"/>
        <v>#N/A</v>
      </c>
      <c r="AN307" s="279" t="e">
        <f t="shared" si="256"/>
        <v>#N/A</v>
      </c>
      <c r="AO307" s="240" t="e">
        <f t="shared" si="257"/>
        <v>#N/A</v>
      </c>
      <c r="AP307" s="297">
        <f t="shared" si="289"/>
        <v>7</v>
      </c>
      <c r="AQ307" s="298" t="e">
        <f t="shared" si="258"/>
        <v>#N/A</v>
      </c>
      <c r="AR307" s="279" t="e">
        <f t="shared" si="290"/>
        <v>#N/A</v>
      </c>
      <c r="AS307" s="283" t="e">
        <f t="shared" si="259"/>
        <v>#N/A</v>
      </c>
      <c r="AT307" s="284">
        <f t="shared" si="291"/>
        <v>7</v>
      </c>
      <c r="AU307" s="285" t="e">
        <f t="shared" si="292"/>
        <v>#N/A</v>
      </c>
      <c r="AV307" s="286" t="e">
        <f t="shared" si="293"/>
        <v>#N/A</v>
      </c>
      <c r="AW307" s="287" t="e">
        <f t="shared" si="260"/>
        <v>#N/A</v>
      </c>
      <c r="AX307" s="245">
        <f t="shared" si="294"/>
        <v>7</v>
      </c>
      <c r="AY307" s="286" t="e">
        <f t="shared" si="261"/>
        <v>#N/A</v>
      </c>
      <c r="AZ307" s="245" t="e">
        <f t="shared" si="295"/>
        <v>#N/A</v>
      </c>
      <c r="BA307" s="245" t="e">
        <f t="shared" si="262"/>
        <v>#N/A</v>
      </c>
      <c r="BB307" s="288">
        <f t="shared" si="296"/>
        <v>7</v>
      </c>
      <c r="BC307" s="289" t="e">
        <f t="shared" si="297"/>
        <v>#N/A</v>
      </c>
      <c r="BD307" s="290" t="e">
        <f t="shared" si="298"/>
        <v>#N/A</v>
      </c>
      <c r="BE307" s="263" t="e">
        <f t="shared" si="263"/>
        <v>#N/A</v>
      </c>
      <c r="BF307" s="260">
        <f t="shared" si="299"/>
        <v>7</v>
      </c>
      <c r="BG307" s="289" t="e">
        <f t="shared" si="300"/>
        <v>#N/A</v>
      </c>
      <c r="BH307" s="290" t="e">
        <f t="shared" si="301"/>
        <v>#N/A</v>
      </c>
      <c r="BI307" s="263" t="e">
        <f t="shared" si="264"/>
        <v>#N/A</v>
      </c>
      <c r="BJ307" s="264">
        <f t="shared" si="302"/>
        <v>7</v>
      </c>
      <c r="BK307" s="291" t="e">
        <f t="shared" si="303"/>
        <v>#N/A</v>
      </c>
      <c r="BL307" s="291" t="e">
        <f t="shared" si="304"/>
        <v>#N/A</v>
      </c>
      <c r="BM307" s="292" t="e">
        <f t="shared" si="265"/>
        <v>#N/A</v>
      </c>
      <c r="BN307" s="293">
        <f t="shared" si="305"/>
        <v>7</v>
      </c>
      <c r="BO307" s="294" t="e">
        <f t="shared" si="306"/>
        <v>#N/A</v>
      </c>
      <c r="BP307" s="294" t="e">
        <f t="shared" si="307"/>
        <v>#N/A</v>
      </c>
      <c r="BQ307" s="292" t="e">
        <f t="shared" si="266"/>
        <v>#N/A</v>
      </c>
      <c r="BR307" s="295" t="e">
        <f t="shared" si="267"/>
        <v>#N/A</v>
      </c>
      <c r="BS307" s="230" t="e">
        <f>VLOOKUP($B307,SDR22_STOCK_BY_LA!$A$2:$C$11679,3,0)</f>
        <v>#N/A</v>
      </c>
      <c r="BT307" s="230" t="str">
        <f t="shared" si="308"/>
        <v/>
      </c>
    </row>
    <row r="308" spans="1:72" ht="12.5" x14ac:dyDescent="0.25">
      <c r="A308" s="230" t="str">
        <f t="shared" si="309"/>
        <v/>
      </c>
      <c r="B308" s="230" t="str">
        <f t="shared" si="310"/>
        <v/>
      </c>
      <c r="C308" s="296" t="str">
        <f t="shared" si="268"/>
        <v/>
      </c>
      <c r="D308" s="269" t="str">
        <f>IF(B308="","",IF(totals!$Q$3=0,IFERROR(IF(AD308=2,"0",AE308),""),"-"))</f>
        <v/>
      </c>
      <c r="E308" s="271" t="str">
        <f t="shared" si="269"/>
        <v/>
      </c>
      <c r="F308" s="272" t="str">
        <f t="shared" si="270"/>
        <v/>
      </c>
      <c r="G308" s="272" t="str">
        <f t="shared" si="271"/>
        <v/>
      </c>
      <c r="H308" s="269" t="str">
        <f t="shared" si="249"/>
        <v/>
      </c>
      <c r="I308" s="272" t="str">
        <f t="shared" si="272"/>
        <v/>
      </c>
      <c r="J308" s="272" t="str">
        <f t="shared" si="273"/>
        <v/>
      </c>
      <c r="K308" s="269" t="str">
        <f t="shared" si="250"/>
        <v/>
      </c>
      <c r="L308" s="272" t="str">
        <f t="shared" si="251"/>
        <v/>
      </c>
      <c r="M308" s="272" t="str">
        <f t="shared" si="274"/>
        <v/>
      </c>
      <c r="N308" s="269" t="str">
        <f t="shared" si="275"/>
        <v/>
      </c>
      <c r="O308" s="272" t="str">
        <f t="shared" si="276"/>
        <v/>
      </c>
      <c r="P308" s="272" t="str">
        <f t="shared" si="277"/>
        <v/>
      </c>
      <c r="Q308" s="269" t="str">
        <f t="shared" si="278"/>
        <v/>
      </c>
      <c r="R308" s="272" t="str">
        <f t="shared" si="279"/>
        <v/>
      </c>
      <c r="S308" s="272" t="str">
        <f t="shared" si="280"/>
        <v/>
      </c>
      <c r="T308" s="269" t="str">
        <f t="shared" si="281"/>
        <v/>
      </c>
      <c r="U308" s="230"/>
      <c r="V308" s="230"/>
      <c r="AB308" s="230" t="e">
        <f>VLOOKUP($B$6,Lookup_Source,301,0)</f>
        <v>#N/A</v>
      </c>
      <c r="AC308" s="254" t="str">
        <f t="shared" si="282"/>
        <v/>
      </c>
      <c r="AD308" s="255">
        <f t="shared" si="283"/>
        <v>7</v>
      </c>
      <c r="AE308" s="274" t="e">
        <f t="shared" si="252"/>
        <v>#N/A</v>
      </c>
      <c r="AF308" s="277" t="e">
        <f t="shared" si="284"/>
        <v>#N/A</v>
      </c>
      <c r="AG308" s="277" t="e">
        <f t="shared" si="285"/>
        <v>#N/A</v>
      </c>
      <c r="AH308" s="276" t="e">
        <f t="shared" si="253"/>
        <v>#N/A</v>
      </c>
      <c r="AI308" s="239">
        <f t="shared" si="286"/>
        <v>7</v>
      </c>
      <c r="AJ308" s="277" t="e">
        <f t="shared" si="254"/>
        <v>#N/A</v>
      </c>
      <c r="AK308" s="277" t="e">
        <f t="shared" si="287"/>
        <v>#N/A</v>
      </c>
      <c r="AL308" s="239" t="e">
        <f t="shared" si="255"/>
        <v>#N/A</v>
      </c>
      <c r="AM308" s="278" t="e">
        <f t="shared" si="288"/>
        <v>#N/A</v>
      </c>
      <c r="AN308" s="279" t="e">
        <f t="shared" si="256"/>
        <v>#N/A</v>
      </c>
      <c r="AO308" s="240" t="e">
        <f t="shared" si="257"/>
        <v>#N/A</v>
      </c>
      <c r="AP308" s="297">
        <f t="shared" si="289"/>
        <v>7</v>
      </c>
      <c r="AQ308" s="298" t="e">
        <f t="shared" si="258"/>
        <v>#N/A</v>
      </c>
      <c r="AR308" s="279" t="e">
        <f t="shared" si="290"/>
        <v>#N/A</v>
      </c>
      <c r="AS308" s="283" t="e">
        <f t="shared" si="259"/>
        <v>#N/A</v>
      </c>
      <c r="AT308" s="284">
        <f t="shared" si="291"/>
        <v>7</v>
      </c>
      <c r="AU308" s="285" t="e">
        <f t="shared" si="292"/>
        <v>#N/A</v>
      </c>
      <c r="AV308" s="286" t="e">
        <f t="shared" si="293"/>
        <v>#N/A</v>
      </c>
      <c r="AW308" s="287" t="e">
        <f t="shared" si="260"/>
        <v>#N/A</v>
      </c>
      <c r="AX308" s="245">
        <f t="shared" si="294"/>
        <v>7</v>
      </c>
      <c r="AY308" s="286" t="e">
        <f t="shared" si="261"/>
        <v>#N/A</v>
      </c>
      <c r="AZ308" s="245" t="e">
        <f t="shared" si="295"/>
        <v>#N/A</v>
      </c>
      <c r="BA308" s="245" t="e">
        <f t="shared" si="262"/>
        <v>#N/A</v>
      </c>
      <c r="BB308" s="288">
        <f t="shared" si="296"/>
        <v>7</v>
      </c>
      <c r="BC308" s="289" t="e">
        <f t="shared" si="297"/>
        <v>#N/A</v>
      </c>
      <c r="BD308" s="290" t="e">
        <f t="shared" si="298"/>
        <v>#N/A</v>
      </c>
      <c r="BE308" s="263" t="e">
        <f t="shared" si="263"/>
        <v>#N/A</v>
      </c>
      <c r="BF308" s="260">
        <f t="shared" si="299"/>
        <v>7</v>
      </c>
      <c r="BG308" s="289" t="e">
        <f t="shared" si="300"/>
        <v>#N/A</v>
      </c>
      <c r="BH308" s="290" t="e">
        <f t="shared" si="301"/>
        <v>#N/A</v>
      </c>
      <c r="BI308" s="263" t="e">
        <f t="shared" si="264"/>
        <v>#N/A</v>
      </c>
      <c r="BJ308" s="264">
        <f t="shared" si="302"/>
        <v>7</v>
      </c>
      <c r="BK308" s="291" t="e">
        <f t="shared" si="303"/>
        <v>#N/A</v>
      </c>
      <c r="BL308" s="291" t="e">
        <f t="shared" si="304"/>
        <v>#N/A</v>
      </c>
      <c r="BM308" s="292" t="e">
        <f t="shared" si="265"/>
        <v>#N/A</v>
      </c>
      <c r="BN308" s="293">
        <f t="shared" si="305"/>
        <v>7</v>
      </c>
      <c r="BO308" s="294" t="e">
        <f t="shared" si="306"/>
        <v>#N/A</v>
      </c>
      <c r="BP308" s="294" t="e">
        <f t="shared" si="307"/>
        <v>#N/A</v>
      </c>
      <c r="BQ308" s="292" t="e">
        <f t="shared" si="266"/>
        <v>#N/A</v>
      </c>
      <c r="BR308" s="295" t="e">
        <f t="shared" si="267"/>
        <v>#N/A</v>
      </c>
      <c r="BS308" s="230" t="e">
        <f>VLOOKUP($B308,SDR22_STOCK_BY_LA!$A$2:$C$11679,3,0)</f>
        <v>#N/A</v>
      </c>
      <c r="BT308" s="230" t="str">
        <f t="shared" si="308"/>
        <v/>
      </c>
    </row>
    <row r="309" spans="1:72" ht="12.5" x14ac:dyDescent="0.25">
      <c r="A309" s="269" t="str">
        <f t="shared" si="309"/>
        <v/>
      </c>
      <c r="B309" s="230" t="str">
        <f t="shared" si="310"/>
        <v/>
      </c>
      <c r="C309" s="270" t="str">
        <f t="shared" si="268"/>
        <v/>
      </c>
      <c r="D309" s="269" t="str">
        <f>IF(B309="","",IF(totals!$Q$3=0,IFERROR(IF(AD309=2,"0",AE309),""),"-"))</f>
        <v/>
      </c>
      <c r="E309" s="271" t="str">
        <f t="shared" si="269"/>
        <v/>
      </c>
      <c r="F309" s="272" t="str">
        <f t="shared" si="270"/>
        <v/>
      </c>
      <c r="G309" s="272" t="str">
        <f t="shared" si="271"/>
        <v/>
      </c>
      <c r="H309" s="269" t="str">
        <f t="shared" si="249"/>
        <v/>
      </c>
      <c r="I309" s="272" t="str">
        <f t="shared" si="272"/>
        <v/>
      </c>
      <c r="J309" s="272" t="str">
        <f t="shared" si="273"/>
        <v/>
      </c>
      <c r="K309" s="269" t="str">
        <f t="shared" si="250"/>
        <v/>
      </c>
      <c r="L309" s="272" t="str">
        <f t="shared" si="251"/>
        <v/>
      </c>
      <c r="M309" s="272" t="str">
        <f t="shared" si="274"/>
        <v/>
      </c>
      <c r="N309" s="269" t="str">
        <f t="shared" si="275"/>
        <v/>
      </c>
      <c r="O309" s="272" t="str">
        <f t="shared" si="276"/>
        <v/>
      </c>
      <c r="P309" s="272" t="str">
        <f t="shared" si="277"/>
        <v/>
      </c>
      <c r="Q309" s="269" t="str">
        <f t="shared" si="278"/>
        <v/>
      </c>
      <c r="R309" s="272" t="str">
        <f t="shared" si="279"/>
        <v/>
      </c>
      <c r="S309" s="272" t="str">
        <f t="shared" si="280"/>
        <v/>
      </c>
      <c r="T309" s="269" t="str">
        <f t="shared" si="281"/>
        <v/>
      </c>
      <c r="U309" s="230"/>
      <c r="V309" s="230"/>
      <c r="AB309" s="270" t="e">
        <f>VLOOKUP($B$6,Lookup_Source,302,0)</f>
        <v>#N/A</v>
      </c>
      <c r="AC309" s="254" t="str">
        <f t="shared" si="282"/>
        <v/>
      </c>
      <c r="AD309" s="255">
        <f t="shared" si="283"/>
        <v>7</v>
      </c>
      <c r="AE309" s="274" t="e">
        <f t="shared" si="252"/>
        <v>#N/A</v>
      </c>
      <c r="AF309" s="277" t="e">
        <f t="shared" si="284"/>
        <v>#N/A</v>
      </c>
      <c r="AG309" s="277" t="e">
        <f t="shared" si="285"/>
        <v>#N/A</v>
      </c>
      <c r="AH309" s="276" t="e">
        <f t="shared" si="253"/>
        <v>#N/A</v>
      </c>
      <c r="AI309" s="239">
        <f t="shared" si="286"/>
        <v>7</v>
      </c>
      <c r="AJ309" s="277" t="e">
        <f t="shared" si="254"/>
        <v>#N/A</v>
      </c>
      <c r="AK309" s="277" t="e">
        <f t="shared" si="287"/>
        <v>#N/A</v>
      </c>
      <c r="AL309" s="239" t="e">
        <f t="shared" si="255"/>
        <v>#N/A</v>
      </c>
      <c r="AM309" s="278" t="e">
        <f t="shared" si="288"/>
        <v>#N/A</v>
      </c>
      <c r="AN309" s="279" t="e">
        <f t="shared" si="256"/>
        <v>#N/A</v>
      </c>
      <c r="AO309" s="240" t="e">
        <f t="shared" si="257"/>
        <v>#N/A</v>
      </c>
      <c r="AP309" s="297">
        <f t="shared" si="289"/>
        <v>7</v>
      </c>
      <c r="AQ309" s="298" t="e">
        <f t="shared" si="258"/>
        <v>#N/A</v>
      </c>
      <c r="AR309" s="279" t="e">
        <f t="shared" si="290"/>
        <v>#N/A</v>
      </c>
      <c r="AS309" s="283" t="e">
        <f t="shared" si="259"/>
        <v>#N/A</v>
      </c>
      <c r="AT309" s="284">
        <f t="shared" si="291"/>
        <v>7</v>
      </c>
      <c r="AU309" s="285" t="e">
        <f t="shared" si="292"/>
        <v>#N/A</v>
      </c>
      <c r="AV309" s="286" t="e">
        <f t="shared" si="293"/>
        <v>#N/A</v>
      </c>
      <c r="AW309" s="287" t="e">
        <f t="shared" si="260"/>
        <v>#N/A</v>
      </c>
      <c r="AX309" s="245">
        <f t="shared" si="294"/>
        <v>7</v>
      </c>
      <c r="AY309" s="286" t="e">
        <f t="shared" si="261"/>
        <v>#N/A</v>
      </c>
      <c r="AZ309" s="245" t="e">
        <f t="shared" si="295"/>
        <v>#N/A</v>
      </c>
      <c r="BA309" s="245" t="e">
        <f t="shared" si="262"/>
        <v>#N/A</v>
      </c>
      <c r="BB309" s="288">
        <f t="shared" si="296"/>
        <v>7</v>
      </c>
      <c r="BC309" s="289" t="e">
        <f t="shared" si="297"/>
        <v>#N/A</v>
      </c>
      <c r="BD309" s="290" t="e">
        <f t="shared" si="298"/>
        <v>#N/A</v>
      </c>
      <c r="BE309" s="263" t="e">
        <f t="shared" si="263"/>
        <v>#N/A</v>
      </c>
      <c r="BF309" s="260">
        <f t="shared" si="299"/>
        <v>7</v>
      </c>
      <c r="BG309" s="289" t="e">
        <f t="shared" si="300"/>
        <v>#N/A</v>
      </c>
      <c r="BH309" s="290" t="e">
        <f t="shared" si="301"/>
        <v>#N/A</v>
      </c>
      <c r="BI309" s="263" t="e">
        <f t="shared" si="264"/>
        <v>#N/A</v>
      </c>
      <c r="BJ309" s="264">
        <f t="shared" si="302"/>
        <v>7</v>
      </c>
      <c r="BK309" s="291" t="e">
        <f t="shared" si="303"/>
        <v>#N/A</v>
      </c>
      <c r="BL309" s="291" t="e">
        <f t="shared" si="304"/>
        <v>#N/A</v>
      </c>
      <c r="BM309" s="292" t="e">
        <f t="shared" si="265"/>
        <v>#N/A</v>
      </c>
      <c r="BN309" s="293">
        <f t="shared" si="305"/>
        <v>7</v>
      </c>
      <c r="BO309" s="294" t="e">
        <f t="shared" si="306"/>
        <v>#N/A</v>
      </c>
      <c r="BP309" s="294" t="e">
        <f t="shared" si="307"/>
        <v>#N/A</v>
      </c>
      <c r="BQ309" s="292" t="e">
        <f t="shared" si="266"/>
        <v>#N/A</v>
      </c>
      <c r="BR309" s="295" t="e">
        <f t="shared" si="267"/>
        <v>#N/A</v>
      </c>
      <c r="BS309" s="230" t="e">
        <f>VLOOKUP($B309,SDR22_STOCK_BY_LA!$A$2:$C$11679,3,0)</f>
        <v>#N/A</v>
      </c>
      <c r="BT309" s="230" t="str">
        <f t="shared" si="308"/>
        <v/>
      </c>
    </row>
    <row r="310" spans="1:72" ht="12.5" x14ac:dyDescent="0.25">
      <c r="A310" s="230" t="str">
        <f t="shared" si="309"/>
        <v/>
      </c>
      <c r="B310" s="230" t="str">
        <f t="shared" si="310"/>
        <v/>
      </c>
      <c r="C310" s="296" t="str">
        <f t="shared" si="268"/>
        <v/>
      </c>
      <c r="D310" s="269" t="str">
        <f>IF(B310="","",IF(totals!$Q$3=0,IFERROR(IF(AD310=2,"0",AE310),""),"-"))</f>
        <v/>
      </c>
      <c r="E310" s="271" t="str">
        <f t="shared" si="269"/>
        <v/>
      </c>
      <c r="F310" s="272" t="str">
        <f t="shared" si="270"/>
        <v/>
      </c>
      <c r="G310" s="272" t="str">
        <f t="shared" si="271"/>
        <v/>
      </c>
      <c r="H310" s="269" t="str">
        <f t="shared" si="249"/>
        <v/>
      </c>
      <c r="I310" s="272" t="str">
        <f t="shared" si="272"/>
        <v/>
      </c>
      <c r="J310" s="272" t="str">
        <f t="shared" si="273"/>
        <v/>
      </c>
      <c r="K310" s="269" t="str">
        <f t="shared" si="250"/>
        <v/>
      </c>
      <c r="L310" s="272" t="str">
        <f t="shared" si="251"/>
        <v/>
      </c>
      <c r="M310" s="272" t="str">
        <f t="shared" si="274"/>
        <v/>
      </c>
      <c r="N310" s="269" t="str">
        <f t="shared" si="275"/>
        <v/>
      </c>
      <c r="O310" s="272" t="str">
        <f t="shared" si="276"/>
        <v/>
      </c>
      <c r="P310" s="272" t="str">
        <f t="shared" si="277"/>
        <v/>
      </c>
      <c r="Q310" s="269" t="str">
        <f t="shared" si="278"/>
        <v/>
      </c>
      <c r="R310" s="272" t="str">
        <f t="shared" si="279"/>
        <v/>
      </c>
      <c r="S310" s="272" t="str">
        <f t="shared" si="280"/>
        <v/>
      </c>
      <c r="T310" s="269" t="str">
        <f t="shared" si="281"/>
        <v/>
      </c>
      <c r="U310" s="230"/>
      <c r="V310" s="230"/>
      <c r="AB310" s="230" t="e">
        <f>VLOOKUP($B$6,Lookup_Source,303,0)</f>
        <v>#N/A</v>
      </c>
      <c r="AC310" s="254" t="str">
        <f t="shared" si="282"/>
        <v/>
      </c>
      <c r="AD310" s="255">
        <f t="shared" si="283"/>
        <v>7</v>
      </c>
      <c r="AE310" s="274" t="e">
        <f t="shared" si="252"/>
        <v>#N/A</v>
      </c>
      <c r="AF310" s="277" t="e">
        <f t="shared" si="284"/>
        <v>#N/A</v>
      </c>
      <c r="AG310" s="277" t="e">
        <f t="shared" si="285"/>
        <v>#N/A</v>
      </c>
      <c r="AH310" s="276" t="e">
        <f t="shared" si="253"/>
        <v>#N/A</v>
      </c>
      <c r="AI310" s="239">
        <f t="shared" si="286"/>
        <v>7</v>
      </c>
      <c r="AJ310" s="277" t="e">
        <f t="shared" si="254"/>
        <v>#N/A</v>
      </c>
      <c r="AK310" s="277" t="e">
        <f t="shared" si="287"/>
        <v>#N/A</v>
      </c>
      <c r="AL310" s="239" t="e">
        <f t="shared" si="255"/>
        <v>#N/A</v>
      </c>
      <c r="AM310" s="278" t="e">
        <f t="shared" si="288"/>
        <v>#N/A</v>
      </c>
      <c r="AN310" s="279" t="e">
        <f t="shared" si="256"/>
        <v>#N/A</v>
      </c>
      <c r="AO310" s="240" t="e">
        <f t="shared" si="257"/>
        <v>#N/A</v>
      </c>
      <c r="AP310" s="297">
        <f t="shared" si="289"/>
        <v>7</v>
      </c>
      <c r="AQ310" s="298" t="e">
        <f t="shared" si="258"/>
        <v>#N/A</v>
      </c>
      <c r="AR310" s="279" t="e">
        <f t="shared" si="290"/>
        <v>#N/A</v>
      </c>
      <c r="AS310" s="283" t="e">
        <f t="shared" si="259"/>
        <v>#N/A</v>
      </c>
      <c r="AT310" s="284">
        <f t="shared" si="291"/>
        <v>7</v>
      </c>
      <c r="AU310" s="285" t="e">
        <f t="shared" si="292"/>
        <v>#N/A</v>
      </c>
      <c r="AV310" s="286" t="e">
        <f t="shared" si="293"/>
        <v>#N/A</v>
      </c>
      <c r="AW310" s="287" t="e">
        <f t="shared" si="260"/>
        <v>#N/A</v>
      </c>
      <c r="AX310" s="245">
        <f t="shared" si="294"/>
        <v>7</v>
      </c>
      <c r="AY310" s="286" t="e">
        <f t="shared" si="261"/>
        <v>#N/A</v>
      </c>
      <c r="AZ310" s="245" t="e">
        <f t="shared" si="295"/>
        <v>#N/A</v>
      </c>
      <c r="BA310" s="245" t="e">
        <f t="shared" si="262"/>
        <v>#N/A</v>
      </c>
      <c r="BB310" s="288">
        <f t="shared" si="296"/>
        <v>7</v>
      </c>
      <c r="BC310" s="289" t="e">
        <f t="shared" si="297"/>
        <v>#N/A</v>
      </c>
      <c r="BD310" s="290" t="e">
        <f t="shared" si="298"/>
        <v>#N/A</v>
      </c>
      <c r="BE310" s="263" t="e">
        <f t="shared" si="263"/>
        <v>#N/A</v>
      </c>
      <c r="BF310" s="260">
        <f t="shared" si="299"/>
        <v>7</v>
      </c>
      <c r="BG310" s="289" t="e">
        <f t="shared" si="300"/>
        <v>#N/A</v>
      </c>
      <c r="BH310" s="290" t="e">
        <f t="shared" si="301"/>
        <v>#N/A</v>
      </c>
      <c r="BI310" s="263" t="e">
        <f t="shared" si="264"/>
        <v>#N/A</v>
      </c>
      <c r="BJ310" s="264">
        <f t="shared" si="302"/>
        <v>7</v>
      </c>
      <c r="BK310" s="291" t="e">
        <f t="shared" si="303"/>
        <v>#N/A</v>
      </c>
      <c r="BL310" s="291" t="e">
        <f t="shared" si="304"/>
        <v>#N/A</v>
      </c>
      <c r="BM310" s="292" t="e">
        <f t="shared" si="265"/>
        <v>#N/A</v>
      </c>
      <c r="BN310" s="293">
        <f t="shared" si="305"/>
        <v>7</v>
      </c>
      <c r="BO310" s="294" t="e">
        <f t="shared" si="306"/>
        <v>#N/A</v>
      </c>
      <c r="BP310" s="294" t="e">
        <f t="shared" si="307"/>
        <v>#N/A</v>
      </c>
      <c r="BQ310" s="292" t="e">
        <f t="shared" si="266"/>
        <v>#N/A</v>
      </c>
      <c r="BR310" s="295" t="e">
        <f t="shared" si="267"/>
        <v>#N/A</v>
      </c>
      <c r="BS310" s="230" t="e">
        <f>VLOOKUP($B310,SDR22_STOCK_BY_LA!$A$2:$C$11679,3,0)</f>
        <v>#N/A</v>
      </c>
      <c r="BT310" s="230" t="str">
        <f t="shared" si="308"/>
        <v/>
      </c>
    </row>
    <row r="311" spans="1:72" ht="12.5" x14ac:dyDescent="0.25">
      <c r="A311" s="269" t="str">
        <f t="shared" si="309"/>
        <v/>
      </c>
      <c r="B311" s="230" t="str">
        <f t="shared" si="310"/>
        <v/>
      </c>
      <c r="C311" s="270" t="str">
        <f t="shared" si="268"/>
        <v/>
      </c>
      <c r="D311" s="269" t="str">
        <f>IF(B311="","",IF(totals!$Q$3=0,IFERROR(IF(AD311=2,"0",AE311),""),"-"))</f>
        <v/>
      </c>
      <c r="E311" s="271" t="str">
        <f t="shared" si="269"/>
        <v/>
      </c>
      <c r="F311" s="272" t="str">
        <f t="shared" si="270"/>
        <v/>
      </c>
      <c r="G311" s="272" t="str">
        <f t="shared" si="271"/>
        <v/>
      </c>
      <c r="H311" s="269" t="str">
        <f t="shared" si="249"/>
        <v/>
      </c>
      <c r="I311" s="272" t="str">
        <f t="shared" si="272"/>
        <v/>
      </c>
      <c r="J311" s="272" t="str">
        <f t="shared" si="273"/>
        <v/>
      </c>
      <c r="K311" s="269" t="str">
        <f t="shared" si="250"/>
        <v/>
      </c>
      <c r="L311" s="272" t="str">
        <f t="shared" si="251"/>
        <v/>
      </c>
      <c r="M311" s="272" t="str">
        <f t="shared" si="274"/>
        <v/>
      </c>
      <c r="N311" s="269" t="str">
        <f t="shared" si="275"/>
        <v/>
      </c>
      <c r="O311" s="272" t="str">
        <f t="shared" si="276"/>
        <v/>
      </c>
      <c r="P311" s="272" t="str">
        <f t="shared" si="277"/>
        <v/>
      </c>
      <c r="Q311" s="269" t="str">
        <f t="shared" si="278"/>
        <v/>
      </c>
      <c r="R311" s="272" t="str">
        <f t="shared" si="279"/>
        <v/>
      </c>
      <c r="S311" s="272" t="str">
        <f t="shared" si="280"/>
        <v/>
      </c>
      <c r="T311" s="269" t="str">
        <f t="shared" si="281"/>
        <v/>
      </c>
      <c r="U311" s="230"/>
      <c r="V311" s="230"/>
      <c r="AB311" s="270" t="e">
        <f>VLOOKUP($B$6,Lookup_Source,304,0)</f>
        <v>#N/A</v>
      </c>
      <c r="AC311" s="254" t="str">
        <f t="shared" si="282"/>
        <v/>
      </c>
      <c r="AD311" s="255">
        <f t="shared" si="283"/>
        <v>7</v>
      </c>
      <c r="AE311" s="274" t="e">
        <f t="shared" si="252"/>
        <v>#N/A</v>
      </c>
      <c r="AF311" s="277" t="e">
        <f t="shared" si="284"/>
        <v>#N/A</v>
      </c>
      <c r="AG311" s="277" t="e">
        <f t="shared" si="285"/>
        <v>#N/A</v>
      </c>
      <c r="AH311" s="276" t="e">
        <f t="shared" si="253"/>
        <v>#N/A</v>
      </c>
      <c r="AI311" s="239">
        <f t="shared" si="286"/>
        <v>7</v>
      </c>
      <c r="AJ311" s="277" t="e">
        <f t="shared" si="254"/>
        <v>#N/A</v>
      </c>
      <c r="AK311" s="277" t="e">
        <f t="shared" si="287"/>
        <v>#N/A</v>
      </c>
      <c r="AL311" s="239" t="e">
        <f t="shared" si="255"/>
        <v>#N/A</v>
      </c>
      <c r="AM311" s="278" t="e">
        <f t="shared" si="288"/>
        <v>#N/A</v>
      </c>
      <c r="AN311" s="279" t="e">
        <f t="shared" si="256"/>
        <v>#N/A</v>
      </c>
      <c r="AO311" s="240" t="e">
        <f t="shared" si="257"/>
        <v>#N/A</v>
      </c>
      <c r="AP311" s="297">
        <f t="shared" si="289"/>
        <v>7</v>
      </c>
      <c r="AQ311" s="298" t="e">
        <f t="shared" si="258"/>
        <v>#N/A</v>
      </c>
      <c r="AR311" s="279" t="e">
        <f t="shared" si="290"/>
        <v>#N/A</v>
      </c>
      <c r="AS311" s="283" t="e">
        <f t="shared" si="259"/>
        <v>#N/A</v>
      </c>
      <c r="AT311" s="284">
        <f t="shared" si="291"/>
        <v>7</v>
      </c>
      <c r="AU311" s="285" t="e">
        <f t="shared" si="292"/>
        <v>#N/A</v>
      </c>
      <c r="AV311" s="286" t="e">
        <f t="shared" si="293"/>
        <v>#N/A</v>
      </c>
      <c r="AW311" s="287" t="e">
        <f t="shared" si="260"/>
        <v>#N/A</v>
      </c>
      <c r="AX311" s="245">
        <f t="shared" si="294"/>
        <v>7</v>
      </c>
      <c r="AY311" s="286" t="e">
        <f t="shared" si="261"/>
        <v>#N/A</v>
      </c>
      <c r="AZ311" s="245" t="e">
        <f t="shared" si="295"/>
        <v>#N/A</v>
      </c>
      <c r="BA311" s="245" t="e">
        <f t="shared" si="262"/>
        <v>#N/A</v>
      </c>
      <c r="BB311" s="288">
        <f t="shared" si="296"/>
        <v>7</v>
      </c>
      <c r="BC311" s="289" t="e">
        <f t="shared" si="297"/>
        <v>#N/A</v>
      </c>
      <c r="BD311" s="290" t="e">
        <f t="shared" si="298"/>
        <v>#N/A</v>
      </c>
      <c r="BE311" s="263" t="e">
        <f t="shared" si="263"/>
        <v>#N/A</v>
      </c>
      <c r="BF311" s="260">
        <f t="shared" si="299"/>
        <v>7</v>
      </c>
      <c r="BG311" s="289" t="e">
        <f t="shared" si="300"/>
        <v>#N/A</v>
      </c>
      <c r="BH311" s="290" t="e">
        <f t="shared" si="301"/>
        <v>#N/A</v>
      </c>
      <c r="BI311" s="263" t="e">
        <f t="shared" si="264"/>
        <v>#N/A</v>
      </c>
      <c r="BJ311" s="264">
        <f t="shared" si="302"/>
        <v>7</v>
      </c>
      <c r="BK311" s="291" t="e">
        <f t="shared" si="303"/>
        <v>#N/A</v>
      </c>
      <c r="BL311" s="291" t="e">
        <f t="shared" si="304"/>
        <v>#N/A</v>
      </c>
      <c r="BM311" s="292" t="e">
        <f t="shared" si="265"/>
        <v>#N/A</v>
      </c>
      <c r="BN311" s="293">
        <f t="shared" si="305"/>
        <v>7</v>
      </c>
      <c r="BO311" s="294" t="e">
        <f t="shared" si="306"/>
        <v>#N/A</v>
      </c>
      <c r="BP311" s="294" t="e">
        <f t="shared" si="307"/>
        <v>#N/A</v>
      </c>
      <c r="BQ311" s="292" t="e">
        <f t="shared" si="266"/>
        <v>#N/A</v>
      </c>
      <c r="BR311" s="295" t="e">
        <f t="shared" si="267"/>
        <v>#N/A</v>
      </c>
      <c r="BS311" s="230" t="e">
        <f>VLOOKUP($B311,SDR22_STOCK_BY_LA!$A$2:$C$11679,3,0)</f>
        <v>#N/A</v>
      </c>
      <c r="BT311" s="230" t="str">
        <f t="shared" si="308"/>
        <v/>
      </c>
    </row>
    <row r="312" spans="1:72" ht="12.5" x14ac:dyDescent="0.25">
      <c r="A312" s="230" t="str">
        <f t="shared" si="309"/>
        <v/>
      </c>
      <c r="B312" s="230" t="str">
        <f t="shared" si="310"/>
        <v/>
      </c>
      <c r="C312" s="296" t="str">
        <f t="shared" si="268"/>
        <v/>
      </c>
      <c r="D312" s="269" t="str">
        <f>IF(B312="","",IF(totals!$Q$3=0,IFERROR(IF(AD312=2,"0",AE312),""),"-"))</f>
        <v/>
      </c>
      <c r="E312" s="271" t="str">
        <f t="shared" si="269"/>
        <v/>
      </c>
      <c r="F312" s="272" t="str">
        <f t="shared" si="270"/>
        <v/>
      </c>
      <c r="G312" s="272" t="str">
        <f t="shared" si="271"/>
        <v/>
      </c>
      <c r="H312" s="269" t="str">
        <f t="shared" si="249"/>
        <v/>
      </c>
      <c r="I312" s="272" t="str">
        <f t="shared" si="272"/>
        <v/>
      </c>
      <c r="J312" s="272" t="str">
        <f t="shared" si="273"/>
        <v/>
      </c>
      <c r="K312" s="269" t="str">
        <f t="shared" si="250"/>
        <v/>
      </c>
      <c r="L312" s="272" t="str">
        <f t="shared" si="251"/>
        <v/>
      </c>
      <c r="M312" s="272" t="str">
        <f t="shared" si="274"/>
        <v/>
      </c>
      <c r="N312" s="269" t="str">
        <f t="shared" si="275"/>
        <v/>
      </c>
      <c r="O312" s="272" t="str">
        <f t="shared" si="276"/>
        <v/>
      </c>
      <c r="P312" s="272" t="str">
        <f t="shared" si="277"/>
        <v/>
      </c>
      <c r="Q312" s="269" t="str">
        <f t="shared" si="278"/>
        <v/>
      </c>
      <c r="R312" s="272" t="str">
        <f t="shared" si="279"/>
        <v/>
      </c>
      <c r="S312" s="272" t="str">
        <f t="shared" si="280"/>
        <v/>
      </c>
      <c r="T312" s="269" t="str">
        <f t="shared" si="281"/>
        <v/>
      </c>
      <c r="U312" s="230"/>
      <c r="V312" s="230"/>
      <c r="AB312" s="230" t="e">
        <f>VLOOKUP($B$6,Lookup_Source,305,0)</f>
        <v>#N/A</v>
      </c>
      <c r="AC312" s="254" t="str">
        <f t="shared" si="282"/>
        <v/>
      </c>
      <c r="AD312" s="255">
        <f t="shared" si="283"/>
        <v>7</v>
      </c>
      <c r="AE312" s="274" t="e">
        <f t="shared" si="252"/>
        <v>#N/A</v>
      </c>
      <c r="AF312" s="277" t="e">
        <f t="shared" si="284"/>
        <v>#N/A</v>
      </c>
      <c r="AG312" s="277" t="e">
        <f t="shared" si="285"/>
        <v>#N/A</v>
      </c>
      <c r="AH312" s="276" t="e">
        <f t="shared" si="253"/>
        <v>#N/A</v>
      </c>
      <c r="AI312" s="239">
        <f t="shared" si="286"/>
        <v>7</v>
      </c>
      <c r="AJ312" s="277" t="e">
        <f t="shared" si="254"/>
        <v>#N/A</v>
      </c>
      <c r="AK312" s="277" t="e">
        <f t="shared" si="287"/>
        <v>#N/A</v>
      </c>
      <c r="AL312" s="239" t="e">
        <f t="shared" si="255"/>
        <v>#N/A</v>
      </c>
      <c r="AM312" s="278" t="e">
        <f t="shared" si="288"/>
        <v>#N/A</v>
      </c>
      <c r="AN312" s="279" t="e">
        <f t="shared" si="256"/>
        <v>#N/A</v>
      </c>
      <c r="AO312" s="240" t="e">
        <f t="shared" si="257"/>
        <v>#N/A</v>
      </c>
      <c r="AP312" s="297">
        <f t="shared" si="289"/>
        <v>7</v>
      </c>
      <c r="AQ312" s="298" t="e">
        <f t="shared" si="258"/>
        <v>#N/A</v>
      </c>
      <c r="AR312" s="279" t="e">
        <f t="shared" si="290"/>
        <v>#N/A</v>
      </c>
      <c r="AS312" s="283" t="e">
        <f t="shared" si="259"/>
        <v>#N/A</v>
      </c>
      <c r="AT312" s="284">
        <f t="shared" si="291"/>
        <v>7</v>
      </c>
      <c r="AU312" s="285" t="e">
        <f t="shared" si="292"/>
        <v>#N/A</v>
      </c>
      <c r="AV312" s="286" t="e">
        <f t="shared" si="293"/>
        <v>#N/A</v>
      </c>
      <c r="AW312" s="287" t="e">
        <f t="shared" si="260"/>
        <v>#N/A</v>
      </c>
      <c r="AX312" s="245">
        <f t="shared" si="294"/>
        <v>7</v>
      </c>
      <c r="AY312" s="286" t="e">
        <f t="shared" si="261"/>
        <v>#N/A</v>
      </c>
      <c r="AZ312" s="245" t="e">
        <f t="shared" si="295"/>
        <v>#N/A</v>
      </c>
      <c r="BA312" s="245" t="e">
        <f t="shared" si="262"/>
        <v>#N/A</v>
      </c>
      <c r="BB312" s="288">
        <f t="shared" si="296"/>
        <v>7</v>
      </c>
      <c r="BC312" s="289" t="e">
        <f t="shared" si="297"/>
        <v>#N/A</v>
      </c>
      <c r="BD312" s="290" t="e">
        <f t="shared" si="298"/>
        <v>#N/A</v>
      </c>
      <c r="BE312" s="263" t="e">
        <f t="shared" si="263"/>
        <v>#N/A</v>
      </c>
      <c r="BF312" s="260">
        <f t="shared" si="299"/>
        <v>7</v>
      </c>
      <c r="BG312" s="289" t="e">
        <f t="shared" si="300"/>
        <v>#N/A</v>
      </c>
      <c r="BH312" s="290" t="e">
        <f t="shared" si="301"/>
        <v>#N/A</v>
      </c>
      <c r="BI312" s="263" t="e">
        <f t="shared" si="264"/>
        <v>#N/A</v>
      </c>
      <c r="BJ312" s="264">
        <f t="shared" si="302"/>
        <v>7</v>
      </c>
      <c r="BK312" s="291" t="e">
        <f t="shared" si="303"/>
        <v>#N/A</v>
      </c>
      <c r="BL312" s="291" t="e">
        <f t="shared" si="304"/>
        <v>#N/A</v>
      </c>
      <c r="BM312" s="292" t="e">
        <f t="shared" si="265"/>
        <v>#N/A</v>
      </c>
      <c r="BN312" s="293">
        <f t="shared" si="305"/>
        <v>7</v>
      </c>
      <c r="BO312" s="294" t="e">
        <f t="shared" si="306"/>
        <v>#N/A</v>
      </c>
      <c r="BP312" s="294" t="e">
        <f t="shared" si="307"/>
        <v>#N/A</v>
      </c>
      <c r="BQ312" s="292" t="e">
        <f t="shared" si="266"/>
        <v>#N/A</v>
      </c>
      <c r="BR312" s="295" t="e">
        <f t="shared" si="267"/>
        <v>#N/A</v>
      </c>
      <c r="BS312" s="230" t="e">
        <f>VLOOKUP($B312,SDR22_STOCK_BY_LA!$A$2:$C$11679,3,0)</f>
        <v>#N/A</v>
      </c>
      <c r="BT312" s="230" t="str">
        <f t="shared" si="308"/>
        <v/>
      </c>
    </row>
    <row r="313" spans="1:72" ht="12.5" x14ac:dyDescent="0.25">
      <c r="A313" s="269" t="str">
        <f t="shared" si="309"/>
        <v/>
      </c>
      <c r="B313" s="230" t="str">
        <f t="shared" si="310"/>
        <v/>
      </c>
      <c r="C313" s="270" t="str">
        <f t="shared" si="268"/>
        <v/>
      </c>
      <c r="D313" s="269" t="str">
        <f>IF(B313="","",IF(totals!$Q$3=0,IFERROR(IF(AD313=2,"0",AE313),""),"-"))</f>
        <v/>
      </c>
      <c r="E313" s="271" t="str">
        <f t="shared" si="269"/>
        <v/>
      </c>
      <c r="F313" s="272" t="str">
        <f t="shared" si="270"/>
        <v/>
      </c>
      <c r="G313" s="272" t="str">
        <f t="shared" si="271"/>
        <v/>
      </c>
      <c r="H313" s="269" t="str">
        <f t="shared" si="249"/>
        <v/>
      </c>
      <c r="I313" s="272" t="str">
        <f t="shared" si="272"/>
        <v/>
      </c>
      <c r="J313" s="272" t="str">
        <f t="shared" si="273"/>
        <v/>
      </c>
      <c r="K313" s="269" t="str">
        <f t="shared" si="250"/>
        <v/>
      </c>
      <c r="L313" s="272" t="str">
        <f t="shared" si="251"/>
        <v/>
      </c>
      <c r="M313" s="272" t="str">
        <f t="shared" si="274"/>
        <v/>
      </c>
      <c r="N313" s="269" t="str">
        <f t="shared" si="275"/>
        <v/>
      </c>
      <c r="O313" s="272" t="str">
        <f t="shared" si="276"/>
        <v/>
      </c>
      <c r="P313" s="272" t="str">
        <f t="shared" si="277"/>
        <v/>
      </c>
      <c r="Q313" s="269" t="str">
        <f t="shared" si="278"/>
        <v/>
      </c>
      <c r="R313" s="272" t="str">
        <f t="shared" si="279"/>
        <v/>
      </c>
      <c r="S313" s="272" t="str">
        <f t="shared" si="280"/>
        <v/>
      </c>
      <c r="T313" s="269" t="str">
        <f t="shared" si="281"/>
        <v/>
      </c>
      <c r="U313" s="230"/>
      <c r="V313" s="230"/>
      <c r="AB313" s="270" t="e">
        <f>VLOOKUP($B$6,Lookup_Source,306,0)</f>
        <v>#N/A</v>
      </c>
      <c r="AC313" s="254" t="str">
        <f t="shared" si="282"/>
        <v/>
      </c>
      <c r="AD313" s="255">
        <f t="shared" si="283"/>
        <v>7</v>
      </c>
      <c r="AE313" s="274" t="e">
        <f t="shared" si="252"/>
        <v>#N/A</v>
      </c>
      <c r="AF313" s="277" t="e">
        <f t="shared" si="284"/>
        <v>#N/A</v>
      </c>
      <c r="AG313" s="277" t="e">
        <f t="shared" si="285"/>
        <v>#N/A</v>
      </c>
      <c r="AH313" s="276" t="e">
        <f t="shared" si="253"/>
        <v>#N/A</v>
      </c>
      <c r="AI313" s="239">
        <f t="shared" si="286"/>
        <v>7</v>
      </c>
      <c r="AJ313" s="277" t="e">
        <f t="shared" si="254"/>
        <v>#N/A</v>
      </c>
      <c r="AK313" s="277" t="e">
        <f t="shared" si="287"/>
        <v>#N/A</v>
      </c>
      <c r="AL313" s="239" t="e">
        <f t="shared" si="255"/>
        <v>#N/A</v>
      </c>
      <c r="AM313" s="278" t="e">
        <f t="shared" si="288"/>
        <v>#N/A</v>
      </c>
      <c r="AN313" s="279" t="e">
        <f t="shared" si="256"/>
        <v>#N/A</v>
      </c>
      <c r="AO313" s="240" t="e">
        <f t="shared" si="257"/>
        <v>#N/A</v>
      </c>
      <c r="AP313" s="297">
        <f t="shared" si="289"/>
        <v>7</v>
      </c>
      <c r="AQ313" s="298" t="e">
        <f t="shared" si="258"/>
        <v>#N/A</v>
      </c>
      <c r="AR313" s="279" t="e">
        <f t="shared" si="290"/>
        <v>#N/A</v>
      </c>
      <c r="AS313" s="283" t="e">
        <f t="shared" si="259"/>
        <v>#N/A</v>
      </c>
      <c r="AT313" s="284">
        <f t="shared" si="291"/>
        <v>7</v>
      </c>
      <c r="AU313" s="285" t="e">
        <f t="shared" si="292"/>
        <v>#N/A</v>
      </c>
      <c r="AV313" s="286" t="e">
        <f t="shared" si="293"/>
        <v>#N/A</v>
      </c>
      <c r="AW313" s="287" t="e">
        <f t="shared" si="260"/>
        <v>#N/A</v>
      </c>
      <c r="AX313" s="245">
        <f t="shared" si="294"/>
        <v>7</v>
      </c>
      <c r="AY313" s="286" t="e">
        <f t="shared" si="261"/>
        <v>#N/A</v>
      </c>
      <c r="AZ313" s="245" t="e">
        <f t="shared" si="295"/>
        <v>#N/A</v>
      </c>
      <c r="BA313" s="245" t="e">
        <f t="shared" si="262"/>
        <v>#N/A</v>
      </c>
      <c r="BB313" s="288">
        <f t="shared" si="296"/>
        <v>7</v>
      </c>
      <c r="BC313" s="289" t="e">
        <f t="shared" si="297"/>
        <v>#N/A</v>
      </c>
      <c r="BD313" s="290" t="e">
        <f t="shared" si="298"/>
        <v>#N/A</v>
      </c>
      <c r="BE313" s="263" t="e">
        <f t="shared" si="263"/>
        <v>#N/A</v>
      </c>
      <c r="BF313" s="260">
        <f t="shared" si="299"/>
        <v>7</v>
      </c>
      <c r="BG313" s="289" t="e">
        <f t="shared" si="300"/>
        <v>#N/A</v>
      </c>
      <c r="BH313" s="290" t="e">
        <f t="shared" si="301"/>
        <v>#N/A</v>
      </c>
      <c r="BI313" s="263" t="e">
        <f t="shared" si="264"/>
        <v>#N/A</v>
      </c>
      <c r="BJ313" s="264">
        <f t="shared" si="302"/>
        <v>7</v>
      </c>
      <c r="BK313" s="291" t="e">
        <f t="shared" si="303"/>
        <v>#N/A</v>
      </c>
      <c r="BL313" s="291" t="e">
        <f t="shared" si="304"/>
        <v>#N/A</v>
      </c>
      <c r="BM313" s="292" t="e">
        <f t="shared" si="265"/>
        <v>#N/A</v>
      </c>
      <c r="BN313" s="293">
        <f t="shared" si="305"/>
        <v>7</v>
      </c>
      <c r="BO313" s="294" t="e">
        <f t="shared" si="306"/>
        <v>#N/A</v>
      </c>
      <c r="BP313" s="294" t="e">
        <f t="shared" si="307"/>
        <v>#N/A</v>
      </c>
      <c r="BQ313" s="292" t="e">
        <f t="shared" si="266"/>
        <v>#N/A</v>
      </c>
      <c r="BR313" s="295" t="e">
        <f t="shared" si="267"/>
        <v>#N/A</v>
      </c>
      <c r="BS313" s="230" t="e">
        <f>VLOOKUP($B313,SDR22_STOCK_BY_LA!$A$2:$C$11679,3,0)</f>
        <v>#N/A</v>
      </c>
      <c r="BT313" s="230" t="str">
        <f t="shared" si="308"/>
        <v/>
      </c>
    </row>
    <row r="314" spans="1:72" ht="12.5" x14ac:dyDescent="0.25">
      <c r="A314" s="230" t="str">
        <f t="shared" si="309"/>
        <v/>
      </c>
      <c r="B314" s="230" t="str">
        <f t="shared" si="310"/>
        <v/>
      </c>
      <c r="C314" s="296" t="str">
        <f t="shared" si="268"/>
        <v/>
      </c>
      <c r="D314" s="269" t="str">
        <f>IF(B314="","",IF(totals!$Q$3=0,IFERROR(IF(AD314=2,"0",AE314),""),"-"))</f>
        <v/>
      </c>
      <c r="E314" s="271" t="str">
        <f t="shared" si="269"/>
        <v/>
      </c>
      <c r="F314" s="272" t="str">
        <f t="shared" si="270"/>
        <v/>
      </c>
      <c r="G314" s="272" t="str">
        <f t="shared" si="271"/>
        <v/>
      </c>
      <c r="H314" s="269" t="str">
        <f t="shared" si="249"/>
        <v/>
      </c>
      <c r="I314" s="272" t="str">
        <f t="shared" si="272"/>
        <v/>
      </c>
      <c r="J314" s="272" t="str">
        <f t="shared" si="273"/>
        <v/>
      </c>
      <c r="K314" s="269" t="str">
        <f t="shared" si="250"/>
        <v/>
      </c>
      <c r="L314" s="272" t="str">
        <f t="shared" si="251"/>
        <v/>
      </c>
      <c r="M314" s="272" t="str">
        <f t="shared" si="274"/>
        <v/>
      </c>
      <c r="N314" s="269" t="str">
        <f t="shared" si="275"/>
        <v/>
      </c>
      <c r="O314" s="272" t="str">
        <f t="shared" si="276"/>
        <v/>
      </c>
      <c r="P314" s="272" t="str">
        <f t="shared" si="277"/>
        <v/>
      </c>
      <c r="Q314" s="269" t="str">
        <f t="shared" si="278"/>
        <v/>
      </c>
      <c r="R314" s="272" t="str">
        <f t="shared" si="279"/>
        <v/>
      </c>
      <c r="S314" s="272" t="str">
        <f t="shared" si="280"/>
        <v/>
      </c>
      <c r="T314" s="269" t="str">
        <f t="shared" si="281"/>
        <v/>
      </c>
      <c r="U314" s="230"/>
      <c r="V314" s="230"/>
      <c r="AB314" s="230" t="e">
        <f>VLOOKUP($B$6,Lookup_Source,307,0)</f>
        <v>#N/A</v>
      </c>
      <c r="AC314" s="254" t="str">
        <f t="shared" si="282"/>
        <v/>
      </c>
      <c r="AD314" s="255">
        <f t="shared" si="283"/>
        <v>7</v>
      </c>
      <c r="AE314" s="274" t="e">
        <f t="shared" si="252"/>
        <v>#N/A</v>
      </c>
      <c r="AF314" s="277" t="e">
        <f t="shared" si="284"/>
        <v>#N/A</v>
      </c>
      <c r="AG314" s="277" t="e">
        <f t="shared" si="285"/>
        <v>#N/A</v>
      </c>
      <c r="AH314" s="276" t="e">
        <f t="shared" si="253"/>
        <v>#N/A</v>
      </c>
      <c r="AI314" s="239">
        <f t="shared" si="286"/>
        <v>7</v>
      </c>
      <c r="AJ314" s="277" t="e">
        <f t="shared" si="254"/>
        <v>#N/A</v>
      </c>
      <c r="AK314" s="277" t="e">
        <f t="shared" si="287"/>
        <v>#N/A</v>
      </c>
      <c r="AL314" s="239" t="e">
        <f t="shared" si="255"/>
        <v>#N/A</v>
      </c>
      <c r="AM314" s="278" t="e">
        <f t="shared" si="288"/>
        <v>#N/A</v>
      </c>
      <c r="AN314" s="279" t="e">
        <f t="shared" si="256"/>
        <v>#N/A</v>
      </c>
      <c r="AO314" s="240" t="e">
        <f t="shared" si="257"/>
        <v>#N/A</v>
      </c>
      <c r="AP314" s="297">
        <f t="shared" si="289"/>
        <v>7</v>
      </c>
      <c r="AQ314" s="298" t="e">
        <f t="shared" si="258"/>
        <v>#N/A</v>
      </c>
      <c r="AR314" s="279" t="e">
        <f t="shared" si="290"/>
        <v>#N/A</v>
      </c>
      <c r="AS314" s="283" t="e">
        <f t="shared" si="259"/>
        <v>#N/A</v>
      </c>
      <c r="AT314" s="284">
        <f t="shared" si="291"/>
        <v>7</v>
      </c>
      <c r="AU314" s="285" t="e">
        <f t="shared" si="292"/>
        <v>#N/A</v>
      </c>
      <c r="AV314" s="286" t="e">
        <f t="shared" si="293"/>
        <v>#N/A</v>
      </c>
      <c r="AW314" s="287" t="e">
        <f t="shared" si="260"/>
        <v>#N/A</v>
      </c>
      <c r="AX314" s="245">
        <f t="shared" si="294"/>
        <v>7</v>
      </c>
      <c r="AY314" s="286" t="e">
        <f t="shared" si="261"/>
        <v>#N/A</v>
      </c>
      <c r="AZ314" s="245" t="e">
        <f t="shared" si="295"/>
        <v>#N/A</v>
      </c>
      <c r="BA314" s="245" t="e">
        <f t="shared" si="262"/>
        <v>#N/A</v>
      </c>
      <c r="BB314" s="288">
        <f t="shared" si="296"/>
        <v>7</v>
      </c>
      <c r="BC314" s="289" t="e">
        <f t="shared" si="297"/>
        <v>#N/A</v>
      </c>
      <c r="BD314" s="290" t="e">
        <f t="shared" si="298"/>
        <v>#N/A</v>
      </c>
      <c r="BE314" s="263" t="e">
        <f t="shared" si="263"/>
        <v>#N/A</v>
      </c>
      <c r="BF314" s="260">
        <f t="shared" si="299"/>
        <v>7</v>
      </c>
      <c r="BG314" s="289" t="e">
        <f t="shared" si="300"/>
        <v>#N/A</v>
      </c>
      <c r="BH314" s="290" t="e">
        <f t="shared" si="301"/>
        <v>#N/A</v>
      </c>
      <c r="BI314" s="263" t="e">
        <f t="shared" si="264"/>
        <v>#N/A</v>
      </c>
      <c r="BJ314" s="264">
        <f t="shared" si="302"/>
        <v>7</v>
      </c>
      <c r="BK314" s="291" t="e">
        <f t="shared" si="303"/>
        <v>#N/A</v>
      </c>
      <c r="BL314" s="291" t="e">
        <f t="shared" si="304"/>
        <v>#N/A</v>
      </c>
      <c r="BM314" s="292" t="e">
        <f t="shared" si="265"/>
        <v>#N/A</v>
      </c>
      <c r="BN314" s="293">
        <f t="shared" si="305"/>
        <v>7</v>
      </c>
      <c r="BO314" s="294" t="e">
        <f t="shared" si="306"/>
        <v>#N/A</v>
      </c>
      <c r="BP314" s="294" t="e">
        <f t="shared" si="307"/>
        <v>#N/A</v>
      </c>
      <c r="BQ314" s="292" t="e">
        <f t="shared" si="266"/>
        <v>#N/A</v>
      </c>
      <c r="BR314" s="295" t="e">
        <f t="shared" si="267"/>
        <v>#N/A</v>
      </c>
      <c r="BS314" s="230" t="e">
        <f>VLOOKUP($B314,SDR22_STOCK_BY_LA!$A$2:$C$11679,3,0)</f>
        <v>#N/A</v>
      </c>
      <c r="BT314" s="230" t="str">
        <f t="shared" si="308"/>
        <v/>
      </c>
    </row>
    <row r="315" spans="1:72" ht="12.5" x14ac:dyDescent="0.25">
      <c r="A315" s="269" t="str">
        <f t="shared" si="309"/>
        <v/>
      </c>
      <c r="B315" s="230" t="str">
        <f t="shared" si="310"/>
        <v/>
      </c>
      <c r="C315" s="270" t="str">
        <f t="shared" si="268"/>
        <v/>
      </c>
      <c r="D315" s="269" t="str">
        <f>IF(B315="","",IF(totals!$Q$3=0,IFERROR(IF(AD315=2,"0",AE315),""),"-"))</f>
        <v/>
      </c>
      <c r="E315" s="271" t="str">
        <f t="shared" si="269"/>
        <v/>
      </c>
      <c r="F315" s="272" t="str">
        <f t="shared" si="270"/>
        <v/>
      </c>
      <c r="G315" s="272" t="str">
        <f t="shared" si="271"/>
        <v/>
      </c>
      <c r="H315" s="269" t="str">
        <f t="shared" si="249"/>
        <v/>
      </c>
      <c r="I315" s="272" t="str">
        <f t="shared" si="272"/>
        <v/>
      </c>
      <c r="J315" s="272" t="str">
        <f t="shared" si="273"/>
        <v/>
      </c>
      <c r="K315" s="269" t="str">
        <f t="shared" si="250"/>
        <v/>
      </c>
      <c r="L315" s="272" t="str">
        <f t="shared" si="251"/>
        <v/>
      </c>
      <c r="M315" s="272" t="str">
        <f t="shared" si="274"/>
        <v/>
      </c>
      <c r="N315" s="269" t="str">
        <f t="shared" si="275"/>
        <v/>
      </c>
      <c r="O315" s="272" t="str">
        <f t="shared" si="276"/>
        <v/>
      </c>
      <c r="P315" s="272" t="str">
        <f t="shared" si="277"/>
        <v/>
      </c>
      <c r="Q315" s="269" t="str">
        <f t="shared" si="278"/>
        <v/>
      </c>
      <c r="R315" s="272" t="str">
        <f t="shared" si="279"/>
        <v/>
      </c>
      <c r="S315" s="272" t="str">
        <f t="shared" si="280"/>
        <v/>
      </c>
      <c r="T315" s="269" t="str">
        <f t="shared" si="281"/>
        <v/>
      </c>
      <c r="U315" s="230"/>
      <c r="V315" s="230"/>
      <c r="AB315" s="270" t="e">
        <f>VLOOKUP($B$6,Lookup_Source,308,0)</f>
        <v>#N/A</v>
      </c>
      <c r="AC315" s="254" t="str">
        <f t="shared" si="282"/>
        <v/>
      </c>
      <c r="AD315" s="255">
        <f t="shared" si="283"/>
        <v>7</v>
      </c>
      <c r="AE315" s="274" t="e">
        <f t="shared" si="252"/>
        <v>#N/A</v>
      </c>
      <c r="AF315" s="277" t="e">
        <f t="shared" si="284"/>
        <v>#N/A</v>
      </c>
      <c r="AG315" s="277" t="e">
        <f t="shared" si="285"/>
        <v>#N/A</v>
      </c>
      <c r="AH315" s="276" t="e">
        <f t="shared" si="253"/>
        <v>#N/A</v>
      </c>
      <c r="AI315" s="239">
        <f t="shared" si="286"/>
        <v>7</v>
      </c>
      <c r="AJ315" s="277" t="e">
        <f t="shared" si="254"/>
        <v>#N/A</v>
      </c>
      <c r="AK315" s="277" t="e">
        <f t="shared" si="287"/>
        <v>#N/A</v>
      </c>
      <c r="AL315" s="239" t="e">
        <f t="shared" si="255"/>
        <v>#N/A</v>
      </c>
      <c r="AM315" s="278" t="e">
        <f t="shared" si="288"/>
        <v>#N/A</v>
      </c>
      <c r="AN315" s="279" t="e">
        <f t="shared" si="256"/>
        <v>#N/A</v>
      </c>
      <c r="AO315" s="240" t="e">
        <f t="shared" si="257"/>
        <v>#N/A</v>
      </c>
      <c r="AP315" s="297">
        <f t="shared" si="289"/>
        <v>7</v>
      </c>
      <c r="AQ315" s="298" t="e">
        <f t="shared" si="258"/>
        <v>#N/A</v>
      </c>
      <c r="AR315" s="279" t="e">
        <f t="shared" si="290"/>
        <v>#N/A</v>
      </c>
      <c r="AS315" s="283" t="e">
        <f t="shared" si="259"/>
        <v>#N/A</v>
      </c>
      <c r="AT315" s="284">
        <f t="shared" si="291"/>
        <v>7</v>
      </c>
      <c r="AU315" s="285" t="e">
        <f t="shared" si="292"/>
        <v>#N/A</v>
      </c>
      <c r="AV315" s="286" t="e">
        <f t="shared" si="293"/>
        <v>#N/A</v>
      </c>
      <c r="AW315" s="287" t="e">
        <f t="shared" si="260"/>
        <v>#N/A</v>
      </c>
      <c r="AX315" s="245">
        <f t="shared" si="294"/>
        <v>7</v>
      </c>
      <c r="AY315" s="286" t="e">
        <f t="shared" si="261"/>
        <v>#N/A</v>
      </c>
      <c r="AZ315" s="245" t="e">
        <f t="shared" si="295"/>
        <v>#N/A</v>
      </c>
      <c r="BA315" s="245" t="e">
        <f t="shared" si="262"/>
        <v>#N/A</v>
      </c>
      <c r="BB315" s="288">
        <f t="shared" si="296"/>
        <v>7</v>
      </c>
      <c r="BC315" s="289" t="e">
        <f t="shared" si="297"/>
        <v>#N/A</v>
      </c>
      <c r="BD315" s="290" t="e">
        <f t="shared" si="298"/>
        <v>#N/A</v>
      </c>
      <c r="BE315" s="263" t="e">
        <f t="shared" si="263"/>
        <v>#N/A</v>
      </c>
      <c r="BF315" s="260">
        <f t="shared" si="299"/>
        <v>7</v>
      </c>
      <c r="BG315" s="289" t="e">
        <f t="shared" si="300"/>
        <v>#N/A</v>
      </c>
      <c r="BH315" s="290" t="e">
        <f t="shared" si="301"/>
        <v>#N/A</v>
      </c>
      <c r="BI315" s="263" t="e">
        <f t="shared" si="264"/>
        <v>#N/A</v>
      </c>
      <c r="BJ315" s="264">
        <f t="shared" si="302"/>
        <v>7</v>
      </c>
      <c r="BK315" s="291" t="e">
        <f t="shared" si="303"/>
        <v>#N/A</v>
      </c>
      <c r="BL315" s="291" t="e">
        <f t="shared" si="304"/>
        <v>#N/A</v>
      </c>
      <c r="BM315" s="292" t="e">
        <f t="shared" si="265"/>
        <v>#N/A</v>
      </c>
      <c r="BN315" s="293">
        <f t="shared" si="305"/>
        <v>7</v>
      </c>
      <c r="BO315" s="294" t="e">
        <f t="shared" si="306"/>
        <v>#N/A</v>
      </c>
      <c r="BP315" s="294" t="e">
        <f t="shared" si="307"/>
        <v>#N/A</v>
      </c>
      <c r="BQ315" s="292" t="e">
        <f t="shared" si="266"/>
        <v>#N/A</v>
      </c>
      <c r="BR315" s="295" t="e">
        <f t="shared" si="267"/>
        <v>#N/A</v>
      </c>
      <c r="BS315" s="230" t="e">
        <f>VLOOKUP($B315,SDR22_STOCK_BY_LA!$A$2:$C$11679,3,0)</f>
        <v>#N/A</v>
      </c>
      <c r="BT315" s="230" t="str">
        <f t="shared" si="308"/>
        <v/>
      </c>
    </row>
    <row r="316" spans="1:72" ht="12.5" x14ac:dyDescent="0.25">
      <c r="A316" s="230" t="str">
        <f t="shared" si="309"/>
        <v/>
      </c>
      <c r="B316" s="230" t="str">
        <f t="shared" si="310"/>
        <v/>
      </c>
      <c r="C316" s="296" t="str">
        <f t="shared" si="268"/>
        <v/>
      </c>
      <c r="D316" s="269" t="str">
        <f>IF(B316="","",IF(totals!$Q$3=0,IFERROR(IF(AD316=2,"0",AE316),""),"-"))</f>
        <v/>
      </c>
      <c r="E316" s="271" t="str">
        <f t="shared" si="269"/>
        <v/>
      </c>
      <c r="F316" s="272" t="str">
        <f t="shared" si="270"/>
        <v/>
      </c>
      <c r="G316" s="272" t="str">
        <f t="shared" si="271"/>
        <v/>
      </c>
      <c r="H316" s="269" t="str">
        <f t="shared" si="249"/>
        <v/>
      </c>
      <c r="I316" s="272" t="str">
        <f t="shared" si="272"/>
        <v/>
      </c>
      <c r="J316" s="272" t="str">
        <f t="shared" si="273"/>
        <v/>
      </c>
      <c r="K316" s="269" t="str">
        <f t="shared" si="250"/>
        <v/>
      </c>
      <c r="L316" s="272" t="str">
        <f t="shared" si="251"/>
        <v/>
      </c>
      <c r="M316" s="272" t="str">
        <f t="shared" si="274"/>
        <v/>
      </c>
      <c r="N316" s="269" t="str">
        <f t="shared" si="275"/>
        <v/>
      </c>
      <c r="O316" s="272" t="str">
        <f t="shared" si="276"/>
        <v/>
      </c>
      <c r="P316" s="272" t="str">
        <f t="shared" si="277"/>
        <v/>
      </c>
      <c r="Q316" s="269" t="str">
        <f t="shared" si="278"/>
        <v/>
      </c>
      <c r="R316" s="272" t="str">
        <f t="shared" si="279"/>
        <v/>
      </c>
      <c r="S316" s="272" t="str">
        <f t="shared" si="280"/>
        <v/>
      </c>
      <c r="T316" s="269" t="str">
        <f t="shared" si="281"/>
        <v/>
      </c>
      <c r="U316" s="230"/>
      <c r="V316" s="230"/>
      <c r="AB316" s="230" t="e">
        <f>VLOOKUP($B$6,Lookup_Source,309,0)</f>
        <v>#N/A</v>
      </c>
      <c r="AC316" s="254" t="str">
        <f t="shared" si="282"/>
        <v/>
      </c>
      <c r="AD316" s="255">
        <f t="shared" si="283"/>
        <v>7</v>
      </c>
      <c r="AE316" s="274" t="e">
        <f t="shared" si="252"/>
        <v>#N/A</v>
      </c>
      <c r="AF316" s="277" t="e">
        <f t="shared" si="284"/>
        <v>#N/A</v>
      </c>
      <c r="AG316" s="277" t="e">
        <f t="shared" si="285"/>
        <v>#N/A</v>
      </c>
      <c r="AH316" s="276" t="e">
        <f t="shared" si="253"/>
        <v>#N/A</v>
      </c>
      <c r="AI316" s="239">
        <f t="shared" si="286"/>
        <v>7</v>
      </c>
      <c r="AJ316" s="277" t="e">
        <f t="shared" si="254"/>
        <v>#N/A</v>
      </c>
      <c r="AK316" s="277" t="e">
        <f t="shared" si="287"/>
        <v>#N/A</v>
      </c>
      <c r="AL316" s="239" t="e">
        <f t="shared" si="255"/>
        <v>#N/A</v>
      </c>
      <c r="AM316" s="278" t="e">
        <f t="shared" si="288"/>
        <v>#N/A</v>
      </c>
      <c r="AN316" s="279" t="e">
        <f t="shared" si="256"/>
        <v>#N/A</v>
      </c>
      <c r="AO316" s="240" t="e">
        <f t="shared" si="257"/>
        <v>#N/A</v>
      </c>
      <c r="AP316" s="297">
        <f t="shared" si="289"/>
        <v>7</v>
      </c>
      <c r="AQ316" s="298" t="e">
        <f t="shared" si="258"/>
        <v>#N/A</v>
      </c>
      <c r="AR316" s="279" t="e">
        <f t="shared" si="290"/>
        <v>#N/A</v>
      </c>
      <c r="AS316" s="283" t="e">
        <f t="shared" si="259"/>
        <v>#N/A</v>
      </c>
      <c r="AT316" s="284">
        <f t="shared" si="291"/>
        <v>7</v>
      </c>
      <c r="AU316" s="285" t="e">
        <f t="shared" si="292"/>
        <v>#N/A</v>
      </c>
      <c r="AV316" s="286" t="e">
        <f t="shared" si="293"/>
        <v>#N/A</v>
      </c>
      <c r="AW316" s="287" t="e">
        <f t="shared" si="260"/>
        <v>#N/A</v>
      </c>
      <c r="AX316" s="245">
        <f t="shared" si="294"/>
        <v>7</v>
      </c>
      <c r="AY316" s="286" t="e">
        <f t="shared" si="261"/>
        <v>#N/A</v>
      </c>
      <c r="AZ316" s="245" t="e">
        <f t="shared" si="295"/>
        <v>#N/A</v>
      </c>
      <c r="BA316" s="245" t="e">
        <f t="shared" si="262"/>
        <v>#N/A</v>
      </c>
      <c r="BB316" s="288">
        <f t="shared" si="296"/>
        <v>7</v>
      </c>
      <c r="BC316" s="289" t="e">
        <f t="shared" si="297"/>
        <v>#N/A</v>
      </c>
      <c r="BD316" s="290" t="e">
        <f t="shared" si="298"/>
        <v>#N/A</v>
      </c>
      <c r="BE316" s="263" t="e">
        <f t="shared" si="263"/>
        <v>#N/A</v>
      </c>
      <c r="BF316" s="260">
        <f t="shared" si="299"/>
        <v>7</v>
      </c>
      <c r="BG316" s="289" t="e">
        <f t="shared" si="300"/>
        <v>#N/A</v>
      </c>
      <c r="BH316" s="290" t="e">
        <f t="shared" si="301"/>
        <v>#N/A</v>
      </c>
      <c r="BI316" s="263" t="e">
        <f t="shared" si="264"/>
        <v>#N/A</v>
      </c>
      <c r="BJ316" s="264">
        <f t="shared" si="302"/>
        <v>7</v>
      </c>
      <c r="BK316" s="291" t="e">
        <f t="shared" si="303"/>
        <v>#N/A</v>
      </c>
      <c r="BL316" s="291" t="e">
        <f t="shared" si="304"/>
        <v>#N/A</v>
      </c>
      <c r="BM316" s="292" t="e">
        <f t="shared" si="265"/>
        <v>#N/A</v>
      </c>
      <c r="BN316" s="293">
        <f t="shared" si="305"/>
        <v>7</v>
      </c>
      <c r="BO316" s="294" t="e">
        <f t="shared" si="306"/>
        <v>#N/A</v>
      </c>
      <c r="BP316" s="294" t="e">
        <f t="shared" si="307"/>
        <v>#N/A</v>
      </c>
      <c r="BQ316" s="292" t="e">
        <f t="shared" si="266"/>
        <v>#N/A</v>
      </c>
      <c r="BR316" s="295" t="e">
        <f t="shared" si="267"/>
        <v>#N/A</v>
      </c>
      <c r="BS316" s="230" t="e">
        <f>VLOOKUP($B316,SDR22_STOCK_BY_LA!$A$2:$C$11679,3,0)</f>
        <v>#N/A</v>
      </c>
      <c r="BT316" s="230" t="str">
        <f t="shared" si="308"/>
        <v/>
      </c>
    </row>
    <row r="317" spans="1:72" ht="12.5" x14ac:dyDescent="0.25">
      <c r="A317" s="269" t="str">
        <f t="shared" si="309"/>
        <v/>
      </c>
      <c r="B317" s="230" t="str">
        <f t="shared" si="310"/>
        <v/>
      </c>
      <c r="C317" s="270" t="str">
        <f t="shared" si="268"/>
        <v/>
      </c>
      <c r="D317" s="269" t="str">
        <f>IF(B317="","",IF(totals!$Q$3=0,IFERROR(IF(AD317=2,"0",AE317),""),"-"))</f>
        <v/>
      </c>
      <c r="E317" s="271" t="str">
        <f t="shared" si="269"/>
        <v/>
      </c>
      <c r="F317" s="272" t="str">
        <f t="shared" si="270"/>
        <v/>
      </c>
      <c r="G317" s="272" t="str">
        <f t="shared" si="271"/>
        <v/>
      </c>
      <c r="H317" s="269" t="str">
        <f t="shared" si="249"/>
        <v/>
      </c>
      <c r="I317" s="272" t="str">
        <f t="shared" si="272"/>
        <v/>
      </c>
      <c r="J317" s="272" t="str">
        <f t="shared" si="273"/>
        <v/>
      </c>
      <c r="K317" s="269" t="str">
        <f t="shared" si="250"/>
        <v/>
      </c>
      <c r="L317" s="272" t="str">
        <f t="shared" si="251"/>
        <v/>
      </c>
      <c r="M317" s="272" t="str">
        <f t="shared" si="274"/>
        <v/>
      </c>
      <c r="N317" s="269" t="str">
        <f t="shared" si="275"/>
        <v/>
      </c>
      <c r="O317" s="272" t="str">
        <f t="shared" si="276"/>
        <v/>
      </c>
      <c r="P317" s="272" t="str">
        <f t="shared" si="277"/>
        <v/>
      </c>
      <c r="Q317" s="269" t="str">
        <f t="shared" si="278"/>
        <v/>
      </c>
      <c r="R317" s="272" t="str">
        <f t="shared" si="279"/>
        <v/>
      </c>
      <c r="S317" s="272" t="str">
        <f t="shared" si="280"/>
        <v/>
      </c>
      <c r="T317" s="269" t="str">
        <f t="shared" si="281"/>
        <v/>
      </c>
      <c r="U317" s="230"/>
      <c r="V317" s="230"/>
      <c r="AB317" s="270" t="e">
        <f>VLOOKUP($B$6,Lookup_Source,310,0)</f>
        <v>#N/A</v>
      </c>
      <c r="AC317" s="254" t="str">
        <f t="shared" si="282"/>
        <v/>
      </c>
      <c r="AD317" s="255">
        <f t="shared" si="283"/>
        <v>7</v>
      </c>
      <c r="AE317" s="274" t="e">
        <f t="shared" si="252"/>
        <v>#N/A</v>
      </c>
      <c r="AF317" s="277" t="e">
        <f t="shared" si="284"/>
        <v>#N/A</v>
      </c>
      <c r="AG317" s="277" t="e">
        <f t="shared" si="285"/>
        <v>#N/A</v>
      </c>
      <c r="AH317" s="276" t="e">
        <f t="shared" si="253"/>
        <v>#N/A</v>
      </c>
      <c r="AI317" s="239">
        <f t="shared" si="286"/>
        <v>7</v>
      </c>
      <c r="AJ317" s="277" t="e">
        <f t="shared" si="254"/>
        <v>#N/A</v>
      </c>
      <c r="AK317" s="277" t="e">
        <f t="shared" si="287"/>
        <v>#N/A</v>
      </c>
      <c r="AL317" s="239" t="e">
        <f t="shared" si="255"/>
        <v>#N/A</v>
      </c>
      <c r="AM317" s="278" t="e">
        <f t="shared" si="288"/>
        <v>#N/A</v>
      </c>
      <c r="AN317" s="279" t="e">
        <f t="shared" si="256"/>
        <v>#N/A</v>
      </c>
      <c r="AO317" s="240" t="e">
        <f t="shared" si="257"/>
        <v>#N/A</v>
      </c>
      <c r="AP317" s="297">
        <f t="shared" si="289"/>
        <v>7</v>
      </c>
      <c r="AQ317" s="298" t="e">
        <f t="shared" si="258"/>
        <v>#N/A</v>
      </c>
      <c r="AR317" s="279" t="e">
        <f t="shared" si="290"/>
        <v>#N/A</v>
      </c>
      <c r="AS317" s="283" t="e">
        <f t="shared" si="259"/>
        <v>#N/A</v>
      </c>
      <c r="AT317" s="284">
        <f t="shared" si="291"/>
        <v>7</v>
      </c>
      <c r="AU317" s="285" t="e">
        <f t="shared" si="292"/>
        <v>#N/A</v>
      </c>
      <c r="AV317" s="286" t="e">
        <f t="shared" si="293"/>
        <v>#N/A</v>
      </c>
      <c r="AW317" s="287" t="e">
        <f t="shared" si="260"/>
        <v>#N/A</v>
      </c>
      <c r="AX317" s="245">
        <f t="shared" si="294"/>
        <v>7</v>
      </c>
      <c r="AY317" s="286" t="e">
        <f t="shared" si="261"/>
        <v>#N/A</v>
      </c>
      <c r="AZ317" s="245" t="e">
        <f t="shared" si="295"/>
        <v>#N/A</v>
      </c>
      <c r="BA317" s="245" t="e">
        <f t="shared" si="262"/>
        <v>#N/A</v>
      </c>
      <c r="BB317" s="288">
        <f t="shared" si="296"/>
        <v>7</v>
      </c>
      <c r="BC317" s="289" t="e">
        <f t="shared" si="297"/>
        <v>#N/A</v>
      </c>
      <c r="BD317" s="290" t="e">
        <f t="shared" si="298"/>
        <v>#N/A</v>
      </c>
      <c r="BE317" s="263" t="e">
        <f t="shared" si="263"/>
        <v>#N/A</v>
      </c>
      <c r="BF317" s="260">
        <f t="shared" si="299"/>
        <v>7</v>
      </c>
      <c r="BG317" s="289" t="e">
        <f t="shared" si="300"/>
        <v>#N/A</v>
      </c>
      <c r="BH317" s="290" t="e">
        <f t="shared" si="301"/>
        <v>#N/A</v>
      </c>
      <c r="BI317" s="263" t="e">
        <f t="shared" si="264"/>
        <v>#N/A</v>
      </c>
      <c r="BJ317" s="264">
        <f t="shared" si="302"/>
        <v>7</v>
      </c>
      <c r="BK317" s="291" t="e">
        <f t="shared" si="303"/>
        <v>#N/A</v>
      </c>
      <c r="BL317" s="291" t="e">
        <f t="shared" si="304"/>
        <v>#N/A</v>
      </c>
      <c r="BM317" s="292" t="e">
        <f t="shared" si="265"/>
        <v>#N/A</v>
      </c>
      <c r="BN317" s="293">
        <f t="shared" si="305"/>
        <v>7</v>
      </c>
      <c r="BO317" s="294" t="e">
        <f t="shared" si="306"/>
        <v>#N/A</v>
      </c>
      <c r="BP317" s="294" t="e">
        <f t="shared" si="307"/>
        <v>#N/A</v>
      </c>
      <c r="BQ317" s="292" t="e">
        <f t="shared" si="266"/>
        <v>#N/A</v>
      </c>
      <c r="BR317" s="295" t="e">
        <f t="shared" si="267"/>
        <v>#N/A</v>
      </c>
      <c r="BS317" s="230" t="e">
        <f>VLOOKUP($B317,SDR22_STOCK_BY_LA!$A$2:$C$11679,3,0)</f>
        <v>#N/A</v>
      </c>
      <c r="BT317" s="230" t="str">
        <f t="shared" si="308"/>
        <v/>
      </c>
    </row>
    <row r="318" spans="1:72" ht="12.5" x14ac:dyDescent="0.25">
      <c r="A318" s="230" t="str">
        <f t="shared" si="309"/>
        <v/>
      </c>
      <c r="B318" s="230" t="str">
        <f t="shared" si="310"/>
        <v/>
      </c>
      <c r="C318" s="296" t="str">
        <f t="shared" si="268"/>
        <v/>
      </c>
      <c r="D318" s="269" t="str">
        <f>IF(B318="","",IF(totals!$Q$3=0,IFERROR(IF(AD318=2,"0",AE318),""),"-"))</f>
        <v/>
      </c>
      <c r="E318" s="271" t="str">
        <f t="shared" si="269"/>
        <v/>
      </c>
      <c r="F318" s="272" t="str">
        <f t="shared" si="270"/>
        <v/>
      </c>
      <c r="G318" s="272" t="str">
        <f t="shared" si="271"/>
        <v/>
      </c>
      <c r="H318" s="269" t="str">
        <f t="shared" si="249"/>
        <v/>
      </c>
      <c r="I318" s="272" t="str">
        <f t="shared" si="272"/>
        <v/>
      </c>
      <c r="J318" s="272" t="str">
        <f t="shared" si="273"/>
        <v/>
      </c>
      <c r="K318" s="269" t="str">
        <f t="shared" si="250"/>
        <v/>
      </c>
      <c r="L318" s="272" t="str">
        <f t="shared" si="251"/>
        <v/>
      </c>
      <c r="M318" s="272" t="str">
        <f t="shared" si="274"/>
        <v/>
      </c>
      <c r="N318" s="269" t="str">
        <f t="shared" si="275"/>
        <v/>
      </c>
      <c r="O318" s="272" t="str">
        <f t="shared" si="276"/>
        <v/>
      </c>
      <c r="P318" s="272" t="str">
        <f t="shared" si="277"/>
        <v/>
      </c>
      <c r="Q318" s="269" t="str">
        <f t="shared" si="278"/>
        <v/>
      </c>
      <c r="R318" s="272" t="str">
        <f t="shared" si="279"/>
        <v/>
      </c>
      <c r="S318" s="272" t="str">
        <f t="shared" si="280"/>
        <v/>
      </c>
      <c r="T318" s="269" t="str">
        <f t="shared" si="281"/>
        <v/>
      </c>
      <c r="U318" s="230"/>
      <c r="V318" s="230"/>
      <c r="AB318" s="230" t="e">
        <f>VLOOKUP($B$6,Lookup_Source,311,0)</f>
        <v>#N/A</v>
      </c>
      <c r="AC318" s="254" t="str">
        <f t="shared" si="282"/>
        <v/>
      </c>
      <c r="AD318" s="255">
        <f t="shared" si="283"/>
        <v>7</v>
      </c>
      <c r="AE318" s="274" t="e">
        <f t="shared" si="252"/>
        <v>#N/A</v>
      </c>
      <c r="AF318" s="277" t="e">
        <f t="shared" si="284"/>
        <v>#N/A</v>
      </c>
      <c r="AG318" s="277" t="e">
        <f t="shared" si="285"/>
        <v>#N/A</v>
      </c>
      <c r="AH318" s="276" t="e">
        <f t="shared" si="253"/>
        <v>#N/A</v>
      </c>
      <c r="AI318" s="239">
        <f t="shared" si="286"/>
        <v>7</v>
      </c>
      <c r="AJ318" s="277" t="e">
        <f t="shared" si="254"/>
        <v>#N/A</v>
      </c>
      <c r="AK318" s="277" t="e">
        <f t="shared" si="287"/>
        <v>#N/A</v>
      </c>
      <c r="AL318" s="239" t="e">
        <f t="shared" si="255"/>
        <v>#N/A</v>
      </c>
      <c r="AM318" s="278" t="e">
        <f t="shared" si="288"/>
        <v>#N/A</v>
      </c>
      <c r="AN318" s="279" t="e">
        <f t="shared" si="256"/>
        <v>#N/A</v>
      </c>
      <c r="AO318" s="240" t="e">
        <f t="shared" si="257"/>
        <v>#N/A</v>
      </c>
      <c r="AP318" s="297">
        <f t="shared" si="289"/>
        <v>7</v>
      </c>
      <c r="AQ318" s="298" t="e">
        <f t="shared" si="258"/>
        <v>#N/A</v>
      </c>
      <c r="AR318" s="279" t="e">
        <f t="shared" si="290"/>
        <v>#N/A</v>
      </c>
      <c r="AS318" s="283" t="e">
        <f t="shared" si="259"/>
        <v>#N/A</v>
      </c>
      <c r="AT318" s="284">
        <f t="shared" si="291"/>
        <v>7</v>
      </c>
      <c r="AU318" s="285" t="e">
        <f t="shared" si="292"/>
        <v>#N/A</v>
      </c>
      <c r="AV318" s="286" t="e">
        <f t="shared" si="293"/>
        <v>#N/A</v>
      </c>
      <c r="AW318" s="287" t="e">
        <f t="shared" si="260"/>
        <v>#N/A</v>
      </c>
      <c r="AX318" s="245">
        <f t="shared" si="294"/>
        <v>7</v>
      </c>
      <c r="AY318" s="286" t="e">
        <f t="shared" si="261"/>
        <v>#N/A</v>
      </c>
      <c r="AZ318" s="245" t="e">
        <f t="shared" si="295"/>
        <v>#N/A</v>
      </c>
      <c r="BA318" s="245" t="e">
        <f t="shared" si="262"/>
        <v>#N/A</v>
      </c>
      <c r="BB318" s="288">
        <f t="shared" si="296"/>
        <v>7</v>
      </c>
      <c r="BC318" s="289" t="e">
        <f t="shared" si="297"/>
        <v>#N/A</v>
      </c>
      <c r="BD318" s="290" t="e">
        <f t="shared" si="298"/>
        <v>#N/A</v>
      </c>
      <c r="BE318" s="263" t="e">
        <f t="shared" si="263"/>
        <v>#N/A</v>
      </c>
      <c r="BF318" s="260">
        <f t="shared" si="299"/>
        <v>7</v>
      </c>
      <c r="BG318" s="289" t="e">
        <f t="shared" si="300"/>
        <v>#N/A</v>
      </c>
      <c r="BH318" s="290" t="e">
        <f t="shared" si="301"/>
        <v>#N/A</v>
      </c>
      <c r="BI318" s="263" t="e">
        <f t="shared" si="264"/>
        <v>#N/A</v>
      </c>
      <c r="BJ318" s="264">
        <f t="shared" si="302"/>
        <v>7</v>
      </c>
      <c r="BK318" s="291" t="e">
        <f t="shared" si="303"/>
        <v>#N/A</v>
      </c>
      <c r="BL318" s="291" t="e">
        <f t="shared" si="304"/>
        <v>#N/A</v>
      </c>
      <c r="BM318" s="292" t="e">
        <f t="shared" si="265"/>
        <v>#N/A</v>
      </c>
      <c r="BN318" s="293">
        <f t="shared" si="305"/>
        <v>7</v>
      </c>
      <c r="BO318" s="294" t="e">
        <f t="shared" si="306"/>
        <v>#N/A</v>
      </c>
      <c r="BP318" s="294" t="e">
        <f t="shared" si="307"/>
        <v>#N/A</v>
      </c>
      <c r="BQ318" s="292" t="e">
        <f t="shared" si="266"/>
        <v>#N/A</v>
      </c>
      <c r="BR318" s="295" t="e">
        <f t="shared" si="267"/>
        <v>#N/A</v>
      </c>
      <c r="BS318" s="230" t="e">
        <f>VLOOKUP($B318,SDR22_STOCK_BY_LA!$A$2:$C$11679,3,0)</f>
        <v>#N/A</v>
      </c>
      <c r="BT318" s="230" t="str">
        <f t="shared" si="308"/>
        <v/>
      </c>
    </row>
    <row r="319" spans="1:72" ht="12.5" x14ac:dyDescent="0.25">
      <c r="A319" s="269" t="str">
        <f t="shared" si="309"/>
        <v/>
      </c>
      <c r="B319" s="230" t="str">
        <f t="shared" si="310"/>
        <v/>
      </c>
      <c r="C319" s="270" t="str">
        <f t="shared" si="268"/>
        <v/>
      </c>
      <c r="D319" s="269" t="str">
        <f>IF(B319="","",IF(totals!$Q$3=0,IFERROR(IF(AD319=2,"0",AE319),""),"-"))</f>
        <v/>
      </c>
      <c r="E319" s="271" t="str">
        <f t="shared" si="269"/>
        <v/>
      </c>
      <c r="F319" s="272" t="str">
        <f t="shared" si="270"/>
        <v/>
      </c>
      <c r="G319" s="272" t="str">
        <f t="shared" si="271"/>
        <v/>
      </c>
      <c r="H319" s="269" t="str">
        <f t="shared" si="249"/>
        <v/>
      </c>
      <c r="I319" s="272" t="str">
        <f t="shared" si="272"/>
        <v/>
      </c>
      <c r="J319" s="272" t="str">
        <f t="shared" si="273"/>
        <v/>
      </c>
      <c r="K319" s="269" t="str">
        <f t="shared" si="250"/>
        <v/>
      </c>
      <c r="L319" s="272" t="str">
        <f t="shared" si="251"/>
        <v/>
      </c>
      <c r="M319" s="272" t="str">
        <f t="shared" si="274"/>
        <v/>
      </c>
      <c r="N319" s="269" t="str">
        <f t="shared" si="275"/>
        <v/>
      </c>
      <c r="O319" s="272" t="str">
        <f t="shared" si="276"/>
        <v/>
      </c>
      <c r="P319" s="272" t="str">
        <f t="shared" si="277"/>
        <v/>
      </c>
      <c r="Q319" s="269" t="str">
        <f t="shared" si="278"/>
        <v/>
      </c>
      <c r="R319" s="272" t="str">
        <f t="shared" si="279"/>
        <v/>
      </c>
      <c r="S319" s="272" t="str">
        <f t="shared" si="280"/>
        <v/>
      </c>
      <c r="T319" s="269" t="str">
        <f t="shared" si="281"/>
        <v/>
      </c>
      <c r="U319" s="230"/>
      <c r="V319" s="230"/>
      <c r="AB319" s="270" t="e">
        <f>VLOOKUP($B$6,Lookup_Source,312,0)</f>
        <v>#N/A</v>
      </c>
      <c r="AC319" s="254" t="str">
        <f t="shared" si="282"/>
        <v/>
      </c>
      <c r="AD319" s="255">
        <f t="shared" si="283"/>
        <v>7</v>
      </c>
      <c r="AE319" s="274" t="e">
        <f t="shared" si="252"/>
        <v>#N/A</v>
      </c>
      <c r="AF319" s="277" t="e">
        <f t="shared" si="284"/>
        <v>#N/A</v>
      </c>
      <c r="AG319" s="277" t="e">
        <f t="shared" si="285"/>
        <v>#N/A</v>
      </c>
      <c r="AH319" s="276" t="e">
        <f t="shared" si="253"/>
        <v>#N/A</v>
      </c>
      <c r="AI319" s="239">
        <f t="shared" si="286"/>
        <v>7</v>
      </c>
      <c r="AJ319" s="277" t="e">
        <f t="shared" si="254"/>
        <v>#N/A</v>
      </c>
      <c r="AK319" s="277" t="e">
        <f t="shared" si="287"/>
        <v>#N/A</v>
      </c>
      <c r="AL319" s="239" t="e">
        <f t="shared" si="255"/>
        <v>#N/A</v>
      </c>
      <c r="AM319" s="278" t="e">
        <f t="shared" si="288"/>
        <v>#N/A</v>
      </c>
      <c r="AN319" s="279" t="e">
        <f t="shared" si="256"/>
        <v>#N/A</v>
      </c>
      <c r="AO319" s="240" t="e">
        <f t="shared" si="257"/>
        <v>#N/A</v>
      </c>
      <c r="AP319" s="297">
        <f t="shared" si="289"/>
        <v>7</v>
      </c>
      <c r="AQ319" s="298" t="e">
        <f t="shared" si="258"/>
        <v>#N/A</v>
      </c>
      <c r="AR319" s="279" t="e">
        <f t="shared" si="290"/>
        <v>#N/A</v>
      </c>
      <c r="AS319" s="283" t="e">
        <f t="shared" si="259"/>
        <v>#N/A</v>
      </c>
      <c r="AT319" s="284">
        <f t="shared" si="291"/>
        <v>7</v>
      </c>
      <c r="AU319" s="285" t="e">
        <f t="shared" si="292"/>
        <v>#N/A</v>
      </c>
      <c r="AV319" s="286" t="e">
        <f t="shared" si="293"/>
        <v>#N/A</v>
      </c>
      <c r="AW319" s="287" t="e">
        <f t="shared" si="260"/>
        <v>#N/A</v>
      </c>
      <c r="AX319" s="245">
        <f t="shared" si="294"/>
        <v>7</v>
      </c>
      <c r="AY319" s="286" t="e">
        <f t="shared" si="261"/>
        <v>#N/A</v>
      </c>
      <c r="AZ319" s="245" t="e">
        <f t="shared" si="295"/>
        <v>#N/A</v>
      </c>
      <c r="BA319" s="245" t="e">
        <f t="shared" si="262"/>
        <v>#N/A</v>
      </c>
      <c r="BB319" s="288">
        <f t="shared" si="296"/>
        <v>7</v>
      </c>
      <c r="BC319" s="289" t="e">
        <f t="shared" si="297"/>
        <v>#N/A</v>
      </c>
      <c r="BD319" s="290" t="e">
        <f t="shared" si="298"/>
        <v>#N/A</v>
      </c>
      <c r="BE319" s="263" t="e">
        <f t="shared" si="263"/>
        <v>#N/A</v>
      </c>
      <c r="BF319" s="260">
        <f t="shared" si="299"/>
        <v>7</v>
      </c>
      <c r="BG319" s="289" t="e">
        <f t="shared" si="300"/>
        <v>#N/A</v>
      </c>
      <c r="BH319" s="290" t="e">
        <f t="shared" si="301"/>
        <v>#N/A</v>
      </c>
      <c r="BI319" s="263" t="e">
        <f t="shared" si="264"/>
        <v>#N/A</v>
      </c>
      <c r="BJ319" s="264">
        <f t="shared" si="302"/>
        <v>7</v>
      </c>
      <c r="BK319" s="291" t="e">
        <f t="shared" si="303"/>
        <v>#N/A</v>
      </c>
      <c r="BL319" s="291" t="e">
        <f t="shared" si="304"/>
        <v>#N/A</v>
      </c>
      <c r="BM319" s="292" t="e">
        <f t="shared" si="265"/>
        <v>#N/A</v>
      </c>
      <c r="BN319" s="293">
        <f t="shared" si="305"/>
        <v>7</v>
      </c>
      <c r="BO319" s="294" t="e">
        <f t="shared" si="306"/>
        <v>#N/A</v>
      </c>
      <c r="BP319" s="294" t="e">
        <f t="shared" si="307"/>
        <v>#N/A</v>
      </c>
      <c r="BQ319" s="292" t="e">
        <f t="shared" si="266"/>
        <v>#N/A</v>
      </c>
      <c r="BR319" s="295" t="e">
        <f t="shared" si="267"/>
        <v>#N/A</v>
      </c>
      <c r="BS319" s="230" t="e">
        <f>VLOOKUP($B319,SDR22_STOCK_BY_LA!$A$2:$C$11679,3,0)</f>
        <v>#N/A</v>
      </c>
      <c r="BT319" s="230" t="str">
        <f t="shared" si="308"/>
        <v/>
      </c>
    </row>
    <row r="320" spans="1:72" ht="12.5" x14ac:dyDescent="0.25">
      <c r="A320" s="230" t="str">
        <f t="shared" si="309"/>
        <v/>
      </c>
      <c r="B320" s="230" t="str">
        <f t="shared" si="310"/>
        <v/>
      </c>
      <c r="C320" s="296" t="str">
        <f t="shared" si="268"/>
        <v/>
      </c>
      <c r="D320" s="269" t="str">
        <f>IF(B320="","",IF(totals!$Q$3=0,IFERROR(IF(AD320=2,"0",AE320),""),"-"))</f>
        <v/>
      </c>
      <c r="E320" s="271" t="str">
        <f t="shared" si="269"/>
        <v/>
      </c>
      <c r="F320" s="272" t="str">
        <f t="shared" si="270"/>
        <v/>
      </c>
      <c r="G320" s="272" t="str">
        <f t="shared" si="271"/>
        <v/>
      </c>
      <c r="H320" s="269" t="str">
        <f t="shared" si="249"/>
        <v/>
      </c>
      <c r="I320" s="272" t="str">
        <f t="shared" si="272"/>
        <v/>
      </c>
      <c r="J320" s="272" t="str">
        <f t="shared" si="273"/>
        <v/>
      </c>
      <c r="K320" s="269" t="str">
        <f t="shared" si="250"/>
        <v/>
      </c>
      <c r="L320" s="272" t="str">
        <f t="shared" si="251"/>
        <v/>
      </c>
      <c r="M320" s="272" t="str">
        <f t="shared" si="274"/>
        <v/>
      </c>
      <c r="N320" s="269" t="str">
        <f t="shared" si="275"/>
        <v/>
      </c>
      <c r="O320" s="272" t="str">
        <f t="shared" si="276"/>
        <v/>
      </c>
      <c r="P320" s="272" t="str">
        <f t="shared" si="277"/>
        <v/>
      </c>
      <c r="Q320" s="269" t="str">
        <f t="shared" si="278"/>
        <v/>
      </c>
      <c r="R320" s="272" t="str">
        <f t="shared" si="279"/>
        <v/>
      </c>
      <c r="S320" s="272" t="str">
        <f t="shared" si="280"/>
        <v/>
      </c>
      <c r="T320" s="269" t="str">
        <f t="shared" si="281"/>
        <v/>
      </c>
      <c r="U320" s="230"/>
      <c r="V320" s="230"/>
      <c r="AB320" s="230" t="e">
        <f>VLOOKUP($B$6,Lookup_Source,313,0)</f>
        <v>#N/A</v>
      </c>
      <c r="AC320" s="254" t="str">
        <f t="shared" si="282"/>
        <v/>
      </c>
      <c r="AD320" s="255">
        <f t="shared" si="283"/>
        <v>7</v>
      </c>
      <c r="AE320" s="274" t="e">
        <f t="shared" si="252"/>
        <v>#N/A</v>
      </c>
      <c r="AF320" s="277" t="e">
        <f t="shared" si="284"/>
        <v>#N/A</v>
      </c>
      <c r="AG320" s="277" t="e">
        <f t="shared" si="285"/>
        <v>#N/A</v>
      </c>
      <c r="AH320" s="276" t="e">
        <f t="shared" si="253"/>
        <v>#N/A</v>
      </c>
      <c r="AI320" s="239">
        <f t="shared" si="286"/>
        <v>7</v>
      </c>
      <c r="AJ320" s="277" t="e">
        <f t="shared" si="254"/>
        <v>#N/A</v>
      </c>
      <c r="AK320" s="277" t="e">
        <f t="shared" si="287"/>
        <v>#N/A</v>
      </c>
      <c r="AL320" s="239" t="e">
        <f t="shared" si="255"/>
        <v>#N/A</v>
      </c>
      <c r="AM320" s="278" t="e">
        <f t="shared" si="288"/>
        <v>#N/A</v>
      </c>
      <c r="AN320" s="279" t="e">
        <f t="shared" si="256"/>
        <v>#N/A</v>
      </c>
      <c r="AO320" s="240" t="e">
        <f t="shared" si="257"/>
        <v>#N/A</v>
      </c>
      <c r="AP320" s="297">
        <f t="shared" si="289"/>
        <v>7</v>
      </c>
      <c r="AQ320" s="298" t="e">
        <f t="shared" si="258"/>
        <v>#N/A</v>
      </c>
      <c r="AR320" s="279" t="e">
        <f t="shared" si="290"/>
        <v>#N/A</v>
      </c>
      <c r="AS320" s="283" t="e">
        <f t="shared" si="259"/>
        <v>#N/A</v>
      </c>
      <c r="AT320" s="284">
        <f t="shared" si="291"/>
        <v>7</v>
      </c>
      <c r="AU320" s="285" t="e">
        <f t="shared" si="292"/>
        <v>#N/A</v>
      </c>
      <c r="AV320" s="286" t="e">
        <f t="shared" si="293"/>
        <v>#N/A</v>
      </c>
      <c r="AW320" s="287" t="e">
        <f t="shared" si="260"/>
        <v>#N/A</v>
      </c>
      <c r="AX320" s="245">
        <f t="shared" si="294"/>
        <v>7</v>
      </c>
      <c r="AY320" s="286" t="e">
        <f t="shared" si="261"/>
        <v>#N/A</v>
      </c>
      <c r="AZ320" s="245" t="e">
        <f t="shared" si="295"/>
        <v>#N/A</v>
      </c>
      <c r="BA320" s="245" t="e">
        <f t="shared" si="262"/>
        <v>#N/A</v>
      </c>
      <c r="BB320" s="288">
        <f t="shared" si="296"/>
        <v>7</v>
      </c>
      <c r="BC320" s="289" t="e">
        <f t="shared" si="297"/>
        <v>#N/A</v>
      </c>
      <c r="BD320" s="290" t="e">
        <f t="shared" si="298"/>
        <v>#N/A</v>
      </c>
      <c r="BE320" s="263" t="e">
        <f t="shared" si="263"/>
        <v>#N/A</v>
      </c>
      <c r="BF320" s="260">
        <f t="shared" si="299"/>
        <v>7</v>
      </c>
      <c r="BG320" s="289" t="e">
        <f t="shared" si="300"/>
        <v>#N/A</v>
      </c>
      <c r="BH320" s="290" t="e">
        <f t="shared" si="301"/>
        <v>#N/A</v>
      </c>
      <c r="BI320" s="263" t="e">
        <f t="shared" si="264"/>
        <v>#N/A</v>
      </c>
      <c r="BJ320" s="264">
        <f t="shared" si="302"/>
        <v>7</v>
      </c>
      <c r="BK320" s="291" t="e">
        <f t="shared" si="303"/>
        <v>#N/A</v>
      </c>
      <c r="BL320" s="291" t="e">
        <f t="shared" si="304"/>
        <v>#N/A</v>
      </c>
      <c r="BM320" s="292" t="e">
        <f t="shared" si="265"/>
        <v>#N/A</v>
      </c>
      <c r="BN320" s="293">
        <f t="shared" si="305"/>
        <v>7</v>
      </c>
      <c r="BO320" s="294" t="e">
        <f t="shared" si="306"/>
        <v>#N/A</v>
      </c>
      <c r="BP320" s="294" t="e">
        <f t="shared" si="307"/>
        <v>#N/A</v>
      </c>
      <c r="BQ320" s="292" t="e">
        <f t="shared" si="266"/>
        <v>#N/A</v>
      </c>
      <c r="BR320" s="295" t="e">
        <f t="shared" si="267"/>
        <v>#N/A</v>
      </c>
      <c r="BS320" s="230" t="e">
        <f>VLOOKUP($B320,SDR22_STOCK_BY_LA!$A$2:$C$11679,3,0)</f>
        <v>#N/A</v>
      </c>
      <c r="BT320" s="230" t="str">
        <f t="shared" si="308"/>
        <v/>
      </c>
    </row>
    <row r="321" spans="1:72" ht="12.5" x14ac:dyDescent="0.25">
      <c r="A321" s="269" t="str">
        <f t="shared" si="309"/>
        <v/>
      </c>
      <c r="B321" s="230" t="str">
        <f t="shared" si="310"/>
        <v/>
      </c>
      <c r="C321" s="270" t="str">
        <f t="shared" si="268"/>
        <v/>
      </c>
      <c r="D321" s="269" t="str">
        <f>IF(B321="","",IF(totals!$Q$3=0,IFERROR(IF(AD321=2,"0",AE321),""),"-"))</f>
        <v/>
      </c>
      <c r="E321" s="271" t="str">
        <f t="shared" si="269"/>
        <v/>
      </c>
      <c r="F321" s="272" t="str">
        <f t="shared" si="270"/>
        <v/>
      </c>
      <c r="G321" s="272" t="str">
        <f t="shared" si="271"/>
        <v/>
      </c>
      <c r="H321" s="269" t="str">
        <f t="shared" si="249"/>
        <v/>
      </c>
      <c r="I321" s="272" t="str">
        <f t="shared" si="272"/>
        <v/>
      </c>
      <c r="J321" s="272" t="str">
        <f t="shared" si="273"/>
        <v/>
      </c>
      <c r="K321" s="269" t="str">
        <f t="shared" si="250"/>
        <v/>
      </c>
      <c r="L321" s="272" t="str">
        <f t="shared" si="251"/>
        <v/>
      </c>
      <c r="M321" s="272" t="str">
        <f t="shared" si="274"/>
        <v/>
      </c>
      <c r="N321" s="269" t="str">
        <f t="shared" si="275"/>
        <v/>
      </c>
      <c r="O321" s="272" t="str">
        <f t="shared" si="276"/>
        <v/>
      </c>
      <c r="P321" s="272" t="str">
        <f t="shared" si="277"/>
        <v/>
      </c>
      <c r="Q321" s="269" t="str">
        <f t="shared" si="278"/>
        <v/>
      </c>
      <c r="R321" s="272" t="str">
        <f t="shared" si="279"/>
        <v/>
      </c>
      <c r="S321" s="272" t="str">
        <f t="shared" si="280"/>
        <v/>
      </c>
      <c r="T321" s="269" t="str">
        <f t="shared" si="281"/>
        <v/>
      </c>
      <c r="U321" s="230"/>
      <c r="V321" s="230"/>
      <c r="AB321" s="270" t="e">
        <f>VLOOKUP($B$6,Lookup_Source,314,0)</f>
        <v>#N/A</v>
      </c>
      <c r="AC321" s="254" t="str">
        <f t="shared" si="282"/>
        <v/>
      </c>
      <c r="AD321" s="255">
        <f t="shared" si="283"/>
        <v>7</v>
      </c>
      <c r="AE321" s="274" t="e">
        <f t="shared" si="252"/>
        <v>#N/A</v>
      </c>
      <c r="AF321" s="277" t="e">
        <f t="shared" si="284"/>
        <v>#N/A</v>
      </c>
      <c r="AG321" s="277" t="e">
        <f t="shared" si="285"/>
        <v>#N/A</v>
      </c>
      <c r="AH321" s="276" t="e">
        <f t="shared" si="253"/>
        <v>#N/A</v>
      </c>
      <c r="AI321" s="239">
        <f t="shared" si="286"/>
        <v>7</v>
      </c>
      <c r="AJ321" s="277" t="e">
        <f t="shared" si="254"/>
        <v>#N/A</v>
      </c>
      <c r="AK321" s="277" t="e">
        <f t="shared" si="287"/>
        <v>#N/A</v>
      </c>
      <c r="AL321" s="239" t="e">
        <f t="shared" si="255"/>
        <v>#N/A</v>
      </c>
      <c r="AM321" s="278" t="e">
        <f t="shared" si="288"/>
        <v>#N/A</v>
      </c>
      <c r="AN321" s="279" t="e">
        <f t="shared" si="256"/>
        <v>#N/A</v>
      </c>
      <c r="AO321" s="240" t="e">
        <f t="shared" si="257"/>
        <v>#N/A</v>
      </c>
      <c r="AP321" s="297">
        <f t="shared" si="289"/>
        <v>7</v>
      </c>
      <c r="AQ321" s="298" t="e">
        <f t="shared" si="258"/>
        <v>#N/A</v>
      </c>
      <c r="AR321" s="279" t="e">
        <f t="shared" si="290"/>
        <v>#N/A</v>
      </c>
      <c r="AS321" s="283" t="e">
        <f t="shared" si="259"/>
        <v>#N/A</v>
      </c>
      <c r="AT321" s="284">
        <f t="shared" si="291"/>
        <v>7</v>
      </c>
      <c r="AU321" s="285" t="e">
        <f t="shared" si="292"/>
        <v>#N/A</v>
      </c>
      <c r="AV321" s="286" t="e">
        <f t="shared" si="293"/>
        <v>#N/A</v>
      </c>
      <c r="AW321" s="287" t="e">
        <f t="shared" si="260"/>
        <v>#N/A</v>
      </c>
      <c r="AX321" s="245">
        <f t="shared" si="294"/>
        <v>7</v>
      </c>
      <c r="AY321" s="286" t="e">
        <f t="shared" si="261"/>
        <v>#N/A</v>
      </c>
      <c r="AZ321" s="245" t="e">
        <f t="shared" si="295"/>
        <v>#N/A</v>
      </c>
      <c r="BA321" s="245" t="e">
        <f t="shared" si="262"/>
        <v>#N/A</v>
      </c>
      <c r="BB321" s="288">
        <f t="shared" si="296"/>
        <v>7</v>
      </c>
      <c r="BC321" s="289" t="e">
        <f t="shared" si="297"/>
        <v>#N/A</v>
      </c>
      <c r="BD321" s="290" t="e">
        <f t="shared" si="298"/>
        <v>#N/A</v>
      </c>
      <c r="BE321" s="263" t="e">
        <f t="shared" si="263"/>
        <v>#N/A</v>
      </c>
      <c r="BF321" s="260">
        <f t="shared" si="299"/>
        <v>7</v>
      </c>
      <c r="BG321" s="289" t="e">
        <f t="shared" si="300"/>
        <v>#N/A</v>
      </c>
      <c r="BH321" s="290" t="e">
        <f t="shared" si="301"/>
        <v>#N/A</v>
      </c>
      <c r="BI321" s="263" t="e">
        <f t="shared" si="264"/>
        <v>#N/A</v>
      </c>
      <c r="BJ321" s="264">
        <f t="shared" si="302"/>
        <v>7</v>
      </c>
      <c r="BK321" s="291" t="e">
        <f t="shared" si="303"/>
        <v>#N/A</v>
      </c>
      <c r="BL321" s="291" t="e">
        <f t="shared" si="304"/>
        <v>#N/A</v>
      </c>
      <c r="BM321" s="292" t="e">
        <f t="shared" si="265"/>
        <v>#N/A</v>
      </c>
      <c r="BN321" s="293">
        <f t="shared" si="305"/>
        <v>7</v>
      </c>
      <c r="BO321" s="294" t="e">
        <f t="shared" si="306"/>
        <v>#N/A</v>
      </c>
      <c r="BP321" s="294" t="e">
        <f t="shared" si="307"/>
        <v>#N/A</v>
      </c>
      <c r="BQ321" s="292" t="e">
        <f t="shared" si="266"/>
        <v>#N/A</v>
      </c>
      <c r="BR321" s="295" t="e">
        <f t="shared" si="267"/>
        <v>#N/A</v>
      </c>
      <c r="BS321" s="230" t="e">
        <f>VLOOKUP($B321,SDR22_STOCK_BY_LA!$A$2:$C$11679,3,0)</f>
        <v>#N/A</v>
      </c>
      <c r="BT321" s="230" t="str">
        <f t="shared" si="308"/>
        <v/>
      </c>
    </row>
    <row r="322" spans="1:72" ht="12.5" x14ac:dyDescent="0.25">
      <c r="A322" s="230" t="str">
        <f t="shared" si="309"/>
        <v/>
      </c>
      <c r="B322" s="230" t="str">
        <f t="shared" si="310"/>
        <v/>
      </c>
      <c r="C322" s="296" t="str">
        <f t="shared" si="268"/>
        <v/>
      </c>
      <c r="D322" s="269" t="str">
        <f>IF(B322="","",IF(totals!$Q$3=0,IFERROR(IF(AD322=2,"0",AE322),""),"-"))</f>
        <v/>
      </c>
      <c r="E322" s="271" t="str">
        <f t="shared" si="269"/>
        <v/>
      </c>
      <c r="F322" s="272" t="str">
        <f t="shared" si="270"/>
        <v/>
      </c>
      <c r="G322" s="272" t="str">
        <f t="shared" si="271"/>
        <v/>
      </c>
      <c r="H322" s="269" t="str">
        <f t="shared" si="249"/>
        <v/>
      </c>
      <c r="I322" s="272" t="str">
        <f t="shared" si="272"/>
        <v/>
      </c>
      <c r="J322" s="272" t="str">
        <f t="shared" si="273"/>
        <v/>
      </c>
      <c r="K322" s="269" t="str">
        <f t="shared" si="250"/>
        <v/>
      </c>
      <c r="L322" s="272" t="str">
        <f t="shared" si="251"/>
        <v/>
      </c>
      <c r="M322" s="272" t="str">
        <f t="shared" si="274"/>
        <v/>
      </c>
      <c r="N322" s="269" t="str">
        <f t="shared" si="275"/>
        <v/>
      </c>
      <c r="O322" s="272" t="str">
        <f t="shared" si="276"/>
        <v/>
      </c>
      <c r="P322" s="272" t="str">
        <f t="shared" si="277"/>
        <v/>
      </c>
      <c r="Q322" s="269" t="str">
        <f t="shared" si="278"/>
        <v/>
      </c>
      <c r="R322" s="272" t="str">
        <f t="shared" si="279"/>
        <v/>
      </c>
      <c r="S322" s="272" t="str">
        <f t="shared" si="280"/>
        <v/>
      </c>
      <c r="T322" s="269" t="str">
        <f t="shared" si="281"/>
        <v/>
      </c>
      <c r="U322" s="230"/>
      <c r="V322" s="230"/>
      <c r="AB322" s="230" t="e">
        <f>VLOOKUP($B$6,Lookup_Source,315,0)</f>
        <v>#N/A</v>
      </c>
      <c r="AC322" s="254" t="str">
        <f t="shared" si="282"/>
        <v/>
      </c>
      <c r="AD322" s="255">
        <f t="shared" si="283"/>
        <v>7</v>
      </c>
      <c r="AE322" s="274" t="e">
        <f t="shared" si="252"/>
        <v>#N/A</v>
      </c>
      <c r="AF322" s="277" t="e">
        <f t="shared" si="284"/>
        <v>#N/A</v>
      </c>
      <c r="AG322" s="277" t="e">
        <f t="shared" si="285"/>
        <v>#N/A</v>
      </c>
      <c r="AH322" s="276" t="e">
        <f t="shared" si="253"/>
        <v>#N/A</v>
      </c>
      <c r="AI322" s="239">
        <f t="shared" si="286"/>
        <v>7</v>
      </c>
      <c r="AJ322" s="277" t="e">
        <f t="shared" si="254"/>
        <v>#N/A</v>
      </c>
      <c r="AK322" s="277" t="e">
        <f t="shared" si="287"/>
        <v>#N/A</v>
      </c>
      <c r="AL322" s="239" t="e">
        <f t="shared" si="255"/>
        <v>#N/A</v>
      </c>
      <c r="AM322" s="278" t="e">
        <f t="shared" si="288"/>
        <v>#N/A</v>
      </c>
      <c r="AN322" s="279" t="e">
        <f t="shared" si="256"/>
        <v>#N/A</v>
      </c>
      <c r="AO322" s="240" t="e">
        <f t="shared" si="257"/>
        <v>#N/A</v>
      </c>
      <c r="AP322" s="297">
        <f t="shared" si="289"/>
        <v>7</v>
      </c>
      <c r="AQ322" s="298" t="e">
        <f t="shared" si="258"/>
        <v>#N/A</v>
      </c>
      <c r="AR322" s="279" t="e">
        <f t="shared" si="290"/>
        <v>#N/A</v>
      </c>
      <c r="AS322" s="283" t="e">
        <f t="shared" si="259"/>
        <v>#N/A</v>
      </c>
      <c r="AT322" s="284">
        <f t="shared" si="291"/>
        <v>7</v>
      </c>
      <c r="AU322" s="285" t="e">
        <f t="shared" si="292"/>
        <v>#N/A</v>
      </c>
      <c r="AV322" s="286" t="e">
        <f t="shared" si="293"/>
        <v>#N/A</v>
      </c>
      <c r="AW322" s="287" t="e">
        <f t="shared" si="260"/>
        <v>#N/A</v>
      </c>
      <c r="AX322" s="245">
        <f t="shared" si="294"/>
        <v>7</v>
      </c>
      <c r="AY322" s="286" t="e">
        <f t="shared" si="261"/>
        <v>#N/A</v>
      </c>
      <c r="AZ322" s="245" t="e">
        <f t="shared" si="295"/>
        <v>#N/A</v>
      </c>
      <c r="BA322" s="245" t="e">
        <f t="shared" si="262"/>
        <v>#N/A</v>
      </c>
      <c r="BB322" s="288">
        <f t="shared" si="296"/>
        <v>7</v>
      </c>
      <c r="BC322" s="289" t="e">
        <f t="shared" si="297"/>
        <v>#N/A</v>
      </c>
      <c r="BD322" s="290" t="e">
        <f t="shared" si="298"/>
        <v>#N/A</v>
      </c>
      <c r="BE322" s="263" t="e">
        <f t="shared" si="263"/>
        <v>#N/A</v>
      </c>
      <c r="BF322" s="260">
        <f t="shared" si="299"/>
        <v>7</v>
      </c>
      <c r="BG322" s="289" t="e">
        <f t="shared" si="300"/>
        <v>#N/A</v>
      </c>
      <c r="BH322" s="290" t="e">
        <f t="shared" si="301"/>
        <v>#N/A</v>
      </c>
      <c r="BI322" s="263" t="e">
        <f t="shared" si="264"/>
        <v>#N/A</v>
      </c>
      <c r="BJ322" s="264">
        <f t="shared" si="302"/>
        <v>7</v>
      </c>
      <c r="BK322" s="291" t="e">
        <f t="shared" si="303"/>
        <v>#N/A</v>
      </c>
      <c r="BL322" s="291" t="e">
        <f t="shared" si="304"/>
        <v>#N/A</v>
      </c>
      <c r="BM322" s="292" t="e">
        <f t="shared" si="265"/>
        <v>#N/A</v>
      </c>
      <c r="BN322" s="293">
        <f t="shared" si="305"/>
        <v>7</v>
      </c>
      <c r="BO322" s="294" t="e">
        <f t="shared" si="306"/>
        <v>#N/A</v>
      </c>
      <c r="BP322" s="294" t="e">
        <f t="shared" si="307"/>
        <v>#N/A</v>
      </c>
      <c r="BQ322" s="292" t="e">
        <f t="shared" si="266"/>
        <v>#N/A</v>
      </c>
      <c r="BR322" s="295" t="e">
        <f t="shared" si="267"/>
        <v>#N/A</v>
      </c>
      <c r="BS322" s="230" t="e">
        <f>VLOOKUP($B322,SDR22_STOCK_BY_LA!$A$2:$C$11679,3,0)</f>
        <v>#N/A</v>
      </c>
      <c r="BT322" s="230" t="str">
        <f t="shared" si="308"/>
        <v/>
      </c>
    </row>
    <row r="323" spans="1:72" ht="12.5" x14ac:dyDescent="0.25">
      <c r="A323" s="269" t="str">
        <f t="shared" si="309"/>
        <v/>
      </c>
      <c r="B323" s="230" t="str">
        <f t="shared" si="310"/>
        <v/>
      </c>
      <c r="C323" s="270" t="str">
        <f t="shared" si="268"/>
        <v/>
      </c>
      <c r="D323" s="269" t="str">
        <f>IF(B323="","",IF(totals!$Q$3=0,IFERROR(IF(AD323=2,"0",AE323),""),"-"))</f>
        <v/>
      </c>
      <c r="E323" s="271" t="str">
        <f t="shared" si="269"/>
        <v/>
      </c>
      <c r="F323" s="272" t="str">
        <f t="shared" si="270"/>
        <v/>
      </c>
      <c r="G323" s="272" t="str">
        <f t="shared" si="271"/>
        <v/>
      </c>
      <c r="H323" s="269" t="str">
        <f t="shared" si="249"/>
        <v/>
      </c>
      <c r="I323" s="272" t="str">
        <f t="shared" si="272"/>
        <v/>
      </c>
      <c r="J323" s="272" t="str">
        <f t="shared" si="273"/>
        <v/>
      </c>
      <c r="K323" s="269" t="str">
        <f t="shared" si="250"/>
        <v/>
      </c>
      <c r="L323" s="272" t="str">
        <f t="shared" si="251"/>
        <v/>
      </c>
      <c r="M323" s="272" t="str">
        <f t="shared" si="274"/>
        <v/>
      </c>
      <c r="N323" s="269" t="str">
        <f t="shared" si="275"/>
        <v/>
      </c>
      <c r="O323" s="272" t="str">
        <f t="shared" si="276"/>
        <v/>
      </c>
      <c r="P323" s="272" t="str">
        <f t="shared" si="277"/>
        <v/>
      </c>
      <c r="Q323" s="269" t="str">
        <f t="shared" si="278"/>
        <v/>
      </c>
      <c r="R323" s="272" t="str">
        <f t="shared" si="279"/>
        <v/>
      </c>
      <c r="S323" s="272" t="str">
        <f t="shared" si="280"/>
        <v/>
      </c>
      <c r="T323" s="269" t="str">
        <f t="shared" si="281"/>
        <v/>
      </c>
      <c r="U323" s="230"/>
      <c r="V323" s="230"/>
      <c r="AB323" s="270" t="e">
        <f>VLOOKUP($B$6,Lookup_Source,316,0)</f>
        <v>#N/A</v>
      </c>
      <c r="AC323" s="254" t="str">
        <f t="shared" si="282"/>
        <v/>
      </c>
      <c r="AD323" s="255">
        <f t="shared" si="283"/>
        <v>7</v>
      </c>
      <c r="AE323" s="274" t="e">
        <f t="shared" si="252"/>
        <v>#N/A</v>
      </c>
      <c r="AF323" s="277" t="e">
        <f t="shared" si="284"/>
        <v>#N/A</v>
      </c>
      <c r="AG323" s="277" t="e">
        <f t="shared" si="285"/>
        <v>#N/A</v>
      </c>
      <c r="AH323" s="276" t="e">
        <f t="shared" si="253"/>
        <v>#N/A</v>
      </c>
      <c r="AI323" s="239">
        <f t="shared" si="286"/>
        <v>7</v>
      </c>
      <c r="AJ323" s="277" t="e">
        <f t="shared" si="254"/>
        <v>#N/A</v>
      </c>
      <c r="AK323" s="277" t="e">
        <f t="shared" si="287"/>
        <v>#N/A</v>
      </c>
      <c r="AL323" s="239" t="e">
        <f t="shared" si="255"/>
        <v>#N/A</v>
      </c>
      <c r="AM323" s="278" t="e">
        <f t="shared" si="288"/>
        <v>#N/A</v>
      </c>
      <c r="AN323" s="279" t="e">
        <f t="shared" si="256"/>
        <v>#N/A</v>
      </c>
      <c r="AO323" s="240" t="e">
        <f t="shared" si="257"/>
        <v>#N/A</v>
      </c>
      <c r="AP323" s="297">
        <f t="shared" si="289"/>
        <v>7</v>
      </c>
      <c r="AQ323" s="298" t="e">
        <f t="shared" si="258"/>
        <v>#N/A</v>
      </c>
      <c r="AR323" s="279" t="e">
        <f t="shared" si="290"/>
        <v>#N/A</v>
      </c>
      <c r="AS323" s="283" t="e">
        <f t="shared" si="259"/>
        <v>#N/A</v>
      </c>
      <c r="AT323" s="284">
        <f t="shared" si="291"/>
        <v>7</v>
      </c>
      <c r="AU323" s="285" t="e">
        <f t="shared" si="292"/>
        <v>#N/A</v>
      </c>
      <c r="AV323" s="286" t="e">
        <f t="shared" si="293"/>
        <v>#N/A</v>
      </c>
      <c r="AW323" s="287" t="e">
        <f t="shared" si="260"/>
        <v>#N/A</v>
      </c>
      <c r="AX323" s="245">
        <f t="shared" si="294"/>
        <v>7</v>
      </c>
      <c r="AY323" s="286" t="e">
        <f t="shared" si="261"/>
        <v>#N/A</v>
      </c>
      <c r="AZ323" s="245" t="e">
        <f t="shared" si="295"/>
        <v>#N/A</v>
      </c>
      <c r="BA323" s="245" t="e">
        <f t="shared" si="262"/>
        <v>#N/A</v>
      </c>
      <c r="BB323" s="288">
        <f t="shared" si="296"/>
        <v>7</v>
      </c>
      <c r="BC323" s="289" t="e">
        <f t="shared" si="297"/>
        <v>#N/A</v>
      </c>
      <c r="BD323" s="290" t="e">
        <f t="shared" si="298"/>
        <v>#N/A</v>
      </c>
      <c r="BE323" s="263" t="e">
        <f t="shared" si="263"/>
        <v>#N/A</v>
      </c>
      <c r="BF323" s="260">
        <f t="shared" si="299"/>
        <v>7</v>
      </c>
      <c r="BG323" s="289" t="e">
        <f t="shared" si="300"/>
        <v>#N/A</v>
      </c>
      <c r="BH323" s="290" t="e">
        <f t="shared" si="301"/>
        <v>#N/A</v>
      </c>
      <c r="BI323" s="263" t="e">
        <f t="shared" si="264"/>
        <v>#N/A</v>
      </c>
      <c r="BJ323" s="264">
        <f t="shared" si="302"/>
        <v>7</v>
      </c>
      <c r="BK323" s="291" t="e">
        <f t="shared" si="303"/>
        <v>#N/A</v>
      </c>
      <c r="BL323" s="291" t="e">
        <f t="shared" si="304"/>
        <v>#N/A</v>
      </c>
      <c r="BM323" s="292" t="e">
        <f t="shared" si="265"/>
        <v>#N/A</v>
      </c>
      <c r="BN323" s="293">
        <f t="shared" si="305"/>
        <v>7</v>
      </c>
      <c r="BO323" s="294" t="e">
        <f t="shared" si="306"/>
        <v>#N/A</v>
      </c>
      <c r="BP323" s="294" t="e">
        <f t="shared" si="307"/>
        <v>#N/A</v>
      </c>
      <c r="BQ323" s="292" t="e">
        <f t="shared" si="266"/>
        <v>#N/A</v>
      </c>
      <c r="BR323" s="295" t="e">
        <f t="shared" si="267"/>
        <v>#N/A</v>
      </c>
      <c r="BS323" s="230" t="e">
        <f>VLOOKUP($B323,SDR22_STOCK_BY_LA!$A$2:$C$11679,3,0)</f>
        <v>#N/A</v>
      </c>
      <c r="BT323" s="230" t="str">
        <f t="shared" si="308"/>
        <v/>
      </c>
    </row>
    <row r="324" spans="1:72" ht="12.5" x14ac:dyDescent="0.25">
      <c r="A324" s="230" t="str">
        <f t="shared" si="309"/>
        <v/>
      </c>
      <c r="B324" s="230" t="str">
        <f t="shared" si="310"/>
        <v/>
      </c>
      <c r="C324" s="296" t="str">
        <f t="shared" si="268"/>
        <v/>
      </c>
      <c r="D324" s="269" t="str">
        <f>IF(B324="","",IF(totals!$Q$3=0,IFERROR(IF(AD324=2,"0",AE324),""),"-"))</f>
        <v/>
      </c>
      <c r="E324" s="271" t="str">
        <f t="shared" si="269"/>
        <v/>
      </c>
      <c r="F324" s="272" t="str">
        <f t="shared" si="270"/>
        <v/>
      </c>
      <c r="G324" s="272" t="str">
        <f t="shared" si="271"/>
        <v/>
      </c>
      <c r="H324" s="269" t="str">
        <f t="shared" si="249"/>
        <v/>
      </c>
      <c r="I324" s="272" t="str">
        <f t="shared" si="272"/>
        <v/>
      </c>
      <c r="J324" s="272" t="str">
        <f t="shared" si="273"/>
        <v/>
      </c>
      <c r="K324" s="269" t="str">
        <f t="shared" si="250"/>
        <v/>
      </c>
      <c r="L324" s="272" t="str">
        <f t="shared" si="251"/>
        <v/>
      </c>
      <c r="M324" s="272" t="str">
        <f t="shared" si="274"/>
        <v/>
      </c>
      <c r="N324" s="269" t="str">
        <f t="shared" si="275"/>
        <v/>
      </c>
      <c r="O324" s="272" t="str">
        <f t="shared" si="276"/>
        <v/>
      </c>
      <c r="P324" s="272" t="str">
        <f t="shared" si="277"/>
        <v/>
      </c>
      <c r="Q324" s="269" t="str">
        <f t="shared" si="278"/>
        <v/>
      </c>
      <c r="R324" s="272" t="str">
        <f t="shared" si="279"/>
        <v/>
      </c>
      <c r="S324" s="272" t="str">
        <f t="shared" si="280"/>
        <v/>
      </c>
      <c r="T324" s="269" t="str">
        <f t="shared" si="281"/>
        <v/>
      </c>
      <c r="U324" s="230"/>
      <c r="V324" s="230"/>
      <c r="AB324" s="230" t="e">
        <f>VLOOKUP($B$6,Lookup_Source,317,0)</f>
        <v>#N/A</v>
      </c>
      <c r="AC324" s="254" t="str">
        <f t="shared" si="282"/>
        <v/>
      </c>
      <c r="AD324" s="255">
        <f t="shared" si="283"/>
        <v>7</v>
      </c>
      <c r="AE324" s="274" t="e">
        <f t="shared" si="252"/>
        <v>#N/A</v>
      </c>
      <c r="AF324" s="277" t="e">
        <f t="shared" si="284"/>
        <v>#N/A</v>
      </c>
      <c r="AG324" s="277" t="e">
        <f t="shared" si="285"/>
        <v>#N/A</v>
      </c>
      <c r="AH324" s="276" t="e">
        <f t="shared" si="253"/>
        <v>#N/A</v>
      </c>
      <c r="AI324" s="239">
        <f t="shared" si="286"/>
        <v>7</v>
      </c>
      <c r="AJ324" s="277" t="e">
        <f t="shared" si="254"/>
        <v>#N/A</v>
      </c>
      <c r="AK324" s="277" t="e">
        <f t="shared" si="287"/>
        <v>#N/A</v>
      </c>
      <c r="AL324" s="239" t="e">
        <f t="shared" si="255"/>
        <v>#N/A</v>
      </c>
      <c r="AM324" s="278" t="e">
        <f t="shared" si="288"/>
        <v>#N/A</v>
      </c>
      <c r="AN324" s="279" t="e">
        <f t="shared" si="256"/>
        <v>#N/A</v>
      </c>
      <c r="AO324" s="240" t="e">
        <f t="shared" si="257"/>
        <v>#N/A</v>
      </c>
      <c r="AP324" s="297">
        <f t="shared" si="289"/>
        <v>7</v>
      </c>
      <c r="AQ324" s="298" t="e">
        <f t="shared" si="258"/>
        <v>#N/A</v>
      </c>
      <c r="AR324" s="279" t="e">
        <f t="shared" si="290"/>
        <v>#N/A</v>
      </c>
      <c r="AS324" s="283" t="e">
        <f t="shared" si="259"/>
        <v>#N/A</v>
      </c>
      <c r="AT324" s="284">
        <f t="shared" si="291"/>
        <v>7</v>
      </c>
      <c r="AU324" s="285" t="e">
        <f t="shared" si="292"/>
        <v>#N/A</v>
      </c>
      <c r="AV324" s="286" t="e">
        <f t="shared" si="293"/>
        <v>#N/A</v>
      </c>
      <c r="AW324" s="287" t="e">
        <f t="shared" si="260"/>
        <v>#N/A</v>
      </c>
      <c r="AX324" s="245">
        <f t="shared" si="294"/>
        <v>7</v>
      </c>
      <c r="AY324" s="286" t="e">
        <f t="shared" si="261"/>
        <v>#N/A</v>
      </c>
      <c r="AZ324" s="245" t="e">
        <f t="shared" si="295"/>
        <v>#N/A</v>
      </c>
      <c r="BA324" s="245" t="e">
        <f t="shared" si="262"/>
        <v>#N/A</v>
      </c>
      <c r="BB324" s="288">
        <f t="shared" si="296"/>
        <v>7</v>
      </c>
      <c r="BC324" s="289" t="e">
        <f t="shared" si="297"/>
        <v>#N/A</v>
      </c>
      <c r="BD324" s="290" t="e">
        <f t="shared" si="298"/>
        <v>#N/A</v>
      </c>
      <c r="BE324" s="263" t="e">
        <f t="shared" si="263"/>
        <v>#N/A</v>
      </c>
      <c r="BF324" s="260">
        <f t="shared" si="299"/>
        <v>7</v>
      </c>
      <c r="BG324" s="289" t="e">
        <f t="shared" si="300"/>
        <v>#N/A</v>
      </c>
      <c r="BH324" s="290" t="e">
        <f t="shared" si="301"/>
        <v>#N/A</v>
      </c>
      <c r="BI324" s="263" t="e">
        <f t="shared" si="264"/>
        <v>#N/A</v>
      </c>
      <c r="BJ324" s="264">
        <f t="shared" si="302"/>
        <v>7</v>
      </c>
      <c r="BK324" s="291" t="e">
        <f t="shared" si="303"/>
        <v>#N/A</v>
      </c>
      <c r="BL324" s="291" t="e">
        <f t="shared" si="304"/>
        <v>#N/A</v>
      </c>
      <c r="BM324" s="292" t="e">
        <f t="shared" si="265"/>
        <v>#N/A</v>
      </c>
      <c r="BN324" s="293">
        <f t="shared" si="305"/>
        <v>7</v>
      </c>
      <c r="BO324" s="294" t="e">
        <f t="shared" si="306"/>
        <v>#N/A</v>
      </c>
      <c r="BP324" s="294" t="e">
        <f t="shared" si="307"/>
        <v>#N/A</v>
      </c>
      <c r="BQ324" s="292" t="e">
        <f t="shared" si="266"/>
        <v>#N/A</v>
      </c>
      <c r="BR324" s="295" t="e">
        <f t="shared" si="267"/>
        <v>#N/A</v>
      </c>
      <c r="BS324" s="230" t="e">
        <f>VLOOKUP($B324,SDR22_STOCK_BY_LA!$A$2:$C$11679,3,0)</f>
        <v>#N/A</v>
      </c>
      <c r="BT324" s="230" t="str">
        <f t="shared" si="308"/>
        <v/>
      </c>
    </row>
    <row r="325" spans="1:72" ht="12.5" x14ac:dyDescent="0.25">
      <c r="A325" s="269" t="str">
        <f t="shared" si="309"/>
        <v/>
      </c>
      <c r="B325" s="230" t="str">
        <f t="shared" si="310"/>
        <v/>
      </c>
      <c r="C325" s="270" t="str">
        <f t="shared" si="268"/>
        <v/>
      </c>
      <c r="D325" s="269" t="str">
        <f>IF(B325="","",IF(totals!$Q$3=0,IFERROR(IF(AD325=2,"0",AE325),""),"-"))</f>
        <v/>
      </c>
      <c r="E325" s="271" t="str">
        <f t="shared" si="269"/>
        <v/>
      </c>
      <c r="F325" s="272" t="str">
        <f t="shared" si="270"/>
        <v/>
      </c>
      <c r="G325" s="272" t="str">
        <f t="shared" si="271"/>
        <v/>
      </c>
      <c r="H325" s="269" t="str">
        <f t="shared" si="249"/>
        <v/>
      </c>
      <c r="I325" s="272" t="str">
        <f t="shared" si="272"/>
        <v/>
      </c>
      <c r="J325" s="272" t="str">
        <f t="shared" si="273"/>
        <v/>
      </c>
      <c r="K325" s="269" t="str">
        <f t="shared" si="250"/>
        <v/>
      </c>
      <c r="L325" s="272" t="str">
        <f t="shared" si="251"/>
        <v/>
      </c>
      <c r="M325" s="272" t="str">
        <f t="shared" si="274"/>
        <v/>
      </c>
      <c r="N325" s="269" t="str">
        <f t="shared" si="275"/>
        <v/>
      </c>
      <c r="O325" s="272" t="str">
        <f t="shared" si="276"/>
        <v/>
      </c>
      <c r="P325" s="272" t="str">
        <f t="shared" si="277"/>
        <v/>
      </c>
      <c r="Q325" s="269" t="str">
        <f t="shared" si="278"/>
        <v/>
      </c>
      <c r="R325" s="272" t="str">
        <f t="shared" si="279"/>
        <v/>
      </c>
      <c r="S325" s="272" t="str">
        <f t="shared" si="280"/>
        <v/>
      </c>
      <c r="T325" s="269" t="str">
        <f t="shared" si="281"/>
        <v/>
      </c>
      <c r="U325" s="230"/>
      <c r="V325" s="230"/>
      <c r="AB325" s="270" t="e">
        <f>VLOOKUP($B$6,Lookup_Source,318,0)</f>
        <v>#N/A</v>
      </c>
      <c r="AC325" s="254" t="str">
        <f t="shared" si="282"/>
        <v/>
      </c>
      <c r="AD325" s="255">
        <f t="shared" si="283"/>
        <v>7</v>
      </c>
      <c r="AE325" s="274" t="e">
        <f t="shared" si="252"/>
        <v>#N/A</v>
      </c>
      <c r="AF325" s="277" t="e">
        <f t="shared" si="284"/>
        <v>#N/A</v>
      </c>
      <c r="AG325" s="277" t="e">
        <f t="shared" si="285"/>
        <v>#N/A</v>
      </c>
      <c r="AH325" s="276" t="e">
        <f t="shared" si="253"/>
        <v>#N/A</v>
      </c>
      <c r="AI325" s="239">
        <f t="shared" si="286"/>
        <v>7</v>
      </c>
      <c r="AJ325" s="277" t="e">
        <f t="shared" si="254"/>
        <v>#N/A</v>
      </c>
      <c r="AK325" s="277" t="e">
        <f t="shared" si="287"/>
        <v>#N/A</v>
      </c>
      <c r="AL325" s="239" t="e">
        <f t="shared" si="255"/>
        <v>#N/A</v>
      </c>
      <c r="AM325" s="278" t="e">
        <f t="shared" si="288"/>
        <v>#N/A</v>
      </c>
      <c r="AN325" s="279" t="e">
        <f t="shared" si="256"/>
        <v>#N/A</v>
      </c>
      <c r="AO325" s="240" t="e">
        <f t="shared" si="257"/>
        <v>#N/A</v>
      </c>
      <c r="AP325" s="297">
        <f t="shared" si="289"/>
        <v>7</v>
      </c>
      <c r="AQ325" s="298" t="e">
        <f t="shared" si="258"/>
        <v>#N/A</v>
      </c>
      <c r="AR325" s="279" t="e">
        <f t="shared" si="290"/>
        <v>#N/A</v>
      </c>
      <c r="AS325" s="283" t="e">
        <f t="shared" si="259"/>
        <v>#N/A</v>
      </c>
      <c r="AT325" s="284">
        <f t="shared" si="291"/>
        <v>7</v>
      </c>
      <c r="AU325" s="285" t="e">
        <f t="shared" si="292"/>
        <v>#N/A</v>
      </c>
      <c r="AV325" s="286" t="e">
        <f t="shared" si="293"/>
        <v>#N/A</v>
      </c>
      <c r="AW325" s="287" t="e">
        <f t="shared" si="260"/>
        <v>#N/A</v>
      </c>
      <c r="AX325" s="245">
        <f t="shared" si="294"/>
        <v>7</v>
      </c>
      <c r="AY325" s="286" t="e">
        <f t="shared" si="261"/>
        <v>#N/A</v>
      </c>
      <c r="AZ325" s="245" t="e">
        <f t="shared" si="295"/>
        <v>#N/A</v>
      </c>
      <c r="BA325" s="245" t="e">
        <f t="shared" si="262"/>
        <v>#N/A</v>
      </c>
      <c r="BB325" s="288">
        <f t="shared" si="296"/>
        <v>7</v>
      </c>
      <c r="BC325" s="289" t="e">
        <f t="shared" si="297"/>
        <v>#N/A</v>
      </c>
      <c r="BD325" s="290" t="e">
        <f t="shared" si="298"/>
        <v>#N/A</v>
      </c>
      <c r="BE325" s="263" t="e">
        <f t="shared" si="263"/>
        <v>#N/A</v>
      </c>
      <c r="BF325" s="260">
        <f t="shared" si="299"/>
        <v>7</v>
      </c>
      <c r="BG325" s="289" t="e">
        <f t="shared" si="300"/>
        <v>#N/A</v>
      </c>
      <c r="BH325" s="290" t="e">
        <f t="shared" si="301"/>
        <v>#N/A</v>
      </c>
      <c r="BI325" s="263" t="e">
        <f t="shared" si="264"/>
        <v>#N/A</v>
      </c>
      <c r="BJ325" s="264">
        <f t="shared" si="302"/>
        <v>7</v>
      </c>
      <c r="BK325" s="291" t="e">
        <f t="shared" si="303"/>
        <v>#N/A</v>
      </c>
      <c r="BL325" s="291" t="e">
        <f t="shared" si="304"/>
        <v>#N/A</v>
      </c>
      <c r="BM325" s="292" t="e">
        <f t="shared" si="265"/>
        <v>#N/A</v>
      </c>
      <c r="BN325" s="293">
        <f t="shared" si="305"/>
        <v>7</v>
      </c>
      <c r="BO325" s="294" t="e">
        <f t="shared" si="306"/>
        <v>#N/A</v>
      </c>
      <c r="BP325" s="294" t="e">
        <f t="shared" si="307"/>
        <v>#N/A</v>
      </c>
      <c r="BQ325" s="292" t="e">
        <f t="shared" si="266"/>
        <v>#N/A</v>
      </c>
      <c r="BR325" s="295" t="e">
        <f t="shared" si="267"/>
        <v>#N/A</v>
      </c>
      <c r="BS325" s="230" t="e">
        <f>VLOOKUP($B325,SDR22_STOCK_BY_LA!$A$2:$C$11679,3,0)</f>
        <v>#N/A</v>
      </c>
      <c r="BT325" s="230" t="str">
        <f t="shared" si="308"/>
        <v/>
      </c>
    </row>
    <row r="326" spans="1:72" ht="12.5" x14ac:dyDescent="0.25">
      <c r="A326" s="230" t="str">
        <f t="shared" si="309"/>
        <v/>
      </c>
      <c r="B326" s="230" t="str">
        <f t="shared" si="310"/>
        <v/>
      </c>
      <c r="C326" s="296" t="str">
        <f t="shared" si="268"/>
        <v/>
      </c>
      <c r="D326" s="269" t="str">
        <f>IF(B326="","",IF(totals!$Q$3=0,IFERROR(IF(AD326=2,"0",AE326),""),"-"))</f>
        <v/>
      </c>
      <c r="E326" s="271" t="str">
        <f t="shared" si="269"/>
        <v/>
      </c>
      <c r="F326" s="272" t="str">
        <f t="shared" si="270"/>
        <v/>
      </c>
      <c r="G326" s="272" t="str">
        <f t="shared" si="271"/>
        <v/>
      </c>
      <c r="H326" s="269" t="str">
        <f t="shared" si="249"/>
        <v/>
      </c>
      <c r="I326" s="272" t="str">
        <f t="shared" si="272"/>
        <v/>
      </c>
      <c r="J326" s="272" t="str">
        <f t="shared" si="273"/>
        <v/>
      </c>
      <c r="K326" s="269" t="str">
        <f t="shared" si="250"/>
        <v/>
      </c>
      <c r="L326" s="272" t="str">
        <f t="shared" si="251"/>
        <v/>
      </c>
      <c r="M326" s="272" t="str">
        <f t="shared" si="274"/>
        <v/>
      </c>
      <c r="N326" s="269" t="str">
        <f t="shared" si="275"/>
        <v/>
      </c>
      <c r="O326" s="272" t="str">
        <f t="shared" si="276"/>
        <v/>
      </c>
      <c r="P326" s="272" t="str">
        <f t="shared" si="277"/>
        <v/>
      </c>
      <c r="Q326" s="269" t="str">
        <f t="shared" si="278"/>
        <v/>
      </c>
      <c r="R326" s="272" t="str">
        <f t="shared" si="279"/>
        <v/>
      </c>
      <c r="S326" s="272" t="str">
        <f t="shared" si="280"/>
        <v/>
      </c>
      <c r="T326" s="269" t="str">
        <f t="shared" si="281"/>
        <v/>
      </c>
      <c r="U326" s="230"/>
      <c r="V326" s="230"/>
      <c r="AB326" s="230" t="e">
        <f>VLOOKUP($B$6,Lookup_Source,319,0)</f>
        <v>#N/A</v>
      </c>
      <c r="AC326" s="254" t="str">
        <f t="shared" si="282"/>
        <v/>
      </c>
      <c r="AD326" s="255">
        <f t="shared" si="283"/>
        <v>7</v>
      </c>
      <c r="AE326" s="274" t="e">
        <f t="shared" si="252"/>
        <v>#N/A</v>
      </c>
      <c r="AF326" s="277" t="e">
        <f t="shared" si="284"/>
        <v>#N/A</v>
      </c>
      <c r="AG326" s="277" t="e">
        <f t="shared" si="285"/>
        <v>#N/A</v>
      </c>
      <c r="AH326" s="276" t="e">
        <f t="shared" si="253"/>
        <v>#N/A</v>
      </c>
      <c r="AI326" s="239">
        <f t="shared" si="286"/>
        <v>7</v>
      </c>
      <c r="AJ326" s="277" t="e">
        <f t="shared" si="254"/>
        <v>#N/A</v>
      </c>
      <c r="AK326" s="277" t="e">
        <f t="shared" si="287"/>
        <v>#N/A</v>
      </c>
      <c r="AL326" s="239" t="e">
        <f t="shared" si="255"/>
        <v>#N/A</v>
      </c>
      <c r="AM326" s="278" t="e">
        <f t="shared" si="288"/>
        <v>#N/A</v>
      </c>
      <c r="AN326" s="279" t="e">
        <f t="shared" si="256"/>
        <v>#N/A</v>
      </c>
      <c r="AO326" s="240" t="e">
        <f t="shared" si="257"/>
        <v>#N/A</v>
      </c>
      <c r="AP326" s="297">
        <f t="shared" si="289"/>
        <v>7</v>
      </c>
      <c r="AQ326" s="298" t="e">
        <f t="shared" si="258"/>
        <v>#N/A</v>
      </c>
      <c r="AR326" s="279" t="e">
        <f t="shared" si="290"/>
        <v>#N/A</v>
      </c>
      <c r="AS326" s="283" t="e">
        <f t="shared" si="259"/>
        <v>#N/A</v>
      </c>
      <c r="AT326" s="284">
        <f t="shared" si="291"/>
        <v>7</v>
      </c>
      <c r="AU326" s="285" t="e">
        <f t="shared" si="292"/>
        <v>#N/A</v>
      </c>
      <c r="AV326" s="286" t="e">
        <f t="shared" si="293"/>
        <v>#N/A</v>
      </c>
      <c r="AW326" s="287" t="e">
        <f t="shared" si="260"/>
        <v>#N/A</v>
      </c>
      <c r="AX326" s="245">
        <f t="shared" si="294"/>
        <v>7</v>
      </c>
      <c r="AY326" s="286" t="e">
        <f t="shared" si="261"/>
        <v>#N/A</v>
      </c>
      <c r="AZ326" s="245" t="e">
        <f t="shared" si="295"/>
        <v>#N/A</v>
      </c>
      <c r="BA326" s="245" t="e">
        <f t="shared" si="262"/>
        <v>#N/A</v>
      </c>
      <c r="BB326" s="288">
        <f t="shared" si="296"/>
        <v>7</v>
      </c>
      <c r="BC326" s="289" t="e">
        <f t="shared" si="297"/>
        <v>#N/A</v>
      </c>
      <c r="BD326" s="290" t="e">
        <f t="shared" si="298"/>
        <v>#N/A</v>
      </c>
      <c r="BE326" s="263" t="e">
        <f t="shared" si="263"/>
        <v>#N/A</v>
      </c>
      <c r="BF326" s="260">
        <f t="shared" si="299"/>
        <v>7</v>
      </c>
      <c r="BG326" s="289" t="e">
        <f t="shared" si="300"/>
        <v>#N/A</v>
      </c>
      <c r="BH326" s="290" t="e">
        <f t="shared" si="301"/>
        <v>#N/A</v>
      </c>
      <c r="BI326" s="263" t="e">
        <f t="shared" si="264"/>
        <v>#N/A</v>
      </c>
      <c r="BJ326" s="264">
        <f t="shared" si="302"/>
        <v>7</v>
      </c>
      <c r="BK326" s="291" t="e">
        <f t="shared" si="303"/>
        <v>#N/A</v>
      </c>
      <c r="BL326" s="291" t="e">
        <f t="shared" si="304"/>
        <v>#N/A</v>
      </c>
      <c r="BM326" s="292" t="e">
        <f t="shared" si="265"/>
        <v>#N/A</v>
      </c>
      <c r="BN326" s="293">
        <f t="shared" si="305"/>
        <v>7</v>
      </c>
      <c r="BO326" s="294" t="e">
        <f t="shared" si="306"/>
        <v>#N/A</v>
      </c>
      <c r="BP326" s="294" t="e">
        <f t="shared" si="307"/>
        <v>#N/A</v>
      </c>
      <c r="BQ326" s="292" t="e">
        <f t="shared" si="266"/>
        <v>#N/A</v>
      </c>
      <c r="BR326" s="295" t="e">
        <f t="shared" si="267"/>
        <v>#N/A</v>
      </c>
      <c r="BS326" s="230" t="e">
        <f>VLOOKUP($B326,SDR22_STOCK_BY_LA!$A$2:$C$11679,3,0)</f>
        <v>#N/A</v>
      </c>
      <c r="BT326" s="230" t="str">
        <f t="shared" si="308"/>
        <v/>
      </c>
    </row>
    <row r="327" spans="1:72" ht="12.5" x14ac:dyDescent="0.25">
      <c r="A327" s="269" t="str">
        <f t="shared" si="309"/>
        <v/>
      </c>
      <c r="B327" s="230" t="str">
        <f t="shared" si="310"/>
        <v/>
      </c>
      <c r="C327" s="270" t="str">
        <f t="shared" si="268"/>
        <v/>
      </c>
      <c r="D327" s="269" t="str">
        <f>IF(B327="","",IF(totals!$Q$3=0,IFERROR(IF(AD327=2,"0",AE327),""),"-"))</f>
        <v/>
      </c>
      <c r="E327" s="271" t="str">
        <f t="shared" si="269"/>
        <v/>
      </c>
      <c r="F327" s="272" t="str">
        <f t="shared" si="270"/>
        <v/>
      </c>
      <c r="G327" s="272" t="str">
        <f t="shared" si="271"/>
        <v/>
      </c>
      <c r="H327" s="269" t="str">
        <f t="shared" si="249"/>
        <v/>
      </c>
      <c r="I327" s="272" t="str">
        <f t="shared" si="272"/>
        <v/>
      </c>
      <c r="J327" s="272" t="str">
        <f t="shared" si="273"/>
        <v/>
      </c>
      <c r="K327" s="269" t="str">
        <f t="shared" si="250"/>
        <v/>
      </c>
      <c r="L327" s="272" t="str">
        <f t="shared" si="251"/>
        <v/>
      </c>
      <c r="M327" s="272" t="str">
        <f t="shared" si="274"/>
        <v/>
      </c>
      <c r="N327" s="269" t="str">
        <f t="shared" si="275"/>
        <v/>
      </c>
      <c r="O327" s="272" t="str">
        <f t="shared" si="276"/>
        <v/>
      </c>
      <c r="P327" s="272" t="str">
        <f t="shared" si="277"/>
        <v/>
      </c>
      <c r="Q327" s="269" t="str">
        <f t="shared" si="278"/>
        <v/>
      </c>
      <c r="R327" s="272" t="str">
        <f t="shared" si="279"/>
        <v/>
      </c>
      <c r="S327" s="272" t="str">
        <f t="shared" si="280"/>
        <v/>
      </c>
      <c r="T327" s="269" t="str">
        <f t="shared" si="281"/>
        <v/>
      </c>
      <c r="U327" s="230"/>
      <c r="V327" s="230"/>
      <c r="AB327" s="270" t="e">
        <f>VLOOKUP($B$6,Lookup_Source,320,0)</f>
        <v>#N/A</v>
      </c>
      <c r="AC327" s="254" t="str">
        <f t="shared" si="282"/>
        <v/>
      </c>
      <c r="AD327" s="255">
        <f t="shared" si="283"/>
        <v>7</v>
      </c>
      <c r="AE327" s="274" t="e">
        <f t="shared" si="252"/>
        <v>#N/A</v>
      </c>
      <c r="AF327" s="277" t="e">
        <f t="shared" si="284"/>
        <v>#N/A</v>
      </c>
      <c r="AG327" s="277" t="e">
        <f t="shared" si="285"/>
        <v>#N/A</v>
      </c>
      <c r="AH327" s="276" t="e">
        <f t="shared" si="253"/>
        <v>#N/A</v>
      </c>
      <c r="AI327" s="239">
        <f t="shared" si="286"/>
        <v>7</v>
      </c>
      <c r="AJ327" s="277" t="e">
        <f t="shared" si="254"/>
        <v>#N/A</v>
      </c>
      <c r="AK327" s="277" t="e">
        <f t="shared" si="287"/>
        <v>#N/A</v>
      </c>
      <c r="AL327" s="239" t="e">
        <f t="shared" si="255"/>
        <v>#N/A</v>
      </c>
      <c r="AM327" s="278" t="e">
        <f t="shared" si="288"/>
        <v>#N/A</v>
      </c>
      <c r="AN327" s="279" t="e">
        <f t="shared" si="256"/>
        <v>#N/A</v>
      </c>
      <c r="AO327" s="240" t="e">
        <f t="shared" si="257"/>
        <v>#N/A</v>
      </c>
      <c r="AP327" s="297">
        <f t="shared" si="289"/>
        <v>7</v>
      </c>
      <c r="AQ327" s="298" t="e">
        <f t="shared" si="258"/>
        <v>#N/A</v>
      </c>
      <c r="AR327" s="279" t="e">
        <f t="shared" si="290"/>
        <v>#N/A</v>
      </c>
      <c r="AS327" s="283" t="e">
        <f t="shared" si="259"/>
        <v>#N/A</v>
      </c>
      <c r="AT327" s="284">
        <f t="shared" si="291"/>
        <v>7</v>
      </c>
      <c r="AU327" s="285" t="e">
        <f t="shared" si="292"/>
        <v>#N/A</v>
      </c>
      <c r="AV327" s="286" t="e">
        <f t="shared" si="293"/>
        <v>#N/A</v>
      </c>
      <c r="AW327" s="287" t="e">
        <f t="shared" si="260"/>
        <v>#N/A</v>
      </c>
      <c r="AX327" s="245">
        <f t="shared" si="294"/>
        <v>7</v>
      </c>
      <c r="AY327" s="286" t="e">
        <f t="shared" si="261"/>
        <v>#N/A</v>
      </c>
      <c r="AZ327" s="245" t="e">
        <f t="shared" si="295"/>
        <v>#N/A</v>
      </c>
      <c r="BA327" s="245" t="e">
        <f t="shared" si="262"/>
        <v>#N/A</v>
      </c>
      <c r="BB327" s="288">
        <f t="shared" si="296"/>
        <v>7</v>
      </c>
      <c r="BC327" s="289" t="e">
        <f t="shared" si="297"/>
        <v>#N/A</v>
      </c>
      <c r="BD327" s="290" t="e">
        <f t="shared" si="298"/>
        <v>#N/A</v>
      </c>
      <c r="BE327" s="263" t="e">
        <f t="shared" si="263"/>
        <v>#N/A</v>
      </c>
      <c r="BF327" s="260">
        <f t="shared" si="299"/>
        <v>7</v>
      </c>
      <c r="BG327" s="289" t="e">
        <f t="shared" si="300"/>
        <v>#N/A</v>
      </c>
      <c r="BH327" s="290" t="e">
        <f t="shared" si="301"/>
        <v>#N/A</v>
      </c>
      <c r="BI327" s="263" t="e">
        <f t="shared" si="264"/>
        <v>#N/A</v>
      </c>
      <c r="BJ327" s="264">
        <f t="shared" si="302"/>
        <v>7</v>
      </c>
      <c r="BK327" s="291" t="e">
        <f t="shared" si="303"/>
        <v>#N/A</v>
      </c>
      <c r="BL327" s="291" t="e">
        <f t="shared" si="304"/>
        <v>#N/A</v>
      </c>
      <c r="BM327" s="292" t="e">
        <f t="shared" si="265"/>
        <v>#N/A</v>
      </c>
      <c r="BN327" s="293">
        <f t="shared" si="305"/>
        <v>7</v>
      </c>
      <c r="BO327" s="294" t="e">
        <f t="shared" si="306"/>
        <v>#N/A</v>
      </c>
      <c r="BP327" s="294" t="e">
        <f t="shared" si="307"/>
        <v>#N/A</v>
      </c>
      <c r="BQ327" s="292" t="e">
        <f t="shared" si="266"/>
        <v>#N/A</v>
      </c>
      <c r="BR327" s="295" t="e">
        <f t="shared" si="267"/>
        <v>#N/A</v>
      </c>
      <c r="BS327" s="230" t="e">
        <f>VLOOKUP($B327,SDR22_STOCK_BY_LA!$A$2:$C$11679,3,0)</f>
        <v>#N/A</v>
      </c>
      <c r="BT327" s="230" t="str">
        <f t="shared" si="308"/>
        <v/>
      </c>
    </row>
    <row r="328" spans="1:72" ht="12.5" x14ac:dyDescent="0.25">
      <c r="A328" s="230" t="str">
        <f t="shared" si="309"/>
        <v/>
      </c>
      <c r="B328" s="230" t="str">
        <f t="shared" si="310"/>
        <v/>
      </c>
      <c r="C328" s="296" t="str">
        <f t="shared" si="268"/>
        <v/>
      </c>
      <c r="D328" s="269" t="str">
        <f>IF(B328="","",IF(totals!$Q$3=0,IFERROR(IF(AD328=2,"0",AE328),""),"-"))</f>
        <v/>
      </c>
      <c r="E328" s="271" t="str">
        <f t="shared" si="269"/>
        <v/>
      </c>
      <c r="F328" s="272" t="str">
        <f t="shared" si="270"/>
        <v/>
      </c>
      <c r="G328" s="272" t="str">
        <f t="shared" si="271"/>
        <v/>
      </c>
      <c r="H328" s="269" t="str">
        <f t="shared" si="249"/>
        <v/>
      </c>
      <c r="I328" s="272" t="str">
        <f t="shared" si="272"/>
        <v/>
      </c>
      <c r="J328" s="272" t="str">
        <f t="shared" si="273"/>
        <v/>
      </c>
      <c r="K328" s="269" t="str">
        <f t="shared" si="250"/>
        <v/>
      </c>
      <c r="L328" s="272" t="str">
        <f t="shared" si="251"/>
        <v/>
      </c>
      <c r="M328" s="272" t="str">
        <f t="shared" si="274"/>
        <v/>
      </c>
      <c r="N328" s="269" t="str">
        <f t="shared" si="275"/>
        <v/>
      </c>
      <c r="O328" s="272" t="str">
        <f t="shared" si="276"/>
        <v/>
      </c>
      <c r="P328" s="272" t="str">
        <f t="shared" si="277"/>
        <v/>
      </c>
      <c r="Q328" s="269" t="str">
        <f t="shared" si="278"/>
        <v/>
      </c>
      <c r="R328" s="272" t="str">
        <f t="shared" si="279"/>
        <v/>
      </c>
      <c r="S328" s="272" t="str">
        <f t="shared" si="280"/>
        <v/>
      </c>
      <c r="T328" s="269" t="str">
        <f t="shared" si="281"/>
        <v/>
      </c>
      <c r="U328" s="230"/>
      <c r="V328" s="230"/>
      <c r="AB328" s="230" t="e">
        <f>VLOOKUP($B$6,Lookup_Source,321,0)</f>
        <v>#N/A</v>
      </c>
      <c r="AC328" s="254" t="str">
        <f t="shared" si="282"/>
        <v/>
      </c>
      <c r="AD328" s="255">
        <f t="shared" si="283"/>
        <v>7</v>
      </c>
      <c r="AE328" s="274" t="e">
        <f t="shared" si="252"/>
        <v>#N/A</v>
      </c>
      <c r="AF328" s="277" t="e">
        <f t="shared" si="284"/>
        <v>#N/A</v>
      </c>
      <c r="AG328" s="277" t="e">
        <f t="shared" si="285"/>
        <v>#N/A</v>
      </c>
      <c r="AH328" s="276" t="e">
        <f t="shared" si="253"/>
        <v>#N/A</v>
      </c>
      <c r="AI328" s="239">
        <f t="shared" si="286"/>
        <v>7</v>
      </c>
      <c r="AJ328" s="277" t="e">
        <f t="shared" si="254"/>
        <v>#N/A</v>
      </c>
      <c r="AK328" s="277" t="e">
        <f t="shared" si="287"/>
        <v>#N/A</v>
      </c>
      <c r="AL328" s="239" t="e">
        <f t="shared" si="255"/>
        <v>#N/A</v>
      </c>
      <c r="AM328" s="278" t="e">
        <f t="shared" si="288"/>
        <v>#N/A</v>
      </c>
      <c r="AN328" s="279" t="e">
        <f t="shared" si="256"/>
        <v>#N/A</v>
      </c>
      <c r="AO328" s="240" t="e">
        <f t="shared" si="257"/>
        <v>#N/A</v>
      </c>
      <c r="AP328" s="297">
        <f t="shared" si="289"/>
        <v>7</v>
      </c>
      <c r="AQ328" s="298" t="e">
        <f t="shared" si="258"/>
        <v>#N/A</v>
      </c>
      <c r="AR328" s="279" t="e">
        <f t="shared" si="290"/>
        <v>#N/A</v>
      </c>
      <c r="AS328" s="283" t="e">
        <f t="shared" si="259"/>
        <v>#N/A</v>
      </c>
      <c r="AT328" s="284">
        <f t="shared" si="291"/>
        <v>7</v>
      </c>
      <c r="AU328" s="285" t="e">
        <f t="shared" si="292"/>
        <v>#N/A</v>
      </c>
      <c r="AV328" s="286" t="e">
        <f t="shared" si="293"/>
        <v>#N/A</v>
      </c>
      <c r="AW328" s="287" t="e">
        <f t="shared" si="260"/>
        <v>#N/A</v>
      </c>
      <c r="AX328" s="245">
        <f t="shared" si="294"/>
        <v>7</v>
      </c>
      <c r="AY328" s="286" t="e">
        <f t="shared" si="261"/>
        <v>#N/A</v>
      </c>
      <c r="AZ328" s="245" t="e">
        <f t="shared" si="295"/>
        <v>#N/A</v>
      </c>
      <c r="BA328" s="245" t="e">
        <f t="shared" si="262"/>
        <v>#N/A</v>
      </c>
      <c r="BB328" s="288">
        <f t="shared" si="296"/>
        <v>7</v>
      </c>
      <c r="BC328" s="289" t="e">
        <f t="shared" si="297"/>
        <v>#N/A</v>
      </c>
      <c r="BD328" s="290" t="e">
        <f t="shared" si="298"/>
        <v>#N/A</v>
      </c>
      <c r="BE328" s="263" t="e">
        <f t="shared" si="263"/>
        <v>#N/A</v>
      </c>
      <c r="BF328" s="260">
        <f t="shared" si="299"/>
        <v>7</v>
      </c>
      <c r="BG328" s="289" t="e">
        <f t="shared" si="300"/>
        <v>#N/A</v>
      </c>
      <c r="BH328" s="290" t="e">
        <f t="shared" si="301"/>
        <v>#N/A</v>
      </c>
      <c r="BI328" s="263" t="e">
        <f t="shared" si="264"/>
        <v>#N/A</v>
      </c>
      <c r="BJ328" s="264">
        <f t="shared" si="302"/>
        <v>7</v>
      </c>
      <c r="BK328" s="291" t="e">
        <f t="shared" si="303"/>
        <v>#N/A</v>
      </c>
      <c r="BL328" s="291" t="e">
        <f t="shared" si="304"/>
        <v>#N/A</v>
      </c>
      <c r="BM328" s="292" t="e">
        <f t="shared" si="265"/>
        <v>#N/A</v>
      </c>
      <c r="BN328" s="293">
        <f t="shared" si="305"/>
        <v>7</v>
      </c>
      <c r="BO328" s="294" t="e">
        <f t="shared" si="306"/>
        <v>#N/A</v>
      </c>
      <c r="BP328" s="294" t="e">
        <f t="shared" si="307"/>
        <v>#N/A</v>
      </c>
      <c r="BQ328" s="292" t="e">
        <f t="shared" si="266"/>
        <v>#N/A</v>
      </c>
      <c r="BR328" s="295" t="e">
        <f t="shared" si="267"/>
        <v>#N/A</v>
      </c>
      <c r="BS328" s="230" t="e">
        <f>VLOOKUP($B328,SDR22_STOCK_BY_LA!$A$2:$C$11679,3,0)</f>
        <v>#N/A</v>
      </c>
      <c r="BT328" s="230" t="str">
        <f t="shared" si="308"/>
        <v/>
      </c>
    </row>
    <row r="329" spans="1:72" ht="12.5" x14ac:dyDescent="0.25">
      <c r="A329" s="269" t="str">
        <f t="shared" si="309"/>
        <v/>
      </c>
      <c r="B329" s="230" t="str">
        <f t="shared" si="310"/>
        <v/>
      </c>
      <c r="C329" s="270" t="str">
        <f t="shared" si="268"/>
        <v/>
      </c>
      <c r="D329" s="269" t="str">
        <f>IF(B329="","",IF(totals!$Q$3=0,IFERROR(IF(AD329=2,"0",AE329),""),"-"))</f>
        <v/>
      </c>
      <c r="E329" s="271" t="str">
        <f t="shared" si="269"/>
        <v/>
      </c>
      <c r="F329" s="272" t="str">
        <f t="shared" si="270"/>
        <v/>
      </c>
      <c r="G329" s="272" t="str">
        <f t="shared" si="271"/>
        <v/>
      </c>
      <c r="H329" s="269" t="str">
        <f t="shared" ref="H329:H392" si="311">IFERROR(AO329,"")</f>
        <v/>
      </c>
      <c r="I329" s="272" t="str">
        <f t="shared" si="272"/>
        <v/>
      </c>
      <c r="J329" s="272" t="str">
        <f t="shared" si="273"/>
        <v/>
      </c>
      <c r="K329" s="269" t="str">
        <f t="shared" ref="K329:K392" si="312">IFERROR(AW329,"")</f>
        <v/>
      </c>
      <c r="L329" s="272" t="str">
        <f t="shared" ref="L329:L392" si="313">IFERROR(IF(AT329=2,"-",AU329),"")</f>
        <v/>
      </c>
      <c r="M329" s="272" t="str">
        <f t="shared" si="274"/>
        <v/>
      </c>
      <c r="N329" s="269" t="str">
        <f t="shared" si="275"/>
        <v/>
      </c>
      <c r="O329" s="272" t="str">
        <f t="shared" si="276"/>
        <v/>
      </c>
      <c r="P329" s="272" t="str">
        <f t="shared" si="277"/>
        <v/>
      </c>
      <c r="Q329" s="269" t="str">
        <f t="shared" si="278"/>
        <v/>
      </c>
      <c r="R329" s="272" t="str">
        <f t="shared" si="279"/>
        <v/>
      </c>
      <c r="S329" s="272" t="str">
        <f t="shared" si="280"/>
        <v/>
      </c>
      <c r="T329" s="269" t="str">
        <f t="shared" si="281"/>
        <v/>
      </c>
      <c r="U329" s="230"/>
      <c r="V329" s="230"/>
      <c r="AB329" s="270" t="e">
        <f>VLOOKUP($B$6,Lookup_Source,322,0)</f>
        <v>#N/A</v>
      </c>
      <c r="AC329" s="254" t="str">
        <f t="shared" si="282"/>
        <v/>
      </c>
      <c r="AD329" s="255">
        <f t="shared" si="283"/>
        <v>7</v>
      </c>
      <c r="AE329" s="274" t="e">
        <f t="shared" ref="AE329:AE392" si="314">SUM(VLOOKUP($B329,Totals,8,0)-1)</f>
        <v>#N/A</v>
      </c>
      <c r="AF329" s="277" t="e">
        <f t="shared" si="284"/>
        <v>#N/A</v>
      </c>
      <c r="AG329" s="277" t="e">
        <f t="shared" si="285"/>
        <v>#N/A</v>
      </c>
      <c r="AH329" s="276" t="e">
        <f t="shared" ref="AH329:AH392" si="315">VLOOKUP($BT329,Stock_By_LA,2,0)</f>
        <v>#N/A</v>
      </c>
      <c r="AI329" s="239">
        <f t="shared" si="286"/>
        <v>7</v>
      </c>
      <c r="AJ329" s="277" t="e">
        <f t="shared" ref="AJ329:AJ392" si="316">IF(AK329&gt;0,AK329,"-")</f>
        <v>#N/A</v>
      </c>
      <c r="AK329" s="277" t="e">
        <f t="shared" si="287"/>
        <v>#N/A</v>
      </c>
      <c r="AL329" s="239" t="e">
        <f t="shared" ref="AL329:AL392" si="317">VLOOKUP($B329,Totals,7,0)</f>
        <v>#N/A</v>
      </c>
      <c r="AM329" s="278" t="e">
        <f t="shared" si="288"/>
        <v>#N/A</v>
      </c>
      <c r="AN329" s="279" t="e">
        <f t="shared" ref="AN329:AN392" si="318">$AO329/$AO$8</f>
        <v>#N/A</v>
      </c>
      <c r="AO329" s="240" t="e">
        <f t="shared" ref="AO329:AO392" si="319">VLOOKUP($BT329,Stock_By_LA,3,0)</f>
        <v>#N/A</v>
      </c>
      <c r="AP329" s="297">
        <f t="shared" si="289"/>
        <v>7</v>
      </c>
      <c r="AQ329" s="298" t="e">
        <f t="shared" ref="AQ329:AQ392" si="320">IF(AR329&gt;0,AR329,"-")</f>
        <v>#N/A</v>
      </c>
      <c r="AR329" s="279" t="e">
        <f t="shared" si="290"/>
        <v>#N/A</v>
      </c>
      <c r="AS329" s="283" t="e">
        <f t="shared" ref="AS329:AS392" si="321">VLOOKUP($B329,Totals,2,0)</f>
        <v>#N/A</v>
      </c>
      <c r="AT329" s="284">
        <f t="shared" si="291"/>
        <v>7</v>
      </c>
      <c r="AU329" s="285" t="e">
        <f t="shared" si="292"/>
        <v>#N/A</v>
      </c>
      <c r="AV329" s="286" t="e">
        <f t="shared" si="293"/>
        <v>#N/A</v>
      </c>
      <c r="AW329" s="287" t="e">
        <f t="shared" ref="AW329:AW392" si="322">VLOOKUP($BT329,Stock_By_LA,4,0)</f>
        <v>#N/A</v>
      </c>
      <c r="AX329" s="245">
        <f t="shared" si="294"/>
        <v>7</v>
      </c>
      <c r="AY329" s="286" t="e">
        <f t="shared" ref="AY329:AY392" si="323">IF(AZ329&gt;0,AZ329,"-")</f>
        <v>#N/A</v>
      </c>
      <c r="AZ329" s="245" t="e">
        <f t="shared" si="295"/>
        <v>#N/A</v>
      </c>
      <c r="BA329" s="245" t="e">
        <f t="shared" ref="BA329:BA392" si="324">VLOOKUP($B329,Totals,3,0)</f>
        <v>#N/A</v>
      </c>
      <c r="BB329" s="288">
        <f t="shared" si="296"/>
        <v>7</v>
      </c>
      <c r="BC329" s="289" t="e">
        <f t="shared" si="297"/>
        <v>#N/A</v>
      </c>
      <c r="BD329" s="290" t="e">
        <f t="shared" si="298"/>
        <v>#N/A</v>
      </c>
      <c r="BE329" s="263" t="e">
        <f t="shared" ref="BE329:BE392" si="325">VLOOKUP($BT329,Stock_By_LA,5,0)</f>
        <v>#N/A</v>
      </c>
      <c r="BF329" s="260">
        <f t="shared" si="299"/>
        <v>7</v>
      </c>
      <c r="BG329" s="289" t="e">
        <f t="shared" si="300"/>
        <v>#N/A</v>
      </c>
      <c r="BH329" s="290" t="e">
        <f t="shared" si="301"/>
        <v>#N/A</v>
      </c>
      <c r="BI329" s="263" t="e">
        <f t="shared" ref="BI329:BI392" si="326">VLOOKUP($B329,Totals,4,0)</f>
        <v>#N/A</v>
      </c>
      <c r="BJ329" s="264">
        <f t="shared" si="302"/>
        <v>7</v>
      </c>
      <c r="BK329" s="291" t="e">
        <f t="shared" si="303"/>
        <v>#N/A</v>
      </c>
      <c r="BL329" s="291" t="e">
        <f t="shared" si="304"/>
        <v>#N/A</v>
      </c>
      <c r="BM329" s="292" t="e">
        <f t="shared" ref="BM329:BM392" si="327">VLOOKUP($BT329,Stock_By_LA,6,0)</f>
        <v>#N/A</v>
      </c>
      <c r="BN329" s="293">
        <f t="shared" si="305"/>
        <v>7</v>
      </c>
      <c r="BO329" s="294" t="e">
        <f t="shared" si="306"/>
        <v>#N/A</v>
      </c>
      <c r="BP329" s="294" t="e">
        <f t="shared" si="307"/>
        <v>#N/A</v>
      </c>
      <c r="BQ329" s="292" t="e">
        <f t="shared" ref="BQ329:BQ392" si="328">VLOOKUP($B329,Totals,5,0)</f>
        <v>#N/A</v>
      </c>
      <c r="BR329" s="295" t="e">
        <f t="shared" ref="BR329:BR392" si="329">VLOOKUP($BT329,Stock_By_LA,8,0)</f>
        <v>#N/A</v>
      </c>
      <c r="BS329" s="230" t="e">
        <f>VLOOKUP($B329,SDR22_STOCK_BY_LA!$A$2:$C$11679,3,0)</f>
        <v>#N/A</v>
      </c>
      <c r="BT329" s="230" t="str">
        <f t="shared" si="308"/>
        <v/>
      </c>
    </row>
    <row r="330" spans="1:72" ht="12.5" x14ac:dyDescent="0.25">
      <c r="A330" s="230" t="str">
        <f t="shared" si="309"/>
        <v/>
      </c>
      <c r="B330" s="230" t="str">
        <f t="shared" si="310"/>
        <v/>
      </c>
      <c r="C330" s="296" t="str">
        <f t="shared" ref="C330:C393" si="330">IFERROR(BS330,"")</f>
        <v/>
      </c>
      <c r="D330" s="269" t="str">
        <f>IF(B330="","",IF(totals!$Q$3=0,IFERROR(IF(AD330=2,"0",AE330),""),"-"))</f>
        <v/>
      </c>
      <c r="E330" s="271" t="str">
        <f t="shared" ref="E330:E393" si="331">IFERROR(AH330,"")</f>
        <v/>
      </c>
      <c r="F330" s="272" t="str">
        <f t="shared" ref="F330:F393" si="332">IFERROR(AF330,"")</f>
        <v/>
      </c>
      <c r="G330" s="272" t="str">
        <f t="shared" ref="G330:G393" si="333">IFERROR(IF(AI330=2,"-",AJ330),"")</f>
        <v/>
      </c>
      <c r="H330" s="269" t="str">
        <f t="shared" si="311"/>
        <v/>
      </c>
      <c r="I330" s="272" t="str">
        <f t="shared" ref="I330:I393" si="334">IFERROR(AM330,"")</f>
        <v/>
      </c>
      <c r="J330" s="272" t="str">
        <f t="shared" ref="J330:J393" si="335">IFERROR(IF(AP330=2,"-",AQ330),"")</f>
        <v/>
      </c>
      <c r="K330" s="269" t="str">
        <f t="shared" si="312"/>
        <v/>
      </c>
      <c r="L330" s="272" t="str">
        <f t="shared" si="313"/>
        <v/>
      </c>
      <c r="M330" s="272" t="str">
        <f t="shared" ref="M330:M393" si="336">IFERROR(IF(AX330=2,"-",AY330),"")</f>
        <v/>
      </c>
      <c r="N330" s="269" t="str">
        <f t="shared" ref="N330:N393" si="337">IFERROR(BE330,"")</f>
        <v/>
      </c>
      <c r="O330" s="272" t="str">
        <f t="shared" ref="O330:O393" si="338">IFERROR(IF(BB330=2,"-",BC330),"")</f>
        <v/>
      </c>
      <c r="P330" s="272" t="str">
        <f t="shared" ref="P330:P393" si="339">IFERROR(IF(BF330=2,"-",BG330),"")</f>
        <v/>
      </c>
      <c r="Q330" s="269" t="str">
        <f t="shared" ref="Q330:Q393" si="340">IFERROR(BM330,"")</f>
        <v/>
      </c>
      <c r="R330" s="272" t="str">
        <f t="shared" ref="R330:R393" si="341">IFERROR(IF(BJ330=2,"-",BK330),"")</f>
        <v/>
      </c>
      <c r="S330" s="272" t="str">
        <f t="shared" ref="S330:S393" si="342">IFERROR(IF(BN330=2,"-",BO330),"")</f>
        <v/>
      </c>
      <c r="T330" s="269" t="str">
        <f t="shared" ref="T330:T393" si="343">IFERROR(BR330,"")</f>
        <v/>
      </c>
      <c r="U330" s="230"/>
      <c r="V330" s="230"/>
      <c r="AB330" s="230" t="e">
        <f>VLOOKUP($B$6,Lookup_Source,323,0)</f>
        <v>#N/A</v>
      </c>
      <c r="AC330" s="254" t="str">
        <f t="shared" ref="AC330:AC393" si="344">IF(ISNUMBER(SEARCH("*",B330)),1,"")</f>
        <v/>
      </c>
      <c r="AD330" s="255">
        <f t="shared" ref="AD330:AD393" si="345">IFERROR(ERROR.TYPE(AE330),0)</f>
        <v>7</v>
      </c>
      <c r="AE330" s="274" t="e">
        <f t="shared" si="314"/>
        <v>#N/A</v>
      </c>
      <c r="AF330" s="277" t="e">
        <f t="shared" ref="AF330:AF393" si="346">IF(AG330&gt;0,AG330,"-")</f>
        <v>#N/A</v>
      </c>
      <c r="AG330" s="277" t="e">
        <f t="shared" ref="AG330:AG393" si="347">$AH330/$AH$8</f>
        <v>#N/A</v>
      </c>
      <c r="AH330" s="276" t="e">
        <f t="shared" si="315"/>
        <v>#N/A</v>
      </c>
      <c r="AI330" s="239">
        <f t="shared" ref="AI330:AI393" si="348">IFERROR(ERROR.TYPE(AJ330),0)</f>
        <v>7</v>
      </c>
      <c r="AJ330" s="277" t="e">
        <f t="shared" si="316"/>
        <v>#N/A</v>
      </c>
      <c r="AK330" s="277" t="e">
        <f t="shared" ref="AK330:AK393" si="349">$AH330/$AL330</f>
        <v>#N/A</v>
      </c>
      <c r="AL330" s="239" t="e">
        <f t="shared" si="317"/>
        <v>#N/A</v>
      </c>
      <c r="AM330" s="278" t="e">
        <f t="shared" ref="AM330:AM393" si="350">IF(AN330&gt;0,AN330,"-")</f>
        <v>#N/A</v>
      </c>
      <c r="AN330" s="279" t="e">
        <f t="shared" si="318"/>
        <v>#N/A</v>
      </c>
      <c r="AO330" s="240" t="e">
        <f t="shared" si="319"/>
        <v>#N/A</v>
      </c>
      <c r="AP330" s="297">
        <f t="shared" ref="AP330:AP393" si="351">IFERROR(ERROR.TYPE(AQ330),0)</f>
        <v>7</v>
      </c>
      <c r="AQ330" s="298" t="e">
        <f t="shared" si="320"/>
        <v>#N/A</v>
      </c>
      <c r="AR330" s="279" t="e">
        <f t="shared" ref="AR330:AR393" si="352">$AO330/$AS330</f>
        <v>#N/A</v>
      </c>
      <c r="AS330" s="283" t="e">
        <f t="shared" si="321"/>
        <v>#N/A</v>
      </c>
      <c r="AT330" s="284">
        <f t="shared" ref="AT330:AT393" si="353">IFERROR(ERROR.TYPE(AU330),0)</f>
        <v>7</v>
      </c>
      <c r="AU330" s="285" t="e">
        <f t="shared" ref="AU330:AU393" si="354">IF(AV330&gt;0,AV330,"-")</f>
        <v>#N/A</v>
      </c>
      <c r="AV330" s="286" t="e">
        <f t="shared" ref="AV330:AV393" si="355">AW330/$AW$8</f>
        <v>#N/A</v>
      </c>
      <c r="AW330" s="287" t="e">
        <f t="shared" si="322"/>
        <v>#N/A</v>
      </c>
      <c r="AX330" s="245">
        <f t="shared" ref="AX330:AX393" si="356">IFERROR(ERROR.TYPE(AY330),0)</f>
        <v>7</v>
      </c>
      <c r="AY330" s="286" t="e">
        <f t="shared" si="323"/>
        <v>#N/A</v>
      </c>
      <c r="AZ330" s="245" t="e">
        <f t="shared" ref="AZ330:AZ393" si="357">$AW330/$BA330</f>
        <v>#N/A</v>
      </c>
      <c r="BA330" s="245" t="e">
        <f t="shared" si="324"/>
        <v>#N/A</v>
      </c>
      <c r="BB330" s="288">
        <f t="shared" ref="BB330:BB393" si="358">IFERROR(ERROR.TYPE(BC330),0)</f>
        <v>7</v>
      </c>
      <c r="BC330" s="289" t="e">
        <f t="shared" ref="BC330:BC393" si="359">IF(BD330&gt;0,BD330,"-")</f>
        <v>#N/A</v>
      </c>
      <c r="BD330" s="290" t="e">
        <f t="shared" ref="BD330:BD393" si="360">$BE330/$BE$8</f>
        <v>#N/A</v>
      </c>
      <c r="BE330" s="263" t="e">
        <f t="shared" si="325"/>
        <v>#N/A</v>
      </c>
      <c r="BF330" s="260">
        <f t="shared" ref="BF330:BF393" si="361">IFERROR(ERROR.TYPE(BG330),0)</f>
        <v>7</v>
      </c>
      <c r="BG330" s="289" t="e">
        <f t="shared" ref="BG330:BG393" si="362">IF(BH330&gt;0,BH330,"-")</f>
        <v>#N/A</v>
      </c>
      <c r="BH330" s="290" t="e">
        <f t="shared" ref="BH330:BH393" si="363">$BE330/$BI330</f>
        <v>#N/A</v>
      </c>
      <c r="BI330" s="263" t="e">
        <f t="shared" si="326"/>
        <v>#N/A</v>
      </c>
      <c r="BJ330" s="264">
        <f t="shared" ref="BJ330:BJ393" si="364">IFERROR(ERROR.TYPE(BK330),0)</f>
        <v>7</v>
      </c>
      <c r="BK330" s="291" t="e">
        <f t="shared" ref="BK330:BK393" si="365">IF(BL330&gt;0,BL330,"-")</f>
        <v>#N/A</v>
      </c>
      <c r="BL330" s="291" t="e">
        <f t="shared" ref="BL330:BL393" si="366">$BM330/$BM$8</f>
        <v>#N/A</v>
      </c>
      <c r="BM330" s="292" t="e">
        <f t="shared" si="327"/>
        <v>#N/A</v>
      </c>
      <c r="BN330" s="293">
        <f t="shared" ref="BN330:BN393" si="367">IFERROR(ERROR.TYPE(BO330),0)</f>
        <v>7</v>
      </c>
      <c r="BO330" s="294" t="e">
        <f t="shared" ref="BO330:BO393" si="368">IF(BP330&gt;0,BP330,"-")</f>
        <v>#N/A</v>
      </c>
      <c r="BP330" s="294" t="e">
        <f t="shared" ref="BP330:BP393" si="369">$BM330/$BQ330</f>
        <v>#N/A</v>
      </c>
      <c r="BQ330" s="292" t="e">
        <f t="shared" si="328"/>
        <v>#N/A</v>
      </c>
      <c r="BR330" s="295" t="e">
        <f t="shared" si="329"/>
        <v>#N/A</v>
      </c>
      <c r="BS330" s="230" t="e">
        <f>VLOOKUP($B330,SDR22_STOCK_BY_LA!$A$2:$C$11679,3,0)</f>
        <v>#N/A</v>
      </c>
      <c r="BT330" s="230" t="str">
        <f t="shared" ref="BT330:BT393" si="370">$B$6&amp;$B330</f>
        <v/>
      </c>
    </row>
    <row r="331" spans="1:72" ht="12.5" x14ac:dyDescent="0.25">
      <c r="A331" s="269" t="str">
        <f t="shared" ref="A331:A394" si="371">IF(AC331=1,A330+1,"")</f>
        <v/>
      </c>
      <c r="B331" s="230" t="str">
        <f t="shared" si="310"/>
        <v/>
      </c>
      <c r="C331" s="270" t="str">
        <f t="shared" si="330"/>
        <v/>
      </c>
      <c r="D331" s="269" t="str">
        <f>IF(B331="","",IF(totals!$Q$3=0,IFERROR(IF(AD331=2,"0",AE331),""),"-"))</f>
        <v/>
      </c>
      <c r="E331" s="271" t="str">
        <f t="shared" si="331"/>
        <v/>
      </c>
      <c r="F331" s="272" t="str">
        <f t="shared" si="332"/>
        <v/>
      </c>
      <c r="G331" s="272" t="str">
        <f t="shared" si="333"/>
        <v/>
      </c>
      <c r="H331" s="269" t="str">
        <f t="shared" si="311"/>
        <v/>
      </c>
      <c r="I331" s="272" t="str">
        <f t="shared" si="334"/>
        <v/>
      </c>
      <c r="J331" s="272" t="str">
        <f t="shared" si="335"/>
        <v/>
      </c>
      <c r="K331" s="269" t="str">
        <f t="shared" si="312"/>
        <v/>
      </c>
      <c r="L331" s="272" t="str">
        <f t="shared" si="313"/>
        <v/>
      </c>
      <c r="M331" s="272" t="str">
        <f t="shared" si="336"/>
        <v/>
      </c>
      <c r="N331" s="269" t="str">
        <f t="shared" si="337"/>
        <v/>
      </c>
      <c r="O331" s="272" t="str">
        <f t="shared" si="338"/>
        <v/>
      </c>
      <c r="P331" s="272" t="str">
        <f t="shared" si="339"/>
        <v/>
      </c>
      <c r="Q331" s="269" t="str">
        <f t="shared" si="340"/>
        <v/>
      </c>
      <c r="R331" s="272" t="str">
        <f t="shared" si="341"/>
        <v/>
      </c>
      <c r="S331" s="272" t="str">
        <f t="shared" si="342"/>
        <v/>
      </c>
      <c r="T331" s="269" t="str">
        <f t="shared" si="343"/>
        <v/>
      </c>
      <c r="U331" s="230"/>
      <c r="V331" s="230"/>
      <c r="AB331" s="270" t="e">
        <f>VLOOKUP($B$6,Lookup_Source,324,0)</f>
        <v>#N/A</v>
      </c>
      <c r="AC331" s="254" t="str">
        <f t="shared" si="344"/>
        <v/>
      </c>
      <c r="AD331" s="255">
        <f t="shared" si="345"/>
        <v>7</v>
      </c>
      <c r="AE331" s="274" t="e">
        <f t="shared" si="314"/>
        <v>#N/A</v>
      </c>
      <c r="AF331" s="277" t="e">
        <f t="shared" si="346"/>
        <v>#N/A</v>
      </c>
      <c r="AG331" s="277" t="e">
        <f t="shared" si="347"/>
        <v>#N/A</v>
      </c>
      <c r="AH331" s="276" t="e">
        <f t="shared" si="315"/>
        <v>#N/A</v>
      </c>
      <c r="AI331" s="239">
        <f t="shared" si="348"/>
        <v>7</v>
      </c>
      <c r="AJ331" s="277" t="e">
        <f t="shared" si="316"/>
        <v>#N/A</v>
      </c>
      <c r="AK331" s="277" t="e">
        <f t="shared" si="349"/>
        <v>#N/A</v>
      </c>
      <c r="AL331" s="239" t="e">
        <f t="shared" si="317"/>
        <v>#N/A</v>
      </c>
      <c r="AM331" s="278" t="e">
        <f t="shared" si="350"/>
        <v>#N/A</v>
      </c>
      <c r="AN331" s="279" t="e">
        <f t="shared" si="318"/>
        <v>#N/A</v>
      </c>
      <c r="AO331" s="240" t="e">
        <f t="shared" si="319"/>
        <v>#N/A</v>
      </c>
      <c r="AP331" s="297">
        <f t="shared" si="351"/>
        <v>7</v>
      </c>
      <c r="AQ331" s="298" t="e">
        <f t="shared" si="320"/>
        <v>#N/A</v>
      </c>
      <c r="AR331" s="279" t="e">
        <f t="shared" si="352"/>
        <v>#N/A</v>
      </c>
      <c r="AS331" s="283" t="e">
        <f t="shared" si="321"/>
        <v>#N/A</v>
      </c>
      <c r="AT331" s="284">
        <f t="shared" si="353"/>
        <v>7</v>
      </c>
      <c r="AU331" s="285" t="e">
        <f t="shared" si="354"/>
        <v>#N/A</v>
      </c>
      <c r="AV331" s="286" t="e">
        <f t="shared" si="355"/>
        <v>#N/A</v>
      </c>
      <c r="AW331" s="287" t="e">
        <f t="shared" si="322"/>
        <v>#N/A</v>
      </c>
      <c r="AX331" s="245">
        <f t="shared" si="356"/>
        <v>7</v>
      </c>
      <c r="AY331" s="286" t="e">
        <f t="shared" si="323"/>
        <v>#N/A</v>
      </c>
      <c r="AZ331" s="245" t="e">
        <f t="shared" si="357"/>
        <v>#N/A</v>
      </c>
      <c r="BA331" s="245" t="e">
        <f t="shared" si="324"/>
        <v>#N/A</v>
      </c>
      <c r="BB331" s="288">
        <f t="shared" si="358"/>
        <v>7</v>
      </c>
      <c r="BC331" s="289" t="e">
        <f t="shared" si="359"/>
        <v>#N/A</v>
      </c>
      <c r="BD331" s="290" t="e">
        <f t="shared" si="360"/>
        <v>#N/A</v>
      </c>
      <c r="BE331" s="263" t="e">
        <f t="shared" si="325"/>
        <v>#N/A</v>
      </c>
      <c r="BF331" s="260">
        <f t="shared" si="361"/>
        <v>7</v>
      </c>
      <c r="BG331" s="289" t="e">
        <f t="shared" si="362"/>
        <v>#N/A</v>
      </c>
      <c r="BH331" s="290" t="e">
        <f t="shared" si="363"/>
        <v>#N/A</v>
      </c>
      <c r="BI331" s="263" t="e">
        <f t="shared" si="326"/>
        <v>#N/A</v>
      </c>
      <c r="BJ331" s="264">
        <f t="shared" si="364"/>
        <v>7</v>
      </c>
      <c r="BK331" s="291" t="e">
        <f t="shared" si="365"/>
        <v>#N/A</v>
      </c>
      <c r="BL331" s="291" t="e">
        <f t="shared" si="366"/>
        <v>#N/A</v>
      </c>
      <c r="BM331" s="292" t="e">
        <f t="shared" si="327"/>
        <v>#N/A</v>
      </c>
      <c r="BN331" s="293">
        <f t="shared" si="367"/>
        <v>7</v>
      </c>
      <c r="BO331" s="294" t="e">
        <f t="shared" si="368"/>
        <v>#N/A</v>
      </c>
      <c r="BP331" s="294" t="e">
        <f t="shared" si="369"/>
        <v>#N/A</v>
      </c>
      <c r="BQ331" s="292" t="e">
        <f t="shared" si="328"/>
        <v>#N/A</v>
      </c>
      <c r="BR331" s="295" t="e">
        <f t="shared" si="329"/>
        <v>#N/A</v>
      </c>
      <c r="BS331" s="230" t="e">
        <f>VLOOKUP($B331,SDR22_STOCK_BY_LA!$A$2:$C$11679,3,0)</f>
        <v>#N/A</v>
      </c>
      <c r="BT331" s="230" t="str">
        <f t="shared" si="370"/>
        <v/>
      </c>
    </row>
    <row r="332" spans="1:72" ht="12.5" x14ac:dyDescent="0.25">
      <c r="A332" s="230" t="str">
        <f t="shared" si="371"/>
        <v/>
      </c>
      <c r="B332" s="230" t="str">
        <f t="shared" si="310"/>
        <v/>
      </c>
      <c r="C332" s="296" t="str">
        <f t="shared" si="330"/>
        <v/>
      </c>
      <c r="D332" s="269" t="str">
        <f>IF(B332="","",IF(totals!$Q$3=0,IFERROR(IF(AD332=2,"0",AE332),""),"-"))</f>
        <v/>
      </c>
      <c r="E332" s="271" t="str">
        <f t="shared" si="331"/>
        <v/>
      </c>
      <c r="F332" s="272" t="str">
        <f t="shared" si="332"/>
        <v/>
      </c>
      <c r="G332" s="272" t="str">
        <f t="shared" si="333"/>
        <v/>
      </c>
      <c r="H332" s="269" t="str">
        <f t="shared" si="311"/>
        <v/>
      </c>
      <c r="I332" s="272" t="str">
        <f t="shared" si="334"/>
        <v/>
      </c>
      <c r="J332" s="272" t="str">
        <f t="shared" si="335"/>
        <v/>
      </c>
      <c r="K332" s="269" t="str">
        <f t="shared" si="312"/>
        <v/>
      </c>
      <c r="L332" s="272" t="str">
        <f t="shared" si="313"/>
        <v/>
      </c>
      <c r="M332" s="272" t="str">
        <f t="shared" si="336"/>
        <v/>
      </c>
      <c r="N332" s="269" t="str">
        <f t="shared" si="337"/>
        <v/>
      </c>
      <c r="O332" s="272" t="str">
        <f t="shared" si="338"/>
        <v/>
      </c>
      <c r="P332" s="272" t="str">
        <f t="shared" si="339"/>
        <v/>
      </c>
      <c r="Q332" s="269" t="str">
        <f t="shared" si="340"/>
        <v/>
      </c>
      <c r="R332" s="272" t="str">
        <f t="shared" si="341"/>
        <v/>
      </c>
      <c r="S332" s="272" t="str">
        <f t="shared" si="342"/>
        <v/>
      </c>
      <c r="T332" s="269" t="str">
        <f t="shared" si="343"/>
        <v/>
      </c>
      <c r="U332" s="230"/>
      <c r="V332" s="230"/>
      <c r="AB332" s="230" t="e">
        <f>VLOOKUP($B$6,Lookup_Source,325,0)</f>
        <v>#N/A</v>
      </c>
      <c r="AC332" s="254" t="str">
        <f t="shared" si="344"/>
        <v/>
      </c>
      <c r="AD332" s="255">
        <f t="shared" si="345"/>
        <v>7</v>
      </c>
      <c r="AE332" s="274" t="e">
        <f t="shared" si="314"/>
        <v>#N/A</v>
      </c>
      <c r="AF332" s="277" t="e">
        <f t="shared" si="346"/>
        <v>#N/A</v>
      </c>
      <c r="AG332" s="277" t="e">
        <f t="shared" si="347"/>
        <v>#N/A</v>
      </c>
      <c r="AH332" s="276" t="e">
        <f t="shared" si="315"/>
        <v>#N/A</v>
      </c>
      <c r="AI332" s="239">
        <f t="shared" si="348"/>
        <v>7</v>
      </c>
      <c r="AJ332" s="277" t="e">
        <f t="shared" si="316"/>
        <v>#N/A</v>
      </c>
      <c r="AK332" s="277" t="e">
        <f t="shared" si="349"/>
        <v>#N/A</v>
      </c>
      <c r="AL332" s="239" t="e">
        <f t="shared" si="317"/>
        <v>#N/A</v>
      </c>
      <c r="AM332" s="278" t="e">
        <f t="shared" si="350"/>
        <v>#N/A</v>
      </c>
      <c r="AN332" s="279" t="e">
        <f t="shared" si="318"/>
        <v>#N/A</v>
      </c>
      <c r="AO332" s="240" t="e">
        <f t="shared" si="319"/>
        <v>#N/A</v>
      </c>
      <c r="AP332" s="297">
        <f t="shared" si="351"/>
        <v>7</v>
      </c>
      <c r="AQ332" s="298" t="e">
        <f t="shared" si="320"/>
        <v>#N/A</v>
      </c>
      <c r="AR332" s="279" t="e">
        <f t="shared" si="352"/>
        <v>#N/A</v>
      </c>
      <c r="AS332" s="283" t="e">
        <f t="shared" si="321"/>
        <v>#N/A</v>
      </c>
      <c r="AT332" s="284">
        <f t="shared" si="353"/>
        <v>7</v>
      </c>
      <c r="AU332" s="285" t="e">
        <f t="shared" si="354"/>
        <v>#N/A</v>
      </c>
      <c r="AV332" s="286" t="e">
        <f t="shared" si="355"/>
        <v>#N/A</v>
      </c>
      <c r="AW332" s="287" t="e">
        <f t="shared" si="322"/>
        <v>#N/A</v>
      </c>
      <c r="AX332" s="245">
        <f t="shared" si="356"/>
        <v>7</v>
      </c>
      <c r="AY332" s="286" t="e">
        <f t="shared" si="323"/>
        <v>#N/A</v>
      </c>
      <c r="AZ332" s="245" t="e">
        <f t="shared" si="357"/>
        <v>#N/A</v>
      </c>
      <c r="BA332" s="245" t="e">
        <f t="shared" si="324"/>
        <v>#N/A</v>
      </c>
      <c r="BB332" s="288">
        <f t="shared" si="358"/>
        <v>7</v>
      </c>
      <c r="BC332" s="289" t="e">
        <f t="shared" si="359"/>
        <v>#N/A</v>
      </c>
      <c r="BD332" s="290" t="e">
        <f t="shared" si="360"/>
        <v>#N/A</v>
      </c>
      <c r="BE332" s="263" t="e">
        <f t="shared" si="325"/>
        <v>#N/A</v>
      </c>
      <c r="BF332" s="260">
        <f t="shared" si="361"/>
        <v>7</v>
      </c>
      <c r="BG332" s="289" t="e">
        <f t="shared" si="362"/>
        <v>#N/A</v>
      </c>
      <c r="BH332" s="290" t="e">
        <f t="shared" si="363"/>
        <v>#N/A</v>
      </c>
      <c r="BI332" s="263" t="e">
        <f t="shared" si="326"/>
        <v>#N/A</v>
      </c>
      <c r="BJ332" s="264">
        <f t="shared" si="364"/>
        <v>7</v>
      </c>
      <c r="BK332" s="291" t="e">
        <f t="shared" si="365"/>
        <v>#N/A</v>
      </c>
      <c r="BL332" s="291" t="e">
        <f t="shared" si="366"/>
        <v>#N/A</v>
      </c>
      <c r="BM332" s="292" t="e">
        <f t="shared" si="327"/>
        <v>#N/A</v>
      </c>
      <c r="BN332" s="293">
        <f t="shared" si="367"/>
        <v>7</v>
      </c>
      <c r="BO332" s="294" t="e">
        <f t="shared" si="368"/>
        <v>#N/A</v>
      </c>
      <c r="BP332" s="294" t="e">
        <f t="shared" si="369"/>
        <v>#N/A</v>
      </c>
      <c r="BQ332" s="292" t="e">
        <f t="shared" si="328"/>
        <v>#N/A</v>
      </c>
      <c r="BR332" s="295" t="e">
        <f t="shared" si="329"/>
        <v>#N/A</v>
      </c>
      <c r="BS332" s="230" t="e">
        <f>VLOOKUP($B332,SDR22_STOCK_BY_LA!$A$2:$C$11679,3,0)</f>
        <v>#N/A</v>
      </c>
      <c r="BT332" s="230" t="str">
        <f t="shared" si="370"/>
        <v/>
      </c>
    </row>
    <row r="333" spans="1:72" ht="12.5" x14ac:dyDescent="0.25">
      <c r="A333" s="269" t="str">
        <f t="shared" si="371"/>
        <v/>
      </c>
      <c r="B333" s="230" t="str">
        <f t="shared" ref="B333:B396" si="372">IFERROR(IF(AB333=0,"",AB333),"")</f>
        <v/>
      </c>
      <c r="C333" s="270" t="str">
        <f t="shared" si="330"/>
        <v/>
      </c>
      <c r="D333" s="269" t="str">
        <f>IF(B333="","",IF(totals!$Q$3=0,IFERROR(IF(AD333=2,"0",AE333),""),"-"))</f>
        <v/>
      </c>
      <c r="E333" s="271" t="str">
        <f t="shared" si="331"/>
        <v/>
      </c>
      <c r="F333" s="272" t="str">
        <f t="shared" si="332"/>
        <v/>
      </c>
      <c r="G333" s="272" t="str">
        <f t="shared" si="333"/>
        <v/>
      </c>
      <c r="H333" s="269" t="str">
        <f t="shared" si="311"/>
        <v/>
      </c>
      <c r="I333" s="272" t="str">
        <f t="shared" si="334"/>
        <v/>
      </c>
      <c r="J333" s="272" t="str">
        <f t="shared" si="335"/>
        <v/>
      </c>
      <c r="K333" s="269" t="str">
        <f t="shared" si="312"/>
        <v/>
      </c>
      <c r="L333" s="272" t="str">
        <f t="shared" si="313"/>
        <v/>
      </c>
      <c r="M333" s="272" t="str">
        <f t="shared" si="336"/>
        <v/>
      </c>
      <c r="N333" s="269" t="str">
        <f t="shared" si="337"/>
        <v/>
      </c>
      <c r="O333" s="272" t="str">
        <f t="shared" si="338"/>
        <v/>
      </c>
      <c r="P333" s="272" t="str">
        <f t="shared" si="339"/>
        <v/>
      </c>
      <c r="Q333" s="269" t="str">
        <f t="shared" si="340"/>
        <v/>
      </c>
      <c r="R333" s="272" t="str">
        <f t="shared" si="341"/>
        <v/>
      </c>
      <c r="S333" s="272" t="str">
        <f t="shared" si="342"/>
        <v/>
      </c>
      <c r="T333" s="269" t="str">
        <f t="shared" si="343"/>
        <v/>
      </c>
      <c r="U333" s="230"/>
      <c r="V333" s="230"/>
      <c r="AB333" s="270" t="e">
        <f>VLOOKUP($B$6,Lookup_Source,326,0)</f>
        <v>#N/A</v>
      </c>
      <c r="AC333" s="254" t="str">
        <f t="shared" si="344"/>
        <v/>
      </c>
      <c r="AD333" s="255">
        <f t="shared" si="345"/>
        <v>7</v>
      </c>
      <c r="AE333" s="274" t="e">
        <f t="shared" si="314"/>
        <v>#N/A</v>
      </c>
      <c r="AF333" s="277" t="e">
        <f t="shared" si="346"/>
        <v>#N/A</v>
      </c>
      <c r="AG333" s="277" t="e">
        <f t="shared" si="347"/>
        <v>#N/A</v>
      </c>
      <c r="AH333" s="276" t="e">
        <f t="shared" si="315"/>
        <v>#N/A</v>
      </c>
      <c r="AI333" s="239">
        <f t="shared" si="348"/>
        <v>7</v>
      </c>
      <c r="AJ333" s="277" t="e">
        <f t="shared" si="316"/>
        <v>#N/A</v>
      </c>
      <c r="AK333" s="277" t="e">
        <f t="shared" si="349"/>
        <v>#N/A</v>
      </c>
      <c r="AL333" s="239" t="e">
        <f t="shared" si="317"/>
        <v>#N/A</v>
      </c>
      <c r="AM333" s="278" t="e">
        <f t="shared" si="350"/>
        <v>#N/A</v>
      </c>
      <c r="AN333" s="279" t="e">
        <f t="shared" si="318"/>
        <v>#N/A</v>
      </c>
      <c r="AO333" s="240" t="e">
        <f t="shared" si="319"/>
        <v>#N/A</v>
      </c>
      <c r="AP333" s="297">
        <f t="shared" si="351"/>
        <v>7</v>
      </c>
      <c r="AQ333" s="298" t="e">
        <f t="shared" si="320"/>
        <v>#N/A</v>
      </c>
      <c r="AR333" s="279" t="e">
        <f t="shared" si="352"/>
        <v>#N/A</v>
      </c>
      <c r="AS333" s="283" t="e">
        <f t="shared" si="321"/>
        <v>#N/A</v>
      </c>
      <c r="AT333" s="284">
        <f t="shared" si="353"/>
        <v>7</v>
      </c>
      <c r="AU333" s="285" t="e">
        <f t="shared" si="354"/>
        <v>#N/A</v>
      </c>
      <c r="AV333" s="286" t="e">
        <f t="shared" si="355"/>
        <v>#N/A</v>
      </c>
      <c r="AW333" s="287" t="e">
        <f t="shared" si="322"/>
        <v>#N/A</v>
      </c>
      <c r="AX333" s="245">
        <f t="shared" si="356"/>
        <v>7</v>
      </c>
      <c r="AY333" s="286" t="e">
        <f t="shared" si="323"/>
        <v>#N/A</v>
      </c>
      <c r="AZ333" s="245" t="e">
        <f t="shared" si="357"/>
        <v>#N/A</v>
      </c>
      <c r="BA333" s="245" t="e">
        <f t="shared" si="324"/>
        <v>#N/A</v>
      </c>
      <c r="BB333" s="288">
        <f t="shared" si="358"/>
        <v>7</v>
      </c>
      <c r="BC333" s="289" t="e">
        <f t="shared" si="359"/>
        <v>#N/A</v>
      </c>
      <c r="BD333" s="290" t="e">
        <f t="shared" si="360"/>
        <v>#N/A</v>
      </c>
      <c r="BE333" s="263" t="e">
        <f t="shared" si="325"/>
        <v>#N/A</v>
      </c>
      <c r="BF333" s="260">
        <f t="shared" si="361"/>
        <v>7</v>
      </c>
      <c r="BG333" s="289" t="e">
        <f t="shared" si="362"/>
        <v>#N/A</v>
      </c>
      <c r="BH333" s="290" t="e">
        <f t="shared" si="363"/>
        <v>#N/A</v>
      </c>
      <c r="BI333" s="263" t="e">
        <f t="shared" si="326"/>
        <v>#N/A</v>
      </c>
      <c r="BJ333" s="264">
        <f t="shared" si="364"/>
        <v>7</v>
      </c>
      <c r="BK333" s="291" t="e">
        <f t="shared" si="365"/>
        <v>#N/A</v>
      </c>
      <c r="BL333" s="291" t="e">
        <f t="shared" si="366"/>
        <v>#N/A</v>
      </c>
      <c r="BM333" s="292" t="e">
        <f t="shared" si="327"/>
        <v>#N/A</v>
      </c>
      <c r="BN333" s="293">
        <f t="shared" si="367"/>
        <v>7</v>
      </c>
      <c r="BO333" s="294" t="e">
        <f t="shared" si="368"/>
        <v>#N/A</v>
      </c>
      <c r="BP333" s="294" t="e">
        <f t="shared" si="369"/>
        <v>#N/A</v>
      </c>
      <c r="BQ333" s="292" t="e">
        <f t="shared" si="328"/>
        <v>#N/A</v>
      </c>
      <c r="BR333" s="295" t="e">
        <f t="shared" si="329"/>
        <v>#N/A</v>
      </c>
      <c r="BS333" s="230" t="e">
        <f>VLOOKUP($B333,SDR22_STOCK_BY_LA!$A$2:$C$11679,3,0)</f>
        <v>#N/A</v>
      </c>
      <c r="BT333" s="230" t="str">
        <f t="shared" si="370"/>
        <v/>
      </c>
    </row>
    <row r="334" spans="1:72" ht="12.5" x14ac:dyDescent="0.25">
      <c r="A334" s="230" t="str">
        <f t="shared" si="371"/>
        <v/>
      </c>
      <c r="B334" s="230" t="str">
        <f t="shared" si="372"/>
        <v/>
      </c>
      <c r="C334" s="296" t="str">
        <f t="shared" si="330"/>
        <v/>
      </c>
      <c r="D334" s="269" t="str">
        <f>IF(B334="","",IF(totals!$Q$3=0,IFERROR(IF(AD334=2,"0",AE334),""),"-"))</f>
        <v/>
      </c>
      <c r="E334" s="271" t="str">
        <f t="shared" si="331"/>
        <v/>
      </c>
      <c r="F334" s="272" t="str">
        <f t="shared" si="332"/>
        <v/>
      </c>
      <c r="G334" s="272" t="str">
        <f t="shared" si="333"/>
        <v/>
      </c>
      <c r="H334" s="269" t="str">
        <f t="shared" si="311"/>
        <v/>
      </c>
      <c r="I334" s="272" t="str">
        <f t="shared" si="334"/>
        <v/>
      </c>
      <c r="J334" s="272" t="str">
        <f t="shared" si="335"/>
        <v/>
      </c>
      <c r="K334" s="269" t="str">
        <f t="shared" si="312"/>
        <v/>
      </c>
      <c r="L334" s="272" t="str">
        <f t="shared" si="313"/>
        <v/>
      </c>
      <c r="M334" s="272" t="str">
        <f t="shared" si="336"/>
        <v/>
      </c>
      <c r="N334" s="269" t="str">
        <f t="shared" si="337"/>
        <v/>
      </c>
      <c r="O334" s="272" t="str">
        <f t="shared" si="338"/>
        <v/>
      </c>
      <c r="P334" s="272" t="str">
        <f t="shared" si="339"/>
        <v/>
      </c>
      <c r="Q334" s="269" t="str">
        <f t="shared" si="340"/>
        <v/>
      </c>
      <c r="R334" s="272" t="str">
        <f t="shared" si="341"/>
        <v/>
      </c>
      <c r="S334" s="272" t="str">
        <f t="shared" si="342"/>
        <v/>
      </c>
      <c r="T334" s="269" t="str">
        <f t="shared" si="343"/>
        <v/>
      </c>
      <c r="U334" s="230"/>
      <c r="V334" s="230"/>
      <c r="AB334" s="230" t="e">
        <f>VLOOKUP($B$6,Lookup_Source,327,0)</f>
        <v>#N/A</v>
      </c>
      <c r="AC334" s="254" t="str">
        <f t="shared" si="344"/>
        <v/>
      </c>
      <c r="AD334" s="255">
        <f t="shared" si="345"/>
        <v>7</v>
      </c>
      <c r="AE334" s="274" t="e">
        <f t="shared" si="314"/>
        <v>#N/A</v>
      </c>
      <c r="AF334" s="277" t="e">
        <f t="shared" si="346"/>
        <v>#N/A</v>
      </c>
      <c r="AG334" s="277" t="e">
        <f t="shared" si="347"/>
        <v>#N/A</v>
      </c>
      <c r="AH334" s="276" t="e">
        <f t="shared" si="315"/>
        <v>#N/A</v>
      </c>
      <c r="AI334" s="239">
        <f t="shared" si="348"/>
        <v>7</v>
      </c>
      <c r="AJ334" s="277" t="e">
        <f t="shared" si="316"/>
        <v>#N/A</v>
      </c>
      <c r="AK334" s="277" t="e">
        <f t="shared" si="349"/>
        <v>#N/A</v>
      </c>
      <c r="AL334" s="239" t="e">
        <f t="shared" si="317"/>
        <v>#N/A</v>
      </c>
      <c r="AM334" s="278" t="e">
        <f t="shared" si="350"/>
        <v>#N/A</v>
      </c>
      <c r="AN334" s="279" t="e">
        <f t="shared" si="318"/>
        <v>#N/A</v>
      </c>
      <c r="AO334" s="240" t="e">
        <f t="shared" si="319"/>
        <v>#N/A</v>
      </c>
      <c r="AP334" s="297">
        <f t="shared" si="351"/>
        <v>7</v>
      </c>
      <c r="AQ334" s="298" t="e">
        <f t="shared" si="320"/>
        <v>#N/A</v>
      </c>
      <c r="AR334" s="279" t="e">
        <f t="shared" si="352"/>
        <v>#N/A</v>
      </c>
      <c r="AS334" s="283" t="e">
        <f t="shared" si="321"/>
        <v>#N/A</v>
      </c>
      <c r="AT334" s="284">
        <f t="shared" si="353"/>
        <v>7</v>
      </c>
      <c r="AU334" s="285" t="e">
        <f t="shared" si="354"/>
        <v>#N/A</v>
      </c>
      <c r="AV334" s="286" t="e">
        <f t="shared" si="355"/>
        <v>#N/A</v>
      </c>
      <c r="AW334" s="287" t="e">
        <f t="shared" si="322"/>
        <v>#N/A</v>
      </c>
      <c r="AX334" s="245">
        <f t="shared" si="356"/>
        <v>7</v>
      </c>
      <c r="AY334" s="286" t="e">
        <f t="shared" si="323"/>
        <v>#N/A</v>
      </c>
      <c r="AZ334" s="245" t="e">
        <f t="shared" si="357"/>
        <v>#N/A</v>
      </c>
      <c r="BA334" s="245" t="e">
        <f t="shared" si="324"/>
        <v>#N/A</v>
      </c>
      <c r="BB334" s="288">
        <f t="shared" si="358"/>
        <v>7</v>
      </c>
      <c r="BC334" s="289" t="e">
        <f t="shared" si="359"/>
        <v>#N/A</v>
      </c>
      <c r="BD334" s="290" t="e">
        <f t="shared" si="360"/>
        <v>#N/A</v>
      </c>
      <c r="BE334" s="263" t="e">
        <f t="shared" si="325"/>
        <v>#N/A</v>
      </c>
      <c r="BF334" s="260">
        <f t="shared" si="361"/>
        <v>7</v>
      </c>
      <c r="BG334" s="289" t="e">
        <f t="shared" si="362"/>
        <v>#N/A</v>
      </c>
      <c r="BH334" s="290" t="e">
        <f t="shared" si="363"/>
        <v>#N/A</v>
      </c>
      <c r="BI334" s="263" t="e">
        <f t="shared" si="326"/>
        <v>#N/A</v>
      </c>
      <c r="BJ334" s="264">
        <f t="shared" si="364"/>
        <v>7</v>
      </c>
      <c r="BK334" s="291" t="e">
        <f t="shared" si="365"/>
        <v>#N/A</v>
      </c>
      <c r="BL334" s="291" t="e">
        <f t="shared" si="366"/>
        <v>#N/A</v>
      </c>
      <c r="BM334" s="292" t="e">
        <f t="shared" si="327"/>
        <v>#N/A</v>
      </c>
      <c r="BN334" s="293">
        <f t="shared" si="367"/>
        <v>7</v>
      </c>
      <c r="BO334" s="294" t="e">
        <f t="shared" si="368"/>
        <v>#N/A</v>
      </c>
      <c r="BP334" s="294" t="e">
        <f t="shared" si="369"/>
        <v>#N/A</v>
      </c>
      <c r="BQ334" s="292" t="e">
        <f t="shared" si="328"/>
        <v>#N/A</v>
      </c>
      <c r="BR334" s="295" t="e">
        <f t="shared" si="329"/>
        <v>#N/A</v>
      </c>
      <c r="BS334" s="230" t="e">
        <f>VLOOKUP($B334,SDR22_STOCK_BY_LA!$A$2:$C$11679,3,0)</f>
        <v>#N/A</v>
      </c>
      <c r="BT334" s="230" t="str">
        <f t="shared" si="370"/>
        <v/>
      </c>
    </row>
    <row r="335" spans="1:72" ht="12.5" x14ac:dyDescent="0.25">
      <c r="A335" s="269" t="str">
        <f t="shared" si="371"/>
        <v/>
      </c>
      <c r="B335" s="230" t="str">
        <f t="shared" si="372"/>
        <v/>
      </c>
      <c r="C335" s="270" t="str">
        <f t="shared" si="330"/>
        <v/>
      </c>
      <c r="D335" s="269" t="str">
        <f>IF(B335="","",IF(totals!$Q$3=0,IFERROR(IF(AD335=2,"0",AE335),""),"-"))</f>
        <v/>
      </c>
      <c r="E335" s="271" t="str">
        <f t="shared" si="331"/>
        <v/>
      </c>
      <c r="F335" s="272" t="str">
        <f t="shared" si="332"/>
        <v/>
      </c>
      <c r="G335" s="272" t="str">
        <f t="shared" si="333"/>
        <v/>
      </c>
      <c r="H335" s="269" t="str">
        <f t="shared" si="311"/>
        <v/>
      </c>
      <c r="I335" s="272" t="str">
        <f t="shared" si="334"/>
        <v/>
      </c>
      <c r="J335" s="272" t="str">
        <f t="shared" si="335"/>
        <v/>
      </c>
      <c r="K335" s="269" t="str">
        <f t="shared" si="312"/>
        <v/>
      </c>
      <c r="L335" s="272" t="str">
        <f t="shared" si="313"/>
        <v/>
      </c>
      <c r="M335" s="272" t="str">
        <f t="shared" si="336"/>
        <v/>
      </c>
      <c r="N335" s="269" t="str">
        <f t="shared" si="337"/>
        <v/>
      </c>
      <c r="O335" s="272" t="str">
        <f t="shared" si="338"/>
        <v/>
      </c>
      <c r="P335" s="272" t="str">
        <f t="shared" si="339"/>
        <v/>
      </c>
      <c r="Q335" s="269" t="str">
        <f t="shared" si="340"/>
        <v/>
      </c>
      <c r="R335" s="272" t="str">
        <f t="shared" si="341"/>
        <v/>
      </c>
      <c r="S335" s="272" t="str">
        <f t="shared" si="342"/>
        <v/>
      </c>
      <c r="T335" s="269" t="str">
        <f t="shared" si="343"/>
        <v/>
      </c>
      <c r="U335" s="230"/>
      <c r="V335" s="230"/>
      <c r="AB335" s="270" t="e">
        <f>VLOOKUP($B$6,Lookup_Source,328,0)</f>
        <v>#N/A</v>
      </c>
      <c r="AC335" s="254" t="str">
        <f t="shared" si="344"/>
        <v/>
      </c>
      <c r="AD335" s="255">
        <f t="shared" si="345"/>
        <v>7</v>
      </c>
      <c r="AE335" s="274" t="e">
        <f t="shared" si="314"/>
        <v>#N/A</v>
      </c>
      <c r="AF335" s="277" t="e">
        <f t="shared" si="346"/>
        <v>#N/A</v>
      </c>
      <c r="AG335" s="277" t="e">
        <f t="shared" si="347"/>
        <v>#N/A</v>
      </c>
      <c r="AH335" s="276" t="e">
        <f t="shared" si="315"/>
        <v>#N/A</v>
      </c>
      <c r="AI335" s="239">
        <f t="shared" si="348"/>
        <v>7</v>
      </c>
      <c r="AJ335" s="277" t="e">
        <f t="shared" si="316"/>
        <v>#N/A</v>
      </c>
      <c r="AK335" s="277" t="e">
        <f t="shared" si="349"/>
        <v>#N/A</v>
      </c>
      <c r="AL335" s="239" t="e">
        <f t="shared" si="317"/>
        <v>#N/A</v>
      </c>
      <c r="AM335" s="278" t="e">
        <f t="shared" si="350"/>
        <v>#N/A</v>
      </c>
      <c r="AN335" s="279" t="e">
        <f t="shared" si="318"/>
        <v>#N/A</v>
      </c>
      <c r="AO335" s="240" t="e">
        <f t="shared" si="319"/>
        <v>#N/A</v>
      </c>
      <c r="AP335" s="297">
        <f t="shared" si="351"/>
        <v>7</v>
      </c>
      <c r="AQ335" s="298" t="e">
        <f t="shared" si="320"/>
        <v>#N/A</v>
      </c>
      <c r="AR335" s="279" t="e">
        <f t="shared" si="352"/>
        <v>#N/A</v>
      </c>
      <c r="AS335" s="283" t="e">
        <f t="shared" si="321"/>
        <v>#N/A</v>
      </c>
      <c r="AT335" s="284">
        <f t="shared" si="353"/>
        <v>7</v>
      </c>
      <c r="AU335" s="285" t="e">
        <f t="shared" si="354"/>
        <v>#N/A</v>
      </c>
      <c r="AV335" s="286" t="e">
        <f t="shared" si="355"/>
        <v>#N/A</v>
      </c>
      <c r="AW335" s="287" t="e">
        <f t="shared" si="322"/>
        <v>#N/A</v>
      </c>
      <c r="AX335" s="245">
        <f t="shared" si="356"/>
        <v>7</v>
      </c>
      <c r="AY335" s="286" t="e">
        <f t="shared" si="323"/>
        <v>#N/A</v>
      </c>
      <c r="AZ335" s="245" t="e">
        <f t="shared" si="357"/>
        <v>#N/A</v>
      </c>
      <c r="BA335" s="245" t="e">
        <f t="shared" si="324"/>
        <v>#N/A</v>
      </c>
      <c r="BB335" s="288">
        <f t="shared" si="358"/>
        <v>7</v>
      </c>
      <c r="BC335" s="289" t="e">
        <f t="shared" si="359"/>
        <v>#N/A</v>
      </c>
      <c r="BD335" s="290" t="e">
        <f t="shared" si="360"/>
        <v>#N/A</v>
      </c>
      <c r="BE335" s="263" t="e">
        <f t="shared" si="325"/>
        <v>#N/A</v>
      </c>
      <c r="BF335" s="260">
        <f t="shared" si="361"/>
        <v>7</v>
      </c>
      <c r="BG335" s="289" t="e">
        <f t="shared" si="362"/>
        <v>#N/A</v>
      </c>
      <c r="BH335" s="290" t="e">
        <f t="shared" si="363"/>
        <v>#N/A</v>
      </c>
      <c r="BI335" s="263" t="e">
        <f t="shared" si="326"/>
        <v>#N/A</v>
      </c>
      <c r="BJ335" s="264">
        <f t="shared" si="364"/>
        <v>7</v>
      </c>
      <c r="BK335" s="291" t="e">
        <f t="shared" si="365"/>
        <v>#N/A</v>
      </c>
      <c r="BL335" s="291" t="e">
        <f t="shared" si="366"/>
        <v>#N/A</v>
      </c>
      <c r="BM335" s="292" t="e">
        <f t="shared" si="327"/>
        <v>#N/A</v>
      </c>
      <c r="BN335" s="293">
        <f t="shared" si="367"/>
        <v>7</v>
      </c>
      <c r="BO335" s="294" t="e">
        <f t="shared" si="368"/>
        <v>#N/A</v>
      </c>
      <c r="BP335" s="294" t="e">
        <f t="shared" si="369"/>
        <v>#N/A</v>
      </c>
      <c r="BQ335" s="292" t="e">
        <f t="shared" si="328"/>
        <v>#N/A</v>
      </c>
      <c r="BR335" s="295" t="e">
        <f t="shared" si="329"/>
        <v>#N/A</v>
      </c>
      <c r="BS335" s="230" t="e">
        <f>VLOOKUP($B335,SDR22_STOCK_BY_LA!$A$2:$C$11679,3,0)</f>
        <v>#N/A</v>
      </c>
      <c r="BT335" s="230" t="str">
        <f t="shared" si="370"/>
        <v/>
      </c>
    </row>
    <row r="336" spans="1:72" ht="12.5" x14ac:dyDescent="0.25">
      <c r="A336" s="230" t="str">
        <f t="shared" si="371"/>
        <v/>
      </c>
      <c r="B336" s="230" t="str">
        <f t="shared" si="372"/>
        <v/>
      </c>
      <c r="C336" s="296" t="str">
        <f t="shared" si="330"/>
        <v/>
      </c>
      <c r="D336" s="269" t="str">
        <f>IF(B336="","",IF(totals!$Q$3=0,IFERROR(IF(AD336=2,"0",AE336),""),"-"))</f>
        <v/>
      </c>
      <c r="E336" s="271" t="str">
        <f t="shared" si="331"/>
        <v/>
      </c>
      <c r="F336" s="272" t="str">
        <f t="shared" si="332"/>
        <v/>
      </c>
      <c r="G336" s="272" t="str">
        <f t="shared" si="333"/>
        <v/>
      </c>
      <c r="H336" s="269" t="str">
        <f t="shared" si="311"/>
        <v/>
      </c>
      <c r="I336" s="272" t="str">
        <f t="shared" si="334"/>
        <v/>
      </c>
      <c r="J336" s="272" t="str">
        <f t="shared" si="335"/>
        <v/>
      </c>
      <c r="K336" s="269" t="str">
        <f t="shared" si="312"/>
        <v/>
      </c>
      <c r="L336" s="272" t="str">
        <f t="shared" si="313"/>
        <v/>
      </c>
      <c r="M336" s="272" t="str">
        <f t="shared" si="336"/>
        <v/>
      </c>
      <c r="N336" s="269" t="str">
        <f t="shared" si="337"/>
        <v/>
      </c>
      <c r="O336" s="272" t="str">
        <f t="shared" si="338"/>
        <v/>
      </c>
      <c r="P336" s="272" t="str">
        <f t="shared" si="339"/>
        <v/>
      </c>
      <c r="Q336" s="269" t="str">
        <f t="shared" si="340"/>
        <v/>
      </c>
      <c r="R336" s="272" t="str">
        <f t="shared" si="341"/>
        <v/>
      </c>
      <c r="S336" s="272" t="str">
        <f t="shared" si="342"/>
        <v/>
      </c>
      <c r="T336" s="269" t="str">
        <f t="shared" si="343"/>
        <v/>
      </c>
      <c r="U336" s="230"/>
      <c r="V336" s="230"/>
      <c r="AB336" s="230" t="e">
        <f>VLOOKUP($B$6,Lookup_Source,329,0)</f>
        <v>#N/A</v>
      </c>
      <c r="AC336" s="254" t="str">
        <f t="shared" si="344"/>
        <v/>
      </c>
      <c r="AD336" s="255">
        <f t="shared" si="345"/>
        <v>7</v>
      </c>
      <c r="AE336" s="274" t="e">
        <f t="shared" si="314"/>
        <v>#N/A</v>
      </c>
      <c r="AF336" s="277" t="e">
        <f t="shared" si="346"/>
        <v>#N/A</v>
      </c>
      <c r="AG336" s="277" t="e">
        <f t="shared" si="347"/>
        <v>#N/A</v>
      </c>
      <c r="AH336" s="276" t="e">
        <f t="shared" si="315"/>
        <v>#N/A</v>
      </c>
      <c r="AI336" s="239">
        <f t="shared" si="348"/>
        <v>7</v>
      </c>
      <c r="AJ336" s="277" t="e">
        <f t="shared" si="316"/>
        <v>#N/A</v>
      </c>
      <c r="AK336" s="277" t="e">
        <f t="shared" si="349"/>
        <v>#N/A</v>
      </c>
      <c r="AL336" s="239" t="e">
        <f t="shared" si="317"/>
        <v>#N/A</v>
      </c>
      <c r="AM336" s="278" t="e">
        <f t="shared" si="350"/>
        <v>#N/A</v>
      </c>
      <c r="AN336" s="279" t="e">
        <f t="shared" si="318"/>
        <v>#N/A</v>
      </c>
      <c r="AO336" s="240" t="e">
        <f t="shared" si="319"/>
        <v>#N/A</v>
      </c>
      <c r="AP336" s="297">
        <f t="shared" si="351"/>
        <v>7</v>
      </c>
      <c r="AQ336" s="298" t="e">
        <f t="shared" si="320"/>
        <v>#N/A</v>
      </c>
      <c r="AR336" s="279" t="e">
        <f t="shared" si="352"/>
        <v>#N/A</v>
      </c>
      <c r="AS336" s="283" t="e">
        <f t="shared" si="321"/>
        <v>#N/A</v>
      </c>
      <c r="AT336" s="284">
        <f t="shared" si="353"/>
        <v>7</v>
      </c>
      <c r="AU336" s="285" t="e">
        <f t="shared" si="354"/>
        <v>#N/A</v>
      </c>
      <c r="AV336" s="286" t="e">
        <f t="shared" si="355"/>
        <v>#N/A</v>
      </c>
      <c r="AW336" s="287" t="e">
        <f t="shared" si="322"/>
        <v>#N/A</v>
      </c>
      <c r="AX336" s="245">
        <f t="shared" si="356"/>
        <v>7</v>
      </c>
      <c r="AY336" s="286" t="e">
        <f t="shared" si="323"/>
        <v>#N/A</v>
      </c>
      <c r="AZ336" s="245" t="e">
        <f t="shared" si="357"/>
        <v>#N/A</v>
      </c>
      <c r="BA336" s="245" t="e">
        <f t="shared" si="324"/>
        <v>#N/A</v>
      </c>
      <c r="BB336" s="288">
        <f t="shared" si="358"/>
        <v>7</v>
      </c>
      <c r="BC336" s="289" t="e">
        <f t="shared" si="359"/>
        <v>#N/A</v>
      </c>
      <c r="BD336" s="290" t="e">
        <f t="shared" si="360"/>
        <v>#N/A</v>
      </c>
      <c r="BE336" s="263" t="e">
        <f t="shared" si="325"/>
        <v>#N/A</v>
      </c>
      <c r="BF336" s="260">
        <f t="shared" si="361"/>
        <v>7</v>
      </c>
      <c r="BG336" s="289" t="e">
        <f t="shared" si="362"/>
        <v>#N/A</v>
      </c>
      <c r="BH336" s="290" t="e">
        <f t="shared" si="363"/>
        <v>#N/A</v>
      </c>
      <c r="BI336" s="263" t="e">
        <f t="shared" si="326"/>
        <v>#N/A</v>
      </c>
      <c r="BJ336" s="264">
        <f t="shared" si="364"/>
        <v>7</v>
      </c>
      <c r="BK336" s="291" t="e">
        <f t="shared" si="365"/>
        <v>#N/A</v>
      </c>
      <c r="BL336" s="291" t="e">
        <f t="shared" si="366"/>
        <v>#N/A</v>
      </c>
      <c r="BM336" s="292" t="e">
        <f t="shared" si="327"/>
        <v>#N/A</v>
      </c>
      <c r="BN336" s="293">
        <f t="shared" si="367"/>
        <v>7</v>
      </c>
      <c r="BO336" s="294" t="e">
        <f t="shared" si="368"/>
        <v>#N/A</v>
      </c>
      <c r="BP336" s="294" t="e">
        <f t="shared" si="369"/>
        <v>#N/A</v>
      </c>
      <c r="BQ336" s="292" t="e">
        <f t="shared" si="328"/>
        <v>#N/A</v>
      </c>
      <c r="BR336" s="295" t="e">
        <f t="shared" si="329"/>
        <v>#N/A</v>
      </c>
      <c r="BS336" s="230" t="e">
        <f>VLOOKUP($B336,SDR22_STOCK_BY_LA!$A$2:$C$11679,3,0)</f>
        <v>#N/A</v>
      </c>
      <c r="BT336" s="230" t="str">
        <f t="shared" si="370"/>
        <v/>
      </c>
    </row>
    <row r="337" spans="1:72" ht="12.5" x14ac:dyDescent="0.25">
      <c r="A337" s="269" t="str">
        <f t="shared" si="371"/>
        <v/>
      </c>
      <c r="B337" s="230" t="str">
        <f t="shared" si="372"/>
        <v/>
      </c>
      <c r="C337" s="270" t="str">
        <f t="shared" si="330"/>
        <v/>
      </c>
      <c r="D337" s="269" t="str">
        <f>IF(B337="","",IF(totals!$Q$3=0,IFERROR(IF(AD337=2,"0",AE337),""),"-"))</f>
        <v/>
      </c>
      <c r="E337" s="271" t="str">
        <f t="shared" si="331"/>
        <v/>
      </c>
      <c r="F337" s="272" t="str">
        <f t="shared" si="332"/>
        <v/>
      </c>
      <c r="G337" s="272" t="str">
        <f t="shared" si="333"/>
        <v/>
      </c>
      <c r="H337" s="269" t="str">
        <f t="shared" si="311"/>
        <v/>
      </c>
      <c r="I337" s="272" t="str">
        <f t="shared" si="334"/>
        <v/>
      </c>
      <c r="J337" s="272" t="str">
        <f t="shared" si="335"/>
        <v/>
      </c>
      <c r="K337" s="269" t="str">
        <f t="shared" si="312"/>
        <v/>
      </c>
      <c r="L337" s="272" t="str">
        <f t="shared" si="313"/>
        <v/>
      </c>
      <c r="M337" s="272" t="str">
        <f t="shared" si="336"/>
        <v/>
      </c>
      <c r="N337" s="269" t="str">
        <f t="shared" si="337"/>
        <v/>
      </c>
      <c r="O337" s="272" t="str">
        <f t="shared" si="338"/>
        <v/>
      </c>
      <c r="P337" s="272" t="str">
        <f t="shared" si="339"/>
        <v/>
      </c>
      <c r="Q337" s="269" t="str">
        <f t="shared" si="340"/>
        <v/>
      </c>
      <c r="R337" s="272" t="str">
        <f t="shared" si="341"/>
        <v/>
      </c>
      <c r="S337" s="272" t="str">
        <f t="shared" si="342"/>
        <v/>
      </c>
      <c r="T337" s="269" t="str">
        <f t="shared" si="343"/>
        <v/>
      </c>
      <c r="U337" s="230"/>
      <c r="V337" s="230"/>
      <c r="AB337" s="270" t="e">
        <f>VLOOKUP($B$6,Lookup_Source,330,0)</f>
        <v>#N/A</v>
      </c>
      <c r="AC337" s="254" t="str">
        <f t="shared" si="344"/>
        <v/>
      </c>
      <c r="AD337" s="255">
        <f t="shared" si="345"/>
        <v>7</v>
      </c>
      <c r="AE337" s="274" t="e">
        <f t="shared" si="314"/>
        <v>#N/A</v>
      </c>
      <c r="AF337" s="277" t="e">
        <f t="shared" si="346"/>
        <v>#N/A</v>
      </c>
      <c r="AG337" s="277" t="e">
        <f t="shared" si="347"/>
        <v>#N/A</v>
      </c>
      <c r="AH337" s="276" t="e">
        <f t="shared" si="315"/>
        <v>#N/A</v>
      </c>
      <c r="AI337" s="239">
        <f t="shared" si="348"/>
        <v>7</v>
      </c>
      <c r="AJ337" s="277" t="e">
        <f t="shared" si="316"/>
        <v>#N/A</v>
      </c>
      <c r="AK337" s="277" t="e">
        <f t="shared" si="349"/>
        <v>#N/A</v>
      </c>
      <c r="AL337" s="239" t="e">
        <f t="shared" si="317"/>
        <v>#N/A</v>
      </c>
      <c r="AM337" s="278" t="e">
        <f t="shared" si="350"/>
        <v>#N/A</v>
      </c>
      <c r="AN337" s="279" t="e">
        <f t="shared" si="318"/>
        <v>#N/A</v>
      </c>
      <c r="AO337" s="240" t="e">
        <f t="shared" si="319"/>
        <v>#N/A</v>
      </c>
      <c r="AP337" s="297">
        <f t="shared" si="351"/>
        <v>7</v>
      </c>
      <c r="AQ337" s="298" t="e">
        <f t="shared" si="320"/>
        <v>#N/A</v>
      </c>
      <c r="AR337" s="279" t="e">
        <f t="shared" si="352"/>
        <v>#N/A</v>
      </c>
      <c r="AS337" s="283" t="e">
        <f t="shared" si="321"/>
        <v>#N/A</v>
      </c>
      <c r="AT337" s="284">
        <f t="shared" si="353"/>
        <v>7</v>
      </c>
      <c r="AU337" s="285" t="e">
        <f t="shared" si="354"/>
        <v>#N/A</v>
      </c>
      <c r="AV337" s="286" t="e">
        <f t="shared" si="355"/>
        <v>#N/A</v>
      </c>
      <c r="AW337" s="287" t="e">
        <f t="shared" si="322"/>
        <v>#N/A</v>
      </c>
      <c r="AX337" s="245">
        <f t="shared" si="356"/>
        <v>7</v>
      </c>
      <c r="AY337" s="286" t="e">
        <f t="shared" si="323"/>
        <v>#N/A</v>
      </c>
      <c r="AZ337" s="245" t="e">
        <f t="shared" si="357"/>
        <v>#N/A</v>
      </c>
      <c r="BA337" s="245" t="e">
        <f t="shared" si="324"/>
        <v>#N/A</v>
      </c>
      <c r="BB337" s="288">
        <f t="shared" si="358"/>
        <v>7</v>
      </c>
      <c r="BC337" s="289" t="e">
        <f t="shared" si="359"/>
        <v>#N/A</v>
      </c>
      <c r="BD337" s="290" t="e">
        <f t="shared" si="360"/>
        <v>#N/A</v>
      </c>
      <c r="BE337" s="263" t="e">
        <f t="shared" si="325"/>
        <v>#N/A</v>
      </c>
      <c r="BF337" s="260">
        <f t="shared" si="361"/>
        <v>7</v>
      </c>
      <c r="BG337" s="289" t="e">
        <f t="shared" si="362"/>
        <v>#N/A</v>
      </c>
      <c r="BH337" s="290" t="e">
        <f t="shared" si="363"/>
        <v>#N/A</v>
      </c>
      <c r="BI337" s="263" t="e">
        <f t="shared" si="326"/>
        <v>#N/A</v>
      </c>
      <c r="BJ337" s="264">
        <f t="shared" si="364"/>
        <v>7</v>
      </c>
      <c r="BK337" s="291" t="e">
        <f t="shared" si="365"/>
        <v>#N/A</v>
      </c>
      <c r="BL337" s="291" t="e">
        <f t="shared" si="366"/>
        <v>#N/A</v>
      </c>
      <c r="BM337" s="292" t="e">
        <f t="shared" si="327"/>
        <v>#N/A</v>
      </c>
      <c r="BN337" s="293">
        <f t="shared" si="367"/>
        <v>7</v>
      </c>
      <c r="BO337" s="294" t="e">
        <f t="shared" si="368"/>
        <v>#N/A</v>
      </c>
      <c r="BP337" s="294" t="e">
        <f t="shared" si="369"/>
        <v>#N/A</v>
      </c>
      <c r="BQ337" s="292" t="e">
        <f t="shared" si="328"/>
        <v>#N/A</v>
      </c>
      <c r="BR337" s="295" t="e">
        <f t="shared" si="329"/>
        <v>#N/A</v>
      </c>
      <c r="BS337" s="230" t="e">
        <f>VLOOKUP($B337,SDR22_STOCK_BY_LA!$A$2:$C$11679,3,0)</f>
        <v>#N/A</v>
      </c>
      <c r="BT337" s="230" t="str">
        <f t="shared" si="370"/>
        <v/>
      </c>
    </row>
    <row r="338" spans="1:72" ht="12.5" x14ac:dyDescent="0.25">
      <c r="A338" s="230" t="str">
        <f t="shared" si="371"/>
        <v/>
      </c>
      <c r="B338" s="230" t="str">
        <f t="shared" si="372"/>
        <v/>
      </c>
      <c r="C338" s="296" t="str">
        <f t="shared" si="330"/>
        <v/>
      </c>
      <c r="D338" s="269" t="str">
        <f>IF(B338="","",IF(totals!$Q$3=0,IFERROR(IF(AD338=2,"0",AE338),""),"-"))</f>
        <v/>
      </c>
      <c r="E338" s="271" t="str">
        <f t="shared" si="331"/>
        <v/>
      </c>
      <c r="F338" s="272" t="str">
        <f t="shared" si="332"/>
        <v/>
      </c>
      <c r="G338" s="272" t="str">
        <f t="shared" si="333"/>
        <v/>
      </c>
      <c r="H338" s="269" t="str">
        <f t="shared" si="311"/>
        <v/>
      </c>
      <c r="I338" s="272" t="str">
        <f t="shared" si="334"/>
        <v/>
      </c>
      <c r="J338" s="272" t="str">
        <f t="shared" si="335"/>
        <v/>
      </c>
      <c r="K338" s="269" t="str">
        <f t="shared" si="312"/>
        <v/>
      </c>
      <c r="L338" s="272" t="str">
        <f t="shared" si="313"/>
        <v/>
      </c>
      <c r="M338" s="272" t="str">
        <f t="shared" si="336"/>
        <v/>
      </c>
      <c r="N338" s="269" t="str">
        <f t="shared" si="337"/>
        <v/>
      </c>
      <c r="O338" s="272" t="str">
        <f t="shared" si="338"/>
        <v/>
      </c>
      <c r="P338" s="272" t="str">
        <f t="shared" si="339"/>
        <v/>
      </c>
      <c r="Q338" s="269" t="str">
        <f t="shared" si="340"/>
        <v/>
      </c>
      <c r="R338" s="272" t="str">
        <f t="shared" si="341"/>
        <v/>
      </c>
      <c r="S338" s="272" t="str">
        <f t="shared" si="342"/>
        <v/>
      </c>
      <c r="T338" s="269" t="str">
        <f t="shared" si="343"/>
        <v/>
      </c>
      <c r="U338" s="230"/>
      <c r="V338" s="230"/>
      <c r="AB338" s="230" t="e">
        <f>VLOOKUP($B$6,Lookup_Source,331,0)</f>
        <v>#N/A</v>
      </c>
      <c r="AC338" s="254" t="str">
        <f t="shared" si="344"/>
        <v/>
      </c>
      <c r="AD338" s="255">
        <f t="shared" si="345"/>
        <v>7</v>
      </c>
      <c r="AE338" s="274" t="e">
        <f t="shared" si="314"/>
        <v>#N/A</v>
      </c>
      <c r="AF338" s="277" t="e">
        <f t="shared" si="346"/>
        <v>#N/A</v>
      </c>
      <c r="AG338" s="277" t="e">
        <f t="shared" si="347"/>
        <v>#N/A</v>
      </c>
      <c r="AH338" s="276" t="e">
        <f t="shared" si="315"/>
        <v>#N/A</v>
      </c>
      <c r="AI338" s="239">
        <f t="shared" si="348"/>
        <v>7</v>
      </c>
      <c r="AJ338" s="277" t="e">
        <f t="shared" si="316"/>
        <v>#N/A</v>
      </c>
      <c r="AK338" s="277" t="e">
        <f t="shared" si="349"/>
        <v>#N/A</v>
      </c>
      <c r="AL338" s="239" t="e">
        <f t="shared" si="317"/>
        <v>#N/A</v>
      </c>
      <c r="AM338" s="278" t="e">
        <f t="shared" si="350"/>
        <v>#N/A</v>
      </c>
      <c r="AN338" s="279" t="e">
        <f t="shared" si="318"/>
        <v>#N/A</v>
      </c>
      <c r="AO338" s="240" t="e">
        <f t="shared" si="319"/>
        <v>#N/A</v>
      </c>
      <c r="AP338" s="297">
        <f t="shared" si="351"/>
        <v>7</v>
      </c>
      <c r="AQ338" s="298" t="e">
        <f t="shared" si="320"/>
        <v>#N/A</v>
      </c>
      <c r="AR338" s="279" t="e">
        <f t="shared" si="352"/>
        <v>#N/A</v>
      </c>
      <c r="AS338" s="283" t="e">
        <f t="shared" si="321"/>
        <v>#N/A</v>
      </c>
      <c r="AT338" s="284">
        <f t="shared" si="353"/>
        <v>7</v>
      </c>
      <c r="AU338" s="285" t="e">
        <f t="shared" si="354"/>
        <v>#N/A</v>
      </c>
      <c r="AV338" s="286" t="e">
        <f t="shared" si="355"/>
        <v>#N/A</v>
      </c>
      <c r="AW338" s="287" t="e">
        <f t="shared" si="322"/>
        <v>#N/A</v>
      </c>
      <c r="AX338" s="245">
        <f t="shared" si="356"/>
        <v>7</v>
      </c>
      <c r="AY338" s="286" t="e">
        <f t="shared" si="323"/>
        <v>#N/A</v>
      </c>
      <c r="AZ338" s="245" t="e">
        <f t="shared" si="357"/>
        <v>#N/A</v>
      </c>
      <c r="BA338" s="245" t="e">
        <f t="shared" si="324"/>
        <v>#N/A</v>
      </c>
      <c r="BB338" s="288">
        <f t="shared" si="358"/>
        <v>7</v>
      </c>
      <c r="BC338" s="289" t="e">
        <f t="shared" si="359"/>
        <v>#N/A</v>
      </c>
      <c r="BD338" s="290" t="e">
        <f t="shared" si="360"/>
        <v>#N/A</v>
      </c>
      <c r="BE338" s="263" t="e">
        <f t="shared" si="325"/>
        <v>#N/A</v>
      </c>
      <c r="BF338" s="260">
        <f t="shared" si="361"/>
        <v>7</v>
      </c>
      <c r="BG338" s="289" t="e">
        <f t="shared" si="362"/>
        <v>#N/A</v>
      </c>
      <c r="BH338" s="290" t="e">
        <f t="shared" si="363"/>
        <v>#N/A</v>
      </c>
      <c r="BI338" s="263" t="e">
        <f t="shared" si="326"/>
        <v>#N/A</v>
      </c>
      <c r="BJ338" s="264">
        <f t="shared" si="364"/>
        <v>7</v>
      </c>
      <c r="BK338" s="291" t="e">
        <f t="shared" si="365"/>
        <v>#N/A</v>
      </c>
      <c r="BL338" s="291" t="e">
        <f t="shared" si="366"/>
        <v>#N/A</v>
      </c>
      <c r="BM338" s="292" t="e">
        <f t="shared" si="327"/>
        <v>#N/A</v>
      </c>
      <c r="BN338" s="293">
        <f t="shared" si="367"/>
        <v>7</v>
      </c>
      <c r="BO338" s="294" t="e">
        <f t="shared" si="368"/>
        <v>#N/A</v>
      </c>
      <c r="BP338" s="294" t="e">
        <f t="shared" si="369"/>
        <v>#N/A</v>
      </c>
      <c r="BQ338" s="292" t="e">
        <f t="shared" si="328"/>
        <v>#N/A</v>
      </c>
      <c r="BR338" s="295" t="e">
        <f t="shared" si="329"/>
        <v>#N/A</v>
      </c>
      <c r="BS338" s="230" t="e">
        <f>VLOOKUP($B338,SDR22_STOCK_BY_LA!$A$2:$C$11679,3,0)</f>
        <v>#N/A</v>
      </c>
      <c r="BT338" s="230" t="str">
        <f t="shared" si="370"/>
        <v/>
      </c>
    </row>
    <row r="339" spans="1:72" ht="12.5" x14ac:dyDescent="0.25">
      <c r="A339" s="269" t="str">
        <f t="shared" si="371"/>
        <v/>
      </c>
      <c r="B339" s="230" t="str">
        <f t="shared" si="372"/>
        <v/>
      </c>
      <c r="C339" s="270" t="str">
        <f t="shared" si="330"/>
        <v/>
      </c>
      <c r="D339" s="269" t="str">
        <f>IF(B339="","",IF(totals!$Q$3=0,IFERROR(IF(AD339=2,"0",AE339),""),"-"))</f>
        <v/>
      </c>
      <c r="E339" s="271" t="str">
        <f t="shared" si="331"/>
        <v/>
      </c>
      <c r="F339" s="272" t="str">
        <f t="shared" si="332"/>
        <v/>
      </c>
      <c r="G339" s="272" t="str">
        <f t="shared" si="333"/>
        <v/>
      </c>
      <c r="H339" s="269" t="str">
        <f t="shared" si="311"/>
        <v/>
      </c>
      <c r="I339" s="272" t="str">
        <f t="shared" si="334"/>
        <v/>
      </c>
      <c r="J339" s="272" t="str">
        <f t="shared" si="335"/>
        <v/>
      </c>
      <c r="K339" s="269" t="str">
        <f t="shared" si="312"/>
        <v/>
      </c>
      <c r="L339" s="272" t="str">
        <f t="shared" si="313"/>
        <v/>
      </c>
      <c r="M339" s="272" t="str">
        <f t="shared" si="336"/>
        <v/>
      </c>
      <c r="N339" s="269" t="str">
        <f t="shared" si="337"/>
        <v/>
      </c>
      <c r="O339" s="272" t="str">
        <f t="shared" si="338"/>
        <v/>
      </c>
      <c r="P339" s="272" t="str">
        <f t="shared" si="339"/>
        <v/>
      </c>
      <c r="Q339" s="269" t="str">
        <f t="shared" si="340"/>
        <v/>
      </c>
      <c r="R339" s="272" t="str">
        <f t="shared" si="341"/>
        <v/>
      </c>
      <c r="S339" s="272" t="str">
        <f t="shared" si="342"/>
        <v/>
      </c>
      <c r="T339" s="269" t="str">
        <f t="shared" si="343"/>
        <v/>
      </c>
      <c r="U339" s="230"/>
      <c r="V339" s="230"/>
      <c r="AB339" s="270" t="e">
        <f>VLOOKUP($B$6,Lookup_Source,332,0)</f>
        <v>#N/A</v>
      </c>
      <c r="AC339" s="254" t="str">
        <f t="shared" si="344"/>
        <v/>
      </c>
      <c r="AD339" s="255">
        <f t="shared" si="345"/>
        <v>7</v>
      </c>
      <c r="AE339" s="274" t="e">
        <f t="shared" si="314"/>
        <v>#N/A</v>
      </c>
      <c r="AF339" s="277" t="e">
        <f t="shared" si="346"/>
        <v>#N/A</v>
      </c>
      <c r="AG339" s="277" t="e">
        <f t="shared" si="347"/>
        <v>#N/A</v>
      </c>
      <c r="AH339" s="276" t="e">
        <f t="shared" si="315"/>
        <v>#N/A</v>
      </c>
      <c r="AI339" s="239">
        <f t="shared" si="348"/>
        <v>7</v>
      </c>
      <c r="AJ339" s="277" t="e">
        <f t="shared" si="316"/>
        <v>#N/A</v>
      </c>
      <c r="AK339" s="277" t="e">
        <f t="shared" si="349"/>
        <v>#N/A</v>
      </c>
      <c r="AL339" s="239" t="e">
        <f t="shared" si="317"/>
        <v>#N/A</v>
      </c>
      <c r="AM339" s="278" t="e">
        <f t="shared" si="350"/>
        <v>#N/A</v>
      </c>
      <c r="AN339" s="279" t="e">
        <f t="shared" si="318"/>
        <v>#N/A</v>
      </c>
      <c r="AO339" s="240" t="e">
        <f t="shared" si="319"/>
        <v>#N/A</v>
      </c>
      <c r="AP339" s="297">
        <f t="shared" si="351"/>
        <v>7</v>
      </c>
      <c r="AQ339" s="298" t="e">
        <f t="shared" si="320"/>
        <v>#N/A</v>
      </c>
      <c r="AR339" s="279" t="e">
        <f t="shared" si="352"/>
        <v>#N/A</v>
      </c>
      <c r="AS339" s="283" t="e">
        <f t="shared" si="321"/>
        <v>#N/A</v>
      </c>
      <c r="AT339" s="284">
        <f t="shared" si="353"/>
        <v>7</v>
      </c>
      <c r="AU339" s="285" t="e">
        <f t="shared" si="354"/>
        <v>#N/A</v>
      </c>
      <c r="AV339" s="286" t="e">
        <f t="shared" si="355"/>
        <v>#N/A</v>
      </c>
      <c r="AW339" s="287" t="e">
        <f t="shared" si="322"/>
        <v>#N/A</v>
      </c>
      <c r="AX339" s="245">
        <f t="shared" si="356"/>
        <v>7</v>
      </c>
      <c r="AY339" s="286" t="e">
        <f t="shared" si="323"/>
        <v>#N/A</v>
      </c>
      <c r="AZ339" s="245" t="e">
        <f t="shared" si="357"/>
        <v>#N/A</v>
      </c>
      <c r="BA339" s="245" t="e">
        <f t="shared" si="324"/>
        <v>#N/A</v>
      </c>
      <c r="BB339" s="288">
        <f t="shared" si="358"/>
        <v>7</v>
      </c>
      <c r="BC339" s="289" t="e">
        <f t="shared" si="359"/>
        <v>#N/A</v>
      </c>
      <c r="BD339" s="290" t="e">
        <f t="shared" si="360"/>
        <v>#N/A</v>
      </c>
      <c r="BE339" s="263" t="e">
        <f t="shared" si="325"/>
        <v>#N/A</v>
      </c>
      <c r="BF339" s="260">
        <f t="shared" si="361"/>
        <v>7</v>
      </c>
      <c r="BG339" s="289" t="e">
        <f t="shared" si="362"/>
        <v>#N/A</v>
      </c>
      <c r="BH339" s="290" t="e">
        <f t="shared" si="363"/>
        <v>#N/A</v>
      </c>
      <c r="BI339" s="263" t="e">
        <f t="shared" si="326"/>
        <v>#N/A</v>
      </c>
      <c r="BJ339" s="264">
        <f t="shared" si="364"/>
        <v>7</v>
      </c>
      <c r="BK339" s="291" t="e">
        <f t="shared" si="365"/>
        <v>#N/A</v>
      </c>
      <c r="BL339" s="291" t="e">
        <f t="shared" si="366"/>
        <v>#N/A</v>
      </c>
      <c r="BM339" s="292" t="e">
        <f t="shared" si="327"/>
        <v>#N/A</v>
      </c>
      <c r="BN339" s="293">
        <f t="shared" si="367"/>
        <v>7</v>
      </c>
      <c r="BO339" s="294" t="e">
        <f t="shared" si="368"/>
        <v>#N/A</v>
      </c>
      <c r="BP339" s="294" t="e">
        <f t="shared" si="369"/>
        <v>#N/A</v>
      </c>
      <c r="BQ339" s="292" t="e">
        <f t="shared" si="328"/>
        <v>#N/A</v>
      </c>
      <c r="BR339" s="295" t="e">
        <f t="shared" si="329"/>
        <v>#N/A</v>
      </c>
      <c r="BS339" s="230" t="e">
        <f>VLOOKUP($B339,SDR22_STOCK_BY_LA!$A$2:$C$11679,3,0)</f>
        <v>#N/A</v>
      </c>
      <c r="BT339" s="230" t="str">
        <f t="shared" si="370"/>
        <v/>
      </c>
    </row>
    <row r="340" spans="1:72" ht="12.5" x14ac:dyDescent="0.25">
      <c r="A340" s="230" t="str">
        <f t="shared" si="371"/>
        <v/>
      </c>
      <c r="B340" s="230" t="str">
        <f t="shared" si="372"/>
        <v/>
      </c>
      <c r="C340" s="296" t="str">
        <f t="shared" si="330"/>
        <v/>
      </c>
      <c r="D340" s="269" t="str">
        <f>IF(B340="","",IF(totals!$Q$3=0,IFERROR(IF(AD340=2,"0",AE340),""),"-"))</f>
        <v/>
      </c>
      <c r="E340" s="271" t="str">
        <f t="shared" si="331"/>
        <v/>
      </c>
      <c r="F340" s="272" t="str">
        <f t="shared" si="332"/>
        <v/>
      </c>
      <c r="G340" s="272" t="str">
        <f t="shared" si="333"/>
        <v/>
      </c>
      <c r="H340" s="269" t="str">
        <f t="shared" si="311"/>
        <v/>
      </c>
      <c r="I340" s="272" t="str">
        <f t="shared" si="334"/>
        <v/>
      </c>
      <c r="J340" s="272" t="str">
        <f t="shared" si="335"/>
        <v/>
      </c>
      <c r="K340" s="269" t="str">
        <f t="shared" si="312"/>
        <v/>
      </c>
      <c r="L340" s="272" t="str">
        <f t="shared" si="313"/>
        <v/>
      </c>
      <c r="M340" s="272" t="str">
        <f t="shared" si="336"/>
        <v/>
      </c>
      <c r="N340" s="269" t="str">
        <f t="shared" si="337"/>
        <v/>
      </c>
      <c r="O340" s="272" t="str">
        <f t="shared" si="338"/>
        <v/>
      </c>
      <c r="P340" s="272" t="str">
        <f t="shared" si="339"/>
        <v/>
      </c>
      <c r="Q340" s="269" t="str">
        <f t="shared" si="340"/>
        <v/>
      </c>
      <c r="R340" s="272" t="str">
        <f t="shared" si="341"/>
        <v/>
      </c>
      <c r="S340" s="272" t="str">
        <f t="shared" si="342"/>
        <v/>
      </c>
      <c r="T340" s="269" t="str">
        <f t="shared" si="343"/>
        <v/>
      </c>
      <c r="U340" s="230"/>
      <c r="V340" s="230"/>
      <c r="AB340" s="230" t="e">
        <f>VLOOKUP($B$6,Lookup_Source,333,0)</f>
        <v>#N/A</v>
      </c>
      <c r="AC340" s="254" t="str">
        <f t="shared" si="344"/>
        <v/>
      </c>
      <c r="AD340" s="255">
        <f t="shared" si="345"/>
        <v>7</v>
      </c>
      <c r="AE340" s="274" t="e">
        <f t="shared" si="314"/>
        <v>#N/A</v>
      </c>
      <c r="AF340" s="277" t="e">
        <f t="shared" si="346"/>
        <v>#N/A</v>
      </c>
      <c r="AG340" s="277" t="e">
        <f t="shared" si="347"/>
        <v>#N/A</v>
      </c>
      <c r="AH340" s="276" t="e">
        <f t="shared" si="315"/>
        <v>#N/A</v>
      </c>
      <c r="AI340" s="239">
        <f t="shared" si="348"/>
        <v>7</v>
      </c>
      <c r="AJ340" s="277" t="e">
        <f t="shared" si="316"/>
        <v>#N/A</v>
      </c>
      <c r="AK340" s="277" t="e">
        <f t="shared" si="349"/>
        <v>#N/A</v>
      </c>
      <c r="AL340" s="239" t="e">
        <f t="shared" si="317"/>
        <v>#N/A</v>
      </c>
      <c r="AM340" s="278" t="e">
        <f t="shared" si="350"/>
        <v>#N/A</v>
      </c>
      <c r="AN340" s="279" t="e">
        <f t="shared" si="318"/>
        <v>#N/A</v>
      </c>
      <c r="AO340" s="240" t="e">
        <f t="shared" si="319"/>
        <v>#N/A</v>
      </c>
      <c r="AP340" s="297">
        <f t="shared" si="351"/>
        <v>7</v>
      </c>
      <c r="AQ340" s="298" t="e">
        <f t="shared" si="320"/>
        <v>#N/A</v>
      </c>
      <c r="AR340" s="279" t="e">
        <f t="shared" si="352"/>
        <v>#N/A</v>
      </c>
      <c r="AS340" s="283" t="e">
        <f t="shared" si="321"/>
        <v>#N/A</v>
      </c>
      <c r="AT340" s="284">
        <f t="shared" si="353"/>
        <v>7</v>
      </c>
      <c r="AU340" s="285" t="e">
        <f t="shared" si="354"/>
        <v>#N/A</v>
      </c>
      <c r="AV340" s="286" t="e">
        <f t="shared" si="355"/>
        <v>#N/A</v>
      </c>
      <c r="AW340" s="287" t="e">
        <f t="shared" si="322"/>
        <v>#N/A</v>
      </c>
      <c r="AX340" s="245">
        <f t="shared" si="356"/>
        <v>7</v>
      </c>
      <c r="AY340" s="286" t="e">
        <f t="shared" si="323"/>
        <v>#N/A</v>
      </c>
      <c r="AZ340" s="245" t="e">
        <f t="shared" si="357"/>
        <v>#N/A</v>
      </c>
      <c r="BA340" s="245" t="e">
        <f t="shared" si="324"/>
        <v>#N/A</v>
      </c>
      <c r="BB340" s="288">
        <f t="shared" si="358"/>
        <v>7</v>
      </c>
      <c r="BC340" s="289" t="e">
        <f t="shared" si="359"/>
        <v>#N/A</v>
      </c>
      <c r="BD340" s="290" t="e">
        <f t="shared" si="360"/>
        <v>#N/A</v>
      </c>
      <c r="BE340" s="263" t="e">
        <f t="shared" si="325"/>
        <v>#N/A</v>
      </c>
      <c r="BF340" s="260">
        <f t="shared" si="361"/>
        <v>7</v>
      </c>
      <c r="BG340" s="289" t="e">
        <f t="shared" si="362"/>
        <v>#N/A</v>
      </c>
      <c r="BH340" s="290" t="e">
        <f t="shared" si="363"/>
        <v>#N/A</v>
      </c>
      <c r="BI340" s="263" t="e">
        <f t="shared" si="326"/>
        <v>#N/A</v>
      </c>
      <c r="BJ340" s="264">
        <f t="shared" si="364"/>
        <v>7</v>
      </c>
      <c r="BK340" s="291" t="e">
        <f t="shared" si="365"/>
        <v>#N/A</v>
      </c>
      <c r="BL340" s="291" t="e">
        <f t="shared" si="366"/>
        <v>#N/A</v>
      </c>
      <c r="BM340" s="292" t="e">
        <f t="shared" si="327"/>
        <v>#N/A</v>
      </c>
      <c r="BN340" s="293">
        <f t="shared" si="367"/>
        <v>7</v>
      </c>
      <c r="BO340" s="294" t="e">
        <f t="shared" si="368"/>
        <v>#N/A</v>
      </c>
      <c r="BP340" s="294" t="e">
        <f t="shared" si="369"/>
        <v>#N/A</v>
      </c>
      <c r="BQ340" s="292" t="e">
        <f t="shared" si="328"/>
        <v>#N/A</v>
      </c>
      <c r="BR340" s="295" t="e">
        <f t="shared" si="329"/>
        <v>#N/A</v>
      </c>
      <c r="BS340" s="230" t="e">
        <f>VLOOKUP($B340,SDR22_STOCK_BY_LA!$A$2:$C$11679,3,0)</f>
        <v>#N/A</v>
      </c>
      <c r="BT340" s="230" t="str">
        <f t="shared" si="370"/>
        <v/>
      </c>
    </row>
    <row r="341" spans="1:72" ht="12.5" x14ac:dyDescent="0.25">
      <c r="A341" s="269" t="str">
        <f t="shared" si="371"/>
        <v/>
      </c>
      <c r="B341" s="230" t="str">
        <f t="shared" si="372"/>
        <v/>
      </c>
      <c r="C341" s="270" t="str">
        <f t="shared" si="330"/>
        <v/>
      </c>
      <c r="D341" s="269" t="str">
        <f>IF(B341="","",IF(totals!$Q$3=0,IFERROR(IF(AD341=2,"0",AE341),""),"-"))</f>
        <v/>
      </c>
      <c r="E341" s="271" t="str">
        <f t="shared" si="331"/>
        <v/>
      </c>
      <c r="F341" s="272" t="str">
        <f t="shared" si="332"/>
        <v/>
      </c>
      <c r="G341" s="272" t="str">
        <f t="shared" si="333"/>
        <v/>
      </c>
      <c r="H341" s="269" t="str">
        <f t="shared" si="311"/>
        <v/>
      </c>
      <c r="I341" s="272" t="str">
        <f t="shared" si="334"/>
        <v/>
      </c>
      <c r="J341" s="272" t="str">
        <f t="shared" si="335"/>
        <v/>
      </c>
      <c r="K341" s="269" t="str">
        <f t="shared" si="312"/>
        <v/>
      </c>
      <c r="L341" s="272" t="str">
        <f t="shared" si="313"/>
        <v/>
      </c>
      <c r="M341" s="272" t="str">
        <f t="shared" si="336"/>
        <v/>
      </c>
      <c r="N341" s="269" t="str">
        <f t="shared" si="337"/>
        <v/>
      </c>
      <c r="O341" s="272" t="str">
        <f t="shared" si="338"/>
        <v/>
      </c>
      <c r="P341" s="272" t="str">
        <f t="shared" si="339"/>
        <v/>
      </c>
      <c r="Q341" s="269" t="str">
        <f t="shared" si="340"/>
        <v/>
      </c>
      <c r="R341" s="272" t="str">
        <f t="shared" si="341"/>
        <v/>
      </c>
      <c r="S341" s="272" t="str">
        <f t="shared" si="342"/>
        <v/>
      </c>
      <c r="T341" s="269" t="str">
        <f t="shared" si="343"/>
        <v/>
      </c>
      <c r="U341" s="230"/>
      <c r="V341" s="230"/>
      <c r="AB341" s="270" t="e">
        <f>VLOOKUP($B$6,Lookup_Source,334,0)</f>
        <v>#N/A</v>
      </c>
      <c r="AC341" s="254" t="str">
        <f t="shared" si="344"/>
        <v/>
      </c>
      <c r="AD341" s="255">
        <f t="shared" si="345"/>
        <v>7</v>
      </c>
      <c r="AE341" s="274" t="e">
        <f t="shared" si="314"/>
        <v>#N/A</v>
      </c>
      <c r="AF341" s="277" t="e">
        <f t="shared" si="346"/>
        <v>#N/A</v>
      </c>
      <c r="AG341" s="277" t="e">
        <f t="shared" si="347"/>
        <v>#N/A</v>
      </c>
      <c r="AH341" s="276" t="e">
        <f t="shared" si="315"/>
        <v>#N/A</v>
      </c>
      <c r="AI341" s="239">
        <f t="shared" si="348"/>
        <v>7</v>
      </c>
      <c r="AJ341" s="277" t="e">
        <f t="shared" si="316"/>
        <v>#N/A</v>
      </c>
      <c r="AK341" s="277" t="e">
        <f t="shared" si="349"/>
        <v>#N/A</v>
      </c>
      <c r="AL341" s="239" t="e">
        <f t="shared" si="317"/>
        <v>#N/A</v>
      </c>
      <c r="AM341" s="278" t="e">
        <f t="shared" si="350"/>
        <v>#N/A</v>
      </c>
      <c r="AN341" s="279" t="e">
        <f t="shared" si="318"/>
        <v>#N/A</v>
      </c>
      <c r="AO341" s="240" t="e">
        <f t="shared" si="319"/>
        <v>#N/A</v>
      </c>
      <c r="AP341" s="297">
        <f t="shared" si="351"/>
        <v>7</v>
      </c>
      <c r="AQ341" s="298" t="e">
        <f t="shared" si="320"/>
        <v>#N/A</v>
      </c>
      <c r="AR341" s="279" t="e">
        <f t="shared" si="352"/>
        <v>#N/A</v>
      </c>
      <c r="AS341" s="283" t="e">
        <f t="shared" si="321"/>
        <v>#N/A</v>
      </c>
      <c r="AT341" s="284">
        <f t="shared" si="353"/>
        <v>7</v>
      </c>
      <c r="AU341" s="285" t="e">
        <f t="shared" si="354"/>
        <v>#N/A</v>
      </c>
      <c r="AV341" s="286" t="e">
        <f t="shared" si="355"/>
        <v>#N/A</v>
      </c>
      <c r="AW341" s="287" t="e">
        <f t="shared" si="322"/>
        <v>#N/A</v>
      </c>
      <c r="AX341" s="245">
        <f t="shared" si="356"/>
        <v>7</v>
      </c>
      <c r="AY341" s="286" t="e">
        <f t="shared" si="323"/>
        <v>#N/A</v>
      </c>
      <c r="AZ341" s="245" t="e">
        <f t="shared" si="357"/>
        <v>#N/A</v>
      </c>
      <c r="BA341" s="245" t="e">
        <f t="shared" si="324"/>
        <v>#N/A</v>
      </c>
      <c r="BB341" s="288">
        <f t="shared" si="358"/>
        <v>7</v>
      </c>
      <c r="BC341" s="289" t="e">
        <f t="shared" si="359"/>
        <v>#N/A</v>
      </c>
      <c r="BD341" s="290" t="e">
        <f t="shared" si="360"/>
        <v>#N/A</v>
      </c>
      <c r="BE341" s="263" t="e">
        <f t="shared" si="325"/>
        <v>#N/A</v>
      </c>
      <c r="BF341" s="260">
        <f t="shared" si="361"/>
        <v>7</v>
      </c>
      <c r="BG341" s="289" t="e">
        <f t="shared" si="362"/>
        <v>#N/A</v>
      </c>
      <c r="BH341" s="290" t="e">
        <f t="shared" si="363"/>
        <v>#N/A</v>
      </c>
      <c r="BI341" s="263" t="e">
        <f t="shared" si="326"/>
        <v>#N/A</v>
      </c>
      <c r="BJ341" s="264">
        <f t="shared" si="364"/>
        <v>7</v>
      </c>
      <c r="BK341" s="291" t="e">
        <f t="shared" si="365"/>
        <v>#N/A</v>
      </c>
      <c r="BL341" s="291" t="e">
        <f t="shared" si="366"/>
        <v>#N/A</v>
      </c>
      <c r="BM341" s="292" t="e">
        <f t="shared" si="327"/>
        <v>#N/A</v>
      </c>
      <c r="BN341" s="293">
        <f t="shared" si="367"/>
        <v>7</v>
      </c>
      <c r="BO341" s="294" t="e">
        <f t="shared" si="368"/>
        <v>#N/A</v>
      </c>
      <c r="BP341" s="294" t="e">
        <f t="shared" si="369"/>
        <v>#N/A</v>
      </c>
      <c r="BQ341" s="292" t="e">
        <f t="shared" si="328"/>
        <v>#N/A</v>
      </c>
      <c r="BR341" s="295" t="e">
        <f t="shared" si="329"/>
        <v>#N/A</v>
      </c>
      <c r="BS341" s="230" t="e">
        <f>VLOOKUP($B341,SDR22_STOCK_BY_LA!$A$2:$C$11679,3,0)</f>
        <v>#N/A</v>
      </c>
      <c r="BT341" s="230" t="str">
        <f t="shared" si="370"/>
        <v/>
      </c>
    </row>
    <row r="342" spans="1:72" ht="12.5" x14ac:dyDescent="0.25">
      <c r="A342" s="230" t="str">
        <f t="shared" si="371"/>
        <v/>
      </c>
      <c r="B342" s="230" t="str">
        <f t="shared" si="372"/>
        <v/>
      </c>
      <c r="C342" s="296" t="str">
        <f t="shared" si="330"/>
        <v/>
      </c>
      <c r="D342" s="269" t="str">
        <f>IF(B342="","",IF(totals!$Q$3=0,IFERROR(IF(AD342=2,"0",AE342),""),"-"))</f>
        <v/>
      </c>
      <c r="E342" s="271" t="str">
        <f t="shared" si="331"/>
        <v/>
      </c>
      <c r="F342" s="272" t="str">
        <f t="shared" si="332"/>
        <v/>
      </c>
      <c r="G342" s="272" t="str">
        <f t="shared" si="333"/>
        <v/>
      </c>
      <c r="H342" s="269" t="str">
        <f t="shared" si="311"/>
        <v/>
      </c>
      <c r="I342" s="272" t="str">
        <f t="shared" si="334"/>
        <v/>
      </c>
      <c r="J342" s="272" t="str">
        <f t="shared" si="335"/>
        <v/>
      </c>
      <c r="K342" s="269" t="str">
        <f t="shared" si="312"/>
        <v/>
      </c>
      <c r="L342" s="272" t="str">
        <f t="shared" si="313"/>
        <v/>
      </c>
      <c r="M342" s="272" t="str">
        <f t="shared" si="336"/>
        <v/>
      </c>
      <c r="N342" s="269" t="str">
        <f t="shared" si="337"/>
        <v/>
      </c>
      <c r="O342" s="272" t="str">
        <f t="shared" si="338"/>
        <v/>
      </c>
      <c r="P342" s="272" t="str">
        <f t="shared" si="339"/>
        <v/>
      </c>
      <c r="Q342" s="269" t="str">
        <f t="shared" si="340"/>
        <v/>
      </c>
      <c r="R342" s="272" t="str">
        <f t="shared" si="341"/>
        <v/>
      </c>
      <c r="S342" s="272" t="str">
        <f t="shared" si="342"/>
        <v/>
      </c>
      <c r="T342" s="269" t="str">
        <f t="shared" si="343"/>
        <v/>
      </c>
      <c r="U342" s="230"/>
      <c r="V342" s="230"/>
      <c r="AB342" s="230" t="e">
        <f>VLOOKUP($B$6,Lookup_Source,335,0)</f>
        <v>#N/A</v>
      </c>
      <c r="AC342" s="254" t="str">
        <f t="shared" si="344"/>
        <v/>
      </c>
      <c r="AD342" s="255">
        <f t="shared" si="345"/>
        <v>7</v>
      </c>
      <c r="AE342" s="274" t="e">
        <f t="shared" si="314"/>
        <v>#N/A</v>
      </c>
      <c r="AF342" s="277" t="e">
        <f t="shared" si="346"/>
        <v>#N/A</v>
      </c>
      <c r="AG342" s="277" t="e">
        <f t="shared" si="347"/>
        <v>#N/A</v>
      </c>
      <c r="AH342" s="276" t="e">
        <f t="shared" si="315"/>
        <v>#N/A</v>
      </c>
      <c r="AI342" s="239">
        <f t="shared" si="348"/>
        <v>7</v>
      </c>
      <c r="AJ342" s="277" t="e">
        <f t="shared" si="316"/>
        <v>#N/A</v>
      </c>
      <c r="AK342" s="277" t="e">
        <f t="shared" si="349"/>
        <v>#N/A</v>
      </c>
      <c r="AL342" s="239" t="e">
        <f t="shared" si="317"/>
        <v>#N/A</v>
      </c>
      <c r="AM342" s="278" t="e">
        <f t="shared" si="350"/>
        <v>#N/A</v>
      </c>
      <c r="AN342" s="279" t="e">
        <f t="shared" si="318"/>
        <v>#N/A</v>
      </c>
      <c r="AO342" s="240" t="e">
        <f t="shared" si="319"/>
        <v>#N/A</v>
      </c>
      <c r="AP342" s="297">
        <f t="shared" si="351"/>
        <v>7</v>
      </c>
      <c r="AQ342" s="298" t="e">
        <f t="shared" si="320"/>
        <v>#N/A</v>
      </c>
      <c r="AR342" s="279" t="e">
        <f t="shared" si="352"/>
        <v>#N/A</v>
      </c>
      <c r="AS342" s="283" t="e">
        <f t="shared" si="321"/>
        <v>#N/A</v>
      </c>
      <c r="AT342" s="284">
        <f t="shared" si="353"/>
        <v>7</v>
      </c>
      <c r="AU342" s="285" t="e">
        <f t="shared" si="354"/>
        <v>#N/A</v>
      </c>
      <c r="AV342" s="286" t="e">
        <f t="shared" si="355"/>
        <v>#N/A</v>
      </c>
      <c r="AW342" s="287" t="e">
        <f t="shared" si="322"/>
        <v>#N/A</v>
      </c>
      <c r="AX342" s="245">
        <f t="shared" si="356"/>
        <v>7</v>
      </c>
      <c r="AY342" s="286" t="e">
        <f t="shared" si="323"/>
        <v>#N/A</v>
      </c>
      <c r="AZ342" s="245" t="e">
        <f t="shared" si="357"/>
        <v>#N/A</v>
      </c>
      <c r="BA342" s="245" t="e">
        <f t="shared" si="324"/>
        <v>#N/A</v>
      </c>
      <c r="BB342" s="288">
        <f t="shared" si="358"/>
        <v>7</v>
      </c>
      <c r="BC342" s="289" t="e">
        <f t="shared" si="359"/>
        <v>#N/A</v>
      </c>
      <c r="BD342" s="290" t="e">
        <f t="shared" si="360"/>
        <v>#N/A</v>
      </c>
      <c r="BE342" s="263" t="e">
        <f t="shared" si="325"/>
        <v>#N/A</v>
      </c>
      <c r="BF342" s="260">
        <f t="shared" si="361"/>
        <v>7</v>
      </c>
      <c r="BG342" s="289" t="e">
        <f t="shared" si="362"/>
        <v>#N/A</v>
      </c>
      <c r="BH342" s="290" t="e">
        <f t="shared" si="363"/>
        <v>#N/A</v>
      </c>
      <c r="BI342" s="263" t="e">
        <f t="shared" si="326"/>
        <v>#N/A</v>
      </c>
      <c r="BJ342" s="264">
        <f t="shared" si="364"/>
        <v>7</v>
      </c>
      <c r="BK342" s="291" t="e">
        <f t="shared" si="365"/>
        <v>#N/A</v>
      </c>
      <c r="BL342" s="291" t="e">
        <f t="shared" si="366"/>
        <v>#N/A</v>
      </c>
      <c r="BM342" s="292" t="e">
        <f t="shared" si="327"/>
        <v>#N/A</v>
      </c>
      <c r="BN342" s="293">
        <f t="shared" si="367"/>
        <v>7</v>
      </c>
      <c r="BO342" s="294" t="e">
        <f t="shared" si="368"/>
        <v>#N/A</v>
      </c>
      <c r="BP342" s="294" t="e">
        <f t="shared" si="369"/>
        <v>#N/A</v>
      </c>
      <c r="BQ342" s="292" t="e">
        <f t="shared" si="328"/>
        <v>#N/A</v>
      </c>
      <c r="BR342" s="295" t="e">
        <f t="shared" si="329"/>
        <v>#N/A</v>
      </c>
      <c r="BS342" s="230" t="e">
        <f>VLOOKUP($B342,SDR22_STOCK_BY_LA!$A$2:$C$11679,3,0)</f>
        <v>#N/A</v>
      </c>
      <c r="BT342" s="230" t="str">
        <f t="shared" si="370"/>
        <v/>
      </c>
    </row>
    <row r="343" spans="1:72" ht="12.5" x14ac:dyDescent="0.25">
      <c r="A343" s="269" t="str">
        <f t="shared" si="371"/>
        <v/>
      </c>
      <c r="B343" s="230" t="str">
        <f t="shared" si="372"/>
        <v/>
      </c>
      <c r="C343" s="270" t="str">
        <f t="shared" si="330"/>
        <v/>
      </c>
      <c r="D343" s="269" t="str">
        <f>IF(B343="","",IF(totals!$Q$3=0,IFERROR(IF(AD343=2,"0",AE343),""),"-"))</f>
        <v/>
      </c>
      <c r="E343" s="271" t="str">
        <f t="shared" si="331"/>
        <v/>
      </c>
      <c r="F343" s="272" t="str">
        <f t="shared" si="332"/>
        <v/>
      </c>
      <c r="G343" s="272" t="str">
        <f t="shared" si="333"/>
        <v/>
      </c>
      <c r="H343" s="269" t="str">
        <f t="shared" si="311"/>
        <v/>
      </c>
      <c r="I343" s="272" t="str">
        <f t="shared" si="334"/>
        <v/>
      </c>
      <c r="J343" s="272" t="str">
        <f t="shared" si="335"/>
        <v/>
      </c>
      <c r="K343" s="269" t="str">
        <f t="shared" si="312"/>
        <v/>
      </c>
      <c r="L343" s="272" t="str">
        <f t="shared" si="313"/>
        <v/>
      </c>
      <c r="M343" s="272" t="str">
        <f t="shared" si="336"/>
        <v/>
      </c>
      <c r="N343" s="269" t="str">
        <f t="shared" si="337"/>
        <v/>
      </c>
      <c r="O343" s="272" t="str">
        <f t="shared" si="338"/>
        <v/>
      </c>
      <c r="P343" s="272" t="str">
        <f t="shared" si="339"/>
        <v/>
      </c>
      <c r="Q343" s="269" t="str">
        <f t="shared" si="340"/>
        <v/>
      </c>
      <c r="R343" s="272" t="str">
        <f t="shared" si="341"/>
        <v/>
      </c>
      <c r="S343" s="272" t="str">
        <f t="shared" si="342"/>
        <v/>
      </c>
      <c r="T343" s="269" t="str">
        <f t="shared" si="343"/>
        <v/>
      </c>
      <c r="U343" s="230"/>
      <c r="V343" s="230"/>
      <c r="AB343" s="270" t="e">
        <f>VLOOKUP($B$6,Lookup_Source,336,0)</f>
        <v>#N/A</v>
      </c>
      <c r="AC343" s="254" t="str">
        <f t="shared" si="344"/>
        <v/>
      </c>
      <c r="AD343" s="255">
        <f t="shared" si="345"/>
        <v>7</v>
      </c>
      <c r="AE343" s="274" t="e">
        <f t="shared" si="314"/>
        <v>#N/A</v>
      </c>
      <c r="AF343" s="277" t="e">
        <f t="shared" si="346"/>
        <v>#N/A</v>
      </c>
      <c r="AG343" s="277" t="e">
        <f t="shared" si="347"/>
        <v>#N/A</v>
      </c>
      <c r="AH343" s="276" t="e">
        <f t="shared" si="315"/>
        <v>#N/A</v>
      </c>
      <c r="AI343" s="239">
        <f t="shared" si="348"/>
        <v>7</v>
      </c>
      <c r="AJ343" s="277" t="e">
        <f t="shared" si="316"/>
        <v>#N/A</v>
      </c>
      <c r="AK343" s="277" t="e">
        <f t="shared" si="349"/>
        <v>#N/A</v>
      </c>
      <c r="AL343" s="239" t="e">
        <f t="shared" si="317"/>
        <v>#N/A</v>
      </c>
      <c r="AM343" s="278" t="e">
        <f t="shared" si="350"/>
        <v>#N/A</v>
      </c>
      <c r="AN343" s="279" t="e">
        <f t="shared" si="318"/>
        <v>#N/A</v>
      </c>
      <c r="AO343" s="240" t="e">
        <f t="shared" si="319"/>
        <v>#N/A</v>
      </c>
      <c r="AP343" s="297">
        <f t="shared" si="351"/>
        <v>7</v>
      </c>
      <c r="AQ343" s="298" t="e">
        <f t="shared" si="320"/>
        <v>#N/A</v>
      </c>
      <c r="AR343" s="279" t="e">
        <f t="shared" si="352"/>
        <v>#N/A</v>
      </c>
      <c r="AS343" s="283" t="e">
        <f t="shared" si="321"/>
        <v>#N/A</v>
      </c>
      <c r="AT343" s="284">
        <f t="shared" si="353"/>
        <v>7</v>
      </c>
      <c r="AU343" s="285" t="e">
        <f t="shared" si="354"/>
        <v>#N/A</v>
      </c>
      <c r="AV343" s="286" t="e">
        <f t="shared" si="355"/>
        <v>#N/A</v>
      </c>
      <c r="AW343" s="287" t="e">
        <f t="shared" si="322"/>
        <v>#N/A</v>
      </c>
      <c r="AX343" s="245">
        <f t="shared" si="356"/>
        <v>7</v>
      </c>
      <c r="AY343" s="286" t="e">
        <f t="shared" si="323"/>
        <v>#N/A</v>
      </c>
      <c r="AZ343" s="245" t="e">
        <f t="shared" si="357"/>
        <v>#N/A</v>
      </c>
      <c r="BA343" s="245" t="e">
        <f t="shared" si="324"/>
        <v>#N/A</v>
      </c>
      <c r="BB343" s="288">
        <f t="shared" si="358"/>
        <v>7</v>
      </c>
      <c r="BC343" s="289" t="e">
        <f t="shared" si="359"/>
        <v>#N/A</v>
      </c>
      <c r="BD343" s="290" t="e">
        <f t="shared" si="360"/>
        <v>#N/A</v>
      </c>
      <c r="BE343" s="263" t="e">
        <f t="shared" si="325"/>
        <v>#N/A</v>
      </c>
      <c r="BF343" s="260">
        <f t="shared" si="361"/>
        <v>7</v>
      </c>
      <c r="BG343" s="289" t="e">
        <f t="shared" si="362"/>
        <v>#N/A</v>
      </c>
      <c r="BH343" s="290" t="e">
        <f t="shared" si="363"/>
        <v>#N/A</v>
      </c>
      <c r="BI343" s="263" t="e">
        <f t="shared" si="326"/>
        <v>#N/A</v>
      </c>
      <c r="BJ343" s="264">
        <f t="shared" si="364"/>
        <v>7</v>
      </c>
      <c r="BK343" s="291" t="e">
        <f t="shared" si="365"/>
        <v>#N/A</v>
      </c>
      <c r="BL343" s="291" t="e">
        <f t="shared" si="366"/>
        <v>#N/A</v>
      </c>
      <c r="BM343" s="292" t="e">
        <f t="shared" si="327"/>
        <v>#N/A</v>
      </c>
      <c r="BN343" s="293">
        <f t="shared" si="367"/>
        <v>7</v>
      </c>
      <c r="BO343" s="294" t="e">
        <f t="shared" si="368"/>
        <v>#N/A</v>
      </c>
      <c r="BP343" s="294" t="e">
        <f t="shared" si="369"/>
        <v>#N/A</v>
      </c>
      <c r="BQ343" s="292" t="e">
        <f t="shared" si="328"/>
        <v>#N/A</v>
      </c>
      <c r="BR343" s="295" t="e">
        <f t="shared" si="329"/>
        <v>#N/A</v>
      </c>
      <c r="BS343" s="230" t="e">
        <f>VLOOKUP($B343,SDR22_STOCK_BY_LA!$A$2:$C$11679,3,0)</f>
        <v>#N/A</v>
      </c>
      <c r="BT343" s="230" t="str">
        <f t="shared" si="370"/>
        <v/>
      </c>
    </row>
    <row r="344" spans="1:72" ht="12.5" x14ac:dyDescent="0.25">
      <c r="A344" s="230" t="str">
        <f t="shared" si="371"/>
        <v/>
      </c>
      <c r="B344" s="230" t="str">
        <f t="shared" si="372"/>
        <v/>
      </c>
      <c r="C344" s="296" t="str">
        <f t="shared" si="330"/>
        <v/>
      </c>
      <c r="D344" s="269" t="str">
        <f>IF(B344="","",IF(totals!$Q$3=0,IFERROR(IF(AD344=2,"0",AE344),""),"-"))</f>
        <v/>
      </c>
      <c r="E344" s="271" t="str">
        <f t="shared" si="331"/>
        <v/>
      </c>
      <c r="F344" s="272" t="str">
        <f t="shared" si="332"/>
        <v/>
      </c>
      <c r="G344" s="272" t="str">
        <f t="shared" si="333"/>
        <v/>
      </c>
      <c r="H344" s="269" t="str">
        <f t="shared" si="311"/>
        <v/>
      </c>
      <c r="I344" s="272" t="str">
        <f t="shared" si="334"/>
        <v/>
      </c>
      <c r="J344" s="272" t="str">
        <f t="shared" si="335"/>
        <v/>
      </c>
      <c r="K344" s="269" t="str">
        <f t="shared" si="312"/>
        <v/>
      </c>
      <c r="L344" s="272" t="str">
        <f t="shared" si="313"/>
        <v/>
      </c>
      <c r="M344" s="272" t="str">
        <f t="shared" si="336"/>
        <v/>
      </c>
      <c r="N344" s="269" t="str">
        <f t="shared" si="337"/>
        <v/>
      </c>
      <c r="O344" s="272" t="str">
        <f t="shared" si="338"/>
        <v/>
      </c>
      <c r="P344" s="272" t="str">
        <f t="shared" si="339"/>
        <v/>
      </c>
      <c r="Q344" s="269" t="str">
        <f t="shared" si="340"/>
        <v/>
      </c>
      <c r="R344" s="272" t="str">
        <f t="shared" si="341"/>
        <v/>
      </c>
      <c r="S344" s="272" t="str">
        <f t="shared" si="342"/>
        <v/>
      </c>
      <c r="T344" s="269" t="str">
        <f t="shared" si="343"/>
        <v/>
      </c>
      <c r="U344" s="230"/>
      <c r="V344" s="230"/>
      <c r="AB344" s="230" t="e">
        <f>VLOOKUP($B$6,Lookup_Source,337,0)</f>
        <v>#N/A</v>
      </c>
      <c r="AC344" s="254" t="str">
        <f t="shared" si="344"/>
        <v/>
      </c>
      <c r="AD344" s="255">
        <f t="shared" si="345"/>
        <v>7</v>
      </c>
      <c r="AE344" s="274" t="e">
        <f t="shared" si="314"/>
        <v>#N/A</v>
      </c>
      <c r="AF344" s="277" t="e">
        <f t="shared" si="346"/>
        <v>#N/A</v>
      </c>
      <c r="AG344" s="277" t="e">
        <f t="shared" si="347"/>
        <v>#N/A</v>
      </c>
      <c r="AH344" s="276" t="e">
        <f t="shared" si="315"/>
        <v>#N/A</v>
      </c>
      <c r="AI344" s="239">
        <f t="shared" si="348"/>
        <v>7</v>
      </c>
      <c r="AJ344" s="277" t="e">
        <f t="shared" si="316"/>
        <v>#N/A</v>
      </c>
      <c r="AK344" s="277" t="e">
        <f t="shared" si="349"/>
        <v>#N/A</v>
      </c>
      <c r="AL344" s="239" t="e">
        <f t="shared" si="317"/>
        <v>#N/A</v>
      </c>
      <c r="AM344" s="278" t="e">
        <f t="shared" si="350"/>
        <v>#N/A</v>
      </c>
      <c r="AN344" s="279" t="e">
        <f t="shared" si="318"/>
        <v>#N/A</v>
      </c>
      <c r="AO344" s="240" t="e">
        <f t="shared" si="319"/>
        <v>#N/A</v>
      </c>
      <c r="AP344" s="297">
        <f t="shared" si="351"/>
        <v>7</v>
      </c>
      <c r="AQ344" s="298" t="e">
        <f t="shared" si="320"/>
        <v>#N/A</v>
      </c>
      <c r="AR344" s="279" t="e">
        <f t="shared" si="352"/>
        <v>#N/A</v>
      </c>
      <c r="AS344" s="283" t="e">
        <f t="shared" si="321"/>
        <v>#N/A</v>
      </c>
      <c r="AT344" s="284">
        <f t="shared" si="353"/>
        <v>7</v>
      </c>
      <c r="AU344" s="285" t="e">
        <f t="shared" si="354"/>
        <v>#N/A</v>
      </c>
      <c r="AV344" s="286" t="e">
        <f t="shared" si="355"/>
        <v>#N/A</v>
      </c>
      <c r="AW344" s="287" t="e">
        <f t="shared" si="322"/>
        <v>#N/A</v>
      </c>
      <c r="AX344" s="245">
        <f t="shared" si="356"/>
        <v>7</v>
      </c>
      <c r="AY344" s="286" t="e">
        <f t="shared" si="323"/>
        <v>#N/A</v>
      </c>
      <c r="AZ344" s="245" t="e">
        <f t="shared" si="357"/>
        <v>#N/A</v>
      </c>
      <c r="BA344" s="245" t="e">
        <f t="shared" si="324"/>
        <v>#N/A</v>
      </c>
      <c r="BB344" s="288">
        <f t="shared" si="358"/>
        <v>7</v>
      </c>
      <c r="BC344" s="289" t="e">
        <f t="shared" si="359"/>
        <v>#N/A</v>
      </c>
      <c r="BD344" s="290" t="e">
        <f t="shared" si="360"/>
        <v>#N/A</v>
      </c>
      <c r="BE344" s="263" t="e">
        <f t="shared" si="325"/>
        <v>#N/A</v>
      </c>
      <c r="BF344" s="260">
        <f t="shared" si="361"/>
        <v>7</v>
      </c>
      <c r="BG344" s="289" t="e">
        <f t="shared" si="362"/>
        <v>#N/A</v>
      </c>
      <c r="BH344" s="290" t="e">
        <f t="shared" si="363"/>
        <v>#N/A</v>
      </c>
      <c r="BI344" s="263" t="e">
        <f t="shared" si="326"/>
        <v>#N/A</v>
      </c>
      <c r="BJ344" s="264">
        <f t="shared" si="364"/>
        <v>7</v>
      </c>
      <c r="BK344" s="291" t="e">
        <f t="shared" si="365"/>
        <v>#N/A</v>
      </c>
      <c r="BL344" s="291" t="e">
        <f t="shared" si="366"/>
        <v>#N/A</v>
      </c>
      <c r="BM344" s="292" t="e">
        <f t="shared" si="327"/>
        <v>#N/A</v>
      </c>
      <c r="BN344" s="293">
        <f t="shared" si="367"/>
        <v>7</v>
      </c>
      <c r="BO344" s="294" t="e">
        <f t="shared" si="368"/>
        <v>#N/A</v>
      </c>
      <c r="BP344" s="294" t="e">
        <f t="shared" si="369"/>
        <v>#N/A</v>
      </c>
      <c r="BQ344" s="292" t="e">
        <f t="shared" si="328"/>
        <v>#N/A</v>
      </c>
      <c r="BR344" s="295" t="e">
        <f t="shared" si="329"/>
        <v>#N/A</v>
      </c>
      <c r="BS344" s="230" t="e">
        <f>VLOOKUP($B344,SDR22_STOCK_BY_LA!$A$2:$C$11679,3,0)</f>
        <v>#N/A</v>
      </c>
      <c r="BT344" s="230" t="str">
        <f t="shared" si="370"/>
        <v/>
      </c>
    </row>
    <row r="345" spans="1:72" ht="12.5" x14ac:dyDescent="0.25">
      <c r="A345" s="269" t="str">
        <f t="shared" si="371"/>
        <v/>
      </c>
      <c r="B345" s="230" t="str">
        <f t="shared" si="372"/>
        <v/>
      </c>
      <c r="C345" s="270" t="str">
        <f t="shared" si="330"/>
        <v/>
      </c>
      <c r="D345" s="269" t="str">
        <f>IF(B345="","",IF(totals!$Q$3=0,IFERROR(IF(AD345=2,"0",AE345),""),"-"))</f>
        <v/>
      </c>
      <c r="E345" s="271" t="str">
        <f t="shared" si="331"/>
        <v/>
      </c>
      <c r="F345" s="272" t="str">
        <f t="shared" si="332"/>
        <v/>
      </c>
      <c r="G345" s="272" t="str">
        <f t="shared" si="333"/>
        <v/>
      </c>
      <c r="H345" s="269" t="str">
        <f t="shared" si="311"/>
        <v/>
      </c>
      <c r="I345" s="272" t="str">
        <f t="shared" si="334"/>
        <v/>
      </c>
      <c r="J345" s="272" t="str">
        <f t="shared" si="335"/>
        <v/>
      </c>
      <c r="K345" s="269" t="str">
        <f t="shared" si="312"/>
        <v/>
      </c>
      <c r="L345" s="272" t="str">
        <f t="shared" si="313"/>
        <v/>
      </c>
      <c r="M345" s="272" t="str">
        <f t="shared" si="336"/>
        <v/>
      </c>
      <c r="N345" s="269" t="str">
        <f t="shared" si="337"/>
        <v/>
      </c>
      <c r="O345" s="272" t="str">
        <f t="shared" si="338"/>
        <v/>
      </c>
      <c r="P345" s="272" t="str">
        <f t="shared" si="339"/>
        <v/>
      </c>
      <c r="Q345" s="269" t="str">
        <f t="shared" si="340"/>
        <v/>
      </c>
      <c r="R345" s="272" t="str">
        <f t="shared" si="341"/>
        <v/>
      </c>
      <c r="S345" s="272" t="str">
        <f t="shared" si="342"/>
        <v/>
      </c>
      <c r="T345" s="269" t="str">
        <f t="shared" si="343"/>
        <v/>
      </c>
      <c r="U345" s="230"/>
      <c r="V345" s="230"/>
      <c r="AB345" s="270" t="e">
        <f>VLOOKUP($B$6,Lookup_Source,338,0)</f>
        <v>#N/A</v>
      </c>
      <c r="AC345" s="254" t="str">
        <f t="shared" si="344"/>
        <v/>
      </c>
      <c r="AD345" s="255">
        <f t="shared" si="345"/>
        <v>7</v>
      </c>
      <c r="AE345" s="274" t="e">
        <f t="shared" si="314"/>
        <v>#N/A</v>
      </c>
      <c r="AF345" s="277" t="e">
        <f t="shared" si="346"/>
        <v>#N/A</v>
      </c>
      <c r="AG345" s="277" t="e">
        <f t="shared" si="347"/>
        <v>#N/A</v>
      </c>
      <c r="AH345" s="276" t="e">
        <f t="shared" si="315"/>
        <v>#N/A</v>
      </c>
      <c r="AI345" s="239">
        <f t="shared" si="348"/>
        <v>7</v>
      </c>
      <c r="AJ345" s="277" t="e">
        <f t="shared" si="316"/>
        <v>#N/A</v>
      </c>
      <c r="AK345" s="277" t="e">
        <f t="shared" si="349"/>
        <v>#N/A</v>
      </c>
      <c r="AL345" s="239" t="e">
        <f t="shared" si="317"/>
        <v>#N/A</v>
      </c>
      <c r="AM345" s="278" t="e">
        <f t="shared" si="350"/>
        <v>#N/A</v>
      </c>
      <c r="AN345" s="279" t="e">
        <f t="shared" si="318"/>
        <v>#N/A</v>
      </c>
      <c r="AO345" s="240" t="e">
        <f t="shared" si="319"/>
        <v>#N/A</v>
      </c>
      <c r="AP345" s="297">
        <f t="shared" si="351"/>
        <v>7</v>
      </c>
      <c r="AQ345" s="298" t="e">
        <f t="shared" si="320"/>
        <v>#N/A</v>
      </c>
      <c r="AR345" s="279" t="e">
        <f t="shared" si="352"/>
        <v>#N/A</v>
      </c>
      <c r="AS345" s="283" t="e">
        <f t="shared" si="321"/>
        <v>#N/A</v>
      </c>
      <c r="AT345" s="284">
        <f t="shared" si="353"/>
        <v>7</v>
      </c>
      <c r="AU345" s="285" t="e">
        <f t="shared" si="354"/>
        <v>#N/A</v>
      </c>
      <c r="AV345" s="286" t="e">
        <f t="shared" si="355"/>
        <v>#N/A</v>
      </c>
      <c r="AW345" s="287" t="e">
        <f t="shared" si="322"/>
        <v>#N/A</v>
      </c>
      <c r="AX345" s="245">
        <f t="shared" si="356"/>
        <v>7</v>
      </c>
      <c r="AY345" s="286" t="e">
        <f t="shared" si="323"/>
        <v>#N/A</v>
      </c>
      <c r="AZ345" s="245" t="e">
        <f t="shared" si="357"/>
        <v>#N/A</v>
      </c>
      <c r="BA345" s="245" t="e">
        <f t="shared" si="324"/>
        <v>#N/A</v>
      </c>
      <c r="BB345" s="288">
        <f t="shared" si="358"/>
        <v>7</v>
      </c>
      <c r="BC345" s="289" t="e">
        <f t="shared" si="359"/>
        <v>#N/A</v>
      </c>
      <c r="BD345" s="290" t="e">
        <f t="shared" si="360"/>
        <v>#N/A</v>
      </c>
      <c r="BE345" s="263" t="e">
        <f t="shared" si="325"/>
        <v>#N/A</v>
      </c>
      <c r="BF345" s="260">
        <f t="shared" si="361"/>
        <v>7</v>
      </c>
      <c r="BG345" s="289" t="e">
        <f t="shared" si="362"/>
        <v>#N/A</v>
      </c>
      <c r="BH345" s="290" t="e">
        <f t="shared" si="363"/>
        <v>#N/A</v>
      </c>
      <c r="BI345" s="263" t="e">
        <f t="shared" si="326"/>
        <v>#N/A</v>
      </c>
      <c r="BJ345" s="264">
        <f t="shared" si="364"/>
        <v>7</v>
      </c>
      <c r="BK345" s="291" t="e">
        <f t="shared" si="365"/>
        <v>#N/A</v>
      </c>
      <c r="BL345" s="291" t="e">
        <f t="shared" si="366"/>
        <v>#N/A</v>
      </c>
      <c r="BM345" s="292" t="e">
        <f t="shared" si="327"/>
        <v>#N/A</v>
      </c>
      <c r="BN345" s="293">
        <f t="shared" si="367"/>
        <v>7</v>
      </c>
      <c r="BO345" s="294" t="e">
        <f t="shared" si="368"/>
        <v>#N/A</v>
      </c>
      <c r="BP345" s="294" t="e">
        <f t="shared" si="369"/>
        <v>#N/A</v>
      </c>
      <c r="BQ345" s="292" t="e">
        <f t="shared" si="328"/>
        <v>#N/A</v>
      </c>
      <c r="BR345" s="295" t="e">
        <f t="shared" si="329"/>
        <v>#N/A</v>
      </c>
      <c r="BS345" s="230" t="e">
        <f>VLOOKUP($B345,SDR22_STOCK_BY_LA!$A$2:$C$11679,3,0)</f>
        <v>#N/A</v>
      </c>
      <c r="BT345" s="230" t="str">
        <f t="shared" si="370"/>
        <v/>
      </c>
    </row>
    <row r="346" spans="1:72" ht="12.5" x14ac:dyDescent="0.25">
      <c r="A346" s="230" t="str">
        <f t="shared" si="371"/>
        <v/>
      </c>
      <c r="B346" s="230" t="str">
        <f t="shared" si="372"/>
        <v/>
      </c>
      <c r="C346" s="296" t="str">
        <f t="shared" si="330"/>
        <v/>
      </c>
      <c r="D346" s="269" t="str">
        <f>IF(B346="","",IF(totals!$Q$3=0,IFERROR(IF(AD346=2,"0",AE346),""),"-"))</f>
        <v/>
      </c>
      <c r="E346" s="271" t="str">
        <f t="shared" si="331"/>
        <v/>
      </c>
      <c r="F346" s="272" t="str">
        <f t="shared" si="332"/>
        <v/>
      </c>
      <c r="G346" s="272" t="str">
        <f t="shared" si="333"/>
        <v/>
      </c>
      <c r="H346" s="269" t="str">
        <f t="shared" si="311"/>
        <v/>
      </c>
      <c r="I346" s="272" t="str">
        <f t="shared" si="334"/>
        <v/>
      </c>
      <c r="J346" s="272" t="str">
        <f t="shared" si="335"/>
        <v/>
      </c>
      <c r="K346" s="269" t="str">
        <f t="shared" si="312"/>
        <v/>
      </c>
      <c r="L346" s="272" t="str">
        <f t="shared" si="313"/>
        <v/>
      </c>
      <c r="M346" s="272" t="str">
        <f t="shared" si="336"/>
        <v/>
      </c>
      <c r="N346" s="269" t="str">
        <f t="shared" si="337"/>
        <v/>
      </c>
      <c r="O346" s="272" t="str">
        <f t="shared" si="338"/>
        <v/>
      </c>
      <c r="P346" s="272" t="str">
        <f t="shared" si="339"/>
        <v/>
      </c>
      <c r="Q346" s="269" t="str">
        <f t="shared" si="340"/>
        <v/>
      </c>
      <c r="R346" s="272" t="str">
        <f t="shared" si="341"/>
        <v/>
      </c>
      <c r="S346" s="272" t="str">
        <f t="shared" si="342"/>
        <v/>
      </c>
      <c r="T346" s="269" t="str">
        <f t="shared" si="343"/>
        <v/>
      </c>
      <c r="U346" s="230"/>
      <c r="V346" s="230"/>
      <c r="AB346" s="230" t="e">
        <f>VLOOKUP($B$6,Lookup_Source,339,0)</f>
        <v>#N/A</v>
      </c>
      <c r="AC346" s="254" t="str">
        <f t="shared" si="344"/>
        <v/>
      </c>
      <c r="AD346" s="255">
        <f t="shared" si="345"/>
        <v>7</v>
      </c>
      <c r="AE346" s="274" t="e">
        <f t="shared" si="314"/>
        <v>#N/A</v>
      </c>
      <c r="AF346" s="277" t="e">
        <f t="shared" si="346"/>
        <v>#N/A</v>
      </c>
      <c r="AG346" s="277" t="e">
        <f t="shared" si="347"/>
        <v>#N/A</v>
      </c>
      <c r="AH346" s="276" t="e">
        <f t="shared" si="315"/>
        <v>#N/A</v>
      </c>
      <c r="AI346" s="239">
        <f t="shared" si="348"/>
        <v>7</v>
      </c>
      <c r="AJ346" s="277" t="e">
        <f t="shared" si="316"/>
        <v>#N/A</v>
      </c>
      <c r="AK346" s="277" t="e">
        <f t="shared" si="349"/>
        <v>#N/A</v>
      </c>
      <c r="AL346" s="239" t="e">
        <f t="shared" si="317"/>
        <v>#N/A</v>
      </c>
      <c r="AM346" s="278" t="e">
        <f t="shared" si="350"/>
        <v>#N/A</v>
      </c>
      <c r="AN346" s="279" t="e">
        <f t="shared" si="318"/>
        <v>#N/A</v>
      </c>
      <c r="AO346" s="240" t="e">
        <f t="shared" si="319"/>
        <v>#N/A</v>
      </c>
      <c r="AP346" s="297">
        <f t="shared" si="351"/>
        <v>7</v>
      </c>
      <c r="AQ346" s="298" t="e">
        <f t="shared" si="320"/>
        <v>#N/A</v>
      </c>
      <c r="AR346" s="279" t="e">
        <f t="shared" si="352"/>
        <v>#N/A</v>
      </c>
      <c r="AS346" s="283" t="e">
        <f t="shared" si="321"/>
        <v>#N/A</v>
      </c>
      <c r="AT346" s="284">
        <f t="shared" si="353"/>
        <v>7</v>
      </c>
      <c r="AU346" s="285" t="e">
        <f t="shared" si="354"/>
        <v>#N/A</v>
      </c>
      <c r="AV346" s="286" t="e">
        <f t="shared" si="355"/>
        <v>#N/A</v>
      </c>
      <c r="AW346" s="287" t="e">
        <f t="shared" si="322"/>
        <v>#N/A</v>
      </c>
      <c r="AX346" s="245">
        <f t="shared" si="356"/>
        <v>7</v>
      </c>
      <c r="AY346" s="286" t="e">
        <f t="shared" si="323"/>
        <v>#N/A</v>
      </c>
      <c r="AZ346" s="245" t="e">
        <f t="shared" si="357"/>
        <v>#N/A</v>
      </c>
      <c r="BA346" s="245" t="e">
        <f t="shared" si="324"/>
        <v>#N/A</v>
      </c>
      <c r="BB346" s="288">
        <f t="shared" si="358"/>
        <v>7</v>
      </c>
      <c r="BC346" s="289" t="e">
        <f t="shared" si="359"/>
        <v>#N/A</v>
      </c>
      <c r="BD346" s="290" t="e">
        <f t="shared" si="360"/>
        <v>#N/A</v>
      </c>
      <c r="BE346" s="263" t="e">
        <f t="shared" si="325"/>
        <v>#N/A</v>
      </c>
      <c r="BF346" s="260">
        <f t="shared" si="361"/>
        <v>7</v>
      </c>
      <c r="BG346" s="289" t="e">
        <f t="shared" si="362"/>
        <v>#N/A</v>
      </c>
      <c r="BH346" s="290" t="e">
        <f t="shared" si="363"/>
        <v>#N/A</v>
      </c>
      <c r="BI346" s="263" t="e">
        <f t="shared" si="326"/>
        <v>#N/A</v>
      </c>
      <c r="BJ346" s="264">
        <f t="shared" si="364"/>
        <v>7</v>
      </c>
      <c r="BK346" s="291" t="e">
        <f t="shared" si="365"/>
        <v>#N/A</v>
      </c>
      <c r="BL346" s="291" t="e">
        <f t="shared" si="366"/>
        <v>#N/A</v>
      </c>
      <c r="BM346" s="292" t="e">
        <f t="shared" si="327"/>
        <v>#N/A</v>
      </c>
      <c r="BN346" s="293">
        <f t="shared" si="367"/>
        <v>7</v>
      </c>
      <c r="BO346" s="294" t="e">
        <f t="shared" si="368"/>
        <v>#N/A</v>
      </c>
      <c r="BP346" s="294" t="e">
        <f t="shared" si="369"/>
        <v>#N/A</v>
      </c>
      <c r="BQ346" s="292" t="e">
        <f t="shared" si="328"/>
        <v>#N/A</v>
      </c>
      <c r="BR346" s="295" t="e">
        <f t="shared" si="329"/>
        <v>#N/A</v>
      </c>
      <c r="BS346" s="230" t="e">
        <f>VLOOKUP($B346,SDR22_STOCK_BY_LA!$A$2:$C$11679,3,0)</f>
        <v>#N/A</v>
      </c>
      <c r="BT346" s="230" t="str">
        <f t="shared" si="370"/>
        <v/>
      </c>
    </row>
    <row r="347" spans="1:72" ht="12.5" x14ac:dyDescent="0.25">
      <c r="A347" s="269" t="str">
        <f t="shared" si="371"/>
        <v/>
      </c>
      <c r="B347" s="230" t="str">
        <f t="shared" si="372"/>
        <v/>
      </c>
      <c r="C347" s="270" t="str">
        <f t="shared" si="330"/>
        <v/>
      </c>
      <c r="D347" s="269" t="str">
        <f>IF(B347="","",IF(totals!$Q$3=0,IFERROR(IF(AD347=2,"0",AE347),""),"-"))</f>
        <v/>
      </c>
      <c r="E347" s="271" t="str">
        <f t="shared" si="331"/>
        <v/>
      </c>
      <c r="F347" s="272" t="str">
        <f t="shared" si="332"/>
        <v/>
      </c>
      <c r="G347" s="272" t="str">
        <f t="shared" si="333"/>
        <v/>
      </c>
      <c r="H347" s="269" t="str">
        <f t="shared" si="311"/>
        <v/>
      </c>
      <c r="I347" s="272" t="str">
        <f t="shared" si="334"/>
        <v/>
      </c>
      <c r="J347" s="272" t="str">
        <f t="shared" si="335"/>
        <v/>
      </c>
      <c r="K347" s="269" t="str">
        <f t="shared" si="312"/>
        <v/>
      </c>
      <c r="L347" s="272" t="str">
        <f t="shared" si="313"/>
        <v/>
      </c>
      <c r="M347" s="272" t="str">
        <f t="shared" si="336"/>
        <v/>
      </c>
      <c r="N347" s="269" t="str">
        <f t="shared" si="337"/>
        <v/>
      </c>
      <c r="O347" s="272" t="str">
        <f t="shared" si="338"/>
        <v/>
      </c>
      <c r="P347" s="272" t="str">
        <f t="shared" si="339"/>
        <v/>
      </c>
      <c r="Q347" s="269" t="str">
        <f t="shared" si="340"/>
        <v/>
      </c>
      <c r="R347" s="272" t="str">
        <f t="shared" si="341"/>
        <v/>
      </c>
      <c r="S347" s="272" t="str">
        <f t="shared" si="342"/>
        <v/>
      </c>
      <c r="T347" s="269" t="str">
        <f t="shared" si="343"/>
        <v/>
      </c>
      <c r="U347" s="230"/>
      <c r="V347" s="230"/>
      <c r="AB347" s="270" t="e">
        <f>VLOOKUP($B$6,Lookup_Source,340,0)</f>
        <v>#N/A</v>
      </c>
      <c r="AC347" s="254" t="str">
        <f t="shared" si="344"/>
        <v/>
      </c>
      <c r="AD347" s="255">
        <f t="shared" si="345"/>
        <v>7</v>
      </c>
      <c r="AE347" s="274" t="e">
        <f t="shared" si="314"/>
        <v>#N/A</v>
      </c>
      <c r="AF347" s="277" t="e">
        <f t="shared" si="346"/>
        <v>#N/A</v>
      </c>
      <c r="AG347" s="277" t="e">
        <f t="shared" si="347"/>
        <v>#N/A</v>
      </c>
      <c r="AH347" s="276" t="e">
        <f t="shared" si="315"/>
        <v>#N/A</v>
      </c>
      <c r="AI347" s="239">
        <f t="shared" si="348"/>
        <v>7</v>
      </c>
      <c r="AJ347" s="277" t="e">
        <f t="shared" si="316"/>
        <v>#N/A</v>
      </c>
      <c r="AK347" s="277" t="e">
        <f t="shared" si="349"/>
        <v>#N/A</v>
      </c>
      <c r="AL347" s="239" t="e">
        <f t="shared" si="317"/>
        <v>#N/A</v>
      </c>
      <c r="AM347" s="278" t="e">
        <f t="shared" si="350"/>
        <v>#N/A</v>
      </c>
      <c r="AN347" s="279" t="e">
        <f t="shared" si="318"/>
        <v>#N/A</v>
      </c>
      <c r="AO347" s="240" t="e">
        <f t="shared" si="319"/>
        <v>#N/A</v>
      </c>
      <c r="AP347" s="297">
        <f t="shared" si="351"/>
        <v>7</v>
      </c>
      <c r="AQ347" s="298" t="e">
        <f t="shared" si="320"/>
        <v>#N/A</v>
      </c>
      <c r="AR347" s="279" t="e">
        <f t="shared" si="352"/>
        <v>#N/A</v>
      </c>
      <c r="AS347" s="283" t="e">
        <f t="shared" si="321"/>
        <v>#N/A</v>
      </c>
      <c r="AT347" s="284">
        <f t="shared" si="353"/>
        <v>7</v>
      </c>
      <c r="AU347" s="285" t="e">
        <f t="shared" si="354"/>
        <v>#N/A</v>
      </c>
      <c r="AV347" s="286" t="e">
        <f t="shared" si="355"/>
        <v>#N/A</v>
      </c>
      <c r="AW347" s="287" t="e">
        <f t="shared" si="322"/>
        <v>#N/A</v>
      </c>
      <c r="AX347" s="245">
        <f t="shared" si="356"/>
        <v>7</v>
      </c>
      <c r="AY347" s="286" t="e">
        <f t="shared" si="323"/>
        <v>#N/A</v>
      </c>
      <c r="AZ347" s="245" t="e">
        <f t="shared" si="357"/>
        <v>#N/A</v>
      </c>
      <c r="BA347" s="245" t="e">
        <f t="shared" si="324"/>
        <v>#N/A</v>
      </c>
      <c r="BB347" s="288">
        <f t="shared" si="358"/>
        <v>7</v>
      </c>
      <c r="BC347" s="289" t="e">
        <f t="shared" si="359"/>
        <v>#N/A</v>
      </c>
      <c r="BD347" s="290" t="e">
        <f t="shared" si="360"/>
        <v>#N/A</v>
      </c>
      <c r="BE347" s="263" t="e">
        <f t="shared" si="325"/>
        <v>#N/A</v>
      </c>
      <c r="BF347" s="260">
        <f t="shared" si="361"/>
        <v>7</v>
      </c>
      <c r="BG347" s="289" t="e">
        <f t="shared" si="362"/>
        <v>#N/A</v>
      </c>
      <c r="BH347" s="290" t="e">
        <f t="shared" si="363"/>
        <v>#N/A</v>
      </c>
      <c r="BI347" s="263" t="e">
        <f t="shared" si="326"/>
        <v>#N/A</v>
      </c>
      <c r="BJ347" s="264">
        <f t="shared" si="364"/>
        <v>7</v>
      </c>
      <c r="BK347" s="291" t="e">
        <f t="shared" si="365"/>
        <v>#N/A</v>
      </c>
      <c r="BL347" s="291" t="e">
        <f t="shared" si="366"/>
        <v>#N/A</v>
      </c>
      <c r="BM347" s="292" t="e">
        <f t="shared" si="327"/>
        <v>#N/A</v>
      </c>
      <c r="BN347" s="293">
        <f t="shared" si="367"/>
        <v>7</v>
      </c>
      <c r="BO347" s="294" t="e">
        <f t="shared" si="368"/>
        <v>#N/A</v>
      </c>
      <c r="BP347" s="294" t="e">
        <f t="shared" si="369"/>
        <v>#N/A</v>
      </c>
      <c r="BQ347" s="292" t="e">
        <f t="shared" si="328"/>
        <v>#N/A</v>
      </c>
      <c r="BR347" s="295" t="e">
        <f t="shared" si="329"/>
        <v>#N/A</v>
      </c>
      <c r="BS347" s="230" t="e">
        <f>VLOOKUP($B347,SDR22_STOCK_BY_LA!$A$2:$C$11679,3,0)</f>
        <v>#N/A</v>
      </c>
      <c r="BT347" s="230" t="str">
        <f t="shared" si="370"/>
        <v/>
      </c>
    </row>
    <row r="348" spans="1:72" ht="12.5" x14ac:dyDescent="0.25">
      <c r="A348" s="230" t="str">
        <f t="shared" si="371"/>
        <v/>
      </c>
      <c r="B348" s="230" t="str">
        <f t="shared" si="372"/>
        <v/>
      </c>
      <c r="C348" s="296" t="str">
        <f t="shared" si="330"/>
        <v/>
      </c>
      <c r="D348" s="269" t="str">
        <f>IF(B348="","",IF(totals!$Q$3=0,IFERROR(IF(AD348=2,"0",AE348),""),"-"))</f>
        <v/>
      </c>
      <c r="E348" s="271" t="str">
        <f t="shared" si="331"/>
        <v/>
      </c>
      <c r="F348" s="272" t="str">
        <f t="shared" si="332"/>
        <v/>
      </c>
      <c r="G348" s="272" t="str">
        <f t="shared" si="333"/>
        <v/>
      </c>
      <c r="H348" s="269" t="str">
        <f t="shared" si="311"/>
        <v/>
      </c>
      <c r="I348" s="272" t="str">
        <f t="shared" si="334"/>
        <v/>
      </c>
      <c r="J348" s="272" t="str">
        <f t="shared" si="335"/>
        <v/>
      </c>
      <c r="K348" s="269" t="str">
        <f t="shared" si="312"/>
        <v/>
      </c>
      <c r="L348" s="272" t="str">
        <f t="shared" si="313"/>
        <v/>
      </c>
      <c r="M348" s="272" t="str">
        <f t="shared" si="336"/>
        <v/>
      </c>
      <c r="N348" s="269" t="str">
        <f t="shared" si="337"/>
        <v/>
      </c>
      <c r="O348" s="272" t="str">
        <f t="shared" si="338"/>
        <v/>
      </c>
      <c r="P348" s="272" t="str">
        <f t="shared" si="339"/>
        <v/>
      </c>
      <c r="Q348" s="269" t="str">
        <f t="shared" si="340"/>
        <v/>
      </c>
      <c r="R348" s="272" t="str">
        <f t="shared" si="341"/>
        <v/>
      </c>
      <c r="S348" s="272" t="str">
        <f t="shared" si="342"/>
        <v/>
      </c>
      <c r="T348" s="269" t="str">
        <f t="shared" si="343"/>
        <v/>
      </c>
      <c r="U348" s="230"/>
      <c r="V348" s="230"/>
      <c r="AB348" s="230" t="e">
        <f>VLOOKUP($B$6,Lookup_Source,341,0)</f>
        <v>#N/A</v>
      </c>
      <c r="AC348" s="254" t="str">
        <f t="shared" si="344"/>
        <v/>
      </c>
      <c r="AD348" s="255">
        <f t="shared" si="345"/>
        <v>7</v>
      </c>
      <c r="AE348" s="274" t="e">
        <f t="shared" si="314"/>
        <v>#N/A</v>
      </c>
      <c r="AF348" s="277" t="e">
        <f t="shared" si="346"/>
        <v>#N/A</v>
      </c>
      <c r="AG348" s="277" t="e">
        <f t="shared" si="347"/>
        <v>#N/A</v>
      </c>
      <c r="AH348" s="276" t="e">
        <f t="shared" si="315"/>
        <v>#N/A</v>
      </c>
      <c r="AI348" s="239">
        <f t="shared" si="348"/>
        <v>7</v>
      </c>
      <c r="AJ348" s="277" t="e">
        <f t="shared" si="316"/>
        <v>#N/A</v>
      </c>
      <c r="AK348" s="277" t="e">
        <f t="shared" si="349"/>
        <v>#N/A</v>
      </c>
      <c r="AL348" s="239" t="e">
        <f t="shared" si="317"/>
        <v>#N/A</v>
      </c>
      <c r="AM348" s="278" t="e">
        <f t="shared" si="350"/>
        <v>#N/A</v>
      </c>
      <c r="AN348" s="279" t="e">
        <f t="shared" si="318"/>
        <v>#N/A</v>
      </c>
      <c r="AO348" s="240" t="e">
        <f t="shared" si="319"/>
        <v>#N/A</v>
      </c>
      <c r="AP348" s="297">
        <f t="shared" si="351"/>
        <v>7</v>
      </c>
      <c r="AQ348" s="298" t="e">
        <f t="shared" si="320"/>
        <v>#N/A</v>
      </c>
      <c r="AR348" s="279" t="e">
        <f t="shared" si="352"/>
        <v>#N/A</v>
      </c>
      <c r="AS348" s="283" t="e">
        <f t="shared" si="321"/>
        <v>#N/A</v>
      </c>
      <c r="AT348" s="284">
        <f t="shared" si="353"/>
        <v>7</v>
      </c>
      <c r="AU348" s="285" t="e">
        <f t="shared" si="354"/>
        <v>#N/A</v>
      </c>
      <c r="AV348" s="286" t="e">
        <f t="shared" si="355"/>
        <v>#N/A</v>
      </c>
      <c r="AW348" s="287" t="e">
        <f t="shared" si="322"/>
        <v>#N/A</v>
      </c>
      <c r="AX348" s="245">
        <f t="shared" si="356"/>
        <v>7</v>
      </c>
      <c r="AY348" s="286" t="e">
        <f t="shared" si="323"/>
        <v>#N/A</v>
      </c>
      <c r="AZ348" s="245" t="e">
        <f t="shared" si="357"/>
        <v>#N/A</v>
      </c>
      <c r="BA348" s="245" t="e">
        <f t="shared" si="324"/>
        <v>#N/A</v>
      </c>
      <c r="BB348" s="288">
        <f t="shared" si="358"/>
        <v>7</v>
      </c>
      <c r="BC348" s="289" t="e">
        <f t="shared" si="359"/>
        <v>#N/A</v>
      </c>
      <c r="BD348" s="290" t="e">
        <f t="shared" si="360"/>
        <v>#N/A</v>
      </c>
      <c r="BE348" s="263" t="e">
        <f t="shared" si="325"/>
        <v>#N/A</v>
      </c>
      <c r="BF348" s="260">
        <f t="shared" si="361"/>
        <v>7</v>
      </c>
      <c r="BG348" s="289" t="e">
        <f t="shared" si="362"/>
        <v>#N/A</v>
      </c>
      <c r="BH348" s="290" t="e">
        <f t="shared" si="363"/>
        <v>#N/A</v>
      </c>
      <c r="BI348" s="263" t="e">
        <f t="shared" si="326"/>
        <v>#N/A</v>
      </c>
      <c r="BJ348" s="264">
        <f t="shared" si="364"/>
        <v>7</v>
      </c>
      <c r="BK348" s="291" t="e">
        <f t="shared" si="365"/>
        <v>#N/A</v>
      </c>
      <c r="BL348" s="291" t="e">
        <f t="shared" si="366"/>
        <v>#N/A</v>
      </c>
      <c r="BM348" s="292" t="e">
        <f t="shared" si="327"/>
        <v>#N/A</v>
      </c>
      <c r="BN348" s="293">
        <f t="shared" si="367"/>
        <v>7</v>
      </c>
      <c r="BO348" s="294" t="e">
        <f t="shared" si="368"/>
        <v>#N/A</v>
      </c>
      <c r="BP348" s="294" t="e">
        <f t="shared" si="369"/>
        <v>#N/A</v>
      </c>
      <c r="BQ348" s="292" t="e">
        <f t="shared" si="328"/>
        <v>#N/A</v>
      </c>
      <c r="BR348" s="295" t="e">
        <f t="shared" si="329"/>
        <v>#N/A</v>
      </c>
      <c r="BS348" s="230" t="e">
        <f>VLOOKUP($B348,SDR22_STOCK_BY_LA!$A$2:$C$11679,3,0)</f>
        <v>#N/A</v>
      </c>
      <c r="BT348" s="230" t="str">
        <f t="shared" si="370"/>
        <v/>
      </c>
    </row>
    <row r="349" spans="1:72" ht="12.5" x14ac:dyDescent="0.25">
      <c r="A349" s="269" t="str">
        <f t="shared" si="371"/>
        <v/>
      </c>
      <c r="B349" s="230" t="str">
        <f t="shared" si="372"/>
        <v/>
      </c>
      <c r="C349" s="270" t="str">
        <f t="shared" si="330"/>
        <v/>
      </c>
      <c r="D349" s="269" t="str">
        <f>IF(B349="","",IF(totals!$Q$3=0,IFERROR(IF(AD349=2,"0",AE349),""),"-"))</f>
        <v/>
      </c>
      <c r="E349" s="271" t="str">
        <f t="shared" si="331"/>
        <v/>
      </c>
      <c r="F349" s="272" t="str">
        <f t="shared" si="332"/>
        <v/>
      </c>
      <c r="G349" s="272" t="str">
        <f t="shared" si="333"/>
        <v/>
      </c>
      <c r="H349" s="269" t="str">
        <f t="shared" si="311"/>
        <v/>
      </c>
      <c r="I349" s="272" t="str">
        <f t="shared" si="334"/>
        <v/>
      </c>
      <c r="J349" s="272" t="str">
        <f t="shared" si="335"/>
        <v/>
      </c>
      <c r="K349" s="269" t="str">
        <f t="shared" si="312"/>
        <v/>
      </c>
      <c r="L349" s="272" t="str">
        <f t="shared" si="313"/>
        <v/>
      </c>
      <c r="M349" s="272" t="str">
        <f t="shared" si="336"/>
        <v/>
      </c>
      <c r="N349" s="269" t="str">
        <f t="shared" si="337"/>
        <v/>
      </c>
      <c r="O349" s="272" t="str">
        <f t="shared" si="338"/>
        <v/>
      </c>
      <c r="P349" s="272" t="str">
        <f t="shared" si="339"/>
        <v/>
      </c>
      <c r="Q349" s="269" t="str">
        <f t="shared" si="340"/>
        <v/>
      </c>
      <c r="R349" s="272" t="str">
        <f t="shared" si="341"/>
        <v/>
      </c>
      <c r="S349" s="272" t="str">
        <f t="shared" si="342"/>
        <v/>
      </c>
      <c r="T349" s="269" t="str">
        <f t="shared" si="343"/>
        <v/>
      </c>
      <c r="U349" s="230"/>
      <c r="V349" s="230"/>
      <c r="AB349" s="270" t="e">
        <f>VLOOKUP($B$6,Lookup_Source,342,0)</f>
        <v>#N/A</v>
      </c>
      <c r="AC349" s="254" t="str">
        <f t="shared" si="344"/>
        <v/>
      </c>
      <c r="AD349" s="255">
        <f t="shared" si="345"/>
        <v>7</v>
      </c>
      <c r="AE349" s="274" t="e">
        <f t="shared" si="314"/>
        <v>#N/A</v>
      </c>
      <c r="AF349" s="277" t="e">
        <f t="shared" si="346"/>
        <v>#N/A</v>
      </c>
      <c r="AG349" s="277" t="e">
        <f t="shared" si="347"/>
        <v>#N/A</v>
      </c>
      <c r="AH349" s="276" t="e">
        <f t="shared" si="315"/>
        <v>#N/A</v>
      </c>
      <c r="AI349" s="239">
        <f t="shared" si="348"/>
        <v>7</v>
      </c>
      <c r="AJ349" s="277" t="e">
        <f t="shared" si="316"/>
        <v>#N/A</v>
      </c>
      <c r="AK349" s="277" t="e">
        <f t="shared" si="349"/>
        <v>#N/A</v>
      </c>
      <c r="AL349" s="239" t="e">
        <f t="shared" si="317"/>
        <v>#N/A</v>
      </c>
      <c r="AM349" s="278" t="e">
        <f t="shared" si="350"/>
        <v>#N/A</v>
      </c>
      <c r="AN349" s="279" t="e">
        <f t="shared" si="318"/>
        <v>#N/A</v>
      </c>
      <c r="AO349" s="240" t="e">
        <f t="shared" si="319"/>
        <v>#N/A</v>
      </c>
      <c r="AP349" s="297">
        <f t="shared" si="351"/>
        <v>7</v>
      </c>
      <c r="AQ349" s="298" t="e">
        <f t="shared" si="320"/>
        <v>#N/A</v>
      </c>
      <c r="AR349" s="279" t="e">
        <f t="shared" si="352"/>
        <v>#N/A</v>
      </c>
      <c r="AS349" s="283" t="e">
        <f t="shared" si="321"/>
        <v>#N/A</v>
      </c>
      <c r="AT349" s="284">
        <f t="shared" si="353"/>
        <v>7</v>
      </c>
      <c r="AU349" s="285" t="e">
        <f t="shared" si="354"/>
        <v>#N/A</v>
      </c>
      <c r="AV349" s="286" t="e">
        <f t="shared" si="355"/>
        <v>#N/A</v>
      </c>
      <c r="AW349" s="287" t="e">
        <f t="shared" si="322"/>
        <v>#N/A</v>
      </c>
      <c r="AX349" s="245">
        <f t="shared" si="356"/>
        <v>7</v>
      </c>
      <c r="AY349" s="286" t="e">
        <f t="shared" si="323"/>
        <v>#N/A</v>
      </c>
      <c r="AZ349" s="245" t="e">
        <f t="shared" si="357"/>
        <v>#N/A</v>
      </c>
      <c r="BA349" s="245" t="e">
        <f t="shared" si="324"/>
        <v>#N/A</v>
      </c>
      <c r="BB349" s="288">
        <f t="shared" si="358"/>
        <v>7</v>
      </c>
      <c r="BC349" s="289" t="e">
        <f t="shared" si="359"/>
        <v>#N/A</v>
      </c>
      <c r="BD349" s="290" t="e">
        <f t="shared" si="360"/>
        <v>#N/A</v>
      </c>
      <c r="BE349" s="263" t="e">
        <f t="shared" si="325"/>
        <v>#N/A</v>
      </c>
      <c r="BF349" s="260">
        <f t="shared" si="361"/>
        <v>7</v>
      </c>
      <c r="BG349" s="289" t="e">
        <f t="shared" si="362"/>
        <v>#N/A</v>
      </c>
      <c r="BH349" s="290" t="e">
        <f t="shared" si="363"/>
        <v>#N/A</v>
      </c>
      <c r="BI349" s="263" t="e">
        <f t="shared" si="326"/>
        <v>#N/A</v>
      </c>
      <c r="BJ349" s="264">
        <f t="shared" si="364"/>
        <v>7</v>
      </c>
      <c r="BK349" s="291" t="e">
        <f t="shared" si="365"/>
        <v>#N/A</v>
      </c>
      <c r="BL349" s="291" t="e">
        <f t="shared" si="366"/>
        <v>#N/A</v>
      </c>
      <c r="BM349" s="292" t="e">
        <f t="shared" si="327"/>
        <v>#N/A</v>
      </c>
      <c r="BN349" s="293">
        <f t="shared" si="367"/>
        <v>7</v>
      </c>
      <c r="BO349" s="294" t="e">
        <f t="shared" si="368"/>
        <v>#N/A</v>
      </c>
      <c r="BP349" s="294" t="e">
        <f t="shared" si="369"/>
        <v>#N/A</v>
      </c>
      <c r="BQ349" s="292" t="e">
        <f t="shared" si="328"/>
        <v>#N/A</v>
      </c>
      <c r="BR349" s="295" t="e">
        <f t="shared" si="329"/>
        <v>#N/A</v>
      </c>
      <c r="BS349" s="230" t="e">
        <f>VLOOKUP($B349,SDR22_STOCK_BY_LA!$A$2:$C$11679,3,0)</f>
        <v>#N/A</v>
      </c>
      <c r="BT349" s="230" t="str">
        <f t="shared" si="370"/>
        <v/>
      </c>
    </row>
    <row r="350" spans="1:72" ht="12.5" x14ac:dyDescent="0.25">
      <c r="A350" s="230" t="str">
        <f t="shared" si="371"/>
        <v/>
      </c>
      <c r="B350" s="230" t="str">
        <f t="shared" si="372"/>
        <v/>
      </c>
      <c r="C350" s="296" t="str">
        <f t="shared" si="330"/>
        <v/>
      </c>
      <c r="D350" s="269" t="str">
        <f>IF(B350="","",IF(totals!$Q$3=0,IFERROR(IF(AD350=2,"0",AE350),""),"-"))</f>
        <v/>
      </c>
      <c r="E350" s="271" t="str">
        <f t="shared" si="331"/>
        <v/>
      </c>
      <c r="F350" s="272" t="str">
        <f t="shared" si="332"/>
        <v/>
      </c>
      <c r="G350" s="272" t="str">
        <f t="shared" si="333"/>
        <v/>
      </c>
      <c r="H350" s="269" t="str">
        <f t="shared" si="311"/>
        <v/>
      </c>
      <c r="I350" s="272" t="str">
        <f t="shared" si="334"/>
        <v/>
      </c>
      <c r="J350" s="272" t="str">
        <f t="shared" si="335"/>
        <v/>
      </c>
      <c r="K350" s="269" t="str">
        <f t="shared" si="312"/>
        <v/>
      </c>
      <c r="L350" s="272" t="str">
        <f t="shared" si="313"/>
        <v/>
      </c>
      <c r="M350" s="272" t="str">
        <f t="shared" si="336"/>
        <v/>
      </c>
      <c r="N350" s="269" t="str">
        <f t="shared" si="337"/>
        <v/>
      </c>
      <c r="O350" s="272" t="str">
        <f t="shared" si="338"/>
        <v/>
      </c>
      <c r="P350" s="272" t="str">
        <f t="shared" si="339"/>
        <v/>
      </c>
      <c r="Q350" s="269" t="str">
        <f t="shared" si="340"/>
        <v/>
      </c>
      <c r="R350" s="272" t="str">
        <f t="shared" si="341"/>
        <v/>
      </c>
      <c r="S350" s="272" t="str">
        <f t="shared" si="342"/>
        <v/>
      </c>
      <c r="T350" s="269" t="str">
        <f t="shared" si="343"/>
        <v/>
      </c>
      <c r="U350" s="230"/>
      <c r="V350" s="230"/>
      <c r="AB350" s="230" t="e">
        <f>VLOOKUP($B$6,Lookup_Source,343,0)</f>
        <v>#N/A</v>
      </c>
      <c r="AC350" s="254" t="str">
        <f t="shared" si="344"/>
        <v/>
      </c>
      <c r="AD350" s="255">
        <f t="shared" si="345"/>
        <v>7</v>
      </c>
      <c r="AE350" s="274" t="e">
        <f t="shared" si="314"/>
        <v>#N/A</v>
      </c>
      <c r="AF350" s="277" t="e">
        <f t="shared" si="346"/>
        <v>#N/A</v>
      </c>
      <c r="AG350" s="277" t="e">
        <f t="shared" si="347"/>
        <v>#N/A</v>
      </c>
      <c r="AH350" s="276" t="e">
        <f t="shared" si="315"/>
        <v>#N/A</v>
      </c>
      <c r="AI350" s="239">
        <f t="shared" si="348"/>
        <v>7</v>
      </c>
      <c r="AJ350" s="277" t="e">
        <f t="shared" si="316"/>
        <v>#N/A</v>
      </c>
      <c r="AK350" s="277" t="e">
        <f t="shared" si="349"/>
        <v>#N/A</v>
      </c>
      <c r="AL350" s="239" t="e">
        <f t="shared" si="317"/>
        <v>#N/A</v>
      </c>
      <c r="AM350" s="278" t="e">
        <f t="shared" si="350"/>
        <v>#N/A</v>
      </c>
      <c r="AN350" s="279" t="e">
        <f t="shared" si="318"/>
        <v>#N/A</v>
      </c>
      <c r="AO350" s="240" t="e">
        <f t="shared" si="319"/>
        <v>#N/A</v>
      </c>
      <c r="AP350" s="297">
        <f t="shared" si="351"/>
        <v>7</v>
      </c>
      <c r="AQ350" s="298" t="e">
        <f t="shared" si="320"/>
        <v>#N/A</v>
      </c>
      <c r="AR350" s="279" t="e">
        <f t="shared" si="352"/>
        <v>#N/A</v>
      </c>
      <c r="AS350" s="283" t="e">
        <f t="shared" si="321"/>
        <v>#N/A</v>
      </c>
      <c r="AT350" s="284">
        <f t="shared" si="353"/>
        <v>7</v>
      </c>
      <c r="AU350" s="285" t="e">
        <f t="shared" si="354"/>
        <v>#N/A</v>
      </c>
      <c r="AV350" s="286" t="e">
        <f t="shared" si="355"/>
        <v>#N/A</v>
      </c>
      <c r="AW350" s="287" t="e">
        <f t="shared" si="322"/>
        <v>#N/A</v>
      </c>
      <c r="AX350" s="245">
        <f t="shared" si="356"/>
        <v>7</v>
      </c>
      <c r="AY350" s="286" t="e">
        <f t="shared" si="323"/>
        <v>#N/A</v>
      </c>
      <c r="AZ350" s="245" t="e">
        <f t="shared" si="357"/>
        <v>#N/A</v>
      </c>
      <c r="BA350" s="245" t="e">
        <f t="shared" si="324"/>
        <v>#N/A</v>
      </c>
      <c r="BB350" s="288">
        <f t="shared" si="358"/>
        <v>7</v>
      </c>
      <c r="BC350" s="289" t="e">
        <f t="shared" si="359"/>
        <v>#N/A</v>
      </c>
      <c r="BD350" s="290" t="e">
        <f t="shared" si="360"/>
        <v>#N/A</v>
      </c>
      <c r="BE350" s="263" t="e">
        <f t="shared" si="325"/>
        <v>#N/A</v>
      </c>
      <c r="BF350" s="260">
        <f t="shared" si="361"/>
        <v>7</v>
      </c>
      <c r="BG350" s="289" t="e">
        <f t="shared" si="362"/>
        <v>#N/A</v>
      </c>
      <c r="BH350" s="290" t="e">
        <f t="shared" si="363"/>
        <v>#N/A</v>
      </c>
      <c r="BI350" s="263" t="e">
        <f t="shared" si="326"/>
        <v>#N/A</v>
      </c>
      <c r="BJ350" s="264">
        <f t="shared" si="364"/>
        <v>7</v>
      </c>
      <c r="BK350" s="291" t="e">
        <f t="shared" si="365"/>
        <v>#N/A</v>
      </c>
      <c r="BL350" s="291" t="e">
        <f t="shared" si="366"/>
        <v>#N/A</v>
      </c>
      <c r="BM350" s="292" t="e">
        <f t="shared" si="327"/>
        <v>#N/A</v>
      </c>
      <c r="BN350" s="293">
        <f t="shared" si="367"/>
        <v>7</v>
      </c>
      <c r="BO350" s="294" t="e">
        <f t="shared" si="368"/>
        <v>#N/A</v>
      </c>
      <c r="BP350" s="294" t="e">
        <f t="shared" si="369"/>
        <v>#N/A</v>
      </c>
      <c r="BQ350" s="292" t="e">
        <f t="shared" si="328"/>
        <v>#N/A</v>
      </c>
      <c r="BR350" s="295" t="e">
        <f t="shared" si="329"/>
        <v>#N/A</v>
      </c>
      <c r="BS350" s="230" t="e">
        <f>VLOOKUP($B350,SDR22_STOCK_BY_LA!$A$2:$C$11679,3,0)</f>
        <v>#N/A</v>
      </c>
      <c r="BT350" s="230" t="str">
        <f t="shared" si="370"/>
        <v/>
      </c>
    </row>
    <row r="351" spans="1:72" ht="12.5" x14ac:dyDescent="0.25">
      <c r="A351" s="269" t="str">
        <f t="shared" si="371"/>
        <v/>
      </c>
      <c r="B351" s="230" t="str">
        <f t="shared" si="372"/>
        <v/>
      </c>
      <c r="C351" s="270" t="str">
        <f t="shared" si="330"/>
        <v/>
      </c>
      <c r="D351" s="269" t="str">
        <f>IF(B351="","",IF(totals!$Q$3=0,IFERROR(IF(AD351=2,"0",AE351),""),"-"))</f>
        <v/>
      </c>
      <c r="E351" s="271" t="str">
        <f t="shared" si="331"/>
        <v/>
      </c>
      <c r="F351" s="272" t="str">
        <f t="shared" si="332"/>
        <v/>
      </c>
      <c r="G351" s="272" t="str">
        <f t="shared" si="333"/>
        <v/>
      </c>
      <c r="H351" s="269" t="str">
        <f t="shared" si="311"/>
        <v/>
      </c>
      <c r="I351" s="272" t="str">
        <f t="shared" si="334"/>
        <v/>
      </c>
      <c r="J351" s="272" t="str">
        <f t="shared" si="335"/>
        <v/>
      </c>
      <c r="K351" s="269" t="str">
        <f t="shared" si="312"/>
        <v/>
      </c>
      <c r="L351" s="272" t="str">
        <f t="shared" si="313"/>
        <v/>
      </c>
      <c r="M351" s="272" t="str">
        <f t="shared" si="336"/>
        <v/>
      </c>
      <c r="N351" s="269" t="str">
        <f t="shared" si="337"/>
        <v/>
      </c>
      <c r="O351" s="272" t="str">
        <f t="shared" si="338"/>
        <v/>
      </c>
      <c r="P351" s="272" t="str">
        <f t="shared" si="339"/>
        <v/>
      </c>
      <c r="Q351" s="269" t="str">
        <f t="shared" si="340"/>
        <v/>
      </c>
      <c r="R351" s="272" t="str">
        <f t="shared" si="341"/>
        <v/>
      </c>
      <c r="S351" s="272" t="str">
        <f t="shared" si="342"/>
        <v/>
      </c>
      <c r="T351" s="269" t="str">
        <f t="shared" si="343"/>
        <v/>
      </c>
      <c r="U351" s="230"/>
      <c r="V351" s="230"/>
      <c r="AB351" s="270" t="e">
        <f>VLOOKUP($B$6,Lookup_Source,344,0)</f>
        <v>#N/A</v>
      </c>
      <c r="AC351" s="254" t="str">
        <f t="shared" si="344"/>
        <v/>
      </c>
      <c r="AD351" s="255">
        <f t="shared" si="345"/>
        <v>7</v>
      </c>
      <c r="AE351" s="274" t="e">
        <f t="shared" si="314"/>
        <v>#N/A</v>
      </c>
      <c r="AF351" s="277" t="e">
        <f t="shared" si="346"/>
        <v>#N/A</v>
      </c>
      <c r="AG351" s="277" t="e">
        <f t="shared" si="347"/>
        <v>#N/A</v>
      </c>
      <c r="AH351" s="276" t="e">
        <f t="shared" si="315"/>
        <v>#N/A</v>
      </c>
      <c r="AI351" s="239">
        <f t="shared" si="348"/>
        <v>7</v>
      </c>
      <c r="AJ351" s="277" t="e">
        <f t="shared" si="316"/>
        <v>#N/A</v>
      </c>
      <c r="AK351" s="277" t="e">
        <f t="shared" si="349"/>
        <v>#N/A</v>
      </c>
      <c r="AL351" s="239" t="e">
        <f t="shared" si="317"/>
        <v>#N/A</v>
      </c>
      <c r="AM351" s="278" t="e">
        <f t="shared" si="350"/>
        <v>#N/A</v>
      </c>
      <c r="AN351" s="279" t="e">
        <f t="shared" si="318"/>
        <v>#N/A</v>
      </c>
      <c r="AO351" s="240" t="e">
        <f t="shared" si="319"/>
        <v>#N/A</v>
      </c>
      <c r="AP351" s="297">
        <f t="shared" si="351"/>
        <v>7</v>
      </c>
      <c r="AQ351" s="298" t="e">
        <f t="shared" si="320"/>
        <v>#N/A</v>
      </c>
      <c r="AR351" s="279" t="e">
        <f t="shared" si="352"/>
        <v>#N/A</v>
      </c>
      <c r="AS351" s="283" t="e">
        <f t="shared" si="321"/>
        <v>#N/A</v>
      </c>
      <c r="AT351" s="284">
        <f t="shared" si="353"/>
        <v>7</v>
      </c>
      <c r="AU351" s="285" t="e">
        <f t="shared" si="354"/>
        <v>#N/A</v>
      </c>
      <c r="AV351" s="286" t="e">
        <f t="shared" si="355"/>
        <v>#N/A</v>
      </c>
      <c r="AW351" s="287" t="e">
        <f t="shared" si="322"/>
        <v>#N/A</v>
      </c>
      <c r="AX351" s="245">
        <f t="shared" si="356"/>
        <v>7</v>
      </c>
      <c r="AY351" s="286" t="e">
        <f t="shared" si="323"/>
        <v>#N/A</v>
      </c>
      <c r="AZ351" s="245" t="e">
        <f t="shared" si="357"/>
        <v>#N/A</v>
      </c>
      <c r="BA351" s="245" t="e">
        <f t="shared" si="324"/>
        <v>#N/A</v>
      </c>
      <c r="BB351" s="288">
        <f t="shared" si="358"/>
        <v>7</v>
      </c>
      <c r="BC351" s="289" t="e">
        <f t="shared" si="359"/>
        <v>#N/A</v>
      </c>
      <c r="BD351" s="290" t="e">
        <f t="shared" si="360"/>
        <v>#N/A</v>
      </c>
      <c r="BE351" s="263" t="e">
        <f t="shared" si="325"/>
        <v>#N/A</v>
      </c>
      <c r="BF351" s="260">
        <f t="shared" si="361"/>
        <v>7</v>
      </c>
      <c r="BG351" s="289" t="e">
        <f t="shared" si="362"/>
        <v>#N/A</v>
      </c>
      <c r="BH351" s="290" t="e">
        <f t="shared" si="363"/>
        <v>#N/A</v>
      </c>
      <c r="BI351" s="263" t="e">
        <f t="shared" si="326"/>
        <v>#N/A</v>
      </c>
      <c r="BJ351" s="264">
        <f t="shared" si="364"/>
        <v>7</v>
      </c>
      <c r="BK351" s="291" t="e">
        <f t="shared" si="365"/>
        <v>#N/A</v>
      </c>
      <c r="BL351" s="291" t="e">
        <f t="shared" si="366"/>
        <v>#N/A</v>
      </c>
      <c r="BM351" s="292" t="e">
        <f t="shared" si="327"/>
        <v>#N/A</v>
      </c>
      <c r="BN351" s="293">
        <f t="shared" si="367"/>
        <v>7</v>
      </c>
      <c r="BO351" s="294" t="e">
        <f t="shared" si="368"/>
        <v>#N/A</v>
      </c>
      <c r="BP351" s="294" t="e">
        <f t="shared" si="369"/>
        <v>#N/A</v>
      </c>
      <c r="BQ351" s="292" t="e">
        <f t="shared" si="328"/>
        <v>#N/A</v>
      </c>
      <c r="BR351" s="295" t="e">
        <f t="shared" si="329"/>
        <v>#N/A</v>
      </c>
      <c r="BS351" s="230" t="e">
        <f>VLOOKUP($B351,SDR22_STOCK_BY_LA!$A$2:$C$11679,3,0)</f>
        <v>#N/A</v>
      </c>
      <c r="BT351" s="230" t="str">
        <f t="shared" si="370"/>
        <v/>
      </c>
    </row>
    <row r="352" spans="1:72" ht="12.5" x14ac:dyDescent="0.25">
      <c r="A352" s="230" t="str">
        <f t="shared" si="371"/>
        <v/>
      </c>
      <c r="B352" s="230" t="str">
        <f t="shared" si="372"/>
        <v/>
      </c>
      <c r="C352" s="296" t="str">
        <f t="shared" si="330"/>
        <v/>
      </c>
      <c r="D352" s="269" t="str">
        <f>IF(B352="","",IF(totals!$Q$3=0,IFERROR(IF(AD352=2,"0",AE352),""),"-"))</f>
        <v/>
      </c>
      <c r="E352" s="271" t="str">
        <f t="shared" si="331"/>
        <v/>
      </c>
      <c r="F352" s="272" t="str">
        <f t="shared" si="332"/>
        <v/>
      </c>
      <c r="G352" s="272" t="str">
        <f t="shared" si="333"/>
        <v/>
      </c>
      <c r="H352" s="269" t="str">
        <f t="shared" si="311"/>
        <v/>
      </c>
      <c r="I352" s="272" t="str">
        <f t="shared" si="334"/>
        <v/>
      </c>
      <c r="J352" s="272" t="str">
        <f t="shared" si="335"/>
        <v/>
      </c>
      <c r="K352" s="269" t="str">
        <f t="shared" si="312"/>
        <v/>
      </c>
      <c r="L352" s="272" t="str">
        <f t="shared" si="313"/>
        <v/>
      </c>
      <c r="M352" s="272" t="str">
        <f t="shared" si="336"/>
        <v/>
      </c>
      <c r="N352" s="269" t="str">
        <f t="shared" si="337"/>
        <v/>
      </c>
      <c r="O352" s="272" t="str">
        <f t="shared" si="338"/>
        <v/>
      </c>
      <c r="P352" s="272" t="str">
        <f t="shared" si="339"/>
        <v/>
      </c>
      <c r="Q352" s="269" t="str">
        <f t="shared" si="340"/>
        <v/>
      </c>
      <c r="R352" s="272" t="str">
        <f t="shared" si="341"/>
        <v/>
      </c>
      <c r="S352" s="272" t="str">
        <f t="shared" si="342"/>
        <v/>
      </c>
      <c r="T352" s="269" t="str">
        <f t="shared" si="343"/>
        <v/>
      </c>
      <c r="U352" s="230"/>
      <c r="V352" s="230"/>
      <c r="AB352" s="230" t="e">
        <f>VLOOKUP($B$6,Lookup_Source,345,0)</f>
        <v>#N/A</v>
      </c>
      <c r="AC352" s="254" t="str">
        <f t="shared" si="344"/>
        <v/>
      </c>
      <c r="AD352" s="255">
        <f t="shared" si="345"/>
        <v>7</v>
      </c>
      <c r="AE352" s="274" t="e">
        <f t="shared" si="314"/>
        <v>#N/A</v>
      </c>
      <c r="AF352" s="277" t="e">
        <f t="shared" si="346"/>
        <v>#N/A</v>
      </c>
      <c r="AG352" s="277" t="e">
        <f t="shared" si="347"/>
        <v>#N/A</v>
      </c>
      <c r="AH352" s="276" t="e">
        <f t="shared" si="315"/>
        <v>#N/A</v>
      </c>
      <c r="AI352" s="239">
        <f t="shared" si="348"/>
        <v>7</v>
      </c>
      <c r="AJ352" s="277" t="e">
        <f t="shared" si="316"/>
        <v>#N/A</v>
      </c>
      <c r="AK352" s="277" t="e">
        <f t="shared" si="349"/>
        <v>#N/A</v>
      </c>
      <c r="AL352" s="239" t="e">
        <f t="shared" si="317"/>
        <v>#N/A</v>
      </c>
      <c r="AM352" s="278" t="e">
        <f t="shared" si="350"/>
        <v>#N/A</v>
      </c>
      <c r="AN352" s="279" t="e">
        <f t="shared" si="318"/>
        <v>#N/A</v>
      </c>
      <c r="AO352" s="240" t="e">
        <f t="shared" si="319"/>
        <v>#N/A</v>
      </c>
      <c r="AP352" s="297">
        <f t="shared" si="351"/>
        <v>7</v>
      </c>
      <c r="AQ352" s="298" t="e">
        <f t="shared" si="320"/>
        <v>#N/A</v>
      </c>
      <c r="AR352" s="279" t="e">
        <f t="shared" si="352"/>
        <v>#N/A</v>
      </c>
      <c r="AS352" s="283" t="e">
        <f t="shared" si="321"/>
        <v>#N/A</v>
      </c>
      <c r="AT352" s="284">
        <f t="shared" si="353"/>
        <v>7</v>
      </c>
      <c r="AU352" s="285" t="e">
        <f t="shared" si="354"/>
        <v>#N/A</v>
      </c>
      <c r="AV352" s="286" t="e">
        <f t="shared" si="355"/>
        <v>#N/A</v>
      </c>
      <c r="AW352" s="287" t="e">
        <f t="shared" si="322"/>
        <v>#N/A</v>
      </c>
      <c r="AX352" s="245">
        <f t="shared" si="356"/>
        <v>7</v>
      </c>
      <c r="AY352" s="286" t="e">
        <f t="shared" si="323"/>
        <v>#N/A</v>
      </c>
      <c r="AZ352" s="245" t="e">
        <f t="shared" si="357"/>
        <v>#N/A</v>
      </c>
      <c r="BA352" s="245" t="e">
        <f t="shared" si="324"/>
        <v>#N/A</v>
      </c>
      <c r="BB352" s="288">
        <f t="shared" si="358"/>
        <v>7</v>
      </c>
      <c r="BC352" s="289" t="e">
        <f t="shared" si="359"/>
        <v>#N/A</v>
      </c>
      <c r="BD352" s="290" t="e">
        <f t="shared" si="360"/>
        <v>#N/A</v>
      </c>
      <c r="BE352" s="263" t="e">
        <f t="shared" si="325"/>
        <v>#N/A</v>
      </c>
      <c r="BF352" s="260">
        <f t="shared" si="361"/>
        <v>7</v>
      </c>
      <c r="BG352" s="289" t="e">
        <f t="shared" si="362"/>
        <v>#N/A</v>
      </c>
      <c r="BH352" s="290" t="e">
        <f t="shared" si="363"/>
        <v>#N/A</v>
      </c>
      <c r="BI352" s="263" t="e">
        <f t="shared" si="326"/>
        <v>#N/A</v>
      </c>
      <c r="BJ352" s="264">
        <f t="shared" si="364"/>
        <v>7</v>
      </c>
      <c r="BK352" s="291" t="e">
        <f t="shared" si="365"/>
        <v>#N/A</v>
      </c>
      <c r="BL352" s="291" t="e">
        <f t="shared" si="366"/>
        <v>#N/A</v>
      </c>
      <c r="BM352" s="292" t="e">
        <f t="shared" si="327"/>
        <v>#N/A</v>
      </c>
      <c r="BN352" s="293">
        <f t="shared" si="367"/>
        <v>7</v>
      </c>
      <c r="BO352" s="294" t="e">
        <f t="shared" si="368"/>
        <v>#N/A</v>
      </c>
      <c r="BP352" s="294" t="e">
        <f t="shared" si="369"/>
        <v>#N/A</v>
      </c>
      <c r="BQ352" s="292" t="e">
        <f t="shared" si="328"/>
        <v>#N/A</v>
      </c>
      <c r="BR352" s="295" t="e">
        <f t="shared" si="329"/>
        <v>#N/A</v>
      </c>
      <c r="BS352" s="230" t="e">
        <f>VLOOKUP($B352,SDR22_STOCK_BY_LA!$A$2:$C$11679,3,0)</f>
        <v>#N/A</v>
      </c>
      <c r="BT352" s="230" t="str">
        <f t="shared" si="370"/>
        <v/>
      </c>
    </row>
    <row r="353" spans="1:72" ht="12.5" x14ac:dyDescent="0.25">
      <c r="A353" s="269" t="str">
        <f t="shared" si="371"/>
        <v/>
      </c>
      <c r="B353" s="230" t="str">
        <f t="shared" si="372"/>
        <v/>
      </c>
      <c r="C353" s="270" t="str">
        <f t="shared" si="330"/>
        <v/>
      </c>
      <c r="D353" s="269" t="str">
        <f>IF(B353="","",IF(totals!$Q$3=0,IFERROR(IF(AD353=2,"0",AE353),""),"-"))</f>
        <v/>
      </c>
      <c r="E353" s="271" t="str">
        <f t="shared" si="331"/>
        <v/>
      </c>
      <c r="F353" s="272" t="str">
        <f t="shared" si="332"/>
        <v/>
      </c>
      <c r="G353" s="272" t="str">
        <f t="shared" si="333"/>
        <v/>
      </c>
      <c r="H353" s="269" t="str">
        <f t="shared" si="311"/>
        <v/>
      </c>
      <c r="I353" s="272" t="str">
        <f t="shared" si="334"/>
        <v/>
      </c>
      <c r="J353" s="272" t="str">
        <f t="shared" si="335"/>
        <v/>
      </c>
      <c r="K353" s="269" t="str">
        <f t="shared" si="312"/>
        <v/>
      </c>
      <c r="L353" s="272" t="str">
        <f t="shared" si="313"/>
        <v/>
      </c>
      <c r="M353" s="272" t="str">
        <f t="shared" si="336"/>
        <v/>
      </c>
      <c r="N353" s="269" t="str">
        <f t="shared" si="337"/>
        <v/>
      </c>
      <c r="O353" s="272" t="str">
        <f t="shared" si="338"/>
        <v/>
      </c>
      <c r="P353" s="272" t="str">
        <f t="shared" si="339"/>
        <v/>
      </c>
      <c r="Q353" s="269" t="str">
        <f t="shared" si="340"/>
        <v/>
      </c>
      <c r="R353" s="272" t="str">
        <f t="shared" si="341"/>
        <v/>
      </c>
      <c r="S353" s="272" t="str">
        <f t="shared" si="342"/>
        <v/>
      </c>
      <c r="T353" s="269" t="str">
        <f t="shared" si="343"/>
        <v/>
      </c>
      <c r="U353" s="230"/>
      <c r="V353" s="230"/>
      <c r="AB353" s="270" t="e">
        <f>VLOOKUP($B$6,Lookup_Source,346,0)</f>
        <v>#N/A</v>
      </c>
      <c r="AC353" s="254" t="str">
        <f t="shared" si="344"/>
        <v/>
      </c>
      <c r="AD353" s="255">
        <f t="shared" si="345"/>
        <v>7</v>
      </c>
      <c r="AE353" s="274" t="e">
        <f t="shared" si="314"/>
        <v>#N/A</v>
      </c>
      <c r="AF353" s="277" t="e">
        <f t="shared" si="346"/>
        <v>#N/A</v>
      </c>
      <c r="AG353" s="277" t="e">
        <f t="shared" si="347"/>
        <v>#N/A</v>
      </c>
      <c r="AH353" s="276" t="e">
        <f t="shared" si="315"/>
        <v>#N/A</v>
      </c>
      <c r="AI353" s="239">
        <f t="shared" si="348"/>
        <v>7</v>
      </c>
      <c r="AJ353" s="277" t="e">
        <f t="shared" si="316"/>
        <v>#N/A</v>
      </c>
      <c r="AK353" s="277" t="e">
        <f t="shared" si="349"/>
        <v>#N/A</v>
      </c>
      <c r="AL353" s="239" t="e">
        <f t="shared" si="317"/>
        <v>#N/A</v>
      </c>
      <c r="AM353" s="278" t="e">
        <f t="shared" si="350"/>
        <v>#N/A</v>
      </c>
      <c r="AN353" s="279" t="e">
        <f t="shared" si="318"/>
        <v>#N/A</v>
      </c>
      <c r="AO353" s="240" t="e">
        <f t="shared" si="319"/>
        <v>#N/A</v>
      </c>
      <c r="AP353" s="297">
        <f t="shared" si="351"/>
        <v>7</v>
      </c>
      <c r="AQ353" s="298" t="e">
        <f t="shared" si="320"/>
        <v>#N/A</v>
      </c>
      <c r="AR353" s="279" t="e">
        <f t="shared" si="352"/>
        <v>#N/A</v>
      </c>
      <c r="AS353" s="283" t="e">
        <f t="shared" si="321"/>
        <v>#N/A</v>
      </c>
      <c r="AT353" s="284">
        <f t="shared" si="353"/>
        <v>7</v>
      </c>
      <c r="AU353" s="285" t="e">
        <f t="shared" si="354"/>
        <v>#N/A</v>
      </c>
      <c r="AV353" s="286" t="e">
        <f t="shared" si="355"/>
        <v>#N/A</v>
      </c>
      <c r="AW353" s="287" t="e">
        <f t="shared" si="322"/>
        <v>#N/A</v>
      </c>
      <c r="AX353" s="245">
        <f t="shared" si="356"/>
        <v>7</v>
      </c>
      <c r="AY353" s="286" t="e">
        <f t="shared" si="323"/>
        <v>#N/A</v>
      </c>
      <c r="AZ353" s="245" t="e">
        <f t="shared" si="357"/>
        <v>#N/A</v>
      </c>
      <c r="BA353" s="245" t="e">
        <f t="shared" si="324"/>
        <v>#N/A</v>
      </c>
      <c r="BB353" s="288">
        <f t="shared" si="358"/>
        <v>7</v>
      </c>
      <c r="BC353" s="289" t="e">
        <f t="shared" si="359"/>
        <v>#N/A</v>
      </c>
      <c r="BD353" s="290" t="e">
        <f t="shared" si="360"/>
        <v>#N/A</v>
      </c>
      <c r="BE353" s="263" t="e">
        <f t="shared" si="325"/>
        <v>#N/A</v>
      </c>
      <c r="BF353" s="260">
        <f t="shared" si="361"/>
        <v>7</v>
      </c>
      <c r="BG353" s="289" t="e">
        <f t="shared" si="362"/>
        <v>#N/A</v>
      </c>
      <c r="BH353" s="290" t="e">
        <f t="shared" si="363"/>
        <v>#N/A</v>
      </c>
      <c r="BI353" s="263" t="e">
        <f t="shared" si="326"/>
        <v>#N/A</v>
      </c>
      <c r="BJ353" s="264">
        <f t="shared" si="364"/>
        <v>7</v>
      </c>
      <c r="BK353" s="291" t="e">
        <f t="shared" si="365"/>
        <v>#N/A</v>
      </c>
      <c r="BL353" s="291" t="e">
        <f t="shared" si="366"/>
        <v>#N/A</v>
      </c>
      <c r="BM353" s="292" t="e">
        <f t="shared" si="327"/>
        <v>#N/A</v>
      </c>
      <c r="BN353" s="293">
        <f t="shared" si="367"/>
        <v>7</v>
      </c>
      <c r="BO353" s="294" t="e">
        <f t="shared" si="368"/>
        <v>#N/A</v>
      </c>
      <c r="BP353" s="294" t="e">
        <f t="shared" si="369"/>
        <v>#N/A</v>
      </c>
      <c r="BQ353" s="292" t="e">
        <f t="shared" si="328"/>
        <v>#N/A</v>
      </c>
      <c r="BR353" s="295" t="e">
        <f t="shared" si="329"/>
        <v>#N/A</v>
      </c>
      <c r="BS353" s="230" t="e">
        <f>VLOOKUP($B353,SDR22_STOCK_BY_LA!$A$2:$C$11679,3,0)</f>
        <v>#N/A</v>
      </c>
      <c r="BT353" s="230" t="str">
        <f t="shared" si="370"/>
        <v/>
      </c>
    </row>
    <row r="354" spans="1:72" ht="12.5" x14ac:dyDescent="0.25">
      <c r="A354" s="230" t="str">
        <f t="shared" si="371"/>
        <v/>
      </c>
      <c r="B354" s="230" t="str">
        <f t="shared" si="372"/>
        <v/>
      </c>
      <c r="C354" s="296" t="str">
        <f t="shared" si="330"/>
        <v/>
      </c>
      <c r="D354" s="269" t="str">
        <f>IF(B354="","",IF(totals!$Q$3=0,IFERROR(IF(AD354=2,"0",AE354),""),"-"))</f>
        <v/>
      </c>
      <c r="E354" s="271" t="str">
        <f t="shared" si="331"/>
        <v/>
      </c>
      <c r="F354" s="272" t="str">
        <f t="shared" si="332"/>
        <v/>
      </c>
      <c r="G354" s="272" t="str">
        <f t="shared" si="333"/>
        <v/>
      </c>
      <c r="H354" s="269" t="str">
        <f t="shared" si="311"/>
        <v/>
      </c>
      <c r="I354" s="272" t="str">
        <f t="shared" si="334"/>
        <v/>
      </c>
      <c r="J354" s="272" t="str">
        <f t="shared" si="335"/>
        <v/>
      </c>
      <c r="K354" s="269" t="str">
        <f t="shared" si="312"/>
        <v/>
      </c>
      <c r="L354" s="272" t="str">
        <f t="shared" si="313"/>
        <v/>
      </c>
      <c r="M354" s="272" t="str">
        <f t="shared" si="336"/>
        <v/>
      </c>
      <c r="N354" s="269" t="str">
        <f t="shared" si="337"/>
        <v/>
      </c>
      <c r="O354" s="272" t="str">
        <f t="shared" si="338"/>
        <v/>
      </c>
      <c r="P354" s="272" t="str">
        <f t="shared" si="339"/>
        <v/>
      </c>
      <c r="Q354" s="269" t="str">
        <f t="shared" si="340"/>
        <v/>
      </c>
      <c r="R354" s="272" t="str">
        <f t="shared" si="341"/>
        <v/>
      </c>
      <c r="S354" s="272" t="str">
        <f t="shared" si="342"/>
        <v/>
      </c>
      <c r="T354" s="269" t="str">
        <f t="shared" si="343"/>
        <v/>
      </c>
      <c r="U354" s="230"/>
      <c r="V354" s="230"/>
      <c r="AB354" s="230" t="e">
        <f>VLOOKUP($B$6,Lookup_Source,347,0)</f>
        <v>#N/A</v>
      </c>
      <c r="AC354" s="254" t="str">
        <f t="shared" si="344"/>
        <v/>
      </c>
      <c r="AD354" s="255">
        <f t="shared" si="345"/>
        <v>7</v>
      </c>
      <c r="AE354" s="274" t="e">
        <f t="shared" si="314"/>
        <v>#N/A</v>
      </c>
      <c r="AF354" s="277" t="e">
        <f t="shared" si="346"/>
        <v>#N/A</v>
      </c>
      <c r="AG354" s="277" t="e">
        <f t="shared" si="347"/>
        <v>#N/A</v>
      </c>
      <c r="AH354" s="276" t="e">
        <f t="shared" si="315"/>
        <v>#N/A</v>
      </c>
      <c r="AI354" s="239">
        <f t="shared" si="348"/>
        <v>7</v>
      </c>
      <c r="AJ354" s="277" t="e">
        <f t="shared" si="316"/>
        <v>#N/A</v>
      </c>
      <c r="AK354" s="277" t="e">
        <f t="shared" si="349"/>
        <v>#N/A</v>
      </c>
      <c r="AL354" s="239" t="e">
        <f t="shared" si="317"/>
        <v>#N/A</v>
      </c>
      <c r="AM354" s="278" t="e">
        <f t="shared" si="350"/>
        <v>#N/A</v>
      </c>
      <c r="AN354" s="279" t="e">
        <f t="shared" si="318"/>
        <v>#N/A</v>
      </c>
      <c r="AO354" s="240" t="e">
        <f t="shared" si="319"/>
        <v>#N/A</v>
      </c>
      <c r="AP354" s="297">
        <f t="shared" si="351"/>
        <v>7</v>
      </c>
      <c r="AQ354" s="298" t="e">
        <f t="shared" si="320"/>
        <v>#N/A</v>
      </c>
      <c r="AR354" s="279" t="e">
        <f t="shared" si="352"/>
        <v>#N/A</v>
      </c>
      <c r="AS354" s="283" t="e">
        <f t="shared" si="321"/>
        <v>#N/A</v>
      </c>
      <c r="AT354" s="284">
        <f t="shared" si="353"/>
        <v>7</v>
      </c>
      <c r="AU354" s="285" t="e">
        <f t="shared" si="354"/>
        <v>#N/A</v>
      </c>
      <c r="AV354" s="286" t="e">
        <f t="shared" si="355"/>
        <v>#N/A</v>
      </c>
      <c r="AW354" s="287" t="e">
        <f t="shared" si="322"/>
        <v>#N/A</v>
      </c>
      <c r="AX354" s="245">
        <f t="shared" si="356"/>
        <v>7</v>
      </c>
      <c r="AY354" s="286" t="e">
        <f t="shared" si="323"/>
        <v>#N/A</v>
      </c>
      <c r="AZ354" s="245" t="e">
        <f t="shared" si="357"/>
        <v>#N/A</v>
      </c>
      <c r="BA354" s="245" t="e">
        <f t="shared" si="324"/>
        <v>#N/A</v>
      </c>
      <c r="BB354" s="288">
        <f t="shared" si="358"/>
        <v>7</v>
      </c>
      <c r="BC354" s="289" t="e">
        <f t="shared" si="359"/>
        <v>#N/A</v>
      </c>
      <c r="BD354" s="290" t="e">
        <f t="shared" si="360"/>
        <v>#N/A</v>
      </c>
      <c r="BE354" s="263" t="e">
        <f t="shared" si="325"/>
        <v>#N/A</v>
      </c>
      <c r="BF354" s="260">
        <f t="shared" si="361"/>
        <v>7</v>
      </c>
      <c r="BG354" s="289" t="e">
        <f t="shared" si="362"/>
        <v>#N/A</v>
      </c>
      <c r="BH354" s="290" t="e">
        <f t="shared" si="363"/>
        <v>#N/A</v>
      </c>
      <c r="BI354" s="263" t="e">
        <f t="shared" si="326"/>
        <v>#N/A</v>
      </c>
      <c r="BJ354" s="264">
        <f t="shared" si="364"/>
        <v>7</v>
      </c>
      <c r="BK354" s="291" t="e">
        <f t="shared" si="365"/>
        <v>#N/A</v>
      </c>
      <c r="BL354" s="291" t="e">
        <f t="shared" si="366"/>
        <v>#N/A</v>
      </c>
      <c r="BM354" s="292" t="e">
        <f t="shared" si="327"/>
        <v>#N/A</v>
      </c>
      <c r="BN354" s="293">
        <f t="shared" si="367"/>
        <v>7</v>
      </c>
      <c r="BO354" s="294" t="e">
        <f t="shared" si="368"/>
        <v>#N/A</v>
      </c>
      <c r="BP354" s="294" t="e">
        <f t="shared" si="369"/>
        <v>#N/A</v>
      </c>
      <c r="BQ354" s="292" t="e">
        <f t="shared" si="328"/>
        <v>#N/A</v>
      </c>
      <c r="BR354" s="295" t="e">
        <f t="shared" si="329"/>
        <v>#N/A</v>
      </c>
      <c r="BS354" s="230" t="e">
        <f>VLOOKUP($B354,SDR22_STOCK_BY_LA!$A$2:$C$11679,3,0)</f>
        <v>#N/A</v>
      </c>
      <c r="BT354" s="230" t="str">
        <f t="shared" si="370"/>
        <v/>
      </c>
    </row>
    <row r="355" spans="1:72" ht="12.5" x14ac:dyDescent="0.25">
      <c r="A355" s="269" t="str">
        <f t="shared" si="371"/>
        <v/>
      </c>
      <c r="B355" s="230" t="str">
        <f t="shared" si="372"/>
        <v/>
      </c>
      <c r="C355" s="270" t="str">
        <f t="shared" si="330"/>
        <v/>
      </c>
      <c r="D355" s="269" t="str">
        <f>IF(B355="","",IF(totals!$Q$3=0,IFERROR(IF(AD355=2,"0",AE355),""),"-"))</f>
        <v/>
      </c>
      <c r="E355" s="271" t="str">
        <f t="shared" si="331"/>
        <v/>
      </c>
      <c r="F355" s="272" t="str">
        <f t="shared" si="332"/>
        <v/>
      </c>
      <c r="G355" s="272" t="str">
        <f t="shared" si="333"/>
        <v/>
      </c>
      <c r="H355" s="269" t="str">
        <f t="shared" si="311"/>
        <v/>
      </c>
      <c r="I355" s="272" t="str">
        <f t="shared" si="334"/>
        <v/>
      </c>
      <c r="J355" s="272" t="str">
        <f t="shared" si="335"/>
        <v/>
      </c>
      <c r="K355" s="269" t="str">
        <f t="shared" si="312"/>
        <v/>
      </c>
      <c r="L355" s="272" t="str">
        <f t="shared" si="313"/>
        <v/>
      </c>
      <c r="M355" s="272" t="str">
        <f t="shared" si="336"/>
        <v/>
      </c>
      <c r="N355" s="269" t="str">
        <f t="shared" si="337"/>
        <v/>
      </c>
      <c r="O355" s="272" t="str">
        <f t="shared" si="338"/>
        <v/>
      </c>
      <c r="P355" s="272" t="str">
        <f t="shared" si="339"/>
        <v/>
      </c>
      <c r="Q355" s="269" t="str">
        <f t="shared" si="340"/>
        <v/>
      </c>
      <c r="R355" s="272" t="str">
        <f t="shared" si="341"/>
        <v/>
      </c>
      <c r="S355" s="272" t="str">
        <f t="shared" si="342"/>
        <v/>
      </c>
      <c r="T355" s="269" t="str">
        <f t="shared" si="343"/>
        <v/>
      </c>
      <c r="U355" s="230"/>
      <c r="V355" s="230"/>
      <c r="AB355" s="270" t="e">
        <f>VLOOKUP($B$6,Lookup_Source,348,0)</f>
        <v>#N/A</v>
      </c>
      <c r="AC355" s="254" t="str">
        <f t="shared" si="344"/>
        <v/>
      </c>
      <c r="AD355" s="255">
        <f t="shared" si="345"/>
        <v>7</v>
      </c>
      <c r="AE355" s="274" t="e">
        <f t="shared" si="314"/>
        <v>#N/A</v>
      </c>
      <c r="AF355" s="277" t="e">
        <f t="shared" si="346"/>
        <v>#N/A</v>
      </c>
      <c r="AG355" s="277" t="e">
        <f t="shared" si="347"/>
        <v>#N/A</v>
      </c>
      <c r="AH355" s="276" t="e">
        <f t="shared" si="315"/>
        <v>#N/A</v>
      </c>
      <c r="AI355" s="239">
        <f t="shared" si="348"/>
        <v>7</v>
      </c>
      <c r="AJ355" s="277" t="e">
        <f t="shared" si="316"/>
        <v>#N/A</v>
      </c>
      <c r="AK355" s="277" t="e">
        <f t="shared" si="349"/>
        <v>#N/A</v>
      </c>
      <c r="AL355" s="239" t="e">
        <f t="shared" si="317"/>
        <v>#N/A</v>
      </c>
      <c r="AM355" s="278" t="e">
        <f t="shared" si="350"/>
        <v>#N/A</v>
      </c>
      <c r="AN355" s="279" t="e">
        <f t="shared" si="318"/>
        <v>#N/A</v>
      </c>
      <c r="AO355" s="240" t="e">
        <f t="shared" si="319"/>
        <v>#N/A</v>
      </c>
      <c r="AP355" s="297">
        <f t="shared" si="351"/>
        <v>7</v>
      </c>
      <c r="AQ355" s="298" t="e">
        <f t="shared" si="320"/>
        <v>#N/A</v>
      </c>
      <c r="AR355" s="279" t="e">
        <f t="shared" si="352"/>
        <v>#N/A</v>
      </c>
      <c r="AS355" s="283" t="e">
        <f t="shared" si="321"/>
        <v>#N/A</v>
      </c>
      <c r="AT355" s="284">
        <f t="shared" si="353"/>
        <v>7</v>
      </c>
      <c r="AU355" s="285" t="e">
        <f t="shared" si="354"/>
        <v>#N/A</v>
      </c>
      <c r="AV355" s="286" t="e">
        <f t="shared" si="355"/>
        <v>#N/A</v>
      </c>
      <c r="AW355" s="287" t="e">
        <f t="shared" si="322"/>
        <v>#N/A</v>
      </c>
      <c r="AX355" s="245">
        <f t="shared" si="356"/>
        <v>7</v>
      </c>
      <c r="AY355" s="286" t="e">
        <f t="shared" si="323"/>
        <v>#N/A</v>
      </c>
      <c r="AZ355" s="245" t="e">
        <f t="shared" si="357"/>
        <v>#N/A</v>
      </c>
      <c r="BA355" s="245" t="e">
        <f t="shared" si="324"/>
        <v>#N/A</v>
      </c>
      <c r="BB355" s="288">
        <f t="shared" si="358"/>
        <v>7</v>
      </c>
      <c r="BC355" s="289" t="e">
        <f t="shared" si="359"/>
        <v>#N/A</v>
      </c>
      <c r="BD355" s="290" t="e">
        <f t="shared" si="360"/>
        <v>#N/A</v>
      </c>
      <c r="BE355" s="263" t="e">
        <f t="shared" si="325"/>
        <v>#N/A</v>
      </c>
      <c r="BF355" s="260">
        <f t="shared" si="361"/>
        <v>7</v>
      </c>
      <c r="BG355" s="289" t="e">
        <f t="shared" si="362"/>
        <v>#N/A</v>
      </c>
      <c r="BH355" s="290" t="e">
        <f t="shared" si="363"/>
        <v>#N/A</v>
      </c>
      <c r="BI355" s="263" t="e">
        <f t="shared" si="326"/>
        <v>#N/A</v>
      </c>
      <c r="BJ355" s="264">
        <f t="shared" si="364"/>
        <v>7</v>
      </c>
      <c r="BK355" s="291" t="e">
        <f t="shared" si="365"/>
        <v>#N/A</v>
      </c>
      <c r="BL355" s="291" t="e">
        <f t="shared" si="366"/>
        <v>#N/A</v>
      </c>
      <c r="BM355" s="292" t="e">
        <f t="shared" si="327"/>
        <v>#N/A</v>
      </c>
      <c r="BN355" s="293">
        <f t="shared" si="367"/>
        <v>7</v>
      </c>
      <c r="BO355" s="294" t="e">
        <f t="shared" si="368"/>
        <v>#N/A</v>
      </c>
      <c r="BP355" s="294" t="e">
        <f t="shared" si="369"/>
        <v>#N/A</v>
      </c>
      <c r="BQ355" s="292" t="e">
        <f t="shared" si="328"/>
        <v>#N/A</v>
      </c>
      <c r="BR355" s="295" t="e">
        <f t="shared" si="329"/>
        <v>#N/A</v>
      </c>
      <c r="BS355" s="230" t="e">
        <f>VLOOKUP($B355,SDR22_STOCK_BY_LA!$A$2:$C$11679,3,0)</f>
        <v>#N/A</v>
      </c>
      <c r="BT355" s="230" t="str">
        <f t="shared" si="370"/>
        <v/>
      </c>
    </row>
    <row r="356" spans="1:72" ht="12.5" x14ac:dyDescent="0.25">
      <c r="A356" s="230" t="str">
        <f t="shared" si="371"/>
        <v/>
      </c>
      <c r="B356" s="230" t="str">
        <f t="shared" si="372"/>
        <v/>
      </c>
      <c r="C356" s="296" t="str">
        <f t="shared" si="330"/>
        <v/>
      </c>
      <c r="D356" s="269" t="str">
        <f>IF(B356="","",IF(totals!$Q$3=0,IFERROR(IF(AD356=2,"0",AE356),""),"-"))</f>
        <v/>
      </c>
      <c r="E356" s="271" t="str">
        <f t="shared" si="331"/>
        <v/>
      </c>
      <c r="F356" s="272" t="str">
        <f t="shared" si="332"/>
        <v/>
      </c>
      <c r="G356" s="272" t="str">
        <f t="shared" si="333"/>
        <v/>
      </c>
      <c r="H356" s="269" t="str">
        <f t="shared" si="311"/>
        <v/>
      </c>
      <c r="I356" s="272" t="str">
        <f t="shared" si="334"/>
        <v/>
      </c>
      <c r="J356" s="272" t="str">
        <f t="shared" si="335"/>
        <v/>
      </c>
      <c r="K356" s="269" t="str">
        <f t="shared" si="312"/>
        <v/>
      </c>
      <c r="L356" s="272" t="str">
        <f t="shared" si="313"/>
        <v/>
      </c>
      <c r="M356" s="272" t="str">
        <f t="shared" si="336"/>
        <v/>
      </c>
      <c r="N356" s="269" t="str">
        <f t="shared" si="337"/>
        <v/>
      </c>
      <c r="O356" s="272" t="str">
        <f t="shared" si="338"/>
        <v/>
      </c>
      <c r="P356" s="272" t="str">
        <f t="shared" si="339"/>
        <v/>
      </c>
      <c r="Q356" s="269" t="str">
        <f t="shared" si="340"/>
        <v/>
      </c>
      <c r="R356" s="272" t="str">
        <f t="shared" si="341"/>
        <v/>
      </c>
      <c r="S356" s="272" t="str">
        <f t="shared" si="342"/>
        <v/>
      </c>
      <c r="T356" s="269" t="str">
        <f t="shared" si="343"/>
        <v/>
      </c>
      <c r="U356" s="230"/>
      <c r="V356" s="230"/>
      <c r="AB356" s="230" t="e">
        <f>VLOOKUP($B$6,Lookup_Source,349,0)</f>
        <v>#N/A</v>
      </c>
      <c r="AC356" s="254" t="str">
        <f t="shared" si="344"/>
        <v/>
      </c>
      <c r="AD356" s="255">
        <f t="shared" si="345"/>
        <v>7</v>
      </c>
      <c r="AE356" s="274" t="e">
        <f t="shared" si="314"/>
        <v>#N/A</v>
      </c>
      <c r="AF356" s="277" t="e">
        <f t="shared" si="346"/>
        <v>#N/A</v>
      </c>
      <c r="AG356" s="277" t="e">
        <f t="shared" si="347"/>
        <v>#N/A</v>
      </c>
      <c r="AH356" s="276" t="e">
        <f t="shared" si="315"/>
        <v>#N/A</v>
      </c>
      <c r="AI356" s="239">
        <f t="shared" si="348"/>
        <v>7</v>
      </c>
      <c r="AJ356" s="277" t="e">
        <f t="shared" si="316"/>
        <v>#N/A</v>
      </c>
      <c r="AK356" s="277" t="e">
        <f t="shared" si="349"/>
        <v>#N/A</v>
      </c>
      <c r="AL356" s="239" t="e">
        <f t="shared" si="317"/>
        <v>#N/A</v>
      </c>
      <c r="AM356" s="278" t="e">
        <f t="shared" si="350"/>
        <v>#N/A</v>
      </c>
      <c r="AN356" s="279" t="e">
        <f t="shared" si="318"/>
        <v>#N/A</v>
      </c>
      <c r="AO356" s="240" t="e">
        <f t="shared" si="319"/>
        <v>#N/A</v>
      </c>
      <c r="AP356" s="297">
        <f t="shared" si="351"/>
        <v>7</v>
      </c>
      <c r="AQ356" s="298" t="e">
        <f t="shared" si="320"/>
        <v>#N/A</v>
      </c>
      <c r="AR356" s="279" t="e">
        <f t="shared" si="352"/>
        <v>#N/A</v>
      </c>
      <c r="AS356" s="283" t="e">
        <f t="shared" si="321"/>
        <v>#N/A</v>
      </c>
      <c r="AT356" s="284">
        <f t="shared" si="353"/>
        <v>7</v>
      </c>
      <c r="AU356" s="285" t="e">
        <f t="shared" si="354"/>
        <v>#N/A</v>
      </c>
      <c r="AV356" s="286" t="e">
        <f t="shared" si="355"/>
        <v>#N/A</v>
      </c>
      <c r="AW356" s="287" t="e">
        <f t="shared" si="322"/>
        <v>#N/A</v>
      </c>
      <c r="AX356" s="245">
        <f t="shared" si="356"/>
        <v>7</v>
      </c>
      <c r="AY356" s="286" t="e">
        <f t="shared" si="323"/>
        <v>#N/A</v>
      </c>
      <c r="AZ356" s="245" t="e">
        <f t="shared" si="357"/>
        <v>#N/A</v>
      </c>
      <c r="BA356" s="245" t="e">
        <f t="shared" si="324"/>
        <v>#N/A</v>
      </c>
      <c r="BB356" s="288">
        <f t="shared" si="358"/>
        <v>7</v>
      </c>
      <c r="BC356" s="289" t="e">
        <f t="shared" si="359"/>
        <v>#N/A</v>
      </c>
      <c r="BD356" s="290" t="e">
        <f t="shared" si="360"/>
        <v>#N/A</v>
      </c>
      <c r="BE356" s="263" t="e">
        <f t="shared" si="325"/>
        <v>#N/A</v>
      </c>
      <c r="BF356" s="260">
        <f t="shared" si="361"/>
        <v>7</v>
      </c>
      <c r="BG356" s="289" t="e">
        <f t="shared" si="362"/>
        <v>#N/A</v>
      </c>
      <c r="BH356" s="290" t="e">
        <f t="shared" si="363"/>
        <v>#N/A</v>
      </c>
      <c r="BI356" s="263" t="e">
        <f t="shared" si="326"/>
        <v>#N/A</v>
      </c>
      <c r="BJ356" s="264">
        <f t="shared" si="364"/>
        <v>7</v>
      </c>
      <c r="BK356" s="291" t="e">
        <f t="shared" si="365"/>
        <v>#N/A</v>
      </c>
      <c r="BL356" s="291" t="e">
        <f t="shared" si="366"/>
        <v>#N/A</v>
      </c>
      <c r="BM356" s="292" t="e">
        <f t="shared" si="327"/>
        <v>#N/A</v>
      </c>
      <c r="BN356" s="293">
        <f t="shared" si="367"/>
        <v>7</v>
      </c>
      <c r="BO356" s="294" t="e">
        <f t="shared" si="368"/>
        <v>#N/A</v>
      </c>
      <c r="BP356" s="294" t="e">
        <f t="shared" si="369"/>
        <v>#N/A</v>
      </c>
      <c r="BQ356" s="292" t="e">
        <f t="shared" si="328"/>
        <v>#N/A</v>
      </c>
      <c r="BR356" s="295" t="e">
        <f t="shared" si="329"/>
        <v>#N/A</v>
      </c>
      <c r="BS356" s="230" t="e">
        <f>VLOOKUP($B356,SDR22_STOCK_BY_LA!$A$2:$C$11679,3,0)</f>
        <v>#N/A</v>
      </c>
      <c r="BT356" s="230" t="str">
        <f t="shared" si="370"/>
        <v/>
      </c>
    </row>
    <row r="357" spans="1:72" ht="12.5" x14ac:dyDescent="0.25">
      <c r="A357" s="269" t="str">
        <f t="shared" si="371"/>
        <v/>
      </c>
      <c r="B357" s="230" t="str">
        <f t="shared" si="372"/>
        <v/>
      </c>
      <c r="C357" s="270" t="str">
        <f t="shared" si="330"/>
        <v/>
      </c>
      <c r="D357" s="269" t="str">
        <f>IF(B357="","",IF(totals!$Q$3=0,IFERROR(IF(AD357=2,"0",AE357),""),"-"))</f>
        <v/>
      </c>
      <c r="E357" s="271" t="str">
        <f t="shared" si="331"/>
        <v/>
      </c>
      <c r="F357" s="272" t="str">
        <f t="shared" si="332"/>
        <v/>
      </c>
      <c r="G357" s="272" t="str">
        <f t="shared" si="333"/>
        <v/>
      </c>
      <c r="H357" s="269" t="str">
        <f t="shared" si="311"/>
        <v/>
      </c>
      <c r="I357" s="272" t="str">
        <f t="shared" si="334"/>
        <v/>
      </c>
      <c r="J357" s="272" t="str">
        <f t="shared" si="335"/>
        <v/>
      </c>
      <c r="K357" s="269" t="str">
        <f t="shared" si="312"/>
        <v/>
      </c>
      <c r="L357" s="272" t="str">
        <f t="shared" si="313"/>
        <v/>
      </c>
      <c r="M357" s="272" t="str">
        <f t="shared" si="336"/>
        <v/>
      </c>
      <c r="N357" s="269" t="str">
        <f t="shared" si="337"/>
        <v/>
      </c>
      <c r="O357" s="272" t="str">
        <f t="shared" si="338"/>
        <v/>
      </c>
      <c r="P357" s="272" t="str">
        <f t="shared" si="339"/>
        <v/>
      </c>
      <c r="Q357" s="269" t="str">
        <f t="shared" si="340"/>
        <v/>
      </c>
      <c r="R357" s="272" t="str">
        <f t="shared" si="341"/>
        <v/>
      </c>
      <c r="S357" s="272" t="str">
        <f t="shared" si="342"/>
        <v/>
      </c>
      <c r="T357" s="269" t="str">
        <f t="shared" si="343"/>
        <v/>
      </c>
      <c r="U357" s="230"/>
      <c r="V357" s="230"/>
      <c r="AB357" s="270" t="e">
        <f>VLOOKUP($B$6,Lookup_Source,350,0)</f>
        <v>#N/A</v>
      </c>
      <c r="AC357" s="254" t="str">
        <f t="shared" si="344"/>
        <v/>
      </c>
      <c r="AD357" s="255">
        <f t="shared" si="345"/>
        <v>7</v>
      </c>
      <c r="AE357" s="274" t="e">
        <f t="shared" si="314"/>
        <v>#N/A</v>
      </c>
      <c r="AF357" s="277" t="e">
        <f t="shared" si="346"/>
        <v>#N/A</v>
      </c>
      <c r="AG357" s="277" t="e">
        <f t="shared" si="347"/>
        <v>#N/A</v>
      </c>
      <c r="AH357" s="276" t="e">
        <f t="shared" si="315"/>
        <v>#N/A</v>
      </c>
      <c r="AI357" s="239">
        <f t="shared" si="348"/>
        <v>7</v>
      </c>
      <c r="AJ357" s="277" t="e">
        <f t="shared" si="316"/>
        <v>#N/A</v>
      </c>
      <c r="AK357" s="277" t="e">
        <f t="shared" si="349"/>
        <v>#N/A</v>
      </c>
      <c r="AL357" s="239" t="e">
        <f t="shared" si="317"/>
        <v>#N/A</v>
      </c>
      <c r="AM357" s="278" t="e">
        <f t="shared" si="350"/>
        <v>#N/A</v>
      </c>
      <c r="AN357" s="279" t="e">
        <f t="shared" si="318"/>
        <v>#N/A</v>
      </c>
      <c r="AO357" s="240" t="e">
        <f t="shared" si="319"/>
        <v>#N/A</v>
      </c>
      <c r="AP357" s="297">
        <f t="shared" si="351"/>
        <v>7</v>
      </c>
      <c r="AQ357" s="298" t="e">
        <f t="shared" si="320"/>
        <v>#N/A</v>
      </c>
      <c r="AR357" s="279" t="e">
        <f t="shared" si="352"/>
        <v>#N/A</v>
      </c>
      <c r="AS357" s="283" t="e">
        <f t="shared" si="321"/>
        <v>#N/A</v>
      </c>
      <c r="AT357" s="284">
        <f t="shared" si="353"/>
        <v>7</v>
      </c>
      <c r="AU357" s="285" t="e">
        <f t="shared" si="354"/>
        <v>#N/A</v>
      </c>
      <c r="AV357" s="286" t="e">
        <f t="shared" si="355"/>
        <v>#N/A</v>
      </c>
      <c r="AW357" s="287" t="e">
        <f t="shared" si="322"/>
        <v>#N/A</v>
      </c>
      <c r="AX357" s="245">
        <f t="shared" si="356"/>
        <v>7</v>
      </c>
      <c r="AY357" s="286" t="e">
        <f t="shared" si="323"/>
        <v>#N/A</v>
      </c>
      <c r="AZ357" s="245" t="e">
        <f t="shared" si="357"/>
        <v>#N/A</v>
      </c>
      <c r="BA357" s="245" t="e">
        <f t="shared" si="324"/>
        <v>#N/A</v>
      </c>
      <c r="BB357" s="288">
        <f t="shared" si="358"/>
        <v>7</v>
      </c>
      <c r="BC357" s="289" t="e">
        <f t="shared" si="359"/>
        <v>#N/A</v>
      </c>
      <c r="BD357" s="290" t="e">
        <f t="shared" si="360"/>
        <v>#N/A</v>
      </c>
      <c r="BE357" s="263" t="e">
        <f t="shared" si="325"/>
        <v>#N/A</v>
      </c>
      <c r="BF357" s="260">
        <f t="shared" si="361"/>
        <v>7</v>
      </c>
      <c r="BG357" s="289" t="e">
        <f t="shared" si="362"/>
        <v>#N/A</v>
      </c>
      <c r="BH357" s="290" t="e">
        <f t="shared" si="363"/>
        <v>#N/A</v>
      </c>
      <c r="BI357" s="263" t="e">
        <f t="shared" si="326"/>
        <v>#N/A</v>
      </c>
      <c r="BJ357" s="264">
        <f t="shared" si="364"/>
        <v>7</v>
      </c>
      <c r="BK357" s="291" t="e">
        <f t="shared" si="365"/>
        <v>#N/A</v>
      </c>
      <c r="BL357" s="291" t="e">
        <f t="shared" si="366"/>
        <v>#N/A</v>
      </c>
      <c r="BM357" s="292" t="e">
        <f t="shared" si="327"/>
        <v>#N/A</v>
      </c>
      <c r="BN357" s="293">
        <f t="shared" si="367"/>
        <v>7</v>
      </c>
      <c r="BO357" s="294" t="e">
        <f t="shared" si="368"/>
        <v>#N/A</v>
      </c>
      <c r="BP357" s="294" t="e">
        <f t="shared" si="369"/>
        <v>#N/A</v>
      </c>
      <c r="BQ357" s="292" t="e">
        <f t="shared" si="328"/>
        <v>#N/A</v>
      </c>
      <c r="BR357" s="295" t="e">
        <f t="shared" si="329"/>
        <v>#N/A</v>
      </c>
      <c r="BS357" s="230" t="e">
        <f>VLOOKUP($B357,SDR22_STOCK_BY_LA!$A$2:$C$11679,3,0)</f>
        <v>#N/A</v>
      </c>
      <c r="BT357" s="230" t="str">
        <f t="shared" si="370"/>
        <v/>
      </c>
    </row>
    <row r="358" spans="1:72" ht="12.5" x14ac:dyDescent="0.25">
      <c r="A358" s="230" t="str">
        <f t="shared" si="371"/>
        <v/>
      </c>
      <c r="B358" s="230" t="str">
        <f t="shared" si="372"/>
        <v/>
      </c>
      <c r="C358" s="296" t="str">
        <f t="shared" si="330"/>
        <v/>
      </c>
      <c r="D358" s="269" t="str">
        <f>IF(B358="","",IF(totals!$Q$3=0,IFERROR(IF(AD358=2,"0",AE358),""),"-"))</f>
        <v/>
      </c>
      <c r="E358" s="271" t="str">
        <f t="shared" si="331"/>
        <v/>
      </c>
      <c r="F358" s="272" t="str">
        <f t="shared" si="332"/>
        <v/>
      </c>
      <c r="G358" s="272" t="str">
        <f t="shared" si="333"/>
        <v/>
      </c>
      <c r="H358" s="269" t="str">
        <f t="shared" si="311"/>
        <v/>
      </c>
      <c r="I358" s="272" t="str">
        <f t="shared" si="334"/>
        <v/>
      </c>
      <c r="J358" s="272" t="str">
        <f t="shared" si="335"/>
        <v/>
      </c>
      <c r="K358" s="269" t="str">
        <f t="shared" si="312"/>
        <v/>
      </c>
      <c r="L358" s="272" t="str">
        <f t="shared" si="313"/>
        <v/>
      </c>
      <c r="M358" s="272" t="str">
        <f t="shared" si="336"/>
        <v/>
      </c>
      <c r="N358" s="269" t="str">
        <f t="shared" si="337"/>
        <v/>
      </c>
      <c r="O358" s="272" t="str">
        <f t="shared" si="338"/>
        <v/>
      </c>
      <c r="P358" s="272" t="str">
        <f t="shared" si="339"/>
        <v/>
      </c>
      <c r="Q358" s="269" t="str">
        <f t="shared" si="340"/>
        <v/>
      </c>
      <c r="R358" s="272" t="str">
        <f t="shared" si="341"/>
        <v/>
      </c>
      <c r="S358" s="272" t="str">
        <f t="shared" si="342"/>
        <v/>
      </c>
      <c r="T358" s="269" t="str">
        <f t="shared" si="343"/>
        <v/>
      </c>
      <c r="U358" s="230"/>
      <c r="V358" s="230"/>
      <c r="AB358" s="230" t="e">
        <f>VLOOKUP($B$6,Lookup_Source,351,0)</f>
        <v>#N/A</v>
      </c>
      <c r="AC358" s="254" t="str">
        <f t="shared" si="344"/>
        <v/>
      </c>
      <c r="AD358" s="255">
        <f t="shared" si="345"/>
        <v>7</v>
      </c>
      <c r="AE358" s="274" t="e">
        <f t="shared" si="314"/>
        <v>#N/A</v>
      </c>
      <c r="AF358" s="277" t="e">
        <f t="shared" si="346"/>
        <v>#N/A</v>
      </c>
      <c r="AG358" s="277" t="e">
        <f t="shared" si="347"/>
        <v>#N/A</v>
      </c>
      <c r="AH358" s="276" t="e">
        <f t="shared" si="315"/>
        <v>#N/A</v>
      </c>
      <c r="AI358" s="239">
        <f t="shared" si="348"/>
        <v>7</v>
      </c>
      <c r="AJ358" s="277" t="e">
        <f t="shared" si="316"/>
        <v>#N/A</v>
      </c>
      <c r="AK358" s="277" t="e">
        <f t="shared" si="349"/>
        <v>#N/A</v>
      </c>
      <c r="AL358" s="239" t="e">
        <f t="shared" si="317"/>
        <v>#N/A</v>
      </c>
      <c r="AM358" s="278" t="e">
        <f t="shared" si="350"/>
        <v>#N/A</v>
      </c>
      <c r="AN358" s="279" t="e">
        <f t="shared" si="318"/>
        <v>#N/A</v>
      </c>
      <c r="AO358" s="240" t="e">
        <f t="shared" si="319"/>
        <v>#N/A</v>
      </c>
      <c r="AP358" s="297">
        <f t="shared" si="351"/>
        <v>7</v>
      </c>
      <c r="AQ358" s="298" t="e">
        <f t="shared" si="320"/>
        <v>#N/A</v>
      </c>
      <c r="AR358" s="279" t="e">
        <f t="shared" si="352"/>
        <v>#N/A</v>
      </c>
      <c r="AS358" s="283" t="e">
        <f t="shared" si="321"/>
        <v>#N/A</v>
      </c>
      <c r="AT358" s="284">
        <f t="shared" si="353"/>
        <v>7</v>
      </c>
      <c r="AU358" s="285" t="e">
        <f t="shared" si="354"/>
        <v>#N/A</v>
      </c>
      <c r="AV358" s="286" t="e">
        <f t="shared" si="355"/>
        <v>#N/A</v>
      </c>
      <c r="AW358" s="287" t="e">
        <f t="shared" si="322"/>
        <v>#N/A</v>
      </c>
      <c r="AX358" s="245">
        <f t="shared" si="356"/>
        <v>7</v>
      </c>
      <c r="AY358" s="286" t="e">
        <f t="shared" si="323"/>
        <v>#N/A</v>
      </c>
      <c r="AZ358" s="245" t="e">
        <f t="shared" si="357"/>
        <v>#N/A</v>
      </c>
      <c r="BA358" s="245" t="e">
        <f t="shared" si="324"/>
        <v>#N/A</v>
      </c>
      <c r="BB358" s="288">
        <f t="shared" si="358"/>
        <v>7</v>
      </c>
      <c r="BC358" s="289" t="e">
        <f t="shared" si="359"/>
        <v>#N/A</v>
      </c>
      <c r="BD358" s="290" t="e">
        <f t="shared" si="360"/>
        <v>#N/A</v>
      </c>
      <c r="BE358" s="263" t="e">
        <f t="shared" si="325"/>
        <v>#N/A</v>
      </c>
      <c r="BF358" s="260">
        <f t="shared" si="361"/>
        <v>7</v>
      </c>
      <c r="BG358" s="289" t="e">
        <f t="shared" si="362"/>
        <v>#N/A</v>
      </c>
      <c r="BH358" s="290" t="e">
        <f t="shared" si="363"/>
        <v>#N/A</v>
      </c>
      <c r="BI358" s="263" t="e">
        <f t="shared" si="326"/>
        <v>#N/A</v>
      </c>
      <c r="BJ358" s="264">
        <f t="shared" si="364"/>
        <v>7</v>
      </c>
      <c r="BK358" s="291" t="e">
        <f t="shared" si="365"/>
        <v>#N/A</v>
      </c>
      <c r="BL358" s="291" t="e">
        <f t="shared" si="366"/>
        <v>#N/A</v>
      </c>
      <c r="BM358" s="292" t="e">
        <f t="shared" si="327"/>
        <v>#N/A</v>
      </c>
      <c r="BN358" s="293">
        <f t="shared" si="367"/>
        <v>7</v>
      </c>
      <c r="BO358" s="294" t="e">
        <f t="shared" si="368"/>
        <v>#N/A</v>
      </c>
      <c r="BP358" s="294" t="e">
        <f t="shared" si="369"/>
        <v>#N/A</v>
      </c>
      <c r="BQ358" s="292" t="e">
        <f t="shared" si="328"/>
        <v>#N/A</v>
      </c>
      <c r="BR358" s="295" t="e">
        <f t="shared" si="329"/>
        <v>#N/A</v>
      </c>
      <c r="BS358" s="230" t="e">
        <f>VLOOKUP($B358,SDR22_STOCK_BY_LA!$A$2:$C$11679,3,0)</f>
        <v>#N/A</v>
      </c>
      <c r="BT358" s="230" t="str">
        <f t="shared" si="370"/>
        <v/>
      </c>
    </row>
    <row r="359" spans="1:72" ht="12.5" x14ac:dyDescent="0.25">
      <c r="A359" s="269" t="str">
        <f t="shared" si="371"/>
        <v/>
      </c>
      <c r="B359" s="230" t="str">
        <f t="shared" si="372"/>
        <v/>
      </c>
      <c r="C359" s="270" t="str">
        <f t="shared" si="330"/>
        <v/>
      </c>
      <c r="D359" s="269" t="str">
        <f>IF(B359="","",IF(totals!$Q$3=0,IFERROR(IF(AD359=2,"0",AE359),""),"-"))</f>
        <v/>
      </c>
      <c r="E359" s="271" t="str">
        <f t="shared" si="331"/>
        <v/>
      </c>
      <c r="F359" s="272" t="str">
        <f t="shared" si="332"/>
        <v/>
      </c>
      <c r="G359" s="272" t="str">
        <f t="shared" si="333"/>
        <v/>
      </c>
      <c r="H359" s="269" t="str">
        <f t="shared" si="311"/>
        <v/>
      </c>
      <c r="I359" s="272" t="str">
        <f t="shared" si="334"/>
        <v/>
      </c>
      <c r="J359" s="272" t="str">
        <f t="shared" si="335"/>
        <v/>
      </c>
      <c r="K359" s="269" t="str">
        <f t="shared" si="312"/>
        <v/>
      </c>
      <c r="L359" s="272" t="str">
        <f t="shared" si="313"/>
        <v/>
      </c>
      <c r="M359" s="272" t="str">
        <f t="shared" si="336"/>
        <v/>
      </c>
      <c r="N359" s="269" t="str">
        <f t="shared" si="337"/>
        <v/>
      </c>
      <c r="O359" s="272" t="str">
        <f t="shared" si="338"/>
        <v/>
      </c>
      <c r="P359" s="272" t="str">
        <f t="shared" si="339"/>
        <v/>
      </c>
      <c r="Q359" s="269" t="str">
        <f t="shared" si="340"/>
        <v/>
      </c>
      <c r="R359" s="272" t="str">
        <f t="shared" si="341"/>
        <v/>
      </c>
      <c r="S359" s="272" t="str">
        <f t="shared" si="342"/>
        <v/>
      </c>
      <c r="T359" s="269" t="str">
        <f t="shared" si="343"/>
        <v/>
      </c>
      <c r="U359" s="230"/>
      <c r="V359" s="230"/>
      <c r="AB359" s="270" t="e">
        <f>VLOOKUP($B$6,Lookup_Source,352,0)</f>
        <v>#N/A</v>
      </c>
      <c r="AC359" s="254" t="str">
        <f t="shared" si="344"/>
        <v/>
      </c>
      <c r="AD359" s="255">
        <f t="shared" si="345"/>
        <v>7</v>
      </c>
      <c r="AE359" s="274" t="e">
        <f t="shared" si="314"/>
        <v>#N/A</v>
      </c>
      <c r="AF359" s="277" t="e">
        <f t="shared" si="346"/>
        <v>#N/A</v>
      </c>
      <c r="AG359" s="277" t="e">
        <f t="shared" si="347"/>
        <v>#N/A</v>
      </c>
      <c r="AH359" s="276" t="e">
        <f t="shared" si="315"/>
        <v>#N/A</v>
      </c>
      <c r="AI359" s="239">
        <f t="shared" si="348"/>
        <v>7</v>
      </c>
      <c r="AJ359" s="277" t="e">
        <f t="shared" si="316"/>
        <v>#N/A</v>
      </c>
      <c r="AK359" s="277" t="e">
        <f t="shared" si="349"/>
        <v>#N/A</v>
      </c>
      <c r="AL359" s="239" t="e">
        <f t="shared" si="317"/>
        <v>#N/A</v>
      </c>
      <c r="AM359" s="278" t="e">
        <f t="shared" si="350"/>
        <v>#N/A</v>
      </c>
      <c r="AN359" s="279" t="e">
        <f t="shared" si="318"/>
        <v>#N/A</v>
      </c>
      <c r="AO359" s="240" t="e">
        <f t="shared" si="319"/>
        <v>#N/A</v>
      </c>
      <c r="AP359" s="297">
        <f t="shared" si="351"/>
        <v>7</v>
      </c>
      <c r="AQ359" s="298" t="e">
        <f t="shared" si="320"/>
        <v>#N/A</v>
      </c>
      <c r="AR359" s="279" t="e">
        <f t="shared" si="352"/>
        <v>#N/A</v>
      </c>
      <c r="AS359" s="283" t="e">
        <f t="shared" si="321"/>
        <v>#N/A</v>
      </c>
      <c r="AT359" s="284">
        <f t="shared" si="353"/>
        <v>7</v>
      </c>
      <c r="AU359" s="285" t="e">
        <f t="shared" si="354"/>
        <v>#N/A</v>
      </c>
      <c r="AV359" s="286" t="e">
        <f t="shared" si="355"/>
        <v>#N/A</v>
      </c>
      <c r="AW359" s="287" t="e">
        <f t="shared" si="322"/>
        <v>#N/A</v>
      </c>
      <c r="AX359" s="245">
        <f t="shared" si="356"/>
        <v>7</v>
      </c>
      <c r="AY359" s="286" t="e">
        <f t="shared" si="323"/>
        <v>#N/A</v>
      </c>
      <c r="AZ359" s="245" t="e">
        <f t="shared" si="357"/>
        <v>#N/A</v>
      </c>
      <c r="BA359" s="245" t="e">
        <f t="shared" si="324"/>
        <v>#N/A</v>
      </c>
      <c r="BB359" s="288">
        <f t="shared" si="358"/>
        <v>7</v>
      </c>
      <c r="BC359" s="289" t="e">
        <f t="shared" si="359"/>
        <v>#N/A</v>
      </c>
      <c r="BD359" s="290" t="e">
        <f t="shared" si="360"/>
        <v>#N/A</v>
      </c>
      <c r="BE359" s="263" t="e">
        <f t="shared" si="325"/>
        <v>#N/A</v>
      </c>
      <c r="BF359" s="260">
        <f t="shared" si="361"/>
        <v>7</v>
      </c>
      <c r="BG359" s="289" t="e">
        <f t="shared" si="362"/>
        <v>#N/A</v>
      </c>
      <c r="BH359" s="290" t="e">
        <f t="shared" si="363"/>
        <v>#N/A</v>
      </c>
      <c r="BI359" s="263" t="e">
        <f t="shared" si="326"/>
        <v>#N/A</v>
      </c>
      <c r="BJ359" s="264">
        <f t="shared" si="364"/>
        <v>7</v>
      </c>
      <c r="BK359" s="291" t="e">
        <f t="shared" si="365"/>
        <v>#N/A</v>
      </c>
      <c r="BL359" s="291" t="e">
        <f t="shared" si="366"/>
        <v>#N/A</v>
      </c>
      <c r="BM359" s="292" t="e">
        <f t="shared" si="327"/>
        <v>#N/A</v>
      </c>
      <c r="BN359" s="293">
        <f t="shared" si="367"/>
        <v>7</v>
      </c>
      <c r="BO359" s="294" t="e">
        <f t="shared" si="368"/>
        <v>#N/A</v>
      </c>
      <c r="BP359" s="294" t="e">
        <f t="shared" si="369"/>
        <v>#N/A</v>
      </c>
      <c r="BQ359" s="292" t="e">
        <f t="shared" si="328"/>
        <v>#N/A</v>
      </c>
      <c r="BR359" s="295" t="e">
        <f t="shared" si="329"/>
        <v>#N/A</v>
      </c>
      <c r="BS359" s="230" t="e">
        <f>VLOOKUP($B359,SDR22_STOCK_BY_LA!$A$2:$C$11679,3,0)</f>
        <v>#N/A</v>
      </c>
      <c r="BT359" s="230" t="str">
        <f t="shared" si="370"/>
        <v/>
      </c>
    </row>
    <row r="360" spans="1:72" ht="12.5" x14ac:dyDescent="0.25">
      <c r="A360" s="230" t="str">
        <f t="shared" si="371"/>
        <v/>
      </c>
      <c r="B360" s="230" t="str">
        <f t="shared" si="372"/>
        <v/>
      </c>
      <c r="C360" s="296" t="str">
        <f t="shared" si="330"/>
        <v/>
      </c>
      <c r="D360" s="269" t="str">
        <f>IF(B360="","",IF(totals!$Q$3=0,IFERROR(IF(AD360=2,"0",AE360),""),"-"))</f>
        <v/>
      </c>
      <c r="E360" s="271" t="str">
        <f t="shared" si="331"/>
        <v/>
      </c>
      <c r="F360" s="272" t="str">
        <f t="shared" si="332"/>
        <v/>
      </c>
      <c r="G360" s="272" t="str">
        <f t="shared" si="333"/>
        <v/>
      </c>
      <c r="H360" s="269" t="str">
        <f t="shared" si="311"/>
        <v/>
      </c>
      <c r="I360" s="272" t="str">
        <f t="shared" si="334"/>
        <v/>
      </c>
      <c r="J360" s="272" t="str">
        <f t="shared" si="335"/>
        <v/>
      </c>
      <c r="K360" s="269" t="str">
        <f t="shared" si="312"/>
        <v/>
      </c>
      <c r="L360" s="272" t="str">
        <f t="shared" si="313"/>
        <v/>
      </c>
      <c r="M360" s="272" t="str">
        <f t="shared" si="336"/>
        <v/>
      </c>
      <c r="N360" s="269" t="str">
        <f t="shared" si="337"/>
        <v/>
      </c>
      <c r="O360" s="272" t="str">
        <f t="shared" si="338"/>
        <v/>
      </c>
      <c r="P360" s="272" t="str">
        <f t="shared" si="339"/>
        <v/>
      </c>
      <c r="Q360" s="269" t="str">
        <f t="shared" si="340"/>
        <v/>
      </c>
      <c r="R360" s="272" t="str">
        <f t="shared" si="341"/>
        <v/>
      </c>
      <c r="S360" s="272" t="str">
        <f t="shared" si="342"/>
        <v/>
      </c>
      <c r="T360" s="269" t="str">
        <f t="shared" si="343"/>
        <v/>
      </c>
      <c r="U360" s="230"/>
      <c r="V360" s="230"/>
      <c r="AB360" s="230" t="e">
        <f>VLOOKUP($B$6,Lookup_Source,353,0)</f>
        <v>#N/A</v>
      </c>
      <c r="AC360" s="254" t="str">
        <f t="shared" si="344"/>
        <v/>
      </c>
      <c r="AD360" s="255">
        <f t="shared" si="345"/>
        <v>7</v>
      </c>
      <c r="AE360" s="274" t="e">
        <f t="shared" si="314"/>
        <v>#N/A</v>
      </c>
      <c r="AF360" s="277" t="e">
        <f t="shared" si="346"/>
        <v>#N/A</v>
      </c>
      <c r="AG360" s="277" t="e">
        <f t="shared" si="347"/>
        <v>#N/A</v>
      </c>
      <c r="AH360" s="276" t="e">
        <f t="shared" si="315"/>
        <v>#N/A</v>
      </c>
      <c r="AI360" s="239">
        <f t="shared" si="348"/>
        <v>7</v>
      </c>
      <c r="AJ360" s="277" t="e">
        <f t="shared" si="316"/>
        <v>#N/A</v>
      </c>
      <c r="AK360" s="277" t="e">
        <f t="shared" si="349"/>
        <v>#N/A</v>
      </c>
      <c r="AL360" s="239" t="e">
        <f t="shared" si="317"/>
        <v>#N/A</v>
      </c>
      <c r="AM360" s="278" t="e">
        <f t="shared" si="350"/>
        <v>#N/A</v>
      </c>
      <c r="AN360" s="279" t="e">
        <f t="shared" si="318"/>
        <v>#N/A</v>
      </c>
      <c r="AO360" s="240" t="e">
        <f t="shared" si="319"/>
        <v>#N/A</v>
      </c>
      <c r="AP360" s="297">
        <f t="shared" si="351"/>
        <v>7</v>
      </c>
      <c r="AQ360" s="298" t="e">
        <f t="shared" si="320"/>
        <v>#N/A</v>
      </c>
      <c r="AR360" s="279" t="e">
        <f t="shared" si="352"/>
        <v>#N/A</v>
      </c>
      <c r="AS360" s="283" t="e">
        <f t="shared" si="321"/>
        <v>#N/A</v>
      </c>
      <c r="AT360" s="284">
        <f t="shared" si="353"/>
        <v>7</v>
      </c>
      <c r="AU360" s="285" t="e">
        <f t="shared" si="354"/>
        <v>#N/A</v>
      </c>
      <c r="AV360" s="286" t="e">
        <f t="shared" si="355"/>
        <v>#N/A</v>
      </c>
      <c r="AW360" s="287" t="e">
        <f t="shared" si="322"/>
        <v>#N/A</v>
      </c>
      <c r="AX360" s="245">
        <f t="shared" si="356"/>
        <v>7</v>
      </c>
      <c r="AY360" s="286" t="e">
        <f t="shared" si="323"/>
        <v>#N/A</v>
      </c>
      <c r="AZ360" s="245" t="e">
        <f t="shared" si="357"/>
        <v>#N/A</v>
      </c>
      <c r="BA360" s="245" t="e">
        <f t="shared" si="324"/>
        <v>#N/A</v>
      </c>
      <c r="BB360" s="288">
        <f t="shared" si="358"/>
        <v>7</v>
      </c>
      <c r="BC360" s="289" t="e">
        <f t="shared" si="359"/>
        <v>#N/A</v>
      </c>
      <c r="BD360" s="290" t="e">
        <f t="shared" si="360"/>
        <v>#N/A</v>
      </c>
      <c r="BE360" s="263" t="e">
        <f t="shared" si="325"/>
        <v>#N/A</v>
      </c>
      <c r="BF360" s="260">
        <f t="shared" si="361"/>
        <v>7</v>
      </c>
      <c r="BG360" s="289" t="e">
        <f t="shared" si="362"/>
        <v>#N/A</v>
      </c>
      <c r="BH360" s="290" t="e">
        <f t="shared" si="363"/>
        <v>#N/A</v>
      </c>
      <c r="BI360" s="263" t="e">
        <f t="shared" si="326"/>
        <v>#N/A</v>
      </c>
      <c r="BJ360" s="264">
        <f t="shared" si="364"/>
        <v>7</v>
      </c>
      <c r="BK360" s="291" t="e">
        <f t="shared" si="365"/>
        <v>#N/A</v>
      </c>
      <c r="BL360" s="291" t="e">
        <f t="shared" si="366"/>
        <v>#N/A</v>
      </c>
      <c r="BM360" s="292" t="e">
        <f t="shared" si="327"/>
        <v>#N/A</v>
      </c>
      <c r="BN360" s="293">
        <f t="shared" si="367"/>
        <v>7</v>
      </c>
      <c r="BO360" s="294" t="e">
        <f t="shared" si="368"/>
        <v>#N/A</v>
      </c>
      <c r="BP360" s="294" t="e">
        <f t="shared" si="369"/>
        <v>#N/A</v>
      </c>
      <c r="BQ360" s="292" t="e">
        <f t="shared" si="328"/>
        <v>#N/A</v>
      </c>
      <c r="BR360" s="295" t="e">
        <f t="shared" si="329"/>
        <v>#N/A</v>
      </c>
      <c r="BS360" s="230" t="e">
        <f>VLOOKUP($B360,SDR22_STOCK_BY_LA!$A$2:$C$11679,3,0)</f>
        <v>#N/A</v>
      </c>
      <c r="BT360" s="230" t="str">
        <f t="shared" si="370"/>
        <v/>
      </c>
    </row>
    <row r="361" spans="1:72" ht="12.5" x14ac:dyDescent="0.25">
      <c r="A361" s="269" t="str">
        <f t="shared" si="371"/>
        <v/>
      </c>
      <c r="B361" s="230" t="str">
        <f t="shared" si="372"/>
        <v/>
      </c>
      <c r="C361" s="270" t="str">
        <f t="shared" si="330"/>
        <v/>
      </c>
      <c r="D361" s="269" t="str">
        <f>IF(B361="","",IF(totals!$Q$3=0,IFERROR(IF(AD361=2,"0",AE361),""),"-"))</f>
        <v/>
      </c>
      <c r="E361" s="271" t="str">
        <f t="shared" si="331"/>
        <v/>
      </c>
      <c r="F361" s="272" t="str">
        <f t="shared" si="332"/>
        <v/>
      </c>
      <c r="G361" s="272" t="str">
        <f t="shared" si="333"/>
        <v/>
      </c>
      <c r="H361" s="269" t="str">
        <f t="shared" si="311"/>
        <v/>
      </c>
      <c r="I361" s="272" t="str">
        <f t="shared" si="334"/>
        <v/>
      </c>
      <c r="J361" s="272" t="str">
        <f t="shared" si="335"/>
        <v/>
      </c>
      <c r="K361" s="269" t="str">
        <f t="shared" si="312"/>
        <v/>
      </c>
      <c r="L361" s="272" t="str">
        <f t="shared" si="313"/>
        <v/>
      </c>
      <c r="M361" s="272" t="str">
        <f t="shared" si="336"/>
        <v/>
      </c>
      <c r="N361" s="269" t="str">
        <f t="shared" si="337"/>
        <v/>
      </c>
      <c r="O361" s="272" t="str">
        <f t="shared" si="338"/>
        <v/>
      </c>
      <c r="P361" s="272" t="str">
        <f t="shared" si="339"/>
        <v/>
      </c>
      <c r="Q361" s="269" t="str">
        <f t="shared" si="340"/>
        <v/>
      </c>
      <c r="R361" s="272" t="str">
        <f t="shared" si="341"/>
        <v/>
      </c>
      <c r="S361" s="272" t="str">
        <f t="shared" si="342"/>
        <v/>
      </c>
      <c r="T361" s="269" t="str">
        <f t="shared" si="343"/>
        <v/>
      </c>
      <c r="U361" s="230"/>
      <c r="V361" s="230"/>
      <c r="AB361" s="270" t="e">
        <f>VLOOKUP($B$6,Lookup_Source,354,0)</f>
        <v>#N/A</v>
      </c>
      <c r="AC361" s="254" t="str">
        <f t="shared" si="344"/>
        <v/>
      </c>
      <c r="AD361" s="255">
        <f t="shared" si="345"/>
        <v>7</v>
      </c>
      <c r="AE361" s="274" t="e">
        <f t="shared" si="314"/>
        <v>#N/A</v>
      </c>
      <c r="AF361" s="277" t="e">
        <f t="shared" si="346"/>
        <v>#N/A</v>
      </c>
      <c r="AG361" s="277" t="e">
        <f t="shared" si="347"/>
        <v>#N/A</v>
      </c>
      <c r="AH361" s="276" t="e">
        <f t="shared" si="315"/>
        <v>#N/A</v>
      </c>
      <c r="AI361" s="239">
        <f t="shared" si="348"/>
        <v>7</v>
      </c>
      <c r="AJ361" s="277" t="e">
        <f t="shared" si="316"/>
        <v>#N/A</v>
      </c>
      <c r="AK361" s="277" t="e">
        <f t="shared" si="349"/>
        <v>#N/A</v>
      </c>
      <c r="AL361" s="239" t="e">
        <f t="shared" si="317"/>
        <v>#N/A</v>
      </c>
      <c r="AM361" s="278" t="e">
        <f t="shared" si="350"/>
        <v>#N/A</v>
      </c>
      <c r="AN361" s="279" t="e">
        <f t="shared" si="318"/>
        <v>#N/A</v>
      </c>
      <c r="AO361" s="240" t="e">
        <f t="shared" si="319"/>
        <v>#N/A</v>
      </c>
      <c r="AP361" s="297">
        <f t="shared" si="351"/>
        <v>7</v>
      </c>
      <c r="AQ361" s="298" t="e">
        <f t="shared" si="320"/>
        <v>#N/A</v>
      </c>
      <c r="AR361" s="279" t="e">
        <f t="shared" si="352"/>
        <v>#N/A</v>
      </c>
      <c r="AS361" s="283" t="e">
        <f t="shared" si="321"/>
        <v>#N/A</v>
      </c>
      <c r="AT361" s="284">
        <f t="shared" si="353"/>
        <v>7</v>
      </c>
      <c r="AU361" s="285" t="e">
        <f t="shared" si="354"/>
        <v>#N/A</v>
      </c>
      <c r="AV361" s="286" t="e">
        <f t="shared" si="355"/>
        <v>#N/A</v>
      </c>
      <c r="AW361" s="287" t="e">
        <f t="shared" si="322"/>
        <v>#N/A</v>
      </c>
      <c r="AX361" s="245">
        <f t="shared" si="356"/>
        <v>7</v>
      </c>
      <c r="AY361" s="286" t="e">
        <f t="shared" si="323"/>
        <v>#N/A</v>
      </c>
      <c r="AZ361" s="245" t="e">
        <f t="shared" si="357"/>
        <v>#N/A</v>
      </c>
      <c r="BA361" s="245" t="e">
        <f t="shared" si="324"/>
        <v>#N/A</v>
      </c>
      <c r="BB361" s="288">
        <f t="shared" si="358"/>
        <v>7</v>
      </c>
      <c r="BC361" s="289" t="e">
        <f t="shared" si="359"/>
        <v>#N/A</v>
      </c>
      <c r="BD361" s="290" t="e">
        <f t="shared" si="360"/>
        <v>#N/A</v>
      </c>
      <c r="BE361" s="263" t="e">
        <f t="shared" si="325"/>
        <v>#N/A</v>
      </c>
      <c r="BF361" s="260">
        <f t="shared" si="361"/>
        <v>7</v>
      </c>
      <c r="BG361" s="289" t="e">
        <f t="shared" si="362"/>
        <v>#N/A</v>
      </c>
      <c r="BH361" s="290" t="e">
        <f t="shared" si="363"/>
        <v>#N/A</v>
      </c>
      <c r="BI361" s="263" t="e">
        <f t="shared" si="326"/>
        <v>#N/A</v>
      </c>
      <c r="BJ361" s="264">
        <f t="shared" si="364"/>
        <v>7</v>
      </c>
      <c r="BK361" s="291" t="e">
        <f t="shared" si="365"/>
        <v>#N/A</v>
      </c>
      <c r="BL361" s="291" t="e">
        <f t="shared" si="366"/>
        <v>#N/A</v>
      </c>
      <c r="BM361" s="292" t="e">
        <f t="shared" si="327"/>
        <v>#N/A</v>
      </c>
      <c r="BN361" s="293">
        <f t="shared" si="367"/>
        <v>7</v>
      </c>
      <c r="BO361" s="294" t="e">
        <f t="shared" si="368"/>
        <v>#N/A</v>
      </c>
      <c r="BP361" s="294" t="e">
        <f t="shared" si="369"/>
        <v>#N/A</v>
      </c>
      <c r="BQ361" s="292" t="e">
        <f t="shared" si="328"/>
        <v>#N/A</v>
      </c>
      <c r="BR361" s="295" t="e">
        <f t="shared" si="329"/>
        <v>#N/A</v>
      </c>
      <c r="BS361" s="230" t="e">
        <f>VLOOKUP($B361,SDR22_STOCK_BY_LA!$A$2:$C$11679,3,0)</f>
        <v>#N/A</v>
      </c>
      <c r="BT361" s="230" t="str">
        <f t="shared" si="370"/>
        <v/>
      </c>
    </row>
    <row r="362" spans="1:72" ht="12.5" x14ac:dyDescent="0.25">
      <c r="A362" s="230" t="str">
        <f t="shared" si="371"/>
        <v/>
      </c>
      <c r="B362" s="230" t="str">
        <f t="shared" si="372"/>
        <v/>
      </c>
      <c r="C362" s="296" t="str">
        <f t="shared" si="330"/>
        <v/>
      </c>
      <c r="D362" s="269" t="str">
        <f>IF(B362="","",IF(totals!$Q$3=0,IFERROR(IF(AD362=2,"0",AE362),""),"-"))</f>
        <v/>
      </c>
      <c r="E362" s="271" t="str">
        <f t="shared" si="331"/>
        <v/>
      </c>
      <c r="F362" s="272" t="str">
        <f t="shared" si="332"/>
        <v/>
      </c>
      <c r="G362" s="272" t="str">
        <f t="shared" si="333"/>
        <v/>
      </c>
      <c r="H362" s="269" t="str">
        <f t="shared" si="311"/>
        <v/>
      </c>
      <c r="I362" s="272" t="str">
        <f t="shared" si="334"/>
        <v/>
      </c>
      <c r="J362" s="272" t="str">
        <f t="shared" si="335"/>
        <v/>
      </c>
      <c r="K362" s="269" t="str">
        <f t="shared" si="312"/>
        <v/>
      </c>
      <c r="L362" s="272" t="str">
        <f t="shared" si="313"/>
        <v/>
      </c>
      <c r="M362" s="272" t="str">
        <f t="shared" si="336"/>
        <v/>
      </c>
      <c r="N362" s="269" t="str">
        <f t="shared" si="337"/>
        <v/>
      </c>
      <c r="O362" s="272" t="str">
        <f t="shared" si="338"/>
        <v/>
      </c>
      <c r="P362" s="272" t="str">
        <f t="shared" si="339"/>
        <v/>
      </c>
      <c r="Q362" s="269" t="str">
        <f t="shared" si="340"/>
        <v/>
      </c>
      <c r="R362" s="272" t="str">
        <f t="shared" si="341"/>
        <v/>
      </c>
      <c r="S362" s="272" t="str">
        <f t="shared" si="342"/>
        <v/>
      </c>
      <c r="T362" s="269" t="str">
        <f t="shared" si="343"/>
        <v/>
      </c>
      <c r="U362" s="230"/>
      <c r="V362" s="230"/>
      <c r="AB362" s="230" t="e">
        <f>VLOOKUP($B$6,Lookup_Source,355,0)</f>
        <v>#N/A</v>
      </c>
      <c r="AC362" s="254" t="str">
        <f t="shared" si="344"/>
        <v/>
      </c>
      <c r="AD362" s="255">
        <f t="shared" si="345"/>
        <v>7</v>
      </c>
      <c r="AE362" s="274" t="e">
        <f t="shared" si="314"/>
        <v>#N/A</v>
      </c>
      <c r="AF362" s="277" t="e">
        <f t="shared" si="346"/>
        <v>#N/A</v>
      </c>
      <c r="AG362" s="277" t="e">
        <f t="shared" si="347"/>
        <v>#N/A</v>
      </c>
      <c r="AH362" s="276" t="e">
        <f t="shared" si="315"/>
        <v>#N/A</v>
      </c>
      <c r="AI362" s="239">
        <f t="shared" si="348"/>
        <v>7</v>
      </c>
      <c r="AJ362" s="277" t="e">
        <f t="shared" si="316"/>
        <v>#N/A</v>
      </c>
      <c r="AK362" s="277" t="e">
        <f t="shared" si="349"/>
        <v>#N/A</v>
      </c>
      <c r="AL362" s="239" t="e">
        <f t="shared" si="317"/>
        <v>#N/A</v>
      </c>
      <c r="AM362" s="278" t="e">
        <f t="shared" si="350"/>
        <v>#N/A</v>
      </c>
      <c r="AN362" s="279" t="e">
        <f t="shared" si="318"/>
        <v>#N/A</v>
      </c>
      <c r="AO362" s="240" t="e">
        <f t="shared" si="319"/>
        <v>#N/A</v>
      </c>
      <c r="AP362" s="297">
        <f t="shared" si="351"/>
        <v>7</v>
      </c>
      <c r="AQ362" s="298" t="e">
        <f t="shared" si="320"/>
        <v>#N/A</v>
      </c>
      <c r="AR362" s="279" t="e">
        <f t="shared" si="352"/>
        <v>#N/A</v>
      </c>
      <c r="AS362" s="283" t="e">
        <f t="shared" si="321"/>
        <v>#N/A</v>
      </c>
      <c r="AT362" s="284">
        <f t="shared" si="353"/>
        <v>7</v>
      </c>
      <c r="AU362" s="285" t="e">
        <f t="shared" si="354"/>
        <v>#N/A</v>
      </c>
      <c r="AV362" s="286" t="e">
        <f t="shared" si="355"/>
        <v>#N/A</v>
      </c>
      <c r="AW362" s="287" t="e">
        <f t="shared" si="322"/>
        <v>#N/A</v>
      </c>
      <c r="AX362" s="245">
        <f t="shared" si="356"/>
        <v>7</v>
      </c>
      <c r="AY362" s="286" t="e">
        <f t="shared" si="323"/>
        <v>#N/A</v>
      </c>
      <c r="AZ362" s="245" t="e">
        <f t="shared" si="357"/>
        <v>#N/A</v>
      </c>
      <c r="BA362" s="245" t="e">
        <f t="shared" si="324"/>
        <v>#N/A</v>
      </c>
      <c r="BB362" s="288">
        <f t="shared" si="358"/>
        <v>7</v>
      </c>
      <c r="BC362" s="289" t="e">
        <f t="shared" si="359"/>
        <v>#N/A</v>
      </c>
      <c r="BD362" s="290" t="e">
        <f t="shared" si="360"/>
        <v>#N/A</v>
      </c>
      <c r="BE362" s="263" t="e">
        <f t="shared" si="325"/>
        <v>#N/A</v>
      </c>
      <c r="BF362" s="260">
        <f t="shared" si="361"/>
        <v>7</v>
      </c>
      <c r="BG362" s="289" t="e">
        <f t="shared" si="362"/>
        <v>#N/A</v>
      </c>
      <c r="BH362" s="290" t="e">
        <f t="shared" si="363"/>
        <v>#N/A</v>
      </c>
      <c r="BI362" s="263" t="e">
        <f t="shared" si="326"/>
        <v>#N/A</v>
      </c>
      <c r="BJ362" s="264">
        <f t="shared" si="364"/>
        <v>7</v>
      </c>
      <c r="BK362" s="291" t="e">
        <f t="shared" si="365"/>
        <v>#N/A</v>
      </c>
      <c r="BL362" s="291" t="e">
        <f t="shared" si="366"/>
        <v>#N/A</v>
      </c>
      <c r="BM362" s="292" t="e">
        <f t="shared" si="327"/>
        <v>#N/A</v>
      </c>
      <c r="BN362" s="293">
        <f t="shared" si="367"/>
        <v>7</v>
      </c>
      <c r="BO362" s="294" t="e">
        <f t="shared" si="368"/>
        <v>#N/A</v>
      </c>
      <c r="BP362" s="294" t="e">
        <f t="shared" si="369"/>
        <v>#N/A</v>
      </c>
      <c r="BQ362" s="292" t="e">
        <f t="shared" si="328"/>
        <v>#N/A</v>
      </c>
      <c r="BR362" s="295" t="e">
        <f t="shared" si="329"/>
        <v>#N/A</v>
      </c>
      <c r="BS362" s="230" t="e">
        <f>VLOOKUP($B362,SDR22_STOCK_BY_LA!$A$2:$C$11679,3,0)</f>
        <v>#N/A</v>
      </c>
      <c r="BT362" s="230" t="str">
        <f t="shared" si="370"/>
        <v/>
      </c>
    </row>
    <row r="363" spans="1:72" ht="12.5" x14ac:dyDescent="0.25">
      <c r="A363" s="269" t="str">
        <f t="shared" si="371"/>
        <v/>
      </c>
      <c r="B363" s="230" t="str">
        <f t="shared" si="372"/>
        <v/>
      </c>
      <c r="C363" s="270" t="str">
        <f t="shared" si="330"/>
        <v/>
      </c>
      <c r="D363" s="269" t="str">
        <f>IF(B363="","",IF(totals!$Q$3=0,IFERROR(IF(AD363=2,"0",AE363),""),"-"))</f>
        <v/>
      </c>
      <c r="E363" s="271" t="str">
        <f t="shared" si="331"/>
        <v/>
      </c>
      <c r="F363" s="272" t="str">
        <f t="shared" si="332"/>
        <v/>
      </c>
      <c r="G363" s="272" t="str">
        <f t="shared" si="333"/>
        <v/>
      </c>
      <c r="H363" s="269" t="str">
        <f t="shared" si="311"/>
        <v/>
      </c>
      <c r="I363" s="272" t="str">
        <f t="shared" si="334"/>
        <v/>
      </c>
      <c r="J363" s="272" t="str">
        <f t="shared" si="335"/>
        <v/>
      </c>
      <c r="K363" s="269" t="str">
        <f t="shared" si="312"/>
        <v/>
      </c>
      <c r="L363" s="272" t="str">
        <f t="shared" si="313"/>
        <v/>
      </c>
      <c r="M363" s="272" t="str">
        <f t="shared" si="336"/>
        <v/>
      </c>
      <c r="N363" s="269" t="str">
        <f t="shared" si="337"/>
        <v/>
      </c>
      <c r="O363" s="272" t="str">
        <f t="shared" si="338"/>
        <v/>
      </c>
      <c r="P363" s="272" t="str">
        <f t="shared" si="339"/>
        <v/>
      </c>
      <c r="Q363" s="269" t="str">
        <f t="shared" si="340"/>
        <v/>
      </c>
      <c r="R363" s="272" t="str">
        <f t="shared" si="341"/>
        <v/>
      </c>
      <c r="S363" s="272" t="str">
        <f t="shared" si="342"/>
        <v/>
      </c>
      <c r="T363" s="269" t="str">
        <f t="shared" si="343"/>
        <v/>
      </c>
      <c r="U363" s="230"/>
      <c r="V363" s="230"/>
      <c r="AB363" s="270" t="e">
        <f>VLOOKUP($B$6,Lookup_Source,356,0)</f>
        <v>#N/A</v>
      </c>
      <c r="AC363" s="254" t="str">
        <f t="shared" si="344"/>
        <v/>
      </c>
      <c r="AD363" s="255">
        <f t="shared" si="345"/>
        <v>7</v>
      </c>
      <c r="AE363" s="274" t="e">
        <f t="shared" si="314"/>
        <v>#N/A</v>
      </c>
      <c r="AF363" s="277" t="e">
        <f t="shared" si="346"/>
        <v>#N/A</v>
      </c>
      <c r="AG363" s="277" t="e">
        <f t="shared" si="347"/>
        <v>#N/A</v>
      </c>
      <c r="AH363" s="276" t="e">
        <f t="shared" si="315"/>
        <v>#N/A</v>
      </c>
      <c r="AI363" s="239">
        <f t="shared" si="348"/>
        <v>7</v>
      </c>
      <c r="AJ363" s="277" t="e">
        <f t="shared" si="316"/>
        <v>#N/A</v>
      </c>
      <c r="AK363" s="277" t="e">
        <f t="shared" si="349"/>
        <v>#N/A</v>
      </c>
      <c r="AL363" s="239" t="e">
        <f t="shared" si="317"/>
        <v>#N/A</v>
      </c>
      <c r="AM363" s="278" t="e">
        <f t="shared" si="350"/>
        <v>#N/A</v>
      </c>
      <c r="AN363" s="279" t="e">
        <f t="shared" si="318"/>
        <v>#N/A</v>
      </c>
      <c r="AO363" s="240" t="e">
        <f t="shared" si="319"/>
        <v>#N/A</v>
      </c>
      <c r="AP363" s="297">
        <f t="shared" si="351"/>
        <v>7</v>
      </c>
      <c r="AQ363" s="298" t="e">
        <f t="shared" si="320"/>
        <v>#N/A</v>
      </c>
      <c r="AR363" s="279" t="e">
        <f t="shared" si="352"/>
        <v>#N/A</v>
      </c>
      <c r="AS363" s="283" t="e">
        <f t="shared" si="321"/>
        <v>#N/A</v>
      </c>
      <c r="AT363" s="284">
        <f t="shared" si="353"/>
        <v>7</v>
      </c>
      <c r="AU363" s="285" t="e">
        <f t="shared" si="354"/>
        <v>#N/A</v>
      </c>
      <c r="AV363" s="286" t="e">
        <f t="shared" si="355"/>
        <v>#N/A</v>
      </c>
      <c r="AW363" s="287" t="e">
        <f t="shared" si="322"/>
        <v>#N/A</v>
      </c>
      <c r="AX363" s="245">
        <f t="shared" si="356"/>
        <v>7</v>
      </c>
      <c r="AY363" s="286" t="e">
        <f t="shared" si="323"/>
        <v>#N/A</v>
      </c>
      <c r="AZ363" s="245" t="e">
        <f t="shared" si="357"/>
        <v>#N/A</v>
      </c>
      <c r="BA363" s="245" t="e">
        <f t="shared" si="324"/>
        <v>#N/A</v>
      </c>
      <c r="BB363" s="288">
        <f t="shared" si="358"/>
        <v>7</v>
      </c>
      <c r="BC363" s="289" t="e">
        <f t="shared" si="359"/>
        <v>#N/A</v>
      </c>
      <c r="BD363" s="290" t="e">
        <f t="shared" si="360"/>
        <v>#N/A</v>
      </c>
      <c r="BE363" s="263" t="e">
        <f t="shared" si="325"/>
        <v>#N/A</v>
      </c>
      <c r="BF363" s="260">
        <f t="shared" si="361"/>
        <v>7</v>
      </c>
      <c r="BG363" s="289" t="e">
        <f t="shared" si="362"/>
        <v>#N/A</v>
      </c>
      <c r="BH363" s="290" t="e">
        <f t="shared" si="363"/>
        <v>#N/A</v>
      </c>
      <c r="BI363" s="263" t="e">
        <f t="shared" si="326"/>
        <v>#N/A</v>
      </c>
      <c r="BJ363" s="264">
        <f t="shared" si="364"/>
        <v>7</v>
      </c>
      <c r="BK363" s="291" t="e">
        <f t="shared" si="365"/>
        <v>#N/A</v>
      </c>
      <c r="BL363" s="291" t="e">
        <f t="shared" si="366"/>
        <v>#N/A</v>
      </c>
      <c r="BM363" s="292" t="e">
        <f t="shared" si="327"/>
        <v>#N/A</v>
      </c>
      <c r="BN363" s="293">
        <f t="shared" si="367"/>
        <v>7</v>
      </c>
      <c r="BO363" s="294" t="e">
        <f t="shared" si="368"/>
        <v>#N/A</v>
      </c>
      <c r="BP363" s="294" t="e">
        <f t="shared" si="369"/>
        <v>#N/A</v>
      </c>
      <c r="BQ363" s="292" t="e">
        <f t="shared" si="328"/>
        <v>#N/A</v>
      </c>
      <c r="BR363" s="295" t="e">
        <f t="shared" si="329"/>
        <v>#N/A</v>
      </c>
      <c r="BS363" s="230" t="e">
        <f>VLOOKUP($B363,SDR22_STOCK_BY_LA!$A$2:$C$11679,3,0)</f>
        <v>#N/A</v>
      </c>
      <c r="BT363" s="230" t="str">
        <f t="shared" si="370"/>
        <v/>
      </c>
    </row>
    <row r="364" spans="1:72" ht="12.5" x14ac:dyDescent="0.25">
      <c r="A364" s="230" t="str">
        <f t="shared" si="371"/>
        <v/>
      </c>
      <c r="B364" s="230" t="str">
        <f t="shared" si="372"/>
        <v/>
      </c>
      <c r="C364" s="296" t="str">
        <f t="shared" si="330"/>
        <v/>
      </c>
      <c r="D364" s="269" t="str">
        <f>IF(B364="","",IF(totals!$Q$3=0,IFERROR(IF(AD364=2,"0",AE364),""),"-"))</f>
        <v/>
      </c>
      <c r="E364" s="271" t="str">
        <f t="shared" si="331"/>
        <v/>
      </c>
      <c r="F364" s="272" t="str">
        <f t="shared" si="332"/>
        <v/>
      </c>
      <c r="G364" s="272" t="str">
        <f t="shared" si="333"/>
        <v/>
      </c>
      <c r="H364" s="269" t="str">
        <f t="shared" si="311"/>
        <v/>
      </c>
      <c r="I364" s="272" t="str">
        <f t="shared" si="334"/>
        <v/>
      </c>
      <c r="J364" s="272" t="str">
        <f t="shared" si="335"/>
        <v/>
      </c>
      <c r="K364" s="269" t="str">
        <f t="shared" si="312"/>
        <v/>
      </c>
      <c r="L364" s="272" t="str">
        <f t="shared" si="313"/>
        <v/>
      </c>
      <c r="M364" s="272" t="str">
        <f t="shared" si="336"/>
        <v/>
      </c>
      <c r="N364" s="269" t="str">
        <f t="shared" si="337"/>
        <v/>
      </c>
      <c r="O364" s="272" t="str">
        <f t="shared" si="338"/>
        <v/>
      </c>
      <c r="P364" s="272" t="str">
        <f t="shared" si="339"/>
        <v/>
      </c>
      <c r="Q364" s="269" t="str">
        <f t="shared" si="340"/>
        <v/>
      </c>
      <c r="R364" s="272" t="str">
        <f t="shared" si="341"/>
        <v/>
      </c>
      <c r="S364" s="272" t="str">
        <f t="shared" si="342"/>
        <v/>
      </c>
      <c r="T364" s="269" t="str">
        <f t="shared" si="343"/>
        <v/>
      </c>
      <c r="U364" s="230"/>
      <c r="V364" s="230"/>
      <c r="AB364" s="230" t="e">
        <f>VLOOKUP($B$6,Lookup_Source,357,0)</f>
        <v>#N/A</v>
      </c>
      <c r="AC364" s="254" t="str">
        <f t="shared" si="344"/>
        <v/>
      </c>
      <c r="AD364" s="255">
        <f t="shared" si="345"/>
        <v>7</v>
      </c>
      <c r="AE364" s="274" t="e">
        <f t="shared" si="314"/>
        <v>#N/A</v>
      </c>
      <c r="AF364" s="277" t="e">
        <f t="shared" si="346"/>
        <v>#N/A</v>
      </c>
      <c r="AG364" s="277" t="e">
        <f t="shared" si="347"/>
        <v>#N/A</v>
      </c>
      <c r="AH364" s="276" t="e">
        <f t="shared" si="315"/>
        <v>#N/A</v>
      </c>
      <c r="AI364" s="239">
        <f t="shared" si="348"/>
        <v>7</v>
      </c>
      <c r="AJ364" s="277" t="e">
        <f t="shared" si="316"/>
        <v>#N/A</v>
      </c>
      <c r="AK364" s="277" t="e">
        <f t="shared" si="349"/>
        <v>#N/A</v>
      </c>
      <c r="AL364" s="239" t="e">
        <f t="shared" si="317"/>
        <v>#N/A</v>
      </c>
      <c r="AM364" s="278" t="e">
        <f t="shared" si="350"/>
        <v>#N/A</v>
      </c>
      <c r="AN364" s="279" t="e">
        <f t="shared" si="318"/>
        <v>#N/A</v>
      </c>
      <c r="AO364" s="240" t="e">
        <f t="shared" si="319"/>
        <v>#N/A</v>
      </c>
      <c r="AP364" s="297">
        <f t="shared" si="351"/>
        <v>7</v>
      </c>
      <c r="AQ364" s="298" t="e">
        <f t="shared" si="320"/>
        <v>#N/A</v>
      </c>
      <c r="AR364" s="279" t="e">
        <f t="shared" si="352"/>
        <v>#N/A</v>
      </c>
      <c r="AS364" s="283" t="e">
        <f t="shared" si="321"/>
        <v>#N/A</v>
      </c>
      <c r="AT364" s="284">
        <f t="shared" si="353"/>
        <v>7</v>
      </c>
      <c r="AU364" s="285" t="e">
        <f t="shared" si="354"/>
        <v>#N/A</v>
      </c>
      <c r="AV364" s="286" t="e">
        <f t="shared" si="355"/>
        <v>#N/A</v>
      </c>
      <c r="AW364" s="287" t="e">
        <f t="shared" si="322"/>
        <v>#N/A</v>
      </c>
      <c r="AX364" s="245">
        <f t="shared" si="356"/>
        <v>7</v>
      </c>
      <c r="AY364" s="286" t="e">
        <f t="shared" si="323"/>
        <v>#N/A</v>
      </c>
      <c r="AZ364" s="245" t="e">
        <f t="shared" si="357"/>
        <v>#N/A</v>
      </c>
      <c r="BA364" s="245" t="e">
        <f t="shared" si="324"/>
        <v>#N/A</v>
      </c>
      <c r="BB364" s="288">
        <f t="shared" si="358"/>
        <v>7</v>
      </c>
      <c r="BC364" s="289" t="e">
        <f t="shared" si="359"/>
        <v>#N/A</v>
      </c>
      <c r="BD364" s="290" t="e">
        <f t="shared" si="360"/>
        <v>#N/A</v>
      </c>
      <c r="BE364" s="263" t="e">
        <f t="shared" si="325"/>
        <v>#N/A</v>
      </c>
      <c r="BF364" s="260">
        <f t="shared" si="361"/>
        <v>7</v>
      </c>
      <c r="BG364" s="289" t="e">
        <f t="shared" si="362"/>
        <v>#N/A</v>
      </c>
      <c r="BH364" s="290" t="e">
        <f t="shared" si="363"/>
        <v>#N/A</v>
      </c>
      <c r="BI364" s="263" t="e">
        <f t="shared" si="326"/>
        <v>#N/A</v>
      </c>
      <c r="BJ364" s="264">
        <f t="shared" si="364"/>
        <v>7</v>
      </c>
      <c r="BK364" s="291" t="e">
        <f t="shared" si="365"/>
        <v>#N/A</v>
      </c>
      <c r="BL364" s="291" t="e">
        <f t="shared" si="366"/>
        <v>#N/A</v>
      </c>
      <c r="BM364" s="292" t="e">
        <f t="shared" si="327"/>
        <v>#N/A</v>
      </c>
      <c r="BN364" s="293">
        <f t="shared" si="367"/>
        <v>7</v>
      </c>
      <c r="BO364" s="294" t="e">
        <f t="shared" si="368"/>
        <v>#N/A</v>
      </c>
      <c r="BP364" s="294" t="e">
        <f t="shared" si="369"/>
        <v>#N/A</v>
      </c>
      <c r="BQ364" s="292" t="e">
        <f t="shared" si="328"/>
        <v>#N/A</v>
      </c>
      <c r="BR364" s="295" t="e">
        <f t="shared" si="329"/>
        <v>#N/A</v>
      </c>
      <c r="BS364" s="230" t="e">
        <f>VLOOKUP($B364,SDR22_STOCK_BY_LA!$A$2:$C$11679,3,0)</f>
        <v>#N/A</v>
      </c>
      <c r="BT364" s="230" t="str">
        <f t="shared" si="370"/>
        <v/>
      </c>
    </row>
    <row r="365" spans="1:72" ht="12.5" x14ac:dyDescent="0.25">
      <c r="A365" s="269" t="str">
        <f t="shared" si="371"/>
        <v/>
      </c>
      <c r="B365" s="230" t="str">
        <f t="shared" si="372"/>
        <v/>
      </c>
      <c r="C365" s="270" t="str">
        <f t="shared" si="330"/>
        <v/>
      </c>
      <c r="D365" s="269" t="str">
        <f>IF(B365="","",IF(totals!$Q$3=0,IFERROR(IF(AD365=2,"0",AE365),""),"-"))</f>
        <v/>
      </c>
      <c r="E365" s="271" t="str">
        <f t="shared" si="331"/>
        <v/>
      </c>
      <c r="F365" s="272" t="str">
        <f t="shared" si="332"/>
        <v/>
      </c>
      <c r="G365" s="272" t="str">
        <f t="shared" si="333"/>
        <v/>
      </c>
      <c r="H365" s="269" t="str">
        <f t="shared" si="311"/>
        <v/>
      </c>
      <c r="I365" s="272" t="str">
        <f t="shared" si="334"/>
        <v/>
      </c>
      <c r="J365" s="272" t="str">
        <f t="shared" si="335"/>
        <v/>
      </c>
      <c r="K365" s="269" t="str">
        <f t="shared" si="312"/>
        <v/>
      </c>
      <c r="L365" s="272" t="str">
        <f t="shared" si="313"/>
        <v/>
      </c>
      <c r="M365" s="272" t="str">
        <f t="shared" si="336"/>
        <v/>
      </c>
      <c r="N365" s="269" t="str">
        <f t="shared" si="337"/>
        <v/>
      </c>
      <c r="O365" s="272" t="str">
        <f t="shared" si="338"/>
        <v/>
      </c>
      <c r="P365" s="272" t="str">
        <f t="shared" si="339"/>
        <v/>
      </c>
      <c r="Q365" s="269" t="str">
        <f t="shared" si="340"/>
        <v/>
      </c>
      <c r="R365" s="272" t="str">
        <f t="shared" si="341"/>
        <v/>
      </c>
      <c r="S365" s="272" t="str">
        <f t="shared" si="342"/>
        <v/>
      </c>
      <c r="T365" s="269" t="str">
        <f t="shared" si="343"/>
        <v/>
      </c>
      <c r="U365" s="230"/>
      <c r="V365" s="230"/>
      <c r="AB365" s="270" t="e">
        <f>VLOOKUP($B$6,Lookup_Source,358,0)</f>
        <v>#N/A</v>
      </c>
      <c r="AC365" s="254" t="str">
        <f t="shared" si="344"/>
        <v/>
      </c>
      <c r="AD365" s="255">
        <f t="shared" si="345"/>
        <v>7</v>
      </c>
      <c r="AE365" s="274" t="e">
        <f t="shared" si="314"/>
        <v>#N/A</v>
      </c>
      <c r="AF365" s="277" t="e">
        <f t="shared" si="346"/>
        <v>#N/A</v>
      </c>
      <c r="AG365" s="277" t="e">
        <f t="shared" si="347"/>
        <v>#N/A</v>
      </c>
      <c r="AH365" s="276" t="e">
        <f t="shared" si="315"/>
        <v>#N/A</v>
      </c>
      <c r="AI365" s="239">
        <f t="shared" si="348"/>
        <v>7</v>
      </c>
      <c r="AJ365" s="277" t="e">
        <f t="shared" si="316"/>
        <v>#N/A</v>
      </c>
      <c r="AK365" s="277" t="e">
        <f t="shared" si="349"/>
        <v>#N/A</v>
      </c>
      <c r="AL365" s="239" t="e">
        <f t="shared" si="317"/>
        <v>#N/A</v>
      </c>
      <c r="AM365" s="278" t="e">
        <f t="shared" si="350"/>
        <v>#N/A</v>
      </c>
      <c r="AN365" s="279" t="e">
        <f t="shared" si="318"/>
        <v>#N/A</v>
      </c>
      <c r="AO365" s="240" t="e">
        <f t="shared" si="319"/>
        <v>#N/A</v>
      </c>
      <c r="AP365" s="297">
        <f t="shared" si="351"/>
        <v>7</v>
      </c>
      <c r="AQ365" s="298" t="e">
        <f t="shared" si="320"/>
        <v>#N/A</v>
      </c>
      <c r="AR365" s="279" t="e">
        <f t="shared" si="352"/>
        <v>#N/A</v>
      </c>
      <c r="AS365" s="283" t="e">
        <f t="shared" si="321"/>
        <v>#N/A</v>
      </c>
      <c r="AT365" s="284">
        <f t="shared" si="353"/>
        <v>7</v>
      </c>
      <c r="AU365" s="285" t="e">
        <f t="shared" si="354"/>
        <v>#N/A</v>
      </c>
      <c r="AV365" s="286" t="e">
        <f t="shared" si="355"/>
        <v>#N/A</v>
      </c>
      <c r="AW365" s="287" t="e">
        <f t="shared" si="322"/>
        <v>#N/A</v>
      </c>
      <c r="AX365" s="245">
        <f t="shared" si="356"/>
        <v>7</v>
      </c>
      <c r="AY365" s="286" t="e">
        <f t="shared" si="323"/>
        <v>#N/A</v>
      </c>
      <c r="AZ365" s="245" t="e">
        <f t="shared" si="357"/>
        <v>#N/A</v>
      </c>
      <c r="BA365" s="245" t="e">
        <f t="shared" si="324"/>
        <v>#N/A</v>
      </c>
      <c r="BB365" s="288">
        <f t="shared" si="358"/>
        <v>7</v>
      </c>
      <c r="BC365" s="289" t="e">
        <f t="shared" si="359"/>
        <v>#N/A</v>
      </c>
      <c r="BD365" s="290" t="e">
        <f t="shared" si="360"/>
        <v>#N/A</v>
      </c>
      <c r="BE365" s="263" t="e">
        <f t="shared" si="325"/>
        <v>#N/A</v>
      </c>
      <c r="BF365" s="260">
        <f t="shared" si="361"/>
        <v>7</v>
      </c>
      <c r="BG365" s="289" t="e">
        <f t="shared" si="362"/>
        <v>#N/A</v>
      </c>
      <c r="BH365" s="290" t="e">
        <f t="shared" si="363"/>
        <v>#N/A</v>
      </c>
      <c r="BI365" s="263" t="e">
        <f t="shared" si="326"/>
        <v>#N/A</v>
      </c>
      <c r="BJ365" s="264">
        <f t="shared" si="364"/>
        <v>7</v>
      </c>
      <c r="BK365" s="291" t="e">
        <f t="shared" si="365"/>
        <v>#N/A</v>
      </c>
      <c r="BL365" s="291" t="e">
        <f t="shared" si="366"/>
        <v>#N/A</v>
      </c>
      <c r="BM365" s="292" t="e">
        <f t="shared" si="327"/>
        <v>#N/A</v>
      </c>
      <c r="BN365" s="293">
        <f t="shared" si="367"/>
        <v>7</v>
      </c>
      <c r="BO365" s="294" t="e">
        <f t="shared" si="368"/>
        <v>#N/A</v>
      </c>
      <c r="BP365" s="294" t="e">
        <f t="shared" si="369"/>
        <v>#N/A</v>
      </c>
      <c r="BQ365" s="292" t="e">
        <f t="shared" si="328"/>
        <v>#N/A</v>
      </c>
      <c r="BR365" s="295" t="e">
        <f t="shared" si="329"/>
        <v>#N/A</v>
      </c>
      <c r="BS365" s="230" t="e">
        <f>VLOOKUP($B365,SDR22_STOCK_BY_LA!$A$2:$C$11679,3,0)</f>
        <v>#N/A</v>
      </c>
      <c r="BT365" s="230" t="str">
        <f t="shared" si="370"/>
        <v/>
      </c>
    </row>
    <row r="366" spans="1:72" ht="12.5" x14ac:dyDescent="0.25">
      <c r="A366" s="230" t="str">
        <f t="shared" si="371"/>
        <v/>
      </c>
      <c r="B366" s="230" t="str">
        <f t="shared" si="372"/>
        <v/>
      </c>
      <c r="C366" s="296" t="str">
        <f t="shared" si="330"/>
        <v/>
      </c>
      <c r="D366" s="269" t="str">
        <f>IF(B366="","",IF(totals!$Q$3=0,IFERROR(IF(AD366=2,"0",AE366),""),"-"))</f>
        <v/>
      </c>
      <c r="E366" s="271" t="str">
        <f t="shared" si="331"/>
        <v/>
      </c>
      <c r="F366" s="272" t="str">
        <f t="shared" si="332"/>
        <v/>
      </c>
      <c r="G366" s="272" t="str">
        <f t="shared" si="333"/>
        <v/>
      </c>
      <c r="H366" s="269" t="str">
        <f t="shared" si="311"/>
        <v/>
      </c>
      <c r="I366" s="272" t="str">
        <f t="shared" si="334"/>
        <v/>
      </c>
      <c r="J366" s="272" t="str">
        <f t="shared" si="335"/>
        <v/>
      </c>
      <c r="K366" s="269" t="str">
        <f t="shared" si="312"/>
        <v/>
      </c>
      <c r="L366" s="272" t="str">
        <f t="shared" si="313"/>
        <v/>
      </c>
      <c r="M366" s="272" t="str">
        <f t="shared" si="336"/>
        <v/>
      </c>
      <c r="N366" s="269" t="str">
        <f t="shared" si="337"/>
        <v/>
      </c>
      <c r="O366" s="272" t="str">
        <f t="shared" si="338"/>
        <v/>
      </c>
      <c r="P366" s="272" t="str">
        <f t="shared" si="339"/>
        <v/>
      </c>
      <c r="Q366" s="269" t="str">
        <f t="shared" si="340"/>
        <v/>
      </c>
      <c r="R366" s="272" t="str">
        <f t="shared" si="341"/>
        <v/>
      </c>
      <c r="S366" s="272" t="str">
        <f t="shared" si="342"/>
        <v/>
      </c>
      <c r="T366" s="269" t="str">
        <f t="shared" si="343"/>
        <v/>
      </c>
      <c r="U366" s="230"/>
      <c r="V366" s="230"/>
      <c r="AB366" s="230" t="e">
        <f>VLOOKUP($B$6,Lookup_Source,359,0)</f>
        <v>#N/A</v>
      </c>
      <c r="AC366" s="254" t="str">
        <f t="shared" si="344"/>
        <v/>
      </c>
      <c r="AD366" s="255">
        <f t="shared" si="345"/>
        <v>7</v>
      </c>
      <c r="AE366" s="274" t="e">
        <f t="shared" si="314"/>
        <v>#N/A</v>
      </c>
      <c r="AF366" s="277" t="e">
        <f t="shared" si="346"/>
        <v>#N/A</v>
      </c>
      <c r="AG366" s="277" t="e">
        <f t="shared" si="347"/>
        <v>#N/A</v>
      </c>
      <c r="AH366" s="276" t="e">
        <f t="shared" si="315"/>
        <v>#N/A</v>
      </c>
      <c r="AI366" s="239">
        <f t="shared" si="348"/>
        <v>7</v>
      </c>
      <c r="AJ366" s="277" t="e">
        <f t="shared" si="316"/>
        <v>#N/A</v>
      </c>
      <c r="AK366" s="277" t="e">
        <f t="shared" si="349"/>
        <v>#N/A</v>
      </c>
      <c r="AL366" s="239" t="e">
        <f t="shared" si="317"/>
        <v>#N/A</v>
      </c>
      <c r="AM366" s="278" t="e">
        <f t="shared" si="350"/>
        <v>#N/A</v>
      </c>
      <c r="AN366" s="279" t="e">
        <f t="shared" si="318"/>
        <v>#N/A</v>
      </c>
      <c r="AO366" s="240" t="e">
        <f t="shared" si="319"/>
        <v>#N/A</v>
      </c>
      <c r="AP366" s="297">
        <f t="shared" si="351"/>
        <v>7</v>
      </c>
      <c r="AQ366" s="298" t="e">
        <f t="shared" si="320"/>
        <v>#N/A</v>
      </c>
      <c r="AR366" s="279" t="e">
        <f t="shared" si="352"/>
        <v>#N/A</v>
      </c>
      <c r="AS366" s="283" t="e">
        <f t="shared" si="321"/>
        <v>#N/A</v>
      </c>
      <c r="AT366" s="284">
        <f t="shared" si="353"/>
        <v>7</v>
      </c>
      <c r="AU366" s="285" t="e">
        <f t="shared" si="354"/>
        <v>#N/A</v>
      </c>
      <c r="AV366" s="286" t="e">
        <f t="shared" si="355"/>
        <v>#N/A</v>
      </c>
      <c r="AW366" s="287" t="e">
        <f t="shared" si="322"/>
        <v>#N/A</v>
      </c>
      <c r="AX366" s="245">
        <f t="shared" si="356"/>
        <v>7</v>
      </c>
      <c r="AY366" s="286" t="e">
        <f t="shared" si="323"/>
        <v>#N/A</v>
      </c>
      <c r="AZ366" s="245" t="e">
        <f t="shared" si="357"/>
        <v>#N/A</v>
      </c>
      <c r="BA366" s="245" t="e">
        <f t="shared" si="324"/>
        <v>#N/A</v>
      </c>
      <c r="BB366" s="288">
        <f t="shared" si="358"/>
        <v>7</v>
      </c>
      <c r="BC366" s="289" t="e">
        <f t="shared" si="359"/>
        <v>#N/A</v>
      </c>
      <c r="BD366" s="290" t="e">
        <f t="shared" si="360"/>
        <v>#N/A</v>
      </c>
      <c r="BE366" s="263" t="e">
        <f t="shared" si="325"/>
        <v>#N/A</v>
      </c>
      <c r="BF366" s="260">
        <f t="shared" si="361"/>
        <v>7</v>
      </c>
      <c r="BG366" s="289" t="e">
        <f t="shared" si="362"/>
        <v>#N/A</v>
      </c>
      <c r="BH366" s="290" t="e">
        <f t="shared" si="363"/>
        <v>#N/A</v>
      </c>
      <c r="BI366" s="263" t="e">
        <f t="shared" si="326"/>
        <v>#N/A</v>
      </c>
      <c r="BJ366" s="264">
        <f t="shared" si="364"/>
        <v>7</v>
      </c>
      <c r="BK366" s="291" t="e">
        <f t="shared" si="365"/>
        <v>#N/A</v>
      </c>
      <c r="BL366" s="291" t="e">
        <f t="shared" si="366"/>
        <v>#N/A</v>
      </c>
      <c r="BM366" s="292" t="e">
        <f t="shared" si="327"/>
        <v>#N/A</v>
      </c>
      <c r="BN366" s="293">
        <f t="shared" si="367"/>
        <v>7</v>
      </c>
      <c r="BO366" s="294" t="e">
        <f t="shared" si="368"/>
        <v>#N/A</v>
      </c>
      <c r="BP366" s="294" t="e">
        <f t="shared" si="369"/>
        <v>#N/A</v>
      </c>
      <c r="BQ366" s="292" t="e">
        <f t="shared" si="328"/>
        <v>#N/A</v>
      </c>
      <c r="BR366" s="295" t="e">
        <f t="shared" si="329"/>
        <v>#N/A</v>
      </c>
      <c r="BS366" s="230" t="e">
        <f>VLOOKUP($B366,SDR22_STOCK_BY_LA!$A$2:$C$11679,3,0)</f>
        <v>#N/A</v>
      </c>
      <c r="BT366" s="230" t="str">
        <f t="shared" si="370"/>
        <v/>
      </c>
    </row>
    <row r="367" spans="1:72" ht="12.5" x14ac:dyDescent="0.25">
      <c r="A367" s="269" t="str">
        <f t="shared" si="371"/>
        <v/>
      </c>
      <c r="B367" s="230" t="str">
        <f t="shared" si="372"/>
        <v/>
      </c>
      <c r="C367" s="270" t="str">
        <f t="shared" si="330"/>
        <v/>
      </c>
      <c r="D367" s="269" t="str">
        <f>IF(B367="","",IF(totals!$Q$3=0,IFERROR(IF(AD367=2,"0",AE367),""),"-"))</f>
        <v/>
      </c>
      <c r="E367" s="271" t="str">
        <f t="shared" si="331"/>
        <v/>
      </c>
      <c r="F367" s="272" t="str">
        <f t="shared" si="332"/>
        <v/>
      </c>
      <c r="G367" s="272" t="str">
        <f t="shared" si="333"/>
        <v/>
      </c>
      <c r="H367" s="269" t="str">
        <f t="shared" si="311"/>
        <v/>
      </c>
      <c r="I367" s="272" t="str">
        <f t="shared" si="334"/>
        <v/>
      </c>
      <c r="J367" s="272" t="str">
        <f t="shared" si="335"/>
        <v/>
      </c>
      <c r="K367" s="269" t="str">
        <f t="shared" si="312"/>
        <v/>
      </c>
      <c r="L367" s="272" t="str">
        <f t="shared" si="313"/>
        <v/>
      </c>
      <c r="M367" s="272" t="str">
        <f t="shared" si="336"/>
        <v/>
      </c>
      <c r="N367" s="269" t="str">
        <f t="shared" si="337"/>
        <v/>
      </c>
      <c r="O367" s="272" t="str">
        <f t="shared" si="338"/>
        <v/>
      </c>
      <c r="P367" s="272" t="str">
        <f t="shared" si="339"/>
        <v/>
      </c>
      <c r="Q367" s="269" t="str">
        <f t="shared" si="340"/>
        <v/>
      </c>
      <c r="R367" s="272" t="str">
        <f t="shared" si="341"/>
        <v/>
      </c>
      <c r="S367" s="272" t="str">
        <f t="shared" si="342"/>
        <v/>
      </c>
      <c r="T367" s="269" t="str">
        <f t="shared" si="343"/>
        <v/>
      </c>
      <c r="U367" s="230"/>
      <c r="V367" s="230"/>
      <c r="AB367" s="270" t="e">
        <f>VLOOKUP($B$6,Lookup_Source,360,0)</f>
        <v>#N/A</v>
      </c>
      <c r="AC367" s="254" t="str">
        <f t="shared" si="344"/>
        <v/>
      </c>
      <c r="AD367" s="255">
        <f t="shared" si="345"/>
        <v>7</v>
      </c>
      <c r="AE367" s="274" t="e">
        <f t="shared" si="314"/>
        <v>#N/A</v>
      </c>
      <c r="AF367" s="277" t="e">
        <f t="shared" si="346"/>
        <v>#N/A</v>
      </c>
      <c r="AG367" s="277" t="e">
        <f t="shared" si="347"/>
        <v>#N/A</v>
      </c>
      <c r="AH367" s="276" t="e">
        <f t="shared" si="315"/>
        <v>#N/A</v>
      </c>
      <c r="AI367" s="239">
        <f t="shared" si="348"/>
        <v>7</v>
      </c>
      <c r="AJ367" s="277" t="e">
        <f t="shared" si="316"/>
        <v>#N/A</v>
      </c>
      <c r="AK367" s="277" t="e">
        <f t="shared" si="349"/>
        <v>#N/A</v>
      </c>
      <c r="AL367" s="239" t="e">
        <f t="shared" si="317"/>
        <v>#N/A</v>
      </c>
      <c r="AM367" s="278" t="e">
        <f t="shared" si="350"/>
        <v>#N/A</v>
      </c>
      <c r="AN367" s="279" t="e">
        <f t="shared" si="318"/>
        <v>#N/A</v>
      </c>
      <c r="AO367" s="240" t="e">
        <f t="shared" si="319"/>
        <v>#N/A</v>
      </c>
      <c r="AP367" s="297">
        <f t="shared" si="351"/>
        <v>7</v>
      </c>
      <c r="AQ367" s="298" t="e">
        <f t="shared" si="320"/>
        <v>#N/A</v>
      </c>
      <c r="AR367" s="279" t="e">
        <f t="shared" si="352"/>
        <v>#N/A</v>
      </c>
      <c r="AS367" s="283" t="e">
        <f t="shared" si="321"/>
        <v>#N/A</v>
      </c>
      <c r="AT367" s="284">
        <f t="shared" si="353"/>
        <v>7</v>
      </c>
      <c r="AU367" s="285" t="e">
        <f t="shared" si="354"/>
        <v>#N/A</v>
      </c>
      <c r="AV367" s="286" t="e">
        <f t="shared" si="355"/>
        <v>#N/A</v>
      </c>
      <c r="AW367" s="287" t="e">
        <f t="shared" si="322"/>
        <v>#N/A</v>
      </c>
      <c r="AX367" s="245">
        <f t="shared" si="356"/>
        <v>7</v>
      </c>
      <c r="AY367" s="286" t="e">
        <f t="shared" si="323"/>
        <v>#N/A</v>
      </c>
      <c r="AZ367" s="245" t="e">
        <f t="shared" si="357"/>
        <v>#N/A</v>
      </c>
      <c r="BA367" s="245" t="e">
        <f t="shared" si="324"/>
        <v>#N/A</v>
      </c>
      <c r="BB367" s="288">
        <f t="shared" si="358"/>
        <v>7</v>
      </c>
      <c r="BC367" s="289" t="e">
        <f t="shared" si="359"/>
        <v>#N/A</v>
      </c>
      <c r="BD367" s="290" t="e">
        <f t="shared" si="360"/>
        <v>#N/A</v>
      </c>
      <c r="BE367" s="263" t="e">
        <f t="shared" si="325"/>
        <v>#N/A</v>
      </c>
      <c r="BF367" s="260">
        <f t="shared" si="361"/>
        <v>7</v>
      </c>
      <c r="BG367" s="289" t="e">
        <f t="shared" si="362"/>
        <v>#N/A</v>
      </c>
      <c r="BH367" s="290" t="e">
        <f t="shared" si="363"/>
        <v>#N/A</v>
      </c>
      <c r="BI367" s="263" t="e">
        <f t="shared" si="326"/>
        <v>#N/A</v>
      </c>
      <c r="BJ367" s="264">
        <f t="shared" si="364"/>
        <v>7</v>
      </c>
      <c r="BK367" s="291" t="e">
        <f t="shared" si="365"/>
        <v>#N/A</v>
      </c>
      <c r="BL367" s="291" t="e">
        <f t="shared" si="366"/>
        <v>#N/A</v>
      </c>
      <c r="BM367" s="292" t="e">
        <f t="shared" si="327"/>
        <v>#N/A</v>
      </c>
      <c r="BN367" s="293">
        <f t="shared" si="367"/>
        <v>7</v>
      </c>
      <c r="BO367" s="294" t="e">
        <f t="shared" si="368"/>
        <v>#N/A</v>
      </c>
      <c r="BP367" s="294" t="e">
        <f t="shared" si="369"/>
        <v>#N/A</v>
      </c>
      <c r="BQ367" s="292" t="e">
        <f t="shared" si="328"/>
        <v>#N/A</v>
      </c>
      <c r="BR367" s="295" t="e">
        <f t="shared" si="329"/>
        <v>#N/A</v>
      </c>
      <c r="BS367" s="230" t="e">
        <f>VLOOKUP($B367,SDR22_STOCK_BY_LA!$A$2:$C$11679,3,0)</f>
        <v>#N/A</v>
      </c>
      <c r="BT367" s="230" t="str">
        <f t="shared" si="370"/>
        <v/>
      </c>
    </row>
    <row r="368" spans="1:72" ht="12.5" x14ac:dyDescent="0.25">
      <c r="A368" s="230" t="str">
        <f t="shared" si="371"/>
        <v/>
      </c>
      <c r="B368" s="230" t="str">
        <f t="shared" si="372"/>
        <v/>
      </c>
      <c r="C368" s="296" t="str">
        <f t="shared" si="330"/>
        <v/>
      </c>
      <c r="D368" s="269" t="str">
        <f>IF(B368="","",IF(totals!$Q$3=0,IFERROR(IF(AD368=2,"0",AE368),""),"-"))</f>
        <v/>
      </c>
      <c r="E368" s="271" t="str">
        <f t="shared" si="331"/>
        <v/>
      </c>
      <c r="F368" s="272" t="str">
        <f t="shared" si="332"/>
        <v/>
      </c>
      <c r="G368" s="272" t="str">
        <f t="shared" si="333"/>
        <v/>
      </c>
      <c r="H368" s="269" t="str">
        <f t="shared" si="311"/>
        <v/>
      </c>
      <c r="I368" s="272" t="str">
        <f t="shared" si="334"/>
        <v/>
      </c>
      <c r="J368" s="272" t="str">
        <f t="shared" si="335"/>
        <v/>
      </c>
      <c r="K368" s="269" t="str">
        <f t="shared" si="312"/>
        <v/>
      </c>
      <c r="L368" s="272" t="str">
        <f t="shared" si="313"/>
        <v/>
      </c>
      <c r="M368" s="272" t="str">
        <f t="shared" si="336"/>
        <v/>
      </c>
      <c r="N368" s="269" t="str">
        <f t="shared" si="337"/>
        <v/>
      </c>
      <c r="O368" s="272" t="str">
        <f t="shared" si="338"/>
        <v/>
      </c>
      <c r="P368" s="272" t="str">
        <f t="shared" si="339"/>
        <v/>
      </c>
      <c r="Q368" s="269" t="str">
        <f t="shared" si="340"/>
        <v/>
      </c>
      <c r="R368" s="272" t="str">
        <f t="shared" si="341"/>
        <v/>
      </c>
      <c r="S368" s="272" t="str">
        <f t="shared" si="342"/>
        <v/>
      </c>
      <c r="T368" s="269" t="str">
        <f t="shared" si="343"/>
        <v/>
      </c>
      <c r="U368" s="230"/>
      <c r="V368" s="230"/>
      <c r="AB368" s="230" t="e">
        <f>VLOOKUP($B$6,Lookup_Source,361,0)</f>
        <v>#N/A</v>
      </c>
      <c r="AC368" s="254" t="str">
        <f t="shared" si="344"/>
        <v/>
      </c>
      <c r="AD368" s="255">
        <f t="shared" si="345"/>
        <v>7</v>
      </c>
      <c r="AE368" s="274" t="e">
        <f t="shared" si="314"/>
        <v>#N/A</v>
      </c>
      <c r="AF368" s="277" t="e">
        <f t="shared" si="346"/>
        <v>#N/A</v>
      </c>
      <c r="AG368" s="277" t="e">
        <f t="shared" si="347"/>
        <v>#N/A</v>
      </c>
      <c r="AH368" s="276" t="e">
        <f t="shared" si="315"/>
        <v>#N/A</v>
      </c>
      <c r="AI368" s="239">
        <f t="shared" si="348"/>
        <v>7</v>
      </c>
      <c r="AJ368" s="277" t="e">
        <f t="shared" si="316"/>
        <v>#N/A</v>
      </c>
      <c r="AK368" s="277" t="e">
        <f t="shared" si="349"/>
        <v>#N/A</v>
      </c>
      <c r="AL368" s="239" t="e">
        <f t="shared" si="317"/>
        <v>#N/A</v>
      </c>
      <c r="AM368" s="278" t="e">
        <f t="shared" si="350"/>
        <v>#N/A</v>
      </c>
      <c r="AN368" s="279" t="e">
        <f t="shared" si="318"/>
        <v>#N/A</v>
      </c>
      <c r="AO368" s="240" t="e">
        <f t="shared" si="319"/>
        <v>#N/A</v>
      </c>
      <c r="AP368" s="297">
        <f t="shared" si="351"/>
        <v>7</v>
      </c>
      <c r="AQ368" s="298" t="e">
        <f t="shared" si="320"/>
        <v>#N/A</v>
      </c>
      <c r="AR368" s="279" t="e">
        <f t="shared" si="352"/>
        <v>#N/A</v>
      </c>
      <c r="AS368" s="283" t="e">
        <f t="shared" si="321"/>
        <v>#N/A</v>
      </c>
      <c r="AT368" s="284">
        <f t="shared" si="353"/>
        <v>7</v>
      </c>
      <c r="AU368" s="285" t="e">
        <f t="shared" si="354"/>
        <v>#N/A</v>
      </c>
      <c r="AV368" s="286" t="e">
        <f t="shared" si="355"/>
        <v>#N/A</v>
      </c>
      <c r="AW368" s="287" t="e">
        <f t="shared" si="322"/>
        <v>#N/A</v>
      </c>
      <c r="AX368" s="245">
        <f t="shared" si="356"/>
        <v>7</v>
      </c>
      <c r="AY368" s="286" t="e">
        <f t="shared" si="323"/>
        <v>#N/A</v>
      </c>
      <c r="AZ368" s="245" t="e">
        <f t="shared" si="357"/>
        <v>#N/A</v>
      </c>
      <c r="BA368" s="245" t="e">
        <f t="shared" si="324"/>
        <v>#N/A</v>
      </c>
      <c r="BB368" s="288">
        <f t="shared" si="358"/>
        <v>7</v>
      </c>
      <c r="BC368" s="289" t="e">
        <f t="shared" si="359"/>
        <v>#N/A</v>
      </c>
      <c r="BD368" s="290" t="e">
        <f t="shared" si="360"/>
        <v>#N/A</v>
      </c>
      <c r="BE368" s="263" t="e">
        <f t="shared" si="325"/>
        <v>#N/A</v>
      </c>
      <c r="BF368" s="260">
        <f t="shared" si="361"/>
        <v>7</v>
      </c>
      <c r="BG368" s="289" t="e">
        <f t="shared" si="362"/>
        <v>#N/A</v>
      </c>
      <c r="BH368" s="290" t="e">
        <f t="shared" si="363"/>
        <v>#N/A</v>
      </c>
      <c r="BI368" s="263" t="e">
        <f t="shared" si="326"/>
        <v>#N/A</v>
      </c>
      <c r="BJ368" s="264">
        <f t="shared" si="364"/>
        <v>7</v>
      </c>
      <c r="BK368" s="291" t="e">
        <f t="shared" si="365"/>
        <v>#N/A</v>
      </c>
      <c r="BL368" s="291" t="e">
        <f t="shared" si="366"/>
        <v>#N/A</v>
      </c>
      <c r="BM368" s="292" t="e">
        <f t="shared" si="327"/>
        <v>#N/A</v>
      </c>
      <c r="BN368" s="293">
        <f t="shared" si="367"/>
        <v>7</v>
      </c>
      <c r="BO368" s="294" t="e">
        <f t="shared" si="368"/>
        <v>#N/A</v>
      </c>
      <c r="BP368" s="294" t="e">
        <f t="shared" si="369"/>
        <v>#N/A</v>
      </c>
      <c r="BQ368" s="292" t="e">
        <f t="shared" si="328"/>
        <v>#N/A</v>
      </c>
      <c r="BR368" s="295" t="e">
        <f t="shared" si="329"/>
        <v>#N/A</v>
      </c>
      <c r="BS368" s="230" t="e">
        <f>VLOOKUP($B368,SDR22_STOCK_BY_LA!$A$2:$C$11679,3,0)</f>
        <v>#N/A</v>
      </c>
      <c r="BT368" s="230" t="str">
        <f t="shared" si="370"/>
        <v/>
      </c>
    </row>
    <row r="369" spans="1:72" ht="12.5" x14ac:dyDescent="0.25">
      <c r="A369" s="269" t="str">
        <f t="shared" si="371"/>
        <v/>
      </c>
      <c r="B369" s="230" t="str">
        <f t="shared" si="372"/>
        <v/>
      </c>
      <c r="C369" s="270" t="str">
        <f t="shared" si="330"/>
        <v/>
      </c>
      <c r="D369" s="269" t="str">
        <f>IF(B369="","",IF(totals!$Q$3=0,IFERROR(IF(AD369=2,"0",AE369),""),"-"))</f>
        <v/>
      </c>
      <c r="E369" s="271" t="str">
        <f t="shared" si="331"/>
        <v/>
      </c>
      <c r="F369" s="272" t="str">
        <f t="shared" si="332"/>
        <v/>
      </c>
      <c r="G369" s="272" t="str">
        <f t="shared" si="333"/>
        <v/>
      </c>
      <c r="H369" s="269" t="str">
        <f t="shared" si="311"/>
        <v/>
      </c>
      <c r="I369" s="272" t="str">
        <f t="shared" si="334"/>
        <v/>
      </c>
      <c r="J369" s="272" t="str">
        <f t="shared" si="335"/>
        <v/>
      </c>
      <c r="K369" s="269" t="str">
        <f t="shared" si="312"/>
        <v/>
      </c>
      <c r="L369" s="272" t="str">
        <f t="shared" si="313"/>
        <v/>
      </c>
      <c r="M369" s="272" t="str">
        <f t="shared" si="336"/>
        <v/>
      </c>
      <c r="N369" s="269" t="str">
        <f t="shared" si="337"/>
        <v/>
      </c>
      <c r="O369" s="272" t="str">
        <f t="shared" si="338"/>
        <v/>
      </c>
      <c r="P369" s="272" t="str">
        <f t="shared" si="339"/>
        <v/>
      </c>
      <c r="Q369" s="269" t="str">
        <f t="shared" si="340"/>
        <v/>
      </c>
      <c r="R369" s="272" t="str">
        <f t="shared" si="341"/>
        <v/>
      </c>
      <c r="S369" s="272" t="str">
        <f t="shared" si="342"/>
        <v/>
      </c>
      <c r="T369" s="269" t="str">
        <f t="shared" si="343"/>
        <v/>
      </c>
      <c r="U369" s="230"/>
      <c r="V369" s="230"/>
      <c r="AB369" s="270" t="e">
        <f>VLOOKUP($B$6,Lookup_Source,362,0)</f>
        <v>#N/A</v>
      </c>
      <c r="AC369" s="254" t="str">
        <f t="shared" si="344"/>
        <v/>
      </c>
      <c r="AD369" s="255">
        <f t="shared" si="345"/>
        <v>7</v>
      </c>
      <c r="AE369" s="274" t="e">
        <f t="shared" si="314"/>
        <v>#N/A</v>
      </c>
      <c r="AF369" s="277" t="e">
        <f t="shared" si="346"/>
        <v>#N/A</v>
      </c>
      <c r="AG369" s="277" t="e">
        <f t="shared" si="347"/>
        <v>#N/A</v>
      </c>
      <c r="AH369" s="276" t="e">
        <f t="shared" si="315"/>
        <v>#N/A</v>
      </c>
      <c r="AI369" s="239">
        <f t="shared" si="348"/>
        <v>7</v>
      </c>
      <c r="AJ369" s="277" t="e">
        <f t="shared" si="316"/>
        <v>#N/A</v>
      </c>
      <c r="AK369" s="277" t="e">
        <f t="shared" si="349"/>
        <v>#N/A</v>
      </c>
      <c r="AL369" s="239" t="e">
        <f t="shared" si="317"/>
        <v>#N/A</v>
      </c>
      <c r="AM369" s="278" t="e">
        <f t="shared" si="350"/>
        <v>#N/A</v>
      </c>
      <c r="AN369" s="279" t="e">
        <f t="shared" si="318"/>
        <v>#N/A</v>
      </c>
      <c r="AO369" s="240" t="e">
        <f t="shared" si="319"/>
        <v>#N/A</v>
      </c>
      <c r="AP369" s="297">
        <f t="shared" si="351"/>
        <v>7</v>
      </c>
      <c r="AQ369" s="298" t="e">
        <f t="shared" si="320"/>
        <v>#N/A</v>
      </c>
      <c r="AR369" s="279" t="e">
        <f t="shared" si="352"/>
        <v>#N/A</v>
      </c>
      <c r="AS369" s="283" t="e">
        <f t="shared" si="321"/>
        <v>#N/A</v>
      </c>
      <c r="AT369" s="284">
        <f t="shared" si="353"/>
        <v>7</v>
      </c>
      <c r="AU369" s="285" t="e">
        <f t="shared" si="354"/>
        <v>#N/A</v>
      </c>
      <c r="AV369" s="286" t="e">
        <f t="shared" si="355"/>
        <v>#N/A</v>
      </c>
      <c r="AW369" s="287" t="e">
        <f t="shared" si="322"/>
        <v>#N/A</v>
      </c>
      <c r="AX369" s="245">
        <f t="shared" si="356"/>
        <v>7</v>
      </c>
      <c r="AY369" s="286" t="e">
        <f t="shared" si="323"/>
        <v>#N/A</v>
      </c>
      <c r="AZ369" s="245" t="e">
        <f t="shared" si="357"/>
        <v>#N/A</v>
      </c>
      <c r="BA369" s="245" t="e">
        <f t="shared" si="324"/>
        <v>#N/A</v>
      </c>
      <c r="BB369" s="288">
        <f t="shared" si="358"/>
        <v>7</v>
      </c>
      <c r="BC369" s="289" t="e">
        <f t="shared" si="359"/>
        <v>#N/A</v>
      </c>
      <c r="BD369" s="290" t="e">
        <f t="shared" si="360"/>
        <v>#N/A</v>
      </c>
      <c r="BE369" s="263" t="e">
        <f t="shared" si="325"/>
        <v>#N/A</v>
      </c>
      <c r="BF369" s="260">
        <f t="shared" si="361"/>
        <v>7</v>
      </c>
      <c r="BG369" s="289" t="e">
        <f t="shared" si="362"/>
        <v>#N/A</v>
      </c>
      <c r="BH369" s="290" t="e">
        <f t="shared" si="363"/>
        <v>#N/A</v>
      </c>
      <c r="BI369" s="263" t="e">
        <f t="shared" si="326"/>
        <v>#N/A</v>
      </c>
      <c r="BJ369" s="264">
        <f t="shared" si="364"/>
        <v>7</v>
      </c>
      <c r="BK369" s="291" t="e">
        <f t="shared" si="365"/>
        <v>#N/A</v>
      </c>
      <c r="BL369" s="291" t="e">
        <f t="shared" si="366"/>
        <v>#N/A</v>
      </c>
      <c r="BM369" s="292" t="e">
        <f t="shared" si="327"/>
        <v>#N/A</v>
      </c>
      <c r="BN369" s="293">
        <f t="shared" si="367"/>
        <v>7</v>
      </c>
      <c r="BO369" s="294" t="e">
        <f t="shared" si="368"/>
        <v>#N/A</v>
      </c>
      <c r="BP369" s="294" t="e">
        <f t="shared" si="369"/>
        <v>#N/A</v>
      </c>
      <c r="BQ369" s="292" t="e">
        <f t="shared" si="328"/>
        <v>#N/A</v>
      </c>
      <c r="BR369" s="295" t="e">
        <f t="shared" si="329"/>
        <v>#N/A</v>
      </c>
      <c r="BS369" s="230" t="e">
        <f>VLOOKUP($B369,SDR22_STOCK_BY_LA!$A$2:$C$11679,3,0)</f>
        <v>#N/A</v>
      </c>
      <c r="BT369" s="230" t="str">
        <f t="shared" si="370"/>
        <v/>
      </c>
    </row>
    <row r="370" spans="1:72" ht="12.5" x14ac:dyDescent="0.25">
      <c r="A370" s="230" t="str">
        <f t="shared" si="371"/>
        <v/>
      </c>
      <c r="B370" s="230" t="str">
        <f t="shared" si="372"/>
        <v/>
      </c>
      <c r="C370" s="296" t="str">
        <f t="shared" si="330"/>
        <v/>
      </c>
      <c r="D370" s="269" t="str">
        <f>IF(B370="","",IF(totals!$Q$3=0,IFERROR(IF(AD370=2,"0",AE370),""),"-"))</f>
        <v/>
      </c>
      <c r="E370" s="271" t="str">
        <f t="shared" si="331"/>
        <v/>
      </c>
      <c r="F370" s="272" t="str">
        <f t="shared" si="332"/>
        <v/>
      </c>
      <c r="G370" s="272" t="str">
        <f t="shared" si="333"/>
        <v/>
      </c>
      <c r="H370" s="269" t="str">
        <f t="shared" si="311"/>
        <v/>
      </c>
      <c r="I370" s="272" t="str">
        <f t="shared" si="334"/>
        <v/>
      </c>
      <c r="J370" s="272" t="str">
        <f t="shared" si="335"/>
        <v/>
      </c>
      <c r="K370" s="269" t="str">
        <f t="shared" si="312"/>
        <v/>
      </c>
      <c r="L370" s="272" t="str">
        <f t="shared" si="313"/>
        <v/>
      </c>
      <c r="M370" s="272" t="str">
        <f t="shared" si="336"/>
        <v/>
      </c>
      <c r="N370" s="269" t="str">
        <f t="shared" si="337"/>
        <v/>
      </c>
      <c r="O370" s="272" t="str">
        <f t="shared" si="338"/>
        <v/>
      </c>
      <c r="P370" s="272" t="str">
        <f t="shared" si="339"/>
        <v/>
      </c>
      <c r="Q370" s="269" t="str">
        <f t="shared" si="340"/>
        <v/>
      </c>
      <c r="R370" s="272" t="str">
        <f t="shared" si="341"/>
        <v/>
      </c>
      <c r="S370" s="272" t="str">
        <f t="shared" si="342"/>
        <v/>
      </c>
      <c r="T370" s="269" t="str">
        <f t="shared" si="343"/>
        <v/>
      </c>
      <c r="U370" s="230"/>
      <c r="V370" s="230"/>
      <c r="AB370" s="230" t="e">
        <f>VLOOKUP($B$6,Lookup_Source,363,0)</f>
        <v>#N/A</v>
      </c>
      <c r="AC370" s="254" t="str">
        <f t="shared" si="344"/>
        <v/>
      </c>
      <c r="AD370" s="255">
        <f t="shared" si="345"/>
        <v>7</v>
      </c>
      <c r="AE370" s="274" t="e">
        <f t="shared" si="314"/>
        <v>#N/A</v>
      </c>
      <c r="AF370" s="277" t="e">
        <f t="shared" si="346"/>
        <v>#N/A</v>
      </c>
      <c r="AG370" s="277" t="e">
        <f t="shared" si="347"/>
        <v>#N/A</v>
      </c>
      <c r="AH370" s="276" t="e">
        <f t="shared" si="315"/>
        <v>#N/A</v>
      </c>
      <c r="AI370" s="239">
        <f t="shared" si="348"/>
        <v>7</v>
      </c>
      <c r="AJ370" s="277" t="e">
        <f t="shared" si="316"/>
        <v>#N/A</v>
      </c>
      <c r="AK370" s="277" t="e">
        <f t="shared" si="349"/>
        <v>#N/A</v>
      </c>
      <c r="AL370" s="239" t="e">
        <f t="shared" si="317"/>
        <v>#N/A</v>
      </c>
      <c r="AM370" s="278" t="e">
        <f t="shared" si="350"/>
        <v>#N/A</v>
      </c>
      <c r="AN370" s="279" t="e">
        <f t="shared" si="318"/>
        <v>#N/A</v>
      </c>
      <c r="AO370" s="240" t="e">
        <f t="shared" si="319"/>
        <v>#N/A</v>
      </c>
      <c r="AP370" s="297">
        <f t="shared" si="351"/>
        <v>7</v>
      </c>
      <c r="AQ370" s="298" t="e">
        <f t="shared" si="320"/>
        <v>#N/A</v>
      </c>
      <c r="AR370" s="279" t="e">
        <f t="shared" si="352"/>
        <v>#N/A</v>
      </c>
      <c r="AS370" s="283" t="e">
        <f t="shared" si="321"/>
        <v>#N/A</v>
      </c>
      <c r="AT370" s="284">
        <f t="shared" si="353"/>
        <v>7</v>
      </c>
      <c r="AU370" s="285" t="e">
        <f t="shared" si="354"/>
        <v>#N/A</v>
      </c>
      <c r="AV370" s="286" t="e">
        <f t="shared" si="355"/>
        <v>#N/A</v>
      </c>
      <c r="AW370" s="287" t="e">
        <f t="shared" si="322"/>
        <v>#N/A</v>
      </c>
      <c r="AX370" s="245">
        <f t="shared" si="356"/>
        <v>7</v>
      </c>
      <c r="AY370" s="286" t="e">
        <f t="shared" si="323"/>
        <v>#N/A</v>
      </c>
      <c r="AZ370" s="245" t="e">
        <f t="shared" si="357"/>
        <v>#N/A</v>
      </c>
      <c r="BA370" s="245" t="e">
        <f t="shared" si="324"/>
        <v>#N/A</v>
      </c>
      <c r="BB370" s="288">
        <f t="shared" si="358"/>
        <v>7</v>
      </c>
      <c r="BC370" s="289" t="e">
        <f t="shared" si="359"/>
        <v>#N/A</v>
      </c>
      <c r="BD370" s="290" t="e">
        <f t="shared" si="360"/>
        <v>#N/A</v>
      </c>
      <c r="BE370" s="263" t="e">
        <f t="shared" si="325"/>
        <v>#N/A</v>
      </c>
      <c r="BF370" s="260">
        <f t="shared" si="361"/>
        <v>7</v>
      </c>
      <c r="BG370" s="289" t="e">
        <f t="shared" si="362"/>
        <v>#N/A</v>
      </c>
      <c r="BH370" s="290" t="e">
        <f t="shared" si="363"/>
        <v>#N/A</v>
      </c>
      <c r="BI370" s="263" t="e">
        <f t="shared" si="326"/>
        <v>#N/A</v>
      </c>
      <c r="BJ370" s="264">
        <f t="shared" si="364"/>
        <v>7</v>
      </c>
      <c r="BK370" s="291" t="e">
        <f t="shared" si="365"/>
        <v>#N/A</v>
      </c>
      <c r="BL370" s="291" t="e">
        <f t="shared" si="366"/>
        <v>#N/A</v>
      </c>
      <c r="BM370" s="292" t="e">
        <f t="shared" si="327"/>
        <v>#N/A</v>
      </c>
      <c r="BN370" s="293">
        <f t="shared" si="367"/>
        <v>7</v>
      </c>
      <c r="BO370" s="294" t="e">
        <f t="shared" si="368"/>
        <v>#N/A</v>
      </c>
      <c r="BP370" s="294" t="e">
        <f t="shared" si="369"/>
        <v>#N/A</v>
      </c>
      <c r="BQ370" s="292" t="e">
        <f t="shared" si="328"/>
        <v>#N/A</v>
      </c>
      <c r="BR370" s="295" t="e">
        <f t="shared" si="329"/>
        <v>#N/A</v>
      </c>
      <c r="BS370" s="230" t="e">
        <f>VLOOKUP($B370,SDR22_STOCK_BY_LA!$A$2:$C$11679,3,0)</f>
        <v>#N/A</v>
      </c>
      <c r="BT370" s="230" t="str">
        <f t="shared" si="370"/>
        <v/>
      </c>
    </row>
    <row r="371" spans="1:72" ht="12.5" x14ac:dyDescent="0.25">
      <c r="A371" s="269" t="str">
        <f t="shared" si="371"/>
        <v/>
      </c>
      <c r="B371" s="230" t="str">
        <f t="shared" si="372"/>
        <v/>
      </c>
      <c r="C371" s="270" t="str">
        <f t="shared" si="330"/>
        <v/>
      </c>
      <c r="D371" s="269" t="str">
        <f>IF(B371="","",IF(totals!$Q$3=0,IFERROR(IF(AD371=2,"0",AE371),""),"-"))</f>
        <v/>
      </c>
      <c r="E371" s="271" t="str">
        <f t="shared" si="331"/>
        <v/>
      </c>
      <c r="F371" s="272" t="str">
        <f t="shared" si="332"/>
        <v/>
      </c>
      <c r="G371" s="272" t="str">
        <f t="shared" si="333"/>
        <v/>
      </c>
      <c r="H371" s="269" t="str">
        <f t="shared" si="311"/>
        <v/>
      </c>
      <c r="I371" s="272" t="str">
        <f t="shared" si="334"/>
        <v/>
      </c>
      <c r="J371" s="272" t="str">
        <f t="shared" si="335"/>
        <v/>
      </c>
      <c r="K371" s="269" t="str">
        <f t="shared" si="312"/>
        <v/>
      </c>
      <c r="L371" s="272" t="str">
        <f t="shared" si="313"/>
        <v/>
      </c>
      <c r="M371" s="272" t="str">
        <f t="shared" si="336"/>
        <v/>
      </c>
      <c r="N371" s="269" t="str">
        <f t="shared" si="337"/>
        <v/>
      </c>
      <c r="O371" s="272" t="str">
        <f t="shared" si="338"/>
        <v/>
      </c>
      <c r="P371" s="272" t="str">
        <f t="shared" si="339"/>
        <v/>
      </c>
      <c r="Q371" s="269" t="str">
        <f t="shared" si="340"/>
        <v/>
      </c>
      <c r="R371" s="272" t="str">
        <f t="shared" si="341"/>
        <v/>
      </c>
      <c r="S371" s="272" t="str">
        <f t="shared" si="342"/>
        <v/>
      </c>
      <c r="T371" s="269" t="str">
        <f t="shared" si="343"/>
        <v/>
      </c>
      <c r="U371" s="230"/>
      <c r="V371" s="230"/>
      <c r="AB371" s="270" t="e">
        <f>VLOOKUP($B$6,Lookup_Source,364,0)</f>
        <v>#N/A</v>
      </c>
      <c r="AC371" s="254" t="str">
        <f t="shared" si="344"/>
        <v/>
      </c>
      <c r="AD371" s="255">
        <f t="shared" si="345"/>
        <v>7</v>
      </c>
      <c r="AE371" s="274" t="e">
        <f t="shared" si="314"/>
        <v>#N/A</v>
      </c>
      <c r="AF371" s="277" t="e">
        <f t="shared" si="346"/>
        <v>#N/A</v>
      </c>
      <c r="AG371" s="277" t="e">
        <f t="shared" si="347"/>
        <v>#N/A</v>
      </c>
      <c r="AH371" s="276" t="e">
        <f t="shared" si="315"/>
        <v>#N/A</v>
      </c>
      <c r="AI371" s="239">
        <f t="shared" si="348"/>
        <v>7</v>
      </c>
      <c r="AJ371" s="277" t="e">
        <f t="shared" si="316"/>
        <v>#N/A</v>
      </c>
      <c r="AK371" s="277" t="e">
        <f t="shared" si="349"/>
        <v>#N/A</v>
      </c>
      <c r="AL371" s="239" t="e">
        <f t="shared" si="317"/>
        <v>#N/A</v>
      </c>
      <c r="AM371" s="278" t="e">
        <f t="shared" si="350"/>
        <v>#N/A</v>
      </c>
      <c r="AN371" s="279" t="e">
        <f t="shared" si="318"/>
        <v>#N/A</v>
      </c>
      <c r="AO371" s="240" t="e">
        <f t="shared" si="319"/>
        <v>#N/A</v>
      </c>
      <c r="AP371" s="297">
        <f t="shared" si="351"/>
        <v>7</v>
      </c>
      <c r="AQ371" s="298" t="e">
        <f t="shared" si="320"/>
        <v>#N/A</v>
      </c>
      <c r="AR371" s="279" t="e">
        <f t="shared" si="352"/>
        <v>#N/A</v>
      </c>
      <c r="AS371" s="283" t="e">
        <f t="shared" si="321"/>
        <v>#N/A</v>
      </c>
      <c r="AT371" s="284">
        <f t="shared" si="353"/>
        <v>7</v>
      </c>
      <c r="AU371" s="285" t="e">
        <f t="shared" si="354"/>
        <v>#N/A</v>
      </c>
      <c r="AV371" s="286" t="e">
        <f t="shared" si="355"/>
        <v>#N/A</v>
      </c>
      <c r="AW371" s="287" t="e">
        <f t="shared" si="322"/>
        <v>#N/A</v>
      </c>
      <c r="AX371" s="245">
        <f t="shared" si="356"/>
        <v>7</v>
      </c>
      <c r="AY371" s="286" t="e">
        <f t="shared" si="323"/>
        <v>#N/A</v>
      </c>
      <c r="AZ371" s="245" t="e">
        <f t="shared" si="357"/>
        <v>#N/A</v>
      </c>
      <c r="BA371" s="245" t="e">
        <f t="shared" si="324"/>
        <v>#N/A</v>
      </c>
      <c r="BB371" s="288">
        <f t="shared" si="358"/>
        <v>7</v>
      </c>
      <c r="BC371" s="289" t="e">
        <f t="shared" si="359"/>
        <v>#N/A</v>
      </c>
      <c r="BD371" s="290" t="e">
        <f t="shared" si="360"/>
        <v>#N/A</v>
      </c>
      <c r="BE371" s="263" t="e">
        <f t="shared" si="325"/>
        <v>#N/A</v>
      </c>
      <c r="BF371" s="260">
        <f t="shared" si="361"/>
        <v>7</v>
      </c>
      <c r="BG371" s="289" t="e">
        <f t="shared" si="362"/>
        <v>#N/A</v>
      </c>
      <c r="BH371" s="290" t="e">
        <f t="shared" si="363"/>
        <v>#N/A</v>
      </c>
      <c r="BI371" s="263" t="e">
        <f t="shared" si="326"/>
        <v>#N/A</v>
      </c>
      <c r="BJ371" s="264">
        <f t="shared" si="364"/>
        <v>7</v>
      </c>
      <c r="BK371" s="291" t="e">
        <f t="shared" si="365"/>
        <v>#N/A</v>
      </c>
      <c r="BL371" s="291" t="e">
        <f t="shared" si="366"/>
        <v>#N/A</v>
      </c>
      <c r="BM371" s="292" t="e">
        <f t="shared" si="327"/>
        <v>#N/A</v>
      </c>
      <c r="BN371" s="293">
        <f t="shared" si="367"/>
        <v>7</v>
      </c>
      <c r="BO371" s="294" t="e">
        <f t="shared" si="368"/>
        <v>#N/A</v>
      </c>
      <c r="BP371" s="294" t="e">
        <f t="shared" si="369"/>
        <v>#N/A</v>
      </c>
      <c r="BQ371" s="292" t="e">
        <f t="shared" si="328"/>
        <v>#N/A</v>
      </c>
      <c r="BR371" s="295" t="e">
        <f t="shared" si="329"/>
        <v>#N/A</v>
      </c>
      <c r="BS371" s="230" t="e">
        <f>VLOOKUP($B371,SDR22_STOCK_BY_LA!$A$2:$C$11679,3,0)</f>
        <v>#N/A</v>
      </c>
      <c r="BT371" s="230" t="str">
        <f t="shared" si="370"/>
        <v/>
      </c>
    </row>
    <row r="372" spans="1:72" ht="12.5" x14ac:dyDescent="0.25">
      <c r="A372" s="230" t="str">
        <f t="shared" si="371"/>
        <v/>
      </c>
      <c r="B372" s="230" t="str">
        <f t="shared" si="372"/>
        <v/>
      </c>
      <c r="C372" s="296" t="str">
        <f t="shared" si="330"/>
        <v/>
      </c>
      <c r="D372" s="269" t="str">
        <f>IF(B372="","",IF(totals!$Q$3=0,IFERROR(IF(AD372=2,"0",AE372),""),"-"))</f>
        <v/>
      </c>
      <c r="E372" s="271" t="str">
        <f t="shared" si="331"/>
        <v/>
      </c>
      <c r="F372" s="272" t="str">
        <f t="shared" si="332"/>
        <v/>
      </c>
      <c r="G372" s="272" t="str">
        <f t="shared" si="333"/>
        <v/>
      </c>
      <c r="H372" s="269" t="str">
        <f t="shared" si="311"/>
        <v/>
      </c>
      <c r="I372" s="272" t="str">
        <f t="shared" si="334"/>
        <v/>
      </c>
      <c r="J372" s="272" t="str">
        <f t="shared" si="335"/>
        <v/>
      </c>
      <c r="K372" s="269" t="str">
        <f t="shared" si="312"/>
        <v/>
      </c>
      <c r="L372" s="272" t="str">
        <f t="shared" si="313"/>
        <v/>
      </c>
      <c r="M372" s="272" t="str">
        <f t="shared" si="336"/>
        <v/>
      </c>
      <c r="N372" s="269" t="str">
        <f t="shared" si="337"/>
        <v/>
      </c>
      <c r="O372" s="272" t="str">
        <f t="shared" si="338"/>
        <v/>
      </c>
      <c r="P372" s="272" t="str">
        <f t="shared" si="339"/>
        <v/>
      </c>
      <c r="Q372" s="269" t="str">
        <f t="shared" si="340"/>
        <v/>
      </c>
      <c r="R372" s="272" t="str">
        <f t="shared" si="341"/>
        <v/>
      </c>
      <c r="S372" s="272" t="str">
        <f t="shared" si="342"/>
        <v/>
      </c>
      <c r="T372" s="269" t="str">
        <f t="shared" si="343"/>
        <v/>
      </c>
      <c r="U372" s="230"/>
      <c r="V372" s="230"/>
      <c r="AB372" s="230" t="e">
        <f>VLOOKUP($B$6,Lookup_Source,365,0)</f>
        <v>#N/A</v>
      </c>
      <c r="AC372" s="254" t="str">
        <f t="shared" si="344"/>
        <v/>
      </c>
      <c r="AD372" s="255">
        <f t="shared" si="345"/>
        <v>7</v>
      </c>
      <c r="AE372" s="274" t="e">
        <f t="shared" si="314"/>
        <v>#N/A</v>
      </c>
      <c r="AF372" s="277" t="e">
        <f t="shared" si="346"/>
        <v>#N/A</v>
      </c>
      <c r="AG372" s="277" t="e">
        <f t="shared" si="347"/>
        <v>#N/A</v>
      </c>
      <c r="AH372" s="276" t="e">
        <f t="shared" si="315"/>
        <v>#N/A</v>
      </c>
      <c r="AI372" s="239">
        <f t="shared" si="348"/>
        <v>7</v>
      </c>
      <c r="AJ372" s="277" t="e">
        <f t="shared" si="316"/>
        <v>#N/A</v>
      </c>
      <c r="AK372" s="277" t="e">
        <f t="shared" si="349"/>
        <v>#N/A</v>
      </c>
      <c r="AL372" s="239" t="e">
        <f t="shared" si="317"/>
        <v>#N/A</v>
      </c>
      <c r="AM372" s="278" t="e">
        <f t="shared" si="350"/>
        <v>#N/A</v>
      </c>
      <c r="AN372" s="279" t="e">
        <f t="shared" si="318"/>
        <v>#N/A</v>
      </c>
      <c r="AO372" s="240" t="e">
        <f t="shared" si="319"/>
        <v>#N/A</v>
      </c>
      <c r="AP372" s="297">
        <f t="shared" si="351"/>
        <v>7</v>
      </c>
      <c r="AQ372" s="298" t="e">
        <f t="shared" si="320"/>
        <v>#N/A</v>
      </c>
      <c r="AR372" s="279" t="e">
        <f t="shared" si="352"/>
        <v>#N/A</v>
      </c>
      <c r="AS372" s="283" t="e">
        <f t="shared" si="321"/>
        <v>#N/A</v>
      </c>
      <c r="AT372" s="284">
        <f t="shared" si="353"/>
        <v>7</v>
      </c>
      <c r="AU372" s="285" t="e">
        <f t="shared" si="354"/>
        <v>#N/A</v>
      </c>
      <c r="AV372" s="286" t="e">
        <f t="shared" si="355"/>
        <v>#N/A</v>
      </c>
      <c r="AW372" s="287" t="e">
        <f t="shared" si="322"/>
        <v>#N/A</v>
      </c>
      <c r="AX372" s="245">
        <f t="shared" si="356"/>
        <v>7</v>
      </c>
      <c r="AY372" s="286" t="e">
        <f t="shared" si="323"/>
        <v>#N/A</v>
      </c>
      <c r="AZ372" s="245" t="e">
        <f t="shared" si="357"/>
        <v>#N/A</v>
      </c>
      <c r="BA372" s="245" t="e">
        <f t="shared" si="324"/>
        <v>#N/A</v>
      </c>
      <c r="BB372" s="288">
        <f t="shared" si="358"/>
        <v>7</v>
      </c>
      <c r="BC372" s="289" t="e">
        <f t="shared" si="359"/>
        <v>#N/A</v>
      </c>
      <c r="BD372" s="290" t="e">
        <f t="shared" si="360"/>
        <v>#N/A</v>
      </c>
      <c r="BE372" s="263" t="e">
        <f t="shared" si="325"/>
        <v>#N/A</v>
      </c>
      <c r="BF372" s="260">
        <f t="shared" si="361"/>
        <v>7</v>
      </c>
      <c r="BG372" s="289" t="e">
        <f t="shared" si="362"/>
        <v>#N/A</v>
      </c>
      <c r="BH372" s="290" t="e">
        <f t="shared" si="363"/>
        <v>#N/A</v>
      </c>
      <c r="BI372" s="263" t="e">
        <f t="shared" si="326"/>
        <v>#N/A</v>
      </c>
      <c r="BJ372" s="264">
        <f t="shared" si="364"/>
        <v>7</v>
      </c>
      <c r="BK372" s="291" t="e">
        <f t="shared" si="365"/>
        <v>#N/A</v>
      </c>
      <c r="BL372" s="291" t="e">
        <f t="shared" si="366"/>
        <v>#N/A</v>
      </c>
      <c r="BM372" s="292" t="e">
        <f t="shared" si="327"/>
        <v>#N/A</v>
      </c>
      <c r="BN372" s="293">
        <f t="shared" si="367"/>
        <v>7</v>
      </c>
      <c r="BO372" s="294" t="e">
        <f t="shared" si="368"/>
        <v>#N/A</v>
      </c>
      <c r="BP372" s="294" t="e">
        <f t="shared" si="369"/>
        <v>#N/A</v>
      </c>
      <c r="BQ372" s="292" t="e">
        <f t="shared" si="328"/>
        <v>#N/A</v>
      </c>
      <c r="BR372" s="295" t="e">
        <f t="shared" si="329"/>
        <v>#N/A</v>
      </c>
      <c r="BS372" s="230" t="e">
        <f>VLOOKUP($B372,SDR22_STOCK_BY_LA!$A$2:$C$11679,3,0)</f>
        <v>#N/A</v>
      </c>
      <c r="BT372" s="230" t="str">
        <f t="shared" si="370"/>
        <v/>
      </c>
    </row>
    <row r="373" spans="1:72" ht="12.5" x14ac:dyDescent="0.25">
      <c r="A373" s="269" t="str">
        <f t="shared" si="371"/>
        <v/>
      </c>
      <c r="B373" s="230" t="str">
        <f t="shared" si="372"/>
        <v/>
      </c>
      <c r="C373" s="270" t="str">
        <f t="shared" si="330"/>
        <v/>
      </c>
      <c r="D373" s="269" t="str">
        <f>IF(B373="","",IF(totals!$Q$3=0,IFERROR(IF(AD373=2,"0",AE373),""),"-"))</f>
        <v/>
      </c>
      <c r="E373" s="271" t="str">
        <f t="shared" si="331"/>
        <v/>
      </c>
      <c r="F373" s="272" t="str">
        <f t="shared" si="332"/>
        <v/>
      </c>
      <c r="G373" s="272" t="str">
        <f t="shared" si="333"/>
        <v/>
      </c>
      <c r="H373" s="269" t="str">
        <f t="shared" si="311"/>
        <v/>
      </c>
      <c r="I373" s="272" t="str">
        <f t="shared" si="334"/>
        <v/>
      </c>
      <c r="J373" s="272" t="str">
        <f t="shared" si="335"/>
        <v/>
      </c>
      <c r="K373" s="269" t="str">
        <f t="shared" si="312"/>
        <v/>
      </c>
      <c r="L373" s="272" t="str">
        <f t="shared" si="313"/>
        <v/>
      </c>
      <c r="M373" s="272" t="str">
        <f t="shared" si="336"/>
        <v/>
      </c>
      <c r="N373" s="269" t="str">
        <f t="shared" si="337"/>
        <v/>
      </c>
      <c r="O373" s="272" t="str">
        <f t="shared" si="338"/>
        <v/>
      </c>
      <c r="P373" s="272" t="str">
        <f t="shared" si="339"/>
        <v/>
      </c>
      <c r="Q373" s="269" t="str">
        <f t="shared" si="340"/>
        <v/>
      </c>
      <c r="R373" s="272" t="str">
        <f t="shared" si="341"/>
        <v/>
      </c>
      <c r="S373" s="272" t="str">
        <f t="shared" si="342"/>
        <v/>
      </c>
      <c r="T373" s="269" t="str">
        <f t="shared" si="343"/>
        <v/>
      </c>
      <c r="U373" s="230"/>
      <c r="V373" s="230"/>
      <c r="AB373" s="270" t="e">
        <f>VLOOKUP($B$6,Lookup_Source,366,0)</f>
        <v>#N/A</v>
      </c>
      <c r="AC373" s="254" t="str">
        <f t="shared" si="344"/>
        <v/>
      </c>
      <c r="AD373" s="255">
        <f t="shared" si="345"/>
        <v>7</v>
      </c>
      <c r="AE373" s="274" t="e">
        <f t="shared" si="314"/>
        <v>#N/A</v>
      </c>
      <c r="AF373" s="277" t="e">
        <f t="shared" si="346"/>
        <v>#N/A</v>
      </c>
      <c r="AG373" s="277" t="e">
        <f t="shared" si="347"/>
        <v>#N/A</v>
      </c>
      <c r="AH373" s="276" t="e">
        <f t="shared" si="315"/>
        <v>#N/A</v>
      </c>
      <c r="AI373" s="239">
        <f t="shared" si="348"/>
        <v>7</v>
      </c>
      <c r="AJ373" s="277" t="e">
        <f t="shared" si="316"/>
        <v>#N/A</v>
      </c>
      <c r="AK373" s="277" t="e">
        <f t="shared" si="349"/>
        <v>#N/A</v>
      </c>
      <c r="AL373" s="239" t="e">
        <f t="shared" si="317"/>
        <v>#N/A</v>
      </c>
      <c r="AM373" s="278" t="e">
        <f t="shared" si="350"/>
        <v>#N/A</v>
      </c>
      <c r="AN373" s="279" t="e">
        <f t="shared" si="318"/>
        <v>#N/A</v>
      </c>
      <c r="AO373" s="240" t="e">
        <f t="shared" si="319"/>
        <v>#N/A</v>
      </c>
      <c r="AP373" s="297">
        <f t="shared" si="351"/>
        <v>7</v>
      </c>
      <c r="AQ373" s="298" t="e">
        <f t="shared" si="320"/>
        <v>#N/A</v>
      </c>
      <c r="AR373" s="279" t="e">
        <f t="shared" si="352"/>
        <v>#N/A</v>
      </c>
      <c r="AS373" s="283" t="e">
        <f t="shared" si="321"/>
        <v>#N/A</v>
      </c>
      <c r="AT373" s="284">
        <f t="shared" si="353"/>
        <v>7</v>
      </c>
      <c r="AU373" s="285" t="e">
        <f t="shared" si="354"/>
        <v>#N/A</v>
      </c>
      <c r="AV373" s="286" t="e">
        <f t="shared" si="355"/>
        <v>#N/A</v>
      </c>
      <c r="AW373" s="287" t="e">
        <f t="shared" si="322"/>
        <v>#N/A</v>
      </c>
      <c r="AX373" s="245">
        <f t="shared" si="356"/>
        <v>7</v>
      </c>
      <c r="AY373" s="286" t="e">
        <f t="shared" si="323"/>
        <v>#N/A</v>
      </c>
      <c r="AZ373" s="245" t="e">
        <f t="shared" si="357"/>
        <v>#N/A</v>
      </c>
      <c r="BA373" s="245" t="e">
        <f t="shared" si="324"/>
        <v>#N/A</v>
      </c>
      <c r="BB373" s="288">
        <f t="shared" si="358"/>
        <v>7</v>
      </c>
      <c r="BC373" s="289" t="e">
        <f t="shared" si="359"/>
        <v>#N/A</v>
      </c>
      <c r="BD373" s="290" t="e">
        <f t="shared" si="360"/>
        <v>#N/A</v>
      </c>
      <c r="BE373" s="263" t="e">
        <f t="shared" si="325"/>
        <v>#N/A</v>
      </c>
      <c r="BF373" s="260">
        <f t="shared" si="361"/>
        <v>7</v>
      </c>
      <c r="BG373" s="289" t="e">
        <f t="shared" si="362"/>
        <v>#N/A</v>
      </c>
      <c r="BH373" s="290" t="e">
        <f t="shared" si="363"/>
        <v>#N/A</v>
      </c>
      <c r="BI373" s="263" t="e">
        <f t="shared" si="326"/>
        <v>#N/A</v>
      </c>
      <c r="BJ373" s="264">
        <f t="shared" si="364"/>
        <v>7</v>
      </c>
      <c r="BK373" s="291" t="e">
        <f t="shared" si="365"/>
        <v>#N/A</v>
      </c>
      <c r="BL373" s="291" t="e">
        <f t="shared" si="366"/>
        <v>#N/A</v>
      </c>
      <c r="BM373" s="292" t="e">
        <f t="shared" si="327"/>
        <v>#N/A</v>
      </c>
      <c r="BN373" s="293">
        <f t="shared" si="367"/>
        <v>7</v>
      </c>
      <c r="BO373" s="294" t="e">
        <f t="shared" si="368"/>
        <v>#N/A</v>
      </c>
      <c r="BP373" s="294" t="e">
        <f t="shared" si="369"/>
        <v>#N/A</v>
      </c>
      <c r="BQ373" s="292" t="e">
        <f t="shared" si="328"/>
        <v>#N/A</v>
      </c>
      <c r="BR373" s="295" t="e">
        <f t="shared" si="329"/>
        <v>#N/A</v>
      </c>
      <c r="BS373" s="230" t="e">
        <f>VLOOKUP($B373,SDR22_STOCK_BY_LA!$A$2:$C$11679,3,0)</f>
        <v>#N/A</v>
      </c>
      <c r="BT373" s="230" t="str">
        <f t="shared" si="370"/>
        <v/>
      </c>
    </row>
    <row r="374" spans="1:72" ht="12.5" x14ac:dyDescent="0.25">
      <c r="A374" s="230" t="str">
        <f t="shared" si="371"/>
        <v/>
      </c>
      <c r="B374" s="230" t="str">
        <f t="shared" si="372"/>
        <v/>
      </c>
      <c r="C374" s="296" t="str">
        <f t="shared" si="330"/>
        <v/>
      </c>
      <c r="D374" s="269" t="str">
        <f>IF(B374="","",IF(totals!$Q$3=0,IFERROR(IF(AD374=2,"0",AE374),""),"-"))</f>
        <v/>
      </c>
      <c r="E374" s="271" t="str">
        <f t="shared" si="331"/>
        <v/>
      </c>
      <c r="F374" s="272" t="str">
        <f t="shared" si="332"/>
        <v/>
      </c>
      <c r="G374" s="272" t="str">
        <f t="shared" si="333"/>
        <v/>
      </c>
      <c r="H374" s="269" t="str">
        <f t="shared" si="311"/>
        <v/>
      </c>
      <c r="I374" s="272" t="str">
        <f t="shared" si="334"/>
        <v/>
      </c>
      <c r="J374" s="272" t="str">
        <f t="shared" si="335"/>
        <v/>
      </c>
      <c r="K374" s="269" t="str">
        <f t="shared" si="312"/>
        <v/>
      </c>
      <c r="L374" s="272" t="str">
        <f t="shared" si="313"/>
        <v/>
      </c>
      <c r="M374" s="272" t="str">
        <f t="shared" si="336"/>
        <v/>
      </c>
      <c r="N374" s="269" t="str">
        <f t="shared" si="337"/>
        <v/>
      </c>
      <c r="O374" s="272" t="str">
        <f t="shared" si="338"/>
        <v/>
      </c>
      <c r="P374" s="272" t="str">
        <f t="shared" si="339"/>
        <v/>
      </c>
      <c r="Q374" s="269" t="str">
        <f t="shared" si="340"/>
        <v/>
      </c>
      <c r="R374" s="272" t="str">
        <f t="shared" si="341"/>
        <v/>
      </c>
      <c r="S374" s="272" t="str">
        <f t="shared" si="342"/>
        <v/>
      </c>
      <c r="T374" s="269" t="str">
        <f t="shared" si="343"/>
        <v/>
      </c>
      <c r="U374" s="230"/>
      <c r="V374" s="230"/>
      <c r="AB374" s="230" t="e">
        <f>VLOOKUP($B$6,Lookup_Source,367,0)</f>
        <v>#N/A</v>
      </c>
      <c r="AC374" s="254" t="str">
        <f t="shared" si="344"/>
        <v/>
      </c>
      <c r="AD374" s="255">
        <f t="shared" si="345"/>
        <v>7</v>
      </c>
      <c r="AE374" s="274" t="e">
        <f t="shared" si="314"/>
        <v>#N/A</v>
      </c>
      <c r="AF374" s="277" t="e">
        <f t="shared" si="346"/>
        <v>#N/A</v>
      </c>
      <c r="AG374" s="277" t="e">
        <f t="shared" si="347"/>
        <v>#N/A</v>
      </c>
      <c r="AH374" s="276" t="e">
        <f t="shared" si="315"/>
        <v>#N/A</v>
      </c>
      <c r="AI374" s="239">
        <f t="shared" si="348"/>
        <v>7</v>
      </c>
      <c r="AJ374" s="277" t="e">
        <f t="shared" si="316"/>
        <v>#N/A</v>
      </c>
      <c r="AK374" s="277" t="e">
        <f t="shared" si="349"/>
        <v>#N/A</v>
      </c>
      <c r="AL374" s="239" t="e">
        <f t="shared" si="317"/>
        <v>#N/A</v>
      </c>
      <c r="AM374" s="278" t="e">
        <f t="shared" si="350"/>
        <v>#N/A</v>
      </c>
      <c r="AN374" s="279" t="e">
        <f t="shared" si="318"/>
        <v>#N/A</v>
      </c>
      <c r="AO374" s="240" t="e">
        <f t="shared" si="319"/>
        <v>#N/A</v>
      </c>
      <c r="AP374" s="297">
        <f t="shared" si="351"/>
        <v>7</v>
      </c>
      <c r="AQ374" s="298" t="e">
        <f t="shared" si="320"/>
        <v>#N/A</v>
      </c>
      <c r="AR374" s="279" t="e">
        <f t="shared" si="352"/>
        <v>#N/A</v>
      </c>
      <c r="AS374" s="283" t="e">
        <f t="shared" si="321"/>
        <v>#N/A</v>
      </c>
      <c r="AT374" s="284">
        <f t="shared" si="353"/>
        <v>7</v>
      </c>
      <c r="AU374" s="285" t="e">
        <f t="shared" si="354"/>
        <v>#N/A</v>
      </c>
      <c r="AV374" s="286" t="e">
        <f t="shared" si="355"/>
        <v>#N/A</v>
      </c>
      <c r="AW374" s="287" t="e">
        <f t="shared" si="322"/>
        <v>#N/A</v>
      </c>
      <c r="AX374" s="245">
        <f t="shared" si="356"/>
        <v>7</v>
      </c>
      <c r="AY374" s="286" t="e">
        <f t="shared" si="323"/>
        <v>#N/A</v>
      </c>
      <c r="AZ374" s="245" t="e">
        <f t="shared" si="357"/>
        <v>#N/A</v>
      </c>
      <c r="BA374" s="245" t="e">
        <f t="shared" si="324"/>
        <v>#N/A</v>
      </c>
      <c r="BB374" s="288">
        <f t="shared" si="358"/>
        <v>7</v>
      </c>
      <c r="BC374" s="289" t="e">
        <f t="shared" si="359"/>
        <v>#N/A</v>
      </c>
      <c r="BD374" s="290" t="e">
        <f t="shared" si="360"/>
        <v>#N/A</v>
      </c>
      <c r="BE374" s="263" t="e">
        <f t="shared" si="325"/>
        <v>#N/A</v>
      </c>
      <c r="BF374" s="260">
        <f t="shared" si="361"/>
        <v>7</v>
      </c>
      <c r="BG374" s="289" t="e">
        <f t="shared" si="362"/>
        <v>#N/A</v>
      </c>
      <c r="BH374" s="290" t="e">
        <f t="shared" si="363"/>
        <v>#N/A</v>
      </c>
      <c r="BI374" s="263" t="e">
        <f t="shared" si="326"/>
        <v>#N/A</v>
      </c>
      <c r="BJ374" s="264">
        <f t="shared" si="364"/>
        <v>7</v>
      </c>
      <c r="BK374" s="291" t="e">
        <f t="shared" si="365"/>
        <v>#N/A</v>
      </c>
      <c r="BL374" s="291" t="e">
        <f t="shared" si="366"/>
        <v>#N/A</v>
      </c>
      <c r="BM374" s="292" t="e">
        <f t="shared" si="327"/>
        <v>#N/A</v>
      </c>
      <c r="BN374" s="293">
        <f t="shared" si="367"/>
        <v>7</v>
      </c>
      <c r="BO374" s="294" t="e">
        <f t="shared" si="368"/>
        <v>#N/A</v>
      </c>
      <c r="BP374" s="294" t="e">
        <f t="shared" si="369"/>
        <v>#N/A</v>
      </c>
      <c r="BQ374" s="292" t="e">
        <f t="shared" si="328"/>
        <v>#N/A</v>
      </c>
      <c r="BR374" s="295" t="e">
        <f t="shared" si="329"/>
        <v>#N/A</v>
      </c>
      <c r="BS374" s="230" t="e">
        <f>VLOOKUP($B374,SDR22_STOCK_BY_LA!$A$2:$C$11679,3,0)</f>
        <v>#N/A</v>
      </c>
      <c r="BT374" s="230" t="str">
        <f t="shared" si="370"/>
        <v/>
      </c>
    </row>
    <row r="375" spans="1:72" ht="12.5" x14ac:dyDescent="0.25">
      <c r="A375" s="269" t="str">
        <f t="shared" si="371"/>
        <v/>
      </c>
      <c r="B375" s="230" t="str">
        <f t="shared" si="372"/>
        <v/>
      </c>
      <c r="C375" s="270" t="str">
        <f t="shared" si="330"/>
        <v/>
      </c>
      <c r="D375" s="269" t="str">
        <f>IF(B375="","",IF(totals!$Q$3=0,IFERROR(IF(AD375=2,"0",AE375),""),"-"))</f>
        <v/>
      </c>
      <c r="E375" s="271" t="str">
        <f t="shared" si="331"/>
        <v/>
      </c>
      <c r="F375" s="272" t="str">
        <f t="shared" si="332"/>
        <v/>
      </c>
      <c r="G375" s="272" t="str">
        <f t="shared" si="333"/>
        <v/>
      </c>
      <c r="H375" s="269" t="str">
        <f t="shared" si="311"/>
        <v/>
      </c>
      <c r="I375" s="272" t="str">
        <f t="shared" si="334"/>
        <v/>
      </c>
      <c r="J375" s="272" t="str">
        <f t="shared" si="335"/>
        <v/>
      </c>
      <c r="K375" s="269" t="str">
        <f t="shared" si="312"/>
        <v/>
      </c>
      <c r="L375" s="272" t="str">
        <f t="shared" si="313"/>
        <v/>
      </c>
      <c r="M375" s="272" t="str">
        <f t="shared" si="336"/>
        <v/>
      </c>
      <c r="N375" s="269" t="str">
        <f t="shared" si="337"/>
        <v/>
      </c>
      <c r="O375" s="272" t="str">
        <f t="shared" si="338"/>
        <v/>
      </c>
      <c r="P375" s="272" t="str">
        <f t="shared" si="339"/>
        <v/>
      </c>
      <c r="Q375" s="269" t="str">
        <f t="shared" si="340"/>
        <v/>
      </c>
      <c r="R375" s="272" t="str">
        <f t="shared" si="341"/>
        <v/>
      </c>
      <c r="S375" s="272" t="str">
        <f t="shared" si="342"/>
        <v/>
      </c>
      <c r="T375" s="269" t="str">
        <f t="shared" si="343"/>
        <v/>
      </c>
      <c r="U375" s="230"/>
      <c r="V375" s="230"/>
      <c r="AB375" s="270" t="e">
        <f>VLOOKUP($B$6,Lookup_Source,368,0)</f>
        <v>#N/A</v>
      </c>
      <c r="AC375" s="254" t="str">
        <f t="shared" si="344"/>
        <v/>
      </c>
      <c r="AD375" s="255">
        <f t="shared" si="345"/>
        <v>7</v>
      </c>
      <c r="AE375" s="274" t="e">
        <f t="shared" si="314"/>
        <v>#N/A</v>
      </c>
      <c r="AF375" s="277" t="e">
        <f t="shared" si="346"/>
        <v>#N/A</v>
      </c>
      <c r="AG375" s="277" t="e">
        <f t="shared" si="347"/>
        <v>#N/A</v>
      </c>
      <c r="AH375" s="276" t="e">
        <f t="shared" si="315"/>
        <v>#N/A</v>
      </c>
      <c r="AI375" s="239">
        <f t="shared" si="348"/>
        <v>7</v>
      </c>
      <c r="AJ375" s="277" t="e">
        <f t="shared" si="316"/>
        <v>#N/A</v>
      </c>
      <c r="AK375" s="277" t="e">
        <f t="shared" si="349"/>
        <v>#N/A</v>
      </c>
      <c r="AL375" s="239" t="e">
        <f t="shared" si="317"/>
        <v>#N/A</v>
      </c>
      <c r="AM375" s="278" t="e">
        <f t="shared" si="350"/>
        <v>#N/A</v>
      </c>
      <c r="AN375" s="279" t="e">
        <f t="shared" si="318"/>
        <v>#N/A</v>
      </c>
      <c r="AO375" s="240" t="e">
        <f t="shared" si="319"/>
        <v>#N/A</v>
      </c>
      <c r="AP375" s="297">
        <f t="shared" si="351"/>
        <v>7</v>
      </c>
      <c r="AQ375" s="298" t="e">
        <f t="shared" si="320"/>
        <v>#N/A</v>
      </c>
      <c r="AR375" s="279" t="e">
        <f t="shared" si="352"/>
        <v>#N/A</v>
      </c>
      <c r="AS375" s="283" t="e">
        <f t="shared" si="321"/>
        <v>#N/A</v>
      </c>
      <c r="AT375" s="284">
        <f t="shared" si="353"/>
        <v>7</v>
      </c>
      <c r="AU375" s="285" t="e">
        <f t="shared" si="354"/>
        <v>#N/A</v>
      </c>
      <c r="AV375" s="286" t="e">
        <f t="shared" si="355"/>
        <v>#N/A</v>
      </c>
      <c r="AW375" s="287" t="e">
        <f t="shared" si="322"/>
        <v>#N/A</v>
      </c>
      <c r="AX375" s="245">
        <f t="shared" si="356"/>
        <v>7</v>
      </c>
      <c r="AY375" s="286" t="e">
        <f t="shared" si="323"/>
        <v>#N/A</v>
      </c>
      <c r="AZ375" s="245" t="e">
        <f t="shared" si="357"/>
        <v>#N/A</v>
      </c>
      <c r="BA375" s="245" t="e">
        <f t="shared" si="324"/>
        <v>#N/A</v>
      </c>
      <c r="BB375" s="288">
        <f t="shared" si="358"/>
        <v>7</v>
      </c>
      <c r="BC375" s="289" t="e">
        <f t="shared" si="359"/>
        <v>#N/A</v>
      </c>
      <c r="BD375" s="290" t="e">
        <f t="shared" si="360"/>
        <v>#N/A</v>
      </c>
      <c r="BE375" s="263" t="e">
        <f t="shared" si="325"/>
        <v>#N/A</v>
      </c>
      <c r="BF375" s="260">
        <f t="shared" si="361"/>
        <v>7</v>
      </c>
      <c r="BG375" s="289" t="e">
        <f t="shared" si="362"/>
        <v>#N/A</v>
      </c>
      <c r="BH375" s="290" t="e">
        <f t="shared" si="363"/>
        <v>#N/A</v>
      </c>
      <c r="BI375" s="263" t="e">
        <f t="shared" si="326"/>
        <v>#N/A</v>
      </c>
      <c r="BJ375" s="264">
        <f t="shared" si="364"/>
        <v>7</v>
      </c>
      <c r="BK375" s="291" t="e">
        <f t="shared" si="365"/>
        <v>#N/A</v>
      </c>
      <c r="BL375" s="291" t="e">
        <f t="shared" si="366"/>
        <v>#N/A</v>
      </c>
      <c r="BM375" s="292" t="e">
        <f t="shared" si="327"/>
        <v>#N/A</v>
      </c>
      <c r="BN375" s="293">
        <f t="shared" si="367"/>
        <v>7</v>
      </c>
      <c r="BO375" s="294" t="e">
        <f t="shared" si="368"/>
        <v>#N/A</v>
      </c>
      <c r="BP375" s="294" t="e">
        <f t="shared" si="369"/>
        <v>#N/A</v>
      </c>
      <c r="BQ375" s="292" t="e">
        <f t="shared" si="328"/>
        <v>#N/A</v>
      </c>
      <c r="BR375" s="295" t="e">
        <f t="shared" si="329"/>
        <v>#N/A</v>
      </c>
      <c r="BS375" s="230" t="e">
        <f>VLOOKUP($B375,SDR22_STOCK_BY_LA!$A$2:$C$11679,3,0)</f>
        <v>#N/A</v>
      </c>
      <c r="BT375" s="230" t="str">
        <f t="shared" si="370"/>
        <v/>
      </c>
    </row>
    <row r="376" spans="1:72" ht="12.5" x14ac:dyDescent="0.25">
      <c r="A376" s="230" t="str">
        <f t="shared" si="371"/>
        <v/>
      </c>
      <c r="B376" s="230" t="str">
        <f t="shared" si="372"/>
        <v/>
      </c>
      <c r="C376" s="296" t="str">
        <f t="shared" si="330"/>
        <v/>
      </c>
      <c r="D376" s="269" t="str">
        <f>IF(B376="","",IF(totals!$Q$3=0,IFERROR(IF(AD376=2,"0",AE376),""),"-"))</f>
        <v/>
      </c>
      <c r="E376" s="271" t="str">
        <f t="shared" si="331"/>
        <v/>
      </c>
      <c r="F376" s="272" t="str">
        <f t="shared" si="332"/>
        <v/>
      </c>
      <c r="G376" s="272" t="str">
        <f t="shared" si="333"/>
        <v/>
      </c>
      <c r="H376" s="269" t="str">
        <f t="shared" si="311"/>
        <v/>
      </c>
      <c r="I376" s="272" t="str">
        <f t="shared" si="334"/>
        <v/>
      </c>
      <c r="J376" s="272" t="str">
        <f t="shared" si="335"/>
        <v/>
      </c>
      <c r="K376" s="269" t="str">
        <f t="shared" si="312"/>
        <v/>
      </c>
      <c r="L376" s="272" t="str">
        <f t="shared" si="313"/>
        <v/>
      </c>
      <c r="M376" s="272" t="str">
        <f t="shared" si="336"/>
        <v/>
      </c>
      <c r="N376" s="269" t="str">
        <f t="shared" si="337"/>
        <v/>
      </c>
      <c r="O376" s="272" t="str">
        <f t="shared" si="338"/>
        <v/>
      </c>
      <c r="P376" s="272" t="str">
        <f t="shared" si="339"/>
        <v/>
      </c>
      <c r="Q376" s="269" t="str">
        <f t="shared" si="340"/>
        <v/>
      </c>
      <c r="R376" s="272" t="str">
        <f t="shared" si="341"/>
        <v/>
      </c>
      <c r="S376" s="272" t="str">
        <f t="shared" si="342"/>
        <v/>
      </c>
      <c r="T376" s="269" t="str">
        <f t="shared" si="343"/>
        <v/>
      </c>
      <c r="U376" s="230"/>
      <c r="V376" s="230"/>
      <c r="AB376" s="230" t="e">
        <f>VLOOKUP($B$6,Lookup_Source,369,0)</f>
        <v>#N/A</v>
      </c>
      <c r="AC376" s="254" t="str">
        <f t="shared" si="344"/>
        <v/>
      </c>
      <c r="AD376" s="255">
        <f t="shared" si="345"/>
        <v>7</v>
      </c>
      <c r="AE376" s="274" t="e">
        <f t="shared" si="314"/>
        <v>#N/A</v>
      </c>
      <c r="AF376" s="277" t="e">
        <f t="shared" si="346"/>
        <v>#N/A</v>
      </c>
      <c r="AG376" s="277" t="e">
        <f t="shared" si="347"/>
        <v>#N/A</v>
      </c>
      <c r="AH376" s="276" t="e">
        <f t="shared" si="315"/>
        <v>#N/A</v>
      </c>
      <c r="AI376" s="239">
        <f t="shared" si="348"/>
        <v>7</v>
      </c>
      <c r="AJ376" s="277" t="e">
        <f t="shared" si="316"/>
        <v>#N/A</v>
      </c>
      <c r="AK376" s="277" t="e">
        <f t="shared" si="349"/>
        <v>#N/A</v>
      </c>
      <c r="AL376" s="239" t="e">
        <f t="shared" si="317"/>
        <v>#N/A</v>
      </c>
      <c r="AM376" s="278" t="e">
        <f t="shared" si="350"/>
        <v>#N/A</v>
      </c>
      <c r="AN376" s="279" t="e">
        <f t="shared" si="318"/>
        <v>#N/A</v>
      </c>
      <c r="AO376" s="240" t="e">
        <f t="shared" si="319"/>
        <v>#N/A</v>
      </c>
      <c r="AP376" s="297">
        <f t="shared" si="351"/>
        <v>7</v>
      </c>
      <c r="AQ376" s="298" t="e">
        <f t="shared" si="320"/>
        <v>#N/A</v>
      </c>
      <c r="AR376" s="279" t="e">
        <f t="shared" si="352"/>
        <v>#N/A</v>
      </c>
      <c r="AS376" s="283" t="e">
        <f t="shared" si="321"/>
        <v>#N/A</v>
      </c>
      <c r="AT376" s="284">
        <f t="shared" si="353"/>
        <v>7</v>
      </c>
      <c r="AU376" s="285" t="e">
        <f t="shared" si="354"/>
        <v>#N/A</v>
      </c>
      <c r="AV376" s="286" t="e">
        <f t="shared" si="355"/>
        <v>#N/A</v>
      </c>
      <c r="AW376" s="287" t="e">
        <f t="shared" si="322"/>
        <v>#N/A</v>
      </c>
      <c r="AX376" s="245">
        <f t="shared" si="356"/>
        <v>7</v>
      </c>
      <c r="AY376" s="286" t="e">
        <f t="shared" si="323"/>
        <v>#N/A</v>
      </c>
      <c r="AZ376" s="245" t="e">
        <f t="shared" si="357"/>
        <v>#N/A</v>
      </c>
      <c r="BA376" s="245" t="e">
        <f t="shared" si="324"/>
        <v>#N/A</v>
      </c>
      <c r="BB376" s="288">
        <f t="shared" si="358"/>
        <v>7</v>
      </c>
      <c r="BC376" s="289" t="e">
        <f t="shared" si="359"/>
        <v>#N/A</v>
      </c>
      <c r="BD376" s="290" t="e">
        <f t="shared" si="360"/>
        <v>#N/A</v>
      </c>
      <c r="BE376" s="263" t="e">
        <f t="shared" si="325"/>
        <v>#N/A</v>
      </c>
      <c r="BF376" s="260">
        <f t="shared" si="361"/>
        <v>7</v>
      </c>
      <c r="BG376" s="289" t="e">
        <f t="shared" si="362"/>
        <v>#N/A</v>
      </c>
      <c r="BH376" s="290" t="e">
        <f t="shared" si="363"/>
        <v>#N/A</v>
      </c>
      <c r="BI376" s="263" t="e">
        <f t="shared" si="326"/>
        <v>#N/A</v>
      </c>
      <c r="BJ376" s="264">
        <f t="shared" si="364"/>
        <v>7</v>
      </c>
      <c r="BK376" s="291" t="e">
        <f t="shared" si="365"/>
        <v>#N/A</v>
      </c>
      <c r="BL376" s="291" t="e">
        <f t="shared" si="366"/>
        <v>#N/A</v>
      </c>
      <c r="BM376" s="292" t="e">
        <f t="shared" si="327"/>
        <v>#N/A</v>
      </c>
      <c r="BN376" s="293">
        <f t="shared" si="367"/>
        <v>7</v>
      </c>
      <c r="BO376" s="294" t="e">
        <f t="shared" si="368"/>
        <v>#N/A</v>
      </c>
      <c r="BP376" s="294" t="e">
        <f t="shared" si="369"/>
        <v>#N/A</v>
      </c>
      <c r="BQ376" s="292" t="e">
        <f t="shared" si="328"/>
        <v>#N/A</v>
      </c>
      <c r="BR376" s="295" t="e">
        <f t="shared" si="329"/>
        <v>#N/A</v>
      </c>
      <c r="BS376" s="230" t="e">
        <f>VLOOKUP($B376,SDR22_STOCK_BY_LA!$A$2:$C$11679,3,0)</f>
        <v>#N/A</v>
      </c>
      <c r="BT376" s="230" t="str">
        <f t="shared" si="370"/>
        <v/>
      </c>
    </row>
    <row r="377" spans="1:72" ht="12.5" x14ac:dyDescent="0.25">
      <c r="A377" s="269" t="str">
        <f t="shared" si="371"/>
        <v/>
      </c>
      <c r="B377" s="230" t="str">
        <f t="shared" si="372"/>
        <v/>
      </c>
      <c r="C377" s="270" t="str">
        <f t="shared" si="330"/>
        <v/>
      </c>
      <c r="D377" s="269" t="str">
        <f>IF(B377="","",IF(totals!$Q$3=0,IFERROR(IF(AD377=2,"0",AE377),""),"-"))</f>
        <v/>
      </c>
      <c r="E377" s="271" t="str">
        <f t="shared" si="331"/>
        <v/>
      </c>
      <c r="F377" s="272" t="str">
        <f t="shared" si="332"/>
        <v/>
      </c>
      <c r="G377" s="272" t="str">
        <f t="shared" si="333"/>
        <v/>
      </c>
      <c r="H377" s="269" t="str">
        <f t="shared" si="311"/>
        <v/>
      </c>
      <c r="I377" s="272" t="str">
        <f t="shared" si="334"/>
        <v/>
      </c>
      <c r="J377" s="272" t="str">
        <f t="shared" si="335"/>
        <v/>
      </c>
      <c r="K377" s="269" t="str">
        <f t="shared" si="312"/>
        <v/>
      </c>
      <c r="L377" s="272" t="str">
        <f t="shared" si="313"/>
        <v/>
      </c>
      <c r="M377" s="272" t="str">
        <f t="shared" si="336"/>
        <v/>
      </c>
      <c r="N377" s="269" t="str">
        <f t="shared" si="337"/>
        <v/>
      </c>
      <c r="O377" s="272" t="str">
        <f t="shared" si="338"/>
        <v/>
      </c>
      <c r="P377" s="272" t="str">
        <f t="shared" si="339"/>
        <v/>
      </c>
      <c r="Q377" s="269" t="str">
        <f t="shared" si="340"/>
        <v/>
      </c>
      <c r="R377" s="272" t="str">
        <f t="shared" si="341"/>
        <v/>
      </c>
      <c r="S377" s="272" t="str">
        <f t="shared" si="342"/>
        <v/>
      </c>
      <c r="T377" s="269" t="str">
        <f t="shared" si="343"/>
        <v/>
      </c>
      <c r="U377" s="230"/>
      <c r="V377" s="230"/>
      <c r="AB377" s="270" t="e">
        <f>VLOOKUP($B$6,Lookup_Source,370,0)</f>
        <v>#N/A</v>
      </c>
      <c r="AC377" s="254" t="str">
        <f t="shared" si="344"/>
        <v/>
      </c>
      <c r="AD377" s="255">
        <f t="shared" si="345"/>
        <v>7</v>
      </c>
      <c r="AE377" s="274" t="e">
        <f t="shared" si="314"/>
        <v>#N/A</v>
      </c>
      <c r="AF377" s="277" t="e">
        <f t="shared" si="346"/>
        <v>#N/A</v>
      </c>
      <c r="AG377" s="277" t="e">
        <f t="shared" si="347"/>
        <v>#N/A</v>
      </c>
      <c r="AH377" s="276" t="e">
        <f t="shared" si="315"/>
        <v>#N/A</v>
      </c>
      <c r="AI377" s="239">
        <f t="shared" si="348"/>
        <v>7</v>
      </c>
      <c r="AJ377" s="277" t="e">
        <f t="shared" si="316"/>
        <v>#N/A</v>
      </c>
      <c r="AK377" s="277" t="e">
        <f t="shared" si="349"/>
        <v>#N/A</v>
      </c>
      <c r="AL377" s="239" t="e">
        <f t="shared" si="317"/>
        <v>#N/A</v>
      </c>
      <c r="AM377" s="278" t="e">
        <f t="shared" si="350"/>
        <v>#N/A</v>
      </c>
      <c r="AN377" s="279" t="e">
        <f t="shared" si="318"/>
        <v>#N/A</v>
      </c>
      <c r="AO377" s="240" t="e">
        <f t="shared" si="319"/>
        <v>#N/A</v>
      </c>
      <c r="AP377" s="297">
        <f t="shared" si="351"/>
        <v>7</v>
      </c>
      <c r="AQ377" s="298" t="e">
        <f t="shared" si="320"/>
        <v>#N/A</v>
      </c>
      <c r="AR377" s="279" t="e">
        <f t="shared" si="352"/>
        <v>#N/A</v>
      </c>
      <c r="AS377" s="283" t="e">
        <f t="shared" si="321"/>
        <v>#N/A</v>
      </c>
      <c r="AT377" s="284">
        <f t="shared" si="353"/>
        <v>7</v>
      </c>
      <c r="AU377" s="285" t="e">
        <f t="shared" si="354"/>
        <v>#N/A</v>
      </c>
      <c r="AV377" s="286" t="e">
        <f t="shared" si="355"/>
        <v>#N/A</v>
      </c>
      <c r="AW377" s="287" t="e">
        <f t="shared" si="322"/>
        <v>#N/A</v>
      </c>
      <c r="AX377" s="245">
        <f t="shared" si="356"/>
        <v>7</v>
      </c>
      <c r="AY377" s="286" t="e">
        <f t="shared" si="323"/>
        <v>#N/A</v>
      </c>
      <c r="AZ377" s="245" t="e">
        <f t="shared" si="357"/>
        <v>#N/A</v>
      </c>
      <c r="BA377" s="245" t="e">
        <f t="shared" si="324"/>
        <v>#N/A</v>
      </c>
      <c r="BB377" s="288">
        <f t="shared" si="358"/>
        <v>7</v>
      </c>
      <c r="BC377" s="289" t="e">
        <f t="shared" si="359"/>
        <v>#N/A</v>
      </c>
      <c r="BD377" s="290" t="e">
        <f t="shared" si="360"/>
        <v>#N/A</v>
      </c>
      <c r="BE377" s="263" t="e">
        <f t="shared" si="325"/>
        <v>#N/A</v>
      </c>
      <c r="BF377" s="260">
        <f t="shared" si="361"/>
        <v>7</v>
      </c>
      <c r="BG377" s="289" t="e">
        <f t="shared" si="362"/>
        <v>#N/A</v>
      </c>
      <c r="BH377" s="290" t="e">
        <f t="shared" si="363"/>
        <v>#N/A</v>
      </c>
      <c r="BI377" s="263" t="e">
        <f t="shared" si="326"/>
        <v>#N/A</v>
      </c>
      <c r="BJ377" s="264">
        <f t="shared" si="364"/>
        <v>7</v>
      </c>
      <c r="BK377" s="291" t="e">
        <f t="shared" si="365"/>
        <v>#N/A</v>
      </c>
      <c r="BL377" s="291" t="e">
        <f t="shared" si="366"/>
        <v>#N/A</v>
      </c>
      <c r="BM377" s="292" t="e">
        <f t="shared" si="327"/>
        <v>#N/A</v>
      </c>
      <c r="BN377" s="293">
        <f t="shared" si="367"/>
        <v>7</v>
      </c>
      <c r="BO377" s="294" t="e">
        <f t="shared" si="368"/>
        <v>#N/A</v>
      </c>
      <c r="BP377" s="294" t="e">
        <f t="shared" si="369"/>
        <v>#N/A</v>
      </c>
      <c r="BQ377" s="292" t="e">
        <f t="shared" si="328"/>
        <v>#N/A</v>
      </c>
      <c r="BR377" s="295" t="e">
        <f t="shared" si="329"/>
        <v>#N/A</v>
      </c>
      <c r="BS377" s="230" t="e">
        <f>VLOOKUP($B377,SDR22_STOCK_BY_LA!$A$2:$C$11679,3,0)</f>
        <v>#N/A</v>
      </c>
      <c r="BT377" s="230" t="str">
        <f t="shared" si="370"/>
        <v/>
      </c>
    </row>
    <row r="378" spans="1:72" ht="12.5" x14ac:dyDescent="0.25">
      <c r="A378" s="230" t="str">
        <f t="shared" si="371"/>
        <v/>
      </c>
      <c r="B378" s="230" t="str">
        <f t="shared" si="372"/>
        <v/>
      </c>
      <c r="C378" s="296" t="str">
        <f t="shared" si="330"/>
        <v/>
      </c>
      <c r="D378" s="269" t="str">
        <f>IF(B378="","",IF(totals!$Q$3=0,IFERROR(IF(AD378=2,"0",AE378),""),"-"))</f>
        <v/>
      </c>
      <c r="E378" s="271" t="str">
        <f t="shared" si="331"/>
        <v/>
      </c>
      <c r="F378" s="272" t="str">
        <f t="shared" si="332"/>
        <v/>
      </c>
      <c r="G378" s="272" t="str">
        <f t="shared" si="333"/>
        <v/>
      </c>
      <c r="H378" s="269" t="str">
        <f t="shared" si="311"/>
        <v/>
      </c>
      <c r="I378" s="272" t="str">
        <f t="shared" si="334"/>
        <v/>
      </c>
      <c r="J378" s="272" t="str">
        <f t="shared" si="335"/>
        <v/>
      </c>
      <c r="K378" s="269" t="str">
        <f t="shared" si="312"/>
        <v/>
      </c>
      <c r="L378" s="272" t="str">
        <f t="shared" si="313"/>
        <v/>
      </c>
      <c r="M378" s="272" t="str">
        <f t="shared" si="336"/>
        <v/>
      </c>
      <c r="N378" s="269" t="str">
        <f t="shared" si="337"/>
        <v/>
      </c>
      <c r="O378" s="272" t="str">
        <f t="shared" si="338"/>
        <v/>
      </c>
      <c r="P378" s="272" t="str">
        <f t="shared" si="339"/>
        <v/>
      </c>
      <c r="Q378" s="269" t="str">
        <f t="shared" si="340"/>
        <v/>
      </c>
      <c r="R378" s="272" t="str">
        <f t="shared" si="341"/>
        <v/>
      </c>
      <c r="S378" s="272" t="str">
        <f t="shared" si="342"/>
        <v/>
      </c>
      <c r="T378" s="269" t="str">
        <f t="shared" si="343"/>
        <v/>
      </c>
      <c r="U378" s="230"/>
      <c r="V378" s="230"/>
      <c r="AB378" s="230" t="e">
        <f>VLOOKUP($B$6,Lookup_Source,371,0)</f>
        <v>#N/A</v>
      </c>
      <c r="AC378" s="254" t="str">
        <f t="shared" si="344"/>
        <v/>
      </c>
      <c r="AD378" s="255">
        <f t="shared" si="345"/>
        <v>7</v>
      </c>
      <c r="AE378" s="274" t="e">
        <f t="shared" si="314"/>
        <v>#N/A</v>
      </c>
      <c r="AF378" s="277" t="e">
        <f t="shared" si="346"/>
        <v>#N/A</v>
      </c>
      <c r="AG378" s="277" t="e">
        <f t="shared" si="347"/>
        <v>#N/A</v>
      </c>
      <c r="AH378" s="276" t="e">
        <f t="shared" si="315"/>
        <v>#N/A</v>
      </c>
      <c r="AI378" s="239">
        <f t="shared" si="348"/>
        <v>7</v>
      </c>
      <c r="AJ378" s="277" t="e">
        <f t="shared" si="316"/>
        <v>#N/A</v>
      </c>
      <c r="AK378" s="277" t="e">
        <f t="shared" si="349"/>
        <v>#N/A</v>
      </c>
      <c r="AL378" s="239" t="e">
        <f t="shared" si="317"/>
        <v>#N/A</v>
      </c>
      <c r="AM378" s="278" t="e">
        <f t="shared" si="350"/>
        <v>#N/A</v>
      </c>
      <c r="AN378" s="279" t="e">
        <f t="shared" si="318"/>
        <v>#N/A</v>
      </c>
      <c r="AO378" s="240" t="e">
        <f t="shared" si="319"/>
        <v>#N/A</v>
      </c>
      <c r="AP378" s="297">
        <f t="shared" si="351"/>
        <v>7</v>
      </c>
      <c r="AQ378" s="298" t="e">
        <f t="shared" si="320"/>
        <v>#N/A</v>
      </c>
      <c r="AR378" s="279" t="e">
        <f t="shared" si="352"/>
        <v>#N/A</v>
      </c>
      <c r="AS378" s="283" t="e">
        <f t="shared" si="321"/>
        <v>#N/A</v>
      </c>
      <c r="AT378" s="284">
        <f t="shared" si="353"/>
        <v>7</v>
      </c>
      <c r="AU378" s="285" t="e">
        <f t="shared" si="354"/>
        <v>#N/A</v>
      </c>
      <c r="AV378" s="286" t="e">
        <f t="shared" si="355"/>
        <v>#N/A</v>
      </c>
      <c r="AW378" s="287" t="e">
        <f t="shared" si="322"/>
        <v>#N/A</v>
      </c>
      <c r="AX378" s="245">
        <f t="shared" si="356"/>
        <v>7</v>
      </c>
      <c r="AY378" s="286" t="e">
        <f t="shared" si="323"/>
        <v>#N/A</v>
      </c>
      <c r="AZ378" s="245" t="e">
        <f t="shared" si="357"/>
        <v>#N/A</v>
      </c>
      <c r="BA378" s="245" t="e">
        <f t="shared" si="324"/>
        <v>#N/A</v>
      </c>
      <c r="BB378" s="288">
        <f t="shared" si="358"/>
        <v>7</v>
      </c>
      <c r="BC378" s="289" t="e">
        <f t="shared" si="359"/>
        <v>#N/A</v>
      </c>
      <c r="BD378" s="290" t="e">
        <f t="shared" si="360"/>
        <v>#N/A</v>
      </c>
      <c r="BE378" s="263" t="e">
        <f t="shared" si="325"/>
        <v>#N/A</v>
      </c>
      <c r="BF378" s="260">
        <f t="shared" si="361"/>
        <v>7</v>
      </c>
      <c r="BG378" s="289" t="e">
        <f t="shared" si="362"/>
        <v>#N/A</v>
      </c>
      <c r="BH378" s="290" t="e">
        <f t="shared" si="363"/>
        <v>#N/A</v>
      </c>
      <c r="BI378" s="263" t="e">
        <f t="shared" si="326"/>
        <v>#N/A</v>
      </c>
      <c r="BJ378" s="264">
        <f t="shared" si="364"/>
        <v>7</v>
      </c>
      <c r="BK378" s="291" t="e">
        <f t="shared" si="365"/>
        <v>#N/A</v>
      </c>
      <c r="BL378" s="291" t="e">
        <f t="shared" si="366"/>
        <v>#N/A</v>
      </c>
      <c r="BM378" s="292" t="e">
        <f t="shared" si="327"/>
        <v>#N/A</v>
      </c>
      <c r="BN378" s="293">
        <f t="shared" si="367"/>
        <v>7</v>
      </c>
      <c r="BO378" s="294" t="e">
        <f t="shared" si="368"/>
        <v>#N/A</v>
      </c>
      <c r="BP378" s="294" t="e">
        <f t="shared" si="369"/>
        <v>#N/A</v>
      </c>
      <c r="BQ378" s="292" t="e">
        <f t="shared" si="328"/>
        <v>#N/A</v>
      </c>
      <c r="BR378" s="295" t="e">
        <f t="shared" si="329"/>
        <v>#N/A</v>
      </c>
      <c r="BS378" s="230" t="e">
        <f>VLOOKUP($B378,SDR22_STOCK_BY_LA!$A$2:$C$11679,3,0)</f>
        <v>#N/A</v>
      </c>
      <c r="BT378" s="230" t="str">
        <f t="shared" si="370"/>
        <v/>
      </c>
    </row>
    <row r="379" spans="1:72" ht="12.5" x14ac:dyDescent="0.25">
      <c r="A379" s="269" t="str">
        <f t="shared" si="371"/>
        <v/>
      </c>
      <c r="B379" s="230" t="str">
        <f t="shared" si="372"/>
        <v/>
      </c>
      <c r="C379" s="270" t="str">
        <f t="shared" si="330"/>
        <v/>
      </c>
      <c r="D379" s="269" t="str">
        <f>IF(B379="","",IF(totals!$Q$3=0,IFERROR(IF(AD379=2,"0",AE379),""),"-"))</f>
        <v/>
      </c>
      <c r="E379" s="271" t="str">
        <f t="shared" si="331"/>
        <v/>
      </c>
      <c r="F379" s="272" t="str">
        <f t="shared" si="332"/>
        <v/>
      </c>
      <c r="G379" s="272" t="str">
        <f t="shared" si="333"/>
        <v/>
      </c>
      <c r="H379" s="269" t="str">
        <f t="shared" si="311"/>
        <v/>
      </c>
      <c r="I379" s="272" t="str">
        <f t="shared" si="334"/>
        <v/>
      </c>
      <c r="J379" s="272" t="str">
        <f t="shared" si="335"/>
        <v/>
      </c>
      <c r="K379" s="269" t="str">
        <f t="shared" si="312"/>
        <v/>
      </c>
      <c r="L379" s="272" t="str">
        <f t="shared" si="313"/>
        <v/>
      </c>
      <c r="M379" s="272" t="str">
        <f t="shared" si="336"/>
        <v/>
      </c>
      <c r="N379" s="269" t="str">
        <f t="shared" si="337"/>
        <v/>
      </c>
      <c r="O379" s="272" t="str">
        <f t="shared" si="338"/>
        <v/>
      </c>
      <c r="P379" s="272" t="str">
        <f t="shared" si="339"/>
        <v/>
      </c>
      <c r="Q379" s="269" t="str">
        <f t="shared" si="340"/>
        <v/>
      </c>
      <c r="R379" s="272" t="str">
        <f t="shared" si="341"/>
        <v/>
      </c>
      <c r="S379" s="272" t="str">
        <f t="shared" si="342"/>
        <v/>
      </c>
      <c r="T379" s="269" t="str">
        <f t="shared" si="343"/>
        <v/>
      </c>
      <c r="U379" s="230"/>
      <c r="V379" s="230"/>
      <c r="AB379" s="270" t="e">
        <f>VLOOKUP($B$6,Lookup_Source,372,0)</f>
        <v>#N/A</v>
      </c>
      <c r="AC379" s="254" t="str">
        <f t="shared" si="344"/>
        <v/>
      </c>
      <c r="AD379" s="255">
        <f t="shared" si="345"/>
        <v>7</v>
      </c>
      <c r="AE379" s="274" t="e">
        <f t="shared" si="314"/>
        <v>#N/A</v>
      </c>
      <c r="AF379" s="277" t="e">
        <f t="shared" si="346"/>
        <v>#N/A</v>
      </c>
      <c r="AG379" s="277" t="e">
        <f t="shared" si="347"/>
        <v>#N/A</v>
      </c>
      <c r="AH379" s="276" t="e">
        <f t="shared" si="315"/>
        <v>#N/A</v>
      </c>
      <c r="AI379" s="239">
        <f t="shared" si="348"/>
        <v>7</v>
      </c>
      <c r="AJ379" s="277" t="e">
        <f t="shared" si="316"/>
        <v>#N/A</v>
      </c>
      <c r="AK379" s="277" t="e">
        <f t="shared" si="349"/>
        <v>#N/A</v>
      </c>
      <c r="AL379" s="239" t="e">
        <f t="shared" si="317"/>
        <v>#N/A</v>
      </c>
      <c r="AM379" s="278" t="e">
        <f t="shared" si="350"/>
        <v>#N/A</v>
      </c>
      <c r="AN379" s="279" t="e">
        <f t="shared" si="318"/>
        <v>#N/A</v>
      </c>
      <c r="AO379" s="240" t="e">
        <f t="shared" si="319"/>
        <v>#N/A</v>
      </c>
      <c r="AP379" s="297">
        <f t="shared" si="351"/>
        <v>7</v>
      </c>
      <c r="AQ379" s="298" t="e">
        <f t="shared" si="320"/>
        <v>#N/A</v>
      </c>
      <c r="AR379" s="279" t="e">
        <f t="shared" si="352"/>
        <v>#N/A</v>
      </c>
      <c r="AS379" s="283" t="e">
        <f t="shared" si="321"/>
        <v>#N/A</v>
      </c>
      <c r="AT379" s="284">
        <f t="shared" si="353"/>
        <v>7</v>
      </c>
      <c r="AU379" s="285" t="e">
        <f t="shared" si="354"/>
        <v>#N/A</v>
      </c>
      <c r="AV379" s="286" t="e">
        <f t="shared" si="355"/>
        <v>#N/A</v>
      </c>
      <c r="AW379" s="287" t="e">
        <f t="shared" si="322"/>
        <v>#N/A</v>
      </c>
      <c r="AX379" s="245">
        <f t="shared" si="356"/>
        <v>7</v>
      </c>
      <c r="AY379" s="286" t="e">
        <f t="shared" si="323"/>
        <v>#N/A</v>
      </c>
      <c r="AZ379" s="245" t="e">
        <f t="shared" si="357"/>
        <v>#N/A</v>
      </c>
      <c r="BA379" s="245" t="e">
        <f t="shared" si="324"/>
        <v>#N/A</v>
      </c>
      <c r="BB379" s="288">
        <f t="shared" si="358"/>
        <v>7</v>
      </c>
      <c r="BC379" s="289" t="e">
        <f t="shared" si="359"/>
        <v>#N/A</v>
      </c>
      <c r="BD379" s="290" t="e">
        <f t="shared" si="360"/>
        <v>#N/A</v>
      </c>
      <c r="BE379" s="263" t="e">
        <f t="shared" si="325"/>
        <v>#N/A</v>
      </c>
      <c r="BF379" s="260">
        <f t="shared" si="361"/>
        <v>7</v>
      </c>
      <c r="BG379" s="289" t="e">
        <f t="shared" si="362"/>
        <v>#N/A</v>
      </c>
      <c r="BH379" s="290" t="e">
        <f t="shared" si="363"/>
        <v>#N/A</v>
      </c>
      <c r="BI379" s="263" t="e">
        <f t="shared" si="326"/>
        <v>#N/A</v>
      </c>
      <c r="BJ379" s="264">
        <f t="shared" si="364"/>
        <v>7</v>
      </c>
      <c r="BK379" s="291" t="e">
        <f t="shared" si="365"/>
        <v>#N/A</v>
      </c>
      <c r="BL379" s="291" t="e">
        <f t="shared" si="366"/>
        <v>#N/A</v>
      </c>
      <c r="BM379" s="292" t="e">
        <f t="shared" si="327"/>
        <v>#N/A</v>
      </c>
      <c r="BN379" s="293">
        <f t="shared" si="367"/>
        <v>7</v>
      </c>
      <c r="BO379" s="294" t="e">
        <f t="shared" si="368"/>
        <v>#N/A</v>
      </c>
      <c r="BP379" s="294" t="e">
        <f t="shared" si="369"/>
        <v>#N/A</v>
      </c>
      <c r="BQ379" s="292" t="e">
        <f t="shared" si="328"/>
        <v>#N/A</v>
      </c>
      <c r="BR379" s="295" t="e">
        <f t="shared" si="329"/>
        <v>#N/A</v>
      </c>
      <c r="BS379" s="230" t="e">
        <f>VLOOKUP($B379,SDR22_STOCK_BY_LA!$A$2:$C$11679,3,0)</f>
        <v>#N/A</v>
      </c>
      <c r="BT379" s="230" t="str">
        <f t="shared" si="370"/>
        <v/>
      </c>
    </row>
    <row r="380" spans="1:72" ht="12.5" x14ac:dyDescent="0.25">
      <c r="A380" s="230" t="str">
        <f t="shared" si="371"/>
        <v/>
      </c>
      <c r="B380" s="230" t="str">
        <f t="shared" si="372"/>
        <v/>
      </c>
      <c r="C380" s="296" t="str">
        <f t="shared" si="330"/>
        <v/>
      </c>
      <c r="D380" s="269" t="str">
        <f>IF(B380="","",IF(totals!$Q$3=0,IFERROR(IF(AD380=2,"0",AE380),""),"-"))</f>
        <v/>
      </c>
      <c r="E380" s="271" t="str">
        <f t="shared" si="331"/>
        <v/>
      </c>
      <c r="F380" s="272" t="str">
        <f t="shared" si="332"/>
        <v/>
      </c>
      <c r="G380" s="272" t="str">
        <f t="shared" si="333"/>
        <v/>
      </c>
      <c r="H380" s="269" t="str">
        <f t="shared" si="311"/>
        <v/>
      </c>
      <c r="I380" s="272" t="str">
        <f t="shared" si="334"/>
        <v/>
      </c>
      <c r="J380" s="272" t="str">
        <f t="shared" si="335"/>
        <v/>
      </c>
      <c r="K380" s="269" t="str">
        <f t="shared" si="312"/>
        <v/>
      </c>
      <c r="L380" s="272" t="str">
        <f t="shared" si="313"/>
        <v/>
      </c>
      <c r="M380" s="272" t="str">
        <f t="shared" si="336"/>
        <v/>
      </c>
      <c r="N380" s="269" t="str">
        <f t="shared" si="337"/>
        <v/>
      </c>
      <c r="O380" s="272" t="str">
        <f t="shared" si="338"/>
        <v/>
      </c>
      <c r="P380" s="272" t="str">
        <f t="shared" si="339"/>
        <v/>
      </c>
      <c r="Q380" s="269" t="str">
        <f t="shared" si="340"/>
        <v/>
      </c>
      <c r="R380" s="272" t="str">
        <f t="shared" si="341"/>
        <v/>
      </c>
      <c r="S380" s="272" t="str">
        <f t="shared" si="342"/>
        <v/>
      </c>
      <c r="T380" s="269" t="str">
        <f t="shared" si="343"/>
        <v/>
      </c>
      <c r="U380" s="230"/>
      <c r="V380" s="230"/>
      <c r="AB380" s="230" t="e">
        <f>VLOOKUP($B$6,Lookup_Source,373,0)</f>
        <v>#N/A</v>
      </c>
      <c r="AC380" s="254" t="str">
        <f t="shared" si="344"/>
        <v/>
      </c>
      <c r="AD380" s="255">
        <f t="shared" si="345"/>
        <v>7</v>
      </c>
      <c r="AE380" s="274" t="e">
        <f t="shared" si="314"/>
        <v>#N/A</v>
      </c>
      <c r="AF380" s="277" t="e">
        <f t="shared" si="346"/>
        <v>#N/A</v>
      </c>
      <c r="AG380" s="277" t="e">
        <f t="shared" si="347"/>
        <v>#N/A</v>
      </c>
      <c r="AH380" s="276" t="e">
        <f t="shared" si="315"/>
        <v>#N/A</v>
      </c>
      <c r="AI380" s="239">
        <f t="shared" si="348"/>
        <v>7</v>
      </c>
      <c r="AJ380" s="277" t="e">
        <f t="shared" si="316"/>
        <v>#N/A</v>
      </c>
      <c r="AK380" s="277" t="e">
        <f t="shared" si="349"/>
        <v>#N/A</v>
      </c>
      <c r="AL380" s="239" t="e">
        <f t="shared" si="317"/>
        <v>#N/A</v>
      </c>
      <c r="AM380" s="278" t="e">
        <f t="shared" si="350"/>
        <v>#N/A</v>
      </c>
      <c r="AN380" s="279" t="e">
        <f t="shared" si="318"/>
        <v>#N/A</v>
      </c>
      <c r="AO380" s="240" t="e">
        <f t="shared" si="319"/>
        <v>#N/A</v>
      </c>
      <c r="AP380" s="297">
        <f t="shared" si="351"/>
        <v>7</v>
      </c>
      <c r="AQ380" s="298" t="e">
        <f t="shared" si="320"/>
        <v>#N/A</v>
      </c>
      <c r="AR380" s="279" t="e">
        <f t="shared" si="352"/>
        <v>#N/A</v>
      </c>
      <c r="AS380" s="283" t="e">
        <f t="shared" si="321"/>
        <v>#N/A</v>
      </c>
      <c r="AT380" s="284">
        <f t="shared" si="353"/>
        <v>7</v>
      </c>
      <c r="AU380" s="285" t="e">
        <f t="shared" si="354"/>
        <v>#N/A</v>
      </c>
      <c r="AV380" s="286" t="e">
        <f t="shared" si="355"/>
        <v>#N/A</v>
      </c>
      <c r="AW380" s="287" t="e">
        <f t="shared" si="322"/>
        <v>#N/A</v>
      </c>
      <c r="AX380" s="245">
        <f t="shared" si="356"/>
        <v>7</v>
      </c>
      <c r="AY380" s="286" t="e">
        <f t="shared" si="323"/>
        <v>#N/A</v>
      </c>
      <c r="AZ380" s="245" t="e">
        <f t="shared" si="357"/>
        <v>#N/A</v>
      </c>
      <c r="BA380" s="245" t="e">
        <f t="shared" si="324"/>
        <v>#N/A</v>
      </c>
      <c r="BB380" s="288">
        <f t="shared" si="358"/>
        <v>7</v>
      </c>
      <c r="BC380" s="289" t="e">
        <f t="shared" si="359"/>
        <v>#N/A</v>
      </c>
      <c r="BD380" s="290" t="e">
        <f t="shared" si="360"/>
        <v>#N/A</v>
      </c>
      <c r="BE380" s="263" t="e">
        <f t="shared" si="325"/>
        <v>#N/A</v>
      </c>
      <c r="BF380" s="260">
        <f t="shared" si="361"/>
        <v>7</v>
      </c>
      <c r="BG380" s="289" t="e">
        <f t="shared" si="362"/>
        <v>#N/A</v>
      </c>
      <c r="BH380" s="290" t="e">
        <f t="shared" si="363"/>
        <v>#N/A</v>
      </c>
      <c r="BI380" s="263" t="e">
        <f t="shared" si="326"/>
        <v>#N/A</v>
      </c>
      <c r="BJ380" s="264">
        <f t="shared" si="364"/>
        <v>7</v>
      </c>
      <c r="BK380" s="291" t="e">
        <f t="shared" si="365"/>
        <v>#N/A</v>
      </c>
      <c r="BL380" s="291" t="e">
        <f t="shared" si="366"/>
        <v>#N/A</v>
      </c>
      <c r="BM380" s="292" t="e">
        <f t="shared" si="327"/>
        <v>#N/A</v>
      </c>
      <c r="BN380" s="293">
        <f t="shared" si="367"/>
        <v>7</v>
      </c>
      <c r="BO380" s="294" t="e">
        <f t="shared" si="368"/>
        <v>#N/A</v>
      </c>
      <c r="BP380" s="294" t="e">
        <f t="shared" si="369"/>
        <v>#N/A</v>
      </c>
      <c r="BQ380" s="292" t="e">
        <f t="shared" si="328"/>
        <v>#N/A</v>
      </c>
      <c r="BR380" s="295" t="e">
        <f t="shared" si="329"/>
        <v>#N/A</v>
      </c>
      <c r="BS380" s="230" t="e">
        <f>VLOOKUP($B380,SDR22_STOCK_BY_LA!$A$2:$C$11679,3,0)</f>
        <v>#N/A</v>
      </c>
      <c r="BT380" s="230" t="str">
        <f t="shared" si="370"/>
        <v/>
      </c>
    </row>
    <row r="381" spans="1:72" ht="12.5" x14ac:dyDescent="0.25">
      <c r="A381" s="269" t="str">
        <f t="shared" si="371"/>
        <v/>
      </c>
      <c r="B381" s="230" t="str">
        <f t="shared" si="372"/>
        <v/>
      </c>
      <c r="C381" s="270" t="str">
        <f t="shared" si="330"/>
        <v/>
      </c>
      <c r="D381" s="269" t="str">
        <f>IF(B381="","",IF(totals!$Q$3=0,IFERROR(IF(AD381=2,"0",AE381),""),"-"))</f>
        <v/>
      </c>
      <c r="E381" s="271" t="str">
        <f t="shared" si="331"/>
        <v/>
      </c>
      <c r="F381" s="272" t="str">
        <f t="shared" si="332"/>
        <v/>
      </c>
      <c r="G381" s="272" t="str">
        <f t="shared" si="333"/>
        <v/>
      </c>
      <c r="H381" s="269" t="str">
        <f t="shared" si="311"/>
        <v/>
      </c>
      <c r="I381" s="272" t="str">
        <f t="shared" si="334"/>
        <v/>
      </c>
      <c r="J381" s="272" t="str">
        <f t="shared" si="335"/>
        <v/>
      </c>
      <c r="K381" s="269" t="str">
        <f t="shared" si="312"/>
        <v/>
      </c>
      <c r="L381" s="272" t="str">
        <f t="shared" si="313"/>
        <v/>
      </c>
      <c r="M381" s="272" t="str">
        <f t="shared" si="336"/>
        <v/>
      </c>
      <c r="N381" s="269" t="str">
        <f t="shared" si="337"/>
        <v/>
      </c>
      <c r="O381" s="272" t="str">
        <f t="shared" si="338"/>
        <v/>
      </c>
      <c r="P381" s="272" t="str">
        <f t="shared" si="339"/>
        <v/>
      </c>
      <c r="Q381" s="269" t="str">
        <f t="shared" si="340"/>
        <v/>
      </c>
      <c r="R381" s="272" t="str">
        <f t="shared" si="341"/>
        <v/>
      </c>
      <c r="S381" s="272" t="str">
        <f t="shared" si="342"/>
        <v/>
      </c>
      <c r="T381" s="269" t="str">
        <f t="shared" si="343"/>
        <v/>
      </c>
      <c r="U381" s="230"/>
      <c r="V381" s="230"/>
      <c r="AB381" s="270" t="e">
        <f>VLOOKUP($B$6,Lookup_Source,374,0)</f>
        <v>#N/A</v>
      </c>
      <c r="AC381" s="254" t="str">
        <f t="shared" si="344"/>
        <v/>
      </c>
      <c r="AD381" s="255">
        <f t="shared" si="345"/>
        <v>7</v>
      </c>
      <c r="AE381" s="274" t="e">
        <f t="shared" si="314"/>
        <v>#N/A</v>
      </c>
      <c r="AF381" s="277" t="e">
        <f t="shared" si="346"/>
        <v>#N/A</v>
      </c>
      <c r="AG381" s="277" t="e">
        <f t="shared" si="347"/>
        <v>#N/A</v>
      </c>
      <c r="AH381" s="276" t="e">
        <f t="shared" si="315"/>
        <v>#N/A</v>
      </c>
      <c r="AI381" s="239">
        <f t="shared" si="348"/>
        <v>7</v>
      </c>
      <c r="AJ381" s="277" t="e">
        <f t="shared" si="316"/>
        <v>#N/A</v>
      </c>
      <c r="AK381" s="277" t="e">
        <f t="shared" si="349"/>
        <v>#N/A</v>
      </c>
      <c r="AL381" s="239" t="e">
        <f t="shared" si="317"/>
        <v>#N/A</v>
      </c>
      <c r="AM381" s="278" t="e">
        <f t="shared" si="350"/>
        <v>#N/A</v>
      </c>
      <c r="AN381" s="279" t="e">
        <f t="shared" si="318"/>
        <v>#N/A</v>
      </c>
      <c r="AO381" s="240" t="e">
        <f t="shared" si="319"/>
        <v>#N/A</v>
      </c>
      <c r="AP381" s="297">
        <f t="shared" si="351"/>
        <v>7</v>
      </c>
      <c r="AQ381" s="298" t="e">
        <f t="shared" si="320"/>
        <v>#N/A</v>
      </c>
      <c r="AR381" s="279" t="e">
        <f t="shared" si="352"/>
        <v>#N/A</v>
      </c>
      <c r="AS381" s="283" t="e">
        <f t="shared" si="321"/>
        <v>#N/A</v>
      </c>
      <c r="AT381" s="284">
        <f t="shared" si="353"/>
        <v>7</v>
      </c>
      <c r="AU381" s="285" t="e">
        <f t="shared" si="354"/>
        <v>#N/A</v>
      </c>
      <c r="AV381" s="286" t="e">
        <f t="shared" si="355"/>
        <v>#N/A</v>
      </c>
      <c r="AW381" s="287" t="e">
        <f t="shared" si="322"/>
        <v>#N/A</v>
      </c>
      <c r="AX381" s="245">
        <f t="shared" si="356"/>
        <v>7</v>
      </c>
      <c r="AY381" s="286" t="e">
        <f t="shared" si="323"/>
        <v>#N/A</v>
      </c>
      <c r="AZ381" s="245" t="e">
        <f t="shared" si="357"/>
        <v>#N/A</v>
      </c>
      <c r="BA381" s="245" t="e">
        <f t="shared" si="324"/>
        <v>#N/A</v>
      </c>
      <c r="BB381" s="288">
        <f t="shared" si="358"/>
        <v>7</v>
      </c>
      <c r="BC381" s="289" t="e">
        <f t="shared" si="359"/>
        <v>#N/A</v>
      </c>
      <c r="BD381" s="290" t="e">
        <f t="shared" si="360"/>
        <v>#N/A</v>
      </c>
      <c r="BE381" s="263" t="e">
        <f t="shared" si="325"/>
        <v>#N/A</v>
      </c>
      <c r="BF381" s="260">
        <f t="shared" si="361"/>
        <v>7</v>
      </c>
      <c r="BG381" s="289" t="e">
        <f t="shared" si="362"/>
        <v>#N/A</v>
      </c>
      <c r="BH381" s="290" t="e">
        <f t="shared" si="363"/>
        <v>#N/A</v>
      </c>
      <c r="BI381" s="263" t="e">
        <f t="shared" si="326"/>
        <v>#N/A</v>
      </c>
      <c r="BJ381" s="264">
        <f t="shared" si="364"/>
        <v>7</v>
      </c>
      <c r="BK381" s="291" t="e">
        <f t="shared" si="365"/>
        <v>#N/A</v>
      </c>
      <c r="BL381" s="291" t="e">
        <f t="shared" si="366"/>
        <v>#N/A</v>
      </c>
      <c r="BM381" s="292" t="e">
        <f t="shared" si="327"/>
        <v>#N/A</v>
      </c>
      <c r="BN381" s="293">
        <f t="shared" si="367"/>
        <v>7</v>
      </c>
      <c r="BO381" s="294" t="e">
        <f t="shared" si="368"/>
        <v>#N/A</v>
      </c>
      <c r="BP381" s="294" t="e">
        <f t="shared" si="369"/>
        <v>#N/A</v>
      </c>
      <c r="BQ381" s="292" t="e">
        <f t="shared" si="328"/>
        <v>#N/A</v>
      </c>
      <c r="BR381" s="295" t="e">
        <f t="shared" si="329"/>
        <v>#N/A</v>
      </c>
      <c r="BS381" s="230" t="e">
        <f>VLOOKUP($B381,SDR22_STOCK_BY_LA!$A$2:$C$11679,3,0)</f>
        <v>#N/A</v>
      </c>
      <c r="BT381" s="230" t="str">
        <f t="shared" si="370"/>
        <v/>
      </c>
    </row>
    <row r="382" spans="1:72" ht="12.5" x14ac:dyDescent="0.25">
      <c r="A382" s="230" t="str">
        <f t="shared" si="371"/>
        <v/>
      </c>
      <c r="B382" s="230" t="str">
        <f t="shared" si="372"/>
        <v/>
      </c>
      <c r="C382" s="296" t="str">
        <f t="shared" si="330"/>
        <v/>
      </c>
      <c r="D382" s="269" t="str">
        <f>IF(B382="","",IF(totals!$Q$3=0,IFERROR(IF(AD382=2,"0",AE382),""),"-"))</f>
        <v/>
      </c>
      <c r="E382" s="271" t="str">
        <f t="shared" si="331"/>
        <v/>
      </c>
      <c r="F382" s="272" t="str">
        <f t="shared" si="332"/>
        <v/>
      </c>
      <c r="G382" s="272" t="str">
        <f t="shared" si="333"/>
        <v/>
      </c>
      <c r="H382" s="269" t="str">
        <f t="shared" si="311"/>
        <v/>
      </c>
      <c r="I382" s="272" t="str">
        <f t="shared" si="334"/>
        <v/>
      </c>
      <c r="J382" s="272" t="str">
        <f t="shared" si="335"/>
        <v/>
      </c>
      <c r="K382" s="269" t="str">
        <f t="shared" si="312"/>
        <v/>
      </c>
      <c r="L382" s="272" t="str">
        <f t="shared" si="313"/>
        <v/>
      </c>
      <c r="M382" s="272" t="str">
        <f t="shared" si="336"/>
        <v/>
      </c>
      <c r="N382" s="269" t="str">
        <f t="shared" si="337"/>
        <v/>
      </c>
      <c r="O382" s="272" t="str">
        <f t="shared" si="338"/>
        <v/>
      </c>
      <c r="P382" s="272" t="str">
        <f t="shared" si="339"/>
        <v/>
      </c>
      <c r="Q382" s="269" t="str">
        <f t="shared" si="340"/>
        <v/>
      </c>
      <c r="R382" s="272" t="str">
        <f t="shared" si="341"/>
        <v/>
      </c>
      <c r="S382" s="272" t="str">
        <f t="shared" si="342"/>
        <v/>
      </c>
      <c r="T382" s="269" t="str">
        <f t="shared" si="343"/>
        <v/>
      </c>
      <c r="U382" s="230"/>
      <c r="V382" s="230"/>
      <c r="AB382" s="230" t="e">
        <f>VLOOKUP($B$6,Lookup_Source,375,0)</f>
        <v>#N/A</v>
      </c>
      <c r="AC382" s="254" t="str">
        <f t="shared" si="344"/>
        <v/>
      </c>
      <c r="AD382" s="255">
        <f t="shared" si="345"/>
        <v>7</v>
      </c>
      <c r="AE382" s="274" t="e">
        <f t="shared" si="314"/>
        <v>#N/A</v>
      </c>
      <c r="AF382" s="277" t="e">
        <f t="shared" si="346"/>
        <v>#N/A</v>
      </c>
      <c r="AG382" s="277" t="e">
        <f t="shared" si="347"/>
        <v>#N/A</v>
      </c>
      <c r="AH382" s="276" t="e">
        <f t="shared" si="315"/>
        <v>#N/A</v>
      </c>
      <c r="AI382" s="239">
        <f t="shared" si="348"/>
        <v>7</v>
      </c>
      <c r="AJ382" s="277" t="e">
        <f t="shared" si="316"/>
        <v>#N/A</v>
      </c>
      <c r="AK382" s="277" t="e">
        <f t="shared" si="349"/>
        <v>#N/A</v>
      </c>
      <c r="AL382" s="239" t="e">
        <f t="shared" si="317"/>
        <v>#N/A</v>
      </c>
      <c r="AM382" s="278" t="e">
        <f t="shared" si="350"/>
        <v>#N/A</v>
      </c>
      <c r="AN382" s="279" t="e">
        <f t="shared" si="318"/>
        <v>#N/A</v>
      </c>
      <c r="AO382" s="240" t="e">
        <f t="shared" si="319"/>
        <v>#N/A</v>
      </c>
      <c r="AP382" s="297">
        <f t="shared" si="351"/>
        <v>7</v>
      </c>
      <c r="AQ382" s="298" t="e">
        <f t="shared" si="320"/>
        <v>#N/A</v>
      </c>
      <c r="AR382" s="279" t="e">
        <f t="shared" si="352"/>
        <v>#N/A</v>
      </c>
      <c r="AS382" s="283" t="e">
        <f t="shared" si="321"/>
        <v>#N/A</v>
      </c>
      <c r="AT382" s="284">
        <f t="shared" si="353"/>
        <v>7</v>
      </c>
      <c r="AU382" s="285" t="e">
        <f t="shared" si="354"/>
        <v>#N/A</v>
      </c>
      <c r="AV382" s="286" t="e">
        <f t="shared" si="355"/>
        <v>#N/A</v>
      </c>
      <c r="AW382" s="287" t="e">
        <f t="shared" si="322"/>
        <v>#N/A</v>
      </c>
      <c r="AX382" s="245">
        <f t="shared" si="356"/>
        <v>7</v>
      </c>
      <c r="AY382" s="286" t="e">
        <f t="shared" si="323"/>
        <v>#N/A</v>
      </c>
      <c r="AZ382" s="245" t="e">
        <f t="shared" si="357"/>
        <v>#N/A</v>
      </c>
      <c r="BA382" s="245" t="e">
        <f t="shared" si="324"/>
        <v>#N/A</v>
      </c>
      <c r="BB382" s="288">
        <f t="shared" si="358"/>
        <v>7</v>
      </c>
      <c r="BC382" s="289" t="e">
        <f t="shared" si="359"/>
        <v>#N/A</v>
      </c>
      <c r="BD382" s="290" t="e">
        <f t="shared" si="360"/>
        <v>#N/A</v>
      </c>
      <c r="BE382" s="263" t="e">
        <f t="shared" si="325"/>
        <v>#N/A</v>
      </c>
      <c r="BF382" s="260">
        <f t="shared" si="361"/>
        <v>7</v>
      </c>
      <c r="BG382" s="289" t="e">
        <f t="shared" si="362"/>
        <v>#N/A</v>
      </c>
      <c r="BH382" s="290" t="e">
        <f t="shared" si="363"/>
        <v>#N/A</v>
      </c>
      <c r="BI382" s="263" t="e">
        <f t="shared" si="326"/>
        <v>#N/A</v>
      </c>
      <c r="BJ382" s="264">
        <f t="shared" si="364"/>
        <v>7</v>
      </c>
      <c r="BK382" s="291" t="e">
        <f t="shared" si="365"/>
        <v>#N/A</v>
      </c>
      <c r="BL382" s="291" t="e">
        <f t="shared" si="366"/>
        <v>#N/A</v>
      </c>
      <c r="BM382" s="292" t="e">
        <f t="shared" si="327"/>
        <v>#N/A</v>
      </c>
      <c r="BN382" s="293">
        <f t="shared" si="367"/>
        <v>7</v>
      </c>
      <c r="BO382" s="294" t="e">
        <f t="shared" si="368"/>
        <v>#N/A</v>
      </c>
      <c r="BP382" s="294" t="e">
        <f t="shared" si="369"/>
        <v>#N/A</v>
      </c>
      <c r="BQ382" s="292" t="e">
        <f t="shared" si="328"/>
        <v>#N/A</v>
      </c>
      <c r="BR382" s="295" t="e">
        <f t="shared" si="329"/>
        <v>#N/A</v>
      </c>
      <c r="BS382" s="230" t="e">
        <f>VLOOKUP($B382,SDR22_STOCK_BY_LA!$A$2:$C$11679,3,0)</f>
        <v>#N/A</v>
      </c>
      <c r="BT382" s="230" t="str">
        <f t="shared" si="370"/>
        <v/>
      </c>
    </row>
    <row r="383" spans="1:72" ht="12.5" x14ac:dyDescent="0.25">
      <c r="A383" s="269" t="str">
        <f t="shared" si="371"/>
        <v/>
      </c>
      <c r="B383" s="230" t="str">
        <f t="shared" si="372"/>
        <v/>
      </c>
      <c r="C383" s="270" t="str">
        <f t="shared" si="330"/>
        <v/>
      </c>
      <c r="D383" s="269" t="str">
        <f>IF(B383="","",IF(totals!$Q$3=0,IFERROR(IF(AD383=2,"0",AE383),""),"-"))</f>
        <v/>
      </c>
      <c r="E383" s="271" t="str">
        <f t="shared" si="331"/>
        <v/>
      </c>
      <c r="F383" s="272" t="str">
        <f t="shared" si="332"/>
        <v/>
      </c>
      <c r="G383" s="272" t="str">
        <f t="shared" si="333"/>
        <v/>
      </c>
      <c r="H383" s="269" t="str">
        <f t="shared" si="311"/>
        <v/>
      </c>
      <c r="I383" s="272" t="str">
        <f t="shared" si="334"/>
        <v/>
      </c>
      <c r="J383" s="272" t="str">
        <f t="shared" si="335"/>
        <v/>
      </c>
      <c r="K383" s="269" t="str">
        <f t="shared" si="312"/>
        <v/>
      </c>
      <c r="L383" s="272" t="str">
        <f t="shared" si="313"/>
        <v/>
      </c>
      <c r="M383" s="272" t="str">
        <f t="shared" si="336"/>
        <v/>
      </c>
      <c r="N383" s="269" t="str">
        <f t="shared" si="337"/>
        <v/>
      </c>
      <c r="O383" s="272" t="str">
        <f t="shared" si="338"/>
        <v/>
      </c>
      <c r="P383" s="272" t="str">
        <f t="shared" si="339"/>
        <v/>
      </c>
      <c r="Q383" s="269" t="str">
        <f t="shared" si="340"/>
        <v/>
      </c>
      <c r="R383" s="272" t="str">
        <f t="shared" si="341"/>
        <v/>
      </c>
      <c r="S383" s="272" t="str">
        <f t="shared" si="342"/>
        <v/>
      </c>
      <c r="T383" s="269" t="str">
        <f t="shared" si="343"/>
        <v/>
      </c>
      <c r="U383" s="230"/>
      <c r="V383" s="230"/>
      <c r="AB383" s="270" t="e">
        <f>VLOOKUP($B$6,Lookup_Source,376,0)</f>
        <v>#N/A</v>
      </c>
      <c r="AC383" s="254" t="str">
        <f t="shared" si="344"/>
        <v/>
      </c>
      <c r="AD383" s="255">
        <f t="shared" si="345"/>
        <v>7</v>
      </c>
      <c r="AE383" s="274" t="e">
        <f t="shared" si="314"/>
        <v>#N/A</v>
      </c>
      <c r="AF383" s="277" t="e">
        <f t="shared" si="346"/>
        <v>#N/A</v>
      </c>
      <c r="AG383" s="277" t="e">
        <f t="shared" si="347"/>
        <v>#N/A</v>
      </c>
      <c r="AH383" s="276" t="e">
        <f t="shared" si="315"/>
        <v>#N/A</v>
      </c>
      <c r="AI383" s="239">
        <f t="shared" si="348"/>
        <v>7</v>
      </c>
      <c r="AJ383" s="277" t="e">
        <f t="shared" si="316"/>
        <v>#N/A</v>
      </c>
      <c r="AK383" s="277" t="e">
        <f t="shared" si="349"/>
        <v>#N/A</v>
      </c>
      <c r="AL383" s="239" t="e">
        <f t="shared" si="317"/>
        <v>#N/A</v>
      </c>
      <c r="AM383" s="278" t="e">
        <f t="shared" si="350"/>
        <v>#N/A</v>
      </c>
      <c r="AN383" s="279" t="e">
        <f t="shared" si="318"/>
        <v>#N/A</v>
      </c>
      <c r="AO383" s="240" t="e">
        <f t="shared" si="319"/>
        <v>#N/A</v>
      </c>
      <c r="AP383" s="297">
        <f t="shared" si="351"/>
        <v>7</v>
      </c>
      <c r="AQ383" s="298" t="e">
        <f t="shared" si="320"/>
        <v>#N/A</v>
      </c>
      <c r="AR383" s="279" t="e">
        <f t="shared" si="352"/>
        <v>#N/A</v>
      </c>
      <c r="AS383" s="283" t="e">
        <f t="shared" si="321"/>
        <v>#N/A</v>
      </c>
      <c r="AT383" s="284">
        <f t="shared" si="353"/>
        <v>7</v>
      </c>
      <c r="AU383" s="285" t="e">
        <f t="shared" si="354"/>
        <v>#N/A</v>
      </c>
      <c r="AV383" s="286" t="e">
        <f t="shared" si="355"/>
        <v>#N/A</v>
      </c>
      <c r="AW383" s="287" t="e">
        <f t="shared" si="322"/>
        <v>#N/A</v>
      </c>
      <c r="AX383" s="245">
        <f t="shared" si="356"/>
        <v>7</v>
      </c>
      <c r="AY383" s="286" t="e">
        <f t="shared" si="323"/>
        <v>#N/A</v>
      </c>
      <c r="AZ383" s="245" t="e">
        <f t="shared" si="357"/>
        <v>#N/A</v>
      </c>
      <c r="BA383" s="245" t="e">
        <f t="shared" si="324"/>
        <v>#N/A</v>
      </c>
      <c r="BB383" s="288">
        <f t="shared" si="358"/>
        <v>7</v>
      </c>
      <c r="BC383" s="289" t="e">
        <f t="shared" si="359"/>
        <v>#N/A</v>
      </c>
      <c r="BD383" s="290" t="e">
        <f t="shared" si="360"/>
        <v>#N/A</v>
      </c>
      <c r="BE383" s="263" t="e">
        <f t="shared" si="325"/>
        <v>#N/A</v>
      </c>
      <c r="BF383" s="260">
        <f t="shared" si="361"/>
        <v>7</v>
      </c>
      <c r="BG383" s="289" t="e">
        <f t="shared" si="362"/>
        <v>#N/A</v>
      </c>
      <c r="BH383" s="290" t="e">
        <f t="shared" si="363"/>
        <v>#N/A</v>
      </c>
      <c r="BI383" s="263" t="e">
        <f t="shared" si="326"/>
        <v>#N/A</v>
      </c>
      <c r="BJ383" s="264">
        <f t="shared" si="364"/>
        <v>7</v>
      </c>
      <c r="BK383" s="291" t="e">
        <f t="shared" si="365"/>
        <v>#N/A</v>
      </c>
      <c r="BL383" s="291" t="e">
        <f t="shared" si="366"/>
        <v>#N/A</v>
      </c>
      <c r="BM383" s="292" t="e">
        <f t="shared" si="327"/>
        <v>#N/A</v>
      </c>
      <c r="BN383" s="293">
        <f t="shared" si="367"/>
        <v>7</v>
      </c>
      <c r="BO383" s="294" t="e">
        <f t="shared" si="368"/>
        <v>#N/A</v>
      </c>
      <c r="BP383" s="294" t="e">
        <f t="shared" si="369"/>
        <v>#N/A</v>
      </c>
      <c r="BQ383" s="292" t="e">
        <f t="shared" si="328"/>
        <v>#N/A</v>
      </c>
      <c r="BR383" s="295" t="e">
        <f t="shared" si="329"/>
        <v>#N/A</v>
      </c>
      <c r="BS383" s="230" t="e">
        <f>VLOOKUP($B383,SDR22_STOCK_BY_LA!$A$2:$C$11679,3,0)</f>
        <v>#N/A</v>
      </c>
      <c r="BT383" s="230" t="str">
        <f t="shared" si="370"/>
        <v/>
      </c>
    </row>
    <row r="384" spans="1:72" ht="12.5" x14ac:dyDescent="0.25">
      <c r="A384" s="230" t="str">
        <f t="shared" si="371"/>
        <v/>
      </c>
      <c r="B384" s="230" t="str">
        <f t="shared" si="372"/>
        <v/>
      </c>
      <c r="C384" s="296" t="str">
        <f t="shared" si="330"/>
        <v/>
      </c>
      <c r="D384" s="269" t="str">
        <f>IF(B384="","",IF(totals!$Q$3=0,IFERROR(IF(AD384=2,"0",AE384),""),"-"))</f>
        <v/>
      </c>
      <c r="E384" s="271" t="str">
        <f t="shared" si="331"/>
        <v/>
      </c>
      <c r="F384" s="272" t="str">
        <f t="shared" si="332"/>
        <v/>
      </c>
      <c r="G384" s="272" t="str">
        <f t="shared" si="333"/>
        <v/>
      </c>
      <c r="H384" s="269" t="str">
        <f t="shared" si="311"/>
        <v/>
      </c>
      <c r="I384" s="272" t="str">
        <f t="shared" si="334"/>
        <v/>
      </c>
      <c r="J384" s="272" t="str">
        <f t="shared" si="335"/>
        <v/>
      </c>
      <c r="K384" s="269" t="str">
        <f t="shared" si="312"/>
        <v/>
      </c>
      <c r="L384" s="272" t="str">
        <f t="shared" si="313"/>
        <v/>
      </c>
      <c r="M384" s="272" t="str">
        <f t="shared" si="336"/>
        <v/>
      </c>
      <c r="N384" s="269" t="str">
        <f t="shared" si="337"/>
        <v/>
      </c>
      <c r="O384" s="272" t="str">
        <f t="shared" si="338"/>
        <v/>
      </c>
      <c r="P384" s="272" t="str">
        <f t="shared" si="339"/>
        <v/>
      </c>
      <c r="Q384" s="269" t="str">
        <f t="shared" si="340"/>
        <v/>
      </c>
      <c r="R384" s="272" t="str">
        <f t="shared" si="341"/>
        <v/>
      </c>
      <c r="S384" s="272" t="str">
        <f t="shared" si="342"/>
        <v/>
      </c>
      <c r="T384" s="269" t="str">
        <f t="shared" si="343"/>
        <v/>
      </c>
      <c r="U384" s="230"/>
      <c r="V384" s="230"/>
      <c r="AB384" s="230" t="e">
        <f>VLOOKUP($B$6,Lookup_Source,377,0)</f>
        <v>#N/A</v>
      </c>
      <c r="AC384" s="254" t="str">
        <f t="shared" si="344"/>
        <v/>
      </c>
      <c r="AD384" s="255">
        <f t="shared" si="345"/>
        <v>7</v>
      </c>
      <c r="AE384" s="274" t="e">
        <f t="shared" si="314"/>
        <v>#N/A</v>
      </c>
      <c r="AF384" s="277" t="e">
        <f t="shared" si="346"/>
        <v>#N/A</v>
      </c>
      <c r="AG384" s="277" t="e">
        <f t="shared" si="347"/>
        <v>#N/A</v>
      </c>
      <c r="AH384" s="276" t="e">
        <f t="shared" si="315"/>
        <v>#N/A</v>
      </c>
      <c r="AI384" s="239">
        <f t="shared" si="348"/>
        <v>7</v>
      </c>
      <c r="AJ384" s="277" t="e">
        <f t="shared" si="316"/>
        <v>#N/A</v>
      </c>
      <c r="AK384" s="277" t="e">
        <f t="shared" si="349"/>
        <v>#N/A</v>
      </c>
      <c r="AL384" s="239" t="e">
        <f t="shared" si="317"/>
        <v>#N/A</v>
      </c>
      <c r="AM384" s="278" t="e">
        <f t="shared" si="350"/>
        <v>#N/A</v>
      </c>
      <c r="AN384" s="279" t="e">
        <f t="shared" si="318"/>
        <v>#N/A</v>
      </c>
      <c r="AO384" s="240" t="e">
        <f t="shared" si="319"/>
        <v>#N/A</v>
      </c>
      <c r="AP384" s="297">
        <f t="shared" si="351"/>
        <v>7</v>
      </c>
      <c r="AQ384" s="298" t="e">
        <f t="shared" si="320"/>
        <v>#N/A</v>
      </c>
      <c r="AR384" s="279" t="e">
        <f t="shared" si="352"/>
        <v>#N/A</v>
      </c>
      <c r="AS384" s="283" t="e">
        <f t="shared" si="321"/>
        <v>#N/A</v>
      </c>
      <c r="AT384" s="284">
        <f t="shared" si="353"/>
        <v>7</v>
      </c>
      <c r="AU384" s="285" t="e">
        <f t="shared" si="354"/>
        <v>#N/A</v>
      </c>
      <c r="AV384" s="286" t="e">
        <f t="shared" si="355"/>
        <v>#N/A</v>
      </c>
      <c r="AW384" s="287" t="e">
        <f t="shared" si="322"/>
        <v>#N/A</v>
      </c>
      <c r="AX384" s="245">
        <f t="shared" si="356"/>
        <v>7</v>
      </c>
      <c r="AY384" s="286" t="e">
        <f t="shared" si="323"/>
        <v>#N/A</v>
      </c>
      <c r="AZ384" s="245" t="e">
        <f t="shared" si="357"/>
        <v>#N/A</v>
      </c>
      <c r="BA384" s="245" t="e">
        <f t="shared" si="324"/>
        <v>#N/A</v>
      </c>
      <c r="BB384" s="288">
        <f t="shared" si="358"/>
        <v>7</v>
      </c>
      <c r="BC384" s="289" t="e">
        <f t="shared" si="359"/>
        <v>#N/A</v>
      </c>
      <c r="BD384" s="290" t="e">
        <f t="shared" si="360"/>
        <v>#N/A</v>
      </c>
      <c r="BE384" s="263" t="e">
        <f t="shared" si="325"/>
        <v>#N/A</v>
      </c>
      <c r="BF384" s="260">
        <f t="shared" si="361"/>
        <v>7</v>
      </c>
      <c r="BG384" s="289" t="e">
        <f t="shared" si="362"/>
        <v>#N/A</v>
      </c>
      <c r="BH384" s="290" t="e">
        <f t="shared" si="363"/>
        <v>#N/A</v>
      </c>
      <c r="BI384" s="263" t="e">
        <f t="shared" si="326"/>
        <v>#N/A</v>
      </c>
      <c r="BJ384" s="264">
        <f t="shared" si="364"/>
        <v>7</v>
      </c>
      <c r="BK384" s="291" t="e">
        <f t="shared" si="365"/>
        <v>#N/A</v>
      </c>
      <c r="BL384" s="291" t="e">
        <f t="shared" si="366"/>
        <v>#N/A</v>
      </c>
      <c r="BM384" s="292" t="e">
        <f t="shared" si="327"/>
        <v>#N/A</v>
      </c>
      <c r="BN384" s="293">
        <f t="shared" si="367"/>
        <v>7</v>
      </c>
      <c r="BO384" s="294" t="e">
        <f t="shared" si="368"/>
        <v>#N/A</v>
      </c>
      <c r="BP384" s="294" t="e">
        <f t="shared" si="369"/>
        <v>#N/A</v>
      </c>
      <c r="BQ384" s="292" t="e">
        <f t="shared" si="328"/>
        <v>#N/A</v>
      </c>
      <c r="BR384" s="295" t="e">
        <f t="shared" si="329"/>
        <v>#N/A</v>
      </c>
      <c r="BS384" s="230" t="e">
        <f>VLOOKUP($B384,SDR22_STOCK_BY_LA!$A$2:$C$11679,3,0)</f>
        <v>#N/A</v>
      </c>
      <c r="BT384" s="230" t="str">
        <f t="shared" si="370"/>
        <v/>
      </c>
    </row>
    <row r="385" spans="1:72" ht="12.5" x14ac:dyDescent="0.25">
      <c r="A385" s="269" t="str">
        <f t="shared" si="371"/>
        <v/>
      </c>
      <c r="B385" s="230" t="str">
        <f t="shared" si="372"/>
        <v/>
      </c>
      <c r="C385" s="270" t="str">
        <f t="shared" si="330"/>
        <v/>
      </c>
      <c r="D385" s="269" t="str">
        <f>IF(B385="","",IF(totals!$Q$3=0,IFERROR(IF(AD385=2,"0",AE385),""),"-"))</f>
        <v/>
      </c>
      <c r="E385" s="271" t="str">
        <f t="shared" si="331"/>
        <v/>
      </c>
      <c r="F385" s="272" t="str">
        <f t="shared" si="332"/>
        <v/>
      </c>
      <c r="G385" s="272" t="str">
        <f t="shared" si="333"/>
        <v/>
      </c>
      <c r="H385" s="269" t="str">
        <f t="shared" si="311"/>
        <v/>
      </c>
      <c r="I385" s="272" t="str">
        <f t="shared" si="334"/>
        <v/>
      </c>
      <c r="J385" s="272" t="str">
        <f t="shared" si="335"/>
        <v/>
      </c>
      <c r="K385" s="269" t="str">
        <f t="shared" si="312"/>
        <v/>
      </c>
      <c r="L385" s="272" t="str">
        <f t="shared" si="313"/>
        <v/>
      </c>
      <c r="M385" s="272" t="str">
        <f t="shared" si="336"/>
        <v/>
      </c>
      <c r="N385" s="269" t="str">
        <f t="shared" si="337"/>
        <v/>
      </c>
      <c r="O385" s="272" t="str">
        <f t="shared" si="338"/>
        <v/>
      </c>
      <c r="P385" s="272" t="str">
        <f t="shared" si="339"/>
        <v/>
      </c>
      <c r="Q385" s="269" t="str">
        <f t="shared" si="340"/>
        <v/>
      </c>
      <c r="R385" s="272" t="str">
        <f t="shared" si="341"/>
        <v/>
      </c>
      <c r="S385" s="272" t="str">
        <f t="shared" si="342"/>
        <v/>
      </c>
      <c r="T385" s="269" t="str">
        <f t="shared" si="343"/>
        <v/>
      </c>
      <c r="U385" s="230"/>
      <c r="V385" s="230"/>
      <c r="AB385" s="270" t="e">
        <f>VLOOKUP($B$6,Lookup_Source,378,0)</f>
        <v>#N/A</v>
      </c>
      <c r="AC385" s="254" t="str">
        <f t="shared" si="344"/>
        <v/>
      </c>
      <c r="AD385" s="255">
        <f t="shared" si="345"/>
        <v>7</v>
      </c>
      <c r="AE385" s="274" t="e">
        <f t="shared" si="314"/>
        <v>#N/A</v>
      </c>
      <c r="AF385" s="277" t="e">
        <f t="shared" si="346"/>
        <v>#N/A</v>
      </c>
      <c r="AG385" s="277" t="e">
        <f t="shared" si="347"/>
        <v>#N/A</v>
      </c>
      <c r="AH385" s="276" t="e">
        <f t="shared" si="315"/>
        <v>#N/A</v>
      </c>
      <c r="AI385" s="239">
        <f t="shared" si="348"/>
        <v>7</v>
      </c>
      <c r="AJ385" s="277" t="e">
        <f t="shared" si="316"/>
        <v>#N/A</v>
      </c>
      <c r="AK385" s="277" t="e">
        <f t="shared" si="349"/>
        <v>#N/A</v>
      </c>
      <c r="AL385" s="239" t="e">
        <f t="shared" si="317"/>
        <v>#N/A</v>
      </c>
      <c r="AM385" s="278" t="e">
        <f t="shared" si="350"/>
        <v>#N/A</v>
      </c>
      <c r="AN385" s="279" t="e">
        <f t="shared" si="318"/>
        <v>#N/A</v>
      </c>
      <c r="AO385" s="240" t="e">
        <f t="shared" si="319"/>
        <v>#N/A</v>
      </c>
      <c r="AP385" s="297">
        <f t="shared" si="351"/>
        <v>7</v>
      </c>
      <c r="AQ385" s="298" t="e">
        <f t="shared" si="320"/>
        <v>#N/A</v>
      </c>
      <c r="AR385" s="279" t="e">
        <f t="shared" si="352"/>
        <v>#N/A</v>
      </c>
      <c r="AS385" s="283" t="e">
        <f t="shared" si="321"/>
        <v>#N/A</v>
      </c>
      <c r="AT385" s="284">
        <f t="shared" si="353"/>
        <v>7</v>
      </c>
      <c r="AU385" s="285" t="e">
        <f t="shared" si="354"/>
        <v>#N/A</v>
      </c>
      <c r="AV385" s="286" t="e">
        <f t="shared" si="355"/>
        <v>#N/A</v>
      </c>
      <c r="AW385" s="287" t="e">
        <f t="shared" si="322"/>
        <v>#N/A</v>
      </c>
      <c r="AX385" s="245">
        <f t="shared" si="356"/>
        <v>7</v>
      </c>
      <c r="AY385" s="286" t="e">
        <f t="shared" si="323"/>
        <v>#N/A</v>
      </c>
      <c r="AZ385" s="245" t="e">
        <f t="shared" si="357"/>
        <v>#N/A</v>
      </c>
      <c r="BA385" s="245" t="e">
        <f t="shared" si="324"/>
        <v>#N/A</v>
      </c>
      <c r="BB385" s="288">
        <f t="shared" si="358"/>
        <v>7</v>
      </c>
      <c r="BC385" s="289" t="e">
        <f t="shared" si="359"/>
        <v>#N/A</v>
      </c>
      <c r="BD385" s="290" t="e">
        <f t="shared" si="360"/>
        <v>#N/A</v>
      </c>
      <c r="BE385" s="263" t="e">
        <f t="shared" si="325"/>
        <v>#N/A</v>
      </c>
      <c r="BF385" s="260">
        <f t="shared" si="361"/>
        <v>7</v>
      </c>
      <c r="BG385" s="289" t="e">
        <f t="shared" si="362"/>
        <v>#N/A</v>
      </c>
      <c r="BH385" s="290" t="e">
        <f t="shared" si="363"/>
        <v>#N/A</v>
      </c>
      <c r="BI385" s="263" t="e">
        <f t="shared" si="326"/>
        <v>#N/A</v>
      </c>
      <c r="BJ385" s="264">
        <f t="shared" si="364"/>
        <v>7</v>
      </c>
      <c r="BK385" s="291" t="e">
        <f t="shared" si="365"/>
        <v>#N/A</v>
      </c>
      <c r="BL385" s="291" t="e">
        <f t="shared" si="366"/>
        <v>#N/A</v>
      </c>
      <c r="BM385" s="292" t="e">
        <f t="shared" si="327"/>
        <v>#N/A</v>
      </c>
      <c r="BN385" s="293">
        <f t="shared" si="367"/>
        <v>7</v>
      </c>
      <c r="BO385" s="294" t="e">
        <f t="shared" si="368"/>
        <v>#N/A</v>
      </c>
      <c r="BP385" s="294" t="e">
        <f t="shared" si="369"/>
        <v>#N/A</v>
      </c>
      <c r="BQ385" s="292" t="e">
        <f t="shared" si="328"/>
        <v>#N/A</v>
      </c>
      <c r="BR385" s="295" t="e">
        <f t="shared" si="329"/>
        <v>#N/A</v>
      </c>
      <c r="BS385" s="230" t="e">
        <f>VLOOKUP($B385,SDR22_STOCK_BY_LA!$A$2:$C$11679,3,0)</f>
        <v>#N/A</v>
      </c>
      <c r="BT385" s="230" t="str">
        <f t="shared" si="370"/>
        <v/>
      </c>
    </row>
    <row r="386" spans="1:72" ht="12.5" x14ac:dyDescent="0.25">
      <c r="A386" s="230" t="str">
        <f t="shared" si="371"/>
        <v/>
      </c>
      <c r="B386" s="230" t="str">
        <f t="shared" si="372"/>
        <v/>
      </c>
      <c r="C386" s="296" t="str">
        <f t="shared" si="330"/>
        <v/>
      </c>
      <c r="D386" s="269" t="str">
        <f>IF(B386="","",IF(totals!$Q$3=0,IFERROR(IF(AD386=2,"0",AE386),""),"-"))</f>
        <v/>
      </c>
      <c r="E386" s="271" t="str">
        <f t="shared" si="331"/>
        <v/>
      </c>
      <c r="F386" s="272" t="str">
        <f t="shared" si="332"/>
        <v/>
      </c>
      <c r="G386" s="272" t="str">
        <f t="shared" si="333"/>
        <v/>
      </c>
      <c r="H386" s="269" t="str">
        <f t="shared" si="311"/>
        <v/>
      </c>
      <c r="I386" s="272" t="str">
        <f t="shared" si="334"/>
        <v/>
      </c>
      <c r="J386" s="272" t="str">
        <f t="shared" si="335"/>
        <v/>
      </c>
      <c r="K386" s="269" t="str">
        <f t="shared" si="312"/>
        <v/>
      </c>
      <c r="L386" s="272" t="str">
        <f t="shared" si="313"/>
        <v/>
      </c>
      <c r="M386" s="272" t="str">
        <f t="shared" si="336"/>
        <v/>
      </c>
      <c r="N386" s="269" t="str">
        <f t="shared" si="337"/>
        <v/>
      </c>
      <c r="O386" s="272" t="str">
        <f t="shared" si="338"/>
        <v/>
      </c>
      <c r="P386" s="272" t="str">
        <f t="shared" si="339"/>
        <v/>
      </c>
      <c r="Q386" s="269" t="str">
        <f t="shared" si="340"/>
        <v/>
      </c>
      <c r="R386" s="272" t="str">
        <f t="shared" si="341"/>
        <v/>
      </c>
      <c r="S386" s="272" t="str">
        <f t="shared" si="342"/>
        <v/>
      </c>
      <c r="T386" s="269" t="str">
        <f t="shared" si="343"/>
        <v/>
      </c>
      <c r="U386" s="230"/>
      <c r="V386" s="230"/>
      <c r="AB386" s="230" t="e">
        <f>VLOOKUP($B$6,Lookup_Source,379,0)</f>
        <v>#N/A</v>
      </c>
      <c r="AC386" s="254" t="str">
        <f t="shared" si="344"/>
        <v/>
      </c>
      <c r="AD386" s="255">
        <f t="shared" si="345"/>
        <v>7</v>
      </c>
      <c r="AE386" s="274" t="e">
        <f t="shared" si="314"/>
        <v>#N/A</v>
      </c>
      <c r="AF386" s="277" t="e">
        <f t="shared" si="346"/>
        <v>#N/A</v>
      </c>
      <c r="AG386" s="277" t="e">
        <f t="shared" si="347"/>
        <v>#N/A</v>
      </c>
      <c r="AH386" s="276" t="e">
        <f t="shared" si="315"/>
        <v>#N/A</v>
      </c>
      <c r="AI386" s="239">
        <f t="shared" si="348"/>
        <v>7</v>
      </c>
      <c r="AJ386" s="277" t="e">
        <f t="shared" si="316"/>
        <v>#N/A</v>
      </c>
      <c r="AK386" s="277" t="e">
        <f t="shared" si="349"/>
        <v>#N/A</v>
      </c>
      <c r="AL386" s="239" t="e">
        <f t="shared" si="317"/>
        <v>#N/A</v>
      </c>
      <c r="AM386" s="278" t="e">
        <f t="shared" si="350"/>
        <v>#N/A</v>
      </c>
      <c r="AN386" s="279" t="e">
        <f t="shared" si="318"/>
        <v>#N/A</v>
      </c>
      <c r="AO386" s="240" t="e">
        <f t="shared" si="319"/>
        <v>#N/A</v>
      </c>
      <c r="AP386" s="297">
        <f t="shared" si="351"/>
        <v>7</v>
      </c>
      <c r="AQ386" s="298" t="e">
        <f t="shared" si="320"/>
        <v>#N/A</v>
      </c>
      <c r="AR386" s="279" t="e">
        <f t="shared" si="352"/>
        <v>#N/A</v>
      </c>
      <c r="AS386" s="283" t="e">
        <f t="shared" si="321"/>
        <v>#N/A</v>
      </c>
      <c r="AT386" s="284">
        <f t="shared" si="353"/>
        <v>7</v>
      </c>
      <c r="AU386" s="285" t="e">
        <f t="shared" si="354"/>
        <v>#N/A</v>
      </c>
      <c r="AV386" s="286" t="e">
        <f t="shared" si="355"/>
        <v>#N/A</v>
      </c>
      <c r="AW386" s="287" t="e">
        <f t="shared" si="322"/>
        <v>#N/A</v>
      </c>
      <c r="AX386" s="245">
        <f t="shared" si="356"/>
        <v>7</v>
      </c>
      <c r="AY386" s="286" t="e">
        <f t="shared" si="323"/>
        <v>#N/A</v>
      </c>
      <c r="AZ386" s="245" t="e">
        <f t="shared" si="357"/>
        <v>#N/A</v>
      </c>
      <c r="BA386" s="245" t="e">
        <f t="shared" si="324"/>
        <v>#N/A</v>
      </c>
      <c r="BB386" s="288">
        <f t="shared" si="358"/>
        <v>7</v>
      </c>
      <c r="BC386" s="289" t="e">
        <f t="shared" si="359"/>
        <v>#N/A</v>
      </c>
      <c r="BD386" s="290" t="e">
        <f t="shared" si="360"/>
        <v>#N/A</v>
      </c>
      <c r="BE386" s="263" t="e">
        <f t="shared" si="325"/>
        <v>#N/A</v>
      </c>
      <c r="BF386" s="260">
        <f t="shared" si="361"/>
        <v>7</v>
      </c>
      <c r="BG386" s="289" t="e">
        <f t="shared" si="362"/>
        <v>#N/A</v>
      </c>
      <c r="BH386" s="290" t="e">
        <f t="shared" si="363"/>
        <v>#N/A</v>
      </c>
      <c r="BI386" s="263" t="e">
        <f t="shared" si="326"/>
        <v>#N/A</v>
      </c>
      <c r="BJ386" s="264">
        <f t="shared" si="364"/>
        <v>7</v>
      </c>
      <c r="BK386" s="291" t="e">
        <f t="shared" si="365"/>
        <v>#N/A</v>
      </c>
      <c r="BL386" s="291" t="e">
        <f t="shared" si="366"/>
        <v>#N/A</v>
      </c>
      <c r="BM386" s="292" t="e">
        <f t="shared" si="327"/>
        <v>#N/A</v>
      </c>
      <c r="BN386" s="293">
        <f t="shared" si="367"/>
        <v>7</v>
      </c>
      <c r="BO386" s="294" t="e">
        <f t="shared" si="368"/>
        <v>#N/A</v>
      </c>
      <c r="BP386" s="294" t="e">
        <f t="shared" si="369"/>
        <v>#N/A</v>
      </c>
      <c r="BQ386" s="292" t="e">
        <f t="shared" si="328"/>
        <v>#N/A</v>
      </c>
      <c r="BR386" s="295" t="e">
        <f t="shared" si="329"/>
        <v>#N/A</v>
      </c>
      <c r="BS386" s="230" t="e">
        <f>VLOOKUP($B386,SDR22_STOCK_BY_LA!$A$2:$C$11679,3,0)</f>
        <v>#N/A</v>
      </c>
      <c r="BT386" s="230" t="str">
        <f t="shared" si="370"/>
        <v/>
      </c>
    </row>
    <row r="387" spans="1:72" ht="12.5" x14ac:dyDescent="0.25">
      <c r="A387" s="269" t="str">
        <f t="shared" si="371"/>
        <v/>
      </c>
      <c r="B387" s="230" t="str">
        <f t="shared" si="372"/>
        <v/>
      </c>
      <c r="C387" s="270" t="str">
        <f t="shared" si="330"/>
        <v/>
      </c>
      <c r="D387" s="269" t="str">
        <f>IF(B387="","",IF(totals!$Q$3=0,IFERROR(IF(AD387=2,"0",AE387),""),"-"))</f>
        <v/>
      </c>
      <c r="E387" s="271" t="str">
        <f t="shared" si="331"/>
        <v/>
      </c>
      <c r="F387" s="272" t="str">
        <f t="shared" si="332"/>
        <v/>
      </c>
      <c r="G387" s="272" t="str">
        <f t="shared" si="333"/>
        <v/>
      </c>
      <c r="H387" s="269" t="str">
        <f t="shared" si="311"/>
        <v/>
      </c>
      <c r="I387" s="272" t="str">
        <f t="shared" si="334"/>
        <v/>
      </c>
      <c r="J387" s="272" t="str">
        <f t="shared" si="335"/>
        <v/>
      </c>
      <c r="K387" s="269" t="str">
        <f t="shared" si="312"/>
        <v/>
      </c>
      <c r="L387" s="272" t="str">
        <f t="shared" si="313"/>
        <v/>
      </c>
      <c r="M387" s="272" t="str">
        <f t="shared" si="336"/>
        <v/>
      </c>
      <c r="N387" s="269" t="str">
        <f t="shared" si="337"/>
        <v/>
      </c>
      <c r="O387" s="272" t="str">
        <f t="shared" si="338"/>
        <v/>
      </c>
      <c r="P387" s="272" t="str">
        <f t="shared" si="339"/>
        <v/>
      </c>
      <c r="Q387" s="269" t="str">
        <f t="shared" si="340"/>
        <v/>
      </c>
      <c r="R387" s="272" t="str">
        <f t="shared" si="341"/>
        <v/>
      </c>
      <c r="S387" s="272" t="str">
        <f t="shared" si="342"/>
        <v/>
      </c>
      <c r="T387" s="269" t="str">
        <f t="shared" si="343"/>
        <v/>
      </c>
      <c r="U387" s="230"/>
      <c r="V387" s="230"/>
      <c r="AB387" s="270" t="e">
        <f>VLOOKUP($B$6,Lookup_Source,380,0)</f>
        <v>#N/A</v>
      </c>
      <c r="AC387" s="254" t="str">
        <f t="shared" si="344"/>
        <v/>
      </c>
      <c r="AD387" s="255">
        <f t="shared" si="345"/>
        <v>7</v>
      </c>
      <c r="AE387" s="274" t="e">
        <f t="shared" si="314"/>
        <v>#N/A</v>
      </c>
      <c r="AF387" s="277" t="e">
        <f t="shared" si="346"/>
        <v>#N/A</v>
      </c>
      <c r="AG387" s="277" t="e">
        <f t="shared" si="347"/>
        <v>#N/A</v>
      </c>
      <c r="AH387" s="276" t="e">
        <f t="shared" si="315"/>
        <v>#N/A</v>
      </c>
      <c r="AI387" s="239">
        <f t="shared" si="348"/>
        <v>7</v>
      </c>
      <c r="AJ387" s="277" t="e">
        <f t="shared" si="316"/>
        <v>#N/A</v>
      </c>
      <c r="AK387" s="277" t="e">
        <f t="shared" si="349"/>
        <v>#N/A</v>
      </c>
      <c r="AL387" s="239" t="e">
        <f t="shared" si="317"/>
        <v>#N/A</v>
      </c>
      <c r="AM387" s="278" t="e">
        <f t="shared" si="350"/>
        <v>#N/A</v>
      </c>
      <c r="AN387" s="279" t="e">
        <f t="shared" si="318"/>
        <v>#N/A</v>
      </c>
      <c r="AO387" s="240" t="e">
        <f t="shared" si="319"/>
        <v>#N/A</v>
      </c>
      <c r="AP387" s="297">
        <f t="shared" si="351"/>
        <v>7</v>
      </c>
      <c r="AQ387" s="298" t="e">
        <f t="shared" si="320"/>
        <v>#N/A</v>
      </c>
      <c r="AR387" s="279" t="e">
        <f t="shared" si="352"/>
        <v>#N/A</v>
      </c>
      <c r="AS387" s="283" t="e">
        <f t="shared" si="321"/>
        <v>#N/A</v>
      </c>
      <c r="AT387" s="284">
        <f t="shared" si="353"/>
        <v>7</v>
      </c>
      <c r="AU387" s="285" t="e">
        <f t="shared" si="354"/>
        <v>#N/A</v>
      </c>
      <c r="AV387" s="286" t="e">
        <f t="shared" si="355"/>
        <v>#N/A</v>
      </c>
      <c r="AW387" s="287" t="e">
        <f t="shared" si="322"/>
        <v>#N/A</v>
      </c>
      <c r="AX387" s="245">
        <f t="shared" si="356"/>
        <v>7</v>
      </c>
      <c r="AY387" s="286" t="e">
        <f t="shared" si="323"/>
        <v>#N/A</v>
      </c>
      <c r="AZ387" s="245" t="e">
        <f t="shared" si="357"/>
        <v>#N/A</v>
      </c>
      <c r="BA387" s="245" t="e">
        <f t="shared" si="324"/>
        <v>#N/A</v>
      </c>
      <c r="BB387" s="288">
        <f t="shared" si="358"/>
        <v>7</v>
      </c>
      <c r="BC387" s="289" t="e">
        <f t="shared" si="359"/>
        <v>#N/A</v>
      </c>
      <c r="BD387" s="290" t="e">
        <f t="shared" si="360"/>
        <v>#N/A</v>
      </c>
      <c r="BE387" s="263" t="e">
        <f t="shared" si="325"/>
        <v>#N/A</v>
      </c>
      <c r="BF387" s="260">
        <f t="shared" si="361"/>
        <v>7</v>
      </c>
      <c r="BG387" s="289" t="e">
        <f t="shared" si="362"/>
        <v>#N/A</v>
      </c>
      <c r="BH387" s="290" t="e">
        <f t="shared" si="363"/>
        <v>#N/A</v>
      </c>
      <c r="BI387" s="263" t="e">
        <f t="shared" si="326"/>
        <v>#N/A</v>
      </c>
      <c r="BJ387" s="264">
        <f t="shared" si="364"/>
        <v>7</v>
      </c>
      <c r="BK387" s="291" t="e">
        <f t="shared" si="365"/>
        <v>#N/A</v>
      </c>
      <c r="BL387" s="291" t="e">
        <f t="shared" si="366"/>
        <v>#N/A</v>
      </c>
      <c r="BM387" s="292" t="e">
        <f t="shared" si="327"/>
        <v>#N/A</v>
      </c>
      <c r="BN387" s="293">
        <f t="shared" si="367"/>
        <v>7</v>
      </c>
      <c r="BO387" s="294" t="e">
        <f t="shared" si="368"/>
        <v>#N/A</v>
      </c>
      <c r="BP387" s="294" t="e">
        <f t="shared" si="369"/>
        <v>#N/A</v>
      </c>
      <c r="BQ387" s="292" t="e">
        <f t="shared" si="328"/>
        <v>#N/A</v>
      </c>
      <c r="BR387" s="295" t="e">
        <f t="shared" si="329"/>
        <v>#N/A</v>
      </c>
      <c r="BS387" s="230" t="e">
        <f>VLOOKUP($B387,SDR22_STOCK_BY_LA!$A$2:$C$11679,3,0)</f>
        <v>#N/A</v>
      </c>
      <c r="BT387" s="230" t="str">
        <f t="shared" si="370"/>
        <v/>
      </c>
    </row>
    <row r="388" spans="1:72" ht="12.5" x14ac:dyDescent="0.25">
      <c r="A388" s="230" t="str">
        <f t="shared" si="371"/>
        <v/>
      </c>
      <c r="B388" s="230" t="str">
        <f t="shared" si="372"/>
        <v/>
      </c>
      <c r="C388" s="296" t="str">
        <f t="shared" si="330"/>
        <v/>
      </c>
      <c r="D388" s="269" t="str">
        <f>IF(B388="","",IF(totals!$Q$3=0,IFERROR(IF(AD388=2,"0",AE388),""),"-"))</f>
        <v/>
      </c>
      <c r="E388" s="271" t="str">
        <f t="shared" si="331"/>
        <v/>
      </c>
      <c r="F388" s="272" t="str">
        <f t="shared" si="332"/>
        <v/>
      </c>
      <c r="G388" s="272" t="str">
        <f t="shared" si="333"/>
        <v/>
      </c>
      <c r="H388" s="269" t="str">
        <f t="shared" si="311"/>
        <v/>
      </c>
      <c r="I388" s="272" t="str">
        <f t="shared" si="334"/>
        <v/>
      </c>
      <c r="J388" s="272" t="str">
        <f t="shared" si="335"/>
        <v/>
      </c>
      <c r="K388" s="269" t="str">
        <f t="shared" si="312"/>
        <v/>
      </c>
      <c r="L388" s="272" t="str">
        <f t="shared" si="313"/>
        <v/>
      </c>
      <c r="M388" s="272" t="str">
        <f t="shared" si="336"/>
        <v/>
      </c>
      <c r="N388" s="269" t="str">
        <f t="shared" si="337"/>
        <v/>
      </c>
      <c r="O388" s="272" t="str">
        <f t="shared" si="338"/>
        <v/>
      </c>
      <c r="P388" s="272" t="str">
        <f t="shared" si="339"/>
        <v/>
      </c>
      <c r="Q388" s="269" t="str">
        <f t="shared" si="340"/>
        <v/>
      </c>
      <c r="R388" s="272" t="str">
        <f t="shared" si="341"/>
        <v/>
      </c>
      <c r="S388" s="272" t="str">
        <f t="shared" si="342"/>
        <v/>
      </c>
      <c r="T388" s="269" t="str">
        <f t="shared" si="343"/>
        <v/>
      </c>
      <c r="U388" s="230"/>
      <c r="V388" s="230"/>
      <c r="AB388" s="230" t="e">
        <f>VLOOKUP($B$6,Lookup_Source,381,0)</f>
        <v>#N/A</v>
      </c>
      <c r="AC388" s="254" t="str">
        <f t="shared" si="344"/>
        <v/>
      </c>
      <c r="AD388" s="255">
        <f t="shared" si="345"/>
        <v>7</v>
      </c>
      <c r="AE388" s="274" t="e">
        <f t="shared" si="314"/>
        <v>#N/A</v>
      </c>
      <c r="AF388" s="277" t="e">
        <f t="shared" si="346"/>
        <v>#N/A</v>
      </c>
      <c r="AG388" s="277" t="e">
        <f t="shared" si="347"/>
        <v>#N/A</v>
      </c>
      <c r="AH388" s="276" t="e">
        <f t="shared" si="315"/>
        <v>#N/A</v>
      </c>
      <c r="AI388" s="239">
        <f t="shared" si="348"/>
        <v>7</v>
      </c>
      <c r="AJ388" s="277" t="e">
        <f t="shared" si="316"/>
        <v>#N/A</v>
      </c>
      <c r="AK388" s="277" t="e">
        <f t="shared" si="349"/>
        <v>#N/A</v>
      </c>
      <c r="AL388" s="239" t="e">
        <f t="shared" si="317"/>
        <v>#N/A</v>
      </c>
      <c r="AM388" s="278" t="e">
        <f t="shared" si="350"/>
        <v>#N/A</v>
      </c>
      <c r="AN388" s="279" t="e">
        <f t="shared" si="318"/>
        <v>#N/A</v>
      </c>
      <c r="AO388" s="240" t="e">
        <f t="shared" si="319"/>
        <v>#N/A</v>
      </c>
      <c r="AP388" s="297">
        <f t="shared" si="351"/>
        <v>7</v>
      </c>
      <c r="AQ388" s="298" t="e">
        <f t="shared" si="320"/>
        <v>#N/A</v>
      </c>
      <c r="AR388" s="279" t="e">
        <f t="shared" si="352"/>
        <v>#N/A</v>
      </c>
      <c r="AS388" s="283" t="e">
        <f t="shared" si="321"/>
        <v>#N/A</v>
      </c>
      <c r="AT388" s="284">
        <f t="shared" si="353"/>
        <v>7</v>
      </c>
      <c r="AU388" s="285" t="e">
        <f t="shared" si="354"/>
        <v>#N/A</v>
      </c>
      <c r="AV388" s="286" t="e">
        <f t="shared" si="355"/>
        <v>#N/A</v>
      </c>
      <c r="AW388" s="287" t="e">
        <f t="shared" si="322"/>
        <v>#N/A</v>
      </c>
      <c r="AX388" s="245">
        <f t="shared" si="356"/>
        <v>7</v>
      </c>
      <c r="AY388" s="286" t="e">
        <f t="shared" si="323"/>
        <v>#N/A</v>
      </c>
      <c r="AZ388" s="245" t="e">
        <f t="shared" si="357"/>
        <v>#N/A</v>
      </c>
      <c r="BA388" s="245" t="e">
        <f t="shared" si="324"/>
        <v>#N/A</v>
      </c>
      <c r="BB388" s="288">
        <f t="shared" si="358"/>
        <v>7</v>
      </c>
      <c r="BC388" s="289" t="e">
        <f t="shared" si="359"/>
        <v>#N/A</v>
      </c>
      <c r="BD388" s="290" t="e">
        <f t="shared" si="360"/>
        <v>#N/A</v>
      </c>
      <c r="BE388" s="263" t="e">
        <f t="shared" si="325"/>
        <v>#N/A</v>
      </c>
      <c r="BF388" s="260">
        <f t="shared" si="361"/>
        <v>7</v>
      </c>
      <c r="BG388" s="289" t="e">
        <f t="shared" si="362"/>
        <v>#N/A</v>
      </c>
      <c r="BH388" s="290" t="e">
        <f t="shared" si="363"/>
        <v>#N/A</v>
      </c>
      <c r="BI388" s="263" t="e">
        <f t="shared" si="326"/>
        <v>#N/A</v>
      </c>
      <c r="BJ388" s="264">
        <f t="shared" si="364"/>
        <v>7</v>
      </c>
      <c r="BK388" s="291" t="e">
        <f t="shared" si="365"/>
        <v>#N/A</v>
      </c>
      <c r="BL388" s="291" t="e">
        <f t="shared" si="366"/>
        <v>#N/A</v>
      </c>
      <c r="BM388" s="292" t="e">
        <f t="shared" si="327"/>
        <v>#N/A</v>
      </c>
      <c r="BN388" s="293">
        <f t="shared" si="367"/>
        <v>7</v>
      </c>
      <c r="BO388" s="294" t="e">
        <f t="shared" si="368"/>
        <v>#N/A</v>
      </c>
      <c r="BP388" s="294" t="e">
        <f t="shared" si="369"/>
        <v>#N/A</v>
      </c>
      <c r="BQ388" s="292" t="e">
        <f t="shared" si="328"/>
        <v>#N/A</v>
      </c>
      <c r="BR388" s="295" t="e">
        <f t="shared" si="329"/>
        <v>#N/A</v>
      </c>
      <c r="BS388" s="230" t="e">
        <f>VLOOKUP($B388,SDR22_STOCK_BY_LA!$A$2:$C$11679,3,0)</f>
        <v>#N/A</v>
      </c>
      <c r="BT388" s="230" t="str">
        <f t="shared" si="370"/>
        <v/>
      </c>
    </row>
    <row r="389" spans="1:72" ht="12.5" x14ac:dyDescent="0.25">
      <c r="A389" s="269" t="str">
        <f t="shared" si="371"/>
        <v/>
      </c>
      <c r="B389" s="230" t="str">
        <f t="shared" si="372"/>
        <v/>
      </c>
      <c r="C389" s="270" t="str">
        <f t="shared" si="330"/>
        <v/>
      </c>
      <c r="D389" s="269" t="str">
        <f>IF(B389="","",IF(totals!$Q$3=0,IFERROR(IF(AD389=2,"0",AE389),""),"-"))</f>
        <v/>
      </c>
      <c r="E389" s="271" t="str">
        <f t="shared" si="331"/>
        <v/>
      </c>
      <c r="F389" s="272" t="str">
        <f t="shared" si="332"/>
        <v/>
      </c>
      <c r="G389" s="272" t="str">
        <f t="shared" si="333"/>
        <v/>
      </c>
      <c r="H389" s="269" t="str">
        <f t="shared" si="311"/>
        <v/>
      </c>
      <c r="I389" s="272" t="str">
        <f t="shared" si="334"/>
        <v/>
      </c>
      <c r="J389" s="272" t="str">
        <f t="shared" si="335"/>
        <v/>
      </c>
      <c r="K389" s="269" t="str">
        <f t="shared" si="312"/>
        <v/>
      </c>
      <c r="L389" s="272" t="str">
        <f t="shared" si="313"/>
        <v/>
      </c>
      <c r="M389" s="272" t="str">
        <f t="shared" si="336"/>
        <v/>
      </c>
      <c r="N389" s="269" t="str">
        <f t="shared" si="337"/>
        <v/>
      </c>
      <c r="O389" s="272" t="str">
        <f t="shared" si="338"/>
        <v/>
      </c>
      <c r="P389" s="272" t="str">
        <f t="shared" si="339"/>
        <v/>
      </c>
      <c r="Q389" s="269" t="str">
        <f t="shared" si="340"/>
        <v/>
      </c>
      <c r="R389" s="272" t="str">
        <f t="shared" si="341"/>
        <v/>
      </c>
      <c r="S389" s="272" t="str">
        <f t="shared" si="342"/>
        <v/>
      </c>
      <c r="T389" s="269" t="str">
        <f t="shared" si="343"/>
        <v/>
      </c>
      <c r="U389" s="230"/>
      <c r="V389" s="230"/>
      <c r="AB389" s="270" t="e">
        <f>VLOOKUP($B$6,Lookup_Source,382,0)</f>
        <v>#N/A</v>
      </c>
      <c r="AC389" s="254" t="str">
        <f t="shared" si="344"/>
        <v/>
      </c>
      <c r="AD389" s="255">
        <f t="shared" si="345"/>
        <v>7</v>
      </c>
      <c r="AE389" s="274" t="e">
        <f t="shared" si="314"/>
        <v>#N/A</v>
      </c>
      <c r="AF389" s="277" t="e">
        <f t="shared" si="346"/>
        <v>#N/A</v>
      </c>
      <c r="AG389" s="277" t="e">
        <f t="shared" si="347"/>
        <v>#N/A</v>
      </c>
      <c r="AH389" s="276" t="e">
        <f t="shared" si="315"/>
        <v>#N/A</v>
      </c>
      <c r="AI389" s="239">
        <f t="shared" si="348"/>
        <v>7</v>
      </c>
      <c r="AJ389" s="277" t="e">
        <f t="shared" si="316"/>
        <v>#N/A</v>
      </c>
      <c r="AK389" s="277" t="e">
        <f t="shared" si="349"/>
        <v>#N/A</v>
      </c>
      <c r="AL389" s="239" t="e">
        <f t="shared" si="317"/>
        <v>#N/A</v>
      </c>
      <c r="AM389" s="278" t="e">
        <f t="shared" si="350"/>
        <v>#N/A</v>
      </c>
      <c r="AN389" s="279" t="e">
        <f t="shared" si="318"/>
        <v>#N/A</v>
      </c>
      <c r="AO389" s="240" t="e">
        <f t="shared" si="319"/>
        <v>#N/A</v>
      </c>
      <c r="AP389" s="297">
        <f t="shared" si="351"/>
        <v>7</v>
      </c>
      <c r="AQ389" s="298" t="e">
        <f t="shared" si="320"/>
        <v>#N/A</v>
      </c>
      <c r="AR389" s="279" t="e">
        <f t="shared" si="352"/>
        <v>#N/A</v>
      </c>
      <c r="AS389" s="283" t="e">
        <f t="shared" si="321"/>
        <v>#N/A</v>
      </c>
      <c r="AT389" s="284">
        <f t="shared" si="353"/>
        <v>7</v>
      </c>
      <c r="AU389" s="285" t="e">
        <f t="shared" si="354"/>
        <v>#N/A</v>
      </c>
      <c r="AV389" s="286" t="e">
        <f t="shared" si="355"/>
        <v>#N/A</v>
      </c>
      <c r="AW389" s="287" t="e">
        <f t="shared" si="322"/>
        <v>#N/A</v>
      </c>
      <c r="AX389" s="245">
        <f t="shared" si="356"/>
        <v>7</v>
      </c>
      <c r="AY389" s="286" t="e">
        <f t="shared" si="323"/>
        <v>#N/A</v>
      </c>
      <c r="AZ389" s="245" t="e">
        <f t="shared" si="357"/>
        <v>#N/A</v>
      </c>
      <c r="BA389" s="245" t="e">
        <f t="shared" si="324"/>
        <v>#N/A</v>
      </c>
      <c r="BB389" s="288">
        <f t="shared" si="358"/>
        <v>7</v>
      </c>
      <c r="BC389" s="289" t="e">
        <f t="shared" si="359"/>
        <v>#N/A</v>
      </c>
      <c r="BD389" s="290" t="e">
        <f t="shared" si="360"/>
        <v>#N/A</v>
      </c>
      <c r="BE389" s="263" t="e">
        <f t="shared" si="325"/>
        <v>#N/A</v>
      </c>
      <c r="BF389" s="260">
        <f t="shared" si="361"/>
        <v>7</v>
      </c>
      <c r="BG389" s="289" t="e">
        <f t="shared" si="362"/>
        <v>#N/A</v>
      </c>
      <c r="BH389" s="290" t="e">
        <f t="shared" si="363"/>
        <v>#N/A</v>
      </c>
      <c r="BI389" s="263" t="e">
        <f t="shared" si="326"/>
        <v>#N/A</v>
      </c>
      <c r="BJ389" s="264">
        <f t="shared" si="364"/>
        <v>7</v>
      </c>
      <c r="BK389" s="291" t="e">
        <f t="shared" si="365"/>
        <v>#N/A</v>
      </c>
      <c r="BL389" s="291" t="e">
        <f t="shared" si="366"/>
        <v>#N/A</v>
      </c>
      <c r="BM389" s="292" t="e">
        <f t="shared" si="327"/>
        <v>#N/A</v>
      </c>
      <c r="BN389" s="293">
        <f t="shared" si="367"/>
        <v>7</v>
      </c>
      <c r="BO389" s="294" t="e">
        <f t="shared" si="368"/>
        <v>#N/A</v>
      </c>
      <c r="BP389" s="294" t="e">
        <f t="shared" si="369"/>
        <v>#N/A</v>
      </c>
      <c r="BQ389" s="292" t="e">
        <f t="shared" si="328"/>
        <v>#N/A</v>
      </c>
      <c r="BR389" s="295" t="e">
        <f t="shared" si="329"/>
        <v>#N/A</v>
      </c>
      <c r="BS389" s="230" t="e">
        <f>VLOOKUP($B389,SDR22_STOCK_BY_LA!$A$2:$C$11679,3,0)</f>
        <v>#N/A</v>
      </c>
      <c r="BT389" s="230" t="str">
        <f t="shared" si="370"/>
        <v/>
      </c>
    </row>
    <row r="390" spans="1:72" ht="12.5" x14ac:dyDescent="0.25">
      <c r="A390" s="230" t="str">
        <f t="shared" si="371"/>
        <v/>
      </c>
      <c r="B390" s="230" t="str">
        <f t="shared" si="372"/>
        <v/>
      </c>
      <c r="C390" s="296" t="str">
        <f t="shared" si="330"/>
        <v/>
      </c>
      <c r="D390" s="269" t="str">
        <f>IF(B390="","",IF(totals!$Q$3=0,IFERROR(IF(AD390=2,"0",AE390),""),"-"))</f>
        <v/>
      </c>
      <c r="E390" s="271" t="str">
        <f t="shared" si="331"/>
        <v/>
      </c>
      <c r="F390" s="272" t="str">
        <f t="shared" si="332"/>
        <v/>
      </c>
      <c r="G390" s="272" t="str">
        <f t="shared" si="333"/>
        <v/>
      </c>
      <c r="H390" s="269" t="str">
        <f t="shared" si="311"/>
        <v/>
      </c>
      <c r="I390" s="272" t="str">
        <f t="shared" si="334"/>
        <v/>
      </c>
      <c r="J390" s="272" t="str">
        <f t="shared" si="335"/>
        <v/>
      </c>
      <c r="K390" s="269" t="str">
        <f t="shared" si="312"/>
        <v/>
      </c>
      <c r="L390" s="272" t="str">
        <f t="shared" si="313"/>
        <v/>
      </c>
      <c r="M390" s="272" t="str">
        <f t="shared" si="336"/>
        <v/>
      </c>
      <c r="N390" s="269" t="str">
        <f t="shared" si="337"/>
        <v/>
      </c>
      <c r="O390" s="272" t="str">
        <f t="shared" si="338"/>
        <v/>
      </c>
      <c r="P390" s="272" t="str">
        <f t="shared" si="339"/>
        <v/>
      </c>
      <c r="Q390" s="269" t="str">
        <f t="shared" si="340"/>
        <v/>
      </c>
      <c r="R390" s="272" t="str">
        <f t="shared" si="341"/>
        <v/>
      </c>
      <c r="S390" s="272" t="str">
        <f t="shared" si="342"/>
        <v/>
      </c>
      <c r="T390" s="269" t="str">
        <f t="shared" si="343"/>
        <v/>
      </c>
      <c r="U390" s="230"/>
      <c r="V390" s="230"/>
      <c r="AB390" s="230" t="e">
        <f>VLOOKUP($B$6,Lookup_Source,383,0)</f>
        <v>#N/A</v>
      </c>
      <c r="AC390" s="254" t="str">
        <f t="shared" si="344"/>
        <v/>
      </c>
      <c r="AD390" s="255">
        <f t="shared" si="345"/>
        <v>7</v>
      </c>
      <c r="AE390" s="274" t="e">
        <f t="shared" si="314"/>
        <v>#N/A</v>
      </c>
      <c r="AF390" s="277" t="e">
        <f t="shared" si="346"/>
        <v>#N/A</v>
      </c>
      <c r="AG390" s="277" t="e">
        <f t="shared" si="347"/>
        <v>#N/A</v>
      </c>
      <c r="AH390" s="276" t="e">
        <f t="shared" si="315"/>
        <v>#N/A</v>
      </c>
      <c r="AI390" s="239">
        <f t="shared" si="348"/>
        <v>7</v>
      </c>
      <c r="AJ390" s="277" t="e">
        <f t="shared" si="316"/>
        <v>#N/A</v>
      </c>
      <c r="AK390" s="277" t="e">
        <f t="shared" si="349"/>
        <v>#N/A</v>
      </c>
      <c r="AL390" s="239" t="e">
        <f t="shared" si="317"/>
        <v>#N/A</v>
      </c>
      <c r="AM390" s="278" t="e">
        <f t="shared" si="350"/>
        <v>#N/A</v>
      </c>
      <c r="AN390" s="279" t="e">
        <f t="shared" si="318"/>
        <v>#N/A</v>
      </c>
      <c r="AO390" s="240" t="e">
        <f t="shared" si="319"/>
        <v>#N/A</v>
      </c>
      <c r="AP390" s="297">
        <f t="shared" si="351"/>
        <v>7</v>
      </c>
      <c r="AQ390" s="298" t="e">
        <f t="shared" si="320"/>
        <v>#N/A</v>
      </c>
      <c r="AR390" s="279" t="e">
        <f t="shared" si="352"/>
        <v>#N/A</v>
      </c>
      <c r="AS390" s="283" t="e">
        <f t="shared" si="321"/>
        <v>#N/A</v>
      </c>
      <c r="AT390" s="284">
        <f t="shared" si="353"/>
        <v>7</v>
      </c>
      <c r="AU390" s="285" t="e">
        <f t="shared" si="354"/>
        <v>#N/A</v>
      </c>
      <c r="AV390" s="286" t="e">
        <f t="shared" si="355"/>
        <v>#N/A</v>
      </c>
      <c r="AW390" s="287" t="e">
        <f t="shared" si="322"/>
        <v>#N/A</v>
      </c>
      <c r="AX390" s="245">
        <f t="shared" si="356"/>
        <v>7</v>
      </c>
      <c r="AY390" s="286" t="e">
        <f t="shared" si="323"/>
        <v>#N/A</v>
      </c>
      <c r="AZ390" s="245" t="e">
        <f t="shared" si="357"/>
        <v>#N/A</v>
      </c>
      <c r="BA390" s="245" t="e">
        <f t="shared" si="324"/>
        <v>#N/A</v>
      </c>
      <c r="BB390" s="288">
        <f t="shared" si="358"/>
        <v>7</v>
      </c>
      <c r="BC390" s="289" t="e">
        <f t="shared" si="359"/>
        <v>#N/A</v>
      </c>
      <c r="BD390" s="290" t="e">
        <f t="shared" si="360"/>
        <v>#N/A</v>
      </c>
      <c r="BE390" s="263" t="e">
        <f t="shared" si="325"/>
        <v>#N/A</v>
      </c>
      <c r="BF390" s="260">
        <f t="shared" si="361"/>
        <v>7</v>
      </c>
      <c r="BG390" s="289" t="e">
        <f t="shared" si="362"/>
        <v>#N/A</v>
      </c>
      <c r="BH390" s="290" t="e">
        <f t="shared" si="363"/>
        <v>#N/A</v>
      </c>
      <c r="BI390" s="263" t="e">
        <f t="shared" si="326"/>
        <v>#N/A</v>
      </c>
      <c r="BJ390" s="264">
        <f t="shared" si="364"/>
        <v>7</v>
      </c>
      <c r="BK390" s="291" t="e">
        <f t="shared" si="365"/>
        <v>#N/A</v>
      </c>
      <c r="BL390" s="291" t="e">
        <f t="shared" si="366"/>
        <v>#N/A</v>
      </c>
      <c r="BM390" s="292" t="e">
        <f t="shared" si="327"/>
        <v>#N/A</v>
      </c>
      <c r="BN390" s="293">
        <f t="shared" si="367"/>
        <v>7</v>
      </c>
      <c r="BO390" s="294" t="e">
        <f t="shared" si="368"/>
        <v>#N/A</v>
      </c>
      <c r="BP390" s="294" t="e">
        <f t="shared" si="369"/>
        <v>#N/A</v>
      </c>
      <c r="BQ390" s="292" t="e">
        <f t="shared" si="328"/>
        <v>#N/A</v>
      </c>
      <c r="BR390" s="295" t="e">
        <f t="shared" si="329"/>
        <v>#N/A</v>
      </c>
      <c r="BS390" s="230" t="e">
        <f>VLOOKUP($B390,SDR22_STOCK_BY_LA!$A$2:$C$11679,3,0)</f>
        <v>#N/A</v>
      </c>
      <c r="BT390" s="230" t="str">
        <f t="shared" si="370"/>
        <v/>
      </c>
    </row>
    <row r="391" spans="1:72" ht="12.5" x14ac:dyDescent="0.25">
      <c r="A391" s="269" t="str">
        <f t="shared" si="371"/>
        <v/>
      </c>
      <c r="B391" s="230" t="str">
        <f t="shared" si="372"/>
        <v/>
      </c>
      <c r="C391" s="270" t="str">
        <f t="shared" si="330"/>
        <v/>
      </c>
      <c r="D391" s="269" t="str">
        <f>IF(B391="","",IF(totals!$Q$3=0,IFERROR(IF(AD391=2,"0",AE391),""),"-"))</f>
        <v/>
      </c>
      <c r="E391" s="271" t="str">
        <f t="shared" si="331"/>
        <v/>
      </c>
      <c r="F391" s="272" t="str">
        <f t="shared" si="332"/>
        <v/>
      </c>
      <c r="G391" s="272" t="str">
        <f t="shared" si="333"/>
        <v/>
      </c>
      <c r="H391" s="269" t="str">
        <f t="shared" si="311"/>
        <v/>
      </c>
      <c r="I391" s="272" t="str">
        <f t="shared" si="334"/>
        <v/>
      </c>
      <c r="J391" s="272" t="str">
        <f t="shared" si="335"/>
        <v/>
      </c>
      <c r="K391" s="269" t="str">
        <f t="shared" si="312"/>
        <v/>
      </c>
      <c r="L391" s="272" t="str">
        <f t="shared" si="313"/>
        <v/>
      </c>
      <c r="M391" s="272" t="str">
        <f t="shared" si="336"/>
        <v/>
      </c>
      <c r="N391" s="269" t="str">
        <f t="shared" si="337"/>
        <v/>
      </c>
      <c r="O391" s="272" t="str">
        <f t="shared" si="338"/>
        <v/>
      </c>
      <c r="P391" s="272" t="str">
        <f t="shared" si="339"/>
        <v/>
      </c>
      <c r="Q391" s="269" t="str">
        <f t="shared" si="340"/>
        <v/>
      </c>
      <c r="R391" s="272" t="str">
        <f t="shared" si="341"/>
        <v/>
      </c>
      <c r="S391" s="272" t="str">
        <f t="shared" si="342"/>
        <v/>
      </c>
      <c r="T391" s="269" t="str">
        <f t="shared" si="343"/>
        <v/>
      </c>
      <c r="U391" s="230"/>
      <c r="V391" s="230"/>
      <c r="AB391" s="270" t="e">
        <f>VLOOKUP($B$6,Lookup_Source,384,0)</f>
        <v>#N/A</v>
      </c>
      <c r="AC391" s="254" t="str">
        <f t="shared" si="344"/>
        <v/>
      </c>
      <c r="AD391" s="255">
        <f t="shared" si="345"/>
        <v>7</v>
      </c>
      <c r="AE391" s="274" t="e">
        <f t="shared" si="314"/>
        <v>#N/A</v>
      </c>
      <c r="AF391" s="277" t="e">
        <f t="shared" si="346"/>
        <v>#N/A</v>
      </c>
      <c r="AG391" s="277" t="e">
        <f t="shared" si="347"/>
        <v>#N/A</v>
      </c>
      <c r="AH391" s="276" t="e">
        <f t="shared" si="315"/>
        <v>#N/A</v>
      </c>
      <c r="AI391" s="239">
        <f t="shared" si="348"/>
        <v>7</v>
      </c>
      <c r="AJ391" s="277" t="e">
        <f t="shared" si="316"/>
        <v>#N/A</v>
      </c>
      <c r="AK391" s="277" t="e">
        <f t="shared" si="349"/>
        <v>#N/A</v>
      </c>
      <c r="AL391" s="239" t="e">
        <f t="shared" si="317"/>
        <v>#N/A</v>
      </c>
      <c r="AM391" s="278" t="e">
        <f t="shared" si="350"/>
        <v>#N/A</v>
      </c>
      <c r="AN391" s="279" t="e">
        <f t="shared" si="318"/>
        <v>#N/A</v>
      </c>
      <c r="AO391" s="240" t="e">
        <f t="shared" si="319"/>
        <v>#N/A</v>
      </c>
      <c r="AP391" s="297">
        <f t="shared" si="351"/>
        <v>7</v>
      </c>
      <c r="AQ391" s="298" t="e">
        <f t="shared" si="320"/>
        <v>#N/A</v>
      </c>
      <c r="AR391" s="279" t="e">
        <f t="shared" si="352"/>
        <v>#N/A</v>
      </c>
      <c r="AS391" s="283" t="e">
        <f t="shared" si="321"/>
        <v>#N/A</v>
      </c>
      <c r="AT391" s="284">
        <f t="shared" si="353"/>
        <v>7</v>
      </c>
      <c r="AU391" s="285" t="e">
        <f t="shared" si="354"/>
        <v>#N/A</v>
      </c>
      <c r="AV391" s="286" t="e">
        <f t="shared" si="355"/>
        <v>#N/A</v>
      </c>
      <c r="AW391" s="287" t="e">
        <f t="shared" si="322"/>
        <v>#N/A</v>
      </c>
      <c r="AX391" s="245">
        <f t="shared" si="356"/>
        <v>7</v>
      </c>
      <c r="AY391" s="286" t="e">
        <f t="shared" si="323"/>
        <v>#N/A</v>
      </c>
      <c r="AZ391" s="245" t="e">
        <f t="shared" si="357"/>
        <v>#N/A</v>
      </c>
      <c r="BA391" s="245" t="e">
        <f t="shared" si="324"/>
        <v>#N/A</v>
      </c>
      <c r="BB391" s="288">
        <f t="shared" si="358"/>
        <v>7</v>
      </c>
      <c r="BC391" s="289" t="e">
        <f t="shared" si="359"/>
        <v>#N/A</v>
      </c>
      <c r="BD391" s="290" t="e">
        <f t="shared" si="360"/>
        <v>#N/A</v>
      </c>
      <c r="BE391" s="263" t="e">
        <f t="shared" si="325"/>
        <v>#N/A</v>
      </c>
      <c r="BF391" s="260">
        <f t="shared" si="361"/>
        <v>7</v>
      </c>
      <c r="BG391" s="289" t="e">
        <f t="shared" si="362"/>
        <v>#N/A</v>
      </c>
      <c r="BH391" s="290" t="e">
        <f t="shared" si="363"/>
        <v>#N/A</v>
      </c>
      <c r="BI391" s="263" t="e">
        <f t="shared" si="326"/>
        <v>#N/A</v>
      </c>
      <c r="BJ391" s="264">
        <f t="shared" si="364"/>
        <v>7</v>
      </c>
      <c r="BK391" s="291" t="e">
        <f t="shared" si="365"/>
        <v>#N/A</v>
      </c>
      <c r="BL391" s="291" t="e">
        <f t="shared" si="366"/>
        <v>#N/A</v>
      </c>
      <c r="BM391" s="292" t="e">
        <f t="shared" si="327"/>
        <v>#N/A</v>
      </c>
      <c r="BN391" s="293">
        <f t="shared" si="367"/>
        <v>7</v>
      </c>
      <c r="BO391" s="294" t="e">
        <f t="shared" si="368"/>
        <v>#N/A</v>
      </c>
      <c r="BP391" s="294" t="e">
        <f t="shared" si="369"/>
        <v>#N/A</v>
      </c>
      <c r="BQ391" s="292" t="e">
        <f t="shared" si="328"/>
        <v>#N/A</v>
      </c>
      <c r="BR391" s="295" t="e">
        <f t="shared" si="329"/>
        <v>#N/A</v>
      </c>
      <c r="BS391" s="230" t="e">
        <f>VLOOKUP($B391,SDR22_STOCK_BY_LA!$A$2:$C$11679,3,0)</f>
        <v>#N/A</v>
      </c>
      <c r="BT391" s="230" t="str">
        <f t="shared" si="370"/>
        <v/>
      </c>
    </row>
    <row r="392" spans="1:72" ht="12.5" x14ac:dyDescent="0.25">
      <c r="A392" s="230" t="str">
        <f t="shared" si="371"/>
        <v/>
      </c>
      <c r="B392" s="230" t="str">
        <f t="shared" si="372"/>
        <v/>
      </c>
      <c r="C392" s="296" t="str">
        <f t="shared" si="330"/>
        <v/>
      </c>
      <c r="D392" s="269" t="str">
        <f>IF(B392="","",IF(totals!$Q$3=0,IFERROR(IF(AD392=2,"0",AE392),""),"-"))</f>
        <v/>
      </c>
      <c r="E392" s="271" t="str">
        <f t="shared" si="331"/>
        <v/>
      </c>
      <c r="F392" s="272" t="str">
        <f t="shared" si="332"/>
        <v/>
      </c>
      <c r="G392" s="272" t="str">
        <f t="shared" si="333"/>
        <v/>
      </c>
      <c r="H392" s="269" t="str">
        <f t="shared" si="311"/>
        <v/>
      </c>
      <c r="I392" s="272" t="str">
        <f t="shared" si="334"/>
        <v/>
      </c>
      <c r="J392" s="272" t="str">
        <f t="shared" si="335"/>
        <v/>
      </c>
      <c r="K392" s="269" t="str">
        <f t="shared" si="312"/>
        <v/>
      </c>
      <c r="L392" s="272" t="str">
        <f t="shared" si="313"/>
        <v/>
      </c>
      <c r="M392" s="272" t="str">
        <f t="shared" si="336"/>
        <v/>
      </c>
      <c r="N392" s="269" t="str">
        <f t="shared" si="337"/>
        <v/>
      </c>
      <c r="O392" s="272" t="str">
        <f t="shared" si="338"/>
        <v/>
      </c>
      <c r="P392" s="272" t="str">
        <f t="shared" si="339"/>
        <v/>
      </c>
      <c r="Q392" s="269" t="str">
        <f t="shared" si="340"/>
        <v/>
      </c>
      <c r="R392" s="272" t="str">
        <f t="shared" si="341"/>
        <v/>
      </c>
      <c r="S392" s="272" t="str">
        <f t="shared" si="342"/>
        <v/>
      </c>
      <c r="T392" s="269" t="str">
        <f t="shared" si="343"/>
        <v/>
      </c>
      <c r="U392" s="230"/>
      <c r="V392" s="230"/>
      <c r="AB392" s="230" t="e">
        <f>VLOOKUP($B$6,Lookup_Source,385,0)</f>
        <v>#N/A</v>
      </c>
      <c r="AC392" s="254" t="str">
        <f t="shared" si="344"/>
        <v/>
      </c>
      <c r="AD392" s="255">
        <f t="shared" si="345"/>
        <v>7</v>
      </c>
      <c r="AE392" s="274" t="e">
        <f t="shared" si="314"/>
        <v>#N/A</v>
      </c>
      <c r="AF392" s="277" t="e">
        <f t="shared" si="346"/>
        <v>#N/A</v>
      </c>
      <c r="AG392" s="277" t="e">
        <f t="shared" si="347"/>
        <v>#N/A</v>
      </c>
      <c r="AH392" s="276" t="e">
        <f t="shared" si="315"/>
        <v>#N/A</v>
      </c>
      <c r="AI392" s="239">
        <f t="shared" si="348"/>
        <v>7</v>
      </c>
      <c r="AJ392" s="277" t="e">
        <f t="shared" si="316"/>
        <v>#N/A</v>
      </c>
      <c r="AK392" s="277" t="e">
        <f t="shared" si="349"/>
        <v>#N/A</v>
      </c>
      <c r="AL392" s="239" t="e">
        <f t="shared" si="317"/>
        <v>#N/A</v>
      </c>
      <c r="AM392" s="278" t="e">
        <f t="shared" si="350"/>
        <v>#N/A</v>
      </c>
      <c r="AN392" s="279" t="e">
        <f t="shared" si="318"/>
        <v>#N/A</v>
      </c>
      <c r="AO392" s="240" t="e">
        <f t="shared" si="319"/>
        <v>#N/A</v>
      </c>
      <c r="AP392" s="297">
        <f t="shared" si="351"/>
        <v>7</v>
      </c>
      <c r="AQ392" s="298" t="e">
        <f t="shared" si="320"/>
        <v>#N/A</v>
      </c>
      <c r="AR392" s="279" t="e">
        <f t="shared" si="352"/>
        <v>#N/A</v>
      </c>
      <c r="AS392" s="283" t="e">
        <f t="shared" si="321"/>
        <v>#N/A</v>
      </c>
      <c r="AT392" s="284">
        <f t="shared" si="353"/>
        <v>7</v>
      </c>
      <c r="AU392" s="285" t="e">
        <f t="shared" si="354"/>
        <v>#N/A</v>
      </c>
      <c r="AV392" s="286" t="e">
        <f t="shared" si="355"/>
        <v>#N/A</v>
      </c>
      <c r="AW392" s="287" t="e">
        <f t="shared" si="322"/>
        <v>#N/A</v>
      </c>
      <c r="AX392" s="245">
        <f t="shared" si="356"/>
        <v>7</v>
      </c>
      <c r="AY392" s="286" t="e">
        <f t="shared" si="323"/>
        <v>#N/A</v>
      </c>
      <c r="AZ392" s="245" t="e">
        <f t="shared" si="357"/>
        <v>#N/A</v>
      </c>
      <c r="BA392" s="245" t="e">
        <f t="shared" si="324"/>
        <v>#N/A</v>
      </c>
      <c r="BB392" s="288">
        <f t="shared" si="358"/>
        <v>7</v>
      </c>
      <c r="BC392" s="289" t="e">
        <f t="shared" si="359"/>
        <v>#N/A</v>
      </c>
      <c r="BD392" s="290" t="e">
        <f t="shared" si="360"/>
        <v>#N/A</v>
      </c>
      <c r="BE392" s="263" t="e">
        <f t="shared" si="325"/>
        <v>#N/A</v>
      </c>
      <c r="BF392" s="260">
        <f t="shared" si="361"/>
        <v>7</v>
      </c>
      <c r="BG392" s="289" t="e">
        <f t="shared" si="362"/>
        <v>#N/A</v>
      </c>
      <c r="BH392" s="290" t="e">
        <f t="shared" si="363"/>
        <v>#N/A</v>
      </c>
      <c r="BI392" s="263" t="e">
        <f t="shared" si="326"/>
        <v>#N/A</v>
      </c>
      <c r="BJ392" s="264">
        <f t="shared" si="364"/>
        <v>7</v>
      </c>
      <c r="BK392" s="291" t="e">
        <f t="shared" si="365"/>
        <v>#N/A</v>
      </c>
      <c r="BL392" s="291" t="e">
        <f t="shared" si="366"/>
        <v>#N/A</v>
      </c>
      <c r="BM392" s="292" t="e">
        <f t="shared" si="327"/>
        <v>#N/A</v>
      </c>
      <c r="BN392" s="293">
        <f t="shared" si="367"/>
        <v>7</v>
      </c>
      <c r="BO392" s="294" t="e">
        <f t="shared" si="368"/>
        <v>#N/A</v>
      </c>
      <c r="BP392" s="294" t="e">
        <f t="shared" si="369"/>
        <v>#N/A</v>
      </c>
      <c r="BQ392" s="292" t="e">
        <f t="shared" si="328"/>
        <v>#N/A</v>
      </c>
      <c r="BR392" s="295" t="e">
        <f t="shared" si="329"/>
        <v>#N/A</v>
      </c>
      <c r="BS392" s="230" t="e">
        <f>VLOOKUP($B392,SDR22_STOCK_BY_LA!$A$2:$C$11679,3,0)</f>
        <v>#N/A</v>
      </c>
      <c r="BT392" s="230" t="str">
        <f t="shared" si="370"/>
        <v/>
      </c>
    </row>
    <row r="393" spans="1:72" ht="12.5" x14ac:dyDescent="0.25">
      <c r="A393" s="269" t="str">
        <f t="shared" si="371"/>
        <v/>
      </c>
      <c r="B393" s="230" t="str">
        <f t="shared" si="372"/>
        <v/>
      </c>
      <c r="C393" s="270" t="str">
        <f t="shared" si="330"/>
        <v/>
      </c>
      <c r="D393" s="269" t="str">
        <f>IF(B393="","",IF(totals!$Q$3=0,IFERROR(IF(AD393=2,"0",AE393),""),"-"))</f>
        <v/>
      </c>
      <c r="E393" s="271" t="str">
        <f t="shared" si="331"/>
        <v/>
      </c>
      <c r="F393" s="272" t="str">
        <f t="shared" si="332"/>
        <v/>
      </c>
      <c r="G393" s="272" t="str">
        <f t="shared" si="333"/>
        <v/>
      </c>
      <c r="H393" s="269" t="str">
        <f t="shared" ref="H393:H456" si="373">IFERROR(AO393,"")</f>
        <v/>
      </c>
      <c r="I393" s="272" t="str">
        <f t="shared" si="334"/>
        <v/>
      </c>
      <c r="J393" s="272" t="str">
        <f t="shared" si="335"/>
        <v/>
      </c>
      <c r="K393" s="269" t="str">
        <f t="shared" ref="K393:K456" si="374">IFERROR(AW393,"")</f>
        <v/>
      </c>
      <c r="L393" s="272" t="str">
        <f t="shared" ref="L393:L456" si="375">IFERROR(IF(AT393=2,"-",AU393),"")</f>
        <v/>
      </c>
      <c r="M393" s="272" t="str">
        <f t="shared" si="336"/>
        <v/>
      </c>
      <c r="N393" s="269" t="str">
        <f t="shared" si="337"/>
        <v/>
      </c>
      <c r="O393" s="272" t="str">
        <f t="shared" si="338"/>
        <v/>
      </c>
      <c r="P393" s="272" t="str">
        <f t="shared" si="339"/>
        <v/>
      </c>
      <c r="Q393" s="269" t="str">
        <f t="shared" si="340"/>
        <v/>
      </c>
      <c r="R393" s="272" t="str">
        <f t="shared" si="341"/>
        <v/>
      </c>
      <c r="S393" s="272" t="str">
        <f t="shared" si="342"/>
        <v/>
      </c>
      <c r="T393" s="269" t="str">
        <f t="shared" si="343"/>
        <v/>
      </c>
      <c r="U393" s="230"/>
      <c r="V393" s="230"/>
      <c r="AB393" s="270" t="e">
        <f>VLOOKUP($B$6,Lookup_Source,386,0)</f>
        <v>#N/A</v>
      </c>
      <c r="AC393" s="254" t="str">
        <f t="shared" si="344"/>
        <v/>
      </c>
      <c r="AD393" s="255">
        <f t="shared" si="345"/>
        <v>7</v>
      </c>
      <c r="AE393" s="274" t="e">
        <f t="shared" ref="AE393:AE456" si="376">SUM(VLOOKUP($B393,Totals,8,0)-1)</f>
        <v>#N/A</v>
      </c>
      <c r="AF393" s="277" t="e">
        <f t="shared" si="346"/>
        <v>#N/A</v>
      </c>
      <c r="AG393" s="277" t="e">
        <f t="shared" si="347"/>
        <v>#N/A</v>
      </c>
      <c r="AH393" s="276" t="e">
        <f t="shared" ref="AH393:AH456" si="377">VLOOKUP($BT393,Stock_By_LA,2,0)</f>
        <v>#N/A</v>
      </c>
      <c r="AI393" s="239">
        <f t="shared" si="348"/>
        <v>7</v>
      </c>
      <c r="AJ393" s="277" t="e">
        <f t="shared" ref="AJ393:AJ456" si="378">IF(AK393&gt;0,AK393,"-")</f>
        <v>#N/A</v>
      </c>
      <c r="AK393" s="277" t="e">
        <f t="shared" si="349"/>
        <v>#N/A</v>
      </c>
      <c r="AL393" s="239" t="e">
        <f t="shared" ref="AL393:AL456" si="379">VLOOKUP($B393,Totals,7,0)</f>
        <v>#N/A</v>
      </c>
      <c r="AM393" s="278" t="e">
        <f t="shared" si="350"/>
        <v>#N/A</v>
      </c>
      <c r="AN393" s="279" t="e">
        <f t="shared" ref="AN393:AN456" si="380">$AO393/$AO$8</f>
        <v>#N/A</v>
      </c>
      <c r="AO393" s="240" t="e">
        <f t="shared" ref="AO393:AO456" si="381">VLOOKUP($BT393,Stock_By_LA,3,0)</f>
        <v>#N/A</v>
      </c>
      <c r="AP393" s="297">
        <f t="shared" si="351"/>
        <v>7</v>
      </c>
      <c r="AQ393" s="298" t="e">
        <f t="shared" ref="AQ393:AQ456" si="382">IF(AR393&gt;0,AR393,"-")</f>
        <v>#N/A</v>
      </c>
      <c r="AR393" s="279" t="e">
        <f t="shared" si="352"/>
        <v>#N/A</v>
      </c>
      <c r="AS393" s="283" t="e">
        <f t="shared" ref="AS393:AS456" si="383">VLOOKUP($B393,Totals,2,0)</f>
        <v>#N/A</v>
      </c>
      <c r="AT393" s="284">
        <f t="shared" si="353"/>
        <v>7</v>
      </c>
      <c r="AU393" s="285" t="e">
        <f t="shared" si="354"/>
        <v>#N/A</v>
      </c>
      <c r="AV393" s="286" t="e">
        <f t="shared" si="355"/>
        <v>#N/A</v>
      </c>
      <c r="AW393" s="287" t="e">
        <f t="shared" ref="AW393:AW456" si="384">VLOOKUP($BT393,Stock_By_LA,4,0)</f>
        <v>#N/A</v>
      </c>
      <c r="AX393" s="245">
        <f t="shared" si="356"/>
        <v>7</v>
      </c>
      <c r="AY393" s="286" t="e">
        <f t="shared" ref="AY393:AY456" si="385">IF(AZ393&gt;0,AZ393,"-")</f>
        <v>#N/A</v>
      </c>
      <c r="AZ393" s="245" t="e">
        <f t="shared" si="357"/>
        <v>#N/A</v>
      </c>
      <c r="BA393" s="245" t="e">
        <f t="shared" ref="BA393:BA456" si="386">VLOOKUP($B393,Totals,3,0)</f>
        <v>#N/A</v>
      </c>
      <c r="BB393" s="288">
        <f t="shared" si="358"/>
        <v>7</v>
      </c>
      <c r="BC393" s="289" t="e">
        <f t="shared" si="359"/>
        <v>#N/A</v>
      </c>
      <c r="BD393" s="290" t="e">
        <f t="shared" si="360"/>
        <v>#N/A</v>
      </c>
      <c r="BE393" s="263" t="e">
        <f t="shared" ref="BE393:BE456" si="387">VLOOKUP($BT393,Stock_By_LA,5,0)</f>
        <v>#N/A</v>
      </c>
      <c r="BF393" s="260">
        <f t="shared" si="361"/>
        <v>7</v>
      </c>
      <c r="BG393" s="289" t="e">
        <f t="shared" si="362"/>
        <v>#N/A</v>
      </c>
      <c r="BH393" s="290" t="e">
        <f t="shared" si="363"/>
        <v>#N/A</v>
      </c>
      <c r="BI393" s="263" t="e">
        <f t="shared" ref="BI393:BI456" si="388">VLOOKUP($B393,Totals,4,0)</f>
        <v>#N/A</v>
      </c>
      <c r="BJ393" s="264">
        <f t="shared" si="364"/>
        <v>7</v>
      </c>
      <c r="BK393" s="291" t="e">
        <f t="shared" si="365"/>
        <v>#N/A</v>
      </c>
      <c r="BL393" s="291" t="e">
        <f t="shared" si="366"/>
        <v>#N/A</v>
      </c>
      <c r="BM393" s="292" t="e">
        <f t="shared" ref="BM393:BM456" si="389">VLOOKUP($BT393,Stock_By_LA,6,0)</f>
        <v>#N/A</v>
      </c>
      <c r="BN393" s="293">
        <f t="shared" si="367"/>
        <v>7</v>
      </c>
      <c r="BO393" s="294" t="e">
        <f t="shared" si="368"/>
        <v>#N/A</v>
      </c>
      <c r="BP393" s="294" t="e">
        <f t="shared" si="369"/>
        <v>#N/A</v>
      </c>
      <c r="BQ393" s="292" t="e">
        <f t="shared" ref="BQ393:BQ456" si="390">VLOOKUP($B393,Totals,5,0)</f>
        <v>#N/A</v>
      </c>
      <c r="BR393" s="295" t="e">
        <f t="shared" ref="BR393:BR456" si="391">VLOOKUP($BT393,Stock_By_LA,8,0)</f>
        <v>#N/A</v>
      </c>
      <c r="BS393" s="230" t="e">
        <f>VLOOKUP($B393,SDR22_STOCK_BY_LA!$A$2:$C$11679,3,0)</f>
        <v>#N/A</v>
      </c>
      <c r="BT393" s="230" t="str">
        <f t="shared" si="370"/>
        <v/>
      </c>
    </row>
    <row r="394" spans="1:72" ht="12.5" x14ac:dyDescent="0.25">
      <c r="A394" s="230" t="str">
        <f t="shared" si="371"/>
        <v/>
      </c>
      <c r="B394" s="230" t="str">
        <f t="shared" si="372"/>
        <v/>
      </c>
      <c r="C394" s="296" t="str">
        <f t="shared" ref="C394:C457" si="392">IFERROR(BS394,"")</f>
        <v/>
      </c>
      <c r="D394" s="269" t="str">
        <f>IF(B394="","",IF(totals!$Q$3=0,IFERROR(IF(AD394=2,"0",AE394),""),"-"))</f>
        <v/>
      </c>
      <c r="E394" s="271" t="str">
        <f t="shared" ref="E394:E457" si="393">IFERROR(AH394,"")</f>
        <v/>
      </c>
      <c r="F394" s="272" t="str">
        <f t="shared" ref="F394:F457" si="394">IFERROR(AF394,"")</f>
        <v/>
      </c>
      <c r="G394" s="272" t="str">
        <f t="shared" ref="G394:G457" si="395">IFERROR(IF(AI394=2,"-",AJ394),"")</f>
        <v/>
      </c>
      <c r="H394" s="269" t="str">
        <f t="shared" si="373"/>
        <v/>
      </c>
      <c r="I394" s="272" t="str">
        <f t="shared" ref="I394:I457" si="396">IFERROR(AM394,"")</f>
        <v/>
      </c>
      <c r="J394" s="272" t="str">
        <f t="shared" ref="J394:J457" si="397">IFERROR(IF(AP394=2,"-",AQ394),"")</f>
        <v/>
      </c>
      <c r="K394" s="269" t="str">
        <f t="shared" si="374"/>
        <v/>
      </c>
      <c r="L394" s="272" t="str">
        <f t="shared" si="375"/>
        <v/>
      </c>
      <c r="M394" s="272" t="str">
        <f t="shared" ref="M394:M457" si="398">IFERROR(IF(AX394=2,"-",AY394),"")</f>
        <v/>
      </c>
      <c r="N394" s="269" t="str">
        <f t="shared" ref="N394:N457" si="399">IFERROR(BE394,"")</f>
        <v/>
      </c>
      <c r="O394" s="272" t="str">
        <f t="shared" ref="O394:O457" si="400">IFERROR(IF(BB394=2,"-",BC394),"")</f>
        <v/>
      </c>
      <c r="P394" s="272" t="str">
        <f t="shared" ref="P394:P457" si="401">IFERROR(IF(BF394=2,"-",BG394),"")</f>
        <v/>
      </c>
      <c r="Q394" s="269" t="str">
        <f t="shared" ref="Q394:Q457" si="402">IFERROR(BM394,"")</f>
        <v/>
      </c>
      <c r="R394" s="272" t="str">
        <f t="shared" ref="R394:R457" si="403">IFERROR(IF(BJ394=2,"-",BK394),"")</f>
        <v/>
      </c>
      <c r="S394" s="272" t="str">
        <f t="shared" ref="S394:S457" si="404">IFERROR(IF(BN394=2,"-",BO394),"")</f>
        <v/>
      </c>
      <c r="T394" s="269" t="str">
        <f t="shared" ref="T394:T457" si="405">IFERROR(BR394,"")</f>
        <v/>
      </c>
      <c r="U394" s="230"/>
      <c r="V394" s="230"/>
      <c r="AB394" s="230" t="e">
        <f>VLOOKUP($B$6,Lookup_Source,387,0)</f>
        <v>#N/A</v>
      </c>
      <c r="AC394" s="254" t="str">
        <f t="shared" ref="AC394:AC457" si="406">IF(ISNUMBER(SEARCH("*",B394)),1,"")</f>
        <v/>
      </c>
      <c r="AD394" s="255">
        <f t="shared" ref="AD394:AD457" si="407">IFERROR(ERROR.TYPE(AE394),0)</f>
        <v>7</v>
      </c>
      <c r="AE394" s="274" t="e">
        <f t="shared" si="376"/>
        <v>#N/A</v>
      </c>
      <c r="AF394" s="277" t="e">
        <f t="shared" ref="AF394:AF457" si="408">IF(AG394&gt;0,AG394,"-")</f>
        <v>#N/A</v>
      </c>
      <c r="AG394" s="277" t="e">
        <f t="shared" ref="AG394:AG457" si="409">$AH394/$AH$8</f>
        <v>#N/A</v>
      </c>
      <c r="AH394" s="276" t="e">
        <f t="shared" si="377"/>
        <v>#N/A</v>
      </c>
      <c r="AI394" s="239">
        <f t="shared" ref="AI394:AI457" si="410">IFERROR(ERROR.TYPE(AJ394),0)</f>
        <v>7</v>
      </c>
      <c r="AJ394" s="277" t="e">
        <f t="shared" si="378"/>
        <v>#N/A</v>
      </c>
      <c r="AK394" s="277" t="e">
        <f t="shared" ref="AK394:AK457" si="411">$AH394/$AL394</f>
        <v>#N/A</v>
      </c>
      <c r="AL394" s="239" t="e">
        <f t="shared" si="379"/>
        <v>#N/A</v>
      </c>
      <c r="AM394" s="278" t="e">
        <f t="shared" ref="AM394:AM457" si="412">IF(AN394&gt;0,AN394,"-")</f>
        <v>#N/A</v>
      </c>
      <c r="AN394" s="279" t="e">
        <f t="shared" si="380"/>
        <v>#N/A</v>
      </c>
      <c r="AO394" s="240" t="e">
        <f t="shared" si="381"/>
        <v>#N/A</v>
      </c>
      <c r="AP394" s="297">
        <f t="shared" ref="AP394:AP457" si="413">IFERROR(ERROR.TYPE(AQ394),0)</f>
        <v>7</v>
      </c>
      <c r="AQ394" s="298" t="e">
        <f t="shared" si="382"/>
        <v>#N/A</v>
      </c>
      <c r="AR394" s="279" t="e">
        <f t="shared" ref="AR394:AR457" si="414">$AO394/$AS394</f>
        <v>#N/A</v>
      </c>
      <c r="AS394" s="283" t="e">
        <f t="shared" si="383"/>
        <v>#N/A</v>
      </c>
      <c r="AT394" s="284">
        <f t="shared" ref="AT394:AT457" si="415">IFERROR(ERROR.TYPE(AU394),0)</f>
        <v>7</v>
      </c>
      <c r="AU394" s="285" t="e">
        <f t="shared" ref="AU394:AU457" si="416">IF(AV394&gt;0,AV394,"-")</f>
        <v>#N/A</v>
      </c>
      <c r="AV394" s="286" t="e">
        <f t="shared" ref="AV394:AV457" si="417">AW394/$AW$8</f>
        <v>#N/A</v>
      </c>
      <c r="AW394" s="287" t="e">
        <f t="shared" si="384"/>
        <v>#N/A</v>
      </c>
      <c r="AX394" s="245">
        <f t="shared" ref="AX394:AX457" si="418">IFERROR(ERROR.TYPE(AY394),0)</f>
        <v>7</v>
      </c>
      <c r="AY394" s="286" t="e">
        <f t="shared" si="385"/>
        <v>#N/A</v>
      </c>
      <c r="AZ394" s="245" t="e">
        <f t="shared" ref="AZ394:AZ457" si="419">$AW394/$BA394</f>
        <v>#N/A</v>
      </c>
      <c r="BA394" s="245" t="e">
        <f t="shared" si="386"/>
        <v>#N/A</v>
      </c>
      <c r="BB394" s="288">
        <f t="shared" ref="BB394:BB457" si="420">IFERROR(ERROR.TYPE(BC394),0)</f>
        <v>7</v>
      </c>
      <c r="BC394" s="289" t="e">
        <f t="shared" ref="BC394:BC457" si="421">IF(BD394&gt;0,BD394,"-")</f>
        <v>#N/A</v>
      </c>
      <c r="BD394" s="290" t="e">
        <f t="shared" ref="BD394:BD457" si="422">$BE394/$BE$8</f>
        <v>#N/A</v>
      </c>
      <c r="BE394" s="263" t="e">
        <f t="shared" si="387"/>
        <v>#N/A</v>
      </c>
      <c r="BF394" s="260">
        <f t="shared" ref="BF394:BF457" si="423">IFERROR(ERROR.TYPE(BG394),0)</f>
        <v>7</v>
      </c>
      <c r="BG394" s="289" t="e">
        <f t="shared" ref="BG394:BG457" si="424">IF(BH394&gt;0,BH394,"-")</f>
        <v>#N/A</v>
      </c>
      <c r="BH394" s="290" t="e">
        <f t="shared" ref="BH394:BH457" si="425">$BE394/$BI394</f>
        <v>#N/A</v>
      </c>
      <c r="BI394" s="263" t="e">
        <f t="shared" si="388"/>
        <v>#N/A</v>
      </c>
      <c r="BJ394" s="264">
        <f t="shared" ref="BJ394:BJ457" si="426">IFERROR(ERROR.TYPE(BK394),0)</f>
        <v>7</v>
      </c>
      <c r="BK394" s="291" t="e">
        <f t="shared" ref="BK394:BK457" si="427">IF(BL394&gt;0,BL394,"-")</f>
        <v>#N/A</v>
      </c>
      <c r="BL394" s="291" t="e">
        <f t="shared" ref="BL394:BL457" si="428">$BM394/$BM$8</f>
        <v>#N/A</v>
      </c>
      <c r="BM394" s="292" t="e">
        <f t="shared" si="389"/>
        <v>#N/A</v>
      </c>
      <c r="BN394" s="293">
        <f t="shared" ref="BN394:BN457" si="429">IFERROR(ERROR.TYPE(BO394),0)</f>
        <v>7</v>
      </c>
      <c r="BO394" s="294" t="e">
        <f t="shared" ref="BO394:BO457" si="430">IF(BP394&gt;0,BP394,"-")</f>
        <v>#N/A</v>
      </c>
      <c r="BP394" s="294" t="e">
        <f t="shared" ref="BP394:BP457" si="431">$BM394/$BQ394</f>
        <v>#N/A</v>
      </c>
      <c r="BQ394" s="292" t="e">
        <f t="shared" si="390"/>
        <v>#N/A</v>
      </c>
      <c r="BR394" s="295" t="e">
        <f t="shared" si="391"/>
        <v>#N/A</v>
      </c>
      <c r="BS394" s="230" t="e">
        <f>VLOOKUP($B394,SDR22_STOCK_BY_LA!$A$2:$C$11679,3,0)</f>
        <v>#N/A</v>
      </c>
      <c r="BT394" s="230" t="str">
        <f t="shared" ref="BT394:BT457" si="432">$B$6&amp;$B394</f>
        <v/>
      </c>
    </row>
    <row r="395" spans="1:72" ht="12.5" x14ac:dyDescent="0.25">
      <c r="A395" s="269" t="str">
        <f t="shared" ref="A395:A458" si="433">IF(AC395=1,A394+1,"")</f>
        <v/>
      </c>
      <c r="B395" s="230" t="str">
        <f t="shared" si="372"/>
        <v/>
      </c>
      <c r="C395" s="270" t="str">
        <f t="shared" si="392"/>
        <v/>
      </c>
      <c r="D395" s="269" t="str">
        <f>IF(B395="","",IF(totals!$Q$3=0,IFERROR(IF(AD395=2,"0",AE395),""),"-"))</f>
        <v/>
      </c>
      <c r="E395" s="271" t="str">
        <f t="shared" si="393"/>
        <v/>
      </c>
      <c r="F395" s="272" t="str">
        <f t="shared" si="394"/>
        <v/>
      </c>
      <c r="G395" s="272" t="str">
        <f t="shared" si="395"/>
        <v/>
      </c>
      <c r="H395" s="269" t="str">
        <f t="shared" si="373"/>
        <v/>
      </c>
      <c r="I395" s="272" t="str">
        <f t="shared" si="396"/>
        <v/>
      </c>
      <c r="J395" s="272" t="str">
        <f t="shared" si="397"/>
        <v/>
      </c>
      <c r="K395" s="269" t="str">
        <f t="shared" si="374"/>
        <v/>
      </c>
      <c r="L395" s="272" t="str">
        <f t="shared" si="375"/>
        <v/>
      </c>
      <c r="M395" s="272" t="str">
        <f t="shared" si="398"/>
        <v/>
      </c>
      <c r="N395" s="269" t="str">
        <f t="shared" si="399"/>
        <v/>
      </c>
      <c r="O395" s="272" t="str">
        <f t="shared" si="400"/>
        <v/>
      </c>
      <c r="P395" s="272" t="str">
        <f t="shared" si="401"/>
        <v/>
      </c>
      <c r="Q395" s="269" t="str">
        <f t="shared" si="402"/>
        <v/>
      </c>
      <c r="R395" s="272" t="str">
        <f t="shared" si="403"/>
        <v/>
      </c>
      <c r="S395" s="272" t="str">
        <f t="shared" si="404"/>
        <v/>
      </c>
      <c r="T395" s="269" t="str">
        <f t="shared" si="405"/>
        <v/>
      </c>
      <c r="U395" s="230"/>
      <c r="V395" s="230"/>
      <c r="AB395" s="270" t="e">
        <f>VLOOKUP($B$6,Lookup_Source,388,0)</f>
        <v>#N/A</v>
      </c>
      <c r="AC395" s="254" t="str">
        <f t="shared" si="406"/>
        <v/>
      </c>
      <c r="AD395" s="255">
        <f t="shared" si="407"/>
        <v>7</v>
      </c>
      <c r="AE395" s="274" t="e">
        <f t="shared" si="376"/>
        <v>#N/A</v>
      </c>
      <c r="AF395" s="277" t="e">
        <f t="shared" si="408"/>
        <v>#N/A</v>
      </c>
      <c r="AG395" s="277" t="e">
        <f t="shared" si="409"/>
        <v>#N/A</v>
      </c>
      <c r="AH395" s="276" t="e">
        <f t="shared" si="377"/>
        <v>#N/A</v>
      </c>
      <c r="AI395" s="239">
        <f t="shared" si="410"/>
        <v>7</v>
      </c>
      <c r="AJ395" s="277" t="e">
        <f t="shared" si="378"/>
        <v>#N/A</v>
      </c>
      <c r="AK395" s="277" t="e">
        <f t="shared" si="411"/>
        <v>#N/A</v>
      </c>
      <c r="AL395" s="239" t="e">
        <f t="shared" si="379"/>
        <v>#N/A</v>
      </c>
      <c r="AM395" s="278" t="e">
        <f t="shared" si="412"/>
        <v>#N/A</v>
      </c>
      <c r="AN395" s="279" t="e">
        <f t="shared" si="380"/>
        <v>#N/A</v>
      </c>
      <c r="AO395" s="240" t="e">
        <f t="shared" si="381"/>
        <v>#N/A</v>
      </c>
      <c r="AP395" s="297">
        <f t="shared" si="413"/>
        <v>7</v>
      </c>
      <c r="AQ395" s="298" t="e">
        <f t="shared" si="382"/>
        <v>#N/A</v>
      </c>
      <c r="AR395" s="279" t="e">
        <f t="shared" si="414"/>
        <v>#N/A</v>
      </c>
      <c r="AS395" s="283" t="e">
        <f t="shared" si="383"/>
        <v>#N/A</v>
      </c>
      <c r="AT395" s="284">
        <f t="shared" si="415"/>
        <v>7</v>
      </c>
      <c r="AU395" s="285" t="e">
        <f t="shared" si="416"/>
        <v>#N/A</v>
      </c>
      <c r="AV395" s="286" t="e">
        <f t="shared" si="417"/>
        <v>#N/A</v>
      </c>
      <c r="AW395" s="287" t="e">
        <f t="shared" si="384"/>
        <v>#N/A</v>
      </c>
      <c r="AX395" s="245">
        <f t="shared" si="418"/>
        <v>7</v>
      </c>
      <c r="AY395" s="286" t="e">
        <f t="shared" si="385"/>
        <v>#N/A</v>
      </c>
      <c r="AZ395" s="245" t="e">
        <f t="shared" si="419"/>
        <v>#N/A</v>
      </c>
      <c r="BA395" s="245" t="e">
        <f t="shared" si="386"/>
        <v>#N/A</v>
      </c>
      <c r="BB395" s="288">
        <f t="shared" si="420"/>
        <v>7</v>
      </c>
      <c r="BC395" s="289" t="e">
        <f t="shared" si="421"/>
        <v>#N/A</v>
      </c>
      <c r="BD395" s="290" t="e">
        <f t="shared" si="422"/>
        <v>#N/A</v>
      </c>
      <c r="BE395" s="263" t="e">
        <f t="shared" si="387"/>
        <v>#N/A</v>
      </c>
      <c r="BF395" s="260">
        <f t="shared" si="423"/>
        <v>7</v>
      </c>
      <c r="BG395" s="289" t="e">
        <f t="shared" si="424"/>
        <v>#N/A</v>
      </c>
      <c r="BH395" s="290" t="e">
        <f t="shared" si="425"/>
        <v>#N/A</v>
      </c>
      <c r="BI395" s="263" t="e">
        <f t="shared" si="388"/>
        <v>#N/A</v>
      </c>
      <c r="BJ395" s="264">
        <f t="shared" si="426"/>
        <v>7</v>
      </c>
      <c r="BK395" s="291" t="e">
        <f t="shared" si="427"/>
        <v>#N/A</v>
      </c>
      <c r="BL395" s="291" t="e">
        <f t="shared" si="428"/>
        <v>#N/A</v>
      </c>
      <c r="BM395" s="292" t="e">
        <f t="shared" si="389"/>
        <v>#N/A</v>
      </c>
      <c r="BN395" s="293">
        <f t="shared" si="429"/>
        <v>7</v>
      </c>
      <c r="BO395" s="294" t="e">
        <f t="shared" si="430"/>
        <v>#N/A</v>
      </c>
      <c r="BP395" s="294" t="e">
        <f t="shared" si="431"/>
        <v>#N/A</v>
      </c>
      <c r="BQ395" s="292" t="e">
        <f t="shared" si="390"/>
        <v>#N/A</v>
      </c>
      <c r="BR395" s="295" t="e">
        <f t="shared" si="391"/>
        <v>#N/A</v>
      </c>
      <c r="BS395" s="230" t="e">
        <f>VLOOKUP($B395,SDR22_STOCK_BY_LA!$A$2:$C$11679,3,0)</f>
        <v>#N/A</v>
      </c>
      <c r="BT395" s="230" t="str">
        <f t="shared" si="432"/>
        <v/>
      </c>
    </row>
    <row r="396" spans="1:72" ht="12.5" x14ac:dyDescent="0.25">
      <c r="A396" s="230" t="str">
        <f t="shared" si="433"/>
        <v/>
      </c>
      <c r="B396" s="230" t="str">
        <f t="shared" si="372"/>
        <v/>
      </c>
      <c r="C396" s="296" t="str">
        <f t="shared" si="392"/>
        <v/>
      </c>
      <c r="D396" s="269" t="str">
        <f>IF(B396="","",IF(totals!$Q$3=0,IFERROR(IF(AD396=2,"0",AE396),""),"-"))</f>
        <v/>
      </c>
      <c r="E396" s="271" t="str">
        <f t="shared" si="393"/>
        <v/>
      </c>
      <c r="F396" s="272" t="str">
        <f t="shared" si="394"/>
        <v/>
      </c>
      <c r="G396" s="272" t="str">
        <f t="shared" si="395"/>
        <v/>
      </c>
      <c r="H396" s="269" t="str">
        <f t="shared" si="373"/>
        <v/>
      </c>
      <c r="I396" s="272" t="str">
        <f t="shared" si="396"/>
        <v/>
      </c>
      <c r="J396" s="272" t="str">
        <f t="shared" si="397"/>
        <v/>
      </c>
      <c r="K396" s="269" t="str">
        <f t="shared" si="374"/>
        <v/>
      </c>
      <c r="L396" s="272" t="str">
        <f t="shared" si="375"/>
        <v/>
      </c>
      <c r="M396" s="272" t="str">
        <f t="shared" si="398"/>
        <v/>
      </c>
      <c r="N396" s="269" t="str">
        <f t="shared" si="399"/>
        <v/>
      </c>
      <c r="O396" s="272" t="str">
        <f t="shared" si="400"/>
        <v/>
      </c>
      <c r="P396" s="272" t="str">
        <f t="shared" si="401"/>
        <v/>
      </c>
      <c r="Q396" s="269" t="str">
        <f t="shared" si="402"/>
        <v/>
      </c>
      <c r="R396" s="272" t="str">
        <f t="shared" si="403"/>
        <v/>
      </c>
      <c r="S396" s="272" t="str">
        <f t="shared" si="404"/>
        <v/>
      </c>
      <c r="T396" s="269" t="str">
        <f t="shared" si="405"/>
        <v/>
      </c>
      <c r="U396" s="230"/>
      <c r="V396" s="230"/>
      <c r="AB396" s="230" t="e">
        <f>VLOOKUP($B$6,Lookup_Source,389,0)</f>
        <v>#N/A</v>
      </c>
      <c r="AC396" s="254" t="str">
        <f t="shared" si="406"/>
        <v/>
      </c>
      <c r="AD396" s="255">
        <f t="shared" si="407"/>
        <v>7</v>
      </c>
      <c r="AE396" s="274" t="e">
        <f t="shared" si="376"/>
        <v>#N/A</v>
      </c>
      <c r="AF396" s="277" t="e">
        <f t="shared" si="408"/>
        <v>#N/A</v>
      </c>
      <c r="AG396" s="277" t="e">
        <f t="shared" si="409"/>
        <v>#N/A</v>
      </c>
      <c r="AH396" s="276" t="e">
        <f t="shared" si="377"/>
        <v>#N/A</v>
      </c>
      <c r="AI396" s="239">
        <f t="shared" si="410"/>
        <v>7</v>
      </c>
      <c r="AJ396" s="277" t="e">
        <f t="shared" si="378"/>
        <v>#N/A</v>
      </c>
      <c r="AK396" s="277" t="e">
        <f t="shared" si="411"/>
        <v>#N/A</v>
      </c>
      <c r="AL396" s="239" t="e">
        <f t="shared" si="379"/>
        <v>#N/A</v>
      </c>
      <c r="AM396" s="278" t="e">
        <f t="shared" si="412"/>
        <v>#N/A</v>
      </c>
      <c r="AN396" s="279" t="e">
        <f t="shared" si="380"/>
        <v>#N/A</v>
      </c>
      <c r="AO396" s="240" t="e">
        <f t="shared" si="381"/>
        <v>#N/A</v>
      </c>
      <c r="AP396" s="297">
        <f t="shared" si="413"/>
        <v>7</v>
      </c>
      <c r="AQ396" s="298" t="e">
        <f t="shared" si="382"/>
        <v>#N/A</v>
      </c>
      <c r="AR396" s="279" t="e">
        <f t="shared" si="414"/>
        <v>#N/A</v>
      </c>
      <c r="AS396" s="283" t="e">
        <f t="shared" si="383"/>
        <v>#N/A</v>
      </c>
      <c r="AT396" s="284">
        <f t="shared" si="415"/>
        <v>7</v>
      </c>
      <c r="AU396" s="285" t="e">
        <f t="shared" si="416"/>
        <v>#N/A</v>
      </c>
      <c r="AV396" s="286" t="e">
        <f t="shared" si="417"/>
        <v>#N/A</v>
      </c>
      <c r="AW396" s="287" t="e">
        <f t="shared" si="384"/>
        <v>#N/A</v>
      </c>
      <c r="AX396" s="245">
        <f t="shared" si="418"/>
        <v>7</v>
      </c>
      <c r="AY396" s="286" t="e">
        <f t="shared" si="385"/>
        <v>#N/A</v>
      </c>
      <c r="AZ396" s="245" t="e">
        <f t="shared" si="419"/>
        <v>#N/A</v>
      </c>
      <c r="BA396" s="245" t="e">
        <f t="shared" si="386"/>
        <v>#N/A</v>
      </c>
      <c r="BB396" s="288">
        <f t="shared" si="420"/>
        <v>7</v>
      </c>
      <c r="BC396" s="289" t="e">
        <f t="shared" si="421"/>
        <v>#N/A</v>
      </c>
      <c r="BD396" s="290" t="e">
        <f t="shared" si="422"/>
        <v>#N/A</v>
      </c>
      <c r="BE396" s="263" t="e">
        <f t="shared" si="387"/>
        <v>#N/A</v>
      </c>
      <c r="BF396" s="260">
        <f t="shared" si="423"/>
        <v>7</v>
      </c>
      <c r="BG396" s="289" t="e">
        <f t="shared" si="424"/>
        <v>#N/A</v>
      </c>
      <c r="BH396" s="290" t="e">
        <f t="shared" si="425"/>
        <v>#N/A</v>
      </c>
      <c r="BI396" s="263" t="e">
        <f t="shared" si="388"/>
        <v>#N/A</v>
      </c>
      <c r="BJ396" s="264">
        <f t="shared" si="426"/>
        <v>7</v>
      </c>
      <c r="BK396" s="291" t="e">
        <f t="shared" si="427"/>
        <v>#N/A</v>
      </c>
      <c r="BL396" s="291" t="e">
        <f t="shared" si="428"/>
        <v>#N/A</v>
      </c>
      <c r="BM396" s="292" t="e">
        <f t="shared" si="389"/>
        <v>#N/A</v>
      </c>
      <c r="BN396" s="293">
        <f t="shared" si="429"/>
        <v>7</v>
      </c>
      <c r="BO396" s="294" t="e">
        <f t="shared" si="430"/>
        <v>#N/A</v>
      </c>
      <c r="BP396" s="294" t="e">
        <f t="shared" si="431"/>
        <v>#N/A</v>
      </c>
      <c r="BQ396" s="292" t="e">
        <f t="shared" si="390"/>
        <v>#N/A</v>
      </c>
      <c r="BR396" s="295" t="e">
        <f t="shared" si="391"/>
        <v>#N/A</v>
      </c>
      <c r="BS396" s="230" t="e">
        <f>VLOOKUP($B396,SDR22_STOCK_BY_LA!$A$2:$C$11679,3,0)</f>
        <v>#N/A</v>
      </c>
      <c r="BT396" s="230" t="str">
        <f t="shared" si="432"/>
        <v/>
      </c>
    </row>
    <row r="397" spans="1:72" ht="12.5" x14ac:dyDescent="0.25">
      <c r="A397" s="269" t="str">
        <f t="shared" si="433"/>
        <v/>
      </c>
      <c r="B397" s="230" t="str">
        <f t="shared" ref="B397:B460" si="434">IFERROR(IF(AB397=0,"",AB397),"")</f>
        <v/>
      </c>
      <c r="C397" s="270" t="str">
        <f t="shared" si="392"/>
        <v/>
      </c>
      <c r="D397" s="269" t="str">
        <f>IF(B397="","",IF(totals!$Q$3=0,IFERROR(IF(AD397=2,"0",AE397),""),"-"))</f>
        <v/>
      </c>
      <c r="E397" s="271" t="str">
        <f t="shared" si="393"/>
        <v/>
      </c>
      <c r="F397" s="272" t="str">
        <f t="shared" si="394"/>
        <v/>
      </c>
      <c r="G397" s="272" t="str">
        <f t="shared" si="395"/>
        <v/>
      </c>
      <c r="H397" s="269" t="str">
        <f t="shared" si="373"/>
        <v/>
      </c>
      <c r="I397" s="272" t="str">
        <f t="shared" si="396"/>
        <v/>
      </c>
      <c r="J397" s="272" t="str">
        <f t="shared" si="397"/>
        <v/>
      </c>
      <c r="K397" s="269" t="str">
        <f t="shared" si="374"/>
        <v/>
      </c>
      <c r="L397" s="272" t="str">
        <f t="shared" si="375"/>
        <v/>
      </c>
      <c r="M397" s="272" t="str">
        <f t="shared" si="398"/>
        <v/>
      </c>
      <c r="N397" s="269" t="str">
        <f t="shared" si="399"/>
        <v/>
      </c>
      <c r="O397" s="272" t="str">
        <f t="shared" si="400"/>
        <v/>
      </c>
      <c r="P397" s="272" t="str">
        <f t="shared" si="401"/>
        <v/>
      </c>
      <c r="Q397" s="269" t="str">
        <f t="shared" si="402"/>
        <v/>
      </c>
      <c r="R397" s="272" t="str">
        <f t="shared" si="403"/>
        <v/>
      </c>
      <c r="S397" s="272" t="str">
        <f t="shared" si="404"/>
        <v/>
      </c>
      <c r="T397" s="269" t="str">
        <f t="shared" si="405"/>
        <v/>
      </c>
      <c r="U397" s="230"/>
      <c r="V397" s="230"/>
      <c r="AB397" s="270" t="e">
        <f>VLOOKUP($B$6,Lookup_Source,390,0)</f>
        <v>#N/A</v>
      </c>
      <c r="AC397" s="254" t="str">
        <f t="shared" si="406"/>
        <v/>
      </c>
      <c r="AD397" s="255">
        <f t="shared" si="407"/>
        <v>7</v>
      </c>
      <c r="AE397" s="274" t="e">
        <f t="shared" si="376"/>
        <v>#N/A</v>
      </c>
      <c r="AF397" s="277" t="e">
        <f t="shared" si="408"/>
        <v>#N/A</v>
      </c>
      <c r="AG397" s="277" t="e">
        <f t="shared" si="409"/>
        <v>#N/A</v>
      </c>
      <c r="AH397" s="276" t="e">
        <f t="shared" si="377"/>
        <v>#N/A</v>
      </c>
      <c r="AI397" s="239">
        <f t="shared" si="410"/>
        <v>7</v>
      </c>
      <c r="AJ397" s="277" t="e">
        <f t="shared" si="378"/>
        <v>#N/A</v>
      </c>
      <c r="AK397" s="277" t="e">
        <f t="shared" si="411"/>
        <v>#N/A</v>
      </c>
      <c r="AL397" s="239" t="e">
        <f t="shared" si="379"/>
        <v>#N/A</v>
      </c>
      <c r="AM397" s="278" t="e">
        <f t="shared" si="412"/>
        <v>#N/A</v>
      </c>
      <c r="AN397" s="279" t="e">
        <f t="shared" si="380"/>
        <v>#N/A</v>
      </c>
      <c r="AO397" s="240" t="e">
        <f t="shared" si="381"/>
        <v>#N/A</v>
      </c>
      <c r="AP397" s="297">
        <f t="shared" si="413"/>
        <v>7</v>
      </c>
      <c r="AQ397" s="298" t="e">
        <f t="shared" si="382"/>
        <v>#N/A</v>
      </c>
      <c r="AR397" s="279" t="e">
        <f t="shared" si="414"/>
        <v>#N/A</v>
      </c>
      <c r="AS397" s="283" t="e">
        <f t="shared" si="383"/>
        <v>#N/A</v>
      </c>
      <c r="AT397" s="284">
        <f t="shared" si="415"/>
        <v>7</v>
      </c>
      <c r="AU397" s="285" t="e">
        <f t="shared" si="416"/>
        <v>#N/A</v>
      </c>
      <c r="AV397" s="286" t="e">
        <f t="shared" si="417"/>
        <v>#N/A</v>
      </c>
      <c r="AW397" s="287" t="e">
        <f t="shared" si="384"/>
        <v>#N/A</v>
      </c>
      <c r="AX397" s="245">
        <f t="shared" si="418"/>
        <v>7</v>
      </c>
      <c r="AY397" s="286" t="e">
        <f t="shared" si="385"/>
        <v>#N/A</v>
      </c>
      <c r="AZ397" s="245" t="e">
        <f t="shared" si="419"/>
        <v>#N/A</v>
      </c>
      <c r="BA397" s="245" t="e">
        <f t="shared" si="386"/>
        <v>#N/A</v>
      </c>
      <c r="BB397" s="288">
        <f t="shared" si="420"/>
        <v>7</v>
      </c>
      <c r="BC397" s="289" t="e">
        <f t="shared" si="421"/>
        <v>#N/A</v>
      </c>
      <c r="BD397" s="290" t="e">
        <f t="shared" si="422"/>
        <v>#N/A</v>
      </c>
      <c r="BE397" s="263" t="e">
        <f t="shared" si="387"/>
        <v>#N/A</v>
      </c>
      <c r="BF397" s="260">
        <f t="shared" si="423"/>
        <v>7</v>
      </c>
      <c r="BG397" s="289" t="e">
        <f t="shared" si="424"/>
        <v>#N/A</v>
      </c>
      <c r="BH397" s="290" t="e">
        <f t="shared" si="425"/>
        <v>#N/A</v>
      </c>
      <c r="BI397" s="263" t="e">
        <f t="shared" si="388"/>
        <v>#N/A</v>
      </c>
      <c r="BJ397" s="264">
        <f t="shared" si="426"/>
        <v>7</v>
      </c>
      <c r="BK397" s="291" t="e">
        <f t="shared" si="427"/>
        <v>#N/A</v>
      </c>
      <c r="BL397" s="291" t="e">
        <f t="shared" si="428"/>
        <v>#N/A</v>
      </c>
      <c r="BM397" s="292" t="e">
        <f t="shared" si="389"/>
        <v>#N/A</v>
      </c>
      <c r="BN397" s="293">
        <f t="shared" si="429"/>
        <v>7</v>
      </c>
      <c r="BO397" s="294" t="e">
        <f t="shared" si="430"/>
        <v>#N/A</v>
      </c>
      <c r="BP397" s="294" t="e">
        <f t="shared" si="431"/>
        <v>#N/A</v>
      </c>
      <c r="BQ397" s="292" t="e">
        <f t="shared" si="390"/>
        <v>#N/A</v>
      </c>
      <c r="BR397" s="295" t="e">
        <f t="shared" si="391"/>
        <v>#N/A</v>
      </c>
      <c r="BS397" s="230" t="e">
        <f>VLOOKUP($B397,SDR22_STOCK_BY_LA!$A$2:$C$11679,3,0)</f>
        <v>#N/A</v>
      </c>
      <c r="BT397" s="230" t="str">
        <f t="shared" si="432"/>
        <v/>
      </c>
    </row>
    <row r="398" spans="1:72" ht="12.5" x14ac:dyDescent="0.25">
      <c r="A398" s="230" t="str">
        <f t="shared" si="433"/>
        <v/>
      </c>
      <c r="B398" s="230" t="str">
        <f t="shared" si="434"/>
        <v/>
      </c>
      <c r="C398" s="296" t="str">
        <f t="shared" si="392"/>
        <v/>
      </c>
      <c r="D398" s="269" t="str">
        <f>IF(B398="","",IF(totals!$Q$3=0,IFERROR(IF(AD398=2,"0",AE398),""),"-"))</f>
        <v/>
      </c>
      <c r="E398" s="271" t="str">
        <f t="shared" si="393"/>
        <v/>
      </c>
      <c r="F398" s="272" t="str">
        <f t="shared" si="394"/>
        <v/>
      </c>
      <c r="G398" s="272" t="str">
        <f t="shared" si="395"/>
        <v/>
      </c>
      <c r="H398" s="269" t="str">
        <f t="shared" si="373"/>
        <v/>
      </c>
      <c r="I398" s="272" t="str">
        <f t="shared" si="396"/>
        <v/>
      </c>
      <c r="J398" s="272" t="str">
        <f t="shared" si="397"/>
        <v/>
      </c>
      <c r="K398" s="269" t="str">
        <f t="shared" si="374"/>
        <v/>
      </c>
      <c r="L398" s="272" t="str">
        <f t="shared" si="375"/>
        <v/>
      </c>
      <c r="M398" s="272" t="str">
        <f t="shared" si="398"/>
        <v/>
      </c>
      <c r="N398" s="269" t="str">
        <f t="shared" si="399"/>
        <v/>
      </c>
      <c r="O398" s="272" t="str">
        <f t="shared" si="400"/>
        <v/>
      </c>
      <c r="P398" s="272" t="str">
        <f t="shared" si="401"/>
        <v/>
      </c>
      <c r="Q398" s="269" t="str">
        <f t="shared" si="402"/>
        <v/>
      </c>
      <c r="R398" s="272" t="str">
        <f t="shared" si="403"/>
        <v/>
      </c>
      <c r="S398" s="272" t="str">
        <f t="shared" si="404"/>
        <v/>
      </c>
      <c r="T398" s="269" t="str">
        <f t="shared" si="405"/>
        <v/>
      </c>
      <c r="U398" s="230"/>
      <c r="V398" s="230"/>
      <c r="AB398" s="230" t="e">
        <f>VLOOKUP($B$6,Lookup_Source,391,0)</f>
        <v>#N/A</v>
      </c>
      <c r="AC398" s="254" t="str">
        <f t="shared" si="406"/>
        <v/>
      </c>
      <c r="AD398" s="255">
        <f t="shared" si="407"/>
        <v>7</v>
      </c>
      <c r="AE398" s="274" t="e">
        <f t="shared" si="376"/>
        <v>#N/A</v>
      </c>
      <c r="AF398" s="277" t="e">
        <f t="shared" si="408"/>
        <v>#N/A</v>
      </c>
      <c r="AG398" s="277" t="e">
        <f t="shared" si="409"/>
        <v>#N/A</v>
      </c>
      <c r="AH398" s="276" t="e">
        <f t="shared" si="377"/>
        <v>#N/A</v>
      </c>
      <c r="AI398" s="239">
        <f t="shared" si="410"/>
        <v>7</v>
      </c>
      <c r="AJ398" s="277" t="e">
        <f t="shared" si="378"/>
        <v>#N/A</v>
      </c>
      <c r="AK398" s="277" t="e">
        <f t="shared" si="411"/>
        <v>#N/A</v>
      </c>
      <c r="AL398" s="239" t="e">
        <f t="shared" si="379"/>
        <v>#N/A</v>
      </c>
      <c r="AM398" s="278" t="e">
        <f t="shared" si="412"/>
        <v>#N/A</v>
      </c>
      <c r="AN398" s="279" t="e">
        <f t="shared" si="380"/>
        <v>#N/A</v>
      </c>
      <c r="AO398" s="240" t="e">
        <f t="shared" si="381"/>
        <v>#N/A</v>
      </c>
      <c r="AP398" s="297">
        <f t="shared" si="413"/>
        <v>7</v>
      </c>
      <c r="AQ398" s="298" t="e">
        <f t="shared" si="382"/>
        <v>#N/A</v>
      </c>
      <c r="AR398" s="279" t="e">
        <f t="shared" si="414"/>
        <v>#N/A</v>
      </c>
      <c r="AS398" s="283" t="e">
        <f t="shared" si="383"/>
        <v>#N/A</v>
      </c>
      <c r="AT398" s="284">
        <f t="shared" si="415"/>
        <v>7</v>
      </c>
      <c r="AU398" s="285" t="e">
        <f t="shared" si="416"/>
        <v>#N/A</v>
      </c>
      <c r="AV398" s="286" t="e">
        <f t="shared" si="417"/>
        <v>#N/A</v>
      </c>
      <c r="AW398" s="287" t="e">
        <f t="shared" si="384"/>
        <v>#N/A</v>
      </c>
      <c r="AX398" s="245">
        <f t="shared" si="418"/>
        <v>7</v>
      </c>
      <c r="AY398" s="286" t="e">
        <f t="shared" si="385"/>
        <v>#N/A</v>
      </c>
      <c r="AZ398" s="245" t="e">
        <f t="shared" si="419"/>
        <v>#N/A</v>
      </c>
      <c r="BA398" s="245" t="e">
        <f t="shared" si="386"/>
        <v>#N/A</v>
      </c>
      <c r="BB398" s="288">
        <f t="shared" si="420"/>
        <v>7</v>
      </c>
      <c r="BC398" s="289" t="e">
        <f t="shared" si="421"/>
        <v>#N/A</v>
      </c>
      <c r="BD398" s="290" t="e">
        <f t="shared" si="422"/>
        <v>#N/A</v>
      </c>
      <c r="BE398" s="263" t="e">
        <f t="shared" si="387"/>
        <v>#N/A</v>
      </c>
      <c r="BF398" s="260">
        <f t="shared" si="423"/>
        <v>7</v>
      </c>
      <c r="BG398" s="289" t="e">
        <f t="shared" si="424"/>
        <v>#N/A</v>
      </c>
      <c r="BH398" s="290" t="e">
        <f t="shared" si="425"/>
        <v>#N/A</v>
      </c>
      <c r="BI398" s="263" t="e">
        <f t="shared" si="388"/>
        <v>#N/A</v>
      </c>
      <c r="BJ398" s="264">
        <f t="shared" si="426"/>
        <v>7</v>
      </c>
      <c r="BK398" s="291" t="e">
        <f t="shared" si="427"/>
        <v>#N/A</v>
      </c>
      <c r="BL398" s="291" t="e">
        <f t="shared" si="428"/>
        <v>#N/A</v>
      </c>
      <c r="BM398" s="292" t="e">
        <f t="shared" si="389"/>
        <v>#N/A</v>
      </c>
      <c r="BN398" s="293">
        <f t="shared" si="429"/>
        <v>7</v>
      </c>
      <c r="BO398" s="294" t="e">
        <f t="shared" si="430"/>
        <v>#N/A</v>
      </c>
      <c r="BP398" s="294" t="e">
        <f t="shared" si="431"/>
        <v>#N/A</v>
      </c>
      <c r="BQ398" s="292" t="e">
        <f t="shared" si="390"/>
        <v>#N/A</v>
      </c>
      <c r="BR398" s="295" t="e">
        <f t="shared" si="391"/>
        <v>#N/A</v>
      </c>
      <c r="BS398" s="230" t="e">
        <f>VLOOKUP($B398,SDR22_STOCK_BY_LA!$A$2:$C$11679,3,0)</f>
        <v>#N/A</v>
      </c>
      <c r="BT398" s="230" t="str">
        <f t="shared" si="432"/>
        <v/>
      </c>
    </row>
    <row r="399" spans="1:72" ht="12.5" x14ac:dyDescent="0.25">
      <c r="A399" s="269" t="str">
        <f t="shared" si="433"/>
        <v/>
      </c>
      <c r="B399" s="230" t="str">
        <f t="shared" si="434"/>
        <v/>
      </c>
      <c r="C399" s="270" t="str">
        <f t="shared" si="392"/>
        <v/>
      </c>
      <c r="D399" s="269" t="str">
        <f>IF(B399="","",IF(totals!$Q$3=0,IFERROR(IF(AD399=2,"0",AE399),""),"-"))</f>
        <v/>
      </c>
      <c r="E399" s="271" t="str">
        <f t="shared" si="393"/>
        <v/>
      </c>
      <c r="F399" s="272" t="str">
        <f t="shared" si="394"/>
        <v/>
      </c>
      <c r="G399" s="272" t="str">
        <f t="shared" si="395"/>
        <v/>
      </c>
      <c r="H399" s="269" t="str">
        <f t="shared" si="373"/>
        <v/>
      </c>
      <c r="I399" s="272" t="str">
        <f t="shared" si="396"/>
        <v/>
      </c>
      <c r="J399" s="272" t="str">
        <f t="shared" si="397"/>
        <v/>
      </c>
      <c r="K399" s="269" t="str">
        <f t="shared" si="374"/>
        <v/>
      </c>
      <c r="L399" s="272" t="str">
        <f t="shared" si="375"/>
        <v/>
      </c>
      <c r="M399" s="272" t="str">
        <f t="shared" si="398"/>
        <v/>
      </c>
      <c r="N399" s="269" t="str">
        <f t="shared" si="399"/>
        <v/>
      </c>
      <c r="O399" s="272" t="str">
        <f t="shared" si="400"/>
        <v/>
      </c>
      <c r="P399" s="272" t="str">
        <f t="shared" si="401"/>
        <v/>
      </c>
      <c r="Q399" s="269" t="str">
        <f t="shared" si="402"/>
        <v/>
      </c>
      <c r="R399" s="272" t="str">
        <f t="shared" si="403"/>
        <v/>
      </c>
      <c r="S399" s="272" t="str">
        <f t="shared" si="404"/>
        <v/>
      </c>
      <c r="T399" s="269" t="str">
        <f t="shared" si="405"/>
        <v/>
      </c>
      <c r="U399" s="230"/>
      <c r="V399" s="230"/>
      <c r="AB399" s="270" t="e">
        <f>VLOOKUP($B$6,Lookup_Source,392,0)</f>
        <v>#N/A</v>
      </c>
      <c r="AC399" s="254" t="str">
        <f t="shared" si="406"/>
        <v/>
      </c>
      <c r="AD399" s="255">
        <f t="shared" si="407"/>
        <v>7</v>
      </c>
      <c r="AE399" s="274" t="e">
        <f t="shared" si="376"/>
        <v>#N/A</v>
      </c>
      <c r="AF399" s="277" t="e">
        <f t="shared" si="408"/>
        <v>#N/A</v>
      </c>
      <c r="AG399" s="277" t="e">
        <f t="shared" si="409"/>
        <v>#N/A</v>
      </c>
      <c r="AH399" s="276" t="e">
        <f t="shared" si="377"/>
        <v>#N/A</v>
      </c>
      <c r="AI399" s="239">
        <f t="shared" si="410"/>
        <v>7</v>
      </c>
      <c r="AJ399" s="277" t="e">
        <f t="shared" si="378"/>
        <v>#N/A</v>
      </c>
      <c r="AK399" s="277" t="e">
        <f t="shared" si="411"/>
        <v>#N/A</v>
      </c>
      <c r="AL399" s="239" t="e">
        <f t="shared" si="379"/>
        <v>#N/A</v>
      </c>
      <c r="AM399" s="278" t="e">
        <f t="shared" si="412"/>
        <v>#N/A</v>
      </c>
      <c r="AN399" s="279" t="e">
        <f t="shared" si="380"/>
        <v>#N/A</v>
      </c>
      <c r="AO399" s="240" t="e">
        <f t="shared" si="381"/>
        <v>#N/A</v>
      </c>
      <c r="AP399" s="297">
        <f t="shared" si="413"/>
        <v>7</v>
      </c>
      <c r="AQ399" s="298" t="e">
        <f t="shared" si="382"/>
        <v>#N/A</v>
      </c>
      <c r="AR399" s="279" t="e">
        <f t="shared" si="414"/>
        <v>#N/A</v>
      </c>
      <c r="AS399" s="283" t="e">
        <f t="shared" si="383"/>
        <v>#N/A</v>
      </c>
      <c r="AT399" s="284">
        <f t="shared" si="415"/>
        <v>7</v>
      </c>
      <c r="AU399" s="285" t="e">
        <f t="shared" si="416"/>
        <v>#N/A</v>
      </c>
      <c r="AV399" s="286" t="e">
        <f t="shared" si="417"/>
        <v>#N/A</v>
      </c>
      <c r="AW399" s="287" t="e">
        <f t="shared" si="384"/>
        <v>#N/A</v>
      </c>
      <c r="AX399" s="245">
        <f t="shared" si="418"/>
        <v>7</v>
      </c>
      <c r="AY399" s="286" t="e">
        <f t="shared" si="385"/>
        <v>#N/A</v>
      </c>
      <c r="AZ399" s="245" t="e">
        <f t="shared" si="419"/>
        <v>#N/A</v>
      </c>
      <c r="BA399" s="245" t="e">
        <f t="shared" si="386"/>
        <v>#N/A</v>
      </c>
      <c r="BB399" s="288">
        <f t="shared" si="420"/>
        <v>7</v>
      </c>
      <c r="BC399" s="289" t="e">
        <f t="shared" si="421"/>
        <v>#N/A</v>
      </c>
      <c r="BD399" s="290" t="e">
        <f t="shared" si="422"/>
        <v>#N/A</v>
      </c>
      <c r="BE399" s="263" t="e">
        <f t="shared" si="387"/>
        <v>#N/A</v>
      </c>
      <c r="BF399" s="260">
        <f t="shared" si="423"/>
        <v>7</v>
      </c>
      <c r="BG399" s="289" t="e">
        <f t="shared" si="424"/>
        <v>#N/A</v>
      </c>
      <c r="BH399" s="290" t="e">
        <f t="shared" si="425"/>
        <v>#N/A</v>
      </c>
      <c r="BI399" s="263" t="e">
        <f t="shared" si="388"/>
        <v>#N/A</v>
      </c>
      <c r="BJ399" s="264">
        <f t="shared" si="426"/>
        <v>7</v>
      </c>
      <c r="BK399" s="291" t="e">
        <f t="shared" si="427"/>
        <v>#N/A</v>
      </c>
      <c r="BL399" s="291" t="e">
        <f t="shared" si="428"/>
        <v>#N/A</v>
      </c>
      <c r="BM399" s="292" t="e">
        <f t="shared" si="389"/>
        <v>#N/A</v>
      </c>
      <c r="BN399" s="293">
        <f t="shared" si="429"/>
        <v>7</v>
      </c>
      <c r="BO399" s="294" t="e">
        <f t="shared" si="430"/>
        <v>#N/A</v>
      </c>
      <c r="BP399" s="294" t="e">
        <f t="shared" si="431"/>
        <v>#N/A</v>
      </c>
      <c r="BQ399" s="292" t="e">
        <f t="shared" si="390"/>
        <v>#N/A</v>
      </c>
      <c r="BR399" s="295" t="e">
        <f t="shared" si="391"/>
        <v>#N/A</v>
      </c>
      <c r="BS399" s="230" t="e">
        <f>VLOOKUP($B399,SDR22_STOCK_BY_LA!$A$2:$C$11679,3,0)</f>
        <v>#N/A</v>
      </c>
      <c r="BT399" s="230" t="str">
        <f t="shared" si="432"/>
        <v/>
      </c>
    </row>
    <row r="400" spans="1:72" ht="12.5" x14ac:dyDescent="0.25">
      <c r="A400" s="230" t="str">
        <f t="shared" si="433"/>
        <v/>
      </c>
      <c r="B400" s="230" t="str">
        <f t="shared" si="434"/>
        <v/>
      </c>
      <c r="C400" s="296" t="str">
        <f t="shared" si="392"/>
        <v/>
      </c>
      <c r="D400" s="269" t="str">
        <f>IF(B400="","",IF(totals!$Q$3=0,IFERROR(IF(AD400=2,"0",AE400),""),"-"))</f>
        <v/>
      </c>
      <c r="E400" s="271" t="str">
        <f t="shared" si="393"/>
        <v/>
      </c>
      <c r="F400" s="272" t="str">
        <f t="shared" si="394"/>
        <v/>
      </c>
      <c r="G400" s="272" t="str">
        <f t="shared" si="395"/>
        <v/>
      </c>
      <c r="H400" s="269" t="str">
        <f t="shared" si="373"/>
        <v/>
      </c>
      <c r="I400" s="272" t="str">
        <f t="shared" si="396"/>
        <v/>
      </c>
      <c r="J400" s="272" t="str">
        <f t="shared" si="397"/>
        <v/>
      </c>
      <c r="K400" s="269" t="str">
        <f t="shared" si="374"/>
        <v/>
      </c>
      <c r="L400" s="272" t="str">
        <f t="shared" si="375"/>
        <v/>
      </c>
      <c r="M400" s="272" t="str">
        <f t="shared" si="398"/>
        <v/>
      </c>
      <c r="N400" s="269" t="str">
        <f t="shared" si="399"/>
        <v/>
      </c>
      <c r="O400" s="272" t="str">
        <f t="shared" si="400"/>
        <v/>
      </c>
      <c r="P400" s="272" t="str">
        <f t="shared" si="401"/>
        <v/>
      </c>
      <c r="Q400" s="269" t="str">
        <f t="shared" si="402"/>
        <v/>
      </c>
      <c r="R400" s="272" t="str">
        <f t="shared" si="403"/>
        <v/>
      </c>
      <c r="S400" s="272" t="str">
        <f t="shared" si="404"/>
        <v/>
      </c>
      <c r="T400" s="269" t="str">
        <f t="shared" si="405"/>
        <v/>
      </c>
      <c r="U400" s="230"/>
      <c r="V400" s="230"/>
      <c r="AB400" s="230" t="e">
        <f>VLOOKUP($B$6,Lookup_Source,393,0)</f>
        <v>#N/A</v>
      </c>
      <c r="AC400" s="254" t="str">
        <f t="shared" si="406"/>
        <v/>
      </c>
      <c r="AD400" s="255">
        <f t="shared" si="407"/>
        <v>7</v>
      </c>
      <c r="AE400" s="274" t="e">
        <f t="shared" si="376"/>
        <v>#N/A</v>
      </c>
      <c r="AF400" s="277" t="e">
        <f t="shared" si="408"/>
        <v>#N/A</v>
      </c>
      <c r="AG400" s="277" t="e">
        <f t="shared" si="409"/>
        <v>#N/A</v>
      </c>
      <c r="AH400" s="276" t="e">
        <f t="shared" si="377"/>
        <v>#N/A</v>
      </c>
      <c r="AI400" s="239">
        <f t="shared" si="410"/>
        <v>7</v>
      </c>
      <c r="AJ400" s="277" t="e">
        <f t="shared" si="378"/>
        <v>#N/A</v>
      </c>
      <c r="AK400" s="277" t="e">
        <f t="shared" si="411"/>
        <v>#N/A</v>
      </c>
      <c r="AL400" s="239" t="e">
        <f t="shared" si="379"/>
        <v>#N/A</v>
      </c>
      <c r="AM400" s="278" t="e">
        <f t="shared" si="412"/>
        <v>#N/A</v>
      </c>
      <c r="AN400" s="279" t="e">
        <f t="shared" si="380"/>
        <v>#N/A</v>
      </c>
      <c r="AO400" s="240" t="e">
        <f t="shared" si="381"/>
        <v>#N/A</v>
      </c>
      <c r="AP400" s="297">
        <f t="shared" si="413"/>
        <v>7</v>
      </c>
      <c r="AQ400" s="298" t="e">
        <f t="shared" si="382"/>
        <v>#N/A</v>
      </c>
      <c r="AR400" s="279" t="e">
        <f t="shared" si="414"/>
        <v>#N/A</v>
      </c>
      <c r="AS400" s="283" t="e">
        <f t="shared" si="383"/>
        <v>#N/A</v>
      </c>
      <c r="AT400" s="284">
        <f t="shared" si="415"/>
        <v>7</v>
      </c>
      <c r="AU400" s="285" t="e">
        <f t="shared" si="416"/>
        <v>#N/A</v>
      </c>
      <c r="AV400" s="286" t="e">
        <f t="shared" si="417"/>
        <v>#N/A</v>
      </c>
      <c r="AW400" s="287" t="e">
        <f t="shared" si="384"/>
        <v>#N/A</v>
      </c>
      <c r="AX400" s="245">
        <f t="shared" si="418"/>
        <v>7</v>
      </c>
      <c r="AY400" s="286" t="e">
        <f t="shared" si="385"/>
        <v>#N/A</v>
      </c>
      <c r="AZ400" s="245" t="e">
        <f t="shared" si="419"/>
        <v>#N/A</v>
      </c>
      <c r="BA400" s="245" t="e">
        <f t="shared" si="386"/>
        <v>#N/A</v>
      </c>
      <c r="BB400" s="288">
        <f t="shared" si="420"/>
        <v>7</v>
      </c>
      <c r="BC400" s="289" t="e">
        <f t="shared" si="421"/>
        <v>#N/A</v>
      </c>
      <c r="BD400" s="290" t="e">
        <f t="shared" si="422"/>
        <v>#N/A</v>
      </c>
      <c r="BE400" s="263" t="e">
        <f t="shared" si="387"/>
        <v>#N/A</v>
      </c>
      <c r="BF400" s="260">
        <f t="shared" si="423"/>
        <v>7</v>
      </c>
      <c r="BG400" s="289" t="e">
        <f t="shared" si="424"/>
        <v>#N/A</v>
      </c>
      <c r="BH400" s="290" t="e">
        <f t="shared" si="425"/>
        <v>#N/A</v>
      </c>
      <c r="BI400" s="263" t="e">
        <f t="shared" si="388"/>
        <v>#N/A</v>
      </c>
      <c r="BJ400" s="264">
        <f t="shared" si="426"/>
        <v>7</v>
      </c>
      <c r="BK400" s="291" t="e">
        <f t="shared" si="427"/>
        <v>#N/A</v>
      </c>
      <c r="BL400" s="291" t="e">
        <f t="shared" si="428"/>
        <v>#N/A</v>
      </c>
      <c r="BM400" s="292" t="e">
        <f t="shared" si="389"/>
        <v>#N/A</v>
      </c>
      <c r="BN400" s="293">
        <f t="shared" si="429"/>
        <v>7</v>
      </c>
      <c r="BO400" s="294" t="e">
        <f t="shared" si="430"/>
        <v>#N/A</v>
      </c>
      <c r="BP400" s="294" t="e">
        <f t="shared" si="431"/>
        <v>#N/A</v>
      </c>
      <c r="BQ400" s="292" t="e">
        <f t="shared" si="390"/>
        <v>#N/A</v>
      </c>
      <c r="BR400" s="295" t="e">
        <f t="shared" si="391"/>
        <v>#N/A</v>
      </c>
      <c r="BS400" s="230" t="e">
        <f>VLOOKUP($B400,SDR22_STOCK_BY_LA!$A$2:$C$11679,3,0)</f>
        <v>#N/A</v>
      </c>
      <c r="BT400" s="230" t="str">
        <f t="shared" si="432"/>
        <v/>
      </c>
    </row>
    <row r="401" spans="1:72" ht="12.5" x14ac:dyDescent="0.25">
      <c r="A401" s="269" t="str">
        <f t="shared" si="433"/>
        <v/>
      </c>
      <c r="B401" s="230" t="str">
        <f t="shared" si="434"/>
        <v/>
      </c>
      <c r="C401" s="270" t="str">
        <f t="shared" si="392"/>
        <v/>
      </c>
      <c r="D401" s="269" t="str">
        <f>IF(B401="","",IF(totals!$Q$3=0,IFERROR(IF(AD401=2,"0",AE401),""),"-"))</f>
        <v/>
      </c>
      <c r="E401" s="271" t="str">
        <f t="shared" si="393"/>
        <v/>
      </c>
      <c r="F401" s="272" t="str">
        <f t="shared" si="394"/>
        <v/>
      </c>
      <c r="G401" s="272" t="str">
        <f t="shared" si="395"/>
        <v/>
      </c>
      <c r="H401" s="269" t="str">
        <f t="shared" si="373"/>
        <v/>
      </c>
      <c r="I401" s="272" t="str">
        <f t="shared" si="396"/>
        <v/>
      </c>
      <c r="J401" s="272" t="str">
        <f t="shared" si="397"/>
        <v/>
      </c>
      <c r="K401" s="269" t="str">
        <f t="shared" si="374"/>
        <v/>
      </c>
      <c r="L401" s="272" t="str">
        <f t="shared" si="375"/>
        <v/>
      </c>
      <c r="M401" s="272" t="str">
        <f t="shared" si="398"/>
        <v/>
      </c>
      <c r="N401" s="269" t="str">
        <f t="shared" si="399"/>
        <v/>
      </c>
      <c r="O401" s="272" t="str">
        <f t="shared" si="400"/>
        <v/>
      </c>
      <c r="P401" s="272" t="str">
        <f t="shared" si="401"/>
        <v/>
      </c>
      <c r="Q401" s="269" t="str">
        <f t="shared" si="402"/>
        <v/>
      </c>
      <c r="R401" s="272" t="str">
        <f t="shared" si="403"/>
        <v/>
      </c>
      <c r="S401" s="272" t="str">
        <f t="shared" si="404"/>
        <v/>
      </c>
      <c r="T401" s="269" t="str">
        <f t="shared" si="405"/>
        <v/>
      </c>
      <c r="U401" s="230"/>
      <c r="V401" s="230"/>
      <c r="AB401" s="270" t="e">
        <f>VLOOKUP($B$6,Lookup_Source,394,0)</f>
        <v>#N/A</v>
      </c>
      <c r="AC401" s="254" t="str">
        <f t="shared" si="406"/>
        <v/>
      </c>
      <c r="AD401" s="255">
        <f t="shared" si="407"/>
        <v>7</v>
      </c>
      <c r="AE401" s="274" t="e">
        <f t="shared" si="376"/>
        <v>#N/A</v>
      </c>
      <c r="AF401" s="277" t="e">
        <f t="shared" si="408"/>
        <v>#N/A</v>
      </c>
      <c r="AG401" s="277" t="e">
        <f t="shared" si="409"/>
        <v>#N/A</v>
      </c>
      <c r="AH401" s="276" t="e">
        <f t="shared" si="377"/>
        <v>#N/A</v>
      </c>
      <c r="AI401" s="239">
        <f t="shared" si="410"/>
        <v>7</v>
      </c>
      <c r="AJ401" s="277" t="e">
        <f t="shared" si="378"/>
        <v>#N/A</v>
      </c>
      <c r="AK401" s="277" t="e">
        <f t="shared" si="411"/>
        <v>#N/A</v>
      </c>
      <c r="AL401" s="239" t="e">
        <f t="shared" si="379"/>
        <v>#N/A</v>
      </c>
      <c r="AM401" s="278" t="e">
        <f t="shared" si="412"/>
        <v>#N/A</v>
      </c>
      <c r="AN401" s="279" t="e">
        <f t="shared" si="380"/>
        <v>#N/A</v>
      </c>
      <c r="AO401" s="240" t="e">
        <f t="shared" si="381"/>
        <v>#N/A</v>
      </c>
      <c r="AP401" s="297">
        <f t="shared" si="413"/>
        <v>7</v>
      </c>
      <c r="AQ401" s="298" t="e">
        <f t="shared" si="382"/>
        <v>#N/A</v>
      </c>
      <c r="AR401" s="279" t="e">
        <f t="shared" si="414"/>
        <v>#N/A</v>
      </c>
      <c r="AS401" s="283" t="e">
        <f t="shared" si="383"/>
        <v>#N/A</v>
      </c>
      <c r="AT401" s="284">
        <f t="shared" si="415"/>
        <v>7</v>
      </c>
      <c r="AU401" s="285" t="e">
        <f t="shared" si="416"/>
        <v>#N/A</v>
      </c>
      <c r="AV401" s="286" t="e">
        <f t="shared" si="417"/>
        <v>#N/A</v>
      </c>
      <c r="AW401" s="287" t="e">
        <f t="shared" si="384"/>
        <v>#N/A</v>
      </c>
      <c r="AX401" s="245">
        <f t="shared" si="418"/>
        <v>7</v>
      </c>
      <c r="AY401" s="286" t="e">
        <f t="shared" si="385"/>
        <v>#N/A</v>
      </c>
      <c r="AZ401" s="245" t="e">
        <f t="shared" si="419"/>
        <v>#N/A</v>
      </c>
      <c r="BA401" s="245" t="e">
        <f t="shared" si="386"/>
        <v>#N/A</v>
      </c>
      <c r="BB401" s="288">
        <f t="shared" si="420"/>
        <v>7</v>
      </c>
      <c r="BC401" s="289" t="e">
        <f t="shared" si="421"/>
        <v>#N/A</v>
      </c>
      <c r="BD401" s="290" t="e">
        <f t="shared" si="422"/>
        <v>#N/A</v>
      </c>
      <c r="BE401" s="263" t="e">
        <f t="shared" si="387"/>
        <v>#N/A</v>
      </c>
      <c r="BF401" s="260">
        <f t="shared" si="423"/>
        <v>7</v>
      </c>
      <c r="BG401" s="289" t="e">
        <f t="shared" si="424"/>
        <v>#N/A</v>
      </c>
      <c r="BH401" s="290" t="e">
        <f t="shared" si="425"/>
        <v>#N/A</v>
      </c>
      <c r="BI401" s="263" t="e">
        <f t="shared" si="388"/>
        <v>#N/A</v>
      </c>
      <c r="BJ401" s="264">
        <f t="shared" si="426"/>
        <v>7</v>
      </c>
      <c r="BK401" s="291" t="e">
        <f t="shared" si="427"/>
        <v>#N/A</v>
      </c>
      <c r="BL401" s="291" t="e">
        <f t="shared" si="428"/>
        <v>#N/A</v>
      </c>
      <c r="BM401" s="292" t="e">
        <f t="shared" si="389"/>
        <v>#N/A</v>
      </c>
      <c r="BN401" s="293">
        <f t="shared" si="429"/>
        <v>7</v>
      </c>
      <c r="BO401" s="294" t="e">
        <f t="shared" si="430"/>
        <v>#N/A</v>
      </c>
      <c r="BP401" s="294" t="e">
        <f t="shared" si="431"/>
        <v>#N/A</v>
      </c>
      <c r="BQ401" s="292" t="e">
        <f t="shared" si="390"/>
        <v>#N/A</v>
      </c>
      <c r="BR401" s="295" t="e">
        <f t="shared" si="391"/>
        <v>#N/A</v>
      </c>
      <c r="BS401" s="230" t="e">
        <f>VLOOKUP($B401,SDR22_STOCK_BY_LA!$A$2:$C$11679,3,0)</f>
        <v>#N/A</v>
      </c>
      <c r="BT401" s="230" t="str">
        <f t="shared" si="432"/>
        <v/>
      </c>
    </row>
    <row r="402" spans="1:72" ht="12.5" x14ac:dyDescent="0.25">
      <c r="A402" s="230" t="str">
        <f t="shared" si="433"/>
        <v/>
      </c>
      <c r="B402" s="230" t="str">
        <f t="shared" si="434"/>
        <v/>
      </c>
      <c r="C402" s="296" t="str">
        <f t="shared" si="392"/>
        <v/>
      </c>
      <c r="D402" s="269" t="str">
        <f>IF(B402="","",IF(totals!$Q$3=0,IFERROR(IF(AD402=2,"0",AE402),""),"-"))</f>
        <v/>
      </c>
      <c r="E402" s="271" t="str">
        <f t="shared" si="393"/>
        <v/>
      </c>
      <c r="F402" s="272" t="str">
        <f t="shared" si="394"/>
        <v/>
      </c>
      <c r="G402" s="272" t="str">
        <f t="shared" si="395"/>
        <v/>
      </c>
      <c r="H402" s="269" t="str">
        <f t="shared" si="373"/>
        <v/>
      </c>
      <c r="I402" s="272" t="str">
        <f t="shared" si="396"/>
        <v/>
      </c>
      <c r="J402" s="272" t="str">
        <f t="shared" si="397"/>
        <v/>
      </c>
      <c r="K402" s="269" t="str">
        <f t="shared" si="374"/>
        <v/>
      </c>
      <c r="L402" s="272" t="str">
        <f t="shared" si="375"/>
        <v/>
      </c>
      <c r="M402" s="272" t="str">
        <f t="shared" si="398"/>
        <v/>
      </c>
      <c r="N402" s="269" t="str">
        <f t="shared" si="399"/>
        <v/>
      </c>
      <c r="O402" s="272" t="str">
        <f t="shared" si="400"/>
        <v/>
      </c>
      <c r="P402" s="272" t="str">
        <f t="shared" si="401"/>
        <v/>
      </c>
      <c r="Q402" s="269" t="str">
        <f t="shared" si="402"/>
        <v/>
      </c>
      <c r="R402" s="272" t="str">
        <f t="shared" si="403"/>
        <v/>
      </c>
      <c r="S402" s="272" t="str">
        <f t="shared" si="404"/>
        <v/>
      </c>
      <c r="T402" s="269" t="str">
        <f t="shared" si="405"/>
        <v/>
      </c>
      <c r="U402" s="230"/>
      <c r="V402" s="230"/>
      <c r="AB402" s="230" t="e">
        <f>VLOOKUP($B$6,Lookup_Source,395,0)</f>
        <v>#N/A</v>
      </c>
      <c r="AC402" s="254" t="str">
        <f t="shared" si="406"/>
        <v/>
      </c>
      <c r="AD402" s="255">
        <f t="shared" si="407"/>
        <v>7</v>
      </c>
      <c r="AE402" s="274" t="e">
        <f t="shared" si="376"/>
        <v>#N/A</v>
      </c>
      <c r="AF402" s="277" t="e">
        <f t="shared" si="408"/>
        <v>#N/A</v>
      </c>
      <c r="AG402" s="277" t="e">
        <f t="shared" si="409"/>
        <v>#N/A</v>
      </c>
      <c r="AH402" s="276" t="e">
        <f t="shared" si="377"/>
        <v>#N/A</v>
      </c>
      <c r="AI402" s="239">
        <f t="shared" si="410"/>
        <v>7</v>
      </c>
      <c r="AJ402" s="277" t="e">
        <f t="shared" si="378"/>
        <v>#N/A</v>
      </c>
      <c r="AK402" s="277" t="e">
        <f t="shared" si="411"/>
        <v>#N/A</v>
      </c>
      <c r="AL402" s="239" t="e">
        <f t="shared" si="379"/>
        <v>#N/A</v>
      </c>
      <c r="AM402" s="278" t="e">
        <f t="shared" si="412"/>
        <v>#N/A</v>
      </c>
      <c r="AN402" s="279" t="e">
        <f t="shared" si="380"/>
        <v>#N/A</v>
      </c>
      <c r="AO402" s="240" t="e">
        <f t="shared" si="381"/>
        <v>#N/A</v>
      </c>
      <c r="AP402" s="297">
        <f t="shared" si="413"/>
        <v>7</v>
      </c>
      <c r="AQ402" s="298" t="e">
        <f t="shared" si="382"/>
        <v>#N/A</v>
      </c>
      <c r="AR402" s="279" t="e">
        <f t="shared" si="414"/>
        <v>#N/A</v>
      </c>
      <c r="AS402" s="283" t="e">
        <f t="shared" si="383"/>
        <v>#N/A</v>
      </c>
      <c r="AT402" s="284">
        <f t="shared" si="415"/>
        <v>7</v>
      </c>
      <c r="AU402" s="285" t="e">
        <f t="shared" si="416"/>
        <v>#N/A</v>
      </c>
      <c r="AV402" s="286" t="e">
        <f t="shared" si="417"/>
        <v>#N/A</v>
      </c>
      <c r="AW402" s="287" t="e">
        <f t="shared" si="384"/>
        <v>#N/A</v>
      </c>
      <c r="AX402" s="245">
        <f t="shared" si="418"/>
        <v>7</v>
      </c>
      <c r="AY402" s="286" t="e">
        <f t="shared" si="385"/>
        <v>#N/A</v>
      </c>
      <c r="AZ402" s="245" t="e">
        <f t="shared" si="419"/>
        <v>#N/A</v>
      </c>
      <c r="BA402" s="245" t="e">
        <f t="shared" si="386"/>
        <v>#N/A</v>
      </c>
      <c r="BB402" s="288">
        <f t="shared" si="420"/>
        <v>7</v>
      </c>
      <c r="BC402" s="289" t="e">
        <f t="shared" si="421"/>
        <v>#N/A</v>
      </c>
      <c r="BD402" s="290" t="e">
        <f t="shared" si="422"/>
        <v>#N/A</v>
      </c>
      <c r="BE402" s="263" t="e">
        <f t="shared" si="387"/>
        <v>#N/A</v>
      </c>
      <c r="BF402" s="260">
        <f t="shared" si="423"/>
        <v>7</v>
      </c>
      <c r="BG402" s="289" t="e">
        <f t="shared" si="424"/>
        <v>#N/A</v>
      </c>
      <c r="BH402" s="290" t="e">
        <f t="shared" si="425"/>
        <v>#N/A</v>
      </c>
      <c r="BI402" s="263" t="e">
        <f t="shared" si="388"/>
        <v>#N/A</v>
      </c>
      <c r="BJ402" s="264">
        <f t="shared" si="426"/>
        <v>7</v>
      </c>
      <c r="BK402" s="291" t="e">
        <f t="shared" si="427"/>
        <v>#N/A</v>
      </c>
      <c r="BL402" s="291" t="e">
        <f t="shared" si="428"/>
        <v>#N/A</v>
      </c>
      <c r="BM402" s="292" t="e">
        <f t="shared" si="389"/>
        <v>#N/A</v>
      </c>
      <c r="BN402" s="293">
        <f t="shared" si="429"/>
        <v>7</v>
      </c>
      <c r="BO402" s="294" t="e">
        <f t="shared" si="430"/>
        <v>#N/A</v>
      </c>
      <c r="BP402" s="294" t="e">
        <f t="shared" si="431"/>
        <v>#N/A</v>
      </c>
      <c r="BQ402" s="292" t="e">
        <f t="shared" si="390"/>
        <v>#N/A</v>
      </c>
      <c r="BR402" s="295" t="e">
        <f t="shared" si="391"/>
        <v>#N/A</v>
      </c>
      <c r="BS402" s="230" t="e">
        <f>VLOOKUP($B402,SDR22_STOCK_BY_LA!$A$2:$C$11679,3,0)</f>
        <v>#N/A</v>
      </c>
      <c r="BT402" s="230" t="str">
        <f t="shared" si="432"/>
        <v/>
      </c>
    </row>
    <row r="403" spans="1:72" ht="12.5" x14ac:dyDescent="0.25">
      <c r="A403" s="269" t="str">
        <f t="shared" si="433"/>
        <v/>
      </c>
      <c r="B403" s="230" t="str">
        <f t="shared" si="434"/>
        <v/>
      </c>
      <c r="C403" s="270" t="str">
        <f t="shared" si="392"/>
        <v/>
      </c>
      <c r="D403" s="269" t="str">
        <f>IF(B403="","",IF(totals!$Q$3=0,IFERROR(IF(AD403=2,"0",AE403),""),"-"))</f>
        <v/>
      </c>
      <c r="E403" s="271" t="str">
        <f t="shared" si="393"/>
        <v/>
      </c>
      <c r="F403" s="272" t="str">
        <f t="shared" si="394"/>
        <v/>
      </c>
      <c r="G403" s="272" t="str">
        <f t="shared" si="395"/>
        <v/>
      </c>
      <c r="H403" s="269" t="str">
        <f t="shared" si="373"/>
        <v/>
      </c>
      <c r="I403" s="272" t="str">
        <f t="shared" si="396"/>
        <v/>
      </c>
      <c r="J403" s="272" t="str">
        <f t="shared" si="397"/>
        <v/>
      </c>
      <c r="K403" s="269" t="str">
        <f t="shared" si="374"/>
        <v/>
      </c>
      <c r="L403" s="272" t="str">
        <f t="shared" si="375"/>
        <v/>
      </c>
      <c r="M403" s="272" t="str">
        <f t="shared" si="398"/>
        <v/>
      </c>
      <c r="N403" s="269" t="str">
        <f t="shared" si="399"/>
        <v/>
      </c>
      <c r="O403" s="272" t="str">
        <f t="shared" si="400"/>
        <v/>
      </c>
      <c r="P403" s="272" t="str">
        <f t="shared" si="401"/>
        <v/>
      </c>
      <c r="Q403" s="269" t="str">
        <f t="shared" si="402"/>
        <v/>
      </c>
      <c r="R403" s="272" t="str">
        <f t="shared" si="403"/>
        <v/>
      </c>
      <c r="S403" s="272" t="str">
        <f t="shared" si="404"/>
        <v/>
      </c>
      <c r="T403" s="269" t="str">
        <f t="shared" si="405"/>
        <v/>
      </c>
      <c r="U403" s="230"/>
      <c r="V403" s="230"/>
      <c r="AB403" s="270" t="e">
        <f>VLOOKUP($B$6,Lookup_Source,396,0)</f>
        <v>#N/A</v>
      </c>
      <c r="AC403" s="254" t="str">
        <f t="shared" si="406"/>
        <v/>
      </c>
      <c r="AD403" s="255">
        <f t="shared" si="407"/>
        <v>7</v>
      </c>
      <c r="AE403" s="274" t="e">
        <f t="shared" si="376"/>
        <v>#N/A</v>
      </c>
      <c r="AF403" s="277" t="e">
        <f t="shared" si="408"/>
        <v>#N/A</v>
      </c>
      <c r="AG403" s="277" t="e">
        <f t="shared" si="409"/>
        <v>#N/A</v>
      </c>
      <c r="AH403" s="276" t="e">
        <f t="shared" si="377"/>
        <v>#N/A</v>
      </c>
      <c r="AI403" s="239">
        <f t="shared" si="410"/>
        <v>7</v>
      </c>
      <c r="AJ403" s="277" t="e">
        <f t="shared" si="378"/>
        <v>#N/A</v>
      </c>
      <c r="AK403" s="277" t="e">
        <f t="shared" si="411"/>
        <v>#N/A</v>
      </c>
      <c r="AL403" s="239" t="e">
        <f t="shared" si="379"/>
        <v>#N/A</v>
      </c>
      <c r="AM403" s="278" t="e">
        <f t="shared" si="412"/>
        <v>#N/A</v>
      </c>
      <c r="AN403" s="279" t="e">
        <f t="shared" si="380"/>
        <v>#N/A</v>
      </c>
      <c r="AO403" s="240" t="e">
        <f t="shared" si="381"/>
        <v>#N/A</v>
      </c>
      <c r="AP403" s="297">
        <f t="shared" si="413"/>
        <v>7</v>
      </c>
      <c r="AQ403" s="298" t="e">
        <f t="shared" si="382"/>
        <v>#N/A</v>
      </c>
      <c r="AR403" s="279" t="e">
        <f t="shared" si="414"/>
        <v>#N/A</v>
      </c>
      <c r="AS403" s="283" t="e">
        <f t="shared" si="383"/>
        <v>#N/A</v>
      </c>
      <c r="AT403" s="284">
        <f t="shared" si="415"/>
        <v>7</v>
      </c>
      <c r="AU403" s="285" t="e">
        <f t="shared" si="416"/>
        <v>#N/A</v>
      </c>
      <c r="AV403" s="286" t="e">
        <f t="shared" si="417"/>
        <v>#N/A</v>
      </c>
      <c r="AW403" s="287" t="e">
        <f t="shared" si="384"/>
        <v>#N/A</v>
      </c>
      <c r="AX403" s="245">
        <f t="shared" si="418"/>
        <v>7</v>
      </c>
      <c r="AY403" s="286" t="e">
        <f t="shared" si="385"/>
        <v>#N/A</v>
      </c>
      <c r="AZ403" s="245" t="e">
        <f t="shared" si="419"/>
        <v>#N/A</v>
      </c>
      <c r="BA403" s="245" t="e">
        <f t="shared" si="386"/>
        <v>#N/A</v>
      </c>
      <c r="BB403" s="288">
        <f t="shared" si="420"/>
        <v>7</v>
      </c>
      <c r="BC403" s="289" t="e">
        <f t="shared" si="421"/>
        <v>#N/A</v>
      </c>
      <c r="BD403" s="290" t="e">
        <f t="shared" si="422"/>
        <v>#N/A</v>
      </c>
      <c r="BE403" s="263" t="e">
        <f t="shared" si="387"/>
        <v>#N/A</v>
      </c>
      <c r="BF403" s="260">
        <f t="shared" si="423"/>
        <v>7</v>
      </c>
      <c r="BG403" s="289" t="e">
        <f t="shared" si="424"/>
        <v>#N/A</v>
      </c>
      <c r="BH403" s="290" t="e">
        <f t="shared" si="425"/>
        <v>#N/A</v>
      </c>
      <c r="BI403" s="263" t="e">
        <f t="shared" si="388"/>
        <v>#N/A</v>
      </c>
      <c r="BJ403" s="264">
        <f t="shared" si="426"/>
        <v>7</v>
      </c>
      <c r="BK403" s="291" t="e">
        <f t="shared" si="427"/>
        <v>#N/A</v>
      </c>
      <c r="BL403" s="291" t="e">
        <f t="shared" si="428"/>
        <v>#N/A</v>
      </c>
      <c r="BM403" s="292" t="e">
        <f t="shared" si="389"/>
        <v>#N/A</v>
      </c>
      <c r="BN403" s="293">
        <f t="shared" si="429"/>
        <v>7</v>
      </c>
      <c r="BO403" s="294" t="e">
        <f t="shared" si="430"/>
        <v>#N/A</v>
      </c>
      <c r="BP403" s="294" t="e">
        <f t="shared" si="431"/>
        <v>#N/A</v>
      </c>
      <c r="BQ403" s="292" t="e">
        <f t="shared" si="390"/>
        <v>#N/A</v>
      </c>
      <c r="BR403" s="295" t="e">
        <f t="shared" si="391"/>
        <v>#N/A</v>
      </c>
      <c r="BS403" s="230" t="e">
        <f>VLOOKUP($B403,SDR22_STOCK_BY_LA!$A$2:$C$11679,3,0)</f>
        <v>#N/A</v>
      </c>
      <c r="BT403" s="230" t="str">
        <f t="shared" si="432"/>
        <v/>
      </c>
    </row>
    <row r="404" spans="1:72" ht="12.5" x14ac:dyDescent="0.25">
      <c r="A404" s="230" t="str">
        <f t="shared" si="433"/>
        <v/>
      </c>
      <c r="B404" s="230" t="str">
        <f t="shared" si="434"/>
        <v/>
      </c>
      <c r="C404" s="296" t="str">
        <f t="shared" si="392"/>
        <v/>
      </c>
      <c r="D404" s="269" t="str">
        <f>IF(B404="","",IF(totals!$Q$3=0,IFERROR(IF(AD404=2,"0",AE404),""),"-"))</f>
        <v/>
      </c>
      <c r="E404" s="271" t="str">
        <f t="shared" si="393"/>
        <v/>
      </c>
      <c r="F404" s="272" t="str">
        <f t="shared" si="394"/>
        <v/>
      </c>
      <c r="G404" s="272" t="str">
        <f t="shared" si="395"/>
        <v/>
      </c>
      <c r="H404" s="269" t="str">
        <f t="shared" si="373"/>
        <v/>
      </c>
      <c r="I404" s="272" t="str">
        <f t="shared" si="396"/>
        <v/>
      </c>
      <c r="J404" s="272" t="str">
        <f t="shared" si="397"/>
        <v/>
      </c>
      <c r="K404" s="269" t="str">
        <f t="shared" si="374"/>
        <v/>
      </c>
      <c r="L404" s="272" t="str">
        <f t="shared" si="375"/>
        <v/>
      </c>
      <c r="M404" s="272" t="str">
        <f t="shared" si="398"/>
        <v/>
      </c>
      <c r="N404" s="269" t="str">
        <f t="shared" si="399"/>
        <v/>
      </c>
      <c r="O404" s="272" t="str">
        <f t="shared" si="400"/>
        <v/>
      </c>
      <c r="P404" s="272" t="str">
        <f t="shared" si="401"/>
        <v/>
      </c>
      <c r="Q404" s="269" t="str">
        <f t="shared" si="402"/>
        <v/>
      </c>
      <c r="R404" s="272" t="str">
        <f t="shared" si="403"/>
        <v/>
      </c>
      <c r="S404" s="272" t="str">
        <f t="shared" si="404"/>
        <v/>
      </c>
      <c r="T404" s="269" t="str">
        <f t="shared" si="405"/>
        <v/>
      </c>
      <c r="U404" s="230"/>
      <c r="V404" s="230"/>
      <c r="AB404" s="230" t="e">
        <f>VLOOKUP($B$6,Lookup_Source,397,0)</f>
        <v>#N/A</v>
      </c>
      <c r="AC404" s="254" t="str">
        <f t="shared" si="406"/>
        <v/>
      </c>
      <c r="AD404" s="255">
        <f t="shared" si="407"/>
        <v>7</v>
      </c>
      <c r="AE404" s="274" t="e">
        <f t="shared" si="376"/>
        <v>#N/A</v>
      </c>
      <c r="AF404" s="277" t="e">
        <f t="shared" si="408"/>
        <v>#N/A</v>
      </c>
      <c r="AG404" s="277" t="e">
        <f t="shared" si="409"/>
        <v>#N/A</v>
      </c>
      <c r="AH404" s="276" t="e">
        <f t="shared" si="377"/>
        <v>#N/A</v>
      </c>
      <c r="AI404" s="239">
        <f t="shared" si="410"/>
        <v>7</v>
      </c>
      <c r="AJ404" s="277" t="e">
        <f t="shared" si="378"/>
        <v>#N/A</v>
      </c>
      <c r="AK404" s="277" t="e">
        <f t="shared" si="411"/>
        <v>#N/A</v>
      </c>
      <c r="AL404" s="239" t="e">
        <f t="shared" si="379"/>
        <v>#N/A</v>
      </c>
      <c r="AM404" s="278" t="e">
        <f t="shared" si="412"/>
        <v>#N/A</v>
      </c>
      <c r="AN404" s="279" t="e">
        <f t="shared" si="380"/>
        <v>#N/A</v>
      </c>
      <c r="AO404" s="240" t="e">
        <f t="shared" si="381"/>
        <v>#N/A</v>
      </c>
      <c r="AP404" s="297">
        <f t="shared" si="413"/>
        <v>7</v>
      </c>
      <c r="AQ404" s="298" t="e">
        <f t="shared" si="382"/>
        <v>#N/A</v>
      </c>
      <c r="AR404" s="279" t="e">
        <f t="shared" si="414"/>
        <v>#N/A</v>
      </c>
      <c r="AS404" s="283" t="e">
        <f t="shared" si="383"/>
        <v>#N/A</v>
      </c>
      <c r="AT404" s="284">
        <f t="shared" si="415"/>
        <v>7</v>
      </c>
      <c r="AU404" s="285" t="e">
        <f t="shared" si="416"/>
        <v>#N/A</v>
      </c>
      <c r="AV404" s="286" t="e">
        <f t="shared" si="417"/>
        <v>#N/A</v>
      </c>
      <c r="AW404" s="287" t="e">
        <f t="shared" si="384"/>
        <v>#N/A</v>
      </c>
      <c r="AX404" s="245">
        <f t="shared" si="418"/>
        <v>7</v>
      </c>
      <c r="AY404" s="286" t="e">
        <f t="shared" si="385"/>
        <v>#N/A</v>
      </c>
      <c r="AZ404" s="245" t="e">
        <f t="shared" si="419"/>
        <v>#N/A</v>
      </c>
      <c r="BA404" s="245" t="e">
        <f t="shared" si="386"/>
        <v>#N/A</v>
      </c>
      <c r="BB404" s="288">
        <f t="shared" si="420"/>
        <v>7</v>
      </c>
      <c r="BC404" s="289" t="e">
        <f t="shared" si="421"/>
        <v>#N/A</v>
      </c>
      <c r="BD404" s="290" t="e">
        <f t="shared" si="422"/>
        <v>#N/A</v>
      </c>
      <c r="BE404" s="263" t="e">
        <f t="shared" si="387"/>
        <v>#N/A</v>
      </c>
      <c r="BF404" s="260">
        <f t="shared" si="423"/>
        <v>7</v>
      </c>
      <c r="BG404" s="289" t="e">
        <f t="shared" si="424"/>
        <v>#N/A</v>
      </c>
      <c r="BH404" s="290" t="e">
        <f t="shared" si="425"/>
        <v>#N/A</v>
      </c>
      <c r="BI404" s="263" t="e">
        <f t="shared" si="388"/>
        <v>#N/A</v>
      </c>
      <c r="BJ404" s="264">
        <f t="shared" si="426"/>
        <v>7</v>
      </c>
      <c r="BK404" s="291" t="e">
        <f t="shared" si="427"/>
        <v>#N/A</v>
      </c>
      <c r="BL404" s="291" t="e">
        <f t="shared" si="428"/>
        <v>#N/A</v>
      </c>
      <c r="BM404" s="292" t="e">
        <f t="shared" si="389"/>
        <v>#N/A</v>
      </c>
      <c r="BN404" s="293">
        <f t="shared" si="429"/>
        <v>7</v>
      </c>
      <c r="BO404" s="294" t="e">
        <f t="shared" si="430"/>
        <v>#N/A</v>
      </c>
      <c r="BP404" s="294" t="e">
        <f t="shared" si="431"/>
        <v>#N/A</v>
      </c>
      <c r="BQ404" s="292" t="e">
        <f t="shared" si="390"/>
        <v>#N/A</v>
      </c>
      <c r="BR404" s="295" t="e">
        <f t="shared" si="391"/>
        <v>#N/A</v>
      </c>
      <c r="BS404" s="230" t="e">
        <f>VLOOKUP($B404,SDR22_STOCK_BY_LA!$A$2:$C$11679,3,0)</f>
        <v>#N/A</v>
      </c>
      <c r="BT404" s="230" t="str">
        <f t="shared" si="432"/>
        <v/>
      </c>
    </row>
    <row r="405" spans="1:72" ht="12.5" x14ac:dyDescent="0.25">
      <c r="A405" s="269" t="str">
        <f t="shared" si="433"/>
        <v/>
      </c>
      <c r="B405" s="230" t="str">
        <f t="shared" si="434"/>
        <v/>
      </c>
      <c r="C405" s="270" t="str">
        <f t="shared" si="392"/>
        <v/>
      </c>
      <c r="D405" s="269" t="str">
        <f>IF(B405="","",IF(totals!$Q$3=0,IFERROR(IF(AD405=2,"0",AE405),""),"-"))</f>
        <v/>
      </c>
      <c r="E405" s="271" t="str">
        <f t="shared" si="393"/>
        <v/>
      </c>
      <c r="F405" s="272" t="str">
        <f t="shared" si="394"/>
        <v/>
      </c>
      <c r="G405" s="272" t="str">
        <f t="shared" si="395"/>
        <v/>
      </c>
      <c r="H405" s="269" t="str">
        <f t="shared" si="373"/>
        <v/>
      </c>
      <c r="I405" s="272" t="str">
        <f t="shared" si="396"/>
        <v/>
      </c>
      <c r="J405" s="272" t="str">
        <f t="shared" si="397"/>
        <v/>
      </c>
      <c r="K405" s="269" t="str">
        <f t="shared" si="374"/>
        <v/>
      </c>
      <c r="L405" s="272" t="str">
        <f t="shared" si="375"/>
        <v/>
      </c>
      <c r="M405" s="272" t="str">
        <f t="shared" si="398"/>
        <v/>
      </c>
      <c r="N405" s="269" t="str">
        <f t="shared" si="399"/>
        <v/>
      </c>
      <c r="O405" s="272" t="str">
        <f t="shared" si="400"/>
        <v/>
      </c>
      <c r="P405" s="272" t="str">
        <f t="shared" si="401"/>
        <v/>
      </c>
      <c r="Q405" s="269" t="str">
        <f t="shared" si="402"/>
        <v/>
      </c>
      <c r="R405" s="272" t="str">
        <f t="shared" si="403"/>
        <v/>
      </c>
      <c r="S405" s="272" t="str">
        <f t="shared" si="404"/>
        <v/>
      </c>
      <c r="T405" s="269" t="str">
        <f t="shared" si="405"/>
        <v/>
      </c>
      <c r="U405" s="230"/>
      <c r="V405" s="230"/>
      <c r="AB405" s="270" t="e">
        <f>VLOOKUP($B$6,Lookup_Source,398,0)</f>
        <v>#N/A</v>
      </c>
      <c r="AC405" s="254" t="str">
        <f t="shared" si="406"/>
        <v/>
      </c>
      <c r="AD405" s="255">
        <f t="shared" si="407"/>
        <v>7</v>
      </c>
      <c r="AE405" s="274" t="e">
        <f t="shared" si="376"/>
        <v>#N/A</v>
      </c>
      <c r="AF405" s="277" t="e">
        <f t="shared" si="408"/>
        <v>#N/A</v>
      </c>
      <c r="AG405" s="277" t="e">
        <f t="shared" si="409"/>
        <v>#N/A</v>
      </c>
      <c r="AH405" s="276" t="e">
        <f t="shared" si="377"/>
        <v>#N/A</v>
      </c>
      <c r="AI405" s="239">
        <f t="shared" si="410"/>
        <v>7</v>
      </c>
      <c r="AJ405" s="277" t="e">
        <f t="shared" si="378"/>
        <v>#N/A</v>
      </c>
      <c r="AK405" s="277" t="e">
        <f t="shared" si="411"/>
        <v>#N/A</v>
      </c>
      <c r="AL405" s="239" t="e">
        <f t="shared" si="379"/>
        <v>#N/A</v>
      </c>
      <c r="AM405" s="278" t="e">
        <f t="shared" si="412"/>
        <v>#N/A</v>
      </c>
      <c r="AN405" s="279" t="e">
        <f t="shared" si="380"/>
        <v>#N/A</v>
      </c>
      <c r="AO405" s="240" t="e">
        <f t="shared" si="381"/>
        <v>#N/A</v>
      </c>
      <c r="AP405" s="297">
        <f t="shared" si="413"/>
        <v>7</v>
      </c>
      <c r="AQ405" s="298" t="e">
        <f t="shared" si="382"/>
        <v>#N/A</v>
      </c>
      <c r="AR405" s="279" t="e">
        <f t="shared" si="414"/>
        <v>#N/A</v>
      </c>
      <c r="AS405" s="283" t="e">
        <f t="shared" si="383"/>
        <v>#N/A</v>
      </c>
      <c r="AT405" s="284">
        <f t="shared" si="415"/>
        <v>7</v>
      </c>
      <c r="AU405" s="285" t="e">
        <f t="shared" si="416"/>
        <v>#N/A</v>
      </c>
      <c r="AV405" s="286" t="e">
        <f t="shared" si="417"/>
        <v>#N/A</v>
      </c>
      <c r="AW405" s="287" t="e">
        <f t="shared" si="384"/>
        <v>#N/A</v>
      </c>
      <c r="AX405" s="245">
        <f t="shared" si="418"/>
        <v>7</v>
      </c>
      <c r="AY405" s="286" t="e">
        <f t="shared" si="385"/>
        <v>#N/A</v>
      </c>
      <c r="AZ405" s="245" t="e">
        <f t="shared" si="419"/>
        <v>#N/A</v>
      </c>
      <c r="BA405" s="245" t="e">
        <f t="shared" si="386"/>
        <v>#N/A</v>
      </c>
      <c r="BB405" s="288">
        <f t="shared" si="420"/>
        <v>7</v>
      </c>
      <c r="BC405" s="289" t="e">
        <f t="shared" si="421"/>
        <v>#N/A</v>
      </c>
      <c r="BD405" s="290" t="e">
        <f t="shared" si="422"/>
        <v>#N/A</v>
      </c>
      <c r="BE405" s="263" t="e">
        <f t="shared" si="387"/>
        <v>#N/A</v>
      </c>
      <c r="BF405" s="260">
        <f t="shared" si="423"/>
        <v>7</v>
      </c>
      <c r="BG405" s="289" t="e">
        <f t="shared" si="424"/>
        <v>#N/A</v>
      </c>
      <c r="BH405" s="290" t="e">
        <f t="shared" si="425"/>
        <v>#N/A</v>
      </c>
      <c r="BI405" s="263" t="e">
        <f t="shared" si="388"/>
        <v>#N/A</v>
      </c>
      <c r="BJ405" s="264">
        <f t="shared" si="426"/>
        <v>7</v>
      </c>
      <c r="BK405" s="291" t="e">
        <f t="shared" si="427"/>
        <v>#N/A</v>
      </c>
      <c r="BL405" s="291" t="e">
        <f t="shared" si="428"/>
        <v>#N/A</v>
      </c>
      <c r="BM405" s="292" t="e">
        <f t="shared" si="389"/>
        <v>#N/A</v>
      </c>
      <c r="BN405" s="293">
        <f t="shared" si="429"/>
        <v>7</v>
      </c>
      <c r="BO405" s="294" t="e">
        <f t="shared" si="430"/>
        <v>#N/A</v>
      </c>
      <c r="BP405" s="294" t="e">
        <f t="shared" si="431"/>
        <v>#N/A</v>
      </c>
      <c r="BQ405" s="292" t="e">
        <f t="shared" si="390"/>
        <v>#N/A</v>
      </c>
      <c r="BR405" s="295" t="e">
        <f t="shared" si="391"/>
        <v>#N/A</v>
      </c>
      <c r="BS405" s="230" t="e">
        <f>VLOOKUP($B405,SDR22_STOCK_BY_LA!$A$2:$C$11679,3,0)</f>
        <v>#N/A</v>
      </c>
      <c r="BT405" s="230" t="str">
        <f t="shared" si="432"/>
        <v/>
      </c>
    </row>
    <row r="406" spans="1:72" ht="12.5" x14ac:dyDescent="0.25">
      <c r="A406" s="230" t="str">
        <f t="shared" si="433"/>
        <v/>
      </c>
      <c r="B406" s="230" t="str">
        <f t="shared" si="434"/>
        <v/>
      </c>
      <c r="C406" s="296" t="str">
        <f t="shared" si="392"/>
        <v/>
      </c>
      <c r="D406" s="269" t="str">
        <f>IF(B406="","",IF(totals!$Q$3=0,IFERROR(IF(AD406=2,"0",AE406),""),"-"))</f>
        <v/>
      </c>
      <c r="E406" s="271" t="str">
        <f t="shared" si="393"/>
        <v/>
      </c>
      <c r="F406" s="272" t="str">
        <f t="shared" si="394"/>
        <v/>
      </c>
      <c r="G406" s="272" t="str">
        <f t="shared" si="395"/>
        <v/>
      </c>
      <c r="H406" s="269" t="str">
        <f t="shared" si="373"/>
        <v/>
      </c>
      <c r="I406" s="272" t="str">
        <f t="shared" si="396"/>
        <v/>
      </c>
      <c r="J406" s="272" t="str">
        <f t="shared" si="397"/>
        <v/>
      </c>
      <c r="K406" s="269" t="str">
        <f t="shared" si="374"/>
        <v/>
      </c>
      <c r="L406" s="272" t="str">
        <f t="shared" si="375"/>
        <v/>
      </c>
      <c r="M406" s="272" t="str">
        <f t="shared" si="398"/>
        <v/>
      </c>
      <c r="N406" s="269" t="str">
        <f t="shared" si="399"/>
        <v/>
      </c>
      <c r="O406" s="272" t="str">
        <f t="shared" si="400"/>
        <v/>
      </c>
      <c r="P406" s="272" t="str">
        <f t="shared" si="401"/>
        <v/>
      </c>
      <c r="Q406" s="269" t="str">
        <f t="shared" si="402"/>
        <v/>
      </c>
      <c r="R406" s="272" t="str">
        <f t="shared" si="403"/>
        <v/>
      </c>
      <c r="S406" s="272" t="str">
        <f t="shared" si="404"/>
        <v/>
      </c>
      <c r="T406" s="269" t="str">
        <f t="shared" si="405"/>
        <v/>
      </c>
      <c r="U406" s="230"/>
      <c r="V406" s="230"/>
      <c r="AB406" s="230" t="e">
        <f>VLOOKUP($B$6,Lookup_Source,399,0)</f>
        <v>#N/A</v>
      </c>
      <c r="AC406" s="254" t="str">
        <f t="shared" si="406"/>
        <v/>
      </c>
      <c r="AD406" s="255">
        <f t="shared" si="407"/>
        <v>7</v>
      </c>
      <c r="AE406" s="274" t="e">
        <f t="shared" si="376"/>
        <v>#N/A</v>
      </c>
      <c r="AF406" s="277" t="e">
        <f t="shared" si="408"/>
        <v>#N/A</v>
      </c>
      <c r="AG406" s="277" t="e">
        <f t="shared" si="409"/>
        <v>#N/A</v>
      </c>
      <c r="AH406" s="276" t="e">
        <f t="shared" si="377"/>
        <v>#N/A</v>
      </c>
      <c r="AI406" s="239">
        <f t="shared" si="410"/>
        <v>7</v>
      </c>
      <c r="AJ406" s="277" t="e">
        <f t="shared" si="378"/>
        <v>#N/A</v>
      </c>
      <c r="AK406" s="277" t="e">
        <f t="shared" si="411"/>
        <v>#N/A</v>
      </c>
      <c r="AL406" s="239" t="e">
        <f t="shared" si="379"/>
        <v>#N/A</v>
      </c>
      <c r="AM406" s="278" t="e">
        <f t="shared" si="412"/>
        <v>#N/A</v>
      </c>
      <c r="AN406" s="279" t="e">
        <f t="shared" si="380"/>
        <v>#N/A</v>
      </c>
      <c r="AO406" s="240" t="e">
        <f t="shared" si="381"/>
        <v>#N/A</v>
      </c>
      <c r="AP406" s="297">
        <f t="shared" si="413"/>
        <v>7</v>
      </c>
      <c r="AQ406" s="298" t="e">
        <f t="shared" si="382"/>
        <v>#N/A</v>
      </c>
      <c r="AR406" s="279" t="e">
        <f t="shared" si="414"/>
        <v>#N/A</v>
      </c>
      <c r="AS406" s="283" t="e">
        <f t="shared" si="383"/>
        <v>#N/A</v>
      </c>
      <c r="AT406" s="284">
        <f t="shared" si="415"/>
        <v>7</v>
      </c>
      <c r="AU406" s="285" t="e">
        <f t="shared" si="416"/>
        <v>#N/A</v>
      </c>
      <c r="AV406" s="286" t="e">
        <f t="shared" si="417"/>
        <v>#N/A</v>
      </c>
      <c r="AW406" s="287" t="e">
        <f t="shared" si="384"/>
        <v>#N/A</v>
      </c>
      <c r="AX406" s="245">
        <f t="shared" si="418"/>
        <v>7</v>
      </c>
      <c r="AY406" s="286" t="e">
        <f t="shared" si="385"/>
        <v>#N/A</v>
      </c>
      <c r="AZ406" s="245" t="e">
        <f t="shared" si="419"/>
        <v>#N/A</v>
      </c>
      <c r="BA406" s="245" t="e">
        <f t="shared" si="386"/>
        <v>#N/A</v>
      </c>
      <c r="BB406" s="288">
        <f t="shared" si="420"/>
        <v>7</v>
      </c>
      <c r="BC406" s="289" t="e">
        <f t="shared" si="421"/>
        <v>#N/A</v>
      </c>
      <c r="BD406" s="290" t="e">
        <f t="shared" si="422"/>
        <v>#N/A</v>
      </c>
      <c r="BE406" s="263" t="e">
        <f t="shared" si="387"/>
        <v>#N/A</v>
      </c>
      <c r="BF406" s="260">
        <f t="shared" si="423"/>
        <v>7</v>
      </c>
      <c r="BG406" s="289" t="e">
        <f t="shared" si="424"/>
        <v>#N/A</v>
      </c>
      <c r="BH406" s="290" t="e">
        <f t="shared" si="425"/>
        <v>#N/A</v>
      </c>
      <c r="BI406" s="263" t="e">
        <f t="shared" si="388"/>
        <v>#N/A</v>
      </c>
      <c r="BJ406" s="264">
        <f t="shared" si="426"/>
        <v>7</v>
      </c>
      <c r="BK406" s="291" t="e">
        <f t="shared" si="427"/>
        <v>#N/A</v>
      </c>
      <c r="BL406" s="291" t="e">
        <f t="shared" si="428"/>
        <v>#N/A</v>
      </c>
      <c r="BM406" s="292" t="e">
        <f t="shared" si="389"/>
        <v>#N/A</v>
      </c>
      <c r="BN406" s="293">
        <f t="shared" si="429"/>
        <v>7</v>
      </c>
      <c r="BO406" s="294" t="e">
        <f t="shared" si="430"/>
        <v>#N/A</v>
      </c>
      <c r="BP406" s="294" t="e">
        <f t="shared" si="431"/>
        <v>#N/A</v>
      </c>
      <c r="BQ406" s="292" t="e">
        <f t="shared" si="390"/>
        <v>#N/A</v>
      </c>
      <c r="BR406" s="295" t="e">
        <f t="shared" si="391"/>
        <v>#N/A</v>
      </c>
      <c r="BS406" s="230" t="e">
        <f>VLOOKUP($B406,SDR22_STOCK_BY_LA!$A$2:$C$11679,3,0)</f>
        <v>#N/A</v>
      </c>
      <c r="BT406" s="230" t="str">
        <f t="shared" si="432"/>
        <v/>
      </c>
    </row>
    <row r="407" spans="1:72" ht="12.5" x14ac:dyDescent="0.25">
      <c r="A407" s="269" t="str">
        <f t="shared" si="433"/>
        <v/>
      </c>
      <c r="B407" s="230" t="str">
        <f t="shared" si="434"/>
        <v/>
      </c>
      <c r="C407" s="270" t="str">
        <f t="shared" si="392"/>
        <v/>
      </c>
      <c r="D407" s="269" t="str">
        <f>IF(B407="","",IF(totals!$Q$3=0,IFERROR(IF(AD407=2,"0",AE407),""),"-"))</f>
        <v/>
      </c>
      <c r="E407" s="271" t="str">
        <f t="shared" si="393"/>
        <v/>
      </c>
      <c r="F407" s="272" t="str">
        <f t="shared" si="394"/>
        <v/>
      </c>
      <c r="G407" s="272" t="str">
        <f t="shared" si="395"/>
        <v/>
      </c>
      <c r="H407" s="269" t="str">
        <f t="shared" si="373"/>
        <v/>
      </c>
      <c r="I407" s="272" t="str">
        <f t="shared" si="396"/>
        <v/>
      </c>
      <c r="J407" s="272" t="str">
        <f t="shared" si="397"/>
        <v/>
      </c>
      <c r="K407" s="269" t="str">
        <f t="shared" si="374"/>
        <v/>
      </c>
      <c r="L407" s="272" t="str">
        <f t="shared" si="375"/>
        <v/>
      </c>
      <c r="M407" s="272" t="str">
        <f t="shared" si="398"/>
        <v/>
      </c>
      <c r="N407" s="269" t="str">
        <f t="shared" si="399"/>
        <v/>
      </c>
      <c r="O407" s="272" t="str">
        <f t="shared" si="400"/>
        <v/>
      </c>
      <c r="P407" s="272" t="str">
        <f t="shared" si="401"/>
        <v/>
      </c>
      <c r="Q407" s="269" t="str">
        <f t="shared" si="402"/>
        <v/>
      </c>
      <c r="R407" s="272" t="str">
        <f t="shared" si="403"/>
        <v/>
      </c>
      <c r="S407" s="272" t="str">
        <f t="shared" si="404"/>
        <v/>
      </c>
      <c r="T407" s="269" t="str">
        <f t="shared" si="405"/>
        <v/>
      </c>
      <c r="U407" s="230"/>
      <c r="V407" s="230"/>
      <c r="AB407" s="270" t="e">
        <f>VLOOKUP($B$6,Lookup_Source,400,0)</f>
        <v>#N/A</v>
      </c>
      <c r="AC407" s="254" t="str">
        <f t="shared" si="406"/>
        <v/>
      </c>
      <c r="AD407" s="255">
        <f t="shared" si="407"/>
        <v>7</v>
      </c>
      <c r="AE407" s="274" t="e">
        <f t="shared" si="376"/>
        <v>#N/A</v>
      </c>
      <c r="AF407" s="277" t="e">
        <f t="shared" si="408"/>
        <v>#N/A</v>
      </c>
      <c r="AG407" s="277" t="e">
        <f t="shared" si="409"/>
        <v>#N/A</v>
      </c>
      <c r="AH407" s="276" t="e">
        <f t="shared" si="377"/>
        <v>#N/A</v>
      </c>
      <c r="AI407" s="239">
        <f t="shared" si="410"/>
        <v>7</v>
      </c>
      <c r="AJ407" s="277" t="e">
        <f t="shared" si="378"/>
        <v>#N/A</v>
      </c>
      <c r="AK407" s="277" t="e">
        <f t="shared" si="411"/>
        <v>#N/A</v>
      </c>
      <c r="AL407" s="239" t="e">
        <f t="shared" si="379"/>
        <v>#N/A</v>
      </c>
      <c r="AM407" s="278" t="e">
        <f t="shared" si="412"/>
        <v>#N/A</v>
      </c>
      <c r="AN407" s="279" t="e">
        <f t="shared" si="380"/>
        <v>#N/A</v>
      </c>
      <c r="AO407" s="240" t="e">
        <f t="shared" si="381"/>
        <v>#N/A</v>
      </c>
      <c r="AP407" s="297">
        <f t="shared" si="413"/>
        <v>7</v>
      </c>
      <c r="AQ407" s="298" t="e">
        <f t="shared" si="382"/>
        <v>#N/A</v>
      </c>
      <c r="AR407" s="279" t="e">
        <f t="shared" si="414"/>
        <v>#N/A</v>
      </c>
      <c r="AS407" s="283" t="e">
        <f t="shared" si="383"/>
        <v>#N/A</v>
      </c>
      <c r="AT407" s="284">
        <f t="shared" si="415"/>
        <v>7</v>
      </c>
      <c r="AU407" s="285" t="e">
        <f t="shared" si="416"/>
        <v>#N/A</v>
      </c>
      <c r="AV407" s="286" t="e">
        <f t="shared" si="417"/>
        <v>#N/A</v>
      </c>
      <c r="AW407" s="287" t="e">
        <f t="shared" si="384"/>
        <v>#N/A</v>
      </c>
      <c r="AX407" s="245">
        <f t="shared" si="418"/>
        <v>7</v>
      </c>
      <c r="AY407" s="286" t="e">
        <f t="shared" si="385"/>
        <v>#N/A</v>
      </c>
      <c r="AZ407" s="245" t="e">
        <f t="shared" si="419"/>
        <v>#N/A</v>
      </c>
      <c r="BA407" s="245" t="e">
        <f t="shared" si="386"/>
        <v>#N/A</v>
      </c>
      <c r="BB407" s="288">
        <f t="shared" si="420"/>
        <v>7</v>
      </c>
      <c r="BC407" s="289" t="e">
        <f t="shared" si="421"/>
        <v>#N/A</v>
      </c>
      <c r="BD407" s="290" t="e">
        <f t="shared" si="422"/>
        <v>#N/A</v>
      </c>
      <c r="BE407" s="263" t="e">
        <f t="shared" si="387"/>
        <v>#N/A</v>
      </c>
      <c r="BF407" s="260">
        <f t="shared" si="423"/>
        <v>7</v>
      </c>
      <c r="BG407" s="289" t="e">
        <f t="shared" si="424"/>
        <v>#N/A</v>
      </c>
      <c r="BH407" s="290" t="e">
        <f t="shared" si="425"/>
        <v>#N/A</v>
      </c>
      <c r="BI407" s="263" t="e">
        <f t="shared" si="388"/>
        <v>#N/A</v>
      </c>
      <c r="BJ407" s="264">
        <f t="shared" si="426"/>
        <v>7</v>
      </c>
      <c r="BK407" s="291" t="e">
        <f t="shared" si="427"/>
        <v>#N/A</v>
      </c>
      <c r="BL407" s="291" t="e">
        <f t="shared" si="428"/>
        <v>#N/A</v>
      </c>
      <c r="BM407" s="292" t="e">
        <f t="shared" si="389"/>
        <v>#N/A</v>
      </c>
      <c r="BN407" s="293">
        <f t="shared" si="429"/>
        <v>7</v>
      </c>
      <c r="BO407" s="294" t="e">
        <f t="shared" si="430"/>
        <v>#N/A</v>
      </c>
      <c r="BP407" s="294" t="e">
        <f t="shared" si="431"/>
        <v>#N/A</v>
      </c>
      <c r="BQ407" s="292" t="e">
        <f t="shared" si="390"/>
        <v>#N/A</v>
      </c>
      <c r="BR407" s="295" t="e">
        <f t="shared" si="391"/>
        <v>#N/A</v>
      </c>
      <c r="BS407" s="230" t="e">
        <f>VLOOKUP($B407,SDR22_STOCK_BY_LA!$A$2:$C$11679,3,0)</f>
        <v>#N/A</v>
      </c>
      <c r="BT407" s="230" t="str">
        <f t="shared" si="432"/>
        <v/>
      </c>
    </row>
    <row r="408" spans="1:72" ht="12.5" x14ac:dyDescent="0.25">
      <c r="A408" s="230" t="str">
        <f t="shared" si="433"/>
        <v/>
      </c>
      <c r="B408" s="230" t="str">
        <f t="shared" si="434"/>
        <v/>
      </c>
      <c r="C408" s="296" t="str">
        <f t="shared" si="392"/>
        <v/>
      </c>
      <c r="D408" s="269" t="str">
        <f>IF(B408="","",IF(totals!$Q$3=0,IFERROR(IF(AD408=2,"0",AE408),""),"-"))</f>
        <v/>
      </c>
      <c r="E408" s="271" t="str">
        <f t="shared" si="393"/>
        <v/>
      </c>
      <c r="F408" s="272" t="str">
        <f t="shared" si="394"/>
        <v/>
      </c>
      <c r="G408" s="272" t="str">
        <f t="shared" si="395"/>
        <v/>
      </c>
      <c r="H408" s="269" t="str">
        <f t="shared" si="373"/>
        <v/>
      </c>
      <c r="I408" s="272" t="str">
        <f t="shared" si="396"/>
        <v/>
      </c>
      <c r="J408" s="272" t="str">
        <f t="shared" si="397"/>
        <v/>
      </c>
      <c r="K408" s="269" t="str">
        <f t="shared" si="374"/>
        <v/>
      </c>
      <c r="L408" s="272" t="str">
        <f t="shared" si="375"/>
        <v/>
      </c>
      <c r="M408" s="272" t="str">
        <f t="shared" si="398"/>
        <v/>
      </c>
      <c r="N408" s="269" t="str">
        <f t="shared" si="399"/>
        <v/>
      </c>
      <c r="O408" s="272" t="str">
        <f t="shared" si="400"/>
        <v/>
      </c>
      <c r="P408" s="272" t="str">
        <f t="shared" si="401"/>
        <v/>
      </c>
      <c r="Q408" s="269" t="str">
        <f t="shared" si="402"/>
        <v/>
      </c>
      <c r="R408" s="272" t="str">
        <f t="shared" si="403"/>
        <v/>
      </c>
      <c r="S408" s="272" t="str">
        <f t="shared" si="404"/>
        <v/>
      </c>
      <c r="T408" s="269" t="str">
        <f t="shared" si="405"/>
        <v/>
      </c>
      <c r="U408" s="230"/>
      <c r="V408" s="230"/>
      <c r="AB408" s="230" t="e">
        <f>VLOOKUP($B$6,Lookup_Source,401,0)</f>
        <v>#N/A</v>
      </c>
      <c r="AC408" s="254" t="str">
        <f t="shared" si="406"/>
        <v/>
      </c>
      <c r="AD408" s="255">
        <f t="shared" si="407"/>
        <v>7</v>
      </c>
      <c r="AE408" s="274" t="e">
        <f t="shared" si="376"/>
        <v>#N/A</v>
      </c>
      <c r="AF408" s="277" t="e">
        <f t="shared" si="408"/>
        <v>#N/A</v>
      </c>
      <c r="AG408" s="277" t="e">
        <f t="shared" si="409"/>
        <v>#N/A</v>
      </c>
      <c r="AH408" s="276" t="e">
        <f t="shared" si="377"/>
        <v>#N/A</v>
      </c>
      <c r="AI408" s="239">
        <f t="shared" si="410"/>
        <v>7</v>
      </c>
      <c r="AJ408" s="277" t="e">
        <f t="shared" si="378"/>
        <v>#N/A</v>
      </c>
      <c r="AK408" s="277" t="e">
        <f t="shared" si="411"/>
        <v>#N/A</v>
      </c>
      <c r="AL408" s="239" t="e">
        <f t="shared" si="379"/>
        <v>#N/A</v>
      </c>
      <c r="AM408" s="278" t="e">
        <f t="shared" si="412"/>
        <v>#N/A</v>
      </c>
      <c r="AN408" s="279" t="e">
        <f t="shared" si="380"/>
        <v>#N/A</v>
      </c>
      <c r="AO408" s="240" t="e">
        <f t="shared" si="381"/>
        <v>#N/A</v>
      </c>
      <c r="AP408" s="297">
        <f t="shared" si="413"/>
        <v>7</v>
      </c>
      <c r="AQ408" s="298" t="e">
        <f t="shared" si="382"/>
        <v>#N/A</v>
      </c>
      <c r="AR408" s="279" t="e">
        <f t="shared" si="414"/>
        <v>#N/A</v>
      </c>
      <c r="AS408" s="283" t="e">
        <f t="shared" si="383"/>
        <v>#N/A</v>
      </c>
      <c r="AT408" s="284">
        <f t="shared" si="415"/>
        <v>7</v>
      </c>
      <c r="AU408" s="285" t="e">
        <f t="shared" si="416"/>
        <v>#N/A</v>
      </c>
      <c r="AV408" s="286" t="e">
        <f t="shared" si="417"/>
        <v>#N/A</v>
      </c>
      <c r="AW408" s="287" t="e">
        <f t="shared" si="384"/>
        <v>#N/A</v>
      </c>
      <c r="AX408" s="245">
        <f t="shared" si="418"/>
        <v>7</v>
      </c>
      <c r="AY408" s="286" t="e">
        <f t="shared" si="385"/>
        <v>#N/A</v>
      </c>
      <c r="AZ408" s="245" t="e">
        <f t="shared" si="419"/>
        <v>#N/A</v>
      </c>
      <c r="BA408" s="245" t="e">
        <f t="shared" si="386"/>
        <v>#N/A</v>
      </c>
      <c r="BB408" s="288">
        <f t="shared" si="420"/>
        <v>7</v>
      </c>
      <c r="BC408" s="289" t="e">
        <f t="shared" si="421"/>
        <v>#N/A</v>
      </c>
      <c r="BD408" s="290" t="e">
        <f t="shared" si="422"/>
        <v>#N/A</v>
      </c>
      <c r="BE408" s="263" t="e">
        <f t="shared" si="387"/>
        <v>#N/A</v>
      </c>
      <c r="BF408" s="260">
        <f t="shared" si="423"/>
        <v>7</v>
      </c>
      <c r="BG408" s="289" t="e">
        <f t="shared" si="424"/>
        <v>#N/A</v>
      </c>
      <c r="BH408" s="290" t="e">
        <f t="shared" si="425"/>
        <v>#N/A</v>
      </c>
      <c r="BI408" s="263" t="e">
        <f t="shared" si="388"/>
        <v>#N/A</v>
      </c>
      <c r="BJ408" s="264">
        <f t="shared" si="426"/>
        <v>7</v>
      </c>
      <c r="BK408" s="291" t="e">
        <f t="shared" si="427"/>
        <v>#N/A</v>
      </c>
      <c r="BL408" s="291" t="e">
        <f t="shared" si="428"/>
        <v>#N/A</v>
      </c>
      <c r="BM408" s="292" t="e">
        <f t="shared" si="389"/>
        <v>#N/A</v>
      </c>
      <c r="BN408" s="293">
        <f t="shared" si="429"/>
        <v>7</v>
      </c>
      <c r="BO408" s="294" t="e">
        <f t="shared" si="430"/>
        <v>#N/A</v>
      </c>
      <c r="BP408" s="294" t="e">
        <f t="shared" si="431"/>
        <v>#N/A</v>
      </c>
      <c r="BQ408" s="292" t="e">
        <f t="shared" si="390"/>
        <v>#N/A</v>
      </c>
      <c r="BR408" s="295" t="e">
        <f t="shared" si="391"/>
        <v>#N/A</v>
      </c>
      <c r="BS408" s="230" t="e">
        <f>VLOOKUP($B408,SDR22_STOCK_BY_LA!$A$2:$C$11679,3,0)</f>
        <v>#N/A</v>
      </c>
      <c r="BT408" s="230" t="str">
        <f t="shared" si="432"/>
        <v/>
      </c>
    </row>
    <row r="409" spans="1:72" ht="12.5" x14ac:dyDescent="0.25">
      <c r="A409" s="269" t="str">
        <f t="shared" si="433"/>
        <v/>
      </c>
      <c r="B409" s="230" t="str">
        <f t="shared" si="434"/>
        <v/>
      </c>
      <c r="C409" s="270" t="str">
        <f t="shared" si="392"/>
        <v/>
      </c>
      <c r="D409" s="269" t="str">
        <f>IF(B409="","",IF(totals!$Q$3=0,IFERROR(IF(AD409=2,"0",AE409),""),"-"))</f>
        <v/>
      </c>
      <c r="E409" s="271" t="str">
        <f t="shared" si="393"/>
        <v/>
      </c>
      <c r="F409" s="272" t="str">
        <f t="shared" si="394"/>
        <v/>
      </c>
      <c r="G409" s="272" t="str">
        <f t="shared" si="395"/>
        <v/>
      </c>
      <c r="H409" s="269" t="str">
        <f t="shared" si="373"/>
        <v/>
      </c>
      <c r="I409" s="272" t="str">
        <f t="shared" si="396"/>
        <v/>
      </c>
      <c r="J409" s="272" t="str">
        <f t="shared" si="397"/>
        <v/>
      </c>
      <c r="K409" s="269" t="str">
        <f t="shared" si="374"/>
        <v/>
      </c>
      <c r="L409" s="272" t="str">
        <f t="shared" si="375"/>
        <v/>
      </c>
      <c r="M409" s="272" t="str">
        <f t="shared" si="398"/>
        <v/>
      </c>
      <c r="N409" s="269" t="str">
        <f t="shared" si="399"/>
        <v/>
      </c>
      <c r="O409" s="272" t="str">
        <f t="shared" si="400"/>
        <v/>
      </c>
      <c r="P409" s="272" t="str">
        <f t="shared" si="401"/>
        <v/>
      </c>
      <c r="Q409" s="269" t="str">
        <f t="shared" si="402"/>
        <v/>
      </c>
      <c r="R409" s="272" t="str">
        <f t="shared" si="403"/>
        <v/>
      </c>
      <c r="S409" s="272" t="str">
        <f t="shared" si="404"/>
        <v/>
      </c>
      <c r="T409" s="269" t="str">
        <f t="shared" si="405"/>
        <v/>
      </c>
      <c r="U409" s="230"/>
      <c r="V409" s="230"/>
      <c r="AB409" s="270" t="e">
        <f>VLOOKUP($B$6,Lookup_Source,402,0)</f>
        <v>#N/A</v>
      </c>
      <c r="AC409" s="254" t="str">
        <f t="shared" si="406"/>
        <v/>
      </c>
      <c r="AD409" s="255">
        <f t="shared" si="407"/>
        <v>7</v>
      </c>
      <c r="AE409" s="274" t="e">
        <f t="shared" si="376"/>
        <v>#N/A</v>
      </c>
      <c r="AF409" s="277" t="e">
        <f t="shared" si="408"/>
        <v>#N/A</v>
      </c>
      <c r="AG409" s="277" t="e">
        <f t="shared" si="409"/>
        <v>#N/A</v>
      </c>
      <c r="AH409" s="276" t="e">
        <f t="shared" si="377"/>
        <v>#N/A</v>
      </c>
      <c r="AI409" s="239">
        <f t="shared" si="410"/>
        <v>7</v>
      </c>
      <c r="AJ409" s="277" t="e">
        <f t="shared" si="378"/>
        <v>#N/A</v>
      </c>
      <c r="AK409" s="277" t="e">
        <f t="shared" si="411"/>
        <v>#N/A</v>
      </c>
      <c r="AL409" s="239" t="e">
        <f t="shared" si="379"/>
        <v>#N/A</v>
      </c>
      <c r="AM409" s="278" t="e">
        <f t="shared" si="412"/>
        <v>#N/A</v>
      </c>
      <c r="AN409" s="279" t="e">
        <f t="shared" si="380"/>
        <v>#N/A</v>
      </c>
      <c r="AO409" s="240" t="e">
        <f t="shared" si="381"/>
        <v>#N/A</v>
      </c>
      <c r="AP409" s="297">
        <f t="shared" si="413"/>
        <v>7</v>
      </c>
      <c r="AQ409" s="298" t="e">
        <f t="shared" si="382"/>
        <v>#N/A</v>
      </c>
      <c r="AR409" s="279" t="e">
        <f t="shared" si="414"/>
        <v>#N/A</v>
      </c>
      <c r="AS409" s="283" t="e">
        <f t="shared" si="383"/>
        <v>#N/A</v>
      </c>
      <c r="AT409" s="284">
        <f t="shared" si="415"/>
        <v>7</v>
      </c>
      <c r="AU409" s="285" t="e">
        <f t="shared" si="416"/>
        <v>#N/A</v>
      </c>
      <c r="AV409" s="286" t="e">
        <f t="shared" si="417"/>
        <v>#N/A</v>
      </c>
      <c r="AW409" s="287" t="e">
        <f t="shared" si="384"/>
        <v>#N/A</v>
      </c>
      <c r="AX409" s="245">
        <f t="shared" si="418"/>
        <v>7</v>
      </c>
      <c r="AY409" s="286" t="e">
        <f t="shared" si="385"/>
        <v>#N/A</v>
      </c>
      <c r="AZ409" s="245" t="e">
        <f t="shared" si="419"/>
        <v>#N/A</v>
      </c>
      <c r="BA409" s="245" t="e">
        <f t="shared" si="386"/>
        <v>#N/A</v>
      </c>
      <c r="BB409" s="288">
        <f t="shared" si="420"/>
        <v>7</v>
      </c>
      <c r="BC409" s="289" t="e">
        <f t="shared" si="421"/>
        <v>#N/A</v>
      </c>
      <c r="BD409" s="290" t="e">
        <f t="shared" si="422"/>
        <v>#N/A</v>
      </c>
      <c r="BE409" s="263" t="e">
        <f t="shared" si="387"/>
        <v>#N/A</v>
      </c>
      <c r="BF409" s="260">
        <f t="shared" si="423"/>
        <v>7</v>
      </c>
      <c r="BG409" s="289" t="e">
        <f t="shared" si="424"/>
        <v>#N/A</v>
      </c>
      <c r="BH409" s="290" t="e">
        <f t="shared" si="425"/>
        <v>#N/A</v>
      </c>
      <c r="BI409" s="263" t="e">
        <f t="shared" si="388"/>
        <v>#N/A</v>
      </c>
      <c r="BJ409" s="264">
        <f t="shared" si="426"/>
        <v>7</v>
      </c>
      <c r="BK409" s="291" t="e">
        <f t="shared" si="427"/>
        <v>#N/A</v>
      </c>
      <c r="BL409" s="291" t="e">
        <f t="shared" si="428"/>
        <v>#N/A</v>
      </c>
      <c r="BM409" s="292" t="e">
        <f t="shared" si="389"/>
        <v>#N/A</v>
      </c>
      <c r="BN409" s="293">
        <f t="shared" si="429"/>
        <v>7</v>
      </c>
      <c r="BO409" s="294" t="e">
        <f t="shared" si="430"/>
        <v>#N/A</v>
      </c>
      <c r="BP409" s="294" t="e">
        <f t="shared" si="431"/>
        <v>#N/A</v>
      </c>
      <c r="BQ409" s="292" t="e">
        <f t="shared" si="390"/>
        <v>#N/A</v>
      </c>
      <c r="BR409" s="295" t="e">
        <f t="shared" si="391"/>
        <v>#N/A</v>
      </c>
      <c r="BS409" s="230" t="e">
        <f>VLOOKUP($B409,SDR22_STOCK_BY_LA!$A$2:$C$11679,3,0)</f>
        <v>#N/A</v>
      </c>
      <c r="BT409" s="230" t="str">
        <f t="shared" si="432"/>
        <v/>
      </c>
    </row>
    <row r="410" spans="1:72" ht="12.5" x14ac:dyDescent="0.25">
      <c r="A410" s="230" t="str">
        <f t="shared" si="433"/>
        <v/>
      </c>
      <c r="B410" s="230" t="str">
        <f t="shared" si="434"/>
        <v/>
      </c>
      <c r="C410" s="296" t="str">
        <f t="shared" si="392"/>
        <v/>
      </c>
      <c r="D410" s="269" t="str">
        <f>IF(B410="","",IF(totals!$Q$3=0,IFERROR(IF(AD410=2,"0",AE410),""),"-"))</f>
        <v/>
      </c>
      <c r="E410" s="271" t="str">
        <f t="shared" si="393"/>
        <v/>
      </c>
      <c r="F410" s="272" t="str">
        <f t="shared" si="394"/>
        <v/>
      </c>
      <c r="G410" s="272" t="str">
        <f t="shared" si="395"/>
        <v/>
      </c>
      <c r="H410" s="269" t="str">
        <f t="shared" si="373"/>
        <v/>
      </c>
      <c r="I410" s="272" t="str">
        <f t="shared" si="396"/>
        <v/>
      </c>
      <c r="J410" s="272" t="str">
        <f t="shared" si="397"/>
        <v/>
      </c>
      <c r="K410" s="269" t="str">
        <f t="shared" si="374"/>
        <v/>
      </c>
      <c r="L410" s="272" t="str">
        <f t="shared" si="375"/>
        <v/>
      </c>
      <c r="M410" s="272" t="str">
        <f t="shared" si="398"/>
        <v/>
      </c>
      <c r="N410" s="269" t="str">
        <f t="shared" si="399"/>
        <v/>
      </c>
      <c r="O410" s="272" t="str">
        <f t="shared" si="400"/>
        <v/>
      </c>
      <c r="P410" s="272" t="str">
        <f t="shared" si="401"/>
        <v/>
      </c>
      <c r="Q410" s="269" t="str">
        <f t="shared" si="402"/>
        <v/>
      </c>
      <c r="R410" s="272" t="str">
        <f t="shared" si="403"/>
        <v/>
      </c>
      <c r="S410" s="272" t="str">
        <f t="shared" si="404"/>
        <v/>
      </c>
      <c r="T410" s="269" t="str">
        <f t="shared" si="405"/>
        <v/>
      </c>
      <c r="U410" s="230"/>
      <c r="V410" s="230"/>
      <c r="AB410" s="230" t="e">
        <f>VLOOKUP($B$6,Lookup_Source,403,0)</f>
        <v>#N/A</v>
      </c>
      <c r="AC410" s="254" t="str">
        <f t="shared" si="406"/>
        <v/>
      </c>
      <c r="AD410" s="255">
        <f t="shared" si="407"/>
        <v>7</v>
      </c>
      <c r="AE410" s="274" t="e">
        <f t="shared" si="376"/>
        <v>#N/A</v>
      </c>
      <c r="AF410" s="277" t="e">
        <f t="shared" si="408"/>
        <v>#N/A</v>
      </c>
      <c r="AG410" s="277" t="e">
        <f t="shared" si="409"/>
        <v>#N/A</v>
      </c>
      <c r="AH410" s="276" t="e">
        <f t="shared" si="377"/>
        <v>#N/A</v>
      </c>
      <c r="AI410" s="239">
        <f t="shared" si="410"/>
        <v>7</v>
      </c>
      <c r="AJ410" s="277" t="e">
        <f t="shared" si="378"/>
        <v>#N/A</v>
      </c>
      <c r="AK410" s="277" t="e">
        <f t="shared" si="411"/>
        <v>#N/A</v>
      </c>
      <c r="AL410" s="239" t="e">
        <f t="shared" si="379"/>
        <v>#N/A</v>
      </c>
      <c r="AM410" s="278" t="e">
        <f t="shared" si="412"/>
        <v>#N/A</v>
      </c>
      <c r="AN410" s="279" t="e">
        <f t="shared" si="380"/>
        <v>#N/A</v>
      </c>
      <c r="AO410" s="240" t="e">
        <f t="shared" si="381"/>
        <v>#N/A</v>
      </c>
      <c r="AP410" s="297">
        <f t="shared" si="413"/>
        <v>7</v>
      </c>
      <c r="AQ410" s="298" t="e">
        <f t="shared" si="382"/>
        <v>#N/A</v>
      </c>
      <c r="AR410" s="279" t="e">
        <f t="shared" si="414"/>
        <v>#N/A</v>
      </c>
      <c r="AS410" s="283" t="e">
        <f t="shared" si="383"/>
        <v>#N/A</v>
      </c>
      <c r="AT410" s="284">
        <f t="shared" si="415"/>
        <v>7</v>
      </c>
      <c r="AU410" s="285" t="e">
        <f t="shared" si="416"/>
        <v>#N/A</v>
      </c>
      <c r="AV410" s="286" t="e">
        <f t="shared" si="417"/>
        <v>#N/A</v>
      </c>
      <c r="AW410" s="287" t="e">
        <f t="shared" si="384"/>
        <v>#N/A</v>
      </c>
      <c r="AX410" s="245">
        <f t="shared" si="418"/>
        <v>7</v>
      </c>
      <c r="AY410" s="286" t="e">
        <f t="shared" si="385"/>
        <v>#N/A</v>
      </c>
      <c r="AZ410" s="245" t="e">
        <f t="shared" si="419"/>
        <v>#N/A</v>
      </c>
      <c r="BA410" s="245" t="e">
        <f t="shared" si="386"/>
        <v>#N/A</v>
      </c>
      <c r="BB410" s="288">
        <f t="shared" si="420"/>
        <v>7</v>
      </c>
      <c r="BC410" s="289" t="e">
        <f t="shared" si="421"/>
        <v>#N/A</v>
      </c>
      <c r="BD410" s="290" t="e">
        <f t="shared" si="422"/>
        <v>#N/A</v>
      </c>
      <c r="BE410" s="263" t="e">
        <f t="shared" si="387"/>
        <v>#N/A</v>
      </c>
      <c r="BF410" s="260">
        <f t="shared" si="423"/>
        <v>7</v>
      </c>
      <c r="BG410" s="289" t="e">
        <f t="shared" si="424"/>
        <v>#N/A</v>
      </c>
      <c r="BH410" s="290" t="e">
        <f t="shared" si="425"/>
        <v>#N/A</v>
      </c>
      <c r="BI410" s="263" t="e">
        <f t="shared" si="388"/>
        <v>#N/A</v>
      </c>
      <c r="BJ410" s="264">
        <f t="shared" si="426"/>
        <v>7</v>
      </c>
      <c r="BK410" s="291" t="e">
        <f t="shared" si="427"/>
        <v>#N/A</v>
      </c>
      <c r="BL410" s="291" t="e">
        <f t="shared" si="428"/>
        <v>#N/A</v>
      </c>
      <c r="BM410" s="292" t="e">
        <f t="shared" si="389"/>
        <v>#N/A</v>
      </c>
      <c r="BN410" s="293">
        <f t="shared" si="429"/>
        <v>7</v>
      </c>
      <c r="BO410" s="294" t="e">
        <f t="shared" si="430"/>
        <v>#N/A</v>
      </c>
      <c r="BP410" s="294" t="e">
        <f t="shared" si="431"/>
        <v>#N/A</v>
      </c>
      <c r="BQ410" s="292" t="e">
        <f t="shared" si="390"/>
        <v>#N/A</v>
      </c>
      <c r="BR410" s="295" t="e">
        <f t="shared" si="391"/>
        <v>#N/A</v>
      </c>
      <c r="BS410" s="230" t="e">
        <f>VLOOKUP($B410,SDR22_STOCK_BY_LA!$A$2:$C$11679,3,0)</f>
        <v>#N/A</v>
      </c>
      <c r="BT410" s="230" t="str">
        <f t="shared" si="432"/>
        <v/>
      </c>
    </row>
    <row r="411" spans="1:72" ht="12.5" x14ac:dyDescent="0.25">
      <c r="A411" s="269" t="str">
        <f t="shared" si="433"/>
        <v/>
      </c>
      <c r="B411" s="230" t="str">
        <f t="shared" si="434"/>
        <v/>
      </c>
      <c r="C411" s="270" t="str">
        <f t="shared" si="392"/>
        <v/>
      </c>
      <c r="D411" s="269" t="str">
        <f>IF(B411="","",IF(totals!$Q$3=0,IFERROR(IF(AD411=2,"0",AE411),""),"-"))</f>
        <v/>
      </c>
      <c r="E411" s="271" t="str">
        <f t="shared" si="393"/>
        <v/>
      </c>
      <c r="F411" s="272" t="str">
        <f t="shared" si="394"/>
        <v/>
      </c>
      <c r="G411" s="272" t="str">
        <f t="shared" si="395"/>
        <v/>
      </c>
      <c r="H411" s="269" t="str">
        <f t="shared" si="373"/>
        <v/>
      </c>
      <c r="I411" s="272" t="str">
        <f t="shared" si="396"/>
        <v/>
      </c>
      <c r="J411" s="272" t="str">
        <f t="shared" si="397"/>
        <v/>
      </c>
      <c r="K411" s="269" t="str">
        <f t="shared" si="374"/>
        <v/>
      </c>
      <c r="L411" s="272" t="str">
        <f t="shared" si="375"/>
        <v/>
      </c>
      <c r="M411" s="272" t="str">
        <f t="shared" si="398"/>
        <v/>
      </c>
      <c r="N411" s="269" t="str">
        <f t="shared" si="399"/>
        <v/>
      </c>
      <c r="O411" s="272" t="str">
        <f t="shared" si="400"/>
        <v/>
      </c>
      <c r="P411" s="272" t="str">
        <f t="shared" si="401"/>
        <v/>
      </c>
      <c r="Q411" s="269" t="str">
        <f t="shared" si="402"/>
        <v/>
      </c>
      <c r="R411" s="272" t="str">
        <f t="shared" si="403"/>
        <v/>
      </c>
      <c r="S411" s="272" t="str">
        <f t="shared" si="404"/>
        <v/>
      </c>
      <c r="T411" s="269" t="str">
        <f t="shared" si="405"/>
        <v/>
      </c>
      <c r="U411" s="230"/>
      <c r="V411" s="230"/>
      <c r="AB411" s="270" t="e">
        <f>VLOOKUP($B$6,Lookup_Source,404,0)</f>
        <v>#N/A</v>
      </c>
      <c r="AC411" s="254" t="str">
        <f t="shared" si="406"/>
        <v/>
      </c>
      <c r="AD411" s="255">
        <f t="shared" si="407"/>
        <v>7</v>
      </c>
      <c r="AE411" s="274" t="e">
        <f t="shared" si="376"/>
        <v>#N/A</v>
      </c>
      <c r="AF411" s="277" t="e">
        <f t="shared" si="408"/>
        <v>#N/A</v>
      </c>
      <c r="AG411" s="277" t="e">
        <f t="shared" si="409"/>
        <v>#N/A</v>
      </c>
      <c r="AH411" s="276" t="e">
        <f t="shared" si="377"/>
        <v>#N/A</v>
      </c>
      <c r="AI411" s="239">
        <f t="shared" si="410"/>
        <v>7</v>
      </c>
      <c r="AJ411" s="277" t="e">
        <f t="shared" si="378"/>
        <v>#N/A</v>
      </c>
      <c r="AK411" s="277" t="e">
        <f t="shared" si="411"/>
        <v>#N/A</v>
      </c>
      <c r="AL411" s="239" t="e">
        <f t="shared" si="379"/>
        <v>#N/A</v>
      </c>
      <c r="AM411" s="278" t="e">
        <f t="shared" si="412"/>
        <v>#N/A</v>
      </c>
      <c r="AN411" s="279" t="e">
        <f t="shared" si="380"/>
        <v>#N/A</v>
      </c>
      <c r="AO411" s="240" t="e">
        <f t="shared" si="381"/>
        <v>#N/A</v>
      </c>
      <c r="AP411" s="297">
        <f t="shared" si="413"/>
        <v>7</v>
      </c>
      <c r="AQ411" s="298" t="e">
        <f t="shared" si="382"/>
        <v>#N/A</v>
      </c>
      <c r="AR411" s="279" t="e">
        <f t="shared" si="414"/>
        <v>#N/A</v>
      </c>
      <c r="AS411" s="283" t="e">
        <f t="shared" si="383"/>
        <v>#N/A</v>
      </c>
      <c r="AT411" s="284">
        <f t="shared" si="415"/>
        <v>7</v>
      </c>
      <c r="AU411" s="285" t="e">
        <f t="shared" si="416"/>
        <v>#N/A</v>
      </c>
      <c r="AV411" s="286" t="e">
        <f t="shared" si="417"/>
        <v>#N/A</v>
      </c>
      <c r="AW411" s="287" t="e">
        <f t="shared" si="384"/>
        <v>#N/A</v>
      </c>
      <c r="AX411" s="245">
        <f t="shared" si="418"/>
        <v>7</v>
      </c>
      <c r="AY411" s="286" t="e">
        <f t="shared" si="385"/>
        <v>#N/A</v>
      </c>
      <c r="AZ411" s="245" t="e">
        <f t="shared" si="419"/>
        <v>#N/A</v>
      </c>
      <c r="BA411" s="245" t="e">
        <f t="shared" si="386"/>
        <v>#N/A</v>
      </c>
      <c r="BB411" s="288">
        <f t="shared" si="420"/>
        <v>7</v>
      </c>
      <c r="BC411" s="289" t="e">
        <f t="shared" si="421"/>
        <v>#N/A</v>
      </c>
      <c r="BD411" s="290" t="e">
        <f t="shared" si="422"/>
        <v>#N/A</v>
      </c>
      <c r="BE411" s="263" t="e">
        <f t="shared" si="387"/>
        <v>#N/A</v>
      </c>
      <c r="BF411" s="260">
        <f t="shared" si="423"/>
        <v>7</v>
      </c>
      <c r="BG411" s="289" t="e">
        <f t="shared" si="424"/>
        <v>#N/A</v>
      </c>
      <c r="BH411" s="290" t="e">
        <f t="shared" si="425"/>
        <v>#N/A</v>
      </c>
      <c r="BI411" s="263" t="e">
        <f t="shared" si="388"/>
        <v>#N/A</v>
      </c>
      <c r="BJ411" s="264">
        <f t="shared" si="426"/>
        <v>7</v>
      </c>
      <c r="BK411" s="291" t="e">
        <f t="shared" si="427"/>
        <v>#N/A</v>
      </c>
      <c r="BL411" s="291" t="e">
        <f t="shared" si="428"/>
        <v>#N/A</v>
      </c>
      <c r="BM411" s="292" t="e">
        <f t="shared" si="389"/>
        <v>#N/A</v>
      </c>
      <c r="BN411" s="293">
        <f t="shared" si="429"/>
        <v>7</v>
      </c>
      <c r="BO411" s="294" t="e">
        <f t="shared" si="430"/>
        <v>#N/A</v>
      </c>
      <c r="BP411" s="294" t="e">
        <f t="shared" si="431"/>
        <v>#N/A</v>
      </c>
      <c r="BQ411" s="292" t="e">
        <f t="shared" si="390"/>
        <v>#N/A</v>
      </c>
      <c r="BR411" s="295" t="e">
        <f t="shared" si="391"/>
        <v>#N/A</v>
      </c>
      <c r="BS411" s="230" t="e">
        <f>VLOOKUP($B411,SDR22_STOCK_BY_LA!$A$2:$C$11679,3,0)</f>
        <v>#N/A</v>
      </c>
      <c r="BT411" s="230" t="str">
        <f t="shared" si="432"/>
        <v/>
      </c>
    </row>
    <row r="412" spans="1:72" ht="12.5" x14ac:dyDescent="0.25">
      <c r="A412" s="230" t="str">
        <f t="shared" si="433"/>
        <v/>
      </c>
      <c r="B412" s="230" t="str">
        <f t="shared" si="434"/>
        <v/>
      </c>
      <c r="C412" s="296" t="str">
        <f t="shared" si="392"/>
        <v/>
      </c>
      <c r="D412" s="269" t="str">
        <f>IF(B412="","",IF(totals!$Q$3=0,IFERROR(IF(AD412=2,"0",AE412),""),"-"))</f>
        <v/>
      </c>
      <c r="E412" s="271" t="str">
        <f t="shared" si="393"/>
        <v/>
      </c>
      <c r="F412" s="272" t="str">
        <f t="shared" si="394"/>
        <v/>
      </c>
      <c r="G412" s="272" t="str">
        <f t="shared" si="395"/>
        <v/>
      </c>
      <c r="H412" s="269" t="str">
        <f t="shared" si="373"/>
        <v/>
      </c>
      <c r="I412" s="272" t="str">
        <f t="shared" si="396"/>
        <v/>
      </c>
      <c r="J412" s="272" t="str">
        <f t="shared" si="397"/>
        <v/>
      </c>
      <c r="K412" s="269" t="str">
        <f t="shared" si="374"/>
        <v/>
      </c>
      <c r="L412" s="272" t="str">
        <f t="shared" si="375"/>
        <v/>
      </c>
      <c r="M412" s="272" t="str">
        <f t="shared" si="398"/>
        <v/>
      </c>
      <c r="N412" s="269" t="str">
        <f t="shared" si="399"/>
        <v/>
      </c>
      <c r="O412" s="272" t="str">
        <f t="shared" si="400"/>
        <v/>
      </c>
      <c r="P412" s="272" t="str">
        <f t="shared" si="401"/>
        <v/>
      </c>
      <c r="Q412" s="269" t="str">
        <f t="shared" si="402"/>
        <v/>
      </c>
      <c r="R412" s="272" t="str">
        <f t="shared" si="403"/>
        <v/>
      </c>
      <c r="S412" s="272" t="str">
        <f t="shared" si="404"/>
        <v/>
      </c>
      <c r="T412" s="269" t="str">
        <f t="shared" si="405"/>
        <v/>
      </c>
      <c r="U412" s="230"/>
      <c r="V412" s="230"/>
      <c r="AB412" s="230" t="e">
        <f>VLOOKUP($B$6,Lookup_Source,405,0)</f>
        <v>#N/A</v>
      </c>
      <c r="AC412" s="254" t="str">
        <f t="shared" si="406"/>
        <v/>
      </c>
      <c r="AD412" s="255">
        <f t="shared" si="407"/>
        <v>7</v>
      </c>
      <c r="AE412" s="274" t="e">
        <f t="shared" si="376"/>
        <v>#N/A</v>
      </c>
      <c r="AF412" s="277" t="e">
        <f t="shared" si="408"/>
        <v>#N/A</v>
      </c>
      <c r="AG412" s="277" t="e">
        <f t="shared" si="409"/>
        <v>#N/A</v>
      </c>
      <c r="AH412" s="276" t="e">
        <f t="shared" si="377"/>
        <v>#N/A</v>
      </c>
      <c r="AI412" s="239">
        <f t="shared" si="410"/>
        <v>7</v>
      </c>
      <c r="AJ412" s="277" t="e">
        <f t="shared" si="378"/>
        <v>#N/A</v>
      </c>
      <c r="AK412" s="277" t="e">
        <f t="shared" si="411"/>
        <v>#N/A</v>
      </c>
      <c r="AL412" s="239" t="e">
        <f t="shared" si="379"/>
        <v>#N/A</v>
      </c>
      <c r="AM412" s="278" t="e">
        <f t="shared" si="412"/>
        <v>#N/A</v>
      </c>
      <c r="AN412" s="279" t="e">
        <f t="shared" si="380"/>
        <v>#N/A</v>
      </c>
      <c r="AO412" s="240" t="e">
        <f t="shared" si="381"/>
        <v>#N/A</v>
      </c>
      <c r="AP412" s="297">
        <f t="shared" si="413"/>
        <v>7</v>
      </c>
      <c r="AQ412" s="298" t="e">
        <f t="shared" si="382"/>
        <v>#N/A</v>
      </c>
      <c r="AR412" s="279" t="e">
        <f t="shared" si="414"/>
        <v>#N/A</v>
      </c>
      <c r="AS412" s="283" t="e">
        <f t="shared" si="383"/>
        <v>#N/A</v>
      </c>
      <c r="AT412" s="284">
        <f t="shared" si="415"/>
        <v>7</v>
      </c>
      <c r="AU412" s="285" t="e">
        <f t="shared" si="416"/>
        <v>#N/A</v>
      </c>
      <c r="AV412" s="286" t="e">
        <f t="shared" si="417"/>
        <v>#N/A</v>
      </c>
      <c r="AW412" s="287" t="e">
        <f t="shared" si="384"/>
        <v>#N/A</v>
      </c>
      <c r="AX412" s="245">
        <f t="shared" si="418"/>
        <v>7</v>
      </c>
      <c r="AY412" s="286" t="e">
        <f t="shared" si="385"/>
        <v>#N/A</v>
      </c>
      <c r="AZ412" s="245" t="e">
        <f t="shared" si="419"/>
        <v>#N/A</v>
      </c>
      <c r="BA412" s="245" t="e">
        <f t="shared" si="386"/>
        <v>#N/A</v>
      </c>
      <c r="BB412" s="288">
        <f t="shared" si="420"/>
        <v>7</v>
      </c>
      <c r="BC412" s="289" t="e">
        <f t="shared" si="421"/>
        <v>#N/A</v>
      </c>
      <c r="BD412" s="290" t="e">
        <f t="shared" si="422"/>
        <v>#N/A</v>
      </c>
      <c r="BE412" s="263" t="e">
        <f t="shared" si="387"/>
        <v>#N/A</v>
      </c>
      <c r="BF412" s="260">
        <f t="shared" si="423"/>
        <v>7</v>
      </c>
      <c r="BG412" s="289" t="e">
        <f t="shared" si="424"/>
        <v>#N/A</v>
      </c>
      <c r="BH412" s="290" t="e">
        <f t="shared" si="425"/>
        <v>#N/A</v>
      </c>
      <c r="BI412" s="263" t="e">
        <f t="shared" si="388"/>
        <v>#N/A</v>
      </c>
      <c r="BJ412" s="264">
        <f t="shared" si="426"/>
        <v>7</v>
      </c>
      <c r="BK412" s="291" t="e">
        <f t="shared" si="427"/>
        <v>#N/A</v>
      </c>
      <c r="BL412" s="291" t="e">
        <f t="shared" si="428"/>
        <v>#N/A</v>
      </c>
      <c r="BM412" s="292" t="e">
        <f t="shared" si="389"/>
        <v>#N/A</v>
      </c>
      <c r="BN412" s="293">
        <f t="shared" si="429"/>
        <v>7</v>
      </c>
      <c r="BO412" s="294" t="e">
        <f t="shared" si="430"/>
        <v>#N/A</v>
      </c>
      <c r="BP412" s="294" t="e">
        <f t="shared" si="431"/>
        <v>#N/A</v>
      </c>
      <c r="BQ412" s="292" t="e">
        <f t="shared" si="390"/>
        <v>#N/A</v>
      </c>
      <c r="BR412" s="295" t="e">
        <f t="shared" si="391"/>
        <v>#N/A</v>
      </c>
      <c r="BS412" s="230" t="e">
        <f>VLOOKUP($B412,SDR22_STOCK_BY_LA!$A$2:$C$11679,3,0)</f>
        <v>#N/A</v>
      </c>
      <c r="BT412" s="230" t="str">
        <f t="shared" si="432"/>
        <v/>
      </c>
    </row>
    <row r="413" spans="1:72" ht="12.5" x14ac:dyDescent="0.25">
      <c r="A413" s="269" t="str">
        <f t="shared" si="433"/>
        <v/>
      </c>
      <c r="B413" s="230" t="str">
        <f t="shared" si="434"/>
        <v/>
      </c>
      <c r="C413" s="270" t="str">
        <f t="shared" si="392"/>
        <v/>
      </c>
      <c r="D413" s="269" t="str">
        <f>IF(B413="","",IF(totals!$Q$3=0,IFERROR(IF(AD413=2,"0",AE413),""),"-"))</f>
        <v/>
      </c>
      <c r="E413" s="271" t="str">
        <f t="shared" si="393"/>
        <v/>
      </c>
      <c r="F413" s="272" t="str">
        <f t="shared" si="394"/>
        <v/>
      </c>
      <c r="G413" s="272" t="str">
        <f t="shared" si="395"/>
        <v/>
      </c>
      <c r="H413" s="269" t="str">
        <f t="shared" si="373"/>
        <v/>
      </c>
      <c r="I413" s="272" t="str">
        <f t="shared" si="396"/>
        <v/>
      </c>
      <c r="J413" s="272" t="str">
        <f t="shared" si="397"/>
        <v/>
      </c>
      <c r="K413" s="269" t="str">
        <f t="shared" si="374"/>
        <v/>
      </c>
      <c r="L413" s="272" t="str">
        <f t="shared" si="375"/>
        <v/>
      </c>
      <c r="M413" s="272" t="str">
        <f t="shared" si="398"/>
        <v/>
      </c>
      <c r="N413" s="269" t="str">
        <f t="shared" si="399"/>
        <v/>
      </c>
      <c r="O413" s="272" t="str">
        <f t="shared" si="400"/>
        <v/>
      </c>
      <c r="P413" s="272" t="str">
        <f t="shared" si="401"/>
        <v/>
      </c>
      <c r="Q413" s="269" t="str">
        <f t="shared" si="402"/>
        <v/>
      </c>
      <c r="R413" s="272" t="str">
        <f t="shared" si="403"/>
        <v/>
      </c>
      <c r="S413" s="272" t="str">
        <f t="shared" si="404"/>
        <v/>
      </c>
      <c r="T413" s="269" t="str">
        <f t="shared" si="405"/>
        <v/>
      </c>
      <c r="U413" s="230"/>
      <c r="V413" s="230"/>
      <c r="AB413" s="270" t="e">
        <f>VLOOKUP($B$6,Lookup_Source,406,0)</f>
        <v>#N/A</v>
      </c>
      <c r="AC413" s="254" t="str">
        <f t="shared" si="406"/>
        <v/>
      </c>
      <c r="AD413" s="255">
        <f t="shared" si="407"/>
        <v>7</v>
      </c>
      <c r="AE413" s="274" t="e">
        <f t="shared" si="376"/>
        <v>#N/A</v>
      </c>
      <c r="AF413" s="277" t="e">
        <f t="shared" si="408"/>
        <v>#N/A</v>
      </c>
      <c r="AG413" s="277" t="e">
        <f t="shared" si="409"/>
        <v>#N/A</v>
      </c>
      <c r="AH413" s="276" t="e">
        <f t="shared" si="377"/>
        <v>#N/A</v>
      </c>
      <c r="AI413" s="239">
        <f t="shared" si="410"/>
        <v>7</v>
      </c>
      <c r="AJ413" s="277" t="e">
        <f t="shared" si="378"/>
        <v>#N/A</v>
      </c>
      <c r="AK413" s="277" t="e">
        <f t="shared" si="411"/>
        <v>#N/A</v>
      </c>
      <c r="AL413" s="239" t="e">
        <f t="shared" si="379"/>
        <v>#N/A</v>
      </c>
      <c r="AM413" s="278" t="e">
        <f t="shared" si="412"/>
        <v>#N/A</v>
      </c>
      <c r="AN413" s="279" t="e">
        <f t="shared" si="380"/>
        <v>#N/A</v>
      </c>
      <c r="AO413" s="240" t="e">
        <f t="shared" si="381"/>
        <v>#N/A</v>
      </c>
      <c r="AP413" s="297">
        <f t="shared" si="413"/>
        <v>7</v>
      </c>
      <c r="AQ413" s="298" t="e">
        <f t="shared" si="382"/>
        <v>#N/A</v>
      </c>
      <c r="AR413" s="279" t="e">
        <f t="shared" si="414"/>
        <v>#N/A</v>
      </c>
      <c r="AS413" s="283" t="e">
        <f t="shared" si="383"/>
        <v>#N/A</v>
      </c>
      <c r="AT413" s="284">
        <f t="shared" si="415"/>
        <v>7</v>
      </c>
      <c r="AU413" s="285" t="e">
        <f t="shared" si="416"/>
        <v>#N/A</v>
      </c>
      <c r="AV413" s="286" t="e">
        <f t="shared" si="417"/>
        <v>#N/A</v>
      </c>
      <c r="AW413" s="287" t="e">
        <f t="shared" si="384"/>
        <v>#N/A</v>
      </c>
      <c r="AX413" s="245">
        <f t="shared" si="418"/>
        <v>7</v>
      </c>
      <c r="AY413" s="286" t="e">
        <f t="shared" si="385"/>
        <v>#N/A</v>
      </c>
      <c r="AZ413" s="245" t="e">
        <f t="shared" si="419"/>
        <v>#N/A</v>
      </c>
      <c r="BA413" s="245" t="e">
        <f t="shared" si="386"/>
        <v>#N/A</v>
      </c>
      <c r="BB413" s="288">
        <f t="shared" si="420"/>
        <v>7</v>
      </c>
      <c r="BC413" s="289" t="e">
        <f t="shared" si="421"/>
        <v>#N/A</v>
      </c>
      <c r="BD413" s="290" t="e">
        <f t="shared" si="422"/>
        <v>#N/A</v>
      </c>
      <c r="BE413" s="263" t="e">
        <f t="shared" si="387"/>
        <v>#N/A</v>
      </c>
      <c r="BF413" s="260">
        <f t="shared" si="423"/>
        <v>7</v>
      </c>
      <c r="BG413" s="289" t="e">
        <f t="shared" si="424"/>
        <v>#N/A</v>
      </c>
      <c r="BH413" s="290" t="e">
        <f t="shared" si="425"/>
        <v>#N/A</v>
      </c>
      <c r="BI413" s="263" t="e">
        <f t="shared" si="388"/>
        <v>#N/A</v>
      </c>
      <c r="BJ413" s="264">
        <f t="shared" si="426"/>
        <v>7</v>
      </c>
      <c r="BK413" s="291" t="e">
        <f t="shared" si="427"/>
        <v>#N/A</v>
      </c>
      <c r="BL413" s="291" t="e">
        <f t="shared" si="428"/>
        <v>#N/A</v>
      </c>
      <c r="BM413" s="292" t="e">
        <f t="shared" si="389"/>
        <v>#N/A</v>
      </c>
      <c r="BN413" s="293">
        <f t="shared" si="429"/>
        <v>7</v>
      </c>
      <c r="BO413" s="294" t="e">
        <f t="shared" si="430"/>
        <v>#N/A</v>
      </c>
      <c r="BP413" s="294" t="e">
        <f t="shared" si="431"/>
        <v>#N/A</v>
      </c>
      <c r="BQ413" s="292" t="e">
        <f t="shared" si="390"/>
        <v>#N/A</v>
      </c>
      <c r="BR413" s="295" t="e">
        <f t="shared" si="391"/>
        <v>#N/A</v>
      </c>
      <c r="BS413" s="230" t="e">
        <f>VLOOKUP($B413,SDR22_STOCK_BY_LA!$A$2:$C$11679,3,0)</f>
        <v>#N/A</v>
      </c>
      <c r="BT413" s="230" t="str">
        <f t="shared" si="432"/>
        <v/>
      </c>
    </row>
    <row r="414" spans="1:72" ht="12.5" x14ac:dyDescent="0.25">
      <c r="A414" s="230" t="str">
        <f t="shared" si="433"/>
        <v/>
      </c>
      <c r="B414" s="230" t="str">
        <f t="shared" si="434"/>
        <v/>
      </c>
      <c r="C414" s="296" t="str">
        <f t="shared" si="392"/>
        <v/>
      </c>
      <c r="D414" s="269" t="str">
        <f>IF(B414="","",IF(totals!$Q$3=0,IFERROR(IF(AD414=2,"0",AE414),""),"-"))</f>
        <v/>
      </c>
      <c r="E414" s="271" t="str">
        <f t="shared" si="393"/>
        <v/>
      </c>
      <c r="F414" s="272" t="str">
        <f t="shared" si="394"/>
        <v/>
      </c>
      <c r="G414" s="272" t="str">
        <f t="shared" si="395"/>
        <v/>
      </c>
      <c r="H414" s="269" t="str">
        <f t="shared" si="373"/>
        <v/>
      </c>
      <c r="I414" s="272" t="str">
        <f t="shared" si="396"/>
        <v/>
      </c>
      <c r="J414" s="272" t="str">
        <f t="shared" si="397"/>
        <v/>
      </c>
      <c r="K414" s="269" t="str">
        <f t="shared" si="374"/>
        <v/>
      </c>
      <c r="L414" s="272" t="str">
        <f t="shared" si="375"/>
        <v/>
      </c>
      <c r="M414" s="272" t="str">
        <f t="shared" si="398"/>
        <v/>
      </c>
      <c r="N414" s="269" t="str">
        <f t="shared" si="399"/>
        <v/>
      </c>
      <c r="O414" s="272" t="str">
        <f t="shared" si="400"/>
        <v/>
      </c>
      <c r="P414" s="272" t="str">
        <f t="shared" si="401"/>
        <v/>
      </c>
      <c r="Q414" s="269" t="str">
        <f t="shared" si="402"/>
        <v/>
      </c>
      <c r="R414" s="272" t="str">
        <f t="shared" si="403"/>
        <v/>
      </c>
      <c r="S414" s="272" t="str">
        <f t="shared" si="404"/>
        <v/>
      </c>
      <c r="T414" s="269" t="str">
        <f t="shared" si="405"/>
        <v/>
      </c>
      <c r="U414" s="230"/>
      <c r="V414" s="230"/>
      <c r="AB414" s="230" t="e">
        <f>VLOOKUP($B$6,Lookup_Source,407,0)</f>
        <v>#N/A</v>
      </c>
      <c r="AC414" s="254" t="str">
        <f t="shared" si="406"/>
        <v/>
      </c>
      <c r="AD414" s="255">
        <f t="shared" si="407"/>
        <v>7</v>
      </c>
      <c r="AE414" s="274" t="e">
        <f t="shared" si="376"/>
        <v>#N/A</v>
      </c>
      <c r="AF414" s="277" t="e">
        <f t="shared" si="408"/>
        <v>#N/A</v>
      </c>
      <c r="AG414" s="277" t="e">
        <f t="shared" si="409"/>
        <v>#N/A</v>
      </c>
      <c r="AH414" s="276" t="e">
        <f t="shared" si="377"/>
        <v>#N/A</v>
      </c>
      <c r="AI414" s="239">
        <f t="shared" si="410"/>
        <v>7</v>
      </c>
      <c r="AJ414" s="277" t="e">
        <f t="shared" si="378"/>
        <v>#N/A</v>
      </c>
      <c r="AK414" s="277" t="e">
        <f t="shared" si="411"/>
        <v>#N/A</v>
      </c>
      <c r="AL414" s="239" t="e">
        <f t="shared" si="379"/>
        <v>#N/A</v>
      </c>
      <c r="AM414" s="278" t="e">
        <f t="shared" si="412"/>
        <v>#N/A</v>
      </c>
      <c r="AN414" s="279" t="e">
        <f t="shared" si="380"/>
        <v>#N/A</v>
      </c>
      <c r="AO414" s="240" t="e">
        <f t="shared" si="381"/>
        <v>#N/A</v>
      </c>
      <c r="AP414" s="297">
        <f t="shared" si="413"/>
        <v>7</v>
      </c>
      <c r="AQ414" s="298" t="e">
        <f t="shared" si="382"/>
        <v>#N/A</v>
      </c>
      <c r="AR414" s="279" t="e">
        <f t="shared" si="414"/>
        <v>#N/A</v>
      </c>
      <c r="AS414" s="283" t="e">
        <f t="shared" si="383"/>
        <v>#N/A</v>
      </c>
      <c r="AT414" s="284">
        <f t="shared" si="415"/>
        <v>7</v>
      </c>
      <c r="AU414" s="285" t="e">
        <f t="shared" si="416"/>
        <v>#N/A</v>
      </c>
      <c r="AV414" s="286" t="e">
        <f t="shared" si="417"/>
        <v>#N/A</v>
      </c>
      <c r="AW414" s="287" t="e">
        <f t="shared" si="384"/>
        <v>#N/A</v>
      </c>
      <c r="AX414" s="245">
        <f t="shared" si="418"/>
        <v>7</v>
      </c>
      <c r="AY414" s="286" t="e">
        <f t="shared" si="385"/>
        <v>#N/A</v>
      </c>
      <c r="AZ414" s="245" t="e">
        <f t="shared" si="419"/>
        <v>#N/A</v>
      </c>
      <c r="BA414" s="245" t="e">
        <f t="shared" si="386"/>
        <v>#N/A</v>
      </c>
      <c r="BB414" s="288">
        <f t="shared" si="420"/>
        <v>7</v>
      </c>
      <c r="BC414" s="289" t="e">
        <f t="shared" si="421"/>
        <v>#N/A</v>
      </c>
      <c r="BD414" s="290" t="e">
        <f t="shared" si="422"/>
        <v>#N/A</v>
      </c>
      <c r="BE414" s="263" t="e">
        <f t="shared" si="387"/>
        <v>#N/A</v>
      </c>
      <c r="BF414" s="260">
        <f t="shared" si="423"/>
        <v>7</v>
      </c>
      <c r="BG414" s="289" t="e">
        <f t="shared" si="424"/>
        <v>#N/A</v>
      </c>
      <c r="BH414" s="290" t="e">
        <f t="shared" si="425"/>
        <v>#N/A</v>
      </c>
      <c r="BI414" s="263" t="e">
        <f t="shared" si="388"/>
        <v>#N/A</v>
      </c>
      <c r="BJ414" s="264">
        <f t="shared" si="426"/>
        <v>7</v>
      </c>
      <c r="BK414" s="291" t="e">
        <f t="shared" si="427"/>
        <v>#N/A</v>
      </c>
      <c r="BL414" s="291" t="e">
        <f t="shared" si="428"/>
        <v>#N/A</v>
      </c>
      <c r="BM414" s="292" t="e">
        <f t="shared" si="389"/>
        <v>#N/A</v>
      </c>
      <c r="BN414" s="293">
        <f t="shared" si="429"/>
        <v>7</v>
      </c>
      <c r="BO414" s="294" t="e">
        <f t="shared" si="430"/>
        <v>#N/A</v>
      </c>
      <c r="BP414" s="294" t="e">
        <f t="shared" si="431"/>
        <v>#N/A</v>
      </c>
      <c r="BQ414" s="292" t="e">
        <f t="shared" si="390"/>
        <v>#N/A</v>
      </c>
      <c r="BR414" s="295" t="e">
        <f t="shared" si="391"/>
        <v>#N/A</v>
      </c>
      <c r="BS414" s="230" t="e">
        <f>VLOOKUP($B414,SDR22_STOCK_BY_LA!$A$2:$C$11679,3,0)</f>
        <v>#N/A</v>
      </c>
      <c r="BT414" s="230" t="str">
        <f t="shared" si="432"/>
        <v/>
      </c>
    </row>
    <row r="415" spans="1:72" ht="12.5" x14ac:dyDescent="0.25">
      <c r="A415" s="269" t="str">
        <f t="shared" si="433"/>
        <v/>
      </c>
      <c r="B415" s="230" t="str">
        <f t="shared" si="434"/>
        <v/>
      </c>
      <c r="C415" s="270" t="str">
        <f t="shared" si="392"/>
        <v/>
      </c>
      <c r="D415" s="269" t="str">
        <f>IF(B415="","",IF(totals!$Q$3=0,IFERROR(IF(AD415=2,"0",AE415),""),"-"))</f>
        <v/>
      </c>
      <c r="E415" s="271" t="str">
        <f t="shared" si="393"/>
        <v/>
      </c>
      <c r="F415" s="272" t="str">
        <f t="shared" si="394"/>
        <v/>
      </c>
      <c r="G415" s="272" t="str">
        <f t="shared" si="395"/>
        <v/>
      </c>
      <c r="H415" s="269" t="str">
        <f t="shared" si="373"/>
        <v/>
      </c>
      <c r="I415" s="272" t="str">
        <f t="shared" si="396"/>
        <v/>
      </c>
      <c r="J415" s="272" t="str">
        <f t="shared" si="397"/>
        <v/>
      </c>
      <c r="K415" s="269" t="str">
        <f t="shared" si="374"/>
        <v/>
      </c>
      <c r="L415" s="272" t="str">
        <f t="shared" si="375"/>
        <v/>
      </c>
      <c r="M415" s="272" t="str">
        <f t="shared" si="398"/>
        <v/>
      </c>
      <c r="N415" s="269" t="str">
        <f t="shared" si="399"/>
        <v/>
      </c>
      <c r="O415" s="272" t="str">
        <f t="shared" si="400"/>
        <v/>
      </c>
      <c r="P415" s="272" t="str">
        <f t="shared" si="401"/>
        <v/>
      </c>
      <c r="Q415" s="269" t="str">
        <f t="shared" si="402"/>
        <v/>
      </c>
      <c r="R415" s="272" t="str">
        <f t="shared" si="403"/>
        <v/>
      </c>
      <c r="S415" s="272" t="str">
        <f t="shared" si="404"/>
        <v/>
      </c>
      <c r="T415" s="269" t="str">
        <f t="shared" si="405"/>
        <v/>
      </c>
      <c r="U415" s="230"/>
      <c r="V415" s="230"/>
      <c r="AB415" s="270" t="e">
        <f>VLOOKUP($B$6,Lookup_Source,408,0)</f>
        <v>#N/A</v>
      </c>
      <c r="AC415" s="254" t="str">
        <f t="shared" si="406"/>
        <v/>
      </c>
      <c r="AD415" s="255">
        <f t="shared" si="407"/>
        <v>7</v>
      </c>
      <c r="AE415" s="274" t="e">
        <f t="shared" si="376"/>
        <v>#N/A</v>
      </c>
      <c r="AF415" s="277" t="e">
        <f t="shared" si="408"/>
        <v>#N/A</v>
      </c>
      <c r="AG415" s="277" t="e">
        <f t="shared" si="409"/>
        <v>#N/A</v>
      </c>
      <c r="AH415" s="276" t="e">
        <f t="shared" si="377"/>
        <v>#N/A</v>
      </c>
      <c r="AI415" s="239">
        <f t="shared" si="410"/>
        <v>7</v>
      </c>
      <c r="AJ415" s="277" t="e">
        <f t="shared" si="378"/>
        <v>#N/A</v>
      </c>
      <c r="AK415" s="277" t="e">
        <f t="shared" si="411"/>
        <v>#N/A</v>
      </c>
      <c r="AL415" s="239" t="e">
        <f t="shared" si="379"/>
        <v>#N/A</v>
      </c>
      <c r="AM415" s="278" t="e">
        <f t="shared" si="412"/>
        <v>#N/A</v>
      </c>
      <c r="AN415" s="279" t="e">
        <f t="shared" si="380"/>
        <v>#N/A</v>
      </c>
      <c r="AO415" s="240" t="e">
        <f t="shared" si="381"/>
        <v>#N/A</v>
      </c>
      <c r="AP415" s="297">
        <f t="shared" si="413"/>
        <v>7</v>
      </c>
      <c r="AQ415" s="298" t="e">
        <f t="shared" si="382"/>
        <v>#N/A</v>
      </c>
      <c r="AR415" s="279" t="e">
        <f t="shared" si="414"/>
        <v>#N/A</v>
      </c>
      <c r="AS415" s="283" t="e">
        <f t="shared" si="383"/>
        <v>#N/A</v>
      </c>
      <c r="AT415" s="284">
        <f t="shared" si="415"/>
        <v>7</v>
      </c>
      <c r="AU415" s="285" t="e">
        <f t="shared" si="416"/>
        <v>#N/A</v>
      </c>
      <c r="AV415" s="286" t="e">
        <f t="shared" si="417"/>
        <v>#N/A</v>
      </c>
      <c r="AW415" s="287" t="e">
        <f t="shared" si="384"/>
        <v>#N/A</v>
      </c>
      <c r="AX415" s="245">
        <f t="shared" si="418"/>
        <v>7</v>
      </c>
      <c r="AY415" s="286" t="e">
        <f t="shared" si="385"/>
        <v>#N/A</v>
      </c>
      <c r="AZ415" s="245" t="e">
        <f t="shared" si="419"/>
        <v>#N/A</v>
      </c>
      <c r="BA415" s="245" t="e">
        <f t="shared" si="386"/>
        <v>#N/A</v>
      </c>
      <c r="BB415" s="288">
        <f t="shared" si="420"/>
        <v>7</v>
      </c>
      <c r="BC415" s="289" t="e">
        <f t="shared" si="421"/>
        <v>#N/A</v>
      </c>
      <c r="BD415" s="290" t="e">
        <f t="shared" si="422"/>
        <v>#N/A</v>
      </c>
      <c r="BE415" s="263" t="e">
        <f t="shared" si="387"/>
        <v>#N/A</v>
      </c>
      <c r="BF415" s="260">
        <f t="shared" si="423"/>
        <v>7</v>
      </c>
      <c r="BG415" s="289" t="e">
        <f t="shared" si="424"/>
        <v>#N/A</v>
      </c>
      <c r="BH415" s="290" t="e">
        <f t="shared" si="425"/>
        <v>#N/A</v>
      </c>
      <c r="BI415" s="263" t="e">
        <f t="shared" si="388"/>
        <v>#N/A</v>
      </c>
      <c r="BJ415" s="264">
        <f t="shared" si="426"/>
        <v>7</v>
      </c>
      <c r="BK415" s="291" t="e">
        <f t="shared" si="427"/>
        <v>#N/A</v>
      </c>
      <c r="BL415" s="291" t="e">
        <f t="shared" si="428"/>
        <v>#N/A</v>
      </c>
      <c r="BM415" s="292" t="e">
        <f t="shared" si="389"/>
        <v>#N/A</v>
      </c>
      <c r="BN415" s="293">
        <f t="shared" si="429"/>
        <v>7</v>
      </c>
      <c r="BO415" s="294" t="e">
        <f t="shared" si="430"/>
        <v>#N/A</v>
      </c>
      <c r="BP415" s="294" t="e">
        <f t="shared" si="431"/>
        <v>#N/A</v>
      </c>
      <c r="BQ415" s="292" t="e">
        <f t="shared" si="390"/>
        <v>#N/A</v>
      </c>
      <c r="BR415" s="295" t="e">
        <f t="shared" si="391"/>
        <v>#N/A</v>
      </c>
      <c r="BS415" s="230" t="e">
        <f>VLOOKUP($B415,SDR22_STOCK_BY_LA!$A$2:$C$11679,3,0)</f>
        <v>#N/A</v>
      </c>
      <c r="BT415" s="230" t="str">
        <f t="shared" si="432"/>
        <v/>
      </c>
    </row>
    <row r="416" spans="1:72" ht="12.5" x14ac:dyDescent="0.25">
      <c r="A416" s="230" t="str">
        <f t="shared" si="433"/>
        <v/>
      </c>
      <c r="B416" s="230" t="str">
        <f t="shared" si="434"/>
        <v/>
      </c>
      <c r="C416" s="296" t="str">
        <f t="shared" si="392"/>
        <v/>
      </c>
      <c r="D416" s="269" t="str">
        <f>IF(B416="","",IF(totals!$Q$3=0,IFERROR(IF(AD416=2,"0",AE416),""),"-"))</f>
        <v/>
      </c>
      <c r="E416" s="271" t="str">
        <f t="shared" si="393"/>
        <v/>
      </c>
      <c r="F416" s="272" t="str">
        <f t="shared" si="394"/>
        <v/>
      </c>
      <c r="G416" s="272" t="str">
        <f t="shared" si="395"/>
        <v/>
      </c>
      <c r="H416" s="269" t="str">
        <f t="shared" si="373"/>
        <v/>
      </c>
      <c r="I416" s="272" t="str">
        <f t="shared" si="396"/>
        <v/>
      </c>
      <c r="J416" s="272" t="str">
        <f t="shared" si="397"/>
        <v/>
      </c>
      <c r="K416" s="269" t="str">
        <f t="shared" si="374"/>
        <v/>
      </c>
      <c r="L416" s="272" t="str">
        <f t="shared" si="375"/>
        <v/>
      </c>
      <c r="M416" s="272" t="str">
        <f t="shared" si="398"/>
        <v/>
      </c>
      <c r="N416" s="269" t="str">
        <f t="shared" si="399"/>
        <v/>
      </c>
      <c r="O416" s="272" t="str">
        <f t="shared" si="400"/>
        <v/>
      </c>
      <c r="P416" s="272" t="str">
        <f t="shared" si="401"/>
        <v/>
      </c>
      <c r="Q416" s="269" t="str">
        <f t="shared" si="402"/>
        <v/>
      </c>
      <c r="R416" s="272" t="str">
        <f t="shared" si="403"/>
        <v/>
      </c>
      <c r="S416" s="272" t="str">
        <f t="shared" si="404"/>
        <v/>
      </c>
      <c r="T416" s="269" t="str">
        <f t="shared" si="405"/>
        <v/>
      </c>
      <c r="U416" s="230"/>
      <c r="V416" s="230"/>
      <c r="AB416" s="230" t="e">
        <f>VLOOKUP($B$6,Lookup_Source,409,0)</f>
        <v>#N/A</v>
      </c>
      <c r="AC416" s="254" t="str">
        <f t="shared" si="406"/>
        <v/>
      </c>
      <c r="AD416" s="255">
        <f t="shared" si="407"/>
        <v>7</v>
      </c>
      <c r="AE416" s="274" t="e">
        <f t="shared" si="376"/>
        <v>#N/A</v>
      </c>
      <c r="AF416" s="277" t="e">
        <f t="shared" si="408"/>
        <v>#N/A</v>
      </c>
      <c r="AG416" s="277" t="e">
        <f t="shared" si="409"/>
        <v>#N/A</v>
      </c>
      <c r="AH416" s="276" t="e">
        <f t="shared" si="377"/>
        <v>#N/A</v>
      </c>
      <c r="AI416" s="239">
        <f t="shared" si="410"/>
        <v>7</v>
      </c>
      <c r="AJ416" s="277" t="e">
        <f t="shared" si="378"/>
        <v>#N/A</v>
      </c>
      <c r="AK416" s="277" t="e">
        <f t="shared" si="411"/>
        <v>#N/A</v>
      </c>
      <c r="AL416" s="239" t="e">
        <f t="shared" si="379"/>
        <v>#N/A</v>
      </c>
      <c r="AM416" s="278" t="e">
        <f t="shared" si="412"/>
        <v>#N/A</v>
      </c>
      <c r="AN416" s="279" t="e">
        <f t="shared" si="380"/>
        <v>#N/A</v>
      </c>
      <c r="AO416" s="240" t="e">
        <f t="shared" si="381"/>
        <v>#N/A</v>
      </c>
      <c r="AP416" s="297">
        <f t="shared" si="413"/>
        <v>7</v>
      </c>
      <c r="AQ416" s="298" t="e">
        <f t="shared" si="382"/>
        <v>#N/A</v>
      </c>
      <c r="AR416" s="279" t="e">
        <f t="shared" si="414"/>
        <v>#N/A</v>
      </c>
      <c r="AS416" s="283" t="e">
        <f t="shared" si="383"/>
        <v>#N/A</v>
      </c>
      <c r="AT416" s="284">
        <f t="shared" si="415"/>
        <v>7</v>
      </c>
      <c r="AU416" s="285" t="e">
        <f t="shared" si="416"/>
        <v>#N/A</v>
      </c>
      <c r="AV416" s="286" t="e">
        <f t="shared" si="417"/>
        <v>#N/A</v>
      </c>
      <c r="AW416" s="287" t="e">
        <f t="shared" si="384"/>
        <v>#N/A</v>
      </c>
      <c r="AX416" s="245">
        <f t="shared" si="418"/>
        <v>7</v>
      </c>
      <c r="AY416" s="286" t="e">
        <f t="shared" si="385"/>
        <v>#N/A</v>
      </c>
      <c r="AZ416" s="245" t="e">
        <f t="shared" si="419"/>
        <v>#N/A</v>
      </c>
      <c r="BA416" s="245" t="e">
        <f t="shared" si="386"/>
        <v>#N/A</v>
      </c>
      <c r="BB416" s="288">
        <f t="shared" si="420"/>
        <v>7</v>
      </c>
      <c r="BC416" s="289" t="e">
        <f t="shared" si="421"/>
        <v>#N/A</v>
      </c>
      <c r="BD416" s="290" t="e">
        <f t="shared" si="422"/>
        <v>#N/A</v>
      </c>
      <c r="BE416" s="263" t="e">
        <f t="shared" si="387"/>
        <v>#N/A</v>
      </c>
      <c r="BF416" s="260">
        <f t="shared" si="423"/>
        <v>7</v>
      </c>
      <c r="BG416" s="289" t="e">
        <f t="shared" si="424"/>
        <v>#N/A</v>
      </c>
      <c r="BH416" s="290" t="e">
        <f t="shared" si="425"/>
        <v>#N/A</v>
      </c>
      <c r="BI416" s="263" t="e">
        <f t="shared" si="388"/>
        <v>#N/A</v>
      </c>
      <c r="BJ416" s="264">
        <f t="shared" si="426"/>
        <v>7</v>
      </c>
      <c r="BK416" s="291" t="e">
        <f t="shared" si="427"/>
        <v>#N/A</v>
      </c>
      <c r="BL416" s="291" t="e">
        <f t="shared" si="428"/>
        <v>#N/A</v>
      </c>
      <c r="BM416" s="292" t="e">
        <f t="shared" si="389"/>
        <v>#N/A</v>
      </c>
      <c r="BN416" s="293">
        <f t="shared" si="429"/>
        <v>7</v>
      </c>
      <c r="BO416" s="294" t="e">
        <f t="shared" si="430"/>
        <v>#N/A</v>
      </c>
      <c r="BP416" s="294" t="e">
        <f t="shared" si="431"/>
        <v>#N/A</v>
      </c>
      <c r="BQ416" s="292" t="e">
        <f t="shared" si="390"/>
        <v>#N/A</v>
      </c>
      <c r="BR416" s="295" t="e">
        <f t="shared" si="391"/>
        <v>#N/A</v>
      </c>
      <c r="BS416" s="230" t="e">
        <f>VLOOKUP($B416,SDR22_STOCK_BY_LA!$A$2:$C$11679,3,0)</f>
        <v>#N/A</v>
      </c>
      <c r="BT416" s="230" t="str">
        <f t="shared" si="432"/>
        <v/>
      </c>
    </row>
    <row r="417" spans="1:72" ht="12.5" x14ac:dyDescent="0.25">
      <c r="A417" s="269" t="str">
        <f t="shared" si="433"/>
        <v/>
      </c>
      <c r="B417" s="230" t="str">
        <f t="shared" si="434"/>
        <v/>
      </c>
      <c r="C417" s="270" t="str">
        <f t="shared" si="392"/>
        <v/>
      </c>
      <c r="D417" s="269" t="str">
        <f>IF(B417="","",IF(totals!$Q$3=0,IFERROR(IF(AD417=2,"0",AE417),""),"-"))</f>
        <v/>
      </c>
      <c r="E417" s="271" t="str">
        <f t="shared" si="393"/>
        <v/>
      </c>
      <c r="F417" s="272" t="str">
        <f t="shared" si="394"/>
        <v/>
      </c>
      <c r="G417" s="272" t="str">
        <f t="shared" si="395"/>
        <v/>
      </c>
      <c r="H417" s="269" t="str">
        <f t="shared" si="373"/>
        <v/>
      </c>
      <c r="I417" s="272" t="str">
        <f t="shared" si="396"/>
        <v/>
      </c>
      <c r="J417" s="272" t="str">
        <f t="shared" si="397"/>
        <v/>
      </c>
      <c r="K417" s="269" t="str">
        <f t="shared" si="374"/>
        <v/>
      </c>
      <c r="L417" s="272" t="str">
        <f t="shared" si="375"/>
        <v/>
      </c>
      <c r="M417" s="272" t="str">
        <f t="shared" si="398"/>
        <v/>
      </c>
      <c r="N417" s="269" t="str">
        <f t="shared" si="399"/>
        <v/>
      </c>
      <c r="O417" s="272" t="str">
        <f t="shared" si="400"/>
        <v/>
      </c>
      <c r="P417" s="272" t="str">
        <f t="shared" si="401"/>
        <v/>
      </c>
      <c r="Q417" s="269" t="str">
        <f t="shared" si="402"/>
        <v/>
      </c>
      <c r="R417" s="272" t="str">
        <f t="shared" si="403"/>
        <v/>
      </c>
      <c r="S417" s="272" t="str">
        <f t="shared" si="404"/>
        <v/>
      </c>
      <c r="T417" s="269" t="str">
        <f t="shared" si="405"/>
        <v/>
      </c>
      <c r="U417" s="230"/>
      <c r="V417" s="230"/>
      <c r="AB417" s="270" t="e">
        <f>VLOOKUP($B$6,Lookup_Source,410,0)</f>
        <v>#N/A</v>
      </c>
      <c r="AC417" s="254" t="str">
        <f t="shared" si="406"/>
        <v/>
      </c>
      <c r="AD417" s="255">
        <f t="shared" si="407"/>
        <v>7</v>
      </c>
      <c r="AE417" s="274" t="e">
        <f t="shared" si="376"/>
        <v>#N/A</v>
      </c>
      <c r="AF417" s="277" t="e">
        <f t="shared" si="408"/>
        <v>#N/A</v>
      </c>
      <c r="AG417" s="277" t="e">
        <f t="shared" si="409"/>
        <v>#N/A</v>
      </c>
      <c r="AH417" s="276" t="e">
        <f t="shared" si="377"/>
        <v>#N/A</v>
      </c>
      <c r="AI417" s="239">
        <f t="shared" si="410"/>
        <v>7</v>
      </c>
      <c r="AJ417" s="277" t="e">
        <f t="shared" si="378"/>
        <v>#N/A</v>
      </c>
      <c r="AK417" s="277" t="e">
        <f t="shared" si="411"/>
        <v>#N/A</v>
      </c>
      <c r="AL417" s="239" t="e">
        <f t="shared" si="379"/>
        <v>#N/A</v>
      </c>
      <c r="AM417" s="278" t="e">
        <f t="shared" si="412"/>
        <v>#N/A</v>
      </c>
      <c r="AN417" s="279" t="e">
        <f t="shared" si="380"/>
        <v>#N/A</v>
      </c>
      <c r="AO417" s="240" t="e">
        <f t="shared" si="381"/>
        <v>#N/A</v>
      </c>
      <c r="AP417" s="297">
        <f t="shared" si="413"/>
        <v>7</v>
      </c>
      <c r="AQ417" s="298" t="e">
        <f t="shared" si="382"/>
        <v>#N/A</v>
      </c>
      <c r="AR417" s="279" t="e">
        <f t="shared" si="414"/>
        <v>#N/A</v>
      </c>
      <c r="AS417" s="283" t="e">
        <f t="shared" si="383"/>
        <v>#N/A</v>
      </c>
      <c r="AT417" s="284">
        <f t="shared" si="415"/>
        <v>7</v>
      </c>
      <c r="AU417" s="285" t="e">
        <f t="shared" si="416"/>
        <v>#N/A</v>
      </c>
      <c r="AV417" s="286" t="e">
        <f t="shared" si="417"/>
        <v>#N/A</v>
      </c>
      <c r="AW417" s="287" t="e">
        <f t="shared" si="384"/>
        <v>#N/A</v>
      </c>
      <c r="AX417" s="245">
        <f t="shared" si="418"/>
        <v>7</v>
      </c>
      <c r="AY417" s="286" t="e">
        <f t="shared" si="385"/>
        <v>#N/A</v>
      </c>
      <c r="AZ417" s="245" t="e">
        <f t="shared" si="419"/>
        <v>#N/A</v>
      </c>
      <c r="BA417" s="245" t="e">
        <f t="shared" si="386"/>
        <v>#N/A</v>
      </c>
      <c r="BB417" s="288">
        <f t="shared" si="420"/>
        <v>7</v>
      </c>
      <c r="BC417" s="289" t="e">
        <f t="shared" si="421"/>
        <v>#N/A</v>
      </c>
      <c r="BD417" s="290" t="e">
        <f t="shared" si="422"/>
        <v>#N/A</v>
      </c>
      <c r="BE417" s="263" t="e">
        <f t="shared" si="387"/>
        <v>#N/A</v>
      </c>
      <c r="BF417" s="260">
        <f t="shared" si="423"/>
        <v>7</v>
      </c>
      <c r="BG417" s="289" t="e">
        <f t="shared" si="424"/>
        <v>#N/A</v>
      </c>
      <c r="BH417" s="290" t="e">
        <f t="shared" si="425"/>
        <v>#N/A</v>
      </c>
      <c r="BI417" s="263" t="e">
        <f t="shared" si="388"/>
        <v>#N/A</v>
      </c>
      <c r="BJ417" s="264">
        <f t="shared" si="426"/>
        <v>7</v>
      </c>
      <c r="BK417" s="291" t="e">
        <f t="shared" si="427"/>
        <v>#N/A</v>
      </c>
      <c r="BL417" s="291" t="e">
        <f t="shared" si="428"/>
        <v>#N/A</v>
      </c>
      <c r="BM417" s="292" t="e">
        <f t="shared" si="389"/>
        <v>#N/A</v>
      </c>
      <c r="BN417" s="293">
        <f t="shared" si="429"/>
        <v>7</v>
      </c>
      <c r="BO417" s="294" t="e">
        <f t="shared" si="430"/>
        <v>#N/A</v>
      </c>
      <c r="BP417" s="294" t="e">
        <f t="shared" si="431"/>
        <v>#N/A</v>
      </c>
      <c r="BQ417" s="292" t="e">
        <f t="shared" si="390"/>
        <v>#N/A</v>
      </c>
      <c r="BR417" s="295" t="e">
        <f t="shared" si="391"/>
        <v>#N/A</v>
      </c>
      <c r="BS417" s="230" t="e">
        <f>VLOOKUP($B417,SDR22_STOCK_BY_LA!$A$2:$C$11679,3,0)</f>
        <v>#N/A</v>
      </c>
      <c r="BT417" s="230" t="str">
        <f t="shared" si="432"/>
        <v/>
      </c>
    </row>
    <row r="418" spans="1:72" ht="12.5" x14ac:dyDescent="0.25">
      <c r="A418" s="230" t="str">
        <f t="shared" si="433"/>
        <v/>
      </c>
      <c r="B418" s="230" t="str">
        <f t="shared" si="434"/>
        <v/>
      </c>
      <c r="C418" s="296" t="str">
        <f t="shared" si="392"/>
        <v/>
      </c>
      <c r="D418" s="269" t="str">
        <f>IF(B418="","",IF(totals!$Q$3=0,IFERROR(IF(AD418=2,"0",AE418),""),"-"))</f>
        <v/>
      </c>
      <c r="E418" s="271" t="str">
        <f t="shared" si="393"/>
        <v/>
      </c>
      <c r="F418" s="272" t="str">
        <f t="shared" si="394"/>
        <v/>
      </c>
      <c r="G418" s="272" t="str">
        <f t="shared" si="395"/>
        <v/>
      </c>
      <c r="H418" s="269" t="str">
        <f t="shared" si="373"/>
        <v/>
      </c>
      <c r="I418" s="272" t="str">
        <f t="shared" si="396"/>
        <v/>
      </c>
      <c r="J418" s="272" t="str">
        <f t="shared" si="397"/>
        <v/>
      </c>
      <c r="K418" s="269" t="str">
        <f t="shared" si="374"/>
        <v/>
      </c>
      <c r="L418" s="272" t="str">
        <f t="shared" si="375"/>
        <v/>
      </c>
      <c r="M418" s="272" t="str">
        <f t="shared" si="398"/>
        <v/>
      </c>
      <c r="N418" s="269" t="str">
        <f t="shared" si="399"/>
        <v/>
      </c>
      <c r="O418" s="272" t="str">
        <f t="shared" si="400"/>
        <v/>
      </c>
      <c r="P418" s="272" t="str">
        <f t="shared" si="401"/>
        <v/>
      </c>
      <c r="Q418" s="269" t="str">
        <f t="shared" si="402"/>
        <v/>
      </c>
      <c r="R418" s="272" t="str">
        <f t="shared" si="403"/>
        <v/>
      </c>
      <c r="S418" s="272" t="str">
        <f t="shared" si="404"/>
        <v/>
      </c>
      <c r="T418" s="269" t="str">
        <f t="shared" si="405"/>
        <v/>
      </c>
      <c r="U418" s="230"/>
      <c r="V418" s="230"/>
      <c r="AB418" s="230" t="e">
        <f>VLOOKUP($B$6,Lookup_Source,411,0)</f>
        <v>#N/A</v>
      </c>
      <c r="AC418" s="254" t="str">
        <f t="shared" si="406"/>
        <v/>
      </c>
      <c r="AD418" s="255">
        <f t="shared" si="407"/>
        <v>7</v>
      </c>
      <c r="AE418" s="274" t="e">
        <f t="shared" si="376"/>
        <v>#N/A</v>
      </c>
      <c r="AF418" s="277" t="e">
        <f t="shared" si="408"/>
        <v>#N/A</v>
      </c>
      <c r="AG418" s="277" t="e">
        <f t="shared" si="409"/>
        <v>#N/A</v>
      </c>
      <c r="AH418" s="276" t="e">
        <f t="shared" si="377"/>
        <v>#N/A</v>
      </c>
      <c r="AI418" s="239">
        <f t="shared" si="410"/>
        <v>7</v>
      </c>
      <c r="AJ418" s="277" t="e">
        <f t="shared" si="378"/>
        <v>#N/A</v>
      </c>
      <c r="AK418" s="277" t="e">
        <f t="shared" si="411"/>
        <v>#N/A</v>
      </c>
      <c r="AL418" s="239" t="e">
        <f t="shared" si="379"/>
        <v>#N/A</v>
      </c>
      <c r="AM418" s="278" t="e">
        <f t="shared" si="412"/>
        <v>#N/A</v>
      </c>
      <c r="AN418" s="279" t="e">
        <f t="shared" si="380"/>
        <v>#N/A</v>
      </c>
      <c r="AO418" s="240" t="e">
        <f t="shared" si="381"/>
        <v>#N/A</v>
      </c>
      <c r="AP418" s="297">
        <f t="shared" si="413"/>
        <v>7</v>
      </c>
      <c r="AQ418" s="298" t="e">
        <f t="shared" si="382"/>
        <v>#N/A</v>
      </c>
      <c r="AR418" s="279" t="e">
        <f t="shared" si="414"/>
        <v>#N/A</v>
      </c>
      <c r="AS418" s="283" t="e">
        <f t="shared" si="383"/>
        <v>#N/A</v>
      </c>
      <c r="AT418" s="284">
        <f t="shared" si="415"/>
        <v>7</v>
      </c>
      <c r="AU418" s="285" t="e">
        <f t="shared" si="416"/>
        <v>#N/A</v>
      </c>
      <c r="AV418" s="286" t="e">
        <f t="shared" si="417"/>
        <v>#N/A</v>
      </c>
      <c r="AW418" s="287" t="e">
        <f t="shared" si="384"/>
        <v>#N/A</v>
      </c>
      <c r="AX418" s="245">
        <f t="shared" si="418"/>
        <v>7</v>
      </c>
      <c r="AY418" s="286" t="e">
        <f t="shared" si="385"/>
        <v>#N/A</v>
      </c>
      <c r="AZ418" s="245" t="e">
        <f t="shared" si="419"/>
        <v>#N/A</v>
      </c>
      <c r="BA418" s="245" t="e">
        <f t="shared" si="386"/>
        <v>#N/A</v>
      </c>
      <c r="BB418" s="288">
        <f t="shared" si="420"/>
        <v>7</v>
      </c>
      <c r="BC418" s="289" t="e">
        <f t="shared" si="421"/>
        <v>#N/A</v>
      </c>
      <c r="BD418" s="290" t="e">
        <f t="shared" si="422"/>
        <v>#N/A</v>
      </c>
      <c r="BE418" s="263" t="e">
        <f t="shared" si="387"/>
        <v>#N/A</v>
      </c>
      <c r="BF418" s="260">
        <f t="shared" si="423"/>
        <v>7</v>
      </c>
      <c r="BG418" s="289" t="e">
        <f t="shared" si="424"/>
        <v>#N/A</v>
      </c>
      <c r="BH418" s="290" t="e">
        <f t="shared" si="425"/>
        <v>#N/A</v>
      </c>
      <c r="BI418" s="263" t="e">
        <f t="shared" si="388"/>
        <v>#N/A</v>
      </c>
      <c r="BJ418" s="264">
        <f t="shared" si="426"/>
        <v>7</v>
      </c>
      <c r="BK418" s="291" t="e">
        <f t="shared" si="427"/>
        <v>#N/A</v>
      </c>
      <c r="BL418" s="291" t="e">
        <f t="shared" si="428"/>
        <v>#N/A</v>
      </c>
      <c r="BM418" s="292" t="e">
        <f t="shared" si="389"/>
        <v>#N/A</v>
      </c>
      <c r="BN418" s="293">
        <f t="shared" si="429"/>
        <v>7</v>
      </c>
      <c r="BO418" s="294" t="e">
        <f t="shared" si="430"/>
        <v>#N/A</v>
      </c>
      <c r="BP418" s="294" t="e">
        <f t="shared" si="431"/>
        <v>#N/A</v>
      </c>
      <c r="BQ418" s="292" t="e">
        <f t="shared" si="390"/>
        <v>#N/A</v>
      </c>
      <c r="BR418" s="295" t="e">
        <f t="shared" si="391"/>
        <v>#N/A</v>
      </c>
      <c r="BS418" s="230" t="e">
        <f>VLOOKUP($B418,SDR22_STOCK_BY_LA!$A$2:$C$11679,3,0)</f>
        <v>#N/A</v>
      </c>
      <c r="BT418" s="230" t="str">
        <f t="shared" si="432"/>
        <v/>
      </c>
    </row>
    <row r="419" spans="1:72" ht="12.5" x14ac:dyDescent="0.25">
      <c r="A419" s="269" t="str">
        <f t="shared" si="433"/>
        <v/>
      </c>
      <c r="B419" s="230" t="str">
        <f t="shared" si="434"/>
        <v/>
      </c>
      <c r="C419" s="270" t="str">
        <f t="shared" si="392"/>
        <v/>
      </c>
      <c r="D419" s="269" t="str">
        <f>IF(B419="","",IF(totals!$Q$3=0,IFERROR(IF(AD419=2,"0",AE419),""),"-"))</f>
        <v/>
      </c>
      <c r="E419" s="271" t="str">
        <f t="shared" si="393"/>
        <v/>
      </c>
      <c r="F419" s="272" t="str">
        <f t="shared" si="394"/>
        <v/>
      </c>
      <c r="G419" s="272" t="str">
        <f t="shared" si="395"/>
        <v/>
      </c>
      <c r="H419" s="269" t="str">
        <f t="shared" si="373"/>
        <v/>
      </c>
      <c r="I419" s="272" t="str">
        <f t="shared" si="396"/>
        <v/>
      </c>
      <c r="J419" s="272" t="str">
        <f t="shared" si="397"/>
        <v/>
      </c>
      <c r="K419" s="269" t="str">
        <f t="shared" si="374"/>
        <v/>
      </c>
      <c r="L419" s="272" t="str">
        <f t="shared" si="375"/>
        <v/>
      </c>
      <c r="M419" s="272" t="str">
        <f t="shared" si="398"/>
        <v/>
      </c>
      <c r="N419" s="269" t="str">
        <f t="shared" si="399"/>
        <v/>
      </c>
      <c r="O419" s="272" t="str">
        <f t="shared" si="400"/>
        <v/>
      </c>
      <c r="P419" s="272" t="str">
        <f t="shared" si="401"/>
        <v/>
      </c>
      <c r="Q419" s="269" t="str">
        <f t="shared" si="402"/>
        <v/>
      </c>
      <c r="R419" s="272" t="str">
        <f t="shared" si="403"/>
        <v/>
      </c>
      <c r="S419" s="272" t="str">
        <f t="shared" si="404"/>
        <v/>
      </c>
      <c r="T419" s="269" t="str">
        <f t="shared" si="405"/>
        <v/>
      </c>
      <c r="U419" s="230"/>
      <c r="V419" s="230"/>
      <c r="AB419" s="270" t="e">
        <f>VLOOKUP($B$6,Lookup_Source,412,0)</f>
        <v>#N/A</v>
      </c>
      <c r="AC419" s="254" t="str">
        <f t="shared" si="406"/>
        <v/>
      </c>
      <c r="AD419" s="255">
        <f t="shared" si="407"/>
        <v>7</v>
      </c>
      <c r="AE419" s="274" t="e">
        <f t="shared" si="376"/>
        <v>#N/A</v>
      </c>
      <c r="AF419" s="277" t="e">
        <f t="shared" si="408"/>
        <v>#N/A</v>
      </c>
      <c r="AG419" s="277" t="e">
        <f t="shared" si="409"/>
        <v>#N/A</v>
      </c>
      <c r="AH419" s="276" t="e">
        <f t="shared" si="377"/>
        <v>#N/A</v>
      </c>
      <c r="AI419" s="239">
        <f t="shared" si="410"/>
        <v>7</v>
      </c>
      <c r="AJ419" s="277" t="e">
        <f t="shared" si="378"/>
        <v>#N/A</v>
      </c>
      <c r="AK419" s="277" t="e">
        <f t="shared" si="411"/>
        <v>#N/A</v>
      </c>
      <c r="AL419" s="239" t="e">
        <f t="shared" si="379"/>
        <v>#N/A</v>
      </c>
      <c r="AM419" s="278" t="e">
        <f t="shared" si="412"/>
        <v>#N/A</v>
      </c>
      <c r="AN419" s="279" t="e">
        <f t="shared" si="380"/>
        <v>#N/A</v>
      </c>
      <c r="AO419" s="240" t="e">
        <f t="shared" si="381"/>
        <v>#N/A</v>
      </c>
      <c r="AP419" s="297">
        <f t="shared" si="413"/>
        <v>7</v>
      </c>
      <c r="AQ419" s="298" t="e">
        <f t="shared" si="382"/>
        <v>#N/A</v>
      </c>
      <c r="AR419" s="279" t="e">
        <f t="shared" si="414"/>
        <v>#N/A</v>
      </c>
      <c r="AS419" s="283" t="e">
        <f t="shared" si="383"/>
        <v>#N/A</v>
      </c>
      <c r="AT419" s="284">
        <f t="shared" si="415"/>
        <v>7</v>
      </c>
      <c r="AU419" s="285" t="e">
        <f t="shared" si="416"/>
        <v>#N/A</v>
      </c>
      <c r="AV419" s="286" t="e">
        <f t="shared" si="417"/>
        <v>#N/A</v>
      </c>
      <c r="AW419" s="287" t="e">
        <f t="shared" si="384"/>
        <v>#N/A</v>
      </c>
      <c r="AX419" s="245">
        <f t="shared" si="418"/>
        <v>7</v>
      </c>
      <c r="AY419" s="286" t="e">
        <f t="shared" si="385"/>
        <v>#N/A</v>
      </c>
      <c r="AZ419" s="245" t="e">
        <f t="shared" si="419"/>
        <v>#N/A</v>
      </c>
      <c r="BA419" s="245" t="e">
        <f t="shared" si="386"/>
        <v>#N/A</v>
      </c>
      <c r="BB419" s="288">
        <f t="shared" si="420"/>
        <v>7</v>
      </c>
      <c r="BC419" s="289" t="e">
        <f t="shared" si="421"/>
        <v>#N/A</v>
      </c>
      <c r="BD419" s="290" t="e">
        <f t="shared" si="422"/>
        <v>#N/A</v>
      </c>
      <c r="BE419" s="263" t="e">
        <f t="shared" si="387"/>
        <v>#N/A</v>
      </c>
      <c r="BF419" s="260">
        <f t="shared" si="423"/>
        <v>7</v>
      </c>
      <c r="BG419" s="289" t="e">
        <f t="shared" si="424"/>
        <v>#N/A</v>
      </c>
      <c r="BH419" s="290" t="e">
        <f t="shared" si="425"/>
        <v>#N/A</v>
      </c>
      <c r="BI419" s="263" t="e">
        <f t="shared" si="388"/>
        <v>#N/A</v>
      </c>
      <c r="BJ419" s="264">
        <f t="shared" si="426"/>
        <v>7</v>
      </c>
      <c r="BK419" s="291" t="e">
        <f t="shared" si="427"/>
        <v>#N/A</v>
      </c>
      <c r="BL419" s="291" t="e">
        <f t="shared" si="428"/>
        <v>#N/A</v>
      </c>
      <c r="BM419" s="292" t="e">
        <f t="shared" si="389"/>
        <v>#N/A</v>
      </c>
      <c r="BN419" s="293">
        <f t="shared" si="429"/>
        <v>7</v>
      </c>
      <c r="BO419" s="294" t="e">
        <f t="shared" si="430"/>
        <v>#N/A</v>
      </c>
      <c r="BP419" s="294" t="e">
        <f t="shared" si="431"/>
        <v>#N/A</v>
      </c>
      <c r="BQ419" s="292" t="e">
        <f t="shared" si="390"/>
        <v>#N/A</v>
      </c>
      <c r="BR419" s="295" t="e">
        <f t="shared" si="391"/>
        <v>#N/A</v>
      </c>
      <c r="BS419" s="230" t="e">
        <f>VLOOKUP($B419,SDR22_STOCK_BY_LA!$A$2:$C$11679,3,0)</f>
        <v>#N/A</v>
      </c>
      <c r="BT419" s="230" t="str">
        <f t="shared" si="432"/>
        <v/>
      </c>
    </row>
    <row r="420" spans="1:72" ht="12.5" x14ac:dyDescent="0.25">
      <c r="A420" s="230" t="str">
        <f t="shared" si="433"/>
        <v/>
      </c>
      <c r="B420" s="230" t="str">
        <f t="shared" si="434"/>
        <v/>
      </c>
      <c r="C420" s="296" t="str">
        <f t="shared" si="392"/>
        <v/>
      </c>
      <c r="D420" s="269" t="str">
        <f>IF(B420="","",IF(totals!$Q$3=0,IFERROR(IF(AD420=2,"0",AE420),""),"-"))</f>
        <v/>
      </c>
      <c r="E420" s="271" t="str">
        <f t="shared" si="393"/>
        <v/>
      </c>
      <c r="F420" s="272" t="str">
        <f t="shared" si="394"/>
        <v/>
      </c>
      <c r="G420" s="272" t="str">
        <f t="shared" si="395"/>
        <v/>
      </c>
      <c r="H420" s="269" t="str">
        <f t="shared" si="373"/>
        <v/>
      </c>
      <c r="I420" s="272" t="str">
        <f t="shared" si="396"/>
        <v/>
      </c>
      <c r="J420" s="272" t="str">
        <f t="shared" si="397"/>
        <v/>
      </c>
      <c r="K420" s="269" t="str">
        <f t="shared" si="374"/>
        <v/>
      </c>
      <c r="L420" s="272" t="str">
        <f t="shared" si="375"/>
        <v/>
      </c>
      <c r="M420" s="272" t="str">
        <f t="shared" si="398"/>
        <v/>
      </c>
      <c r="N420" s="269" t="str">
        <f t="shared" si="399"/>
        <v/>
      </c>
      <c r="O420" s="272" t="str">
        <f t="shared" si="400"/>
        <v/>
      </c>
      <c r="P420" s="272" t="str">
        <f t="shared" si="401"/>
        <v/>
      </c>
      <c r="Q420" s="269" t="str">
        <f t="shared" si="402"/>
        <v/>
      </c>
      <c r="R420" s="272" t="str">
        <f t="shared" si="403"/>
        <v/>
      </c>
      <c r="S420" s="272" t="str">
        <f t="shared" si="404"/>
        <v/>
      </c>
      <c r="T420" s="269" t="str">
        <f t="shared" si="405"/>
        <v/>
      </c>
      <c r="U420" s="230"/>
      <c r="V420" s="230"/>
      <c r="AB420" s="230" t="e">
        <f>VLOOKUP($B$6,Lookup_Source,413,0)</f>
        <v>#N/A</v>
      </c>
      <c r="AC420" s="254" t="str">
        <f t="shared" si="406"/>
        <v/>
      </c>
      <c r="AD420" s="255">
        <f t="shared" si="407"/>
        <v>7</v>
      </c>
      <c r="AE420" s="274" t="e">
        <f t="shared" si="376"/>
        <v>#N/A</v>
      </c>
      <c r="AF420" s="277" t="e">
        <f t="shared" si="408"/>
        <v>#N/A</v>
      </c>
      <c r="AG420" s="277" t="e">
        <f t="shared" si="409"/>
        <v>#N/A</v>
      </c>
      <c r="AH420" s="276" t="e">
        <f t="shared" si="377"/>
        <v>#N/A</v>
      </c>
      <c r="AI420" s="239">
        <f t="shared" si="410"/>
        <v>7</v>
      </c>
      <c r="AJ420" s="277" t="e">
        <f t="shared" si="378"/>
        <v>#N/A</v>
      </c>
      <c r="AK420" s="277" t="e">
        <f t="shared" si="411"/>
        <v>#N/A</v>
      </c>
      <c r="AL420" s="239" t="e">
        <f t="shared" si="379"/>
        <v>#N/A</v>
      </c>
      <c r="AM420" s="278" t="e">
        <f t="shared" si="412"/>
        <v>#N/A</v>
      </c>
      <c r="AN420" s="279" t="e">
        <f t="shared" si="380"/>
        <v>#N/A</v>
      </c>
      <c r="AO420" s="240" t="e">
        <f t="shared" si="381"/>
        <v>#N/A</v>
      </c>
      <c r="AP420" s="297">
        <f t="shared" si="413"/>
        <v>7</v>
      </c>
      <c r="AQ420" s="298" t="e">
        <f t="shared" si="382"/>
        <v>#N/A</v>
      </c>
      <c r="AR420" s="279" t="e">
        <f t="shared" si="414"/>
        <v>#N/A</v>
      </c>
      <c r="AS420" s="283" t="e">
        <f t="shared" si="383"/>
        <v>#N/A</v>
      </c>
      <c r="AT420" s="284">
        <f t="shared" si="415"/>
        <v>7</v>
      </c>
      <c r="AU420" s="285" t="e">
        <f t="shared" si="416"/>
        <v>#N/A</v>
      </c>
      <c r="AV420" s="286" t="e">
        <f t="shared" si="417"/>
        <v>#N/A</v>
      </c>
      <c r="AW420" s="287" t="e">
        <f t="shared" si="384"/>
        <v>#N/A</v>
      </c>
      <c r="AX420" s="245">
        <f t="shared" si="418"/>
        <v>7</v>
      </c>
      <c r="AY420" s="286" t="e">
        <f t="shared" si="385"/>
        <v>#N/A</v>
      </c>
      <c r="AZ420" s="245" t="e">
        <f t="shared" si="419"/>
        <v>#N/A</v>
      </c>
      <c r="BA420" s="245" t="e">
        <f t="shared" si="386"/>
        <v>#N/A</v>
      </c>
      <c r="BB420" s="288">
        <f t="shared" si="420"/>
        <v>7</v>
      </c>
      <c r="BC420" s="289" t="e">
        <f t="shared" si="421"/>
        <v>#N/A</v>
      </c>
      <c r="BD420" s="290" t="e">
        <f t="shared" si="422"/>
        <v>#N/A</v>
      </c>
      <c r="BE420" s="263" t="e">
        <f t="shared" si="387"/>
        <v>#N/A</v>
      </c>
      <c r="BF420" s="260">
        <f t="shared" si="423"/>
        <v>7</v>
      </c>
      <c r="BG420" s="289" t="e">
        <f t="shared" si="424"/>
        <v>#N/A</v>
      </c>
      <c r="BH420" s="290" t="e">
        <f t="shared" si="425"/>
        <v>#N/A</v>
      </c>
      <c r="BI420" s="263" t="e">
        <f t="shared" si="388"/>
        <v>#N/A</v>
      </c>
      <c r="BJ420" s="264">
        <f t="shared" si="426"/>
        <v>7</v>
      </c>
      <c r="BK420" s="291" t="e">
        <f t="shared" si="427"/>
        <v>#N/A</v>
      </c>
      <c r="BL420" s="291" t="e">
        <f t="shared" si="428"/>
        <v>#N/A</v>
      </c>
      <c r="BM420" s="292" t="e">
        <f t="shared" si="389"/>
        <v>#N/A</v>
      </c>
      <c r="BN420" s="293">
        <f t="shared" si="429"/>
        <v>7</v>
      </c>
      <c r="BO420" s="294" t="e">
        <f t="shared" si="430"/>
        <v>#N/A</v>
      </c>
      <c r="BP420" s="294" t="e">
        <f t="shared" si="431"/>
        <v>#N/A</v>
      </c>
      <c r="BQ420" s="292" t="e">
        <f t="shared" si="390"/>
        <v>#N/A</v>
      </c>
      <c r="BR420" s="295" t="e">
        <f t="shared" si="391"/>
        <v>#N/A</v>
      </c>
      <c r="BS420" s="230" t="e">
        <f>VLOOKUP($B420,SDR22_STOCK_BY_LA!$A$2:$C$11679,3,0)</f>
        <v>#N/A</v>
      </c>
      <c r="BT420" s="230" t="str">
        <f t="shared" si="432"/>
        <v/>
      </c>
    </row>
    <row r="421" spans="1:72" ht="12.5" x14ac:dyDescent="0.25">
      <c r="A421" s="269" t="str">
        <f t="shared" si="433"/>
        <v/>
      </c>
      <c r="B421" s="230" t="str">
        <f t="shared" si="434"/>
        <v/>
      </c>
      <c r="C421" s="270" t="str">
        <f t="shared" si="392"/>
        <v/>
      </c>
      <c r="D421" s="269" t="str">
        <f>IF(B421="","",IF(totals!$Q$3=0,IFERROR(IF(AD421=2,"0",AE421),""),"-"))</f>
        <v/>
      </c>
      <c r="E421" s="271" t="str">
        <f t="shared" si="393"/>
        <v/>
      </c>
      <c r="F421" s="272" t="str">
        <f t="shared" si="394"/>
        <v/>
      </c>
      <c r="G421" s="272" t="str">
        <f t="shared" si="395"/>
        <v/>
      </c>
      <c r="H421" s="269" t="str">
        <f t="shared" si="373"/>
        <v/>
      </c>
      <c r="I421" s="272" t="str">
        <f t="shared" si="396"/>
        <v/>
      </c>
      <c r="J421" s="272" t="str">
        <f t="shared" si="397"/>
        <v/>
      </c>
      <c r="K421" s="269" t="str">
        <f t="shared" si="374"/>
        <v/>
      </c>
      <c r="L421" s="272" t="str">
        <f t="shared" si="375"/>
        <v/>
      </c>
      <c r="M421" s="272" t="str">
        <f t="shared" si="398"/>
        <v/>
      </c>
      <c r="N421" s="269" t="str">
        <f t="shared" si="399"/>
        <v/>
      </c>
      <c r="O421" s="272" t="str">
        <f t="shared" si="400"/>
        <v/>
      </c>
      <c r="P421" s="272" t="str">
        <f t="shared" si="401"/>
        <v/>
      </c>
      <c r="Q421" s="269" t="str">
        <f t="shared" si="402"/>
        <v/>
      </c>
      <c r="R421" s="272" t="str">
        <f t="shared" si="403"/>
        <v/>
      </c>
      <c r="S421" s="272" t="str">
        <f t="shared" si="404"/>
        <v/>
      </c>
      <c r="T421" s="269" t="str">
        <f t="shared" si="405"/>
        <v/>
      </c>
      <c r="U421" s="230"/>
      <c r="V421" s="230"/>
      <c r="AB421" s="270" t="e">
        <f>VLOOKUP($B$6,Lookup_Source,414,0)</f>
        <v>#N/A</v>
      </c>
      <c r="AC421" s="254" t="str">
        <f t="shared" si="406"/>
        <v/>
      </c>
      <c r="AD421" s="255">
        <f t="shared" si="407"/>
        <v>7</v>
      </c>
      <c r="AE421" s="274" t="e">
        <f t="shared" si="376"/>
        <v>#N/A</v>
      </c>
      <c r="AF421" s="277" t="e">
        <f t="shared" si="408"/>
        <v>#N/A</v>
      </c>
      <c r="AG421" s="277" t="e">
        <f t="shared" si="409"/>
        <v>#N/A</v>
      </c>
      <c r="AH421" s="276" t="e">
        <f t="shared" si="377"/>
        <v>#N/A</v>
      </c>
      <c r="AI421" s="239">
        <f t="shared" si="410"/>
        <v>7</v>
      </c>
      <c r="AJ421" s="277" t="e">
        <f t="shared" si="378"/>
        <v>#N/A</v>
      </c>
      <c r="AK421" s="277" t="e">
        <f t="shared" si="411"/>
        <v>#N/A</v>
      </c>
      <c r="AL421" s="239" t="e">
        <f t="shared" si="379"/>
        <v>#N/A</v>
      </c>
      <c r="AM421" s="278" t="e">
        <f t="shared" si="412"/>
        <v>#N/A</v>
      </c>
      <c r="AN421" s="279" t="e">
        <f t="shared" si="380"/>
        <v>#N/A</v>
      </c>
      <c r="AO421" s="240" t="e">
        <f t="shared" si="381"/>
        <v>#N/A</v>
      </c>
      <c r="AP421" s="297">
        <f t="shared" si="413"/>
        <v>7</v>
      </c>
      <c r="AQ421" s="298" t="e">
        <f t="shared" si="382"/>
        <v>#N/A</v>
      </c>
      <c r="AR421" s="279" t="e">
        <f t="shared" si="414"/>
        <v>#N/A</v>
      </c>
      <c r="AS421" s="283" t="e">
        <f t="shared" si="383"/>
        <v>#N/A</v>
      </c>
      <c r="AT421" s="284">
        <f t="shared" si="415"/>
        <v>7</v>
      </c>
      <c r="AU421" s="285" t="e">
        <f t="shared" si="416"/>
        <v>#N/A</v>
      </c>
      <c r="AV421" s="286" t="e">
        <f t="shared" si="417"/>
        <v>#N/A</v>
      </c>
      <c r="AW421" s="287" t="e">
        <f t="shared" si="384"/>
        <v>#N/A</v>
      </c>
      <c r="AX421" s="245">
        <f t="shared" si="418"/>
        <v>7</v>
      </c>
      <c r="AY421" s="286" t="e">
        <f t="shared" si="385"/>
        <v>#N/A</v>
      </c>
      <c r="AZ421" s="245" t="e">
        <f t="shared" si="419"/>
        <v>#N/A</v>
      </c>
      <c r="BA421" s="245" t="e">
        <f t="shared" si="386"/>
        <v>#N/A</v>
      </c>
      <c r="BB421" s="288">
        <f t="shared" si="420"/>
        <v>7</v>
      </c>
      <c r="BC421" s="289" t="e">
        <f t="shared" si="421"/>
        <v>#N/A</v>
      </c>
      <c r="BD421" s="290" t="e">
        <f t="shared" si="422"/>
        <v>#N/A</v>
      </c>
      <c r="BE421" s="263" t="e">
        <f t="shared" si="387"/>
        <v>#N/A</v>
      </c>
      <c r="BF421" s="260">
        <f t="shared" si="423"/>
        <v>7</v>
      </c>
      <c r="BG421" s="289" t="e">
        <f t="shared" si="424"/>
        <v>#N/A</v>
      </c>
      <c r="BH421" s="290" t="e">
        <f t="shared" si="425"/>
        <v>#N/A</v>
      </c>
      <c r="BI421" s="263" t="e">
        <f t="shared" si="388"/>
        <v>#N/A</v>
      </c>
      <c r="BJ421" s="264">
        <f t="shared" si="426"/>
        <v>7</v>
      </c>
      <c r="BK421" s="291" t="e">
        <f t="shared" si="427"/>
        <v>#N/A</v>
      </c>
      <c r="BL421" s="291" t="e">
        <f t="shared" si="428"/>
        <v>#N/A</v>
      </c>
      <c r="BM421" s="292" t="e">
        <f t="shared" si="389"/>
        <v>#N/A</v>
      </c>
      <c r="BN421" s="293">
        <f t="shared" si="429"/>
        <v>7</v>
      </c>
      <c r="BO421" s="294" t="e">
        <f t="shared" si="430"/>
        <v>#N/A</v>
      </c>
      <c r="BP421" s="294" t="e">
        <f t="shared" si="431"/>
        <v>#N/A</v>
      </c>
      <c r="BQ421" s="292" t="e">
        <f t="shared" si="390"/>
        <v>#N/A</v>
      </c>
      <c r="BR421" s="295" t="e">
        <f t="shared" si="391"/>
        <v>#N/A</v>
      </c>
      <c r="BS421" s="230" t="e">
        <f>VLOOKUP($B421,SDR22_STOCK_BY_LA!$A$2:$C$11679,3,0)</f>
        <v>#N/A</v>
      </c>
      <c r="BT421" s="230" t="str">
        <f t="shared" si="432"/>
        <v/>
      </c>
    </row>
    <row r="422" spans="1:72" ht="12.5" x14ac:dyDescent="0.25">
      <c r="A422" s="230" t="str">
        <f t="shared" si="433"/>
        <v/>
      </c>
      <c r="B422" s="230" t="str">
        <f t="shared" si="434"/>
        <v/>
      </c>
      <c r="C422" s="296" t="str">
        <f t="shared" si="392"/>
        <v/>
      </c>
      <c r="D422" s="269" t="str">
        <f>IF(B422="","",IF(totals!$Q$3=0,IFERROR(IF(AD422=2,"0",AE422),""),"-"))</f>
        <v/>
      </c>
      <c r="E422" s="271" t="str">
        <f t="shared" si="393"/>
        <v/>
      </c>
      <c r="F422" s="272" t="str">
        <f t="shared" si="394"/>
        <v/>
      </c>
      <c r="G422" s="272" t="str">
        <f t="shared" si="395"/>
        <v/>
      </c>
      <c r="H422" s="269" t="str">
        <f t="shared" si="373"/>
        <v/>
      </c>
      <c r="I422" s="272" t="str">
        <f t="shared" si="396"/>
        <v/>
      </c>
      <c r="J422" s="272" t="str">
        <f t="shared" si="397"/>
        <v/>
      </c>
      <c r="K422" s="269" t="str">
        <f t="shared" si="374"/>
        <v/>
      </c>
      <c r="L422" s="272" t="str">
        <f t="shared" si="375"/>
        <v/>
      </c>
      <c r="M422" s="272" t="str">
        <f t="shared" si="398"/>
        <v/>
      </c>
      <c r="N422" s="269" t="str">
        <f t="shared" si="399"/>
        <v/>
      </c>
      <c r="O422" s="272" t="str">
        <f t="shared" si="400"/>
        <v/>
      </c>
      <c r="P422" s="272" t="str">
        <f t="shared" si="401"/>
        <v/>
      </c>
      <c r="Q422" s="269" t="str">
        <f t="shared" si="402"/>
        <v/>
      </c>
      <c r="R422" s="272" t="str">
        <f t="shared" si="403"/>
        <v/>
      </c>
      <c r="S422" s="272" t="str">
        <f t="shared" si="404"/>
        <v/>
      </c>
      <c r="T422" s="269" t="str">
        <f t="shared" si="405"/>
        <v/>
      </c>
      <c r="U422" s="230"/>
      <c r="V422" s="230"/>
      <c r="AB422" s="230" t="e">
        <f>VLOOKUP($B$6,Lookup_Source,415,0)</f>
        <v>#N/A</v>
      </c>
      <c r="AC422" s="254" t="str">
        <f t="shared" si="406"/>
        <v/>
      </c>
      <c r="AD422" s="255">
        <f t="shared" si="407"/>
        <v>7</v>
      </c>
      <c r="AE422" s="274" t="e">
        <f t="shared" si="376"/>
        <v>#N/A</v>
      </c>
      <c r="AF422" s="277" t="e">
        <f t="shared" si="408"/>
        <v>#N/A</v>
      </c>
      <c r="AG422" s="277" t="e">
        <f t="shared" si="409"/>
        <v>#N/A</v>
      </c>
      <c r="AH422" s="276" t="e">
        <f t="shared" si="377"/>
        <v>#N/A</v>
      </c>
      <c r="AI422" s="239">
        <f t="shared" si="410"/>
        <v>7</v>
      </c>
      <c r="AJ422" s="277" t="e">
        <f t="shared" si="378"/>
        <v>#N/A</v>
      </c>
      <c r="AK422" s="277" t="e">
        <f t="shared" si="411"/>
        <v>#N/A</v>
      </c>
      <c r="AL422" s="239" t="e">
        <f t="shared" si="379"/>
        <v>#N/A</v>
      </c>
      <c r="AM422" s="278" t="e">
        <f t="shared" si="412"/>
        <v>#N/A</v>
      </c>
      <c r="AN422" s="279" t="e">
        <f t="shared" si="380"/>
        <v>#N/A</v>
      </c>
      <c r="AO422" s="240" t="e">
        <f t="shared" si="381"/>
        <v>#N/A</v>
      </c>
      <c r="AP422" s="297">
        <f t="shared" si="413"/>
        <v>7</v>
      </c>
      <c r="AQ422" s="298" t="e">
        <f t="shared" si="382"/>
        <v>#N/A</v>
      </c>
      <c r="AR422" s="279" t="e">
        <f t="shared" si="414"/>
        <v>#N/A</v>
      </c>
      <c r="AS422" s="283" t="e">
        <f t="shared" si="383"/>
        <v>#N/A</v>
      </c>
      <c r="AT422" s="284">
        <f t="shared" si="415"/>
        <v>7</v>
      </c>
      <c r="AU422" s="285" t="e">
        <f t="shared" si="416"/>
        <v>#N/A</v>
      </c>
      <c r="AV422" s="286" t="e">
        <f t="shared" si="417"/>
        <v>#N/A</v>
      </c>
      <c r="AW422" s="287" t="e">
        <f t="shared" si="384"/>
        <v>#N/A</v>
      </c>
      <c r="AX422" s="245">
        <f t="shared" si="418"/>
        <v>7</v>
      </c>
      <c r="AY422" s="286" t="e">
        <f t="shared" si="385"/>
        <v>#N/A</v>
      </c>
      <c r="AZ422" s="245" t="e">
        <f t="shared" si="419"/>
        <v>#N/A</v>
      </c>
      <c r="BA422" s="245" t="e">
        <f t="shared" si="386"/>
        <v>#N/A</v>
      </c>
      <c r="BB422" s="288">
        <f t="shared" si="420"/>
        <v>7</v>
      </c>
      <c r="BC422" s="289" t="e">
        <f t="shared" si="421"/>
        <v>#N/A</v>
      </c>
      <c r="BD422" s="290" t="e">
        <f t="shared" si="422"/>
        <v>#N/A</v>
      </c>
      <c r="BE422" s="263" t="e">
        <f t="shared" si="387"/>
        <v>#N/A</v>
      </c>
      <c r="BF422" s="260">
        <f t="shared" si="423"/>
        <v>7</v>
      </c>
      <c r="BG422" s="289" t="e">
        <f t="shared" si="424"/>
        <v>#N/A</v>
      </c>
      <c r="BH422" s="290" t="e">
        <f t="shared" si="425"/>
        <v>#N/A</v>
      </c>
      <c r="BI422" s="263" t="e">
        <f t="shared" si="388"/>
        <v>#N/A</v>
      </c>
      <c r="BJ422" s="264">
        <f t="shared" si="426"/>
        <v>7</v>
      </c>
      <c r="BK422" s="291" t="e">
        <f t="shared" si="427"/>
        <v>#N/A</v>
      </c>
      <c r="BL422" s="291" t="e">
        <f t="shared" si="428"/>
        <v>#N/A</v>
      </c>
      <c r="BM422" s="292" t="e">
        <f t="shared" si="389"/>
        <v>#N/A</v>
      </c>
      <c r="BN422" s="293">
        <f t="shared" si="429"/>
        <v>7</v>
      </c>
      <c r="BO422" s="294" t="e">
        <f t="shared" si="430"/>
        <v>#N/A</v>
      </c>
      <c r="BP422" s="294" t="e">
        <f t="shared" si="431"/>
        <v>#N/A</v>
      </c>
      <c r="BQ422" s="292" t="e">
        <f t="shared" si="390"/>
        <v>#N/A</v>
      </c>
      <c r="BR422" s="295" t="e">
        <f t="shared" si="391"/>
        <v>#N/A</v>
      </c>
      <c r="BS422" s="230" t="e">
        <f>VLOOKUP($B422,SDR22_STOCK_BY_LA!$A$2:$C$11679,3,0)</f>
        <v>#N/A</v>
      </c>
      <c r="BT422" s="230" t="str">
        <f t="shared" si="432"/>
        <v/>
      </c>
    </row>
    <row r="423" spans="1:72" ht="12.5" x14ac:dyDescent="0.25">
      <c r="A423" s="269" t="str">
        <f t="shared" si="433"/>
        <v/>
      </c>
      <c r="B423" s="230" t="str">
        <f t="shared" si="434"/>
        <v/>
      </c>
      <c r="C423" s="270" t="str">
        <f t="shared" si="392"/>
        <v/>
      </c>
      <c r="D423" s="269" t="str">
        <f>IF(B423="","",IF(totals!$Q$3=0,IFERROR(IF(AD423=2,"0",AE423),""),"-"))</f>
        <v/>
      </c>
      <c r="E423" s="271" t="str">
        <f t="shared" si="393"/>
        <v/>
      </c>
      <c r="F423" s="272" t="str">
        <f t="shared" si="394"/>
        <v/>
      </c>
      <c r="G423" s="272" t="str">
        <f t="shared" si="395"/>
        <v/>
      </c>
      <c r="H423" s="269" t="str">
        <f t="shared" si="373"/>
        <v/>
      </c>
      <c r="I423" s="272" t="str">
        <f t="shared" si="396"/>
        <v/>
      </c>
      <c r="J423" s="272" t="str">
        <f t="shared" si="397"/>
        <v/>
      </c>
      <c r="K423" s="269" t="str">
        <f t="shared" si="374"/>
        <v/>
      </c>
      <c r="L423" s="272" t="str">
        <f t="shared" si="375"/>
        <v/>
      </c>
      <c r="M423" s="272" t="str">
        <f t="shared" si="398"/>
        <v/>
      </c>
      <c r="N423" s="269" t="str">
        <f t="shared" si="399"/>
        <v/>
      </c>
      <c r="O423" s="272" t="str">
        <f t="shared" si="400"/>
        <v/>
      </c>
      <c r="P423" s="272" t="str">
        <f t="shared" si="401"/>
        <v/>
      </c>
      <c r="Q423" s="269" t="str">
        <f t="shared" si="402"/>
        <v/>
      </c>
      <c r="R423" s="272" t="str">
        <f t="shared" si="403"/>
        <v/>
      </c>
      <c r="S423" s="272" t="str">
        <f t="shared" si="404"/>
        <v/>
      </c>
      <c r="T423" s="269" t="str">
        <f t="shared" si="405"/>
        <v/>
      </c>
      <c r="U423" s="230"/>
      <c r="V423" s="230"/>
      <c r="AB423" s="270" t="e">
        <f>VLOOKUP($B$6,Lookup_Source,416,0)</f>
        <v>#N/A</v>
      </c>
      <c r="AC423" s="254" t="str">
        <f t="shared" si="406"/>
        <v/>
      </c>
      <c r="AD423" s="255">
        <f t="shared" si="407"/>
        <v>7</v>
      </c>
      <c r="AE423" s="274" t="e">
        <f t="shared" si="376"/>
        <v>#N/A</v>
      </c>
      <c r="AF423" s="277" t="e">
        <f t="shared" si="408"/>
        <v>#N/A</v>
      </c>
      <c r="AG423" s="277" t="e">
        <f t="shared" si="409"/>
        <v>#N/A</v>
      </c>
      <c r="AH423" s="276" t="e">
        <f t="shared" si="377"/>
        <v>#N/A</v>
      </c>
      <c r="AI423" s="239">
        <f t="shared" si="410"/>
        <v>7</v>
      </c>
      <c r="AJ423" s="277" t="e">
        <f t="shared" si="378"/>
        <v>#N/A</v>
      </c>
      <c r="AK423" s="277" t="e">
        <f t="shared" si="411"/>
        <v>#N/A</v>
      </c>
      <c r="AL423" s="239" t="e">
        <f t="shared" si="379"/>
        <v>#N/A</v>
      </c>
      <c r="AM423" s="278" t="e">
        <f t="shared" si="412"/>
        <v>#N/A</v>
      </c>
      <c r="AN423" s="279" t="e">
        <f t="shared" si="380"/>
        <v>#N/A</v>
      </c>
      <c r="AO423" s="240" t="e">
        <f t="shared" si="381"/>
        <v>#N/A</v>
      </c>
      <c r="AP423" s="297">
        <f t="shared" si="413"/>
        <v>7</v>
      </c>
      <c r="AQ423" s="298" t="e">
        <f t="shared" si="382"/>
        <v>#N/A</v>
      </c>
      <c r="AR423" s="279" t="e">
        <f t="shared" si="414"/>
        <v>#N/A</v>
      </c>
      <c r="AS423" s="283" t="e">
        <f t="shared" si="383"/>
        <v>#N/A</v>
      </c>
      <c r="AT423" s="284">
        <f t="shared" si="415"/>
        <v>7</v>
      </c>
      <c r="AU423" s="285" t="e">
        <f t="shared" si="416"/>
        <v>#N/A</v>
      </c>
      <c r="AV423" s="286" t="e">
        <f t="shared" si="417"/>
        <v>#N/A</v>
      </c>
      <c r="AW423" s="287" t="e">
        <f t="shared" si="384"/>
        <v>#N/A</v>
      </c>
      <c r="AX423" s="245">
        <f t="shared" si="418"/>
        <v>7</v>
      </c>
      <c r="AY423" s="286" t="e">
        <f t="shared" si="385"/>
        <v>#N/A</v>
      </c>
      <c r="AZ423" s="245" t="e">
        <f t="shared" si="419"/>
        <v>#N/A</v>
      </c>
      <c r="BA423" s="245" t="e">
        <f t="shared" si="386"/>
        <v>#N/A</v>
      </c>
      <c r="BB423" s="288">
        <f t="shared" si="420"/>
        <v>7</v>
      </c>
      <c r="BC423" s="289" t="e">
        <f t="shared" si="421"/>
        <v>#N/A</v>
      </c>
      <c r="BD423" s="290" t="e">
        <f t="shared" si="422"/>
        <v>#N/A</v>
      </c>
      <c r="BE423" s="263" t="e">
        <f t="shared" si="387"/>
        <v>#N/A</v>
      </c>
      <c r="BF423" s="260">
        <f t="shared" si="423"/>
        <v>7</v>
      </c>
      <c r="BG423" s="289" t="e">
        <f t="shared" si="424"/>
        <v>#N/A</v>
      </c>
      <c r="BH423" s="290" t="e">
        <f t="shared" si="425"/>
        <v>#N/A</v>
      </c>
      <c r="BI423" s="263" t="e">
        <f t="shared" si="388"/>
        <v>#N/A</v>
      </c>
      <c r="BJ423" s="264">
        <f t="shared" si="426"/>
        <v>7</v>
      </c>
      <c r="BK423" s="291" t="e">
        <f t="shared" si="427"/>
        <v>#N/A</v>
      </c>
      <c r="BL423" s="291" t="e">
        <f t="shared" si="428"/>
        <v>#N/A</v>
      </c>
      <c r="BM423" s="292" t="e">
        <f t="shared" si="389"/>
        <v>#N/A</v>
      </c>
      <c r="BN423" s="293">
        <f t="shared" si="429"/>
        <v>7</v>
      </c>
      <c r="BO423" s="294" t="e">
        <f t="shared" si="430"/>
        <v>#N/A</v>
      </c>
      <c r="BP423" s="294" t="e">
        <f t="shared" si="431"/>
        <v>#N/A</v>
      </c>
      <c r="BQ423" s="292" t="e">
        <f t="shared" si="390"/>
        <v>#N/A</v>
      </c>
      <c r="BR423" s="295" t="e">
        <f t="shared" si="391"/>
        <v>#N/A</v>
      </c>
      <c r="BS423" s="230" t="e">
        <f>VLOOKUP($B423,SDR22_STOCK_BY_LA!$A$2:$C$11679,3,0)</f>
        <v>#N/A</v>
      </c>
      <c r="BT423" s="230" t="str">
        <f t="shared" si="432"/>
        <v/>
      </c>
    </row>
    <row r="424" spans="1:72" ht="12.5" x14ac:dyDescent="0.25">
      <c r="A424" s="230" t="str">
        <f t="shared" si="433"/>
        <v/>
      </c>
      <c r="B424" s="230" t="str">
        <f t="shared" si="434"/>
        <v/>
      </c>
      <c r="C424" s="296" t="str">
        <f t="shared" si="392"/>
        <v/>
      </c>
      <c r="D424" s="269" t="str">
        <f>IF(B424="","",IF(totals!$Q$3=0,IFERROR(IF(AD424=2,"0",AE424),""),"-"))</f>
        <v/>
      </c>
      <c r="E424" s="271" t="str">
        <f t="shared" si="393"/>
        <v/>
      </c>
      <c r="F424" s="272" t="str">
        <f t="shared" si="394"/>
        <v/>
      </c>
      <c r="G424" s="272" t="str">
        <f t="shared" si="395"/>
        <v/>
      </c>
      <c r="H424" s="269" t="str">
        <f t="shared" si="373"/>
        <v/>
      </c>
      <c r="I424" s="272" t="str">
        <f t="shared" si="396"/>
        <v/>
      </c>
      <c r="J424" s="272" t="str">
        <f t="shared" si="397"/>
        <v/>
      </c>
      <c r="K424" s="269" t="str">
        <f t="shared" si="374"/>
        <v/>
      </c>
      <c r="L424" s="272" t="str">
        <f t="shared" si="375"/>
        <v/>
      </c>
      <c r="M424" s="272" t="str">
        <f t="shared" si="398"/>
        <v/>
      </c>
      <c r="N424" s="269" t="str">
        <f t="shared" si="399"/>
        <v/>
      </c>
      <c r="O424" s="272" t="str">
        <f t="shared" si="400"/>
        <v/>
      </c>
      <c r="P424" s="272" t="str">
        <f t="shared" si="401"/>
        <v/>
      </c>
      <c r="Q424" s="269" t="str">
        <f t="shared" si="402"/>
        <v/>
      </c>
      <c r="R424" s="272" t="str">
        <f t="shared" si="403"/>
        <v/>
      </c>
      <c r="S424" s="272" t="str">
        <f t="shared" si="404"/>
        <v/>
      </c>
      <c r="T424" s="269" t="str">
        <f t="shared" si="405"/>
        <v/>
      </c>
      <c r="U424" s="230"/>
      <c r="V424" s="230"/>
      <c r="AB424" s="230" t="e">
        <f>VLOOKUP($B$6,Lookup_Source,417,0)</f>
        <v>#N/A</v>
      </c>
      <c r="AC424" s="254" t="str">
        <f t="shared" si="406"/>
        <v/>
      </c>
      <c r="AD424" s="255">
        <f t="shared" si="407"/>
        <v>7</v>
      </c>
      <c r="AE424" s="274" t="e">
        <f t="shared" si="376"/>
        <v>#N/A</v>
      </c>
      <c r="AF424" s="277" t="e">
        <f t="shared" si="408"/>
        <v>#N/A</v>
      </c>
      <c r="AG424" s="277" t="e">
        <f t="shared" si="409"/>
        <v>#N/A</v>
      </c>
      <c r="AH424" s="276" t="e">
        <f t="shared" si="377"/>
        <v>#N/A</v>
      </c>
      <c r="AI424" s="239">
        <f t="shared" si="410"/>
        <v>7</v>
      </c>
      <c r="AJ424" s="277" t="e">
        <f t="shared" si="378"/>
        <v>#N/A</v>
      </c>
      <c r="AK424" s="277" t="e">
        <f t="shared" si="411"/>
        <v>#N/A</v>
      </c>
      <c r="AL424" s="239" t="e">
        <f t="shared" si="379"/>
        <v>#N/A</v>
      </c>
      <c r="AM424" s="278" t="e">
        <f t="shared" si="412"/>
        <v>#N/A</v>
      </c>
      <c r="AN424" s="279" t="e">
        <f t="shared" si="380"/>
        <v>#N/A</v>
      </c>
      <c r="AO424" s="240" t="e">
        <f t="shared" si="381"/>
        <v>#N/A</v>
      </c>
      <c r="AP424" s="297">
        <f t="shared" si="413"/>
        <v>7</v>
      </c>
      <c r="AQ424" s="298" t="e">
        <f t="shared" si="382"/>
        <v>#N/A</v>
      </c>
      <c r="AR424" s="279" t="e">
        <f t="shared" si="414"/>
        <v>#N/A</v>
      </c>
      <c r="AS424" s="283" t="e">
        <f t="shared" si="383"/>
        <v>#N/A</v>
      </c>
      <c r="AT424" s="284">
        <f t="shared" si="415"/>
        <v>7</v>
      </c>
      <c r="AU424" s="285" t="e">
        <f t="shared" si="416"/>
        <v>#N/A</v>
      </c>
      <c r="AV424" s="286" t="e">
        <f t="shared" si="417"/>
        <v>#N/A</v>
      </c>
      <c r="AW424" s="287" t="e">
        <f t="shared" si="384"/>
        <v>#N/A</v>
      </c>
      <c r="AX424" s="245">
        <f t="shared" si="418"/>
        <v>7</v>
      </c>
      <c r="AY424" s="286" t="e">
        <f t="shared" si="385"/>
        <v>#N/A</v>
      </c>
      <c r="AZ424" s="245" t="e">
        <f t="shared" si="419"/>
        <v>#N/A</v>
      </c>
      <c r="BA424" s="245" t="e">
        <f t="shared" si="386"/>
        <v>#N/A</v>
      </c>
      <c r="BB424" s="288">
        <f t="shared" si="420"/>
        <v>7</v>
      </c>
      <c r="BC424" s="289" t="e">
        <f t="shared" si="421"/>
        <v>#N/A</v>
      </c>
      <c r="BD424" s="290" t="e">
        <f t="shared" si="422"/>
        <v>#N/A</v>
      </c>
      <c r="BE424" s="263" t="e">
        <f t="shared" si="387"/>
        <v>#N/A</v>
      </c>
      <c r="BF424" s="260">
        <f t="shared" si="423"/>
        <v>7</v>
      </c>
      <c r="BG424" s="289" t="e">
        <f t="shared" si="424"/>
        <v>#N/A</v>
      </c>
      <c r="BH424" s="290" t="e">
        <f t="shared" si="425"/>
        <v>#N/A</v>
      </c>
      <c r="BI424" s="263" t="e">
        <f t="shared" si="388"/>
        <v>#N/A</v>
      </c>
      <c r="BJ424" s="264">
        <f t="shared" si="426"/>
        <v>7</v>
      </c>
      <c r="BK424" s="291" t="e">
        <f t="shared" si="427"/>
        <v>#N/A</v>
      </c>
      <c r="BL424" s="291" t="e">
        <f t="shared" si="428"/>
        <v>#N/A</v>
      </c>
      <c r="BM424" s="292" t="e">
        <f t="shared" si="389"/>
        <v>#N/A</v>
      </c>
      <c r="BN424" s="293">
        <f t="shared" si="429"/>
        <v>7</v>
      </c>
      <c r="BO424" s="294" t="e">
        <f t="shared" si="430"/>
        <v>#N/A</v>
      </c>
      <c r="BP424" s="294" t="e">
        <f t="shared" si="431"/>
        <v>#N/A</v>
      </c>
      <c r="BQ424" s="292" t="e">
        <f t="shared" si="390"/>
        <v>#N/A</v>
      </c>
      <c r="BR424" s="295" t="e">
        <f t="shared" si="391"/>
        <v>#N/A</v>
      </c>
      <c r="BS424" s="230" t="e">
        <f>VLOOKUP($B424,SDR22_STOCK_BY_LA!$A$2:$C$11679,3,0)</f>
        <v>#N/A</v>
      </c>
      <c r="BT424" s="230" t="str">
        <f t="shared" si="432"/>
        <v/>
      </c>
    </row>
    <row r="425" spans="1:72" ht="12.5" x14ac:dyDescent="0.25">
      <c r="A425" s="269" t="str">
        <f t="shared" si="433"/>
        <v/>
      </c>
      <c r="B425" s="230" t="str">
        <f t="shared" si="434"/>
        <v/>
      </c>
      <c r="C425" s="270" t="str">
        <f t="shared" si="392"/>
        <v/>
      </c>
      <c r="D425" s="269" t="str">
        <f>IF(B425="","",IF(totals!$Q$3=0,IFERROR(IF(AD425=2,"0",AE425),""),"-"))</f>
        <v/>
      </c>
      <c r="E425" s="271" t="str">
        <f t="shared" si="393"/>
        <v/>
      </c>
      <c r="F425" s="272" t="str">
        <f t="shared" si="394"/>
        <v/>
      </c>
      <c r="G425" s="272" t="str">
        <f t="shared" si="395"/>
        <v/>
      </c>
      <c r="H425" s="269" t="str">
        <f t="shared" si="373"/>
        <v/>
      </c>
      <c r="I425" s="272" t="str">
        <f t="shared" si="396"/>
        <v/>
      </c>
      <c r="J425" s="272" t="str">
        <f t="shared" si="397"/>
        <v/>
      </c>
      <c r="K425" s="269" t="str">
        <f t="shared" si="374"/>
        <v/>
      </c>
      <c r="L425" s="272" t="str">
        <f t="shared" si="375"/>
        <v/>
      </c>
      <c r="M425" s="272" t="str">
        <f t="shared" si="398"/>
        <v/>
      </c>
      <c r="N425" s="269" t="str">
        <f t="shared" si="399"/>
        <v/>
      </c>
      <c r="O425" s="272" t="str">
        <f t="shared" si="400"/>
        <v/>
      </c>
      <c r="P425" s="272" t="str">
        <f t="shared" si="401"/>
        <v/>
      </c>
      <c r="Q425" s="269" t="str">
        <f t="shared" si="402"/>
        <v/>
      </c>
      <c r="R425" s="272" t="str">
        <f t="shared" si="403"/>
        <v/>
      </c>
      <c r="S425" s="272" t="str">
        <f t="shared" si="404"/>
        <v/>
      </c>
      <c r="T425" s="269" t="str">
        <f t="shared" si="405"/>
        <v/>
      </c>
      <c r="U425" s="230"/>
      <c r="V425" s="230"/>
      <c r="AB425" s="270" t="e">
        <f>VLOOKUP($B$6,Lookup_Source,418,0)</f>
        <v>#N/A</v>
      </c>
      <c r="AC425" s="254" t="str">
        <f t="shared" si="406"/>
        <v/>
      </c>
      <c r="AD425" s="255">
        <f t="shared" si="407"/>
        <v>7</v>
      </c>
      <c r="AE425" s="274" t="e">
        <f t="shared" si="376"/>
        <v>#N/A</v>
      </c>
      <c r="AF425" s="277" t="e">
        <f t="shared" si="408"/>
        <v>#N/A</v>
      </c>
      <c r="AG425" s="277" t="e">
        <f t="shared" si="409"/>
        <v>#N/A</v>
      </c>
      <c r="AH425" s="276" t="e">
        <f t="shared" si="377"/>
        <v>#N/A</v>
      </c>
      <c r="AI425" s="239">
        <f t="shared" si="410"/>
        <v>7</v>
      </c>
      <c r="AJ425" s="277" t="e">
        <f t="shared" si="378"/>
        <v>#N/A</v>
      </c>
      <c r="AK425" s="277" t="e">
        <f t="shared" si="411"/>
        <v>#N/A</v>
      </c>
      <c r="AL425" s="239" t="e">
        <f t="shared" si="379"/>
        <v>#N/A</v>
      </c>
      <c r="AM425" s="278" t="e">
        <f t="shared" si="412"/>
        <v>#N/A</v>
      </c>
      <c r="AN425" s="279" t="e">
        <f t="shared" si="380"/>
        <v>#N/A</v>
      </c>
      <c r="AO425" s="240" t="e">
        <f t="shared" si="381"/>
        <v>#N/A</v>
      </c>
      <c r="AP425" s="297">
        <f t="shared" si="413"/>
        <v>7</v>
      </c>
      <c r="AQ425" s="298" t="e">
        <f t="shared" si="382"/>
        <v>#N/A</v>
      </c>
      <c r="AR425" s="279" t="e">
        <f t="shared" si="414"/>
        <v>#N/A</v>
      </c>
      <c r="AS425" s="283" t="e">
        <f t="shared" si="383"/>
        <v>#N/A</v>
      </c>
      <c r="AT425" s="284">
        <f t="shared" si="415"/>
        <v>7</v>
      </c>
      <c r="AU425" s="285" t="e">
        <f t="shared" si="416"/>
        <v>#N/A</v>
      </c>
      <c r="AV425" s="286" t="e">
        <f t="shared" si="417"/>
        <v>#N/A</v>
      </c>
      <c r="AW425" s="287" t="e">
        <f t="shared" si="384"/>
        <v>#N/A</v>
      </c>
      <c r="AX425" s="245">
        <f t="shared" si="418"/>
        <v>7</v>
      </c>
      <c r="AY425" s="286" t="e">
        <f t="shared" si="385"/>
        <v>#N/A</v>
      </c>
      <c r="AZ425" s="245" t="e">
        <f t="shared" si="419"/>
        <v>#N/A</v>
      </c>
      <c r="BA425" s="245" t="e">
        <f t="shared" si="386"/>
        <v>#N/A</v>
      </c>
      <c r="BB425" s="288">
        <f t="shared" si="420"/>
        <v>7</v>
      </c>
      <c r="BC425" s="289" t="e">
        <f t="shared" si="421"/>
        <v>#N/A</v>
      </c>
      <c r="BD425" s="290" t="e">
        <f t="shared" si="422"/>
        <v>#N/A</v>
      </c>
      <c r="BE425" s="263" t="e">
        <f t="shared" si="387"/>
        <v>#N/A</v>
      </c>
      <c r="BF425" s="260">
        <f t="shared" si="423"/>
        <v>7</v>
      </c>
      <c r="BG425" s="289" t="e">
        <f t="shared" si="424"/>
        <v>#N/A</v>
      </c>
      <c r="BH425" s="290" t="e">
        <f t="shared" si="425"/>
        <v>#N/A</v>
      </c>
      <c r="BI425" s="263" t="e">
        <f t="shared" si="388"/>
        <v>#N/A</v>
      </c>
      <c r="BJ425" s="264">
        <f t="shared" si="426"/>
        <v>7</v>
      </c>
      <c r="BK425" s="291" t="e">
        <f t="shared" si="427"/>
        <v>#N/A</v>
      </c>
      <c r="BL425" s="291" t="e">
        <f t="shared" si="428"/>
        <v>#N/A</v>
      </c>
      <c r="BM425" s="292" t="e">
        <f t="shared" si="389"/>
        <v>#N/A</v>
      </c>
      <c r="BN425" s="293">
        <f t="shared" si="429"/>
        <v>7</v>
      </c>
      <c r="BO425" s="294" t="e">
        <f t="shared" si="430"/>
        <v>#N/A</v>
      </c>
      <c r="BP425" s="294" t="e">
        <f t="shared" si="431"/>
        <v>#N/A</v>
      </c>
      <c r="BQ425" s="292" t="e">
        <f t="shared" si="390"/>
        <v>#N/A</v>
      </c>
      <c r="BR425" s="295" t="e">
        <f t="shared" si="391"/>
        <v>#N/A</v>
      </c>
      <c r="BS425" s="230" t="e">
        <f>VLOOKUP($B425,SDR22_STOCK_BY_LA!$A$2:$C$11679,3,0)</f>
        <v>#N/A</v>
      </c>
      <c r="BT425" s="230" t="str">
        <f t="shared" si="432"/>
        <v/>
      </c>
    </row>
    <row r="426" spans="1:72" ht="12.5" x14ac:dyDescent="0.25">
      <c r="A426" s="230" t="str">
        <f t="shared" si="433"/>
        <v/>
      </c>
      <c r="B426" s="230" t="str">
        <f t="shared" si="434"/>
        <v/>
      </c>
      <c r="C426" s="296" t="str">
        <f t="shared" si="392"/>
        <v/>
      </c>
      <c r="D426" s="269" t="str">
        <f>IF(B426="","",IF(totals!$Q$3=0,IFERROR(IF(AD426=2,"0",AE426),""),"-"))</f>
        <v/>
      </c>
      <c r="E426" s="271" t="str">
        <f t="shared" si="393"/>
        <v/>
      </c>
      <c r="F426" s="272" t="str">
        <f t="shared" si="394"/>
        <v/>
      </c>
      <c r="G426" s="272" t="str">
        <f t="shared" si="395"/>
        <v/>
      </c>
      <c r="H426" s="269" t="str">
        <f t="shared" si="373"/>
        <v/>
      </c>
      <c r="I426" s="272" t="str">
        <f t="shared" si="396"/>
        <v/>
      </c>
      <c r="J426" s="272" t="str">
        <f t="shared" si="397"/>
        <v/>
      </c>
      <c r="K426" s="269" t="str">
        <f t="shared" si="374"/>
        <v/>
      </c>
      <c r="L426" s="272" t="str">
        <f t="shared" si="375"/>
        <v/>
      </c>
      <c r="M426" s="272" t="str">
        <f t="shared" si="398"/>
        <v/>
      </c>
      <c r="N426" s="269" t="str">
        <f t="shared" si="399"/>
        <v/>
      </c>
      <c r="O426" s="272" t="str">
        <f t="shared" si="400"/>
        <v/>
      </c>
      <c r="P426" s="272" t="str">
        <f t="shared" si="401"/>
        <v/>
      </c>
      <c r="Q426" s="269" t="str">
        <f t="shared" si="402"/>
        <v/>
      </c>
      <c r="R426" s="272" t="str">
        <f t="shared" si="403"/>
        <v/>
      </c>
      <c r="S426" s="272" t="str">
        <f t="shared" si="404"/>
        <v/>
      </c>
      <c r="T426" s="269" t="str">
        <f t="shared" si="405"/>
        <v/>
      </c>
      <c r="U426" s="230"/>
      <c r="V426" s="230"/>
      <c r="AB426" s="230" t="e">
        <f>VLOOKUP($B$6,Lookup_Source,419,0)</f>
        <v>#N/A</v>
      </c>
      <c r="AC426" s="254" t="str">
        <f t="shared" si="406"/>
        <v/>
      </c>
      <c r="AD426" s="255">
        <f t="shared" si="407"/>
        <v>7</v>
      </c>
      <c r="AE426" s="274" t="e">
        <f t="shared" si="376"/>
        <v>#N/A</v>
      </c>
      <c r="AF426" s="277" t="e">
        <f t="shared" si="408"/>
        <v>#N/A</v>
      </c>
      <c r="AG426" s="277" t="e">
        <f t="shared" si="409"/>
        <v>#N/A</v>
      </c>
      <c r="AH426" s="276" t="e">
        <f t="shared" si="377"/>
        <v>#N/A</v>
      </c>
      <c r="AI426" s="239">
        <f t="shared" si="410"/>
        <v>7</v>
      </c>
      <c r="AJ426" s="277" t="e">
        <f t="shared" si="378"/>
        <v>#N/A</v>
      </c>
      <c r="AK426" s="277" t="e">
        <f t="shared" si="411"/>
        <v>#N/A</v>
      </c>
      <c r="AL426" s="239" t="e">
        <f t="shared" si="379"/>
        <v>#N/A</v>
      </c>
      <c r="AM426" s="278" t="e">
        <f t="shared" si="412"/>
        <v>#N/A</v>
      </c>
      <c r="AN426" s="279" t="e">
        <f t="shared" si="380"/>
        <v>#N/A</v>
      </c>
      <c r="AO426" s="240" t="e">
        <f t="shared" si="381"/>
        <v>#N/A</v>
      </c>
      <c r="AP426" s="297">
        <f t="shared" si="413"/>
        <v>7</v>
      </c>
      <c r="AQ426" s="298" t="e">
        <f t="shared" si="382"/>
        <v>#N/A</v>
      </c>
      <c r="AR426" s="279" t="e">
        <f t="shared" si="414"/>
        <v>#N/A</v>
      </c>
      <c r="AS426" s="283" t="e">
        <f t="shared" si="383"/>
        <v>#N/A</v>
      </c>
      <c r="AT426" s="284">
        <f t="shared" si="415"/>
        <v>7</v>
      </c>
      <c r="AU426" s="285" t="e">
        <f t="shared" si="416"/>
        <v>#N/A</v>
      </c>
      <c r="AV426" s="286" t="e">
        <f t="shared" si="417"/>
        <v>#N/A</v>
      </c>
      <c r="AW426" s="287" t="e">
        <f t="shared" si="384"/>
        <v>#N/A</v>
      </c>
      <c r="AX426" s="245">
        <f t="shared" si="418"/>
        <v>7</v>
      </c>
      <c r="AY426" s="286" t="e">
        <f t="shared" si="385"/>
        <v>#N/A</v>
      </c>
      <c r="AZ426" s="245" t="e">
        <f t="shared" si="419"/>
        <v>#N/A</v>
      </c>
      <c r="BA426" s="245" t="e">
        <f t="shared" si="386"/>
        <v>#N/A</v>
      </c>
      <c r="BB426" s="288">
        <f t="shared" si="420"/>
        <v>7</v>
      </c>
      <c r="BC426" s="289" t="e">
        <f t="shared" si="421"/>
        <v>#N/A</v>
      </c>
      <c r="BD426" s="290" t="e">
        <f t="shared" si="422"/>
        <v>#N/A</v>
      </c>
      <c r="BE426" s="263" t="e">
        <f t="shared" si="387"/>
        <v>#N/A</v>
      </c>
      <c r="BF426" s="260">
        <f t="shared" si="423"/>
        <v>7</v>
      </c>
      <c r="BG426" s="289" t="e">
        <f t="shared" si="424"/>
        <v>#N/A</v>
      </c>
      <c r="BH426" s="290" t="e">
        <f t="shared" si="425"/>
        <v>#N/A</v>
      </c>
      <c r="BI426" s="263" t="e">
        <f t="shared" si="388"/>
        <v>#N/A</v>
      </c>
      <c r="BJ426" s="264">
        <f t="shared" si="426"/>
        <v>7</v>
      </c>
      <c r="BK426" s="291" t="e">
        <f t="shared" si="427"/>
        <v>#N/A</v>
      </c>
      <c r="BL426" s="291" t="e">
        <f t="shared" si="428"/>
        <v>#N/A</v>
      </c>
      <c r="BM426" s="292" t="e">
        <f t="shared" si="389"/>
        <v>#N/A</v>
      </c>
      <c r="BN426" s="293">
        <f t="shared" si="429"/>
        <v>7</v>
      </c>
      <c r="BO426" s="294" t="e">
        <f t="shared" si="430"/>
        <v>#N/A</v>
      </c>
      <c r="BP426" s="294" t="e">
        <f t="shared" si="431"/>
        <v>#N/A</v>
      </c>
      <c r="BQ426" s="292" t="e">
        <f t="shared" si="390"/>
        <v>#N/A</v>
      </c>
      <c r="BR426" s="295" t="e">
        <f t="shared" si="391"/>
        <v>#N/A</v>
      </c>
      <c r="BS426" s="230" t="e">
        <f>VLOOKUP($B426,SDR22_STOCK_BY_LA!$A$2:$C$11679,3,0)</f>
        <v>#N/A</v>
      </c>
      <c r="BT426" s="230" t="str">
        <f t="shared" si="432"/>
        <v/>
      </c>
    </row>
    <row r="427" spans="1:72" ht="12.5" x14ac:dyDescent="0.25">
      <c r="A427" s="269" t="str">
        <f t="shared" si="433"/>
        <v/>
      </c>
      <c r="B427" s="230" t="str">
        <f t="shared" si="434"/>
        <v/>
      </c>
      <c r="C427" s="270" t="str">
        <f t="shared" si="392"/>
        <v/>
      </c>
      <c r="D427" s="269" t="str">
        <f>IF(B427="","",IF(totals!$Q$3=0,IFERROR(IF(AD427=2,"0",AE427),""),"-"))</f>
        <v/>
      </c>
      <c r="E427" s="271" t="str">
        <f t="shared" si="393"/>
        <v/>
      </c>
      <c r="F427" s="272" t="str">
        <f t="shared" si="394"/>
        <v/>
      </c>
      <c r="G427" s="272" t="str">
        <f t="shared" si="395"/>
        <v/>
      </c>
      <c r="H427" s="269" t="str">
        <f t="shared" si="373"/>
        <v/>
      </c>
      <c r="I427" s="272" t="str">
        <f t="shared" si="396"/>
        <v/>
      </c>
      <c r="J427" s="272" t="str">
        <f t="shared" si="397"/>
        <v/>
      </c>
      <c r="K427" s="269" t="str">
        <f t="shared" si="374"/>
        <v/>
      </c>
      <c r="L427" s="272" t="str">
        <f t="shared" si="375"/>
        <v/>
      </c>
      <c r="M427" s="272" t="str">
        <f t="shared" si="398"/>
        <v/>
      </c>
      <c r="N427" s="269" t="str">
        <f t="shared" si="399"/>
        <v/>
      </c>
      <c r="O427" s="272" t="str">
        <f t="shared" si="400"/>
        <v/>
      </c>
      <c r="P427" s="272" t="str">
        <f t="shared" si="401"/>
        <v/>
      </c>
      <c r="Q427" s="269" t="str">
        <f t="shared" si="402"/>
        <v/>
      </c>
      <c r="R427" s="272" t="str">
        <f t="shared" si="403"/>
        <v/>
      </c>
      <c r="S427" s="272" t="str">
        <f t="shared" si="404"/>
        <v/>
      </c>
      <c r="T427" s="269" t="str">
        <f t="shared" si="405"/>
        <v/>
      </c>
      <c r="U427" s="230"/>
      <c r="V427" s="230"/>
      <c r="AB427" s="270" t="e">
        <f>VLOOKUP($B$6,Lookup_Source,420,0)</f>
        <v>#N/A</v>
      </c>
      <c r="AC427" s="254" t="str">
        <f t="shared" si="406"/>
        <v/>
      </c>
      <c r="AD427" s="255">
        <f t="shared" si="407"/>
        <v>7</v>
      </c>
      <c r="AE427" s="274" t="e">
        <f t="shared" si="376"/>
        <v>#N/A</v>
      </c>
      <c r="AF427" s="277" t="e">
        <f t="shared" si="408"/>
        <v>#N/A</v>
      </c>
      <c r="AG427" s="277" t="e">
        <f t="shared" si="409"/>
        <v>#N/A</v>
      </c>
      <c r="AH427" s="276" t="e">
        <f t="shared" si="377"/>
        <v>#N/A</v>
      </c>
      <c r="AI427" s="239">
        <f t="shared" si="410"/>
        <v>7</v>
      </c>
      <c r="AJ427" s="277" t="e">
        <f t="shared" si="378"/>
        <v>#N/A</v>
      </c>
      <c r="AK427" s="277" t="e">
        <f t="shared" si="411"/>
        <v>#N/A</v>
      </c>
      <c r="AL427" s="239" t="e">
        <f t="shared" si="379"/>
        <v>#N/A</v>
      </c>
      <c r="AM427" s="278" t="e">
        <f t="shared" si="412"/>
        <v>#N/A</v>
      </c>
      <c r="AN427" s="279" t="e">
        <f t="shared" si="380"/>
        <v>#N/A</v>
      </c>
      <c r="AO427" s="240" t="e">
        <f t="shared" si="381"/>
        <v>#N/A</v>
      </c>
      <c r="AP427" s="297">
        <f t="shared" si="413"/>
        <v>7</v>
      </c>
      <c r="AQ427" s="298" t="e">
        <f t="shared" si="382"/>
        <v>#N/A</v>
      </c>
      <c r="AR427" s="279" t="e">
        <f t="shared" si="414"/>
        <v>#N/A</v>
      </c>
      <c r="AS427" s="283" t="e">
        <f t="shared" si="383"/>
        <v>#N/A</v>
      </c>
      <c r="AT427" s="284">
        <f t="shared" si="415"/>
        <v>7</v>
      </c>
      <c r="AU427" s="285" t="e">
        <f t="shared" si="416"/>
        <v>#N/A</v>
      </c>
      <c r="AV427" s="286" t="e">
        <f t="shared" si="417"/>
        <v>#N/A</v>
      </c>
      <c r="AW427" s="287" t="e">
        <f t="shared" si="384"/>
        <v>#N/A</v>
      </c>
      <c r="AX427" s="245">
        <f t="shared" si="418"/>
        <v>7</v>
      </c>
      <c r="AY427" s="286" t="e">
        <f t="shared" si="385"/>
        <v>#N/A</v>
      </c>
      <c r="AZ427" s="245" t="e">
        <f t="shared" si="419"/>
        <v>#N/A</v>
      </c>
      <c r="BA427" s="245" t="e">
        <f t="shared" si="386"/>
        <v>#N/A</v>
      </c>
      <c r="BB427" s="288">
        <f t="shared" si="420"/>
        <v>7</v>
      </c>
      <c r="BC427" s="289" t="e">
        <f t="shared" si="421"/>
        <v>#N/A</v>
      </c>
      <c r="BD427" s="290" t="e">
        <f t="shared" si="422"/>
        <v>#N/A</v>
      </c>
      <c r="BE427" s="263" t="e">
        <f t="shared" si="387"/>
        <v>#N/A</v>
      </c>
      <c r="BF427" s="260">
        <f t="shared" si="423"/>
        <v>7</v>
      </c>
      <c r="BG427" s="289" t="e">
        <f t="shared" si="424"/>
        <v>#N/A</v>
      </c>
      <c r="BH427" s="290" t="e">
        <f t="shared" si="425"/>
        <v>#N/A</v>
      </c>
      <c r="BI427" s="263" t="e">
        <f t="shared" si="388"/>
        <v>#N/A</v>
      </c>
      <c r="BJ427" s="264">
        <f t="shared" si="426"/>
        <v>7</v>
      </c>
      <c r="BK427" s="291" t="e">
        <f t="shared" si="427"/>
        <v>#N/A</v>
      </c>
      <c r="BL427" s="291" t="e">
        <f t="shared" si="428"/>
        <v>#N/A</v>
      </c>
      <c r="BM427" s="292" t="e">
        <f t="shared" si="389"/>
        <v>#N/A</v>
      </c>
      <c r="BN427" s="293">
        <f t="shared" si="429"/>
        <v>7</v>
      </c>
      <c r="BO427" s="294" t="e">
        <f t="shared" si="430"/>
        <v>#N/A</v>
      </c>
      <c r="BP427" s="294" t="e">
        <f t="shared" si="431"/>
        <v>#N/A</v>
      </c>
      <c r="BQ427" s="292" t="e">
        <f t="shared" si="390"/>
        <v>#N/A</v>
      </c>
      <c r="BR427" s="295" t="e">
        <f t="shared" si="391"/>
        <v>#N/A</v>
      </c>
      <c r="BS427" s="230" t="e">
        <f>VLOOKUP($B427,SDR22_STOCK_BY_LA!$A$2:$C$11679,3,0)</f>
        <v>#N/A</v>
      </c>
      <c r="BT427" s="230" t="str">
        <f t="shared" si="432"/>
        <v/>
      </c>
    </row>
    <row r="428" spans="1:72" ht="12.5" x14ac:dyDescent="0.25">
      <c r="A428" s="230" t="str">
        <f t="shared" si="433"/>
        <v/>
      </c>
      <c r="B428" s="230" t="str">
        <f t="shared" si="434"/>
        <v/>
      </c>
      <c r="C428" s="296" t="str">
        <f t="shared" si="392"/>
        <v/>
      </c>
      <c r="D428" s="269" t="str">
        <f>IF(B428="","",IF(totals!$Q$3=0,IFERROR(IF(AD428=2,"0",AE428),""),"-"))</f>
        <v/>
      </c>
      <c r="E428" s="271" t="str">
        <f t="shared" si="393"/>
        <v/>
      </c>
      <c r="F428" s="272" t="str">
        <f t="shared" si="394"/>
        <v/>
      </c>
      <c r="G428" s="272" t="str">
        <f t="shared" si="395"/>
        <v/>
      </c>
      <c r="H428" s="269" t="str">
        <f t="shared" si="373"/>
        <v/>
      </c>
      <c r="I428" s="272" t="str">
        <f t="shared" si="396"/>
        <v/>
      </c>
      <c r="J428" s="272" t="str">
        <f t="shared" si="397"/>
        <v/>
      </c>
      <c r="K428" s="269" t="str">
        <f t="shared" si="374"/>
        <v/>
      </c>
      <c r="L428" s="272" t="str">
        <f t="shared" si="375"/>
        <v/>
      </c>
      <c r="M428" s="272" t="str">
        <f t="shared" si="398"/>
        <v/>
      </c>
      <c r="N428" s="269" t="str">
        <f t="shared" si="399"/>
        <v/>
      </c>
      <c r="O428" s="272" t="str">
        <f t="shared" si="400"/>
        <v/>
      </c>
      <c r="P428" s="272" t="str">
        <f t="shared" si="401"/>
        <v/>
      </c>
      <c r="Q428" s="269" t="str">
        <f t="shared" si="402"/>
        <v/>
      </c>
      <c r="R428" s="272" t="str">
        <f t="shared" si="403"/>
        <v/>
      </c>
      <c r="S428" s="272" t="str">
        <f t="shared" si="404"/>
        <v/>
      </c>
      <c r="T428" s="269" t="str">
        <f t="shared" si="405"/>
        <v/>
      </c>
      <c r="U428" s="230"/>
      <c r="V428" s="230"/>
      <c r="AB428" s="230" t="e">
        <f>VLOOKUP($B$6,Lookup_Source,421,0)</f>
        <v>#N/A</v>
      </c>
      <c r="AC428" s="254" t="str">
        <f t="shared" si="406"/>
        <v/>
      </c>
      <c r="AD428" s="255">
        <f t="shared" si="407"/>
        <v>7</v>
      </c>
      <c r="AE428" s="274" t="e">
        <f t="shared" si="376"/>
        <v>#N/A</v>
      </c>
      <c r="AF428" s="277" t="e">
        <f t="shared" si="408"/>
        <v>#N/A</v>
      </c>
      <c r="AG428" s="277" t="e">
        <f t="shared" si="409"/>
        <v>#N/A</v>
      </c>
      <c r="AH428" s="276" t="e">
        <f t="shared" si="377"/>
        <v>#N/A</v>
      </c>
      <c r="AI428" s="239">
        <f t="shared" si="410"/>
        <v>7</v>
      </c>
      <c r="AJ428" s="277" t="e">
        <f t="shared" si="378"/>
        <v>#N/A</v>
      </c>
      <c r="AK428" s="277" t="e">
        <f t="shared" si="411"/>
        <v>#N/A</v>
      </c>
      <c r="AL428" s="239" t="e">
        <f t="shared" si="379"/>
        <v>#N/A</v>
      </c>
      <c r="AM428" s="278" t="e">
        <f t="shared" si="412"/>
        <v>#N/A</v>
      </c>
      <c r="AN428" s="279" t="e">
        <f t="shared" si="380"/>
        <v>#N/A</v>
      </c>
      <c r="AO428" s="240" t="e">
        <f t="shared" si="381"/>
        <v>#N/A</v>
      </c>
      <c r="AP428" s="297">
        <f t="shared" si="413"/>
        <v>7</v>
      </c>
      <c r="AQ428" s="298" t="e">
        <f t="shared" si="382"/>
        <v>#N/A</v>
      </c>
      <c r="AR428" s="279" t="e">
        <f t="shared" si="414"/>
        <v>#N/A</v>
      </c>
      <c r="AS428" s="283" t="e">
        <f t="shared" si="383"/>
        <v>#N/A</v>
      </c>
      <c r="AT428" s="284">
        <f t="shared" si="415"/>
        <v>7</v>
      </c>
      <c r="AU428" s="285" t="e">
        <f t="shared" si="416"/>
        <v>#N/A</v>
      </c>
      <c r="AV428" s="286" t="e">
        <f t="shared" si="417"/>
        <v>#N/A</v>
      </c>
      <c r="AW428" s="287" t="e">
        <f t="shared" si="384"/>
        <v>#N/A</v>
      </c>
      <c r="AX428" s="245">
        <f t="shared" si="418"/>
        <v>7</v>
      </c>
      <c r="AY428" s="286" t="e">
        <f t="shared" si="385"/>
        <v>#N/A</v>
      </c>
      <c r="AZ428" s="245" t="e">
        <f t="shared" si="419"/>
        <v>#N/A</v>
      </c>
      <c r="BA428" s="245" t="e">
        <f t="shared" si="386"/>
        <v>#N/A</v>
      </c>
      <c r="BB428" s="288">
        <f t="shared" si="420"/>
        <v>7</v>
      </c>
      <c r="BC428" s="289" t="e">
        <f t="shared" si="421"/>
        <v>#N/A</v>
      </c>
      <c r="BD428" s="290" t="e">
        <f t="shared" si="422"/>
        <v>#N/A</v>
      </c>
      <c r="BE428" s="263" t="e">
        <f t="shared" si="387"/>
        <v>#N/A</v>
      </c>
      <c r="BF428" s="260">
        <f t="shared" si="423"/>
        <v>7</v>
      </c>
      <c r="BG428" s="289" t="e">
        <f t="shared" si="424"/>
        <v>#N/A</v>
      </c>
      <c r="BH428" s="290" t="e">
        <f t="shared" si="425"/>
        <v>#N/A</v>
      </c>
      <c r="BI428" s="263" t="e">
        <f t="shared" si="388"/>
        <v>#N/A</v>
      </c>
      <c r="BJ428" s="264">
        <f t="shared" si="426"/>
        <v>7</v>
      </c>
      <c r="BK428" s="291" t="e">
        <f t="shared" si="427"/>
        <v>#N/A</v>
      </c>
      <c r="BL428" s="291" t="e">
        <f t="shared" si="428"/>
        <v>#N/A</v>
      </c>
      <c r="BM428" s="292" t="e">
        <f t="shared" si="389"/>
        <v>#N/A</v>
      </c>
      <c r="BN428" s="293">
        <f t="shared" si="429"/>
        <v>7</v>
      </c>
      <c r="BO428" s="294" t="e">
        <f t="shared" si="430"/>
        <v>#N/A</v>
      </c>
      <c r="BP428" s="294" t="e">
        <f t="shared" si="431"/>
        <v>#N/A</v>
      </c>
      <c r="BQ428" s="292" t="e">
        <f t="shared" si="390"/>
        <v>#N/A</v>
      </c>
      <c r="BR428" s="295" t="e">
        <f t="shared" si="391"/>
        <v>#N/A</v>
      </c>
      <c r="BS428" s="230" t="e">
        <f>VLOOKUP($B428,SDR22_STOCK_BY_LA!$A$2:$C$11679,3,0)</f>
        <v>#N/A</v>
      </c>
      <c r="BT428" s="230" t="str">
        <f t="shared" si="432"/>
        <v/>
      </c>
    </row>
    <row r="429" spans="1:72" ht="12.5" x14ac:dyDescent="0.25">
      <c r="A429" s="269" t="str">
        <f t="shared" si="433"/>
        <v/>
      </c>
      <c r="B429" s="230" t="str">
        <f t="shared" si="434"/>
        <v/>
      </c>
      <c r="C429" s="270" t="str">
        <f t="shared" si="392"/>
        <v/>
      </c>
      <c r="D429" s="269" t="str">
        <f>IF(B429="","",IF(totals!$Q$3=0,IFERROR(IF(AD429=2,"0",AE429),""),"-"))</f>
        <v/>
      </c>
      <c r="E429" s="271" t="str">
        <f t="shared" si="393"/>
        <v/>
      </c>
      <c r="F429" s="272" t="str">
        <f t="shared" si="394"/>
        <v/>
      </c>
      <c r="G429" s="272" t="str">
        <f t="shared" si="395"/>
        <v/>
      </c>
      <c r="H429" s="269" t="str">
        <f t="shared" si="373"/>
        <v/>
      </c>
      <c r="I429" s="272" t="str">
        <f t="shared" si="396"/>
        <v/>
      </c>
      <c r="J429" s="272" t="str">
        <f t="shared" si="397"/>
        <v/>
      </c>
      <c r="K429" s="269" t="str">
        <f t="shared" si="374"/>
        <v/>
      </c>
      <c r="L429" s="272" t="str">
        <f t="shared" si="375"/>
        <v/>
      </c>
      <c r="M429" s="272" t="str">
        <f t="shared" si="398"/>
        <v/>
      </c>
      <c r="N429" s="269" t="str">
        <f t="shared" si="399"/>
        <v/>
      </c>
      <c r="O429" s="272" t="str">
        <f t="shared" si="400"/>
        <v/>
      </c>
      <c r="P429" s="272" t="str">
        <f t="shared" si="401"/>
        <v/>
      </c>
      <c r="Q429" s="269" t="str">
        <f t="shared" si="402"/>
        <v/>
      </c>
      <c r="R429" s="272" t="str">
        <f t="shared" si="403"/>
        <v/>
      </c>
      <c r="S429" s="272" t="str">
        <f t="shared" si="404"/>
        <v/>
      </c>
      <c r="T429" s="269" t="str">
        <f t="shared" si="405"/>
        <v/>
      </c>
      <c r="U429" s="230"/>
      <c r="V429" s="230"/>
      <c r="AB429" s="270" t="e">
        <f>VLOOKUP($B$6,Lookup_Source,422,0)</f>
        <v>#N/A</v>
      </c>
      <c r="AC429" s="254" t="str">
        <f t="shared" si="406"/>
        <v/>
      </c>
      <c r="AD429" s="255">
        <f t="shared" si="407"/>
        <v>7</v>
      </c>
      <c r="AE429" s="274" t="e">
        <f t="shared" si="376"/>
        <v>#N/A</v>
      </c>
      <c r="AF429" s="277" t="e">
        <f t="shared" si="408"/>
        <v>#N/A</v>
      </c>
      <c r="AG429" s="277" t="e">
        <f t="shared" si="409"/>
        <v>#N/A</v>
      </c>
      <c r="AH429" s="276" t="e">
        <f t="shared" si="377"/>
        <v>#N/A</v>
      </c>
      <c r="AI429" s="239">
        <f t="shared" si="410"/>
        <v>7</v>
      </c>
      <c r="AJ429" s="277" t="e">
        <f t="shared" si="378"/>
        <v>#N/A</v>
      </c>
      <c r="AK429" s="277" t="e">
        <f t="shared" si="411"/>
        <v>#N/A</v>
      </c>
      <c r="AL429" s="239" t="e">
        <f t="shared" si="379"/>
        <v>#N/A</v>
      </c>
      <c r="AM429" s="278" t="e">
        <f t="shared" si="412"/>
        <v>#N/A</v>
      </c>
      <c r="AN429" s="279" t="e">
        <f t="shared" si="380"/>
        <v>#N/A</v>
      </c>
      <c r="AO429" s="240" t="e">
        <f t="shared" si="381"/>
        <v>#N/A</v>
      </c>
      <c r="AP429" s="297">
        <f t="shared" si="413"/>
        <v>7</v>
      </c>
      <c r="AQ429" s="298" t="e">
        <f t="shared" si="382"/>
        <v>#N/A</v>
      </c>
      <c r="AR429" s="279" t="e">
        <f t="shared" si="414"/>
        <v>#N/A</v>
      </c>
      <c r="AS429" s="283" t="e">
        <f t="shared" si="383"/>
        <v>#N/A</v>
      </c>
      <c r="AT429" s="284">
        <f t="shared" si="415"/>
        <v>7</v>
      </c>
      <c r="AU429" s="285" t="e">
        <f t="shared" si="416"/>
        <v>#N/A</v>
      </c>
      <c r="AV429" s="286" t="e">
        <f t="shared" si="417"/>
        <v>#N/A</v>
      </c>
      <c r="AW429" s="287" t="e">
        <f t="shared" si="384"/>
        <v>#N/A</v>
      </c>
      <c r="AX429" s="245">
        <f t="shared" si="418"/>
        <v>7</v>
      </c>
      <c r="AY429" s="286" t="e">
        <f t="shared" si="385"/>
        <v>#N/A</v>
      </c>
      <c r="AZ429" s="245" t="e">
        <f t="shared" si="419"/>
        <v>#N/A</v>
      </c>
      <c r="BA429" s="245" t="e">
        <f t="shared" si="386"/>
        <v>#N/A</v>
      </c>
      <c r="BB429" s="288">
        <f t="shared" si="420"/>
        <v>7</v>
      </c>
      <c r="BC429" s="289" t="e">
        <f t="shared" si="421"/>
        <v>#N/A</v>
      </c>
      <c r="BD429" s="290" t="e">
        <f t="shared" si="422"/>
        <v>#N/A</v>
      </c>
      <c r="BE429" s="263" t="e">
        <f t="shared" si="387"/>
        <v>#N/A</v>
      </c>
      <c r="BF429" s="260">
        <f t="shared" si="423"/>
        <v>7</v>
      </c>
      <c r="BG429" s="289" t="e">
        <f t="shared" si="424"/>
        <v>#N/A</v>
      </c>
      <c r="BH429" s="290" t="e">
        <f t="shared" si="425"/>
        <v>#N/A</v>
      </c>
      <c r="BI429" s="263" t="e">
        <f t="shared" si="388"/>
        <v>#N/A</v>
      </c>
      <c r="BJ429" s="264">
        <f t="shared" si="426"/>
        <v>7</v>
      </c>
      <c r="BK429" s="291" t="e">
        <f t="shared" si="427"/>
        <v>#N/A</v>
      </c>
      <c r="BL429" s="291" t="e">
        <f t="shared" si="428"/>
        <v>#N/A</v>
      </c>
      <c r="BM429" s="292" t="e">
        <f t="shared" si="389"/>
        <v>#N/A</v>
      </c>
      <c r="BN429" s="293">
        <f t="shared" si="429"/>
        <v>7</v>
      </c>
      <c r="BO429" s="294" t="e">
        <f t="shared" si="430"/>
        <v>#N/A</v>
      </c>
      <c r="BP429" s="294" t="e">
        <f t="shared" si="431"/>
        <v>#N/A</v>
      </c>
      <c r="BQ429" s="292" t="e">
        <f t="shared" si="390"/>
        <v>#N/A</v>
      </c>
      <c r="BR429" s="295" t="e">
        <f t="shared" si="391"/>
        <v>#N/A</v>
      </c>
      <c r="BS429" s="230" t="e">
        <f>VLOOKUP($B429,SDR22_STOCK_BY_LA!$A$2:$C$11679,3,0)</f>
        <v>#N/A</v>
      </c>
      <c r="BT429" s="230" t="str">
        <f t="shared" si="432"/>
        <v/>
      </c>
    </row>
    <row r="430" spans="1:72" ht="12.5" x14ac:dyDescent="0.25">
      <c r="A430" s="230" t="str">
        <f t="shared" si="433"/>
        <v/>
      </c>
      <c r="B430" s="230" t="str">
        <f t="shared" si="434"/>
        <v/>
      </c>
      <c r="C430" s="296" t="str">
        <f t="shared" si="392"/>
        <v/>
      </c>
      <c r="D430" s="269" t="str">
        <f>IF(B430="","",IF(totals!$Q$3=0,IFERROR(IF(AD430=2,"0",AE430),""),"-"))</f>
        <v/>
      </c>
      <c r="E430" s="271" t="str">
        <f t="shared" si="393"/>
        <v/>
      </c>
      <c r="F430" s="272" t="str">
        <f t="shared" si="394"/>
        <v/>
      </c>
      <c r="G430" s="272" t="str">
        <f t="shared" si="395"/>
        <v/>
      </c>
      <c r="H430" s="269" t="str">
        <f t="shared" si="373"/>
        <v/>
      </c>
      <c r="I430" s="272" t="str">
        <f t="shared" si="396"/>
        <v/>
      </c>
      <c r="J430" s="272" t="str">
        <f t="shared" si="397"/>
        <v/>
      </c>
      <c r="K430" s="269" t="str">
        <f t="shared" si="374"/>
        <v/>
      </c>
      <c r="L430" s="272" t="str">
        <f t="shared" si="375"/>
        <v/>
      </c>
      <c r="M430" s="272" t="str">
        <f t="shared" si="398"/>
        <v/>
      </c>
      <c r="N430" s="269" t="str">
        <f t="shared" si="399"/>
        <v/>
      </c>
      <c r="O430" s="272" t="str">
        <f t="shared" si="400"/>
        <v/>
      </c>
      <c r="P430" s="272" t="str">
        <f t="shared" si="401"/>
        <v/>
      </c>
      <c r="Q430" s="269" t="str">
        <f t="shared" si="402"/>
        <v/>
      </c>
      <c r="R430" s="272" t="str">
        <f t="shared" si="403"/>
        <v/>
      </c>
      <c r="S430" s="272" t="str">
        <f t="shared" si="404"/>
        <v/>
      </c>
      <c r="T430" s="269" t="str">
        <f t="shared" si="405"/>
        <v/>
      </c>
      <c r="U430" s="230"/>
      <c r="V430" s="230"/>
      <c r="AB430" s="230" t="e">
        <f>VLOOKUP($B$6,Lookup_Source,423,0)</f>
        <v>#N/A</v>
      </c>
      <c r="AC430" s="254" t="str">
        <f t="shared" si="406"/>
        <v/>
      </c>
      <c r="AD430" s="255">
        <f t="shared" si="407"/>
        <v>7</v>
      </c>
      <c r="AE430" s="274" t="e">
        <f t="shared" si="376"/>
        <v>#N/A</v>
      </c>
      <c r="AF430" s="277" t="e">
        <f t="shared" si="408"/>
        <v>#N/A</v>
      </c>
      <c r="AG430" s="277" t="e">
        <f t="shared" si="409"/>
        <v>#N/A</v>
      </c>
      <c r="AH430" s="276" t="e">
        <f t="shared" si="377"/>
        <v>#N/A</v>
      </c>
      <c r="AI430" s="239">
        <f t="shared" si="410"/>
        <v>7</v>
      </c>
      <c r="AJ430" s="277" t="e">
        <f t="shared" si="378"/>
        <v>#N/A</v>
      </c>
      <c r="AK430" s="277" t="e">
        <f t="shared" si="411"/>
        <v>#N/A</v>
      </c>
      <c r="AL430" s="239" t="e">
        <f t="shared" si="379"/>
        <v>#N/A</v>
      </c>
      <c r="AM430" s="278" t="e">
        <f t="shared" si="412"/>
        <v>#N/A</v>
      </c>
      <c r="AN430" s="279" t="e">
        <f t="shared" si="380"/>
        <v>#N/A</v>
      </c>
      <c r="AO430" s="240" t="e">
        <f t="shared" si="381"/>
        <v>#N/A</v>
      </c>
      <c r="AP430" s="297">
        <f t="shared" si="413"/>
        <v>7</v>
      </c>
      <c r="AQ430" s="298" t="e">
        <f t="shared" si="382"/>
        <v>#N/A</v>
      </c>
      <c r="AR430" s="279" t="e">
        <f t="shared" si="414"/>
        <v>#N/A</v>
      </c>
      <c r="AS430" s="283" t="e">
        <f t="shared" si="383"/>
        <v>#N/A</v>
      </c>
      <c r="AT430" s="284">
        <f t="shared" si="415"/>
        <v>7</v>
      </c>
      <c r="AU430" s="285" t="e">
        <f t="shared" si="416"/>
        <v>#N/A</v>
      </c>
      <c r="AV430" s="286" t="e">
        <f t="shared" si="417"/>
        <v>#N/A</v>
      </c>
      <c r="AW430" s="287" t="e">
        <f t="shared" si="384"/>
        <v>#N/A</v>
      </c>
      <c r="AX430" s="245">
        <f t="shared" si="418"/>
        <v>7</v>
      </c>
      <c r="AY430" s="286" t="e">
        <f t="shared" si="385"/>
        <v>#N/A</v>
      </c>
      <c r="AZ430" s="245" t="e">
        <f t="shared" si="419"/>
        <v>#N/A</v>
      </c>
      <c r="BA430" s="245" t="e">
        <f t="shared" si="386"/>
        <v>#N/A</v>
      </c>
      <c r="BB430" s="288">
        <f t="shared" si="420"/>
        <v>7</v>
      </c>
      <c r="BC430" s="289" t="e">
        <f t="shared" si="421"/>
        <v>#N/A</v>
      </c>
      <c r="BD430" s="290" t="e">
        <f t="shared" si="422"/>
        <v>#N/A</v>
      </c>
      <c r="BE430" s="263" t="e">
        <f t="shared" si="387"/>
        <v>#N/A</v>
      </c>
      <c r="BF430" s="260">
        <f t="shared" si="423"/>
        <v>7</v>
      </c>
      <c r="BG430" s="289" t="e">
        <f t="shared" si="424"/>
        <v>#N/A</v>
      </c>
      <c r="BH430" s="290" t="e">
        <f t="shared" si="425"/>
        <v>#N/A</v>
      </c>
      <c r="BI430" s="263" t="e">
        <f t="shared" si="388"/>
        <v>#N/A</v>
      </c>
      <c r="BJ430" s="264">
        <f t="shared" si="426"/>
        <v>7</v>
      </c>
      <c r="BK430" s="291" t="e">
        <f t="shared" si="427"/>
        <v>#N/A</v>
      </c>
      <c r="BL430" s="291" t="e">
        <f t="shared" si="428"/>
        <v>#N/A</v>
      </c>
      <c r="BM430" s="292" t="e">
        <f t="shared" si="389"/>
        <v>#N/A</v>
      </c>
      <c r="BN430" s="293">
        <f t="shared" si="429"/>
        <v>7</v>
      </c>
      <c r="BO430" s="294" t="e">
        <f t="shared" si="430"/>
        <v>#N/A</v>
      </c>
      <c r="BP430" s="294" t="e">
        <f t="shared" si="431"/>
        <v>#N/A</v>
      </c>
      <c r="BQ430" s="292" t="e">
        <f t="shared" si="390"/>
        <v>#N/A</v>
      </c>
      <c r="BR430" s="295" t="e">
        <f t="shared" si="391"/>
        <v>#N/A</v>
      </c>
      <c r="BS430" s="230" t="e">
        <f>VLOOKUP($B430,SDR22_STOCK_BY_LA!$A$2:$C$11679,3,0)</f>
        <v>#N/A</v>
      </c>
      <c r="BT430" s="230" t="str">
        <f t="shared" si="432"/>
        <v/>
      </c>
    </row>
    <row r="431" spans="1:72" ht="12.5" x14ac:dyDescent="0.25">
      <c r="A431" s="269" t="str">
        <f t="shared" si="433"/>
        <v/>
      </c>
      <c r="B431" s="230" t="str">
        <f t="shared" si="434"/>
        <v/>
      </c>
      <c r="C431" s="270" t="str">
        <f t="shared" si="392"/>
        <v/>
      </c>
      <c r="D431" s="269" t="str">
        <f>IF(B431="","",IF(totals!$Q$3=0,IFERROR(IF(AD431=2,"0",AE431),""),"-"))</f>
        <v/>
      </c>
      <c r="E431" s="271" t="str">
        <f t="shared" si="393"/>
        <v/>
      </c>
      <c r="F431" s="272" t="str">
        <f t="shared" si="394"/>
        <v/>
      </c>
      <c r="G431" s="272" t="str">
        <f t="shared" si="395"/>
        <v/>
      </c>
      <c r="H431" s="269" t="str">
        <f t="shared" si="373"/>
        <v/>
      </c>
      <c r="I431" s="272" t="str">
        <f t="shared" si="396"/>
        <v/>
      </c>
      <c r="J431" s="272" t="str">
        <f t="shared" si="397"/>
        <v/>
      </c>
      <c r="K431" s="269" t="str">
        <f t="shared" si="374"/>
        <v/>
      </c>
      <c r="L431" s="272" t="str">
        <f t="shared" si="375"/>
        <v/>
      </c>
      <c r="M431" s="272" t="str">
        <f t="shared" si="398"/>
        <v/>
      </c>
      <c r="N431" s="269" t="str">
        <f t="shared" si="399"/>
        <v/>
      </c>
      <c r="O431" s="272" t="str">
        <f t="shared" si="400"/>
        <v/>
      </c>
      <c r="P431" s="272" t="str">
        <f t="shared" si="401"/>
        <v/>
      </c>
      <c r="Q431" s="269" t="str">
        <f t="shared" si="402"/>
        <v/>
      </c>
      <c r="R431" s="272" t="str">
        <f t="shared" si="403"/>
        <v/>
      </c>
      <c r="S431" s="272" t="str">
        <f t="shared" si="404"/>
        <v/>
      </c>
      <c r="T431" s="269" t="str">
        <f t="shared" si="405"/>
        <v/>
      </c>
      <c r="U431" s="230"/>
      <c r="V431" s="230"/>
      <c r="AB431" s="270" t="e">
        <f>VLOOKUP($B$6,Lookup_Source,424,0)</f>
        <v>#N/A</v>
      </c>
      <c r="AC431" s="254" t="str">
        <f t="shared" si="406"/>
        <v/>
      </c>
      <c r="AD431" s="255">
        <f t="shared" si="407"/>
        <v>7</v>
      </c>
      <c r="AE431" s="274" t="e">
        <f t="shared" si="376"/>
        <v>#N/A</v>
      </c>
      <c r="AF431" s="277" t="e">
        <f t="shared" si="408"/>
        <v>#N/A</v>
      </c>
      <c r="AG431" s="277" t="e">
        <f t="shared" si="409"/>
        <v>#N/A</v>
      </c>
      <c r="AH431" s="276" t="e">
        <f t="shared" si="377"/>
        <v>#N/A</v>
      </c>
      <c r="AI431" s="239">
        <f t="shared" si="410"/>
        <v>7</v>
      </c>
      <c r="AJ431" s="277" t="e">
        <f t="shared" si="378"/>
        <v>#N/A</v>
      </c>
      <c r="AK431" s="277" t="e">
        <f t="shared" si="411"/>
        <v>#N/A</v>
      </c>
      <c r="AL431" s="239" t="e">
        <f t="shared" si="379"/>
        <v>#N/A</v>
      </c>
      <c r="AM431" s="278" t="e">
        <f t="shared" si="412"/>
        <v>#N/A</v>
      </c>
      <c r="AN431" s="279" t="e">
        <f t="shared" si="380"/>
        <v>#N/A</v>
      </c>
      <c r="AO431" s="240" t="e">
        <f t="shared" si="381"/>
        <v>#N/A</v>
      </c>
      <c r="AP431" s="297">
        <f t="shared" si="413"/>
        <v>7</v>
      </c>
      <c r="AQ431" s="298" t="e">
        <f t="shared" si="382"/>
        <v>#N/A</v>
      </c>
      <c r="AR431" s="279" t="e">
        <f t="shared" si="414"/>
        <v>#N/A</v>
      </c>
      <c r="AS431" s="283" t="e">
        <f t="shared" si="383"/>
        <v>#N/A</v>
      </c>
      <c r="AT431" s="284">
        <f t="shared" si="415"/>
        <v>7</v>
      </c>
      <c r="AU431" s="285" t="e">
        <f t="shared" si="416"/>
        <v>#N/A</v>
      </c>
      <c r="AV431" s="286" t="e">
        <f t="shared" si="417"/>
        <v>#N/A</v>
      </c>
      <c r="AW431" s="287" t="e">
        <f t="shared" si="384"/>
        <v>#N/A</v>
      </c>
      <c r="AX431" s="245">
        <f t="shared" si="418"/>
        <v>7</v>
      </c>
      <c r="AY431" s="286" t="e">
        <f t="shared" si="385"/>
        <v>#N/A</v>
      </c>
      <c r="AZ431" s="245" t="e">
        <f t="shared" si="419"/>
        <v>#N/A</v>
      </c>
      <c r="BA431" s="245" t="e">
        <f t="shared" si="386"/>
        <v>#N/A</v>
      </c>
      <c r="BB431" s="288">
        <f t="shared" si="420"/>
        <v>7</v>
      </c>
      <c r="BC431" s="289" t="e">
        <f t="shared" si="421"/>
        <v>#N/A</v>
      </c>
      <c r="BD431" s="290" t="e">
        <f t="shared" si="422"/>
        <v>#N/A</v>
      </c>
      <c r="BE431" s="263" t="e">
        <f t="shared" si="387"/>
        <v>#N/A</v>
      </c>
      <c r="BF431" s="260">
        <f t="shared" si="423"/>
        <v>7</v>
      </c>
      <c r="BG431" s="289" t="e">
        <f t="shared" si="424"/>
        <v>#N/A</v>
      </c>
      <c r="BH431" s="290" t="e">
        <f t="shared" si="425"/>
        <v>#N/A</v>
      </c>
      <c r="BI431" s="263" t="e">
        <f t="shared" si="388"/>
        <v>#N/A</v>
      </c>
      <c r="BJ431" s="264">
        <f t="shared" si="426"/>
        <v>7</v>
      </c>
      <c r="BK431" s="291" t="e">
        <f t="shared" si="427"/>
        <v>#N/A</v>
      </c>
      <c r="BL431" s="291" t="e">
        <f t="shared" si="428"/>
        <v>#N/A</v>
      </c>
      <c r="BM431" s="292" t="e">
        <f t="shared" si="389"/>
        <v>#N/A</v>
      </c>
      <c r="BN431" s="293">
        <f t="shared" si="429"/>
        <v>7</v>
      </c>
      <c r="BO431" s="294" t="e">
        <f t="shared" si="430"/>
        <v>#N/A</v>
      </c>
      <c r="BP431" s="294" t="e">
        <f t="shared" si="431"/>
        <v>#N/A</v>
      </c>
      <c r="BQ431" s="292" t="e">
        <f t="shared" si="390"/>
        <v>#N/A</v>
      </c>
      <c r="BR431" s="295" t="e">
        <f t="shared" si="391"/>
        <v>#N/A</v>
      </c>
      <c r="BS431" s="230" t="e">
        <f>VLOOKUP($B431,SDR22_STOCK_BY_LA!$A$2:$C$11679,3,0)</f>
        <v>#N/A</v>
      </c>
      <c r="BT431" s="230" t="str">
        <f t="shared" si="432"/>
        <v/>
      </c>
    </row>
    <row r="432" spans="1:72" ht="12.5" x14ac:dyDescent="0.25">
      <c r="A432" s="230" t="str">
        <f t="shared" si="433"/>
        <v/>
      </c>
      <c r="B432" s="230" t="str">
        <f t="shared" si="434"/>
        <v/>
      </c>
      <c r="C432" s="296" t="str">
        <f t="shared" si="392"/>
        <v/>
      </c>
      <c r="D432" s="269" t="str">
        <f>IF(B432="","",IF(totals!$Q$3=0,IFERROR(IF(AD432=2,"0",AE432),""),"-"))</f>
        <v/>
      </c>
      <c r="E432" s="271" t="str">
        <f t="shared" si="393"/>
        <v/>
      </c>
      <c r="F432" s="272" t="str">
        <f t="shared" si="394"/>
        <v/>
      </c>
      <c r="G432" s="272" t="str">
        <f t="shared" si="395"/>
        <v/>
      </c>
      <c r="H432" s="269" t="str">
        <f t="shared" si="373"/>
        <v/>
      </c>
      <c r="I432" s="272" t="str">
        <f t="shared" si="396"/>
        <v/>
      </c>
      <c r="J432" s="272" t="str">
        <f t="shared" si="397"/>
        <v/>
      </c>
      <c r="K432" s="269" t="str">
        <f t="shared" si="374"/>
        <v/>
      </c>
      <c r="L432" s="272" t="str">
        <f t="shared" si="375"/>
        <v/>
      </c>
      <c r="M432" s="272" t="str">
        <f t="shared" si="398"/>
        <v/>
      </c>
      <c r="N432" s="269" t="str">
        <f t="shared" si="399"/>
        <v/>
      </c>
      <c r="O432" s="272" t="str">
        <f t="shared" si="400"/>
        <v/>
      </c>
      <c r="P432" s="272" t="str">
        <f t="shared" si="401"/>
        <v/>
      </c>
      <c r="Q432" s="269" t="str">
        <f t="shared" si="402"/>
        <v/>
      </c>
      <c r="R432" s="272" t="str">
        <f t="shared" si="403"/>
        <v/>
      </c>
      <c r="S432" s="272" t="str">
        <f t="shared" si="404"/>
        <v/>
      </c>
      <c r="T432" s="269" t="str">
        <f t="shared" si="405"/>
        <v/>
      </c>
      <c r="U432" s="230"/>
      <c r="V432" s="230"/>
      <c r="AB432" s="230" t="e">
        <f>VLOOKUP($B$6,Lookup_Source,425,0)</f>
        <v>#N/A</v>
      </c>
      <c r="AC432" s="254" t="str">
        <f t="shared" si="406"/>
        <v/>
      </c>
      <c r="AD432" s="255">
        <f t="shared" si="407"/>
        <v>7</v>
      </c>
      <c r="AE432" s="274" t="e">
        <f t="shared" si="376"/>
        <v>#N/A</v>
      </c>
      <c r="AF432" s="277" t="e">
        <f t="shared" si="408"/>
        <v>#N/A</v>
      </c>
      <c r="AG432" s="277" t="e">
        <f t="shared" si="409"/>
        <v>#N/A</v>
      </c>
      <c r="AH432" s="276" t="e">
        <f t="shared" si="377"/>
        <v>#N/A</v>
      </c>
      <c r="AI432" s="239">
        <f t="shared" si="410"/>
        <v>7</v>
      </c>
      <c r="AJ432" s="277" t="e">
        <f t="shared" si="378"/>
        <v>#N/A</v>
      </c>
      <c r="AK432" s="277" t="e">
        <f t="shared" si="411"/>
        <v>#N/A</v>
      </c>
      <c r="AL432" s="239" t="e">
        <f t="shared" si="379"/>
        <v>#N/A</v>
      </c>
      <c r="AM432" s="278" t="e">
        <f t="shared" si="412"/>
        <v>#N/A</v>
      </c>
      <c r="AN432" s="279" t="e">
        <f t="shared" si="380"/>
        <v>#N/A</v>
      </c>
      <c r="AO432" s="240" t="e">
        <f t="shared" si="381"/>
        <v>#N/A</v>
      </c>
      <c r="AP432" s="297">
        <f t="shared" si="413"/>
        <v>7</v>
      </c>
      <c r="AQ432" s="298" t="e">
        <f t="shared" si="382"/>
        <v>#N/A</v>
      </c>
      <c r="AR432" s="279" t="e">
        <f t="shared" si="414"/>
        <v>#N/A</v>
      </c>
      <c r="AS432" s="283" t="e">
        <f t="shared" si="383"/>
        <v>#N/A</v>
      </c>
      <c r="AT432" s="284">
        <f t="shared" si="415"/>
        <v>7</v>
      </c>
      <c r="AU432" s="285" t="e">
        <f t="shared" si="416"/>
        <v>#N/A</v>
      </c>
      <c r="AV432" s="286" t="e">
        <f t="shared" si="417"/>
        <v>#N/A</v>
      </c>
      <c r="AW432" s="287" t="e">
        <f t="shared" si="384"/>
        <v>#N/A</v>
      </c>
      <c r="AX432" s="245">
        <f t="shared" si="418"/>
        <v>7</v>
      </c>
      <c r="AY432" s="286" t="e">
        <f t="shared" si="385"/>
        <v>#N/A</v>
      </c>
      <c r="AZ432" s="245" t="e">
        <f t="shared" si="419"/>
        <v>#N/A</v>
      </c>
      <c r="BA432" s="245" t="e">
        <f t="shared" si="386"/>
        <v>#N/A</v>
      </c>
      <c r="BB432" s="288">
        <f t="shared" si="420"/>
        <v>7</v>
      </c>
      <c r="BC432" s="289" t="e">
        <f t="shared" si="421"/>
        <v>#N/A</v>
      </c>
      <c r="BD432" s="290" t="e">
        <f t="shared" si="422"/>
        <v>#N/A</v>
      </c>
      <c r="BE432" s="263" t="e">
        <f t="shared" si="387"/>
        <v>#N/A</v>
      </c>
      <c r="BF432" s="260">
        <f t="shared" si="423"/>
        <v>7</v>
      </c>
      <c r="BG432" s="289" t="e">
        <f t="shared" si="424"/>
        <v>#N/A</v>
      </c>
      <c r="BH432" s="290" t="e">
        <f t="shared" si="425"/>
        <v>#N/A</v>
      </c>
      <c r="BI432" s="263" t="e">
        <f t="shared" si="388"/>
        <v>#N/A</v>
      </c>
      <c r="BJ432" s="264">
        <f t="shared" si="426"/>
        <v>7</v>
      </c>
      <c r="BK432" s="291" t="e">
        <f t="shared" si="427"/>
        <v>#N/A</v>
      </c>
      <c r="BL432" s="291" t="e">
        <f t="shared" si="428"/>
        <v>#N/A</v>
      </c>
      <c r="BM432" s="292" t="e">
        <f t="shared" si="389"/>
        <v>#N/A</v>
      </c>
      <c r="BN432" s="293">
        <f t="shared" si="429"/>
        <v>7</v>
      </c>
      <c r="BO432" s="294" t="e">
        <f t="shared" si="430"/>
        <v>#N/A</v>
      </c>
      <c r="BP432" s="294" t="e">
        <f t="shared" si="431"/>
        <v>#N/A</v>
      </c>
      <c r="BQ432" s="292" t="e">
        <f t="shared" si="390"/>
        <v>#N/A</v>
      </c>
      <c r="BR432" s="295" t="e">
        <f t="shared" si="391"/>
        <v>#N/A</v>
      </c>
      <c r="BS432" s="230" t="e">
        <f>VLOOKUP($B432,SDR22_STOCK_BY_LA!$A$2:$C$11679,3,0)</f>
        <v>#N/A</v>
      </c>
      <c r="BT432" s="230" t="str">
        <f t="shared" si="432"/>
        <v/>
      </c>
    </row>
    <row r="433" spans="1:72" ht="12.5" x14ac:dyDescent="0.25">
      <c r="A433" s="269" t="str">
        <f t="shared" si="433"/>
        <v/>
      </c>
      <c r="B433" s="230" t="str">
        <f t="shared" si="434"/>
        <v/>
      </c>
      <c r="C433" s="270" t="str">
        <f t="shared" si="392"/>
        <v/>
      </c>
      <c r="D433" s="269" t="str">
        <f>IF(B433="","",IF(totals!$Q$3=0,IFERROR(IF(AD433=2,"0",AE433),""),"-"))</f>
        <v/>
      </c>
      <c r="E433" s="271" t="str">
        <f t="shared" si="393"/>
        <v/>
      </c>
      <c r="F433" s="272" t="str">
        <f t="shared" si="394"/>
        <v/>
      </c>
      <c r="G433" s="272" t="str">
        <f t="shared" si="395"/>
        <v/>
      </c>
      <c r="H433" s="269" t="str">
        <f t="shared" si="373"/>
        <v/>
      </c>
      <c r="I433" s="272" t="str">
        <f t="shared" si="396"/>
        <v/>
      </c>
      <c r="J433" s="272" t="str">
        <f t="shared" si="397"/>
        <v/>
      </c>
      <c r="K433" s="269" t="str">
        <f t="shared" si="374"/>
        <v/>
      </c>
      <c r="L433" s="272" t="str">
        <f t="shared" si="375"/>
        <v/>
      </c>
      <c r="M433" s="272" t="str">
        <f t="shared" si="398"/>
        <v/>
      </c>
      <c r="N433" s="269" t="str">
        <f t="shared" si="399"/>
        <v/>
      </c>
      <c r="O433" s="272" t="str">
        <f t="shared" si="400"/>
        <v/>
      </c>
      <c r="P433" s="272" t="str">
        <f t="shared" si="401"/>
        <v/>
      </c>
      <c r="Q433" s="269" t="str">
        <f t="shared" si="402"/>
        <v/>
      </c>
      <c r="R433" s="272" t="str">
        <f t="shared" si="403"/>
        <v/>
      </c>
      <c r="S433" s="272" t="str">
        <f t="shared" si="404"/>
        <v/>
      </c>
      <c r="T433" s="269" t="str">
        <f t="shared" si="405"/>
        <v/>
      </c>
      <c r="U433" s="230"/>
      <c r="V433" s="230"/>
      <c r="AB433" s="270" t="e">
        <f>VLOOKUP($B$6,Lookup_Source,426,0)</f>
        <v>#N/A</v>
      </c>
      <c r="AC433" s="254" t="str">
        <f t="shared" si="406"/>
        <v/>
      </c>
      <c r="AD433" s="255">
        <f t="shared" si="407"/>
        <v>7</v>
      </c>
      <c r="AE433" s="274" t="e">
        <f t="shared" si="376"/>
        <v>#N/A</v>
      </c>
      <c r="AF433" s="277" t="e">
        <f t="shared" si="408"/>
        <v>#N/A</v>
      </c>
      <c r="AG433" s="277" t="e">
        <f t="shared" si="409"/>
        <v>#N/A</v>
      </c>
      <c r="AH433" s="276" t="e">
        <f t="shared" si="377"/>
        <v>#N/A</v>
      </c>
      <c r="AI433" s="239">
        <f t="shared" si="410"/>
        <v>7</v>
      </c>
      <c r="AJ433" s="277" t="e">
        <f t="shared" si="378"/>
        <v>#N/A</v>
      </c>
      <c r="AK433" s="277" t="e">
        <f t="shared" si="411"/>
        <v>#N/A</v>
      </c>
      <c r="AL433" s="239" t="e">
        <f t="shared" si="379"/>
        <v>#N/A</v>
      </c>
      <c r="AM433" s="278" t="e">
        <f t="shared" si="412"/>
        <v>#N/A</v>
      </c>
      <c r="AN433" s="279" t="e">
        <f t="shared" si="380"/>
        <v>#N/A</v>
      </c>
      <c r="AO433" s="240" t="e">
        <f t="shared" si="381"/>
        <v>#N/A</v>
      </c>
      <c r="AP433" s="297">
        <f t="shared" si="413"/>
        <v>7</v>
      </c>
      <c r="AQ433" s="298" t="e">
        <f t="shared" si="382"/>
        <v>#N/A</v>
      </c>
      <c r="AR433" s="279" t="e">
        <f t="shared" si="414"/>
        <v>#N/A</v>
      </c>
      <c r="AS433" s="283" t="e">
        <f t="shared" si="383"/>
        <v>#N/A</v>
      </c>
      <c r="AT433" s="284">
        <f t="shared" si="415"/>
        <v>7</v>
      </c>
      <c r="AU433" s="285" t="e">
        <f t="shared" si="416"/>
        <v>#N/A</v>
      </c>
      <c r="AV433" s="286" t="e">
        <f t="shared" si="417"/>
        <v>#N/A</v>
      </c>
      <c r="AW433" s="287" t="e">
        <f t="shared" si="384"/>
        <v>#N/A</v>
      </c>
      <c r="AX433" s="245">
        <f t="shared" si="418"/>
        <v>7</v>
      </c>
      <c r="AY433" s="286" t="e">
        <f t="shared" si="385"/>
        <v>#N/A</v>
      </c>
      <c r="AZ433" s="245" t="e">
        <f t="shared" si="419"/>
        <v>#N/A</v>
      </c>
      <c r="BA433" s="245" t="e">
        <f t="shared" si="386"/>
        <v>#N/A</v>
      </c>
      <c r="BB433" s="288">
        <f t="shared" si="420"/>
        <v>7</v>
      </c>
      <c r="BC433" s="289" t="e">
        <f t="shared" si="421"/>
        <v>#N/A</v>
      </c>
      <c r="BD433" s="290" t="e">
        <f t="shared" si="422"/>
        <v>#N/A</v>
      </c>
      <c r="BE433" s="263" t="e">
        <f t="shared" si="387"/>
        <v>#N/A</v>
      </c>
      <c r="BF433" s="260">
        <f t="shared" si="423"/>
        <v>7</v>
      </c>
      <c r="BG433" s="289" t="e">
        <f t="shared" si="424"/>
        <v>#N/A</v>
      </c>
      <c r="BH433" s="290" t="e">
        <f t="shared" si="425"/>
        <v>#N/A</v>
      </c>
      <c r="BI433" s="263" t="e">
        <f t="shared" si="388"/>
        <v>#N/A</v>
      </c>
      <c r="BJ433" s="264">
        <f t="shared" si="426"/>
        <v>7</v>
      </c>
      <c r="BK433" s="291" t="e">
        <f t="shared" si="427"/>
        <v>#N/A</v>
      </c>
      <c r="BL433" s="291" t="e">
        <f t="shared" si="428"/>
        <v>#N/A</v>
      </c>
      <c r="BM433" s="292" t="e">
        <f t="shared" si="389"/>
        <v>#N/A</v>
      </c>
      <c r="BN433" s="293">
        <f t="shared" si="429"/>
        <v>7</v>
      </c>
      <c r="BO433" s="294" t="e">
        <f t="shared" si="430"/>
        <v>#N/A</v>
      </c>
      <c r="BP433" s="294" t="e">
        <f t="shared" si="431"/>
        <v>#N/A</v>
      </c>
      <c r="BQ433" s="292" t="e">
        <f t="shared" si="390"/>
        <v>#N/A</v>
      </c>
      <c r="BR433" s="295" t="e">
        <f t="shared" si="391"/>
        <v>#N/A</v>
      </c>
      <c r="BS433" s="230" t="e">
        <f>VLOOKUP($B433,SDR22_STOCK_BY_LA!$A$2:$C$11679,3,0)</f>
        <v>#N/A</v>
      </c>
      <c r="BT433" s="230" t="str">
        <f t="shared" si="432"/>
        <v/>
      </c>
    </row>
    <row r="434" spans="1:72" ht="12.5" x14ac:dyDescent="0.25">
      <c r="A434" s="230" t="str">
        <f t="shared" si="433"/>
        <v/>
      </c>
      <c r="B434" s="230" t="str">
        <f t="shared" si="434"/>
        <v/>
      </c>
      <c r="C434" s="296" t="str">
        <f t="shared" si="392"/>
        <v/>
      </c>
      <c r="D434" s="269" t="str">
        <f>IF(B434="","",IF(totals!$Q$3=0,IFERROR(IF(AD434=2,"0",AE434),""),"-"))</f>
        <v/>
      </c>
      <c r="E434" s="271" t="str">
        <f t="shared" si="393"/>
        <v/>
      </c>
      <c r="F434" s="272" t="str">
        <f t="shared" si="394"/>
        <v/>
      </c>
      <c r="G434" s="272" t="str">
        <f t="shared" si="395"/>
        <v/>
      </c>
      <c r="H434" s="269" t="str">
        <f t="shared" si="373"/>
        <v/>
      </c>
      <c r="I434" s="272" t="str">
        <f t="shared" si="396"/>
        <v/>
      </c>
      <c r="J434" s="272" t="str">
        <f t="shared" si="397"/>
        <v/>
      </c>
      <c r="K434" s="269" t="str">
        <f t="shared" si="374"/>
        <v/>
      </c>
      <c r="L434" s="272" t="str">
        <f t="shared" si="375"/>
        <v/>
      </c>
      <c r="M434" s="272" t="str">
        <f t="shared" si="398"/>
        <v/>
      </c>
      <c r="N434" s="269" t="str">
        <f t="shared" si="399"/>
        <v/>
      </c>
      <c r="O434" s="272" t="str">
        <f t="shared" si="400"/>
        <v/>
      </c>
      <c r="P434" s="272" t="str">
        <f t="shared" si="401"/>
        <v/>
      </c>
      <c r="Q434" s="269" t="str">
        <f t="shared" si="402"/>
        <v/>
      </c>
      <c r="R434" s="272" t="str">
        <f t="shared" si="403"/>
        <v/>
      </c>
      <c r="S434" s="272" t="str">
        <f t="shared" si="404"/>
        <v/>
      </c>
      <c r="T434" s="269" t="str">
        <f t="shared" si="405"/>
        <v/>
      </c>
      <c r="U434" s="230"/>
      <c r="V434" s="230"/>
      <c r="AB434" s="230" t="e">
        <f>VLOOKUP($B$6,Lookup_Source,427,0)</f>
        <v>#N/A</v>
      </c>
      <c r="AC434" s="254" t="str">
        <f t="shared" si="406"/>
        <v/>
      </c>
      <c r="AD434" s="255">
        <f t="shared" si="407"/>
        <v>7</v>
      </c>
      <c r="AE434" s="274" t="e">
        <f t="shared" si="376"/>
        <v>#N/A</v>
      </c>
      <c r="AF434" s="277" t="e">
        <f t="shared" si="408"/>
        <v>#N/A</v>
      </c>
      <c r="AG434" s="277" t="e">
        <f t="shared" si="409"/>
        <v>#N/A</v>
      </c>
      <c r="AH434" s="276" t="e">
        <f t="shared" si="377"/>
        <v>#N/A</v>
      </c>
      <c r="AI434" s="239">
        <f t="shared" si="410"/>
        <v>7</v>
      </c>
      <c r="AJ434" s="277" t="e">
        <f t="shared" si="378"/>
        <v>#N/A</v>
      </c>
      <c r="AK434" s="277" t="e">
        <f t="shared" si="411"/>
        <v>#N/A</v>
      </c>
      <c r="AL434" s="239" t="e">
        <f t="shared" si="379"/>
        <v>#N/A</v>
      </c>
      <c r="AM434" s="278" t="e">
        <f t="shared" si="412"/>
        <v>#N/A</v>
      </c>
      <c r="AN434" s="279" t="e">
        <f t="shared" si="380"/>
        <v>#N/A</v>
      </c>
      <c r="AO434" s="240" t="e">
        <f t="shared" si="381"/>
        <v>#N/A</v>
      </c>
      <c r="AP434" s="297">
        <f t="shared" si="413"/>
        <v>7</v>
      </c>
      <c r="AQ434" s="298" t="e">
        <f t="shared" si="382"/>
        <v>#N/A</v>
      </c>
      <c r="AR434" s="279" t="e">
        <f t="shared" si="414"/>
        <v>#N/A</v>
      </c>
      <c r="AS434" s="283" t="e">
        <f t="shared" si="383"/>
        <v>#N/A</v>
      </c>
      <c r="AT434" s="284">
        <f t="shared" si="415"/>
        <v>7</v>
      </c>
      <c r="AU434" s="285" t="e">
        <f t="shared" si="416"/>
        <v>#N/A</v>
      </c>
      <c r="AV434" s="286" t="e">
        <f t="shared" si="417"/>
        <v>#N/A</v>
      </c>
      <c r="AW434" s="287" t="e">
        <f t="shared" si="384"/>
        <v>#N/A</v>
      </c>
      <c r="AX434" s="245">
        <f t="shared" si="418"/>
        <v>7</v>
      </c>
      <c r="AY434" s="286" t="e">
        <f t="shared" si="385"/>
        <v>#N/A</v>
      </c>
      <c r="AZ434" s="245" t="e">
        <f t="shared" si="419"/>
        <v>#N/A</v>
      </c>
      <c r="BA434" s="245" t="e">
        <f t="shared" si="386"/>
        <v>#N/A</v>
      </c>
      <c r="BB434" s="288">
        <f t="shared" si="420"/>
        <v>7</v>
      </c>
      <c r="BC434" s="289" t="e">
        <f t="shared" si="421"/>
        <v>#N/A</v>
      </c>
      <c r="BD434" s="290" t="e">
        <f t="shared" si="422"/>
        <v>#N/A</v>
      </c>
      <c r="BE434" s="263" t="e">
        <f t="shared" si="387"/>
        <v>#N/A</v>
      </c>
      <c r="BF434" s="260">
        <f t="shared" si="423"/>
        <v>7</v>
      </c>
      <c r="BG434" s="289" t="e">
        <f t="shared" si="424"/>
        <v>#N/A</v>
      </c>
      <c r="BH434" s="290" t="e">
        <f t="shared" si="425"/>
        <v>#N/A</v>
      </c>
      <c r="BI434" s="263" t="e">
        <f t="shared" si="388"/>
        <v>#N/A</v>
      </c>
      <c r="BJ434" s="264">
        <f t="shared" si="426"/>
        <v>7</v>
      </c>
      <c r="BK434" s="291" t="e">
        <f t="shared" si="427"/>
        <v>#N/A</v>
      </c>
      <c r="BL434" s="291" t="e">
        <f t="shared" si="428"/>
        <v>#N/A</v>
      </c>
      <c r="BM434" s="292" t="e">
        <f t="shared" si="389"/>
        <v>#N/A</v>
      </c>
      <c r="BN434" s="293">
        <f t="shared" si="429"/>
        <v>7</v>
      </c>
      <c r="BO434" s="294" t="e">
        <f t="shared" si="430"/>
        <v>#N/A</v>
      </c>
      <c r="BP434" s="294" t="e">
        <f t="shared" si="431"/>
        <v>#N/A</v>
      </c>
      <c r="BQ434" s="292" t="e">
        <f t="shared" si="390"/>
        <v>#N/A</v>
      </c>
      <c r="BR434" s="295" t="e">
        <f t="shared" si="391"/>
        <v>#N/A</v>
      </c>
      <c r="BS434" s="230" t="e">
        <f>VLOOKUP($B434,SDR22_STOCK_BY_LA!$A$2:$C$11679,3,0)</f>
        <v>#N/A</v>
      </c>
      <c r="BT434" s="230" t="str">
        <f t="shared" si="432"/>
        <v/>
      </c>
    </row>
    <row r="435" spans="1:72" ht="12.5" x14ac:dyDescent="0.25">
      <c r="A435" s="269" t="str">
        <f t="shared" si="433"/>
        <v/>
      </c>
      <c r="B435" s="230" t="str">
        <f t="shared" si="434"/>
        <v/>
      </c>
      <c r="C435" s="270" t="str">
        <f t="shared" si="392"/>
        <v/>
      </c>
      <c r="D435" s="269" t="str">
        <f>IF(B435="","",IF(totals!$Q$3=0,IFERROR(IF(AD435=2,"0",AE435),""),"-"))</f>
        <v/>
      </c>
      <c r="E435" s="271" t="str">
        <f t="shared" si="393"/>
        <v/>
      </c>
      <c r="F435" s="272" t="str">
        <f t="shared" si="394"/>
        <v/>
      </c>
      <c r="G435" s="272" t="str">
        <f t="shared" si="395"/>
        <v/>
      </c>
      <c r="H435" s="269" t="str">
        <f t="shared" si="373"/>
        <v/>
      </c>
      <c r="I435" s="272" t="str">
        <f t="shared" si="396"/>
        <v/>
      </c>
      <c r="J435" s="272" t="str">
        <f t="shared" si="397"/>
        <v/>
      </c>
      <c r="K435" s="269" t="str">
        <f t="shared" si="374"/>
        <v/>
      </c>
      <c r="L435" s="272" t="str">
        <f t="shared" si="375"/>
        <v/>
      </c>
      <c r="M435" s="272" t="str">
        <f t="shared" si="398"/>
        <v/>
      </c>
      <c r="N435" s="269" t="str">
        <f t="shared" si="399"/>
        <v/>
      </c>
      <c r="O435" s="272" t="str">
        <f t="shared" si="400"/>
        <v/>
      </c>
      <c r="P435" s="272" t="str">
        <f t="shared" si="401"/>
        <v/>
      </c>
      <c r="Q435" s="269" t="str">
        <f t="shared" si="402"/>
        <v/>
      </c>
      <c r="R435" s="272" t="str">
        <f t="shared" si="403"/>
        <v/>
      </c>
      <c r="S435" s="272" t="str">
        <f t="shared" si="404"/>
        <v/>
      </c>
      <c r="T435" s="269" t="str">
        <f t="shared" si="405"/>
        <v/>
      </c>
      <c r="U435" s="230"/>
      <c r="V435" s="230"/>
      <c r="AB435" s="270" t="e">
        <f>VLOOKUP($B$6,Lookup_Source,428,0)</f>
        <v>#N/A</v>
      </c>
      <c r="AC435" s="254" t="str">
        <f t="shared" si="406"/>
        <v/>
      </c>
      <c r="AD435" s="255">
        <f t="shared" si="407"/>
        <v>7</v>
      </c>
      <c r="AE435" s="274" t="e">
        <f t="shared" si="376"/>
        <v>#N/A</v>
      </c>
      <c r="AF435" s="277" t="e">
        <f t="shared" si="408"/>
        <v>#N/A</v>
      </c>
      <c r="AG435" s="277" t="e">
        <f t="shared" si="409"/>
        <v>#N/A</v>
      </c>
      <c r="AH435" s="276" t="e">
        <f t="shared" si="377"/>
        <v>#N/A</v>
      </c>
      <c r="AI435" s="239">
        <f t="shared" si="410"/>
        <v>7</v>
      </c>
      <c r="AJ435" s="277" t="e">
        <f t="shared" si="378"/>
        <v>#N/A</v>
      </c>
      <c r="AK435" s="277" t="e">
        <f t="shared" si="411"/>
        <v>#N/A</v>
      </c>
      <c r="AL435" s="239" t="e">
        <f t="shared" si="379"/>
        <v>#N/A</v>
      </c>
      <c r="AM435" s="278" t="e">
        <f t="shared" si="412"/>
        <v>#N/A</v>
      </c>
      <c r="AN435" s="279" t="e">
        <f t="shared" si="380"/>
        <v>#N/A</v>
      </c>
      <c r="AO435" s="240" t="e">
        <f t="shared" si="381"/>
        <v>#N/A</v>
      </c>
      <c r="AP435" s="297">
        <f t="shared" si="413"/>
        <v>7</v>
      </c>
      <c r="AQ435" s="298" t="e">
        <f t="shared" si="382"/>
        <v>#N/A</v>
      </c>
      <c r="AR435" s="279" t="e">
        <f t="shared" si="414"/>
        <v>#N/A</v>
      </c>
      <c r="AS435" s="283" t="e">
        <f t="shared" si="383"/>
        <v>#N/A</v>
      </c>
      <c r="AT435" s="284">
        <f t="shared" si="415"/>
        <v>7</v>
      </c>
      <c r="AU435" s="285" t="e">
        <f t="shared" si="416"/>
        <v>#N/A</v>
      </c>
      <c r="AV435" s="286" t="e">
        <f t="shared" si="417"/>
        <v>#N/A</v>
      </c>
      <c r="AW435" s="287" t="e">
        <f t="shared" si="384"/>
        <v>#N/A</v>
      </c>
      <c r="AX435" s="245">
        <f t="shared" si="418"/>
        <v>7</v>
      </c>
      <c r="AY435" s="286" t="e">
        <f t="shared" si="385"/>
        <v>#N/A</v>
      </c>
      <c r="AZ435" s="245" t="e">
        <f t="shared" si="419"/>
        <v>#N/A</v>
      </c>
      <c r="BA435" s="245" t="e">
        <f t="shared" si="386"/>
        <v>#N/A</v>
      </c>
      <c r="BB435" s="288">
        <f t="shared" si="420"/>
        <v>7</v>
      </c>
      <c r="BC435" s="289" t="e">
        <f t="shared" si="421"/>
        <v>#N/A</v>
      </c>
      <c r="BD435" s="290" t="e">
        <f t="shared" si="422"/>
        <v>#N/A</v>
      </c>
      <c r="BE435" s="263" t="e">
        <f t="shared" si="387"/>
        <v>#N/A</v>
      </c>
      <c r="BF435" s="260">
        <f t="shared" si="423"/>
        <v>7</v>
      </c>
      <c r="BG435" s="289" t="e">
        <f t="shared" si="424"/>
        <v>#N/A</v>
      </c>
      <c r="BH435" s="290" t="e">
        <f t="shared" si="425"/>
        <v>#N/A</v>
      </c>
      <c r="BI435" s="263" t="e">
        <f t="shared" si="388"/>
        <v>#N/A</v>
      </c>
      <c r="BJ435" s="264">
        <f t="shared" si="426"/>
        <v>7</v>
      </c>
      <c r="BK435" s="291" t="e">
        <f t="shared" si="427"/>
        <v>#N/A</v>
      </c>
      <c r="BL435" s="291" t="e">
        <f t="shared" si="428"/>
        <v>#N/A</v>
      </c>
      <c r="BM435" s="292" t="e">
        <f t="shared" si="389"/>
        <v>#N/A</v>
      </c>
      <c r="BN435" s="293">
        <f t="shared" si="429"/>
        <v>7</v>
      </c>
      <c r="BO435" s="294" t="e">
        <f t="shared" si="430"/>
        <v>#N/A</v>
      </c>
      <c r="BP435" s="294" t="e">
        <f t="shared" si="431"/>
        <v>#N/A</v>
      </c>
      <c r="BQ435" s="292" t="e">
        <f t="shared" si="390"/>
        <v>#N/A</v>
      </c>
      <c r="BR435" s="295" t="e">
        <f t="shared" si="391"/>
        <v>#N/A</v>
      </c>
      <c r="BS435" s="230" t="e">
        <f>VLOOKUP($B435,SDR22_STOCK_BY_LA!$A$2:$C$11679,3,0)</f>
        <v>#N/A</v>
      </c>
      <c r="BT435" s="230" t="str">
        <f t="shared" si="432"/>
        <v/>
      </c>
    </row>
    <row r="436" spans="1:72" ht="12.5" x14ac:dyDescent="0.25">
      <c r="A436" s="230" t="str">
        <f t="shared" si="433"/>
        <v/>
      </c>
      <c r="B436" s="230" t="str">
        <f t="shared" si="434"/>
        <v/>
      </c>
      <c r="C436" s="296" t="str">
        <f t="shared" si="392"/>
        <v/>
      </c>
      <c r="D436" s="269" t="str">
        <f>IF(B436="","",IF(totals!$Q$3=0,IFERROR(IF(AD436=2,"0",AE436),""),"-"))</f>
        <v/>
      </c>
      <c r="E436" s="271" t="str">
        <f t="shared" si="393"/>
        <v/>
      </c>
      <c r="F436" s="272" t="str">
        <f t="shared" si="394"/>
        <v/>
      </c>
      <c r="G436" s="272" t="str">
        <f t="shared" si="395"/>
        <v/>
      </c>
      <c r="H436" s="269" t="str">
        <f t="shared" si="373"/>
        <v/>
      </c>
      <c r="I436" s="272" t="str">
        <f t="shared" si="396"/>
        <v/>
      </c>
      <c r="J436" s="272" t="str">
        <f t="shared" si="397"/>
        <v/>
      </c>
      <c r="K436" s="269" t="str">
        <f t="shared" si="374"/>
        <v/>
      </c>
      <c r="L436" s="272" t="str">
        <f t="shared" si="375"/>
        <v/>
      </c>
      <c r="M436" s="272" t="str">
        <f t="shared" si="398"/>
        <v/>
      </c>
      <c r="N436" s="269" t="str">
        <f t="shared" si="399"/>
        <v/>
      </c>
      <c r="O436" s="272" t="str">
        <f t="shared" si="400"/>
        <v/>
      </c>
      <c r="P436" s="272" t="str">
        <f t="shared" si="401"/>
        <v/>
      </c>
      <c r="Q436" s="269" t="str">
        <f t="shared" si="402"/>
        <v/>
      </c>
      <c r="R436" s="272" t="str">
        <f t="shared" si="403"/>
        <v/>
      </c>
      <c r="S436" s="272" t="str">
        <f t="shared" si="404"/>
        <v/>
      </c>
      <c r="T436" s="269" t="str">
        <f t="shared" si="405"/>
        <v/>
      </c>
      <c r="U436" s="230"/>
      <c r="V436" s="230"/>
      <c r="AB436" s="230" t="e">
        <f>VLOOKUP($B$6,Lookup_Source,429,0)</f>
        <v>#N/A</v>
      </c>
      <c r="AC436" s="254" t="str">
        <f t="shared" si="406"/>
        <v/>
      </c>
      <c r="AD436" s="255">
        <f t="shared" si="407"/>
        <v>7</v>
      </c>
      <c r="AE436" s="274" t="e">
        <f t="shared" si="376"/>
        <v>#N/A</v>
      </c>
      <c r="AF436" s="277" t="e">
        <f t="shared" si="408"/>
        <v>#N/A</v>
      </c>
      <c r="AG436" s="277" t="e">
        <f t="shared" si="409"/>
        <v>#N/A</v>
      </c>
      <c r="AH436" s="276" t="e">
        <f t="shared" si="377"/>
        <v>#N/A</v>
      </c>
      <c r="AI436" s="239">
        <f t="shared" si="410"/>
        <v>7</v>
      </c>
      <c r="AJ436" s="277" t="e">
        <f t="shared" si="378"/>
        <v>#N/A</v>
      </c>
      <c r="AK436" s="277" t="e">
        <f t="shared" si="411"/>
        <v>#N/A</v>
      </c>
      <c r="AL436" s="239" t="e">
        <f t="shared" si="379"/>
        <v>#N/A</v>
      </c>
      <c r="AM436" s="278" t="e">
        <f t="shared" si="412"/>
        <v>#N/A</v>
      </c>
      <c r="AN436" s="279" t="e">
        <f t="shared" si="380"/>
        <v>#N/A</v>
      </c>
      <c r="AO436" s="240" t="e">
        <f t="shared" si="381"/>
        <v>#N/A</v>
      </c>
      <c r="AP436" s="297">
        <f t="shared" si="413"/>
        <v>7</v>
      </c>
      <c r="AQ436" s="298" t="e">
        <f t="shared" si="382"/>
        <v>#N/A</v>
      </c>
      <c r="AR436" s="279" t="e">
        <f t="shared" si="414"/>
        <v>#N/A</v>
      </c>
      <c r="AS436" s="283" t="e">
        <f t="shared" si="383"/>
        <v>#N/A</v>
      </c>
      <c r="AT436" s="284">
        <f t="shared" si="415"/>
        <v>7</v>
      </c>
      <c r="AU436" s="285" t="e">
        <f t="shared" si="416"/>
        <v>#N/A</v>
      </c>
      <c r="AV436" s="286" t="e">
        <f t="shared" si="417"/>
        <v>#N/A</v>
      </c>
      <c r="AW436" s="287" t="e">
        <f t="shared" si="384"/>
        <v>#N/A</v>
      </c>
      <c r="AX436" s="245">
        <f t="shared" si="418"/>
        <v>7</v>
      </c>
      <c r="AY436" s="286" t="e">
        <f t="shared" si="385"/>
        <v>#N/A</v>
      </c>
      <c r="AZ436" s="245" t="e">
        <f t="shared" si="419"/>
        <v>#N/A</v>
      </c>
      <c r="BA436" s="245" t="e">
        <f t="shared" si="386"/>
        <v>#N/A</v>
      </c>
      <c r="BB436" s="288">
        <f t="shared" si="420"/>
        <v>7</v>
      </c>
      <c r="BC436" s="289" t="e">
        <f t="shared" si="421"/>
        <v>#N/A</v>
      </c>
      <c r="BD436" s="290" t="e">
        <f t="shared" si="422"/>
        <v>#N/A</v>
      </c>
      <c r="BE436" s="263" t="e">
        <f t="shared" si="387"/>
        <v>#N/A</v>
      </c>
      <c r="BF436" s="260">
        <f t="shared" si="423"/>
        <v>7</v>
      </c>
      <c r="BG436" s="289" t="e">
        <f t="shared" si="424"/>
        <v>#N/A</v>
      </c>
      <c r="BH436" s="290" t="e">
        <f t="shared" si="425"/>
        <v>#N/A</v>
      </c>
      <c r="BI436" s="263" t="e">
        <f t="shared" si="388"/>
        <v>#N/A</v>
      </c>
      <c r="BJ436" s="264">
        <f t="shared" si="426"/>
        <v>7</v>
      </c>
      <c r="BK436" s="291" t="e">
        <f t="shared" si="427"/>
        <v>#N/A</v>
      </c>
      <c r="BL436" s="291" t="e">
        <f t="shared" si="428"/>
        <v>#N/A</v>
      </c>
      <c r="BM436" s="292" t="e">
        <f t="shared" si="389"/>
        <v>#N/A</v>
      </c>
      <c r="BN436" s="293">
        <f t="shared" si="429"/>
        <v>7</v>
      </c>
      <c r="BO436" s="294" t="e">
        <f t="shared" si="430"/>
        <v>#N/A</v>
      </c>
      <c r="BP436" s="294" t="e">
        <f t="shared" si="431"/>
        <v>#N/A</v>
      </c>
      <c r="BQ436" s="292" t="e">
        <f t="shared" si="390"/>
        <v>#N/A</v>
      </c>
      <c r="BR436" s="295" t="e">
        <f t="shared" si="391"/>
        <v>#N/A</v>
      </c>
      <c r="BS436" s="230" t="e">
        <f>VLOOKUP($B436,SDR22_STOCK_BY_LA!$A$2:$C$11679,3,0)</f>
        <v>#N/A</v>
      </c>
      <c r="BT436" s="230" t="str">
        <f t="shared" si="432"/>
        <v/>
      </c>
    </row>
    <row r="437" spans="1:72" ht="12.5" x14ac:dyDescent="0.25">
      <c r="A437" s="269" t="str">
        <f t="shared" si="433"/>
        <v/>
      </c>
      <c r="B437" s="230" t="str">
        <f t="shared" si="434"/>
        <v/>
      </c>
      <c r="C437" s="270" t="str">
        <f t="shared" si="392"/>
        <v/>
      </c>
      <c r="D437" s="269" t="str">
        <f>IF(B437="","",IF(totals!$Q$3=0,IFERROR(IF(AD437=2,"0",AE437),""),"-"))</f>
        <v/>
      </c>
      <c r="E437" s="271" t="str">
        <f t="shared" si="393"/>
        <v/>
      </c>
      <c r="F437" s="272" t="str">
        <f t="shared" si="394"/>
        <v/>
      </c>
      <c r="G437" s="272" t="str">
        <f t="shared" si="395"/>
        <v/>
      </c>
      <c r="H437" s="269" t="str">
        <f t="shared" si="373"/>
        <v/>
      </c>
      <c r="I437" s="272" t="str">
        <f t="shared" si="396"/>
        <v/>
      </c>
      <c r="J437" s="272" t="str">
        <f t="shared" si="397"/>
        <v/>
      </c>
      <c r="K437" s="269" t="str">
        <f t="shared" si="374"/>
        <v/>
      </c>
      <c r="L437" s="272" t="str">
        <f t="shared" si="375"/>
        <v/>
      </c>
      <c r="M437" s="272" t="str">
        <f t="shared" si="398"/>
        <v/>
      </c>
      <c r="N437" s="269" t="str">
        <f t="shared" si="399"/>
        <v/>
      </c>
      <c r="O437" s="272" t="str">
        <f t="shared" si="400"/>
        <v/>
      </c>
      <c r="P437" s="272" t="str">
        <f t="shared" si="401"/>
        <v/>
      </c>
      <c r="Q437" s="269" t="str">
        <f t="shared" si="402"/>
        <v/>
      </c>
      <c r="R437" s="272" t="str">
        <f t="shared" si="403"/>
        <v/>
      </c>
      <c r="S437" s="272" t="str">
        <f t="shared" si="404"/>
        <v/>
      </c>
      <c r="T437" s="269" t="str">
        <f t="shared" si="405"/>
        <v/>
      </c>
      <c r="U437" s="230"/>
      <c r="V437" s="230"/>
      <c r="AB437" s="270" t="e">
        <f>VLOOKUP($B$6,Lookup_Source,430,0)</f>
        <v>#N/A</v>
      </c>
      <c r="AC437" s="254" t="str">
        <f t="shared" si="406"/>
        <v/>
      </c>
      <c r="AD437" s="255">
        <f t="shared" si="407"/>
        <v>7</v>
      </c>
      <c r="AE437" s="274" t="e">
        <f t="shared" si="376"/>
        <v>#N/A</v>
      </c>
      <c r="AF437" s="277" t="e">
        <f t="shared" si="408"/>
        <v>#N/A</v>
      </c>
      <c r="AG437" s="277" t="e">
        <f t="shared" si="409"/>
        <v>#N/A</v>
      </c>
      <c r="AH437" s="276" t="e">
        <f t="shared" si="377"/>
        <v>#N/A</v>
      </c>
      <c r="AI437" s="239">
        <f t="shared" si="410"/>
        <v>7</v>
      </c>
      <c r="AJ437" s="277" t="e">
        <f t="shared" si="378"/>
        <v>#N/A</v>
      </c>
      <c r="AK437" s="277" t="e">
        <f t="shared" si="411"/>
        <v>#N/A</v>
      </c>
      <c r="AL437" s="239" t="e">
        <f t="shared" si="379"/>
        <v>#N/A</v>
      </c>
      <c r="AM437" s="278" t="e">
        <f t="shared" si="412"/>
        <v>#N/A</v>
      </c>
      <c r="AN437" s="279" t="e">
        <f t="shared" si="380"/>
        <v>#N/A</v>
      </c>
      <c r="AO437" s="240" t="e">
        <f t="shared" si="381"/>
        <v>#N/A</v>
      </c>
      <c r="AP437" s="297">
        <f t="shared" si="413"/>
        <v>7</v>
      </c>
      <c r="AQ437" s="298" t="e">
        <f t="shared" si="382"/>
        <v>#N/A</v>
      </c>
      <c r="AR437" s="279" t="e">
        <f t="shared" si="414"/>
        <v>#N/A</v>
      </c>
      <c r="AS437" s="283" t="e">
        <f t="shared" si="383"/>
        <v>#N/A</v>
      </c>
      <c r="AT437" s="284">
        <f t="shared" si="415"/>
        <v>7</v>
      </c>
      <c r="AU437" s="285" t="e">
        <f t="shared" si="416"/>
        <v>#N/A</v>
      </c>
      <c r="AV437" s="286" t="e">
        <f t="shared" si="417"/>
        <v>#N/A</v>
      </c>
      <c r="AW437" s="287" t="e">
        <f t="shared" si="384"/>
        <v>#N/A</v>
      </c>
      <c r="AX437" s="245">
        <f t="shared" si="418"/>
        <v>7</v>
      </c>
      <c r="AY437" s="286" t="e">
        <f t="shared" si="385"/>
        <v>#N/A</v>
      </c>
      <c r="AZ437" s="245" t="e">
        <f t="shared" si="419"/>
        <v>#N/A</v>
      </c>
      <c r="BA437" s="245" t="e">
        <f t="shared" si="386"/>
        <v>#N/A</v>
      </c>
      <c r="BB437" s="288">
        <f t="shared" si="420"/>
        <v>7</v>
      </c>
      <c r="BC437" s="289" t="e">
        <f t="shared" si="421"/>
        <v>#N/A</v>
      </c>
      <c r="BD437" s="290" t="e">
        <f t="shared" si="422"/>
        <v>#N/A</v>
      </c>
      <c r="BE437" s="263" t="e">
        <f t="shared" si="387"/>
        <v>#N/A</v>
      </c>
      <c r="BF437" s="260">
        <f t="shared" si="423"/>
        <v>7</v>
      </c>
      <c r="BG437" s="289" t="e">
        <f t="shared" si="424"/>
        <v>#N/A</v>
      </c>
      <c r="BH437" s="290" t="e">
        <f t="shared" si="425"/>
        <v>#N/A</v>
      </c>
      <c r="BI437" s="263" t="e">
        <f t="shared" si="388"/>
        <v>#N/A</v>
      </c>
      <c r="BJ437" s="264">
        <f t="shared" si="426"/>
        <v>7</v>
      </c>
      <c r="BK437" s="291" t="e">
        <f t="shared" si="427"/>
        <v>#N/A</v>
      </c>
      <c r="BL437" s="291" t="e">
        <f t="shared" si="428"/>
        <v>#N/A</v>
      </c>
      <c r="BM437" s="292" t="e">
        <f t="shared" si="389"/>
        <v>#N/A</v>
      </c>
      <c r="BN437" s="293">
        <f t="shared" si="429"/>
        <v>7</v>
      </c>
      <c r="BO437" s="294" t="e">
        <f t="shared" si="430"/>
        <v>#N/A</v>
      </c>
      <c r="BP437" s="294" t="e">
        <f t="shared" si="431"/>
        <v>#N/A</v>
      </c>
      <c r="BQ437" s="292" t="e">
        <f t="shared" si="390"/>
        <v>#N/A</v>
      </c>
      <c r="BR437" s="295" t="e">
        <f t="shared" si="391"/>
        <v>#N/A</v>
      </c>
      <c r="BS437" s="230" t="e">
        <f>VLOOKUP($B437,SDR22_STOCK_BY_LA!$A$2:$C$11679,3,0)</f>
        <v>#N/A</v>
      </c>
      <c r="BT437" s="230" t="str">
        <f t="shared" si="432"/>
        <v/>
      </c>
    </row>
    <row r="438" spans="1:72" ht="12.5" x14ac:dyDescent="0.25">
      <c r="A438" s="230" t="str">
        <f t="shared" si="433"/>
        <v/>
      </c>
      <c r="B438" s="230" t="str">
        <f t="shared" si="434"/>
        <v/>
      </c>
      <c r="C438" s="296" t="str">
        <f t="shared" si="392"/>
        <v/>
      </c>
      <c r="D438" s="269" t="str">
        <f>IF(B438="","",IF(totals!$Q$3=0,IFERROR(IF(AD438=2,"0",AE438),""),"-"))</f>
        <v/>
      </c>
      <c r="E438" s="271" t="str">
        <f t="shared" si="393"/>
        <v/>
      </c>
      <c r="F438" s="272" t="str">
        <f t="shared" si="394"/>
        <v/>
      </c>
      <c r="G438" s="272" t="str">
        <f t="shared" si="395"/>
        <v/>
      </c>
      <c r="H438" s="269" t="str">
        <f t="shared" si="373"/>
        <v/>
      </c>
      <c r="I438" s="272" t="str">
        <f t="shared" si="396"/>
        <v/>
      </c>
      <c r="J438" s="272" t="str">
        <f t="shared" si="397"/>
        <v/>
      </c>
      <c r="K438" s="269" t="str">
        <f t="shared" si="374"/>
        <v/>
      </c>
      <c r="L438" s="272" t="str">
        <f t="shared" si="375"/>
        <v/>
      </c>
      <c r="M438" s="272" t="str">
        <f t="shared" si="398"/>
        <v/>
      </c>
      <c r="N438" s="269" t="str">
        <f t="shared" si="399"/>
        <v/>
      </c>
      <c r="O438" s="272" t="str">
        <f t="shared" si="400"/>
        <v/>
      </c>
      <c r="P438" s="272" t="str">
        <f t="shared" si="401"/>
        <v/>
      </c>
      <c r="Q438" s="269" t="str">
        <f t="shared" si="402"/>
        <v/>
      </c>
      <c r="R438" s="272" t="str">
        <f t="shared" si="403"/>
        <v/>
      </c>
      <c r="S438" s="272" t="str">
        <f t="shared" si="404"/>
        <v/>
      </c>
      <c r="T438" s="269" t="str">
        <f t="shared" si="405"/>
        <v/>
      </c>
      <c r="U438" s="230"/>
      <c r="V438" s="230"/>
      <c r="AB438" s="230" t="e">
        <f>VLOOKUP($B$6,Lookup_Source,431,0)</f>
        <v>#N/A</v>
      </c>
      <c r="AC438" s="254" t="str">
        <f t="shared" si="406"/>
        <v/>
      </c>
      <c r="AD438" s="255">
        <f t="shared" si="407"/>
        <v>7</v>
      </c>
      <c r="AE438" s="274" t="e">
        <f t="shared" si="376"/>
        <v>#N/A</v>
      </c>
      <c r="AF438" s="277" t="e">
        <f t="shared" si="408"/>
        <v>#N/A</v>
      </c>
      <c r="AG438" s="277" t="e">
        <f t="shared" si="409"/>
        <v>#N/A</v>
      </c>
      <c r="AH438" s="276" t="e">
        <f t="shared" si="377"/>
        <v>#N/A</v>
      </c>
      <c r="AI438" s="239">
        <f t="shared" si="410"/>
        <v>7</v>
      </c>
      <c r="AJ438" s="277" t="e">
        <f t="shared" si="378"/>
        <v>#N/A</v>
      </c>
      <c r="AK438" s="277" t="e">
        <f t="shared" si="411"/>
        <v>#N/A</v>
      </c>
      <c r="AL438" s="239" t="e">
        <f t="shared" si="379"/>
        <v>#N/A</v>
      </c>
      <c r="AM438" s="278" t="e">
        <f t="shared" si="412"/>
        <v>#N/A</v>
      </c>
      <c r="AN438" s="279" t="e">
        <f t="shared" si="380"/>
        <v>#N/A</v>
      </c>
      <c r="AO438" s="240" t="e">
        <f t="shared" si="381"/>
        <v>#N/A</v>
      </c>
      <c r="AP438" s="297">
        <f t="shared" si="413"/>
        <v>7</v>
      </c>
      <c r="AQ438" s="298" t="e">
        <f t="shared" si="382"/>
        <v>#N/A</v>
      </c>
      <c r="AR438" s="279" t="e">
        <f t="shared" si="414"/>
        <v>#N/A</v>
      </c>
      <c r="AS438" s="283" t="e">
        <f t="shared" si="383"/>
        <v>#N/A</v>
      </c>
      <c r="AT438" s="284">
        <f t="shared" si="415"/>
        <v>7</v>
      </c>
      <c r="AU438" s="285" t="e">
        <f t="shared" si="416"/>
        <v>#N/A</v>
      </c>
      <c r="AV438" s="286" t="e">
        <f t="shared" si="417"/>
        <v>#N/A</v>
      </c>
      <c r="AW438" s="287" t="e">
        <f t="shared" si="384"/>
        <v>#N/A</v>
      </c>
      <c r="AX438" s="245">
        <f t="shared" si="418"/>
        <v>7</v>
      </c>
      <c r="AY438" s="286" t="e">
        <f t="shared" si="385"/>
        <v>#N/A</v>
      </c>
      <c r="AZ438" s="245" t="e">
        <f t="shared" si="419"/>
        <v>#N/A</v>
      </c>
      <c r="BA438" s="245" t="e">
        <f t="shared" si="386"/>
        <v>#N/A</v>
      </c>
      <c r="BB438" s="288">
        <f t="shared" si="420"/>
        <v>7</v>
      </c>
      <c r="BC438" s="289" t="e">
        <f t="shared" si="421"/>
        <v>#N/A</v>
      </c>
      <c r="BD438" s="290" t="e">
        <f t="shared" si="422"/>
        <v>#N/A</v>
      </c>
      <c r="BE438" s="263" t="e">
        <f t="shared" si="387"/>
        <v>#N/A</v>
      </c>
      <c r="BF438" s="260">
        <f t="shared" si="423"/>
        <v>7</v>
      </c>
      <c r="BG438" s="289" t="e">
        <f t="shared" si="424"/>
        <v>#N/A</v>
      </c>
      <c r="BH438" s="290" t="e">
        <f t="shared" si="425"/>
        <v>#N/A</v>
      </c>
      <c r="BI438" s="263" t="e">
        <f t="shared" si="388"/>
        <v>#N/A</v>
      </c>
      <c r="BJ438" s="264">
        <f t="shared" si="426"/>
        <v>7</v>
      </c>
      <c r="BK438" s="291" t="e">
        <f t="shared" si="427"/>
        <v>#N/A</v>
      </c>
      <c r="BL438" s="291" t="e">
        <f t="shared" si="428"/>
        <v>#N/A</v>
      </c>
      <c r="BM438" s="292" t="e">
        <f t="shared" si="389"/>
        <v>#N/A</v>
      </c>
      <c r="BN438" s="293">
        <f t="shared" si="429"/>
        <v>7</v>
      </c>
      <c r="BO438" s="294" t="e">
        <f t="shared" si="430"/>
        <v>#N/A</v>
      </c>
      <c r="BP438" s="294" t="e">
        <f t="shared" si="431"/>
        <v>#N/A</v>
      </c>
      <c r="BQ438" s="292" t="e">
        <f t="shared" si="390"/>
        <v>#N/A</v>
      </c>
      <c r="BR438" s="295" t="e">
        <f t="shared" si="391"/>
        <v>#N/A</v>
      </c>
      <c r="BS438" s="230" t="e">
        <f>VLOOKUP($B438,SDR22_STOCK_BY_LA!$A$2:$C$11679,3,0)</f>
        <v>#N/A</v>
      </c>
      <c r="BT438" s="230" t="str">
        <f t="shared" si="432"/>
        <v/>
      </c>
    </row>
    <row r="439" spans="1:72" ht="12.5" x14ac:dyDescent="0.25">
      <c r="A439" s="269" t="str">
        <f t="shared" si="433"/>
        <v/>
      </c>
      <c r="B439" s="230" t="str">
        <f t="shared" si="434"/>
        <v/>
      </c>
      <c r="C439" s="270" t="str">
        <f t="shared" si="392"/>
        <v/>
      </c>
      <c r="D439" s="269" t="str">
        <f>IF(B439="","",IF(totals!$Q$3=0,IFERROR(IF(AD439=2,"0",AE439),""),"-"))</f>
        <v/>
      </c>
      <c r="E439" s="271" t="str">
        <f t="shared" si="393"/>
        <v/>
      </c>
      <c r="F439" s="272" t="str">
        <f t="shared" si="394"/>
        <v/>
      </c>
      <c r="G439" s="272" t="str">
        <f t="shared" si="395"/>
        <v/>
      </c>
      <c r="H439" s="269" t="str">
        <f t="shared" si="373"/>
        <v/>
      </c>
      <c r="I439" s="272" t="str">
        <f t="shared" si="396"/>
        <v/>
      </c>
      <c r="J439" s="272" t="str">
        <f t="shared" si="397"/>
        <v/>
      </c>
      <c r="K439" s="269" t="str">
        <f t="shared" si="374"/>
        <v/>
      </c>
      <c r="L439" s="272" t="str">
        <f t="shared" si="375"/>
        <v/>
      </c>
      <c r="M439" s="272" t="str">
        <f t="shared" si="398"/>
        <v/>
      </c>
      <c r="N439" s="269" t="str">
        <f t="shared" si="399"/>
        <v/>
      </c>
      <c r="O439" s="272" t="str">
        <f t="shared" si="400"/>
        <v/>
      </c>
      <c r="P439" s="272" t="str">
        <f t="shared" si="401"/>
        <v/>
      </c>
      <c r="Q439" s="269" t="str">
        <f t="shared" si="402"/>
        <v/>
      </c>
      <c r="R439" s="272" t="str">
        <f t="shared" si="403"/>
        <v/>
      </c>
      <c r="S439" s="272" t="str">
        <f t="shared" si="404"/>
        <v/>
      </c>
      <c r="T439" s="269" t="str">
        <f t="shared" si="405"/>
        <v/>
      </c>
      <c r="U439" s="230"/>
      <c r="V439" s="230"/>
      <c r="AB439" s="270" t="e">
        <f>VLOOKUP($B$6,Lookup_Source,432,0)</f>
        <v>#N/A</v>
      </c>
      <c r="AC439" s="254" t="str">
        <f t="shared" si="406"/>
        <v/>
      </c>
      <c r="AD439" s="255">
        <f t="shared" si="407"/>
        <v>7</v>
      </c>
      <c r="AE439" s="274" t="e">
        <f t="shared" si="376"/>
        <v>#N/A</v>
      </c>
      <c r="AF439" s="277" t="e">
        <f t="shared" si="408"/>
        <v>#N/A</v>
      </c>
      <c r="AG439" s="277" t="e">
        <f t="shared" si="409"/>
        <v>#N/A</v>
      </c>
      <c r="AH439" s="276" t="e">
        <f t="shared" si="377"/>
        <v>#N/A</v>
      </c>
      <c r="AI439" s="239">
        <f t="shared" si="410"/>
        <v>7</v>
      </c>
      <c r="AJ439" s="277" t="e">
        <f t="shared" si="378"/>
        <v>#N/A</v>
      </c>
      <c r="AK439" s="277" t="e">
        <f t="shared" si="411"/>
        <v>#N/A</v>
      </c>
      <c r="AL439" s="239" t="e">
        <f t="shared" si="379"/>
        <v>#N/A</v>
      </c>
      <c r="AM439" s="278" t="e">
        <f t="shared" si="412"/>
        <v>#N/A</v>
      </c>
      <c r="AN439" s="279" t="e">
        <f t="shared" si="380"/>
        <v>#N/A</v>
      </c>
      <c r="AO439" s="240" t="e">
        <f t="shared" si="381"/>
        <v>#N/A</v>
      </c>
      <c r="AP439" s="297">
        <f t="shared" si="413"/>
        <v>7</v>
      </c>
      <c r="AQ439" s="298" t="e">
        <f t="shared" si="382"/>
        <v>#N/A</v>
      </c>
      <c r="AR439" s="279" t="e">
        <f t="shared" si="414"/>
        <v>#N/A</v>
      </c>
      <c r="AS439" s="283" t="e">
        <f t="shared" si="383"/>
        <v>#N/A</v>
      </c>
      <c r="AT439" s="284">
        <f t="shared" si="415"/>
        <v>7</v>
      </c>
      <c r="AU439" s="285" t="e">
        <f t="shared" si="416"/>
        <v>#N/A</v>
      </c>
      <c r="AV439" s="286" t="e">
        <f t="shared" si="417"/>
        <v>#N/A</v>
      </c>
      <c r="AW439" s="287" t="e">
        <f t="shared" si="384"/>
        <v>#N/A</v>
      </c>
      <c r="AX439" s="245">
        <f t="shared" si="418"/>
        <v>7</v>
      </c>
      <c r="AY439" s="286" t="e">
        <f t="shared" si="385"/>
        <v>#N/A</v>
      </c>
      <c r="AZ439" s="245" t="e">
        <f t="shared" si="419"/>
        <v>#N/A</v>
      </c>
      <c r="BA439" s="245" t="e">
        <f t="shared" si="386"/>
        <v>#N/A</v>
      </c>
      <c r="BB439" s="288">
        <f t="shared" si="420"/>
        <v>7</v>
      </c>
      <c r="BC439" s="289" t="e">
        <f t="shared" si="421"/>
        <v>#N/A</v>
      </c>
      <c r="BD439" s="290" t="e">
        <f t="shared" si="422"/>
        <v>#N/A</v>
      </c>
      <c r="BE439" s="263" t="e">
        <f t="shared" si="387"/>
        <v>#N/A</v>
      </c>
      <c r="BF439" s="260">
        <f t="shared" si="423"/>
        <v>7</v>
      </c>
      <c r="BG439" s="289" t="e">
        <f t="shared" si="424"/>
        <v>#N/A</v>
      </c>
      <c r="BH439" s="290" t="e">
        <f t="shared" si="425"/>
        <v>#N/A</v>
      </c>
      <c r="BI439" s="263" t="e">
        <f t="shared" si="388"/>
        <v>#N/A</v>
      </c>
      <c r="BJ439" s="264">
        <f t="shared" si="426"/>
        <v>7</v>
      </c>
      <c r="BK439" s="291" t="e">
        <f t="shared" si="427"/>
        <v>#N/A</v>
      </c>
      <c r="BL439" s="291" t="e">
        <f t="shared" si="428"/>
        <v>#N/A</v>
      </c>
      <c r="BM439" s="292" t="e">
        <f t="shared" si="389"/>
        <v>#N/A</v>
      </c>
      <c r="BN439" s="293">
        <f t="shared" si="429"/>
        <v>7</v>
      </c>
      <c r="BO439" s="294" t="e">
        <f t="shared" si="430"/>
        <v>#N/A</v>
      </c>
      <c r="BP439" s="294" t="e">
        <f t="shared" si="431"/>
        <v>#N/A</v>
      </c>
      <c r="BQ439" s="292" t="e">
        <f t="shared" si="390"/>
        <v>#N/A</v>
      </c>
      <c r="BR439" s="295" t="e">
        <f t="shared" si="391"/>
        <v>#N/A</v>
      </c>
      <c r="BS439" s="230" t="e">
        <f>VLOOKUP($B439,SDR22_STOCK_BY_LA!$A$2:$C$11679,3,0)</f>
        <v>#N/A</v>
      </c>
      <c r="BT439" s="230" t="str">
        <f t="shared" si="432"/>
        <v/>
      </c>
    </row>
    <row r="440" spans="1:72" ht="12.5" x14ac:dyDescent="0.25">
      <c r="A440" s="230" t="str">
        <f t="shared" si="433"/>
        <v/>
      </c>
      <c r="B440" s="230" t="str">
        <f t="shared" si="434"/>
        <v/>
      </c>
      <c r="C440" s="296" t="str">
        <f t="shared" si="392"/>
        <v/>
      </c>
      <c r="D440" s="269" t="str">
        <f>IF(B440="","",IF(totals!$Q$3=0,IFERROR(IF(AD440=2,"0",AE440),""),"-"))</f>
        <v/>
      </c>
      <c r="E440" s="271" t="str">
        <f t="shared" si="393"/>
        <v/>
      </c>
      <c r="F440" s="272" t="str">
        <f t="shared" si="394"/>
        <v/>
      </c>
      <c r="G440" s="272" t="str">
        <f t="shared" si="395"/>
        <v/>
      </c>
      <c r="H440" s="269" t="str">
        <f t="shared" si="373"/>
        <v/>
      </c>
      <c r="I440" s="272" t="str">
        <f t="shared" si="396"/>
        <v/>
      </c>
      <c r="J440" s="272" t="str">
        <f t="shared" si="397"/>
        <v/>
      </c>
      <c r="K440" s="269" t="str">
        <f t="shared" si="374"/>
        <v/>
      </c>
      <c r="L440" s="272" t="str">
        <f t="shared" si="375"/>
        <v/>
      </c>
      <c r="M440" s="272" t="str">
        <f t="shared" si="398"/>
        <v/>
      </c>
      <c r="N440" s="269" t="str">
        <f t="shared" si="399"/>
        <v/>
      </c>
      <c r="O440" s="272" t="str">
        <f t="shared" si="400"/>
        <v/>
      </c>
      <c r="P440" s="272" t="str">
        <f t="shared" si="401"/>
        <v/>
      </c>
      <c r="Q440" s="269" t="str">
        <f t="shared" si="402"/>
        <v/>
      </c>
      <c r="R440" s="272" t="str">
        <f t="shared" si="403"/>
        <v/>
      </c>
      <c r="S440" s="272" t="str">
        <f t="shared" si="404"/>
        <v/>
      </c>
      <c r="T440" s="269" t="str">
        <f t="shared" si="405"/>
        <v/>
      </c>
      <c r="U440" s="230"/>
      <c r="V440" s="230"/>
      <c r="AB440" s="230" t="e">
        <f>VLOOKUP($B$6,Lookup_Source,433,0)</f>
        <v>#N/A</v>
      </c>
      <c r="AC440" s="254" t="str">
        <f t="shared" si="406"/>
        <v/>
      </c>
      <c r="AD440" s="255">
        <f t="shared" si="407"/>
        <v>7</v>
      </c>
      <c r="AE440" s="274" t="e">
        <f t="shared" si="376"/>
        <v>#N/A</v>
      </c>
      <c r="AF440" s="277" t="e">
        <f t="shared" si="408"/>
        <v>#N/A</v>
      </c>
      <c r="AG440" s="277" t="e">
        <f t="shared" si="409"/>
        <v>#N/A</v>
      </c>
      <c r="AH440" s="276" t="e">
        <f t="shared" si="377"/>
        <v>#N/A</v>
      </c>
      <c r="AI440" s="239">
        <f t="shared" si="410"/>
        <v>7</v>
      </c>
      <c r="AJ440" s="277" t="e">
        <f t="shared" si="378"/>
        <v>#N/A</v>
      </c>
      <c r="AK440" s="277" t="e">
        <f t="shared" si="411"/>
        <v>#N/A</v>
      </c>
      <c r="AL440" s="239" t="e">
        <f t="shared" si="379"/>
        <v>#N/A</v>
      </c>
      <c r="AM440" s="278" t="e">
        <f t="shared" si="412"/>
        <v>#N/A</v>
      </c>
      <c r="AN440" s="279" t="e">
        <f t="shared" si="380"/>
        <v>#N/A</v>
      </c>
      <c r="AO440" s="240" t="e">
        <f t="shared" si="381"/>
        <v>#N/A</v>
      </c>
      <c r="AP440" s="297">
        <f t="shared" si="413"/>
        <v>7</v>
      </c>
      <c r="AQ440" s="298" t="e">
        <f t="shared" si="382"/>
        <v>#N/A</v>
      </c>
      <c r="AR440" s="279" t="e">
        <f t="shared" si="414"/>
        <v>#N/A</v>
      </c>
      <c r="AS440" s="283" t="e">
        <f t="shared" si="383"/>
        <v>#N/A</v>
      </c>
      <c r="AT440" s="284">
        <f t="shared" si="415"/>
        <v>7</v>
      </c>
      <c r="AU440" s="285" t="e">
        <f t="shared" si="416"/>
        <v>#N/A</v>
      </c>
      <c r="AV440" s="286" t="e">
        <f t="shared" si="417"/>
        <v>#N/A</v>
      </c>
      <c r="AW440" s="287" t="e">
        <f t="shared" si="384"/>
        <v>#N/A</v>
      </c>
      <c r="AX440" s="245">
        <f t="shared" si="418"/>
        <v>7</v>
      </c>
      <c r="AY440" s="286" t="e">
        <f t="shared" si="385"/>
        <v>#N/A</v>
      </c>
      <c r="AZ440" s="245" t="e">
        <f t="shared" si="419"/>
        <v>#N/A</v>
      </c>
      <c r="BA440" s="245" t="e">
        <f t="shared" si="386"/>
        <v>#N/A</v>
      </c>
      <c r="BB440" s="288">
        <f t="shared" si="420"/>
        <v>7</v>
      </c>
      <c r="BC440" s="289" t="e">
        <f t="shared" si="421"/>
        <v>#N/A</v>
      </c>
      <c r="BD440" s="290" t="e">
        <f t="shared" si="422"/>
        <v>#N/A</v>
      </c>
      <c r="BE440" s="263" t="e">
        <f t="shared" si="387"/>
        <v>#N/A</v>
      </c>
      <c r="BF440" s="260">
        <f t="shared" si="423"/>
        <v>7</v>
      </c>
      <c r="BG440" s="289" t="e">
        <f t="shared" si="424"/>
        <v>#N/A</v>
      </c>
      <c r="BH440" s="290" t="e">
        <f t="shared" si="425"/>
        <v>#N/A</v>
      </c>
      <c r="BI440" s="263" t="e">
        <f t="shared" si="388"/>
        <v>#N/A</v>
      </c>
      <c r="BJ440" s="264">
        <f t="shared" si="426"/>
        <v>7</v>
      </c>
      <c r="BK440" s="291" t="e">
        <f t="shared" si="427"/>
        <v>#N/A</v>
      </c>
      <c r="BL440" s="291" t="e">
        <f t="shared" si="428"/>
        <v>#N/A</v>
      </c>
      <c r="BM440" s="292" t="e">
        <f t="shared" si="389"/>
        <v>#N/A</v>
      </c>
      <c r="BN440" s="293">
        <f t="shared" si="429"/>
        <v>7</v>
      </c>
      <c r="BO440" s="294" t="e">
        <f t="shared" si="430"/>
        <v>#N/A</v>
      </c>
      <c r="BP440" s="294" t="e">
        <f t="shared" si="431"/>
        <v>#N/A</v>
      </c>
      <c r="BQ440" s="292" t="e">
        <f t="shared" si="390"/>
        <v>#N/A</v>
      </c>
      <c r="BR440" s="295" t="e">
        <f t="shared" si="391"/>
        <v>#N/A</v>
      </c>
      <c r="BS440" s="230" t="e">
        <f>VLOOKUP($B440,SDR22_STOCK_BY_LA!$A$2:$C$11679,3,0)</f>
        <v>#N/A</v>
      </c>
      <c r="BT440" s="230" t="str">
        <f t="shared" si="432"/>
        <v/>
      </c>
    </row>
    <row r="441" spans="1:72" ht="12.5" x14ac:dyDescent="0.25">
      <c r="A441" s="269" t="str">
        <f t="shared" si="433"/>
        <v/>
      </c>
      <c r="B441" s="230" t="str">
        <f t="shared" si="434"/>
        <v/>
      </c>
      <c r="C441" s="270" t="str">
        <f t="shared" si="392"/>
        <v/>
      </c>
      <c r="D441" s="269" t="str">
        <f>IF(B441="","",IF(totals!$Q$3=0,IFERROR(IF(AD441=2,"0",AE441),""),"-"))</f>
        <v/>
      </c>
      <c r="E441" s="271" t="str">
        <f t="shared" si="393"/>
        <v/>
      </c>
      <c r="F441" s="272" t="str">
        <f t="shared" si="394"/>
        <v/>
      </c>
      <c r="G441" s="272" t="str">
        <f t="shared" si="395"/>
        <v/>
      </c>
      <c r="H441" s="269" t="str">
        <f t="shared" si="373"/>
        <v/>
      </c>
      <c r="I441" s="272" t="str">
        <f t="shared" si="396"/>
        <v/>
      </c>
      <c r="J441" s="272" t="str">
        <f t="shared" si="397"/>
        <v/>
      </c>
      <c r="K441" s="269" t="str">
        <f t="shared" si="374"/>
        <v/>
      </c>
      <c r="L441" s="272" t="str">
        <f t="shared" si="375"/>
        <v/>
      </c>
      <c r="M441" s="272" t="str">
        <f t="shared" si="398"/>
        <v/>
      </c>
      <c r="N441" s="269" t="str">
        <f t="shared" si="399"/>
        <v/>
      </c>
      <c r="O441" s="272" t="str">
        <f t="shared" si="400"/>
        <v/>
      </c>
      <c r="P441" s="272" t="str">
        <f t="shared" si="401"/>
        <v/>
      </c>
      <c r="Q441" s="269" t="str">
        <f t="shared" si="402"/>
        <v/>
      </c>
      <c r="R441" s="272" t="str">
        <f t="shared" si="403"/>
        <v/>
      </c>
      <c r="S441" s="272" t="str">
        <f t="shared" si="404"/>
        <v/>
      </c>
      <c r="T441" s="269" t="str">
        <f t="shared" si="405"/>
        <v/>
      </c>
      <c r="U441" s="230"/>
      <c r="V441" s="230"/>
      <c r="AB441" s="270" t="e">
        <f>VLOOKUP($B$6,Lookup_Source,434,0)</f>
        <v>#N/A</v>
      </c>
      <c r="AC441" s="254" t="str">
        <f t="shared" si="406"/>
        <v/>
      </c>
      <c r="AD441" s="255">
        <f t="shared" si="407"/>
        <v>7</v>
      </c>
      <c r="AE441" s="274" t="e">
        <f t="shared" si="376"/>
        <v>#N/A</v>
      </c>
      <c r="AF441" s="277" t="e">
        <f t="shared" si="408"/>
        <v>#N/A</v>
      </c>
      <c r="AG441" s="277" t="e">
        <f t="shared" si="409"/>
        <v>#N/A</v>
      </c>
      <c r="AH441" s="276" t="e">
        <f t="shared" si="377"/>
        <v>#N/A</v>
      </c>
      <c r="AI441" s="239">
        <f t="shared" si="410"/>
        <v>7</v>
      </c>
      <c r="AJ441" s="277" t="e">
        <f t="shared" si="378"/>
        <v>#N/A</v>
      </c>
      <c r="AK441" s="277" t="e">
        <f t="shared" si="411"/>
        <v>#N/A</v>
      </c>
      <c r="AL441" s="239" t="e">
        <f t="shared" si="379"/>
        <v>#N/A</v>
      </c>
      <c r="AM441" s="278" t="e">
        <f t="shared" si="412"/>
        <v>#N/A</v>
      </c>
      <c r="AN441" s="279" t="e">
        <f t="shared" si="380"/>
        <v>#N/A</v>
      </c>
      <c r="AO441" s="240" t="e">
        <f t="shared" si="381"/>
        <v>#N/A</v>
      </c>
      <c r="AP441" s="297">
        <f t="shared" si="413"/>
        <v>7</v>
      </c>
      <c r="AQ441" s="298" t="e">
        <f t="shared" si="382"/>
        <v>#N/A</v>
      </c>
      <c r="AR441" s="279" t="e">
        <f t="shared" si="414"/>
        <v>#N/A</v>
      </c>
      <c r="AS441" s="283" t="e">
        <f t="shared" si="383"/>
        <v>#N/A</v>
      </c>
      <c r="AT441" s="284">
        <f t="shared" si="415"/>
        <v>7</v>
      </c>
      <c r="AU441" s="285" t="e">
        <f t="shared" si="416"/>
        <v>#N/A</v>
      </c>
      <c r="AV441" s="286" t="e">
        <f t="shared" si="417"/>
        <v>#N/A</v>
      </c>
      <c r="AW441" s="287" t="e">
        <f t="shared" si="384"/>
        <v>#N/A</v>
      </c>
      <c r="AX441" s="245">
        <f t="shared" si="418"/>
        <v>7</v>
      </c>
      <c r="AY441" s="286" t="e">
        <f t="shared" si="385"/>
        <v>#N/A</v>
      </c>
      <c r="AZ441" s="245" t="e">
        <f t="shared" si="419"/>
        <v>#N/A</v>
      </c>
      <c r="BA441" s="245" t="e">
        <f t="shared" si="386"/>
        <v>#N/A</v>
      </c>
      <c r="BB441" s="288">
        <f t="shared" si="420"/>
        <v>7</v>
      </c>
      <c r="BC441" s="289" t="e">
        <f t="shared" si="421"/>
        <v>#N/A</v>
      </c>
      <c r="BD441" s="290" t="e">
        <f t="shared" si="422"/>
        <v>#N/A</v>
      </c>
      <c r="BE441" s="263" t="e">
        <f t="shared" si="387"/>
        <v>#N/A</v>
      </c>
      <c r="BF441" s="260">
        <f t="shared" si="423"/>
        <v>7</v>
      </c>
      <c r="BG441" s="289" t="e">
        <f t="shared" si="424"/>
        <v>#N/A</v>
      </c>
      <c r="BH441" s="290" t="e">
        <f t="shared" si="425"/>
        <v>#N/A</v>
      </c>
      <c r="BI441" s="263" t="e">
        <f t="shared" si="388"/>
        <v>#N/A</v>
      </c>
      <c r="BJ441" s="264">
        <f t="shared" si="426"/>
        <v>7</v>
      </c>
      <c r="BK441" s="291" t="e">
        <f t="shared" si="427"/>
        <v>#N/A</v>
      </c>
      <c r="BL441" s="291" t="e">
        <f t="shared" si="428"/>
        <v>#N/A</v>
      </c>
      <c r="BM441" s="292" t="e">
        <f t="shared" si="389"/>
        <v>#N/A</v>
      </c>
      <c r="BN441" s="293">
        <f t="shared" si="429"/>
        <v>7</v>
      </c>
      <c r="BO441" s="294" t="e">
        <f t="shared" si="430"/>
        <v>#N/A</v>
      </c>
      <c r="BP441" s="294" t="e">
        <f t="shared" si="431"/>
        <v>#N/A</v>
      </c>
      <c r="BQ441" s="292" t="e">
        <f t="shared" si="390"/>
        <v>#N/A</v>
      </c>
      <c r="BR441" s="295" t="e">
        <f t="shared" si="391"/>
        <v>#N/A</v>
      </c>
      <c r="BS441" s="230" t="e">
        <f>VLOOKUP($B441,SDR22_STOCK_BY_LA!$A$2:$C$11679,3,0)</f>
        <v>#N/A</v>
      </c>
      <c r="BT441" s="230" t="str">
        <f t="shared" si="432"/>
        <v/>
      </c>
    </row>
    <row r="442" spans="1:72" ht="12.5" x14ac:dyDescent="0.25">
      <c r="A442" s="230" t="str">
        <f t="shared" si="433"/>
        <v/>
      </c>
      <c r="B442" s="230" t="str">
        <f t="shared" si="434"/>
        <v/>
      </c>
      <c r="C442" s="296" t="str">
        <f t="shared" si="392"/>
        <v/>
      </c>
      <c r="D442" s="269" t="str">
        <f>IF(B442="","",IF(totals!$Q$3=0,IFERROR(IF(AD442=2,"0",AE442),""),"-"))</f>
        <v/>
      </c>
      <c r="E442" s="271" t="str">
        <f t="shared" si="393"/>
        <v/>
      </c>
      <c r="F442" s="272" t="str">
        <f t="shared" si="394"/>
        <v/>
      </c>
      <c r="G442" s="272" t="str">
        <f t="shared" si="395"/>
        <v/>
      </c>
      <c r="H442" s="269" t="str">
        <f t="shared" si="373"/>
        <v/>
      </c>
      <c r="I442" s="272" t="str">
        <f t="shared" si="396"/>
        <v/>
      </c>
      <c r="J442" s="272" t="str">
        <f t="shared" si="397"/>
        <v/>
      </c>
      <c r="K442" s="269" t="str">
        <f t="shared" si="374"/>
        <v/>
      </c>
      <c r="L442" s="272" t="str">
        <f t="shared" si="375"/>
        <v/>
      </c>
      <c r="M442" s="272" t="str">
        <f t="shared" si="398"/>
        <v/>
      </c>
      <c r="N442" s="269" t="str">
        <f t="shared" si="399"/>
        <v/>
      </c>
      <c r="O442" s="272" t="str">
        <f t="shared" si="400"/>
        <v/>
      </c>
      <c r="P442" s="272" t="str">
        <f t="shared" si="401"/>
        <v/>
      </c>
      <c r="Q442" s="269" t="str">
        <f t="shared" si="402"/>
        <v/>
      </c>
      <c r="R442" s="272" t="str">
        <f t="shared" si="403"/>
        <v/>
      </c>
      <c r="S442" s="272" t="str">
        <f t="shared" si="404"/>
        <v/>
      </c>
      <c r="T442" s="269" t="str">
        <f t="shared" si="405"/>
        <v/>
      </c>
      <c r="U442" s="230"/>
      <c r="V442" s="230"/>
      <c r="AB442" s="230" t="e">
        <f>VLOOKUP($B$6,Lookup_Source,435,0)</f>
        <v>#N/A</v>
      </c>
      <c r="AC442" s="254" t="str">
        <f t="shared" si="406"/>
        <v/>
      </c>
      <c r="AD442" s="255">
        <f t="shared" si="407"/>
        <v>7</v>
      </c>
      <c r="AE442" s="274" t="e">
        <f t="shared" si="376"/>
        <v>#N/A</v>
      </c>
      <c r="AF442" s="277" t="e">
        <f t="shared" si="408"/>
        <v>#N/A</v>
      </c>
      <c r="AG442" s="277" t="e">
        <f t="shared" si="409"/>
        <v>#N/A</v>
      </c>
      <c r="AH442" s="276" t="e">
        <f t="shared" si="377"/>
        <v>#N/A</v>
      </c>
      <c r="AI442" s="239">
        <f t="shared" si="410"/>
        <v>7</v>
      </c>
      <c r="AJ442" s="277" t="e">
        <f t="shared" si="378"/>
        <v>#N/A</v>
      </c>
      <c r="AK442" s="277" t="e">
        <f t="shared" si="411"/>
        <v>#N/A</v>
      </c>
      <c r="AL442" s="239" t="e">
        <f t="shared" si="379"/>
        <v>#N/A</v>
      </c>
      <c r="AM442" s="278" t="e">
        <f t="shared" si="412"/>
        <v>#N/A</v>
      </c>
      <c r="AN442" s="279" t="e">
        <f t="shared" si="380"/>
        <v>#N/A</v>
      </c>
      <c r="AO442" s="240" t="e">
        <f t="shared" si="381"/>
        <v>#N/A</v>
      </c>
      <c r="AP442" s="297">
        <f t="shared" si="413"/>
        <v>7</v>
      </c>
      <c r="AQ442" s="298" t="e">
        <f t="shared" si="382"/>
        <v>#N/A</v>
      </c>
      <c r="AR442" s="279" t="e">
        <f t="shared" si="414"/>
        <v>#N/A</v>
      </c>
      <c r="AS442" s="283" t="e">
        <f t="shared" si="383"/>
        <v>#N/A</v>
      </c>
      <c r="AT442" s="284">
        <f t="shared" si="415"/>
        <v>7</v>
      </c>
      <c r="AU442" s="285" t="e">
        <f t="shared" si="416"/>
        <v>#N/A</v>
      </c>
      <c r="AV442" s="286" t="e">
        <f t="shared" si="417"/>
        <v>#N/A</v>
      </c>
      <c r="AW442" s="287" t="e">
        <f t="shared" si="384"/>
        <v>#N/A</v>
      </c>
      <c r="AX442" s="245">
        <f t="shared" si="418"/>
        <v>7</v>
      </c>
      <c r="AY442" s="286" t="e">
        <f t="shared" si="385"/>
        <v>#N/A</v>
      </c>
      <c r="AZ442" s="245" t="e">
        <f t="shared" si="419"/>
        <v>#N/A</v>
      </c>
      <c r="BA442" s="245" t="e">
        <f t="shared" si="386"/>
        <v>#N/A</v>
      </c>
      <c r="BB442" s="288">
        <f t="shared" si="420"/>
        <v>7</v>
      </c>
      <c r="BC442" s="289" t="e">
        <f t="shared" si="421"/>
        <v>#N/A</v>
      </c>
      <c r="BD442" s="290" t="e">
        <f t="shared" si="422"/>
        <v>#N/A</v>
      </c>
      <c r="BE442" s="263" t="e">
        <f t="shared" si="387"/>
        <v>#N/A</v>
      </c>
      <c r="BF442" s="260">
        <f t="shared" si="423"/>
        <v>7</v>
      </c>
      <c r="BG442" s="289" t="e">
        <f t="shared" si="424"/>
        <v>#N/A</v>
      </c>
      <c r="BH442" s="290" t="e">
        <f t="shared" si="425"/>
        <v>#N/A</v>
      </c>
      <c r="BI442" s="263" t="e">
        <f t="shared" si="388"/>
        <v>#N/A</v>
      </c>
      <c r="BJ442" s="264">
        <f t="shared" si="426"/>
        <v>7</v>
      </c>
      <c r="BK442" s="291" t="e">
        <f t="shared" si="427"/>
        <v>#N/A</v>
      </c>
      <c r="BL442" s="291" t="e">
        <f t="shared" si="428"/>
        <v>#N/A</v>
      </c>
      <c r="BM442" s="292" t="e">
        <f t="shared" si="389"/>
        <v>#N/A</v>
      </c>
      <c r="BN442" s="293">
        <f t="shared" si="429"/>
        <v>7</v>
      </c>
      <c r="BO442" s="294" t="e">
        <f t="shared" si="430"/>
        <v>#N/A</v>
      </c>
      <c r="BP442" s="294" t="e">
        <f t="shared" si="431"/>
        <v>#N/A</v>
      </c>
      <c r="BQ442" s="292" t="e">
        <f t="shared" si="390"/>
        <v>#N/A</v>
      </c>
      <c r="BR442" s="295" t="e">
        <f t="shared" si="391"/>
        <v>#N/A</v>
      </c>
      <c r="BS442" s="230" t="e">
        <f>VLOOKUP($B442,SDR22_STOCK_BY_LA!$A$2:$C$11679,3,0)</f>
        <v>#N/A</v>
      </c>
      <c r="BT442" s="230" t="str">
        <f t="shared" si="432"/>
        <v/>
      </c>
    </row>
    <row r="443" spans="1:72" ht="12.5" x14ac:dyDescent="0.25">
      <c r="A443" s="269" t="str">
        <f t="shared" si="433"/>
        <v/>
      </c>
      <c r="B443" s="230" t="str">
        <f t="shared" si="434"/>
        <v/>
      </c>
      <c r="C443" s="270" t="str">
        <f t="shared" si="392"/>
        <v/>
      </c>
      <c r="D443" s="269" t="str">
        <f>IF(B443="","",IF(totals!$Q$3=0,IFERROR(IF(AD443=2,"0",AE443),""),"-"))</f>
        <v/>
      </c>
      <c r="E443" s="271" t="str">
        <f t="shared" si="393"/>
        <v/>
      </c>
      <c r="F443" s="272" t="str">
        <f t="shared" si="394"/>
        <v/>
      </c>
      <c r="G443" s="272" t="str">
        <f t="shared" si="395"/>
        <v/>
      </c>
      <c r="H443" s="269" t="str">
        <f t="shared" si="373"/>
        <v/>
      </c>
      <c r="I443" s="272" t="str">
        <f t="shared" si="396"/>
        <v/>
      </c>
      <c r="J443" s="272" t="str">
        <f t="shared" si="397"/>
        <v/>
      </c>
      <c r="K443" s="269" t="str">
        <f t="shared" si="374"/>
        <v/>
      </c>
      <c r="L443" s="272" t="str">
        <f t="shared" si="375"/>
        <v/>
      </c>
      <c r="M443" s="272" t="str">
        <f t="shared" si="398"/>
        <v/>
      </c>
      <c r="N443" s="269" t="str">
        <f t="shared" si="399"/>
        <v/>
      </c>
      <c r="O443" s="272" t="str">
        <f t="shared" si="400"/>
        <v/>
      </c>
      <c r="P443" s="272" t="str">
        <f t="shared" si="401"/>
        <v/>
      </c>
      <c r="Q443" s="269" t="str">
        <f t="shared" si="402"/>
        <v/>
      </c>
      <c r="R443" s="272" t="str">
        <f t="shared" si="403"/>
        <v/>
      </c>
      <c r="S443" s="272" t="str">
        <f t="shared" si="404"/>
        <v/>
      </c>
      <c r="T443" s="269" t="str">
        <f t="shared" si="405"/>
        <v/>
      </c>
      <c r="U443" s="230"/>
      <c r="V443" s="230"/>
      <c r="AB443" s="270" t="e">
        <f>VLOOKUP($B$6,Lookup_Source,436,0)</f>
        <v>#N/A</v>
      </c>
      <c r="AC443" s="254" t="str">
        <f t="shared" si="406"/>
        <v/>
      </c>
      <c r="AD443" s="255">
        <f t="shared" si="407"/>
        <v>7</v>
      </c>
      <c r="AE443" s="274" t="e">
        <f t="shared" si="376"/>
        <v>#N/A</v>
      </c>
      <c r="AF443" s="277" t="e">
        <f t="shared" si="408"/>
        <v>#N/A</v>
      </c>
      <c r="AG443" s="277" t="e">
        <f t="shared" si="409"/>
        <v>#N/A</v>
      </c>
      <c r="AH443" s="276" t="e">
        <f t="shared" si="377"/>
        <v>#N/A</v>
      </c>
      <c r="AI443" s="239">
        <f t="shared" si="410"/>
        <v>7</v>
      </c>
      <c r="AJ443" s="277" t="e">
        <f t="shared" si="378"/>
        <v>#N/A</v>
      </c>
      <c r="AK443" s="277" t="e">
        <f t="shared" si="411"/>
        <v>#N/A</v>
      </c>
      <c r="AL443" s="239" t="e">
        <f t="shared" si="379"/>
        <v>#N/A</v>
      </c>
      <c r="AM443" s="278" t="e">
        <f t="shared" si="412"/>
        <v>#N/A</v>
      </c>
      <c r="AN443" s="279" t="e">
        <f t="shared" si="380"/>
        <v>#N/A</v>
      </c>
      <c r="AO443" s="240" t="e">
        <f t="shared" si="381"/>
        <v>#N/A</v>
      </c>
      <c r="AP443" s="297">
        <f t="shared" si="413"/>
        <v>7</v>
      </c>
      <c r="AQ443" s="298" t="e">
        <f t="shared" si="382"/>
        <v>#N/A</v>
      </c>
      <c r="AR443" s="279" t="e">
        <f t="shared" si="414"/>
        <v>#N/A</v>
      </c>
      <c r="AS443" s="283" t="e">
        <f t="shared" si="383"/>
        <v>#N/A</v>
      </c>
      <c r="AT443" s="284">
        <f t="shared" si="415"/>
        <v>7</v>
      </c>
      <c r="AU443" s="285" t="e">
        <f t="shared" si="416"/>
        <v>#N/A</v>
      </c>
      <c r="AV443" s="286" t="e">
        <f t="shared" si="417"/>
        <v>#N/A</v>
      </c>
      <c r="AW443" s="287" t="e">
        <f t="shared" si="384"/>
        <v>#N/A</v>
      </c>
      <c r="AX443" s="245">
        <f t="shared" si="418"/>
        <v>7</v>
      </c>
      <c r="AY443" s="286" t="e">
        <f t="shared" si="385"/>
        <v>#N/A</v>
      </c>
      <c r="AZ443" s="245" t="e">
        <f t="shared" si="419"/>
        <v>#N/A</v>
      </c>
      <c r="BA443" s="245" t="e">
        <f t="shared" si="386"/>
        <v>#N/A</v>
      </c>
      <c r="BB443" s="288">
        <f t="shared" si="420"/>
        <v>7</v>
      </c>
      <c r="BC443" s="289" t="e">
        <f t="shared" si="421"/>
        <v>#N/A</v>
      </c>
      <c r="BD443" s="290" t="e">
        <f t="shared" si="422"/>
        <v>#N/A</v>
      </c>
      <c r="BE443" s="263" t="e">
        <f t="shared" si="387"/>
        <v>#N/A</v>
      </c>
      <c r="BF443" s="260">
        <f t="shared" si="423"/>
        <v>7</v>
      </c>
      <c r="BG443" s="289" t="e">
        <f t="shared" si="424"/>
        <v>#N/A</v>
      </c>
      <c r="BH443" s="290" t="e">
        <f t="shared" si="425"/>
        <v>#N/A</v>
      </c>
      <c r="BI443" s="263" t="e">
        <f t="shared" si="388"/>
        <v>#N/A</v>
      </c>
      <c r="BJ443" s="264">
        <f t="shared" si="426"/>
        <v>7</v>
      </c>
      <c r="BK443" s="291" t="e">
        <f t="shared" si="427"/>
        <v>#N/A</v>
      </c>
      <c r="BL443" s="291" t="e">
        <f t="shared" si="428"/>
        <v>#N/A</v>
      </c>
      <c r="BM443" s="292" t="e">
        <f t="shared" si="389"/>
        <v>#N/A</v>
      </c>
      <c r="BN443" s="293">
        <f t="shared" si="429"/>
        <v>7</v>
      </c>
      <c r="BO443" s="294" t="e">
        <f t="shared" si="430"/>
        <v>#N/A</v>
      </c>
      <c r="BP443" s="294" t="e">
        <f t="shared" si="431"/>
        <v>#N/A</v>
      </c>
      <c r="BQ443" s="292" t="e">
        <f t="shared" si="390"/>
        <v>#N/A</v>
      </c>
      <c r="BR443" s="295" t="e">
        <f t="shared" si="391"/>
        <v>#N/A</v>
      </c>
      <c r="BS443" s="230" t="e">
        <f>VLOOKUP($B443,SDR22_STOCK_BY_LA!$A$2:$C$11679,3,0)</f>
        <v>#N/A</v>
      </c>
      <c r="BT443" s="230" t="str">
        <f t="shared" si="432"/>
        <v/>
      </c>
    </row>
    <row r="444" spans="1:72" ht="12.5" x14ac:dyDescent="0.25">
      <c r="A444" s="230" t="str">
        <f t="shared" si="433"/>
        <v/>
      </c>
      <c r="B444" s="230" t="str">
        <f t="shared" si="434"/>
        <v/>
      </c>
      <c r="C444" s="296" t="str">
        <f t="shared" si="392"/>
        <v/>
      </c>
      <c r="D444" s="269" t="str">
        <f>IF(B444="","",IF(totals!$Q$3=0,IFERROR(IF(AD444=2,"0",AE444),""),"-"))</f>
        <v/>
      </c>
      <c r="E444" s="271" t="str">
        <f t="shared" si="393"/>
        <v/>
      </c>
      <c r="F444" s="272" t="str">
        <f t="shared" si="394"/>
        <v/>
      </c>
      <c r="G444" s="272" t="str">
        <f t="shared" si="395"/>
        <v/>
      </c>
      <c r="H444" s="269" t="str">
        <f t="shared" si="373"/>
        <v/>
      </c>
      <c r="I444" s="272" t="str">
        <f t="shared" si="396"/>
        <v/>
      </c>
      <c r="J444" s="272" t="str">
        <f t="shared" si="397"/>
        <v/>
      </c>
      <c r="K444" s="269" t="str">
        <f t="shared" si="374"/>
        <v/>
      </c>
      <c r="L444" s="272" t="str">
        <f t="shared" si="375"/>
        <v/>
      </c>
      <c r="M444" s="272" t="str">
        <f t="shared" si="398"/>
        <v/>
      </c>
      <c r="N444" s="269" t="str">
        <f t="shared" si="399"/>
        <v/>
      </c>
      <c r="O444" s="272" t="str">
        <f t="shared" si="400"/>
        <v/>
      </c>
      <c r="P444" s="272" t="str">
        <f t="shared" si="401"/>
        <v/>
      </c>
      <c r="Q444" s="269" t="str">
        <f t="shared" si="402"/>
        <v/>
      </c>
      <c r="R444" s="272" t="str">
        <f t="shared" si="403"/>
        <v/>
      </c>
      <c r="S444" s="272" t="str">
        <f t="shared" si="404"/>
        <v/>
      </c>
      <c r="T444" s="269" t="str">
        <f t="shared" si="405"/>
        <v/>
      </c>
      <c r="U444" s="230"/>
      <c r="V444" s="230"/>
      <c r="AB444" s="230" t="e">
        <f>VLOOKUP($B$6,Lookup_Source,437,0)</f>
        <v>#N/A</v>
      </c>
      <c r="AC444" s="254" t="str">
        <f t="shared" si="406"/>
        <v/>
      </c>
      <c r="AD444" s="255">
        <f t="shared" si="407"/>
        <v>7</v>
      </c>
      <c r="AE444" s="274" t="e">
        <f t="shared" si="376"/>
        <v>#N/A</v>
      </c>
      <c r="AF444" s="277" t="e">
        <f t="shared" si="408"/>
        <v>#N/A</v>
      </c>
      <c r="AG444" s="277" t="e">
        <f t="shared" si="409"/>
        <v>#N/A</v>
      </c>
      <c r="AH444" s="276" t="e">
        <f t="shared" si="377"/>
        <v>#N/A</v>
      </c>
      <c r="AI444" s="239">
        <f t="shared" si="410"/>
        <v>7</v>
      </c>
      <c r="AJ444" s="277" t="e">
        <f t="shared" si="378"/>
        <v>#N/A</v>
      </c>
      <c r="AK444" s="277" t="e">
        <f t="shared" si="411"/>
        <v>#N/A</v>
      </c>
      <c r="AL444" s="239" t="e">
        <f t="shared" si="379"/>
        <v>#N/A</v>
      </c>
      <c r="AM444" s="278" t="e">
        <f t="shared" si="412"/>
        <v>#N/A</v>
      </c>
      <c r="AN444" s="279" t="e">
        <f t="shared" si="380"/>
        <v>#N/A</v>
      </c>
      <c r="AO444" s="240" t="e">
        <f t="shared" si="381"/>
        <v>#N/A</v>
      </c>
      <c r="AP444" s="297">
        <f t="shared" si="413"/>
        <v>7</v>
      </c>
      <c r="AQ444" s="298" t="e">
        <f t="shared" si="382"/>
        <v>#N/A</v>
      </c>
      <c r="AR444" s="279" t="e">
        <f t="shared" si="414"/>
        <v>#N/A</v>
      </c>
      <c r="AS444" s="283" t="e">
        <f t="shared" si="383"/>
        <v>#N/A</v>
      </c>
      <c r="AT444" s="284">
        <f t="shared" si="415"/>
        <v>7</v>
      </c>
      <c r="AU444" s="285" t="e">
        <f t="shared" si="416"/>
        <v>#N/A</v>
      </c>
      <c r="AV444" s="286" t="e">
        <f t="shared" si="417"/>
        <v>#N/A</v>
      </c>
      <c r="AW444" s="287" t="e">
        <f t="shared" si="384"/>
        <v>#N/A</v>
      </c>
      <c r="AX444" s="245">
        <f t="shared" si="418"/>
        <v>7</v>
      </c>
      <c r="AY444" s="286" t="e">
        <f t="shared" si="385"/>
        <v>#N/A</v>
      </c>
      <c r="AZ444" s="245" t="e">
        <f t="shared" si="419"/>
        <v>#N/A</v>
      </c>
      <c r="BA444" s="245" t="e">
        <f t="shared" si="386"/>
        <v>#N/A</v>
      </c>
      <c r="BB444" s="288">
        <f t="shared" si="420"/>
        <v>7</v>
      </c>
      <c r="BC444" s="289" t="e">
        <f t="shared" si="421"/>
        <v>#N/A</v>
      </c>
      <c r="BD444" s="290" t="e">
        <f t="shared" si="422"/>
        <v>#N/A</v>
      </c>
      <c r="BE444" s="263" t="e">
        <f t="shared" si="387"/>
        <v>#N/A</v>
      </c>
      <c r="BF444" s="260">
        <f t="shared" si="423"/>
        <v>7</v>
      </c>
      <c r="BG444" s="289" t="e">
        <f t="shared" si="424"/>
        <v>#N/A</v>
      </c>
      <c r="BH444" s="290" t="e">
        <f t="shared" si="425"/>
        <v>#N/A</v>
      </c>
      <c r="BI444" s="263" t="e">
        <f t="shared" si="388"/>
        <v>#N/A</v>
      </c>
      <c r="BJ444" s="264">
        <f t="shared" si="426"/>
        <v>7</v>
      </c>
      <c r="BK444" s="291" t="e">
        <f t="shared" si="427"/>
        <v>#N/A</v>
      </c>
      <c r="BL444" s="291" t="e">
        <f t="shared" si="428"/>
        <v>#N/A</v>
      </c>
      <c r="BM444" s="292" t="e">
        <f t="shared" si="389"/>
        <v>#N/A</v>
      </c>
      <c r="BN444" s="293">
        <f t="shared" si="429"/>
        <v>7</v>
      </c>
      <c r="BO444" s="294" t="e">
        <f t="shared" si="430"/>
        <v>#N/A</v>
      </c>
      <c r="BP444" s="294" t="e">
        <f t="shared" si="431"/>
        <v>#N/A</v>
      </c>
      <c r="BQ444" s="292" t="e">
        <f t="shared" si="390"/>
        <v>#N/A</v>
      </c>
      <c r="BR444" s="295" t="e">
        <f t="shared" si="391"/>
        <v>#N/A</v>
      </c>
      <c r="BS444" s="230" t="e">
        <f>VLOOKUP($B444,SDR22_STOCK_BY_LA!$A$2:$C$11679,3,0)</f>
        <v>#N/A</v>
      </c>
      <c r="BT444" s="230" t="str">
        <f t="shared" si="432"/>
        <v/>
      </c>
    </row>
    <row r="445" spans="1:72" ht="12.5" x14ac:dyDescent="0.25">
      <c r="A445" s="269" t="str">
        <f t="shared" si="433"/>
        <v/>
      </c>
      <c r="B445" s="230" t="str">
        <f t="shared" si="434"/>
        <v/>
      </c>
      <c r="C445" s="270" t="str">
        <f t="shared" si="392"/>
        <v/>
      </c>
      <c r="D445" s="269" t="str">
        <f>IF(B445="","",IF(totals!$Q$3=0,IFERROR(IF(AD445=2,"0",AE445),""),"-"))</f>
        <v/>
      </c>
      <c r="E445" s="271" t="str">
        <f t="shared" si="393"/>
        <v/>
      </c>
      <c r="F445" s="272" t="str">
        <f t="shared" si="394"/>
        <v/>
      </c>
      <c r="G445" s="272" t="str">
        <f t="shared" si="395"/>
        <v/>
      </c>
      <c r="H445" s="269" t="str">
        <f t="shared" si="373"/>
        <v/>
      </c>
      <c r="I445" s="272" t="str">
        <f t="shared" si="396"/>
        <v/>
      </c>
      <c r="J445" s="272" t="str">
        <f t="shared" si="397"/>
        <v/>
      </c>
      <c r="K445" s="269" t="str">
        <f t="shared" si="374"/>
        <v/>
      </c>
      <c r="L445" s="272" t="str">
        <f t="shared" si="375"/>
        <v/>
      </c>
      <c r="M445" s="272" t="str">
        <f t="shared" si="398"/>
        <v/>
      </c>
      <c r="N445" s="269" t="str">
        <f t="shared" si="399"/>
        <v/>
      </c>
      <c r="O445" s="272" t="str">
        <f t="shared" si="400"/>
        <v/>
      </c>
      <c r="P445" s="272" t="str">
        <f t="shared" si="401"/>
        <v/>
      </c>
      <c r="Q445" s="269" t="str">
        <f t="shared" si="402"/>
        <v/>
      </c>
      <c r="R445" s="272" t="str">
        <f t="shared" si="403"/>
        <v/>
      </c>
      <c r="S445" s="272" t="str">
        <f t="shared" si="404"/>
        <v/>
      </c>
      <c r="T445" s="269" t="str">
        <f t="shared" si="405"/>
        <v/>
      </c>
      <c r="U445" s="230"/>
      <c r="V445" s="230"/>
      <c r="AB445" s="270" t="e">
        <f>VLOOKUP($B$6,Lookup_Source,438,0)</f>
        <v>#N/A</v>
      </c>
      <c r="AC445" s="254" t="str">
        <f t="shared" si="406"/>
        <v/>
      </c>
      <c r="AD445" s="255">
        <f t="shared" si="407"/>
        <v>7</v>
      </c>
      <c r="AE445" s="274" t="e">
        <f t="shared" si="376"/>
        <v>#N/A</v>
      </c>
      <c r="AF445" s="277" t="e">
        <f t="shared" si="408"/>
        <v>#N/A</v>
      </c>
      <c r="AG445" s="277" t="e">
        <f t="shared" si="409"/>
        <v>#N/A</v>
      </c>
      <c r="AH445" s="276" t="e">
        <f t="shared" si="377"/>
        <v>#N/A</v>
      </c>
      <c r="AI445" s="239">
        <f t="shared" si="410"/>
        <v>7</v>
      </c>
      <c r="AJ445" s="277" t="e">
        <f t="shared" si="378"/>
        <v>#N/A</v>
      </c>
      <c r="AK445" s="277" t="e">
        <f t="shared" si="411"/>
        <v>#N/A</v>
      </c>
      <c r="AL445" s="239" t="e">
        <f t="shared" si="379"/>
        <v>#N/A</v>
      </c>
      <c r="AM445" s="278" t="e">
        <f t="shared" si="412"/>
        <v>#N/A</v>
      </c>
      <c r="AN445" s="279" t="e">
        <f t="shared" si="380"/>
        <v>#N/A</v>
      </c>
      <c r="AO445" s="240" t="e">
        <f t="shared" si="381"/>
        <v>#N/A</v>
      </c>
      <c r="AP445" s="297">
        <f t="shared" si="413"/>
        <v>7</v>
      </c>
      <c r="AQ445" s="298" t="e">
        <f t="shared" si="382"/>
        <v>#N/A</v>
      </c>
      <c r="AR445" s="279" t="e">
        <f t="shared" si="414"/>
        <v>#N/A</v>
      </c>
      <c r="AS445" s="283" t="e">
        <f t="shared" si="383"/>
        <v>#N/A</v>
      </c>
      <c r="AT445" s="284">
        <f t="shared" si="415"/>
        <v>7</v>
      </c>
      <c r="AU445" s="285" t="e">
        <f t="shared" si="416"/>
        <v>#N/A</v>
      </c>
      <c r="AV445" s="286" t="e">
        <f t="shared" si="417"/>
        <v>#N/A</v>
      </c>
      <c r="AW445" s="287" t="e">
        <f t="shared" si="384"/>
        <v>#N/A</v>
      </c>
      <c r="AX445" s="245">
        <f t="shared" si="418"/>
        <v>7</v>
      </c>
      <c r="AY445" s="286" t="e">
        <f t="shared" si="385"/>
        <v>#N/A</v>
      </c>
      <c r="AZ445" s="245" t="e">
        <f t="shared" si="419"/>
        <v>#N/A</v>
      </c>
      <c r="BA445" s="245" t="e">
        <f t="shared" si="386"/>
        <v>#N/A</v>
      </c>
      <c r="BB445" s="288">
        <f t="shared" si="420"/>
        <v>7</v>
      </c>
      <c r="BC445" s="289" t="e">
        <f t="shared" si="421"/>
        <v>#N/A</v>
      </c>
      <c r="BD445" s="290" t="e">
        <f t="shared" si="422"/>
        <v>#N/A</v>
      </c>
      <c r="BE445" s="263" t="e">
        <f t="shared" si="387"/>
        <v>#N/A</v>
      </c>
      <c r="BF445" s="260">
        <f t="shared" si="423"/>
        <v>7</v>
      </c>
      <c r="BG445" s="289" t="e">
        <f t="shared" si="424"/>
        <v>#N/A</v>
      </c>
      <c r="BH445" s="290" t="e">
        <f t="shared" si="425"/>
        <v>#N/A</v>
      </c>
      <c r="BI445" s="263" t="e">
        <f t="shared" si="388"/>
        <v>#N/A</v>
      </c>
      <c r="BJ445" s="264">
        <f t="shared" si="426"/>
        <v>7</v>
      </c>
      <c r="BK445" s="291" t="e">
        <f t="shared" si="427"/>
        <v>#N/A</v>
      </c>
      <c r="BL445" s="291" t="e">
        <f t="shared" si="428"/>
        <v>#N/A</v>
      </c>
      <c r="BM445" s="292" t="e">
        <f t="shared" si="389"/>
        <v>#N/A</v>
      </c>
      <c r="BN445" s="293">
        <f t="shared" si="429"/>
        <v>7</v>
      </c>
      <c r="BO445" s="294" t="e">
        <f t="shared" si="430"/>
        <v>#N/A</v>
      </c>
      <c r="BP445" s="294" t="e">
        <f t="shared" si="431"/>
        <v>#N/A</v>
      </c>
      <c r="BQ445" s="292" t="e">
        <f t="shared" si="390"/>
        <v>#N/A</v>
      </c>
      <c r="BR445" s="295" t="e">
        <f t="shared" si="391"/>
        <v>#N/A</v>
      </c>
      <c r="BS445" s="230" t="e">
        <f>VLOOKUP($B445,SDR22_STOCK_BY_LA!$A$2:$C$11679,3,0)</f>
        <v>#N/A</v>
      </c>
      <c r="BT445" s="230" t="str">
        <f t="shared" si="432"/>
        <v/>
      </c>
    </row>
    <row r="446" spans="1:72" ht="12.5" x14ac:dyDescent="0.25">
      <c r="A446" s="230" t="str">
        <f t="shared" si="433"/>
        <v/>
      </c>
      <c r="B446" s="230" t="str">
        <f t="shared" si="434"/>
        <v/>
      </c>
      <c r="C446" s="296" t="str">
        <f t="shared" si="392"/>
        <v/>
      </c>
      <c r="D446" s="269" t="str">
        <f>IF(B446="","",IF(totals!$Q$3=0,IFERROR(IF(AD446=2,"0",AE446),""),"-"))</f>
        <v/>
      </c>
      <c r="E446" s="271" t="str">
        <f t="shared" si="393"/>
        <v/>
      </c>
      <c r="F446" s="272" t="str">
        <f t="shared" si="394"/>
        <v/>
      </c>
      <c r="G446" s="272" t="str">
        <f t="shared" si="395"/>
        <v/>
      </c>
      <c r="H446" s="269" t="str">
        <f t="shared" si="373"/>
        <v/>
      </c>
      <c r="I446" s="272" t="str">
        <f t="shared" si="396"/>
        <v/>
      </c>
      <c r="J446" s="272" t="str">
        <f t="shared" si="397"/>
        <v/>
      </c>
      <c r="K446" s="269" t="str">
        <f t="shared" si="374"/>
        <v/>
      </c>
      <c r="L446" s="272" t="str">
        <f t="shared" si="375"/>
        <v/>
      </c>
      <c r="M446" s="272" t="str">
        <f t="shared" si="398"/>
        <v/>
      </c>
      <c r="N446" s="269" t="str">
        <f t="shared" si="399"/>
        <v/>
      </c>
      <c r="O446" s="272" t="str">
        <f t="shared" si="400"/>
        <v/>
      </c>
      <c r="P446" s="272" t="str">
        <f t="shared" si="401"/>
        <v/>
      </c>
      <c r="Q446" s="269" t="str">
        <f t="shared" si="402"/>
        <v/>
      </c>
      <c r="R446" s="272" t="str">
        <f t="shared" si="403"/>
        <v/>
      </c>
      <c r="S446" s="272" t="str">
        <f t="shared" si="404"/>
        <v/>
      </c>
      <c r="T446" s="269" t="str">
        <f t="shared" si="405"/>
        <v/>
      </c>
      <c r="U446" s="230"/>
      <c r="V446" s="230"/>
      <c r="AB446" s="230" t="e">
        <f>VLOOKUP($B$6,Lookup_Source,439,0)</f>
        <v>#N/A</v>
      </c>
      <c r="AC446" s="254" t="str">
        <f t="shared" si="406"/>
        <v/>
      </c>
      <c r="AD446" s="255">
        <f t="shared" si="407"/>
        <v>7</v>
      </c>
      <c r="AE446" s="274" t="e">
        <f t="shared" si="376"/>
        <v>#N/A</v>
      </c>
      <c r="AF446" s="277" t="e">
        <f t="shared" si="408"/>
        <v>#N/A</v>
      </c>
      <c r="AG446" s="277" t="e">
        <f t="shared" si="409"/>
        <v>#N/A</v>
      </c>
      <c r="AH446" s="276" t="e">
        <f t="shared" si="377"/>
        <v>#N/A</v>
      </c>
      <c r="AI446" s="239">
        <f t="shared" si="410"/>
        <v>7</v>
      </c>
      <c r="AJ446" s="277" t="e">
        <f t="shared" si="378"/>
        <v>#N/A</v>
      </c>
      <c r="AK446" s="277" t="e">
        <f t="shared" si="411"/>
        <v>#N/A</v>
      </c>
      <c r="AL446" s="239" t="e">
        <f t="shared" si="379"/>
        <v>#N/A</v>
      </c>
      <c r="AM446" s="278" t="e">
        <f t="shared" si="412"/>
        <v>#N/A</v>
      </c>
      <c r="AN446" s="279" t="e">
        <f t="shared" si="380"/>
        <v>#N/A</v>
      </c>
      <c r="AO446" s="240" t="e">
        <f t="shared" si="381"/>
        <v>#N/A</v>
      </c>
      <c r="AP446" s="297">
        <f t="shared" si="413"/>
        <v>7</v>
      </c>
      <c r="AQ446" s="298" t="e">
        <f t="shared" si="382"/>
        <v>#N/A</v>
      </c>
      <c r="AR446" s="279" t="e">
        <f t="shared" si="414"/>
        <v>#N/A</v>
      </c>
      <c r="AS446" s="283" t="e">
        <f t="shared" si="383"/>
        <v>#N/A</v>
      </c>
      <c r="AT446" s="284">
        <f t="shared" si="415"/>
        <v>7</v>
      </c>
      <c r="AU446" s="285" t="e">
        <f t="shared" si="416"/>
        <v>#N/A</v>
      </c>
      <c r="AV446" s="286" t="e">
        <f t="shared" si="417"/>
        <v>#N/A</v>
      </c>
      <c r="AW446" s="287" t="e">
        <f t="shared" si="384"/>
        <v>#N/A</v>
      </c>
      <c r="AX446" s="245">
        <f t="shared" si="418"/>
        <v>7</v>
      </c>
      <c r="AY446" s="286" t="e">
        <f t="shared" si="385"/>
        <v>#N/A</v>
      </c>
      <c r="AZ446" s="245" t="e">
        <f t="shared" si="419"/>
        <v>#N/A</v>
      </c>
      <c r="BA446" s="245" t="e">
        <f t="shared" si="386"/>
        <v>#N/A</v>
      </c>
      <c r="BB446" s="288">
        <f t="shared" si="420"/>
        <v>7</v>
      </c>
      <c r="BC446" s="289" t="e">
        <f t="shared" si="421"/>
        <v>#N/A</v>
      </c>
      <c r="BD446" s="290" t="e">
        <f t="shared" si="422"/>
        <v>#N/A</v>
      </c>
      <c r="BE446" s="263" t="e">
        <f t="shared" si="387"/>
        <v>#N/A</v>
      </c>
      <c r="BF446" s="260">
        <f t="shared" si="423"/>
        <v>7</v>
      </c>
      <c r="BG446" s="289" t="e">
        <f t="shared" si="424"/>
        <v>#N/A</v>
      </c>
      <c r="BH446" s="290" t="e">
        <f t="shared" si="425"/>
        <v>#N/A</v>
      </c>
      <c r="BI446" s="263" t="e">
        <f t="shared" si="388"/>
        <v>#N/A</v>
      </c>
      <c r="BJ446" s="264">
        <f t="shared" si="426"/>
        <v>7</v>
      </c>
      <c r="BK446" s="291" t="e">
        <f t="shared" si="427"/>
        <v>#N/A</v>
      </c>
      <c r="BL446" s="291" t="e">
        <f t="shared" si="428"/>
        <v>#N/A</v>
      </c>
      <c r="BM446" s="292" t="e">
        <f t="shared" si="389"/>
        <v>#N/A</v>
      </c>
      <c r="BN446" s="293">
        <f t="shared" si="429"/>
        <v>7</v>
      </c>
      <c r="BO446" s="294" t="e">
        <f t="shared" si="430"/>
        <v>#N/A</v>
      </c>
      <c r="BP446" s="294" t="e">
        <f t="shared" si="431"/>
        <v>#N/A</v>
      </c>
      <c r="BQ446" s="292" t="e">
        <f t="shared" si="390"/>
        <v>#N/A</v>
      </c>
      <c r="BR446" s="295" t="e">
        <f t="shared" si="391"/>
        <v>#N/A</v>
      </c>
      <c r="BS446" s="230" t="e">
        <f>VLOOKUP($B446,SDR22_STOCK_BY_LA!$A$2:$C$11679,3,0)</f>
        <v>#N/A</v>
      </c>
      <c r="BT446" s="230" t="str">
        <f t="shared" si="432"/>
        <v/>
      </c>
    </row>
    <row r="447" spans="1:72" ht="12.5" x14ac:dyDescent="0.25">
      <c r="A447" s="269" t="str">
        <f t="shared" si="433"/>
        <v/>
      </c>
      <c r="B447" s="230" t="str">
        <f t="shared" si="434"/>
        <v/>
      </c>
      <c r="C447" s="270" t="str">
        <f t="shared" si="392"/>
        <v/>
      </c>
      <c r="D447" s="269" t="str">
        <f>IF(B447="","",IF(totals!$Q$3=0,IFERROR(IF(AD447=2,"0",AE447),""),"-"))</f>
        <v/>
      </c>
      <c r="E447" s="271" t="str">
        <f t="shared" si="393"/>
        <v/>
      </c>
      <c r="F447" s="272" t="str">
        <f t="shared" si="394"/>
        <v/>
      </c>
      <c r="G447" s="272" t="str">
        <f t="shared" si="395"/>
        <v/>
      </c>
      <c r="H447" s="269" t="str">
        <f t="shared" si="373"/>
        <v/>
      </c>
      <c r="I447" s="272" t="str">
        <f t="shared" si="396"/>
        <v/>
      </c>
      <c r="J447" s="272" t="str">
        <f t="shared" si="397"/>
        <v/>
      </c>
      <c r="K447" s="269" t="str">
        <f t="shared" si="374"/>
        <v/>
      </c>
      <c r="L447" s="272" t="str">
        <f t="shared" si="375"/>
        <v/>
      </c>
      <c r="M447" s="272" t="str">
        <f t="shared" si="398"/>
        <v/>
      </c>
      <c r="N447" s="269" t="str">
        <f t="shared" si="399"/>
        <v/>
      </c>
      <c r="O447" s="272" t="str">
        <f t="shared" si="400"/>
        <v/>
      </c>
      <c r="P447" s="272" t="str">
        <f t="shared" si="401"/>
        <v/>
      </c>
      <c r="Q447" s="269" t="str">
        <f t="shared" si="402"/>
        <v/>
      </c>
      <c r="R447" s="272" t="str">
        <f t="shared" si="403"/>
        <v/>
      </c>
      <c r="S447" s="272" t="str">
        <f t="shared" si="404"/>
        <v/>
      </c>
      <c r="T447" s="269" t="str">
        <f t="shared" si="405"/>
        <v/>
      </c>
      <c r="U447" s="230"/>
      <c r="V447" s="230"/>
      <c r="AB447" s="270" t="e">
        <f>VLOOKUP($B$6,Lookup_Source,440,0)</f>
        <v>#N/A</v>
      </c>
      <c r="AC447" s="254" t="str">
        <f t="shared" si="406"/>
        <v/>
      </c>
      <c r="AD447" s="255">
        <f t="shared" si="407"/>
        <v>7</v>
      </c>
      <c r="AE447" s="274" t="e">
        <f t="shared" si="376"/>
        <v>#N/A</v>
      </c>
      <c r="AF447" s="277" t="e">
        <f t="shared" si="408"/>
        <v>#N/A</v>
      </c>
      <c r="AG447" s="277" t="e">
        <f t="shared" si="409"/>
        <v>#N/A</v>
      </c>
      <c r="AH447" s="276" t="e">
        <f t="shared" si="377"/>
        <v>#N/A</v>
      </c>
      <c r="AI447" s="239">
        <f t="shared" si="410"/>
        <v>7</v>
      </c>
      <c r="AJ447" s="277" t="e">
        <f t="shared" si="378"/>
        <v>#N/A</v>
      </c>
      <c r="AK447" s="277" t="e">
        <f t="shared" si="411"/>
        <v>#N/A</v>
      </c>
      <c r="AL447" s="239" t="e">
        <f t="shared" si="379"/>
        <v>#N/A</v>
      </c>
      <c r="AM447" s="278" t="e">
        <f t="shared" si="412"/>
        <v>#N/A</v>
      </c>
      <c r="AN447" s="279" t="e">
        <f t="shared" si="380"/>
        <v>#N/A</v>
      </c>
      <c r="AO447" s="240" t="e">
        <f t="shared" si="381"/>
        <v>#N/A</v>
      </c>
      <c r="AP447" s="297">
        <f t="shared" si="413"/>
        <v>7</v>
      </c>
      <c r="AQ447" s="298" t="e">
        <f t="shared" si="382"/>
        <v>#N/A</v>
      </c>
      <c r="AR447" s="279" t="e">
        <f t="shared" si="414"/>
        <v>#N/A</v>
      </c>
      <c r="AS447" s="283" t="e">
        <f t="shared" si="383"/>
        <v>#N/A</v>
      </c>
      <c r="AT447" s="284">
        <f t="shared" si="415"/>
        <v>7</v>
      </c>
      <c r="AU447" s="285" t="e">
        <f t="shared" si="416"/>
        <v>#N/A</v>
      </c>
      <c r="AV447" s="286" t="e">
        <f t="shared" si="417"/>
        <v>#N/A</v>
      </c>
      <c r="AW447" s="287" t="e">
        <f t="shared" si="384"/>
        <v>#N/A</v>
      </c>
      <c r="AX447" s="245">
        <f t="shared" si="418"/>
        <v>7</v>
      </c>
      <c r="AY447" s="286" t="e">
        <f t="shared" si="385"/>
        <v>#N/A</v>
      </c>
      <c r="AZ447" s="245" t="e">
        <f t="shared" si="419"/>
        <v>#N/A</v>
      </c>
      <c r="BA447" s="245" t="e">
        <f t="shared" si="386"/>
        <v>#N/A</v>
      </c>
      <c r="BB447" s="288">
        <f t="shared" si="420"/>
        <v>7</v>
      </c>
      <c r="BC447" s="289" t="e">
        <f t="shared" si="421"/>
        <v>#N/A</v>
      </c>
      <c r="BD447" s="290" t="e">
        <f t="shared" si="422"/>
        <v>#N/A</v>
      </c>
      <c r="BE447" s="263" t="e">
        <f t="shared" si="387"/>
        <v>#N/A</v>
      </c>
      <c r="BF447" s="260">
        <f t="shared" si="423"/>
        <v>7</v>
      </c>
      <c r="BG447" s="289" t="e">
        <f t="shared" si="424"/>
        <v>#N/A</v>
      </c>
      <c r="BH447" s="290" t="e">
        <f t="shared" si="425"/>
        <v>#N/A</v>
      </c>
      <c r="BI447" s="263" t="e">
        <f t="shared" si="388"/>
        <v>#N/A</v>
      </c>
      <c r="BJ447" s="264">
        <f t="shared" si="426"/>
        <v>7</v>
      </c>
      <c r="BK447" s="291" t="e">
        <f t="shared" si="427"/>
        <v>#N/A</v>
      </c>
      <c r="BL447" s="291" t="e">
        <f t="shared" si="428"/>
        <v>#N/A</v>
      </c>
      <c r="BM447" s="292" t="e">
        <f t="shared" si="389"/>
        <v>#N/A</v>
      </c>
      <c r="BN447" s="293">
        <f t="shared" si="429"/>
        <v>7</v>
      </c>
      <c r="BO447" s="294" t="e">
        <f t="shared" si="430"/>
        <v>#N/A</v>
      </c>
      <c r="BP447" s="294" t="e">
        <f t="shared" si="431"/>
        <v>#N/A</v>
      </c>
      <c r="BQ447" s="292" t="e">
        <f t="shared" si="390"/>
        <v>#N/A</v>
      </c>
      <c r="BR447" s="295" t="e">
        <f t="shared" si="391"/>
        <v>#N/A</v>
      </c>
      <c r="BS447" s="230" t="e">
        <f>VLOOKUP($B447,SDR22_STOCK_BY_LA!$A$2:$C$11679,3,0)</f>
        <v>#N/A</v>
      </c>
      <c r="BT447" s="230" t="str">
        <f t="shared" si="432"/>
        <v/>
      </c>
    </row>
    <row r="448" spans="1:72" ht="12.5" x14ac:dyDescent="0.25">
      <c r="A448" s="230" t="str">
        <f t="shared" si="433"/>
        <v/>
      </c>
      <c r="B448" s="230" t="str">
        <f t="shared" si="434"/>
        <v/>
      </c>
      <c r="C448" s="296" t="str">
        <f t="shared" si="392"/>
        <v/>
      </c>
      <c r="D448" s="269" t="str">
        <f>IF(B448="","",IF(totals!$Q$3=0,IFERROR(IF(AD448=2,"0",AE448),""),"-"))</f>
        <v/>
      </c>
      <c r="E448" s="271" t="str">
        <f t="shared" si="393"/>
        <v/>
      </c>
      <c r="F448" s="272" t="str">
        <f t="shared" si="394"/>
        <v/>
      </c>
      <c r="G448" s="272" t="str">
        <f t="shared" si="395"/>
        <v/>
      </c>
      <c r="H448" s="269" t="str">
        <f t="shared" si="373"/>
        <v/>
      </c>
      <c r="I448" s="272" t="str">
        <f t="shared" si="396"/>
        <v/>
      </c>
      <c r="J448" s="272" t="str">
        <f t="shared" si="397"/>
        <v/>
      </c>
      <c r="K448" s="269" t="str">
        <f t="shared" si="374"/>
        <v/>
      </c>
      <c r="L448" s="272" t="str">
        <f t="shared" si="375"/>
        <v/>
      </c>
      <c r="M448" s="272" t="str">
        <f t="shared" si="398"/>
        <v/>
      </c>
      <c r="N448" s="269" t="str">
        <f t="shared" si="399"/>
        <v/>
      </c>
      <c r="O448" s="272" t="str">
        <f t="shared" si="400"/>
        <v/>
      </c>
      <c r="P448" s="272" t="str">
        <f t="shared" si="401"/>
        <v/>
      </c>
      <c r="Q448" s="269" t="str">
        <f t="shared" si="402"/>
        <v/>
      </c>
      <c r="R448" s="272" t="str">
        <f t="shared" si="403"/>
        <v/>
      </c>
      <c r="S448" s="272" t="str">
        <f t="shared" si="404"/>
        <v/>
      </c>
      <c r="T448" s="269" t="str">
        <f t="shared" si="405"/>
        <v/>
      </c>
      <c r="U448" s="230"/>
      <c r="V448" s="230"/>
      <c r="AB448" s="230" t="e">
        <f>VLOOKUP($B$6,Lookup_Source,441,0)</f>
        <v>#N/A</v>
      </c>
      <c r="AC448" s="254" t="str">
        <f t="shared" si="406"/>
        <v/>
      </c>
      <c r="AD448" s="255">
        <f t="shared" si="407"/>
        <v>7</v>
      </c>
      <c r="AE448" s="274" t="e">
        <f t="shared" si="376"/>
        <v>#N/A</v>
      </c>
      <c r="AF448" s="277" t="e">
        <f t="shared" si="408"/>
        <v>#N/A</v>
      </c>
      <c r="AG448" s="277" t="e">
        <f t="shared" si="409"/>
        <v>#N/A</v>
      </c>
      <c r="AH448" s="276" t="e">
        <f t="shared" si="377"/>
        <v>#N/A</v>
      </c>
      <c r="AI448" s="239">
        <f t="shared" si="410"/>
        <v>7</v>
      </c>
      <c r="AJ448" s="277" t="e">
        <f t="shared" si="378"/>
        <v>#N/A</v>
      </c>
      <c r="AK448" s="277" t="e">
        <f t="shared" si="411"/>
        <v>#N/A</v>
      </c>
      <c r="AL448" s="239" t="e">
        <f t="shared" si="379"/>
        <v>#N/A</v>
      </c>
      <c r="AM448" s="278" t="e">
        <f t="shared" si="412"/>
        <v>#N/A</v>
      </c>
      <c r="AN448" s="279" t="e">
        <f t="shared" si="380"/>
        <v>#N/A</v>
      </c>
      <c r="AO448" s="240" t="e">
        <f t="shared" si="381"/>
        <v>#N/A</v>
      </c>
      <c r="AP448" s="297">
        <f t="shared" si="413"/>
        <v>7</v>
      </c>
      <c r="AQ448" s="298" t="e">
        <f t="shared" si="382"/>
        <v>#N/A</v>
      </c>
      <c r="AR448" s="279" t="e">
        <f t="shared" si="414"/>
        <v>#N/A</v>
      </c>
      <c r="AS448" s="283" t="e">
        <f t="shared" si="383"/>
        <v>#N/A</v>
      </c>
      <c r="AT448" s="284">
        <f t="shared" si="415"/>
        <v>7</v>
      </c>
      <c r="AU448" s="285" t="e">
        <f t="shared" si="416"/>
        <v>#N/A</v>
      </c>
      <c r="AV448" s="286" t="e">
        <f t="shared" si="417"/>
        <v>#N/A</v>
      </c>
      <c r="AW448" s="287" t="e">
        <f t="shared" si="384"/>
        <v>#N/A</v>
      </c>
      <c r="AX448" s="245">
        <f t="shared" si="418"/>
        <v>7</v>
      </c>
      <c r="AY448" s="286" t="e">
        <f t="shared" si="385"/>
        <v>#N/A</v>
      </c>
      <c r="AZ448" s="245" t="e">
        <f t="shared" si="419"/>
        <v>#N/A</v>
      </c>
      <c r="BA448" s="245" t="e">
        <f t="shared" si="386"/>
        <v>#N/A</v>
      </c>
      <c r="BB448" s="288">
        <f t="shared" si="420"/>
        <v>7</v>
      </c>
      <c r="BC448" s="289" t="e">
        <f t="shared" si="421"/>
        <v>#N/A</v>
      </c>
      <c r="BD448" s="290" t="e">
        <f t="shared" si="422"/>
        <v>#N/A</v>
      </c>
      <c r="BE448" s="263" t="e">
        <f t="shared" si="387"/>
        <v>#N/A</v>
      </c>
      <c r="BF448" s="260">
        <f t="shared" si="423"/>
        <v>7</v>
      </c>
      <c r="BG448" s="289" t="e">
        <f t="shared" si="424"/>
        <v>#N/A</v>
      </c>
      <c r="BH448" s="290" t="e">
        <f t="shared" si="425"/>
        <v>#N/A</v>
      </c>
      <c r="BI448" s="263" t="e">
        <f t="shared" si="388"/>
        <v>#N/A</v>
      </c>
      <c r="BJ448" s="264">
        <f t="shared" si="426"/>
        <v>7</v>
      </c>
      <c r="BK448" s="291" t="e">
        <f t="shared" si="427"/>
        <v>#N/A</v>
      </c>
      <c r="BL448" s="291" t="e">
        <f t="shared" si="428"/>
        <v>#N/A</v>
      </c>
      <c r="BM448" s="292" t="e">
        <f t="shared" si="389"/>
        <v>#N/A</v>
      </c>
      <c r="BN448" s="293">
        <f t="shared" si="429"/>
        <v>7</v>
      </c>
      <c r="BO448" s="294" t="e">
        <f t="shared" si="430"/>
        <v>#N/A</v>
      </c>
      <c r="BP448" s="294" t="e">
        <f t="shared" si="431"/>
        <v>#N/A</v>
      </c>
      <c r="BQ448" s="292" t="e">
        <f t="shared" si="390"/>
        <v>#N/A</v>
      </c>
      <c r="BR448" s="295" t="e">
        <f t="shared" si="391"/>
        <v>#N/A</v>
      </c>
      <c r="BS448" s="230" t="e">
        <f>VLOOKUP($B448,SDR22_STOCK_BY_LA!$A$2:$C$11679,3,0)</f>
        <v>#N/A</v>
      </c>
      <c r="BT448" s="230" t="str">
        <f t="shared" si="432"/>
        <v/>
      </c>
    </row>
    <row r="449" spans="1:72" ht="12.5" x14ac:dyDescent="0.25">
      <c r="A449" s="269" t="str">
        <f t="shared" si="433"/>
        <v/>
      </c>
      <c r="B449" s="230" t="str">
        <f t="shared" si="434"/>
        <v/>
      </c>
      <c r="C449" s="270" t="str">
        <f t="shared" si="392"/>
        <v/>
      </c>
      <c r="D449" s="269" t="str">
        <f>IF(B449="","",IF(totals!$Q$3=0,IFERROR(IF(AD449=2,"0",AE449),""),"-"))</f>
        <v/>
      </c>
      <c r="E449" s="271" t="str">
        <f t="shared" si="393"/>
        <v/>
      </c>
      <c r="F449" s="272" t="str">
        <f t="shared" si="394"/>
        <v/>
      </c>
      <c r="G449" s="272" t="str">
        <f t="shared" si="395"/>
        <v/>
      </c>
      <c r="H449" s="269" t="str">
        <f t="shared" si="373"/>
        <v/>
      </c>
      <c r="I449" s="272" t="str">
        <f t="shared" si="396"/>
        <v/>
      </c>
      <c r="J449" s="272" t="str">
        <f t="shared" si="397"/>
        <v/>
      </c>
      <c r="K449" s="269" t="str">
        <f t="shared" si="374"/>
        <v/>
      </c>
      <c r="L449" s="272" t="str">
        <f t="shared" si="375"/>
        <v/>
      </c>
      <c r="M449" s="272" t="str">
        <f t="shared" si="398"/>
        <v/>
      </c>
      <c r="N449" s="269" t="str">
        <f t="shared" si="399"/>
        <v/>
      </c>
      <c r="O449" s="272" t="str">
        <f t="shared" si="400"/>
        <v/>
      </c>
      <c r="P449" s="272" t="str">
        <f t="shared" si="401"/>
        <v/>
      </c>
      <c r="Q449" s="269" t="str">
        <f t="shared" si="402"/>
        <v/>
      </c>
      <c r="R449" s="272" t="str">
        <f t="shared" si="403"/>
        <v/>
      </c>
      <c r="S449" s="272" t="str">
        <f t="shared" si="404"/>
        <v/>
      </c>
      <c r="T449" s="269" t="str">
        <f t="shared" si="405"/>
        <v/>
      </c>
      <c r="U449" s="230"/>
      <c r="V449" s="230"/>
      <c r="AB449" s="270" t="e">
        <f>VLOOKUP($B$6,Lookup_Source,442,0)</f>
        <v>#N/A</v>
      </c>
      <c r="AC449" s="254" t="str">
        <f t="shared" si="406"/>
        <v/>
      </c>
      <c r="AD449" s="255">
        <f t="shared" si="407"/>
        <v>7</v>
      </c>
      <c r="AE449" s="274" t="e">
        <f t="shared" si="376"/>
        <v>#N/A</v>
      </c>
      <c r="AF449" s="277" t="e">
        <f t="shared" si="408"/>
        <v>#N/A</v>
      </c>
      <c r="AG449" s="277" t="e">
        <f t="shared" si="409"/>
        <v>#N/A</v>
      </c>
      <c r="AH449" s="276" t="e">
        <f t="shared" si="377"/>
        <v>#N/A</v>
      </c>
      <c r="AI449" s="239">
        <f t="shared" si="410"/>
        <v>7</v>
      </c>
      <c r="AJ449" s="277" t="e">
        <f t="shared" si="378"/>
        <v>#N/A</v>
      </c>
      <c r="AK449" s="277" t="e">
        <f t="shared" si="411"/>
        <v>#N/A</v>
      </c>
      <c r="AL449" s="239" t="e">
        <f t="shared" si="379"/>
        <v>#N/A</v>
      </c>
      <c r="AM449" s="278" t="e">
        <f t="shared" si="412"/>
        <v>#N/A</v>
      </c>
      <c r="AN449" s="279" t="e">
        <f t="shared" si="380"/>
        <v>#N/A</v>
      </c>
      <c r="AO449" s="240" t="e">
        <f t="shared" si="381"/>
        <v>#N/A</v>
      </c>
      <c r="AP449" s="297">
        <f t="shared" si="413"/>
        <v>7</v>
      </c>
      <c r="AQ449" s="298" t="e">
        <f t="shared" si="382"/>
        <v>#N/A</v>
      </c>
      <c r="AR449" s="279" t="e">
        <f t="shared" si="414"/>
        <v>#N/A</v>
      </c>
      <c r="AS449" s="283" t="e">
        <f t="shared" si="383"/>
        <v>#N/A</v>
      </c>
      <c r="AT449" s="284">
        <f t="shared" si="415"/>
        <v>7</v>
      </c>
      <c r="AU449" s="285" t="e">
        <f t="shared" si="416"/>
        <v>#N/A</v>
      </c>
      <c r="AV449" s="286" t="e">
        <f t="shared" si="417"/>
        <v>#N/A</v>
      </c>
      <c r="AW449" s="287" t="e">
        <f t="shared" si="384"/>
        <v>#N/A</v>
      </c>
      <c r="AX449" s="245">
        <f t="shared" si="418"/>
        <v>7</v>
      </c>
      <c r="AY449" s="286" t="e">
        <f t="shared" si="385"/>
        <v>#N/A</v>
      </c>
      <c r="AZ449" s="245" t="e">
        <f t="shared" si="419"/>
        <v>#N/A</v>
      </c>
      <c r="BA449" s="245" t="e">
        <f t="shared" si="386"/>
        <v>#N/A</v>
      </c>
      <c r="BB449" s="288">
        <f t="shared" si="420"/>
        <v>7</v>
      </c>
      <c r="BC449" s="289" t="e">
        <f t="shared" si="421"/>
        <v>#N/A</v>
      </c>
      <c r="BD449" s="290" t="e">
        <f t="shared" si="422"/>
        <v>#N/A</v>
      </c>
      <c r="BE449" s="263" t="e">
        <f t="shared" si="387"/>
        <v>#N/A</v>
      </c>
      <c r="BF449" s="260">
        <f t="shared" si="423"/>
        <v>7</v>
      </c>
      <c r="BG449" s="289" t="e">
        <f t="shared" si="424"/>
        <v>#N/A</v>
      </c>
      <c r="BH449" s="290" t="e">
        <f t="shared" si="425"/>
        <v>#N/A</v>
      </c>
      <c r="BI449" s="263" t="e">
        <f t="shared" si="388"/>
        <v>#N/A</v>
      </c>
      <c r="BJ449" s="264">
        <f t="shared" si="426"/>
        <v>7</v>
      </c>
      <c r="BK449" s="291" t="e">
        <f t="shared" si="427"/>
        <v>#N/A</v>
      </c>
      <c r="BL449" s="291" t="e">
        <f t="shared" si="428"/>
        <v>#N/A</v>
      </c>
      <c r="BM449" s="292" t="e">
        <f t="shared" si="389"/>
        <v>#N/A</v>
      </c>
      <c r="BN449" s="293">
        <f t="shared" si="429"/>
        <v>7</v>
      </c>
      <c r="BO449" s="294" t="e">
        <f t="shared" si="430"/>
        <v>#N/A</v>
      </c>
      <c r="BP449" s="294" t="e">
        <f t="shared" si="431"/>
        <v>#N/A</v>
      </c>
      <c r="BQ449" s="292" t="e">
        <f t="shared" si="390"/>
        <v>#N/A</v>
      </c>
      <c r="BR449" s="295" t="e">
        <f t="shared" si="391"/>
        <v>#N/A</v>
      </c>
      <c r="BS449" s="230" t="e">
        <f>VLOOKUP($B449,SDR22_STOCK_BY_LA!$A$2:$C$11679,3,0)</f>
        <v>#N/A</v>
      </c>
      <c r="BT449" s="230" t="str">
        <f t="shared" si="432"/>
        <v/>
      </c>
    </row>
    <row r="450" spans="1:72" ht="12.5" x14ac:dyDescent="0.25">
      <c r="A450" s="230" t="str">
        <f t="shared" si="433"/>
        <v/>
      </c>
      <c r="B450" s="230" t="str">
        <f t="shared" si="434"/>
        <v/>
      </c>
      <c r="C450" s="296" t="str">
        <f t="shared" si="392"/>
        <v/>
      </c>
      <c r="D450" s="269" t="str">
        <f>IF(B450="","",IF(totals!$Q$3=0,IFERROR(IF(AD450=2,"0",AE450),""),"-"))</f>
        <v/>
      </c>
      <c r="E450" s="271" t="str">
        <f t="shared" si="393"/>
        <v/>
      </c>
      <c r="F450" s="272" t="str">
        <f t="shared" si="394"/>
        <v/>
      </c>
      <c r="G450" s="272" t="str">
        <f t="shared" si="395"/>
        <v/>
      </c>
      <c r="H450" s="269" t="str">
        <f t="shared" si="373"/>
        <v/>
      </c>
      <c r="I450" s="272" t="str">
        <f t="shared" si="396"/>
        <v/>
      </c>
      <c r="J450" s="272" t="str">
        <f t="shared" si="397"/>
        <v/>
      </c>
      <c r="K450" s="269" t="str">
        <f t="shared" si="374"/>
        <v/>
      </c>
      <c r="L450" s="272" t="str">
        <f t="shared" si="375"/>
        <v/>
      </c>
      <c r="M450" s="272" t="str">
        <f t="shared" si="398"/>
        <v/>
      </c>
      <c r="N450" s="269" t="str">
        <f t="shared" si="399"/>
        <v/>
      </c>
      <c r="O450" s="272" t="str">
        <f t="shared" si="400"/>
        <v/>
      </c>
      <c r="P450" s="272" t="str">
        <f t="shared" si="401"/>
        <v/>
      </c>
      <c r="Q450" s="269" t="str">
        <f t="shared" si="402"/>
        <v/>
      </c>
      <c r="R450" s="272" t="str">
        <f t="shared" si="403"/>
        <v/>
      </c>
      <c r="S450" s="272" t="str">
        <f t="shared" si="404"/>
        <v/>
      </c>
      <c r="T450" s="269" t="str">
        <f t="shared" si="405"/>
        <v/>
      </c>
      <c r="U450" s="230"/>
      <c r="V450" s="230"/>
      <c r="AB450" s="230" t="e">
        <f>VLOOKUP($B$6,Lookup_Source,443,0)</f>
        <v>#N/A</v>
      </c>
      <c r="AC450" s="254" t="str">
        <f t="shared" si="406"/>
        <v/>
      </c>
      <c r="AD450" s="255">
        <f t="shared" si="407"/>
        <v>7</v>
      </c>
      <c r="AE450" s="274" t="e">
        <f t="shared" si="376"/>
        <v>#N/A</v>
      </c>
      <c r="AF450" s="277" t="e">
        <f t="shared" si="408"/>
        <v>#N/A</v>
      </c>
      <c r="AG450" s="277" t="e">
        <f t="shared" si="409"/>
        <v>#N/A</v>
      </c>
      <c r="AH450" s="276" t="e">
        <f t="shared" si="377"/>
        <v>#N/A</v>
      </c>
      <c r="AI450" s="239">
        <f t="shared" si="410"/>
        <v>7</v>
      </c>
      <c r="AJ450" s="277" t="e">
        <f t="shared" si="378"/>
        <v>#N/A</v>
      </c>
      <c r="AK450" s="277" t="e">
        <f t="shared" si="411"/>
        <v>#N/A</v>
      </c>
      <c r="AL450" s="239" t="e">
        <f t="shared" si="379"/>
        <v>#N/A</v>
      </c>
      <c r="AM450" s="278" t="e">
        <f t="shared" si="412"/>
        <v>#N/A</v>
      </c>
      <c r="AN450" s="279" t="e">
        <f t="shared" si="380"/>
        <v>#N/A</v>
      </c>
      <c r="AO450" s="240" t="e">
        <f t="shared" si="381"/>
        <v>#N/A</v>
      </c>
      <c r="AP450" s="297">
        <f t="shared" si="413"/>
        <v>7</v>
      </c>
      <c r="AQ450" s="298" t="e">
        <f t="shared" si="382"/>
        <v>#N/A</v>
      </c>
      <c r="AR450" s="279" t="e">
        <f t="shared" si="414"/>
        <v>#N/A</v>
      </c>
      <c r="AS450" s="283" t="e">
        <f t="shared" si="383"/>
        <v>#N/A</v>
      </c>
      <c r="AT450" s="284">
        <f t="shared" si="415"/>
        <v>7</v>
      </c>
      <c r="AU450" s="285" t="e">
        <f t="shared" si="416"/>
        <v>#N/A</v>
      </c>
      <c r="AV450" s="286" t="e">
        <f t="shared" si="417"/>
        <v>#N/A</v>
      </c>
      <c r="AW450" s="287" t="e">
        <f t="shared" si="384"/>
        <v>#N/A</v>
      </c>
      <c r="AX450" s="245">
        <f t="shared" si="418"/>
        <v>7</v>
      </c>
      <c r="AY450" s="286" t="e">
        <f t="shared" si="385"/>
        <v>#N/A</v>
      </c>
      <c r="AZ450" s="245" t="e">
        <f t="shared" si="419"/>
        <v>#N/A</v>
      </c>
      <c r="BA450" s="245" t="e">
        <f t="shared" si="386"/>
        <v>#N/A</v>
      </c>
      <c r="BB450" s="288">
        <f t="shared" si="420"/>
        <v>7</v>
      </c>
      <c r="BC450" s="289" t="e">
        <f t="shared" si="421"/>
        <v>#N/A</v>
      </c>
      <c r="BD450" s="290" t="e">
        <f t="shared" si="422"/>
        <v>#N/A</v>
      </c>
      <c r="BE450" s="263" t="e">
        <f t="shared" si="387"/>
        <v>#N/A</v>
      </c>
      <c r="BF450" s="260">
        <f t="shared" si="423"/>
        <v>7</v>
      </c>
      <c r="BG450" s="289" t="e">
        <f t="shared" si="424"/>
        <v>#N/A</v>
      </c>
      <c r="BH450" s="290" t="e">
        <f t="shared" si="425"/>
        <v>#N/A</v>
      </c>
      <c r="BI450" s="263" t="e">
        <f t="shared" si="388"/>
        <v>#N/A</v>
      </c>
      <c r="BJ450" s="264">
        <f t="shared" si="426"/>
        <v>7</v>
      </c>
      <c r="BK450" s="291" t="e">
        <f t="shared" si="427"/>
        <v>#N/A</v>
      </c>
      <c r="BL450" s="291" t="e">
        <f t="shared" si="428"/>
        <v>#N/A</v>
      </c>
      <c r="BM450" s="292" t="e">
        <f t="shared" si="389"/>
        <v>#N/A</v>
      </c>
      <c r="BN450" s="293">
        <f t="shared" si="429"/>
        <v>7</v>
      </c>
      <c r="BO450" s="294" t="e">
        <f t="shared" si="430"/>
        <v>#N/A</v>
      </c>
      <c r="BP450" s="294" t="e">
        <f t="shared" si="431"/>
        <v>#N/A</v>
      </c>
      <c r="BQ450" s="292" t="e">
        <f t="shared" si="390"/>
        <v>#N/A</v>
      </c>
      <c r="BR450" s="295" t="e">
        <f t="shared" si="391"/>
        <v>#N/A</v>
      </c>
      <c r="BS450" s="230" t="e">
        <f>VLOOKUP($B450,SDR22_STOCK_BY_LA!$A$2:$C$11679,3,0)</f>
        <v>#N/A</v>
      </c>
      <c r="BT450" s="230" t="str">
        <f t="shared" si="432"/>
        <v/>
      </c>
    </row>
    <row r="451" spans="1:72" ht="12.5" x14ac:dyDescent="0.25">
      <c r="A451" s="269" t="str">
        <f t="shared" si="433"/>
        <v/>
      </c>
      <c r="B451" s="230" t="str">
        <f t="shared" si="434"/>
        <v/>
      </c>
      <c r="C451" s="270" t="str">
        <f t="shared" si="392"/>
        <v/>
      </c>
      <c r="D451" s="269" t="str">
        <f>IF(B451="","",IF(totals!$Q$3=0,IFERROR(IF(AD451=2,"0",AE451),""),"-"))</f>
        <v/>
      </c>
      <c r="E451" s="271" t="str">
        <f t="shared" si="393"/>
        <v/>
      </c>
      <c r="F451" s="272" t="str">
        <f t="shared" si="394"/>
        <v/>
      </c>
      <c r="G451" s="272" t="str">
        <f t="shared" si="395"/>
        <v/>
      </c>
      <c r="H451" s="269" t="str">
        <f t="shared" si="373"/>
        <v/>
      </c>
      <c r="I451" s="272" t="str">
        <f t="shared" si="396"/>
        <v/>
      </c>
      <c r="J451" s="272" t="str">
        <f t="shared" si="397"/>
        <v/>
      </c>
      <c r="K451" s="269" t="str">
        <f t="shared" si="374"/>
        <v/>
      </c>
      <c r="L451" s="272" t="str">
        <f t="shared" si="375"/>
        <v/>
      </c>
      <c r="M451" s="272" t="str">
        <f t="shared" si="398"/>
        <v/>
      </c>
      <c r="N451" s="269" t="str">
        <f t="shared" si="399"/>
        <v/>
      </c>
      <c r="O451" s="272" t="str">
        <f t="shared" si="400"/>
        <v/>
      </c>
      <c r="P451" s="272" t="str">
        <f t="shared" si="401"/>
        <v/>
      </c>
      <c r="Q451" s="269" t="str">
        <f t="shared" si="402"/>
        <v/>
      </c>
      <c r="R451" s="272" t="str">
        <f t="shared" si="403"/>
        <v/>
      </c>
      <c r="S451" s="272" t="str">
        <f t="shared" si="404"/>
        <v/>
      </c>
      <c r="T451" s="269" t="str">
        <f t="shared" si="405"/>
        <v/>
      </c>
      <c r="U451" s="230"/>
      <c r="V451" s="230"/>
      <c r="AB451" s="270" t="e">
        <f>VLOOKUP($B$6,Lookup_Source,444,0)</f>
        <v>#N/A</v>
      </c>
      <c r="AC451" s="254" t="str">
        <f t="shared" si="406"/>
        <v/>
      </c>
      <c r="AD451" s="255">
        <f t="shared" si="407"/>
        <v>7</v>
      </c>
      <c r="AE451" s="274" t="e">
        <f t="shared" si="376"/>
        <v>#N/A</v>
      </c>
      <c r="AF451" s="277" t="e">
        <f t="shared" si="408"/>
        <v>#N/A</v>
      </c>
      <c r="AG451" s="277" t="e">
        <f t="shared" si="409"/>
        <v>#N/A</v>
      </c>
      <c r="AH451" s="276" t="e">
        <f t="shared" si="377"/>
        <v>#N/A</v>
      </c>
      <c r="AI451" s="239">
        <f t="shared" si="410"/>
        <v>7</v>
      </c>
      <c r="AJ451" s="277" t="e">
        <f t="shared" si="378"/>
        <v>#N/A</v>
      </c>
      <c r="AK451" s="277" t="e">
        <f t="shared" si="411"/>
        <v>#N/A</v>
      </c>
      <c r="AL451" s="239" t="e">
        <f t="shared" si="379"/>
        <v>#N/A</v>
      </c>
      <c r="AM451" s="278" t="e">
        <f t="shared" si="412"/>
        <v>#N/A</v>
      </c>
      <c r="AN451" s="279" t="e">
        <f t="shared" si="380"/>
        <v>#N/A</v>
      </c>
      <c r="AO451" s="240" t="e">
        <f t="shared" si="381"/>
        <v>#N/A</v>
      </c>
      <c r="AP451" s="297">
        <f t="shared" si="413"/>
        <v>7</v>
      </c>
      <c r="AQ451" s="298" t="e">
        <f t="shared" si="382"/>
        <v>#N/A</v>
      </c>
      <c r="AR451" s="279" t="e">
        <f t="shared" si="414"/>
        <v>#N/A</v>
      </c>
      <c r="AS451" s="283" t="e">
        <f t="shared" si="383"/>
        <v>#N/A</v>
      </c>
      <c r="AT451" s="284">
        <f t="shared" si="415"/>
        <v>7</v>
      </c>
      <c r="AU451" s="285" t="e">
        <f t="shared" si="416"/>
        <v>#N/A</v>
      </c>
      <c r="AV451" s="286" t="e">
        <f t="shared" si="417"/>
        <v>#N/A</v>
      </c>
      <c r="AW451" s="287" t="e">
        <f t="shared" si="384"/>
        <v>#N/A</v>
      </c>
      <c r="AX451" s="245">
        <f t="shared" si="418"/>
        <v>7</v>
      </c>
      <c r="AY451" s="286" t="e">
        <f t="shared" si="385"/>
        <v>#N/A</v>
      </c>
      <c r="AZ451" s="245" t="e">
        <f t="shared" si="419"/>
        <v>#N/A</v>
      </c>
      <c r="BA451" s="245" t="e">
        <f t="shared" si="386"/>
        <v>#N/A</v>
      </c>
      <c r="BB451" s="288">
        <f t="shared" si="420"/>
        <v>7</v>
      </c>
      <c r="BC451" s="289" t="e">
        <f t="shared" si="421"/>
        <v>#N/A</v>
      </c>
      <c r="BD451" s="290" t="e">
        <f t="shared" si="422"/>
        <v>#N/A</v>
      </c>
      <c r="BE451" s="263" t="e">
        <f t="shared" si="387"/>
        <v>#N/A</v>
      </c>
      <c r="BF451" s="260">
        <f t="shared" si="423"/>
        <v>7</v>
      </c>
      <c r="BG451" s="289" t="e">
        <f t="shared" si="424"/>
        <v>#N/A</v>
      </c>
      <c r="BH451" s="290" t="e">
        <f t="shared" si="425"/>
        <v>#N/A</v>
      </c>
      <c r="BI451" s="263" t="e">
        <f t="shared" si="388"/>
        <v>#N/A</v>
      </c>
      <c r="BJ451" s="264">
        <f t="shared" si="426"/>
        <v>7</v>
      </c>
      <c r="BK451" s="291" t="e">
        <f t="shared" si="427"/>
        <v>#N/A</v>
      </c>
      <c r="BL451" s="291" t="e">
        <f t="shared" si="428"/>
        <v>#N/A</v>
      </c>
      <c r="BM451" s="292" t="e">
        <f t="shared" si="389"/>
        <v>#N/A</v>
      </c>
      <c r="BN451" s="293">
        <f t="shared" si="429"/>
        <v>7</v>
      </c>
      <c r="BO451" s="294" t="e">
        <f t="shared" si="430"/>
        <v>#N/A</v>
      </c>
      <c r="BP451" s="294" t="e">
        <f t="shared" si="431"/>
        <v>#N/A</v>
      </c>
      <c r="BQ451" s="292" t="e">
        <f t="shared" si="390"/>
        <v>#N/A</v>
      </c>
      <c r="BR451" s="295" t="e">
        <f t="shared" si="391"/>
        <v>#N/A</v>
      </c>
      <c r="BS451" s="230" t="e">
        <f>VLOOKUP($B451,SDR22_STOCK_BY_LA!$A$2:$C$11679,3,0)</f>
        <v>#N/A</v>
      </c>
      <c r="BT451" s="230" t="str">
        <f t="shared" si="432"/>
        <v/>
      </c>
    </row>
    <row r="452" spans="1:72" ht="12.5" x14ac:dyDescent="0.25">
      <c r="A452" s="230" t="str">
        <f t="shared" si="433"/>
        <v/>
      </c>
      <c r="B452" s="230" t="str">
        <f t="shared" si="434"/>
        <v/>
      </c>
      <c r="C452" s="296" t="str">
        <f t="shared" si="392"/>
        <v/>
      </c>
      <c r="D452" s="269" t="str">
        <f>IF(B452="","",IF(totals!$Q$3=0,IFERROR(IF(AD452=2,"0",AE452),""),"-"))</f>
        <v/>
      </c>
      <c r="E452" s="271" t="str">
        <f t="shared" si="393"/>
        <v/>
      </c>
      <c r="F452" s="272" t="str">
        <f t="shared" si="394"/>
        <v/>
      </c>
      <c r="G452" s="272" t="str">
        <f t="shared" si="395"/>
        <v/>
      </c>
      <c r="H452" s="269" t="str">
        <f t="shared" si="373"/>
        <v/>
      </c>
      <c r="I452" s="272" t="str">
        <f t="shared" si="396"/>
        <v/>
      </c>
      <c r="J452" s="272" t="str">
        <f t="shared" si="397"/>
        <v/>
      </c>
      <c r="K452" s="269" t="str">
        <f t="shared" si="374"/>
        <v/>
      </c>
      <c r="L452" s="272" t="str">
        <f t="shared" si="375"/>
        <v/>
      </c>
      <c r="M452" s="272" t="str">
        <f t="shared" si="398"/>
        <v/>
      </c>
      <c r="N452" s="269" t="str">
        <f t="shared" si="399"/>
        <v/>
      </c>
      <c r="O452" s="272" t="str">
        <f t="shared" si="400"/>
        <v/>
      </c>
      <c r="P452" s="272" t="str">
        <f t="shared" si="401"/>
        <v/>
      </c>
      <c r="Q452" s="269" t="str">
        <f t="shared" si="402"/>
        <v/>
      </c>
      <c r="R452" s="272" t="str">
        <f t="shared" si="403"/>
        <v/>
      </c>
      <c r="S452" s="272" t="str">
        <f t="shared" si="404"/>
        <v/>
      </c>
      <c r="T452" s="269" t="str">
        <f t="shared" si="405"/>
        <v/>
      </c>
      <c r="U452" s="230"/>
      <c r="V452" s="230"/>
      <c r="AB452" s="230" t="e">
        <f>VLOOKUP($B$6,Lookup_Source,445,0)</f>
        <v>#N/A</v>
      </c>
      <c r="AC452" s="254" t="str">
        <f t="shared" si="406"/>
        <v/>
      </c>
      <c r="AD452" s="255">
        <f t="shared" si="407"/>
        <v>7</v>
      </c>
      <c r="AE452" s="274" t="e">
        <f t="shared" si="376"/>
        <v>#N/A</v>
      </c>
      <c r="AF452" s="277" t="e">
        <f t="shared" si="408"/>
        <v>#N/A</v>
      </c>
      <c r="AG452" s="277" t="e">
        <f t="shared" si="409"/>
        <v>#N/A</v>
      </c>
      <c r="AH452" s="276" t="e">
        <f t="shared" si="377"/>
        <v>#N/A</v>
      </c>
      <c r="AI452" s="239">
        <f t="shared" si="410"/>
        <v>7</v>
      </c>
      <c r="AJ452" s="277" t="e">
        <f t="shared" si="378"/>
        <v>#N/A</v>
      </c>
      <c r="AK452" s="277" t="e">
        <f t="shared" si="411"/>
        <v>#N/A</v>
      </c>
      <c r="AL452" s="239" t="e">
        <f t="shared" si="379"/>
        <v>#N/A</v>
      </c>
      <c r="AM452" s="278" t="e">
        <f t="shared" si="412"/>
        <v>#N/A</v>
      </c>
      <c r="AN452" s="279" t="e">
        <f t="shared" si="380"/>
        <v>#N/A</v>
      </c>
      <c r="AO452" s="240" t="e">
        <f t="shared" si="381"/>
        <v>#N/A</v>
      </c>
      <c r="AP452" s="297">
        <f t="shared" si="413"/>
        <v>7</v>
      </c>
      <c r="AQ452" s="298" t="e">
        <f t="shared" si="382"/>
        <v>#N/A</v>
      </c>
      <c r="AR452" s="279" t="e">
        <f t="shared" si="414"/>
        <v>#N/A</v>
      </c>
      <c r="AS452" s="283" t="e">
        <f t="shared" si="383"/>
        <v>#N/A</v>
      </c>
      <c r="AT452" s="284">
        <f t="shared" si="415"/>
        <v>7</v>
      </c>
      <c r="AU452" s="285" t="e">
        <f t="shared" si="416"/>
        <v>#N/A</v>
      </c>
      <c r="AV452" s="286" t="e">
        <f t="shared" si="417"/>
        <v>#N/A</v>
      </c>
      <c r="AW452" s="287" t="e">
        <f t="shared" si="384"/>
        <v>#N/A</v>
      </c>
      <c r="AX452" s="245">
        <f t="shared" si="418"/>
        <v>7</v>
      </c>
      <c r="AY452" s="286" t="e">
        <f t="shared" si="385"/>
        <v>#N/A</v>
      </c>
      <c r="AZ452" s="245" t="e">
        <f t="shared" si="419"/>
        <v>#N/A</v>
      </c>
      <c r="BA452" s="245" t="e">
        <f t="shared" si="386"/>
        <v>#N/A</v>
      </c>
      <c r="BB452" s="288">
        <f t="shared" si="420"/>
        <v>7</v>
      </c>
      <c r="BC452" s="289" t="e">
        <f t="shared" si="421"/>
        <v>#N/A</v>
      </c>
      <c r="BD452" s="290" t="e">
        <f t="shared" si="422"/>
        <v>#N/A</v>
      </c>
      <c r="BE452" s="263" t="e">
        <f t="shared" si="387"/>
        <v>#N/A</v>
      </c>
      <c r="BF452" s="260">
        <f t="shared" si="423"/>
        <v>7</v>
      </c>
      <c r="BG452" s="289" t="e">
        <f t="shared" si="424"/>
        <v>#N/A</v>
      </c>
      <c r="BH452" s="290" t="e">
        <f t="shared" si="425"/>
        <v>#N/A</v>
      </c>
      <c r="BI452" s="263" t="e">
        <f t="shared" si="388"/>
        <v>#N/A</v>
      </c>
      <c r="BJ452" s="264">
        <f t="shared" si="426"/>
        <v>7</v>
      </c>
      <c r="BK452" s="291" t="e">
        <f t="shared" si="427"/>
        <v>#N/A</v>
      </c>
      <c r="BL452" s="291" t="e">
        <f t="shared" si="428"/>
        <v>#N/A</v>
      </c>
      <c r="BM452" s="292" t="e">
        <f t="shared" si="389"/>
        <v>#N/A</v>
      </c>
      <c r="BN452" s="293">
        <f t="shared" si="429"/>
        <v>7</v>
      </c>
      <c r="BO452" s="294" t="e">
        <f t="shared" si="430"/>
        <v>#N/A</v>
      </c>
      <c r="BP452" s="294" t="e">
        <f t="shared" si="431"/>
        <v>#N/A</v>
      </c>
      <c r="BQ452" s="292" t="e">
        <f t="shared" si="390"/>
        <v>#N/A</v>
      </c>
      <c r="BR452" s="295" t="e">
        <f t="shared" si="391"/>
        <v>#N/A</v>
      </c>
      <c r="BS452" s="230" t="e">
        <f>VLOOKUP($B452,SDR22_STOCK_BY_LA!$A$2:$C$11679,3,0)</f>
        <v>#N/A</v>
      </c>
      <c r="BT452" s="230" t="str">
        <f t="shared" si="432"/>
        <v/>
      </c>
    </row>
    <row r="453" spans="1:72" ht="12.5" x14ac:dyDescent="0.25">
      <c r="A453" s="269" t="str">
        <f t="shared" si="433"/>
        <v/>
      </c>
      <c r="B453" s="230" t="str">
        <f t="shared" si="434"/>
        <v/>
      </c>
      <c r="C453" s="270" t="str">
        <f t="shared" si="392"/>
        <v/>
      </c>
      <c r="D453" s="269" t="str">
        <f>IF(B453="","",IF(totals!$Q$3=0,IFERROR(IF(AD453=2,"0",AE453),""),"-"))</f>
        <v/>
      </c>
      <c r="E453" s="271" t="str">
        <f t="shared" si="393"/>
        <v/>
      </c>
      <c r="F453" s="272" t="str">
        <f t="shared" si="394"/>
        <v/>
      </c>
      <c r="G453" s="272" t="str">
        <f t="shared" si="395"/>
        <v/>
      </c>
      <c r="H453" s="269" t="str">
        <f t="shared" si="373"/>
        <v/>
      </c>
      <c r="I453" s="272" t="str">
        <f t="shared" si="396"/>
        <v/>
      </c>
      <c r="J453" s="272" t="str">
        <f t="shared" si="397"/>
        <v/>
      </c>
      <c r="K453" s="269" t="str">
        <f t="shared" si="374"/>
        <v/>
      </c>
      <c r="L453" s="272" t="str">
        <f t="shared" si="375"/>
        <v/>
      </c>
      <c r="M453" s="272" t="str">
        <f t="shared" si="398"/>
        <v/>
      </c>
      <c r="N453" s="269" t="str">
        <f t="shared" si="399"/>
        <v/>
      </c>
      <c r="O453" s="272" t="str">
        <f t="shared" si="400"/>
        <v/>
      </c>
      <c r="P453" s="272" t="str">
        <f t="shared" si="401"/>
        <v/>
      </c>
      <c r="Q453" s="269" t="str">
        <f t="shared" si="402"/>
        <v/>
      </c>
      <c r="R453" s="272" t="str">
        <f t="shared" si="403"/>
        <v/>
      </c>
      <c r="S453" s="272" t="str">
        <f t="shared" si="404"/>
        <v/>
      </c>
      <c r="T453" s="269" t="str">
        <f t="shared" si="405"/>
        <v/>
      </c>
      <c r="U453" s="230"/>
      <c r="V453" s="230"/>
      <c r="AB453" s="270" t="e">
        <f>VLOOKUP($B$6,Lookup_Source,446,0)</f>
        <v>#N/A</v>
      </c>
      <c r="AC453" s="254" t="str">
        <f t="shared" si="406"/>
        <v/>
      </c>
      <c r="AD453" s="255">
        <f t="shared" si="407"/>
        <v>7</v>
      </c>
      <c r="AE453" s="274" t="e">
        <f t="shared" si="376"/>
        <v>#N/A</v>
      </c>
      <c r="AF453" s="277" t="e">
        <f t="shared" si="408"/>
        <v>#N/A</v>
      </c>
      <c r="AG453" s="277" t="e">
        <f t="shared" si="409"/>
        <v>#N/A</v>
      </c>
      <c r="AH453" s="276" t="e">
        <f t="shared" si="377"/>
        <v>#N/A</v>
      </c>
      <c r="AI453" s="239">
        <f t="shared" si="410"/>
        <v>7</v>
      </c>
      <c r="AJ453" s="277" t="e">
        <f t="shared" si="378"/>
        <v>#N/A</v>
      </c>
      <c r="AK453" s="277" t="e">
        <f t="shared" si="411"/>
        <v>#N/A</v>
      </c>
      <c r="AL453" s="239" t="e">
        <f t="shared" si="379"/>
        <v>#N/A</v>
      </c>
      <c r="AM453" s="278" t="e">
        <f t="shared" si="412"/>
        <v>#N/A</v>
      </c>
      <c r="AN453" s="279" t="e">
        <f t="shared" si="380"/>
        <v>#N/A</v>
      </c>
      <c r="AO453" s="240" t="e">
        <f t="shared" si="381"/>
        <v>#N/A</v>
      </c>
      <c r="AP453" s="297">
        <f t="shared" si="413"/>
        <v>7</v>
      </c>
      <c r="AQ453" s="298" t="e">
        <f t="shared" si="382"/>
        <v>#N/A</v>
      </c>
      <c r="AR453" s="279" t="e">
        <f t="shared" si="414"/>
        <v>#N/A</v>
      </c>
      <c r="AS453" s="283" t="e">
        <f t="shared" si="383"/>
        <v>#N/A</v>
      </c>
      <c r="AT453" s="284">
        <f t="shared" si="415"/>
        <v>7</v>
      </c>
      <c r="AU453" s="285" t="e">
        <f t="shared" si="416"/>
        <v>#N/A</v>
      </c>
      <c r="AV453" s="286" t="e">
        <f t="shared" si="417"/>
        <v>#N/A</v>
      </c>
      <c r="AW453" s="287" t="e">
        <f t="shared" si="384"/>
        <v>#N/A</v>
      </c>
      <c r="AX453" s="245">
        <f t="shared" si="418"/>
        <v>7</v>
      </c>
      <c r="AY453" s="286" t="e">
        <f t="shared" si="385"/>
        <v>#N/A</v>
      </c>
      <c r="AZ453" s="245" t="e">
        <f t="shared" si="419"/>
        <v>#N/A</v>
      </c>
      <c r="BA453" s="245" t="e">
        <f t="shared" si="386"/>
        <v>#N/A</v>
      </c>
      <c r="BB453" s="288">
        <f t="shared" si="420"/>
        <v>7</v>
      </c>
      <c r="BC453" s="289" t="e">
        <f t="shared" si="421"/>
        <v>#N/A</v>
      </c>
      <c r="BD453" s="290" t="e">
        <f t="shared" si="422"/>
        <v>#N/A</v>
      </c>
      <c r="BE453" s="263" t="e">
        <f t="shared" si="387"/>
        <v>#N/A</v>
      </c>
      <c r="BF453" s="260">
        <f t="shared" si="423"/>
        <v>7</v>
      </c>
      <c r="BG453" s="289" t="e">
        <f t="shared" si="424"/>
        <v>#N/A</v>
      </c>
      <c r="BH453" s="290" t="e">
        <f t="shared" si="425"/>
        <v>#N/A</v>
      </c>
      <c r="BI453" s="263" t="e">
        <f t="shared" si="388"/>
        <v>#N/A</v>
      </c>
      <c r="BJ453" s="264">
        <f t="shared" si="426"/>
        <v>7</v>
      </c>
      <c r="BK453" s="291" t="e">
        <f t="shared" si="427"/>
        <v>#N/A</v>
      </c>
      <c r="BL453" s="291" t="e">
        <f t="shared" si="428"/>
        <v>#N/A</v>
      </c>
      <c r="BM453" s="292" t="e">
        <f t="shared" si="389"/>
        <v>#N/A</v>
      </c>
      <c r="BN453" s="293">
        <f t="shared" si="429"/>
        <v>7</v>
      </c>
      <c r="BO453" s="294" t="e">
        <f t="shared" si="430"/>
        <v>#N/A</v>
      </c>
      <c r="BP453" s="294" t="e">
        <f t="shared" si="431"/>
        <v>#N/A</v>
      </c>
      <c r="BQ453" s="292" t="e">
        <f t="shared" si="390"/>
        <v>#N/A</v>
      </c>
      <c r="BR453" s="295" t="e">
        <f t="shared" si="391"/>
        <v>#N/A</v>
      </c>
      <c r="BS453" s="230" t="e">
        <f>VLOOKUP($B453,SDR22_STOCK_BY_LA!$A$2:$C$11679,3,0)</f>
        <v>#N/A</v>
      </c>
      <c r="BT453" s="230" t="str">
        <f t="shared" si="432"/>
        <v/>
      </c>
    </row>
    <row r="454" spans="1:72" ht="12.5" x14ac:dyDescent="0.25">
      <c r="A454" s="230" t="str">
        <f t="shared" si="433"/>
        <v/>
      </c>
      <c r="B454" s="230" t="str">
        <f t="shared" si="434"/>
        <v/>
      </c>
      <c r="C454" s="296" t="str">
        <f t="shared" si="392"/>
        <v/>
      </c>
      <c r="D454" s="269" t="str">
        <f>IF(B454="","",IF(totals!$Q$3=0,IFERROR(IF(AD454=2,"0",AE454),""),"-"))</f>
        <v/>
      </c>
      <c r="E454" s="271" t="str">
        <f t="shared" si="393"/>
        <v/>
      </c>
      <c r="F454" s="272" t="str">
        <f t="shared" si="394"/>
        <v/>
      </c>
      <c r="G454" s="272" t="str">
        <f t="shared" si="395"/>
        <v/>
      </c>
      <c r="H454" s="269" t="str">
        <f t="shared" si="373"/>
        <v/>
      </c>
      <c r="I454" s="272" t="str">
        <f t="shared" si="396"/>
        <v/>
      </c>
      <c r="J454" s="272" t="str">
        <f t="shared" si="397"/>
        <v/>
      </c>
      <c r="K454" s="269" t="str">
        <f t="shared" si="374"/>
        <v/>
      </c>
      <c r="L454" s="272" t="str">
        <f t="shared" si="375"/>
        <v/>
      </c>
      <c r="M454" s="272" t="str">
        <f t="shared" si="398"/>
        <v/>
      </c>
      <c r="N454" s="269" t="str">
        <f t="shared" si="399"/>
        <v/>
      </c>
      <c r="O454" s="272" t="str">
        <f t="shared" si="400"/>
        <v/>
      </c>
      <c r="P454" s="272" t="str">
        <f t="shared" si="401"/>
        <v/>
      </c>
      <c r="Q454" s="269" t="str">
        <f t="shared" si="402"/>
        <v/>
      </c>
      <c r="R454" s="272" t="str">
        <f t="shared" si="403"/>
        <v/>
      </c>
      <c r="S454" s="272" t="str">
        <f t="shared" si="404"/>
        <v/>
      </c>
      <c r="T454" s="269" t="str">
        <f t="shared" si="405"/>
        <v/>
      </c>
      <c r="U454" s="230"/>
      <c r="V454" s="230"/>
      <c r="AB454" s="230" t="e">
        <f>VLOOKUP($B$6,Lookup_Source,447,0)</f>
        <v>#N/A</v>
      </c>
      <c r="AC454" s="254" t="str">
        <f t="shared" si="406"/>
        <v/>
      </c>
      <c r="AD454" s="255">
        <f t="shared" si="407"/>
        <v>7</v>
      </c>
      <c r="AE454" s="274" t="e">
        <f t="shared" si="376"/>
        <v>#N/A</v>
      </c>
      <c r="AF454" s="277" t="e">
        <f t="shared" si="408"/>
        <v>#N/A</v>
      </c>
      <c r="AG454" s="277" t="e">
        <f t="shared" si="409"/>
        <v>#N/A</v>
      </c>
      <c r="AH454" s="276" t="e">
        <f t="shared" si="377"/>
        <v>#N/A</v>
      </c>
      <c r="AI454" s="239">
        <f t="shared" si="410"/>
        <v>7</v>
      </c>
      <c r="AJ454" s="277" t="e">
        <f t="shared" si="378"/>
        <v>#N/A</v>
      </c>
      <c r="AK454" s="277" t="e">
        <f t="shared" si="411"/>
        <v>#N/A</v>
      </c>
      <c r="AL454" s="239" t="e">
        <f t="shared" si="379"/>
        <v>#N/A</v>
      </c>
      <c r="AM454" s="278" t="e">
        <f t="shared" si="412"/>
        <v>#N/A</v>
      </c>
      <c r="AN454" s="279" t="e">
        <f t="shared" si="380"/>
        <v>#N/A</v>
      </c>
      <c r="AO454" s="240" t="e">
        <f t="shared" si="381"/>
        <v>#N/A</v>
      </c>
      <c r="AP454" s="297">
        <f t="shared" si="413"/>
        <v>7</v>
      </c>
      <c r="AQ454" s="298" t="e">
        <f t="shared" si="382"/>
        <v>#N/A</v>
      </c>
      <c r="AR454" s="279" t="e">
        <f t="shared" si="414"/>
        <v>#N/A</v>
      </c>
      <c r="AS454" s="283" t="e">
        <f t="shared" si="383"/>
        <v>#N/A</v>
      </c>
      <c r="AT454" s="284">
        <f t="shared" si="415"/>
        <v>7</v>
      </c>
      <c r="AU454" s="285" t="e">
        <f t="shared" si="416"/>
        <v>#N/A</v>
      </c>
      <c r="AV454" s="286" t="e">
        <f t="shared" si="417"/>
        <v>#N/A</v>
      </c>
      <c r="AW454" s="287" t="e">
        <f t="shared" si="384"/>
        <v>#N/A</v>
      </c>
      <c r="AX454" s="245">
        <f t="shared" si="418"/>
        <v>7</v>
      </c>
      <c r="AY454" s="286" t="e">
        <f t="shared" si="385"/>
        <v>#N/A</v>
      </c>
      <c r="AZ454" s="245" t="e">
        <f t="shared" si="419"/>
        <v>#N/A</v>
      </c>
      <c r="BA454" s="245" t="e">
        <f t="shared" si="386"/>
        <v>#N/A</v>
      </c>
      <c r="BB454" s="288">
        <f t="shared" si="420"/>
        <v>7</v>
      </c>
      <c r="BC454" s="289" t="e">
        <f t="shared" si="421"/>
        <v>#N/A</v>
      </c>
      <c r="BD454" s="290" t="e">
        <f t="shared" si="422"/>
        <v>#N/A</v>
      </c>
      <c r="BE454" s="263" t="e">
        <f t="shared" si="387"/>
        <v>#N/A</v>
      </c>
      <c r="BF454" s="260">
        <f t="shared" si="423"/>
        <v>7</v>
      </c>
      <c r="BG454" s="289" t="e">
        <f t="shared" si="424"/>
        <v>#N/A</v>
      </c>
      <c r="BH454" s="290" t="e">
        <f t="shared" si="425"/>
        <v>#N/A</v>
      </c>
      <c r="BI454" s="263" t="e">
        <f t="shared" si="388"/>
        <v>#N/A</v>
      </c>
      <c r="BJ454" s="264">
        <f t="shared" si="426"/>
        <v>7</v>
      </c>
      <c r="BK454" s="291" t="e">
        <f t="shared" si="427"/>
        <v>#N/A</v>
      </c>
      <c r="BL454" s="291" t="e">
        <f t="shared" si="428"/>
        <v>#N/A</v>
      </c>
      <c r="BM454" s="292" t="e">
        <f t="shared" si="389"/>
        <v>#N/A</v>
      </c>
      <c r="BN454" s="293">
        <f t="shared" si="429"/>
        <v>7</v>
      </c>
      <c r="BO454" s="294" t="e">
        <f t="shared" si="430"/>
        <v>#N/A</v>
      </c>
      <c r="BP454" s="294" t="e">
        <f t="shared" si="431"/>
        <v>#N/A</v>
      </c>
      <c r="BQ454" s="292" t="e">
        <f t="shared" si="390"/>
        <v>#N/A</v>
      </c>
      <c r="BR454" s="295" t="e">
        <f t="shared" si="391"/>
        <v>#N/A</v>
      </c>
      <c r="BS454" s="230" t="e">
        <f>VLOOKUP($B454,SDR22_STOCK_BY_LA!$A$2:$C$11679,3,0)</f>
        <v>#N/A</v>
      </c>
      <c r="BT454" s="230" t="str">
        <f t="shared" si="432"/>
        <v/>
      </c>
    </row>
    <row r="455" spans="1:72" ht="12.5" x14ac:dyDescent="0.25">
      <c r="A455" s="269" t="str">
        <f t="shared" si="433"/>
        <v/>
      </c>
      <c r="B455" s="230" t="str">
        <f t="shared" si="434"/>
        <v/>
      </c>
      <c r="C455" s="270" t="str">
        <f t="shared" si="392"/>
        <v/>
      </c>
      <c r="D455" s="269" t="str">
        <f>IF(B455="","",IF(totals!$Q$3=0,IFERROR(IF(AD455=2,"0",AE455),""),"-"))</f>
        <v/>
      </c>
      <c r="E455" s="271" t="str">
        <f t="shared" si="393"/>
        <v/>
      </c>
      <c r="F455" s="272" t="str">
        <f t="shared" si="394"/>
        <v/>
      </c>
      <c r="G455" s="272" t="str">
        <f t="shared" si="395"/>
        <v/>
      </c>
      <c r="H455" s="269" t="str">
        <f t="shared" si="373"/>
        <v/>
      </c>
      <c r="I455" s="272" t="str">
        <f t="shared" si="396"/>
        <v/>
      </c>
      <c r="J455" s="272" t="str">
        <f t="shared" si="397"/>
        <v/>
      </c>
      <c r="K455" s="269" t="str">
        <f t="shared" si="374"/>
        <v/>
      </c>
      <c r="L455" s="272" t="str">
        <f t="shared" si="375"/>
        <v/>
      </c>
      <c r="M455" s="272" t="str">
        <f t="shared" si="398"/>
        <v/>
      </c>
      <c r="N455" s="269" t="str">
        <f t="shared" si="399"/>
        <v/>
      </c>
      <c r="O455" s="272" t="str">
        <f t="shared" si="400"/>
        <v/>
      </c>
      <c r="P455" s="272" t="str">
        <f t="shared" si="401"/>
        <v/>
      </c>
      <c r="Q455" s="269" t="str">
        <f t="shared" si="402"/>
        <v/>
      </c>
      <c r="R455" s="272" t="str">
        <f t="shared" si="403"/>
        <v/>
      </c>
      <c r="S455" s="272" t="str">
        <f t="shared" si="404"/>
        <v/>
      </c>
      <c r="T455" s="269" t="str">
        <f t="shared" si="405"/>
        <v/>
      </c>
      <c r="U455" s="230"/>
      <c r="V455" s="230"/>
      <c r="AB455" s="270" t="e">
        <f>VLOOKUP($B$6,Lookup_Source,448,0)</f>
        <v>#N/A</v>
      </c>
      <c r="AC455" s="254" t="str">
        <f t="shared" si="406"/>
        <v/>
      </c>
      <c r="AD455" s="255">
        <f t="shared" si="407"/>
        <v>7</v>
      </c>
      <c r="AE455" s="274" t="e">
        <f t="shared" si="376"/>
        <v>#N/A</v>
      </c>
      <c r="AF455" s="277" t="e">
        <f t="shared" si="408"/>
        <v>#N/A</v>
      </c>
      <c r="AG455" s="277" t="e">
        <f t="shared" si="409"/>
        <v>#N/A</v>
      </c>
      <c r="AH455" s="276" t="e">
        <f t="shared" si="377"/>
        <v>#N/A</v>
      </c>
      <c r="AI455" s="239">
        <f t="shared" si="410"/>
        <v>7</v>
      </c>
      <c r="AJ455" s="277" t="e">
        <f t="shared" si="378"/>
        <v>#N/A</v>
      </c>
      <c r="AK455" s="277" t="e">
        <f t="shared" si="411"/>
        <v>#N/A</v>
      </c>
      <c r="AL455" s="239" t="e">
        <f t="shared" si="379"/>
        <v>#N/A</v>
      </c>
      <c r="AM455" s="278" t="e">
        <f t="shared" si="412"/>
        <v>#N/A</v>
      </c>
      <c r="AN455" s="279" t="e">
        <f t="shared" si="380"/>
        <v>#N/A</v>
      </c>
      <c r="AO455" s="240" t="e">
        <f t="shared" si="381"/>
        <v>#N/A</v>
      </c>
      <c r="AP455" s="297">
        <f t="shared" si="413"/>
        <v>7</v>
      </c>
      <c r="AQ455" s="298" t="e">
        <f t="shared" si="382"/>
        <v>#N/A</v>
      </c>
      <c r="AR455" s="279" t="e">
        <f t="shared" si="414"/>
        <v>#N/A</v>
      </c>
      <c r="AS455" s="283" t="e">
        <f t="shared" si="383"/>
        <v>#N/A</v>
      </c>
      <c r="AT455" s="284">
        <f t="shared" si="415"/>
        <v>7</v>
      </c>
      <c r="AU455" s="285" t="e">
        <f t="shared" si="416"/>
        <v>#N/A</v>
      </c>
      <c r="AV455" s="286" t="e">
        <f t="shared" si="417"/>
        <v>#N/A</v>
      </c>
      <c r="AW455" s="287" t="e">
        <f t="shared" si="384"/>
        <v>#N/A</v>
      </c>
      <c r="AX455" s="245">
        <f t="shared" si="418"/>
        <v>7</v>
      </c>
      <c r="AY455" s="286" t="e">
        <f t="shared" si="385"/>
        <v>#N/A</v>
      </c>
      <c r="AZ455" s="245" t="e">
        <f t="shared" si="419"/>
        <v>#N/A</v>
      </c>
      <c r="BA455" s="245" t="e">
        <f t="shared" si="386"/>
        <v>#N/A</v>
      </c>
      <c r="BB455" s="288">
        <f t="shared" si="420"/>
        <v>7</v>
      </c>
      <c r="BC455" s="289" t="e">
        <f t="shared" si="421"/>
        <v>#N/A</v>
      </c>
      <c r="BD455" s="290" t="e">
        <f t="shared" si="422"/>
        <v>#N/A</v>
      </c>
      <c r="BE455" s="263" t="e">
        <f t="shared" si="387"/>
        <v>#N/A</v>
      </c>
      <c r="BF455" s="260">
        <f t="shared" si="423"/>
        <v>7</v>
      </c>
      <c r="BG455" s="289" t="e">
        <f t="shared" si="424"/>
        <v>#N/A</v>
      </c>
      <c r="BH455" s="290" t="e">
        <f t="shared" si="425"/>
        <v>#N/A</v>
      </c>
      <c r="BI455" s="263" t="e">
        <f t="shared" si="388"/>
        <v>#N/A</v>
      </c>
      <c r="BJ455" s="264">
        <f t="shared" si="426"/>
        <v>7</v>
      </c>
      <c r="BK455" s="291" t="e">
        <f t="shared" si="427"/>
        <v>#N/A</v>
      </c>
      <c r="BL455" s="291" t="e">
        <f t="shared" si="428"/>
        <v>#N/A</v>
      </c>
      <c r="BM455" s="292" t="e">
        <f t="shared" si="389"/>
        <v>#N/A</v>
      </c>
      <c r="BN455" s="293">
        <f t="shared" si="429"/>
        <v>7</v>
      </c>
      <c r="BO455" s="294" t="e">
        <f t="shared" si="430"/>
        <v>#N/A</v>
      </c>
      <c r="BP455" s="294" t="e">
        <f t="shared" si="431"/>
        <v>#N/A</v>
      </c>
      <c r="BQ455" s="292" t="e">
        <f t="shared" si="390"/>
        <v>#N/A</v>
      </c>
      <c r="BR455" s="295" t="e">
        <f t="shared" si="391"/>
        <v>#N/A</v>
      </c>
      <c r="BS455" s="230" t="e">
        <f>VLOOKUP($B455,SDR22_STOCK_BY_LA!$A$2:$C$11679,3,0)</f>
        <v>#N/A</v>
      </c>
      <c r="BT455" s="230" t="str">
        <f t="shared" si="432"/>
        <v/>
      </c>
    </row>
    <row r="456" spans="1:72" ht="12.5" x14ac:dyDescent="0.25">
      <c r="A456" s="230" t="str">
        <f t="shared" si="433"/>
        <v/>
      </c>
      <c r="B456" s="230" t="str">
        <f t="shared" si="434"/>
        <v/>
      </c>
      <c r="C456" s="296" t="str">
        <f t="shared" si="392"/>
        <v/>
      </c>
      <c r="D456" s="269" t="str">
        <f>IF(B456="","",IF(totals!$Q$3=0,IFERROR(IF(AD456=2,"0",AE456),""),"-"))</f>
        <v/>
      </c>
      <c r="E456" s="271" t="str">
        <f t="shared" si="393"/>
        <v/>
      </c>
      <c r="F456" s="272" t="str">
        <f t="shared" si="394"/>
        <v/>
      </c>
      <c r="G456" s="272" t="str">
        <f t="shared" si="395"/>
        <v/>
      </c>
      <c r="H456" s="269" t="str">
        <f t="shared" si="373"/>
        <v/>
      </c>
      <c r="I456" s="272" t="str">
        <f t="shared" si="396"/>
        <v/>
      </c>
      <c r="J456" s="272" t="str">
        <f t="shared" si="397"/>
        <v/>
      </c>
      <c r="K456" s="269" t="str">
        <f t="shared" si="374"/>
        <v/>
      </c>
      <c r="L456" s="272" t="str">
        <f t="shared" si="375"/>
        <v/>
      </c>
      <c r="M456" s="272" t="str">
        <f t="shared" si="398"/>
        <v/>
      </c>
      <c r="N456" s="269" t="str">
        <f t="shared" si="399"/>
        <v/>
      </c>
      <c r="O456" s="272" t="str">
        <f t="shared" si="400"/>
        <v/>
      </c>
      <c r="P456" s="272" t="str">
        <f t="shared" si="401"/>
        <v/>
      </c>
      <c r="Q456" s="269" t="str">
        <f t="shared" si="402"/>
        <v/>
      </c>
      <c r="R456" s="272" t="str">
        <f t="shared" si="403"/>
        <v/>
      </c>
      <c r="S456" s="272" t="str">
        <f t="shared" si="404"/>
        <v/>
      </c>
      <c r="T456" s="269" t="str">
        <f t="shared" si="405"/>
        <v/>
      </c>
      <c r="U456" s="230"/>
      <c r="V456" s="230"/>
      <c r="AB456" s="230" t="e">
        <f>VLOOKUP($B$6,Lookup_Source,449,0)</f>
        <v>#N/A</v>
      </c>
      <c r="AC456" s="254" t="str">
        <f t="shared" si="406"/>
        <v/>
      </c>
      <c r="AD456" s="255">
        <f t="shared" si="407"/>
        <v>7</v>
      </c>
      <c r="AE456" s="274" t="e">
        <f t="shared" si="376"/>
        <v>#N/A</v>
      </c>
      <c r="AF456" s="277" t="e">
        <f t="shared" si="408"/>
        <v>#N/A</v>
      </c>
      <c r="AG456" s="277" t="e">
        <f t="shared" si="409"/>
        <v>#N/A</v>
      </c>
      <c r="AH456" s="276" t="e">
        <f t="shared" si="377"/>
        <v>#N/A</v>
      </c>
      <c r="AI456" s="239">
        <f t="shared" si="410"/>
        <v>7</v>
      </c>
      <c r="AJ456" s="277" t="e">
        <f t="shared" si="378"/>
        <v>#N/A</v>
      </c>
      <c r="AK456" s="277" t="e">
        <f t="shared" si="411"/>
        <v>#N/A</v>
      </c>
      <c r="AL456" s="239" t="e">
        <f t="shared" si="379"/>
        <v>#N/A</v>
      </c>
      <c r="AM456" s="278" t="e">
        <f t="shared" si="412"/>
        <v>#N/A</v>
      </c>
      <c r="AN456" s="279" t="e">
        <f t="shared" si="380"/>
        <v>#N/A</v>
      </c>
      <c r="AO456" s="240" t="e">
        <f t="shared" si="381"/>
        <v>#N/A</v>
      </c>
      <c r="AP456" s="297">
        <f t="shared" si="413"/>
        <v>7</v>
      </c>
      <c r="AQ456" s="298" t="e">
        <f t="shared" si="382"/>
        <v>#N/A</v>
      </c>
      <c r="AR456" s="279" t="e">
        <f t="shared" si="414"/>
        <v>#N/A</v>
      </c>
      <c r="AS456" s="283" t="e">
        <f t="shared" si="383"/>
        <v>#N/A</v>
      </c>
      <c r="AT456" s="284">
        <f t="shared" si="415"/>
        <v>7</v>
      </c>
      <c r="AU456" s="285" t="e">
        <f t="shared" si="416"/>
        <v>#N/A</v>
      </c>
      <c r="AV456" s="286" t="e">
        <f t="shared" si="417"/>
        <v>#N/A</v>
      </c>
      <c r="AW456" s="287" t="e">
        <f t="shared" si="384"/>
        <v>#N/A</v>
      </c>
      <c r="AX456" s="245">
        <f t="shared" si="418"/>
        <v>7</v>
      </c>
      <c r="AY456" s="286" t="e">
        <f t="shared" si="385"/>
        <v>#N/A</v>
      </c>
      <c r="AZ456" s="245" t="e">
        <f t="shared" si="419"/>
        <v>#N/A</v>
      </c>
      <c r="BA456" s="245" t="e">
        <f t="shared" si="386"/>
        <v>#N/A</v>
      </c>
      <c r="BB456" s="288">
        <f t="shared" si="420"/>
        <v>7</v>
      </c>
      <c r="BC456" s="289" t="e">
        <f t="shared" si="421"/>
        <v>#N/A</v>
      </c>
      <c r="BD456" s="290" t="e">
        <f t="shared" si="422"/>
        <v>#N/A</v>
      </c>
      <c r="BE456" s="263" t="e">
        <f t="shared" si="387"/>
        <v>#N/A</v>
      </c>
      <c r="BF456" s="260">
        <f t="shared" si="423"/>
        <v>7</v>
      </c>
      <c r="BG456" s="289" t="e">
        <f t="shared" si="424"/>
        <v>#N/A</v>
      </c>
      <c r="BH456" s="290" t="e">
        <f t="shared" si="425"/>
        <v>#N/A</v>
      </c>
      <c r="BI456" s="263" t="e">
        <f t="shared" si="388"/>
        <v>#N/A</v>
      </c>
      <c r="BJ456" s="264">
        <f t="shared" si="426"/>
        <v>7</v>
      </c>
      <c r="BK456" s="291" t="e">
        <f t="shared" si="427"/>
        <v>#N/A</v>
      </c>
      <c r="BL456" s="291" t="e">
        <f t="shared" si="428"/>
        <v>#N/A</v>
      </c>
      <c r="BM456" s="292" t="e">
        <f t="shared" si="389"/>
        <v>#N/A</v>
      </c>
      <c r="BN456" s="293">
        <f t="shared" si="429"/>
        <v>7</v>
      </c>
      <c r="BO456" s="294" t="e">
        <f t="shared" si="430"/>
        <v>#N/A</v>
      </c>
      <c r="BP456" s="294" t="e">
        <f t="shared" si="431"/>
        <v>#N/A</v>
      </c>
      <c r="BQ456" s="292" t="e">
        <f t="shared" si="390"/>
        <v>#N/A</v>
      </c>
      <c r="BR456" s="295" t="e">
        <f t="shared" si="391"/>
        <v>#N/A</v>
      </c>
      <c r="BS456" s="230" t="e">
        <f>VLOOKUP($B456,SDR22_STOCK_BY_LA!$A$2:$C$11679,3,0)</f>
        <v>#N/A</v>
      </c>
      <c r="BT456" s="230" t="str">
        <f t="shared" si="432"/>
        <v/>
      </c>
    </row>
    <row r="457" spans="1:72" ht="12.5" x14ac:dyDescent="0.25">
      <c r="A457" s="269" t="str">
        <f t="shared" si="433"/>
        <v/>
      </c>
      <c r="B457" s="230" t="str">
        <f t="shared" si="434"/>
        <v/>
      </c>
      <c r="C457" s="270" t="str">
        <f t="shared" si="392"/>
        <v/>
      </c>
      <c r="D457" s="269" t="str">
        <f>IF(B457="","",IF(totals!$Q$3=0,IFERROR(IF(AD457=2,"0",AE457),""),"-"))</f>
        <v/>
      </c>
      <c r="E457" s="271" t="str">
        <f t="shared" si="393"/>
        <v/>
      </c>
      <c r="F457" s="272" t="str">
        <f t="shared" si="394"/>
        <v/>
      </c>
      <c r="G457" s="272" t="str">
        <f t="shared" si="395"/>
        <v/>
      </c>
      <c r="H457" s="269" t="str">
        <f t="shared" ref="H457:H468" si="435">IFERROR(AO457,"")</f>
        <v/>
      </c>
      <c r="I457" s="272" t="str">
        <f t="shared" si="396"/>
        <v/>
      </c>
      <c r="J457" s="272" t="str">
        <f t="shared" si="397"/>
        <v/>
      </c>
      <c r="K457" s="269" t="str">
        <f t="shared" ref="K457:K468" si="436">IFERROR(AW457,"")</f>
        <v/>
      </c>
      <c r="L457" s="272" t="str">
        <f t="shared" ref="L457:L468" si="437">IFERROR(IF(AT457=2,"-",AU457),"")</f>
        <v/>
      </c>
      <c r="M457" s="272" t="str">
        <f t="shared" si="398"/>
        <v/>
      </c>
      <c r="N457" s="269" t="str">
        <f t="shared" si="399"/>
        <v/>
      </c>
      <c r="O457" s="272" t="str">
        <f t="shared" si="400"/>
        <v/>
      </c>
      <c r="P457" s="272" t="str">
        <f t="shared" si="401"/>
        <v/>
      </c>
      <c r="Q457" s="269" t="str">
        <f t="shared" si="402"/>
        <v/>
      </c>
      <c r="R457" s="272" t="str">
        <f t="shared" si="403"/>
        <v/>
      </c>
      <c r="S457" s="272" t="str">
        <f t="shared" si="404"/>
        <v/>
      </c>
      <c r="T457" s="269" t="str">
        <f t="shared" si="405"/>
        <v/>
      </c>
      <c r="U457" s="230"/>
      <c r="V457" s="230"/>
      <c r="AB457" s="270" t="e">
        <f>VLOOKUP($B$6,Lookup_Source,450,0)</f>
        <v>#N/A</v>
      </c>
      <c r="AC457" s="254" t="str">
        <f t="shared" si="406"/>
        <v/>
      </c>
      <c r="AD457" s="255">
        <f t="shared" si="407"/>
        <v>7</v>
      </c>
      <c r="AE457" s="274" t="e">
        <f t="shared" ref="AE457:AE470" si="438">SUM(VLOOKUP($B457,Totals,8,0)-1)</f>
        <v>#N/A</v>
      </c>
      <c r="AF457" s="277" t="e">
        <f t="shared" si="408"/>
        <v>#N/A</v>
      </c>
      <c r="AG457" s="277" t="e">
        <f t="shared" si="409"/>
        <v>#N/A</v>
      </c>
      <c r="AH457" s="276" t="e">
        <f t="shared" ref="AH457:AH470" si="439">VLOOKUP($BT457,Stock_By_LA,2,0)</f>
        <v>#N/A</v>
      </c>
      <c r="AI457" s="239">
        <f t="shared" si="410"/>
        <v>7</v>
      </c>
      <c r="AJ457" s="277" t="e">
        <f t="shared" ref="AJ457:AJ470" si="440">IF(AK457&gt;0,AK457,"-")</f>
        <v>#N/A</v>
      </c>
      <c r="AK457" s="277" t="e">
        <f t="shared" si="411"/>
        <v>#N/A</v>
      </c>
      <c r="AL457" s="239" t="e">
        <f t="shared" ref="AL457:AL470" si="441">VLOOKUP($B457,Totals,7,0)</f>
        <v>#N/A</v>
      </c>
      <c r="AM457" s="278" t="e">
        <f t="shared" si="412"/>
        <v>#N/A</v>
      </c>
      <c r="AN457" s="279" t="e">
        <f t="shared" ref="AN457:AN470" si="442">$AO457/$AO$8</f>
        <v>#N/A</v>
      </c>
      <c r="AO457" s="240" t="e">
        <f t="shared" ref="AO457:AO470" si="443">VLOOKUP($BT457,Stock_By_LA,3,0)</f>
        <v>#N/A</v>
      </c>
      <c r="AP457" s="297">
        <f t="shared" si="413"/>
        <v>7</v>
      </c>
      <c r="AQ457" s="298" t="e">
        <f t="shared" ref="AQ457:AQ470" si="444">IF(AR457&gt;0,AR457,"-")</f>
        <v>#N/A</v>
      </c>
      <c r="AR457" s="279" t="e">
        <f t="shared" si="414"/>
        <v>#N/A</v>
      </c>
      <c r="AS457" s="283" t="e">
        <f t="shared" ref="AS457:AS470" si="445">VLOOKUP($B457,Totals,2,0)</f>
        <v>#N/A</v>
      </c>
      <c r="AT457" s="284">
        <f t="shared" si="415"/>
        <v>7</v>
      </c>
      <c r="AU457" s="285" t="e">
        <f t="shared" si="416"/>
        <v>#N/A</v>
      </c>
      <c r="AV457" s="286" t="e">
        <f t="shared" si="417"/>
        <v>#N/A</v>
      </c>
      <c r="AW457" s="287" t="e">
        <f t="shared" ref="AW457:AW470" si="446">VLOOKUP($BT457,Stock_By_LA,4,0)</f>
        <v>#N/A</v>
      </c>
      <c r="AX457" s="245">
        <f t="shared" si="418"/>
        <v>7</v>
      </c>
      <c r="AY457" s="286" t="e">
        <f t="shared" ref="AY457:AY470" si="447">IF(AZ457&gt;0,AZ457,"-")</f>
        <v>#N/A</v>
      </c>
      <c r="AZ457" s="245" t="e">
        <f t="shared" si="419"/>
        <v>#N/A</v>
      </c>
      <c r="BA457" s="245" t="e">
        <f t="shared" ref="BA457:BA470" si="448">VLOOKUP($B457,Totals,3,0)</f>
        <v>#N/A</v>
      </c>
      <c r="BB457" s="288">
        <f t="shared" si="420"/>
        <v>7</v>
      </c>
      <c r="BC457" s="289" t="e">
        <f t="shared" si="421"/>
        <v>#N/A</v>
      </c>
      <c r="BD457" s="290" t="e">
        <f t="shared" si="422"/>
        <v>#N/A</v>
      </c>
      <c r="BE457" s="263" t="e">
        <f t="shared" ref="BE457:BE470" si="449">VLOOKUP($BT457,Stock_By_LA,5,0)</f>
        <v>#N/A</v>
      </c>
      <c r="BF457" s="260">
        <f t="shared" si="423"/>
        <v>7</v>
      </c>
      <c r="BG457" s="289" t="e">
        <f t="shared" si="424"/>
        <v>#N/A</v>
      </c>
      <c r="BH457" s="290" t="e">
        <f t="shared" si="425"/>
        <v>#N/A</v>
      </c>
      <c r="BI457" s="263" t="e">
        <f t="shared" ref="BI457:BI470" si="450">VLOOKUP($B457,Totals,4,0)</f>
        <v>#N/A</v>
      </c>
      <c r="BJ457" s="264">
        <f t="shared" si="426"/>
        <v>7</v>
      </c>
      <c r="BK457" s="291" t="e">
        <f t="shared" si="427"/>
        <v>#N/A</v>
      </c>
      <c r="BL457" s="291" t="e">
        <f t="shared" si="428"/>
        <v>#N/A</v>
      </c>
      <c r="BM457" s="292" t="e">
        <f t="shared" ref="BM457:BM470" si="451">VLOOKUP($BT457,Stock_By_LA,6,0)</f>
        <v>#N/A</v>
      </c>
      <c r="BN457" s="293">
        <f t="shared" si="429"/>
        <v>7</v>
      </c>
      <c r="BO457" s="294" t="e">
        <f t="shared" si="430"/>
        <v>#N/A</v>
      </c>
      <c r="BP457" s="294" t="e">
        <f t="shared" si="431"/>
        <v>#N/A</v>
      </c>
      <c r="BQ457" s="292" t="e">
        <f t="shared" ref="BQ457:BQ470" si="452">VLOOKUP($B457,Totals,5,0)</f>
        <v>#N/A</v>
      </c>
      <c r="BR457" s="295" t="e">
        <f t="shared" ref="BR457:BR470" si="453">VLOOKUP($BT457,Stock_By_LA,8,0)</f>
        <v>#N/A</v>
      </c>
      <c r="BS457" s="230" t="e">
        <f>VLOOKUP($B457,SDR22_STOCK_BY_LA!$A$2:$C$11679,3,0)</f>
        <v>#N/A</v>
      </c>
      <c r="BT457" s="230" t="str">
        <f t="shared" si="432"/>
        <v/>
      </c>
    </row>
    <row r="458" spans="1:72" ht="12.5" x14ac:dyDescent="0.25">
      <c r="A458" s="230" t="str">
        <f t="shared" si="433"/>
        <v/>
      </c>
      <c r="B458" s="230" t="str">
        <f t="shared" si="434"/>
        <v/>
      </c>
      <c r="C458" s="296" t="str">
        <f t="shared" ref="C458:C468" si="454">IFERROR(BS458,"")</f>
        <v/>
      </c>
      <c r="D458" s="269" t="str">
        <f>IF(B458="","",IF(totals!$Q$3=0,IFERROR(IF(AD458=2,"0",AE458),""),"-"))</f>
        <v/>
      </c>
      <c r="E458" s="271" t="str">
        <f t="shared" ref="E458:E468" si="455">IFERROR(AH458,"")</f>
        <v/>
      </c>
      <c r="F458" s="272" t="str">
        <f t="shared" ref="F458:F468" si="456">IFERROR(AF458,"")</f>
        <v/>
      </c>
      <c r="G458" s="272" t="str">
        <f t="shared" ref="G458:G468" si="457">IFERROR(IF(AI458=2,"-",AJ458),"")</f>
        <v/>
      </c>
      <c r="H458" s="269" t="str">
        <f t="shared" si="435"/>
        <v/>
      </c>
      <c r="I458" s="272" t="str">
        <f t="shared" ref="I458:I468" si="458">IFERROR(AM458,"")</f>
        <v/>
      </c>
      <c r="J458" s="272" t="str">
        <f t="shared" ref="J458:J468" si="459">IFERROR(IF(AP458=2,"-",AQ458),"")</f>
        <v/>
      </c>
      <c r="K458" s="269" t="str">
        <f t="shared" si="436"/>
        <v/>
      </c>
      <c r="L458" s="272" t="str">
        <f t="shared" si="437"/>
        <v/>
      </c>
      <c r="M458" s="272" t="str">
        <f t="shared" ref="M458:M468" si="460">IFERROR(IF(AX458=2,"-",AY458),"")</f>
        <v/>
      </c>
      <c r="N458" s="269" t="str">
        <f t="shared" ref="N458:N468" si="461">IFERROR(BE458,"")</f>
        <v/>
      </c>
      <c r="O458" s="272" t="str">
        <f t="shared" ref="O458:O468" si="462">IFERROR(IF(BB458=2,"-",BC458),"")</f>
        <v/>
      </c>
      <c r="P458" s="272" t="str">
        <f t="shared" ref="P458:P468" si="463">IFERROR(IF(BF458=2,"-",BG458),"")</f>
        <v/>
      </c>
      <c r="Q458" s="269" t="str">
        <f t="shared" ref="Q458:Q468" si="464">IFERROR(BM458,"")</f>
        <v/>
      </c>
      <c r="R458" s="272" t="str">
        <f t="shared" ref="R458:R468" si="465">IFERROR(IF(BJ458=2,"-",BK458),"")</f>
        <v/>
      </c>
      <c r="S458" s="272" t="str">
        <f t="shared" ref="S458:S468" si="466">IFERROR(IF(BN458=2,"-",BO458),"")</f>
        <v/>
      </c>
      <c r="T458" s="269" t="str">
        <f t="shared" ref="T458:T468" si="467">IFERROR(BR458,"")</f>
        <v/>
      </c>
      <c r="U458" s="230"/>
      <c r="V458" s="230"/>
      <c r="AB458" s="230" t="e">
        <f>VLOOKUP($B$6,Lookup_Source,451,0)</f>
        <v>#N/A</v>
      </c>
      <c r="AC458" s="254" t="str">
        <f t="shared" ref="AC458:AC470" si="468">IF(ISNUMBER(SEARCH("*",B458)),1,"")</f>
        <v/>
      </c>
      <c r="AD458" s="255">
        <f t="shared" ref="AD458:AD470" si="469">IFERROR(ERROR.TYPE(AE458),0)</f>
        <v>7</v>
      </c>
      <c r="AE458" s="274" t="e">
        <f t="shared" si="438"/>
        <v>#N/A</v>
      </c>
      <c r="AF458" s="277" t="e">
        <f t="shared" ref="AF458:AF470" si="470">IF(AG458&gt;0,AG458,"-")</f>
        <v>#N/A</v>
      </c>
      <c r="AG458" s="277" t="e">
        <f t="shared" ref="AG458:AG470" si="471">$AH458/$AH$8</f>
        <v>#N/A</v>
      </c>
      <c r="AH458" s="276" t="e">
        <f t="shared" si="439"/>
        <v>#N/A</v>
      </c>
      <c r="AI458" s="239">
        <f t="shared" ref="AI458:AI470" si="472">IFERROR(ERROR.TYPE(AJ458),0)</f>
        <v>7</v>
      </c>
      <c r="AJ458" s="277" t="e">
        <f t="shared" si="440"/>
        <v>#N/A</v>
      </c>
      <c r="AK458" s="277" t="e">
        <f t="shared" ref="AK458:AK470" si="473">$AH458/$AL458</f>
        <v>#N/A</v>
      </c>
      <c r="AL458" s="239" t="e">
        <f t="shared" si="441"/>
        <v>#N/A</v>
      </c>
      <c r="AM458" s="278" t="e">
        <f t="shared" ref="AM458:AM470" si="474">IF(AN458&gt;0,AN458,"-")</f>
        <v>#N/A</v>
      </c>
      <c r="AN458" s="279" t="e">
        <f t="shared" si="442"/>
        <v>#N/A</v>
      </c>
      <c r="AO458" s="240" t="e">
        <f t="shared" si="443"/>
        <v>#N/A</v>
      </c>
      <c r="AP458" s="297">
        <f t="shared" ref="AP458:AP470" si="475">IFERROR(ERROR.TYPE(AQ458),0)</f>
        <v>7</v>
      </c>
      <c r="AQ458" s="298" t="e">
        <f t="shared" si="444"/>
        <v>#N/A</v>
      </c>
      <c r="AR458" s="279" t="e">
        <f t="shared" ref="AR458:AR470" si="476">$AO458/$AS458</f>
        <v>#N/A</v>
      </c>
      <c r="AS458" s="283" t="e">
        <f t="shared" si="445"/>
        <v>#N/A</v>
      </c>
      <c r="AT458" s="284">
        <f t="shared" ref="AT458:AT470" si="477">IFERROR(ERROR.TYPE(AU458),0)</f>
        <v>7</v>
      </c>
      <c r="AU458" s="285" t="e">
        <f t="shared" ref="AU458:AU470" si="478">IF(AV458&gt;0,AV458,"-")</f>
        <v>#N/A</v>
      </c>
      <c r="AV458" s="286" t="e">
        <f t="shared" ref="AV458:AV470" si="479">AW458/$AW$8</f>
        <v>#N/A</v>
      </c>
      <c r="AW458" s="287" t="e">
        <f t="shared" si="446"/>
        <v>#N/A</v>
      </c>
      <c r="AX458" s="245">
        <f t="shared" ref="AX458:AX470" si="480">IFERROR(ERROR.TYPE(AY458),0)</f>
        <v>7</v>
      </c>
      <c r="AY458" s="286" t="e">
        <f t="shared" si="447"/>
        <v>#N/A</v>
      </c>
      <c r="AZ458" s="245" t="e">
        <f t="shared" ref="AZ458:AZ470" si="481">$AW458/$BA458</f>
        <v>#N/A</v>
      </c>
      <c r="BA458" s="245" t="e">
        <f t="shared" si="448"/>
        <v>#N/A</v>
      </c>
      <c r="BB458" s="288">
        <f t="shared" ref="BB458:BB470" si="482">IFERROR(ERROR.TYPE(BC458),0)</f>
        <v>7</v>
      </c>
      <c r="BC458" s="289" t="e">
        <f t="shared" ref="BC458:BC470" si="483">IF(BD458&gt;0,BD458,"-")</f>
        <v>#N/A</v>
      </c>
      <c r="BD458" s="290" t="e">
        <f t="shared" ref="BD458:BD470" si="484">$BE458/$BE$8</f>
        <v>#N/A</v>
      </c>
      <c r="BE458" s="263" t="e">
        <f t="shared" si="449"/>
        <v>#N/A</v>
      </c>
      <c r="BF458" s="260">
        <f t="shared" ref="BF458:BF470" si="485">IFERROR(ERROR.TYPE(BG458),0)</f>
        <v>7</v>
      </c>
      <c r="BG458" s="289" t="e">
        <f t="shared" ref="BG458:BG470" si="486">IF(BH458&gt;0,BH458,"-")</f>
        <v>#N/A</v>
      </c>
      <c r="BH458" s="290" t="e">
        <f t="shared" ref="BH458:BH470" si="487">$BE458/$BI458</f>
        <v>#N/A</v>
      </c>
      <c r="BI458" s="263" t="e">
        <f t="shared" si="450"/>
        <v>#N/A</v>
      </c>
      <c r="BJ458" s="264">
        <f t="shared" ref="BJ458:BJ470" si="488">IFERROR(ERROR.TYPE(BK458),0)</f>
        <v>7</v>
      </c>
      <c r="BK458" s="291" t="e">
        <f t="shared" ref="BK458:BK470" si="489">IF(BL458&gt;0,BL458,"-")</f>
        <v>#N/A</v>
      </c>
      <c r="BL458" s="291" t="e">
        <f t="shared" ref="BL458:BL470" si="490">$BM458/$BM$8</f>
        <v>#N/A</v>
      </c>
      <c r="BM458" s="292" t="e">
        <f t="shared" si="451"/>
        <v>#N/A</v>
      </c>
      <c r="BN458" s="293">
        <f t="shared" ref="BN458:BN470" si="491">IFERROR(ERROR.TYPE(BO458),0)</f>
        <v>7</v>
      </c>
      <c r="BO458" s="294" t="e">
        <f t="shared" ref="BO458:BO470" si="492">IF(BP458&gt;0,BP458,"-")</f>
        <v>#N/A</v>
      </c>
      <c r="BP458" s="294" t="e">
        <f t="shared" ref="BP458:BP470" si="493">$BM458/$BQ458</f>
        <v>#N/A</v>
      </c>
      <c r="BQ458" s="292" t="e">
        <f t="shared" si="452"/>
        <v>#N/A</v>
      </c>
      <c r="BR458" s="295" t="e">
        <f t="shared" si="453"/>
        <v>#N/A</v>
      </c>
      <c r="BS458" s="230" t="e">
        <f>VLOOKUP($B458,SDR22_STOCK_BY_LA!$A$2:$C$11679,3,0)</f>
        <v>#N/A</v>
      </c>
      <c r="BT458" s="230" t="str">
        <f t="shared" ref="BT458:BT470" si="494">$B$6&amp;$B458</f>
        <v/>
      </c>
    </row>
    <row r="459" spans="1:72" ht="12.5" x14ac:dyDescent="0.25">
      <c r="A459" s="269" t="str">
        <f t="shared" ref="A459:A468" si="495">IF(AC459=1,A458+1,"")</f>
        <v/>
      </c>
      <c r="B459" s="230" t="str">
        <f t="shared" si="434"/>
        <v/>
      </c>
      <c r="C459" s="270" t="str">
        <f t="shared" si="454"/>
        <v/>
      </c>
      <c r="D459" s="269" t="str">
        <f>IF(B459="","",IF(totals!$Q$3=0,IFERROR(IF(AD459=2,"0",AE459),""),"-"))</f>
        <v/>
      </c>
      <c r="E459" s="271" t="str">
        <f t="shared" si="455"/>
        <v/>
      </c>
      <c r="F459" s="272" t="str">
        <f t="shared" si="456"/>
        <v/>
      </c>
      <c r="G459" s="272" t="str">
        <f t="shared" si="457"/>
        <v/>
      </c>
      <c r="H459" s="269" t="str">
        <f t="shared" si="435"/>
        <v/>
      </c>
      <c r="I459" s="272" t="str">
        <f t="shared" si="458"/>
        <v/>
      </c>
      <c r="J459" s="272" t="str">
        <f t="shared" si="459"/>
        <v/>
      </c>
      <c r="K459" s="269" t="str">
        <f t="shared" si="436"/>
        <v/>
      </c>
      <c r="L459" s="272" t="str">
        <f t="shared" si="437"/>
        <v/>
      </c>
      <c r="M459" s="272" t="str">
        <f t="shared" si="460"/>
        <v/>
      </c>
      <c r="N459" s="269" t="str">
        <f t="shared" si="461"/>
        <v/>
      </c>
      <c r="O459" s="272" t="str">
        <f t="shared" si="462"/>
        <v/>
      </c>
      <c r="P459" s="272" t="str">
        <f t="shared" si="463"/>
        <v/>
      </c>
      <c r="Q459" s="269" t="str">
        <f t="shared" si="464"/>
        <v/>
      </c>
      <c r="R459" s="272" t="str">
        <f t="shared" si="465"/>
        <v/>
      </c>
      <c r="S459" s="272" t="str">
        <f t="shared" si="466"/>
        <v/>
      </c>
      <c r="T459" s="269" t="str">
        <f t="shared" si="467"/>
        <v/>
      </c>
      <c r="U459" s="230"/>
      <c r="V459" s="230"/>
      <c r="AB459" s="270" t="e">
        <f>VLOOKUP($B$6,Lookup_Source,452,0)</f>
        <v>#N/A</v>
      </c>
      <c r="AC459" s="254" t="str">
        <f t="shared" si="468"/>
        <v/>
      </c>
      <c r="AD459" s="255">
        <f t="shared" si="469"/>
        <v>7</v>
      </c>
      <c r="AE459" s="274" t="e">
        <f t="shared" si="438"/>
        <v>#N/A</v>
      </c>
      <c r="AF459" s="277" t="e">
        <f t="shared" si="470"/>
        <v>#N/A</v>
      </c>
      <c r="AG459" s="277" t="e">
        <f t="shared" si="471"/>
        <v>#N/A</v>
      </c>
      <c r="AH459" s="276" t="e">
        <f t="shared" si="439"/>
        <v>#N/A</v>
      </c>
      <c r="AI459" s="239">
        <f t="shared" si="472"/>
        <v>7</v>
      </c>
      <c r="AJ459" s="277" t="e">
        <f t="shared" si="440"/>
        <v>#N/A</v>
      </c>
      <c r="AK459" s="277" t="e">
        <f t="shared" si="473"/>
        <v>#N/A</v>
      </c>
      <c r="AL459" s="239" t="e">
        <f t="shared" si="441"/>
        <v>#N/A</v>
      </c>
      <c r="AM459" s="278" t="e">
        <f t="shared" si="474"/>
        <v>#N/A</v>
      </c>
      <c r="AN459" s="279" t="e">
        <f t="shared" si="442"/>
        <v>#N/A</v>
      </c>
      <c r="AO459" s="240" t="e">
        <f t="shared" si="443"/>
        <v>#N/A</v>
      </c>
      <c r="AP459" s="297">
        <f t="shared" si="475"/>
        <v>7</v>
      </c>
      <c r="AQ459" s="298" t="e">
        <f t="shared" si="444"/>
        <v>#N/A</v>
      </c>
      <c r="AR459" s="279" t="e">
        <f t="shared" si="476"/>
        <v>#N/A</v>
      </c>
      <c r="AS459" s="283" t="e">
        <f t="shared" si="445"/>
        <v>#N/A</v>
      </c>
      <c r="AT459" s="284">
        <f t="shared" si="477"/>
        <v>7</v>
      </c>
      <c r="AU459" s="285" t="e">
        <f t="shared" si="478"/>
        <v>#N/A</v>
      </c>
      <c r="AV459" s="286" t="e">
        <f t="shared" si="479"/>
        <v>#N/A</v>
      </c>
      <c r="AW459" s="287" t="e">
        <f t="shared" si="446"/>
        <v>#N/A</v>
      </c>
      <c r="AX459" s="245">
        <f t="shared" si="480"/>
        <v>7</v>
      </c>
      <c r="AY459" s="286" t="e">
        <f t="shared" si="447"/>
        <v>#N/A</v>
      </c>
      <c r="AZ459" s="245" t="e">
        <f t="shared" si="481"/>
        <v>#N/A</v>
      </c>
      <c r="BA459" s="245" t="e">
        <f t="shared" si="448"/>
        <v>#N/A</v>
      </c>
      <c r="BB459" s="288">
        <f t="shared" si="482"/>
        <v>7</v>
      </c>
      <c r="BC459" s="289" t="e">
        <f t="shared" si="483"/>
        <v>#N/A</v>
      </c>
      <c r="BD459" s="290" t="e">
        <f t="shared" si="484"/>
        <v>#N/A</v>
      </c>
      <c r="BE459" s="263" t="e">
        <f t="shared" si="449"/>
        <v>#N/A</v>
      </c>
      <c r="BF459" s="260">
        <f t="shared" si="485"/>
        <v>7</v>
      </c>
      <c r="BG459" s="289" t="e">
        <f t="shared" si="486"/>
        <v>#N/A</v>
      </c>
      <c r="BH459" s="290" t="e">
        <f t="shared" si="487"/>
        <v>#N/A</v>
      </c>
      <c r="BI459" s="263" t="e">
        <f t="shared" si="450"/>
        <v>#N/A</v>
      </c>
      <c r="BJ459" s="264">
        <f t="shared" si="488"/>
        <v>7</v>
      </c>
      <c r="BK459" s="291" t="e">
        <f t="shared" si="489"/>
        <v>#N/A</v>
      </c>
      <c r="BL459" s="291" t="e">
        <f t="shared" si="490"/>
        <v>#N/A</v>
      </c>
      <c r="BM459" s="292" t="e">
        <f t="shared" si="451"/>
        <v>#N/A</v>
      </c>
      <c r="BN459" s="293">
        <f t="shared" si="491"/>
        <v>7</v>
      </c>
      <c r="BO459" s="294" t="e">
        <f t="shared" si="492"/>
        <v>#N/A</v>
      </c>
      <c r="BP459" s="294" t="e">
        <f t="shared" si="493"/>
        <v>#N/A</v>
      </c>
      <c r="BQ459" s="292" t="e">
        <f t="shared" si="452"/>
        <v>#N/A</v>
      </c>
      <c r="BR459" s="295" t="e">
        <f t="shared" si="453"/>
        <v>#N/A</v>
      </c>
      <c r="BS459" s="230" t="e">
        <f>VLOOKUP($B459,SDR22_STOCK_BY_LA!$A$2:$C$11679,3,0)</f>
        <v>#N/A</v>
      </c>
      <c r="BT459" s="230" t="str">
        <f t="shared" si="494"/>
        <v/>
      </c>
    </row>
    <row r="460" spans="1:72" ht="12.5" x14ac:dyDescent="0.25">
      <c r="A460" s="230" t="str">
        <f t="shared" si="495"/>
        <v/>
      </c>
      <c r="B460" s="230" t="str">
        <f t="shared" si="434"/>
        <v/>
      </c>
      <c r="C460" s="296" t="str">
        <f t="shared" si="454"/>
        <v/>
      </c>
      <c r="D460" s="269" t="str">
        <f>IF(B460="","",IF(totals!$Q$3=0,IFERROR(IF(AD460=2,"0",AE460),""),"-"))</f>
        <v/>
      </c>
      <c r="E460" s="271" t="str">
        <f t="shared" si="455"/>
        <v/>
      </c>
      <c r="F460" s="272" t="str">
        <f t="shared" si="456"/>
        <v/>
      </c>
      <c r="G460" s="272" t="str">
        <f t="shared" si="457"/>
        <v/>
      </c>
      <c r="H460" s="269" t="str">
        <f t="shared" si="435"/>
        <v/>
      </c>
      <c r="I460" s="272" t="str">
        <f t="shared" si="458"/>
        <v/>
      </c>
      <c r="J460" s="272" t="str">
        <f t="shared" si="459"/>
        <v/>
      </c>
      <c r="K460" s="269" t="str">
        <f t="shared" si="436"/>
        <v/>
      </c>
      <c r="L460" s="272" t="str">
        <f t="shared" si="437"/>
        <v/>
      </c>
      <c r="M460" s="272" t="str">
        <f t="shared" si="460"/>
        <v/>
      </c>
      <c r="N460" s="269" t="str">
        <f t="shared" si="461"/>
        <v/>
      </c>
      <c r="O460" s="272" t="str">
        <f t="shared" si="462"/>
        <v/>
      </c>
      <c r="P460" s="272" t="str">
        <f t="shared" si="463"/>
        <v/>
      </c>
      <c r="Q460" s="269" t="str">
        <f t="shared" si="464"/>
        <v/>
      </c>
      <c r="R460" s="272" t="str">
        <f t="shared" si="465"/>
        <v/>
      </c>
      <c r="S460" s="272" t="str">
        <f t="shared" si="466"/>
        <v/>
      </c>
      <c r="T460" s="269" t="str">
        <f t="shared" si="467"/>
        <v/>
      </c>
      <c r="U460" s="230"/>
      <c r="V460" s="230"/>
      <c r="AB460" s="230" t="e">
        <f>VLOOKUP($B$6,Lookup_Source,453,0)</f>
        <v>#N/A</v>
      </c>
      <c r="AC460" s="254" t="str">
        <f t="shared" si="468"/>
        <v/>
      </c>
      <c r="AD460" s="255">
        <f t="shared" si="469"/>
        <v>7</v>
      </c>
      <c r="AE460" s="274" t="e">
        <f t="shared" si="438"/>
        <v>#N/A</v>
      </c>
      <c r="AF460" s="277" t="e">
        <f t="shared" si="470"/>
        <v>#N/A</v>
      </c>
      <c r="AG460" s="277" t="e">
        <f t="shared" si="471"/>
        <v>#N/A</v>
      </c>
      <c r="AH460" s="276" t="e">
        <f t="shared" si="439"/>
        <v>#N/A</v>
      </c>
      <c r="AI460" s="239">
        <f t="shared" si="472"/>
        <v>7</v>
      </c>
      <c r="AJ460" s="277" t="e">
        <f t="shared" si="440"/>
        <v>#N/A</v>
      </c>
      <c r="AK460" s="277" t="e">
        <f t="shared" si="473"/>
        <v>#N/A</v>
      </c>
      <c r="AL460" s="239" t="e">
        <f t="shared" si="441"/>
        <v>#N/A</v>
      </c>
      <c r="AM460" s="278" t="e">
        <f t="shared" si="474"/>
        <v>#N/A</v>
      </c>
      <c r="AN460" s="279" t="e">
        <f t="shared" si="442"/>
        <v>#N/A</v>
      </c>
      <c r="AO460" s="240" t="e">
        <f t="shared" si="443"/>
        <v>#N/A</v>
      </c>
      <c r="AP460" s="297">
        <f t="shared" si="475"/>
        <v>7</v>
      </c>
      <c r="AQ460" s="298" t="e">
        <f t="shared" si="444"/>
        <v>#N/A</v>
      </c>
      <c r="AR460" s="279" t="e">
        <f t="shared" si="476"/>
        <v>#N/A</v>
      </c>
      <c r="AS460" s="283" t="e">
        <f t="shared" si="445"/>
        <v>#N/A</v>
      </c>
      <c r="AT460" s="284">
        <f t="shared" si="477"/>
        <v>7</v>
      </c>
      <c r="AU460" s="285" t="e">
        <f t="shared" si="478"/>
        <v>#N/A</v>
      </c>
      <c r="AV460" s="286" t="e">
        <f t="shared" si="479"/>
        <v>#N/A</v>
      </c>
      <c r="AW460" s="287" t="e">
        <f t="shared" si="446"/>
        <v>#N/A</v>
      </c>
      <c r="AX460" s="245">
        <f t="shared" si="480"/>
        <v>7</v>
      </c>
      <c r="AY460" s="286" t="e">
        <f t="shared" si="447"/>
        <v>#N/A</v>
      </c>
      <c r="AZ460" s="245" t="e">
        <f t="shared" si="481"/>
        <v>#N/A</v>
      </c>
      <c r="BA460" s="245" t="e">
        <f t="shared" si="448"/>
        <v>#N/A</v>
      </c>
      <c r="BB460" s="288">
        <f t="shared" si="482"/>
        <v>7</v>
      </c>
      <c r="BC460" s="289" t="e">
        <f t="shared" si="483"/>
        <v>#N/A</v>
      </c>
      <c r="BD460" s="290" t="e">
        <f t="shared" si="484"/>
        <v>#N/A</v>
      </c>
      <c r="BE460" s="263" t="e">
        <f t="shared" si="449"/>
        <v>#N/A</v>
      </c>
      <c r="BF460" s="260">
        <f t="shared" si="485"/>
        <v>7</v>
      </c>
      <c r="BG460" s="289" t="e">
        <f t="shared" si="486"/>
        <v>#N/A</v>
      </c>
      <c r="BH460" s="290" t="e">
        <f t="shared" si="487"/>
        <v>#N/A</v>
      </c>
      <c r="BI460" s="263" t="e">
        <f t="shared" si="450"/>
        <v>#N/A</v>
      </c>
      <c r="BJ460" s="264">
        <f t="shared" si="488"/>
        <v>7</v>
      </c>
      <c r="BK460" s="291" t="e">
        <f t="shared" si="489"/>
        <v>#N/A</v>
      </c>
      <c r="BL460" s="291" t="e">
        <f t="shared" si="490"/>
        <v>#N/A</v>
      </c>
      <c r="BM460" s="292" t="e">
        <f t="shared" si="451"/>
        <v>#N/A</v>
      </c>
      <c r="BN460" s="293">
        <f t="shared" si="491"/>
        <v>7</v>
      </c>
      <c r="BO460" s="294" t="e">
        <f t="shared" si="492"/>
        <v>#N/A</v>
      </c>
      <c r="BP460" s="294" t="e">
        <f t="shared" si="493"/>
        <v>#N/A</v>
      </c>
      <c r="BQ460" s="292" t="e">
        <f t="shared" si="452"/>
        <v>#N/A</v>
      </c>
      <c r="BR460" s="295" t="e">
        <f t="shared" si="453"/>
        <v>#N/A</v>
      </c>
      <c r="BS460" s="230" t="e">
        <f>VLOOKUP($B460,SDR22_STOCK_BY_LA!$A$2:$C$11679,3,0)</f>
        <v>#N/A</v>
      </c>
      <c r="BT460" s="230" t="str">
        <f t="shared" si="494"/>
        <v/>
      </c>
    </row>
    <row r="461" spans="1:72" ht="12.5" x14ac:dyDescent="0.25">
      <c r="A461" s="269" t="str">
        <f t="shared" si="495"/>
        <v/>
      </c>
      <c r="B461" s="230" t="str">
        <f t="shared" ref="B461:B468" si="496">IFERROR(IF(AB461=0,"",AB461),"")</f>
        <v/>
      </c>
      <c r="C461" s="270" t="str">
        <f t="shared" si="454"/>
        <v/>
      </c>
      <c r="D461" s="269" t="str">
        <f>IF(B461="","",IF(totals!$Q$3=0,IFERROR(IF(AD461=2,"0",AE461),""),"-"))</f>
        <v/>
      </c>
      <c r="E461" s="271" t="str">
        <f t="shared" si="455"/>
        <v/>
      </c>
      <c r="F461" s="272" t="str">
        <f t="shared" si="456"/>
        <v/>
      </c>
      <c r="G461" s="272" t="str">
        <f t="shared" si="457"/>
        <v/>
      </c>
      <c r="H461" s="269" t="str">
        <f t="shared" si="435"/>
        <v/>
      </c>
      <c r="I461" s="272" t="str">
        <f t="shared" si="458"/>
        <v/>
      </c>
      <c r="J461" s="272" t="str">
        <f t="shared" si="459"/>
        <v/>
      </c>
      <c r="K461" s="269" t="str">
        <f t="shared" si="436"/>
        <v/>
      </c>
      <c r="L461" s="272" t="str">
        <f t="shared" si="437"/>
        <v/>
      </c>
      <c r="M461" s="272" t="str">
        <f t="shared" si="460"/>
        <v/>
      </c>
      <c r="N461" s="269" t="str">
        <f t="shared" si="461"/>
        <v/>
      </c>
      <c r="O461" s="272" t="str">
        <f t="shared" si="462"/>
        <v/>
      </c>
      <c r="P461" s="272" t="str">
        <f t="shared" si="463"/>
        <v/>
      </c>
      <c r="Q461" s="269" t="str">
        <f t="shared" si="464"/>
        <v/>
      </c>
      <c r="R461" s="272" t="str">
        <f t="shared" si="465"/>
        <v/>
      </c>
      <c r="S461" s="272" t="str">
        <f t="shared" si="466"/>
        <v/>
      </c>
      <c r="T461" s="269" t="str">
        <f t="shared" si="467"/>
        <v/>
      </c>
      <c r="U461" s="230"/>
      <c r="V461" s="230"/>
      <c r="AB461" s="270" t="e">
        <f>VLOOKUP($B$6,Lookup_Source,454,0)</f>
        <v>#N/A</v>
      </c>
      <c r="AC461" s="254" t="str">
        <f t="shared" si="468"/>
        <v/>
      </c>
      <c r="AD461" s="255">
        <f t="shared" si="469"/>
        <v>7</v>
      </c>
      <c r="AE461" s="274" t="e">
        <f t="shared" si="438"/>
        <v>#N/A</v>
      </c>
      <c r="AF461" s="277" t="e">
        <f t="shared" si="470"/>
        <v>#N/A</v>
      </c>
      <c r="AG461" s="277" t="e">
        <f t="shared" si="471"/>
        <v>#N/A</v>
      </c>
      <c r="AH461" s="276" t="e">
        <f t="shared" si="439"/>
        <v>#N/A</v>
      </c>
      <c r="AI461" s="239">
        <f t="shared" si="472"/>
        <v>7</v>
      </c>
      <c r="AJ461" s="277" t="e">
        <f t="shared" si="440"/>
        <v>#N/A</v>
      </c>
      <c r="AK461" s="277" t="e">
        <f t="shared" si="473"/>
        <v>#N/A</v>
      </c>
      <c r="AL461" s="239" t="e">
        <f t="shared" si="441"/>
        <v>#N/A</v>
      </c>
      <c r="AM461" s="278" t="e">
        <f t="shared" si="474"/>
        <v>#N/A</v>
      </c>
      <c r="AN461" s="279" t="e">
        <f t="shared" si="442"/>
        <v>#N/A</v>
      </c>
      <c r="AO461" s="240" t="e">
        <f t="shared" si="443"/>
        <v>#N/A</v>
      </c>
      <c r="AP461" s="297">
        <f t="shared" si="475"/>
        <v>7</v>
      </c>
      <c r="AQ461" s="298" t="e">
        <f t="shared" si="444"/>
        <v>#N/A</v>
      </c>
      <c r="AR461" s="279" t="e">
        <f t="shared" si="476"/>
        <v>#N/A</v>
      </c>
      <c r="AS461" s="283" t="e">
        <f t="shared" si="445"/>
        <v>#N/A</v>
      </c>
      <c r="AT461" s="284">
        <f t="shared" si="477"/>
        <v>7</v>
      </c>
      <c r="AU461" s="285" t="e">
        <f t="shared" si="478"/>
        <v>#N/A</v>
      </c>
      <c r="AV461" s="286" t="e">
        <f t="shared" si="479"/>
        <v>#N/A</v>
      </c>
      <c r="AW461" s="287" t="e">
        <f t="shared" si="446"/>
        <v>#N/A</v>
      </c>
      <c r="AX461" s="245">
        <f t="shared" si="480"/>
        <v>7</v>
      </c>
      <c r="AY461" s="286" t="e">
        <f t="shared" si="447"/>
        <v>#N/A</v>
      </c>
      <c r="AZ461" s="245" t="e">
        <f t="shared" si="481"/>
        <v>#N/A</v>
      </c>
      <c r="BA461" s="245" t="e">
        <f t="shared" si="448"/>
        <v>#N/A</v>
      </c>
      <c r="BB461" s="288">
        <f t="shared" si="482"/>
        <v>7</v>
      </c>
      <c r="BC461" s="289" t="e">
        <f t="shared" si="483"/>
        <v>#N/A</v>
      </c>
      <c r="BD461" s="290" t="e">
        <f t="shared" si="484"/>
        <v>#N/A</v>
      </c>
      <c r="BE461" s="263" t="e">
        <f t="shared" si="449"/>
        <v>#N/A</v>
      </c>
      <c r="BF461" s="260">
        <f t="shared" si="485"/>
        <v>7</v>
      </c>
      <c r="BG461" s="289" t="e">
        <f t="shared" si="486"/>
        <v>#N/A</v>
      </c>
      <c r="BH461" s="290" t="e">
        <f t="shared" si="487"/>
        <v>#N/A</v>
      </c>
      <c r="BI461" s="263" t="e">
        <f t="shared" si="450"/>
        <v>#N/A</v>
      </c>
      <c r="BJ461" s="264">
        <f t="shared" si="488"/>
        <v>7</v>
      </c>
      <c r="BK461" s="291" t="e">
        <f t="shared" si="489"/>
        <v>#N/A</v>
      </c>
      <c r="BL461" s="291" t="e">
        <f t="shared" si="490"/>
        <v>#N/A</v>
      </c>
      <c r="BM461" s="292" t="e">
        <f t="shared" si="451"/>
        <v>#N/A</v>
      </c>
      <c r="BN461" s="293">
        <f t="shared" si="491"/>
        <v>7</v>
      </c>
      <c r="BO461" s="294" t="e">
        <f t="shared" si="492"/>
        <v>#N/A</v>
      </c>
      <c r="BP461" s="294" t="e">
        <f t="shared" si="493"/>
        <v>#N/A</v>
      </c>
      <c r="BQ461" s="292" t="e">
        <f t="shared" si="452"/>
        <v>#N/A</v>
      </c>
      <c r="BR461" s="295" t="e">
        <f t="shared" si="453"/>
        <v>#N/A</v>
      </c>
      <c r="BS461" s="230" t="e">
        <f>VLOOKUP($B461,SDR22_STOCK_BY_LA!$A$2:$C$11679,3,0)</f>
        <v>#N/A</v>
      </c>
      <c r="BT461" s="230" t="str">
        <f t="shared" si="494"/>
        <v/>
      </c>
    </row>
    <row r="462" spans="1:72" ht="12.5" x14ac:dyDescent="0.25">
      <c r="A462" s="230" t="str">
        <f t="shared" si="495"/>
        <v/>
      </c>
      <c r="B462" s="230" t="str">
        <f t="shared" si="496"/>
        <v/>
      </c>
      <c r="C462" s="296" t="str">
        <f t="shared" si="454"/>
        <v/>
      </c>
      <c r="D462" s="269" t="str">
        <f>IF(B462="","",IF(totals!$Q$3=0,IFERROR(IF(AD462=2,"0",AE462),""),"-"))</f>
        <v/>
      </c>
      <c r="E462" s="271" t="str">
        <f t="shared" si="455"/>
        <v/>
      </c>
      <c r="F462" s="272" t="str">
        <f t="shared" si="456"/>
        <v/>
      </c>
      <c r="G462" s="272" t="str">
        <f t="shared" si="457"/>
        <v/>
      </c>
      <c r="H462" s="269" t="str">
        <f t="shared" si="435"/>
        <v/>
      </c>
      <c r="I462" s="272" t="str">
        <f t="shared" si="458"/>
        <v/>
      </c>
      <c r="J462" s="272" t="str">
        <f t="shared" si="459"/>
        <v/>
      </c>
      <c r="K462" s="269" t="str">
        <f t="shared" si="436"/>
        <v/>
      </c>
      <c r="L462" s="272" t="str">
        <f t="shared" si="437"/>
        <v/>
      </c>
      <c r="M462" s="272" t="str">
        <f t="shared" si="460"/>
        <v/>
      </c>
      <c r="N462" s="269" t="str">
        <f t="shared" si="461"/>
        <v/>
      </c>
      <c r="O462" s="272" t="str">
        <f t="shared" si="462"/>
        <v/>
      </c>
      <c r="P462" s="272" t="str">
        <f t="shared" si="463"/>
        <v/>
      </c>
      <c r="Q462" s="269" t="str">
        <f t="shared" si="464"/>
        <v/>
      </c>
      <c r="R462" s="272" t="str">
        <f t="shared" si="465"/>
        <v/>
      </c>
      <c r="S462" s="272" t="str">
        <f t="shared" si="466"/>
        <v/>
      </c>
      <c r="T462" s="269" t="str">
        <f t="shared" si="467"/>
        <v/>
      </c>
      <c r="U462" s="230"/>
      <c r="V462" s="230"/>
      <c r="AB462" s="230" t="e">
        <f>VLOOKUP($B$6,Lookup_Source,455,0)</f>
        <v>#N/A</v>
      </c>
      <c r="AC462" s="254" t="str">
        <f t="shared" si="468"/>
        <v/>
      </c>
      <c r="AD462" s="255">
        <f t="shared" si="469"/>
        <v>7</v>
      </c>
      <c r="AE462" s="274" t="e">
        <f t="shared" si="438"/>
        <v>#N/A</v>
      </c>
      <c r="AF462" s="277" t="e">
        <f t="shared" si="470"/>
        <v>#N/A</v>
      </c>
      <c r="AG462" s="277" t="e">
        <f t="shared" si="471"/>
        <v>#N/A</v>
      </c>
      <c r="AH462" s="276" t="e">
        <f t="shared" si="439"/>
        <v>#N/A</v>
      </c>
      <c r="AI462" s="239">
        <f t="shared" si="472"/>
        <v>7</v>
      </c>
      <c r="AJ462" s="277" t="e">
        <f t="shared" si="440"/>
        <v>#N/A</v>
      </c>
      <c r="AK462" s="277" t="e">
        <f t="shared" si="473"/>
        <v>#N/A</v>
      </c>
      <c r="AL462" s="239" t="e">
        <f t="shared" si="441"/>
        <v>#N/A</v>
      </c>
      <c r="AM462" s="278" t="e">
        <f t="shared" si="474"/>
        <v>#N/A</v>
      </c>
      <c r="AN462" s="279" t="e">
        <f t="shared" si="442"/>
        <v>#N/A</v>
      </c>
      <c r="AO462" s="240" t="e">
        <f t="shared" si="443"/>
        <v>#N/A</v>
      </c>
      <c r="AP462" s="297">
        <f t="shared" si="475"/>
        <v>7</v>
      </c>
      <c r="AQ462" s="298" t="e">
        <f t="shared" si="444"/>
        <v>#N/A</v>
      </c>
      <c r="AR462" s="279" t="e">
        <f t="shared" si="476"/>
        <v>#N/A</v>
      </c>
      <c r="AS462" s="283" t="e">
        <f t="shared" si="445"/>
        <v>#N/A</v>
      </c>
      <c r="AT462" s="284">
        <f t="shared" si="477"/>
        <v>7</v>
      </c>
      <c r="AU462" s="285" t="e">
        <f t="shared" si="478"/>
        <v>#N/A</v>
      </c>
      <c r="AV462" s="286" t="e">
        <f t="shared" si="479"/>
        <v>#N/A</v>
      </c>
      <c r="AW462" s="287" t="e">
        <f t="shared" si="446"/>
        <v>#N/A</v>
      </c>
      <c r="AX462" s="245">
        <f t="shared" si="480"/>
        <v>7</v>
      </c>
      <c r="AY462" s="286" t="e">
        <f t="shared" si="447"/>
        <v>#N/A</v>
      </c>
      <c r="AZ462" s="245" t="e">
        <f t="shared" si="481"/>
        <v>#N/A</v>
      </c>
      <c r="BA462" s="245" t="e">
        <f t="shared" si="448"/>
        <v>#N/A</v>
      </c>
      <c r="BB462" s="288">
        <f t="shared" si="482"/>
        <v>7</v>
      </c>
      <c r="BC462" s="289" t="e">
        <f t="shared" si="483"/>
        <v>#N/A</v>
      </c>
      <c r="BD462" s="290" t="e">
        <f t="shared" si="484"/>
        <v>#N/A</v>
      </c>
      <c r="BE462" s="263" t="e">
        <f t="shared" si="449"/>
        <v>#N/A</v>
      </c>
      <c r="BF462" s="260">
        <f t="shared" si="485"/>
        <v>7</v>
      </c>
      <c r="BG462" s="289" t="e">
        <f t="shared" si="486"/>
        <v>#N/A</v>
      </c>
      <c r="BH462" s="290" t="e">
        <f t="shared" si="487"/>
        <v>#N/A</v>
      </c>
      <c r="BI462" s="263" t="e">
        <f t="shared" si="450"/>
        <v>#N/A</v>
      </c>
      <c r="BJ462" s="264">
        <f t="shared" si="488"/>
        <v>7</v>
      </c>
      <c r="BK462" s="291" t="e">
        <f t="shared" si="489"/>
        <v>#N/A</v>
      </c>
      <c r="BL462" s="291" t="e">
        <f t="shared" si="490"/>
        <v>#N/A</v>
      </c>
      <c r="BM462" s="292" t="e">
        <f t="shared" si="451"/>
        <v>#N/A</v>
      </c>
      <c r="BN462" s="293">
        <f t="shared" si="491"/>
        <v>7</v>
      </c>
      <c r="BO462" s="294" t="e">
        <f t="shared" si="492"/>
        <v>#N/A</v>
      </c>
      <c r="BP462" s="294" t="e">
        <f t="shared" si="493"/>
        <v>#N/A</v>
      </c>
      <c r="BQ462" s="292" t="e">
        <f t="shared" si="452"/>
        <v>#N/A</v>
      </c>
      <c r="BR462" s="295" t="e">
        <f t="shared" si="453"/>
        <v>#N/A</v>
      </c>
      <c r="BS462" s="230" t="e">
        <f>VLOOKUP($B462,SDR22_STOCK_BY_LA!$A$2:$C$11679,3,0)</f>
        <v>#N/A</v>
      </c>
      <c r="BT462" s="230" t="str">
        <f t="shared" si="494"/>
        <v/>
      </c>
    </row>
    <row r="463" spans="1:72" ht="12.5" x14ac:dyDescent="0.25">
      <c r="A463" s="269" t="str">
        <f t="shared" si="495"/>
        <v/>
      </c>
      <c r="B463" s="230" t="str">
        <f t="shared" si="496"/>
        <v/>
      </c>
      <c r="C463" s="270" t="str">
        <f t="shared" si="454"/>
        <v/>
      </c>
      <c r="D463" s="269" t="str">
        <f>IF(B463="","",IF(totals!$Q$3=0,IFERROR(IF(AD463=2,"0",AE463),""),"-"))</f>
        <v/>
      </c>
      <c r="E463" s="271" t="str">
        <f t="shared" si="455"/>
        <v/>
      </c>
      <c r="F463" s="272" t="str">
        <f t="shared" si="456"/>
        <v/>
      </c>
      <c r="G463" s="272" t="str">
        <f t="shared" si="457"/>
        <v/>
      </c>
      <c r="H463" s="269" t="str">
        <f t="shared" si="435"/>
        <v/>
      </c>
      <c r="I463" s="272" t="str">
        <f t="shared" si="458"/>
        <v/>
      </c>
      <c r="J463" s="272" t="str">
        <f t="shared" si="459"/>
        <v/>
      </c>
      <c r="K463" s="269" t="str">
        <f t="shared" si="436"/>
        <v/>
      </c>
      <c r="L463" s="272" t="str">
        <f t="shared" si="437"/>
        <v/>
      </c>
      <c r="M463" s="272" t="str">
        <f t="shared" si="460"/>
        <v/>
      </c>
      <c r="N463" s="269" t="str">
        <f t="shared" si="461"/>
        <v/>
      </c>
      <c r="O463" s="272" t="str">
        <f t="shared" si="462"/>
        <v/>
      </c>
      <c r="P463" s="272" t="str">
        <f t="shared" si="463"/>
        <v/>
      </c>
      <c r="Q463" s="269" t="str">
        <f t="shared" si="464"/>
        <v/>
      </c>
      <c r="R463" s="272" t="str">
        <f t="shared" si="465"/>
        <v/>
      </c>
      <c r="S463" s="272" t="str">
        <f t="shared" si="466"/>
        <v/>
      </c>
      <c r="T463" s="269" t="str">
        <f t="shared" si="467"/>
        <v/>
      </c>
      <c r="U463" s="230"/>
      <c r="V463" s="230"/>
      <c r="AB463" s="270" t="e">
        <f>VLOOKUP($B$6,Lookup_Source,456,0)</f>
        <v>#N/A</v>
      </c>
      <c r="AC463" s="254" t="str">
        <f t="shared" si="468"/>
        <v/>
      </c>
      <c r="AD463" s="255">
        <f t="shared" si="469"/>
        <v>7</v>
      </c>
      <c r="AE463" s="274" t="e">
        <f t="shared" si="438"/>
        <v>#N/A</v>
      </c>
      <c r="AF463" s="277" t="e">
        <f t="shared" si="470"/>
        <v>#N/A</v>
      </c>
      <c r="AG463" s="277" t="e">
        <f t="shared" si="471"/>
        <v>#N/A</v>
      </c>
      <c r="AH463" s="276" t="e">
        <f t="shared" si="439"/>
        <v>#N/A</v>
      </c>
      <c r="AI463" s="239">
        <f t="shared" si="472"/>
        <v>7</v>
      </c>
      <c r="AJ463" s="277" t="e">
        <f t="shared" si="440"/>
        <v>#N/A</v>
      </c>
      <c r="AK463" s="277" t="e">
        <f t="shared" si="473"/>
        <v>#N/A</v>
      </c>
      <c r="AL463" s="239" t="e">
        <f t="shared" si="441"/>
        <v>#N/A</v>
      </c>
      <c r="AM463" s="278" t="e">
        <f t="shared" si="474"/>
        <v>#N/A</v>
      </c>
      <c r="AN463" s="279" t="e">
        <f t="shared" si="442"/>
        <v>#N/A</v>
      </c>
      <c r="AO463" s="240" t="e">
        <f t="shared" si="443"/>
        <v>#N/A</v>
      </c>
      <c r="AP463" s="297">
        <f t="shared" si="475"/>
        <v>7</v>
      </c>
      <c r="AQ463" s="298" t="e">
        <f t="shared" si="444"/>
        <v>#N/A</v>
      </c>
      <c r="AR463" s="279" t="e">
        <f t="shared" si="476"/>
        <v>#N/A</v>
      </c>
      <c r="AS463" s="283" t="e">
        <f t="shared" si="445"/>
        <v>#N/A</v>
      </c>
      <c r="AT463" s="284">
        <f t="shared" si="477"/>
        <v>7</v>
      </c>
      <c r="AU463" s="285" t="e">
        <f t="shared" si="478"/>
        <v>#N/A</v>
      </c>
      <c r="AV463" s="286" t="e">
        <f t="shared" si="479"/>
        <v>#N/A</v>
      </c>
      <c r="AW463" s="287" t="e">
        <f t="shared" si="446"/>
        <v>#N/A</v>
      </c>
      <c r="AX463" s="245">
        <f t="shared" si="480"/>
        <v>7</v>
      </c>
      <c r="AY463" s="286" t="e">
        <f t="shared" si="447"/>
        <v>#N/A</v>
      </c>
      <c r="AZ463" s="245" t="e">
        <f t="shared" si="481"/>
        <v>#N/A</v>
      </c>
      <c r="BA463" s="245" t="e">
        <f t="shared" si="448"/>
        <v>#N/A</v>
      </c>
      <c r="BB463" s="288">
        <f t="shared" si="482"/>
        <v>7</v>
      </c>
      <c r="BC463" s="289" t="e">
        <f t="shared" si="483"/>
        <v>#N/A</v>
      </c>
      <c r="BD463" s="290" t="e">
        <f t="shared" si="484"/>
        <v>#N/A</v>
      </c>
      <c r="BE463" s="263" t="e">
        <f t="shared" si="449"/>
        <v>#N/A</v>
      </c>
      <c r="BF463" s="260">
        <f t="shared" si="485"/>
        <v>7</v>
      </c>
      <c r="BG463" s="289" t="e">
        <f t="shared" si="486"/>
        <v>#N/A</v>
      </c>
      <c r="BH463" s="290" t="e">
        <f t="shared" si="487"/>
        <v>#N/A</v>
      </c>
      <c r="BI463" s="263" t="e">
        <f t="shared" si="450"/>
        <v>#N/A</v>
      </c>
      <c r="BJ463" s="264">
        <f t="shared" si="488"/>
        <v>7</v>
      </c>
      <c r="BK463" s="291" t="e">
        <f t="shared" si="489"/>
        <v>#N/A</v>
      </c>
      <c r="BL463" s="291" t="e">
        <f t="shared" si="490"/>
        <v>#N/A</v>
      </c>
      <c r="BM463" s="292" t="e">
        <f t="shared" si="451"/>
        <v>#N/A</v>
      </c>
      <c r="BN463" s="293">
        <f t="shared" si="491"/>
        <v>7</v>
      </c>
      <c r="BO463" s="294" t="e">
        <f t="shared" si="492"/>
        <v>#N/A</v>
      </c>
      <c r="BP463" s="294" t="e">
        <f t="shared" si="493"/>
        <v>#N/A</v>
      </c>
      <c r="BQ463" s="292" t="e">
        <f t="shared" si="452"/>
        <v>#N/A</v>
      </c>
      <c r="BR463" s="295" t="e">
        <f t="shared" si="453"/>
        <v>#N/A</v>
      </c>
      <c r="BS463" s="230" t="e">
        <f>VLOOKUP($B463,SDR22_STOCK_BY_LA!$A$2:$C$11679,3,0)</f>
        <v>#N/A</v>
      </c>
      <c r="BT463" s="230" t="str">
        <f t="shared" si="494"/>
        <v/>
      </c>
    </row>
    <row r="464" spans="1:72" ht="12.5" x14ac:dyDescent="0.25">
      <c r="A464" s="230" t="str">
        <f t="shared" si="495"/>
        <v/>
      </c>
      <c r="B464" s="230" t="str">
        <f t="shared" si="496"/>
        <v/>
      </c>
      <c r="C464" s="296" t="str">
        <f t="shared" si="454"/>
        <v/>
      </c>
      <c r="D464" s="269" t="str">
        <f>IF(B464="","",IF(totals!$Q$3=0,IFERROR(IF(AD464=2,"0",AE464),""),"-"))</f>
        <v/>
      </c>
      <c r="E464" s="271" t="str">
        <f t="shared" si="455"/>
        <v/>
      </c>
      <c r="F464" s="272" t="str">
        <f t="shared" si="456"/>
        <v/>
      </c>
      <c r="G464" s="272" t="str">
        <f t="shared" si="457"/>
        <v/>
      </c>
      <c r="H464" s="269" t="str">
        <f t="shared" si="435"/>
        <v/>
      </c>
      <c r="I464" s="272" t="str">
        <f t="shared" si="458"/>
        <v/>
      </c>
      <c r="J464" s="272" t="str">
        <f t="shared" si="459"/>
        <v/>
      </c>
      <c r="K464" s="269" t="str">
        <f t="shared" si="436"/>
        <v/>
      </c>
      <c r="L464" s="272" t="str">
        <f t="shared" si="437"/>
        <v/>
      </c>
      <c r="M464" s="272" t="str">
        <f t="shared" si="460"/>
        <v/>
      </c>
      <c r="N464" s="269" t="str">
        <f t="shared" si="461"/>
        <v/>
      </c>
      <c r="O464" s="272" t="str">
        <f t="shared" si="462"/>
        <v/>
      </c>
      <c r="P464" s="272" t="str">
        <f t="shared" si="463"/>
        <v/>
      </c>
      <c r="Q464" s="269" t="str">
        <f t="shared" si="464"/>
        <v/>
      </c>
      <c r="R464" s="272" t="str">
        <f t="shared" si="465"/>
        <v/>
      </c>
      <c r="S464" s="272" t="str">
        <f t="shared" si="466"/>
        <v/>
      </c>
      <c r="T464" s="269" t="str">
        <f t="shared" si="467"/>
        <v/>
      </c>
      <c r="U464" s="230"/>
      <c r="V464" s="230"/>
      <c r="AB464" s="230" t="e">
        <f>VLOOKUP($B$6,Lookup_Source,457,0)</f>
        <v>#N/A</v>
      </c>
      <c r="AC464" s="254" t="str">
        <f t="shared" si="468"/>
        <v/>
      </c>
      <c r="AD464" s="255">
        <f t="shared" si="469"/>
        <v>7</v>
      </c>
      <c r="AE464" s="274" t="e">
        <f t="shared" si="438"/>
        <v>#N/A</v>
      </c>
      <c r="AF464" s="277" t="e">
        <f t="shared" si="470"/>
        <v>#N/A</v>
      </c>
      <c r="AG464" s="277" t="e">
        <f t="shared" si="471"/>
        <v>#N/A</v>
      </c>
      <c r="AH464" s="276" t="e">
        <f t="shared" si="439"/>
        <v>#N/A</v>
      </c>
      <c r="AI464" s="239">
        <f t="shared" si="472"/>
        <v>7</v>
      </c>
      <c r="AJ464" s="277" t="e">
        <f t="shared" si="440"/>
        <v>#N/A</v>
      </c>
      <c r="AK464" s="277" t="e">
        <f t="shared" si="473"/>
        <v>#N/A</v>
      </c>
      <c r="AL464" s="239" t="e">
        <f t="shared" si="441"/>
        <v>#N/A</v>
      </c>
      <c r="AM464" s="278" t="e">
        <f t="shared" si="474"/>
        <v>#N/A</v>
      </c>
      <c r="AN464" s="279" t="e">
        <f t="shared" si="442"/>
        <v>#N/A</v>
      </c>
      <c r="AO464" s="240" t="e">
        <f t="shared" si="443"/>
        <v>#N/A</v>
      </c>
      <c r="AP464" s="297">
        <f t="shared" si="475"/>
        <v>7</v>
      </c>
      <c r="AQ464" s="298" t="e">
        <f t="shared" si="444"/>
        <v>#N/A</v>
      </c>
      <c r="AR464" s="279" t="e">
        <f t="shared" si="476"/>
        <v>#N/A</v>
      </c>
      <c r="AS464" s="283" t="e">
        <f t="shared" si="445"/>
        <v>#N/A</v>
      </c>
      <c r="AT464" s="284">
        <f t="shared" si="477"/>
        <v>7</v>
      </c>
      <c r="AU464" s="285" t="e">
        <f t="shared" si="478"/>
        <v>#N/A</v>
      </c>
      <c r="AV464" s="286" t="e">
        <f t="shared" si="479"/>
        <v>#N/A</v>
      </c>
      <c r="AW464" s="287" t="e">
        <f t="shared" si="446"/>
        <v>#N/A</v>
      </c>
      <c r="AX464" s="245">
        <f t="shared" si="480"/>
        <v>7</v>
      </c>
      <c r="AY464" s="286" t="e">
        <f t="shared" si="447"/>
        <v>#N/A</v>
      </c>
      <c r="AZ464" s="245" t="e">
        <f t="shared" si="481"/>
        <v>#N/A</v>
      </c>
      <c r="BA464" s="245" t="e">
        <f t="shared" si="448"/>
        <v>#N/A</v>
      </c>
      <c r="BB464" s="288">
        <f t="shared" si="482"/>
        <v>7</v>
      </c>
      <c r="BC464" s="289" t="e">
        <f t="shared" si="483"/>
        <v>#N/A</v>
      </c>
      <c r="BD464" s="290" t="e">
        <f t="shared" si="484"/>
        <v>#N/A</v>
      </c>
      <c r="BE464" s="263" t="e">
        <f t="shared" si="449"/>
        <v>#N/A</v>
      </c>
      <c r="BF464" s="260">
        <f t="shared" si="485"/>
        <v>7</v>
      </c>
      <c r="BG464" s="289" t="e">
        <f t="shared" si="486"/>
        <v>#N/A</v>
      </c>
      <c r="BH464" s="290" t="e">
        <f t="shared" si="487"/>
        <v>#N/A</v>
      </c>
      <c r="BI464" s="263" t="e">
        <f t="shared" si="450"/>
        <v>#N/A</v>
      </c>
      <c r="BJ464" s="264">
        <f t="shared" si="488"/>
        <v>7</v>
      </c>
      <c r="BK464" s="291" t="e">
        <f t="shared" si="489"/>
        <v>#N/A</v>
      </c>
      <c r="BL464" s="291" t="e">
        <f t="shared" si="490"/>
        <v>#N/A</v>
      </c>
      <c r="BM464" s="292" t="e">
        <f t="shared" si="451"/>
        <v>#N/A</v>
      </c>
      <c r="BN464" s="293">
        <f t="shared" si="491"/>
        <v>7</v>
      </c>
      <c r="BO464" s="294" t="e">
        <f t="shared" si="492"/>
        <v>#N/A</v>
      </c>
      <c r="BP464" s="294" t="e">
        <f t="shared" si="493"/>
        <v>#N/A</v>
      </c>
      <c r="BQ464" s="292" t="e">
        <f t="shared" si="452"/>
        <v>#N/A</v>
      </c>
      <c r="BR464" s="295" t="e">
        <f t="shared" si="453"/>
        <v>#N/A</v>
      </c>
      <c r="BS464" s="230" t="e">
        <f>VLOOKUP($B464,SDR22_STOCK_BY_LA!$A$2:$C$11679,3,0)</f>
        <v>#N/A</v>
      </c>
      <c r="BT464" s="230" t="str">
        <f t="shared" si="494"/>
        <v/>
      </c>
    </row>
    <row r="465" spans="1:72" ht="12.5" x14ac:dyDescent="0.25">
      <c r="A465" s="269" t="str">
        <f t="shared" si="495"/>
        <v/>
      </c>
      <c r="B465" s="230" t="str">
        <f t="shared" si="496"/>
        <v/>
      </c>
      <c r="C465" s="270" t="str">
        <f t="shared" si="454"/>
        <v/>
      </c>
      <c r="D465" s="269" t="str">
        <f>IF(B465="","",IF(totals!$Q$3=0,IFERROR(IF(AD465=2,"0",AE465),""),"-"))</f>
        <v/>
      </c>
      <c r="E465" s="271" t="str">
        <f t="shared" si="455"/>
        <v/>
      </c>
      <c r="F465" s="272" t="str">
        <f t="shared" si="456"/>
        <v/>
      </c>
      <c r="G465" s="272" t="str">
        <f t="shared" si="457"/>
        <v/>
      </c>
      <c r="H465" s="269" t="str">
        <f t="shared" si="435"/>
        <v/>
      </c>
      <c r="I465" s="272" t="str">
        <f t="shared" si="458"/>
        <v/>
      </c>
      <c r="J465" s="272" t="str">
        <f t="shared" si="459"/>
        <v/>
      </c>
      <c r="K465" s="269" t="str">
        <f t="shared" si="436"/>
        <v/>
      </c>
      <c r="L465" s="272" t="str">
        <f t="shared" si="437"/>
        <v/>
      </c>
      <c r="M465" s="272" t="str">
        <f t="shared" si="460"/>
        <v/>
      </c>
      <c r="N465" s="269" t="str">
        <f t="shared" si="461"/>
        <v/>
      </c>
      <c r="O465" s="272" t="str">
        <f t="shared" si="462"/>
        <v/>
      </c>
      <c r="P465" s="272" t="str">
        <f t="shared" si="463"/>
        <v/>
      </c>
      <c r="Q465" s="269" t="str">
        <f t="shared" si="464"/>
        <v/>
      </c>
      <c r="R465" s="272" t="str">
        <f t="shared" si="465"/>
        <v/>
      </c>
      <c r="S465" s="272" t="str">
        <f t="shared" si="466"/>
        <v/>
      </c>
      <c r="T465" s="269" t="str">
        <f t="shared" si="467"/>
        <v/>
      </c>
      <c r="U465" s="230"/>
      <c r="V465" s="230"/>
      <c r="AB465" s="270" t="e">
        <f>VLOOKUP($B$6,Lookup_Source,458,0)</f>
        <v>#N/A</v>
      </c>
      <c r="AC465" s="254" t="str">
        <f t="shared" si="468"/>
        <v/>
      </c>
      <c r="AD465" s="255">
        <f t="shared" si="469"/>
        <v>7</v>
      </c>
      <c r="AE465" s="274" t="e">
        <f t="shared" si="438"/>
        <v>#N/A</v>
      </c>
      <c r="AF465" s="277" t="e">
        <f t="shared" si="470"/>
        <v>#N/A</v>
      </c>
      <c r="AG465" s="277" t="e">
        <f t="shared" si="471"/>
        <v>#N/A</v>
      </c>
      <c r="AH465" s="276" t="e">
        <f t="shared" si="439"/>
        <v>#N/A</v>
      </c>
      <c r="AI465" s="239">
        <f t="shared" si="472"/>
        <v>7</v>
      </c>
      <c r="AJ465" s="277" t="e">
        <f t="shared" si="440"/>
        <v>#N/A</v>
      </c>
      <c r="AK465" s="277" t="e">
        <f t="shared" si="473"/>
        <v>#N/A</v>
      </c>
      <c r="AL465" s="239" t="e">
        <f t="shared" si="441"/>
        <v>#N/A</v>
      </c>
      <c r="AM465" s="278" t="e">
        <f t="shared" si="474"/>
        <v>#N/A</v>
      </c>
      <c r="AN465" s="279" t="e">
        <f t="shared" si="442"/>
        <v>#N/A</v>
      </c>
      <c r="AO465" s="240" t="e">
        <f t="shared" si="443"/>
        <v>#N/A</v>
      </c>
      <c r="AP465" s="297">
        <f t="shared" si="475"/>
        <v>7</v>
      </c>
      <c r="AQ465" s="298" t="e">
        <f t="shared" si="444"/>
        <v>#N/A</v>
      </c>
      <c r="AR465" s="279" t="e">
        <f t="shared" si="476"/>
        <v>#N/A</v>
      </c>
      <c r="AS465" s="283" t="e">
        <f t="shared" si="445"/>
        <v>#N/A</v>
      </c>
      <c r="AT465" s="284">
        <f t="shared" si="477"/>
        <v>7</v>
      </c>
      <c r="AU465" s="285" t="e">
        <f t="shared" si="478"/>
        <v>#N/A</v>
      </c>
      <c r="AV465" s="286" t="e">
        <f t="shared" si="479"/>
        <v>#N/A</v>
      </c>
      <c r="AW465" s="287" t="e">
        <f t="shared" si="446"/>
        <v>#N/A</v>
      </c>
      <c r="AX465" s="245">
        <f t="shared" si="480"/>
        <v>7</v>
      </c>
      <c r="AY465" s="286" t="e">
        <f t="shared" si="447"/>
        <v>#N/A</v>
      </c>
      <c r="AZ465" s="245" t="e">
        <f t="shared" si="481"/>
        <v>#N/A</v>
      </c>
      <c r="BA465" s="245" t="e">
        <f t="shared" si="448"/>
        <v>#N/A</v>
      </c>
      <c r="BB465" s="288">
        <f t="shared" si="482"/>
        <v>7</v>
      </c>
      <c r="BC465" s="289" t="e">
        <f t="shared" si="483"/>
        <v>#N/A</v>
      </c>
      <c r="BD465" s="290" t="e">
        <f t="shared" si="484"/>
        <v>#N/A</v>
      </c>
      <c r="BE465" s="263" t="e">
        <f t="shared" si="449"/>
        <v>#N/A</v>
      </c>
      <c r="BF465" s="260">
        <f t="shared" si="485"/>
        <v>7</v>
      </c>
      <c r="BG465" s="289" t="e">
        <f t="shared" si="486"/>
        <v>#N/A</v>
      </c>
      <c r="BH465" s="290" t="e">
        <f t="shared" si="487"/>
        <v>#N/A</v>
      </c>
      <c r="BI465" s="263" t="e">
        <f t="shared" si="450"/>
        <v>#N/A</v>
      </c>
      <c r="BJ465" s="264">
        <f t="shared" si="488"/>
        <v>7</v>
      </c>
      <c r="BK465" s="291" t="e">
        <f t="shared" si="489"/>
        <v>#N/A</v>
      </c>
      <c r="BL465" s="291" t="e">
        <f t="shared" si="490"/>
        <v>#N/A</v>
      </c>
      <c r="BM465" s="292" t="e">
        <f t="shared" si="451"/>
        <v>#N/A</v>
      </c>
      <c r="BN465" s="293">
        <f t="shared" si="491"/>
        <v>7</v>
      </c>
      <c r="BO465" s="294" t="e">
        <f t="shared" si="492"/>
        <v>#N/A</v>
      </c>
      <c r="BP465" s="294" t="e">
        <f t="shared" si="493"/>
        <v>#N/A</v>
      </c>
      <c r="BQ465" s="292" t="e">
        <f t="shared" si="452"/>
        <v>#N/A</v>
      </c>
      <c r="BR465" s="295" t="e">
        <f t="shared" si="453"/>
        <v>#N/A</v>
      </c>
      <c r="BS465" s="230" t="e">
        <f>VLOOKUP($B465,SDR22_STOCK_BY_LA!$A$2:$C$11679,3,0)</f>
        <v>#N/A</v>
      </c>
      <c r="BT465" s="230" t="str">
        <f t="shared" si="494"/>
        <v/>
      </c>
    </row>
    <row r="466" spans="1:72" ht="12.5" x14ac:dyDescent="0.25">
      <c r="A466" s="230" t="str">
        <f t="shared" si="495"/>
        <v/>
      </c>
      <c r="B466" s="230" t="str">
        <f t="shared" si="496"/>
        <v/>
      </c>
      <c r="C466" s="296" t="str">
        <f t="shared" si="454"/>
        <v/>
      </c>
      <c r="D466" s="269" t="str">
        <f>IF(B466="","",IF(totals!$Q$3=0,IFERROR(IF(AD466=2,"0",AE466),""),"-"))</f>
        <v/>
      </c>
      <c r="E466" s="271" t="str">
        <f t="shared" si="455"/>
        <v/>
      </c>
      <c r="F466" s="272" t="str">
        <f t="shared" si="456"/>
        <v/>
      </c>
      <c r="G466" s="272" t="str">
        <f t="shared" si="457"/>
        <v/>
      </c>
      <c r="H466" s="269" t="str">
        <f t="shared" si="435"/>
        <v/>
      </c>
      <c r="I466" s="272" t="str">
        <f t="shared" si="458"/>
        <v/>
      </c>
      <c r="J466" s="272" t="str">
        <f t="shared" si="459"/>
        <v/>
      </c>
      <c r="K466" s="269" t="str">
        <f t="shared" si="436"/>
        <v/>
      </c>
      <c r="L466" s="272" t="str">
        <f t="shared" si="437"/>
        <v/>
      </c>
      <c r="M466" s="272" t="str">
        <f t="shared" si="460"/>
        <v/>
      </c>
      <c r="N466" s="269" t="str">
        <f t="shared" si="461"/>
        <v/>
      </c>
      <c r="O466" s="272" t="str">
        <f t="shared" si="462"/>
        <v/>
      </c>
      <c r="P466" s="272" t="str">
        <f t="shared" si="463"/>
        <v/>
      </c>
      <c r="Q466" s="269" t="str">
        <f t="shared" si="464"/>
        <v/>
      </c>
      <c r="R466" s="272" t="str">
        <f t="shared" si="465"/>
        <v/>
      </c>
      <c r="S466" s="272" t="str">
        <f t="shared" si="466"/>
        <v/>
      </c>
      <c r="T466" s="269" t="str">
        <f t="shared" si="467"/>
        <v/>
      </c>
      <c r="U466" s="230"/>
      <c r="V466" s="230"/>
      <c r="AB466" s="230" t="e">
        <f>VLOOKUP($B$6,Lookup_Source,459,0)</f>
        <v>#N/A</v>
      </c>
      <c r="AC466" s="254" t="str">
        <f t="shared" si="468"/>
        <v/>
      </c>
      <c r="AD466" s="255">
        <f t="shared" si="469"/>
        <v>7</v>
      </c>
      <c r="AE466" s="274" t="e">
        <f t="shared" si="438"/>
        <v>#N/A</v>
      </c>
      <c r="AF466" s="277" t="e">
        <f t="shared" si="470"/>
        <v>#N/A</v>
      </c>
      <c r="AG466" s="277" t="e">
        <f t="shared" si="471"/>
        <v>#N/A</v>
      </c>
      <c r="AH466" s="276" t="e">
        <f t="shared" si="439"/>
        <v>#N/A</v>
      </c>
      <c r="AI466" s="239">
        <f t="shared" si="472"/>
        <v>7</v>
      </c>
      <c r="AJ466" s="277" t="e">
        <f t="shared" si="440"/>
        <v>#N/A</v>
      </c>
      <c r="AK466" s="277" t="e">
        <f t="shared" si="473"/>
        <v>#N/A</v>
      </c>
      <c r="AL466" s="239" t="e">
        <f t="shared" si="441"/>
        <v>#N/A</v>
      </c>
      <c r="AM466" s="278" t="e">
        <f t="shared" si="474"/>
        <v>#N/A</v>
      </c>
      <c r="AN466" s="279" t="e">
        <f t="shared" si="442"/>
        <v>#N/A</v>
      </c>
      <c r="AO466" s="240" t="e">
        <f t="shared" si="443"/>
        <v>#N/A</v>
      </c>
      <c r="AP466" s="297">
        <f t="shared" si="475"/>
        <v>7</v>
      </c>
      <c r="AQ466" s="298" t="e">
        <f t="shared" si="444"/>
        <v>#N/A</v>
      </c>
      <c r="AR466" s="279" t="e">
        <f t="shared" si="476"/>
        <v>#N/A</v>
      </c>
      <c r="AS466" s="283" t="e">
        <f t="shared" si="445"/>
        <v>#N/A</v>
      </c>
      <c r="AT466" s="284">
        <f t="shared" si="477"/>
        <v>7</v>
      </c>
      <c r="AU466" s="285" t="e">
        <f t="shared" si="478"/>
        <v>#N/A</v>
      </c>
      <c r="AV466" s="286" t="e">
        <f t="shared" si="479"/>
        <v>#N/A</v>
      </c>
      <c r="AW466" s="287" t="e">
        <f t="shared" si="446"/>
        <v>#N/A</v>
      </c>
      <c r="AX466" s="245">
        <f t="shared" si="480"/>
        <v>7</v>
      </c>
      <c r="AY466" s="286" t="e">
        <f t="shared" si="447"/>
        <v>#N/A</v>
      </c>
      <c r="AZ466" s="245" t="e">
        <f t="shared" si="481"/>
        <v>#N/A</v>
      </c>
      <c r="BA466" s="245" t="e">
        <f t="shared" si="448"/>
        <v>#N/A</v>
      </c>
      <c r="BB466" s="288">
        <f t="shared" si="482"/>
        <v>7</v>
      </c>
      <c r="BC466" s="289" t="e">
        <f t="shared" si="483"/>
        <v>#N/A</v>
      </c>
      <c r="BD466" s="290" t="e">
        <f t="shared" si="484"/>
        <v>#N/A</v>
      </c>
      <c r="BE466" s="263" t="e">
        <f t="shared" si="449"/>
        <v>#N/A</v>
      </c>
      <c r="BF466" s="260">
        <f t="shared" si="485"/>
        <v>7</v>
      </c>
      <c r="BG466" s="289" t="e">
        <f t="shared" si="486"/>
        <v>#N/A</v>
      </c>
      <c r="BH466" s="290" t="e">
        <f t="shared" si="487"/>
        <v>#N/A</v>
      </c>
      <c r="BI466" s="263" t="e">
        <f t="shared" si="450"/>
        <v>#N/A</v>
      </c>
      <c r="BJ466" s="264">
        <f t="shared" si="488"/>
        <v>7</v>
      </c>
      <c r="BK466" s="291" t="e">
        <f t="shared" si="489"/>
        <v>#N/A</v>
      </c>
      <c r="BL466" s="291" t="e">
        <f t="shared" si="490"/>
        <v>#N/A</v>
      </c>
      <c r="BM466" s="292" t="e">
        <f t="shared" si="451"/>
        <v>#N/A</v>
      </c>
      <c r="BN466" s="293">
        <f t="shared" si="491"/>
        <v>7</v>
      </c>
      <c r="BO466" s="294" t="e">
        <f t="shared" si="492"/>
        <v>#N/A</v>
      </c>
      <c r="BP466" s="294" t="e">
        <f t="shared" si="493"/>
        <v>#N/A</v>
      </c>
      <c r="BQ466" s="292" t="e">
        <f t="shared" si="452"/>
        <v>#N/A</v>
      </c>
      <c r="BR466" s="295" t="e">
        <f t="shared" si="453"/>
        <v>#N/A</v>
      </c>
      <c r="BS466" s="230" t="e">
        <f>VLOOKUP($B466,SDR22_STOCK_BY_LA!$A$2:$C$11679,3,0)</f>
        <v>#N/A</v>
      </c>
      <c r="BT466" s="230" t="str">
        <f t="shared" si="494"/>
        <v/>
      </c>
    </row>
    <row r="467" spans="1:72" ht="12.5" x14ac:dyDescent="0.25">
      <c r="A467" s="269" t="str">
        <f t="shared" si="495"/>
        <v/>
      </c>
      <c r="B467" s="230" t="str">
        <f t="shared" si="496"/>
        <v/>
      </c>
      <c r="C467" s="270" t="str">
        <f t="shared" si="454"/>
        <v/>
      </c>
      <c r="D467" s="269" t="str">
        <f>IF(B467="","",IF(totals!$Q$3=0,IFERROR(IF(AD467=2,"0",AE467),""),"-"))</f>
        <v/>
      </c>
      <c r="E467" s="271" t="str">
        <f t="shared" si="455"/>
        <v/>
      </c>
      <c r="F467" s="272" t="str">
        <f t="shared" si="456"/>
        <v/>
      </c>
      <c r="G467" s="272" t="str">
        <f t="shared" si="457"/>
        <v/>
      </c>
      <c r="H467" s="269" t="str">
        <f t="shared" si="435"/>
        <v/>
      </c>
      <c r="I467" s="272" t="str">
        <f t="shared" si="458"/>
        <v/>
      </c>
      <c r="J467" s="272" t="str">
        <f t="shared" si="459"/>
        <v/>
      </c>
      <c r="K467" s="269" t="str">
        <f t="shared" si="436"/>
        <v/>
      </c>
      <c r="L467" s="272" t="str">
        <f t="shared" si="437"/>
        <v/>
      </c>
      <c r="M467" s="272" t="str">
        <f t="shared" si="460"/>
        <v/>
      </c>
      <c r="N467" s="269" t="str">
        <f t="shared" si="461"/>
        <v/>
      </c>
      <c r="O467" s="272" t="str">
        <f t="shared" si="462"/>
        <v/>
      </c>
      <c r="P467" s="272" t="str">
        <f t="shared" si="463"/>
        <v/>
      </c>
      <c r="Q467" s="269" t="str">
        <f t="shared" si="464"/>
        <v/>
      </c>
      <c r="R467" s="272" t="str">
        <f t="shared" si="465"/>
        <v/>
      </c>
      <c r="S467" s="272" t="str">
        <f t="shared" si="466"/>
        <v/>
      </c>
      <c r="T467" s="269" t="str">
        <f t="shared" si="467"/>
        <v/>
      </c>
      <c r="U467" s="230"/>
      <c r="V467" s="230"/>
      <c r="AB467" s="270" t="e">
        <f>VLOOKUP($B$6,Lookup_Source,460,0)</f>
        <v>#N/A</v>
      </c>
      <c r="AC467" s="254" t="str">
        <f t="shared" si="468"/>
        <v/>
      </c>
      <c r="AD467" s="255">
        <f t="shared" si="469"/>
        <v>7</v>
      </c>
      <c r="AE467" s="274" t="e">
        <f t="shared" si="438"/>
        <v>#N/A</v>
      </c>
      <c r="AF467" s="277" t="e">
        <f t="shared" si="470"/>
        <v>#N/A</v>
      </c>
      <c r="AG467" s="277" t="e">
        <f t="shared" si="471"/>
        <v>#N/A</v>
      </c>
      <c r="AH467" s="276" t="e">
        <f t="shared" si="439"/>
        <v>#N/A</v>
      </c>
      <c r="AI467" s="239">
        <f t="shared" si="472"/>
        <v>7</v>
      </c>
      <c r="AJ467" s="277" t="e">
        <f t="shared" si="440"/>
        <v>#N/A</v>
      </c>
      <c r="AK467" s="277" t="e">
        <f t="shared" si="473"/>
        <v>#N/A</v>
      </c>
      <c r="AL467" s="239" t="e">
        <f t="shared" si="441"/>
        <v>#N/A</v>
      </c>
      <c r="AM467" s="278" t="e">
        <f t="shared" si="474"/>
        <v>#N/A</v>
      </c>
      <c r="AN467" s="279" t="e">
        <f t="shared" si="442"/>
        <v>#N/A</v>
      </c>
      <c r="AO467" s="240" t="e">
        <f t="shared" si="443"/>
        <v>#N/A</v>
      </c>
      <c r="AP467" s="297">
        <f t="shared" si="475"/>
        <v>7</v>
      </c>
      <c r="AQ467" s="298" t="e">
        <f t="shared" si="444"/>
        <v>#N/A</v>
      </c>
      <c r="AR467" s="279" t="e">
        <f t="shared" si="476"/>
        <v>#N/A</v>
      </c>
      <c r="AS467" s="283" t="e">
        <f t="shared" si="445"/>
        <v>#N/A</v>
      </c>
      <c r="AT467" s="284">
        <f t="shared" si="477"/>
        <v>7</v>
      </c>
      <c r="AU467" s="285" t="e">
        <f t="shared" si="478"/>
        <v>#N/A</v>
      </c>
      <c r="AV467" s="286" t="e">
        <f t="shared" si="479"/>
        <v>#N/A</v>
      </c>
      <c r="AW467" s="287" t="e">
        <f t="shared" si="446"/>
        <v>#N/A</v>
      </c>
      <c r="AX467" s="245">
        <f t="shared" si="480"/>
        <v>7</v>
      </c>
      <c r="AY467" s="286" t="e">
        <f t="shared" si="447"/>
        <v>#N/A</v>
      </c>
      <c r="AZ467" s="245" t="e">
        <f t="shared" si="481"/>
        <v>#N/A</v>
      </c>
      <c r="BA467" s="245" t="e">
        <f t="shared" si="448"/>
        <v>#N/A</v>
      </c>
      <c r="BB467" s="288">
        <f t="shared" si="482"/>
        <v>7</v>
      </c>
      <c r="BC467" s="289" t="e">
        <f t="shared" si="483"/>
        <v>#N/A</v>
      </c>
      <c r="BD467" s="290" t="e">
        <f t="shared" si="484"/>
        <v>#N/A</v>
      </c>
      <c r="BE467" s="263" t="e">
        <f t="shared" si="449"/>
        <v>#N/A</v>
      </c>
      <c r="BF467" s="260">
        <f t="shared" si="485"/>
        <v>7</v>
      </c>
      <c r="BG467" s="289" t="e">
        <f t="shared" si="486"/>
        <v>#N/A</v>
      </c>
      <c r="BH467" s="290" t="e">
        <f t="shared" si="487"/>
        <v>#N/A</v>
      </c>
      <c r="BI467" s="263" t="e">
        <f t="shared" si="450"/>
        <v>#N/A</v>
      </c>
      <c r="BJ467" s="264">
        <f t="shared" si="488"/>
        <v>7</v>
      </c>
      <c r="BK467" s="291" t="e">
        <f t="shared" si="489"/>
        <v>#N/A</v>
      </c>
      <c r="BL467" s="291" t="e">
        <f t="shared" si="490"/>
        <v>#N/A</v>
      </c>
      <c r="BM467" s="292" t="e">
        <f t="shared" si="451"/>
        <v>#N/A</v>
      </c>
      <c r="BN467" s="293">
        <f t="shared" si="491"/>
        <v>7</v>
      </c>
      <c r="BO467" s="294" t="e">
        <f t="shared" si="492"/>
        <v>#N/A</v>
      </c>
      <c r="BP467" s="294" t="e">
        <f t="shared" si="493"/>
        <v>#N/A</v>
      </c>
      <c r="BQ467" s="292" t="e">
        <f t="shared" si="452"/>
        <v>#N/A</v>
      </c>
      <c r="BR467" s="295" t="e">
        <f t="shared" si="453"/>
        <v>#N/A</v>
      </c>
      <c r="BS467" s="230" t="e">
        <f>VLOOKUP($B467,SDR22_STOCK_BY_LA!$A$2:$C$11679,3,0)</f>
        <v>#N/A</v>
      </c>
      <c r="BT467" s="230" t="str">
        <f t="shared" si="494"/>
        <v/>
      </c>
    </row>
    <row r="468" spans="1:72" ht="12.5" x14ac:dyDescent="0.25">
      <c r="A468" s="230" t="str">
        <f t="shared" si="495"/>
        <v/>
      </c>
      <c r="B468" s="230" t="str">
        <f t="shared" si="496"/>
        <v/>
      </c>
      <c r="C468" s="296" t="str">
        <f t="shared" si="454"/>
        <v/>
      </c>
      <c r="D468" s="269" t="str">
        <f>IF(B468="","",IF(totals!$Q$3=0,IFERROR(IF(AD468=2,"0",AE468),""),"-"))</f>
        <v/>
      </c>
      <c r="E468" s="271" t="str">
        <f t="shared" si="455"/>
        <v/>
      </c>
      <c r="F468" s="272" t="str">
        <f t="shared" si="456"/>
        <v/>
      </c>
      <c r="G468" s="272" t="str">
        <f t="shared" si="457"/>
        <v/>
      </c>
      <c r="H468" s="269" t="str">
        <f t="shared" si="435"/>
        <v/>
      </c>
      <c r="I468" s="272" t="str">
        <f t="shared" si="458"/>
        <v/>
      </c>
      <c r="J468" s="272" t="str">
        <f t="shared" si="459"/>
        <v/>
      </c>
      <c r="K468" s="269" t="str">
        <f t="shared" si="436"/>
        <v/>
      </c>
      <c r="L468" s="272" t="str">
        <f t="shared" si="437"/>
        <v/>
      </c>
      <c r="M468" s="272" t="str">
        <f t="shared" si="460"/>
        <v/>
      </c>
      <c r="N468" s="269" t="str">
        <f t="shared" si="461"/>
        <v/>
      </c>
      <c r="O468" s="272" t="str">
        <f t="shared" si="462"/>
        <v/>
      </c>
      <c r="P468" s="272" t="str">
        <f t="shared" si="463"/>
        <v/>
      </c>
      <c r="Q468" s="269" t="str">
        <f t="shared" si="464"/>
        <v/>
      </c>
      <c r="R468" s="272" t="str">
        <f t="shared" si="465"/>
        <v/>
      </c>
      <c r="S468" s="272" t="str">
        <f t="shared" si="466"/>
        <v/>
      </c>
      <c r="T468" s="269" t="str">
        <f t="shared" si="467"/>
        <v/>
      </c>
      <c r="U468" s="230"/>
      <c r="V468" s="230"/>
      <c r="AB468" s="230" t="e">
        <f>VLOOKUP($B$6,Lookup_Source,461,0)</f>
        <v>#N/A</v>
      </c>
      <c r="AC468" s="254" t="str">
        <f t="shared" si="468"/>
        <v/>
      </c>
      <c r="AD468" s="299">
        <f t="shared" si="469"/>
        <v>7</v>
      </c>
      <c r="AE468" s="274" t="e">
        <f t="shared" si="438"/>
        <v>#N/A</v>
      </c>
      <c r="AF468" s="300" t="e">
        <f t="shared" si="470"/>
        <v>#N/A</v>
      </c>
      <c r="AG468" s="300" t="e">
        <f t="shared" si="471"/>
        <v>#N/A</v>
      </c>
      <c r="AH468" s="276" t="e">
        <f t="shared" si="439"/>
        <v>#N/A</v>
      </c>
      <c r="AI468" s="239">
        <f t="shared" si="472"/>
        <v>7</v>
      </c>
      <c r="AJ468" s="277" t="e">
        <f t="shared" si="440"/>
        <v>#N/A</v>
      </c>
      <c r="AK468" s="277" t="e">
        <f t="shared" si="473"/>
        <v>#N/A</v>
      </c>
      <c r="AL468" s="239" t="e">
        <f t="shared" si="441"/>
        <v>#N/A</v>
      </c>
      <c r="AM468" s="278" t="e">
        <f t="shared" si="474"/>
        <v>#N/A</v>
      </c>
      <c r="AN468" s="279" t="e">
        <f t="shared" si="442"/>
        <v>#N/A</v>
      </c>
      <c r="AO468" s="240" t="e">
        <f t="shared" si="443"/>
        <v>#N/A</v>
      </c>
      <c r="AP468" s="301">
        <f t="shared" si="475"/>
        <v>7</v>
      </c>
      <c r="AQ468" s="302" t="e">
        <f t="shared" si="444"/>
        <v>#N/A</v>
      </c>
      <c r="AR468" s="303" t="e">
        <f t="shared" si="476"/>
        <v>#N/A</v>
      </c>
      <c r="AS468" s="283" t="e">
        <f t="shared" si="445"/>
        <v>#N/A</v>
      </c>
      <c r="AT468" s="284">
        <f t="shared" si="477"/>
        <v>7</v>
      </c>
      <c r="AU468" s="285" t="e">
        <f t="shared" si="478"/>
        <v>#N/A</v>
      </c>
      <c r="AV468" s="286" t="e">
        <f t="shared" si="479"/>
        <v>#N/A</v>
      </c>
      <c r="AW468" s="287" t="e">
        <f t="shared" si="446"/>
        <v>#N/A</v>
      </c>
      <c r="AX468" s="245">
        <f t="shared" si="480"/>
        <v>7</v>
      </c>
      <c r="AY468" s="286" t="e">
        <f t="shared" si="447"/>
        <v>#N/A</v>
      </c>
      <c r="AZ468" s="245" t="e">
        <f t="shared" si="481"/>
        <v>#N/A</v>
      </c>
      <c r="BA468" s="245" t="e">
        <f t="shared" si="448"/>
        <v>#N/A</v>
      </c>
      <c r="BB468" s="288">
        <f t="shared" si="482"/>
        <v>7</v>
      </c>
      <c r="BC468" s="289" t="e">
        <f t="shared" si="483"/>
        <v>#N/A</v>
      </c>
      <c r="BD468" s="290" t="e">
        <f t="shared" si="484"/>
        <v>#N/A</v>
      </c>
      <c r="BE468" s="263" t="e">
        <f t="shared" si="449"/>
        <v>#N/A</v>
      </c>
      <c r="BF468" s="260">
        <f t="shared" si="485"/>
        <v>7</v>
      </c>
      <c r="BG468" s="289" t="e">
        <f t="shared" si="486"/>
        <v>#N/A</v>
      </c>
      <c r="BH468" s="290" t="e">
        <f t="shared" si="487"/>
        <v>#N/A</v>
      </c>
      <c r="BI468" s="263" t="e">
        <f t="shared" si="450"/>
        <v>#N/A</v>
      </c>
      <c r="BJ468" s="264">
        <f t="shared" si="488"/>
        <v>7</v>
      </c>
      <c r="BK468" s="291" t="e">
        <f t="shared" si="489"/>
        <v>#N/A</v>
      </c>
      <c r="BL468" s="291" t="e">
        <f t="shared" si="490"/>
        <v>#N/A</v>
      </c>
      <c r="BM468" s="292" t="e">
        <f t="shared" si="451"/>
        <v>#N/A</v>
      </c>
      <c r="BN468" s="293">
        <f t="shared" si="491"/>
        <v>7</v>
      </c>
      <c r="BO468" s="294" t="e">
        <f t="shared" si="492"/>
        <v>#N/A</v>
      </c>
      <c r="BP468" s="294" t="e">
        <f t="shared" si="493"/>
        <v>#N/A</v>
      </c>
      <c r="BQ468" s="292" t="e">
        <f t="shared" si="452"/>
        <v>#N/A</v>
      </c>
      <c r="BR468" s="295" t="e">
        <f t="shared" si="453"/>
        <v>#N/A</v>
      </c>
      <c r="BS468" s="230" t="e">
        <f>VLOOKUP($B468,SDR22_STOCK_BY_LA!$A$2:$C$11679,3,0)</f>
        <v>#N/A</v>
      </c>
      <c r="BT468" s="230" t="str">
        <f t="shared" si="494"/>
        <v/>
      </c>
    </row>
    <row r="469" spans="1:72" ht="12.5" x14ac:dyDescent="0.25">
      <c r="B469" s="304"/>
      <c r="C469" s="305"/>
      <c r="D469" s="306"/>
      <c r="E469" s="307"/>
      <c r="F469" s="308"/>
      <c r="G469" s="308"/>
      <c r="H469" s="306"/>
      <c r="I469" s="308"/>
      <c r="J469" s="308"/>
      <c r="K469" s="306"/>
      <c r="L469" s="308"/>
      <c r="M469" s="308"/>
      <c r="N469" s="306"/>
      <c r="O469" s="308"/>
      <c r="P469" s="308"/>
      <c r="Q469" s="306"/>
      <c r="R469" s="308"/>
      <c r="S469" s="308"/>
      <c r="T469" s="306"/>
      <c r="AB469" s="270" t="e">
        <f>VLOOKUP($B$6,'Lookup source'!$B$2:$QT$336,460,0)</f>
        <v>#N/A</v>
      </c>
      <c r="AC469" s="309" t="str">
        <f t="shared" si="468"/>
        <v/>
      </c>
      <c r="AD469" s="255">
        <f t="shared" si="469"/>
        <v>7</v>
      </c>
      <c r="AE469" s="274" t="e">
        <f t="shared" si="438"/>
        <v>#N/A</v>
      </c>
      <c r="AF469" s="277" t="e">
        <f t="shared" si="470"/>
        <v>#N/A</v>
      </c>
      <c r="AG469" s="277" t="e">
        <f t="shared" si="471"/>
        <v>#N/A</v>
      </c>
      <c r="AH469" s="276" t="e">
        <f t="shared" si="439"/>
        <v>#N/A</v>
      </c>
      <c r="AI469" s="239">
        <f t="shared" si="472"/>
        <v>7</v>
      </c>
      <c r="AJ469" s="277" t="e">
        <f t="shared" si="440"/>
        <v>#N/A</v>
      </c>
      <c r="AK469" s="277" t="e">
        <f t="shared" si="473"/>
        <v>#N/A</v>
      </c>
      <c r="AL469" s="239" t="e">
        <f t="shared" si="441"/>
        <v>#N/A</v>
      </c>
      <c r="AM469" s="278" t="e">
        <f t="shared" si="474"/>
        <v>#N/A</v>
      </c>
      <c r="AN469" s="279" t="e">
        <f t="shared" si="442"/>
        <v>#N/A</v>
      </c>
      <c r="AO469" s="240" t="e">
        <f t="shared" si="443"/>
        <v>#N/A</v>
      </c>
      <c r="AP469" s="297">
        <f t="shared" si="475"/>
        <v>7</v>
      </c>
      <c r="AQ469" s="298" t="e">
        <f t="shared" si="444"/>
        <v>#N/A</v>
      </c>
      <c r="AR469" s="279" t="e">
        <f t="shared" si="476"/>
        <v>#N/A</v>
      </c>
      <c r="AS469" s="283" t="e">
        <f t="shared" si="445"/>
        <v>#N/A</v>
      </c>
      <c r="AT469" s="310">
        <f t="shared" si="477"/>
        <v>7</v>
      </c>
      <c r="AU469" s="285" t="e">
        <f t="shared" si="478"/>
        <v>#N/A</v>
      </c>
      <c r="AV469" s="286" t="e">
        <f t="shared" si="479"/>
        <v>#N/A</v>
      </c>
      <c r="AW469" s="287" t="e">
        <f t="shared" si="446"/>
        <v>#N/A</v>
      </c>
      <c r="AX469" s="245">
        <f t="shared" si="480"/>
        <v>7</v>
      </c>
      <c r="AY469" s="286" t="e">
        <f t="shared" si="447"/>
        <v>#N/A</v>
      </c>
      <c r="AZ469" s="245" t="e">
        <f t="shared" si="481"/>
        <v>#N/A</v>
      </c>
      <c r="BA469" s="245" t="e">
        <f t="shared" si="448"/>
        <v>#N/A</v>
      </c>
      <c r="BB469" s="288">
        <f t="shared" si="482"/>
        <v>7</v>
      </c>
      <c r="BC469" s="289" t="e">
        <f t="shared" si="483"/>
        <v>#N/A</v>
      </c>
      <c r="BD469" s="290" t="e">
        <f t="shared" si="484"/>
        <v>#N/A</v>
      </c>
      <c r="BE469" s="263" t="e">
        <f t="shared" si="449"/>
        <v>#N/A</v>
      </c>
      <c r="BF469" s="260">
        <f t="shared" si="485"/>
        <v>7</v>
      </c>
      <c r="BG469" s="289" t="e">
        <f t="shared" si="486"/>
        <v>#N/A</v>
      </c>
      <c r="BH469" s="290" t="e">
        <f t="shared" si="487"/>
        <v>#N/A</v>
      </c>
      <c r="BI469" s="263" t="e">
        <f t="shared" si="450"/>
        <v>#N/A</v>
      </c>
      <c r="BJ469" s="264">
        <f t="shared" si="488"/>
        <v>7</v>
      </c>
      <c r="BK469" s="291" t="e">
        <f t="shared" si="489"/>
        <v>#N/A</v>
      </c>
      <c r="BL469" s="291" t="e">
        <f t="shared" si="490"/>
        <v>#N/A</v>
      </c>
      <c r="BM469" s="292" t="e">
        <f t="shared" si="451"/>
        <v>#N/A</v>
      </c>
      <c r="BN469" s="293">
        <f t="shared" si="491"/>
        <v>7</v>
      </c>
      <c r="BO469" s="294" t="e">
        <f t="shared" si="492"/>
        <v>#N/A</v>
      </c>
      <c r="BP469" s="294" t="e">
        <f t="shared" si="493"/>
        <v>#N/A</v>
      </c>
      <c r="BQ469" s="292" t="e">
        <f t="shared" si="452"/>
        <v>#N/A</v>
      </c>
      <c r="BR469" s="295" t="e">
        <f t="shared" si="453"/>
        <v>#N/A</v>
      </c>
      <c r="BS469" s="230" t="e">
        <f>VLOOKUP($B469,SDR22_STOCK_BY_LA!$A$2:$C$11679,3,0)</f>
        <v>#N/A</v>
      </c>
      <c r="BT469" s="230" t="str">
        <f t="shared" si="494"/>
        <v/>
      </c>
    </row>
    <row r="470" spans="1:72" ht="12.5" x14ac:dyDescent="0.25">
      <c r="B470" s="304"/>
      <c r="C470" s="305"/>
      <c r="D470" s="306"/>
      <c r="E470" s="307"/>
      <c r="F470" s="308"/>
      <c r="G470" s="308"/>
      <c r="H470" s="306"/>
      <c r="I470" s="308"/>
      <c r="J470" s="308"/>
      <c r="K470" s="306"/>
      <c r="L470" s="308"/>
      <c r="M470" s="308"/>
      <c r="N470" s="306"/>
      <c r="O470" s="308"/>
      <c r="P470" s="308"/>
      <c r="Q470" s="306"/>
      <c r="R470" s="308"/>
      <c r="S470" s="308"/>
      <c r="T470" s="306"/>
      <c r="AB470" s="230" t="e">
        <f>VLOOKUP($B$6,'Lookup source'!$B$2:$QT$336,461,0)</f>
        <v>#N/A</v>
      </c>
      <c r="AC470" s="309" t="str">
        <f t="shared" si="468"/>
        <v/>
      </c>
      <c r="AD470" s="273">
        <f t="shared" si="469"/>
        <v>7</v>
      </c>
      <c r="AE470" s="274" t="e">
        <f t="shared" si="438"/>
        <v>#N/A</v>
      </c>
      <c r="AF470" s="275" t="e">
        <f t="shared" si="470"/>
        <v>#N/A</v>
      </c>
      <c r="AG470" s="275" t="e">
        <f t="shared" si="471"/>
        <v>#N/A</v>
      </c>
      <c r="AH470" s="276" t="e">
        <f t="shared" si="439"/>
        <v>#N/A</v>
      </c>
      <c r="AI470" s="239">
        <f t="shared" si="472"/>
        <v>7</v>
      </c>
      <c r="AJ470" s="277" t="e">
        <f t="shared" si="440"/>
        <v>#N/A</v>
      </c>
      <c r="AK470" s="277" t="e">
        <f t="shared" si="473"/>
        <v>#N/A</v>
      </c>
      <c r="AL470" s="239" t="e">
        <f t="shared" si="441"/>
        <v>#N/A</v>
      </c>
      <c r="AM470" s="278" t="e">
        <f t="shared" si="474"/>
        <v>#N/A</v>
      </c>
      <c r="AN470" s="279" t="e">
        <f t="shared" si="442"/>
        <v>#N/A</v>
      </c>
      <c r="AO470" s="240" t="e">
        <f t="shared" si="443"/>
        <v>#N/A</v>
      </c>
      <c r="AP470" s="297">
        <f t="shared" si="475"/>
        <v>7</v>
      </c>
      <c r="AQ470" s="281" t="e">
        <f t="shared" si="444"/>
        <v>#N/A</v>
      </c>
      <c r="AR470" s="279" t="e">
        <f t="shared" si="476"/>
        <v>#N/A</v>
      </c>
      <c r="AS470" s="283" t="e">
        <f t="shared" si="445"/>
        <v>#N/A</v>
      </c>
      <c r="AT470" s="310">
        <f t="shared" si="477"/>
        <v>7</v>
      </c>
      <c r="AU470" s="285" t="e">
        <f t="shared" si="478"/>
        <v>#N/A</v>
      </c>
      <c r="AV470" s="286" t="e">
        <f t="shared" si="479"/>
        <v>#N/A</v>
      </c>
      <c r="AW470" s="287" t="e">
        <f t="shared" si="446"/>
        <v>#N/A</v>
      </c>
      <c r="AX470" s="245">
        <f t="shared" si="480"/>
        <v>7</v>
      </c>
      <c r="AY470" s="286" t="e">
        <f t="shared" si="447"/>
        <v>#N/A</v>
      </c>
      <c r="AZ470" s="245" t="e">
        <f t="shared" si="481"/>
        <v>#N/A</v>
      </c>
      <c r="BA470" s="245" t="e">
        <f t="shared" si="448"/>
        <v>#N/A</v>
      </c>
      <c r="BB470" s="288">
        <f t="shared" si="482"/>
        <v>7</v>
      </c>
      <c r="BC470" s="289" t="e">
        <f t="shared" si="483"/>
        <v>#N/A</v>
      </c>
      <c r="BD470" s="290" t="e">
        <f t="shared" si="484"/>
        <v>#N/A</v>
      </c>
      <c r="BE470" s="263" t="e">
        <f t="shared" si="449"/>
        <v>#N/A</v>
      </c>
      <c r="BF470" s="260">
        <f t="shared" si="485"/>
        <v>7</v>
      </c>
      <c r="BG470" s="289" t="e">
        <f t="shared" si="486"/>
        <v>#N/A</v>
      </c>
      <c r="BH470" s="290" t="e">
        <f t="shared" si="487"/>
        <v>#N/A</v>
      </c>
      <c r="BI470" s="263" t="e">
        <f t="shared" si="450"/>
        <v>#N/A</v>
      </c>
      <c r="BJ470" s="264">
        <f t="shared" si="488"/>
        <v>7</v>
      </c>
      <c r="BK470" s="291" t="e">
        <f t="shared" si="489"/>
        <v>#N/A</v>
      </c>
      <c r="BL470" s="291" t="e">
        <f t="shared" si="490"/>
        <v>#N/A</v>
      </c>
      <c r="BM470" s="292" t="e">
        <f t="shared" si="451"/>
        <v>#N/A</v>
      </c>
      <c r="BN470" s="293">
        <f t="shared" si="491"/>
        <v>7</v>
      </c>
      <c r="BO470" s="294" t="e">
        <f t="shared" si="492"/>
        <v>#N/A</v>
      </c>
      <c r="BP470" s="294" t="e">
        <f t="shared" si="493"/>
        <v>#N/A</v>
      </c>
      <c r="BQ470" s="292" t="e">
        <f t="shared" si="452"/>
        <v>#N/A</v>
      </c>
      <c r="BR470" s="295" t="e">
        <f t="shared" si="453"/>
        <v>#N/A</v>
      </c>
      <c r="BS470" s="230" t="e">
        <f>VLOOKUP($B470,SDR22_STOCK_BY_LA!$A$2:$C$11679,3,0)</f>
        <v>#N/A</v>
      </c>
      <c r="BT470" s="230" t="str">
        <f t="shared" si="494"/>
        <v/>
      </c>
    </row>
    <row r="471" spans="1:72" ht="12.5" x14ac:dyDescent="0.25">
      <c r="B471" s="304"/>
      <c r="C471" s="305"/>
      <c r="D471" s="306"/>
      <c r="E471" s="307"/>
      <c r="F471" s="308"/>
      <c r="G471" s="308"/>
      <c r="H471" s="306"/>
      <c r="I471" s="308"/>
      <c r="J471" s="308"/>
      <c r="K471" s="306"/>
      <c r="L471" s="308"/>
      <c r="M471" s="308"/>
      <c r="N471" s="306"/>
      <c r="O471" s="308"/>
      <c r="P471" s="308"/>
      <c r="Q471" s="306"/>
      <c r="R471" s="308"/>
      <c r="S471" s="308"/>
      <c r="T471" s="306"/>
    </row>
    <row r="472" spans="1:72" ht="12.5" x14ac:dyDescent="0.25">
      <c r="B472" s="304"/>
      <c r="C472" s="305"/>
      <c r="D472" s="306"/>
      <c r="E472" s="307"/>
      <c r="F472" s="308"/>
      <c r="G472" s="308"/>
      <c r="H472" s="306"/>
      <c r="I472" s="308"/>
      <c r="J472" s="308"/>
      <c r="K472" s="306"/>
      <c r="L472" s="308"/>
      <c r="M472" s="308"/>
      <c r="N472" s="306"/>
      <c r="O472" s="308"/>
      <c r="P472" s="308"/>
      <c r="Q472" s="306"/>
      <c r="R472" s="308"/>
      <c r="S472" s="308"/>
      <c r="T472" s="306"/>
    </row>
    <row r="473" spans="1:72" ht="12.5" x14ac:dyDescent="0.25">
      <c r="B473" s="304"/>
      <c r="C473" s="305"/>
      <c r="D473" s="306"/>
      <c r="E473" s="307"/>
      <c r="F473" s="308"/>
      <c r="G473" s="308"/>
      <c r="H473" s="306"/>
      <c r="I473" s="308"/>
      <c r="J473" s="308"/>
      <c r="K473" s="306"/>
      <c r="L473" s="308"/>
      <c r="M473" s="308"/>
      <c r="N473" s="306"/>
      <c r="O473" s="308"/>
      <c r="P473" s="308"/>
      <c r="Q473" s="306"/>
      <c r="R473" s="308"/>
      <c r="S473" s="308"/>
      <c r="T473" s="306"/>
    </row>
    <row r="474" spans="1:72" ht="12.5" x14ac:dyDescent="0.25">
      <c r="B474" s="304"/>
      <c r="C474" s="305"/>
      <c r="D474" s="306"/>
      <c r="E474" s="307"/>
      <c r="F474" s="308"/>
      <c r="G474" s="308"/>
      <c r="H474" s="306"/>
      <c r="I474" s="308"/>
      <c r="J474" s="308"/>
      <c r="K474" s="306"/>
      <c r="L474" s="308"/>
      <c r="M474" s="308"/>
      <c r="N474" s="306"/>
      <c r="O474" s="308"/>
      <c r="P474" s="308"/>
      <c r="Q474" s="306"/>
      <c r="R474" s="308"/>
      <c r="S474" s="308"/>
      <c r="T474" s="306"/>
    </row>
    <row r="475" spans="1:72" ht="12.5" x14ac:dyDescent="0.25">
      <c r="B475" s="304"/>
      <c r="C475" s="305"/>
      <c r="D475" s="306"/>
      <c r="E475" s="307"/>
      <c r="F475" s="308"/>
      <c r="G475" s="308"/>
      <c r="H475" s="306"/>
      <c r="I475" s="308"/>
      <c r="J475" s="308"/>
      <c r="K475" s="306"/>
      <c r="L475" s="308"/>
      <c r="M475" s="308"/>
      <c r="N475" s="306"/>
      <c r="O475" s="308"/>
      <c r="P475" s="308"/>
      <c r="Q475" s="306"/>
      <c r="R475" s="308"/>
      <c r="S475" s="308"/>
      <c r="T475" s="306"/>
    </row>
    <row r="476" spans="1:72" ht="12.5" x14ac:dyDescent="0.25">
      <c r="B476" s="304"/>
      <c r="C476" s="305"/>
      <c r="D476" s="306"/>
      <c r="E476" s="307"/>
      <c r="F476" s="308"/>
      <c r="G476" s="308"/>
      <c r="H476" s="306"/>
      <c r="I476" s="308"/>
      <c r="J476" s="308"/>
      <c r="K476" s="306"/>
      <c r="L476" s="308"/>
      <c r="M476" s="308"/>
      <c r="N476" s="306"/>
      <c r="O476" s="308"/>
      <c r="P476" s="308"/>
      <c r="Q476" s="306"/>
      <c r="R476" s="308"/>
      <c r="S476" s="308"/>
      <c r="T476" s="306"/>
    </row>
    <row r="477" spans="1:72" ht="12.5" x14ac:dyDescent="0.25">
      <c r="B477" s="304"/>
      <c r="C477" s="305"/>
      <c r="D477" s="306"/>
      <c r="E477" s="307"/>
      <c r="F477" s="308"/>
      <c r="G477" s="308"/>
      <c r="H477" s="306"/>
      <c r="I477" s="308"/>
      <c r="J477" s="308"/>
      <c r="K477" s="306"/>
      <c r="L477" s="308"/>
      <c r="M477" s="308"/>
      <c r="N477" s="306"/>
      <c r="O477" s="308"/>
      <c r="P477" s="308"/>
      <c r="Q477" s="306"/>
      <c r="R477" s="308"/>
      <c r="S477" s="308"/>
      <c r="T477" s="306"/>
    </row>
    <row r="478" spans="1:72" ht="12.5" x14ac:dyDescent="0.25">
      <c r="B478" s="304"/>
      <c r="C478" s="305"/>
      <c r="D478" s="306"/>
      <c r="E478" s="307"/>
      <c r="F478" s="308"/>
      <c r="G478" s="308"/>
      <c r="H478" s="306"/>
      <c r="I478" s="308"/>
      <c r="J478" s="308"/>
      <c r="K478" s="306"/>
      <c r="L478" s="308"/>
      <c r="M478" s="308"/>
      <c r="N478" s="306"/>
      <c r="O478" s="308"/>
      <c r="P478" s="308"/>
      <c r="Q478" s="306"/>
      <c r="R478" s="308"/>
      <c r="S478" s="308"/>
      <c r="T478" s="306"/>
    </row>
    <row r="479" spans="1:72" ht="12.5" x14ac:dyDescent="0.25">
      <c r="B479" s="304"/>
      <c r="C479" s="305"/>
      <c r="D479" s="306"/>
      <c r="E479" s="307"/>
      <c r="F479" s="308"/>
      <c r="G479" s="308"/>
      <c r="H479" s="306"/>
      <c r="I479" s="308"/>
      <c r="J479" s="308"/>
      <c r="K479" s="306"/>
      <c r="L479" s="308"/>
      <c r="M479" s="308"/>
      <c r="N479" s="306"/>
      <c r="O479" s="308"/>
      <c r="P479" s="308"/>
      <c r="Q479" s="306"/>
      <c r="R479" s="308"/>
      <c r="S479" s="308"/>
      <c r="T479" s="306"/>
    </row>
    <row r="480" spans="1:72" ht="12.5" x14ac:dyDescent="0.25">
      <c r="B480" s="304"/>
      <c r="C480" s="305"/>
      <c r="D480" s="306"/>
      <c r="E480" s="307"/>
      <c r="F480" s="308"/>
      <c r="G480" s="308"/>
      <c r="H480" s="306"/>
      <c r="I480" s="308"/>
      <c r="J480" s="308"/>
      <c r="K480" s="306"/>
      <c r="L480" s="308"/>
      <c r="M480" s="308"/>
      <c r="N480" s="306"/>
      <c r="O480" s="308"/>
      <c r="P480" s="308"/>
      <c r="Q480" s="306"/>
      <c r="R480" s="308"/>
      <c r="S480" s="308"/>
      <c r="T480" s="306"/>
    </row>
    <row r="481" spans="2:20" ht="12.5" x14ac:dyDescent="0.25">
      <c r="B481" s="304"/>
      <c r="C481" s="305"/>
      <c r="D481" s="306"/>
      <c r="E481" s="307"/>
      <c r="F481" s="308"/>
      <c r="G481" s="308"/>
      <c r="H481" s="306"/>
      <c r="I481" s="308"/>
      <c r="J481" s="308"/>
      <c r="K481" s="306"/>
      <c r="L481" s="308"/>
      <c r="M481" s="308"/>
      <c r="N481" s="306"/>
      <c r="O481" s="308"/>
      <c r="P481" s="308"/>
      <c r="Q481" s="306"/>
      <c r="R481" s="308"/>
      <c r="S481" s="308"/>
      <c r="T481" s="306"/>
    </row>
    <row r="482" spans="2:20" ht="12.5" x14ac:dyDescent="0.25">
      <c r="B482" s="304"/>
      <c r="C482" s="305"/>
      <c r="D482" s="306"/>
      <c r="E482" s="307"/>
      <c r="F482" s="308"/>
      <c r="G482" s="308"/>
      <c r="H482" s="306"/>
      <c r="I482" s="308"/>
      <c r="J482" s="308"/>
      <c r="K482" s="306"/>
      <c r="L482" s="308"/>
      <c r="M482" s="308"/>
      <c r="N482" s="306"/>
      <c r="O482" s="308"/>
      <c r="P482" s="308"/>
      <c r="Q482" s="306"/>
      <c r="R482" s="308"/>
      <c r="S482" s="308"/>
      <c r="T482" s="306"/>
    </row>
    <row r="483" spans="2:20" ht="12.5" x14ac:dyDescent="0.25">
      <c r="B483" s="304"/>
      <c r="C483" s="305"/>
      <c r="D483" s="306"/>
      <c r="E483" s="307"/>
      <c r="F483" s="308"/>
      <c r="G483" s="308"/>
      <c r="H483" s="306"/>
      <c r="I483" s="308"/>
      <c r="J483" s="308"/>
      <c r="K483" s="306"/>
      <c r="L483" s="308"/>
      <c r="M483" s="308"/>
      <c r="N483" s="306"/>
      <c r="O483" s="308"/>
      <c r="P483" s="308"/>
      <c r="Q483" s="306"/>
      <c r="R483" s="308"/>
      <c r="S483" s="308"/>
      <c r="T483" s="306"/>
    </row>
    <row r="484" spans="2:20" ht="12.5" x14ac:dyDescent="0.25">
      <c r="B484" s="304"/>
      <c r="C484" s="305"/>
      <c r="D484" s="306"/>
      <c r="E484" s="307"/>
      <c r="F484" s="308"/>
      <c r="G484" s="308"/>
      <c r="H484" s="306"/>
      <c r="I484" s="308"/>
      <c r="J484" s="308"/>
      <c r="K484" s="306"/>
      <c r="L484" s="308"/>
      <c r="M484" s="308"/>
      <c r="N484" s="306"/>
      <c r="O484" s="308"/>
      <c r="P484" s="308"/>
      <c r="Q484" s="306"/>
      <c r="R484" s="308"/>
      <c r="S484" s="308"/>
      <c r="T484" s="306"/>
    </row>
    <row r="485" spans="2:20" ht="12.5" x14ac:dyDescent="0.25">
      <c r="B485" s="304"/>
      <c r="C485" s="305"/>
      <c r="D485" s="306"/>
      <c r="E485" s="307"/>
      <c r="F485" s="308"/>
      <c r="G485" s="308"/>
      <c r="H485" s="306"/>
      <c r="I485" s="308"/>
      <c r="J485" s="308"/>
      <c r="K485" s="306"/>
      <c r="L485" s="308"/>
      <c r="M485" s="308"/>
      <c r="N485" s="306"/>
      <c r="O485" s="308"/>
      <c r="P485" s="308"/>
      <c r="Q485" s="306"/>
      <c r="R485" s="308"/>
      <c r="S485" s="308"/>
      <c r="T485" s="306"/>
    </row>
    <row r="486" spans="2:20" ht="12.5" x14ac:dyDescent="0.25">
      <c r="B486" s="304"/>
      <c r="C486" s="305"/>
      <c r="D486" s="306"/>
      <c r="E486" s="307"/>
      <c r="F486" s="308"/>
      <c r="G486" s="308"/>
      <c r="H486" s="306"/>
      <c r="I486" s="308"/>
      <c r="J486" s="308"/>
      <c r="K486" s="306"/>
      <c r="L486" s="308"/>
      <c r="M486" s="308"/>
      <c r="N486" s="306"/>
      <c r="O486" s="308"/>
      <c r="P486" s="308"/>
      <c r="Q486" s="306"/>
      <c r="R486" s="308"/>
      <c r="S486" s="308"/>
      <c r="T486" s="306"/>
    </row>
    <row r="487" spans="2:20" ht="12.5" x14ac:dyDescent="0.25">
      <c r="B487" s="304"/>
      <c r="C487" s="305"/>
      <c r="D487" s="306"/>
      <c r="E487" s="307"/>
      <c r="F487" s="308"/>
      <c r="G487" s="308"/>
      <c r="H487" s="306"/>
      <c r="I487" s="308"/>
      <c r="J487" s="308"/>
      <c r="K487" s="306"/>
      <c r="L487" s="308"/>
      <c r="M487" s="308"/>
      <c r="N487" s="306"/>
      <c r="O487" s="308"/>
      <c r="P487" s="308"/>
      <c r="Q487" s="306"/>
      <c r="R487" s="308"/>
      <c r="S487" s="308"/>
      <c r="T487" s="306"/>
    </row>
    <row r="488" spans="2:20" ht="12.5" x14ac:dyDescent="0.25">
      <c r="B488" s="304"/>
      <c r="C488" s="305"/>
      <c r="D488" s="306"/>
      <c r="E488" s="307"/>
      <c r="F488" s="308"/>
      <c r="G488" s="308"/>
      <c r="H488" s="306"/>
      <c r="I488" s="308"/>
      <c r="J488" s="308"/>
      <c r="K488" s="306"/>
      <c r="L488" s="308"/>
      <c r="M488" s="308"/>
      <c r="N488" s="306"/>
      <c r="O488" s="308"/>
      <c r="P488" s="308"/>
      <c r="Q488" s="306"/>
      <c r="R488" s="308"/>
      <c r="S488" s="308"/>
      <c r="T488" s="306"/>
    </row>
    <row r="489" spans="2:20" ht="12.5" x14ac:dyDescent="0.25">
      <c r="B489" s="304"/>
      <c r="C489" s="305"/>
      <c r="D489" s="306"/>
      <c r="E489" s="307"/>
      <c r="F489" s="308"/>
      <c r="G489" s="308"/>
      <c r="H489" s="306"/>
      <c r="I489" s="308"/>
      <c r="J489" s="308"/>
      <c r="K489" s="306"/>
      <c r="L489" s="308"/>
      <c r="M489" s="308"/>
      <c r="N489" s="306"/>
      <c r="O489" s="308"/>
      <c r="P489" s="308"/>
      <c r="Q489" s="306"/>
      <c r="R489" s="308"/>
      <c r="S489" s="308"/>
      <c r="T489" s="306"/>
    </row>
    <row r="490" spans="2:20" ht="12.5" x14ac:dyDescent="0.25">
      <c r="B490" s="304"/>
      <c r="C490" s="305"/>
      <c r="D490" s="306"/>
      <c r="E490" s="307"/>
      <c r="F490" s="308"/>
      <c r="G490" s="308"/>
      <c r="H490" s="306"/>
      <c r="I490" s="308"/>
      <c r="J490" s="308"/>
      <c r="K490" s="306"/>
      <c r="L490" s="308"/>
      <c r="M490" s="308"/>
      <c r="N490" s="306"/>
      <c r="O490" s="308"/>
      <c r="P490" s="308"/>
      <c r="Q490" s="306"/>
      <c r="R490" s="308"/>
      <c r="S490" s="308"/>
      <c r="T490" s="306"/>
    </row>
    <row r="491" spans="2:20" ht="12.5" x14ac:dyDescent="0.25">
      <c r="B491" s="304"/>
      <c r="C491" s="305"/>
      <c r="D491" s="306"/>
      <c r="E491" s="307"/>
      <c r="F491" s="308"/>
      <c r="G491" s="308"/>
      <c r="H491" s="306"/>
      <c r="I491" s="308"/>
      <c r="J491" s="308"/>
      <c r="K491" s="306"/>
      <c r="L491" s="308"/>
      <c r="M491" s="308"/>
      <c r="N491" s="306"/>
      <c r="O491" s="308"/>
      <c r="P491" s="308"/>
      <c r="Q491" s="306"/>
      <c r="R491" s="308"/>
      <c r="S491" s="308"/>
      <c r="T491" s="306"/>
    </row>
    <row r="492" spans="2:20" ht="12.5" x14ac:dyDescent="0.25">
      <c r="B492" s="304"/>
      <c r="C492" s="305"/>
      <c r="D492" s="306"/>
      <c r="E492" s="307"/>
      <c r="F492" s="308"/>
      <c r="G492" s="308"/>
      <c r="H492" s="306"/>
      <c r="I492" s="308"/>
      <c r="J492" s="308"/>
      <c r="K492" s="306"/>
      <c r="L492" s="308"/>
      <c r="M492" s="308"/>
      <c r="N492" s="306"/>
      <c r="O492" s="308"/>
      <c r="P492" s="308"/>
      <c r="Q492" s="306"/>
      <c r="R492" s="308"/>
      <c r="S492" s="308"/>
      <c r="T492" s="306"/>
    </row>
    <row r="493" spans="2:20" ht="12.5" x14ac:dyDescent="0.25">
      <c r="C493" s="305"/>
      <c r="D493" s="306"/>
      <c r="E493" s="307"/>
      <c r="F493" s="308"/>
      <c r="G493" s="308"/>
      <c r="H493" s="306"/>
      <c r="I493" s="308"/>
      <c r="J493" s="308"/>
      <c r="K493" s="306"/>
      <c r="L493" s="308"/>
      <c r="M493" s="308"/>
      <c r="N493" s="306"/>
      <c r="O493" s="308"/>
      <c r="P493" s="308"/>
      <c r="Q493" s="306"/>
      <c r="R493" s="308"/>
      <c r="S493" s="308"/>
      <c r="T493" s="306"/>
    </row>
  </sheetData>
  <sheetProtection algorithmName="SHA-512" hashValue="zqplMAbEt2ViYk9FBmTjrhKJPmW32AiJh9jfVudrPJmhfKULb94EK/3fRAwtalx8V5QlzVnx1X58u2s4at6sFg==" saltValue="fZNuVy9pxXNCQbzsjfsj0g==" spinCount="100000" sheet="1" objects="1" scenarios="1"/>
  <mergeCells count="24">
    <mergeCell ref="BB6:BI6"/>
    <mergeCell ref="BJ6:BQ6"/>
    <mergeCell ref="S5:S8"/>
    <mergeCell ref="T5:T7"/>
    <mergeCell ref="AD6:AE6"/>
    <mergeCell ref="AF6:AL6"/>
    <mergeCell ref="AM6:AS6"/>
    <mergeCell ref="AT6:BA6"/>
    <mergeCell ref="R5:R7"/>
    <mergeCell ref="B3:T3"/>
    <mergeCell ref="D5:D8"/>
    <mergeCell ref="E5:E7"/>
    <mergeCell ref="F5:F7"/>
    <mergeCell ref="G5:G8"/>
    <mergeCell ref="H5:H7"/>
    <mergeCell ref="I5:I7"/>
    <mergeCell ref="J5:J8"/>
    <mergeCell ref="K5:K7"/>
    <mergeCell ref="L5:L7"/>
    <mergeCell ref="M5:M8"/>
    <mergeCell ref="N5:N7"/>
    <mergeCell ref="O5:O7"/>
    <mergeCell ref="P5:P8"/>
    <mergeCell ref="Q5:Q7"/>
  </mergeCells>
  <conditionalFormatting sqref="B469:B493">
    <cfRule type="containsText" dxfId="504" priority="621" operator="containsText" text="*">
      <formula>NOT(ISERROR(SEARCH("*",B469)))</formula>
    </cfRule>
  </conditionalFormatting>
  <conditionalFormatting sqref="B469:B493">
    <cfRule type="expression" dxfId="503" priority="620">
      <formula>AND(B469&lt;&gt;"",B470="")</formula>
    </cfRule>
  </conditionalFormatting>
  <conditionalFormatting sqref="J469:J493">
    <cfRule type="expression" dxfId="502" priority="584">
      <formula>AND(J469&lt;&gt;"",J470="")</formula>
    </cfRule>
  </conditionalFormatting>
  <conditionalFormatting sqref="M469:M493">
    <cfRule type="expression" dxfId="501" priority="582">
      <formula>AND(M469&lt;&gt;"",M470="")</formula>
    </cfRule>
  </conditionalFormatting>
  <conditionalFormatting sqref="L469:L493">
    <cfRule type="expression" dxfId="500" priority="586">
      <formula>AND(L469&lt;&gt;"",L470="")</formula>
    </cfRule>
  </conditionalFormatting>
  <conditionalFormatting sqref="H469:I493 B469:C493">
    <cfRule type="containsText" dxfId="499" priority="593" operator="containsText" text="*">
      <formula>NOT(ISERROR(SEARCH("*",B469)))</formula>
    </cfRule>
  </conditionalFormatting>
  <conditionalFormatting sqref="B469:B493">
    <cfRule type="expression" dxfId="498" priority="592">
      <formula>AND(B469&lt;&gt;"",B470="")</formula>
    </cfRule>
  </conditionalFormatting>
  <conditionalFormatting sqref="C469:C493">
    <cfRule type="expression" dxfId="497" priority="591">
      <formula>AND(C469&lt;&gt;"",C470="")</formula>
    </cfRule>
  </conditionalFormatting>
  <conditionalFormatting sqref="H469:H493">
    <cfRule type="expression" dxfId="496" priority="590">
      <formula>AND(H469&lt;&gt;"",H470="")</formula>
    </cfRule>
  </conditionalFormatting>
  <conditionalFormatting sqref="I469:I493">
    <cfRule type="expression" dxfId="495" priority="589">
      <formula>AND(I469&lt;&gt;"",I470="")</formula>
    </cfRule>
  </conditionalFormatting>
  <conditionalFormatting sqref="D469:G493">
    <cfRule type="expression" dxfId="494" priority="576">
      <formula>AND(D469&lt;&gt;"",D470="")</formula>
    </cfRule>
  </conditionalFormatting>
  <conditionalFormatting sqref="K469:L493">
    <cfRule type="containsText" dxfId="493" priority="588" operator="containsText" text="*">
      <formula>NOT(ISERROR(SEARCH("*",K469)))</formula>
    </cfRule>
  </conditionalFormatting>
  <conditionalFormatting sqref="K469:K493">
    <cfRule type="expression" dxfId="492" priority="587">
      <formula>AND(K469&lt;&gt;"",K470="")</formula>
    </cfRule>
  </conditionalFormatting>
  <conditionalFormatting sqref="J469:J493">
    <cfRule type="containsText" dxfId="491" priority="585" operator="containsText" text="*">
      <formula>NOT(ISERROR(SEARCH("*",J469)))</formula>
    </cfRule>
  </conditionalFormatting>
  <conditionalFormatting sqref="M469:M493">
    <cfRule type="containsText" dxfId="490" priority="583" operator="containsText" text="*">
      <formula>NOT(ISERROR(SEARCH("*",M469)))</formula>
    </cfRule>
  </conditionalFormatting>
  <conditionalFormatting sqref="A469:A493">
    <cfRule type="expression" dxfId="489" priority="580">
      <formula>AND(A469&lt;&gt;"",A470="")</formula>
    </cfRule>
  </conditionalFormatting>
  <conditionalFormatting sqref="A469:A493">
    <cfRule type="containsText" dxfId="488" priority="581" operator="containsText" text="*">
      <formula>NOT(ISERROR(SEARCH("*",A469)))</formula>
    </cfRule>
  </conditionalFormatting>
  <conditionalFormatting sqref="O469:O493">
    <cfRule type="expression" dxfId="487" priority="573">
      <formula>AND(O469&lt;&gt;"",O470="")</formula>
    </cfRule>
  </conditionalFormatting>
  <conditionalFormatting sqref="T469:T493">
    <cfRule type="expression" dxfId="486" priority="578">
      <formula>AND(T469&lt;&gt;"",T470="")</formula>
    </cfRule>
  </conditionalFormatting>
  <conditionalFormatting sqref="T469:T493">
    <cfRule type="containsText" dxfId="485" priority="579" operator="containsText" text="*">
      <formula>NOT(ISERROR(SEARCH("*",T469)))</formula>
    </cfRule>
  </conditionalFormatting>
  <conditionalFormatting sqref="D469:G493">
    <cfRule type="containsText" dxfId="484" priority="577" operator="containsText" text="*">
      <formula>NOT(ISERROR(SEARCH("*",D469)))</formula>
    </cfRule>
  </conditionalFormatting>
  <conditionalFormatting sqref="N469:O493">
    <cfRule type="containsText" dxfId="483" priority="575" operator="containsText" text="*">
      <formula>NOT(ISERROR(SEARCH("*",N469)))</formula>
    </cfRule>
  </conditionalFormatting>
  <conditionalFormatting sqref="N469:N493">
    <cfRule type="expression" dxfId="482" priority="574">
      <formula>AND(N469&lt;&gt;"",N470="")</formula>
    </cfRule>
  </conditionalFormatting>
  <conditionalFormatting sqref="P469:P493">
    <cfRule type="containsText" dxfId="481" priority="572" operator="containsText" text="*">
      <formula>NOT(ISERROR(SEARCH("*",P469)))</formula>
    </cfRule>
  </conditionalFormatting>
  <conditionalFormatting sqref="P469:P493">
    <cfRule type="expression" dxfId="480" priority="571">
      <formula>AND(P469&lt;&gt;"",P470="")</formula>
    </cfRule>
  </conditionalFormatting>
  <conditionalFormatting sqref="Q469:R493">
    <cfRule type="containsText" dxfId="479" priority="570" operator="containsText" text="*">
      <formula>NOT(ISERROR(SEARCH("*",Q469)))</formula>
    </cfRule>
  </conditionalFormatting>
  <conditionalFormatting sqref="Q469:Q493">
    <cfRule type="expression" dxfId="478" priority="569">
      <formula>AND(Q469&lt;&gt;"",Q470="")</formula>
    </cfRule>
  </conditionalFormatting>
  <conditionalFormatting sqref="R469:R493">
    <cfRule type="expression" dxfId="477" priority="568">
      <formula>AND(R469&lt;&gt;"",R470="")</formula>
    </cfRule>
  </conditionalFormatting>
  <conditionalFormatting sqref="S469:S493">
    <cfRule type="containsText" dxfId="476" priority="567" operator="containsText" text="*">
      <formula>NOT(ISERROR(SEARCH("*",S469)))</formula>
    </cfRule>
  </conditionalFormatting>
  <conditionalFormatting sqref="S469:S493">
    <cfRule type="expression" dxfId="475" priority="566">
      <formula>AND(S469&lt;&gt;"",S470="")</formula>
    </cfRule>
  </conditionalFormatting>
  <conditionalFormatting sqref="AB469">
    <cfRule type="expression" dxfId="474" priority="452">
      <formula>AND(AB469&lt;&gt;"",AB470="")</formula>
    </cfRule>
  </conditionalFormatting>
  <conditionalFormatting sqref="AB469">
    <cfRule type="containsText" dxfId="473" priority="453" operator="containsText" text="*">
      <formula>NOT(ISERROR(SEARCH("*",AB469)))</formula>
    </cfRule>
  </conditionalFormatting>
  <conditionalFormatting sqref="AB88 AB86 AB84 AB82 AB80 AB78 AB76 AB74 AB72 AB70 AB68 AB66 AB64 AB62 AB60 AB58 AB56 AB54 AB52 AB50 AB48 AB46 AB44 AB42 AB40 AB38 AB36 AB34 AB32 AB30 AB28 AB26 AB24 AB22 AB20 AB18 AB16 AB14 AB12">
    <cfRule type="containsText" dxfId="472" priority="475" operator="containsText" text="*">
      <formula>NOT(ISERROR(SEARCH("*",AB12)))</formula>
    </cfRule>
  </conditionalFormatting>
  <conditionalFormatting sqref="AB88 AB86 AB84 AB82 AB80 AB78 AB76 AB74 AB72 AB70 AB68 AB66 AB64 AB62 AB60 AB58 AB56 AB54 AB52 AB50 AB48 AB46 AB44 AB42 AB40 AB38 AB36 AB34 AB32 AB30 AB28 AB26 AB24 AB22 AB20 AB18 AB16 AB14 AB12">
    <cfRule type="expression" dxfId="471" priority="474">
      <formula>AND(AB12&lt;&gt;"",AB13="")</formula>
    </cfRule>
  </conditionalFormatting>
  <conditionalFormatting sqref="AB51 AB49 AB47 AB45 AB43 AB41 AB39 AB37 AB35 AB33 AB31 AB29 AB27 AB25">
    <cfRule type="expression" dxfId="470" priority="466">
      <formula>AND(AB25&lt;&gt;"",AB26="")</formula>
    </cfRule>
  </conditionalFormatting>
  <conditionalFormatting sqref="AB11">
    <cfRule type="containsText" dxfId="469" priority="473" operator="containsText" text="*">
      <formula>NOT(ISERROR(SEARCH("*",AB11)))</formula>
    </cfRule>
  </conditionalFormatting>
  <conditionalFormatting sqref="AB11">
    <cfRule type="expression" dxfId="468" priority="472">
      <formula>AND(AB11&lt;&gt;"",AB12="")</formula>
    </cfRule>
  </conditionalFormatting>
  <conditionalFormatting sqref="AB13">
    <cfRule type="containsText" dxfId="467" priority="471" operator="containsText" text="*">
      <formula>NOT(ISERROR(SEARCH("*",AB13)))</formula>
    </cfRule>
  </conditionalFormatting>
  <conditionalFormatting sqref="AB13">
    <cfRule type="expression" dxfId="466" priority="470">
      <formula>AND(AB13&lt;&gt;"",AB14="")</formula>
    </cfRule>
  </conditionalFormatting>
  <conditionalFormatting sqref="AB23 AB21 AB19 AB17 AB15">
    <cfRule type="containsText" dxfId="465" priority="469" operator="containsText" text="*">
      <formula>NOT(ISERROR(SEARCH("*",AB15)))</formula>
    </cfRule>
  </conditionalFormatting>
  <conditionalFormatting sqref="AB23 AB21 AB19 AB17 AB15">
    <cfRule type="expression" dxfId="464" priority="468">
      <formula>AND(AB15&lt;&gt;"",AB16="")</formula>
    </cfRule>
  </conditionalFormatting>
  <conditionalFormatting sqref="AB51 AB49 AB47 AB45 AB43 AB41 AB39 AB37 AB35 AB33 AB31 AB29 AB27 AB25">
    <cfRule type="containsText" dxfId="463" priority="467" operator="containsText" text="*">
      <formula>NOT(ISERROR(SEARCH("*",AB25)))</formula>
    </cfRule>
  </conditionalFormatting>
  <conditionalFormatting sqref="AB87 AB85 AB83 AB81 AB79 AB77 AB75 AB73 AB71 AB69 AB67 AB65 AB63 AB61 AB59 AB57 AB55 AB53">
    <cfRule type="containsText" dxfId="462" priority="465" operator="containsText" text="*">
      <formula>NOT(ISERROR(SEARCH("*",AB53)))</formula>
    </cfRule>
  </conditionalFormatting>
  <conditionalFormatting sqref="AB87 AB85 AB83 AB81 AB79 AB77 AB75 AB73 AB71 AB69 AB67 AB65 AB63 AB61 AB59 AB57 AB55 AB53">
    <cfRule type="expression" dxfId="461" priority="464">
      <formula>AND(AB53&lt;&gt;"",AB54="")</formula>
    </cfRule>
  </conditionalFormatting>
  <conditionalFormatting sqref="AB10">
    <cfRule type="containsText" dxfId="460" priority="463" operator="containsText" text="*">
      <formula>NOT(ISERROR(SEARCH("*",AB10)))</formula>
    </cfRule>
  </conditionalFormatting>
  <conditionalFormatting sqref="AB10">
    <cfRule type="expression" dxfId="459" priority="462">
      <formula>AND(AB10&lt;&gt;"",AB11="")</formula>
    </cfRule>
  </conditionalFormatting>
  <conditionalFormatting sqref="AB9">
    <cfRule type="expression" dxfId="458" priority="456">
      <formula>AND(AB9&lt;&gt;"",AB10="")</formula>
    </cfRule>
  </conditionalFormatting>
  <conditionalFormatting sqref="AB90 AB92 AB94 AB96 AB98 AB100 AB102 AB104 AB106 AB108 AB110 AB112 AB114 AB116 AB118 AB120 AB122 AB124 AB126 AB128 AB130 AB132 AB134 AB136 AB138 AB140 AB142 AB144 AB146 AB148 AB150 AB152 AB154 AB156 AB158 AB160 AB162 AB164 AB166 AB168 AB170 AB172 AB174 AB176 AB178 AB180 AB182 AB184 AB186 AB188 AB190 AB192 AB194 AB196 AB198 AB200 AB202 AB204 AB206 AB208 AB210 AB212 AB214 AB216 AB218 AB220 AB222 AB224 AB226 AB228 AB230 AB232 AB234 AB236 AB238 AB240 AB242 AB244 AB246 AB248 AB250 AB252 AB254 AB256 AB258 AB260 AB262 AB264 AB266 AB268 AB270 AB272 AB274 AB276 AB278 AB280 AB282 AB284 AB286 AB288 AB290 AB292 AB294 AB296 AB298 AB300 AB302 AB304 AB306 AB308 AB310 AB312 AB314 AB316 AB318 AB320 AB322 AB324 AB326 AB328 AB330 AB332 AB334 AB336 AB338 AB340 AB342 AB344 AB346 AB348 AB350 AB352 AB354 AB356 AB358 AB360 AB362 AB364 AB366 AB368 AB370 AB372 AB374 AB376 AB378 AB380 AB382 AB384 AB386 AB388 AB390 AB392 AB394 AB396 AB398 AB400 AB402 AB404 AB406 AB408 AB410 AB412 AB414 AB416 AB418 AB420 AB422 AB424 AB426 AB428 AB430 AB432 AB434 AB436 AB438 AB440 AB442 AB444 AB446 AB448 AB450 AB452 AB454 AB456 AB458 AB460 AB462 AB464 AB466 AB468">
    <cfRule type="containsText" dxfId="457" priority="461" operator="containsText" text="*">
      <formula>NOT(ISERROR(SEARCH("*",AB90)))</formula>
    </cfRule>
  </conditionalFormatting>
  <conditionalFormatting sqref="AB90 AB92 AB94 AB96 AB98 AB100 AB102 AB104 AB106 AB108 AB110 AB112 AB114 AB116 AB118 AB120 AB122 AB124 AB126 AB128 AB130 AB132 AB134 AB136 AB138 AB140 AB142 AB144 AB146 AB148 AB150 AB152 AB154 AB156 AB158 AB160 AB162 AB164 AB166 AB168 AB170 AB172 AB174 AB176 AB178 AB180 AB182 AB184 AB186 AB188 AB190 AB192 AB194 AB196 AB198 AB200 AB202 AB204 AB206 AB208 AB210 AB212 AB214 AB216 AB218 AB220 AB222 AB224 AB226 AB228 AB230 AB232 AB234 AB236 AB238 AB240 AB242 AB244 AB246 AB248 AB250 AB252 AB254 AB256 AB258 AB260 AB262 AB264 AB266 AB268 AB270 AB272 AB274 AB276 AB278 AB280 AB282 AB284 AB286 AB288 AB290 AB292 AB294 AB296 AB298 AB300 AB302 AB304 AB306 AB308 AB310 AB312 AB314 AB316 AB318 AB320 AB322 AB324 AB326 AB328 AB330 AB332 AB334 AB336 AB338 AB340 AB342 AB344 AB346 AB348 AB350 AB352 AB354 AB356 AB358 AB360 AB362 AB364 AB366 AB368 AB370 AB372 AB374 AB376 AB378 AB380 AB382 AB384 AB386 AB388 AB390 AB392 AB394 AB396 AB398 AB400 AB402 AB404 AB406 AB408 AB410 AB412 AB414 AB416 AB418 AB420 AB422 AB424 AB426 AB428 AB430 AB432 AB434 AB436 AB438 AB440 AB442 AB444 AB446 AB448 AB450 AB452 AB454 AB456 AB458 AB460 AB462 AB464 AB466 AB468">
    <cfRule type="expression" dxfId="456" priority="460">
      <formula>AND(AB90&lt;&gt;"",AB91="")</formula>
    </cfRule>
  </conditionalFormatting>
  <conditionalFormatting sqref="AB89 AB91 AB93 AB95 AB97 AB99 AB101 AB103 AB105 AB107 AB109 AB111 AB113 AB115 AB117 AB119 AB121 AB123 AB125 AB127 AB129 AB131 AB133 AB135 AB137 AB139 AB141 AB143 AB145 AB147 AB149 AB151 AB153 AB155 AB157 AB159 AB161 AB163 AB165 AB167 AB169 AB171 AB173 AB175 AB177 AB179 AB181 AB183 AB185 AB187 AB189 AB191 AB193 AB195 AB197 AB199 AB201 AB203 AB205 AB207 AB209 AB211 AB213 AB215 AB217 AB219 AB221 AB223 AB225 AB227 AB229 AB231 AB233 AB235 AB237 AB239 AB241 AB243 AB245 AB247 AB249 AB251 AB253 AB255 AB257 AB259 AB261 AB263 AB265 AB267 AB269 AB271 AB273 AB275 AB277 AB279 AB281 AB283 AB285 AB287 AB289 AB291 AB293 AB295 AB297 AB299 AB301 AB303 AB305 AB307 AB309 AB311 AB313 AB315 AB317 AB319 AB321 AB323 AB325 AB327 AB329 AB331 AB333 AB335 AB337 AB339 AB341 AB343 AB345 AB347 AB349 AB351 AB353 AB355 AB357 AB359 AB361 AB363 AB365 AB367 AB369 AB371 AB373 AB375 AB377 AB379 AB381 AB383 AB385 AB387 AB389 AB391 AB393 AB395 AB397 AB399 AB401 AB403 AB405 AB407 AB409 AB411 AB413 AB415 AB417 AB419 AB421 AB423 AB425 AB427 AB429 AB431 AB433 AB435 AB437 AB439 AB441 AB443 AB445 AB447 AB449 AB451 AB453 AB455 AB457 AB459 AB461 AB463 AB465 AB467">
    <cfRule type="containsText" dxfId="455" priority="459" operator="containsText" text="*">
      <formula>NOT(ISERROR(SEARCH("*",AB89)))</formula>
    </cfRule>
  </conditionalFormatting>
  <conditionalFormatting sqref="AB89 AB91 AB93 AB95 AB97 AB99 AB101 AB103 AB105 AB107 AB109 AB111 AB113 AB115 AB117 AB119 AB121 AB123 AB125 AB127 AB129 AB131 AB133 AB135 AB137 AB139 AB141 AB143 AB145 AB147 AB149 AB151 AB153 AB155 AB157 AB159 AB161 AB163 AB165 AB167 AB169 AB171 AB173 AB175 AB177 AB179 AB181 AB183 AB185 AB187 AB189 AB191 AB193 AB195 AB197 AB199 AB201 AB203 AB205 AB207 AB209 AB211 AB213 AB215 AB217 AB219 AB221 AB223 AB225 AB227 AB229 AB231 AB233 AB235 AB237 AB239 AB241 AB243 AB245 AB247 AB249 AB251 AB253 AB255 AB257 AB259 AB261 AB263 AB265 AB267 AB269 AB271 AB273 AB275 AB277 AB279 AB281 AB283 AB285 AB287 AB289 AB291 AB293 AB295 AB297 AB299 AB301 AB303 AB305 AB307 AB309 AB311 AB313 AB315 AB317 AB319 AB321 AB323 AB325 AB327 AB329 AB331 AB333 AB335 AB337 AB339 AB341 AB343 AB345 AB347 AB349 AB351 AB353 AB355 AB357 AB359 AB361 AB363 AB365 AB367 AB369 AB371 AB373 AB375 AB377 AB379 AB381 AB383 AB385 AB387 AB389 AB391 AB393 AB395 AB397 AB399 AB401 AB403 AB405 AB407 AB409 AB411 AB413 AB415 AB417 AB419 AB421 AB423 AB425 AB427 AB429 AB431 AB433 AB435 AB437 AB439 AB441 AB443 AB445 AB447 AB449 AB451 AB453 AB455 AB457 AB459 AB461 AB463 AB465 AB467">
    <cfRule type="expression" dxfId="454" priority="458">
      <formula>AND(AB89&lt;&gt;"",AB90="")</formula>
    </cfRule>
  </conditionalFormatting>
  <conditionalFormatting sqref="AB9">
    <cfRule type="containsText" dxfId="453" priority="457" operator="containsText" text="*">
      <formula>NOT(ISERROR(SEARCH("*",AB9)))</formula>
    </cfRule>
  </conditionalFormatting>
  <conditionalFormatting sqref="AB470">
    <cfRule type="containsText" dxfId="452" priority="455" operator="containsText" text="*">
      <formula>NOT(ISERROR(SEARCH("*",AB470)))</formula>
    </cfRule>
  </conditionalFormatting>
  <conditionalFormatting sqref="AB470">
    <cfRule type="expression" dxfId="451" priority="454">
      <formula>AND(AB470&lt;&gt;"",AB471="")</formula>
    </cfRule>
  </conditionalFormatting>
  <conditionalFormatting sqref="B6">
    <cfRule type="expression" dxfId="450" priority="451">
      <formula>$B$6=0</formula>
    </cfRule>
  </conditionalFormatting>
  <conditionalFormatting sqref="B9:B10">
    <cfRule type="containsText" dxfId="449" priority="450" operator="containsText" text="*">
      <formula>NOT(ISERROR(SEARCH("*",B9)))</formula>
    </cfRule>
  </conditionalFormatting>
  <conditionalFormatting sqref="B9:B10">
    <cfRule type="expression" dxfId="448" priority="449">
      <formula>AND(B9&lt;&gt;"",B10="")</formula>
    </cfRule>
  </conditionalFormatting>
  <conditionalFormatting sqref="J10">
    <cfRule type="expression" dxfId="447" priority="438">
      <formula>AND(J10&lt;&gt;"",J11="")</formula>
    </cfRule>
  </conditionalFormatting>
  <conditionalFormatting sqref="M10">
    <cfRule type="expression" dxfId="446" priority="436">
      <formula>AND(M10&lt;&gt;"",M11="")</formula>
    </cfRule>
  </conditionalFormatting>
  <conditionalFormatting sqref="L10">
    <cfRule type="expression" dxfId="445" priority="440">
      <formula>AND(L10&lt;&gt;"",L11="")</formula>
    </cfRule>
  </conditionalFormatting>
  <conditionalFormatting sqref="B10:C10 H10:I10">
    <cfRule type="containsText" dxfId="444" priority="448" operator="containsText" text="*">
      <formula>NOT(ISERROR(SEARCH("*",B10)))</formula>
    </cfRule>
  </conditionalFormatting>
  <conditionalFormatting sqref="B10">
    <cfRule type="expression" dxfId="443" priority="447">
      <formula>AND(B10&lt;&gt;"",B11="")</formula>
    </cfRule>
  </conditionalFormatting>
  <conditionalFormatting sqref="C10">
    <cfRule type="expression" dxfId="442" priority="446">
      <formula>AND(C10&lt;&gt;"",C11="")</formula>
    </cfRule>
  </conditionalFormatting>
  <conditionalFormatting sqref="H10">
    <cfRule type="expression" dxfId="441" priority="445">
      <formula>AND(H10&lt;&gt;"",H11="")</formula>
    </cfRule>
  </conditionalFormatting>
  <conditionalFormatting sqref="I10">
    <cfRule type="expression" dxfId="440" priority="444">
      <formula>AND(I10&lt;&gt;"",I11="")</formula>
    </cfRule>
  </conditionalFormatting>
  <conditionalFormatting sqref="E10:G10">
    <cfRule type="expression" dxfId="439" priority="430">
      <formula>AND(E10&lt;&gt;"",E11="")</formula>
    </cfRule>
  </conditionalFormatting>
  <conditionalFormatting sqref="K10">
    <cfRule type="containsText" dxfId="438" priority="443" operator="containsText" text="*">
      <formula>NOT(ISERROR(SEARCH("*",K10)))</formula>
    </cfRule>
  </conditionalFormatting>
  <conditionalFormatting sqref="K10">
    <cfRule type="expression" dxfId="437" priority="442">
      <formula>AND(K10&lt;&gt;"",K11="")</formula>
    </cfRule>
  </conditionalFormatting>
  <conditionalFormatting sqref="L10">
    <cfRule type="containsText" dxfId="436" priority="441" operator="containsText" text="*">
      <formula>NOT(ISERROR(SEARCH("*",L10)))</formula>
    </cfRule>
  </conditionalFormatting>
  <conditionalFormatting sqref="J10">
    <cfRule type="containsText" dxfId="435" priority="439" operator="containsText" text="*">
      <formula>NOT(ISERROR(SEARCH("*",J10)))</formula>
    </cfRule>
  </conditionalFormatting>
  <conditionalFormatting sqref="M10">
    <cfRule type="containsText" dxfId="434" priority="437" operator="containsText" text="*">
      <formula>NOT(ISERROR(SEARCH("*",M10)))</formula>
    </cfRule>
  </conditionalFormatting>
  <conditionalFormatting sqref="A10">
    <cfRule type="expression" dxfId="433" priority="434">
      <formula>AND(A10&lt;&gt;"",A11="")</formula>
    </cfRule>
  </conditionalFormatting>
  <conditionalFormatting sqref="A10">
    <cfRule type="containsText" dxfId="432" priority="435" operator="containsText" text="*">
      <formula>NOT(ISERROR(SEARCH("*",A10)))</formula>
    </cfRule>
  </conditionalFormatting>
  <conditionalFormatting sqref="O10">
    <cfRule type="expression" dxfId="431" priority="421">
      <formula>AND(O10&lt;&gt;"",O11="")</formula>
    </cfRule>
  </conditionalFormatting>
  <conditionalFormatting sqref="T10">
    <cfRule type="expression" dxfId="430" priority="432">
      <formula>AND(T10&lt;&gt;"",T11="")</formula>
    </cfRule>
  </conditionalFormatting>
  <conditionalFormatting sqref="T10">
    <cfRule type="containsText" dxfId="429" priority="433" operator="containsText" text="*">
      <formula>NOT(ISERROR(SEARCH("*",T10)))</formula>
    </cfRule>
  </conditionalFormatting>
  <conditionalFormatting sqref="E10:G10">
    <cfRule type="containsText" dxfId="428" priority="431" operator="containsText" text="*">
      <formula>NOT(ISERROR(SEARCH("*",E10)))</formula>
    </cfRule>
  </conditionalFormatting>
  <conditionalFormatting sqref="B9">
    <cfRule type="containsText" dxfId="427" priority="429" operator="containsText" text="*">
      <formula>NOT(ISERROR(SEARCH("*",B9)))</formula>
    </cfRule>
  </conditionalFormatting>
  <conditionalFormatting sqref="B9">
    <cfRule type="expression" dxfId="426" priority="428">
      <formula>AND(B9&lt;&gt;"",B10="")</formula>
    </cfRule>
  </conditionalFormatting>
  <conditionalFormatting sqref="T9">
    <cfRule type="containsText" dxfId="425" priority="427" operator="containsText" text="*">
      <formula>NOT(ISERROR(SEARCH("*",T9)))</formula>
    </cfRule>
  </conditionalFormatting>
  <conditionalFormatting sqref="T9">
    <cfRule type="expression" dxfId="424" priority="426">
      <formula>AND(T9&lt;&gt;"",T10="")</formula>
    </cfRule>
  </conditionalFormatting>
  <conditionalFormatting sqref="A9 C9 E9:M9">
    <cfRule type="containsText" dxfId="423" priority="425" operator="containsText" text="*">
      <formula>NOT(ISERROR(SEARCH("*",A9)))</formula>
    </cfRule>
  </conditionalFormatting>
  <conditionalFormatting sqref="A9 C9 E9:M9">
    <cfRule type="expression" dxfId="422" priority="424">
      <formula>AND(A9&lt;&gt;"",A10="")</formula>
    </cfRule>
  </conditionalFormatting>
  <conditionalFormatting sqref="N10:O10">
    <cfRule type="containsText" dxfId="421" priority="423" operator="containsText" text="*">
      <formula>NOT(ISERROR(SEARCH("*",N10)))</formula>
    </cfRule>
  </conditionalFormatting>
  <conditionalFormatting sqref="N10">
    <cfRule type="expression" dxfId="420" priority="422">
      <formula>AND(N10&lt;&gt;"",N11="")</formula>
    </cfRule>
  </conditionalFormatting>
  <conditionalFormatting sqref="P10">
    <cfRule type="containsText" dxfId="419" priority="420" operator="containsText" text="*">
      <formula>NOT(ISERROR(SEARCH("*",P10)))</formula>
    </cfRule>
  </conditionalFormatting>
  <conditionalFormatting sqref="P10">
    <cfRule type="expression" dxfId="418" priority="419">
      <formula>AND(P10&lt;&gt;"",P11="")</formula>
    </cfRule>
  </conditionalFormatting>
  <conditionalFormatting sqref="N9:P9">
    <cfRule type="containsText" dxfId="417" priority="418" operator="containsText" text="*">
      <formula>NOT(ISERROR(SEARCH("*",N9)))</formula>
    </cfRule>
  </conditionalFormatting>
  <conditionalFormatting sqref="N9:P9">
    <cfRule type="expression" dxfId="416" priority="417">
      <formula>AND(N9&lt;&gt;"",N10="")</formula>
    </cfRule>
  </conditionalFormatting>
  <conditionalFormatting sqref="Q10:R10">
    <cfRule type="containsText" dxfId="415" priority="416" operator="containsText" text="*">
      <formula>NOT(ISERROR(SEARCH("*",Q10)))</formula>
    </cfRule>
  </conditionalFormatting>
  <conditionalFormatting sqref="Q10">
    <cfRule type="expression" dxfId="414" priority="415">
      <formula>AND(Q10&lt;&gt;"",Q11="")</formula>
    </cfRule>
  </conditionalFormatting>
  <conditionalFormatting sqref="R10">
    <cfRule type="expression" dxfId="413" priority="414">
      <formula>AND(R10&lt;&gt;"",R11="")</formula>
    </cfRule>
  </conditionalFormatting>
  <conditionalFormatting sqref="S10">
    <cfRule type="containsText" dxfId="412" priority="413" operator="containsText" text="*">
      <formula>NOT(ISERROR(SEARCH("*",S10)))</formula>
    </cfRule>
  </conditionalFormatting>
  <conditionalFormatting sqref="S10">
    <cfRule type="expression" dxfId="411" priority="412">
      <formula>AND(S10&lt;&gt;"",S11="")</formula>
    </cfRule>
  </conditionalFormatting>
  <conditionalFormatting sqref="Q9:S9">
    <cfRule type="containsText" dxfId="410" priority="411" operator="containsText" text="*">
      <formula>NOT(ISERROR(SEARCH("*",Q9)))</formula>
    </cfRule>
  </conditionalFormatting>
  <conditionalFormatting sqref="Q9:S9">
    <cfRule type="expression" dxfId="409" priority="410">
      <formula>AND(Q9&lt;&gt;"",Q10="")</formula>
    </cfRule>
  </conditionalFormatting>
  <conditionalFormatting sqref="D10">
    <cfRule type="expression" dxfId="408" priority="408">
      <formula>AND(D10&lt;&gt;"",D11="")</formula>
    </cfRule>
  </conditionalFormatting>
  <conditionalFormatting sqref="D10">
    <cfRule type="containsText" dxfId="407" priority="409" operator="containsText" text="*">
      <formula>NOT(ISERROR(SEARCH("*",D10)))</formula>
    </cfRule>
  </conditionalFormatting>
  <conditionalFormatting sqref="D9">
    <cfRule type="expression" dxfId="406" priority="406">
      <formula>AND(D9&lt;&gt;"",D10="")</formula>
    </cfRule>
  </conditionalFormatting>
  <conditionalFormatting sqref="D9">
    <cfRule type="containsText" dxfId="405" priority="407" operator="containsText" text="*">
      <formula>NOT(ISERROR(SEARCH("*",D9)))</formula>
    </cfRule>
  </conditionalFormatting>
  <conditionalFormatting sqref="D401 D403 D405 D407 D409 D411 D413 D415 D417 D419 D421 D423 D425 D427 D429 D431 D433 D435 D437 D439 D441 D443 D445 D447 D449">
    <cfRule type="expression" dxfId="404" priority="1">
      <formula>AND(D401&lt;&gt;"",D402="")</formula>
    </cfRule>
  </conditionalFormatting>
  <conditionalFormatting sqref="B11:B50">
    <cfRule type="containsText" dxfId="403" priority="405" operator="containsText" text="*">
      <formula>NOT(ISERROR(SEARCH("*",B11)))</formula>
    </cfRule>
  </conditionalFormatting>
  <conditionalFormatting sqref="B11:B50">
    <cfRule type="expression" dxfId="402" priority="404">
      <formula>AND(B11&lt;&gt;"",B12="")</formula>
    </cfRule>
  </conditionalFormatting>
  <conditionalFormatting sqref="J12 J14 J16 J18 J20 J22 J24 J26 J28 J30 J32 J34 J36 J38 J40 J42 J44 J46 J48 J50">
    <cfRule type="expression" dxfId="401" priority="393">
      <formula>AND(J12&lt;&gt;"",J13="")</formula>
    </cfRule>
  </conditionalFormatting>
  <conditionalFormatting sqref="M12 M14 M16 M18 M20 M22 M24 M26 M28 M30 M32 M34 M36 M38 M40 M42 M44 M46 M48 M50">
    <cfRule type="expression" dxfId="400" priority="391">
      <formula>AND(M12&lt;&gt;"",M13="")</formula>
    </cfRule>
  </conditionalFormatting>
  <conditionalFormatting sqref="L12 L14 L16 L18 L20 L22 L24 L26 L28 L30 L32 L34 L36 L38 L40 L42 L44 L46 L48 L50">
    <cfRule type="expression" dxfId="399" priority="395">
      <formula>AND(L12&lt;&gt;"",L13="")</formula>
    </cfRule>
  </conditionalFormatting>
  <conditionalFormatting sqref="B12:C12 B14:C14 B16:C16 B18:C18 B20:C20 B22:C22 B24:C24 B26:C26 B28:C28 B30:C30 B32:C32 B34:C34 B36:C36 B38:C38 B40:C40 B42:C42 B44:C44 B46:C46 B48:C48 B50:C50 H12:I12 H14:I14 H16:I16 H18:I18 H20:I20 H22:I22 H24:I24 H26:I26 H28:I28 H30:I30 H32:I32 H34:I34 H36:I36 H38:I38 H40:I40 H42:I42 H44:I44 H46:I46 H48:I48 H50:I50">
    <cfRule type="containsText" dxfId="398" priority="403" operator="containsText" text="*">
      <formula>NOT(ISERROR(SEARCH("*",B12)))</formula>
    </cfRule>
  </conditionalFormatting>
  <conditionalFormatting sqref="B12 B14 B16 B18 B20 B22 B24 B26 B28 B30 B32 B34 B36 B38 B40 B42 B44 B46 B48 B50">
    <cfRule type="expression" dxfId="397" priority="402">
      <formula>AND(B12&lt;&gt;"",B13="")</formula>
    </cfRule>
  </conditionalFormatting>
  <conditionalFormatting sqref="C12 C14 C16 C18 C20 C22 C24 C26 C28 C30 C32 C34 C36 C38 C40 C42 C44 C46 C48 C50">
    <cfRule type="expression" dxfId="396" priority="401">
      <formula>AND(C12&lt;&gt;"",C13="")</formula>
    </cfRule>
  </conditionalFormatting>
  <conditionalFormatting sqref="H12 H14 H16 H18 H20 H22 H24 H26 H28 H30 H32 H34 H36 H38 H40 H42 H44 H46 H48 H50">
    <cfRule type="expression" dxfId="395" priority="400">
      <formula>AND(H12&lt;&gt;"",H13="")</formula>
    </cfRule>
  </conditionalFormatting>
  <conditionalFormatting sqref="I12 I14 I16 I18 I20 I22 I24 I26 I28 I30 I32 I34 I36 I38 I40 I42 I44 I46 I48 I50">
    <cfRule type="expression" dxfId="394" priority="399">
      <formula>AND(I12&lt;&gt;"",I13="")</formula>
    </cfRule>
  </conditionalFormatting>
  <conditionalFormatting sqref="E12:G12 E14:G14 E16:G16 E18:G18 E20:G20 E22:G22 E24:G24 E26:G26 E28:G28 E30:G30 E32:G32 E34:G34 E36:G36 E38:G38 E40:G40 E42:G42 E44:G44 E46:G46 E48:G48 E50:G50">
    <cfRule type="expression" dxfId="393" priority="385">
      <formula>AND(E12&lt;&gt;"",E13="")</formula>
    </cfRule>
  </conditionalFormatting>
  <conditionalFormatting sqref="K12 K14 K16 K18 K20 K22 K24 K26 K28 K30 K32 K34 K36 K38 K40 K42 K44 K46 K48 K50">
    <cfRule type="containsText" dxfId="392" priority="398" operator="containsText" text="*">
      <formula>NOT(ISERROR(SEARCH("*",K12)))</formula>
    </cfRule>
  </conditionalFormatting>
  <conditionalFormatting sqref="K12 K14 K16 K18 K20 K22 K24 K26 K28 K30 K32 K34 K36 K38 K40 K42 K44 K46 K48 K50">
    <cfRule type="expression" dxfId="391" priority="397">
      <formula>AND(K12&lt;&gt;"",K13="")</formula>
    </cfRule>
  </conditionalFormatting>
  <conditionalFormatting sqref="L12 L14 L16 L18 L20 L22 L24 L26 L28 L30 L32 L34 L36 L38 L40 L42 L44 L46 L48 L50">
    <cfRule type="containsText" dxfId="390" priority="396" operator="containsText" text="*">
      <formula>NOT(ISERROR(SEARCH("*",L12)))</formula>
    </cfRule>
  </conditionalFormatting>
  <conditionalFormatting sqref="J12 J14 J16 J18 J20 J22 J24 J26 J28 J30 J32 J34 J36 J38 J40 J42 J44 J46 J48 J50">
    <cfRule type="containsText" dxfId="389" priority="394" operator="containsText" text="*">
      <formula>NOT(ISERROR(SEARCH("*",J12)))</formula>
    </cfRule>
  </conditionalFormatting>
  <conditionalFormatting sqref="M12 M14 M16 M18 M20 M22 M24 M26 M28 M30 M32 M34 M36 M38 M40 M42 M44 M46 M48 M50">
    <cfRule type="containsText" dxfId="388" priority="392" operator="containsText" text="*">
      <formula>NOT(ISERROR(SEARCH("*",M12)))</formula>
    </cfRule>
  </conditionalFormatting>
  <conditionalFormatting sqref="A12 A14 A16 A18 A20 A22 A24 A26 A28 A30 A32 A34 A36 A38 A40 A42 A44 A46 A48 A50">
    <cfRule type="expression" dxfId="387" priority="389">
      <formula>AND(A12&lt;&gt;"",A13="")</formula>
    </cfRule>
  </conditionalFormatting>
  <conditionalFormatting sqref="A12 A14 A16 A18 A20 A22 A24 A26 A28 A30 A32 A34 A36 A38 A40 A42 A44 A46 A48 A50">
    <cfRule type="containsText" dxfId="386" priority="390" operator="containsText" text="*">
      <formula>NOT(ISERROR(SEARCH("*",A12)))</formula>
    </cfRule>
  </conditionalFormatting>
  <conditionalFormatting sqref="O12 O14 O16 O18 O20 O22 O24 O26 O28 O30 O32 O34 O36 O38 O40 O42 O44 O46 O48 O50">
    <cfRule type="expression" dxfId="385" priority="376">
      <formula>AND(O12&lt;&gt;"",O13="")</formula>
    </cfRule>
  </conditionalFormatting>
  <conditionalFormatting sqref="T12 T14 T16 T18 T20 T22 T24 T26 T28 T30 T32 T34 T36 T38 T40 T42 T44 T46 T48 T50">
    <cfRule type="expression" dxfId="384" priority="387">
      <formula>AND(T12&lt;&gt;"",T13="")</formula>
    </cfRule>
  </conditionalFormatting>
  <conditionalFormatting sqref="T12 T14 T16 T18 T20 T22 T24 T26 T28 T30 T32 T34 T36 T38 T40 T42 T44 T46 T48 T50">
    <cfRule type="containsText" dxfId="383" priority="388" operator="containsText" text="*">
      <formula>NOT(ISERROR(SEARCH("*",T12)))</formula>
    </cfRule>
  </conditionalFormatting>
  <conditionalFormatting sqref="E12:G12 E14:G14 E16:G16 E18:G18 E20:G20 E22:G22 E24:G24 E26:G26 E28:G28 E30:G30 E32:G32 E34:G34 E36:G36 E38:G38 E40:G40 E42:G42 E44:G44 E46:G46 E48:G48 E50:G50">
    <cfRule type="containsText" dxfId="382" priority="386" operator="containsText" text="*">
      <formula>NOT(ISERROR(SEARCH("*",E12)))</formula>
    </cfRule>
  </conditionalFormatting>
  <conditionalFormatting sqref="B11 B13 B15 B17 B19 B21 B23 B25 B27 B29 B31 B33 B35 B37 B39 B41 B43 B45 B47 B49">
    <cfRule type="containsText" dxfId="381" priority="384" operator="containsText" text="*">
      <formula>NOT(ISERROR(SEARCH("*",B11)))</formula>
    </cfRule>
  </conditionalFormatting>
  <conditionalFormatting sqref="B11 B13 B15 B17 B19 B21 B23 B25 B27 B29 B31 B33 B35 B37 B39 B41 B43 B45 B47 B49">
    <cfRule type="expression" dxfId="380" priority="383">
      <formula>AND(B11&lt;&gt;"",B12="")</formula>
    </cfRule>
  </conditionalFormatting>
  <conditionalFormatting sqref="T11 T13 T15 T17 T19 T21 T23 T25 T27 T29 T31 T33 T35 T37 T39 T41 T43 T45 T47 T49">
    <cfRule type="containsText" dxfId="379" priority="382" operator="containsText" text="*">
      <formula>NOT(ISERROR(SEARCH("*",T11)))</formula>
    </cfRule>
  </conditionalFormatting>
  <conditionalFormatting sqref="T11 T13 T15 T17 T19 T21 T23 T25 T27 T29 T31 T33 T35 T37 T39 T41 T43 T45 T47 T49">
    <cfRule type="expression" dxfId="378" priority="381">
      <formula>AND(T11&lt;&gt;"",T12="")</formula>
    </cfRule>
  </conditionalFormatting>
  <conditionalFormatting sqref="A11 A13 A15 A17 A19 A21 A23 A25 A27 A29 A31 A33 A35 A37 A39 A41 A43 A45 A47 A49 C11 C13 C15 C17 C19 C21 C23 C25 C27 C29 C31 C33 C35 C37 C39 C41 C43 C45 C47 C49 E11:M11 E13:M13 E15:M15 E17:M17 E19:M19 E21:M21 E23:M23 E25:M25 E27:M27 E29:M29 E31:M31 E33:M33 E35:M35 E37:M37 E39:M39 E41:M41 E43:M43 E45:M45 E47:M47 E49:M49">
    <cfRule type="containsText" dxfId="377" priority="380" operator="containsText" text="*">
      <formula>NOT(ISERROR(SEARCH("*",A11)))</formula>
    </cfRule>
  </conditionalFormatting>
  <conditionalFormatting sqref="A11 A13 A15 A17 A19 A21 A23 A25 A27 A29 A31 A33 A35 A37 A39 A41 A43 A45 A47 A49 C11 C13 C15 C17 C19 C21 C23 C25 C27 C29 C31 C33 C35 C37 C39 C41 C43 C45 C47 C49 E11:M11 E13:M13 E15:M15 E17:M17 E19:M19 E21:M21 E23:M23 E25:M25 E27:M27 E29:M29 E31:M31 E33:M33 E35:M35 E37:M37 E39:M39 E41:M41 E43:M43 E45:M45 E47:M47 E49:M49">
    <cfRule type="expression" dxfId="376" priority="379">
      <formula>AND(A11&lt;&gt;"",A12="")</formula>
    </cfRule>
  </conditionalFormatting>
  <conditionalFormatting sqref="N12:O12 N14:O14 N16:O16 N18:O18 N20:O20 N22:O22 N24:O24 N26:O26 N28:O28 N30:O30 N32:O32 N34:O34 N36:O36 N38:O38 N40:O40 N42:O42 N44:O44 N46:O46 N48:O48 N50:O50">
    <cfRule type="containsText" dxfId="375" priority="378" operator="containsText" text="*">
      <formula>NOT(ISERROR(SEARCH("*",N12)))</formula>
    </cfRule>
  </conditionalFormatting>
  <conditionalFormatting sqref="N12 N14 N16 N18 N20 N22 N24 N26 N28 N30 N32 N34 N36 N38 N40 N42 N44 N46 N48 N50">
    <cfRule type="expression" dxfId="374" priority="377">
      <formula>AND(N12&lt;&gt;"",N13="")</formula>
    </cfRule>
  </conditionalFormatting>
  <conditionalFormatting sqref="P12 P14 P16 P18 P20 P22 P24 P26 P28 P30 P32 P34 P36 P38 P40 P42 P44 P46 P48 P50">
    <cfRule type="containsText" dxfId="373" priority="375" operator="containsText" text="*">
      <formula>NOT(ISERROR(SEARCH("*",P12)))</formula>
    </cfRule>
  </conditionalFormatting>
  <conditionalFormatting sqref="P12 P14 P16 P18 P20 P22 P24 P26 P28 P30 P32 P34 P36 P38 P40 P42 P44 P46 P48 P50">
    <cfRule type="expression" dxfId="372" priority="374">
      <formula>AND(P12&lt;&gt;"",P13="")</formula>
    </cfRule>
  </conditionalFormatting>
  <conditionalFormatting sqref="N11:P11 N13:P13 N15:P15 N17:P17 N19:P19 N21:P21 N23:P23 N25:P25 N27:P27 N29:P29 N31:P31 N33:P33 N35:P35 N37:P37 N39:P39 N41:P41 N43:P43 N45:P45 N47:P47 N49:P49">
    <cfRule type="containsText" dxfId="371" priority="373" operator="containsText" text="*">
      <formula>NOT(ISERROR(SEARCH("*",N11)))</formula>
    </cfRule>
  </conditionalFormatting>
  <conditionalFormatting sqref="N11:P11 N13:P13 N15:P15 N17:P17 N19:P19 N21:P21 N23:P23 N25:P25 N27:P27 N29:P29 N31:P31 N33:P33 N35:P35 N37:P37 N39:P39 N41:P41 N43:P43 N45:P45 N47:P47 N49:P49">
    <cfRule type="expression" dxfId="370" priority="372">
      <formula>AND(N11&lt;&gt;"",N12="")</formula>
    </cfRule>
  </conditionalFormatting>
  <conditionalFormatting sqref="Q12:R12 Q14:R14 Q16:R16 Q18:R18 Q20:R20 Q22:R22 Q24:R24 Q26:R26 Q28:R28 Q30:R30 Q32:R32 Q34:R34 Q36:R36 Q38:R38 Q40:R40 Q42:R42 Q44:R44 Q46:R46 Q48:R48 Q50:R50">
    <cfRule type="containsText" dxfId="369" priority="371" operator="containsText" text="*">
      <formula>NOT(ISERROR(SEARCH("*",Q12)))</formula>
    </cfRule>
  </conditionalFormatting>
  <conditionalFormatting sqref="Q12 Q14 Q16 Q18 Q20 Q22 Q24 Q26 Q28 Q30 Q32 Q34 Q36 Q38 Q40 Q42 Q44 Q46 Q48 Q50">
    <cfRule type="expression" dxfId="368" priority="370">
      <formula>AND(Q12&lt;&gt;"",Q13="")</formula>
    </cfRule>
  </conditionalFormatting>
  <conditionalFormatting sqref="R12 R14 R16 R18 R20 R22 R24 R26 R28 R30 R32 R34 R36 R38 R40 R42 R44 R46 R48 R50">
    <cfRule type="expression" dxfId="367" priority="369">
      <formula>AND(R12&lt;&gt;"",R13="")</formula>
    </cfRule>
  </conditionalFormatting>
  <conditionalFormatting sqref="S12 S14 S16 S18 S20 S22 S24 S26 S28 S30 S32 S34 S36 S38 S40 S42 S44 S46 S48 S50">
    <cfRule type="containsText" dxfId="366" priority="368" operator="containsText" text="*">
      <formula>NOT(ISERROR(SEARCH("*",S12)))</formula>
    </cfRule>
  </conditionalFormatting>
  <conditionalFormatting sqref="S12 S14 S16 S18 S20 S22 S24 S26 S28 S30 S32 S34 S36 S38 S40 S42 S44 S46 S48 S50">
    <cfRule type="expression" dxfId="365" priority="367">
      <formula>AND(S12&lt;&gt;"",S13="")</formula>
    </cfRule>
  </conditionalFormatting>
  <conditionalFormatting sqref="Q11:S11 Q13:S13 Q15:S15 Q17:S17 Q19:S19 Q21:S21 Q23:S23 Q25:S25 Q27:S27 Q29:S29 Q31:S31 Q33:S33 Q35:S35 Q37:S37 Q39:S39 Q41:S41 Q43:S43 Q45:S45 Q47:S47 Q49:S49">
    <cfRule type="containsText" dxfId="364" priority="366" operator="containsText" text="*">
      <formula>NOT(ISERROR(SEARCH("*",Q11)))</formula>
    </cfRule>
  </conditionalFormatting>
  <conditionalFormatting sqref="Q11:S11 Q13:S13 Q15:S15 Q17:S17 Q19:S19 Q21:S21 Q23:S23 Q25:S25 Q27:S27 Q29:S29 Q31:S31 Q33:S33 Q35:S35 Q37:S37 Q39:S39 Q41:S41 Q43:S43 Q45:S45 Q47:S47 Q49:S49">
    <cfRule type="expression" dxfId="363" priority="365">
      <formula>AND(Q11&lt;&gt;"",Q12="")</formula>
    </cfRule>
  </conditionalFormatting>
  <conditionalFormatting sqref="D12 D14 D16 D18 D20 D22 D24 D26 D28 D30 D32 D34 D36 D38 D40 D42 D44 D46 D48 D50">
    <cfRule type="expression" dxfId="362" priority="363">
      <formula>AND(D12&lt;&gt;"",D13="")</formula>
    </cfRule>
  </conditionalFormatting>
  <conditionalFormatting sqref="D12 D14 D16 D18 D20 D22 D24 D26 D28 D30 D32 D34 D36 D38 D40 D42 D44 D46 D48 D50">
    <cfRule type="containsText" dxfId="361" priority="364" operator="containsText" text="*">
      <formula>NOT(ISERROR(SEARCH("*",D12)))</formula>
    </cfRule>
  </conditionalFormatting>
  <conditionalFormatting sqref="D11 D13 D15 D17 D19 D21 D23 D25 D27 D29 D31 D33 D35 D37 D39 D41 D43 D45 D47 D49">
    <cfRule type="expression" dxfId="360" priority="361">
      <formula>AND(D11&lt;&gt;"",D12="")</formula>
    </cfRule>
  </conditionalFormatting>
  <conditionalFormatting sqref="D11 D13 D15 D17 D19 D21 D23 D25 D27 D29 D31 D33 D35 D37 D39 D41 D43 D45 D47 D49">
    <cfRule type="containsText" dxfId="359" priority="362" operator="containsText" text="*">
      <formula>NOT(ISERROR(SEARCH("*",D11)))</formula>
    </cfRule>
  </conditionalFormatting>
  <conditionalFormatting sqref="B51:B100">
    <cfRule type="containsText" dxfId="358" priority="360" operator="containsText" text="*">
      <formula>NOT(ISERROR(SEARCH("*",B51)))</formula>
    </cfRule>
  </conditionalFormatting>
  <conditionalFormatting sqref="B51:B100">
    <cfRule type="expression" dxfId="357" priority="359">
      <formula>AND(B51&lt;&gt;"",B52="")</formula>
    </cfRule>
  </conditionalFormatting>
  <conditionalFormatting sqref="J52 J54 J56 J58 J60 J62 J64 J66 J68 J70 J72 J74 J76 J78 J80 J82 J84 J86 J88 J90 J92 J94 J96 J98 J100">
    <cfRule type="expression" dxfId="356" priority="348">
      <formula>AND(J52&lt;&gt;"",J53="")</formula>
    </cfRule>
  </conditionalFormatting>
  <conditionalFormatting sqref="M52 M54 M56 M58 M60 M62 M64 M66 M68 M70 M72 M74 M76 M78 M80 M82 M84 M86 M88 M90 M92 M94 M96 M98 M100">
    <cfRule type="expression" dxfId="355" priority="346">
      <formula>AND(M52&lt;&gt;"",M53="")</formula>
    </cfRule>
  </conditionalFormatting>
  <conditionalFormatting sqref="L52 L54 L56 L58 L60 L62 L64 L66 L68 L70 L72 L74 L76 L78 L80 L82 L84 L86 L88 L90 L92 L94 L96 L98 L100">
    <cfRule type="expression" dxfId="354" priority="350">
      <formula>AND(L52&lt;&gt;"",L53="")</formula>
    </cfRule>
  </conditionalFormatting>
  <conditionalFormatting sqref="B52:C52 B54:C54 B56:C56 B58:C58 B60:C60 B62:C62 B64:C64 B66:C66 B68:C68 B70:C70 B72:C72 B74:C74 B76:C76 B78:C78 B80:C80 B82:C82 B84:C84 B86:C86 B88:C88 B90:C90 B92:C92 B94:C94 B96:C96 B98:C98 B100:C100 H52:I52 H54:I54 H56:I56 H58:I58 H60:I60 H62:I62 H64:I64 H66:I66 H68:I68 H70:I70 H72:I72 H74:I74 H76:I76 H78:I78 H80:I80 H82:I82 H84:I84 H86:I86 H88:I88 H90:I90 H92:I92 H94:I94 H96:I96 H98:I98 H100:I100">
    <cfRule type="containsText" dxfId="353" priority="358" operator="containsText" text="*">
      <formula>NOT(ISERROR(SEARCH("*",B52)))</formula>
    </cfRule>
  </conditionalFormatting>
  <conditionalFormatting sqref="B52 B54 B56 B58 B60 B62 B64 B66 B68 B70 B72 B74 B76 B78 B80 B82 B84 B86 B88 B90 B92 B94 B96 B98 B100">
    <cfRule type="expression" dxfId="352" priority="357">
      <formula>AND(B52&lt;&gt;"",B53="")</formula>
    </cfRule>
  </conditionalFormatting>
  <conditionalFormatting sqref="C52 C54 C56 C58 C60 C62 C64 C66 C68 C70 C72 C74 C76 C78 C80 C82 C84 C86 C88 C90 C92 C94 C96 C98 C100">
    <cfRule type="expression" dxfId="351" priority="356">
      <formula>AND(C52&lt;&gt;"",C53="")</formula>
    </cfRule>
  </conditionalFormatting>
  <conditionalFormatting sqref="H52 H54 H56 H58 H60 H62 H64 H66 H68 H70 H72 H74 H76 H78 H80 H82 H84 H86 H88 H90 H92 H94 H96 H98 H100">
    <cfRule type="expression" dxfId="350" priority="355">
      <formula>AND(H52&lt;&gt;"",H53="")</formula>
    </cfRule>
  </conditionalFormatting>
  <conditionalFormatting sqref="I52 I54 I56 I58 I60 I62 I64 I66 I68 I70 I72 I74 I76 I78 I80 I82 I84 I86 I88 I90 I92 I94 I96 I98 I100">
    <cfRule type="expression" dxfId="349" priority="354">
      <formula>AND(I52&lt;&gt;"",I53="")</formula>
    </cfRule>
  </conditionalFormatting>
  <conditionalFormatting sqref="E52:G52 E54:G54 E56:G56 E58:G58 E60:G60 E62:G62 E64:G64 E66:G66 E68:G68 E70:G70 E72:G72 E74:G74 E76:G76 E78:G78 E80:G80 E82:G82 E84:G84 E86:G86 E88:G88 E90:G90 E92:G92 E94:G94 E96:G96 E98:G98 E100:G100">
    <cfRule type="expression" dxfId="348" priority="340">
      <formula>AND(E52&lt;&gt;"",E53="")</formula>
    </cfRule>
  </conditionalFormatting>
  <conditionalFormatting sqref="K52 K54 K56 K58 K60 K62 K64 K66 K68 K70 K72 K74 K76 K78 K80 K82 K84 K86 K88 K90 K92 K94 K96 K98 K100">
    <cfRule type="containsText" dxfId="347" priority="353" operator="containsText" text="*">
      <formula>NOT(ISERROR(SEARCH("*",K52)))</formula>
    </cfRule>
  </conditionalFormatting>
  <conditionalFormatting sqref="K52 K54 K56 K58 K60 K62 K64 K66 K68 K70 K72 K74 K76 K78 K80 K82 K84 K86 K88 K90 K92 K94 K96 K98 K100">
    <cfRule type="expression" dxfId="346" priority="352">
      <formula>AND(K52&lt;&gt;"",K53="")</formula>
    </cfRule>
  </conditionalFormatting>
  <conditionalFormatting sqref="L52 L54 L56 L58 L60 L62 L64 L66 L68 L70 L72 L74 L76 L78 L80 L82 L84 L86 L88 L90 L92 L94 L96 L98 L100">
    <cfRule type="containsText" dxfId="345" priority="351" operator="containsText" text="*">
      <formula>NOT(ISERROR(SEARCH("*",L52)))</formula>
    </cfRule>
  </conditionalFormatting>
  <conditionalFormatting sqref="J52 J54 J56 J58 J60 J62 J64 J66 J68 J70 J72 J74 J76 J78 J80 J82 J84 J86 J88 J90 J92 J94 J96 J98 J100">
    <cfRule type="containsText" dxfId="344" priority="349" operator="containsText" text="*">
      <formula>NOT(ISERROR(SEARCH("*",J52)))</formula>
    </cfRule>
  </conditionalFormatting>
  <conditionalFormatting sqref="M52 M54 M56 M58 M60 M62 M64 M66 M68 M70 M72 M74 M76 M78 M80 M82 M84 M86 M88 M90 M92 M94 M96 M98 M100">
    <cfRule type="containsText" dxfId="343" priority="347" operator="containsText" text="*">
      <formula>NOT(ISERROR(SEARCH("*",M52)))</formula>
    </cfRule>
  </conditionalFormatting>
  <conditionalFormatting sqref="A52 A54 A56 A58 A60 A62 A64 A66 A68 A70 A72 A74 A76 A78 A80 A82 A84 A86 A88 A90 A92 A94 A96 A98 A100">
    <cfRule type="expression" dxfId="342" priority="344">
      <formula>AND(A52&lt;&gt;"",A53="")</formula>
    </cfRule>
  </conditionalFormatting>
  <conditionalFormatting sqref="A52 A54 A56 A58 A60 A62 A64 A66 A68 A70 A72 A74 A76 A78 A80 A82 A84 A86 A88 A90 A92 A94 A96 A98 A100">
    <cfRule type="containsText" dxfId="341" priority="345" operator="containsText" text="*">
      <formula>NOT(ISERROR(SEARCH("*",A52)))</formula>
    </cfRule>
  </conditionalFormatting>
  <conditionalFormatting sqref="O52 O54 O56 O58 O60 O62 O64 O66 O68 O70 O72 O74 O76 O78 O80 O82 O84 O86 O88 O90 O92 O94 O96 O98 O100">
    <cfRule type="expression" dxfId="340" priority="331">
      <formula>AND(O52&lt;&gt;"",O53="")</formula>
    </cfRule>
  </conditionalFormatting>
  <conditionalFormatting sqref="T52 T54 T56 T58 T60 T62 T64 T66 T68 T70 T72 T74 T76 T78 T80 T82 T84 T86 T88 T90 T92 T94 T96 T98 T100">
    <cfRule type="expression" dxfId="339" priority="342">
      <formula>AND(T52&lt;&gt;"",T53="")</formula>
    </cfRule>
  </conditionalFormatting>
  <conditionalFormatting sqref="T52 T54 T56 T58 T60 T62 T64 T66 T68 T70 T72 T74 T76 T78 T80 T82 T84 T86 T88 T90 T92 T94 T96 T98 T100">
    <cfRule type="containsText" dxfId="338" priority="343" operator="containsText" text="*">
      <formula>NOT(ISERROR(SEARCH("*",T52)))</formula>
    </cfRule>
  </conditionalFormatting>
  <conditionalFormatting sqref="E52:G52 E54:G54 E56:G56 E58:G58 E60:G60 E62:G62 E64:G64 E66:G66 E68:G68 E70:G70 E72:G72 E74:G74 E76:G76 E78:G78 E80:G80 E82:G82 E84:G84 E86:G86 E88:G88 E90:G90 E92:G92 E94:G94 E96:G96 E98:G98 E100:G100">
    <cfRule type="containsText" dxfId="337" priority="341" operator="containsText" text="*">
      <formula>NOT(ISERROR(SEARCH("*",E52)))</formula>
    </cfRule>
  </conditionalFormatting>
  <conditionalFormatting sqref="B51 B53 B55 B57 B59 B61 B63 B65 B67 B69 B71 B73 B75 B77 B79 B81 B83 B85 B87 B89 B91 B93 B95 B97 B99">
    <cfRule type="containsText" dxfId="336" priority="339" operator="containsText" text="*">
      <formula>NOT(ISERROR(SEARCH("*",B51)))</formula>
    </cfRule>
  </conditionalFormatting>
  <conditionalFormatting sqref="B51 B53 B55 B57 B59 B61 B63 B65 B67 B69 B71 B73 B75 B77 B79 B81 B83 B85 B87 B89 B91 B93 B95 B97 B99">
    <cfRule type="expression" dxfId="335" priority="338">
      <formula>AND(B51&lt;&gt;"",B52="")</formula>
    </cfRule>
  </conditionalFormatting>
  <conditionalFormatting sqref="T51 T53 T55 T57 T59 T61 T63 T65 T67 T69 T71 T73 T75 T77 T79 T81 T83 T85 T87 T89 T91 T93 T95 T97 T99">
    <cfRule type="containsText" dxfId="334" priority="337" operator="containsText" text="*">
      <formula>NOT(ISERROR(SEARCH("*",T51)))</formula>
    </cfRule>
  </conditionalFormatting>
  <conditionalFormatting sqref="T51 T53 T55 T57 T59 T61 T63 T65 T67 T69 T71 T73 T75 T77 T79 T81 T83 T85 T87 T89 T91 T93 T95 T97 T99">
    <cfRule type="expression" dxfId="333" priority="336">
      <formula>AND(T51&lt;&gt;"",T52="")</formula>
    </cfRule>
  </conditionalFormatting>
  <conditionalFormatting sqref="A51 A53 A55 A57 A59 A61 A63 A65 A67 A69 A71 A73 A75 A77 A79 A81 A83 A85 A87 A89 A91 A93 A95 A97 A99 C51 C53 C55 C57 C59 C61 C63 C65 C67 C69 C71 C73 C75 C77 C79 C81 C83 C85 C87 C89 C91 C93 C95 C97 C99 E51:M51 E53:M53 E55:M55 E57:M57 E59:M59 E61:M61 E63:M63 E65:M65 E67:M67 E69:M69 E71:M71 E73:M73 E75:M75 E77:M77 E79:M79 E81:M81 E83:M83 E85:M85 E87:M87 E89:M89 E91:M91 E93:M93 E95:M95 E97:M97 E99:M99">
    <cfRule type="containsText" dxfId="332" priority="335" operator="containsText" text="*">
      <formula>NOT(ISERROR(SEARCH("*",A51)))</formula>
    </cfRule>
  </conditionalFormatting>
  <conditionalFormatting sqref="A51 A53 A55 A57 A59 A61 A63 A65 A67 A69 A71 A73 A75 A77 A79 A81 A83 A85 A87 A89 A91 A93 A95 A97 A99 C51 C53 C55 C57 C59 C61 C63 C65 C67 C69 C71 C73 C75 C77 C79 C81 C83 C85 C87 C89 C91 C93 C95 C97 C99 E51:M51 E53:M53 E55:M55 E57:M57 E59:M59 E61:M61 E63:M63 E65:M65 E67:M67 E69:M69 E71:M71 E73:M73 E75:M75 E77:M77 E79:M79 E81:M81 E83:M83 E85:M85 E87:M87 E89:M89 E91:M91 E93:M93 E95:M95 E97:M97 E99:M99">
    <cfRule type="expression" dxfId="331" priority="334">
      <formula>AND(A51&lt;&gt;"",A52="")</formula>
    </cfRule>
  </conditionalFormatting>
  <conditionalFormatting sqref="N52:O52 N54:O54 N56:O56 N58:O58 N60:O60 N62:O62 N64:O64 N66:O66 N68:O68 N70:O70 N72:O72 N74:O74 N76:O76 N78:O78 N80:O80 N82:O82 N84:O84 N86:O86 N88:O88 N90:O90 N92:O92 N94:O94 N96:O96 N98:O98 N100:O100">
    <cfRule type="containsText" dxfId="330" priority="333" operator="containsText" text="*">
      <formula>NOT(ISERROR(SEARCH("*",N52)))</formula>
    </cfRule>
  </conditionalFormatting>
  <conditionalFormatting sqref="N52 N54 N56 N58 N60 N62 N64 N66 N68 N70 N72 N74 N76 N78 N80 N82 N84 N86 N88 N90 N92 N94 N96 N98 N100">
    <cfRule type="expression" dxfId="329" priority="332">
      <formula>AND(N52&lt;&gt;"",N53="")</formula>
    </cfRule>
  </conditionalFormatting>
  <conditionalFormatting sqref="P52 P54 P56 P58 P60 P62 P64 P66 P68 P70 P72 P74 P76 P78 P80 P82 P84 P86 P88 P90 P92 P94 P96 P98 P100">
    <cfRule type="containsText" dxfId="328" priority="330" operator="containsText" text="*">
      <formula>NOT(ISERROR(SEARCH("*",P52)))</formula>
    </cfRule>
  </conditionalFormatting>
  <conditionalFormatting sqref="P52 P54 P56 P58 P60 P62 P64 P66 P68 P70 P72 P74 P76 P78 P80 P82 P84 P86 P88 P90 P92 P94 P96 P98 P100">
    <cfRule type="expression" dxfId="327" priority="329">
      <formula>AND(P52&lt;&gt;"",P53="")</formula>
    </cfRule>
  </conditionalFormatting>
  <conditionalFormatting sqref="N51:P51 N53:P53 N55:P55 N57:P57 N59:P59 N61:P61 N63:P63 N65:P65 N67:P67 N69:P69 N71:P71 N73:P73 N75:P75 N77:P77 N79:P79 N81:P81 N83:P83 N85:P85 N87:P87 N89:P89 N91:P91 N93:P93 N95:P95 N97:P97 N99:P99">
    <cfRule type="containsText" dxfId="326" priority="328" operator="containsText" text="*">
      <formula>NOT(ISERROR(SEARCH("*",N51)))</formula>
    </cfRule>
  </conditionalFormatting>
  <conditionalFormatting sqref="N51:P51 N53:P53 N55:P55 N57:P57 N59:P59 N61:P61 N63:P63 N65:P65 N67:P67 N69:P69 N71:P71 N73:P73 N75:P75 N77:P77 N79:P79 N81:P81 N83:P83 N85:P85 N87:P87 N89:P89 N91:P91 N93:P93 N95:P95 N97:P97 N99:P99">
    <cfRule type="expression" dxfId="325" priority="327">
      <formula>AND(N51&lt;&gt;"",N52="")</formula>
    </cfRule>
  </conditionalFormatting>
  <conditionalFormatting sqref="Q52:R52 Q54:R54 Q56:R56 Q58:R58 Q60:R60 Q62:R62 Q64:R64 Q66:R66 Q68:R68 Q70:R70 Q72:R72 Q74:R74 Q76:R76 Q78:R78 Q80:R80 Q82:R82 Q84:R84 Q86:R86 Q88:R88 Q90:R90 Q92:R92 Q94:R94 Q96:R96 Q98:R98 Q100:R100">
    <cfRule type="containsText" dxfId="324" priority="326" operator="containsText" text="*">
      <formula>NOT(ISERROR(SEARCH("*",Q52)))</formula>
    </cfRule>
  </conditionalFormatting>
  <conditionalFormatting sqref="Q52 Q54 Q56 Q58 Q60 Q62 Q64 Q66 Q68 Q70 Q72 Q74 Q76 Q78 Q80 Q82 Q84 Q86 Q88 Q90 Q92 Q94 Q96 Q98 Q100">
    <cfRule type="expression" dxfId="323" priority="325">
      <formula>AND(Q52&lt;&gt;"",Q53="")</formula>
    </cfRule>
  </conditionalFormatting>
  <conditionalFormatting sqref="R52 R54 R56 R58 R60 R62 R64 R66 R68 R70 R72 R74 R76 R78 R80 R82 R84 R86 R88 R90 R92 R94 R96 R98 R100">
    <cfRule type="expression" dxfId="322" priority="324">
      <formula>AND(R52&lt;&gt;"",R53="")</formula>
    </cfRule>
  </conditionalFormatting>
  <conditionalFormatting sqref="S52 S54 S56 S58 S60 S62 S64 S66 S68 S70 S72 S74 S76 S78 S80 S82 S84 S86 S88 S90 S92 S94 S96 S98 S100">
    <cfRule type="containsText" dxfId="321" priority="323" operator="containsText" text="*">
      <formula>NOT(ISERROR(SEARCH("*",S52)))</formula>
    </cfRule>
  </conditionalFormatting>
  <conditionalFormatting sqref="S52 S54 S56 S58 S60 S62 S64 S66 S68 S70 S72 S74 S76 S78 S80 S82 S84 S86 S88 S90 S92 S94 S96 S98 S100">
    <cfRule type="expression" dxfId="320" priority="322">
      <formula>AND(S52&lt;&gt;"",S53="")</formula>
    </cfRule>
  </conditionalFormatting>
  <conditionalFormatting sqref="Q51:S51 Q53:S53 Q55:S55 Q57:S57 Q59:S59 Q61:S61 Q63:S63 Q65:S65 Q67:S67 Q69:S69 Q71:S71 Q73:S73 Q75:S75 Q77:S77 Q79:S79 Q81:S81 Q83:S83 Q85:S85 Q87:S87 Q89:S89 Q91:S91 Q93:S93 Q95:S95 Q97:S97 Q99:S99">
    <cfRule type="containsText" dxfId="319" priority="321" operator="containsText" text="*">
      <formula>NOT(ISERROR(SEARCH("*",Q51)))</formula>
    </cfRule>
  </conditionalFormatting>
  <conditionalFormatting sqref="Q51:S51 Q53:S53 Q55:S55 Q57:S57 Q59:S59 Q61:S61 Q63:S63 Q65:S65 Q67:S67 Q69:S69 Q71:S71 Q73:S73 Q75:S75 Q77:S77 Q79:S79 Q81:S81 Q83:S83 Q85:S85 Q87:S87 Q89:S89 Q91:S91 Q93:S93 Q95:S95 Q97:S97 Q99:S99">
    <cfRule type="expression" dxfId="318" priority="320">
      <formula>AND(Q51&lt;&gt;"",Q52="")</formula>
    </cfRule>
  </conditionalFormatting>
  <conditionalFormatting sqref="D52 D54 D56 D58 D60 D62 D64 D66 D68 D70 D72 D74 D76 D78 D80 D82 D84 D86 D88 D90 D92 D94 D96 D98 D100">
    <cfRule type="expression" dxfId="317" priority="318">
      <formula>AND(D52&lt;&gt;"",D53="")</formula>
    </cfRule>
  </conditionalFormatting>
  <conditionalFormatting sqref="D52 D54 D56 D58 D60 D62 D64 D66 D68 D70 D72 D74 D76 D78 D80 D82 D84 D86 D88 D90 D92 D94 D96 D98 D100">
    <cfRule type="containsText" dxfId="316" priority="319" operator="containsText" text="*">
      <formula>NOT(ISERROR(SEARCH("*",D52)))</formula>
    </cfRule>
  </conditionalFormatting>
  <conditionalFormatting sqref="D51 D53 D55 D57 D59 D61 D63 D65 D67 D69 D71 D73 D75 D77 D79 D81 D83 D85 D87 D89 D91 D93 D95 D97 D99">
    <cfRule type="expression" dxfId="315" priority="316">
      <formula>AND(D51&lt;&gt;"",D52="")</formula>
    </cfRule>
  </conditionalFormatting>
  <conditionalFormatting sqref="D51 D53 D55 D57 D59 D61 D63 D65 D67 D69 D71 D73 D75 D77 D79 D81 D83 D85 D87 D89 D91 D93 D95 D97 D99">
    <cfRule type="containsText" dxfId="314" priority="317" operator="containsText" text="*">
      <formula>NOT(ISERROR(SEARCH("*",D51)))</formula>
    </cfRule>
  </conditionalFormatting>
  <conditionalFormatting sqref="B101:B150">
    <cfRule type="containsText" dxfId="313" priority="315" operator="containsText" text="*">
      <formula>NOT(ISERROR(SEARCH("*",B101)))</formula>
    </cfRule>
  </conditionalFormatting>
  <conditionalFormatting sqref="B101:B150">
    <cfRule type="expression" dxfId="312" priority="314">
      <formula>AND(B101&lt;&gt;"",B102="")</formula>
    </cfRule>
  </conditionalFormatting>
  <conditionalFormatting sqref="J102 J104 J106 J108 J110 J112 J114 J116 J118 J120 J122 J124 J126 J128 J130 J132 J134 J136 J138 J140 J142 J144 J146 J148 J150">
    <cfRule type="expression" dxfId="311" priority="303">
      <formula>AND(J102&lt;&gt;"",J103="")</formula>
    </cfRule>
  </conditionalFormatting>
  <conditionalFormatting sqref="M102 M104 M106 M108 M110 M112 M114 M116 M118 M120 M122 M124 M126 M128 M130 M132 M134 M136 M138 M140 M142 M144 M146 M148 M150">
    <cfRule type="expression" dxfId="310" priority="301">
      <formula>AND(M102&lt;&gt;"",M103="")</formula>
    </cfRule>
  </conditionalFormatting>
  <conditionalFormatting sqref="L102 L104 L106 L108 L110 L112 L114 L116 L118 L120 L122 L124 L126 L128 L130 L132 L134 L136 L138 L140 L142 L144 L146 L148 L150">
    <cfRule type="expression" dxfId="309" priority="305">
      <formula>AND(L102&lt;&gt;"",L103="")</formula>
    </cfRule>
  </conditionalFormatting>
  <conditionalFormatting sqref="B102:C102 B104:C104 B106:C106 B108:C108 B110:C110 B112:C112 B114:C114 B116:C116 B118:C118 B120:C120 B122:C122 B124:C124 B126:C126 B128:C128 B130:C130 B132:C132 B134:C134 B136:C136 B138:C138 B140:C140 B142:C142 B144:C144 B146:C146 B148:C148 B150:C150 H102:I102 H104:I104 H106:I106 H108:I108 H110:I110 H112:I112 H114:I114 H116:I116 H118:I118 H120:I120 H122:I122 H124:I124 H126:I126 H128:I128 H130:I130 H132:I132 H134:I134 H136:I136 H138:I138 H140:I140 H142:I142 H144:I144 H146:I146 H148:I148 H150:I150">
    <cfRule type="containsText" dxfId="308" priority="313" operator="containsText" text="*">
      <formula>NOT(ISERROR(SEARCH("*",B102)))</formula>
    </cfRule>
  </conditionalFormatting>
  <conditionalFormatting sqref="B102 B104 B106 B108 B110 B112 B114 B116 B118 B120 B122 B124 B126 B128 B130 B132 B134 B136 B138 B140 B142 B144 B146 B148 B150">
    <cfRule type="expression" dxfId="307" priority="312">
      <formula>AND(B102&lt;&gt;"",B103="")</formula>
    </cfRule>
  </conditionalFormatting>
  <conditionalFormatting sqref="C102 C104 C106 C108 C110 C112 C114 C116 C118 C120 C122 C124 C126 C128 C130 C132 C134 C136 C138 C140 C142 C144 C146 C148 C150">
    <cfRule type="expression" dxfId="306" priority="311">
      <formula>AND(C102&lt;&gt;"",C103="")</formula>
    </cfRule>
  </conditionalFormatting>
  <conditionalFormatting sqref="H102 H104 H106 H108 H110 H112 H114 H116 H118 H120 H122 H124 H126 H128 H130 H132 H134 H136 H138 H140 H142 H144 H146 H148 H150">
    <cfRule type="expression" dxfId="305" priority="310">
      <formula>AND(H102&lt;&gt;"",H103="")</formula>
    </cfRule>
  </conditionalFormatting>
  <conditionalFormatting sqref="I102 I104 I106 I108 I110 I112 I114 I116 I118 I120 I122 I124 I126 I128 I130 I132 I134 I136 I138 I140 I142 I144 I146 I148 I150">
    <cfRule type="expression" dxfId="304" priority="309">
      <formula>AND(I102&lt;&gt;"",I103="")</formula>
    </cfRule>
  </conditionalFormatting>
  <conditionalFormatting sqref="E102:G102 E104:G104 E106:G106 E108:G108 E110:G110 E112:G112 E114:G114 E116:G116 E118:G118 E120:G120 E122:G122 E124:G124 E126:G126 E128:G128 E130:G130 E132:G132 E134:G134 E136:G136 E138:G138 E140:G140 E142:G142 E144:G144 E146:G146 E148:G148 E150:G150">
    <cfRule type="expression" dxfId="303" priority="295">
      <formula>AND(E102&lt;&gt;"",E103="")</formula>
    </cfRule>
  </conditionalFormatting>
  <conditionalFormatting sqref="K102 K104 K106 K108 K110 K112 K114 K116 K118 K120 K122 K124 K126 K128 K130 K132 K134 K136 K138 K140 K142 K144 K146 K148 K150">
    <cfRule type="containsText" dxfId="302" priority="308" operator="containsText" text="*">
      <formula>NOT(ISERROR(SEARCH("*",K102)))</formula>
    </cfRule>
  </conditionalFormatting>
  <conditionalFormatting sqref="K102 K104 K106 K108 K110 K112 K114 K116 K118 K120 K122 K124 K126 K128 K130 K132 K134 K136 K138 K140 K142 K144 K146 K148 K150">
    <cfRule type="expression" dxfId="301" priority="307">
      <formula>AND(K102&lt;&gt;"",K103="")</formula>
    </cfRule>
  </conditionalFormatting>
  <conditionalFormatting sqref="L102 L104 L106 L108 L110 L112 L114 L116 L118 L120 L122 L124 L126 L128 L130 L132 L134 L136 L138 L140 L142 L144 L146 L148 L150">
    <cfRule type="containsText" dxfId="300" priority="306" operator="containsText" text="*">
      <formula>NOT(ISERROR(SEARCH("*",L102)))</formula>
    </cfRule>
  </conditionalFormatting>
  <conditionalFormatting sqref="J102 J104 J106 J108 J110 J112 J114 J116 J118 J120 J122 J124 J126 J128 J130 J132 J134 J136 J138 J140 J142 J144 J146 J148 J150">
    <cfRule type="containsText" dxfId="299" priority="304" operator="containsText" text="*">
      <formula>NOT(ISERROR(SEARCH("*",J102)))</formula>
    </cfRule>
  </conditionalFormatting>
  <conditionalFormatting sqref="M102 M104 M106 M108 M110 M112 M114 M116 M118 M120 M122 M124 M126 M128 M130 M132 M134 M136 M138 M140 M142 M144 M146 M148 M150">
    <cfRule type="containsText" dxfId="298" priority="302" operator="containsText" text="*">
      <formula>NOT(ISERROR(SEARCH("*",M102)))</formula>
    </cfRule>
  </conditionalFormatting>
  <conditionalFormatting sqref="A102 A104 A106 A108 A110 A112 A114 A116 A118 A120 A122 A124 A126 A128 A130 A132 A134 A136 A138 A140 A142 A144 A146 A148 A150">
    <cfRule type="expression" dxfId="297" priority="299">
      <formula>AND(A102&lt;&gt;"",A103="")</formula>
    </cfRule>
  </conditionalFormatting>
  <conditionalFormatting sqref="A102 A104 A106 A108 A110 A112 A114 A116 A118 A120 A122 A124 A126 A128 A130 A132 A134 A136 A138 A140 A142 A144 A146 A148 A150">
    <cfRule type="containsText" dxfId="296" priority="300" operator="containsText" text="*">
      <formula>NOT(ISERROR(SEARCH("*",A102)))</formula>
    </cfRule>
  </conditionalFormatting>
  <conditionalFormatting sqref="O102 O104 O106 O108 O110 O112 O114 O116 O118 O120 O122 O124 O126 O128 O130 O132 O134 O136 O138 O140 O142 O144 O146 O148 O150">
    <cfRule type="expression" dxfId="295" priority="286">
      <formula>AND(O102&lt;&gt;"",O103="")</formula>
    </cfRule>
  </conditionalFormatting>
  <conditionalFormatting sqref="T102 T104 T106 T108 T110 T112 T114 T116 T118 T120 T122 T124 T126 T128 T130 T132 T134 T136 T138 T140 T142 T144 T146 T148 T150">
    <cfRule type="expression" dxfId="294" priority="297">
      <formula>AND(T102&lt;&gt;"",T103="")</formula>
    </cfRule>
  </conditionalFormatting>
  <conditionalFormatting sqref="T102 T104 T106 T108 T110 T112 T114 T116 T118 T120 T122 T124 T126 T128 T130 T132 T134 T136 T138 T140 T142 T144 T146 T148 T150">
    <cfRule type="containsText" dxfId="293" priority="298" operator="containsText" text="*">
      <formula>NOT(ISERROR(SEARCH("*",T102)))</formula>
    </cfRule>
  </conditionalFormatting>
  <conditionalFormatting sqref="E102:G102 E104:G104 E106:G106 E108:G108 E110:G110 E112:G112 E114:G114 E116:G116 E118:G118 E120:G120 E122:G122 E124:G124 E126:G126 E128:G128 E130:G130 E132:G132 E134:G134 E136:G136 E138:G138 E140:G140 E142:G142 E144:G144 E146:G146 E148:G148 E150:G150">
    <cfRule type="containsText" dxfId="292" priority="296" operator="containsText" text="*">
      <formula>NOT(ISERROR(SEARCH("*",E102)))</formula>
    </cfRule>
  </conditionalFormatting>
  <conditionalFormatting sqref="B101 B103 B105 B107 B109 B111 B113 B115 B117 B119 B121 B123 B125 B127 B129 B131 B133 B135 B137 B139 B141 B143 B145 B147 B149">
    <cfRule type="containsText" dxfId="291" priority="294" operator="containsText" text="*">
      <formula>NOT(ISERROR(SEARCH("*",B101)))</formula>
    </cfRule>
  </conditionalFormatting>
  <conditionalFormatting sqref="B101 B103 B105 B107 B109 B111 B113 B115 B117 B119 B121 B123 B125 B127 B129 B131 B133 B135 B137 B139 B141 B143 B145 B147 B149">
    <cfRule type="expression" dxfId="290" priority="293">
      <formula>AND(B101&lt;&gt;"",B102="")</formula>
    </cfRule>
  </conditionalFormatting>
  <conditionalFormatting sqref="T101 T103 T105 T107 T109 T111 T113 T115 T117 T119 T121 T123 T125 T127 T129 T131 T133 T135 T137 T139 T141 T143 T145 T147 T149">
    <cfRule type="containsText" dxfId="289" priority="292" operator="containsText" text="*">
      <formula>NOT(ISERROR(SEARCH("*",T101)))</formula>
    </cfRule>
  </conditionalFormatting>
  <conditionalFormatting sqref="T101 T103 T105 T107 T109 T111 T113 T115 T117 T119 T121 T123 T125 T127 T129 T131 T133 T135 T137 T139 T141 T143 T145 T147 T149">
    <cfRule type="expression" dxfId="288" priority="291">
      <formula>AND(T101&lt;&gt;"",T102="")</formula>
    </cfRule>
  </conditionalFormatting>
  <conditionalFormatting sqref="A101 A103 A105 A107 A109 A111 A113 A115 A117 A119 A121 A123 A125 A127 A129 A131 A133 A135 A137 A139 A141 A143 A145 A147 A149 C101 C103 C105 C107 C109 C111 C113 C115 C117 C119 C121 C123 C125 C127 C129 C131 C133 C135 C137 C139 C141 C143 C145 C147 C149 E101:M101 E103:M103 E105:M105 E107:M107 E109:M109 E111:M111 E113:M113 E115:M115 E117:M117 E119:M119 E121:M121 E123:M123 E125:M125 E127:M127 E129:M129 E131:M131 E133:M133 E135:M135 E137:M137 E139:M139 E141:M141 E143:M143 E145:M145 E147:M147 E149:M149">
    <cfRule type="containsText" dxfId="287" priority="290" operator="containsText" text="*">
      <formula>NOT(ISERROR(SEARCH("*",A101)))</formula>
    </cfRule>
  </conditionalFormatting>
  <conditionalFormatting sqref="A101 A103 A105 A107 A109 A111 A113 A115 A117 A119 A121 A123 A125 A127 A129 A131 A133 A135 A137 A139 A141 A143 A145 A147 A149 C101 C103 C105 C107 C109 C111 C113 C115 C117 C119 C121 C123 C125 C127 C129 C131 C133 C135 C137 C139 C141 C143 C145 C147 C149 E101:M101 E103:M103 E105:M105 E107:M107 E109:M109 E111:M111 E113:M113 E115:M115 E117:M117 E119:M119 E121:M121 E123:M123 E125:M125 E127:M127 E129:M129 E131:M131 E133:M133 E135:M135 E137:M137 E139:M139 E141:M141 E143:M143 E145:M145 E147:M147 E149:M149">
    <cfRule type="expression" dxfId="286" priority="289">
      <formula>AND(A101&lt;&gt;"",A102="")</formula>
    </cfRule>
  </conditionalFormatting>
  <conditionalFormatting sqref="N102:O102 N104:O104 N106:O106 N108:O108 N110:O110 N112:O112 N114:O114 N116:O116 N118:O118 N120:O120 N122:O122 N124:O124 N126:O126 N128:O128 N130:O130 N132:O132 N134:O134 N136:O136 N138:O138 N140:O140 N142:O142 N144:O144 N146:O146 N148:O148 N150:O150">
    <cfRule type="containsText" dxfId="285" priority="288" operator="containsText" text="*">
      <formula>NOT(ISERROR(SEARCH("*",N102)))</formula>
    </cfRule>
  </conditionalFormatting>
  <conditionalFormatting sqref="N102 N104 N106 N108 N110 N112 N114 N116 N118 N120 N122 N124 N126 N128 N130 N132 N134 N136 N138 N140 N142 N144 N146 N148 N150">
    <cfRule type="expression" dxfId="284" priority="287">
      <formula>AND(N102&lt;&gt;"",N103="")</formula>
    </cfRule>
  </conditionalFormatting>
  <conditionalFormatting sqref="P102 P104 P106 P108 P110 P112 P114 P116 P118 P120 P122 P124 P126 P128 P130 P132 P134 P136 P138 P140 P142 P144 P146 P148 P150">
    <cfRule type="containsText" dxfId="283" priority="285" operator="containsText" text="*">
      <formula>NOT(ISERROR(SEARCH("*",P102)))</formula>
    </cfRule>
  </conditionalFormatting>
  <conditionalFormatting sqref="P102 P104 P106 P108 P110 P112 P114 P116 P118 P120 P122 P124 P126 P128 P130 P132 P134 P136 P138 P140 P142 P144 P146 P148 P150">
    <cfRule type="expression" dxfId="282" priority="284">
      <formula>AND(P102&lt;&gt;"",P103="")</formula>
    </cfRule>
  </conditionalFormatting>
  <conditionalFormatting sqref="N101:P101 N103:P103 N105:P105 N107:P107 N109:P109 N111:P111 N113:P113 N115:P115 N117:P117 N119:P119 N121:P121 N123:P123 N125:P125 N127:P127 N129:P129 N131:P131 N133:P133 N135:P135 N137:P137 N139:P139 N141:P141 N143:P143 N145:P145 N147:P147 N149:P149">
    <cfRule type="containsText" dxfId="281" priority="283" operator="containsText" text="*">
      <formula>NOT(ISERROR(SEARCH("*",N101)))</formula>
    </cfRule>
  </conditionalFormatting>
  <conditionalFormatting sqref="N101:P101 N103:P103 N105:P105 N107:P107 N109:P109 N111:P111 N113:P113 N115:P115 N117:P117 N119:P119 N121:P121 N123:P123 N125:P125 N127:P127 N129:P129 N131:P131 N133:P133 N135:P135 N137:P137 N139:P139 N141:P141 N143:P143 N145:P145 N147:P147 N149:P149">
    <cfRule type="expression" dxfId="280" priority="282">
      <formula>AND(N101&lt;&gt;"",N102="")</formula>
    </cfRule>
  </conditionalFormatting>
  <conditionalFormatting sqref="Q102:R102 Q104:R104 Q106:R106 Q108:R108 Q110:R110 Q112:R112 Q114:R114 Q116:R116 Q118:R118 Q120:R120 Q122:R122 Q124:R124 Q126:R126 Q128:R128 Q130:R130 Q132:R132 Q134:R134 Q136:R136 Q138:R138 Q140:R140 Q142:R142 Q144:R144 Q146:R146 Q148:R148 Q150:R150">
    <cfRule type="containsText" dxfId="279" priority="281" operator="containsText" text="*">
      <formula>NOT(ISERROR(SEARCH("*",Q102)))</formula>
    </cfRule>
  </conditionalFormatting>
  <conditionalFormatting sqref="Q102 Q104 Q106 Q108 Q110 Q112 Q114 Q116 Q118 Q120 Q122 Q124 Q126 Q128 Q130 Q132 Q134 Q136 Q138 Q140 Q142 Q144 Q146 Q148 Q150">
    <cfRule type="expression" dxfId="278" priority="280">
      <formula>AND(Q102&lt;&gt;"",Q103="")</formula>
    </cfRule>
  </conditionalFormatting>
  <conditionalFormatting sqref="R102 R104 R106 R108 R110 R112 R114 R116 R118 R120 R122 R124 R126 R128 R130 R132 R134 R136 R138 R140 R142 R144 R146 R148 R150">
    <cfRule type="expression" dxfId="277" priority="279">
      <formula>AND(R102&lt;&gt;"",R103="")</formula>
    </cfRule>
  </conditionalFormatting>
  <conditionalFormatting sqref="S102 S104 S106 S108 S110 S112 S114 S116 S118 S120 S122 S124 S126 S128 S130 S132 S134 S136 S138 S140 S142 S144 S146 S148 S150">
    <cfRule type="containsText" dxfId="276" priority="278" operator="containsText" text="*">
      <formula>NOT(ISERROR(SEARCH("*",S102)))</formula>
    </cfRule>
  </conditionalFormatting>
  <conditionalFormatting sqref="S102 S104 S106 S108 S110 S112 S114 S116 S118 S120 S122 S124 S126 S128 S130 S132 S134 S136 S138 S140 S142 S144 S146 S148 S150">
    <cfRule type="expression" dxfId="275" priority="277">
      <formula>AND(S102&lt;&gt;"",S103="")</formula>
    </cfRule>
  </conditionalFormatting>
  <conditionalFormatting sqref="Q101:S101 Q103:S103 Q105:S105 Q107:S107 Q109:S109 Q111:S111 Q113:S113 Q115:S115 Q117:S117 Q119:S119 Q121:S121 Q123:S123 Q125:S125 Q127:S127 Q129:S129 Q131:S131 Q133:S133 Q135:S135 Q137:S137 Q139:S139 Q141:S141 Q143:S143 Q145:S145 Q147:S147 Q149:S149">
    <cfRule type="containsText" dxfId="274" priority="276" operator="containsText" text="*">
      <formula>NOT(ISERROR(SEARCH("*",Q101)))</formula>
    </cfRule>
  </conditionalFormatting>
  <conditionalFormatting sqref="Q101:S101 Q103:S103 Q105:S105 Q107:S107 Q109:S109 Q111:S111 Q113:S113 Q115:S115 Q117:S117 Q119:S119 Q121:S121 Q123:S123 Q125:S125 Q127:S127 Q129:S129 Q131:S131 Q133:S133 Q135:S135 Q137:S137 Q139:S139 Q141:S141 Q143:S143 Q145:S145 Q147:S147 Q149:S149">
    <cfRule type="expression" dxfId="273" priority="275">
      <formula>AND(Q101&lt;&gt;"",Q102="")</formula>
    </cfRule>
  </conditionalFormatting>
  <conditionalFormatting sqref="D102 D104 D106 D108 D110 D112 D114 D116 D118 D120 D122 D124 D126 D128 D130 D132 D134 D136 D138 D140 D142 D144 D146 D148 D150">
    <cfRule type="expression" dxfId="272" priority="273">
      <formula>AND(D102&lt;&gt;"",D103="")</formula>
    </cfRule>
  </conditionalFormatting>
  <conditionalFormatting sqref="D102 D104 D106 D108 D110 D112 D114 D116 D118 D120 D122 D124 D126 D128 D130 D132 D134 D136 D138 D140 D142 D144 D146 D148 D150">
    <cfRule type="containsText" dxfId="271" priority="274" operator="containsText" text="*">
      <formula>NOT(ISERROR(SEARCH("*",D102)))</formula>
    </cfRule>
  </conditionalFormatting>
  <conditionalFormatting sqref="D101 D103 D105 D107 D109 D111 D113 D115 D117 D119 D121 D123 D125 D127 D129 D131 D133 D135 D137 D139 D141 D143 D145 D147 D149">
    <cfRule type="expression" dxfId="270" priority="271">
      <formula>AND(D101&lt;&gt;"",D102="")</formula>
    </cfRule>
  </conditionalFormatting>
  <conditionalFormatting sqref="D101 D103 D105 D107 D109 D111 D113 D115 D117 D119 D121 D123 D125 D127 D129 D131 D133 D135 D137 D139 D141 D143 D145 D147 D149">
    <cfRule type="containsText" dxfId="269" priority="272" operator="containsText" text="*">
      <formula>NOT(ISERROR(SEARCH("*",D101)))</formula>
    </cfRule>
  </conditionalFormatting>
  <conditionalFormatting sqref="B151:B200">
    <cfRule type="containsText" dxfId="268" priority="270" operator="containsText" text="*">
      <formula>NOT(ISERROR(SEARCH("*",B151)))</formula>
    </cfRule>
  </conditionalFormatting>
  <conditionalFormatting sqref="B151:B200">
    <cfRule type="expression" dxfId="267" priority="269">
      <formula>AND(B151&lt;&gt;"",B152="")</formula>
    </cfRule>
  </conditionalFormatting>
  <conditionalFormatting sqref="J152 J154 J156 J158 J160 J162 J164 J166 J168 J170 J172 J174 J176 J178 J180 J182 J184 J186 J188 J190 J192 J194 J196 J198 J200">
    <cfRule type="expression" dxfId="266" priority="258">
      <formula>AND(J152&lt;&gt;"",J153="")</formula>
    </cfRule>
  </conditionalFormatting>
  <conditionalFormatting sqref="M152 M154 M156 M158 M160 M162 M164 M166 M168 M170 M172 M174 M176 M178 M180 M182 M184 M186 M188 M190 M192 M194 M196 M198 M200">
    <cfRule type="expression" dxfId="265" priority="256">
      <formula>AND(M152&lt;&gt;"",M153="")</formula>
    </cfRule>
  </conditionalFormatting>
  <conditionalFormatting sqref="L152 L154 L156 L158 L160 L162 L164 L166 L168 L170 L172 L174 L176 L178 L180 L182 L184 L186 L188 L190 L192 L194 L196 L198 L200">
    <cfRule type="expression" dxfId="264" priority="260">
      <formula>AND(L152&lt;&gt;"",L153="")</formula>
    </cfRule>
  </conditionalFormatting>
  <conditionalFormatting sqref="B152:C152 B154:C154 B156:C156 B158:C158 B160:C160 B162:C162 B164:C164 B166:C166 B168:C168 B170:C170 B172:C172 B174:C174 B176:C176 B178:C178 B180:C180 B182:C182 B184:C184 B186:C186 B188:C188 B190:C190 B192:C192 B194:C194 B196:C196 B198:C198 B200:C200 H152:I152 H154:I154 H156:I156 H158:I158 H160:I160 H162:I162 H164:I164 H166:I166 H168:I168 H170:I170 H172:I172 H174:I174 H176:I176 H178:I178 H180:I180 H182:I182 H184:I184 H186:I186 H188:I188 H190:I190 H192:I192 H194:I194 H196:I196 H198:I198 H200:I200">
    <cfRule type="containsText" dxfId="263" priority="268" operator="containsText" text="*">
      <formula>NOT(ISERROR(SEARCH("*",B152)))</formula>
    </cfRule>
  </conditionalFormatting>
  <conditionalFormatting sqref="B152 B154 B156 B158 B160 B162 B164 B166 B168 B170 B172 B174 B176 B178 B180 B182 B184 B186 B188 B190 B192 B194 B196 B198 B200">
    <cfRule type="expression" dxfId="262" priority="267">
      <formula>AND(B152&lt;&gt;"",B153="")</formula>
    </cfRule>
  </conditionalFormatting>
  <conditionalFormatting sqref="C152 C154 C156 C158 C160 C162 C164 C166 C168 C170 C172 C174 C176 C178 C180 C182 C184 C186 C188 C190 C192 C194 C196 C198 C200">
    <cfRule type="expression" dxfId="261" priority="266">
      <formula>AND(C152&lt;&gt;"",C153="")</formula>
    </cfRule>
  </conditionalFormatting>
  <conditionalFormatting sqref="H152 H154 H156 H158 H160 H162 H164 H166 H168 H170 H172 H174 H176 H178 H180 H182 H184 H186 H188 H190 H192 H194 H196 H198 H200">
    <cfRule type="expression" dxfId="260" priority="265">
      <formula>AND(H152&lt;&gt;"",H153="")</formula>
    </cfRule>
  </conditionalFormatting>
  <conditionalFormatting sqref="I152 I154 I156 I158 I160 I162 I164 I166 I168 I170 I172 I174 I176 I178 I180 I182 I184 I186 I188 I190 I192 I194 I196 I198 I200">
    <cfRule type="expression" dxfId="259" priority="264">
      <formula>AND(I152&lt;&gt;"",I153="")</formula>
    </cfRule>
  </conditionalFormatting>
  <conditionalFormatting sqref="E152:G152 E154:G154 E156:G156 E158:G158 E160:G160 E162:G162 E164:G164 E166:G166 E168:G168 E170:G170 E172:G172 E174:G174 E176:G176 E178:G178 E180:G180 E182:G182 E184:G184 E186:G186 E188:G188 E190:G190 E192:G192 E194:G194 E196:G196 E198:G198 E200:G200">
    <cfRule type="expression" dxfId="258" priority="250">
      <formula>AND(E152&lt;&gt;"",E153="")</formula>
    </cfRule>
  </conditionalFormatting>
  <conditionalFormatting sqref="K152 K154 K156 K158 K160 K162 K164 K166 K168 K170 K172 K174 K176 K178 K180 K182 K184 K186 K188 K190 K192 K194 K196 K198 K200">
    <cfRule type="containsText" dxfId="257" priority="263" operator="containsText" text="*">
      <formula>NOT(ISERROR(SEARCH("*",K152)))</formula>
    </cfRule>
  </conditionalFormatting>
  <conditionalFormatting sqref="K152 K154 K156 K158 K160 K162 K164 K166 K168 K170 K172 K174 K176 K178 K180 K182 K184 K186 K188 K190 K192 K194 K196 K198 K200">
    <cfRule type="expression" dxfId="256" priority="262">
      <formula>AND(K152&lt;&gt;"",K153="")</formula>
    </cfRule>
  </conditionalFormatting>
  <conditionalFormatting sqref="L152 L154 L156 L158 L160 L162 L164 L166 L168 L170 L172 L174 L176 L178 L180 L182 L184 L186 L188 L190 L192 L194 L196 L198 L200">
    <cfRule type="containsText" dxfId="255" priority="261" operator="containsText" text="*">
      <formula>NOT(ISERROR(SEARCH("*",L152)))</formula>
    </cfRule>
  </conditionalFormatting>
  <conditionalFormatting sqref="J152 J154 J156 J158 J160 J162 J164 J166 J168 J170 J172 J174 J176 J178 J180 J182 J184 J186 J188 J190 J192 J194 J196 J198 J200">
    <cfRule type="containsText" dxfId="254" priority="259" operator="containsText" text="*">
      <formula>NOT(ISERROR(SEARCH("*",J152)))</formula>
    </cfRule>
  </conditionalFormatting>
  <conditionalFormatting sqref="M152 M154 M156 M158 M160 M162 M164 M166 M168 M170 M172 M174 M176 M178 M180 M182 M184 M186 M188 M190 M192 M194 M196 M198 M200">
    <cfRule type="containsText" dxfId="253" priority="257" operator="containsText" text="*">
      <formula>NOT(ISERROR(SEARCH("*",M152)))</formula>
    </cfRule>
  </conditionalFormatting>
  <conditionalFormatting sqref="A152 A154 A156 A158 A160 A162 A164 A166 A168 A170 A172 A174 A176 A178 A180 A182 A184 A186 A188 A190 A192 A194 A196 A198 A200">
    <cfRule type="expression" dxfId="252" priority="254">
      <formula>AND(A152&lt;&gt;"",A153="")</formula>
    </cfRule>
  </conditionalFormatting>
  <conditionalFormatting sqref="A152 A154 A156 A158 A160 A162 A164 A166 A168 A170 A172 A174 A176 A178 A180 A182 A184 A186 A188 A190 A192 A194 A196 A198 A200">
    <cfRule type="containsText" dxfId="251" priority="255" operator="containsText" text="*">
      <formula>NOT(ISERROR(SEARCH("*",A152)))</formula>
    </cfRule>
  </conditionalFormatting>
  <conditionalFormatting sqref="O152 O154 O156 O158 O160 O162 O164 O166 O168 O170 O172 O174 O176 O178 O180 O182 O184 O186 O188 O190 O192 O194 O196 O198 O200">
    <cfRule type="expression" dxfId="250" priority="241">
      <formula>AND(O152&lt;&gt;"",O153="")</formula>
    </cfRule>
  </conditionalFormatting>
  <conditionalFormatting sqref="T152 T154 T156 T158 T160 T162 T164 T166 T168 T170 T172 T174 T176 T178 T180 T182 T184 T186 T188 T190 T192 T194 T196 T198 T200">
    <cfRule type="expression" dxfId="249" priority="252">
      <formula>AND(T152&lt;&gt;"",T153="")</formula>
    </cfRule>
  </conditionalFormatting>
  <conditionalFormatting sqref="T152 T154 T156 T158 T160 T162 T164 T166 T168 T170 T172 T174 T176 T178 T180 T182 T184 T186 T188 T190 T192 T194 T196 T198 T200">
    <cfRule type="containsText" dxfId="248" priority="253" operator="containsText" text="*">
      <formula>NOT(ISERROR(SEARCH("*",T152)))</formula>
    </cfRule>
  </conditionalFormatting>
  <conditionalFormatting sqref="E152:G152 E154:G154 E156:G156 E158:G158 E160:G160 E162:G162 E164:G164 E166:G166 E168:G168 E170:G170 E172:G172 E174:G174 E176:G176 E178:G178 E180:G180 E182:G182 E184:G184 E186:G186 E188:G188 E190:G190 E192:G192 E194:G194 E196:G196 E198:G198 E200:G200">
    <cfRule type="containsText" dxfId="247" priority="251" operator="containsText" text="*">
      <formula>NOT(ISERROR(SEARCH("*",E152)))</formula>
    </cfRule>
  </conditionalFormatting>
  <conditionalFormatting sqref="B151 B153 B155 B157 B159 B161 B163 B165 B167 B169 B171 B173 B175 B177 B179 B181 B183 B185 B187 B189 B191 B193 B195 B197 B199">
    <cfRule type="containsText" dxfId="246" priority="249" operator="containsText" text="*">
      <formula>NOT(ISERROR(SEARCH("*",B151)))</formula>
    </cfRule>
  </conditionalFormatting>
  <conditionalFormatting sqref="B151 B153 B155 B157 B159 B161 B163 B165 B167 B169 B171 B173 B175 B177 B179 B181 B183 B185 B187 B189 B191 B193 B195 B197 B199">
    <cfRule type="expression" dxfId="245" priority="248">
      <formula>AND(B151&lt;&gt;"",B152="")</formula>
    </cfRule>
  </conditionalFormatting>
  <conditionalFormatting sqref="T151 T153 T155 T157 T159 T161 T163 T165 T167 T169 T171 T173 T175 T177 T179 T181 T183 T185 T187 T189 T191 T193 T195 T197 T199">
    <cfRule type="containsText" dxfId="244" priority="247" operator="containsText" text="*">
      <formula>NOT(ISERROR(SEARCH("*",T151)))</formula>
    </cfRule>
  </conditionalFormatting>
  <conditionalFormatting sqref="T151 T153 T155 T157 T159 T161 T163 T165 T167 T169 T171 T173 T175 T177 T179 T181 T183 T185 T187 T189 T191 T193 T195 T197 T199">
    <cfRule type="expression" dxfId="243" priority="246">
      <formula>AND(T151&lt;&gt;"",T152="")</formula>
    </cfRule>
  </conditionalFormatting>
  <conditionalFormatting sqref="A151 A153 A155 A157 A159 A161 A163 A165 A167 A169 A171 A173 A175 A177 A179 A181 A183 A185 A187 A189 A191 A193 A195 A197 A199 C151 C153 C155 C157 C159 C161 C163 C165 C167 C169 C171 C173 C175 C177 C179 C181 C183 C185 C187 C189 C191 C193 C195 C197 C199 E151:M151 E153:M153 E155:M155 E157:M157 E159:M159 E161:M161 E163:M163 E165:M165 E167:M167 E169:M169 E171:M171 E173:M173 E175:M175 E177:M177 E179:M179 E181:M181 E183:M183 E185:M185 E187:M187 E189:M189 E191:M191 E193:M193 E195:M195 E197:M197 E199:M199">
    <cfRule type="containsText" dxfId="242" priority="245" operator="containsText" text="*">
      <formula>NOT(ISERROR(SEARCH("*",A151)))</formula>
    </cfRule>
  </conditionalFormatting>
  <conditionalFormatting sqref="A151 A153 A155 A157 A159 A161 A163 A165 A167 A169 A171 A173 A175 A177 A179 A181 A183 A185 A187 A189 A191 A193 A195 A197 A199 C151 C153 C155 C157 C159 C161 C163 C165 C167 C169 C171 C173 C175 C177 C179 C181 C183 C185 C187 C189 C191 C193 C195 C197 C199 E151:M151 E153:M153 E155:M155 E157:M157 E159:M159 E161:M161 E163:M163 E165:M165 E167:M167 E169:M169 E171:M171 E173:M173 E175:M175 E177:M177 E179:M179 E181:M181 E183:M183 E185:M185 E187:M187 E189:M189 E191:M191 E193:M193 E195:M195 E197:M197 E199:M199">
    <cfRule type="expression" dxfId="241" priority="244">
      <formula>AND(A151&lt;&gt;"",A152="")</formula>
    </cfRule>
  </conditionalFormatting>
  <conditionalFormatting sqref="N152:O152 N154:O154 N156:O156 N158:O158 N160:O160 N162:O162 N164:O164 N166:O166 N168:O168 N170:O170 N172:O172 N174:O174 N176:O176 N178:O178 N180:O180 N182:O182 N184:O184 N186:O186 N188:O188 N190:O190 N192:O192 N194:O194 N196:O196 N198:O198 N200:O200">
    <cfRule type="containsText" dxfId="240" priority="243" operator="containsText" text="*">
      <formula>NOT(ISERROR(SEARCH("*",N152)))</formula>
    </cfRule>
  </conditionalFormatting>
  <conditionalFormatting sqref="N152 N154 N156 N158 N160 N162 N164 N166 N168 N170 N172 N174 N176 N178 N180 N182 N184 N186 N188 N190 N192 N194 N196 N198 N200">
    <cfRule type="expression" dxfId="239" priority="242">
      <formula>AND(N152&lt;&gt;"",N153="")</formula>
    </cfRule>
  </conditionalFormatting>
  <conditionalFormatting sqref="P152 P154 P156 P158 P160 P162 P164 P166 P168 P170 P172 P174 P176 P178 P180 P182 P184 P186 P188 P190 P192 P194 P196 P198 P200">
    <cfRule type="containsText" dxfId="238" priority="240" operator="containsText" text="*">
      <formula>NOT(ISERROR(SEARCH("*",P152)))</formula>
    </cfRule>
  </conditionalFormatting>
  <conditionalFormatting sqref="P152 P154 P156 P158 P160 P162 P164 P166 P168 P170 P172 P174 P176 P178 P180 P182 P184 P186 P188 P190 P192 P194 P196 P198 P200">
    <cfRule type="expression" dxfId="237" priority="239">
      <formula>AND(P152&lt;&gt;"",P153="")</formula>
    </cfRule>
  </conditionalFormatting>
  <conditionalFormatting sqref="N151:P151 N153:P153 N155:P155 N157:P157 N159:P159 N161:P161 N163:P163 N165:P165 N167:P167 N169:P169 N171:P171 N173:P173 N175:P175 N177:P177 N179:P179 N181:P181 N183:P183 N185:P185 N187:P187 N189:P189 N191:P191 N193:P193 N195:P195 N197:P197 N199:P199">
    <cfRule type="containsText" dxfId="236" priority="238" operator="containsText" text="*">
      <formula>NOT(ISERROR(SEARCH("*",N151)))</formula>
    </cfRule>
  </conditionalFormatting>
  <conditionalFormatting sqref="N151:P151 N153:P153 N155:P155 N157:P157 N159:P159 N161:P161 N163:P163 N165:P165 N167:P167 N169:P169 N171:P171 N173:P173 N175:P175 N177:P177 N179:P179 N181:P181 N183:P183 N185:P185 N187:P187 N189:P189 N191:P191 N193:P193 N195:P195 N197:P197 N199:P199">
    <cfRule type="expression" dxfId="235" priority="237">
      <formula>AND(N151&lt;&gt;"",N152="")</formula>
    </cfRule>
  </conditionalFormatting>
  <conditionalFormatting sqref="Q152:R152 Q154:R154 Q156:R156 Q158:R158 Q160:R160 Q162:R162 Q164:R164 Q166:R166 Q168:R168 Q170:R170 Q172:R172 Q174:R174 Q176:R176 Q178:R178 Q180:R180 Q182:R182 Q184:R184 Q186:R186 Q188:R188 Q190:R190 Q192:R192 Q194:R194 Q196:R196 Q198:R198 Q200:R200">
    <cfRule type="containsText" dxfId="234" priority="236" operator="containsText" text="*">
      <formula>NOT(ISERROR(SEARCH("*",Q152)))</formula>
    </cfRule>
  </conditionalFormatting>
  <conditionalFormatting sqref="Q152 Q154 Q156 Q158 Q160 Q162 Q164 Q166 Q168 Q170 Q172 Q174 Q176 Q178 Q180 Q182 Q184 Q186 Q188 Q190 Q192 Q194 Q196 Q198 Q200">
    <cfRule type="expression" dxfId="233" priority="235">
      <formula>AND(Q152&lt;&gt;"",Q153="")</formula>
    </cfRule>
  </conditionalFormatting>
  <conditionalFormatting sqref="R152 R154 R156 R158 R160 R162 R164 R166 R168 R170 R172 R174 R176 R178 R180 R182 R184 R186 R188 R190 R192 R194 R196 R198 R200">
    <cfRule type="expression" dxfId="232" priority="234">
      <formula>AND(R152&lt;&gt;"",R153="")</formula>
    </cfRule>
  </conditionalFormatting>
  <conditionalFormatting sqref="S152 S154 S156 S158 S160 S162 S164 S166 S168 S170 S172 S174 S176 S178 S180 S182 S184 S186 S188 S190 S192 S194 S196 S198 S200">
    <cfRule type="containsText" dxfId="231" priority="233" operator="containsText" text="*">
      <formula>NOT(ISERROR(SEARCH("*",S152)))</formula>
    </cfRule>
  </conditionalFormatting>
  <conditionalFormatting sqref="S152 S154 S156 S158 S160 S162 S164 S166 S168 S170 S172 S174 S176 S178 S180 S182 S184 S186 S188 S190 S192 S194 S196 S198 S200">
    <cfRule type="expression" dxfId="230" priority="232">
      <formula>AND(S152&lt;&gt;"",S153="")</formula>
    </cfRule>
  </conditionalFormatting>
  <conditionalFormatting sqref="Q151:S151 Q153:S153 Q155:S155 Q157:S157 Q159:S159 Q161:S161 Q163:S163 Q165:S165 Q167:S167 Q169:S169 Q171:S171 Q173:S173 Q175:S175 Q177:S177 Q179:S179 Q181:S181 Q183:S183 Q185:S185 Q187:S187 Q189:S189 Q191:S191 Q193:S193 Q195:S195 Q197:S197 Q199:S199">
    <cfRule type="containsText" dxfId="229" priority="231" operator="containsText" text="*">
      <formula>NOT(ISERROR(SEARCH("*",Q151)))</formula>
    </cfRule>
  </conditionalFormatting>
  <conditionalFormatting sqref="Q151:S151 Q153:S153 Q155:S155 Q157:S157 Q159:S159 Q161:S161 Q163:S163 Q165:S165 Q167:S167 Q169:S169 Q171:S171 Q173:S173 Q175:S175 Q177:S177 Q179:S179 Q181:S181 Q183:S183 Q185:S185 Q187:S187 Q189:S189 Q191:S191 Q193:S193 Q195:S195 Q197:S197 Q199:S199">
    <cfRule type="expression" dxfId="228" priority="230">
      <formula>AND(Q151&lt;&gt;"",Q152="")</formula>
    </cfRule>
  </conditionalFormatting>
  <conditionalFormatting sqref="D152 D154 D156 D158 D160 D162 D164 D166 D168 D170 D172 D174 D176 D178 D180 D182 D184 D186 D188 D190 D192 D194 D196 D198 D200">
    <cfRule type="expression" dxfId="227" priority="228">
      <formula>AND(D152&lt;&gt;"",D153="")</formula>
    </cfRule>
  </conditionalFormatting>
  <conditionalFormatting sqref="D152 D154 D156 D158 D160 D162 D164 D166 D168 D170 D172 D174 D176 D178 D180 D182 D184 D186 D188 D190 D192 D194 D196 D198 D200">
    <cfRule type="containsText" dxfId="226" priority="229" operator="containsText" text="*">
      <formula>NOT(ISERROR(SEARCH("*",D152)))</formula>
    </cfRule>
  </conditionalFormatting>
  <conditionalFormatting sqref="D151 D153 D155 D157 D159 D161 D163 D165 D167 D169 D171 D173 D175 D177 D179 D181 D183 D185 D187 D189 D191 D193 D195 D197 D199">
    <cfRule type="expression" dxfId="225" priority="226">
      <formula>AND(D151&lt;&gt;"",D152="")</formula>
    </cfRule>
  </conditionalFormatting>
  <conditionalFormatting sqref="D151 D153 D155 D157 D159 D161 D163 D165 D167 D169 D171 D173 D175 D177 D179 D181 D183 D185 D187 D189 D191 D193 D195 D197 D199">
    <cfRule type="containsText" dxfId="224" priority="227" operator="containsText" text="*">
      <formula>NOT(ISERROR(SEARCH("*",D151)))</formula>
    </cfRule>
  </conditionalFormatting>
  <conditionalFormatting sqref="B201:B250">
    <cfRule type="containsText" dxfId="223" priority="225" operator="containsText" text="*">
      <formula>NOT(ISERROR(SEARCH("*",B201)))</formula>
    </cfRule>
  </conditionalFormatting>
  <conditionalFormatting sqref="B201:B250">
    <cfRule type="expression" dxfId="222" priority="224">
      <formula>AND(B201&lt;&gt;"",B202="")</formula>
    </cfRule>
  </conditionalFormatting>
  <conditionalFormatting sqref="J202 J204 J206 J208 J210 J212 J214 J216 J218 J220 J222 J224 J226 J228 J230 J232 J234 J236 J238 J240 J242 J244 J246 J248 J250">
    <cfRule type="expression" dxfId="221" priority="213">
      <formula>AND(J202&lt;&gt;"",J203="")</formula>
    </cfRule>
  </conditionalFormatting>
  <conditionalFormatting sqref="M202 M204 M206 M208 M210 M212 M214 M216 M218 M220 M222 M224 M226 M228 M230 M232 M234 M236 M238 M240 M242 M244 M246 M248 M250">
    <cfRule type="expression" dxfId="220" priority="211">
      <formula>AND(M202&lt;&gt;"",M203="")</formula>
    </cfRule>
  </conditionalFormatting>
  <conditionalFormatting sqref="L202 L204 L206 L208 L210 L212 L214 L216 L218 L220 L222 L224 L226 L228 L230 L232 L234 L236 L238 L240 L242 L244 L246 L248 L250">
    <cfRule type="expression" dxfId="219" priority="215">
      <formula>AND(L202&lt;&gt;"",L203="")</formula>
    </cfRule>
  </conditionalFormatting>
  <conditionalFormatting sqref="B202:C202 B204:C204 B206:C206 B208:C208 B210:C210 B212:C212 B214:C214 B216:C216 B218:C218 B220:C220 B222:C222 B224:C224 B226:C226 B228:C228 B230:C230 B232:C232 B234:C234 B236:C236 B238:C238 B240:C240 B242:C242 B244:C244 B246:C246 B248:C248 B250:C250 H202:I202 H204:I204 H206:I206 H208:I208 H210:I210 H212:I212 H214:I214 H216:I216 H218:I218 H220:I220 H222:I222 H224:I224 H226:I226 H228:I228 H230:I230 H232:I232 H234:I234 H236:I236 H238:I238 H240:I240 H242:I242 H244:I244 H246:I246 H248:I248 H250:I250">
    <cfRule type="containsText" dxfId="218" priority="223" operator="containsText" text="*">
      <formula>NOT(ISERROR(SEARCH("*",B202)))</formula>
    </cfRule>
  </conditionalFormatting>
  <conditionalFormatting sqref="B202 B204 B206 B208 B210 B212 B214 B216 B218 B220 B222 B224 B226 B228 B230 B232 B234 B236 B238 B240 B242 B244 B246 B248 B250">
    <cfRule type="expression" dxfId="217" priority="222">
      <formula>AND(B202&lt;&gt;"",B203="")</formula>
    </cfRule>
  </conditionalFormatting>
  <conditionalFormatting sqref="C202 C204 C206 C208 C210 C212 C214 C216 C218 C220 C222 C224 C226 C228 C230 C232 C234 C236 C238 C240 C242 C244 C246 C248 C250">
    <cfRule type="expression" dxfId="216" priority="221">
      <formula>AND(C202&lt;&gt;"",C203="")</formula>
    </cfRule>
  </conditionalFormatting>
  <conditionalFormatting sqref="H202 H204 H206 H208 H210 H212 H214 H216 H218 H220 H222 H224 H226 H228 H230 H232 H234 H236 H238 H240 H242 H244 H246 H248 H250">
    <cfRule type="expression" dxfId="215" priority="220">
      <formula>AND(H202&lt;&gt;"",H203="")</formula>
    </cfRule>
  </conditionalFormatting>
  <conditionalFormatting sqref="I202 I204 I206 I208 I210 I212 I214 I216 I218 I220 I222 I224 I226 I228 I230 I232 I234 I236 I238 I240 I242 I244 I246 I248 I250">
    <cfRule type="expression" dxfId="214" priority="219">
      <formula>AND(I202&lt;&gt;"",I203="")</formula>
    </cfRule>
  </conditionalFormatting>
  <conditionalFormatting sqref="E202:G202 E204:G204 E206:G206 E208:G208 E210:G210 E212:G212 E214:G214 E216:G216 E218:G218 E220:G220 E222:G222 E224:G224 E226:G226 E228:G228 E230:G230 E232:G232 E234:G234 E236:G236 E238:G238 E240:G240 E242:G242 E244:G244 E246:G246 E248:G248 E250:G250">
    <cfRule type="expression" dxfId="213" priority="205">
      <formula>AND(E202&lt;&gt;"",E203="")</formula>
    </cfRule>
  </conditionalFormatting>
  <conditionalFormatting sqref="K202 K204 K206 K208 K210 K212 K214 K216 K218 K220 K222 K224 K226 K228 K230 K232 K234 K236 K238 K240 K242 K244 K246 K248 K250">
    <cfRule type="containsText" dxfId="212" priority="218" operator="containsText" text="*">
      <formula>NOT(ISERROR(SEARCH("*",K202)))</formula>
    </cfRule>
  </conditionalFormatting>
  <conditionalFormatting sqref="K202 K204 K206 K208 K210 K212 K214 K216 K218 K220 K222 K224 K226 K228 K230 K232 K234 K236 K238 K240 K242 K244 K246 K248 K250">
    <cfRule type="expression" dxfId="211" priority="217">
      <formula>AND(K202&lt;&gt;"",K203="")</formula>
    </cfRule>
  </conditionalFormatting>
  <conditionalFormatting sqref="L202 L204 L206 L208 L210 L212 L214 L216 L218 L220 L222 L224 L226 L228 L230 L232 L234 L236 L238 L240 L242 L244 L246 L248 L250">
    <cfRule type="containsText" dxfId="210" priority="216" operator="containsText" text="*">
      <formula>NOT(ISERROR(SEARCH("*",L202)))</formula>
    </cfRule>
  </conditionalFormatting>
  <conditionalFormatting sqref="J202 J204 J206 J208 J210 J212 J214 J216 J218 J220 J222 J224 J226 J228 J230 J232 J234 J236 J238 J240 J242 J244 J246 J248 J250">
    <cfRule type="containsText" dxfId="209" priority="214" operator="containsText" text="*">
      <formula>NOT(ISERROR(SEARCH("*",J202)))</formula>
    </cfRule>
  </conditionalFormatting>
  <conditionalFormatting sqref="M202 M204 M206 M208 M210 M212 M214 M216 M218 M220 M222 M224 M226 M228 M230 M232 M234 M236 M238 M240 M242 M244 M246 M248 M250">
    <cfRule type="containsText" dxfId="208" priority="212" operator="containsText" text="*">
      <formula>NOT(ISERROR(SEARCH("*",M202)))</formula>
    </cfRule>
  </conditionalFormatting>
  <conditionalFormatting sqref="A202 A204 A206 A208 A210 A212 A214 A216 A218 A220 A222 A224 A226 A228 A230 A232 A234 A236 A238 A240 A242 A244 A246 A248 A250">
    <cfRule type="expression" dxfId="207" priority="209">
      <formula>AND(A202&lt;&gt;"",A203="")</formula>
    </cfRule>
  </conditionalFormatting>
  <conditionalFormatting sqref="A202 A204 A206 A208 A210 A212 A214 A216 A218 A220 A222 A224 A226 A228 A230 A232 A234 A236 A238 A240 A242 A244 A246 A248 A250">
    <cfRule type="containsText" dxfId="206" priority="210" operator="containsText" text="*">
      <formula>NOT(ISERROR(SEARCH("*",A202)))</formula>
    </cfRule>
  </conditionalFormatting>
  <conditionalFormatting sqref="O202 O204 O206 O208 O210 O212 O214 O216 O218 O220 O222 O224 O226 O228 O230 O232 O234 O236 O238 O240 O242 O244 O246 O248 O250">
    <cfRule type="expression" dxfId="205" priority="196">
      <formula>AND(O202&lt;&gt;"",O203="")</formula>
    </cfRule>
  </conditionalFormatting>
  <conditionalFormatting sqref="T202 T204 T206 T208 T210 T212 T214 T216 T218 T220 T222 T224 T226 T228 T230 T232 T234 T236 T238 T240 T242 T244 T246 T248 T250">
    <cfRule type="expression" dxfId="204" priority="207">
      <formula>AND(T202&lt;&gt;"",T203="")</formula>
    </cfRule>
  </conditionalFormatting>
  <conditionalFormatting sqref="T202 T204 T206 T208 T210 T212 T214 T216 T218 T220 T222 T224 T226 T228 T230 T232 T234 T236 T238 T240 T242 T244 T246 T248 T250">
    <cfRule type="containsText" dxfId="203" priority="208" operator="containsText" text="*">
      <formula>NOT(ISERROR(SEARCH("*",T202)))</formula>
    </cfRule>
  </conditionalFormatting>
  <conditionalFormatting sqref="E202:G202 E204:G204 E206:G206 E208:G208 E210:G210 E212:G212 E214:G214 E216:G216 E218:G218 E220:G220 E222:G222 E224:G224 E226:G226 E228:G228 E230:G230 E232:G232 E234:G234 E236:G236 E238:G238 E240:G240 E242:G242 E244:G244 E246:G246 E248:G248 E250:G250">
    <cfRule type="containsText" dxfId="202" priority="206" operator="containsText" text="*">
      <formula>NOT(ISERROR(SEARCH("*",E202)))</formula>
    </cfRule>
  </conditionalFormatting>
  <conditionalFormatting sqref="B201 B203 B205 B207 B209 B211 B213 B215 B217 B219 B221 B223 B225 B227 B229 B231 B233 B235 B237 B239 B241 B243 B245 B247 B249">
    <cfRule type="containsText" dxfId="201" priority="204" operator="containsText" text="*">
      <formula>NOT(ISERROR(SEARCH("*",B201)))</formula>
    </cfRule>
  </conditionalFormatting>
  <conditionalFormatting sqref="B201 B203 B205 B207 B209 B211 B213 B215 B217 B219 B221 B223 B225 B227 B229 B231 B233 B235 B237 B239 B241 B243 B245 B247 B249">
    <cfRule type="expression" dxfId="200" priority="203">
      <formula>AND(B201&lt;&gt;"",B202="")</formula>
    </cfRule>
  </conditionalFormatting>
  <conditionalFormatting sqref="T201 T203 T205 T207 T209 T211 T213 T215 T217 T219 T221 T223 T225 T227 T229 T231 T233 T235 T237 T239 T241 T243 T245 T247 T249">
    <cfRule type="containsText" dxfId="199" priority="202" operator="containsText" text="*">
      <formula>NOT(ISERROR(SEARCH("*",T201)))</formula>
    </cfRule>
  </conditionalFormatting>
  <conditionalFormatting sqref="T201 T203 T205 T207 T209 T211 T213 T215 T217 T219 T221 T223 T225 T227 T229 T231 T233 T235 T237 T239 T241 T243 T245 T247 T249">
    <cfRule type="expression" dxfId="198" priority="201">
      <formula>AND(T201&lt;&gt;"",T202="")</formula>
    </cfRule>
  </conditionalFormatting>
  <conditionalFormatting sqref="A201 A203 A205 A207 A209 A211 A213 A215 A217 A219 A221 A223 A225 A227 A229 A231 A233 A235 A237 A239 A241 A243 A245 A247 A249 C201 C203 C205 C207 C209 C211 C213 C215 C217 C219 C221 C223 C225 C227 C229 C231 C233 C235 C237 C239 C241 C243 C245 C247 C249 E201:M201 E203:M203 E205:M205 E207:M207 E209:M209 E211:M211 E213:M213 E215:M215 E217:M217 E219:M219 E221:M221 E223:M223 E225:M225 E227:M227 E229:M229 E231:M231 E233:M233 E235:M235 E237:M237 E239:M239 E241:M241 E243:M243 E245:M245 E247:M247 E249:M249">
    <cfRule type="containsText" dxfId="197" priority="200" operator="containsText" text="*">
      <formula>NOT(ISERROR(SEARCH("*",A201)))</formula>
    </cfRule>
  </conditionalFormatting>
  <conditionalFormatting sqref="A201 A203 A205 A207 A209 A211 A213 A215 A217 A219 A221 A223 A225 A227 A229 A231 A233 A235 A237 A239 A241 A243 A245 A247 A249 C201 C203 C205 C207 C209 C211 C213 C215 C217 C219 C221 C223 C225 C227 C229 C231 C233 C235 C237 C239 C241 C243 C245 C247 C249 E201:M201 E203:M203 E205:M205 E207:M207 E209:M209 E211:M211 E213:M213 E215:M215 E217:M217 E219:M219 E221:M221 E223:M223 E225:M225 E227:M227 E229:M229 E231:M231 E233:M233 E235:M235 E237:M237 E239:M239 E241:M241 E243:M243 E245:M245 E247:M247 E249:M249">
    <cfRule type="expression" dxfId="196" priority="199">
      <formula>AND(A201&lt;&gt;"",A202="")</formula>
    </cfRule>
  </conditionalFormatting>
  <conditionalFormatting sqref="N202:O202 N204:O204 N206:O206 N208:O208 N210:O210 N212:O212 N214:O214 N216:O216 N218:O218 N220:O220 N222:O222 N224:O224 N226:O226 N228:O228 N230:O230 N232:O232 N234:O234 N236:O236 N238:O238 N240:O240 N242:O242 N244:O244 N246:O246 N248:O248 N250:O250">
    <cfRule type="containsText" dxfId="195" priority="198" operator="containsText" text="*">
      <formula>NOT(ISERROR(SEARCH("*",N202)))</formula>
    </cfRule>
  </conditionalFormatting>
  <conditionalFormatting sqref="N202 N204 N206 N208 N210 N212 N214 N216 N218 N220 N222 N224 N226 N228 N230 N232 N234 N236 N238 N240 N242 N244 N246 N248 N250">
    <cfRule type="expression" dxfId="194" priority="197">
      <formula>AND(N202&lt;&gt;"",N203="")</formula>
    </cfRule>
  </conditionalFormatting>
  <conditionalFormatting sqref="P202 P204 P206 P208 P210 P212 P214 P216 P218 P220 P222 P224 P226 P228 P230 P232 P234 P236 P238 P240 P242 P244 P246 P248 P250">
    <cfRule type="containsText" dxfId="193" priority="195" operator="containsText" text="*">
      <formula>NOT(ISERROR(SEARCH("*",P202)))</formula>
    </cfRule>
  </conditionalFormatting>
  <conditionalFormatting sqref="P202 P204 P206 P208 P210 P212 P214 P216 P218 P220 P222 P224 P226 P228 P230 P232 P234 P236 P238 P240 P242 P244 P246 P248 P250">
    <cfRule type="expression" dxfId="192" priority="194">
      <formula>AND(P202&lt;&gt;"",P203="")</formula>
    </cfRule>
  </conditionalFormatting>
  <conditionalFormatting sqref="N201:P201 N203:P203 N205:P205 N207:P207 N209:P209 N211:P211 N213:P213 N215:P215 N217:P217 N219:P219 N221:P221 N223:P223 N225:P225 N227:P227 N229:P229 N231:P231 N233:P233 N235:P235 N237:P237 N239:P239 N241:P241 N243:P243 N245:P245 N247:P247 N249:P249">
    <cfRule type="containsText" dxfId="191" priority="193" operator="containsText" text="*">
      <formula>NOT(ISERROR(SEARCH("*",N201)))</formula>
    </cfRule>
  </conditionalFormatting>
  <conditionalFormatting sqref="N201:P201 N203:P203 N205:P205 N207:P207 N209:P209 N211:P211 N213:P213 N215:P215 N217:P217 N219:P219 N221:P221 N223:P223 N225:P225 N227:P227 N229:P229 N231:P231 N233:P233 N235:P235 N237:P237 N239:P239 N241:P241 N243:P243 N245:P245 N247:P247 N249:P249">
    <cfRule type="expression" dxfId="190" priority="192">
      <formula>AND(N201&lt;&gt;"",N202="")</formula>
    </cfRule>
  </conditionalFormatting>
  <conditionalFormatting sqref="Q202:R202 Q204:R204 Q206:R206 Q208:R208 Q210:R210 Q212:R212 Q214:R214 Q216:R216 Q218:R218 Q220:R220 Q222:R222 Q224:R224 Q226:R226 Q228:R228 Q230:R230 Q232:R232 Q234:R234 Q236:R236 Q238:R238 Q240:R240 Q242:R242 Q244:R244 Q246:R246 Q248:R248 Q250:R250">
    <cfRule type="containsText" dxfId="189" priority="191" operator="containsText" text="*">
      <formula>NOT(ISERROR(SEARCH("*",Q202)))</formula>
    </cfRule>
  </conditionalFormatting>
  <conditionalFormatting sqref="Q202 Q204 Q206 Q208 Q210 Q212 Q214 Q216 Q218 Q220 Q222 Q224 Q226 Q228 Q230 Q232 Q234 Q236 Q238 Q240 Q242 Q244 Q246 Q248 Q250">
    <cfRule type="expression" dxfId="188" priority="190">
      <formula>AND(Q202&lt;&gt;"",Q203="")</formula>
    </cfRule>
  </conditionalFormatting>
  <conditionalFormatting sqref="R202 R204 R206 R208 R210 R212 R214 R216 R218 R220 R222 R224 R226 R228 R230 R232 R234 R236 R238 R240 R242 R244 R246 R248 R250">
    <cfRule type="expression" dxfId="187" priority="189">
      <formula>AND(R202&lt;&gt;"",R203="")</formula>
    </cfRule>
  </conditionalFormatting>
  <conditionalFormatting sqref="S202 S204 S206 S208 S210 S212 S214 S216 S218 S220 S222 S224 S226 S228 S230 S232 S234 S236 S238 S240 S242 S244 S246 S248 S250">
    <cfRule type="containsText" dxfId="186" priority="188" operator="containsText" text="*">
      <formula>NOT(ISERROR(SEARCH("*",S202)))</formula>
    </cfRule>
  </conditionalFormatting>
  <conditionalFormatting sqref="S202 S204 S206 S208 S210 S212 S214 S216 S218 S220 S222 S224 S226 S228 S230 S232 S234 S236 S238 S240 S242 S244 S246 S248 S250">
    <cfRule type="expression" dxfId="185" priority="187">
      <formula>AND(S202&lt;&gt;"",S203="")</formula>
    </cfRule>
  </conditionalFormatting>
  <conditionalFormatting sqref="Q201:S201 Q203:S203 Q205:S205 Q207:S207 Q209:S209 Q211:S211 Q213:S213 Q215:S215 Q217:S217 Q219:S219 Q221:S221 Q223:S223 Q225:S225 Q227:S227 Q229:S229 Q231:S231 Q233:S233 Q235:S235 Q237:S237 Q239:S239 Q241:S241 Q243:S243 Q245:S245 Q247:S247 Q249:S249">
    <cfRule type="containsText" dxfId="184" priority="186" operator="containsText" text="*">
      <formula>NOT(ISERROR(SEARCH("*",Q201)))</formula>
    </cfRule>
  </conditionalFormatting>
  <conditionalFormatting sqref="Q201:S201 Q203:S203 Q205:S205 Q207:S207 Q209:S209 Q211:S211 Q213:S213 Q215:S215 Q217:S217 Q219:S219 Q221:S221 Q223:S223 Q225:S225 Q227:S227 Q229:S229 Q231:S231 Q233:S233 Q235:S235 Q237:S237 Q239:S239 Q241:S241 Q243:S243 Q245:S245 Q247:S247 Q249:S249">
    <cfRule type="expression" dxfId="183" priority="185">
      <formula>AND(Q201&lt;&gt;"",Q202="")</formula>
    </cfRule>
  </conditionalFormatting>
  <conditionalFormatting sqref="D202 D204 D206 D208 D210 D212 D214 D216 D218 D220 D222 D224 D226 D228 D230 D232 D234 D236 D238 D240 D242 D244 D246 D248 D250">
    <cfRule type="expression" dxfId="182" priority="183">
      <formula>AND(D202&lt;&gt;"",D203="")</formula>
    </cfRule>
  </conditionalFormatting>
  <conditionalFormatting sqref="D202 D204 D206 D208 D210 D212 D214 D216 D218 D220 D222 D224 D226 D228 D230 D232 D234 D236 D238 D240 D242 D244 D246 D248 D250">
    <cfRule type="containsText" dxfId="181" priority="184" operator="containsText" text="*">
      <formula>NOT(ISERROR(SEARCH("*",D202)))</formula>
    </cfRule>
  </conditionalFormatting>
  <conditionalFormatting sqref="D201 D203 D205 D207 D209 D211 D213 D215 D217 D219 D221 D223 D225 D227 D229 D231 D233 D235 D237 D239 D241 D243 D245 D247 D249">
    <cfRule type="expression" dxfId="180" priority="181">
      <formula>AND(D201&lt;&gt;"",D202="")</formula>
    </cfRule>
  </conditionalFormatting>
  <conditionalFormatting sqref="D201 D203 D205 D207 D209 D211 D213 D215 D217 D219 D221 D223 D225 D227 D229 D231 D233 D235 D237 D239 D241 D243 D245 D247 D249">
    <cfRule type="containsText" dxfId="179" priority="182" operator="containsText" text="*">
      <formula>NOT(ISERROR(SEARCH("*",D201)))</formula>
    </cfRule>
  </conditionalFormatting>
  <conditionalFormatting sqref="B251:B300">
    <cfRule type="containsText" dxfId="178" priority="180" operator="containsText" text="*">
      <formula>NOT(ISERROR(SEARCH("*",B251)))</formula>
    </cfRule>
  </conditionalFormatting>
  <conditionalFormatting sqref="B251:B300">
    <cfRule type="expression" dxfId="177" priority="179">
      <formula>AND(B251&lt;&gt;"",B252="")</formula>
    </cfRule>
  </conditionalFormatting>
  <conditionalFormatting sqref="J252 J254 J256 J258 J260 J262 J264 J266 J268 J270 J272 J274 J276 J278 J280 J282 J284 J286 J288 J290 J292 J294 J296 J298 J300">
    <cfRule type="expression" dxfId="176" priority="168">
      <formula>AND(J252&lt;&gt;"",J253="")</formula>
    </cfRule>
  </conditionalFormatting>
  <conditionalFormatting sqref="M252 M254 M256 M258 M260 M262 M264 M266 M268 M270 M272 M274 M276 M278 M280 M282 M284 M286 M288 M290 M292 M294 M296 M298 M300">
    <cfRule type="expression" dxfId="175" priority="166">
      <formula>AND(M252&lt;&gt;"",M253="")</formula>
    </cfRule>
  </conditionalFormatting>
  <conditionalFormatting sqref="L252 L254 L256 L258 L260 L262 L264 L266 L268 L270 L272 L274 L276 L278 L280 L282 L284 L286 L288 L290 L292 L294 L296 L298 L300">
    <cfRule type="expression" dxfId="174" priority="170">
      <formula>AND(L252&lt;&gt;"",L253="")</formula>
    </cfRule>
  </conditionalFormatting>
  <conditionalFormatting sqref="B252:C252 B254:C254 B256:C256 B258:C258 B260:C260 B262:C262 B264:C264 B266:C266 B268:C268 B270:C270 B272:C272 B274:C274 B276:C276 B278:C278 B280:C280 B282:C282 B284:C284 B286:C286 B288:C288 B290:C290 B292:C292 B294:C294 B296:C296 B298:C298 B300:C300 H252:I252 H254:I254 H256:I256 H258:I258 H260:I260 H262:I262 H264:I264 H266:I266 H268:I268 H270:I270 H272:I272 H274:I274 H276:I276 H278:I278 H280:I280 H282:I282 H284:I284 H286:I286 H288:I288 H290:I290 H292:I292 H294:I294 H296:I296 H298:I298 H300:I300">
    <cfRule type="containsText" dxfId="173" priority="178" operator="containsText" text="*">
      <formula>NOT(ISERROR(SEARCH("*",B252)))</formula>
    </cfRule>
  </conditionalFormatting>
  <conditionalFormatting sqref="B252 B254 B256 B258 B260 B262 B264 B266 B268 B270 B272 B274 B276 B278 B280 B282 B284 B286 B288 B290 B292 B294 B296 B298 B300">
    <cfRule type="expression" dxfId="172" priority="177">
      <formula>AND(B252&lt;&gt;"",B253="")</formula>
    </cfRule>
  </conditionalFormatting>
  <conditionalFormatting sqref="C252 C254 C256 C258 C260 C262 C264 C266 C268 C270 C272 C274 C276 C278 C280 C282 C284 C286 C288 C290 C292 C294 C296 C298 C300">
    <cfRule type="expression" dxfId="171" priority="176">
      <formula>AND(C252&lt;&gt;"",C253="")</formula>
    </cfRule>
  </conditionalFormatting>
  <conditionalFormatting sqref="H252 H254 H256 H258 H260 H262 H264 H266 H268 H270 H272 H274 H276 H278 H280 H282 H284 H286 H288 H290 H292 H294 H296 H298 H300">
    <cfRule type="expression" dxfId="170" priority="175">
      <formula>AND(H252&lt;&gt;"",H253="")</formula>
    </cfRule>
  </conditionalFormatting>
  <conditionalFormatting sqref="I252 I254 I256 I258 I260 I262 I264 I266 I268 I270 I272 I274 I276 I278 I280 I282 I284 I286 I288 I290 I292 I294 I296 I298 I300">
    <cfRule type="expression" dxfId="169" priority="174">
      <formula>AND(I252&lt;&gt;"",I253="")</formula>
    </cfRule>
  </conditionalFormatting>
  <conditionalFormatting sqref="E252:G252 E254:G254 E256:G256 E258:G258 E260:G260 E262:G262 E264:G264 E266:G266 E268:G268 E270:G270 E272:G272 E274:G274 E276:G276 E278:G278 E280:G280 E282:G282 E284:G284 E286:G286 E288:G288 E290:G290 E292:G292 E294:G294 E296:G296 E298:G298 E300:G300">
    <cfRule type="expression" dxfId="168" priority="160">
      <formula>AND(E252&lt;&gt;"",E253="")</formula>
    </cfRule>
  </conditionalFormatting>
  <conditionalFormatting sqref="K252 K254 K256 K258 K260 K262 K264 K266 K268 K270 K272 K274 K276 K278 K280 K282 K284 K286 K288 K290 K292 K294 K296 K298 K300">
    <cfRule type="containsText" dxfId="167" priority="173" operator="containsText" text="*">
      <formula>NOT(ISERROR(SEARCH("*",K252)))</formula>
    </cfRule>
  </conditionalFormatting>
  <conditionalFormatting sqref="K252 K254 K256 K258 K260 K262 K264 K266 K268 K270 K272 K274 K276 K278 K280 K282 K284 K286 K288 K290 K292 K294 K296 K298 K300">
    <cfRule type="expression" dxfId="166" priority="172">
      <formula>AND(K252&lt;&gt;"",K253="")</formula>
    </cfRule>
  </conditionalFormatting>
  <conditionalFormatting sqref="L252 L254 L256 L258 L260 L262 L264 L266 L268 L270 L272 L274 L276 L278 L280 L282 L284 L286 L288 L290 L292 L294 L296 L298 L300">
    <cfRule type="containsText" dxfId="165" priority="171" operator="containsText" text="*">
      <formula>NOT(ISERROR(SEARCH("*",L252)))</formula>
    </cfRule>
  </conditionalFormatting>
  <conditionalFormatting sqref="J252 J254 J256 J258 J260 J262 J264 J266 J268 J270 J272 J274 J276 J278 J280 J282 J284 J286 J288 J290 J292 J294 J296 J298 J300">
    <cfRule type="containsText" dxfId="164" priority="169" operator="containsText" text="*">
      <formula>NOT(ISERROR(SEARCH("*",J252)))</formula>
    </cfRule>
  </conditionalFormatting>
  <conditionalFormatting sqref="M252 M254 M256 M258 M260 M262 M264 M266 M268 M270 M272 M274 M276 M278 M280 M282 M284 M286 M288 M290 M292 M294 M296 M298 M300">
    <cfRule type="containsText" dxfId="163" priority="167" operator="containsText" text="*">
      <formula>NOT(ISERROR(SEARCH("*",M252)))</formula>
    </cfRule>
  </conditionalFormatting>
  <conditionalFormatting sqref="A252 A254 A256 A258 A260 A262 A264 A266 A268 A270 A272 A274 A276 A278 A280 A282 A284 A286 A288 A290 A292 A294 A296 A298 A300">
    <cfRule type="expression" dxfId="162" priority="164">
      <formula>AND(A252&lt;&gt;"",A253="")</formula>
    </cfRule>
  </conditionalFormatting>
  <conditionalFormatting sqref="A252 A254 A256 A258 A260 A262 A264 A266 A268 A270 A272 A274 A276 A278 A280 A282 A284 A286 A288 A290 A292 A294 A296 A298 A300">
    <cfRule type="containsText" dxfId="161" priority="165" operator="containsText" text="*">
      <formula>NOT(ISERROR(SEARCH("*",A252)))</formula>
    </cfRule>
  </conditionalFormatting>
  <conditionalFormatting sqref="O252 O254 O256 O258 O260 O262 O264 O266 O268 O270 O272 O274 O276 O278 O280 O282 O284 O286 O288 O290 O292 O294 O296 O298 O300">
    <cfRule type="expression" dxfId="160" priority="151">
      <formula>AND(O252&lt;&gt;"",O253="")</formula>
    </cfRule>
  </conditionalFormatting>
  <conditionalFormatting sqref="T252 T254 T256 T258 T260 T262 T264 T266 T268 T270 T272 T274 T276 T278 T280 T282 T284 T286 T288 T290 T292 T294 T296 T298 T300">
    <cfRule type="expression" dxfId="159" priority="162">
      <formula>AND(T252&lt;&gt;"",T253="")</formula>
    </cfRule>
  </conditionalFormatting>
  <conditionalFormatting sqref="T252 T254 T256 T258 T260 T262 T264 T266 T268 T270 T272 T274 T276 T278 T280 T282 T284 T286 T288 T290 T292 T294 T296 T298 T300">
    <cfRule type="containsText" dxfId="158" priority="163" operator="containsText" text="*">
      <formula>NOT(ISERROR(SEARCH("*",T252)))</formula>
    </cfRule>
  </conditionalFormatting>
  <conditionalFormatting sqref="E252:G252 E254:G254 E256:G256 E258:G258 E260:G260 E262:G262 E264:G264 E266:G266 E268:G268 E270:G270 E272:G272 E274:G274 E276:G276 E278:G278 E280:G280 E282:G282 E284:G284 E286:G286 E288:G288 E290:G290 E292:G292 E294:G294 E296:G296 E298:G298 E300:G300">
    <cfRule type="containsText" dxfId="157" priority="161" operator="containsText" text="*">
      <formula>NOT(ISERROR(SEARCH("*",E252)))</formula>
    </cfRule>
  </conditionalFormatting>
  <conditionalFormatting sqref="B251 B253 B255 B257 B259 B261 B263 B265 B267 B269 B271 B273 B275 B277 B279 B281 B283 B285 B287 B289 B291 B293 B295 B297 B299">
    <cfRule type="containsText" dxfId="156" priority="159" operator="containsText" text="*">
      <formula>NOT(ISERROR(SEARCH("*",B251)))</formula>
    </cfRule>
  </conditionalFormatting>
  <conditionalFormatting sqref="B251 B253 B255 B257 B259 B261 B263 B265 B267 B269 B271 B273 B275 B277 B279 B281 B283 B285 B287 B289 B291 B293 B295 B297 B299">
    <cfRule type="expression" dxfId="155" priority="158">
      <formula>AND(B251&lt;&gt;"",B252="")</formula>
    </cfRule>
  </conditionalFormatting>
  <conditionalFormatting sqref="T251 T253 T255 T257 T259 T261 T263 T265 T267 T269 T271 T273 T275 T277 T279 T281 T283 T285 T287 T289 T291 T293 T295 T297 T299">
    <cfRule type="containsText" dxfId="154" priority="157" operator="containsText" text="*">
      <formula>NOT(ISERROR(SEARCH("*",T251)))</formula>
    </cfRule>
  </conditionalFormatting>
  <conditionalFormatting sqref="T251 T253 T255 T257 T259 T261 T263 T265 T267 T269 T271 T273 T275 T277 T279 T281 T283 T285 T287 T289 T291 T293 T295 T297 T299">
    <cfRule type="expression" dxfId="153" priority="156">
      <formula>AND(T251&lt;&gt;"",T252="")</formula>
    </cfRule>
  </conditionalFormatting>
  <conditionalFormatting sqref="A251 A253 A255 A257 A259 A261 A263 A265 A267 A269 A271 A273 A275 A277 A279 A281 A283 A285 A287 A289 A291 A293 A295 A297 A299 C251 C253 C255 C257 C259 C261 C263 C265 C267 C269 C271 C273 C275 C277 C279 C281 C283 C285 C287 C289 C291 C293 C295 C297 C299 E251:M251 E253:M253 E255:M255 E257:M257 E259:M259 E261:M261 E263:M263 E265:M265 E267:M267 E269:M269 E271:M271 E273:M273 E275:M275 E277:M277 E279:M279 E281:M281 E283:M283 E285:M285 E287:M287 E289:M289 E291:M291 E293:M293 E295:M295 E297:M297 E299:M299">
    <cfRule type="containsText" dxfId="152" priority="155" operator="containsText" text="*">
      <formula>NOT(ISERROR(SEARCH("*",A251)))</formula>
    </cfRule>
  </conditionalFormatting>
  <conditionalFormatting sqref="A251 A253 A255 A257 A259 A261 A263 A265 A267 A269 A271 A273 A275 A277 A279 A281 A283 A285 A287 A289 A291 A293 A295 A297 A299 C251 C253 C255 C257 C259 C261 C263 C265 C267 C269 C271 C273 C275 C277 C279 C281 C283 C285 C287 C289 C291 C293 C295 C297 C299 E251:M251 E253:M253 E255:M255 E257:M257 E259:M259 E261:M261 E263:M263 E265:M265 E267:M267 E269:M269 E271:M271 E273:M273 E275:M275 E277:M277 E279:M279 E281:M281 E283:M283 E285:M285 E287:M287 E289:M289 E291:M291 E293:M293 E295:M295 E297:M297 E299:M299">
    <cfRule type="expression" dxfId="151" priority="154">
      <formula>AND(A251&lt;&gt;"",A252="")</formula>
    </cfRule>
  </conditionalFormatting>
  <conditionalFormatting sqref="N252:O252 N254:O254 N256:O256 N258:O258 N260:O260 N262:O262 N264:O264 N266:O266 N268:O268 N270:O270 N272:O272 N274:O274 N276:O276 N278:O278 N280:O280 N282:O282 N284:O284 N286:O286 N288:O288 N290:O290 N292:O292 N294:O294 N296:O296 N298:O298 N300:O300">
    <cfRule type="containsText" dxfId="150" priority="153" operator="containsText" text="*">
      <formula>NOT(ISERROR(SEARCH("*",N252)))</formula>
    </cfRule>
  </conditionalFormatting>
  <conditionalFormatting sqref="N252 N254 N256 N258 N260 N262 N264 N266 N268 N270 N272 N274 N276 N278 N280 N282 N284 N286 N288 N290 N292 N294 N296 N298 N300">
    <cfRule type="expression" dxfId="149" priority="152">
      <formula>AND(N252&lt;&gt;"",N253="")</formula>
    </cfRule>
  </conditionalFormatting>
  <conditionalFormatting sqref="P252 P254 P256 P258 P260 P262 P264 P266 P268 P270 P272 P274 P276 P278 P280 P282 P284 P286 P288 P290 P292 P294 P296 P298 P300">
    <cfRule type="containsText" dxfId="148" priority="150" operator="containsText" text="*">
      <formula>NOT(ISERROR(SEARCH("*",P252)))</formula>
    </cfRule>
  </conditionalFormatting>
  <conditionalFormatting sqref="P252 P254 P256 P258 P260 P262 P264 P266 P268 P270 P272 P274 P276 P278 P280 P282 P284 P286 P288 P290 P292 P294 P296 P298 P300">
    <cfRule type="expression" dxfId="147" priority="149">
      <formula>AND(P252&lt;&gt;"",P253="")</formula>
    </cfRule>
  </conditionalFormatting>
  <conditionalFormatting sqref="N251:P251 N253:P253 N255:P255 N257:P257 N259:P259 N261:P261 N263:P263 N265:P265 N267:P267 N269:P269 N271:P271 N273:P273 N275:P275 N277:P277 N279:P279 N281:P281 N283:P283 N285:P285 N287:P287 N289:P289 N291:P291 N293:P293 N295:P295 N297:P297 N299:P299">
    <cfRule type="containsText" dxfId="146" priority="148" operator="containsText" text="*">
      <formula>NOT(ISERROR(SEARCH("*",N251)))</formula>
    </cfRule>
  </conditionalFormatting>
  <conditionalFormatting sqref="N251:P251 N253:P253 N255:P255 N257:P257 N259:P259 N261:P261 N263:P263 N265:P265 N267:P267 N269:P269 N271:P271 N273:P273 N275:P275 N277:P277 N279:P279 N281:P281 N283:P283 N285:P285 N287:P287 N289:P289 N291:P291 N293:P293 N295:P295 N297:P297 N299:P299">
    <cfRule type="expression" dxfId="145" priority="147">
      <formula>AND(N251&lt;&gt;"",N252="")</formula>
    </cfRule>
  </conditionalFormatting>
  <conditionalFormatting sqref="Q252:R252 Q254:R254 Q256:R256 Q258:R258 Q260:R260 Q262:R262 Q264:R264 Q266:R266 Q268:R268 Q270:R270 Q272:R272 Q274:R274 Q276:R276 Q278:R278 Q280:R280 Q282:R282 Q284:R284 Q286:R286 Q288:R288 Q290:R290 Q292:R292 Q294:R294 Q296:R296 Q298:R298 Q300:R300">
    <cfRule type="containsText" dxfId="144" priority="146" operator="containsText" text="*">
      <formula>NOT(ISERROR(SEARCH("*",Q252)))</formula>
    </cfRule>
  </conditionalFormatting>
  <conditionalFormatting sqref="Q252 Q254 Q256 Q258 Q260 Q262 Q264 Q266 Q268 Q270 Q272 Q274 Q276 Q278 Q280 Q282 Q284 Q286 Q288 Q290 Q292 Q294 Q296 Q298 Q300">
    <cfRule type="expression" dxfId="143" priority="145">
      <formula>AND(Q252&lt;&gt;"",Q253="")</formula>
    </cfRule>
  </conditionalFormatting>
  <conditionalFormatting sqref="R252 R254 R256 R258 R260 R262 R264 R266 R268 R270 R272 R274 R276 R278 R280 R282 R284 R286 R288 R290 R292 R294 R296 R298 R300">
    <cfRule type="expression" dxfId="142" priority="144">
      <formula>AND(R252&lt;&gt;"",R253="")</formula>
    </cfRule>
  </conditionalFormatting>
  <conditionalFormatting sqref="S252 S254 S256 S258 S260 S262 S264 S266 S268 S270 S272 S274 S276 S278 S280 S282 S284 S286 S288 S290 S292 S294 S296 S298 S300">
    <cfRule type="containsText" dxfId="141" priority="143" operator="containsText" text="*">
      <formula>NOT(ISERROR(SEARCH("*",S252)))</formula>
    </cfRule>
  </conditionalFormatting>
  <conditionalFormatting sqref="S252 S254 S256 S258 S260 S262 S264 S266 S268 S270 S272 S274 S276 S278 S280 S282 S284 S286 S288 S290 S292 S294 S296 S298 S300">
    <cfRule type="expression" dxfId="140" priority="142">
      <formula>AND(S252&lt;&gt;"",S253="")</formula>
    </cfRule>
  </conditionalFormatting>
  <conditionalFormatting sqref="Q251:S251 Q253:S253 Q255:S255 Q257:S257 Q259:S259 Q261:S261 Q263:S263 Q265:S265 Q267:S267 Q269:S269 Q271:S271 Q273:S273 Q275:S275 Q277:S277 Q279:S279 Q281:S281 Q283:S283 Q285:S285 Q287:S287 Q289:S289 Q291:S291 Q293:S293 Q295:S295 Q297:S297 Q299:S299">
    <cfRule type="containsText" dxfId="139" priority="141" operator="containsText" text="*">
      <formula>NOT(ISERROR(SEARCH("*",Q251)))</formula>
    </cfRule>
  </conditionalFormatting>
  <conditionalFormatting sqref="Q251:S251 Q253:S253 Q255:S255 Q257:S257 Q259:S259 Q261:S261 Q263:S263 Q265:S265 Q267:S267 Q269:S269 Q271:S271 Q273:S273 Q275:S275 Q277:S277 Q279:S279 Q281:S281 Q283:S283 Q285:S285 Q287:S287 Q289:S289 Q291:S291 Q293:S293 Q295:S295 Q297:S297 Q299:S299">
    <cfRule type="expression" dxfId="138" priority="140">
      <formula>AND(Q251&lt;&gt;"",Q252="")</formula>
    </cfRule>
  </conditionalFormatting>
  <conditionalFormatting sqref="D252 D254 D256 D258 D260 D262 D264 D266 D268 D270 D272 D274 D276 D278 D280 D282 D284 D286 D288 D290 D292 D294 D296 D298 D300">
    <cfRule type="expression" dxfId="137" priority="138">
      <formula>AND(D252&lt;&gt;"",D253="")</formula>
    </cfRule>
  </conditionalFormatting>
  <conditionalFormatting sqref="D252 D254 D256 D258 D260 D262 D264 D266 D268 D270 D272 D274 D276 D278 D280 D282 D284 D286 D288 D290 D292 D294 D296 D298 D300">
    <cfRule type="containsText" dxfId="136" priority="139" operator="containsText" text="*">
      <formula>NOT(ISERROR(SEARCH("*",D252)))</formula>
    </cfRule>
  </conditionalFormatting>
  <conditionalFormatting sqref="D251 D253 D255 D257 D259 D261 D263 D265 D267 D269 D271 D273 D275 D277 D279 D281 D283 D285 D287 D289 D291 D293 D295 D297 D299">
    <cfRule type="expression" dxfId="135" priority="136">
      <formula>AND(D251&lt;&gt;"",D252="")</formula>
    </cfRule>
  </conditionalFormatting>
  <conditionalFormatting sqref="D251 D253 D255 D257 D259 D261 D263 D265 D267 D269 D271 D273 D275 D277 D279 D281 D283 D285 D287 D289 D291 D293 D295 D297 D299">
    <cfRule type="containsText" dxfId="134" priority="137" operator="containsText" text="*">
      <formula>NOT(ISERROR(SEARCH("*",D251)))</formula>
    </cfRule>
  </conditionalFormatting>
  <conditionalFormatting sqref="B301:B350">
    <cfRule type="containsText" dxfId="133" priority="135" operator="containsText" text="*">
      <formula>NOT(ISERROR(SEARCH("*",B301)))</formula>
    </cfRule>
  </conditionalFormatting>
  <conditionalFormatting sqref="B301:B350">
    <cfRule type="expression" dxfId="132" priority="134">
      <formula>AND(B301&lt;&gt;"",B302="")</formula>
    </cfRule>
  </conditionalFormatting>
  <conditionalFormatting sqref="J302 J304 J306 J308 J310 J312 J314 J316 J318 J320 J322 J324 J326 J328 J330 J332 J334 J336 J338 J340 J342 J344 J346 J348 J350">
    <cfRule type="expression" dxfId="131" priority="123">
      <formula>AND(J302&lt;&gt;"",J303="")</formula>
    </cfRule>
  </conditionalFormatting>
  <conditionalFormatting sqref="M302 M304 M306 M308 M310 M312 M314 M316 M318 M320 M322 M324 M326 M328 M330 M332 M334 M336 M338 M340 M342 M344 M346 M348 M350">
    <cfRule type="expression" dxfId="130" priority="121">
      <formula>AND(M302&lt;&gt;"",M303="")</formula>
    </cfRule>
  </conditionalFormatting>
  <conditionalFormatting sqref="L302 L304 L306 L308 L310 L312 L314 L316 L318 L320 L322 L324 L326 L328 L330 L332 L334 L336 L338 L340 L342 L344 L346 L348 L350">
    <cfRule type="expression" dxfId="129" priority="125">
      <formula>AND(L302&lt;&gt;"",L303="")</formula>
    </cfRule>
  </conditionalFormatting>
  <conditionalFormatting sqref="B302:C302 B304:C304 B306:C306 B308:C308 B310:C310 B312:C312 B314:C314 B316:C316 B318:C318 B320:C320 B322:C322 B324:C324 B326:C326 B328:C328 B330:C330 B332:C332 B334:C334 B336:C336 B338:C338 B340:C340 B342:C342 B344:C344 B346:C346 B348:C348 B350:C350 H302:I302 H304:I304 H306:I306 H308:I308 H310:I310 H312:I312 H314:I314 H316:I316 H318:I318 H320:I320 H322:I322 H324:I324 H326:I326 H328:I328 H330:I330 H332:I332 H334:I334 H336:I336 H338:I338 H340:I340 H342:I342 H344:I344 H346:I346 H348:I348 H350:I350">
    <cfRule type="containsText" dxfId="128" priority="133" operator="containsText" text="*">
      <formula>NOT(ISERROR(SEARCH("*",B302)))</formula>
    </cfRule>
  </conditionalFormatting>
  <conditionalFormatting sqref="B302 B304 B306 B308 B310 B312 B314 B316 B318 B320 B322 B324 B326 B328 B330 B332 B334 B336 B338 B340 B342 B344 B346 B348 B350">
    <cfRule type="expression" dxfId="127" priority="132">
      <formula>AND(B302&lt;&gt;"",B303="")</formula>
    </cfRule>
  </conditionalFormatting>
  <conditionalFormatting sqref="C302 C304 C306 C308 C310 C312 C314 C316 C318 C320 C322 C324 C326 C328 C330 C332 C334 C336 C338 C340 C342 C344 C346 C348 C350">
    <cfRule type="expression" dxfId="126" priority="131">
      <formula>AND(C302&lt;&gt;"",C303="")</formula>
    </cfRule>
  </conditionalFormatting>
  <conditionalFormatting sqref="H302 H304 H306 H308 H310 H312 H314 H316 H318 H320 H322 H324 H326 H328 H330 H332 H334 H336 H338 H340 H342 H344 H346 H348 H350">
    <cfRule type="expression" dxfId="125" priority="130">
      <formula>AND(H302&lt;&gt;"",H303="")</formula>
    </cfRule>
  </conditionalFormatting>
  <conditionalFormatting sqref="I302 I304 I306 I308 I310 I312 I314 I316 I318 I320 I322 I324 I326 I328 I330 I332 I334 I336 I338 I340 I342 I344 I346 I348 I350">
    <cfRule type="expression" dxfId="124" priority="129">
      <formula>AND(I302&lt;&gt;"",I303="")</formula>
    </cfRule>
  </conditionalFormatting>
  <conditionalFormatting sqref="E302:G302 E304:G304 E306:G306 E308:G308 E310:G310 E312:G312 E314:G314 E316:G316 E318:G318 E320:G320 E322:G322 E324:G324 E326:G326 E328:G328 E330:G330 E332:G332 E334:G334 E336:G336 E338:G338 E340:G340 E342:G342 E344:G344 E346:G346 E348:G348 E350:G350">
    <cfRule type="expression" dxfId="123" priority="115">
      <formula>AND(E302&lt;&gt;"",E303="")</formula>
    </cfRule>
  </conditionalFormatting>
  <conditionalFormatting sqref="K302 K304 K306 K308 K310 K312 K314 K316 K318 K320 K322 K324 K326 K328 K330 K332 K334 K336 K338 K340 K342 K344 K346 K348 K350">
    <cfRule type="containsText" dxfId="122" priority="128" operator="containsText" text="*">
      <formula>NOT(ISERROR(SEARCH("*",K302)))</formula>
    </cfRule>
  </conditionalFormatting>
  <conditionalFormatting sqref="K302 K304 K306 K308 K310 K312 K314 K316 K318 K320 K322 K324 K326 K328 K330 K332 K334 K336 K338 K340 K342 K344 K346 K348 K350">
    <cfRule type="expression" dxfId="121" priority="127">
      <formula>AND(K302&lt;&gt;"",K303="")</formula>
    </cfRule>
  </conditionalFormatting>
  <conditionalFormatting sqref="L302 L304 L306 L308 L310 L312 L314 L316 L318 L320 L322 L324 L326 L328 L330 L332 L334 L336 L338 L340 L342 L344 L346 L348 L350">
    <cfRule type="containsText" dxfId="120" priority="126" operator="containsText" text="*">
      <formula>NOT(ISERROR(SEARCH("*",L302)))</formula>
    </cfRule>
  </conditionalFormatting>
  <conditionalFormatting sqref="J302 J304 J306 J308 J310 J312 J314 J316 J318 J320 J322 J324 J326 J328 J330 J332 J334 J336 J338 J340 J342 J344 J346 J348 J350">
    <cfRule type="containsText" dxfId="119" priority="124" operator="containsText" text="*">
      <formula>NOT(ISERROR(SEARCH("*",J302)))</formula>
    </cfRule>
  </conditionalFormatting>
  <conditionalFormatting sqref="M302 M304 M306 M308 M310 M312 M314 M316 M318 M320 M322 M324 M326 M328 M330 M332 M334 M336 M338 M340 M342 M344 M346 M348 M350">
    <cfRule type="containsText" dxfId="118" priority="122" operator="containsText" text="*">
      <formula>NOT(ISERROR(SEARCH("*",M302)))</formula>
    </cfRule>
  </conditionalFormatting>
  <conditionalFormatting sqref="A302 A304 A306 A308 A310 A312 A314 A316 A318 A320 A322 A324 A326 A328 A330 A332 A334 A336 A338 A340 A342 A344 A346 A348 A350">
    <cfRule type="expression" dxfId="117" priority="119">
      <formula>AND(A302&lt;&gt;"",A303="")</formula>
    </cfRule>
  </conditionalFormatting>
  <conditionalFormatting sqref="A302 A304 A306 A308 A310 A312 A314 A316 A318 A320 A322 A324 A326 A328 A330 A332 A334 A336 A338 A340 A342 A344 A346 A348 A350">
    <cfRule type="containsText" dxfId="116" priority="120" operator="containsText" text="*">
      <formula>NOT(ISERROR(SEARCH("*",A302)))</formula>
    </cfRule>
  </conditionalFormatting>
  <conditionalFormatting sqref="O302 O304 O306 O308 O310 O312 O314 O316 O318 O320 O322 O324 O326 O328 O330 O332 O334 O336 O338 O340 O342 O344 O346 O348 O350">
    <cfRule type="expression" dxfId="115" priority="106">
      <formula>AND(O302&lt;&gt;"",O303="")</formula>
    </cfRule>
  </conditionalFormatting>
  <conditionalFormatting sqref="T302 T304 T306 T308 T310 T312 T314 T316 T318 T320 T322 T324 T326 T328 T330 T332 T334 T336 T338 T340 T342 T344 T346 T348 T350">
    <cfRule type="expression" dxfId="114" priority="117">
      <formula>AND(T302&lt;&gt;"",T303="")</formula>
    </cfRule>
  </conditionalFormatting>
  <conditionalFormatting sqref="T302 T304 T306 T308 T310 T312 T314 T316 T318 T320 T322 T324 T326 T328 T330 T332 T334 T336 T338 T340 T342 T344 T346 T348 T350">
    <cfRule type="containsText" dxfId="113" priority="118" operator="containsText" text="*">
      <formula>NOT(ISERROR(SEARCH("*",T302)))</formula>
    </cfRule>
  </conditionalFormatting>
  <conditionalFormatting sqref="E302:G302 E304:G304 E306:G306 E308:G308 E310:G310 E312:G312 E314:G314 E316:G316 E318:G318 E320:G320 E322:G322 E324:G324 E326:G326 E328:G328 E330:G330 E332:G332 E334:G334 E336:G336 E338:G338 E340:G340 E342:G342 E344:G344 E346:G346 E348:G348 E350:G350">
    <cfRule type="containsText" dxfId="112" priority="116" operator="containsText" text="*">
      <formula>NOT(ISERROR(SEARCH("*",E302)))</formula>
    </cfRule>
  </conditionalFormatting>
  <conditionalFormatting sqref="B301 B303 B305 B307 B309 B311 B313 B315 B317 B319 B321 B323 B325 B327 B329 B331 B333 B335 B337 B339 B341 B343 B345 B347 B349">
    <cfRule type="containsText" dxfId="111" priority="114" operator="containsText" text="*">
      <formula>NOT(ISERROR(SEARCH("*",B301)))</formula>
    </cfRule>
  </conditionalFormatting>
  <conditionalFormatting sqref="B301 B303 B305 B307 B309 B311 B313 B315 B317 B319 B321 B323 B325 B327 B329 B331 B333 B335 B337 B339 B341 B343 B345 B347 B349">
    <cfRule type="expression" dxfId="110" priority="113">
      <formula>AND(B301&lt;&gt;"",B302="")</formula>
    </cfRule>
  </conditionalFormatting>
  <conditionalFormatting sqref="T301 T303 T305 T307 T309 T311 T313 T315 T317 T319 T321 T323 T325 T327 T329 T331 T333 T335 T337 T339 T341 T343 T345 T347 T349">
    <cfRule type="containsText" dxfId="109" priority="112" operator="containsText" text="*">
      <formula>NOT(ISERROR(SEARCH("*",T301)))</formula>
    </cfRule>
  </conditionalFormatting>
  <conditionalFormatting sqref="T301 T303 T305 T307 T309 T311 T313 T315 T317 T319 T321 T323 T325 T327 T329 T331 T333 T335 T337 T339 T341 T343 T345 T347 T349">
    <cfRule type="expression" dxfId="108" priority="111">
      <formula>AND(T301&lt;&gt;"",T302="")</formula>
    </cfRule>
  </conditionalFormatting>
  <conditionalFormatting sqref="A301 A303 A305 A307 A309 A311 A313 A315 A317 A319 A321 A323 A325 A327 A329 A331 A333 A335 A337 A339 A341 A343 A345 A347 A349 C301 C303 C305 C307 C309 C311 C313 C315 C317 C319 C321 C323 C325 C327 C329 C331 C333 C335 C337 C339 C341 C343 C345 C347 C349 E301:M301 E303:M303 E305:M305 E307:M307 E309:M309 E311:M311 E313:M313 E315:M315 E317:M317 E319:M319 E321:M321 E323:M323 E325:M325 E327:M327 E329:M329 E331:M331 E333:M333 E335:M335 E337:M337 E339:M339 E341:M341 E343:M343 E345:M345 E347:M347 E349:M349">
    <cfRule type="containsText" dxfId="107" priority="110" operator="containsText" text="*">
      <formula>NOT(ISERROR(SEARCH("*",A301)))</formula>
    </cfRule>
  </conditionalFormatting>
  <conditionalFormatting sqref="A301 A303 A305 A307 A309 A311 A313 A315 A317 A319 A321 A323 A325 A327 A329 A331 A333 A335 A337 A339 A341 A343 A345 A347 A349 C301 C303 C305 C307 C309 C311 C313 C315 C317 C319 C321 C323 C325 C327 C329 C331 C333 C335 C337 C339 C341 C343 C345 C347 C349 E301:M301 E303:M303 E305:M305 E307:M307 E309:M309 E311:M311 E313:M313 E315:M315 E317:M317 E319:M319 E321:M321 E323:M323 E325:M325 E327:M327 E329:M329 E331:M331 E333:M333 E335:M335 E337:M337 E339:M339 E341:M341 E343:M343 E345:M345 E347:M347 E349:M349">
    <cfRule type="expression" dxfId="106" priority="109">
      <formula>AND(A301&lt;&gt;"",A302="")</formula>
    </cfRule>
  </conditionalFormatting>
  <conditionalFormatting sqref="N302:O302 N304:O304 N306:O306 N308:O308 N310:O310 N312:O312 N314:O314 N316:O316 N318:O318 N320:O320 N322:O322 N324:O324 N326:O326 N328:O328 N330:O330 N332:O332 N334:O334 N336:O336 N338:O338 N340:O340 N342:O342 N344:O344 N346:O346 N348:O348 N350:O350">
    <cfRule type="containsText" dxfId="105" priority="108" operator="containsText" text="*">
      <formula>NOT(ISERROR(SEARCH("*",N302)))</formula>
    </cfRule>
  </conditionalFormatting>
  <conditionalFormatting sqref="N302 N304 N306 N308 N310 N312 N314 N316 N318 N320 N322 N324 N326 N328 N330 N332 N334 N336 N338 N340 N342 N344 N346 N348 N350">
    <cfRule type="expression" dxfId="104" priority="107">
      <formula>AND(N302&lt;&gt;"",N303="")</formula>
    </cfRule>
  </conditionalFormatting>
  <conditionalFormatting sqref="P302 P304 P306 P308 P310 P312 P314 P316 P318 P320 P322 P324 P326 P328 P330 P332 P334 P336 P338 P340 P342 P344 P346 P348 P350">
    <cfRule type="containsText" dxfId="103" priority="105" operator="containsText" text="*">
      <formula>NOT(ISERROR(SEARCH("*",P302)))</formula>
    </cfRule>
  </conditionalFormatting>
  <conditionalFormatting sqref="P302 P304 P306 P308 P310 P312 P314 P316 P318 P320 P322 P324 P326 P328 P330 P332 P334 P336 P338 P340 P342 P344 P346 P348 P350">
    <cfRule type="expression" dxfId="102" priority="104">
      <formula>AND(P302&lt;&gt;"",P303="")</formula>
    </cfRule>
  </conditionalFormatting>
  <conditionalFormatting sqref="N301:P301 N303:P303 N305:P305 N307:P307 N309:P309 N311:P311 N313:P313 N315:P315 N317:P317 N319:P319 N321:P321 N323:P323 N325:P325 N327:P327 N329:P329 N331:P331 N333:P333 N335:P335 N337:P337 N339:P339 N341:P341 N343:P343 N345:P345 N347:P347 N349:P349">
    <cfRule type="containsText" dxfId="101" priority="103" operator="containsText" text="*">
      <formula>NOT(ISERROR(SEARCH("*",N301)))</formula>
    </cfRule>
  </conditionalFormatting>
  <conditionalFormatting sqref="N301:P301 N303:P303 N305:P305 N307:P307 N309:P309 N311:P311 N313:P313 N315:P315 N317:P317 N319:P319 N321:P321 N323:P323 N325:P325 N327:P327 N329:P329 N331:P331 N333:P333 N335:P335 N337:P337 N339:P339 N341:P341 N343:P343 N345:P345 N347:P347 N349:P349">
    <cfRule type="expression" dxfId="100" priority="102">
      <formula>AND(N301&lt;&gt;"",N302="")</formula>
    </cfRule>
  </conditionalFormatting>
  <conditionalFormatting sqref="Q302:R302 Q304:R304 Q306:R306 Q308:R308 Q310:R310 Q312:R312 Q314:R314 Q316:R316 Q318:R318 Q320:R320 Q322:R322 Q324:R324 Q326:R326 Q328:R328 Q330:R330 Q332:R332 Q334:R334 Q336:R336 Q338:R338 Q340:R340 Q342:R342 Q344:R344 Q346:R346 Q348:R348 Q350:R350">
    <cfRule type="containsText" dxfId="99" priority="101" operator="containsText" text="*">
      <formula>NOT(ISERROR(SEARCH("*",Q302)))</formula>
    </cfRule>
  </conditionalFormatting>
  <conditionalFormatting sqref="Q302 Q304 Q306 Q308 Q310 Q312 Q314 Q316 Q318 Q320 Q322 Q324 Q326 Q328 Q330 Q332 Q334 Q336 Q338 Q340 Q342 Q344 Q346 Q348 Q350">
    <cfRule type="expression" dxfId="98" priority="100">
      <formula>AND(Q302&lt;&gt;"",Q303="")</formula>
    </cfRule>
  </conditionalFormatting>
  <conditionalFormatting sqref="R302 R304 R306 R308 R310 R312 R314 R316 R318 R320 R322 R324 R326 R328 R330 R332 R334 R336 R338 R340 R342 R344 R346 R348 R350">
    <cfRule type="expression" dxfId="97" priority="99">
      <formula>AND(R302&lt;&gt;"",R303="")</formula>
    </cfRule>
  </conditionalFormatting>
  <conditionalFormatting sqref="S302 S304 S306 S308 S310 S312 S314 S316 S318 S320 S322 S324 S326 S328 S330 S332 S334 S336 S338 S340 S342 S344 S346 S348 S350">
    <cfRule type="containsText" dxfId="96" priority="98" operator="containsText" text="*">
      <formula>NOT(ISERROR(SEARCH("*",S302)))</formula>
    </cfRule>
  </conditionalFormatting>
  <conditionalFormatting sqref="S302 S304 S306 S308 S310 S312 S314 S316 S318 S320 S322 S324 S326 S328 S330 S332 S334 S336 S338 S340 S342 S344 S346 S348 S350">
    <cfRule type="expression" dxfId="95" priority="97">
      <formula>AND(S302&lt;&gt;"",S303="")</formula>
    </cfRule>
  </conditionalFormatting>
  <conditionalFormatting sqref="Q301:S301 Q303:S303 Q305:S305 Q307:S307 Q309:S309 Q311:S311 Q313:S313 Q315:S315 Q317:S317 Q319:S319 Q321:S321 Q323:S323 Q325:S325 Q327:S327 Q329:S329 Q331:S331 Q333:S333 Q335:S335 Q337:S337 Q339:S339 Q341:S341 Q343:S343 Q345:S345 Q347:S347 Q349:S349">
    <cfRule type="containsText" dxfId="94" priority="96" operator="containsText" text="*">
      <formula>NOT(ISERROR(SEARCH("*",Q301)))</formula>
    </cfRule>
  </conditionalFormatting>
  <conditionalFormatting sqref="Q301:S301 Q303:S303 Q305:S305 Q307:S307 Q309:S309 Q311:S311 Q313:S313 Q315:S315 Q317:S317 Q319:S319 Q321:S321 Q323:S323 Q325:S325 Q327:S327 Q329:S329 Q331:S331 Q333:S333 Q335:S335 Q337:S337 Q339:S339 Q341:S341 Q343:S343 Q345:S345 Q347:S347 Q349:S349">
    <cfRule type="expression" dxfId="93" priority="95">
      <formula>AND(Q301&lt;&gt;"",Q302="")</formula>
    </cfRule>
  </conditionalFormatting>
  <conditionalFormatting sqref="D302 D304 D306 D308 D310 D312 D314 D316 D318 D320 D322 D324 D326 D328 D330 D332 D334 D336 D338 D340 D342 D344 D346 D348 D350">
    <cfRule type="expression" dxfId="92" priority="93">
      <formula>AND(D302&lt;&gt;"",D303="")</formula>
    </cfRule>
  </conditionalFormatting>
  <conditionalFormatting sqref="D302 D304 D306 D308 D310 D312 D314 D316 D318 D320 D322 D324 D326 D328 D330 D332 D334 D336 D338 D340 D342 D344 D346 D348 D350">
    <cfRule type="containsText" dxfId="91" priority="94" operator="containsText" text="*">
      <formula>NOT(ISERROR(SEARCH("*",D302)))</formula>
    </cfRule>
  </conditionalFormatting>
  <conditionalFormatting sqref="D301 D303 D305 D307 D309 D311 D313 D315 D317 D319 D321 D323 D325 D327 D329 D331 D333 D335 D337 D339 D341 D343 D345 D347 D349">
    <cfRule type="expression" dxfId="90" priority="91">
      <formula>AND(D301&lt;&gt;"",D302="")</formula>
    </cfRule>
  </conditionalFormatting>
  <conditionalFormatting sqref="D301 D303 D305 D307 D309 D311 D313 D315 D317 D319 D321 D323 D325 D327 D329 D331 D333 D335 D337 D339 D341 D343 D345 D347 D349">
    <cfRule type="containsText" dxfId="89" priority="92" operator="containsText" text="*">
      <formula>NOT(ISERROR(SEARCH("*",D301)))</formula>
    </cfRule>
  </conditionalFormatting>
  <conditionalFormatting sqref="B351:B400">
    <cfRule type="containsText" dxfId="88" priority="90" operator="containsText" text="*">
      <formula>NOT(ISERROR(SEARCH("*",B351)))</formula>
    </cfRule>
  </conditionalFormatting>
  <conditionalFormatting sqref="B351:B400">
    <cfRule type="expression" dxfId="87" priority="89">
      <formula>AND(B351&lt;&gt;"",B352="")</formula>
    </cfRule>
  </conditionalFormatting>
  <conditionalFormatting sqref="J352 J354 J356 J358 J360 J362 J364 J366 J368 J370 J372 J374 J376 J378 J380 J382 J384 J386 J388 J390 J392 J394 J396 J398 J400">
    <cfRule type="expression" dxfId="86" priority="78">
      <formula>AND(J352&lt;&gt;"",J353="")</formula>
    </cfRule>
  </conditionalFormatting>
  <conditionalFormatting sqref="M352 M354 M356 M358 M360 M362 M364 M366 M368 M370 M372 M374 M376 M378 M380 M382 M384 M386 M388 M390 M392 M394 M396 M398 M400">
    <cfRule type="expression" dxfId="85" priority="76">
      <formula>AND(M352&lt;&gt;"",M353="")</formula>
    </cfRule>
  </conditionalFormatting>
  <conditionalFormatting sqref="L352 L354 L356 L358 L360 L362 L364 L366 L368 L370 L372 L374 L376 L378 L380 L382 L384 L386 L388 L390 L392 L394 L396 L398 L400">
    <cfRule type="expression" dxfId="84" priority="80">
      <formula>AND(L352&lt;&gt;"",L353="")</formula>
    </cfRule>
  </conditionalFormatting>
  <conditionalFormatting sqref="B352:C352 B354:C354 B356:C356 B358:C358 B360:C360 B362:C362 B364:C364 B366:C366 B368:C368 B370:C370 B372:C372 B374:C374 B376:C376 B378:C378 B380:C380 B382:C382 B384:C384 B386:C386 B388:C388 B390:C390 B392:C392 B394:C394 B396:C396 B398:C398 B400:C400 H352:I352 H354:I354 H356:I356 H358:I358 H360:I360 H362:I362 H364:I364 H366:I366 H368:I368 H370:I370 H372:I372 H374:I374 H376:I376 H378:I378 H380:I380 H382:I382 H384:I384 H386:I386 H388:I388 H390:I390 H392:I392 H394:I394 H396:I396 H398:I398 H400:I400">
    <cfRule type="containsText" dxfId="83" priority="88" operator="containsText" text="*">
      <formula>NOT(ISERROR(SEARCH("*",B352)))</formula>
    </cfRule>
  </conditionalFormatting>
  <conditionalFormatting sqref="B352 B354 B356 B358 B360 B362 B364 B366 B368 B370 B372 B374 B376 B378 B380 B382 B384 B386 B388 B390 B392 B394 B396 B398 B400">
    <cfRule type="expression" dxfId="82" priority="87">
      <formula>AND(B352&lt;&gt;"",B353="")</formula>
    </cfRule>
  </conditionalFormatting>
  <conditionalFormatting sqref="C352 C354 C356 C358 C360 C362 C364 C366 C368 C370 C372 C374 C376 C378 C380 C382 C384 C386 C388 C390 C392 C394 C396 C398 C400">
    <cfRule type="expression" dxfId="81" priority="86">
      <formula>AND(C352&lt;&gt;"",C353="")</formula>
    </cfRule>
  </conditionalFormatting>
  <conditionalFormatting sqref="H352 H354 H356 H358 H360 H362 H364 H366 H368 H370 H372 H374 H376 H378 H380 H382 H384 H386 H388 H390 H392 H394 H396 H398 H400">
    <cfRule type="expression" dxfId="80" priority="85">
      <formula>AND(H352&lt;&gt;"",H353="")</formula>
    </cfRule>
  </conditionalFormatting>
  <conditionalFormatting sqref="I352 I354 I356 I358 I360 I362 I364 I366 I368 I370 I372 I374 I376 I378 I380 I382 I384 I386 I388 I390 I392 I394 I396 I398 I400">
    <cfRule type="expression" dxfId="79" priority="84">
      <formula>AND(I352&lt;&gt;"",I353="")</formula>
    </cfRule>
  </conditionalFormatting>
  <conditionalFormatting sqref="E352:G352 E354:G354 E356:G356 E358:G358 E360:G360 E362:G362 E364:G364 E366:G366 E368:G368 E370:G370 E372:G372 E374:G374 E376:G376 E378:G378 E380:G380 E382:G382 E384:G384 E386:G386 E388:G388 E390:G390 E392:G392 E394:G394 E396:G396 E398:G398 E400:G400">
    <cfRule type="expression" dxfId="78" priority="70">
      <formula>AND(E352&lt;&gt;"",E353="")</formula>
    </cfRule>
  </conditionalFormatting>
  <conditionalFormatting sqref="K352 K354 K356 K358 K360 K362 K364 K366 K368 K370 K372 K374 K376 K378 K380 K382 K384 K386 K388 K390 K392 K394 K396 K398 K400">
    <cfRule type="containsText" dxfId="77" priority="83" operator="containsText" text="*">
      <formula>NOT(ISERROR(SEARCH("*",K352)))</formula>
    </cfRule>
  </conditionalFormatting>
  <conditionalFormatting sqref="K352 K354 K356 K358 K360 K362 K364 K366 K368 K370 K372 K374 K376 K378 K380 K382 K384 K386 K388 K390 K392 K394 K396 K398 K400">
    <cfRule type="expression" dxfId="76" priority="82">
      <formula>AND(K352&lt;&gt;"",K353="")</formula>
    </cfRule>
  </conditionalFormatting>
  <conditionalFormatting sqref="L352 L354 L356 L358 L360 L362 L364 L366 L368 L370 L372 L374 L376 L378 L380 L382 L384 L386 L388 L390 L392 L394 L396 L398 L400">
    <cfRule type="containsText" dxfId="75" priority="81" operator="containsText" text="*">
      <formula>NOT(ISERROR(SEARCH("*",L352)))</formula>
    </cfRule>
  </conditionalFormatting>
  <conditionalFormatting sqref="J352 J354 J356 J358 J360 J362 J364 J366 J368 J370 J372 J374 J376 J378 J380 J382 J384 J386 J388 J390 J392 J394 J396 J398 J400">
    <cfRule type="containsText" dxfId="74" priority="79" operator="containsText" text="*">
      <formula>NOT(ISERROR(SEARCH("*",J352)))</formula>
    </cfRule>
  </conditionalFormatting>
  <conditionalFormatting sqref="M352 M354 M356 M358 M360 M362 M364 M366 M368 M370 M372 M374 M376 M378 M380 M382 M384 M386 M388 M390 M392 M394 M396 M398 M400">
    <cfRule type="containsText" dxfId="73" priority="77" operator="containsText" text="*">
      <formula>NOT(ISERROR(SEARCH("*",M352)))</formula>
    </cfRule>
  </conditionalFormatting>
  <conditionalFormatting sqref="A352 A354 A356 A358 A360 A362 A364 A366 A368 A370 A372 A374 A376 A378 A380 A382 A384 A386 A388 A390 A392 A394 A396 A398 A400">
    <cfRule type="expression" dxfId="72" priority="74">
      <formula>AND(A352&lt;&gt;"",A353="")</formula>
    </cfRule>
  </conditionalFormatting>
  <conditionalFormatting sqref="A352 A354 A356 A358 A360 A362 A364 A366 A368 A370 A372 A374 A376 A378 A380 A382 A384 A386 A388 A390 A392 A394 A396 A398 A400">
    <cfRule type="containsText" dxfId="71" priority="75" operator="containsText" text="*">
      <formula>NOT(ISERROR(SEARCH("*",A352)))</formula>
    </cfRule>
  </conditionalFormatting>
  <conditionalFormatting sqref="O352 O354 O356 O358 O360 O362 O364 O366 O368 O370 O372 O374 O376 O378 O380 O382 O384 O386 O388 O390 O392 O394 O396 O398 O400">
    <cfRule type="expression" dxfId="70" priority="61">
      <formula>AND(O352&lt;&gt;"",O353="")</formula>
    </cfRule>
  </conditionalFormatting>
  <conditionalFormatting sqref="T352 T354 T356 T358 T360 T362 T364 T366 T368 T370 T372 T374 T376 T378 T380 T382 T384 T386 T388 T390 T392 T394 T396 T398 T400">
    <cfRule type="expression" dxfId="69" priority="72">
      <formula>AND(T352&lt;&gt;"",T353="")</formula>
    </cfRule>
  </conditionalFormatting>
  <conditionalFormatting sqref="T352 T354 T356 T358 T360 T362 T364 T366 T368 T370 T372 T374 T376 T378 T380 T382 T384 T386 T388 T390 T392 T394 T396 T398 T400">
    <cfRule type="containsText" dxfId="68" priority="73" operator="containsText" text="*">
      <formula>NOT(ISERROR(SEARCH("*",T352)))</formula>
    </cfRule>
  </conditionalFormatting>
  <conditionalFormatting sqref="E352:G352 E354:G354 E356:G356 E358:G358 E360:G360 E362:G362 E364:G364 E366:G366 E368:G368 E370:G370 E372:G372 E374:G374 E376:G376 E378:G378 E380:G380 E382:G382 E384:G384 E386:G386 E388:G388 E390:G390 E392:G392 E394:G394 E396:G396 E398:G398 E400:G400">
    <cfRule type="containsText" dxfId="67" priority="71" operator="containsText" text="*">
      <formula>NOT(ISERROR(SEARCH("*",E352)))</formula>
    </cfRule>
  </conditionalFormatting>
  <conditionalFormatting sqref="B351 B353 B355 B357 B359 B361 B363 B365 B367 B369 B371 B373 B375 B377 B379 B381 B383 B385 B387 B389 B391 B393 B395 B397 B399">
    <cfRule type="containsText" dxfId="66" priority="69" operator="containsText" text="*">
      <formula>NOT(ISERROR(SEARCH("*",B351)))</formula>
    </cfRule>
  </conditionalFormatting>
  <conditionalFormatting sqref="B351 B353 B355 B357 B359 B361 B363 B365 B367 B369 B371 B373 B375 B377 B379 B381 B383 B385 B387 B389 B391 B393 B395 B397 B399">
    <cfRule type="expression" dxfId="65" priority="68">
      <formula>AND(B351&lt;&gt;"",B352="")</formula>
    </cfRule>
  </conditionalFormatting>
  <conditionalFormatting sqref="T351 T353 T355 T357 T359 T361 T363 T365 T367 T369 T371 T373 T375 T377 T379 T381 T383 T385 T387 T389 T391 T393 T395 T397 T399">
    <cfRule type="containsText" dxfId="64" priority="67" operator="containsText" text="*">
      <formula>NOT(ISERROR(SEARCH("*",T351)))</formula>
    </cfRule>
  </conditionalFormatting>
  <conditionalFormatting sqref="T351 T353 T355 T357 T359 T361 T363 T365 T367 T369 T371 T373 T375 T377 T379 T381 T383 T385 T387 T389 T391 T393 T395 T397 T399">
    <cfRule type="expression" dxfId="63" priority="66">
      <formula>AND(T351&lt;&gt;"",T352="")</formula>
    </cfRule>
  </conditionalFormatting>
  <conditionalFormatting sqref="A351 A353 A355 A357 A359 A361 A363 A365 A367 A369 A371 A373 A375 A377 A379 A381 A383 A385 A387 A389 A391 A393 A395 A397 A399 C351 C353 C355 C357 C359 C361 C363 C365 C367 C369 C371 C373 C375 C377 C379 C381 C383 C385 C387 C389 C391 C393 C395 C397 C399 E351:M351 E353:M353 E355:M355 E357:M357 E359:M359 E361:M361 E363:M363 E365:M365 E367:M367 E369:M369 E371:M371 E373:M373 E375:M375 E377:M377 E379:M379 E381:M381 E383:M383 E385:M385 E387:M387 E389:M389 E391:M391 E393:M393 E395:M395 E397:M397 E399:M399">
    <cfRule type="containsText" dxfId="62" priority="65" operator="containsText" text="*">
      <formula>NOT(ISERROR(SEARCH("*",A351)))</formula>
    </cfRule>
  </conditionalFormatting>
  <conditionalFormatting sqref="A351 A353 A355 A357 A359 A361 A363 A365 A367 A369 A371 A373 A375 A377 A379 A381 A383 A385 A387 A389 A391 A393 A395 A397 A399 C351 C353 C355 C357 C359 C361 C363 C365 C367 C369 C371 C373 C375 C377 C379 C381 C383 C385 C387 C389 C391 C393 C395 C397 C399 E351:M351 E353:M353 E355:M355 E357:M357 E359:M359 E361:M361 E363:M363 E365:M365 E367:M367 E369:M369 E371:M371 E373:M373 E375:M375 E377:M377 E379:M379 E381:M381 E383:M383 E385:M385 E387:M387 E389:M389 E391:M391 E393:M393 E395:M395 E397:M397 E399:M399">
    <cfRule type="expression" dxfId="61" priority="64">
      <formula>AND(A351&lt;&gt;"",A352="")</formula>
    </cfRule>
  </conditionalFormatting>
  <conditionalFormatting sqref="N352:O352 N354:O354 N356:O356 N358:O358 N360:O360 N362:O362 N364:O364 N366:O366 N368:O368 N370:O370 N372:O372 N374:O374 N376:O376 N378:O378 N380:O380 N382:O382 N384:O384 N386:O386 N388:O388 N390:O390 N392:O392 N394:O394 N396:O396 N398:O398 N400:O400">
    <cfRule type="containsText" dxfId="60" priority="63" operator="containsText" text="*">
      <formula>NOT(ISERROR(SEARCH("*",N352)))</formula>
    </cfRule>
  </conditionalFormatting>
  <conditionalFormatting sqref="N352 N354 N356 N358 N360 N362 N364 N366 N368 N370 N372 N374 N376 N378 N380 N382 N384 N386 N388 N390 N392 N394 N396 N398 N400">
    <cfRule type="expression" dxfId="59" priority="62">
      <formula>AND(N352&lt;&gt;"",N353="")</formula>
    </cfRule>
  </conditionalFormatting>
  <conditionalFormatting sqref="P352 P354 P356 P358 P360 P362 P364 P366 P368 P370 P372 P374 P376 P378 P380 P382 P384 P386 P388 P390 P392 P394 P396 P398 P400">
    <cfRule type="containsText" dxfId="58" priority="60" operator="containsText" text="*">
      <formula>NOT(ISERROR(SEARCH("*",P352)))</formula>
    </cfRule>
  </conditionalFormatting>
  <conditionalFormatting sqref="P352 P354 P356 P358 P360 P362 P364 P366 P368 P370 P372 P374 P376 P378 P380 P382 P384 P386 P388 P390 P392 P394 P396 P398 P400">
    <cfRule type="expression" dxfId="57" priority="59">
      <formula>AND(P352&lt;&gt;"",P353="")</formula>
    </cfRule>
  </conditionalFormatting>
  <conditionalFormatting sqref="N351:P351 N353:P353 N355:P355 N357:P357 N359:P359 N361:P361 N363:P363 N365:P365 N367:P367 N369:P369 N371:P371 N373:P373 N375:P375 N377:P377 N379:P379 N381:P381 N383:P383 N385:P385 N387:P387 N389:P389 N391:P391 N393:P393 N395:P395 N397:P397 N399:P399">
    <cfRule type="containsText" dxfId="56" priority="58" operator="containsText" text="*">
      <formula>NOT(ISERROR(SEARCH("*",N351)))</formula>
    </cfRule>
  </conditionalFormatting>
  <conditionalFormatting sqref="N351:P351 N353:P353 N355:P355 N357:P357 N359:P359 N361:P361 N363:P363 N365:P365 N367:P367 N369:P369 N371:P371 N373:P373 N375:P375 N377:P377 N379:P379 N381:P381 N383:P383 N385:P385 N387:P387 N389:P389 N391:P391 N393:P393 N395:P395 N397:P397 N399:P399">
    <cfRule type="expression" dxfId="55" priority="57">
      <formula>AND(N351&lt;&gt;"",N352="")</formula>
    </cfRule>
  </conditionalFormatting>
  <conditionalFormatting sqref="Q352:R352 Q354:R354 Q356:R356 Q358:R358 Q360:R360 Q362:R362 Q364:R364 Q366:R366 Q368:R368 Q370:R370 Q372:R372 Q374:R374 Q376:R376 Q378:R378 Q380:R380 Q382:R382 Q384:R384 Q386:R386 Q388:R388 Q390:R390 Q392:R392 Q394:R394 Q396:R396 Q398:R398 Q400:R400">
    <cfRule type="containsText" dxfId="54" priority="56" operator="containsText" text="*">
      <formula>NOT(ISERROR(SEARCH("*",Q352)))</formula>
    </cfRule>
  </conditionalFormatting>
  <conditionalFormatting sqref="Q352 Q354 Q356 Q358 Q360 Q362 Q364 Q366 Q368 Q370 Q372 Q374 Q376 Q378 Q380 Q382 Q384 Q386 Q388 Q390 Q392 Q394 Q396 Q398 Q400">
    <cfRule type="expression" dxfId="53" priority="55">
      <formula>AND(Q352&lt;&gt;"",Q353="")</formula>
    </cfRule>
  </conditionalFormatting>
  <conditionalFormatting sqref="R352 R354 R356 R358 R360 R362 R364 R366 R368 R370 R372 R374 R376 R378 R380 R382 R384 R386 R388 R390 R392 R394 R396 R398 R400">
    <cfRule type="expression" dxfId="52" priority="54">
      <formula>AND(R352&lt;&gt;"",R353="")</formula>
    </cfRule>
  </conditionalFormatting>
  <conditionalFormatting sqref="S352 S354 S356 S358 S360 S362 S364 S366 S368 S370 S372 S374 S376 S378 S380 S382 S384 S386 S388 S390 S392 S394 S396 S398 S400">
    <cfRule type="containsText" dxfId="51" priority="53" operator="containsText" text="*">
      <formula>NOT(ISERROR(SEARCH("*",S352)))</formula>
    </cfRule>
  </conditionalFormatting>
  <conditionalFormatting sqref="S352 S354 S356 S358 S360 S362 S364 S366 S368 S370 S372 S374 S376 S378 S380 S382 S384 S386 S388 S390 S392 S394 S396 S398 S400">
    <cfRule type="expression" dxfId="50" priority="52">
      <formula>AND(S352&lt;&gt;"",S353="")</formula>
    </cfRule>
  </conditionalFormatting>
  <conditionalFormatting sqref="Q351:S351 Q353:S353 Q355:S355 Q357:S357 Q359:S359 Q361:S361 Q363:S363 Q365:S365 Q367:S367 Q369:S369 Q371:S371 Q373:S373 Q375:S375 Q377:S377 Q379:S379 Q381:S381 Q383:S383 Q385:S385 Q387:S387 Q389:S389 Q391:S391 Q393:S393 Q395:S395 Q397:S397 Q399:S399">
    <cfRule type="containsText" dxfId="49" priority="51" operator="containsText" text="*">
      <formula>NOT(ISERROR(SEARCH("*",Q351)))</formula>
    </cfRule>
  </conditionalFormatting>
  <conditionalFormatting sqref="Q351:S351 Q353:S353 Q355:S355 Q357:S357 Q359:S359 Q361:S361 Q363:S363 Q365:S365 Q367:S367 Q369:S369 Q371:S371 Q373:S373 Q375:S375 Q377:S377 Q379:S379 Q381:S381 Q383:S383 Q385:S385 Q387:S387 Q389:S389 Q391:S391 Q393:S393 Q395:S395 Q397:S397 Q399:S399">
    <cfRule type="expression" dxfId="48" priority="50">
      <formula>AND(Q351&lt;&gt;"",Q352="")</formula>
    </cfRule>
  </conditionalFormatting>
  <conditionalFormatting sqref="D352 D354 D356 D358 D360 D362 D364 D366 D368 D370 D372 D374 D376 D378 D380 D382 D384 D386 D388 D390 D392 D394 D396 D398 D400">
    <cfRule type="expression" dxfId="47" priority="48">
      <formula>AND(D352&lt;&gt;"",D353="")</formula>
    </cfRule>
  </conditionalFormatting>
  <conditionalFormatting sqref="D352 D354 D356 D358 D360 D362 D364 D366 D368 D370 D372 D374 D376 D378 D380 D382 D384 D386 D388 D390 D392 D394 D396 D398 D400">
    <cfRule type="containsText" dxfId="46" priority="49" operator="containsText" text="*">
      <formula>NOT(ISERROR(SEARCH("*",D352)))</formula>
    </cfRule>
  </conditionalFormatting>
  <conditionalFormatting sqref="D351 D353 D355 D357 D359 D361 D363 D365 D367 D369 D371 D373 D375 D377 D379 D381 D383 D385 D387 D389 D391 D393 D395 D397 D399">
    <cfRule type="expression" dxfId="45" priority="46">
      <formula>AND(D351&lt;&gt;"",D352="")</formula>
    </cfRule>
  </conditionalFormatting>
  <conditionalFormatting sqref="D351 D353 D355 D357 D359 D361 D363 D365 D367 D369 D371 D373 D375 D377 D379 D381 D383 D385 D387 D389 D391 D393 D395 D397 D399">
    <cfRule type="containsText" dxfId="44" priority="47" operator="containsText" text="*">
      <formula>NOT(ISERROR(SEARCH("*",D351)))</formula>
    </cfRule>
  </conditionalFormatting>
  <conditionalFormatting sqref="B401:B450">
    <cfRule type="containsText" dxfId="43" priority="45" operator="containsText" text="*">
      <formula>NOT(ISERROR(SEARCH("*",B401)))</formula>
    </cfRule>
  </conditionalFormatting>
  <conditionalFormatting sqref="B401:B450">
    <cfRule type="expression" dxfId="42" priority="44">
      <formula>AND(B401&lt;&gt;"",B402="")</formula>
    </cfRule>
  </conditionalFormatting>
  <conditionalFormatting sqref="J402 J404 J406 J408 J410 J412 J414 J416 J418 J420 J422 J424 J426 J428 J430 J432 J434 J436 J438 J440 J442 J444 J446 J448 J450">
    <cfRule type="expression" dxfId="41" priority="33">
      <formula>AND(J402&lt;&gt;"",J403="")</formula>
    </cfRule>
  </conditionalFormatting>
  <conditionalFormatting sqref="M402 M404 M406 M408 M410 M412 M414 M416 M418 M420 M422 M424 M426 M428 M430 M432 M434 M436 M438 M440 M442 M444 M446 M448 M450">
    <cfRule type="expression" dxfId="40" priority="31">
      <formula>AND(M402&lt;&gt;"",M403="")</formula>
    </cfRule>
  </conditionalFormatting>
  <conditionalFormatting sqref="L402 L404 L406 L408 L410 L412 L414 L416 L418 L420 L422 L424 L426 L428 L430 L432 L434 L436 L438 L440 L442 L444 L446 L448 L450">
    <cfRule type="expression" dxfId="39" priority="35">
      <formula>AND(L402&lt;&gt;"",L403="")</formula>
    </cfRule>
  </conditionalFormatting>
  <conditionalFormatting sqref="B402:C402 B404:C404 B406:C406 B408:C408 B410:C410 B412:C412 B414:C414 B416:C416 B418:C418 B420:C420 B422:C422 B424:C424 B426:C426 B428:C428 B430:C430 B432:C432 B434:C434 B436:C436 B438:C438 B440:C440 B442:C442 B444:C444 B446:C446 B448:C448 B450:C450 H402:I402 H404:I404 H406:I406 H408:I408 H410:I410 H412:I412 H414:I414 H416:I416 H418:I418 H420:I420 H422:I422 H424:I424 H426:I426 H428:I428 H430:I430 H432:I432 H434:I434 H436:I436 H438:I438 H440:I440 H442:I442 H444:I444 H446:I446 H448:I448 H450:I450">
    <cfRule type="containsText" dxfId="38" priority="43" operator="containsText" text="*">
      <formula>NOT(ISERROR(SEARCH("*",B402)))</formula>
    </cfRule>
  </conditionalFormatting>
  <conditionalFormatting sqref="B402 B404 B406 B408 B410 B412 B414 B416 B418 B420 B422 B424 B426 B428 B430 B432 B434 B436 B438 B440 B442 B444 B446 B448 B450">
    <cfRule type="expression" dxfId="37" priority="42">
      <formula>AND(B402&lt;&gt;"",B403="")</formula>
    </cfRule>
  </conditionalFormatting>
  <conditionalFormatting sqref="C402 C404 C406 C408 C410 C412 C414 C416 C418 C420 C422 C424 C426 C428 C430 C432 C434 C436 C438 C440 C442 C444 C446 C448 C450">
    <cfRule type="expression" dxfId="36" priority="41">
      <formula>AND(C402&lt;&gt;"",C403="")</formula>
    </cfRule>
  </conditionalFormatting>
  <conditionalFormatting sqref="H402 H404 H406 H408 H410 H412 H414 H416 H418 H420 H422 H424 H426 H428 H430 H432 H434 H436 H438 H440 H442 H444 H446 H448 H450">
    <cfRule type="expression" dxfId="35" priority="40">
      <formula>AND(H402&lt;&gt;"",H403="")</formula>
    </cfRule>
  </conditionalFormatting>
  <conditionalFormatting sqref="I402 I404 I406 I408 I410 I412 I414 I416 I418 I420 I422 I424 I426 I428 I430 I432 I434 I436 I438 I440 I442 I444 I446 I448 I450">
    <cfRule type="expression" dxfId="34" priority="39">
      <formula>AND(I402&lt;&gt;"",I403="")</formula>
    </cfRule>
  </conditionalFormatting>
  <conditionalFormatting sqref="E402:G402 E404:G404 E406:G406 E408:G408 E410:G410 E412:G412 E414:G414 E416:G416 E418:G418 E420:G420 E422:G422 E424:G424 E426:G426 E428:G428 E430:G430 E432:G432 E434:G434 E436:G436 E438:G438 E440:G440 E442:G442 E444:G444 E446:G446 E448:G448 E450:G450">
    <cfRule type="expression" dxfId="33" priority="25">
      <formula>AND(E402&lt;&gt;"",E403="")</formula>
    </cfRule>
  </conditionalFormatting>
  <conditionalFormatting sqref="K402 K404 K406 K408 K410 K412 K414 K416 K418 K420 K422 K424 K426 K428 K430 K432 K434 K436 K438 K440 K442 K444 K446 K448 K450">
    <cfRule type="containsText" dxfId="32" priority="38" operator="containsText" text="*">
      <formula>NOT(ISERROR(SEARCH("*",K402)))</formula>
    </cfRule>
  </conditionalFormatting>
  <conditionalFormatting sqref="K402 K404 K406 K408 K410 K412 K414 K416 K418 K420 K422 K424 K426 K428 K430 K432 K434 K436 K438 K440 K442 K444 K446 K448 K450">
    <cfRule type="expression" dxfId="31" priority="37">
      <formula>AND(K402&lt;&gt;"",K403="")</formula>
    </cfRule>
  </conditionalFormatting>
  <conditionalFormatting sqref="L402 L404 L406 L408 L410 L412 L414 L416 L418 L420 L422 L424 L426 L428 L430 L432 L434 L436 L438 L440 L442 L444 L446 L448 L450">
    <cfRule type="containsText" dxfId="30" priority="36" operator="containsText" text="*">
      <formula>NOT(ISERROR(SEARCH("*",L402)))</formula>
    </cfRule>
  </conditionalFormatting>
  <conditionalFormatting sqref="J402 J404 J406 J408 J410 J412 J414 J416 J418 J420 J422 J424 J426 J428 J430 J432 J434 J436 J438 J440 J442 J444 J446 J448 J450">
    <cfRule type="containsText" dxfId="29" priority="34" operator="containsText" text="*">
      <formula>NOT(ISERROR(SEARCH("*",J402)))</formula>
    </cfRule>
  </conditionalFormatting>
  <conditionalFormatting sqref="M402 M404 M406 M408 M410 M412 M414 M416 M418 M420 M422 M424 M426 M428 M430 M432 M434 M436 M438 M440 M442 M444 M446 M448 M450">
    <cfRule type="containsText" dxfId="28" priority="32" operator="containsText" text="*">
      <formula>NOT(ISERROR(SEARCH("*",M402)))</formula>
    </cfRule>
  </conditionalFormatting>
  <conditionalFormatting sqref="A402 A404 A406 A408 A410 A412 A414 A416 A418 A420 A422 A424 A426 A428 A430 A432 A434 A436 A438 A440 A442 A444 A446 A448 A450">
    <cfRule type="expression" dxfId="27" priority="29">
      <formula>AND(A402&lt;&gt;"",A403="")</formula>
    </cfRule>
  </conditionalFormatting>
  <conditionalFormatting sqref="A402 A404 A406 A408 A410 A412 A414 A416 A418 A420 A422 A424 A426 A428 A430 A432 A434 A436 A438 A440 A442 A444 A446 A448 A450">
    <cfRule type="containsText" dxfId="26" priority="30" operator="containsText" text="*">
      <formula>NOT(ISERROR(SEARCH("*",A402)))</formula>
    </cfRule>
  </conditionalFormatting>
  <conditionalFormatting sqref="O402 O404 O406 O408 O410 O412 O414 O416 O418 O420 O422 O424 O426 O428 O430 O432 O434 O436 O438 O440 O442 O444 O446 O448 O450">
    <cfRule type="expression" dxfId="25" priority="16">
      <formula>AND(O402&lt;&gt;"",O403="")</formula>
    </cfRule>
  </conditionalFormatting>
  <conditionalFormatting sqref="T402 T404 T406 T408 T410 T412 T414 T416 T418 T420 T422 T424 T426 T428 T430 T432 T434 T436 T438 T440 T442 T444 T446 T448 T450">
    <cfRule type="expression" dxfId="24" priority="27">
      <formula>AND(T402&lt;&gt;"",T403="")</formula>
    </cfRule>
  </conditionalFormatting>
  <conditionalFormatting sqref="T402 T404 T406 T408 T410 T412 T414 T416 T418 T420 T422 T424 T426 T428 T430 T432 T434 T436 T438 T440 T442 T444 T446 T448 T450">
    <cfRule type="containsText" dxfId="23" priority="28" operator="containsText" text="*">
      <formula>NOT(ISERROR(SEARCH("*",T402)))</formula>
    </cfRule>
  </conditionalFormatting>
  <conditionalFormatting sqref="E402:G402 E404:G404 E406:G406 E408:G408 E410:G410 E412:G412 E414:G414 E416:G416 E418:G418 E420:G420 E422:G422 E424:G424 E426:G426 E428:G428 E430:G430 E432:G432 E434:G434 E436:G436 E438:G438 E440:G440 E442:G442 E444:G444 E446:G446 E448:G448 E450:G450">
    <cfRule type="containsText" dxfId="22" priority="26" operator="containsText" text="*">
      <formula>NOT(ISERROR(SEARCH("*",E402)))</formula>
    </cfRule>
  </conditionalFormatting>
  <conditionalFormatting sqref="B401 B403 B405 B407 B409 B411 B413 B415 B417 B419 B421 B423 B425 B427 B429 B431 B433 B435 B437 B439 B441 B443 B445 B447 B449">
    <cfRule type="containsText" dxfId="21" priority="24" operator="containsText" text="*">
      <formula>NOT(ISERROR(SEARCH("*",B401)))</formula>
    </cfRule>
  </conditionalFormatting>
  <conditionalFormatting sqref="B401 B403 B405 B407 B409 B411 B413 B415 B417 B419 B421 B423 B425 B427 B429 B431 B433 B435 B437 B439 B441 B443 B445 B447 B449">
    <cfRule type="expression" dxfId="20" priority="23">
      <formula>AND(B401&lt;&gt;"",B402="")</formula>
    </cfRule>
  </conditionalFormatting>
  <conditionalFormatting sqref="T401 T403 T405 T407 T409 T411 T413 T415 T417 T419 T421 T423 T425 T427 T429 T431 T433 T435 T437 T439 T441 T443 T445 T447 T449">
    <cfRule type="containsText" dxfId="19" priority="22" operator="containsText" text="*">
      <formula>NOT(ISERROR(SEARCH("*",T401)))</formula>
    </cfRule>
  </conditionalFormatting>
  <conditionalFormatting sqref="T401 T403 T405 T407 T409 T411 T413 T415 T417 T419 T421 T423 T425 T427 T429 T431 T433 T435 T437 T439 T441 T443 T445 T447 T449">
    <cfRule type="expression" dxfId="18" priority="21">
      <formula>AND(T401&lt;&gt;"",T402="")</formula>
    </cfRule>
  </conditionalFormatting>
  <conditionalFormatting sqref="A401 A403 A405 A407 A409 A411 A413 A415 A417 A419 A421 A423 A425 A427 A429 A431 A433 A435 A437 A439 A441 A443 A445 A447 A449 C401 C403 C405 C407 C409 C411 C413 C415 C417 C419 C421 C423 C425 C427 C429 C431 C433 C435 C437 C439 C441 C443 C445 C447 C449 E401:M401 E403:M403 E405:M405 E407:M407 E409:M409 E411:M411 E413:M413 E415:M415 E417:M417 E419:M419 E421:M421 E423:M423 E425:M425 E427:M427 E429:M429 E431:M431 E433:M433 E435:M435 E437:M437 E439:M439 E441:M441 E443:M443 E445:M445 E447:M447 E449:M449">
    <cfRule type="containsText" dxfId="17" priority="20" operator="containsText" text="*">
      <formula>NOT(ISERROR(SEARCH("*",A401)))</formula>
    </cfRule>
  </conditionalFormatting>
  <conditionalFormatting sqref="A401 A403 A405 A407 A409 A411 A413 A415 A417 A419 A421 A423 A425 A427 A429 A431 A433 A435 A437 A439 A441 A443 A445 A447 A449 C401 C403 C405 C407 C409 C411 C413 C415 C417 C419 C421 C423 C425 C427 C429 C431 C433 C435 C437 C439 C441 C443 C445 C447 C449 E401:M401 E403:M403 E405:M405 E407:M407 E409:M409 E411:M411 E413:M413 E415:M415 E417:M417 E419:M419 E421:M421 E423:M423 E425:M425 E427:M427 E429:M429 E431:M431 E433:M433 E435:M435 E437:M437 E439:M439 E441:M441 E443:M443 E445:M445 E447:M447 E449:M449">
    <cfRule type="expression" dxfId="16" priority="19">
      <formula>AND(A401&lt;&gt;"",A402="")</formula>
    </cfRule>
  </conditionalFormatting>
  <conditionalFormatting sqref="N402:O402 N404:O404 N406:O406 N408:O408 N410:O410 N412:O412 N414:O414 N416:O416 N418:O418 N420:O420 N422:O422 N424:O424 N426:O426 N428:O428 N430:O430 N432:O432 N434:O434 N436:O436 N438:O438 N440:O440 N442:O442 N444:O444 N446:O446 N448:O448 N450:O450">
    <cfRule type="containsText" dxfId="15" priority="18" operator="containsText" text="*">
      <formula>NOT(ISERROR(SEARCH("*",N402)))</formula>
    </cfRule>
  </conditionalFormatting>
  <conditionalFormatting sqref="N402 N404 N406 N408 N410 N412 N414 N416 N418 N420 N422 N424 N426 N428 N430 N432 N434 N436 N438 N440 N442 N444 N446 N448 N450">
    <cfRule type="expression" dxfId="14" priority="17">
      <formula>AND(N402&lt;&gt;"",N403="")</formula>
    </cfRule>
  </conditionalFormatting>
  <conditionalFormatting sqref="P402 P404 P406 P408 P410 P412 P414 P416 P418 P420 P422 P424 P426 P428 P430 P432 P434 P436 P438 P440 P442 P444 P446 P448 P450">
    <cfRule type="containsText" dxfId="13" priority="15" operator="containsText" text="*">
      <formula>NOT(ISERROR(SEARCH("*",P402)))</formula>
    </cfRule>
  </conditionalFormatting>
  <conditionalFormatting sqref="P402 P404 P406 P408 P410 P412 P414 P416 P418 P420 P422 P424 P426 P428 P430 P432 P434 P436 P438 P440 P442 P444 P446 P448 P450">
    <cfRule type="expression" dxfId="12" priority="14">
      <formula>AND(P402&lt;&gt;"",P403="")</formula>
    </cfRule>
  </conditionalFormatting>
  <conditionalFormatting sqref="N401:P401 N403:P403 N405:P405 N407:P407 N409:P409 N411:P411 N413:P413 N415:P415 N417:P417 N419:P419 N421:P421 N423:P423 N425:P425 N427:P427 N429:P429 N431:P431 N433:P433 N435:P435 N437:P437 N439:P439 N441:P441 N443:P443 N445:P445 N447:P447 N449:P449">
    <cfRule type="containsText" dxfId="11" priority="13" operator="containsText" text="*">
      <formula>NOT(ISERROR(SEARCH("*",N401)))</formula>
    </cfRule>
  </conditionalFormatting>
  <conditionalFormatting sqref="N401:P401 N403:P403 N405:P405 N407:P407 N409:P409 N411:P411 N413:P413 N415:P415 N417:P417 N419:P419 N421:P421 N423:P423 N425:P425 N427:P427 N429:P429 N431:P431 N433:P433 N435:P435 N437:P437 N439:P439 N441:P441 N443:P443 N445:P445 N447:P447 N449:P449">
    <cfRule type="expression" dxfId="10" priority="12">
      <formula>AND(N401&lt;&gt;"",N402="")</formula>
    </cfRule>
  </conditionalFormatting>
  <conditionalFormatting sqref="Q402:R402 Q404:R404 Q406:R406 Q408:R408 Q410:R410 Q412:R412 Q414:R414 Q416:R416 Q418:R418 Q420:R420 Q422:R422 Q424:R424 Q426:R426 Q428:R428 Q430:R430 Q432:R432 Q434:R434 Q436:R436 Q438:R438 Q440:R440 Q442:R442 Q444:R444 Q446:R446 Q448:R448 Q450:R450">
    <cfRule type="containsText" dxfId="9" priority="11" operator="containsText" text="*">
      <formula>NOT(ISERROR(SEARCH("*",Q402)))</formula>
    </cfRule>
  </conditionalFormatting>
  <conditionalFormatting sqref="Q402 Q404 Q406 Q408 Q410 Q412 Q414 Q416 Q418 Q420 Q422 Q424 Q426 Q428 Q430 Q432 Q434 Q436 Q438 Q440 Q442 Q444 Q446 Q448 Q450">
    <cfRule type="expression" dxfId="8" priority="10">
      <formula>AND(Q402&lt;&gt;"",Q403="")</formula>
    </cfRule>
  </conditionalFormatting>
  <conditionalFormatting sqref="R402 R404 R406 R408 R410 R412 R414 R416 R418 R420 R422 R424 R426 R428 R430 R432 R434 R436 R438 R440 R442 R444 R446 R448 R450">
    <cfRule type="expression" dxfId="7" priority="9">
      <formula>AND(R402&lt;&gt;"",R403="")</formula>
    </cfRule>
  </conditionalFormatting>
  <conditionalFormatting sqref="S402 S404 S406 S408 S410 S412 S414 S416 S418 S420 S422 S424 S426 S428 S430 S432 S434 S436 S438 S440 S442 S444 S446 S448 S450">
    <cfRule type="containsText" dxfId="6" priority="8" operator="containsText" text="*">
      <formula>NOT(ISERROR(SEARCH("*",S402)))</formula>
    </cfRule>
  </conditionalFormatting>
  <conditionalFormatting sqref="S402 S404 S406 S408 S410 S412 S414 S416 S418 S420 S422 S424 S426 S428 S430 S432 S434 S436 S438 S440 S442 S444 S446 S448 S450">
    <cfRule type="expression" dxfId="5" priority="7">
      <formula>AND(S402&lt;&gt;"",S403="")</formula>
    </cfRule>
  </conditionalFormatting>
  <conditionalFormatting sqref="Q401:S401 Q403:S403 Q405:S405 Q407:S407 Q409:S409 Q411:S411 Q413:S413 Q415:S415 Q417:S417 Q419:S419 Q421:S421 Q423:S423 Q425:S425 Q427:S427 Q429:S429 Q431:S431 Q433:S433 Q435:S435 Q437:S437 Q439:S439 Q441:S441 Q443:S443 Q445:S445 Q447:S447 Q449:S449">
    <cfRule type="containsText" dxfId="4" priority="6" operator="containsText" text="*">
      <formula>NOT(ISERROR(SEARCH("*",Q401)))</formula>
    </cfRule>
  </conditionalFormatting>
  <conditionalFormatting sqref="Q401:S401 Q403:S403 Q405:S405 Q407:S407 Q409:S409 Q411:S411 Q413:S413 Q415:S415 Q417:S417 Q419:S419 Q421:S421 Q423:S423 Q425:S425 Q427:S427 Q429:S429 Q431:S431 Q433:S433 Q435:S435 Q437:S437 Q439:S439 Q441:S441 Q443:S443 Q445:S445 Q447:S447 Q449:S449">
    <cfRule type="expression" dxfId="3" priority="5">
      <formula>AND(Q401&lt;&gt;"",Q402="")</formula>
    </cfRule>
  </conditionalFormatting>
  <conditionalFormatting sqref="D402 D404 D406 D408 D410 D412 D414 D416 D418 D420 D422 D424 D426 D428 D430 D432 D434 D436 D438 D440 D442 D444 D446 D448 D450">
    <cfRule type="expression" dxfId="2" priority="3">
      <formula>AND(D402&lt;&gt;"",D403="")</formula>
    </cfRule>
  </conditionalFormatting>
  <conditionalFormatting sqref="D402 D404 D406 D408 D410 D412 D414 D416 D418 D420 D422 D424 D426 D428 D430 D432 D434 D436 D438 D440 D442 D444 D446 D448 D450">
    <cfRule type="containsText" dxfId="1" priority="4" operator="containsText" text="*">
      <formula>NOT(ISERROR(SEARCH("*",D402)))</formula>
    </cfRule>
  </conditionalFormatting>
  <conditionalFormatting sqref="D401 D403 D405 D407 D409 D411 D413 D415 D417 D419 D421 D423 D425 D427 D429 D431 D433 D435 D437 D439 D441 D443 D445 D447 D449">
    <cfRule type="containsText" dxfId="0" priority="2" operator="containsText" text="*">
      <formula>NOT(ISERROR(SEARCH("*",D401)))</formula>
    </cfRule>
  </conditionalFormatting>
  <hyperlinks>
    <hyperlink ref="B6" location="'Area summary'!I5" display="'Area summary'!I5" xr:uid="{F4A4EB2C-31B3-47CA-836B-ED0C9DFECFBE}"/>
    <hyperlink ref="B5" location="'Area summary'!E3" display="'Area summary'!E3" xr:uid="{1EBE14CD-8E65-4E90-81CC-E8E6AFB4BE6A}"/>
  </hyperlinks>
  <pageMargins left="0.7" right="0.7" top="0.75" bottom="0.75" header="0.3" footer="0.3"/>
  <pageSetup paperSize="9" orientation="portrait" r:id="rId1"/>
  <headerFooter>
    <oddFooter>&amp;C&amp;1#&amp;"Calibri"&amp;12&amp;K0078D7OFFICIAL</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43461-89E0-42FE-BE97-85472B838B0B}">
  <sheetPr codeName="Sheet6">
    <tabColor rgb="FFE4DFEC"/>
  </sheetPr>
  <dimension ref="B2:E55"/>
  <sheetViews>
    <sheetView workbookViewId="0"/>
  </sheetViews>
  <sheetFormatPr defaultColWidth="9.1796875" defaultRowHeight="14" x14ac:dyDescent="0.3"/>
  <cols>
    <col min="1" max="1" width="2.1796875" style="469" customWidth="1"/>
    <col min="2" max="16384" width="9.1796875" style="469"/>
  </cols>
  <sheetData>
    <row r="2" spans="2:2" ht="28" x14ac:dyDescent="0.6">
      <c r="B2" s="442" t="s">
        <v>13937</v>
      </c>
    </row>
    <row r="4" spans="2:2" ht="15.5" x14ac:dyDescent="0.35">
      <c r="B4" s="471" t="s">
        <v>11442</v>
      </c>
    </row>
    <row r="5" spans="2:2" x14ac:dyDescent="0.3">
      <c r="B5" s="470"/>
    </row>
    <row r="6" spans="2:2" x14ac:dyDescent="0.3">
      <c r="B6" s="470"/>
    </row>
    <row r="7" spans="2:2" x14ac:dyDescent="0.3">
      <c r="B7" s="470"/>
    </row>
    <row r="8" spans="2:2" x14ac:dyDescent="0.3">
      <c r="B8" s="470"/>
    </row>
    <row r="9" spans="2:2" x14ac:dyDescent="0.3">
      <c r="B9" s="470"/>
    </row>
    <row r="10" spans="2:2" x14ac:dyDescent="0.3">
      <c r="B10" s="470"/>
    </row>
    <row r="11" spans="2:2" ht="15.5" x14ac:dyDescent="0.35">
      <c r="B11" s="443" t="s">
        <v>11350</v>
      </c>
    </row>
    <row r="13" spans="2:2" x14ac:dyDescent="0.3">
      <c r="B13" s="469" t="s">
        <v>11444</v>
      </c>
    </row>
    <row r="26" spans="2:2" ht="15.5" x14ac:dyDescent="0.35">
      <c r="B26" s="443" t="s">
        <v>11351</v>
      </c>
    </row>
    <row r="28" spans="2:2" x14ac:dyDescent="0.3">
      <c r="B28" s="469" t="s">
        <v>11352</v>
      </c>
    </row>
    <row r="35" spans="2:2" x14ac:dyDescent="0.3">
      <c r="B35" s="469" t="s">
        <v>11353</v>
      </c>
    </row>
    <row r="47" spans="2:2" x14ac:dyDescent="0.3">
      <c r="B47" s="221"/>
    </row>
    <row r="48" spans="2:2" x14ac:dyDescent="0.3">
      <c r="B48" s="470" t="s">
        <v>11443</v>
      </c>
    </row>
    <row r="49" spans="2:5" x14ac:dyDescent="0.3">
      <c r="B49" s="470"/>
    </row>
    <row r="50" spans="2:5" x14ac:dyDescent="0.3">
      <c r="B50" s="470"/>
    </row>
    <row r="51" spans="2:5" x14ac:dyDescent="0.3">
      <c r="B51" s="470"/>
    </row>
    <row r="52" spans="2:5" x14ac:dyDescent="0.3">
      <c r="B52" s="470"/>
    </row>
    <row r="55" spans="2:5" ht="15.5" x14ac:dyDescent="0.35">
      <c r="B55" s="692" t="s">
        <v>11354</v>
      </c>
      <c r="C55" s="692"/>
      <c r="D55" s="692"/>
      <c r="E55" s="692"/>
    </row>
  </sheetData>
  <sheetProtection algorithmName="SHA-512" hashValue="LYan597QpKBHmgFX/y16hZaP/3UFqfuqwK+P+NA74bt7ArwoQZ5dS/efNNgbmPpwrzptbKmlDa/XJfHbzvTN0Q==" saltValue="FI22Ev5rDDVKVXXUC9mTig==" spinCount="100000" sheet="1" objects="1" scenarios="1"/>
  <mergeCells count="1">
    <mergeCell ref="B55:E55"/>
  </mergeCells>
  <hyperlinks>
    <hyperlink ref="B55" location="'Area Summary'!I5" display="Return to sheet &quot;Area Summary&quot;" xr:uid="{48270B78-5B33-49BE-8074-7790ADAF7492}"/>
    <hyperlink ref="B55:E55" location="'Area summary'!E3" display="Return to sheet &quot;Area Summary&quot;" xr:uid="{FE133BD3-9B9B-42A4-A09D-2992438EF211}"/>
  </hyperlinks>
  <pageMargins left="0.7" right="0.7" top="0.75" bottom="0.75" header="0.3" footer="0.3"/>
  <pageSetup paperSize="9" orientation="portrait" r:id="rId1"/>
  <headerFooter>
    <oddFooter>&amp;C&amp;1#&amp;"Calibri"&amp;12&amp;K0078D7OFFICIAL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A028B-3DB7-4A5B-8BE7-BDC0B43FEA0E}">
  <sheetPr codeName="Sheet7">
    <tabColor rgb="FFFFC000"/>
  </sheetPr>
  <dimension ref="A1:FN323"/>
  <sheetViews>
    <sheetView zoomScale="80" zoomScaleNormal="80" workbookViewId="0">
      <pane ySplit="4" topLeftCell="A293" activePane="bottomLeft" state="frozen"/>
      <selection activeCell="D5" sqref="D5:FN328"/>
      <selection pane="bottomLeft" activeCell="A15" sqref="A15:C323"/>
    </sheetView>
  </sheetViews>
  <sheetFormatPr defaultColWidth="9.1796875" defaultRowHeight="14.5" x14ac:dyDescent="0.35"/>
  <cols>
    <col min="1" max="1" width="19" customWidth="1"/>
    <col min="2" max="2" width="10.453125" bestFit="1" customWidth="1"/>
    <col min="3" max="3" width="26.81640625" customWidth="1"/>
    <col min="4" max="4" width="20.81640625" bestFit="1" customWidth="1"/>
    <col min="22" max="22" width="9.1796875" style="185"/>
    <col min="24" max="24" width="10.81640625" style="185" bestFit="1" customWidth="1"/>
    <col min="25" max="25" width="10.81640625" style="185" customWidth="1"/>
    <col min="26" max="26" width="9.1796875" style="185"/>
    <col min="27" max="27" width="11" style="185" customWidth="1"/>
    <col min="41" max="42" width="9.1796875" style="185"/>
    <col min="43" max="43" width="13.54296875" bestFit="1" customWidth="1"/>
    <col min="47" max="47" width="11.453125" bestFit="1" customWidth="1"/>
    <col min="53" max="53" width="12.1796875" bestFit="1" customWidth="1"/>
    <col min="58" max="58" width="11" bestFit="1" customWidth="1"/>
    <col min="63" max="63" width="11" bestFit="1" customWidth="1"/>
    <col min="64" max="65" width="9.1796875" style="214"/>
    <col min="67" max="67" width="9.1796875" style="187"/>
    <col min="68" max="69" width="9.1796875" style="214"/>
    <col min="71" max="71" width="9.1796875" style="187"/>
    <col min="72" max="73" width="9.1796875" style="214"/>
    <col min="76" max="77" width="9.1796875" style="214"/>
    <col min="79" max="79" width="9.1796875" style="187"/>
    <col min="80" max="81" width="9.1796875" style="214"/>
    <col min="83" max="83" width="9.1796875" style="187"/>
    <col min="84" max="85" width="9.1796875" style="214"/>
    <col min="92" max="92" width="9.1796875" style="187"/>
    <col min="97" max="97" width="9.1796875" style="187"/>
    <col min="102" max="102" width="9.1796875" style="187"/>
    <col min="107" max="107" width="9.1796875" style="187"/>
    <col min="112" max="112" width="9.1796875" style="187"/>
    <col min="117" max="117" width="9.1796875" style="187"/>
    <col min="122" max="122" width="9.1796875" style="187"/>
    <col min="127" max="127" width="9.1796875" style="187"/>
    <col min="132" max="132" width="10.453125" style="187" bestFit="1" customWidth="1"/>
    <col min="137" max="137" width="10.453125" style="187" bestFit="1" customWidth="1"/>
    <col min="142" max="142" width="9.1796875" style="187"/>
    <col min="147" max="147" width="9.1796875" style="187"/>
    <col min="152" max="152" width="9.1796875" style="187"/>
    <col min="157" max="157" width="9.1796875" style="187"/>
    <col min="162" max="162" width="9.1796875" style="187"/>
    <col min="167" max="167" width="9.1796875" style="187"/>
  </cols>
  <sheetData>
    <row r="1" spans="1:170" x14ac:dyDescent="0.35">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6"/>
      <c r="CO1" s="186"/>
      <c r="CP1" s="186"/>
      <c r="CQ1" s="186"/>
      <c r="CR1" s="186"/>
      <c r="CS1" s="186"/>
      <c r="CT1" s="186"/>
      <c r="CU1" s="186"/>
      <c r="CV1" s="186"/>
      <c r="CW1" s="186"/>
      <c r="CX1" s="186"/>
      <c r="CY1" s="186"/>
      <c r="CZ1" s="186"/>
      <c r="DA1" s="186"/>
      <c r="DB1" s="186"/>
      <c r="DC1" s="186"/>
      <c r="DD1" s="186"/>
      <c r="DE1" s="186"/>
      <c r="DF1" s="186"/>
      <c r="DG1" s="186"/>
      <c r="DH1" s="186"/>
      <c r="DI1" s="186"/>
      <c r="DJ1" s="186"/>
      <c r="DK1" s="186"/>
      <c r="DL1" s="186"/>
      <c r="DM1" s="186"/>
      <c r="DN1" s="186"/>
      <c r="DO1" s="186"/>
      <c r="DP1" s="186"/>
      <c r="DQ1" s="186"/>
      <c r="DR1" s="186"/>
      <c r="DS1" s="186"/>
      <c r="DT1" s="186"/>
      <c r="DU1" s="186"/>
      <c r="DV1" s="186"/>
      <c r="DW1" s="186"/>
      <c r="DX1" s="186"/>
      <c r="DY1" s="186"/>
      <c r="DZ1" s="186"/>
      <c r="EA1" s="186"/>
      <c r="EB1" s="186"/>
      <c r="EC1" s="186"/>
      <c r="ED1" s="186"/>
      <c r="EE1" s="186"/>
      <c r="EF1" s="186"/>
      <c r="EG1" s="186"/>
      <c r="EH1" s="186"/>
      <c r="EI1" s="186"/>
      <c r="EJ1" s="186"/>
      <c r="EK1" s="186"/>
      <c r="EL1" s="186"/>
      <c r="EM1" s="186"/>
      <c r="EN1" s="186"/>
      <c r="EO1" s="186"/>
      <c r="EP1" s="186"/>
      <c r="EQ1" s="186"/>
      <c r="ER1" s="186"/>
      <c r="ES1" s="186"/>
      <c r="ET1" s="186"/>
      <c r="EU1" s="186"/>
      <c r="EV1" s="186"/>
      <c r="EW1" s="186"/>
      <c r="EX1" s="186"/>
      <c r="EY1" s="186"/>
      <c r="EZ1" s="186"/>
      <c r="FA1" s="186"/>
      <c r="FB1" s="186"/>
      <c r="FC1" s="186"/>
      <c r="FD1" s="186"/>
      <c r="FE1" s="186"/>
      <c r="FF1" s="186"/>
      <c r="FG1" s="186"/>
      <c r="FH1" s="186"/>
      <c r="FI1" s="186"/>
    </row>
    <row r="2" spans="1:170" x14ac:dyDescent="0.35">
      <c r="A2" s="188">
        <v>1</v>
      </c>
      <c r="B2" s="188">
        <v>2</v>
      </c>
      <c r="C2" s="188">
        <v>3</v>
      </c>
      <c r="D2" s="188">
        <v>4</v>
      </c>
      <c r="E2" s="188">
        <v>5</v>
      </c>
      <c r="F2" s="188">
        <v>6</v>
      </c>
      <c r="G2" s="188">
        <v>7</v>
      </c>
      <c r="H2" s="188">
        <v>8</v>
      </c>
      <c r="I2" s="188">
        <v>9</v>
      </c>
      <c r="J2" s="188">
        <v>10</v>
      </c>
      <c r="K2" s="188">
        <v>11</v>
      </c>
      <c r="L2" s="188">
        <v>12</v>
      </c>
      <c r="M2" s="188">
        <v>13</v>
      </c>
      <c r="N2" s="188">
        <v>14</v>
      </c>
      <c r="O2" s="188">
        <v>15</v>
      </c>
      <c r="P2" s="188">
        <v>16</v>
      </c>
      <c r="Q2" s="188">
        <v>17</v>
      </c>
      <c r="R2" s="188">
        <v>18</v>
      </c>
      <c r="S2" s="188">
        <v>19</v>
      </c>
      <c r="T2" s="188">
        <v>20</v>
      </c>
      <c r="U2" s="188">
        <v>21</v>
      </c>
      <c r="V2" s="188">
        <v>22</v>
      </c>
      <c r="W2" s="188">
        <v>23</v>
      </c>
      <c r="X2" s="188">
        <v>24</v>
      </c>
      <c r="Y2" s="188">
        <v>25</v>
      </c>
      <c r="Z2" s="188">
        <v>26</v>
      </c>
      <c r="AA2" s="188">
        <v>27</v>
      </c>
      <c r="AB2" s="188">
        <v>28</v>
      </c>
      <c r="AC2" s="188">
        <v>29</v>
      </c>
      <c r="AD2" s="188">
        <v>30</v>
      </c>
      <c r="AE2" s="188">
        <v>31</v>
      </c>
      <c r="AF2" s="188">
        <v>32</v>
      </c>
      <c r="AG2" s="188">
        <v>33</v>
      </c>
      <c r="AH2" s="188">
        <v>34</v>
      </c>
      <c r="AI2" s="188">
        <v>35</v>
      </c>
      <c r="AJ2" s="188">
        <v>36</v>
      </c>
      <c r="AK2" s="188">
        <v>37</v>
      </c>
      <c r="AL2" s="188">
        <v>38</v>
      </c>
      <c r="AM2" s="188">
        <v>39</v>
      </c>
      <c r="AN2" s="188">
        <v>40</v>
      </c>
      <c r="AO2" s="188">
        <v>41</v>
      </c>
      <c r="AP2" s="188">
        <v>42</v>
      </c>
      <c r="AQ2" s="188">
        <v>43</v>
      </c>
      <c r="AR2" s="188">
        <v>44</v>
      </c>
      <c r="AS2" s="188">
        <v>45</v>
      </c>
      <c r="AT2" s="188">
        <v>46</v>
      </c>
      <c r="AU2" s="188">
        <v>47</v>
      </c>
      <c r="AV2" s="188">
        <v>48</v>
      </c>
      <c r="AW2" s="188">
        <v>49</v>
      </c>
      <c r="AX2" s="188">
        <v>50</v>
      </c>
      <c r="AY2" s="188">
        <v>51</v>
      </c>
      <c r="AZ2" s="188">
        <v>52</v>
      </c>
      <c r="BA2" s="188">
        <v>53</v>
      </c>
      <c r="BB2" s="188">
        <v>54</v>
      </c>
      <c r="BC2" s="188">
        <v>55</v>
      </c>
      <c r="BD2" s="188">
        <v>56</v>
      </c>
      <c r="BE2" s="188">
        <v>57</v>
      </c>
      <c r="BF2" s="188">
        <v>58</v>
      </c>
      <c r="BG2" s="188">
        <v>59</v>
      </c>
      <c r="BH2" s="188">
        <v>60</v>
      </c>
      <c r="BI2" s="188">
        <v>61</v>
      </c>
      <c r="BJ2" s="188">
        <v>62</v>
      </c>
      <c r="BK2" s="188">
        <v>63</v>
      </c>
      <c r="BL2" s="188">
        <v>64</v>
      </c>
      <c r="BM2" s="188">
        <v>65</v>
      </c>
      <c r="BN2" s="188">
        <v>66</v>
      </c>
      <c r="BO2" s="188">
        <v>67</v>
      </c>
      <c r="BP2" s="188">
        <v>68</v>
      </c>
      <c r="BQ2" s="188">
        <v>69</v>
      </c>
      <c r="BR2" s="188">
        <v>70</v>
      </c>
      <c r="BS2" s="188">
        <v>71</v>
      </c>
      <c r="BT2" s="188">
        <v>72</v>
      </c>
      <c r="BU2" s="188">
        <v>73</v>
      </c>
      <c r="BV2" s="188">
        <v>74</v>
      </c>
      <c r="BW2" s="188">
        <v>75</v>
      </c>
      <c r="BX2" s="188">
        <v>76</v>
      </c>
      <c r="BY2" s="188">
        <v>77</v>
      </c>
      <c r="BZ2" s="188">
        <v>78</v>
      </c>
      <c r="CA2" s="188">
        <v>79</v>
      </c>
      <c r="CB2" s="188">
        <v>80</v>
      </c>
      <c r="CC2" s="188">
        <v>81</v>
      </c>
      <c r="CD2" s="188">
        <v>82</v>
      </c>
      <c r="CE2" s="188">
        <v>83</v>
      </c>
      <c r="CF2" s="188">
        <v>84</v>
      </c>
      <c r="CG2" s="188">
        <v>85</v>
      </c>
      <c r="CH2" s="188">
        <v>86</v>
      </c>
      <c r="CI2" s="188">
        <v>87</v>
      </c>
      <c r="CJ2" s="188">
        <v>88</v>
      </c>
      <c r="CK2" s="188">
        <v>89</v>
      </c>
      <c r="CL2" s="188">
        <v>90</v>
      </c>
      <c r="CM2" s="188">
        <v>91</v>
      </c>
      <c r="CN2" s="188">
        <v>92</v>
      </c>
      <c r="CO2" s="188">
        <v>93</v>
      </c>
      <c r="CP2" s="188">
        <v>94</v>
      </c>
      <c r="CQ2" s="188">
        <v>95</v>
      </c>
      <c r="CR2" s="188">
        <v>96</v>
      </c>
      <c r="CS2" s="188">
        <v>97</v>
      </c>
      <c r="CT2" s="188">
        <v>98</v>
      </c>
      <c r="CU2" s="188">
        <v>99</v>
      </c>
      <c r="CV2" s="188">
        <v>100</v>
      </c>
      <c r="CW2" s="188">
        <v>101</v>
      </c>
      <c r="CX2" s="188">
        <v>102</v>
      </c>
      <c r="CY2" s="188">
        <v>103</v>
      </c>
      <c r="CZ2" s="188">
        <v>104</v>
      </c>
      <c r="DA2" s="188">
        <v>105</v>
      </c>
      <c r="DB2" s="188">
        <v>106</v>
      </c>
      <c r="DC2" s="188">
        <v>107</v>
      </c>
      <c r="DD2" s="188">
        <v>108</v>
      </c>
      <c r="DE2" s="188">
        <v>109</v>
      </c>
      <c r="DF2" s="188">
        <v>110</v>
      </c>
      <c r="DG2" s="188">
        <v>111</v>
      </c>
      <c r="DH2" s="188">
        <v>112</v>
      </c>
      <c r="DI2" s="188">
        <v>113</v>
      </c>
      <c r="DJ2" s="188">
        <v>114</v>
      </c>
      <c r="DK2" s="188">
        <v>115</v>
      </c>
      <c r="DL2" s="188">
        <v>116</v>
      </c>
      <c r="DM2" s="188">
        <v>117</v>
      </c>
      <c r="DN2" s="188">
        <v>118</v>
      </c>
      <c r="DO2" s="188">
        <v>119</v>
      </c>
      <c r="DP2" s="188">
        <v>120</v>
      </c>
      <c r="DQ2" s="188">
        <v>121</v>
      </c>
      <c r="DR2" s="188">
        <v>122</v>
      </c>
      <c r="DS2" s="188">
        <v>123</v>
      </c>
      <c r="DT2" s="188">
        <v>124</v>
      </c>
      <c r="DU2" s="188">
        <v>125</v>
      </c>
      <c r="DV2" s="188">
        <v>126</v>
      </c>
      <c r="DW2" s="188">
        <v>127</v>
      </c>
      <c r="DX2" s="188">
        <v>128</v>
      </c>
      <c r="DY2" s="188">
        <v>129</v>
      </c>
      <c r="DZ2" s="188">
        <v>130</v>
      </c>
      <c r="EA2" s="188">
        <v>131</v>
      </c>
      <c r="EB2" s="188">
        <v>132</v>
      </c>
      <c r="EC2" s="188">
        <v>133</v>
      </c>
      <c r="ED2" s="188">
        <v>134</v>
      </c>
      <c r="EE2" s="188">
        <v>135</v>
      </c>
      <c r="EF2" s="188">
        <v>136</v>
      </c>
      <c r="EG2" s="188">
        <v>137</v>
      </c>
      <c r="EH2" s="188">
        <v>138</v>
      </c>
      <c r="EI2" s="188">
        <v>139</v>
      </c>
      <c r="EJ2" s="188">
        <v>140</v>
      </c>
      <c r="EK2" s="188">
        <v>141</v>
      </c>
      <c r="EL2" s="188">
        <v>142</v>
      </c>
      <c r="EM2" s="188">
        <v>143</v>
      </c>
      <c r="EN2" s="188">
        <v>144</v>
      </c>
      <c r="EO2" s="188">
        <v>145</v>
      </c>
      <c r="EP2" s="188">
        <v>146</v>
      </c>
      <c r="EQ2" s="188">
        <v>147</v>
      </c>
      <c r="ER2" s="188">
        <v>148</v>
      </c>
      <c r="ES2" s="188">
        <v>149</v>
      </c>
      <c r="ET2" s="188">
        <v>150</v>
      </c>
      <c r="EU2" s="188">
        <v>151</v>
      </c>
      <c r="EV2" s="188">
        <v>152</v>
      </c>
      <c r="EW2" s="188">
        <v>153</v>
      </c>
      <c r="EX2" s="188">
        <v>154</v>
      </c>
      <c r="EY2" s="188">
        <v>155</v>
      </c>
      <c r="EZ2" s="188">
        <v>156</v>
      </c>
      <c r="FA2" s="188">
        <v>157</v>
      </c>
      <c r="FB2" s="188">
        <v>158</v>
      </c>
      <c r="FC2" s="188">
        <v>159</v>
      </c>
      <c r="FD2" s="188">
        <v>160</v>
      </c>
      <c r="FE2" s="188">
        <v>161</v>
      </c>
      <c r="FF2" s="188">
        <v>162</v>
      </c>
      <c r="FG2" s="188">
        <v>163</v>
      </c>
      <c r="FH2" s="188">
        <v>164</v>
      </c>
      <c r="FI2" s="188">
        <v>165</v>
      </c>
      <c r="FJ2" s="188">
        <v>166</v>
      </c>
      <c r="FK2" s="188">
        <v>167</v>
      </c>
      <c r="FL2" s="188">
        <v>168</v>
      </c>
      <c r="FM2" s="188">
        <v>169</v>
      </c>
      <c r="FN2" s="188">
        <v>170</v>
      </c>
    </row>
    <row r="3" spans="1:170" s="189" customFormat="1" ht="159.5" x14ac:dyDescent="0.35">
      <c r="A3" s="189" t="s">
        <v>77</v>
      </c>
      <c r="B3" s="189" t="s">
        <v>78</v>
      </c>
      <c r="C3" s="189" t="s">
        <v>79</v>
      </c>
      <c r="D3" s="190" t="s">
        <v>80</v>
      </c>
      <c r="E3" s="190" t="s">
        <v>81</v>
      </c>
      <c r="F3" s="190" t="s">
        <v>82</v>
      </c>
      <c r="G3" s="190" t="s">
        <v>83</v>
      </c>
      <c r="H3" s="190" t="s">
        <v>84</v>
      </c>
      <c r="I3" s="190" t="s">
        <v>85</v>
      </c>
      <c r="J3" s="190" t="s">
        <v>86</v>
      </c>
      <c r="K3" s="190" t="s">
        <v>87</v>
      </c>
      <c r="L3" s="190" t="s">
        <v>88</v>
      </c>
      <c r="M3" s="190" t="s">
        <v>89</v>
      </c>
      <c r="N3" s="190" t="s">
        <v>90</v>
      </c>
      <c r="O3" s="190" t="s">
        <v>91</v>
      </c>
      <c r="P3" s="191" t="s">
        <v>92</v>
      </c>
      <c r="Q3" s="191" t="s">
        <v>93</v>
      </c>
      <c r="R3" s="205" t="s">
        <v>94</v>
      </c>
      <c r="S3" s="205" t="s">
        <v>95</v>
      </c>
      <c r="T3" s="192" t="s">
        <v>11445</v>
      </c>
      <c r="U3" s="192" t="s">
        <v>96</v>
      </c>
      <c r="V3" s="193" t="s">
        <v>97</v>
      </c>
      <c r="W3" s="193" t="s">
        <v>98</v>
      </c>
      <c r="X3" s="193" t="s">
        <v>99</v>
      </c>
      <c r="Y3" s="193" t="s">
        <v>100</v>
      </c>
      <c r="Z3" s="194" t="s">
        <v>101</v>
      </c>
      <c r="AA3" s="194" t="s">
        <v>102</v>
      </c>
      <c r="AB3" s="194" t="s">
        <v>103</v>
      </c>
      <c r="AC3" s="194" t="s">
        <v>104</v>
      </c>
      <c r="AD3" s="195" t="s">
        <v>105</v>
      </c>
      <c r="AE3" s="196" t="s">
        <v>106</v>
      </c>
      <c r="AF3" s="196" t="s">
        <v>107</v>
      </c>
      <c r="AG3" s="196" t="s">
        <v>108</v>
      </c>
      <c r="AH3" s="196" t="s">
        <v>109</v>
      </c>
      <c r="AI3" s="196" t="s">
        <v>110</v>
      </c>
      <c r="AJ3" s="197" t="s">
        <v>111</v>
      </c>
      <c r="AK3" s="198" t="s">
        <v>112</v>
      </c>
      <c r="AL3" s="199" t="s">
        <v>113</v>
      </c>
      <c r="AM3" s="200" t="s">
        <v>114</v>
      </c>
      <c r="AN3" s="201" t="s">
        <v>115</v>
      </c>
      <c r="AO3" s="201" t="s">
        <v>116</v>
      </c>
      <c r="AP3" s="201" t="s">
        <v>117</v>
      </c>
      <c r="AQ3" s="201" t="s">
        <v>118</v>
      </c>
      <c r="AR3" s="202" t="s">
        <v>119</v>
      </c>
      <c r="AS3" s="201" t="s">
        <v>120</v>
      </c>
      <c r="AT3" s="201" t="s">
        <v>121</v>
      </c>
      <c r="AU3" s="201" t="s">
        <v>122</v>
      </c>
      <c r="AV3" s="201" t="s">
        <v>123</v>
      </c>
      <c r="AW3" s="202" t="s">
        <v>124</v>
      </c>
      <c r="AX3" s="201" t="s">
        <v>125</v>
      </c>
      <c r="AY3" s="201" t="s">
        <v>126</v>
      </c>
      <c r="AZ3" s="201" t="s">
        <v>127</v>
      </c>
      <c r="BA3" s="201" t="s">
        <v>128</v>
      </c>
      <c r="BB3" s="202" t="s">
        <v>129</v>
      </c>
      <c r="BC3" s="201" t="s">
        <v>130</v>
      </c>
      <c r="BD3" s="201" t="s">
        <v>131</v>
      </c>
      <c r="BE3" s="201" t="s">
        <v>132</v>
      </c>
      <c r="BF3" s="201" t="s">
        <v>133</v>
      </c>
      <c r="BG3" s="202" t="s">
        <v>134</v>
      </c>
      <c r="BH3" s="201" t="s">
        <v>135</v>
      </c>
      <c r="BI3" s="201" t="s">
        <v>136</v>
      </c>
      <c r="BJ3" s="201" t="s">
        <v>137</v>
      </c>
      <c r="BK3" s="201" t="s">
        <v>138</v>
      </c>
      <c r="BL3" s="202" t="s">
        <v>139</v>
      </c>
      <c r="BM3" s="201" t="s">
        <v>140</v>
      </c>
      <c r="BN3" s="201" t="s">
        <v>141</v>
      </c>
      <c r="BO3" s="201" t="s">
        <v>142</v>
      </c>
      <c r="BP3" s="201" t="s">
        <v>143</v>
      </c>
      <c r="BQ3" s="202" t="s">
        <v>144</v>
      </c>
      <c r="BR3" s="201" t="s">
        <v>145</v>
      </c>
      <c r="BS3" s="201" t="s">
        <v>146</v>
      </c>
      <c r="BT3" s="201" t="s">
        <v>147</v>
      </c>
      <c r="BU3" s="201" t="s">
        <v>148</v>
      </c>
      <c r="BV3" s="202" t="s">
        <v>149</v>
      </c>
      <c r="BW3" s="201" t="s">
        <v>150</v>
      </c>
      <c r="BX3" s="201" t="s">
        <v>151</v>
      </c>
      <c r="BY3" s="201" t="s">
        <v>152</v>
      </c>
      <c r="BZ3" s="201" t="s">
        <v>153</v>
      </c>
      <c r="CA3" s="202" t="s">
        <v>154</v>
      </c>
      <c r="CB3" s="201" t="s">
        <v>155</v>
      </c>
      <c r="CC3" s="201" t="s">
        <v>156</v>
      </c>
      <c r="CD3" s="201" t="s">
        <v>157</v>
      </c>
      <c r="CE3" s="201" t="s">
        <v>158</v>
      </c>
      <c r="CF3" s="202" t="s">
        <v>159</v>
      </c>
      <c r="CG3" s="201" t="s">
        <v>160</v>
      </c>
      <c r="CH3" s="201" t="s">
        <v>161</v>
      </c>
      <c r="CI3" s="201" t="s">
        <v>162</v>
      </c>
      <c r="CJ3" s="201" t="s">
        <v>163</v>
      </c>
      <c r="CK3" s="202" t="s">
        <v>164</v>
      </c>
      <c r="CL3" s="203" t="s">
        <v>165</v>
      </c>
      <c r="CM3" s="203" t="s">
        <v>166</v>
      </c>
      <c r="CN3" s="203" t="s">
        <v>167</v>
      </c>
      <c r="CO3" s="203" t="s">
        <v>168</v>
      </c>
      <c r="CP3" s="204" t="s">
        <v>169</v>
      </c>
      <c r="CQ3" s="203" t="s">
        <v>170</v>
      </c>
      <c r="CR3" s="203" t="s">
        <v>171</v>
      </c>
      <c r="CS3" s="203" t="s">
        <v>172</v>
      </c>
      <c r="CT3" s="203" t="s">
        <v>173</v>
      </c>
      <c r="CU3" s="204" t="s">
        <v>174</v>
      </c>
      <c r="CV3" s="203" t="s">
        <v>175</v>
      </c>
      <c r="CW3" s="203" t="s">
        <v>176</v>
      </c>
      <c r="CX3" s="203" t="s">
        <v>177</v>
      </c>
      <c r="CY3" s="203" t="s">
        <v>178</v>
      </c>
      <c r="CZ3" s="204" t="s">
        <v>179</v>
      </c>
      <c r="DA3" s="203" t="s">
        <v>180</v>
      </c>
      <c r="DB3" s="203" t="s">
        <v>181</v>
      </c>
      <c r="DC3" s="203" t="s">
        <v>182</v>
      </c>
      <c r="DD3" s="203" t="s">
        <v>183</v>
      </c>
      <c r="DE3" s="204" t="s">
        <v>184</v>
      </c>
      <c r="DF3" s="203" t="s">
        <v>185</v>
      </c>
      <c r="DG3" s="203" t="s">
        <v>186</v>
      </c>
      <c r="DH3" s="203" t="s">
        <v>187</v>
      </c>
      <c r="DI3" s="203" t="s">
        <v>188</v>
      </c>
      <c r="DJ3" s="204" t="s">
        <v>189</v>
      </c>
      <c r="DK3" s="203" t="s">
        <v>190</v>
      </c>
      <c r="DL3" s="203" t="s">
        <v>191</v>
      </c>
      <c r="DM3" s="203" t="s">
        <v>192</v>
      </c>
      <c r="DN3" s="203" t="s">
        <v>193</v>
      </c>
      <c r="DO3" s="204" t="s">
        <v>194</v>
      </c>
      <c r="DP3" s="203" t="s">
        <v>195</v>
      </c>
      <c r="DQ3" s="203" t="s">
        <v>196</v>
      </c>
      <c r="DR3" s="203" t="s">
        <v>197</v>
      </c>
      <c r="DS3" s="203" t="s">
        <v>198</v>
      </c>
      <c r="DT3" s="204" t="s">
        <v>199</v>
      </c>
      <c r="DU3" s="203" t="s">
        <v>200</v>
      </c>
      <c r="DV3" s="203" t="s">
        <v>201</v>
      </c>
      <c r="DW3" s="203" t="s">
        <v>202</v>
      </c>
      <c r="DX3" s="203" t="s">
        <v>203</v>
      </c>
      <c r="DY3" s="204" t="s">
        <v>204</v>
      </c>
      <c r="DZ3" s="205" t="s">
        <v>205</v>
      </c>
      <c r="EA3" s="206" t="s">
        <v>206</v>
      </c>
      <c r="EB3" s="205" t="s">
        <v>207</v>
      </c>
      <c r="EC3" s="206" t="s">
        <v>208</v>
      </c>
      <c r="ED3" s="205" t="s">
        <v>209</v>
      </c>
      <c r="EE3" s="206" t="s">
        <v>210</v>
      </c>
      <c r="EF3" s="205" t="s">
        <v>211</v>
      </c>
      <c r="EG3" s="206" t="s">
        <v>212</v>
      </c>
      <c r="EH3" s="205" t="s">
        <v>213</v>
      </c>
      <c r="EI3" s="206" t="s">
        <v>214</v>
      </c>
      <c r="EJ3" s="205" t="s">
        <v>215</v>
      </c>
      <c r="EK3" s="206" t="s">
        <v>216</v>
      </c>
      <c r="EL3" s="205" t="s">
        <v>217</v>
      </c>
      <c r="EM3" s="206" t="s">
        <v>218</v>
      </c>
      <c r="EN3" s="205" t="s">
        <v>219</v>
      </c>
      <c r="EO3" s="206" t="s">
        <v>220</v>
      </c>
      <c r="EP3" s="205" t="s">
        <v>221</v>
      </c>
      <c r="EQ3" s="206" t="s">
        <v>222</v>
      </c>
      <c r="ER3" s="205" t="s">
        <v>223</v>
      </c>
      <c r="ES3" s="206" t="s">
        <v>224</v>
      </c>
      <c r="ET3" s="207" t="s">
        <v>225</v>
      </c>
      <c r="EU3" s="208" t="s">
        <v>226</v>
      </c>
      <c r="EV3" s="207" t="s">
        <v>227</v>
      </c>
      <c r="EW3" s="208" t="s">
        <v>228</v>
      </c>
      <c r="EX3" s="207" t="s">
        <v>229</v>
      </c>
      <c r="EY3" s="208" t="s">
        <v>230</v>
      </c>
      <c r="EZ3" s="207" t="s">
        <v>231</v>
      </c>
      <c r="FA3" s="208" t="s">
        <v>232</v>
      </c>
      <c r="FB3" s="207" t="s">
        <v>233</v>
      </c>
      <c r="FC3" s="208" t="s">
        <v>234</v>
      </c>
      <c r="FD3" s="207" t="s">
        <v>235</v>
      </c>
      <c r="FE3" s="208" t="s">
        <v>236</v>
      </c>
      <c r="FF3" s="207" t="s">
        <v>237</v>
      </c>
      <c r="FG3" s="208" t="s">
        <v>238</v>
      </c>
      <c r="FH3" s="207" t="s">
        <v>239</v>
      </c>
      <c r="FI3" s="208" t="s">
        <v>240</v>
      </c>
      <c r="FJ3" s="209" t="s">
        <v>241</v>
      </c>
      <c r="FK3" s="210" t="s">
        <v>242</v>
      </c>
      <c r="FL3" s="210" t="s">
        <v>243</v>
      </c>
      <c r="FM3" s="210" t="s">
        <v>244</v>
      </c>
      <c r="FN3" s="210" t="s">
        <v>245</v>
      </c>
    </row>
    <row r="4" spans="1:170" ht="13.75" customHeight="1" x14ac:dyDescent="0.35">
      <c r="A4" s="189"/>
      <c r="B4" s="189"/>
      <c r="C4" s="189"/>
      <c r="D4" s="211" t="s">
        <v>246</v>
      </c>
      <c r="E4" s="211" t="s">
        <v>247</v>
      </c>
      <c r="F4" s="211" t="s">
        <v>248</v>
      </c>
      <c r="G4" s="211" t="s">
        <v>249</v>
      </c>
      <c r="H4" s="211" t="s">
        <v>250</v>
      </c>
      <c r="I4" s="211" t="s">
        <v>251</v>
      </c>
      <c r="J4" s="211" t="s">
        <v>252</v>
      </c>
      <c r="K4" s="211" t="s">
        <v>253</v>
      </c>
      <c r="L4" s="211" t="s">
        <v>254</v>
      </c>
      <c r="M4" s="211" t="s">
        <v>255</v>
      </c>
      <c r="N4" s="211" t="s">
        <v>256</v>
      </c>
      <c r="O4" s="211" t="s">
        <v>257</v>
      </c>
      <c r="P4" s="211" t="s">
        <v>258</v>
      </c>
      <c r="Q4" s="211" t="s">
        <v>259</v>
      </c>
      <c r="R4" s="211" t="s">
        <v>260</v>
      </c>
      <c r="S4" s="211" t="s">
        <v>261</v>
      </c>
      <c r="T4" s="212" t="s">
        <v>262</v>
      </c>
      <c r="U4" s="212" t="s">
        <v>263</v>
      </c>
      <c r="V4" s="211" t="s">
        <v>264</v>
      </c>
      <c r="W4" s="211" t="s">
        <v>265</v>
      </c>
      <c r="X4" s="211" t="s">
        <v>266</v>
      </c>
      <c r="Y4" s="211" t="s">
        <v>267</v>
      </c>
      <c r="Z4" s="211" t="s">
        <v>268</v>
      </c>
      <c r="AA4" s="211" t="s">
        <v>269</v>
      </c>
      <c r="AB4" s="211" t="s">
        <v>270</v>
      </c>
      <c r="AC4" s="211" t="s">
        <v>271</v>
      </c>
      <c r="AD4" s="213" t="s">
        <v>272</v>
      </c>
      <c r="AE4" s="211" t="s">
        <v>273</v>
      </c>
      <c r="AF4" s="211" t="s">
        <v>274</v>
      </c>
      <c r="AG4" s="211" t="s">
        <v>275</v>
      </c>
      <c r="AH4" s="211" t="s">
        <v>276</v>
      </c>
      <c r="AI4" s="211" t="s">
        <v>277</v>
      </c>
      <c r="AJ4" s="211" t="s">
        <v>278</v>
      </c>
      <c r="AK4" s="213" t="s">
        <v>279</v>
      </c>
      <c r="AL4" s="211" t="s">
        <v>280</v>
      </c>
      <c r="AM4" s="213" t="s">
        <v>281</v>
      </c>
      <c r="AN4" s="211" t="s">
        <v>282</v>
      </c>
      <c r="AO4" s="211" t="s">
        <v>283</v>
      </c>
      <c r="AP4" s="211" t="s">
        <v>284</v>
      </c>
      <c r="AQ4" s="211" t="s">
        <v>285</v>
      </c>
      <c r="AR4" s="213" t="s">
        <v>286</v>
      </c>
      <c r="AS4" s="211" t="s">
        <v>287</v>
      </c>
      <c r="AT4" s="211" t="s">
        <v>288</v>
      </c>
      <c r="AU4" s="211" t="s">
        <v>289</v>
      </c>
      <c r="AV4" s="211" t="s">
        <v>290</v>
      </c>
      <c r="AW4" s="213" t="s">
        <v>291</v>
      </c>
      <c r="AX4" s="211" t="s">
        <v>292</v>
      </c>
      <c r="AY4" s="211" t="s">
        <v>293</v>
      </c>
      <c r="AZ4" s="211" t="s">
        <v>294</v>
      </c>
      <c r="BA4" s="211" t="s">
        <v>295</v>
      </c>
      <c r="BB4" s="213" t="s">
        <v>296</v>
      </c>
      <c r="BC4" s="211" t="s">
        <v>297</v>
      </c>
      <c r="BD4" s="211" t="s">
        <v>298</v>
      </c>
      <c r="BE4" s="211" t="s">
        <v>299</v>
      </c>
      <c r="BF4" s="211" t="s">
        <v>300</v>
      </c>
      <c r="BG4" s="213" t="s">
        <v>301</v>
      </c>
      <c r="BH4" s="211" t="s">
        <v>302</v>
      </c>
      <c r="BI4" s="211" t="s">
        <v>303</v>
      </c>
      <c r="BJ4" s="211" t="s">
        <v>304</v>
      </c>
      <c r="BK4" s="211" t="s">
        <v>305</v>
      </c>
      <c r="BL4" s="213" t="s">
        <v>306</v>
      </c>
      <c r="BM4" s="211" t="s">
        <v>307</v>
      </c>
      <c r="BN4" s="211" t="s">
        <v>308</v>
      </c>
      <c r="BO4" s="211" t="s">
        <v>309</v>
      </c>
      <c r="BP4" s="211" t="s">
        <v>310</v>
      </c>
      <c r="BQ4" s="213" t="s">
        <v>311</v>
      </c>
      <c r="BR4" s="211" t="s">
        <v>312</v>
      </c>
      <c r="BS4" s="211" t="s">
        <v>313</v>
      </c>
      <c r="BT4" s="211" t="s">
        <v>314</v>
      </c>
      <c r="BU4" s="211" t="s">
        <v>315</v>
      </c>
      <c r="BV4" s="213" t="s">
        <v>316</v>
      </c>
      <c r="BW4" s="211" t="s">
        <v>317</v>
      </c>
      <c r="BX4" s="211" t="s">
        <v>318</v>
      </c>
      <c r="BY4" s="211" t="s">
        <v>319</v>
      </c>
      <c r="BZ4" s="211" t="s">
        <v>320</v>
      </c>
      <c r="CA4" s="213" t="s">
        <v>321</v>
      </c>
      <c r="CB4" s="211" t="s">
        <v>322</v>
      </c>
      <c r="CC4" s="211" t="s">
        <v>323</v>
      </c>
      <c r="CD4" s="211" t="s">
        <v>324</v>
      </c>
      <c r="CE4" s="211" t="s">
        <v>325</v>
      </c>
      <c r="CF4" s="213" t="s">
        <v>326</v>
      </c>
      <c r="CG4" s="211" t="s">
        <v>327</v>
      </c>
      <c r="CH4" s="211" t="s">
        <v>328</v>
      </c>
      <c r="CI4" s="211" t="s">
        <v>329</v>
      </c>
      <c r="CJ4" s="211" t="s">
        <v>330</v>
      </c>
      <c r="CK4" s="213" t="s">
        <v>331</v>
      </c>
      <c r="CL4" s="211" t="s">
        <v>332</v>
      </c>
      <c r="CM4" s="211" t="s">
        <v>333</v>
      </c>
      <c r="CN4" s="211" t="s">
        <v>334</v>
      </c>
      <c r="CO4" s="211" t="s">
        <v>335</v>
      </c>
      <c r="CP4" s="213" t="s">
        <v>336</v>
      </c>
      <c r="CQ4" s="211" t="s">
        <v>337</v>
      </c>
      <c r="CR4" s="211" t="s">
        <v>338</v>
      </c>
      <c r="CS4" s="211" t="s">
        <v>339</v>
      </c>
      <c r="CT4" s="211" t="s">
        <v>340</v>
      </c>
      <c r="CU4" s="213" t="s">
        <v>341</v>
      </c>
      <c r="CV4" s="211" t="s">
        <v>342</v>
      </c>
      <c r="CW4" s="211" t="s">
        <v>343</v>
      </c>
      <c r="CX4" s="211" t="s">
        <v>344</v>
      </c>
      <c r="CY4" s="211" t="s">
        <v>345</v>
      </c>
      <c r="CZ4" s="213" t="s">
        <v>346</v>
      </c>
      <c r="DA4" s="211" t="s">
        <v>347</v>
      </c>
      <c r="DB4" s="211" t="s">
        <v>348</v>
      </c>
      <c r="DC4" s="211" t="s">
        <v>349</v>
      </c>
      <c r="DD4" s="211" t="s">
        <v>350</v>
      </c>
      <c r="DE4" s="213" t="s">
        <v>351</v>
      </c>
      <c r="DF4" s="211" t="s">
        <v>352</v>
      </c>
      <c r="DG4" s="211" t="s">
        <v>353</v>
      </c>
      <c r="DH4" s="211" t="s">
        <v>354</v>
      </c>
      <c r="DI4" s="211" t="s">
        <v>355</v>
      </c>
      <c r="DJ4" s="213" t="s">
        <v>356</v>
      </c>
      <c r="DK4" s="211" t="s">
        <v>357</v>
      </c>
      <c r="DL4" s="211" t="s">
        <v>358</v>
      </c>
      <c r="DM4" s="211" t="s">
        <v>359</v>
      </c>
      <c r="DN4" s="211" t="s">
        <v>360</v>
      </c>
      <c r="DO4" s="213" t="s">
        <v>361</v>
      </c>
      <c r="DP4" s="211" t="s">
        <v>362</v>
      </c>
      <c r="DQ4" s="211" t="s">
        <v>363</v>
      </c>
      <c r="DR4" s="211" t="s">
        <v>364</v>
      </c>
      <c r="DS4" s="211" t="s">
        <v>365</v>
      </c>
      <c r="DT4" s="213" t="s">
        <v>366</v>
      </c>
      <c r="DU4" s="211" t="s">
        <v>367</v>
      </c>
      <c r="DV4" s="211" t="s">
        <v>368</v>
      </c>
      <c r="DW4" s="211" t="s">
        <v>369</v>
      </c>
      <c r="DX4" s="211" t="s">
        <v>370</v>
      </c>
      <c r="DY4" s="213" t="s">
        <v>371</v>
      </c>
      <c r="DZ4" s="211" t="s">
        <v>372</v>
      </c>
      <c r="EA4" s="213" t="s">
        <v>373</v>
      </c>
      <c r="EB4" s="211" t="s">
        <v>374</v>
      </c>
      <c r="EC4" s="213" t="s">
        <v>375</v>
      </c>
      <c r="ED4" s="211" t="s">
        <v>376</v>
      </c>
      <c r="EE4" s="213" t="s">
        <v>377</v>
      </c>
      <c r="EF4" s="211" t="s">
        <v>378</v>
      </c>
      <c r="EG4" s="213" t="s">
        <v>379</v>
      </c>
      <c r="EH4" s="211" t="s">
        <v>380</v>
      </c>
      <c r="EI4" s="213" t="s">
        <v>381</v>
      </c>
      <c r="EJ4" s="211" t="s">
        <v>382</v>
      </c>
      <c r="EK4" s="213" t="s">
        <v>383</v>
      </c>
      <c r="EL4" s="211" t="s">
        <v>384</v>
      </c>
      <c r="EM4" s="213" t="s">
        <v>385</v>
      </c>
      <c r="EN4" s="211" t="s">
        <v>386</v>
      </c>
      <c r="EO4" s="213" t="s">
        <v>387</v>
      </c>
      <c r="EP4" s="211" t="s">
        <v>388</v>
      </c>
      <c r="EQ4" s="213" t="s">
        <v>389</v>
      </c>
      <c r="ER4" s="211" t="s">
        <v>390</v>
      </c>
      <c r="ES4" s="213" t="s">
        <v>391</v>
      </c>
      <c r="ET4" s="211" t="s">
        <v>392</v>
      </c>
      <c r="EU4" s="213" t="s">
        <v>393</v>
      </c>
      <c r="EV4" s="211" t="s">
        <v>394</v>
      </c>
      <c r="EW4" s="213" t="s">
        <v>395</v>
      </c>
      <c r="EX4" s="211" t="s">
        <v>396</v>
      </c>
      <c r="EY4" s="213" t="s">
        <v>397</v>
      </c>
      <c r="EZ4" s="211" t="s">
        <v>398</v>
      </c>
      <c r="FA4" s="213" t="s">
        <v>399</v>
      </c>
      <c r="FB4" s="211" t="s">
        <v>400</v>
      </c>
      <c r="FC4" s="213" t="s">
        <v>401</v>
      </c>
      <c r="FD4" s="211" t="s">
        <v>402</v>
      </c>
      <c r="FE4" s="213" t="s">
        <v>403</v>
      </c>
      <c r="FF4" s="211" t="s">
        <v>404</v>
      </c>
      <c r="FG4" s="213" t="s">
        <v>405</v>
      </c>
      <c r="FH4" s="211" t="s">
        <v>406</v>
      </c>
      <c r="FI4" s="213" t="s">
        <v>407</v>
      </c>
      <c r="FJ4" s="212" t="s">
        <v>408</v>
      </c>
      <c r="FK4" s="211" t="s">
        <v>409</v>
      </c>
      <c r="FL4" s="211" t="s">
        <v>410</v>
      </c>
      <c r="FM4" s="211" t="s">
        <v>411</v>
      </c>
      <c r="FN4" s="211" t="s">
        <v>412</v>
      </c>
    </row>
    <row r="5" spans="1:170" s="189" customFormat="1" x14ac:dyDescent="0.3">
      <c r="A5" s="472" t="s">
        <v>6</v>
      </c>
      <c r="B5" s="472" t="s">
        <v>6</v>
      </c>
      <c r="C5" s="472" t="s">
        <v>413</v>
      </c>
      <c r="D5" s="473">
        <v>2206601</v>
      </c>
      <c r="E5" s="473">
        <v>2169776</v>
      </c>
      <c r="F5" s="473">
        <v>10058</v>
      </c>
      <c r="G5" s="473">
        <v>7312</v>
      </c>
      <c r="H5" s="473">
        <v>140323</v>
      </c>
      <c r="I5" s="473">
        <v>84641</v>
      </c>
      <c r="J5" s="473">
        <v>262072</v>
      </c>
      <c r="K5" s="473">
        <v>244280</v>
      </c>
      <c r="L5" s="473">
        <v>223546</v>
      </c>
      <c r="M5" s="473">
        <v>15423</v>
      </c>
      <c r="N5" s="473">
        <v>2842600</v>
      </c>
      <c r="O5" s="473">
        <v>2521432</v>
      </c>
      <c r="P5" s="473">
        <v>2619054</v>
      </c>
      <c r="Q5" s="473">
        <v>6692</v>
      </c>
      <c r="R5" s="473">
        <v>1101</v>
      </c>
      <c r="S5" s="473">
        <v>234</v>
      </c>
      <c r="T5" s="473">
        <v>113935</v>
      </c>
      <c r="U5" s="473">
        <v>2728665</v>
      </c>
      <c r="V5" s="473">
        <v>2150753</v>
      </c>
      <c r="W5" s="473">
        <v>17696</v>
      </c>
      <c r="X5" s="473">
        <v>14009</v>
      </c>
      <c r="Y5" s="473">
        <v>31705</v>
      </c>
      <c r="Z5" s="474">
        <v>98.05</v>
      </c>
      <c r="AA5" s="474">
        <v>97.56</v>
      </c>
      <c r="AB5" s="474">
        <v>7.25</v>
      </c>
      <c r="AC5" s="474">
        <v>102.48</v>
      </c>
      <c r="AD5" s="474">
        <v>1826339</v>
      </c>
      <c r="AE5" s="475">
        <v>95.6</v>
      </c>
      <c r="AF5" s="475">
        <v>86.71</v>
      </c>
      <c r="AG5" s="475">
        <v>46</v>
      </c>
      <c r="AH5" s="475">
        <v>139.35</v>
      </c>
      <c r="AI5" s="475">
        <v>333961</v>
      </c>
      <c r="AJ5" s="475">
        <v>136.72</v>
      </c>
      <c r="AK5" s="475">
        <v>294526</v>
      </c>
      <c r="AL5" s="475">
        <v>181.29</v>
      </c>
      <c r="AM5" s="475">
        <v>14731</v>
      </c>
      <c r="AN5" s="475">
        <v>82.66</v>
      </c>
      <c r="AO5" s="475">
        <v>79.94</v>
      </c>
      <c r="AP5" s="475">
        <v>38.68</v>
      </c>
      <c r="AQ5" s="475">
        <v>116.33</v>
      </c>
      <c r="AR5" s="475">
        <v>1042</v>
      </c>
      <c r="AS5" s="475">
        <v>76.5</v>
      </c>
      <c r="AT5" s="475">
        <v>75.37</v>
      </c>
      <c r="AU5" s="475">
        <v>11</v>
      </c>
      <c r="AV5" s="475">
        <v>86.36</v>
      </c>
      <c r="AW5" s="475">
        <v>17571</v>
      </c>
      <c r="AX5" s="475">
        <v>84.22</v>
      </c>
      <c r="AY5" s="475">
        <v>83.39</v>
      </c>
      <c r="AZ5" s="475">
        <v>8.81</v>
      </c>
      <c r="BA5" s="475">
        <v>91.34</v>
      </c>
      <c r="BB5" s="475">
        <v>419725</v>
      </c>
      <c r="BC5" s="475">
        <v>96.37</v>
      </c>
      <c r="BD5" s="475">
        <v>95.51</v>
      </c>
      <c r="BE5" s="475">
        <v>7.75</v>
      </c>
      <c r="BF5" s="475">
        <v>101.34</v>
      </c>
      <c r="BG5" s="475">
        <v>686889</v>
      </c>
      <c r="BH5" s="475">
        <v>106.54</v>
      </c>
      <c r="BI5" s="475">
        <v>106.43</v>
      </c>
      <c r="BJ5" s="475">
        <v>4.46</v>
      </c>
      <c r="BK5" s="475">
        <v>108.52</v>
      </c>
      <c r="BL5" s="475">
        <v>628875</v>
      </c>
      <c r="BM5" s="475">
        <v>124.48</v>
      </c>
      <c r="BN5" s="475">
        <v>125.95</v>
      </c>
      <c r="BO5" s="475">
        <v>5.84</v>
      </c>
      <c r="BP5" s="475">
        <v>127.61</v>
      </c>
      <c r="BQ5" s="475">
        <v>65244</v>
      </c>
      <c r="BR5" s="475">
        <v>138.52000000000001</v>
      </c>
      <c r="BS5" s="475">
        <v>143.11000000000001</v>
      </c>
      <c r="BT5" s="475">
        <v>7.23</v>
      </c>
      <c r="BU5" s="475">
        <v>142.43</v>
      </c>
      <c r="BV5" s="475">
        <v>5744</v>
      </c>
      <c r="BW5" s="475">
        <v>147.81</v>
      </c>
      <c r="BX5" s="475">
        <v>154.49</v>
      </c>
      <c r="BY5" s="475">
        <v>5.91</v>
      </c>
      <c r="BZ5" s="475">
        <v>151.04</v>
      </c>
      <c r="CA5" s="475">
        <v>1249</v>
      </c>
      <c r="CB5" s="475">
        <v>98.06</v>
      </c>
      <c r="CC5" s="475">
        <v>97.57</v>
      </c>
      <c r="CD5" s="475">
        <v>7.23</v>
      </c>
      <c r="CE5" s="475">
        <v>102.47</v>
      </c>
      <c r="CF5" s="475">
        <v>1825297</v>
      </c>
      <c r="CG5" s="475">
        <v>98.05</v>
      </c>
      <c r="CH5" s="475">
        <v>97.56</v>
      </c>
      <c r="CI5" s="475">
        <v>7.25</v>
      </c>
      <c r="CJ5" s="475">
        <v>102.48</v>
      </c>
      <c r="CK5" s="475">
        <v>1826339</v>
      </c>
      <c r="CL5" s="475">
        <v>105.35</v>
      </c>
      <c r="CM5" s="475">
        <v>82.04</v>
      </c>
      <c r="CN5" s="475">
        <v>97.75</v>
      </c>
      <c r="CO5" s="475">
        <v>192.57</v>
      </c>
      <c r="CP5" s="475">
        <v>41928</v>
      </c>
      <c r="CQ5" s="475">
        <v>80.89</v>
      </c>
      <c r="CR5" s="475">
        <v>75.95</v>
      </c>
      <c r="CS5" s="475">
        <v>50.35</v>
      </c>
      <c r="CT5" s="475">
        <v>128.86000000000001</v>
      </c>
      <c r="CU5" s="475">
        <v>26562</v>
      </c>
      <c r="CV5" s="475">
        <v>93.42</v>
      </c>
      <c r="CW5" s="475">
        <v>85.86</v>
      </c>
      <c r="CX5" s="475">
        <v>38.74</v>
      </c>
      <c r="CY5" s="475">
        <v>130.87</v>
      </c>
      <c r="CZ5" s="475">
        <v>213800</v>
      </c>
      <c r="DA5" s="475">
        <v>103.5</v>
      </c>
      <c r="DB5" s="475">
        <v>98.13</v>
      </c>
      <c r="DC5" s="475">
        <v>33.950000000000003</v>
      </c>
      <c r="DD5" s="475">
        <v>135.28</v>
      </c>
      <c r="DE5" s="475">
        <v>48974</v>
      </c>
      <c r="DF5" s="475">
        <v>116.04</v>
      </c>
      <c r="DG5" s="475">
        <v>107.62</v>
      </c>
      <c r="DH5" s="475">
        <v>48.7</v>
      </c>
      <c r="DI5" s="475">
        <v>158.79</v>
      </c>
      <c r="DJ5" s="475">
        <v>2522</v>
      </c>
      <c r="DK5" s="475">
        <v>148.43</v>
      </c>
      <c r="DL5" s="475">
        <v>133.72999999999999</v>
      </c>
      <c r="DM5" s="475">
        <v>62.69</v>
      </c>
      <c r="DN5" s="475">
        <v>193.57</v>
      </c>
      <c r="DO5" s="475">
        <v>175</v>
      </c>
      <c r="DP5" s="475">
        <v>94.2</v>
      </c>
      <c r="DQ5" s="475">
        <v>87.2</v>
      </c>
      <c r="DR5" s="475">
        <v>39.090000000000003</v>
      </c>
      <c r="DS5" s="475">
        <v>131.71</v>
      </c>
      <c r="DT5" s="475">
        <v>292033</v>
      </c>
      <c r="DU5" s="475">
        <v>95.6</v>
      </c>
      <c r="DV5" s="475">
        <v>86.71</v>
      </c>
      <c r="DW5" s="475">
        <v>46</v>
      </c>
      <c r="DX5" s="475">
        <v>139.35</v>
      </c>
      <c r="DY5" s="475">
        <v>333961</v>
      </c>
      <c r="DZ5" s="475">
        <v>98.7</v>
      </c>
      <c r="EA5" s="475">
        <v>126</v>
      </c>
      <c r="EB5" s="475">
        <v>136.83000000000001</v>
      </c>
      <c r="EC5" s="475">
        <v>885</v>
      </c>
      <c r="ED5" s="475">
        <v>124.93</v>
      </c>
      <c r="EE5" s="475">
        <v>58112</v>
      </c>
      <c r="EF5" s="475">
        <v>134.26</v>
      </c>
      <c r="EG5" s="475">
        <v>143878</v>
      </c>
      <c r="EH5" s="475">
        <v>143.97999999999999</v>
      </c>
      <c r="EI5" s="475">
        <v>81557</v>
      </c>
      <c r="EJ5" s="475">
        <v>182.13</v>
      </c>
      <c r="EK5" s="475">
        <v>9559</v>
      </c>
      <c r="EL5" s="475">
        <v>176.58</v>
      </c>
      <c r="EM5" s="475">
        <v>356</v>
      </c>
      <c r="EN5" s="475">
        <v>199.57</v>
      </c>
      <c r="EO5" s="475">
        <v>53</v>
      </c>
      <c r="EP5" s="475">
        <v>136.74</v>
      </c>
      <c r="EQ5" s="475">
        <v>294400</v>
      </c>
      <c r="ER5" s="475">
        <v>136.72</v>
      </c>
      <c r="ES5" s="475">
        <v>294526</v>
      </c>
      <c r="ET5" s="475">
        <v>255.74</v>
      </c>
      <c r="EU5" s="475">
        <v>653</v>
      </c>
      <c r="EV5" s="475">
        <v>185.96</v>
      </c>
      <c r="EW5" s="475">
        <v>711</v>
      </c>
      <c r="EX5" s="475">
        <v>175.48</v>
      </c>
      <c r="EY5" s="475">
        <v>8006</v>
      </c>
      <c r="EZ5" s="475">
        <v>179.94</v>
      </c>
      <c r="FA5" s="475">
        <v>5280</v>
      </c>
      <c r="FB5" s="475">
        <v>202.82</v>
      </c>
      <c r="FC5" s="475">
        <v>80</v>
      </c>
      <c r="FD5" s="475">
        <v>139.34</v>
      </c>
      <c r="FE5" s="475">
        <v>1</v>
      </c>
      <c r="FF5" s="475">
        <v>177.84</v>
      </c>
      <c r="FG5" s="475">
        <v>14078</v>
      </c>
      <c r="FH5" s="475">
        <v>181.29</v>
      </c>
      <c r="FI5" s="475">
        <v>14731</v>
      </c>
      <c r="FJ5" s="473">
        <v>8745</v>
      </c>
      <c r="FK5" s="473">
        <v>4812</v>
      </c>
      <c r="FL5" s="473">
        <v>2816</v>
      </c>
      <c r="FM5" s="473">
        <v>16861</v>
      </c>
      <c r="FN5" s="473">
        <v>5982</v>
      </c>
    </row>
    <row r="6" spans="1:170" x14ac:dyDescent="0.35">
      <c r="A6" t="s">
        <v>414</v>
      </c>
      <c r="B6" t="s">
        <v>414</v>
      </c>
      <c r="C6" t="s">
        <v>414</v>
      </c>
      <c r="D6">
        <v>118801</v>
      </c>
      <c r="E6">
        <v>116475</v>
      </c>
      <c r="F6">
        <v>567</v>
      </c>
      <c r="G6">
        <v>554</v>
      </c>
      <c r="H6">
        <v>9179</v>
      </c>
      <c r="I6">
        <v>5754</v>
      </c>
      <c r="J6">
        <v>22205</v>
      </c>
      <c r="K6">
        <v>21233</v>
      </c>
      <c r="L6">
        <v>16161</v>
      </c>
      <c r="M6">
        <v>921</v>
      </c>
      <c r="N6">
        <v>166913</v>
      </c>
      <c r="O6">
        <v>144937</v>
      </c>
      <c r="P6">
        <v>150752</v>
      </c>
      <c r="Q6">
        <v>156</v>
      </c>
      <c r="R6">
        <v>76</v>
      </c>
      <c r="S6">
        <v>75</v>
      </c>
      <c r="T6">
        <v>5273</v>
      </c>
      <c r="U6">
        <v>161640</v>
      </c>
      <c r="V6" s="498">
        <v>116324</v>
      </c>
      <c r="W6">
        <v>938</v>
      </c>
      <c r="X6" s="498">
        <v>651</v>
      </c>
      <c r="Y6" s="498">
        <v>1589</v>
      </c>
      <c r="Z6" s="498">
        <v>90.53</v>
      </c>
      <c r="AA6" s="498">
        <v>89.08</v>
      </c>
      <c r="AB6">
        <v>5.31</v>
      </c>
      <c r="AC6">
        <v>93.99</v>
      </c>
      <c r="AD6">
        <v>95158</v>
      </c>
      <c r="AE6">
        <v>92.2</v>
      </c>
      <c r="AF6">
        <v>81.430000000000007</v>
      </c>
      <c r="AG6">
        <v>43.27</v>
      </c>
      <c r="AH6">
        <v>133.36000000000001</v>
      </c>
      <c r="AI6">
        <v>27911</v>
      </c>
      <c r="AJ6">
        <v>113</v>
      </c>
      <c r="AK6">
        <v>19062</v>
      </c>
      <c r="AL6">
        <v>165.01</v>
      </c>
      <c r="AM6">
        <v>745</v>
      </c>
      <c r="AN6">
        <v>85.91</v>
      </c>
      <c r="AO6" s="499">
        <v>85.92</v>
      </c>
      <c r="AP6" s="499">
        <v>135.05000000000001</v>
      </c>
      <c r="AQ6">
        <v>213.85</v>
      </c>
      <c r="AR6">
        <v>19</v>
      </c>
      <c r="AS6">
        <v>66.16</v>
      </c>
      <c r="AT6">
        <v>64.81</v>
      </c>
      <c r="AU6">
        <v>12.71</v>
      </c>
      <c r="AV6">
        <v>77.64</v>
      </c>
      <c r="AW6">
        <v>838</v>
      </c>
      <c r="AX6">
        <v>76.52</v>
      </c>
      <c r="AY6">
        <v>74.81</v>
      </c>
      <c r="AZ6">
        <v>8.32</v>
      </c>
      <c r="BA6">
        <v>84.18</v>
      </c>
      <c r="BB6">
        <v>18160</v>
      </c>
      <c r="BC6">
        <v>89.41</v>
      </c>
      <c r="BD6">
        <v>87.48</v>
      </c>
      <c r="BE6">
        <v>5.29</v>
      </c>
      <c r="BF6">
        <v>92.88</v>
      </c>
      <c r="BG6">
        <v>38363</v>
      </c>
      <c r="BH6">
        <v>97.94</v>
      </c>
      <c r="BI6">
        <v>97.15</v>
      </c>
      <c r="BJ6">
        <v>2.2999999999999998</v>
      </c>
      <c r="BK6">
        <v>99.1</v>
      </c>
      <c r="BL6" s="214">
        <v>34957</v>
      </c>
      <c r="BM6" s="214">
        <v>110.8</v>
      </c>
      <c r="BN6">
        <v>109.74</v>
      </c>
      <c r="BO6" s="187">
        <v>2.65</v>
      </c>
      <c r="BP6" s="214">
        <v>112.27</v>
      </c>
      <c r="BQ6" s="214">
        <v>2599</v>
      </c>
      <c r="BR6">
        <v>117.07</v>
      </c>
      <c r="BS6" s="187">
        <v>116.02</v>
      </c>
      <c r="BT6" s="214">
        <v>1.96</v>
      </c>
      <c r="BU6" s="214">
        <v>117.94</v>
      </c>
      <c r="BV6">
        <v>180</v>
      </c>
      <c r="BW6">
        <v>130.88999999999999</v>
      </c>
      <c r="BX6" s="214">
        <v>128.22999999999999</v>
      </c>
      <c r="BY6" s="214">
        <v>2.67</v>
      </c>
      <c r="BZ6">
        <v>132.1</v>
      </c>
      <c r="CA6" s="187">
        <v>42</v>
      </c>
      <c r="CB6" s="214">
        <v>90.53</v>
      </c>
      <c r="CC6" s="214">
        <v>89.08</v>
      </c>
      <c r="CD6">
        <v>5.27</v>
      </c>
      <c r="CE6" s="187">
        <v>93.97</v>
      </c>
      <c r="CF6" s="214">
        <v>95139</v>
      </c>
      <c r="CG6" s="214">
        <v>90.53</v>
      </c>
      <c r="CH6">
        <v>89.08</v>
      </c>
      <c r="CI6">
        <v>5.31</v>
      </c>
      <c r="CJ6">
        <v>93.99</v>
      </c>
      <c r="CK6">
        <v>95158</v>
      </c>
      <c r="CL6">
        <v>119.89</v>
      </c>
      <c r="CM6">
        <v>72.66</v>
      </c>
      <c r="CN6" s="187">
        <v>111.49</v>
      </c>
      <c r="CO6">
        <v>220.5</v>
      </c>
      <c r="CP6">
        <v>2738</v>
      </c>
      <c r="CQ6">
        <v>72.650000000000006</v>
      </c>
      <c r="CR6">
        <v>65.680000000000007</v>
      </c>
      <c r="CS6" s="187">
        <v>66.540000000000006</v>
      </c>
      <c r="CT6">
        <v>134.47999999999999</v>
      </c>
      <c r="CU6">
        <v>1741</v>
      </c>
      <c r="CV6">
        <v>87.67</v>
      </c>
      <c r="CW6">
        <v>78.7</v>
      </c>
      <c r="CX6" s="187">
        <v>40.75</v>
      </c>
      <c r="CY6">
        <v>127.27</v>
      </c>
      <c r="CZ6">
        <v>16292</v>
      </c>
      <c r="DA6">
        <v>96.46</v>
      </c>
      <c r="DB6">
        <v>92.3</v>
      </c>
      <c r="DC6" s="187">
        <v>17.68</v>
      </c>
      <c r="DD6">
        <v>112.88</v>
      </c>
      <c r="DE6">
        <v>6950</v>
      </c>
      <c r="DF6">
        <v>104.52</v>
      </c>
      <c r="DG6">
        <v>100.23</v>
      </c>
      <c r="DH6" s="187">
        <v>35.46</v>
      </c>
      <c r="DI6">
        <v>136.72</v>
      </c>
      <c r="DJ6">
        <v>185</v>
      </c>
      <c r="DK6">
        <v>132.4</v>
      </c>
      <c r="DL6">
        <v>122.51</v>
      </c>
      <c r="DM6" s="187">
        <v>107.08</v>
      </c>
      <c r="DN6">
        <v>196.65</v>
      </c>
      <c r="DO6">
        <v>5</v>
      </c>
      <c r="DP6">
        <v>89.19</v>
      </c>
      <c r="DQ6">
        <v>81.94</v>
      </c>
      <c r="DR6" s="187">
        <v>36.270000000000003</v>
      </c>
      <c r="DS6">
        <v>123.88</v>
      </c>
      <c r="DT6">
        <v>25173</v>
      </c>
      <c r="DU6">
        <v>92.2</v>
      </c>
      <c r="DV6">
        <v>81.430000000000007</v>
      </c>
      <c r="DW6" s="187">
        <v>43.27</v>
      </c>
      <c r="DX6">
        <v>133.36000000000001</v>
      </c>
      <c r="DY6">
        <v>27911</v>
      </c>
      <c r="DZ6">
        <v>0</v>
      </c>
      <c r="EA6">
        <v>0</v>
      </c>
      <c r="EB6" s="187">
        <v>97.33</v>
      </c>
      <c r="EC6">
        <v>16</v>
      </c>
      <c r="ED6">
        <v>93.05</v>
      </c>
      <c r="EE6">
        <v>3333</v>
      </c>
      <c r="EF6">
        <v>111.53</v>
      </c>
      <c r="EG6" s="187">
        <v>10133</v>
      </c>
      <c r="EH6">
        <v>124.88</v>
      </c>
      <c r="EI6">
        <v>5038</v>
      </c>
      <c r="EJ6">
        <v>153.41</v>
      </c>
      <c r="EK6">
        <v>531</v>
      </c>
      <c r="EL6" s="187">
        <v>147.22</v>
      </c>
      <c r="EM6">
        <v>10</v>
      </c>
      <c r="EN6">
        <v>136.38</v>
      </c>
      <c r="EO6">
        <v>1</v>
      </c>
      <c r="EP6">
        <v>113</v>
      </c>
      <c r="EQ6" s="187">
        <v>19062</v>
      </c>
      <c r="ER6">
        <v>113</v>
      </c>
      <c r="ES6">
        <v>19062</v>
      </c>
      <c r="ET6">
        <v>235.03</v>
      </c>
      <c r="EU6">
        <v>10</v>
      </c>
      <c r="EV6" s="187">
        <v>132.53</v>
      </c>
      <c r="EW6">
        <v>168</v>
      </c>
      <c r="EX6">
        <v>179.93</v>
      </c>
      <c r="EY6">
        <v>476</v>
      </c>
      <c r="EZ6">
        <v>122.05</v>
      </c>
      <c r="FA6" s="187">
        <v>77</v>
      </c>
      <c r="FB6">
        <v>233.39</v>
      </c>
      <c r="FC6">
        <v>14</v>
      </c>
      <c r="FD6">
        <v>0</v>
      </c>
      <c r="FE6">
        <v>0</v>
      </c>
      <c r="FF6" s="187">
        <v>164.05</v>
      </c>
      <c r="FG6">
        <v>735</v>
      </c>
      <c r="FH6">
        <v>165.01</v>
      </c>
      <c r="FI6">
        <v>745</v>
      </c>
      <c r="FJ6">
        <v>763</v>
      </c>
      <c r="FK6" s="187">
        <v>223</v>
      </c>
      <c r="FL6">
        <v>165</v>
      </c>
      <c r="FM6">
        <v>1288</v>
      </c>
      <c r="FN6">
        <v>397</v>
      </c>
    </row>
    <row r="7" spans="1:170" x14ac:dyDescent="0.35">
      <c r="A7" t="s">
        <v>415</v>
      </c>
      <c r="B7" t="s">
        <v>415</v>
      </c>
      <c r="C7" t="s">
        <v>415</v>
      </c>
      <c r="D7">
        <v>226684</v>
      </c>
      <c r="E7">
        <v>225716</v>
      </c>
      <c r="F7">
        <v>1760</v>
      </c>
      <c r="G7">
        <v>1564</v>
      </c>
      <c r="H7">
        <v>12055</v>
      </c>
      <c r="I7">
        <v>8265</v>
      </c>
      <c r="J7">
        <v>27781</v>
      </c>
      <c r="K7">
        <v>26087</v>
      </c>
      <c r="L7">
        <v>25159</v>
      </c>
      <c r="M7">
        <v>1881</v>
      </c>
      <c r="N7">
        <v>293439</v>
      </c>
      <c r="O7">
        <v>263513</v>
      </c>
      <c r="P7">
        <v>268280</v>
      </c>
      <c r="Q7">
        <v>733</v>
      </c>
      <c r="R7">
        <v>120</v>
      </c>
      <c r="S7">
        <v>85</v>
      </c>
      <c r="T7">
        <v>6916</v>
      </c>
      <c r="U7">
        <v>286523</v>
      </c>
      <c r="V7" s="498">
        <v>224846</v>
      </c>
      <c r="W7">
        <v>1887</v>
      </c>
      <c r="X7" s="498">
        <v>1394</v>
      </c>
      <c r="Y7" s="498">
        <v>3281</v>
      </c>
      <c r="Z7" s="498">
        <v>102.05</v>
      </c>
      <c r="AA7" s="498">
        <v>101.47</v>
      </c>
      <c r="AB7">
        <v>6.3</v>
      </c>
      <c r="AC7">
        <v>105.44</v>
      </c>
      <c r="AD7">
        <v>184148</v>
      </c>
      <c r="AE7">
        <v>96.99</v>
      </c>
      <c r="AF7">
        <v>88.68</v>
      </c>
      <c r="AG7">
        <v>41.48</v>
      </c>
      <c r="AH7">
        <v>137.13999999999999</v>
      </c>
      <c r="AI7">
        <v>34295</v>
      </c>
      <c r="AJ7">
        <v>144.43</v>
      </c>
      <c r="AK7">
        <v>36610</v>
      </c>
      <c r="AL7">
        <v>198.12</v>
      </c>
      <c r="AM7">
        <v>749</v>
      </c>
      <c r="AN7">
        <v>68.989999999999995</v>
      </c>
      <c r="AO7" s="499">
        <v>68.25</v>
      </c>
      <c r="AP7" s="499">
        <v>94.75</v>
      </c>
      <c r="AQ7">
        <v>154.80000000000001</v>
      </c>
      <c r="AR7">
        <v>53</v>
      </c>
      <c r="AS7">
        <v>74.95</v>
      </c>
      <c r="AT7">
        <v>74.31</v>
      </c>
      <c r="AU7">
        <v>10.31</v>
      </c>
      <c r="AV7">
        <v>84.01</v>
      </c>
      <c r="AW7">
        <v>2238</v>
      </c>
      <c r="AX7">
        <v>86.55</v>
      </c>
      <c r="AY7">
        <v>85.12</v>
      </c>
      <c r="AZ7">
        <v>8.67</v>
      </c>
      <c r="BA7">
        <v>93.25</v>
      </c>
      <c r="BB7">
        <v>38130</v>
      </c>
      <c r="BC7">
        <v>99.71</v>
      </c>
      <c r="BD7">
        <v>98.38</v>
      </c>
      <c r="BE7">
        <v>6.39</v>
      </c>
      <c r="BF7">
        <v>103.5</v>
      </c>
      <c r="BG7">
        <v>70772</v>
      </c>
      <c r="BH7">
        <v>112.04</v>
      </c>
      <c r="BI7">
        <v>112.59</v>
      </c>
      <c r="BJ7">
        <v>2.94</v>
      </c>
      <c r="BK7">
        <v>113.05</v>
      </c>
      <c r="BL7" s="214">
        <v>66551</v>
      </c>
      <c r="BM7" s="214">
        <v>125.52</v>
      </c>
      <c r="BN7">
        <v>126.44</v>
      </c>
      <c r="BO7" s="187">
        <v>3.17</v>
      </c>
      <c r="BP7" s="214">
        <v>126.98</v>
      </c>
      <c r="BQ7" s="214">
        <v>5894</v>
      </c>
      <c r="BR7">
        <v>132.13999999999999</v>
      </c>
      <c r="BS7" s="187">
        <v>133.36000000000001</v>
      </c>
      <c r="BT7" s="214">
        <v>3.02</v>
      </c>
      <c r="BU7" s="214">
        <v>133.54</v>
      </c>
      <c r="BV7">
        <v>429</v>
      </c>
      <c r="BW7">
        <v>135.29</v>
      </c>
      <c r="BX7" s="214">
        <v>136.44999999999999</v>
      </c>
      <c r="BY7" s="214">
        <v>2.14</v>
      </c>
      <c r="BZ7">
        <v>135.87</v>
      </c>
      <c r="CA7" s="187">
        <v>81</v>
      </c>
      <c r="CB7" s="214">
        <v>102.06</v>
      </c>
      <c r="CC7" s="214">
        <v>101.48</v>
      </c>
      <c r="CD7">
        <v>6.26</v>
      </c>
      <c r="CE7" s="187">
        <v>105.43</v>
      </c>
      <c r="CF7" s="214">
        <v>184095</v>
      </c>
      <c r="CG7" s="214">
        <v>102.05</v>
      </c>
      <c r="CH7">
        <v>101.47</v>
      </c>
      <c r="CI7">
        <v>6.3</v>
      </c>
      <c r="CJ7">
        <v>105.44</v>
      </c>
      <c r="CK7">
        <v>184148</v>
      </c>
      <c r="CL7">
        <v>104.24</v>
      </c>
      <c r="CM7">
        <v>84.24</v>
      </c>
      <c r="CN7" s="187">
        <v>90.81</v>
      </c>
      <c r="CO7">
        <v>182.75</v>
      </c>
      <c r="CP7">
        <v>4438</v>
      </c>
      <c r="CQ7">
        <v>84.65</v>
      </c>
      <c r="CR7">
        <v>74.78</v>
      </c>
      <c r="CS7" s="187">
        <v>48.36</v>
      </c>
      <c r="CT7">
        <v>132.34</v>
      </c>
      <c r="CU7">
        <v>2893</v>
      </c>
      <c r="CV7">
        <v>94.76</v>
      </c>
      <c r="CW7">
        <v>88.17</v>
      </c>
      <c r="CX7" s="187">
        <v>34.39</v>
      </c>
      <c r="CY7">
        <v>128.63999999999999</v>
      </c>
      <c r="CZ7">
        <v>22912</v>
      </c>
      <c r="DA7">
        <v>109.7</v>
      </c>
      <c r="DB7">
        <v>104.33</v>
      </c>
      <c r="DC7" s="187">
        <v>28.88</v>
      </c>
      <c r="DD7">
        <v>137.9</v>
      </c>
      <c r="DE7">
        <v>3847</v>
      </c>
      <c r="DF7">
        <v>123.25</v>
      </c>
      <c r="DG7">
        <v>113.98</v>
      </c>
      <c r="DH7" s="187">
        <v>32.06</v>
      </c>
      <c r="DI7">
        <v>152.07</v>
      </c>
      <c r="DJ7">
        <v>198</v>
      </c>
      <c r="DK7">
        <v>162.43</v>
      </c>
      <c r="DL7">
        <v>130.46</v>
      </c>
      <c r="DM7" s="187">
        <v>21.47</v>
      </c>
      <c r="DN7">
        <v>174.7</v>
      </c>
      <c r="DO7">
        <v>7</v>
      </c>
      <c r="DP7">
        <v>95.91</v>
      </c>
      <c r="DQ7">
        <v>89.18</v>
      </c>
      <c r="DR7" s="187">
        <v>35.03</v>
      </c>
      <c r="DS7">
        <v>130.36000000000001</v>
      </c>
      <c r="DT7">
        <v>29857</v>
      </c>
      <c r="DU7">
        <v>96.99</v>
      </c>
      <c r="DV7">
        <v>88.68</v>
      </c>
      <c r="DW7" s="187">
        <v>41.48</v>
      </c>
      <c r="DX7">
        <v>137.13999999999999</v>
      </c>
      <c r="DY7">
        <v>34295</v>
      </c>
      <c r="DZ7">
        <v>98.79</v>
      </c>
      <c r="EA7">
        <v>9</v>
      </c>
      <c r="EB7" s="187">
        <v>116.9</v>
      </c>
      <c r="EC7">
        <v>79</v>
      </c>
      <c r="ED7">
        <v>119.49</v>
      </c>
      <c r="EE7">
        <v>9352</v>
      </c>
      <c r="EF7">
        <v>145.33000000000001</v>
      </c>
      <c r="EG7" s="187">
        <v>18000</v>
      </c>
      <c r="EH7">
        <v>164.28</v>
      </c>
      <c r="EI7">
        <v>8082</v>
      </c>
      <c r="EJ7">
        <v>199.13</v>
      </c>
      <c r="EK7">
        <v>1052</v>
      </c>
      <c r="EL7" s="187">
        <v>186.29</v>
      </c>
      <c r="EM7">
        <v>35</v>
      </c>
      <c r="EN7">
        <v>136.35</v>
      </c>
      <c r="EO7">
        <v>1</v>
      </c>
      <c r="EP7">
        <v>144.44</v>
      </c>
      <c r="EQ7" s="187">
        <v>36601</v>
      </c>
      <c r="ER7">
        <v>144.43</v>
      </c>
      <c r="ES7">
        <v>36610</v>
      </c>
      <c r="ET7">
        <v>316.11</v>
      </c>
      <c r="EU7">
        <v>119</v>
      </c>
      <c r="EV7" s="187">
        <v>155.30000000000001</v>
      </c>
      <c r="EW7">
        <v>18</v>
      </c>
      <c r="EX7">
        <v>168.14</v>
      </c>
      <c r="EY7">
        <v>472</v>
      </c>
      <c r="EZ7">
        <v>204.69</v>
      </c>
      <c r="FA7" s="187">
        <v>139</v>
      </c>
      <c r="FB7">
        <v>165.57</v>
      </c>
      <c r="FC7">
        <v>1</v>
      </c>
      <c r="FD7">
        <v>0</v>
      </c>
      <c r="FE7">
        <v>0</v>
      </c>
      <c r="FF7" s="187">
        <v>175.84</v>
      </c>
      <c r="FG7">
        <v>630</v>
      </c>
      <c r="FH7">
        <v>198.12</v>
      </c>
      <c r="FI7">
        <v>749</v>
      </c>
      <c r="FJ7">
        <v>861</v>
      </c>
      <c r="FK7" s="187">
        <v>261</v>
      </c>
      <c r="FL7">
        <v>284</v>
      </c>
      <c r="FM7">
        <v>2193</v>
      </c>
      <c r="FN7">
        <v>610</v>
      </c>
    </row>
    <row r="8" spans="1:170" x14ac:dyDescent="0.35">
      <c r="A8" t="s">
        <v>416</v>
      </c>
      <c r="B8" t="s">
        <v>416</v>
      </c>
      <c r="C8" t="s">
        <v>416</v>
      </c>
      <c r="D8">
        <v>359727</v>
      </c>
      <c r="E8">
        <v>344756</v>
      </c>
      <c r="F8">
        <v>5633</v>
      </c>
      <c r="G8">
        <v>4070</v>
      </c>
      <c r="H8">
        <v>27656</v>
      </c>
      <c r="I8">
        <v>15965</v>
      </c>
      <c r="J8">
        <v>28060</v>
      </c>
      <c r="K8">
        <v>23749</v>
      </c>
      <c r="L8">
        <v>53251</v>
      </c>
      <c r="M8">
        <v>3875</v>
      </c>
      <c r="N8">
        <v>474327</v>
      </c>
      <c r="O8">
        <v>392415</v>
      </c>
      <c r="P8">
        <v>421076</v>
      </c>
      <c r="Q8">
        <v>2554</v>
      </c>
      <c r="R8">
        <v>271</v>
      </c>
      <c r="S8">
        <v>76</v>
      </c>
      <c r="T8">
        <v>33004</v>
      </c>
      <c r="U8">
        <v>441323</v>
      </c>
      <c r="V8" s="498">
        <v>338609</v>
      </c>
      <c r="W8">
        <v>3863</v>
      </c>
      <c r="X8" s="498">
        <v>2576</v>
      </c>
      <c r="Y8" s="498">
        <v>6439</v>
      </c>
      <c r="Z8" s="498">
        <v>124.82</v>
      </c>
      <c r="AA8" s="498">
        <v>128.21</v>
      </c>
      <c r="AB8">
        <v>13.53</v>
      </c>
      <c r="AC8">
        <v>134.79</v>
      </c>
      <c r="AD8">
        <v>288830</v>
      </c>
      <c r="AE8">
        <v>113.9</v>
      </c>
      <c r="AF8">
        <v>108.7</v>
      </c>
      <c r="AG8">
        <v>61.43</v>
      </c>
      <c r="AH8">
        <v>170.66</v>
      </c>
      <c r="AI8">
        <v>43107</v>
      </c>
      <c r="AJ8">
        <v>200.6</v>
      </c>
      <c r="AK8">
        <v>38441</v>
      </c>
      <c r="AL8">
        <v>227.64</v>
      </c>
      <c r="AM8">
        <v>1545</v>
      </c>
      <c r="AN8">
        <v>86.28</v>
      </c>
      <c r="AO8" s="499">
        <v>83.74</v>
      </c>
      <c r="AP8" s="499">
        <v>34.729999999999997</v>
      </c>
      <c r="AQ8">
        <v>117.89</v>
      </c>
      <c r="AR8">
        <v>700</v>
      </c>
      <c r="AS8">
        <v>94.76</v>
      </c>
      <c r="AT8">
        <v>94.69</v>
      </c>
      <c r="AU8">
        <v>11.77</v>
      </c>
      <c r="AV8">
        <v>104.74</v>
      </c>
      <c r="AW8">
        <v>4420</v>
      </c>
      <c r="AX8">
        <v>108.63</v>
      </c>
      <c r="AY8">
        <v>110.62</v>
      </c>
      <c r="AZ8">
        <v>13.05</v>
      </c>
      <c r="BA8">
        <v>119.26</v>
      </c>
      <c r="BB8">
        <v>75566</v>
      </c>
      <c r="BC8">
        <v>122.81</v>
      </c>
      <c r="BD8">
        <v>125.69</v>
      </c>
      <c r="BE8">
        <v>14.53</v>
      </c>
      <c r="BF8">
        <v>134.02000000000001</v>
      </c>
      <c r="BG8">
        <v>106737</v>
      </c>
      <c r="BH8">
        <v>137.26</v>
      </c>
      <c r="BI8">
        <v>141.63</v>
      </c>
      <c r="BJ8">
        <v>12.79</v>
      </c>
      <c r="BK8">
        <v>145.29</v>
      </c>
      <c r="BL8" s="214">
        <v>80823</v>
      </c>
      <c r="BM8" s="214">
        <v>151.74</v>
      </c>
      <c r="BN8">
        <v>159.29</v>
      </c>
      <c r="BO8" s="187">
        <v>11.94</v>
      </c>
      <c r="BP8" s="214">
        <v>159.79</v>
      </c>
      <c r="BQ8" s="214">
        <v>17683</v>
      </c>
      <c r="BR8">
        <v>162.94999999999999</v>
      </c>
      <c r="BS8" s="187">
        <v>173.88</v>
      </c>
      <c r="BT8" s="214">
        <v>12.48</v>
      </c>
      <c r="BU8" s="214">
        <v>170.71</v>
      </c>
      <c r="BV8">
        <v>2370</v>
      </c>
      <c r="BW8">
        <v>172.67</v>
      </c>
      <c r="BX8" s="214">
        <v>187.35</v>
      </c>
      <c r="BY8" s="214">
        <v>9.74</v>
      </c>
      <c r="BZ8">
        <v>178.55</v>
      </c>
      <c r="CA8" s="187">
        <v>531</v>
      </c>
      <c r="CB8" s="214">
        <v>124.91</v>
      </c>
      <c r="CC8" s="214">
        <v>128.32</v>
      </c>
      <c r="CD8">
        <v>13.47</v>
      </c>
      <c r="CE8" s="187">
        <v>134.83000000000001</v>
      </c>
      <c r="CF8" s="214">
        <v>288130</v>
      </c>
      <c r="CG8" s="214">
        <v>124.82</v>
      </c>
      <c r="CH8">
        <v>128.21</v>
      </c>
      <c r="CI8">
        <v>13.53</v>
      </c>
      <c r="CJ8">
        <v>134.79</v>
      </c>
      <c r="CK8">
        <v>288830</v>
      </c>
      <c r="CL8">
        <v>105.96</v>
      </c>
      <c r="CM8">
        <v>99.44</v>
      </c>
      <c r="CN8" s="187">
        <v>102.63</v>
      </c>
      <c r="CO8">
        <v>188.92</v>
      </c>
      <c r="CP8">
        <v>8608</v>
      </c>
      <c r="CQ8">
        <v>100.03</v>
      </c>
      <c r="CR8">
        <v>98.45</v>
      </c>
      <c r="CS8" s="187">
        <v>66.900000000000006</v>
      </c>
      <c r="CT8">
        <v>160.79</v>
      </c>
      <c r="CU8">
        <v>4788</v>
      </c>
      <c r="CV8">
        <v>116.89</v>
      </c>
      <c r="CW8">
        <v>111.01</v>
      </c>
      <c r="CX8" s="187">
        <v>50.79</v>
      </c>
      <c r="CY8">
        <v>165.84</v>
      </c>
      <c r="CZ8">
        <v>27005</v>
      </c>
      <c r="DA8">
        <v>132.69999999999999</v>
      </c>
      <c r="DB8">
        <v>130.57</v>
      </c>
      <c r="DC8" s="187">
        <v>50.24</v>
      </c>
      <c r="DD8">
        <v>179.81</v>
      </c>
      <c r="DE8">
        <v>2389</v>
      </c>
      <c r="DF8">
        <v>139.86000000000001</v>
      </c>
      <c r="DG8">
        <v>141.75</v>
      </c>
      <c r="DH8" s="187">
        <v>29.92</v>
      </c>
      <c r="DI8">
        <v>165.35</v>
      </c>
      <c r="DJ8">
        <v>277</v>
      </c>
      <c r="DK8">
        <v>154.82</v>
      </c>
      <c r="DL8">
        <v>161.37</v>
      </c>
      <c r="DM8" s="187">
        <v>18.149999999999999</v>
      </c>
      <c r="DN8">
        <v>167.98</v>
      </c>
      <c r="DO8">
        <v>40</v>
      </c>
      <c r="DP8">
        <v>115.87</v>
      </c>
      <c r="DQ8">
        <v>110.92</v>
      </c>
      <c r="DR8" s="187">
        <v>52.71</v>
      </c>
      <c r="DS8">
        <v>166.11</v>
      </c>
      <c r="DT8">
        <v>34499</v>
      </c>
      <c r="DU8">
        <v>113.9</v>
      </c>
      <c r="DV8">
        <v>108.7</v>
      </c>
      <c r="DW8" s="187">
        <v>61.43</v>
      </c>
      <c r="DX8">
        <v>170.66</v>
      </c>
      <c r="DY8">
        <v>43107</v>
      </c>
      <c r="DZ8">
        <v>98.51</v>
      </c>
      <c r="EA8">
        <v>44</v>
      </c>
      <c r="EB8" s="187">
        <v>158.15</v>
      </c>
      <c r="EC8">
        <v>508</v>
      </c>
      <c r="ED8">
        <v>177.24</v>
      </c>
      <c r="EE8">
        <v>12903</v>
      </c>
      <c r="EF8">
        <v>206.61</v>
      </c>
      <c r="EG8" s="187">
        <v>16077</v>
      </c>
      <c r="EH8">
        <v>223.59</v>
      </c>
      <c r="EI8">
        <v>7355</v>
      </c>
      <c r="EJ8">
        <v>239.57</v>
      </c>
      <c r="EK8">
        <v>1466</v>
      </c>
      <c r="EL8" s="187">
        <v>249.07</v>
      </c>
      <c r="EM8">
        <v>75</v>
      </c>
      <c r="EN8">
        <v>276.29000000000002</v>
      </c>
      <c r="EO8">
        <v>13</v>
      </c>
      <c r="EP8">
        <v>200.71</v>
      </c>
      <c r="EQ8" s="187">
        <v>38397</v>
      </c>
      <c r="ER8">
        <v>200.6</v>
      </c>
      <c r="ES8">
        <v>38441</v>
      </c>
      <c r="ET8">
        <v>0</v>
      </c>
      <c r="EU8">
        <v>0</v>
      </c>
      <c r="EV8" s="187">
        <v>236.45</v>
      </c>
      <c r="EW8">
        <v>127</v>
      </c>
      <c r="EX8">
        <v>220.15</v>
      </c>
      <c r="EY8">
        <v>1225</v>
      </c>
      <c r="EZ8">
        <v>265.18</v>
      </c>
      <c r="FA8" s="187">
        <v>175</v>
      </c>
      <c r="FB8">
        <v>309.68</v>
      </c>
      <c r="FC8">
        <v>18</v>
      </c>
      <c r="FD8">
        <v>0</v>
      </c>
      <c r="FE8">
        <v>0</v>
      </c>
      <c r="FF8" s="187">
        <v>227.64</v>
      </c>
      <c r="FG8">
        <v>1545</v>
      </c>
      <c r="FH8">
        <v>227.64</v>
      </c>
      <c r="FI8">
        <v>1545</v>
      </c>
      <c r="FJ8">
        <v>1554</v>
      </c>
      <c r="FK8" s="187">
        <v>265</v>
      </c>
      <c r="FL8">
        <v>410</v>
      </c>
      <c r="FM8">
        <v>2862</v>
      </c>
      <c r="FN8">
        <v>1999</v>
      </c>
    </row>
    <row r="9" spans="1:170" x14ac:dyDescent="0.35">
      <c r="A9" t="s">
        <v>417</v>
      </c>
      <c r="B9" t="s">
        <v>417</v>
      </c>
      <c r="C9" t="s">
        <v>417</v>
      </c>
      <c r="D9">
        <v>159209</v>
      </c>
      <c r="E9">
        <v>157318</v>
      </c>
      <c r="F9">
        <v>157</v>
      </c>
      <c r="G9">
        <v>5</v>
      </c>
      <c r="H9">
        <v>7115</v>
      </c>
      <c r="I9">
        <v>4506</v>
      </c>
      <c r="J9">
        <v>16944</v>
      </c>
      <c r="K9">
        <v>16417</v>
      </c>
      <c r="L9">
        <v>4224</v>
      </c>
      <c r="M9">
        <v>4</v>
      </c>
      <c r="N9">
        <v>187649</v>
      </c>
      <c r="O9">
        <v>178250</v>
      </c>
      <c r="P9">
        <v>183425</v>
      </c>
      <c r="Q9">
        <v>161</v>
      </c>
      <c r="R9">
        <v>69</v>
      </c>
      <c r="S9">
        <v>40</v>
      </c>
      <c r="T9">
        <v>4658</v>
      </c>
      <c r="U9">
        <v>182991</v>
      </c>
      <c r="V9" s="498">
        <v>157100</v>
      </c>
      <c r="W9">
        <v>1275</v>
      </c>
      <c r="X9" s="498">
        <v>1426</v>
      </c>
      <c r="Y9" s="498">
        <v>2701</v>
      </c>
      <c r="Z9" s="498">
        <v>80.52</v>
      </c>
      <c r="AA9" s="498">
        <v>80.28</v>
      </c>
      <c r="AB9">
        <v>6.17</v>
      </c>
      <c r="AC9">
        <v>82.52</v>
      </c>
      <c r="AD9">
        <v>139069</v>
      </c>
      <c r="AE9">
        <v>90.55</v>
      </c>
      <c r="AF9">
        <v>78.010000000000005</v>
      </c>
      <c r="AG9">
        <v>53.53</v>
      </c>
      <c r="AH9">
        <v>139.18</v>
      </c>
      <c r="AI9">
        <v>20292</v>
      </c>
      <c r="AJ9">
        <v>100.08</v>
      </c>
      <c r="AK9">
        <v>17599</v>
      </c>
      <c r="AL9">
        <v>163.99</v>
      </c>
      <c r="AM9">
        <v>1957</v>
      </c>
      <c r="AN9">
        <v>66.52</v>
      </c>
      <c r="AO9" s="499">
        <v>66.52</v>
      </c>
      <c r="AP9" s="499">
        <v>20.11</v>
      </c>
      <c r="AQ9">
        <v>86.63</v>
      </c>
      <c r="AR9">
        <v>2</v>
      </c>
      <c r="AS9">
        <v>63.76</v>
      </c>
      <c r="AT9">
        <v>62.24</v>
      </c>
      <c r="AU9">
        <v>12.14</v>
      </c>
      <c r="AV9">
        <v>73.459999999999994</v>
      </c>
      <c r="AW9">
        <v>527</v>
      </c>
      <c r="AX9">
        <v>70.83</v>
      </c>
      <c r="AY9">
        <v>70.59</v>
      </c>
      <c r="AZ9">
        <v>8.2200000000000006</v>
      </c>
      <c r="BA9">
        <v>74.97</v>
      </c>
      <c r="BB9">
        <v>32687</v>
      </c>
      <c r="BC9">
        <v>79.400000000000006</v>
      </c>
      <c r="BD9">
        <v>78.930000000000007</v>
      </c>
      <c r="BE9">
        <v>5.89</v>
      </c>
      <c r="BF9">
        <v>81.31</v>
      </c>
      <c r="BG9">
        <v>56021</v>
      </c>
      <c r="BH9">
        <v>87.69</v>
      </c>
      <c r="BI9">
        <v>87.72</v>
      </c>
      <c r="BJ9">
        <v>3.1</v>
      </c>
      <c r="BK9">
        <v>88.32</v>
      </c>
      <c r="BL9" s="214">
        <v>46622</v>
      </c>
      <c r="BM9" s="214">
        <v>96.43</v>
      </c>
      <c r="BN9">
        <v>96.54</v>
      </c>
      <c r="BO9" s="187">
        <v>2.82</v>
      </c>
      <c r="BP9" s="214">
        <v>97.01</v>
      </c>
      <c r="BQ9" s="214">
        <v>2969</v>
      </c>
      <c r="BR9">
        <v>105.91</v>
      </c>
      <c r="BS9" s="187">
        <v>107.3</v>
      </c>
      <c r="BT9" s="214">
        <v>3.17</v>
      </c>
      <c r="BU9" s="214">
        <v>106.12</v>
      </c>
      <c r="BV9">
        <v>222</v>
      </c>
      <c r="BW9">
        <v>120.69</v>
      </c>
      <c r="BX9" s="214">
        <v>119.34</v>
      </c>
      <c r="BY9" s="214">
        <v>2.17</v>
      </c>
      <c r="BZ9">
        <v>121.26</v>
      </c>
      <c r="CA9" s="187">
        <v>19</v>
      </c>
      <c r="CB9" s="214">
        <v>80.52</v>
      </c>
      <c r="CC9" s="214">
        <v>80.28</v>
      </c>
      <c r="CD9">
        <v>6.17</v>
      </c>
      <c r="CE9" s="187">
        <v>82.52</v>
      </c>
      <c r="CF9" s="214">
        <v>139067</v>
      </c>
      <c r="CG9" s="214">
        <v>80.52</v>
      </c>
      <c r="CH9">
        <v>80.28</v>
      </c>
      <c r="CI9">
        <v>6.17</v>
      </c>
      <c r="CJ9">
        <v>82.52</v>
      </c>
      <c r="CK9">
        <v>139069</v>
      </c>
      <c r="CL9">
        <v>124.98</v>
      </c>
      <c r="CM9">
        <v>74.930000000000007</v>
      </c>
      <c r="CN9" s="187">
        <v>98.05</v>
      </c>
      <c r="CO9">
        <v>219.39</v>
      </c>
      <c r="CP9">
        <v>2234</v>
      </c>
      <c r="CQ9">
        <v>68.489999999999995</v>
      </c>
      <c r="CR9">
        <v>62.5</v>
      </c>
      <c r="CS9" s="187">
        <v>45.31</v>
      </c>
      <c r="CT9">
        <v>113.75</v>
      </c>
      <c r="CU9">
        <v>1630</v>
      </c>
      <c r="CV9">
        <v>84.5</v>
      </c>
      <c r="CW9">
        <v>75.209999999999994</v>
      </c>
      <c r="CX9" s="187">
        <v>48.02</v>
      </c>
      <c r="CY9">
        <v>128.16999999999999</v>
      </c>
      <c r="CZ9">
        <v>11268</v>
      </c>
      <c r="DA9">
        <v>94.67</v>
      </c>
      <c r="DB9">
        <v>89.64</v>
      </c>
      <c r="DC9" s="187">
        <v>46.52</v>
      </c>
      <c r="DD9">
        <v>134.43</v>
      </c>
      <c r="DE9">
        <v>4847</v>
      </c>
      <c r="DF9">
        <v>112.88</v>
      </c>
      <c r="DG9">
        <v>94.7</v>
      </c>
      <c r="DH9" s="187">
        <v>65.02</v>
      </c>
      <c r="DI9">
        <v>168.8</v>
      </c>
      <c r="DJ9">
        <v>300</v>
      </c>
      <c r="DK9">
        <v>132.77000000000001</v>
      </c>
      <c r="DL9">
        <v>99.64</v>
      </c>
      <c r="DM9" s="187">
        <v>73.16</v>
      </c>
      <c r="DN9">
        <v>172.16</v>
      </c>
      <c r="DO9">
        <v>13</v>
      </c>
      <c r="DP9">
        <v>86.29</v>
      </c>
      <c r="DQ9">
        <v>78.23</v>
      </c>
      <c r="DR9" s="187">
        <v>47.65</v>
      </c>
      <c r="DS9">
        <v>129.26</v>
      </c>
      <c r="DT9">
        <v>18058</v>
      </c>
      <c r="DU9">
        <v>90.55</v>
      </c>
      <c r="DV9">
        <v>78.010000000000005</v>
      </c>
      <c r="DW9" s="187">
        <v>53.53</v>
      </c>
      <c r="DX9">
        <v>139.18</v>
      </c>
      <c r="DY9">
        <v>20292</v>
      </c>
      <c r="DZ9">
        <v>75.06</v>
      </c>
      <c r="EA9">
        <v>6</v>
      </c>
      <c r="EB9" s="187">
        <v>85.44</v>
      </c>
      <c r="EC9">
        <v>5</v>
      </c>
      <c r="ED9">
        <v>83.97</v>
      </c>
      <c r="EE9">
        <v>1050</v>
      </c>
      <c r="EF9">
        <v>97.54</v>
      </c>
      <c r="EG9" s="187">
        <v>10762</v>
      </c>
      <c r="EH9">
        <v>106.73</v>
      </c>
      <c r="EI9">
        <v>5389</v>
      </c>
      <c r="EJ9">
        <v>122.5</v>
      </c>
      <c r="EK9">
        <v>374</v>
      </c>
      <c r="EL9" s="187">
        <v>125.43</v>
      </c>
      <c r="EM9">
        <v>11</v>
      </c>
      <c r="EN9">
        <v>110.62</v>
      </c>
      <c r="EO9">
        <v>2</v>
      </c>
      <c r="EP9">
        <v>100.09</v>
      </c>
      <c r="EQ9" s="187">
        <v>17593</v>
      </c>
      <c r="ER9">
        <v>100.08</v>
      </c>
      <c r="ES9">
        <v>17599</v>
      </c>
      <c r="ET9">
        <v>145.68</v>
      </c>
      <c r="EU9">
        <v>19</v>
      </c>
      <c r="EV9" s="187">
        <v>218.34</v>
      </c>
      <c r="EW9">
        <v>26</v>
      </c>
      <c r="EX9">
        <v>182.43</v>
      </c>
      <c r="EY9">
        <v>556</v>
      </c>
      <c r="EZ9">
        <v>155.94999999999999</v>
      </c>
      <c r="FA9" s="187">
        <v>1324</v>
      </c>
      <c r="FB9">
        <v>143.03</v>
      </c>
      <c r="FC9">
        <v>32</v>
      </c>
      <c r="FD9">
        <v>0</v>
      </c>
      <c r="FE9">
        <v>0</v>
      </c>
      <c r="FF9" s="187">
        <v>164.17</v>
      </c>
      <c r="FG9">
        <v>1938</v>
      </c>
      <c r="FH9">
        <v>163.99</v>
      </c>
      <c r="FI9">
        <v>1957</v>
      </c>
      <c r="FJ9">
        <v>658</v>
      </c>
      <c r="FK9" s="187">
        <v>590</v>
      </c>
      <c r="FL9">
        <v>84</v>
      </c>
      <c r="FM9">
        <v>194</v>
      </c>
      <c r="FN9">
        <v>89</v>
      </c>
    </row>
    <row r="10" spans="1:170" x14ac:dyDescent="0.35">
      <c r="A10" t="s">
        <v>418</v>
      </c>
      <c r="B10" t="s">
        <v>418</v>
      </c>
      <c r="C10" t="s">
        <v>418</v>
      </c>
      <c r="D10">
        <v>433492</v>
      </c>
      <c r="E10">
        <v>432467</v>
      </c>
      <c r="F10">
        <v>138</v>
      </c>
      <c r="G10">
        <v>55</v>
      </c>
      <c r="H10">
        <v>24149</v>
      </c>
      <c r="I10">
        <v>14580</v>
      </c>
      <c r="J10">
        <v>51691</v>
      </c>
      <c r="K10">
        <v>51815</v>
      </c>
      <c r="L10">
        <v>18996</v>
      </c>
      <c r="M10">
        <v>215</v>
      </c>
      <c r="N10">
        <v>528466</v>
      </c>
      <c r="O10">
        <v>499132</v>
      </c>
      <c r="P10">
        <v>509470</v>
      </c>
      <c r="Q10">
        <v>786</v>
      </c>
      <c r="R10">
        <v>146</v>
      </c>
      <c r="S10">
        <v>72</v>
      </c>
      <c r="T10">
        <v>16684</v>
      </c>
      <c r="U10">
        <v>511782</v>
      </c>
      <c r="V10" s="498">
        <v>423998</v>
      </c>
      <c r="W10">
        <v>2673</v>
      </c>
      <c r="X10" s="498">
        <v>2819</v>
      </c>
      <c r="Y10" s="498">
        <v>5492</v>
      </c>
      <c r="Z10" s="498">
        <v>84.84</v>
      </c>
      <c r="AA10" s="498">
        <v>83.93</v>
      </c>
      <c r="AB10">
        <v>5.14</v>
      </c>
      <c r="AC10">
        <v>87.75</v>
      </c>
      <c r="AD10">
        <v>367778</v>
      </c>
      <c r="AE10">
        <v>87.83</v>
      </c>
      <c r="AF10">
        <v>78.209999999999994</v>
      </c>
      <c r="AG10">
        <v>41.84</v>
      </c>
      <c r="AH10">
        <v>127.17</v>
      </c>
      <c r="AI10">
        <v>66221</v>
      </c>
      <c r="AJ10">
        <v>107.86</v>
      </c>
      <c r="AK10">
        <v>54513</v>
      </c>
      <c r="AL10">
        <v>167.18</v>
      </c>
      <c r="AM10">
        <v>2757</v>
      </c>
      <c r="AN10">
        <v>54.59</v>
      </c>
      <c r="AO10" s="499">
        <v>60.52</v>
      </c>
      <c r="AP10" s="499">
        <v>17.82</v>
      </c>
      <c r="AQ10">
        <v>61.24</v>
      </c>
      <c r="AR10">
        <v>59</v>
      </c>
      <c r="AS10">
        <v>63.27</v>
      </c>
      <c r="AT10">
        <v>63.62</v>
      </c>
      <c r="AU10">
        <v>12.11</v>
      </c>
      <c r="AV10">
        <v>73.81</v>
      </c>
      <c r="AW10">
        <v>1675</v>
      </c>
      <c r="AX10">
        <v>72.63</v>
      </c>
      <c r="AY10">
        <v>71.48</v>
      </c>
      <c r="AZ10">
        <v>6.84</v>
      </c>
      <c r="BA10">
        <v>78.23</v>
      </c>
      <c r="BB10">
        <v>85198</v>
      </c>
      <c r="BC10">
        <v>83.11</v>
      </c>
      <c r="BD10">
        <v>82.02</v>
      </c>
      <c r="BE10">
        <v>5.74</v>
      </c>
      <c r="BF10">
        <v>86.5</v>
      </c>
      <c r="BG10">
        <v>127094</v>
      </c>
      <c r="BH10">
        <v>92.53</v>
      </c>
      <c r="BI10">
        <v>91.88</v>
      </c>
      <c r="BJ10">
        <v>2.31</v>
      </c>
      <c r="BK10">
        <v>93.46</v>
      </c>
      <c r="BL10" s="214">
        <v>140646</v>
      </c>
      <c r="BM10" s="214">
        <v>100.67</v>
      </c>
      <c r="BN10">
        <v>100.06</v>
      </c>
      <c r="BO10" s="187">
        <v>2.41</v>
      </c>
      <c r="BP10" s="214">
        <v>101.63</v>
      </c>
      <c r="BQ10" s="214">
        <v>12107</v>
      </c>
      <c r="BR10">
        <v>108.82</v>
      </c>
      <c r="BS10" s="187">
        <v>109.47</v>
      </c>
      <c r="BT10" s="214">
        <v>2.6</v>
      </c>
      <c r="BU10" s="214">
        <v>109.93</v>
      </c>
      <c r="BV10">
        <v>792</v>
      </c>
      <c r="BW10">
        <v>117.39</v>
      </c>
      <c r="BX10" s="214">
        <v>120.37</v>
      </c>
      <c r="BY10" s="214">
        <v>2.66</v>
      </c>
      <c r="BZ10">
        <v>118.75</v>
      </c>
      <c r="CA10" s="187">
        <v>207</v>
      </c>
      <c r="CB10" s="214">
        <v>84.85</v>
      </c>
      <c r="CC10" s="214">
        <v>83.93</v>
      </c>
      <c r="CD10">
        <v>5.14</v>
      </c>
      <c r="CE10" s="187">
        <v>87.75</v>
      </c>
      <c r="CF10" s="214">
        <v>367719</v>
      </c>
      <c r="CG10" s="214">
        <v>84.84</v>
      </c>
      <c r="CH10">
        <v>83.93</v>
      </c>
      <c r="CI10">
        <v>5.14</v>
      </c>
      <c r="CJ10">
        <v>87.75</v>
      </c>
      <c r="CK10">
        <v>367778</v>
      </c>
      <c r="CL10">
        <v>109.33</v>
      </c>
      <c r="CM10">
        <v>75.34</v>
      </c>
      <c r="CN10" s="187">
        <v>79.790000000000006</v>
      </c>
      <c r="CO10">
        <v>181.89</v>
      </c>
      <c r="CP10">
        <v>6592</v>
      </c>
      <c r="CQ10">
        <v>72.8</v>
      </c>
      <c r="CR10">
        <v>68.83</v>
      </c>
      <c r="CS10" s="187">
        <v>45.57</v>
      </c>
      <c r="CT10">
        <v>115.83</v>
      </c>
      <c r="CU10">
        <v>5480</v>
      </c>
      <c r="CV10">
        <v>84.29</v>
      </c>
      <c r="CW10">
        <v>76.88</v>
      </c>
      <c r="CX10" s="187">
        <v>35.75</v>
      </c>
      <c r="CY10">
        <v>118.29</v>
      </c>
      <c r="CZ10">
        <v>44750</v>
      </c>
      <c r="DA10">
        <v>97.35</v>
      </c>
      <c r="DB10">
        <v>91.89</v>
      </c>
      <c r="DC10" s="187">
        <v>41.37</v>
      </c>
      <c r="DD10">
        <v>135.11000000000001</v>
      </c>
      <c r="DE10">
        <v>8700</v>
      </c>
      <c r="DF10">
        <v>108.5</v>
      </c>
      <c r="DG10">
        <v>95.89</v>
      </c>
      <c r="DH10" s="187">
        <v>64.89</v>
      </c>
      <c r="DI10">
        <v>163.82</v>
      </c>
      <c r="DJ10">
        <v>651</v>
      </c>
      <c r="DK10">
        <v>147.21</v>
      </c>
      <c r="DL10">
        <v>116.46</v>
      </c>
      <c r="DM10" s="187">
        <v>120.38</v>
      </c>
      <c r="DN10">
        <v>247.53</v>
      </c>
      <c r="DO10">
        <v>48</v>
      </c>
      <c r="DP10">
        <v>85.46</v>
      </c>
      <c r="DQ10">
        <v>78.39</v>
      </c>
      <c r="DR10" s="187">
        <v>37.79</v>
      </c>
      <c r="DS10">
        <v>121.12</v>
      </c>
      <c r="DT10">
        <v>59629</v>
      </c>
      <c r="DU10">
        <v>87.83</v>
      </c>
      <c r="DV10">
        <v>78.209999999999994</v>
      </c>
      <c r="DW10" s="187">
        <v>41.84</v>
      </c>
      <c r="DX10">
        <v>127.17</v>
      </c>
      <c r="DY10">
        <v>66221</v>
      </c>
      <c r="DZ10">
        <v>59.68</v>
      </c>
      <c r="EA10">
        <v>26</v>
      </c>
      <c r="EB10" s="187">
        <v>81.19</v>
      </c>
      <c r="EC10">
        <v>5</v>
      </c>
      <c r="ED10">
        <v>91.3</v>
      </c>
      <c r="EE10">
        <v>6664</v>
      </c>
      <c r="EF10">
        <v>105.45</v>
      </c>
      <c r="EG10" s="187">
        <v>25784</v>
      </c>
      <c r="EH10">
        <v>114.28</v>
      </c>
      <c r="EI10">
        <v>20206</v>
      </c>
      <c r="EJ10">
        <v>131.19999999999999</v>
      </c>
      <c r="EK10">
        <v>1722</v>
      </c>
      <c r="EL10" s="187">
        <v>138.27000000000001</v>
      </c>
      <c r="EM10">
        <v>94</v>
      </c>
      <c r="EN10">
        <v>196.63</v>
      </c>
      <c r="EO10">
        <v>12</v>
      </c>
      <c r="EP10">
        <v>107.88</v>
      </c>
      <c r="EQ10" s="187">
        <v>54487</v>
      </c>
      <c r="ER10">
        <v>107.86</v>
      </c>
      <c r="ES10">
        <v>54513</v>
      </c>
      <c r="ET10">
        <v>235.14</v>
      </c>
      <c r="EU10">
        <v>56</v>
      </c>
      <c r="EV10" s="187">
        <v>199.74</v>
      </c>
      <c r="EW10">
        <v>64</v>
      </c>
      <c r="EX10">
        <v>167.44</v>
      </c>
      <c r="EY10">
        <v>1419</v>
      </c>
      <c r="EZ10">
        <v>161.87</v>
      </c>
      <c r="FA10" s="187">
        <v>1212</v>
      </c>
      <c r="FB10">
        <v>196.87</v>
      </c>
      <c r="FC10">
        <v>6</v>
      </c>
      <c r="FD10">
        <v>0</v>
      </c>
      <c r="FE10">
        <v>0</v>
      </c>
      <c r="FF10" s="187">
        <v>165.77</v>
      </c>
      <c r="FG10">
        <v>2701</v>
      </c>
      <c r="FH10">
        <v>167.18</v>
      </c>
      <c r="FI10">
        <v>2757</v>
      </c>
      <c r="FJ10">
        <v>700</v>
      </c>
      <c r="FK10" s="187">
        <v>1928</v>
      </c>
      <c r="FL10">
        <v>274</v>
      </c>
      <c r="FM10">
        <v>1451</v>
      </c>
      <c r="FN10">
        <v>447</v>
      </c>
    </row>
    <row r="11" spans="1:170" x14ac:dyDescent="0.35">
      <c r="A11" t="s">
        <v>2</v>
      </c>
      <c r="B11" t="s">
        <v>2</v>
      </c>
      <c r="C11" t="s">
        <v>2</v>
      </c>
      <c r="D11">
        <v>308243</v>
      </c>
      <c r="E11">
        <v>302023</v>
      </c>
      <c r="F11">
        <v>1143</v>
      </c>
      <c r="G11">
        <v>743</v>
      </c>
      <c r="H11">
        <v>15721</v>
      </c>
      <c r="I11">
        <v>8404</v>
      </c>
      <c r="J11">
        <v>39365</v>
      </c>
      <c r="K11">
        <v>35375</v>
      </c>
      <c r="L11">
        <v>51691</v>
      </c>
      <c r="M11">
        <v>6017</v>
      </c>
      <c r="N11">
        <v>416163</v>
      </c>
      <c r="O11">
        <v>352562</v>
      </c>
      <c r="P11">
        <v>364472</v>
      </c>
      <c r="Q11">
        <v>1278</v>
      </c>
      <c r="R11">
        <v>223</v>
      </c>
      <c r="S11">
        <v>98</v>
      </c>
      <c r="T11">
        <v>17476</v>
      </c>
      <c r="U11">
        <v>398687</v>
      </c>
      <c r="V11" s="498">
        <v>301173</v>
      </c>
      <c r="W11">
        <v>2463</v>
      </c>
      <c r="X11" s="498">
        <v>1526</v>
      </c>
      <c r="Y11" s="498">
        <v>3989</v>
      </c>
      <c r="Z11" s="498">
        <v>111.3</v>
      </c>
      <c r="AA11" s="498">
        <v>109.3</v>
      </c>
      <c r="AB11">
        <v>6.67</v>
      </c>
      <c r="AC11">
        <v>115.53</v>
      </c>
      <c r="AD11">
        <v>246308</v>
      </c>
      <c r="AE11">
        <v>101.9</v>
      </c>
      <c r="AF11">
        <v>92.58</v>
      </c>
      <c r="AG11">
        <v>40.29</v>
      </c>
      <c r="AH11">
        <v>140.44</v>
      </c>
      <c r="AI11">
        <v>43751</v>
      </c>
      <c r="AJ11">
        <v>164.11</v>
      </c>
      <c r="AK11">
        <v>50949</v>
      </c>
      <c r="AL11">
        <v>188.49</v>
      </c>
      <c r="AM11">
        <v>2023</v>
      </c>
      <c r="AN11">
        <v>92.98</v>
      </c>
      <c r="AO11" s="499">
        <v>76.989999999999995</v>
      </c>
      <c r="AP11" s="499">
        <v>34.08</v>
      </c>
      <c r="AQ11">
        <v>125.55</v>
      </c>
      <c r="AR11">
        <v>113</v>
      </c>
      <c r="AS11">
        <v>79.349999999999994</v>
      </c>
      <c r="AT11">
        <v>75.88</v>
      </c>
      <c r="AU11">
        <v>9.9700000000000006</v>
      </c>
      <c r="AV11">
        <v>88.49</v>
      </c>
      <c r="AW11">
        <v>3002</v>
      </c>
      <c r="AX11">
        <v>93.19</v>
      </c>
      <c r="AY11">
        <v>91.09</v>
      </c>
      <c r="AZ11">
        <v>8.73</v>
      </c>
      <c r="BA11">
        <v>100.56</v>
      </c>
      <c r="BB11">
        <v>53239</v>
      </c>
      <c r="BC11">
        <v>108.83</v>
      </c>
      <c r="BD11">
        <v>106.4</v>
      </c>
      <c r="BE11">
        <v>7.46</v>
      </c>
      <c r="BF11">
        <v>113.96</v>
      </c>
      <c r="BG11">
        <v>92340</v>
      </c>
      <c r="BH11">
        <v>123.26</v>
      </c>
      <c r="BI11">
        <v>121.7</v>
      </c>
      <c r="BJ11">
        <v>3.21</v>
      </c>
      <c r="BK11">
        <v>124.71</v>
      </c>
      <c r="BL11" s="214">
        <v>89539</v>
      </c>
      <c r="BM11" s="214">
        <v>137.69</v>
      </c>
      <c r="BN11">
        <v>136.63</v>
      </c>
      <c r="BO11" s="187">
        <v>3.31</v>
      </c>
      <c r="BP11" s="214">
        <v>139.53</v>
      </c>
      <c r="BQ11" s="214">
        <v>7685</v>
      </c>
      <c r="BR11">
        <v>150.53</v>
      </c>
      <c r="BS11" s="187">
        <v>152.27000000000001</v>
      </c>
      <c r="BT11" s="214">
        <v>2.97</v>
      </c>
      <c r="BU11" s="214">
        <v>152.1</v>
      </c>
      <c r="BV11">
        <v>338</v>
      </c>
      <c r="BW11">
        <v>157.51</v>
      </c>
      <c r="BX11" s="214">
        <v>161.44</v>
      </c>
      <c r="BY11" s="214">
        <v>10.09</v>
      </c>
      <c r="BZ11">
        <v>160.81</v>
      </c>
      <c r="CA11" s="187">
        <v>52</v>
      </c>
      <c r="CB11" s="214">
        <v>111.3</v>
      </c>
      <c r="CC11" s="214">
        <v>109.31</v>
      </c>
      <c r="CD11">
        <v>6.65</v>
      </c>
      <c r="CE11" s="187">
        <v>115.52</v>
      </c>
      <c r="CF11" s="214">
        <v>246195</v>
      </c>
      <c r="CG11" s="214">
        <v>111.3</v>
      </c>
      <c r="CH11">
        <v>109.3</v>
      </c>
      <c r="CI11">
        <v>6.67</v>
      </c>
      <c r="CJ11">
        <v>115.53</v>
      </c>
      <c r="CK11">
        <v>246308</v>
      </c>
      <c r="CL11">
        <v>110.09</v>
      </c>
      <c r="CM11">
        <v>83.67</v>
      </c>
      <c r="CN11" s="187">
        <v>91.02</v>
      </c>
      <c r="CO11">
        <v>190.76</v>
      </c>
      <c r="CP11">
        <v>5031</v>
      </c>
      <c r="CQ11">
        <v>81.849999999999994</v>
      </c>
      <c r="CR11">
        <v>77.36</v>
      </c>
      <c r="CS11" s="187">
        <v>37.299999999999997</v>
      </c>
      <c r="CT11">
        <v>117.65</v>
      </c>
      <c r="CU11">
        <v>4517</v>
      </c>
      <c r="CV11">
        <v>100.47</v>
      </c>
      <c r="CW11">
        <v>92.82</v>
      </c>
      <c r="CX11" s="187">
        <v>34.21</v>
      </c>
      <c r="CY11">
        <v>133.65</v>
      </c>
      <c r="CZ11">
        <v>28751</v>
      </c>
      <c r="DA11">
        <v>118.12</v>
      </c>
      <c r="DB11">
        <v>110.16</v>
      </c>
      <c r="DC11" s="187">
        <v>31.86</v>
      </c>
      <c r="DD11">
        <v>148.5</v>
      </c>
      <c r="DE11">
        <v>5164</v>
      </c>
      <c r="DF11">
        <v>124.57</v>
      </c>
      <c r="DG11">
        <v>118.61</v>
      </c>
      <c r="DH11" s="187">
        <v>30.07</v>
      </c>
      <c r="DI11">
        <v>150.13999999999999</v>
      </c>
      <c r="DJ11">
        <v>267</v>
      </c>
      <c r="DK11">
        <v>144.07</v>
      </c>
      <c r="DL11">
        <v>128.02000000000001</v>
      </c>
      <c r="DM11" s="187">
        <v>53.84</v>
      </c>
      <c r="DN11">
        <v>177.4</v>
      </c>
      <c r="DO11">
        <v>21</v>
      </c>
      <c r="DP11">
        <v>100.84</v>
      </c>
      <c r="DQ11">
        <v>93.46</v>
      </c>
      <c r="DR11" s="187">
        <v>34.24</v>
      </c>
      <c r="DS11">
        <v>133.9</v>
      </c>
      <c r="DT11">
        <v>38720</v>
      </c>
      <c r="DU11">
        <v>101.9</v>
      </c>
      <c r="DV11">
        <v>92.58</v>
      </c>
      <c r="DW11" s="187">
        <v>40.29</v>
      </c>
      <c r="DX11">
        <v>140.44</v>
      </c>
      <c r="DY11">
        <v>43751</v>
      </c>
      <c r="DZ11">
        <v>0</v>
      </c>
      <c r="EA11">
        <v>0</v>
      </c>
      <c r="EB11" s="187">
        <v>115.04</v>
      </c>
      <c r="EC11">
        <v>105</v>
      </c>
      <c r="ED11">
        <v>132.49</v>
      </c>
      <c r="EE11">
        <v>11951</v>
      </c>
      <c r="EF11">
        <v>163.01</v>
      </c>
      <c r="EG11" s="187">
        <v>25176</v>
      </c>
      <c r="EH11">
        <v>188.14</v>
      </c>
      <c r="EI11">
        <v>11827</v>
      </c>
      <c r="EJ11">
        <v>231.25</v>
      </c>
      <c r="EK11">
        <v>1863</v>
      </c>
      <c r="EL11" s="187">
        <v>215.75</v>
      </c>
      <c r="EM11">
        <v>26</v>
      </c>
      <c r="EN11">
        <v>316.68</v>
      </c>
      <c r="EO11">
        <v>1</v>
      </c>
      <c r="EP11">
        <v>164.11</v>
      </c>
      <c r="EQ11" s="187">
        <v>50949</v>
      </c>
      <c r="ER11">
        <v>164.11</v>
      </c>
      <c r="ES11">
        <v>50949</v>
      </c>
      <c r="ET11">
        <v>258.38</v>
      </c>
      <c r="EU11">
        <v>161</v>
      </c>
      <c r="EV11" s="187">
        <v>184.74</v>
      </c>
      <c r="EW11">
        <v>217</v>
      </c>
      <c r="EX11">
        <v>171.53</v>
      </c>
      <c r="EY11">
        <v>1176</v>
      </c>
      <c r="EZ11">
        <v>208.87</v>
      </c>
      <c r="FA11" s="187">
        <v>467</v>
      </c>
      <c r="FB11">
        <v>185.95</v>
      </c>
      <c r="FC11">
        <v>2</v>
      </c>
      <c r="FD11">
        <v>0</v>
      </c>
      <c r="FE11">
        <v>0</v>
      </c>
      <c r="FF11" s="187">
        <v>182.45</v>
      </c>
      <c r="FG11">
        <v>1862</v>
      </c>
      <c r="FH11">
        <v>188.49</v>
      </c>
      <c r="FI11">
        <v>2023</v>
      </c>
      <c r="FJ11">
        <v>2001</v>
      </c>
      <c r="FK11" s="187">
        <v>239</v>
      </c>
      <c r="FL11">
        <v>374</v>
      </c>
      <c r="FM11">
        <v>4245</v>
      </c>
      <c r="FN11">
        <v>1252</v>
      </c>
    </row>
    <row r="12" spans="1:170" x14ac:dyDescent="0.35">
      <c r="A12" t="s">
        <v>419</v>
      </c>
      <c r="B12" t="s">
        <v>419</v>
      </c>
      <c r="C12" t="s">
        <v>419</v>
      </c>
      <c r="D12">
        <v>203240</v>
      </c>
      <c r="E12">
        <v>198259</v>
      </c>
      <c r="F12">
        <v>217</v>
      </c>
      <c r="G12">
        <v>180</v>
      </c>
      <c r="H12">
        <v>14528</v>
      </c>
      <c r="I12">
        <v>10432</v>
      </c>
      <c r="J12">
        <v>30014</v>
      </c>
      <c r="K12">
        <v>27702</v>
      </c>
      <c r="L12">
        <v>24712</v>
      </c>
      <c r="M12">
        <v>837</v>
      </c>
      <c r="N12">
        <v>272711</v>
      </c>
      <c r="O12">
        <v>237410</v>
      </c>
      <c r="P12">
        <v>247999</v>
      </c>
      <c r="Q12">
        <v>341</v>
      </c>
      <c r="R12">
        <v>138</v>
      </c>
      <c r="S12">
        <v>75</v>
      </c>
      <c r="T12">
        <v>11653</v>
      </c>
      <c r="U12">
        <v>261058</v>
      </c>
      <c r="V12" s="498">
        <v>197287</v>
      </c>
      <c r="W12">
        <v>1117</v>
      </c>
      <c r="X12" s="498">
        <v>1229</v>
      </c>
      <c r="Y12" s="498">
        <v>2346</v>
      </c>
      <c r="Z12" s="498">
        <v>95.43</v>
      </c>
      <c r="AA12" s="498">
        <v>93.54</v>
      </c>
      <c r="AB12">
        <v>5.12</v>
      </c>
      <c r="AC12">
        <v>98.97</v>
      </c>
      <c r="AD12">
        <v>165411</v>
      </c>
      <c r="AE12">
        <v>90.48</v>
      </c>
      <c r="AF12">
        <v>83.83</v>
      </c>
      <c r="AG12">
        <v>36.42</v>
      </c>
      <c r="AH12">
        <v>125.8</v>
      </c>
      <c r="AI12">
        <v>37394</v>
      </c>
      <c r="AJ12">
        <v>128.41999999999999</v>
      </c>
      <c r="AK12">
        <v>29809</v>
      </c>
      <c r="AL12">
        <v>147.66999999999999</v>
      </c>
      <c r="AM12">
        <v>1816</v>
      </c>
      <c r="AN12">
        <v>64.94</v>
      </c>
      <c r="AO12" s="499">
        <v>62.83</v>
      </c>
      <c r="AP12" s="499">
        <v>33.94</v>
      </c>
      <c r="AQ12">
        <v>97.09</v>
      </c>
      <c r="AR12">
        <v>38</v>
      </c>
      <c r="AS12">
        <v>67.31</v>
      </c>
      <c r="AT12">
        <v>65.290000000000006</v>
      </c>
      <c r="AU12">
        <v>10.55</v>
      </c>
      <c r="AV12">
        <v>77.260000000000005</v>
      </c>
      <c r="AW12">
        <v>1505</v>
      </c>
      <c r="AX12">
        <v>80.180000000000007</v>
      </c>
      <c r="AY12">
        <v>78.349999999999994</v>
      </c>
      <c r="AZ12">
        <v>7.68</v>
      </c>
      <c r="BA12">
        <v>86.81</v>
      </c>
      <c r="BB12">
        <v>33438</v>
      </c>
      <c r="BC12">
        <v>93.53</v>
      </c>
      <c r="BD12">
        <v>91.51</v>
      </c>
      <c r="BE12">
        <v>5.4</v>
      </c>
      <c r="BF12">
        <v>97.5</v>
      </c>
      <c r="BG12">
        <v>67238</v>
      </c>
      <c r="BH12">
        <v>104.85</v>
      </c>
      <c r="BI12">
        <v>103.09</v>
      </c>
      <c r="BJ12">
        <v>2.31</v>
      </c>
      <c r="BK12">
        <v>106.1</v>
      </c>
      <c r="BL12" s="214">
        <v>57706</v>
      </c>
      <c r="BM12" s="214">
        <v>120.03</v>
      </c>
      <c r="BN12">
        <v>117.88</v>
      </c>
      <c r="BO12" s="187">
        <v>2.4</v>
      </c>
      <c r="BP12" s="214">
        <v>121.51</v>
      </c>
      <c r="BQ12" s="214">
        <v>5185</v>
      </c>
      <c r="BR12">
        <v>129.41</v>
      </c>
      <c r="BS12" s="187">
        <v>128.13</v>
      </c>
      <c r="BT12" s="214">
        <v>2.08</v>
      </c>
      <c r="BU12" s="214">
        <v>130.4</v>
      </c>
      <c r="BV12">
        <v>249</v>
      </c>
      <c r="BW12">
        <v>136.88</v>
      </c>
      <c r="BX12" s="214">
        <v>135.94999999999999</v>
      </c>
      <c r="BY12" s="214">
        <v>3.08</v>
      </c>
      <c r="BZ12">
        <v>138.01</v>
      </c>
      <c r="CA12" s="187">
        <v>52</v>
      </c>
      <c r="CB12" s="214">
        <v>95.44</v>
      </c>
      <c r="CC12" s="214">
        <v>93.55</v>
      </c>
      <c r="CD12">
        <v>5.1100000000000003</v>
      </c>
      <c r="CE12" s="187">
        <v>98.97</v>
      </c>
      <c r="CF12" s="214">
        <v>165373</v>
      </c>
      <c r="CG12" s="214">
        <v>95.43</v>
      </c>
      <c r="CH12">
        <v>93.54</v>
      </c>
      <c r="CI12">
        <v>5.12</v>
      </c>
      <c r="CJ12">
        <v>98.97</v>
      </c>
      <c r="CK12">
        <v>165411</v>
      </c>
      <c r="CL12">
        <v>89.05</v>
      </c>
      <c r="CM12">
        <v>72.459999999999994</v>
      </c>
      <c r="CN12" s="187">
        <v>107.9</v>
      </c>
      <c r="CO12">
        <v>186.58</v>
      </c>
      <c r="CP12">
        <v>4233</v>
      </c>
      <c r="CQ12">
        <v>81.59</v>
      </c>
      <c r="CR12">
        <v>73.319999999999993</v>
      </c>
      <c r="CS12" s="187">
        <v>43.95</v>
      </c>
      <c r="CT12">
        <v>124.76</v>
      </c>
      <c r="CU12">
        <v>1889</v>
      </c>
      <c r="CV12">
        <v>88.08</v>
      </c>
      <c r="CW12">
        <v>82.1</v>
      </c>
      <c r="CX12" s="187">
        <v>28.18</v>
      </c>
      <c r="CY12">
        <v>115.68</v>
      </c>
      <c r="CZ12">
        <v>24752</v>
      </c>
      <c r="DA12">
        <v>102.56</v>
      </c>
      <c r="DB12">
        <v>98.16</v>
      </c>
      <c r="DC12" s="187">
        <v>22.38</v>
      </c>
      <c r="DD12">
        <v>124.42</v>
      </c>
      <c r="DE12">
        <v>6320</v>
      </c>
      <c r="DF12">
        <v>116.63</v>
      </c>
      <c r="DG12">
        <v>105.23</v>
      </c>
      <c r="DH12" s="187">
        <v>31.13</v>
      </c>
      <c r="DI12">
        <v>144.4</v>
      </c>
      <c r="DJ12">
        <v>185</v>
      </c>
      <c r="DK12">
        <v>141.13999999999999</v>
      </c>
      <c r="DL12">
        <v>116.22</v>
      </c>
      <c r="DM12" s="187">
        <v>28.81</v>
      </c>
      <c r="DN12">
        <v>160.35</v>
      </c>
      <c r="DO12">
        <v>15</v>
      </c>
      <c r="DP12">
        <v>90.66</v>
      </c>
      <c r="DQ12">
        <v>84.87</v>
      </c>
      <c r="DR12" s="187">
        <v>27.99</v>
      </c>
      <c r="DS12">
        <v>118.04</v>
      </c>
      <c r="DT12">
        <v>33161</v>
      </c>
      <c r="DU12">
        <v>90.48</v>
      </c>
      <c r="DV12">
        <v>83.83</v>
      </c>
      <c r="DW12" s="187">
        <v>36.42</v>
      </c>
      <c r="DX12">
        <v>125.8</v>
      </c>
      <c r="DY12">
        <v>37394</v>
      </c>
      <c r="DZ12">
        <v>141.11000000000001</v>
      </c>
      <c r="EA12">
        <v>12</v>
      </c>
      <c r="EB12" s="187">
        <v>94.41</v>
      </c>
      <c r="EC12">
        <v>92</v>
      </c>
      <c r="ED12">
        <v>103.73</v>
      </c>
      <c r="EE12">
        <v>6370</v>
      </c>
      <c r="EF12">
        <v>125.72</v>
      </c>
      <c r="EG12" s="187">
        <v>14251</v>
      </c>
      <c r="EH12">
        <v>146.63999999999999</v>
      </c>
      <c r="EI12">
        <v>8041</v>
      </c>
      <c r="EJ12">
        <v>178.44</v>
      </c>
      <c r="EK12">
        <v>1011</v>
      </c>
      <c r="EL12" s="187">
        <v>180.85</v>
      </c>
      <c r="EM12">
        <v>29</v>
      </c>
      <c r="EN12">
        <v>201.21</v>
      </c>
      <c r="EO12">
        <v>3</v>
      </c>
      <c r="EP12">
        <v>128.41999999999999</v>
      </c>
      <c r="EQ12" s="187">
        <v>29797</v>
      </c>
      <c r="ER12">
        <v>128.41999999999999</v>
      </c>
      <c r="ES12">
        <v>29809</v>
      </c>
      <c r="ET12">
        <v>251.12</v>
      </c>
      <c r="EU12">
        <v>231</v>
      </c>
      <c r="EV12" s="187">
        <v>227.54</v>
      </c>
      <c r="EW12">
        <v>45</v>
      </c>
      <c r="EX12">
        <v>120.23</v>
      </c>
      <c r="EY12">
        <v>1145</v>
      </c>
      <c r="EZ12">
        <v>157.56</v>
      </c>
      <c r="FA12" s="187">
        <v>393</v>
      </c>
      <c r="FB12">
        <v>172.97</v>
      </c>
      <c r="FC12">
        <v>2</v>
      </c>
      <c r="FD12">
        <v>0</v>
      </c>
      <c r="FE12">
        <v>0</v>
      </c>
      <c r="FF12" s="187">
        <v>132.6</v>
      </c>
      <c r="FG12">
        <v>1585</v>
      </c>
      <c r="FH12">
        <v>147.66999999999999</v>
      </c>
      <c r="FI12">
        <v>1816</v>
      </c>
      <c r="FJ12">
        <v>220</v>
      </c>
      <c r="FK12" s="187">
        <v>337</v>
      </c>
      <c r="FL12">
        <v>503</v>
      </c>
      <c r="FM12">
        <v>2017</v>
      </c>
      <c r="FN12">
        <v>595</v>
      </c>
    </row>
    <row r="13" spans="1:170" x14ac:dyDescent="0.35">
      <c r="A13" t="s">
        <v>420</v>
      </c>
      <c r="B13" t="s">
        <v>420</v>
      </c>
      <c r="C13" t="s">
        <v>420</v>
      </c>
      <c r="D13">
        <v>227342</v>
      </c>
      <c r="E13">
        <v>225322</v>
      </c>
      <c r="F13">
        <v>401</v>
      </c>
      <c r="G13">
        <v>117</v>
      </c>
      <c r="H13">
        <v>17290</v>
      </c>
      <c r="I13">
        <v>8135</v>
      </c>
      <c r="J13">
        <v>27737</v>
      </c>
      <c r="K13">
        <v>25077</v>
      </c>
      <c r="L13">
        <v>19142</v>
      </c>
      <c r="M13">
        <v>1638</v>
      </c>
      <c r="N13">
        <v>291912</v>
      </c>
      <c r="O13">
        <v>260289</v>
      </c>
      <c r="P13">
        <v>272770</v>
      </c>
      <c r="Q13">
        <v>470</v>
      </c>
      <c r="R13">
        <v>127</v>
      </c>
      <c r="S13">
        <v>71</v>
      </c>
      <c r="T13">
        <v>11711</v>
      </c>
      <c r="U13">
        <v>280201</v>
      </c>
      <c r="V13" s="498">
        <v>223565</v>
      </c>
      <c r="W13">
        <v>2071</v>
      </c>
      <c r="X13" s="498">
        <v>1281</v>
      </c>
      <c r="Y13" s="498">
        <v>3352</v>
      </c>
      <c r="Z13" s="498">
        <v>91.42</v>
      </c>
      <c r="AA13" s="498">
        <v>90.05</v>
      </c>
      <c r="AB13">
        <v>6.36</v>
      </c>
      <c r="AC13">
        <v>95.72</v>
      </c>
      <c r="AD13">
        <v>195401</v>
      </c>
      <c r="AE13">
        <v>92.01</v>
      </c>
      <c r="AF13">
        <v>83.53</v>
      </c>
      <c r="AG13">
        <v>54.38</v>
      </c>
      <c r="AH13">
        <v>145.04</v>
      </c>
      <c r="AI13">
        <v>35309</v>
      </c>
      <c r="AJ13">
        <v>116.6</v>
      </c>
      <c r="AK13">
        <v>25682</v>
      </c>
      <c r="AL13">
        <v>199.38</v>
      </c>
      <c r="AM13">
        <v>2328</v>
      </c>
      <c r="AN13">
        <v>72.33</v>
      </c>
      <c r="AO13" s="499">
        <v>71.430000000000007</v>
      </c>
      <c r="AP13" s="499">
        <v>22.15</v>
      </c>
      <c r="AQ13">
        <v>85.36</v>
      </c>
      <c r="AR13">
        <v>34</v>
      </c>
      <c r="AS13">
        <v>67.14</v>
      </c>
      <c r="AT13">
        <v>66.290000000000006</v>
      </c>
      <c r="AU13">
        <v>11.35</v>
      </c>
      <c r="AV13">
        <v>78.23</v>
      </c>
      <c r="AW13">
        <v>2464</v>
      </c>
      <c r="AX13">
        <v>78.3</v>
      </c>
      <c r="AY13">
        <v>76.650000000000006</v>
      </c>
      <c r="AZ13">
        <v>8.7100000000000009</v>
      </c>
      <c r="BA13">
        <v>86.01</v>
      </c>
      <c r="BB13">
        <v>44423</v>
      </c>
      <c r="BC13">
        <v>90.18</v>
      </c>
      <c r="BD13">
        <v>88.52</v>
      </c>
      <c r="BE13">
        <v>6.83</v>
      </c>
      <c r="BF13">
        <v>95.14</v>
      </c>
      <c r="BG13">
        <v>75461</v>
      </c>
      <c r="BH13">
        <v>99.9</v>
      </c>
      <c r="BI13">
        <v>99.01</v>
      </c>
      <c r="BJ13">
        <v>2.72</v>
      </c>
      <c r="BK13">
        <v>101.18</v>
      </c>
      <c r="BL13" s="214">
        <v>65693</v>
      </c>
      <c r="BM13" s="214">
        <v>114.77</v>
      </c>
      <c r="BN13">
        <v>113.51</v>
      </c>
      <c r="BO13" s="187">
        <v>2.57</v>
      </c>
      <c r="BP13" s="214">
        <v>116.28</v>
      </c>
      <c r="BQ13" s="214">
        <v>6530</v>
      </c>
      <c r="BR13">
        <v>122.68</v>
      </c>
      <c r="BS13" s="187">
        <v>122.25</v>
      </c>
      <c r="BT13" s="214">
        <v>2.6</v>
      </c>
      <c r="BU13" s="214">
        <v>124.31</v>
      </c>
      <c r="BV13">
        <v>623</v>
      </c>
      <c r="BW13">
        <v>134.21</v>
      </c>
      <c r="BX13" s="214">
        <v>133.05000000000001</v>
      </c>
      <c r="BY13" s="214">
        <v>1.57</v>
      </c>
      <c r="BZ13">
        <v>135.36000000000001</v>
      </c>
      <c r="CA13" s="187">
        <v>173</v>
      </c>
      <c r="CB13" s="214">
        <v>91.42</v>
      </c>
      <c r="CC13" s="214">
        <v>90.05</v>
      </c>
      <c r="CD13">
        <v>6.36</v>
      </c>
      <c r="CE13" s="187">
        <v>95.72</v>
      </c>
      <c r="CF13" s="214">
        <v>195367</v>
      </c>
      <c r="CG13" s="214">
        <v>91.42</v>
      </c>
      <c r="CH13">
        <v>90.05</v>
      </c>
      <c r="CI13">
        <v>6.36</v>
      </c>
      <c r="CJ13">
        <v>95.72</v>
      </c>
      <c r="CK13">
        <v>195401</v>
      </c>
      <c r="CL13">
        <v>80.260000000000005</v>
      </c>
      <c r="CM13">
        <v>66.56</v>
      </c>
      <c r="CN13" s="187">
        <v>130.13999999999999</v>
      </c>
      <c r="CO13">
        <v>205.94</v>
      </c>
      <c r="CP13">
        <v>4525</v>
      </c>
      <c r="CQ13">
        <v>76.38</v>
      </c>
      <c r="CR13">
        <v>72.36</v>
      </c>
      <c r="CS13" s="187">
        <v>58.7</v>
      </c>
      <c r="CT13">
        <v>132.80000000000001</v>
      </c>
      <c r="CU13">
        <v>1928</v>
      </c>
      <c r="CV13">
        <v>92.06</v>
      </c>
      <c r="CW13">
        <v>83.2</v>
      </c>
      <c r="CX13" s="187">
        <v>43.5</v>
      </c>
      <c r="CY13">
        <v>134.74</v>
      </c>
      <c r="CZ13">
        <v>22789</v>
      </c>
      <c r="DA13">
        <v>105.18</v>
      </c>
      <c r="DB13">
        <v>99.45</v>
      </c>
      <c r="DC13" s="187">
        <v>37.729999999999997</v>
      </c>
      <c r="DD13">
        <v>141.63999999999999</v>
      </c>
      <c r="DE13">
        <v>5847</v>
      </c>
      <c r="DF13">
        <v>110.13</v>
      </c>
      <c r="DG13">
        <v>104.94</v>
      </c>
      <c r="DH13" s="187">
        <v>45.51</v>
      </c>
      <c r="DI13">
        <v>153.21</v>
      </c>
      <c r="DJ13">
        <v>206</v>
      </c>
      <c r="DK13">
        <v>191.58</v>
      </c>
      <c r="DL13">
        <v>144.37</v>
      </c>
      <c r="DM13" s="187">
        <v>33.450000000000003</v>
      </c>
      <c r="DN13">
        <v>213.09</v>
      </c>
      <c r="DO13">
        <v>14</v>
      </c>
      <c r="DP13">
        <v>93.74</v>
      </c>
      <c r="DQ13">
        <v>85.79</v>
      </c>
      <c r="DR13" s="187">
        <v>43.36</v>
      </c>
      <c r="DS13">
        <v>136.09</v>
      </c>
      <c r="DT13">
        <v>30784</v>
      </c>
      <c r="DU13">
        <v>92.01</v>
      </c>
      <c r="DV13">
        <v>83.53</v>
      </c>
      <c r="DW13" s="187">
        <v>54.38</v>
      </c>
      <c r="DX13">
        <v>145.04</v>
      </c>
      <c r="DY13">
        <v>35309</v>
      </c>
      <c r="DZ13">
        <v>121.28</v>
      </c>
      <c r="EA13">
        <v>29</v>
      </c>
      <c r="EB13" s="187">
        <v>118.56</v>
      </c>
      <c r="EC13">
        <v>55</v>
      </c>
      <c r="ED13">
        <v>95.55</v>
      </c>
      <c r="EE13">
        <v>3815</v>
      </c>
      <c r="EF13">
        <v>114.41</v>
      </c>
      <c r="EG13" s="187">
        <v>12872</v>
      </c>
      <c r="EH13">
        <v>126.01</v>
      </c>
      <c r="EI13">
        <v>7878</v>
      </c>
      <c r="EJ13">
        <v>149</v>
      </c>
      <c r="EK13">
        <v>978</v>
      </c>
      <c r="EL13" s="187">
        <v>156.19999999999999</v>
      </c>
      <c r="EM13">
        <v>42</v>
      </c>
      <c r="EN13">
        <v>174.43</v>
      </c>
      <c r="EO13">
        <v>13</v>
      </c>
      <c r="EP13">
        <v>116.59</v>
      </c>
      <c r="EQ13" s="187">
        <v>25653</v>
      </c>
      <c r="ER13">
        <v>116.6</v>
      </c>
      <c r="ES13">
        <v>25682</v>
      </c>
      <c r="ET13">
        <v>206.65</v>
      </c>
      <c r="EU13">
        <v>40</v>
      </c>
      <c r="EV13" s="187">
        <v>86.54</v>
      </c>
      <c r="EW13">
        <v>16</v>
      </c>
      <c r="EX13">
        <v>192.01</v>
      </c>
      <c r="EY13">
        <v>1148</v>
      </c>
      <c r="EZ13">
        <v>208.24</v>
      </c>
      <c r="FA13" s="187">
        <v>1124</v>
      </c>
      <c r="FB13">
        <v>0</v>
      </c>
      <c r="FC13">
        <v>0</v>
      </c>
      <c r="FD13">
        <v>0</v>
      </c>
      <c r="FE13">
        <v>0</v>
      </c>
      <c r="FF13" s="187">
        <v>199.25</v>
      </c>
      <c r="FG13">
        <v>2288</v>
      </c>
      <c r="FH13">
        <v>199.38</v>
      </c>
      <c r="FI13">
        <v>2328</v>
      </c>
      <c r="FJ13">
        <v>1214</v>
      </c>
      <c r="FK13" s="187">
        <v>475</v>
      </c>
      <c r="FL13">
        <v>563</v>
      </c>
      <c r="FM13">
        <v>1635</v>
      </c>
      <c r="FN13">
        <v>410</v>
      </c>
    </row>
    <row r="14" spans="1:170" x14ac:dyDescent="0.35">
      <c r="A14" t="s">
        <v>421</v>
      </c>
      <c r="B14" t="s">
        <v>421</v>
      </c>
      <c r="C14" t="s">
        <v>421</v>
      </c>
      <c r="D14">
        <v>169863</v>
      </c>
      <c r="E14">
        <v>167440</v>
      </c>
      <c r="F14">
        <v>42</v>
      </c>
      <c r="G14">
        <v>24</v>
      </c>
      <c r="H14">
        <v>12630</v>
      </c>
      <c r="I14">
        <v>8600</v>
      </c>
      <c r="J14">
        <v>18275</v>
      </c>
      <c r="K14">
        <v>16825</v>
      </c>
      <c r="L14">
        <v>10210</v>
      </c>
      <c r="M14">
        <v>35</v>
      </c>
      <c r="N14">
        <v>211020</v>
      </c>
      <c r="O14">
        <v>192924</v>
      </c>
      <c r="P14">
        <v>200810</v>
      </c>
      <c r="Q14">
        <v>213</v>
      </c>
      <c r="R14">
        <v>94</v>
      </c>
      <c r="S14">
        <v>66</v>
      </c>
      <c r="T14">
        <v>6560</v>
      </c>
      <c r="U14">
        <v>204460</v>
      </c>
      <c r="V14" s="498">
        <v>167851</v>
      </c>
      <c r="W14">
        <v>1409</v>
      </c>
      <c r="X14" s="498">
        <v>1107</v>
      </c>
      <c r="Y14" s="498">
        <v>2516</v>
      </c>
      <c r="Z14" s="498">
        <v>84.26</v>
      </c>
      <c r="AA14" s="498">
        <v>83.27</v>
      </c>
      <c r="AB14">
        <v>5.14</v>
      </c>
      <c r="AC14">
        <v>87.29</v>
      </c>
      <c r="AD14">
        <v>144236</v>
      </c>
      <c r="AE14">
        <v>92.35</v>
      </c>
      <c r="AF14">
        <v>78.11</v>
      </c>
      <c r="AG14">
        <v>47.08</v>
      </c>
      <c r="AH14">
        <v>137.84</v>
      </c>
      <c r="AI14">
        <v>25681</v>
      </c>
      <c r="AJ14">
        <v>104.74</v>
      </c>
      <c r="AK14">
        <v>21861</v>
      </c>
      <c r="AL14">
        <v>187.53</v>
      </c>
      <c r="AM14">
        <v>811</v>
      </c>
      <c r="AN14">
        <v>69.37</v>
      </c>
      <c r="AO14" s="499">
        <v>63.64</v>
      </c>
      <c r="AP14" s="499">
        <v>12.48</v>
      </c>
      <c r="AQ14">
        <v>77.69</v>
      </c>
      <c r="AR14">
        <v>24</v>
      </c>
      <c r="AS14">
        <v>63.85</v>
      </c>
      <c r="AT14">
        <v>63.62</v>
      </c>
      <c r="AU14">
        <v>8.25</v>
      </c>
      <c r="AV14">
        <v>71.349999999999994</v>
      </c>
      <c r="AW14">
        <v>902</v>
      </c>
      <c r="AX14">
        <v>72.72</v>
      </c>
      <c r="AY14">
        <v>71.52</v>
      </c>
      <c r="AZ14">
        <v>6.87</v>
      </c>
      <c r="BA14">
        <v>78.349999999999994</v>
      </c>
      <c r="BB14">
        <v>38884</v>
      </c>
      <c r="BC14">
        <v>84.08</v>
      </c>
      <c r="BD14">
        <v>82.88</v>
      </c>
      <c r="BE14">
        <v>5.39</v>
      </c>
      <c r="BF14">
        <v>87.13</v>
      </c>
      <c r="BG14">
        <v>52863</v>
      </c>
      <c r="BH14">
        <v>92.22</v>
      </c>
      <c r="BI14">
        <v>91.65</v>
      </c>
      <c r="BJ14">
        <v>2.23</v>
      </c>
      <c r="BK14">
        <v>93.16</v>
      </c>
      <c r="BL14" s="214">
        <v>46338</v>
      </c>
      <c r="BM14" s="214">
        <v>103.48</v>
      </c>
      <c r="BN14">
        <v>102.28</v>
      </c>
      <c r="BO14" s="187">
        <v>2.2000000000000002</v>
      </c>
      <c r="BP14" s="214">
        <v>104.55</v>
      </c>
      <c r="BQ14" s="214">
        <v>4592</v>
      </c>
      <c r="BR14">
        <v>115.48</v>
      </c>
      <c r="BS14" s="187">
        <v>114.15</v>
      </c>
      <c r="BT14" s="214">
        <v>1.83</v>
      </c>
      <c r="BU14" s="214">
        <v>116.53</v>
      </c>
      <c r="BV14">
        <v>541</v>
      </c>
      <c r="BW14">
        <v>123.36</v>
      </c>
      <c r="BX14" s="214">
        <v>123.55</v>
      </c>
      <c r="BY14" s="214">
        <v>1.96</v>
      </c>
      <c r="BZ14">
        <v>124.36</v>
      </c>
      <c r="CA14" s="187">
        <v>92</v>
      </c>
      <c r="CB14" s="214">
        <v>84.26</v>
      </c>
      <c r="CC14" s="214">
        <v>83.27</v>
      </c>
      <c r="CD14">
        <v>5.14</v>
      </c>
      <c r="CE14" s="187">
        <v>87.29</v>
      </c>
      <c r="CF14" s="214">
        <v>144212</v>
      </c>
      <c r="CG14" s="214">
        <v>84.26</v>
      </c>
      <c r="CH14">
        <v>83.27</v>
      </c>
      <c r="CI14">
        <v>5.14</v>
      </c>
      <c r="CJ14">
        <v>87.29</v>
      </c>
      <c r="CK14">
        <v>144236</v>
      </c>
      <c r="CL14">
        <v>119.05</v>
      </c>
      <c r="CM14">
        <v>72.77</v>
      </c>
      <c r="CN14" s="187">
        <v>72.459999999999994</v>
      </c>
      <c r="CO14">
        <v>187.77</v>
      </c>
      <c r="CP14">
        <v>3529</v>
      </c>
      <c r="CQ14">
        <v>68.7</v>
      </c>
      <c r="CR14">
        <v>64.12</v>
      </c>
      <c r="CS14" s="187">
        <v>46.37</v>
      </c>
      <c r="CT14">
        <v>113.51</v>
      </c>
      <c r="CU14">
        <v>1696</v>
      </c>
      <c r="CV14">
        <v>86.72</v>
      </c>
      <c r="CW14">
        <v>76.06</v>
      </c>
      <c r="CX14" s="187">
        <v>42.77</v>
      </c>
      <c r="CY14">
        <v>128.71</v>
      </c>
      <c r="CZ14">
        <v>15281</v>
      </c>
      <c r="DA14">
        <v>97.82</v>
      </c>
      <c r="DB14">
        <v>90.78</v>
      </c>
      <c r="DC14" s="187">
        <v>41.97</v>
      </c>
      <c r="DD14">
        <v>136.96</v>
      </c>
      <c r="DE14">
        <v>4910</v>
      </c>
      <c r="DF14">
        <v>111.26</v>
      </c>
      <c r="DG14">
        <v>97.65</v>
      </c>
      <c r="DH14" s="187">
        <v>66.680000000000007</v>
      </c>
      <c r="DI14">
        <v>172.41</v>
      </c>
      <c r="DJ14">
        <v>253</v>
      </c>
      <c r="DK14">
        <v>113.93</v>
      </c>
      <c r="DL14">
        <v>110.11</v>
      </c>
      <c r="DM14" s="187">
        <v>31.68</v>
      </c>
      <c r="DN14">
        <v>142.97</v>
      </c>
      <c r="DO14">
        <v>12</v>
      </c>
      <c r="DP14">
        <v>88.1</v>
      </c>
      <c r="DQ14">
        <v>78.61</v>
      </c>
      <c r="DR14" s="187">
        <v>43.13</v>
      </c>
      <c r="DS14">
        <v>129.88</v>
      </c>
      <c r="DT14">
        <v>22152</v>
      </c>
      <c r="DU14">
        <v>92.35</v>
      </c>
      <c r="DV14">
        <v>78.11</v>
      </c>
      <c r="DW14" s="187">
        <v>47.08</v>
      </c>
      <c r="DX14">
        <v>137.84</v>
      </c>
      <c r="DY14">
        <v>25681</v>
      </c>
      <c r="DZ14">
        <v>0</v>
      </c>
      <c r="EA14">
        <v>0</v>
      </c>
      <c r="EB14" s="187">
        <v>92.07</v>
      </c>
      <c r="EC14">
        <v>20</v>
      </c>
      <c r="ED14">
        <v>89.86</v>
      </c>
      <c r="EE14">
        <v>2674</v>
      </c>
      <c r="EF14">
        <v>102.74</v>
      </c>
      <c r="EG14" s="187">
        <v>10823</v>
      </c>
      <c r="EH14">
        <v>111.12</v>
      </c>
      <c r="EI14">
        <v>7741</v>
      </c>
      <c r="EJ14">
        <v>124.76</v>
      </c>
      <c r="EK14">
        <v>562</v>
      </c>
      <c r="EL14" s="187">
        <v>129.38</v>
      </c>
      <c r="EM14">
        <v>34</v>
      </c>
      <c r="EN14">
        <v>134.87</v>
      </c>
      <c r="EO14">
        <v>7</v>
      </c>
      <c r="EP14">
        <v>104.74</v>
      </c>
      <c r="EQ14" s="187">
        <v>21861</v>
      </c>
      <c r="ER14">
        <v>104.74</v>
      </c>
      <c r="ES14">
        <v>21861</v>
      </c>
      <c r="ET14">
        <v>189.66</v>
      </c>
      <c r="EU14">
        <v>17</v>
      </c>
      <c r="EV14" s="187">
        <v>231.92</v>
      </c>
      <c r="EW14">
        <v>30</v>
      </c>
      <c r="EX14">
        <v>183.52</v>
      </c>
      <c r="EY14">
        <v>389</v>
      </c>
      <c r="EZ14">
        <v>188.72</v>
      </c>
      <c r="FA14" s="187">
        <v>369</v>
      </c>
      <c r="FB14">
        <v>148.44</v>
      </c>
      <c r="FC14">
        <v>5</v>
      </c>
      <c r="FD14">
        <v>139.34</v>
      </c>
      <c r="FE14">
        <v>1</v>
      </c>
      <c r="FF14" s="187">
        <v>187.49</v>
      </c>
      <c r="FG14">
        <v>794</v>
      </c>
      <c r="FH14">
        <v>187.53</v>
      </c>
      <c r="FI14">
        <v>811</v>
      </c>
      <c r="FJ14">
        <v>774</v>
      </c>
      <c r="FK14" s="187">
        <v>494</v>
      </c>
      <c r="FL14">
        <v>159</v>
      </c>
      <c r="FM14">
        <v>976</v>
      </c>
      <c r="FN14">
        <v>183</v>
      </c>
    </row>
    <row r="15" spans="1:170" x14ac:dyDescent="0.35">
      <c r="A15" t="s">
        <v>422</v>
      </c>
      <c r="B15" t="s">
        <v>423</v>
      </c>
      <c r="C15" t="s">
        <v>2</v>
      </c>
      <c r="D15">
        <v>886</v>
      </c>
      <c r="E15">
        <v>895</v>
      </c>
      <c r="F15">
        <v>0</v>
      </c>
      <c r="G15">
        <v>0</v>
      </c>
      <c r="H15">
        <v>64</v>
      </c>
      <c r="I15">
        <v>35</v>
      </c>
      <c r="J15">
        <v>138</v>
      </c>
      <c r="K15">
        <v>138</v>
      </c>
      <c r="L15">
        <v>203</v>
      </c>
      <c r="M15">
        <v>4</v>
      </c>
      <c r="N15">
        <v>1291</v>
      </c>
      <c r="O15">
        <v>1072</v>
      </c>
      <c r="P15">
        <v>1088</v>
      </c>
      <c r="Q15">
        <v>3</v>
      </c>
      <c r="R15">
        <v>3</v>
      </c>
      <c r="S15">
        <v>15</v>
      </c>
      <c r="T15">
        <v>33</v>
      </c>
      <c r="U15">
        <v>1258</v>
      </c>
      <c r="V15" s="498">
        <v>865</v>
      </c>
      <c r="W15">
        <v>5</v>
      </c>
      <c r="X15" s="498">
        <v>4</v>
      </c>
      <c r="Y15" s="498">
        <v>9</v>
      </c>
      <c r="Z15" s="498">
        <v>115.15</v>
      </c>
      <c r="AA15" s="498">
        <v>112.25</v>
      </c>
      <c r="AB15">
        <v>6.03</v>
      </c>
      <c r="AC15">
        <v>119.51</v>
      </c>
      <c r="AD15">
        <v>721</v>
      </c>
      <c r="AE15">
        <v>87.92</v>
      </c>
      <c r="AF15">
        <v>83.72</v>
      </c>
      <c r="AG15">
        <v>45.29</v>
      </c>
      <c r="AH15">
        <v>132.97999999999999</v>
      </c>
      <c r="AI15">
        <v>190</v>
      </c>
      <c r="AJ15">
        <v>163.86</v>
      </c>
      <c r="AK15">
        <v>132</v>
      </c>
      <c r="AL15">
        <v>0</v>
      </c>
      <c r="AM15">
        <v>0</v>
      </c>
      <c r="AN15">
        <v>0</v>
      </c>
      <c r="AO15" s="499">
        <v>0</v>
      </c>
      <c r="AP15" s="499">
        <v>0</v>
      </c>
      <c r="AQ15">
        <v>0</v>
      </c>
      <c r="AR15">
        <v>0</v>
      </c>
      <c r="AS15">
        <v>0</v>
      </c>
      <c r="AT15">
        <v>0</v>
      </c>
      <c r="AU15">
        <v>0</v>
      </c>
      <c r="AV15">
        <v>0</v>
      </c>
      <c r="AW15">
        <v>0</v>
      </c>
      <c r="AX15">
        <v>93.53</v>
      </c>
      <c r="AY15">
        <v>93.13</v>
      </c>
      <c r="AZ15">
        <v>12.23</v>
      </c>
      <c r="BA15">
        <v>105.6</v>
      </c>
      <c r="BB15">
        <v>77</v>
      </c>
      <c r="BC15">
        <v>108.19</v>
      </c>
      <c r="BD15">
        <v>106.67</v>
      </c>
      <c r="BE15">
        <v>7.94</v>
      </c>
      <c r="BF15">
        <v>115.01</v>
      </c>
      <c r="BG15">
        <v>256</v>
      </c>
      <c r="BH15">
        <v>122.85</v>
      </c>
      <c r="BI15">
        <v>118.52</v>
      </c>
      <c r="BJ15">
        <v>2.0299999999999998</v>
      </c>
      <c r="BK15">
        <v>124.05</v>
      </c>
      <c r="BL15" s="214">
        <v>358</v>
      </c>
      <c r="BM15" s="214">
        <v>138.15</v>
      </c>
      <c r="BN15">
        <v>134.37</v>
      </c>
      <c r="BO15" s="187">
        <v>2.89</v>
      </c>
      <c r="BP15" s="214">
        <v>139.30000000000001</v>
      </c>
      <c r="BQ15" s="214">
        <v>30</v>
      </c>
      <c r="BR15">
        <v>0</v>
      </c>
      <c r="BS15" s="187">
        <v>0</v>
      </c>
      <c r="BT15" s="214">
        <v>0</v>
      </c>
      <c r="BU15" s="214">
        <v>0</v>
      </c>
      <c r="BV15">
        <v>0</v>
      </c>
      <c r="BW15">
        <v>0</v>
      </c>
      <c r="BX15" s="214">
        <v>0</v>
      </c>
      <c r="BY15" s="214">
        <v>0</v>
      </c>
      <c r="BZ15">
        <v>0</v>
      </c>
      <c r="CA15" s="187">
        <v>0</v>
      </c>
      <c r="CB15" s="214">
        <v>115.15</v>
      </c>
      <c r="CC15" s="214">
        <v>112.25</v>
      </c>
      <c r="CD15">
        <v>6.03</v>
      </c>
      <c r="CE15" s="187">
        <v>119.51</v>
      </c>
      <c r="CF15" s="214">
        <v>721</v>
      </c>
      <c r="CG15" s="214">
        <v>115.15</v>
      </c>
      <c r="CH15">
        <v>112.25</v>
      </c>
      <c r="CI15">
        <v>6.03</v>
      </c>
      <c r="CJ15">
        <v>119.51</v>
      </c>
      <c r="CK15">
        <v>721</v>
      </c>
      <c r="CL15">
        <v>93.2</v>
      </c>
      <c r="CM15">
        <v>90.19</v>
      </c>
      <c r="CN15" s="187">
        <v>176.58</v>
      </c>
      <c r="CO15">
        <v>259.39</v>
      </c>
      <c r="CP15">
        <v>17</v>
      </c>
      <c r="CQ15">
        <v>75.400000000000006</v>
      </c>
      <c r="CR15">
        <v>70.48</v>
      </c>
      <c r="CS15" s="187">
        <v>23.52</v>
      </c>
      <c r="CT15">
        <v>98.93</v>
      </c>
      <c r="CU15">
        <v>54</v>
      </c>
      <c r="CV15">
        <v>91.08</v>
      </c>
      <c r="CW15">
        <v>86.96</v>
      </c>
      <c r="CX15" s="187">
        <v>39.049999999999997</v>
      </c>
      <c r="CY15">
        <v>130.13</v>
      </c>
      <c r="CZ15">
        <v>111</v>
      </c>
      <c r="DA15">
        <v>110.71</v>
      </c>
      <c r="DB15">
        <v>106.29</v>
      </c>
      <c r="DC15" s="187">
        <v>7.3</v>
      </c>
      <c r="DD15">
        <v>118.01</v>
      </c>
      <c r="DE15">
        <v>4</v>
      </c>
      <c r="DF15">
        <v>124.19</v>
      </c>
      <c r="DG15">
        <v>125.75</v>
      </c>
      <c r="DH15" s="187">
        <v>25.13</v>
      </c>
      <c r="DI15">
        <v>149.31</v>
      </c>
      <c r="DJ15">
        <v>4</v>
      </c>
      <c r="DK15">
        <v>0</v>
      </c>
      <c r="DL15">
        <v>0</v>
      </c>
      <c r="DM15" s="187">
        <v>0</v>
      </c>
      <c r="DN15">
        <v>0</v>
      </c>
      <c r="DO15">
        <v>0</v>
      </c>
      <c r="DP15">
        <v>87.41</v>
      </c>
      <c r="DQ15">
        <v>83.07</v>
      </c>
      <c r="DR15" s="187">
        <v>33.15</v>
      </c>
      <c r="DS15">
        <v>120.56</v>
      </c>
      <c r="DT15">
        <v>173</v>
      </c>
      <c r="DU15">
        <v>87.92</v>
      </c>
      <c r="DV15">
        <v>83.72</v>
      </c>
      <c r="DW15" s="187">
        <v>45.29</v>
      </c>
      <c r="DX15">
        <v>132.97999999999999</v>
      </c>
      <c r="DY15">
        <v>190</v>
      </c>
      <c r="DZ15">
        <v>0</v>
      </c>
      <c r="EA15">
        <v>0</v>
      </c>
      <c r="EB15" s="187">
        <v>0</v>
      </c>
      <c r="EC15">
        <v>0</v>
      </c>
      <c r="ED15">
        <v>138.9</v>
      </c>
      <c r="EE15">
        <v>23</v>
      </c>
      <c r="EF15">
        <v>166.38</v>
      </c>
      <c r="EG15" s="187">
        <v>69</v>
      </c>
      <c r="EH15">
        <v>174.3</v>
      </c>
      <c r="EI15">
        <v>38</v>
      </c>
      <c r="EJ15">
        <v>165.27</v>
      </c>
      <c r="EK15">
        <v>2</v>
      </c>
      <c r="EL15" s="187">
        <v>0</v>
      </c>
      <c r="EM15">
        <v>0</v>
      </c>
      <c r="EN15">
        <v>0</v>
      </c>
      <c r="EO15">
        <v>0</v>
      </c>
      <c r="EP15">
        <v>163.86</v>
      </c>
      <c r="EQ15" s="187">
        <v>132</v>
      </c>
      <c r="ER15">
        <v>163.86</v>
      </c>
      <c r="ES15">
        <v>132</v>
      </c>
      <c r="ET15">
        <v>0</v>
      </c>
      <c r="EU15">
        <v>0</v>
      </c>
      <c r="EV15" s="187">
        <v>0</v>
      </c>
      <c r="EW15">
        <v>0</v>
      </c>
      <c r="EX15">
        <v>0</v>
      </c>
      <c r="EY15">
        <v>0</v>
      </c>
      <c r="EZ15">
        <v>0</v>
      </c>
      <c r="FA15" s="187">
        <v>0</v>
      </c>
      <c r="FB15">
        <v>0</v>
      </c>
      <c r="FC15">
        <v>0</v>
      </c>
      <c r="FD15">
        <v>0</v>
      </c>
      <c r="FE15">
        <v>0</v>
      </c>
      <c r="FF15" s="187">
        <v>0</v>
      </c>
      <c r="FG15">
        <v>0</v>
      </c>
      <c r="FH15">
        <v>0</v>
      </c>
      <c r="FI15">
        <v>0</v>
      </c>
      <c r="FJ15">
        <v>3</v>
      </c>
      <c r="FK15" s="187">
        <v>1</v>
      </c>
      <c r="FL15">
        <v>0</v>
      </c>
      <c r="FM15">
        <v>9</v>
      </c>
      <c r="FN15">
        <v>9</v>
      </c>
    </row>
    <row r="16" spans="1:170" x14ac:dyDescent="0.35">
      <c r="A16" t="s">
        <v>424</v>
      </c>
      <c r="B16" t="s">
        <v>425</v>
      </c>
      <c r="C16" t="s">
        <v>418</v>
      </c>
      <c r="D16">
        <v>8303</v>
      </c>
      <c r="E16">
        <v>7652</v>
      </c>
      <c r="F16">
        <v>0</v>
      </c>
      <c r="G16">
        <v>0</v>
      </c>
      <c r="H16">
        <v>172</v>
      </c>
      <c r="I16">
        <v>113</v>
      </c>
      <c r="J16">
        <v>404</v>
      </c>
      <c r="K16">
        <v>404</v>
      </c>
      <c r="L16">
        <v>127</v>
      </c>
      <c r="M16">
        <v>26</v>
      </c>
      <c r="N16">
        <v>9006</v>
      </c>
      <c r="O16">
        <v>8195</v>
      </c>
      <c r="P16">
        <v>8879</v>
      </c>
      <c r="Q16">
        <v>6</v>
      </c>
      <c r="R16">
        <v>7</v>
      </c>
      <c r="S16">
        <v>9</v>
      </c>
      <c r="T16">
        <v>738</v>
      </c>
      <c r="U16">
        <v>8268</v>
      </c>
      <c r="V16" s="498">
        <v>7607</v>
      </c>
      <c r="W16">
        <v>105</v>
      </c>
      <c r="X16" s="498">
        <v>38</v>
      </c>
      <c r="Y16" s="498">
        <v>143</v>
      </c>
      <c r="Z16" s="498">
        <v>88.09</v>
      </c>
      <c r="AA16" s="498">
        <v>85.1</v>
      </c>
      <c r="AB16">
        <v>2.37</v>
      </c>
      <c r="AC16">
        <v>90.07</v>
      </c>
      <c r="AD16">
        <v>7264</v>
      </c>
      <c r="AE16">
        <v>85.81</v>
      </c>
      <c r="AF16">
        <v>75.83</v>
      </c>
      <c r="AG16">
        <v>44.19</v>
      </c>
      <c r="AH16">
        <v>129.27000000000001</v>
      </c>
      <c r="AI16">
        <v>487</v>
      </c>
      <c r="AJ16">
        <v>107.41</v>
      </c>
      <c r="AK16">
        <v>476</v>
      </c>
      <c r="AL16">
        <v>136.57</v>
      </c>
      <c r="AM16">
        <v>51</v>
      </c>
      <c r="AN16">
        <v>0</v>
      </c>
      <c r="AO16" s="499">
        <v>0</v>
      </c>
      <c r="AP16" s="499">
        <v>0</v>
      </c>
      <c r="AQ16">
        <v>0</v>
      </c>
      <c r="AR16">
        <v>0</v>
      </c>
      <c r="AS16">
        <v>73.790000000000006</v>
      </c>
      <c r="AT16">
        <v>69.94</v>
      </c>
      <c r="AU16">
        <v>13.52</v>
      </c>
      <c r="AV16">
        <v>87.31</v>
      </c>
      <c r="AW16">
        <v>13</v>
      </c>
      <c r="AX16">
        <v>72.28</v>
      </c>
      <c r="AY16">
        <v>69.88</v>
      </c>
      <c r="AZ16">
        <v>4.45</v>
      </c>
      <c r="BA16">
        <v>76.58</v>
      </c>
      <c r="BB16">
        <v>806</v>
      </c>
      <c r="BC16">
        <v>85</v>
      </c>
      <c r="BD16">
        <v>81.7</v>
      </c>
      <c r="BE16">
        <v>3.09</v>
      </c>
      <c r="BF16">
        <v>87.63</v>
      </c>
      <c r="BG16">
        <v>3049</v>
      </c>
      <c r="BH16">
        <v>94.34</v>
      </c>
      <c r="BI16">
        <v>91.5</v>
      </c>
      <c r="BJ16">
        <v>1.05</v>
      </c>
      <c r="BK16">
        <v>95.17</v>
      </c>
      <c r="BL16" s="214">
        <v>3260</v>
      </c>
      <c r="BM16" s="214">
        <v>102.05</v>
      </c>
      <c r="BN16">
        <v>99.3</v>
      </c>
      <c r="BO16" s="187">
        <v>0.63</v>
      </c>
      <c r="BP16" s="214">
        <v>102.6</v>
      </c>
      <c r="BQ16" s="214">
        <v>132</v>
      </c>
      <c r="BR16">
        <v>108.42</v>
      </c>
      <c r="BS16" s="187">
        <v>106.8</v>
      </c>
      <c r="BT16" s="214">
        <v>0.18</v>
      </c>
      <c r="BU16" s="214">
        <v>108.51</v>
      </c>
      <c r="BV16">
        <v>2</v>
      </c>
      <c r="BW16">
        <v>116.98</v>
      </c>
      <c r="BX16" s="214">
        <v>111.4</v>
      </c>
      <c r="BY16" s="214">
        <v>0.6</v>
      </c>
      <c r="BZ16">
        <v>117.58</v>
      </c>
      <c r="CA16" s="187">
        <v>2</v>
      </c>
      <c r="CB16" s="214">
        <v>88.09</v>
      </c>
      <c r="CC16" s="214">
        <v>85.1</v>
      </c>
      <c r="CD16">
        <v>2.37</v>
      </c>
      <c r="CE16" s="187">
        <v>90.07</v>
      </c>
      <c r="CF16" s="214">
        <v>7264</v>
      </c>
      <c r="CG16" s="214">
        <v>88.09</v>
      </c>
      <c r="CH16">
        <v>85.1</v>
      </c>
      <c r="CI16">
        <v>2.37</v>
      </c>
      <c r="CJ16">
        <v>90.07</v>
      </c>
      <c r="CK16">
        <v>7264</v>
      </c>
      <c r="CL16">
        <v>72.98</v>
      </c>
      <c r="CM16">
        <v>68.2</v>
      </c>
      <c r="CN16" s="187">
        <v>84.75</v>
      </c>
      <c r="CO16">
        <v>150.30000000000001</v>
      </c>
      <c r="CP16">
        <v>57</v>
      </c>
      <c r="CQ16">
        <v>71.599999999999994</v>
      </c>
      <c r="CR16">
        <v>65.09</v>
      </c>
      <c r="CS16" s="187">
        <v>33.99</v>
      </c>
      <c r="CT16">
        <v>105.59</v>
      </c>
      <c r="CU16">
        <v>48</v>
      </c>
      <c r="CV16">
        <v>88.55</v>
      </c>
      <c r="CW16">
        <v>74.52</v>
      </c>
      <c r="CX16" s="187">
        <v>43.53</v>
      </c>
      <c r="CY16">
        <v>131.59</v>
      </c>
      <c r="CZ16">
        <v>274</v>
      </c>
      <c r="DA16">
        <v>91.82</v>
      </c>
      <c r="DB16">
        <v>87.56</v>
      </c>
      <c r="DC16" s="187">
        <v>31.31</v>
      </c>
      <c r="DD16">
        <v>123.12</v>
      </c>
      <c r="DE16">
        <v>105</v>
      </c>
      <c r="DF16">
        <v>96.64</v>
      </c>
      <c r="DG16">
        <v>93.86</v>
      </c>
      <c r="DH16" s="187">
        <v>14.6</v>
      </c>
      <c r="DI16">
        <v>111.23</v>
      </c>
      <c r="DJ16">
        <v>3</v>
      </c>
      <c r="DK16">
        <v>0</v>
      </c>
      <c r="DL16">
        <v>0</v>
      </c>
      <c r="DM16" s="187">
        <v>0</v>
      </c>
      <c r="DN16">
        <v>0</v>
      </c>
      <c r="DO16">
        <v>0</v>
      </c>
      <c r="DP16">
        <v>87.51</v>
      </c>
      <c r="DQ16">
        <v>76.88</v>
      </c>
      <c r="DR16" s="187">
        <v>39.25</v>
      </c>
      <c r="DS16">
        <v>126.48</v>
      </c>
      <c r="DT16">
        <v>430</v>
      </c>
      <c r="DU16">
        <v>85.81</v>
      </c>
      <c r="DV16">
        <v>75.83</v>
      </c>
      <c r="DW16" s="187">
        <v>44.19</v>
      </c>
      <c r="DX16">
        <v>129.27000000000001</v>
      </c>
      <c r="DY16">
        <v>487</v>
      </c>
      <c r="DZ16">
        <v>0</v>
      </c>
      <c r="EA16">
        <v>0</v>
      </c>
      <c r="EB16" s="187">
        <v>0</v>
      </c>
      <c r="EC16">
        <v>0</v>
      </c>
      <c r="ED16">
        <v>91</v>
      </c>
      <c r="EE16">
        <v>27</v>
      </c>
      <c r="EF16">
        <v>106.49</v>
      </c>
      <c r="EG16" s="187">
        <v>201</v>
      </c>
      <c r="EH16">
        <v>109.57</v>
      </c>
      <c r="EI16">
        <v>238</v>
      </c>
      <c r="EJ16">
        <v>118.62</v>
      </c>
      <c r="EK16">
        <v>10</v>
      </c>
      <c r="EL16" s="187">
        <v>0</v>
      </c>
      <c r="EM16">
        <v>0</v>
      </c>
      <c r="EN16">
        <v>0</v>
      </c>
      <c r="EO16">
        <v>0</v>
      </c>
      <c r="EP16">
        <v>107.41</v>
      </c>
      <c r="EQ16" s="187">
        <v>476</v>
      </c>
      <c r="ER16">
        <v>107.41</v>
      </c>
      <c r="ES16">
        <v>476</v>
      </c>
      <c r="ET16">
        <v>0</v>
      </c>
      <c r="EU16">
        <v>0</v>
      </c>
      <c r="EV16" s="187">
        <v>0</v>
      </c>
      <c r="EW16">
        <v>0</v>
      </c>
      <c r="EX16">
        <v>129.69999999999999</v>
      </c>
      <c r="EY16">
        <v>42</v>
      </c>
      <c r="EZ16">
        <v>168.65</v>
      </c>
      <c r="FA16" s="187">
        <v>9</v>
      </c>
      <c r="FB16">
        <v>0</v>
      </c>
      <c r="FC16">
        <v>0</v>
      </c>
      <c r="FD16">
        <v>0</v>
      </c>
      <c r="FE16">
        <v>0</v>
      </c>
      <c r="FF16" s="187">
        <v>136.57</v>
      </c>
      <c r="FG16">
        <v>51</v>
      </c>
      <c r="FH16">
        <v>136.57</v>
      </c>
      <c r="FI16">
        <v>51</v>
      </c>
      <c r="FJ16">
        <v>0</v>
      </c>
      <c r="FK16" s="187">
        <v>22</v>
      </c>
      <c r="FL16">
        <v>5</v>
      </c>
      <c r="FM16">
        <v>13</v>
      </c>
      <c r="FN16">
        <v>3</v>
      </c>
    </row>
    <row r="17" spans="1:170" x14ac:dyDescent="0.35">
      <c r="A17" t="s">
        <v>426</v>
      </c>
      <c r="B17" t="s">
        <v>427</v>
      </c>
      <c r="C17" t="s">
        <v>414</v>
      </c>
      <c r="D17">
        <v>4785</v>
      </c>
      <c r="E17">
        <v>4862</v>
      </c>
      <c r="F17">
        <v>0</v>
      </c>
      <c r="G17">
        <v>0</v>
      </c>
      <c r="H17">
        <v>156</v>
      </c>
      <c r="I17">
        <v>112</v>
      </c>
      <c r="J17">
        <v>2433</v>
      </c>
      <c r="K17">
        <v>2431</v>
      </c>
      <c r="L17">
        <v>218</v>
      </c>
      <c r="M17">
        <v>22</v>
      </c>
      <c r="N17">
        <v>7592</v>
      </c>
      <c r="O17">
        <v>7427</v>
      </c>
      <c r="P17">
        <v>7374</v>
      </c>
      <c r="Q17">
        <v>3</v>
      </c>
      <c r="R17">
        <v>6</v>
      </c>
      <c r="S17">
        <v>21</v>
      </c>
      <c r="T17">
        <v>68</v>
      </c>
      <c r="U17">
        <v>7524</v>
      </c>
      <c r="V17" s="498">
        <v>4758</v>
      </c>
      <c r="W17">
        <v>31</v>
      </c>
      <c r="X17" s="498">
        <v>6</v>
      </c>
      <c r="Y17" s="498">
        <v>37</v>
      </c>
      <c r="Z17" s="498">
        <v>91.68</v>
      </c>
      <c r="AA17" s="498">
        <v>89.88</v>
      </c>
      <c r="AB17">
        <v>2.42</v>
      </c>
      <c r="AC17">
        <v>93.91</v>
      </c>
      <c r="AD17">
        <v>4264</v>
      </c>
      <c r="AE17">
        <v>86.62</v>
      </c>
      <c r="AF17">
        <v>80.97</v>
      </c>
      <c r="AG17">
        <v>8.91</v>
      </c>
      <c r="AH17">
        <v>95.47</v>
      </c>
      <c r="AI17">
        <v>2548</v>
      </c>
      <c r="AJ17">
        <v>106.81</v>
      </c>
      <c r="AK17">
        <v>473</v>
      </c>
      <c r="AL17">
        <v>0</v>
      </c>
      <c r="AM17">
        <v>0</v>
      </c>
      <c r="AN17">
        <v>0</v>
      </c>
      <c r="AO17" s="499">
        <v>0</v>
      </c>
      <c r="AP17" s="499">
        <v>0</v>
      </c>
      <c r="AQ17">
        <v>0</v>
      </c>
      <c r="AR17">
        <v>0</v>
      </c>
      <c r="AS17">
        <v>66.27</v>
      </c>
      <c r="AT17">
        <v>64.23</v>
      </c>
      <c r="AU17">
        <v>6.97</v>
      </c>
      <c r="AV17">
        <v>73.25</v>
      </c>
      <c r="AW17">
        <v>9</v>
      </c>
      <c r="AX17">
        <v>77.180000000000007</v>
      </c>
      <c r="AY17">
        <v>75.25</v>
      </c>
      <c r="AZ17">
        <v>4.42</v>
      </c>
      <c r="BA17">
        <v>81.45</v>
      </c>
      <c r="BB17">
        <v>335</v>
      </c>
      <c r="BC17">
        <v>88.65</v>
      </c>
      <c r="BD17">
        <v>86.42</v>
      </c>
      <c r="BE17">
        <v>2.72</v>
      </c>
      <c r="BF17">
        <v>91.07</v>
      </c>
      <c r="BG17">
        <v>1409</v>
      </c>
      <c r="BH17">
        <v>95.08</v>
      </c>
      <c r="BI17">
        <v>93.54</v>
      </c>
      <c r="BJ17">
        <v>1.97</v>
      </c>
      <c r="BK17">
        <v>96.9</v>
      </c>
      <c r="BL17" s="214">
        <v>2421</v>
      </c>
      <c r="BM17" s="214">
        <v>103.5</v>
      </c>
      <c r="BN17">
        <v>101.99</v>
      </c>
      <c r="BO17" s="187">
        <v>2.0699999999999998</v>
      </c>
      <c r="BP17" s="214">
        <v>105.54</v>
      </c>
      <c r="BQ17" s="214">
        <v>82</v>
      </c>
      <c r="BR17">
        <v>109.63</v>
      </c>
      <c r="BS17" s="187">
        <v>107.55</v>
      </c>
      <c r="BT17" s="214">
        <v>1.82</v>
      </c>
      <c r="BU17" s="214">
        <v>111.45</v>
      </c>
      <c r="BV17">
        <v>7</v>
      </c>
      <c r="BW17">
        <v>114.78</v>
      </c>
      <c r="BX17" s="214">
        <v>112.88</v>
      </c>
      <c r="BY17" s="214">
        <v>1.82</v>
      </c>
      <c r="BZ17">
        <v>116.6</v>
      </c>
      <c r="CA17" s="187">
        <v>1</v>
      </c>
      <c r="CB17" s="214">
        <v>91.68</v>
      </c>
      <c r="CC17" s="214">
        <v>89.88</v>
      </c>
      <c r="CD17">
        <v>2.42</v>
      </c>
      <c r="CE17" s="187">
        <v>93.91</v>
      </c>
      <c r="CF17" s="214">
        <v>4264</v>
      </c>
      <c r="CG17" s="214">
        <v>91.68</v>
      </c>
      <c r="CH17">
        <v>89.88</v>
      </c>
      <c r="CI17">
        <v>2.42</v>
      </c>
      <c r="CJ17">
        <v>93.91</v>
      </c>
      <c r="CK17">
        <v>4264</v>
      </c>
      <c r="CL17">
        <v>101.82</v>
      </c>
      <c r="CM17">
        <v>72.41</v>
      </c>
      <c r="CN17" s="187">
        <v>147.68</v>
      </c>
      <c r="CO17">
        <v>246.86</v>
      </c>
      <c r="CP17">
        <v>56</v>
      </c>
      <c r="CQ17">
        <v>64.42</v>
      </c>
      <c r="CR17">
        <v>59.44</v>
      </c>
      <c r="CS17" s="187">
        <v>218.26</v>
      </c>
      <c r="CT17">
        <v>282.68</v>
      </c>
      <c r="CU17">
        <v>14</v>
      </c>
      <c r="CV17">
        <v>84.01</v>
      </c>
      <c r="CW17">
        <v>78.33</v>
      </c>
      <c r="CX17" s="187">
        <v>5.32</v>
      </c>
      <c r="CY17">
        <v>89.31</v>
      </c>
      <c r="CZ17">
        <v>1540</v>
      </c>
      <c r="DA17">
        <v>90.23</v>
      </c>
      <c r="DB17">
        <v>85.87</v>
      </c>
      <c r="DC17" s="187">
        <v>3.27</v>
      </c>
      <c r="DD17">
        <v>93.46</v>
      </c>
      <c r="DE17">
        <v>922</v>
      </c>
      <c r="DF17">
        <v>96.43</v>
      </c>
      <c r="DG17">
        <v>94.16</v>
      </c>
      <c r="DH17" s="187">
        <v>15.45</v>
      </c>
      <c r="DI17">
        <v>110.91</v>
      </c>
      <c r="DJ17">
        <v>16</v>
      </c>
      <c r="DK17">
        <v>0</v>
      </c>
      <c r="DL17">
        <v>0</v>
      </c>
      <c r="DM17" s="187">
        <v>0</v>
      </c>
      <c r="DN17">
        <v>0</v>
      </c>
      <c r="DO17">
        <v>0</v>
      </c>
      <c r="DP17">
        <v>86.28</v>
      </c>
      <c r="DQ17">
        <v>81.13</v>
      </c>
      <c r="DR17" s="187">
        <v>5.83</v>
      </c>
      <c r="DS17">
        <v>92.07</v>
      </c>
      <c r="DT17">
        <v>2492</v>
      </c>
      <c r="DU17">
        <v>86.62</v>
      </c>
      <c r="DV17">
        <v>80.97</v>
      </c>
      <c r="DW17" s="187">
        <v>8.91</v>
      </c>
      <c r="DX17">
        <v>95.47</v>
      </c>
      <c r="DY17">
        <v>2548</v>
      </c>
      <c r="DZ17">
        <v>0</v>
      </c>
      <c r="EA17">
        <v>0</v>
      </c>
      <c r="EB17" s="187">
        <v>115.07</v>
      </c>
      <c r="EC17">
        <v>4</v>
      </c>
      <c r="ED17">
        <v>89.14</v>
      </c>
      <c r="EE17">
        <v>67</v>
      </c>
      <c r="EF17">
        <v>104.49</v>
      </c>
      <c r="EG17" s="187">
        <v>266</v>
      </c>
      <c r="EH17">
        <v>119.19</v>
      </c>
      <c r="EI17">
        <v>130</v>
      </c>
      <c r="EJ17">
        <v>136.53</v>
      </c>
      <c r="EK17">
        <v>5</v>
      </c>
      <c r="EL17" s="187">
        <v>117.88</v>
      </c>
      <c r="EM17">
        <v>1</v>
      </c>
      <c r="EN17">
        <v>0</v>
      </c>
      <c r="EO17">
        <v>0</v>
      </c>
      <c r="EP17">
        <v>106.81</v>
      </c>
      <c r="EQ17" s="187">
        <v>473</v>
      </c>
      <c r="ER17">
        <v>106.81</v>
      </c>
      <c r="ES17">
        <v>473</v>
      </c>
      <c r="ET17">
        <v>0</v>
      </c>
      <c r="EU17">
        <v>0</v>
      </c>
      <c r="EV17" s="187">
        <v>0</v>
      </c>
      <c r="EW17">
        <v>0</v>
      </c>
      <c r="EX17">
        <v>0</v>
      </c>
      <c r="EY17">
        <v>0</v>
      </c>
      <c r="EZ17">
        <v>0</v>
      </c>
      <c r="FA17" s="187">
        <v>0</v>
      </c>
      <c r="FB17">
        <v>0</v>
      </c>
      <c r="FC17">
        <v>0</v>
      </c>
      <c r="FD17">
        <v>0</v>
      </c>
      <c r="FE17">
        <v>0</v>
      </c>
      <c r="FF17" s="187">
        <v>0</v>
      </c>
      <c r="FG17">
        <v>0</v>
      </c>
      <c r="FH17">
        <v>0</v>
      </c>
      <c r="FI17">
        <v>0</v>
      </c>
      <c r="FJ17">
        <v>0</v>
      </c>
      <c r="FK17" s="187">
        <v>21</v>
      </c>
      <c r="FL17">
        <v>0</v>
      </c>
      <c r="FM17">
        <v>11</v>
      </c>
      <c r="FN17">
        <v>5</v>
      </c>
    </row>
    <row r="18" spans="1:170" x14ac:dyDescent="0.35">
      <c r="A18" t="s">
        <v>428</v>
      </c>
      <c r="B18" t="s">
        <v>429</v>
      </c>
      <c r="C18" t="s">
        <v>2</v>
      </c>
      <c r="D18">
        <v>3091</v>
      </c>
      <c r="E18">
        <v>3089</v>
      </c>
      <c r="F18">
        <v>1</v>
      </c>
      <c r="G18">
        <v>1</v>
      </c>
      <c r="H18">
        <v>220</v>
      </c>
      <c r="I18">
        <v>94</v>
      </c>
      <c r="J18">
        <v>378</v>
      </c>
      <c r="K18">
        <v>280</v>
      </c>
      <c r="L18">
        <v>797</v>
      </c>
      <c r="M18">
        <v>28</v>
      </c>
      <c r="N18">
        <v>4487</v>
      </c>
      <c r="O18">
        <v>3492</v>
      </c>
      <c r="P18">
        <v>3690</v>
      </c>
      <c r="Q18">
        <v>11</v>
      </c>
      <c r="R18">
        <v>5</v>
      </c>
      <c r="S18">
        <v>26</v>
      </c>
      <c r="T18">
        <v>176</v>
      </c>
      <c r="U18">
        <v>4311</v>
      </c>
      <c r="V18" s="498">
        <v>3089</v>
      </c>
      <c r="W18">
        <v>9</v>
      </c>
      <c r="X18" s="498">
        <v>2</v>
      </c>
      <c r="Y18" s="498">
        <v>11</v>
      </c>
      <c r="Z18" s="498">
        <v>112.13</v>
      </c>
      <c r="AA18" s="498">
        <v>109.79</v>
      </c>
      <c r="AB18">
        <v>5.31</v>
      </c>
      <c r="AC18">
        <v>116.6</v>
      </c>
      <c r="AD18">
        <v>2269</v>
      </c>
      <c r="AE18">
        <v>98.64</v>
      </c>
      <c r="AF18">
        <v>89.95</v>
      </c>
      <c r="AG18">
        <v>57.66</v>
      </c>
      <c r="AH18">
        <v>155.9</v>
      </c>
      <c r="AI18">
        <v>424</v>
      </c>
      <c r="AJ18">
        <v>158.09</v>
      </c>
      <c r="AK18">
        <v>754</v>
      </c>
      <c r="AL18">
        <v>0</v>
      </c>
      <c r="AM18">
        <v>0</v>
      </c>
      <c r="AN18">
        <v>0</v>
      </c>
      <c r="AO18" s="499">
        <v>0</v>
      </c>
      <c r="AP18" s="499">
        <v>0</v>
      </c>
      <c r="AQ18">
        <v>0</v>
      </c>
      <c r="AR18">
        <v>0</v>
      </c>
      <c r="AS18">
        <v>68.459999999999994</v>
      </c>
      <c r="AT18">
        <v>67.34</v>
      </c>
      <c r="AU18">
        <v>8.41</v>
      </c>
      <c r="AV18">
        <v>76.87</v>
      </c>
      <c r="AW18">
        <v>3</v>
      </c>
      <c r="AX18">
        <v>89.52</v>
      </c>
      <c r="AY18">
        <v>86.87</v>
      </c>
      <c r="AZ18">
        <v>9.11</v>
      </c>
      <c r="BA18">
        <v>98.45</v>
      </c>
      <c r="BB18">
        <v>201</v>
      </c>
      <c r="BC18">
        <v>105.16</v>
      </c>
      <c r="BD18">
        <v>102.38</v>
      </c>
      <c r="BE18">
        <v>6.68</v>
      </c>
      <c r="BF18">
        <v>111.31</v>
      </c>
      <c r="BG18">
        <v>1053</v>
      </c>
      <c r="BH18">
        <v>122.32</v>
      </c>
      <c r="BI18">
        <v>120.5</v>
      </c>
      <c r="BJ18">
        <v>2.4900000000000002</v>
      </c>
      <c r="BK18">
        <v>124.12</v>
      </c>
      <c r="BL18" s="214">
        <v>898</v>
      </c>
      <c r="BM18" s="214">
        <v>137.28</v>
      </c>
      <c r="BN18">
        <v>135.57</v>
      </c>
      <c r="BO18" s="187">
        <v>2.46</v>
      </c>
      <c r="BP18" s="214">
        <v>139.34</v>
      </c>
      <c r="BQ18" s="214">
        <v>112</v>
      </c>
      <c r="BR18">
        <v>132.13</v>
      </c>
      <c r="BS18" s="187">
        <v>133.44</v>
      </c>
      <c r="BT18" s="214">
        <v>0</v>
      </c>
      <c r="BU18" s="214">
        <v>132.13</v>
      </c>
      <c r="BV18">
        <v>2</v>
      </c>
      <c r="BW18">
        <v>0</v>
      </c>
      <c r="BX18" s="214">
        <v>0</v>
      </c>
      <c r="BY18" s="214">
        <v>0</v>
      </c>
      <c r="BZ18">
        <v>0</v>
      </c>
      <c r="CA18" s="187">
        <v>0</v>
      </c>
      <c r="CB18" s="214">
        <v>112.13</v>
      </c>
      <c r="CC18" s="214">
        <v>109.79</v>
      </c>
      <c r="CD18">
        <v>5.31</v>
      </c>
      <c r="CE18" s="187">
        <v>116.6</v>
      </c>
      <c r="CF18" s="214">
        <v>2269</v>
      </c>
      <c r="CG18" s="214">
        <v>112.13</v>
      </c>
      <c r="CH18">
        <v>109.79</v>
      </c>
      <c r="CI18">
        <v>5.31</v>
      </c>
      <c r="CJ18">
        <v>116.6</v>
      </c>
      <c r="CK18">
        <v>2269</v>
      </c>
      <c r="CL18">
        <v>111.21</v>
      </c>
      <c r="CM18">
        <v>87.09</v>
      </c>
      <c r="CN18" s="187">
        <v>119.06</v>
      </c>
      <c r="CO18">
        <v>229.08</v>
      </c>
      <c r="CP18">
        <v>100</v>
      </c>
      <c r="CQ18">
        <v>76.959999999999994</v>
      </c>
      <c r="CR18">
        <v>74.459999999999994</v>
      </c>
      <c r="CS18" s="187">
        <v>31.88</v>
      </c>
      <c r="CT18">
        <v>108.84</v>
      </c>
      <c r="CU18">
        <v>50</v>
      </c>
      <c r="CV18">
        <v>95.94</v>
      </c>
      <c r="CW18">
        <v>91.61</v>
      </c>
      <c r="CX18" s="187">
        <v>39.130000000000003</v>
      </c>
      <c r="CY18">
        <v>135.08000000000001</v>
      </c>
      <c r="CZ18">
        <v>242</v>
      </c>
      <c r="DA18">
        <v>113.81</v>
      </c>
      <c r="DB18">
        <v>109.15</v>
      </c>
      <c r="DC18" s="187">
        <v>47.96</v>
      </c>
      <c r="DD18">
        <v>158.68</v>
      </c>
      <c r="DE18">
        <v>31</v>
      </c>
      <c r="DF18">
        <v>109.62</v>
      </c>
      <c r="DG18">
        <v>113.41</v>
      </c>
      <c r="DH18" s="187">
        <v>34.479999999999997</v>
      </c>
      <c r="DI18">
        <v>144.1</v>
      </c>
      <c r="DJ18">
        <v>1</v>
      </c>
      <c r="DK18">
        <v>0</v>
      </c>
      <c r="DL18">
        <v>0</v>
      </c>
      <c r="DM18" s="187">
        <v>0</v>
      </c>
      <c r="DN18">
        <v>0</v>
      </c>
      <c r="DO18">
        <v>0</v>
      </c>
      <c r="DP18">
        <v>94.77</v>
      </c>
      <c r="DQ18">
        <v>90.7</v>
      </c>
      <c r="DR18" s="187">
        <v>38.79</v>
      </c>
      <c r="DS18">
        <v>133.31</v>
      </c>
      <c r="DT18">
        <v>324</v>
      </c>
      <c r="DU18">
        <v>98.64</v>
      </c>
      <c r="DV18">
        <v>89.95</v>
      </c>
      <c r="DW18" s="187">
        <v>57.66</v>
      </c>
      <c r="DX18">
        <v>155.9</v>
      </c>
      <c r="DY18">
        <v>424</v>
      </c>
      <c r="DZ18">
        <v>0</v>
      </c>
      <c r="EA18">
        <v>0</v>
      </c>
      <c r="EB18" s="187">
        <v>0</v>
      </c>
      <c r="EC18">
        <v>0</v>
      </c>
      <c r="ED18">
        <v>120.67</v>
      </c>
      <c r="EE18">
        <v>118</v>
      </c>
      <c r="EF18">
        <v>151.02000000000001</v>
      </c>
      <c r="EG18" s="187">
        <v>349</v>
      </c>
      <c r="EH18">
        <v>179.42</v>
      </c>
      <c r="EI18">
        <v>253</v>
      </c>
      <c r="EJ18">
        <v>201.94</v>
      </c>
      <c r="EK18">
        <v>34</v>
      </c>
      <c r="EL18" s="187">
        <v>0</v>
      </c>
      <c r="EM18">
        <v>0</v>
      </c>
      <c r="EN18">
        <v>0</v>
      </c>
      <c r="EO18">
        <v>0</v>
      </c>
      <c r="EP18">
        <v>158.09</v>
      </c>
      <c r="EQ18" s="187">
        <v>754</v>
      </c>
      <c r="ER18">
        <v>158.09</v>
      </c>
      <c r="ES18">
        <v>754</v>
      </c>
      <c r="ET18">
        <v>0</v>
      </c>
      <c r="EU18">
        <v>0</v>
      </c>
      <c r="EV18" s="187">
        <v>0</v>
      </c>
      <c r="EW18">
        <v>0</v>
      </c>
      <c r="EX18">
        <v>0</v>
      </c>
      <c r="EY18">
        <v>0</v>
      </c>
      <c r="EZ18">
        <v>0</v>
      </c>
      <c r="FA18" s="187">
        <v>0</v>
      </c>
      <c r="FB18">
        <v>0</v>
      </c>
      <c r="FC18">
        <v>0</v>
      </c>
      <c r="FD18">
        <v>0</v>
      </c>
      <c r="FE18">
        <v>0</v>
      </c>
      <c r="FF18" s="187">
        <v>0</v>
      </c>
      <c r="FG18">
        <v>0</v>
      </c>
      <c r="FH18">
        <v>0</v>
      </c>
      <c r="FI18">
        <v>0</v>
      </c>
      <c r="FJ18">
        <v>0</v>
      </c>
      <c r="FK18" s="187">
        <v>1</v>
      </c>
      <c r="FL18">
        <v>2</v>
      </c>
      <c r="FM18">
        <v>103</v>
      </c>
      <c r="FN18">
        <v>18</v>
      </c>
    </row>
    <row r="19" spans="1:170" x14ac:dyDescent="0.35">
      <c r="A19" t="s">
        <v>430</v>
      </c>
      <c r="B19" t="s">
        <v>431</v>
      </c>
      <c r="C19" t="s">
        <v>414</v>
      </c>
      <c r="D19">
        <v>1669</v>
      </c>
      <c r="E19">
        <v>1676</v>
      </c>
      <c r="F19">
        <v>0</v>
      </c>
      <c r="G19">
        <v>0</v>
      </c>
      <c r="H19">
        <v>191</v>
      </c>
      <c r="I19">
        <v>163</v>
      </c>
      <c r="J19">
        <v>284</v>
      </c>
      <c r="K19">
        <v>284</v>
      </c>
      <c r="L19">
        <v>223</v>
      </c>
      <c r="M19">
        <v>0</v>
      </c>
      <c r="N19">
        <v>2367</v>
      </c>
      <c r="O19">
        <v>2123</v>
      </c>
      <c r="P19">
        <v>2144</v>
      </c>
      <c r="Q19">
        <v>2</v>
      </c>
      <c r="R19">
        <v>1</v>
      </c>
      <c r="S19">
        <v>24</v>
      </c>
      <c r="T19">
        <v>1</v>
      </c>
      <c r="U19">
        <v>2366</v>
      </c>
      <c r="V19" s="498">
        <v>1669</v>
      </c>
      <c r="W19">
        <v>6</v>
      </c>
      <c r="X19" s="498">
        <v>35</v>
      </c>
      <c r="Y19" s="498">
        <v>41</v>
      </c>
      <c r="Z19" s="498">
        <v>88.7</v>
      </c>
      <c r="AA19" s="498">
        <v>87.06</v>
      </c>
      <c r="AB19">
        <v>5.5</v>
      </c>
      <c r="AC19">
        <v>91.44</v>
      </c>
      <c r="AD19">
        <v>1329</v>
      </c>
      <c r="AE19">
        <v>103.59</v>
      </c>
      <c r="AF19">
        <v>87.52</v>
      </c>
      <c r="AG19">
        <v>54.3</v>
      </c>
      <c r="AH19">
        <v>154</v>
      </c>
      <c r="AI19">
        <v>474</v>
      </c>
      <c r="AJ19">
        <v>108.47</v>
      </c>
      <c r="AK19">
        <v>268</v>
      </c>
      <c r="AL19">
        <v>0</v>
      </c>
      <c r="AM19">
        <v>0</v>
      </c>
      <c r="AN19">
        <v>0</v>
      </c>
      <c r="AO19" s="499">
        <v>0</v>
      </c>
      <c r="AP19" s="499">
        <v>0</v>
      </c>
      <c r="AQ19">
        <v>0</v>
      </c>
      <c r="AR19">
        <v>0</v>
      </c>
      <c r="AS19">
        <v>0</v>
      </c>
      <c r="AT19">
        <v>0</v>
      </c>
      <c r="AU19">
        <v>0</v>
      </c>
      <c r="AV19">
        <v>0</v>
      </c>
      <c r="AW19">
        <v>0</v>
      </c>
      <c r="AX19">
        <v>70.64</v>
      </c>
      <c r="AY19">
        <v>67.48</v>
      </c>
      <c r="AZ19">
        <v>15.34</v>
      </c>
      <c r="BA19">
        <v>85.58</v>
      </c>
      <c r="BB19">
        <v>77</v>
      </c>
      <c r="BC19">
        <v>86.41</v>
      </c>
      <c r="BD19">
        <v>84.81</v>
      </c>
      <c r="BE19">
        <v>4.7699999999999996</v>
      </c>
      <c r="BF19">
        <v>89.17</v>
      </c>
      <c r="BG19">
        <v>641</v>
      </c>
      <c r="BH19">
        <v>92.57</v>
      </c>
      <c r="BI19">
        <v>91.08</v>
      </c>
      <c r="BJ19">
        <v>3.33</v>
      </c>
      <c r="BK19">
        <v>93.72</v>
      </c>
      <c r="BL19" s="214">
        <v>588</v>
      </c>
      <c r="BM19" s="214">
        <v>114.05</v>
      </c>
      <c r="BN19">
        <v>112.61</v>
      </c>
      <c r="BO19" s="187">
        <v>3.37</v>
      </c>
      <c r="BP19" s="214">
        <v>116.1</v>
      </c>
      <c r="BQ19" s="214">
        <v>23</v>
      </c>
      <c r="BR19">
        <v>0</v>
      </c>
      <c r="BS19" s="187">
        <v>0</v>
      </c>
      <c r="BT19" s="214">
        <v>0</v>
      </c>
      <c r="BU19" s="214">
        <v>0</v>
      </c>
      <c r="BV19">
        <v>0</v>
      </c>
      <c r="BW19">
        <v>0</v>
      </c>
      <c r="BX19" s="214">
        <v>0</v>
      </c>
      <c r="BY19" s="214">
        <v>0</v>
      </c>
      <c r="BZ19">
        <v>0</v>
      </c>
      <c r="CA19" s="187">
        <v>0</v>
      </c>
      <c r="CB19" s="214">
        <v>88.7</v>
      </c>
      <c r="CC19" s="214">
        <v>87.06</v>
      </c>
      <c r="CD19">
        <v>5.5</v>
      </c>
      <c r="CE19" s="187">
        <v>91.44</v>
      </c>
      <c r="CF19" s="214">
        <v>1329</v>
      </c>
      <c r="CG19" s="214">
        <v>88.7</v>
      </c>
      <c r="CH19">
        <v>87.06</v>
      </c>
      <c r="CI19">
        <v>5.5</v>
      </c>
      <c r="CJ19">
        <v>91.44</v>
      </c>
      <c r="CK19">
        <v>1329</v>
      </c>
      <c r="CL19">
        <v>127.7</v>
      </c>
      <c r="CM19">
        <v>67.13</v>
      </c>
      <c r="CN19" s="187">
        <v>79.010000000000005</v>
      </c>
      <c r="CO19">
        <v>206.71</v>
      </c>
      <c r="CP19">
        <v>69</v>
      </c>
      <c r="CQ19">
        <v>85.31</v>
      </c>
      <c r="CR19">
        <v>75.08</v>
      </c>
      <c r="CS19" s="187">
        <v>77.8</v>
      </c>
      <c r="CT19">
        <v>159.57</v>
      </c>
      <c r="CU19">
        <v>22</v>
      </c>
      <c r="CV19">
        <v>99.64</v>
      </c>
      <c r="CW19">
        <v>81.73</v>
      </c>
      <c r="CX19" s="187">
        <v>75.319999999999993</v>
      </c>
      <c r="CY19">
        <v>167.39</v>
      </c>
      <c r="CZ19">
        <v>229</v>
      </c>
      <c r="DA19">
        <v>101.28</v>
      </c>
      <c r="DB19">
        <v>98.64</v>
      </c>
      <c r="DC19" s="187">
        <v>8.9600000000000009</v>
      </c>
      <c r="DD19">
        <v>109.66</v>
      </c>
      <c r="DE19">
        <v>154</v>
      </c>
      <c r="DF19">
        <v>0</v>
      </c>
      <c r="DG19">
        <v>0</v>
      </c>
      <c r="DH19" s="187">
        <v>0</v>
      </c>
      <c r="DI19">
        <v>0</v>
      </c>
      <c r="DJ19">
        <v>0</v>
      </c>
      <c r="DK19">
        <v>0</v>
      </c>
      <c r="DL19">
        <v>0</v>
      </c>
      <c r="DM19" s="187">
        <v>0</v>
      </c>
      <c r="DN19">
        <v>0</v>
      </c>
      <c r="DO19">
        <v>0</v>
      </c>
      <c r="DP19">
        <v>99.48</v>
      </c>
      <c r="DQ19">
        <v>89.98</v>
      </c>
      <c r="DR19" s="187">
        <v>49.71</v>
      </c>
      <c r="DS19">
        <v>145.01</v>
      </c>
      <c r="DT19">
        <v>405</v>
      </c>
      <c r="DU19">
        <v>103.59</v>
      </c>
      <c r="DV19">
        <v>87.52</v>
      </c>
      <c r="DW19" s="187">
        <v>54.3</v>
      </c>
      <c r="DX19">
        <v>154</v>
      </c>
      <c r="DY19">
        <v>474</v>
      </c>
      <c r="DZ19">
        <v>0</v>
      </c>
      <c r="EA19">
        <v>0</v>
      </c>
      <c r="EB19" s="187">
        <v>0</v>
      </c>
      <c r="EC19">
        <v>0</v>
      </c>
      <c r="ED19">
        <v>98.33</v>
      </c>
      <c r="EE19">
        <v>17</v>
      </c>
      <c r="EF19">
        <v>108.16</v>
      </c>
      <c r="EG19" s="187">
        <v>153</v>
      </c>
      <c r="EH19">
        <v>108.91</v>
      </c>
      <c r="EI19">
        <v>95</v>
      </c>
      <c r="EJ19">
        <v>168.36</v>
      </c>
      <c r="EK19">
        <v>3</v>
      </c>
      <c r="EL19" s="187">
        <v>0</v>
      </c>
      <c r="EM19">
        <v>0</v>
      </c>
      <c r="EN19">
        <v>0</v>
      </c>
      <c r="EO19">
        <v>0</v>
      </c>
      <c r="EP19">
        <v>108.47</v>
      </c>
      <c r="EQ19" s="187">
        <v>268</v>
      </c>
      <c r="ER19">
        <v>108.47</v>
      </c>
      <c r="ES19">
        <v>268</v>
      </c>
      <c r="ET19">
        <v>0</v>
      </c>
      <c r="EU19">
        <v>0</v>
      </c>
      <c r="EV19" s="187">
        <v>0</v>
      </c>
      <c r="EW19">
        <v>0</v>
      </c>
      <c r="EX19">
        <v>0</v>
      </c>
      <c r="EY19">
        <v>0</v>
      </c>
      <c r="EZ19">
        <v>0</v>
      </c>
      <c r="FA19" s="187">
        <v>0</v>
      </c>
      <c r="FB19">
        <v>0</v>
      </c>
      <c r="FC19">
        <v>0</v>
      </c>
      <c r="FD19">
        <v>0</v>
      </c>
      <c r="FE19">
        <v>0</v>
      </c>
      <c r="FF19" s="187">
        <v>0</v>
      </c>
      <c r="FG19">
        <v>0</v>
      </c>
      <c r="FH19">
        <v>0</v>
      </c>
      <c r="FI19">
        <v>0</v>
      </c>
      <c r="FJ19">
        <v>0</v>
      </c>
      <c r="FK19" s="187">
        <v>2</v>
      </c>
      <c r="FL19">
        <v>10</v>
      </c>
      <c r="FM19">
        <v>9</v>
      </c>
      <c r="FN19">
        <v>3</v>
      </c>
    </row>
    <row r="20" spans="1:170" x14ac:dyDescent="0.35">
      <c r="A20" t="s">
        <v>432</v>
      </c>
      <c r="B20" t="s">
        <v>433</v>
      </c>
      <c r="C20" t="s">
        <v>2</v>
      </c>
      <c r="D20">
        <v>2411</v>
      </c>
      <c r="E20">
        <v>2651</v>
      </c>
      <c r="F20">
        <v>0</v>
      </c>
      <c r="G20">
        <v>0</v>
      </c>
      <c r="H20">
        <v>109</v>
      </c>
      <c r="I20">
        <v>95</v>
      </c>
      <c r="J20">
        <v>276</v>
      </c>
      <c r="K20">
        <v>312</v>
      </c>
      <c r="L20">
        <v>920</v>
      </c>
      <c r="M20">
        <v>82</v>
      </c>
      <c r="N20">
        <v>3716</v>
      </c>
      <c r="O20">
        <v>3140</v>
      </c>
      <c r="P20">
        <v>2796</v>
      </c>
      <c r="Q20">
        <v>8</v>
      </c>
      <c r="R20">
        <v>1</v>
      </c>
      <c r="S20">
        <v>28</v>
      </c>
      <c r="T20">
        <v>40</v>
      </c>
      <c r="U20">
        <v>3676</v>
      </c>
      <c r="V20" s="498">
        <v>2371</v>
      </c>
      <c r="W20">
        <v>25</v>
      </c>
      <c r="X20" s="498">
        <v>0</v>
      </c>
      <c r="Y20" s="498">
        <v>25</v>
      </c>
      <c r="Z20" s="498">
        <v>103.1</v>
      </c>
      <c r="AA20" s="498">
        <v>100.8</v>
      </c>
      <c r="AB20">
        <v>6.84</v>
      </c>
      <c r="AC20">
        <v>108.66</v>
      </c>
      <c r="AD20">
        <v>1785</v>
      </c>
      <c r="AE20">
        <v>124.16</v>
      </c>
      <c r="AF20">
        <v>90.62</v>
      </c>
      <c r="AG20">
        <v>51.81</v>
      </c>
      <c r="AH20">
        <v>171.22</v>
      </c>
      <c r="AI20">
        <v>294</v>
      </c>
      <c r="AJ20">
        <v>146.79</v>
      </c>
      <c r="AK20">
        <v>562</v>
      </c>
      <c r="AL20">
        <v>169.13</v>
      </c>
      <c r="AM20">
        <v>91</v>
      </c>
      <c r="AN20">
        <v>0</v>
      </c>
      <c r="AO20" s="499">
        <v>0</v>
      </c>
      <c r="AP20" s="499">
        <v>0</v>
      </c>
      <c r="AQ20">
        <v>0</v>
      </c>
      <c r="AR20">
        <v>0</v>
      </c>
      <c r="AS20">
        <v>0</v>
      </c>
      <c r="AT20">
        <v>0</v>
      </c>
      <c r="AU20">
        <v>0</v>
      </c>
      <c r="AV20">
        <v>0</v>
      </c>
      <c r="AW20">
        <v>0</v>
      </c>
      <c r="AX20">
        <v>88.21</v>
      </c>
      <c r="AY20">
        <v>86.18</v>
      </c>
      <c r="AZ20">
        <v>9.2899999999999991</v>
      </c>
      <c r="BA20">
        <v>97.26</v>
      </c>
      <c r="BB20">
        <v>414</v>
      </c>
      <c r="BC20">
        <v>102.23</v>
      </c>
      <c r="BD20">
        <v>100.11</v>
      </c>
      <c r="BE20">
        <v>7.41</v>
      </c>
      <c r="BF20">
        <v>108.23</v>
      </c>
      <c r="BG20">
        <v>801</v>
      </c>
      <c r="BH20">
        <v>114.09</v>
      </c>
      <c r="BI20">
        <v>111.32</v>
      </c>
      <c r="BJ20">
        <v>3.44</v>
      </c>
      <c r="BK20">
        <v>116.55</v>
      </c>
      <c r="BL20" s="214">
        <v>520</v>
      </c>
      <c r="BM20" s="214">
        <v>123.78</v>
      </c>
      <c r="BN20">
        <v>121.31</v>
      </c>
      <c r="BO20" s="187">
        <v>3.56</v>
      </c>
      <c r="BP20" s="214">
        <v>125.92</v>
      </c>
      <c r="BQ20" s="214">
        <v>45</v>
      </c>
      <c r="BR20">
        <v>144.47</v>
      </c>
      <c r="BS20" s="187">
        <v>142.35</v>
      </c>
      <c r="BT20" s="214">
        <v>1.92</v>
      </c>
      <c r="BU20" s="214">
        <v>145.62</v>
      </c>
      <c r="BV20">
        <v>5</v>
      </c>
      <c r="BW20">
        <v>0</v>
      </c>
      <c r="BX20" s="214">
        <v>0</v>
      </c>
      <c r="BY20" s="214">
        <v>0</v>
      </c>
      <c r="BZ20">
        <v>0</v>
      </c>
      <c r="CA20" s="187">
        <v>0</v>
      </c>
      <c r="CB20" s="214">
        <v>103.1</v>
      </c>
      <c r="CC20" s="214">
        <v>100.8</v>
      </c>
      <c r="CD20">
        <v>6.84</v>
      </c>
      <c r="CE20" s="187">
        <v>108.66</v>
      </c>
      <c r="CF20" s="214">
        <v>1785</v>
      </c>
      <c r="CG20" s="214">
        <v>103.1</v>
      </c>
      <c r="CH20">
        <v>100.8</v>
      </c>
      <c r="CI20">
        <v>6.84</v>
      </c>
      <c r="CJ20">
        <v>108.66</v>
      </c>
      <c r="CK20">
        <v>1785</v>
      </c>
      <c r="CL20">
        <v>88.47</v>
      </c>
      <c r="CM20">
        <v>80.91</v>
      </c>
      <c r="CN20" s="187">
        <v>130.69</v>
      </c>
      <c r="CO20">
        <v>189.82</v>
      </c>
      <c r="CP20">
        <v>49</v>
      </c>
      <c r="CQ20">
        <v>0</v>
      </c>
      <c r="CR20">
        <v>0</v>
      </c>
      <c r="CS20" s="187">
        <v>0</v>
      </c>
      <c r="CT20">
        <v>0</v>
      </c>
      <c r="CU20">
        <v>0</v>
      </c>
      <c r="CV20">
        <v>115.07</v>
      </c>
      <c r="CW20">
        <v>85.06</v>
      </c>
      <c r="CX20" s="187">
        <v>37.32</v>
      </c>
      <c r="CY20">
        <v>148.97999999999999</v>
      </c>
      <c r="CZ20">
        <v>175</v>
      </c>
      <c r="DA20">
        <v>173.52</v>
      </c>
      <c r="DB20">
        <v>116.38</v>
      </c>
      <c r="DC20" s="187">
        <v>42.48</v>
      </c>
      <c r="DD20">
        <v>215.99</v>
      </c>
      <c r="DE20">
        <v>68</v>
      </c>
      <c r="DF20">
        <v>116.43</v>
      </c>
      <c r="DG20">
        <v>110.1</v>
      </c>
      <c r="DH20" s="187">
        <v>22.75</v>
      </c>
      <c r="DI20">
        <v>139.18</v>
      </c>
      <c r="DJ20">
        <v>2</v>
      </c>
      <c r="DK20">
        <v>0</v>
      </c>
      <c r="DL20">
        <v>0</v>
      </c>
      <c r="DM20" s="187">
        <v>0</v>
      </c>
      <c r="DN20">
        <v>0</v>
      </c>
      <c r="DO20">
        <v>0</v>
      </c>
      <c r="DP20">
        <v>131.30000000000001</v>
      </c>
      <c r="DQ20">
        <v>93.08</v>
      </c>
      <c r="DR20" s="187">
        <v>38.72</v>
      </c>
      <c r="DS20">
        <v>167.5</v>
      </c>
      <c r="DT20">
        <v>245</v>
      </c>
      <c r="DU20">
        <v>124.16</v>
      </c>
      <c r="DV20">
        <v>90.62</v>
      </c>
      <c r="DW20" s="187">
        <v>51.81</v>
      </c>
      <c r="DX20">
        <v>171.22</v>
      </c>
      <c r="DY20">
        <v>294</v>
      </c>
      <c r="DZ20">
        <v>0</v>
      </c>
      <c r="EA20">
        <v>0</v>
      </c>
      <c r="EB20" s="187">
        <v>0</v>
      </c>
      <c r="EC20">
        <v>0</v>
      </c>
      <c r="ED20">
        <v>123.12</v>
      </c>
      <c r="EE20">
        <v>158</v>
      </c>
      <c r="EF20">
        <v>147.19</v>
      </c>
      <c r="EG20" s="187">
        <v>290</v>
      </c>
      <c r="EH20">
        <v>175.04</v>
      </c>
      <c r="EI20">
        <v>104</v>
      </c>
      <c r="EJ20">
        <v>215.49</v>
      </c>
      <c r="EK20">
        <v>10</v>
      </c>
      <c r="EL20" s="187">
        <v>0</v>
      </c>
      <c r="EM20">
        <v>0</v>
      </c>
      <c r="EN20">
        <v>0</v>
      </c>
      <c r="EO20">
        <v>0</v>
      </c>
      <c r="EP20">
        <v>146.79</v>
      </c>
      <c r="EQ20" s="187">
        <v>562</v>
      </c>
      <c r="ER20">
        <v>146.79</v>
      </c>
      <c r="ES20">
        <v>562</v>
      </c>
      <c r="ET20">
        <v>0</v>
      </c>
      <c r="EU20">
        <v>0</v>
      </c>
      <c r="EV20" s="187">
        <v>0</v>
      </c>
      <c r="EW20">
        <v>0</v>
      </c>
      <c r="EX20">
        <v>153.46</v>
      </c>
      <c r="EY20">
        <v>44</v>
      </c>
      <c r="EZ20">
        <v>183.8</v>
      </c>
      <c r="FA20" s="187">
        <v>47</v>
      </c>
      <c r="FB20">
        <v>0</v>
      </c>
      <c r="FC20">
        <v>0</v>
      </c>
      <c r="FD20">
        <v>0</v>
      </c>
      <c r="FE20">
        <v>0</v>
      </c>
      <c r="FF20" s="187">
        <v>169.13</v>
      </c>
      <c r="FG20">
        <v>91</v>
      </c>
      <c r="FH20">
        <v>169.13</v>
      </c>
      <c r="FI20">
        <v>91</v>
      </c>
      <c r="FJ20">
        <v>16</v>
      </c>
      <c r="FK20" s="187">
        <v>0</v>
      </c>
      <c r="FL20">
        <v>0</v>
      </c>
      <c r="FM20">
        <v>52</v>
      </c>
      <c r="FN20">
        <v>12</v>
      </c>
    </row>
    <row r="21" spans="1:170" x14ac:dyDescent="0.35">
      <c r="A21" t="s">
        <v>434</v>
      </c>
      <c r="B21" t="s">
        <v>435</v>
      </c>
      <c r="C21" t="s">
        <v>415</v>
      </c>
      <c r="D21">
        <v>1933</v>
      </c>
      <c r="E21">
        <v>1902</v>
      </c>
      <c r="F21">
        <v>0</v>
      </c>
      <c r="G21">
        <v>0</v>
      </c>
      <c r="H21">
        <v>132</v>
      </c>
      <c r="I21">
        <v>117</v>
      </c>
      <c r="J21">
        <v>90</v>
      </c>
      <c r="K21">
        <v>90</v>
      </c>
      <c r="L21">
        <v>199</v>
      </c>
      <c r="M21">
        <v>0</v>
      </c>
      <c r="N21">
        <v>2354</v>
      </c>
      <c r="O21">
        <v>2109</v>
      </c>
      <c r="P21">
        <v>2155</v>
      </c>
      <c r="Q21">
        <v>4</v>
      </c>
      <c r="R21">
        <v>3</v>
      </c>
      <c r="S21">
        <v>21</v>
      </c>
      <c r="T21">
        <v>42</v>
      </c>
      <c r="U21">
        <v>2312</v>
      </c>
      <c r="V21" s="498">
        <v>1902</v>
      </c>
      <c r="W21">
        <v>10</v>
      </c>
      <c r="X21" s="498">
        <v>4</v>
      </c>
      <c r="Y21" s="498">
        <v>14</v>
      </c>
      <c r="Z21" s="498">
        <v>95.87</v>
      </c>
      <c r="AA21" s="498">
        <v>94.16</v>
      </c>
      <c r="AB21">
        <v>4.57</v>
      </c>
      <c r="AC21">
        <v>98.5</v>
      </c>
      <c r="AD21">
        <v>1284</v>
      </c>
      <c r="AE21">
        <v>119.23</v>
      </c>
      <c r="AF21">
        <v>88.86</v>
      </c>
      <c r="AG21">
        <v>73.959999999999994</v>
      </c>
      <c r="AH21">
        <v>190.36</v>
      </c>
      <c r="AI21">
        <v>209</v>
      </c>
      <c r="AJ21">
        <v>126.24</v>
      </c>
      <c r="AK21">
        <v>600</v>
      </c>
      <c r="AL21">
        <v>111.59</v>
      </c>
      <c r="AM21">
        <v>2</v>
      </c>
      <c r="AN21">
        <v>0</v>
      </c>
      <c r="AO21" s="499">
        <v>0</v>
      </c>
      <c r="AP21" s="499">
        <v>0</v>
      </c>
      <c r="AQ21">
        <v>0</v>
      </c>
      <c r="AR21">
        <v>0</v>
      </c>
      <c r="AS21">
        <v>0</v>
      </c>
      <c r="AT21">
        <v>0</v>
      </c>
      <c r="AU21">
        <v>0</v>
      </c>
      <c r="AV21">
        <v>0</v>
      </c>
      <c r="AW21">
        <v>0</v>
      </c>
      <c r="AX21">
        <v>76.98</v>
      </c>
      <c r="AY21">
        <v>76.040000000000006</v>
      </c>
      <c r="AZ21">
        <v>9.15</v>
      </c>
      <c r="BA21">
        <v>83.96</v>
      </c>
      <c r="BB21">
        <v>169</v>
      </c>
      <c r="BC21">
        <v>93.94</v>
      </c>
      <c r="BD21">
        <v>92.22</v>
      </c>
      <c r="BE21">
        <v>3.85</v>
      </c>
      <c r="BF21">
        <v>96.21</v>
      </c>
      <c r="BG21">
        <v>651</v>
      </c>
      <c r="BH21">
        <v>104.6</v>
      </c>
      <c r="BI21">
        <v>102.25</v>
      </c>
      <c r="BJ21">
        <v>3.34</v>
      </c>
      <c r="BK21">
        <v>106.22</v>
      </c>
      <c r="BL21" s="214">
        <v>427</v>
      </c>
      <c r="BM21" s="214">
        <v>115.29</v>
      </c>
      <c r="BN21">
        <v>113.98</v>
      </c>
      <c r="BO21" s="187">
        <v>1.42</v>
      </c>
      <c r="BP21" s="214">
        <v>115.98</v>
      </c>
      <c r="BQ21" s="214">
        <v>37</v>
      </c>
      <c r="BR21">
        <v>0</v>
      </c>
      <c r="BS21" s="187">
        <v>0</v>
      </c>
      <c r="BT21" s="214">
        <v>0</v>
      </c>
      <c r="BU21" s="214">
        <v>0</v>
      </c>
      <c r="BV21">
        <v>0</v>
      </c>
      <c r="BW21">
        <v>0</v>
      </c>
      <c r="BX21" s="214">
        <v>0</v>
      </c>
      <c r="BY21" s="214">
        <v>0</v>
      </c>
      <c r="BZ21">
        <v>0</v>
      </c>
      <c r="CA21" s="187">
        <v>0</v>
      </c>
      <c r="CB21" s="214">
        <v>95.87</v>
      </c>
      <c r="CC21" s="214">
        <v>94.16</v>
      </c>
      <c r="CD21">
        <v>4.57</v>
      </c>
      <c r="CE21" s="187">
        <v>98.5</v>
      </c>
      <c r="CF21" s="214">
        <v>1284</v>
      </c>
      <c r="CG21" s="214">
        <v>95.87</v>
      </c>
      <c r="CH21">
        <v>94.16</v>
      </c>
      <c r="CI21">
        <v>4.57</v>
      </c>
      <c r="CJ21">
        <v>98.5</v>
      </c>
      <c r="CK21">
        <v>1284</v>
      </c>
      <c r="CL21">
        <v>126.07</v>
      </c>
      <c r="CM21">
        <v>78.59</v>
      </c>
      <c r="CN21" s="187">
        <v>105.97</v>
      </c>
      <c r="CO21">
        <v>230.68</v>
      </c>
      <c r="CP21">
        <v>78</v>
      </c>
      <c r="CQ21">
        <v>0</v>
      </c>
      <c r="CR21">
        <v>0</v>
      </c>
      <c r="CS21" s="187">
        <v>0</v>
      </c>
      <c r="CT21">
        <v>0</v>
      </c>
      <c r="CU21">
        <v>0</v>
      </c>
      <c r="CV21">
        <v>120.67</v>
      </c>
      <c r="CW21">
        <v>91.97</v>
      </c>
      <c r="CX21" s="187">
        <v>61.27</v>
      </c>
      <c r="CY21">
        <v>181.94</v>
      </c>
      <c r="CZ21">
        <v>88</v>
      </c>
      <c r="DA21">
        <v>103.85</v>
      </c>
      <c r="DB21">
        <v>97.44</v>
      </c>
      <c r="DC21" s="187">
        <v>36.53</v>
      </c>
      <c r="DD21">
        <v>134.44</v>
      </c>
      <c r="DE21">
        <v>43</v>
      </c>
      <c r="DF21">
        <v>0</v>
      </c>
      <c r="DG21">
        <v>0</v>
      </c>
      <c r="DH21" s="187">
        <v>0</v>
      </c>
      <c r="DI21">
        <v>0</v>
      </c>
      <c r="DJ21">
        <v>0</v>
      </c>
      <c r="DK21">
        <v>0</v>
      </c>
      <c r="DL21">
        <v>0</v>
      </c>
      <c r="DM21" s="187">
        <v>0</v>
      </c>
      <c r="DN21">
        <v>0</v>
      </c>
      <c r="DO21">
        <v>0</v>
      </c>
      <c r="DP21">
        <v>115.15</v>
      </c>
      <c r="DQ21">
        <v>94.19</v>
      </c>
      <c r="DR21" s="187">
        <v>54.09</v>
      </c>
      <c r="DS21">
        <v>166.35</v>
      </c>
      <c r="DT21">
        <v>131</v>
      </c>
      <c r="DU21">
        <v>119.23</v>
      </c>
      <c r="DV21">
        <v>88.86</v>
      </c>
      <c r="DW21" s="187">
        <v>73.959999999999994</v>
      </c>
      <c r="DX21">
        <v>190.36</v>
      </c>
      <c r="DY21">
        <v>209</v>
      </c>
      <c r="DZ21">
        <v>0</v>
      </c>
      <c r="EA21">
        <v>0</v>
      </c>
      <c r="EB21" s="187">
        <v>0</v>
      </c>
      <c r="EC21">
        <v>0</v>
      </c>
      <c r="ED21">
        <v>102.99</v>
      </c>
      <c r="EE21">
        <v>135</v>
      </c>
      <c r="EF21">
        <v>125.28</v>
      </c>
      <c r="EG21" s="187">
        <v>300</v>
      </c>
      <c r="EH21">
        <v>142.96</v>
      </c>
      <c r="EI21">
        <v>144</v>
      </c>
      <c r="EJ21">
        <v>172.14</v>
      </c>
      <c r="EK21">
        <v>20</v>
      </c>
      <c r="EL21" s="187">
        <v>227.51</v>
      </c>
      <c r="EM21">
        <v>1</v>
      </c>
      <c r="EN21">
        <v>0</v>
      </c>
      <c r="EO21">
        <v>0</v>
      </c>
      <c r="EP21">
        <v>126.24</v>
      </c>
      <c r="EQ21" s="187">
        <v>600</v>
      </c>
      <c r="ER21">
        <v>126.24</v>
      </c>
      <c r="ES21">
        <v>600</v>
      </c>
      <c r="ET21">
        <v>0</v>
      </c>
      <c r="EU21">
        <v>0</v>
      </c>
      <c r="EV21" s="187">
        <v>0</v>
      </c>
      <c r="EW21">
        <v>0</v>
      </c>
      <c r="EX21">
        <v>0</v>
      </c>
      <c r="EY21">
        <v>0</v>
      </c>
      <c r="EZ21">
        <v>111.59</v>
      </c>
      <c r="FA21" s="187">
        <v>2</v>
      </c>
      <c r="FB21">
        <v>0</v>
      </c>
      <c r="FC21">
        <v>0</v>
      </c>
      <c r="FD21">
        <v>0</v>
      </c>
      <c r="FE21">
        <v>0</v>
      </c>
      <c r="FF21" s="187">
        <v>111.59</v>
      </c>
      <c r="FG21">
        <v>2</v>
      </c>
      <c r="FH21">
        <v>111.59</v>
      </c>
      <c r="FI21">
        <v>2</v>
      </c>
      <c r="FJ21">
        <v>0</v>
      </c>
      <c r="FK21" s="187">
        <v>0</v>
      </c>
      <c r="FL21">
        <v>0</v>
      </c>
      <c r="FM21">
        <v>24</v>
      </c>
      <c r="FN21">
        <v>1</v>
      </c>
    </row>
    <row r="22" spans="1:170" x14ac:dyDescent="0.35">
      <c r="A22" t="s">
        <v>436</v>
      </c>
      <c r="B22" t="s">
        <v>437</v>
      </c>
      <c r="C22" t="s">
        <v>416</v>
      </c>
      <c r="D22">
        <v>4551</v>
      </c>
      <c r="E22">
        <v>4335</v>
      </c>
      <c r="F22">
        <v>0</v>
      </c>
      <c r="G22">
        <v>0</v>
      </c>
      <c r="H22">
        <v>384</v>
      </c>
      <c r="I22">
        <v>186</v>
      </c>
      <c r="J22">
        <v>439</v>
      </c>
      <c r="K22">
        <v>439</v>
      </c>
      <c r="L22">
        <v>1292</v>
      </c>
      <c r="M22">
        <v>133</v>
      </c>
      <c r="N22">
        <v>6666</v>
      </c>
      <c r="O22">
        <v>5093</v>
      </c>
      <c r="P22">
        <v>5374</v>
      </c>
      <c r="Q22">
        <v>20</v>
      </c>
      <c r="R22">
        <v>4</v>
      </c>
      <c r="S22">
        <v>21</v>
      </c>
      <c r="T22">
        <v>244</v>
      </c>
      <c r="U22">
        <v>6422</v>
      </c>
      <c r="V22" s="498">
        <v>4466</v>
      </c>
      <c r="W22">
        <v>84</v>
      </c>
      <c r="X22" s="498">
        <v>12</v>
      </c>
      <c r="Y22" s="498">
        <v>96</v>
      </c>
      <c r="Z22" s="498">
        <v>119.77</v>
      </c>
      <c r="AA22" s="498">
        <v>117.74</v>
      </c>
      <c r="AB22">
        <v>9.19</v>
      </c>
      <c r="AC22">
        <v>124.78</v>
      </c>
      <c r="AD22">
        <v>2769</v>
      </c>
      <c r="AE22">
        <v>107.5</v>
      </c>
      <c r="AF22">
        <v>102.92</v>
      </c>
      <c r="AG22">
        <v>64.91</v>
      </c>
      <c r="AH22">
        <v>169.34</v>
      </c>
      <c r="AI22">
        <v>656</v>
      </c>
      <c r="AJ22">
        <v>178.31</v>
      </c>
      <c r="AK22">
        <v>934</v>
      </c>
      <c r="AL22">
        <v>185.48</v>
      </c>
      <c r="AM22">
        <v>8</v>
      </c>
      <c r="AN22">
        <v>0</v>
      </c>
      <c r="AO22" s="499">
        <v>0</v>
      </c>
      <c r="AP22" s="499">
        <v>0</v>
      </c>
      <c r="AQ22">
        <v>0</v>
      </c>
      <c r="AR22">
        <v>0</v>
      </c>
      <c r="AS22">
        <v>87.74</v>
      </c>
      <c r="AT22">
        <v>85.29</v>
      </c>
      <c r="AU22">
        <v>30.67</v>
      </c>
      <c r="AV22">
        <v>118.41</v>
      </c>
      <c r="AW22">
        <v>9</v>
      </c>
      <c r="AX22">
        <v>94.9</v>
      </c>
      <c r="AY22">
        <v>93.08</v>
      </c>
      <c r="AZ22">
        <v>14.08</v>
      </c>
      <c r="BA22">
        <v>108.04</v>
      </c>
      <c r="BB22">
        <v>299</v>
      </c>
      <c r="BC22">
        <v>112.76</v>
      </c>
      <c r="BD22">
        <v>110.1</v>
      </c>
      <c r="BE22">
        <v>9.6199999999999992</v>
      </c>
      <c r="BF22">
        <v>117.49</v>
      </c>
      <c r="BG22">
        <v>1066</v>
      </c>
      <c r="BH22">
        <v>126.45</v>
      </c>
      <c r="BI22">
        <v>124.18</v>
      </c>
      <c r="BJ22">
        <v>8.25</v>
      </c>
      <c r="BK22">
        <v>130.11000000000001</v>
      </c>
      <c r="BL22" s="214">
        <v>1109</v>
      </c>
      <c r="BM22" s="214">
        <v>144.19999999999999</v>
      </c>
      <c r="BN22">
        <v>144.96</v>
      </c>
      <c r="BO22" s="187">
        <v>2.27</v>
      </c>
      <c r="BP22" s="214">
        <v>145.78</v>
      </c>
      <c r="BQ22" s="214">
        <v>240</v>
      </c>
      <c r="BR22">
        <v>161</v>
      </c>
      <c r="BS22" s="187">
        <v>161.46</v>
      </c>
      <c r="BT22" s="214">
        <v>4.9000000000000004</v>
      </c>
      <c r="BU22" s="214">
        <v>165.21</v>
      </c>
      <c r="BV22">
        <v>43</v>
      </c>
      <c r="BW22">
        <v>175.57</v>
      </c>
      <c r="BX22" s="214">
        <v>177.48</v>
      </c>
      <c r="BY22" s="214">
        <v>2.33</v>
      </c>
      <c r="BZ22">
        <v>176.35</v>
      </c>
      <c r="CA22" s="187">
        <v>3</v>
      </c>
      <c r="CB22" s="214">
        <v>119.77</v>
      </c>
      <c r="CC22" s="214">
        <v>117.74</v>
      </c>
      <c r="CD22">
        <v>9.19</v>
      </c>
      <c r="CE22" s="187">
        <v>124.78</v>
      </c>
      <c r="CF22" s="214">
        <v>2769</v>
      </c>
      <c r="CG22" s="214">
        <v>119.77</v>
      </c>
      <c r="CH22">
        <v>117.74</v>
      </c>
      <c r="CI22">
        <v>9.19</v>
      </c>
      <c r="CJ22">
        <v>124.78</v>
      </c>
      <c r="CK22">
        <v>2769</v>
      </c>
      <c r="CL22">
        <v>96.69</v>
      </c>
      <c r="CM22">
        <v>94.68</v>
      </c>
      <c r="CN22" s="187">
        <v>23.77</v>
      </c>
      <c r="CO22">
        <v>120.46</v>
      </c>
      <c r="CP22">
        <v>64</v>
      </c>
      <c r="CQ22">
        <v>82.78</v>
      </c>
      <c r="CR22">
        <v>81.64</v>
      </c>
      <c r="CS22" s="187">
        <v>62.87</v>
      </c>
      <c r="CT22">
        <v>145.65</v>
      </c>
      <c r="CU22">
        <v>35</v>
      </c>
      <c r="CV22">
        <v>107.68</v>
      </c>
      <c r="CW22">
        <v>101.8</v>
      </c>
      <c r="CX22" s="187">
        <v>68.16</v>
      </c>
      <c r="CY22">
        <v>175.13</v>
      </c>
      <c r="CZ22">
        <v>480</v>
      </c>
      <c r="DA22">
        <v>127.54</v>
      </c>
      <c r="DB22">
        <v>125.61</v>
      </c>
      <c r="DC22" s="187">
        <v>87.08</v>
      </c>
      <c r="DD22">
        <v>184.27</v>
      </c>
      <c r="DE22">
        <v>66</v>
      </c>
      <c r="DF22">
        <v>123.78</v>
      </c>
      <c r="DG22">
        <v>127.77</v>
      </c>
      <c r="DH22" s="187">
        <v>100.93</v>
      </c>
      <c r="DI22">
        <v>194.43</v>
      </c>
      <c r="DJ22">
        <v>10</v>
      </c>
      <c r="DK22">
        <v>94.86</v>
      </c>
      <c r="DL22">
        <v>165.51</v>
      </c>
      <c r="DM22" s="187">
        <v>16.28</v>
      </c>
      <c r="DN22">
        <v>111.14</v>
      </c>
      <c r="DO22">
        <v>1</v>
      </c>
      <c r="DP22">
        <v>108.67</v>
      </c>
      <c r="DQ22">
        <v>103.81</v>
      </c>
      <c r="DR22" s="187">
        <v>69.599999999999994</v>
      </c>
      <c r="DS22">
        <v>174.63</v>
      </c>
      <c r="DT22">
        <v>592</v>
      </c>
      <c r="DU22">
        <v>107.5</v>
      </c>
      <c r="DV22">
        <v>102.92</v>
      </c>
      <c r="DW22" s="187">
        <v>64.91</v>
      </c>
      <c r="DX22">
        <v>169.34</v>
      </c>
      <c r="DY22">
        <v>656</v>
      </c>
      <c r="DZ22">
        <v>0</v>
      </c>
      <c r="EA22">
        <v>0</v>
      </c>
      <c r="EB22" s="187">
        <v>0</v>
      </c>
      <c r="EC22">
        <v>0</v>
      </c>
      <c r="ED22">
        <v>146.52000000000001</v>
      </c>
      <c r="EE22">
        <v>251</v>
      </c>
      <c r="EF22">
        <v>165.42</v>
      </c>
      <c r="EG22" s="187">
        <v>349</v>
      </c>
      <c r="EH22">
        <v>216.15</v>
      </c>
      <c r="EI22">
        <v>308</v>
      </c>
      <c r="EJ22">
        <v>212.75</v>
      </c>
      <c r="EK22">
        <v>24</v>
      </c>
      <c r="EL22" s="187">
        <v>179.16</v>
      </c>
      <c r="EM22">
        <v>2</v>
      </c>
      <c r="EN22">
        <v>0</v>
      </c>
      <c r="EO22">
        <v>0</v>
      </c>
      <c r="EP22">
        <v>178.31</v>
      </c>
      <c r="EQ22" s="187">
        <v>934</v>
      </c>
      <c r="ER22">
        <v>178.31</v>
      </c>
      <c r="ES22">
        <v>934</v>
      </c>
      <c r="ET22">
        <v>0</v>
      </c>
      <c r="EU22">
        <v>0</v>
      </c>
      <c r="EV22" s="187">
        <v>0</v>
      </c>
      <c r="EW22">
        <v>0</v>
      </c>
      <c r="EX22">
        <v>185.48</v>
      </c>
      <c r="EY22">
        <v>8</v>
      </c>
      <c r="EZ22">
        <v>0</v>
      </c>
      <c r="FA22" s="187">
        <v>0</v>
      </c>
      <c r="FB22">
        <v>0</v>
      </c>
      <c r="FC22">
        <v>0</v>
      </c>
      <c r="FD22">
        <v>0</v>
      </c>
      <c r="FE22">
        <v>0</v>
      </c>
      <c r="FF22" s="187">
        <v>185.48</v>
      </c>
      <c r="FG22">
        <v>8</v>
      </c>
      <c r="FH22">
        <v>185.48</v>
      </c>
      <c r="FI22">
        <v>8</v>
      </c>
      <c r="FJ22">
        <v>0</v>
      </c>
      <c r="FK22" s="187">
        <v>3</v>
      </c>
      <c r="FL22">
        <v>10</v>
      </c>
      <c r="FM22">
        <v>110</v>
      </c>
      <c r="FN22">
        <v>48</v>
      </c>
    </row>
    <row r="23" spans="1:170" x14ac:dyDescent="0.35">
      <c r="A23" t="s">
        <v>438</v>
      </c>
      <c r="B23" t="s">
        <v>439</v>
      </c>
      <c r="C23" t="s">
        <v>416</v>
      </c>
      <c r="D23">
        <v>7689</v>
      </c>
      <c r="E23">
        <v>7320</v>
      </c>
      <c r="F23">
        <v>20</v>
      </c>
      <c r="G23">
        <v>3</v>
      </c>
      <c r="H23">
        <v>674</v>
      </c>
      <c r="I23">
        <v>271</v>
      </c>
      <c r="J23">
        <v>1151</v>
      </c>
      <c r="K23">
        <v>524</v>
      </c>
      <c r="L23">
        <v>1506</v>
      </c>
      <c r="M23">
        <v>140</v>
      </c>
      <c r="N23">
        <v>11040</v>
      </c>
      <c r="O23">
        <v>8258</v>
      </c>
      <c r="P23">
        <v>9534</v>
      </c>
      <c r="Q23">
        <v>22</v>
      </c>
      <c r="R23">
        <v>30</v>
      </c>
      <c r="S23">
        <v>30</v>
      </c>
      <c r="T23">
        <v>1548</v>
      </c>
      <c r="U23">
        <v>9492</v>
      </c>
      <c r="V23" s="498">
        <v>7064</v>
      </c>
      <c r="W23">
        <v>38</v>
      </c>
      <c r="X23" s="498">
        <v>81</v>
      </c>
      <c r="Y23" s="498">
        <v>119</v>
      </c>
      <c r="Z23" s="498">
        <v>130.58000000000001</v>
      </c>
      <c r="AA23" s="498">
        <v>129.6</v>
      </c>
      <c r="AB23">
        <v>14.43</v>
      </c>
      <c r="AC23">
        <v>142.83000000000001</v>
      </c>
      <c r="AD23">
        <v>5760</v>
      </c>
      <c r="AE23">
        <v>118.1</v>
      </c>
      <c r="AF23">
        <v>109.46</v>
      </c>
      <c r="AG23">
        <v>55.85</v>
      </c>
      <c r="AH23">
        <v>168.42</v>
      </c>
      <c r="AI23">
        <v>908</v>
      </c>
      <c r="AJ23">
        <v>222.5</v>
      </c>
      <c r="AK23">
        <v>1539</v>
      </c>
      <c r="AL23">
        <v>228.39</v>
      </c>
      <c r="AM23">
        <v>43</v>
      </c>
      <c r="AN23">
        <v>94.97</v>
      </c>
      <c r="AO23" s="499">
        <v>94.97</v>
      </c>
      <c r="AP23" s="499">
        <v>40.43</v>
      </c>
      <c r="AQ23">
        <v>135.4</v>
      </c>
      <c r="AR23">
        <v>3</v>
      </c>
      <c r="AS23">
        <v>90.28</v>
      </c>
      <c r="AT23">
        <v>89.34</v>
      </c>
      <c r="AU23">
        <v>12.91</v>
      </c>
      <c r="AV23">
        <v>100.98</v>
      </c>
      <c r="AW23">
        <v>82</v>
      </c>
      <c r="AX23">
        <v>109.4</v>
      </c>
      <c r="AY23">
        <v>108.76</v>
      </c>
      <c r="AZ23">
        <v>15.43</v>
      </c>
      <c r="BA23">
        <v>123.45</v>
      </c>
      <c r="BB23">
        <v>1097</v>
      </c>
      <c r="BC23">
        <v>127.81</v>
      </c>
      <c r="BD23">
        <v>126.13</v>
      </c>
      <c r="BE23">
        <v>16.14</v>
      </c>
      <c r="BF23">
        <v>141.82</v>
      </c>
      <c r="BG23">
        <v>2634</v>
      </c>
      <c r="BH23">
        <v>145.97999999999999</v>
      </c>
      <c r="BI23">
        <v>145.19</v>
      </c>
      <c r="BJ23">
        <v>12.15</v>
      </c>
      <c r="BK23">
        <v>155.47</v>
      </c>
      <c r="BL23" s="214">
        <v>1567</v>
      </c>
      <c r="BM23" s="214">
        <v>157.38</v>
      </c>
      <c r="BN23">
        <v>159.03</v>
      </c>
      <c r="BO23" s="187">
        <v>8.0399999999999991</v>
      </c>
      <c r="BP23" s="214">
        <v>163.9</v>
      </c>
      <c r="BQ23" s="214">
        <v>332</v>
      </c>
      <c r="BR23">
        <v>150.37</v>
      </c>
      <c r="BS23" s="187">
        <v>155.46</v>
      </c>
      <c r="BT23" s="214">
        <v>5.9</v>
      </c>
      <c r="BU23" s="214">
        <v>155.72</v>
      </c>
      <c r="BV23">
        <v>43</v>
      </c>
      <c r="BW23">
        <v>163.35</v>
      </c>
      <c r="BX23" s="214">
        <v>192.64</v>
      </c>
      <c r="BY23" s="214">
        <v>3.33</v>
      </c>
      <c r="BZ23">
        <v>166.67</v>
      </c>
      <c r="CA23" s="187">
        <v>2</v>
      </c>
      <c r="CB23" s="214">
        <v>130.6</v>
      </c>
      <c r="CC23" s="214">
        <v>129.62</v>
      </c>
      <c r="CD23">
        <v>14.42</v>
      </c>
      <c r="CE23" s="187">
        <v>142.84</v>
      </c>
      <c r="CF23" s="214">
        <v>5757</v>
      </c>
      <c r="CG23" s="214">
        <v>130.58000000000001</v>
      </c>
      <c r="CH23">
        <v>129.6</v>
      </c>
      <c r="CI23">
        <v>14.43</v>
      </c>
      <c r="CJ23">
        <v>142.83000000000001</v>
      </c>
      <c r="CK23">
        <v>5760</v>
      </c>
      <c r="CL23">
        <v>99.26</v>
      </c>
      <c r="CM23">
        <v>89.2</v>
      </c>
      <c r="CN23" s="187">
        <v>122.43</v>
      </c>
      <c r="CO23">
        <v>159.30000000000001</v>
      </c>
      <c r="CP23">
        <v>157</v>
      </c>
      <c r="CQ23">
        <v>99.62</v>
      </c>
      <c r="CR23">
        <v>97.07</v>
      </c>
      <c r="CS23" s="187">
        <v>48.19</v>
      </c>
      <c r="CT23">
        <v>147.81</v>
      </c>
      <c r="CU23">
        <v>72</v>
      </c>
      <c r="CV23">
        <v>122.21</v>
      </c>
      <c r="CW23">
        <v>114.02</v>
      </c>
      <c r="CX23" s="187">
        <v>51.27</v>
      </c>
      <c r="CY23">
        <v>172.8</v>
      </c>
      <c r="CZ23">
        <v>607</v>
      </c>
      <c r="DA23">
        <v>143.32</v>
      </c>
      <c r="DB23">
        <v>134.26</v>
      </c>
      <c r="DC23" s="187">
        <v>30.88</v>
      </c>
      <c r="DD23">
        <v>173.26</v>
      </c>
      <c r="DE23">
        <v>66</v>
      </c>
      <c r="DF23">
        <v>139.72999999999999</v>
      </c>
      <c r="DG23">
        <v>145.09</v>
      </c>
      <c r="DH23" s="187">
        <v>17.21</v>
      </c>
      <c r="DI23">
        <v>156.94</v>
      </c>
      <c r="DJ23">
        <v>6</v>
      </c>
      <c r="DK23">
        <v>0</v>
      </c>
      <c r="DL23">
        <v>0</v>
      </c>
      <c r="DM23" s="187">
        <v>0</v>
      </c>
      <c r="DN23">
        <v>0</v>
      </c>
      <c r="DO23">
        <v>0</v>
      </c>
      <c r="DP23">
        <v>122.04</v>
      </c>
      <c r="DQ23">
        <v>114.09</v>
      </c>
      <c r="DR23" s="187">
        <v>48.94</v>
      </c>
      <c r="DS23">
        <v>170.32</v>
      </c>
      <c r="DT23">
        <v>751</v>
      </c>
      <c r="DU23">
        <v>118.1</v>
      </c>
      <c r="DV23">
        <v>109.46</v>
      </c>
      <c r="DW23" s="187">
        <v>55.85</v>
      </c>
      <c r="DX23">
        <v>168.42</v>
      </c>
      <c r="DY23">
        <v>908</v>
      </c>
      <c r="DZ23">
        <v>0</v>
      </c>
      <c r="EA23">
        <v>0</v>
      </c>
      <c r="EB23" s="187">
        <v>208.81</v>
      </c>
      <c r="EC23">
        <v>8</v>
      </c>
      <c r="ED23">
        <v>184.14</v>
      </c>
      <c r="EE23">
        <v>389</v>
      </c>
      <c r="EF23">
        <v>229.13</v>
      </c>
      <c r="EG23" s="187">
        <v>782</v>
      </c>
      <c r="EH23">
        <v>245.61</v>
      </c>
      <c r="EI23">
        <v>321</v>
      </c>
      <c r="EJ23">
        <v>286.35000000000002</v>
      </c>
      <c r="EK23">
        <v>38</v>
      </c>
      <c r="EL23" s="187">
        <v>228.17</v>
      </c>
      <c r="EM23">
        <v>1</v>
      </c>
      <c r="EN23">
        <v>0</v>
      </c>
      <c r="EO23">
        <v>0</v>
      </c>
      <c r="EP23">
        <v>222.5</v>
      </c>
      <c r="EQ23" s="187">
        <v>1539</v>
      </c>
      <c r="ER23">
        <v>222.5</v>
      </c>
      <c r="ES23">
        <v>1539</v>
      </c>
      <c r="ET23">
        <v>0</v>
      </c>
      <c r="EU23">
        <v>0</v>
      </c>
      <c r="EV23" s="187">
        <v>225.59</v>
      </c>
      <c r="EW23">
        <v>4</v>
      </c>
      <c r="EX23">
        <v>224.84</v>
      </c>
      <c r="EY23">
        <v>37</v>
      </c>
      <c r="EZ23">
        <v>299.64</v>
      </c>
      <c r="FA23" s="187">
        <v>2</v>
      </c>
      <c r="FB23">
        <v>0</v>
      </c>
      <c r="FC23">
        <v>0</v>
      </c>
      <c r="FD23">
        <v>0</v>
      </c>
      <c r="FE23">
        <v>0</v>
      </c>
      <c r="FF23" s="187">
        <v>228.39</v>
      </c>
      <c r="FG23">
        <v>43</v>
      </c>
      <c r="FH23">
        <v>228.39</v>
      </c>
      <c r="FI23">
        <v>43</v>
      </c>
      <c r="FJ23">
        <v>2</v>
      </c>
      <c r="FK23" s="187">
        <v>3</v>
      </c>
      <c r="FL23">
        <v>4</v>
      </c>
      <c r="FM23">
        <v>107</v>
      </c>
      <c r="FN23">
        <v>53</v>
      </c>
    </row>
    <row r="24" spans="1:170" x14ac:dyDescent="0.35">
      <c r="A24" t="s">
        <v>440</v>
      </c>
      <c r="B24" t="s">
        <v>441</v>
      </c>
      <c r="C24" t="s">
        <v>1048</v>
      </c>
      <c r="D24">
        <v>3127</v>
      </c>
      <c r="E24">
        <v>3077</v>
      </c>
      <c r="F24">
        <v>0</v>
      </c>
      <c r="G24">
        <v>0</v>
      </c>
      <c r="H24">
        <v>343</v>
      </c>
      <c r="I24">
        <v>222</v>
      </c>
      <c r="J24">
        <v>672</v>
      </c>
      <c r="K24">
        <v>672</v>
      </c>
      <c r="L24">
        <v>413</v>
      </c>
      <c r="M24">
        <v>0</v>
      </c>
      <c r="N24">
        <v>4555</v>
      </c>
      <c r="O24">
        <v>3971</v>
      </c>
      <c r="P24">
        <v>4142</v>
      </c>
      <c r="Q24">
        <v>0</v>
      </c>
      <c r="R24">
        <v>5</v>
      </c>
      <c r="S24">
        <v>21</v>
      </c>
      <c r="T24">
        <v>40</v>
      </c>
      <c r="U24">
        <v>4515</v>
      </c>
      <c r="V24" s="498">
        <v>3122</v>
      </c>
      <c r="W24">
        <v>33</v>
      </c>
      <c r="X24" s="498">
        <v>22</v>
      </c>
      <c r="Y24" s="498">
        <v>55</v>
      </c>
      <c r="Z24" s="498">
        <v>87.87</v>
      </c>
      <c r="AA24" s="498">
        <v>84.53</v>
      </c>
      <c r="AB24">
        <v>4.99</v>
      </c>
      <c r="AC24">
        <v>90.15</v>
      </c>
      <c r="AD24">
        <v>1868</v>
      </c>
      <c r="AE24">
        <v>91.34</v>
      </c>
      <c r="AF24">
        <v>82.77</v>
      </c>
      <c r="AG24">
        <v>40.659999999999997</v>
      </c>
      <c r="AH24">
        <v>127.74</v>
      </c>
      <c r="AI24">
        <v>975</v>
      </c>
      <c r="AJ24">
        <v>97.43</v>
      </c>
      <c r="AK24">
        <v>1166</v>
      </c>
      <c r="AL24">
        <v>202.38</v>
      </c>
      <c r="AM24">
        <v>10</v>
      </c>
      <c r="AN24">
        <v>0</v>
      </c>
      <c r="AO24" s="499">
        <v>0</v>
      </c>
      <c r="AP24" s="499">
        <v>0</v>
      </c>
      <c r="AQ24">
        <v>0</v>
      </c>
      <c r="AR24">
        <v>0</v>
      </c>
      <c r="AS24">
        <v>59.23</v>
      </c>
      <c r="AT24">
        <v>61.46</v>
      </c>
      <c r="AU24">
        <v>14.88</v>
      </c>
      <c r="AV24">
        <v>74.11</v>
      </c>
      <c r="AW24">
        <v>15</v>
      </c>
      <c r="AX24">
        <v>71.599999999999994</v>
      </c>
      <c r="AY24">
        <v>68.58</v>
      </c>
      <c r="AZ24">
        <v>5.71</v>
      </c>
      <c r="BA24">
        <v>76.69</v>
      </c>
      <c r="BB24">
        <v>271</v>
      </c>
      <c r="BC24">
        <v>85.76</v>
      </c>
      <c r="BD24">
        <v>82.17</v>
      </c>
      <c r="BE24">
        <v>5.42</v>
      </c>
      <c r="BF24">
        <v>88.23</v>
      </c>
      <c r="BG24">
        <v>828</v>
      </c>
      <c r="BH24">
        <v>95.46</v>
      </c>
      <c r="BI24">
        <v>92.26</v>
      </c>
      <c r="BJ24">
        <v>2.93</v>
      </c>
      <c r="BK24">
        <v>96.27</v>
      </c>
      <c r="BL24" s="214">
        <v>685</v>
      </c>
      <c r="BM24" s="214">
        <v>107.38</v>
      </c>
      <c r="BN24">
        <v>103.14</v>
      </c>
      <c r="BO24" s="187">
        <v>1.95</v>
      </c>
      <c r="BP24" s="214">
        <v>108.23</v>
      </c>
      <c r="BQ24" s="214">
        <v>66</v>
      </c>
      <c r="BR24">
        <v>112.72</v>
      </c>
      <c r="BS24" s="187">
        <v>111.98</v>
      </c>
      <c r="BT24" s="214">
        <v>0.04</v>
      </c>
      <c r="BU24" s="214">
        <v>112.74</v>
      </c>
      <c r="BV24">
        <v>2</v>
      </c>
      <c r="BW24">
        <v>131.21</v>
      </c>
      <c r="BX24" s="214">
        <v>124.96</v>
      </c>
      <c r="BY24" s="214">
        <v>0</v>
      </c>
      <c r="BZ24">
        <v>131.21</v>
      </c>
      <c r="CA24" s="187">
        <v>1</v>
      </c>
      <c r="CB24" s="214">
        <v>87.87</v>
      </c>
      <c r="CC24" s="214">
        <v>84.53</v>
      </c>
      <c r="CD24">
        <v>4.99</v>
      </c>
      <c r="CE24" s="187">
        <v>90.15</v>
      </c>
      <c r="CF24" s="214">
        <v>1868</v>
      </c>
      <c r="CG24" s="214">
        <v>87.87</v>
      </c>
      <c r="CH24">
        <v>84.53</v>
      </c>
      <c r="CI24">
        <v>4.99</v>
      </c>
      <c r="CJ24">
        <v>90.15</v>
      </c>
      <c r="CK24">
        <v>1868</v>
      </c>
      <c r="CL24">
        <v>75.650000000000006</v>
      </c>
      <c r="CM24">
        <v>69.040000000000006</v>
      </c>
      <c r="CN24" s="187">
        <v>42.47</v>
      </c>
      <c r="CO24">
        <v>112.9</v>
      </c>
      <c r="CP24">
        <v>114</v>
      </c>
      <c r="CQ24">
        <v>91.87</v>
      </c>
      <c r="CR24">
        <v>87.72</v>
      </c>
      <c r="CS24" s="187">
        <v>5.81</v>
      </c>
      <c r="CT24">
        <v>92.11</v>
      </c>
      <c r="CU24">
        <v>24</v>
      </c>
      <c r="CV24">
        <v>84.08</v>
      </c>
      <c r="CW24">
        <v>74.290000000000006</v>
      </c>
      <c r="CX24" s="187">
        <v>34.770000000000003</v>
      </c>
      <c r="CY24">
        <v>118.4</v>
      </c>
      <c r="CZ24">
        <v>453</v>
      </c>
      <c r="DA24">
        <v>104.55</v>
      </c>
      <c r="DB24">
        <v>96.31</v>
      </c>
      <c r="DC24" s="187">
        <v>47.47</v>
      </c>
      <c r="DD24">
        <v>144.75</v>
      </c>
      <c r="DE24">
        <v>372</v>
      </c>
      <c r="DF24">
        <v>103.93</v>
      </c>
      <c r="DG24">
        <v>96.54</v>
      </c>
      <c r="DH24" s="187">
        <v>74.34</v>
      </c>
      <c r="DI24">
        <v>165.88</v>
      </c>
      <c r="DJ24">
        <v>12</v>
      </c>
      <c r="DK24">
        <v>0</v>
      </c>
      <c r="DL24">
        <v>0</v>
      </c>
      <c r="DM24" s="187">
        <v>0</v>
      </c>
      <c r="DN24">
        <v>0</v>
      </c>
      <c r="DO24">
        <v>0</v>
      </c>
      <c r="DP24">
        <v>93.42</v>
      </c>
      <c r="DQ24">
        <v>84.42</v>
      </c>
      <c r="DR24" s="187">
        <v>40.42</v>
      </c>
      <c r="DS24">
        <v>129.71</v>
      </c>
      <c r="DT24">
        <v>861</v>
      </c>
      <c r="DU24">
        <v>91.34</v>
      </c>
      <c r="DV24">
        <v>82.77</v>
      </c>
      <c r="DW24" s="187">
        <v>40.659999999999997</v>
      </c>
      <c r="DX24">
        <v>127.74</v>
      </c>
      <c r="DY24">
        <v>975</v>
      </c>
      <c r="DZ24">
        <v>0</v>
      </c>
      <c r="EA24">
        <v>0</v>
      </c>
      <c r="EB24" s="187">
        <v>0</v>
      </c>
      <c r="EC24">
        <v>0</v>
      </c>
      <c r="ED24">
        <v>80.86</v>
      </c>
      <c r="EE24">
        <v>34</v>
      </c>
      <c r="EF24">
        <v>94.79</v>
      </c>
      <c r="EG24" s="187">
        <v>708</v>
      </c>
      <c r="EH24">
        <v>102.74</v>
      </c>
      <c r="EI24">
        <v>389</v>
      </c>
      <c r="EJ24">
        <v>107.79</v>
      </c>
      <c r="EK24">
        <v>35</v>
      </c>
      <c r="EL24" s="187">
        <v>0</v>
      </c>
      <c r="EM24">
        <v>0</v>
      </c>
      <c r="EN24">
        <v>0</v>
      </c>
      <c r="EO24">
        <v>0</v>
      </c>
      <c r="EP24">
        <v>97.43</v>
      </c>
      <c r="EQ24" s="187">
        <v>1166</v>
      </c>
      <c r="ER24">
        <v>97.43</v>
      </c>
      <c r="ES24">
        <v>1166</v>
      </c>
      <c r="ET24">
        <v>0</v>
      </c>
      <c r="EU24">
        <v>0</v>
      </c>
      <c r="EV24" s="187">
        <v>0</v>
      </c>
      <c r="EW24">
        <v>0</v>
      </c>
      <c r="EX24">
        <v>0</v>
      </c>
      <c r="EY24">
        <v>0</v>
      </c>
      <c r="EZ24">
        <v>202.38</v>
      </c>
      <c r="FA24" s="187">
        <v>10</v>
      </c>
      <c r="FB24">
        <v>0</v>
      </c>
      <c r="FC24">
        <v>0</v>
      </c>
      <c r="FD24">
        <v>0</v>
      </c>
      <c r="FE24">
        <v>0</v>
      </c>
      <c r="FF24" s="187">
        <v>202.38</v>
      </c>
      <c r="FG24">
        <v>10</v>
      </c>
      <c r="FH24">
        <v>202.38</v>
      </c>
      <c r="FI24">
        <v>10</v>
      </c>
      <c r="FJ24">
        <v>0</v>
      </c>
      <c r="FK24" s="187">
        <v>6</v>
      </c>
      <c r="FL24">
        <v>12</v>
      </c>
      <c r="FM24">
        <v>30</v>
      </c>
      <c r="FN24">
        <v>8</v>
      </c>
    </row>
    <row r="25" spans="1:170" x14ac:dyDescent="0.35">
      <c r="A25" t="s">
        <v>442</v>
      </c>
      <c r="B25" t="s">
        <v>443</v>
      </c>
      <c r="C25" t="s">
        <v>418</v>
      </c>
      <c r="D25">
        <v>526</v>
      </c>
      <c r="E25">
        <v>524</v>
      </c>
      <c r="F25">
        <v>0</v>
      </c>
      <c r="G25">
        <v>0</v>
      </c>
      <c r="H25">
        <v>267</v>
      </c>
      <c r="I25">
        <v>204</v>
      </c>
      <c r="J25">
        <v>196</v>
      </c>
      <c r="K25">
        <v>196</v>
      </c>
      <c r="L25">
        <v>25</v>
      </c>
      <c r="M25">
        <v>0</v>
      </c>
      <c r="N25">
        <v>1014</v>
      </c>
      <c r="O25">
        <v>924</v>
      </c>
      <c r="P25">
        <v>989</v>
      </c>
      <c r="Q25">
        <v>3</v>
      </c>
      <c r="R25">
        <v>5</v>
      </c>
      <c r="S25">
        <v>11</v>
      </c>
      <c r="T25">
        <v>43</v>
      </c>
      <c r="U25">
        <v>971</v>
      </c>
      <c r="V25" s="498">
        <v>524</v>
      </c>
      <c r="W25">
        <v>2</v>
      </c>
      <c r="X25" s="498">
        <v>0</v>
      </c>
      <c r="Y25" s="498">
        <v>2</v>
      </c>
      <c r="Z25" s="498">
        <v>82.03</v>
      </c>
      <c r="AA25" s="498">
        <v>78.56</v>
      </c>
      <c r="AB25">
        <v>7.36</v>
      </c>
      <c r="AC25">
        <v>86.69</v>
      </c>
      <c r="AD25">
        <v>474</v>
      </c>
      <c r="AE25">
        <v>104.67</v>
      </c>
      <c r="AF25">
        <v>81.02</v>
      </c>
      <c r="AG25">
        <v>94.33</v>
      </c>
      <c r="AH25">
        <v>199</v>
      </c>
      <c r="AI25">
        <v>422</v>
      </c>
      <c r="AJ25">
        <v>109.92</v>
      </c>
      <c r="AK25">
        <v>33</v>
      </c>
      <c r="AL25">
        <v>151.36000000000001</v>
      </c>
      <c r="AM25">
        <v>8</v>
      </c>
      <c r="AN25">
        <v>0</v>
      </c>
      <c r="AO25" s="499">
        <v>0</v>
      </c>
      <c r="AP25" s="499">
        <v>0</v>
      </c>
      <c r="AQ25">
        <v>0</v>
      </c>
      <c r="AR25">
        <v>0</v>
      </c>
      <c r="AS25">
        <v>0</v>
      </c>
      <c r="AT25">
        <v>0</v>
      </c>
      <c r="AU25">
        <v>0</v>
      </c>
      <c r="AV25">
        <v>0</v>
      </c>
      <c r="AW25">
        <v>0</v>
      </c>
      <c r="AX25">
        <v>72.77</v>
      </c>
      <c r="AY25">
        <v>69.900000000000006</v>
      </c>
      <c r="AZ25">
        <v>9.2899999999999991</v>
      </c>
      <c r="BA25">
        <v>81.91</v>
      </c>
      <c r="BB25">
        <v>184</v>
      </c>
      <c r="BC25">
        <v>82.87</v>
      </c>
      <c r="BD25">
        <v>79.16</v>
      </c>
      <c r="BE25">
        <v>5.82</v>
      </c>
      <c r="BF25">
        <v>86.11</v>
      </c>
      <c r="BG25">
        <v>151</v>
      </c>
      <c r="BH25">
        <v>92.54</v>
      </c>
      <c r="BI25">
        <v>88.53</v>
      </c>
      <c r="BJ25">
        <v>1.08</v>
      </c>
      <c r="BK25">
        <v>92.84</v>
      </c>
      <c r="BL25" s="214">
        <v>121</v>
      </c>
      <c r="BM25" s="214">
        <v>99.16</v>
      </c>
      <c r="BN25">
        <v>94.94</v>
      </c>
      <c r="BO25" s="187">
        <v>1.1100000000000001</v>
      </c>
      <c r="BP25" s="214">
        <v>99.22</v>
      </c>
      <c r="BQ25" s="214">
        <v>18</v>
      </c>
      <c r="BR25">
        <v>0</v>
      </c>
      <c r="BS25" s="187">
        <v>0</v>
      </c>
      <c r="BT25" s="214">
        <v>0</v>
      </c>
      <c r="BU25" s="214">
        <v>0</v>
      </c>
      <c r="BV25">
        <v>0</v>
      </c>
      <c r="BW25">
        <v>0</v>
      </c>
      <c r="BX25" s="214">
        <v>0</v>
      </c>
      <c r="BY25" s="214">
        <v>0</v>
      </c>
      <c r="BZ25">
        <v>0</v>
      </c>
      <c r="CA25" s="187">
        <v>0</v>
      </c>
      <c r="CB25" s="214">
        <v>82.03</v>
      </c>
      <c r="CC25" s="214">
        <v>78.56</v>
      </c>
      <c r="CD25">
        <v>7.36</v>
      </c>
      <c r="CE25" s="187">
        <v>86.69</v>
      </c>
      <c r="CF25" s="214">
        <v>474</v>
      </c>
      <c r="CG25" s="214">
        <v>82.03</v>
      </c>
      <c r="CH25">
        <v>78.56</v>
      </c>
      <c r="CI25">
        <v>7.36</v>
      </c>
      <c r="CJ25">
        <v>86.69</v>
      </c>
      <c r="CK25">
        <v>474</v>
      </c>
      <c r="CL25">
        <v>110.13</v>
      </c>
      <c r="CM25">
        <v>79.930000000000007</v>
      </c>
      <c r="CN25" s="187">
        <v>53.48</v>
      </c>
      <c r="CO25">
        <v>163.61000000000001</v>
      </c>
      <c r="CP25">
        <v>42</v>
      </c>
      <c r="CQ25">
        <v>75.900000000000006</v>
      </c>
      <c r="CR25">
        <v>71.02</v>
      </c>
      <c r="CS25" s="187">
        <v>53.43</v>
      </c>
      <c r="CT25">
        <v>129.33000000000001</v>
      </c>
      <c r="CU25">
        <v>72</v>
      </c>
      <c r="CV25">
        <v>104.48</v>
      </c>
      <c r="CW25">
        <v>82.34</v>
      </c>
      <c r="CX25" s="187">
        <v>73.55</v>
      </c>
      <c r="CY25">
        <v>178.03</v>
      </c>
      <c r="CZ25">
        <v>191</v>
      </c>
      <c r="DA25">
        <v>120.79</v>
      </c>
      <c r="DB25">
        <v>118</v>
      </c>
      <c r="DC25" s="187">
        <v>170.56</v>
      </c>
      <c r="DD25">
        <v>291.35000000000002</v>
      </c>
      <c r="DE25">
        <v>95</v>
      </c>
      <c r="DF25">
        <v>120.32</v>
      </c>
      <c r="DG25">
        <v>102.85</v>
      </c>
      <c r="DH25" s="187">
        <v>155.80000000000001</v>
      </c>
      <c r="DI25">
        <v>276.12</v>
      </c>
      <c r="DJ25">
        <v>20</v>
      </c>
      <c r="DK25">
        <v>121.15</v>
      </c>
      <c r="DL25">
        <v>0</v>
      </c>
      <c r="DM25" s="187">
        <v>174.57</v>
      </c>
      <c r="DN25">
        <v>295.72000000000003</v>
      </c>
      <c r="DO25">
        <v>2</v>
      </c>
      <c r="DP25">
        <v>104.06</v>
      </c>
      <c r="DQ25">
        <v>81.08</v>
      </c>
      <c r="DR25" s="187">
        <v>98.85</v>
      </c>
      <c r="DS25">
        <v>202.91</v>
      </c>
      <c r="DT25">
        <v>380</v>
      </c>
      <c r="DU25">
        <v>104.67</v>
      </c>
      <c r="DV25">
        <v>81.02</v>
      </c>
      <c r="DW25" s="187">
        <v>94.33</v>
      </c>
      <c r="DX25">
        <v>199</v>
      </c>
      <c r="DY25">
        <v>422</v>
      </c>
      <c r="DZ25">
        <v>0</v>
      </c>
      <c r="EA25">
        <v>0</v>
      </c>
      <c r="EB25" s="187">
        <v>0</v>
      </c>
      <c r="EC25">
        <v>0</v>
      </c>
      <c r="ED25">
        <v>0</v>
      </c>
      <c r="EE25">
        <v>0</v>
      </c>
      <c r="EF25">
        <v>102.41</v>
      </c>
      <c r="EG25" s="187">
        <v>6</v>
      </c>
      <c r="EH25">
        <v>111.59</v>
      </c>
      <c r="EI25">
        <v>27</v>
      </c>
      <c r="EJ25">
        <v>0</v>
      </c>
      <c r="EK25">
        <v>0</v>
      </c>
      <c r="EL25" s="187">
        <v>0</v>
      </c>
      <c r="EM25">
        <v>0</v>
      </c>
      <c r="EN25">
        <v>0</v>
      </c>
      <c r="EO25">
        <v>0</v>
      </c>
      <c r="EP25">
        <v>109.92</v>
      </c>
      <c r="EQ25" s="187">
        <v>33</v>
      </c>
      <c r="ER25">
        <v>109.92</v>
      </c>
      <c r="ES25">
        <v>33</v>
      </c>
      <c r="ET25">
        <v>0</v>
      </c>
      <c r="EU25">
        <v>0</v>
      </c>
      <c r="EV25" s="187">
        <v>0</v>
      </c>
      <c r="EW25">
        <v>0</v>
      </c>
      <c r="EX25">
        <v>149.07</v>
      </c>
      <c r="EY25">
        <v>7</v>
      </c>
      <c r="EZ25">
        <v>167.42</v>
      </c>
      <c r="FA25" s="187">
        <v>1</v>
      </c>
      <c r="FB25">
        <v>0</v>
      </c>
      <c r="FC25">
        <v>0</v>
      </c>
      <c r="FD25">
        <v>0</v>
      </c>
      <c r="FE25">
        <v>0</v>
      </c>
      <c r="FF25" s="187">
        <v>151.36000000000001</v>
      </c>
      <c r="FG25">
        <v>8</v>
      </c>
      <c r="FH25">
        <v>151.36000000000001</v>
      </c>
      <c r="FI25">
        <v>8</v>
      </c>
      <c r="FJ25">
        <v>0</v>
      </c>
      <c r="FK25" s="187">
        <v>0</v>
      </c>
      <c r="FL25">
        <v>0</v>
      </c>
      <c r="FM25">
        <v>14</v>
      </c>
      <c r="FN25">
        <v>0</v>
      </c>
    </row>
    <row r="26" spans="1:170" x14ac:dyDescent="0.35">
      <c r="A26" t="s">
        <v>444</v>
      </c>
      <c r="B26" t="s">
        <v>445</v>
      </c>
      <c r="C26" t="s">
        <v>415</v>
      </c>
      <c r="D26">
        <v>5336</v>
      </c>
      <c r="E26">
        <v>5295</v>
      </c>
      <c r="F26">
        <v>0</v>
      </c>
      <c r="G26">
        <v>0</v>
      </c>
      <c r="H26">
        <v>285</v>
      </c>
      <c r="I26">
        <v>197</v>
      </c>
      <c r="J26">
        <v>331</v>
      </c>
      <c r="K26">
        <v>293</v>
      </c>
      <c r="L26">
        <v>715</v>
      </c>
      <c r="M26">
        <v>168</v>
      </c>
      <c r="N26">
        <v>6667</v>
      </c>
      <c r="O26">
        <v>5953</v>
      </c>
      <c r="P26">
        <v>5952</v>
      </c>
      <c r="Q26">
        <v>42</v>
      </c>
      <c r="R26">
        <v>8</v>
      </c>
      <c r="S26">
        <v>20</v>
      </c>
      <c r="T26">
        <v>105</v>
      </c>
      <c r="U26">
        <v>6562</v>
      </c>
      <c r="V26" s="498">
        <v>5336</v>
      </c>
      <c r="W26">
        <v>14</v>
      </c>
      <c r="X26" s="498">
        <v>23</v>
      </c>
      <c r="Y26" s="498">
        <v>37</v>
      </c>
      <c r="Z26" s="498">
        <v>112.7</v>
      </c>
      <c r="AA26" s="498">
        <v>112.2</v>
      </c>
      <c r="AB26">
        <v>6.01</v>
      </c>
      <c r="AC26">
        <v>115.9</v>
      </c>
      <c r="AD26">
        <v>5013</v>
      </c>
      <c r="AE26">
        <v>99.36</v>
      </c>
      <c r="AF26">
        <v>92.19</v>
      </c>
      <c r="AG26">
        <v>49.75</v>
      </c>
      <c r="AH26">
        <v>147.65</v>
      </c>
      <c r="AI26">
        <v>511</v>
      </c>
      <c r="AJ26">
        <v>136.88999999999999</v>
      </c>
      <c r="AK26">
        <v>187</v>
      </c>
      <c r="AL26">
        <v>0</v>
      </c>
      <c r="AM26">
        <v>0</v>
      </c>
      <c r="AN26">
        <v>0</v>
      </c>
      <c r="AO26" s="499">
        <v>0</v>
      </c>
      <c r="AP26" s="499">
        <v>0</v>
      </c>
      <c r="AQ26">
        <v>0</v>
      </c>
      <c r="AR26">
        <v>0</v>
      </c>
      <c r="AS26">
        <v>77.239999999999995</v>
      </c>
      <c r="AT26">
        <v>76.69</v>
      </c>
      <c r="AU26">
        <v>6.02</v>
      </c>
      <c r="AV26">
        <v>80.86</v>
      </c>
      <c r="AW26">
        <v>50</v>
      </c>
      <c r="AX26">
        <v>93.28</v>
      </c>
      <c r="AY26">
        <v>87.93</v>
      </c>
      <c r="AZ26">
        <v>9.01</v>
      </c>
      <c r="BA26">
        <v>101.37</v>
      </c>
      <c r="BB26">
        <v>638</v>
      </c>
      <c r="BC26">
        <v>108.26</v>
      </c>
      <c r="BD26">
        <v>107.2</v>
      </c>
      <c r="BE26">
        <v>7.06</v>
      </c>
      <c r="BF26">
        <v>112.4</v>
      </c>
      <c r="BG26">
        <v>1996</v>
      </c>
      <c r="BH26">
        <v>120.8</v>
      </c>
      <c r="BI26">
        <v>120.64</v>
      </c>
      <c r="BJ26">
        <v>2.68</v>
      </c>
      <c r="BK26">
        <v>121.89</v>
      </c>
      <c r="BL26" s="214">
        <v>1892</v>
      </c>
      <c r="BM26" s="214">
        <v>129.9</v>
      </c>
      <c r="BN26">
        <v>135.19999999999999</v>
      </c>
      <c r="BO26" s="187">
        <v>2.88</v>
      </c>
      <c r="BP26" s="214">
        <v>130.79</v>
      </c>
      <c r="BQ26" s="214">
        <v>414</v>
      </c>
      <c r="BR26">
        <v>137.83000000000001</v>
      </c>
      <c r="BS26" s="187">
        <v>146.94</v>
      </c>
      <c r="BT26" s="214">
        <v>2.4300000000000002</v>
      </c>
      <c r="BU26" s="214">
        <v>138.05000000000001</v>
      </c>
      <c r="BV26">
        <v>22</v>
      </c>
      <c r="BW26">
        <v>126.41</v>
      </c>
      <c r="BX26" s="214">
        <v>150.49</v>
      </c>
      <c r="BY26" s="214">
        <v>0</v>
      </c>
      <c r="BZ26">
        <v>126.41</v>
      </c>
      <c r="CA26" s="187">
        <v>1</v>
      </c>
      <c r="CB26" s="214">
        <v>112.7</v>
      </c>
      <c r="CC26" s="214">
        <v>112.2</v>
      </c>
      <c r="CD26">
        <v>6.01</v>
      </c>
      <c r="CE26" s="187">
        <v>115.9</v>
      </c>
      <c r="CF26" s="214">
        <v>5013</v>
      </c>
      <c r="CG26" s="214">
        <v>112.7</v>
      </c>
      <c r="CH26">
        <v>112.2</v>
      </c>
      <c r="CI26">
        <v>6.01</v>
      </c>
      <c r="CJ26">
        <v>115.9</v>
      </c>
      <c r="CK26">
        <v>5013</v>
      </c>
      <c r="CL26">
        <v>96.04</v>
      </c>
      <c r="CM26">
        <v>98.05</v>
      </c>
      <c r="CN26" s="187">
        <v>81.430000000000007</v>
      </c>
      <c r="CO26">
        <v>167.4</v>
      </c>
      <c r="CP26">
        <v>97</v>
      </c>
      <c r="CQ26">
        <v>79.91</v>
      </c>
      <c r="CR26">
        <v>74.86</v>
      </c>
      <c r="CS26" s="187">
        <v>36.119999999999997</v>
      </c>
      <c r="CT26">
        <v>115.33</v>
      </c>
      <c r="CU26">
        <v>51</v>
      </c>
      <c r="CV26">
        <v>98.4</v>
      </c>
      <c r="CW26">
        <v>91.94</v>
      </c>
      <c r="CX26" s="187">
        <v>44.16</v>
      </c>
      <c r="CY26">
        <v>142.30000000000001</v>
      </c>
      <c r="CZ26">
        <v>339</v>
      </c>
      <c r="DA26">
        <v>161.53</v>
      </c>
      <c r="DB26">
        <v>114.2</v>
      </c>
      <c r="DC26" s="187">
        <v>46.06</v>
      </c>
      <c r="DD26">
        <v>207.59</v>
      </c>
      <c r="DE26">
        <v>20</v>
      </c>
      <c r="DF26">
        <v>131.87</v>
      </c>
      <c r="DG26">
        <v>121.52</v>
      </c>
      <c r="DH26" s="187">
        <v>32.9</v>
      </c>
      <c r="DI26">
        <v>164.77</v>
      </c>
      <c r="DJ26">
        <v>3</v>
      </c>
      <c r="DK26">
        <v>398.54</v>
      </c>
      <c r="DL26">
        <v>179.71</v>
      </c>
      <c r="DM26" s="187">
        <v>49.38</v>
      </c>
      <c r="DN26">
        <v>447.92</v>
      </c>
      <c r="DO26">
        <v>1</v>
      </c>
      <c r="DP26">
        <v>100.14</v>
      </c>
      <c r="DQ26">
        <v>91.04</v>
      </c>
      <c r="DR26" s="187">
        <v>43.2</v>
      </c>
      <c r="DS26">
        <v>143.03</v>
      </c>
      <c r="DT26">
        <v>414</v>
      </c>
      <c r="DU26">
        <v>99.36</v>
      </c>
      <c r="DV26">
        <v>92.19</v>
      </c>
      <c r="DW26" s="187">
        <v>49.75</v>
      </c>
      <c r="DX26">
        <v>147.65</v>
      </c>
      <c r="DY26">
        <v>511</v>
      </c>
      <c r="DZ26">
        <v>0</v>
      </c>
      <c r="EA26">
        <v>0</v>
      </c>
      <c r="EB26" s="187">
        <v>112.21</v>
      </c>
      <c r="EC26">
        <v>2</v>
      </c>
      <c r="ED26">
        <v>115.51</v>
      </c>
      <c r="EE26">
        <v>63</v>
      </c>
      <c r="EF26">
        <v>145.65</v>
      </c>
      <c r="EG26" s="187">
        <v>94</v>
      </c>
      <c r="EH26">
        <v>154.08000000000001</v>
      </c>
      <c r="EI26">
        <v>25</v>
      </c>
      <c r="EJ26">
        <v>184.86</v>
      </c>
      <c r="EK26">
        <v>3</v>
      </c>
      <c r="EL26" s="187">
        <v>0</v>
      </c>
      <c r="EM26">
        <v>0</v>
      </c>
      <c r="EN26">
        <v>0</v>
      </c>
      <c r="EO26">
        <v>0</v>
      </c>
      <c r="EP26">
        <v>136.88999999999999</v>
      </c>
      <c r="EQ26" s="187">
        <v>187</v>
      </c>
      <c r="ER26">
        <v>136.88999999999999</v>
      </c>
      <c r="ES26">
        <v>187</v>
      </c>
      <c r="ET26">
        <v>0</v>
      </c>
      <c r="EU26">
        <v>0</v>
      </c>
      <c r="EV26" s="187">
        <v>0</v>
      </c>
      <c r="EW26">
        <v>0</v>
      </c>
      <c r="EX26">
        <v>0</v>
      </c>
      <c r="EY26">
        <v>0</v>
      </c>
      <c r="EZ26">
        <v>0</v>
      </c>
      <c r="FA26" s="187">
        <v>0</v>
      </c>
      <c r="FB26">
        <v>0</v>
      </c>
      <c r="FC26">
        <v>0</v>
      </c>
      <c r="FD26">
        <v>0</v>
      </c>
      <c r="FE26">
        <v>0</v>
      </c>
      <c r="FF26" s="187">
        <v>0</v>
      </c>
      <c r="FG26">
        <v>0</v>
      </c>
      <c r="FH26">
        <v>0</v>
      </c>
      <c r="FI26">
        <v>0</v>
      </c>
      <c r="FJ26">
        <v>0</v>
      </c>
      <c r="FK26" s="187">
        <v>1</v>
      </c>
      <c r="FL26">
        <v>0</v>
      </c>
      <c r="FM26">
        <v>4</v>
      </c>
      <c r="FN26">
        <v>21</v>
      </c>
    </row>
    <row r="27" spans="1:170" x14ac:dyDescent="0.35">
      <c r="A27" t="s">
        <v>446</v>
      </c>
      <c r="B27" t="s">
        <v>447</v>
      </c>
      <c r="C27" t="s">
        <v>2</v>
      </c>
      <c r="D27">
        <v>13187</v>
      </c>
      <c r="E27">
        <v>13148</v>
      </c>
      <c r="F27">
        <v>312</v>
      </c>
      <c r="G27">
        <v>312</v>
      </c>
      <c r="H27">
        <v>408</v>
      </c>
      <c r="I27">
        <v>248</v>
      </c>
      <c r="J27">
        <v>862</v>
      </c>
      <c r="K27">
        <v>801</v>
      </c>
      <c r="L27">
        <v>1545</v>
      </c>
      <c r="M27">
        <v>9</v>
      </c>
      <c r="N27">
        <v>16314</v>
      </c>
      <c r="O27">
        <v>14518</v>
      </c>
      <c r="P27">
        <v>14769</v>
      </c>
      <c r="Q27">
        <v>2</v>
      </c>
      <c r="R27">
        <v>7</v>
      </c>
      <c r="S27">
        <v>30</v>
      </c>
      <c r="T27">
        <v>186</v>
      </c>
      <c r="U27">
        <v>16128</v>
      </c>
      <c r="V27" s="498">
        <v>13148</v>
      </c>
      <c r="W27">
        <v>102</v>
      </c>
      <c r="X27" s="498">
        <v>37</v>
      </c>
      <c r="Y27" s="498">
        <v>139</v>
      </c>
      <c r="Z27" s="498">
        <v>115.48</v>
      </c>
      <c r="AA27" s="498">
        <v>110.91</v>
      </c>
      <c r="AB27">
        <v>5.42</v>
      </c>
      <c r="AC27">
        <v>117.72</v>
      </c>
      <c r="AD27">
        <v>11395</v>
      </c>
      <c r="AE27">
        <v>104.79</v>
      </c>
      <c r="AF27">
        <v>91.68</v>
      </c>
      <c r="AG27">
        <v>39.950000000000003</v>
      </c>
      <c r="AH27">
        <v>143.28</v>
      </c>
      <c r="AI27">
        <v>1121</v>
      </c>
      <c r="AJ27">
        <v>160.11000000000001</v>
      </c>
      <c r="AK27">
        <v>1521</v>
      </c>
      <c r="AL27">
        <v>153.41999999999999</v>
      </c>
      <c r="AM27">
        <v>2</v>
      </c>
      <c r="AN27">
        <v>0</v>
      </c>
      <c r="AO27" s="499">
        <v>0</v>
      </c>
      <c r="AP27" s="499">
        <v>0</v>
      </c>
      <c r="AQ27">
        <v>0</v>
      </c>
      <c r="AR27">
        <v>0</v>
      </c>
      <c r="AS27">
        <v>77.84</v>
      </c>
      <c r="AT27">
        <v>74.400000000000006</v>
      </c>
      <c r="AU27">
        <v>4.92</v>
      </c>
      <c r="AV27">
        <v>81.569999999999993</v>
      </c>
      <c r="AW27">
        <v>162</v>
      </c>
      <c r="AX27">
        <v>93.97</v>
      </c>
      <c r="AY27">
        <v>90</v>
      </c>
      <c r="AZ27">
        <v>7.31</v>
      </c>
      <c r="BA27">
        <v>98.62</v>
      </c>
      <c r="BB27">
        <v>1898</v>
      </c>
      <c r="BC27">
        <v>112.81</v>
      </c>
      <c r="BD27">
        <v>108.14</v>
      </c>
      <c r="BE27">
        <v>6.17</v>
      </c>
      <c r="BF27">
        <v>116.06</v>
      </c>
      <c r="BG27">
        <v>4004</v>
      </c>
      <c r="BH27">
        <v>124.99</v>
      </c>
      <c r="BI27">
        <v>120.16</v>
      </c>
      <c r="BJ27">
        <v>2.39</v>
      </c>
      <c r="BK27">
        <v>125.54</v>
      </c>
      <c r="BL27" s="214">
        <v>4838</v>
      </c>
      <c r="BM27" s="214">
        <v>138.55000000000001</v>
      </c>
      <c r="BN27">
        <v>134.21</v>
      </c>
      <c r="BO27" s="187">
        <v>2.57</v>
      </c>
      <c r="BP27" s="214">
        <v>139.34</v>
      </c>
      <c r="BQ27" s="214">
        <v>474</v>
      </c>
      <c r="BR27">
        <v>149.38999999999999</v>
      </c>
      <c r="BS27" s="187">
        <v>149.28</v>
      </c>
      <c r="BT27" s="214">
        <v>3.01</v>
      </c>
      <c r="BU27" s="214">
        <v>150.63</v>
      </c>
      <c r="BV27">
        <v>17</v>
      </c>
      <c r="BW27">
        <v>165.48</v>
      </c>
      <c r="BX27" s="214">
        <v>168.86</v>
      </c>
      <c r="BY27" s="214">
        <v>3.15</v>
      </c>
      <c r="BZ27">
        <v>167.05</v>
      </c>
      <c r="CA27" s="187">
        <v>2</v>
      </c>
      <c r="CB27" s="214">
        <v>115.48</v>
      </c>
      <c r="CC27" s="214">
        <v>110.91</v>
      </c>
      <c r="CD27">
        <v>5.42</v>
      </c>
      <c r="CE27" s="187">
        <v>117.72</v>
      </c>
      <c r="CF27" s="214">
        <v>11395</v>
      </c>
      <c r="CG27" s="214">
        <v>115.48</v>
      </c>
      <c r="CH27">
        <v>110.91</v>
      </c>
      <c r="CI27">
        <v>5.42</v>
      </c>
      <c r="CJ27">
        <v>117.72</v>
      </c>
      <c r="CK27">
        <v>11395</v>
      </c>
      <c r="CL27">
        <v>104.03</v>
      </c>
      <c r="CM27">
        <v>87.48</v>
      </c>
      <c r="CN27" s="187">
        <v>76.209999999999994</v>
      </c>
      <c r="CO27">
        <v>174.26</v>
      </c>
      <c r="CP27">
        <v>204</v>
      </c>
      <c r="CQ27">
        <v>89.76</v>
      </c>
      <c r="CR27">
        <v>77.94</v>
      </c>
      <c r="CS27" s="187">
        <v>31.96</v>
      </c>
      <c r="CT27">
        <v>118.73</v>
      </c>
      <c r="CU27">
        <v>64</v>
      </c>
      <c r="CV27">
        <v>102.72</v>
      </c>
      <c r="CW27">
        <v>90.85</v>
      </c>
      <c r="CX27" s="187">
        <v>34.36</v>
      </c>
      <c r="CY27">
        <v>136.72</v>
      </c>
      <c r="CZ27">
        <v>673</v>
      </c>
      <c r="DA27">
        <v>112.62</v>
      </c>
      <c r="DB27">
        <v>102.81</v>
      </c>
      <c r="DC27" s="187">
        <v>25</v>
      </c>
      <c r="DD27">
        <v>137.15</v>
      </c>
      <c r="DE27">
        <v>162</v>
      </c>
      <c r="DF27">
        <v>167.61</v>
      </c>
      <c r="DG27">
        <v>132.66</v>
      </c>
      <c r="DH27" s="187">
        <v>13.63</v>
      </c>
      <c r="DI27">
        <v>175.56</v>
      </c>
      <c r="DJ27">
        <v>12</v>
      </c>
      <c r="DK27">
        <v>186.7</v>
      </c>
      <c r="DL27">
        <v>144.38</v>
      </c>
      <c r="DM27" s="187">
        <v>5.6</v>
      </c>
      <c r="DN27">
        <v>188.57</v>
      </c>
      <c r="DO27">
        <v>6</v>
      </c>
      <c r="DP27">
        <v>104.96</v>
      </c>
      <c r="DQ27">
        <v>92.49</v>
      </c>
      <c r="DR27" s="187">
        <v>32.31</v>
      </c>
      <c r="DS27">
        <v>136.38999999999999</v>
      </c>
      <c r="DT27">
        <v>917</v>
      </c>
      <c r="DU27">
        <v>104.79</v>
      </c>
      <c r="DV27">
        <v>91.68</v>
      </c>
      <c r="DW27" s="187">
        <v>39.950000000000003</v>
      </c>
      <c r="DX27">
        <v>143.28</v>
      </c>
      <c r="DY27">
        <v>1121</v>
      </c>
      <c r="DZ27">
        <v>0</v>
      </c>
      <c r="EA27">
        <v>0</v>
      </c>
      <c r="EB27" s="187">
        <v>0</v>
      </c>
      <c r="EC27">
        <v>0</v>
      </c>
      <c r="ED27">
        <v>134.26</v>
      </c>
      <c r="EE27">
        <v>453</v>
      </c>
      <c r="EF27">
        <v>163.54</v>
      </c>
      <c r="EG27" s="187">
        <v>803</v>
      </c>
      <c r="EH27">
        <v>189.74</v>
      </c>
      <c r="EI27">
        <v>227</v>
      </c>
      <c r="EJ27">
        <v>220.83</v>
      </c>
      <c r="EK27">
        <v>37</v>
      </c>
      <c r="EL27" s="187">
        <v>147.25</v>
      </c>
      <c r="EM27">
        <v>1</v>
      </c>
      <c r="EN27">
        <v>0</v>
      </c>
      <c r="EO27">
        <v>0</v>
      </c>
      <c r="EP27">
        <v>160.11000000000001</v>
      </c>
      <c r="EQ27" s="187">
        <v>1521</v>
      </c>
      <c r="ER27">
        <v>160.11000000000001</v>
      </c>
      <c r="ES27">
        <v>1521</v>
      </c>
      <c r="ET27">
        <v>0</v>
      </c>
      <c r="EU27">
        <v>0</v>
      </c>
      <c r="EV27" s="187">
        <v>0</v>
      </c>
      <c r="EW27">
        <v>0</v>
      </c>
      <c r="EX27">
        <v>153.41999999999999</v>
      </c>
      <c r="EY27">
        <v>2</v>
      </c>
      <c r="EZ27">
        <v>0</v>
      </c>
      <c r="FA27" s="187">
        <v>0</v>
      </c>
      <c r="FB27">
        <v>0</v>
      </c>
      <c r="FC27">
        <v>0</v>
      </c>
      <c r="FD27">
        <v>0</v>
      </c>
      <c r="FE27">
        <v>0</v>
      </c>
      <c r="FF27" s="187">
        <v>153.41999999999999</v>
      </c>
      <c r="FG27">
        <v>2</v>
      </c>
      <c r="FH27">
        <v>153.41999999999999</v>
      </c>
      <c r="FI27">
        <v>2</v>
      </c>
      <c r="FJ27">
        <v>41</v>
      </c>
      <c r="FK27" s="187">
        <v>8</v>
      </c>
      <c r="FL27">
        <v>7</v>
      </c>
      <c r="FM27">
        <v>189</v>
      </c>
      <c r="FN27">
        <v>41</v>
      </c>
    </row>
    <row r="28" spans="1:170" x14ac:dyDescent="0.35">
      <c r="A28" t="s">
        <v>448</v>
      </c>
      <c r="B28" t="s">
        <v>449</v>
      </c>
      <c r="C28" t="s">
        <v>414</v>
      </c>
      <c r="D28">
        <v>1217</v>
      </c>
      <c r="E28">
        <v>1217</v>
      </c>
      <c r="F28">
        <v>0</v>
      </c>
      <c r="G28">
        <v>0</v>
      </c>
      <c r="H28">
        <v>258</v>
      </c>
      <c r="I28">
        <v>222</v>
      </c>
      <c r="J28">
        <v>117</v>
      </c>
      <c r="K28">
        <v>117</v>
      </c>
      <c r="L28">
        <v>167</v>
      </c>
      <c r="M28">
        <v>12</v>
      </c>
      <c r="N28">
        <v>1759</v>
      </c>
      <c r="O28">
        <v>1568</v>
      </c>
      <c r="P28">
        <v>1592</v>
      </c>
      <c r="Q28">
        <v>3</v>
      </c>
      <c r="R28">
        <v>1</v>
      </c>
      <c r="S28">
        <v>24</v>
      </c>
      <c r="T28">
        <v>1</v>
      </c>
      <c r="U28">
        <v>1758</v>
      </c>
      <c r="V28" s="498">
        <v>1217</v>
      </c>
      <c r="W28">
        <v>5</v>
      </c>
      <c r="X28" s="498">
        <v>12</v>
      </c>
      <c r="Y28" s="498">
        <v>17</v>
      </c>
      <c r="Z28" s="498">
        <v>89.51</v>
      </c>
      <c r="AA28" s="498">
        <v>87.09</v>
      </c>
      <c r="AB28">
        <v>3.38</v>
      </c>
      <c r="AC28">
        <v>91.69</v>
      </c>
      <c r="AD28">
        <v>907</v>
      </c>
      <c r="AE28">
        <v>127.15</v>
      </c>
      <c r="AF28">
        <v>73.56</v>
      </c>
      <c r="AG28">
        <v>72.39</v>
      </c>
      <c r="AH28">
        <v>196.88</v>
      </c>
      <c r="AI28">
        <v>353</v>
      </c>
      <c r="AJ28">
        <v>105.98</v>
      </c>
      <c r="AK28">
        <v>275</v>
      </c>
      <c r="AL28">
        <v>149.31</v>
      </c>
      <c r="AM28">
        <v>21</v>
      </c>
      <c r="AN28">
        <v>0</v>
      </c>
      <c r="AO28" s="499">
        <v>0</v>
      </c>
      <c r="AP28" s="499">
        <v>0</v>
      </c>
      <c r="AQ28">
        <v>0</v>
      </c>
      <c r="AR28">
        <v>0</v>
      </c>
      <c r="AS28">
        <v>96.73</v>
      </c>
      <c r="AT28">
        <v>105.67</v>
      </c>
      <c r="AU28">
        <v>4.53</v>
      </c>
      <c r="AV28">
        <v>101.26</v>
      </c>
      <c r="AW28">
        <v>10</v>
      </c>
      <c r="AX28">
        <v>72.78</v>
      </c>
      <c r="AY28">
        <v>69.8</v>
      </c>
      <c r="AZ28">
        <v>4.57</v>
      </c>
      <c r="BA28">
        <v>77.23</v>
      </c>
      <c r="BB28">
        <v>109</v>
      </c>
      <c r="BC28">
        <v>86.86</v>
      </c>
      <c r="BD28">
        <v>84</v>
      </c>
      <c r="BE28">
        <v>3.73</v>
      </c>
      <c r="BF28">
        <v>89.48</v>
      </c>
      <c r="BG28">
        <v>361</v>
      </c>
      <c r="BH28">
        <v>95.24</v>
      </c>
      <c r="BI28">
        <v>93.03</v>
      </c>
      <c r="BJ28">
        <v>2.37</v>
      </c>
      <c r="BK28">
        <v>96.44</v>
      </c>
      <c r="BL28" s="214">
        <v>412</v>
      </c>
      <c r="BM28" s="214">
        <v>112.66</v>
      </c>
      <c r="BN28">
        <v>111.62</v>
      </c>
      <c r="BO28" s="187">
        <v>1.02</v>
      </c>
      <c r="BP28" s="214">
        <v>113.21</v>
      </c>
      <c r="BQ28" s="214">
        <v>15</v>
      </c>
      <c r="BR28">
        <v>0</v>
      </c>
      <c r="BS28" s="187">
        <v>0</v>
      </c>
      <c r="BT28" s="214">
        <v>0</v>
      </c>
      <c r="BU28" s="214">
        <v>0</v>
      </c>
      <c r="BV28">
        <v>0</v>
      </c>
      <c r="BW28">
        <v>0</v>
      </c>
      <c r="BX28" s="214">
        <v>0</v>
      </c>
      <c r="BY28" s="214">
        <v>0</v>
      </c>
      <c r="BZ28">
        <v>0</v>
      </c>
      <c r="CA28" s="187">
        <v>0</v>
      </c>
      <c r="CB28" s="214">
        <v>89.51</v>
      </c>
      <c r="CC28" s="214">
        <v>87.09</v>
      </c>
      <c r="CD28">
        <v>3.38</v>
      </c>
      <c r="CE28" s="187">
        <v>91.69</v>
      </c>
      <c r="CF28" s="214">
        <v>907</v>
      </c>
      <c r="CG28" s="214">
        <v>89.51</v>
      </c>
      <c r="CH28">
        <v>87.09</v>
      </c>
      <c r="CI28">
        <v>3.38</v>
      </c>
      <c r="CJ28">
        <v>91.69</v>
      </c>
      <c r="CK28">
        <v>907</v>
      </c>
      <c r="CL28">
        <v>182.73</v>
      </c>
      <c r="CM28">
        <v>71.489999999999995</v>
      </c>
      <c r="CN28" s="187">
        <v>52.74</v>
      </c>
      <c r="CO28">
        <v>235.48</v>
      </c>
      <c r="CP28">
        <v>106</v>
      </c>
      <c r="CQ28">
        <v>69.81</v>
      </c>
      <c r="CR28">
        <v>60.93</v>
      </c>
      <c r="CS28" s="187">
        <v>61.42</v>
      </c>
      <c r="CT28">
        <v>131.22999999999999</v>
      </c>
      <c r="CU28">
        <v>49</v>
      </c>
      <c r="CV28">
        <v>112.42</v>
      </c>
      <c r="CW28">
        <v>74.36</v>
      </c>
      <c r="CX28" s="187">
        <v>83.63</v>
      </c>
      <c r="CY28">
        <v>192.59</v>
      </c>
      <c r="CZ28">
        <v>169</v>
      </c>
      <c r="DA28">
        <v>107.21</v>
      </c>
      <c r="DB28">
        <v>92.8</v>
      </c>
      <c r="DC28" s="187">
        <v>110.47</v>
      </c>
      <c r="DD28">
        <v>194.01</v>
      </c>
      <c r="DE28">
        <v>28</v>
      </c>
      <c r="DF28">
        <v>94.41</v>
      </c>
      <c r="DG28">
        <v>85.82</v>
      </c>
      <c r="DH28" s="187">
        <v>33.65</v>
      </c>
      <c r="DI28">
        <v>128.06</v>
      </c>
      <c r="DJ28">
        <v>1</v>
      </c>
      <c r="DK28">
        <v>0</v>
      </c>
      <c r="DL28">
        <v>0</v>
      </c>
      <c r="DM28" s="187">
        <v>0</v>
      </c>
      <c r="DN28">
        <v>0</v>
      </c>
      <c r="DO28">
        <v>0</v>
      </c>
      <c r="DP28">
        <v>103.3</v>
      </c>
      <c r="DQ28">
        <v>73.8</v>
      </c>
      <c r="DR28" s="187">
        <v>81.290000000000006</v>
      </c>
      <c r="DS28">
        <v>180.31</v>
      </c>
      <c r="DT28">
        <v>247</v>
      </c>
      <c r="DU28">
        <v>127.15</v>
      </c>
      <c r="DV28">
        <v>73.56</v>
      </c>
      <c r="DW28" s="187">
        <v>72.39</v>
      </c>
      <c r="DX28">
        <v>196.88</v>
      </c>
      <c r="DY28">
        <v>353</v>
      </c>
      <c r="DZ28">
        <v>0</v>
      </c>
      <c r="EA28">
        <v>0</v>
      </c>
      <c r="EB28" s="187">
        <v>0</v>
      </c>
      <c r="EC28">
        <v>0</v>
      </c>
      <c r="ED28">
        <v>82.26</v>
      </c>
      <c r="EE28">
        <v>8</v>
      </c>
      <c r="EF28">
        <v>101.29</v>
      </c>
      <c r="EG28" s="187">
        <v>158</v>
      </c>
      <c r="EH28">
        <v>113.93</v>
      </c>
      <c r="EI28">
        <v>107</v>
      </c>
      <c r="EJ28">
        <v>146.05000000000001</v>
      </c>
      <c r="EK28">
        <v>2</v>
      </c>
      <c r="EL28" s="187">
        <v>0</v>
      </c>
      <c r="EM28">
        <v>0</v>
      </c>
      <c r="EN28">
        <v>0</v>
      </c>
      <c r="EO28">
        <v>0</v>
      </c>
      <c r="EP28">
        <v>105.98</v>
      </c>
      <c r="EQ28" s="187">
        <v>275</v>
      </c>
      <c r="ER28">
        <v>105.98</v>
      </c>
      <c r="ES28">
        <v>275</v>
      </c>
      <c r="ET28">
        <v>0</v>
      </c>
      <c r="EU28">
        <v>0</v>
      </c>
      <c r="EV28" s="187">
        <v>0</v>
      </c>
      <c r="EW28">
        <v>0</v>
      </c>
      <c r="EX28">
        <v>149.31</v>
      </c>
      <c r="EY28">
        <v>21</v>
      </c>
      <c r="EZ28">
        <v>0</v>
      </c>
      <c r="FA28" s="187">
        <v>0</v>
      </c>
      <c r="FB28">
        <v>0</v>
      </c>
      <c r="FC28">
        <v>0</v>
      </c>
      <c r="FD28">
        <v>0</v>
      </c>
      <c r="FE28">
        <v>0</v>
      </c>
      <c r="FF28" s="187">
        <v>149.31</v>
      </c>
      <c r="FG28">
        <v>21</v>
      </c>
      <c r="FH28">
        <v>149.31</v>
      </c>
      <c r="FI28">
        <v>21</v>
      </c>
      <c r="FJ28">
        <v>0</v>
      </c>
      <c r="FK28" s="187">
        <v>0</v>
      </c>
      <c r="FL28">
        <v>14</v>
      </c>
      <c r="FM28">
        <v>47</v>
      </c>
      <c r="FN28">
        <v>5</v>
      </c>
    </row>
    <row r="29" spans="1:170" x14ac:dyDescent="0.35">
      <c r="A29" t="s">
        <v>450</v>
      </c>
      <c r="B29" t="s">
        <v>451</v>
      </c>
      <c r="C29" t="s">
        <v>419</v>
      </c>
      <c r="D29">
        <v>9280</v>
      </c>
      <c r="E29">
        <v>9250</v>
      </c>
      <c r="F29">
        <v>0</v>
      </c>
      <c r="G29">
        <v>0</v>
      </c>
      <c r="H29">
        <v>406</v>
      </c>
      <c r="I29">
        <v>146</v>
      </c>
      <c r="J29">
        <v>2110</v>
      </c>
      <c r="K29">
        <v>2053</v>
      </c>
      <c r="L29">
        <v>700</v>
      </c>
      <c r="M29">
        <v>5</v>
      </c>
      <c r="N29">
        <v>12496</v>
      </c>
      <c r="O29">
        <v>11454</v>
      </c>
      <c r="P29">
        <v>11796</v>
      </c>
      <c r="Q29">
        <v>12</v>
      </c>
      <c r="R29">
        <v>9</v>
      </c>
      <c r="S29">
        <v>22</v>
      </c>
      <c r="T29">
        <v>288</v>
      </c>
      <c r="U29">
        <v>12208</v>
      </c>
      <c r="V29" s="498">
        <v>9214</v>
      </c>
      <c r="W29">
        <v>55</v>
      </c>
      <c r="X29" s="498">
        <v>55</v>
      </c>
      <c r="Y29" s="498">
        <v>110</v>
      </c>
      <c r="Z29" s="498">
        <v>103.18</v>
      </c>
      <c r="AA29" s="498">
        <v>100.58</v>
      </c>
      <c r="AB29">
        <v>4.34</v>
      </c>
      <c r="AC29">
        <v>106.97</v>
      </c>
      <c r="AD29">
        <v>8466</v>
      </c>
      <c r="AE29">
        <v>96.54</v>
      </c>
      <c r="AF29">
        <v>88.82</v>
      </c>
      <c r="AG29">
        <v>18.61</v>
      </c>
      <c r="AH29">
        <v>114.73</v>
      </c>
      <c r="AI29">
        <v>2215</v>
      </c>
      <c r="AJ29">
        <v>141.75</v>
      </c>
      <c r="AK29">
        <v>724</v>
      </c>
      <c r="AL29">
        <v>123.81</v>
      </c>
      <c r="AM29">
        <v>79</v>
      </c>
      <c r="AN29">
        <v>0</v>
      </c>
      <c r="AO29" s="499">
        <v>0</v>
      </c>
      <c r="AP29" s="499">
        <v>0</v>
      </c>
      <c r="AQ29">
        <v>0</v>
      </c>
      <c r="AR29">
        <v>0</v>
      </c>
      <c r="AS29">
        <v>77.319999999999993</v>
      </c>
      <c r="AT29">
        <v>73.78</v>
      </c>
      <c r="AU29">
        <v>7.72</v>
      </c>
      <c r="AV29">
        <v>84.99</v>
      </c>
      <c r="AW29">
        <v>148</v>
      </c>
      <c r="AX29">
        <v>88.83</v>
      </c>
      <c r="AY29">
        <v>86.67</v>
      </c>
      <c r="AZ29">
        <v>7.13</v>
      </c>
      <c r="BA29">
        <v>95.81</v>
      </c>
      <c r="BB29">
        <v>1838</v>
      </c>
      <c r="BC29">
        <v>102.84</v>
      </c>
      <c r="BD29">
        <v>100.14</v>
      </c>
      <c r="BE29">
        <v>4.2699999999999996</v>
      </c>
      <c r="BF29">
        <v>106.76</v>
      </c>
      <c r="BG29">
        <v>3353</v>
      </c>
      <c r="BH29">
        <v>112.29</v>
      </c>
      <c r="BI29">
        <v>109.57</v>
      </c>
      <c r="BJ29">
        <v>2.11</v>
      </c>
      <c r="BK29">
        <v>113.86</v>
      </c>
      <c r="BL29" s="214">
        <v>2887</v>
      </c>
      <c r="BM29" s="214">
        <v>123.98</v>
      </c>
      <c r="BN29">
        <v>122.13</v>
      </c>
      <c r="BO29" s="187">
        <v>2.0299999999999998</v>
      </c>
      <c r="BP29" s="214">
        <v>125.79</v>
      </c>
      <c r="BQ29" s="214">
        <v>229</v>
      </c>
      <c r="BR29">
        <v>131.76</v>
      </c>
      <c r="BS29" s="187">
        <v>131.19999999999999</v>
      </c>
      <c r="BT29" s="214">
        <v>1.93</v>
      </c>
      <c r="BU29" s="214">
        <v>133.30000000000001</v>
      </c>
      <c r="BV29">
        <v>10</v>
      </c>
      <c r="BW29">
        <v>142.76</v>
      </c>
      <c r="BX29" s="214">
        <v>135.97999999999999</v>
      </c>
      <c r="BY29" s="214">
        <v>0.79</v>
      </c>
      <c r="BZ29">
        <v>143.55000000000001</v>
      </c>
      <c r="CA29" s="187">
        <v>1</v>
      </c>
      <c r="CB29" s="214">
        <v>103.18</v>
      </c>
      <c r="CC29" s="214">
        <v>100.58</v>
      </c>
      <c r="CD29">
        <v>4.34</v>
      </c>
      <c r="CE29" s="187">
        <v>106.97</v>
      </c>
      <c r="CF29" s="214">
        <v>8466</v>
      </c>
      <c r="CG29" s="214">
        <v>103.18</v>
      </c>
      <c r="CH29">
        <v>100.58</v>
      </c>
      <c r="CI29">
        <v>4.34</v>
      </c>
      <c r="CJ29">
        <v>106.97</v>
      </c>
      <c r="CK29">
        <v>8466</v>
      </c>
      <c r="CL29">
        <v>104.2</v>
      </c>
      <c r="CM29">
        <v>80.53</v>
      </c>
      <c r="CN29" s="187">
        <v>91.78</v>
      </c>
      <c r="CO29">
        <v>175.58</v>
      </c>
      <c r="CP29">
        <v>153</v>
      </c>
      <c r="CQ29">
        <v>82.15</v>
      </c>
      <c r="CR29">
        <v>71.88</v>
      </c>
      <c r="CS29" s="187">
        <v>5.18</v>
      </c>
      <c r="CT29">
        <v>85.61</v>
      </c>
      <c r="CU29">
        <v>3</v>
      </c>
      <c r="CV29">
        <v>94.13</v>
      </c>
      <c r="CW29">
        <v>87.59</v>
      </c>
      <c r="CX29" s="187">
        <v>14.6</v>
      </c>
      <c r="CY29">
        <v>108.67</v>
      </c>
      <c r="CZ29">
        <v>1785</v>
      </c>
      <c r="DA29">
        <v>108.1</v>
      </c>
      <c r="DB29">
        <v>100.84</v>
      </c>
      <c r="DC29" s="187">
        <v>12.84</v>
      </c>
      <c r="DD29">
        <v>120.61</v>
      </c>
      <c r="DE29">
        <v>270</v>
      </c>
      <c r="DF29">
        <v>109.81</v>
      </c>
      <c r="DG29">
        <v>106.01</v>
      </c>
      <c r="DH29" s="187">
        <v>6.62</v>
      </c>
      <c r="DI29">
        <v>116.43</v>
      </c>
      <c r="DJ29">
        <v>4</v>
      </c>
      <c r="DK29">
        <v>0</v>
      </c>
      <c r="DL29">
        <v>0</v>
      </c>
      <c r="DM29" s="187">
        <v>0</v>
      </c>
      <c r="DN29">
        <v>0</v>
      </c>
      <c r="DO29">
        <v>0</v>
      </c>
      <c r="DP29">
        <v>95.98</v>
      </c>
      <c r="DQ29">
        <v>89.31</v>
      </c>
      <c r="DR29" s="187">
        <v>14.35</v>
      </c>
      <c r="DS29">
        <v>110.22</v>
      </c>
      <c r="DT29">
        <v>2062</v>
      </c>
      <c r="DU29">
        <v>96.54</v>
      </c>
      <c r="DV29">
        <v>88.82</v>
      </c>
      <c r="DW29" s="187">
        <v>18.61</v>
      </c>
      <c r="DX29">
        <v>114.73</v>
      </c>
      <c r="DY29">
        <v>2215</v>
      </c>
      <c r="DZ29">
        <v>0</v>
      </c>
      <c r="EA29">
        <v>0</v>
      </c>
      <c r="EB29" s="187">
        <v>107.09</v>
      </c>
      <c r="EC29">
        <v>12</v>
      </c>
      <c r="ED29">
        <v>125.38</v>
      </c>
      <c r="EE29">
        <v>211</v>
      </c>
      <c r="EF29">
        <v>144.62</v>
      </c>
      <c r="EG29" s="187">
        <v>332</v>
      </c>
      <c r="EH29">
        <v>156.62</v>
      </c>
      <c r="EI29">
        <v>159</v>
      </c>
      <c r="EJ29">
        <v>190.99</v>
      </c>
      <c r="EK29">
        <v>9</v>
      </c>
      <c r="EL29" s="187">
        <v>248.37</v>
      </c>
      <c r="EM29">
        <v>1</v>
      </c>
      <c r="EN29">
        <v>0</v>
      </c>
      <c r="EO29">
        <v>0</v>
      </c>
      <c r="EP29">
        <v>141.75</v>
      </c>
      <c r="EQ29" s="187">
        <v>724</v>
      </c>
      <c r="ER29">
        <v>141.75</v>
      </c>
      <c r="ES29">
        <v>724</v>
      </c>
      <c r="ET29">
        <v>0</v>
      </c>
      <c r="EU29">
        <v>0</v>
      </c>
      <c r="EV29" s="187">
        <v>0</v>
      </c>
      <c r="EW29">
        <v>0</v>
      </c>
      <c r="EX29">
        <v>121.37</v>
      </c>
      <c r="EY29">
        <v>71</v>
      </c>
      <c r="EZ29">
        <v>145.47</v>
      </c>
      <c r="FA29" s="187">
        <v>8</v>
      </c>
      <c r="FB29">
        <v>0</v>
      </c>
      <c r="FC29">
        <v>0</v>
      </c>
      <c r="FD29">
        <v>0</v>
      </c>
      <c r="FE29">
        <v>0</v>
      </c>
      <c r="FF29" s="187">
        <v>123.81</v>
      </c>
      <c r="FG29">
        <v>79</v>
      </c>
      <c r="FH29">
        <v>123.81</v>
      </c>
      <c r="FI29">
        <v>79</v>
      </c>
      <c r="FJ29">
        <v>0</v>
      </c>
      <c r="FK29" s="187">
        <v>18</v>
      </c>
      <c r="FL29">
        <v>13</v>
      </c>
      <c r="FM29">
        <v>30</v>
      </c>
      <c r="FN29">
        <v>17</v>
      </c>
    </row>
    <row r="30" spans="1:170" x14ac:dyDescent="0.35">
      <c r="A30" t="s">
        <v>452</v>
      </c>
      <c r="B30" t="s">
        <v>453</v>
      </c>
      <c r="C30" t="s">
        <v>415</v>
      </c>
      <c r="D30">
        <v>11106</v>
      </c>
      <c r="E30">
        <v>10920</v>
      </c>
      <c r="F30">
        <v>66</v>
      </c>
      <c r="G30">
        <v>0</v>
      </c>
      <c r="H30">
        <v>466</v>
      </c>
      <c r="I30">
        <v>282</v>
      </c>
      <c r="J30">
        <v>1099</v>
      </c>
      <c r="K30">
        <v>950</v>
      </c>
      <c r="L30">
        <v>1473</v>
      </c>
      <c r="M30">
        <v>122</v>
      </c>
      <c r="N30">
        <v>14210</v>
      </c>
      <c r="O30">
        <v>12274</v>
      </c>
      <c r="P30">
        <v>12737</v>
      </c>
      <c r="Q30">
        <v>3</v>
      </c>
      <c r="R30">
        <v>9</v>
      </c>
      <c r="S30">
        <v>31</v>
      </c>
      <c r="T30">
        <v>439</v>
      </c>
      <c r="U30">
        <v>13771</v>
      </c>
      <c r="V30" s="498">
        <v>10943</v>
      </c>
      <c r="W30">
        <v>57</v>
      </c>
      <c r="X30" s="498">
        <v>30</v>
      </c>
      <c r="Y30" s="498">
        <v>87</v>
      </c>
      <c r="Z30" s="498">
        <v>101.02</v>
      </c>
      <c r="AA30" s="498">
        <v>100.21</v>
      </c>
      <c r="AB30">
        <v>8.3699999999999992</v>
      </c>
      <c r="AC30">
        <v>106.97</v>
      </c>
      <c r="AD30">
        <v>9242</v>
      </c>
      <c r="AE30">
        <v>105.1</v>
      </c>
      <c r="AF30">
        <v>95.18</v>
      </c>
      <c r="AG30">
        <v>46.33</v>
      </c>
      <c r="AH30">
        <v>149.9</v>
      </c>
      <c r="AI30">
        <v>1266</v>
      </c>
      <c r="AJ30">
        <v>141.62</v>
      </c>
      <c r="AK30">
        <v>1549</v>
      </c>
      <c r="AL30">
        <v>138.21</v>
      </c>
      <c r="AM30">
        <v>23</v>
      </c>
      <c r="AN30">
        <v>0</v>
      </c>
      <c r="AO30" s="499">
        <v>0</v>
      </c>
      <c r="AP30" s="499">
        <v>0</v>
      </c>
      <c r="AQ30">
        <v>0</v>
      </c>
      <c r="AR30">
        <v>0</v>
      </c>
      <c r="AS30">
        <v>74.930000000000007</v>
      </c>
      <c r="AT30">
        <v>75.84</v>
      </c>
      <c r="AU30">
        <v>19.11</v>
      </c>
      <c r="AV30">
        <v>93.58</v>
      </c>
      <c r="AW30">
        <v>205</v>
      </c>
      <c r="AX30">
        <v>86.05</v>
      </c>
      <c r="AY30">
        <v>85.3</v>
      </c>
      <c r="AZ30">
        <v>11.45</v>
      </c>
      <c r="BA30">
        <v>96.52</v>
      </c>
      <c r="BB30">
        <v>2470</v>
      </c>
      <c r="BC30">
        <v>98.78</v>
      </c>
      <c r="BD30">
        <v>97.69</v>
      </c>
      <c r="BE30">
        <v>8.35</v>
      </c>
      <c r="BF30">
        <v>104.93</v>
      </c>
      <c r="BG30">
        <v>3068</v>
      </c>
      <c r="BH30">
        <v>113.09</v>
      </c>
      <c r="BI30">
        <v>112.44</v>
      </c>
      <c r="BJ30">
        <v>3.54</v>
      </c>
      <c r="BK30">
        <v>114.93</v>
      </c>
      <c r="BL30" s="214">
        <v>3084</v>
      </c>
      <c r="BM30" s="214">
        <v>127.54</v>
      </c>
      <c r="BN30">
        <v>126.65</v>
      </c>
      <c r="BO30" s="187">
        <v>3.12</v>
      </c>
      <c r="BP30" s="214">
        <v>129.43</v>
      </c>
      <c r="BQ30" s="214">
        <v>351</v>
      </c>
      <c r="BR30">
        <v>142.9</v>
      </c>
      <c r="BS30" s="187">
        <v>142.18</v>
      </c>
      <c r="BT30" s="214">
        <v>3.5</v>
      </c>
      <c r="BU30" s="214">
        <v>145.06</v>
      </c>
      <c r="BV30">
        <v>60</v>
      </c>
      <c r="BW30">
        <v>141.59</v>
      </c>
      <c r="BX30" s="214">
        <v>144.09</v>
      </c>
      <c r="BY30" s="214">
        <v>0</v>
      </c>
      <c r="BZ30">
        <v>141.59</v>
      </c>
      <c r="CA30" s="187">
        <v>4</v>
      </c>
      <c r="CB30" s="214">
        <v>101.02</v>
      </c>
      <c r="CC30" s="214">
        <v>100.21</v>
      </c>
      <c r="CD30">
        <v>8.3699999999999992</v>
      </c>
      <c r="CE30" s="187">
        <v>106.97</v>
      </c>
      <c r="CF30" s="214">
        <v>9242</v>
      </c>
      <c r="CG30" s="214">
        <v>101.02</v>
      </c>
      <c r="CH30">
        <v>100.21</v>
      </c>
      <c r="CI30">
        <v>8.3699999999999992</v>
      </c>
      <c r="CJ30">
        <v>106.97</v>
      </c>
      <c r="CK30">
        <v>9242</v>
      </c>
      <c r="CL30">
        <v>112.7</v>
      </c>
      <c r="CM30">
        <v>91.39</v>
      </c>
      <c r="CN30" s="187">
        <v>63.56</v>
      </c>
      <c r="CO30">
        <v>157.32</v>
      </c>
      <c r="CP30">
        <v>104</v>
      </c>
      <c r="CQ30">
        <v>84.41</v>
      </c>
      <c r="CR30">
        <v>79.39</v>
      </c>
      <c r="CS30" s="187">
        <v>39.65</v>
      </c>
      <c r="CT30">
        <v>123.65</v>
      </c>
      <c r="CU30">
        <v>96</v>
      </c>
      <c r="CV30">
        <v>103.08</v>
      </c>
      <c r="CW30">
        <v>93.62</v>
      </c>
      <c r="CX30" s="187">
        <v>45.87</v>
      </c>
      <c r="CY30">
        <v>148.43</v>
      </c>
      <c r="CZ30">
        <v>889</v>
      </c>
      <c r="DA30">
        <v>121.44</v>
      </c>
      <c r="DB30">
        <v>112.31</v>
      </c>
      <c r="DC30" s="187">
        <v>45.82</v>
      </c>
      <c r="DD30">
        <v>167.26</v>
      </c>
      <c r="DE30">
        <v>167</v>
      </c>
      <c r="DF30">
        <v>132.09</v>
      </c>
      <c r="DG30">
        <v>125.16</v>
      </c>
      <c r="DH30" s="187">
        <v>32.85</v>
      </c>
      <c r="DI30">
        <v>164.94</v>
      </c>
      <c r="DJ30">
        <v>10</v>
      </c>
      <c r="DK30">
        <v>0</v>
      </c>
      <c r="DL30">
        <v>0</v>
      </c>
      <c r="DM30" s="187">
        <v>0</v>
      </c>
      <c r="DN30">
        <v>0</v>
      </c>
      <c r="DO30">
        <v>0</v>
      </c>
      <c r="DP30">
        <v>104.42</v>
      </c>
      <c r="DQ30">
        <v>95.34</v>
      </c>
      <c r="DR30" s="187">
        <v>45.24</v>
      </c>
      <c r="DS30">
        <v>149.22999999999999</v>
      </c>
      <c r="DT30">
        <v>1162</v>
      </c>
      <c r="DU30">
        <v>105.1</v>
      </c>
      <c r="DV30">
        <v>95.18</v>
      </c>
      <c r="DW30" s="187">
        <v>46.33</v>
      </c>
      <c r="DX30">
        <v>149.9</v>
      </c>
      <c r="DY30">
        <v>1266</v>
      </c>
      <c r="DZ30">
        <v>0</v>
      </c>
      <c r="EA30">
        <v>0</v>
      </c>
      <c r="EB30" s="187">
        <v>93.08</v>
      </c>
      <c r="EC30">
        <v>6</v>
      </c>
      <c r="ED30">
        <v>109.14</v>
      </c>
      <c r="EE30">
        <v>270</v>
      </c>
      <c r="EF30">
        <v>138.28</v>
      </c>
      <c r="EG30" s="187">
        <v>696</v>
      </c>
      <c r="EH30">
        <v>157.82</v>
      </c>
      <c r="EI30">
        <v>508</v>
      </c>
      <c r="EJ30">
        <v>187.19</v>
      </c>
      <c r="EK30">
        <v>62</v>
      </c>
      <c r="EL30" s="187">
        <v>189.11</v>
      </c>
      <c r="EM30">
        <v>7</v>
      </c>
      <c r="EN30">
        <v>0</v>
      </c>
      <c r="EO30">
        <v>0</v>
      </c>
      <c r="EP30">
        <v>141.62</v>
      </c>
      <c r="EQ30" s="187">
        <v>1549</v>
      </c>
      <c r="ER30">
        <v>141.62</v>
      </c>
      <c r="ES30">
        <v>1549</v>
      </c>
      <c r="ET30">
        <v>0</v>
      </c>
      <c r="EU30">
        <v>0</v>
      </c>
      <c r="EV30" s="187">
        <v>0</v>
      </c>
      <c r="EW30">
        <v>0</v>
      </c>
      <c r="EX30">
        <v>138.21</v>
      </c>
      <c r="EY30">
        <v>23</v>
      </c>
      <c r="EZ30">
        <v>0</v>
      </c>
      <c r="FA30" s="187">
        <v>0</v>
      </c>
      <c r="FB30">
        <v>0</v>
      </c>
      <c r="FC30">
        <v>0</v>
      </c>
      <c r="FD30">
        <v>0</v>
      </c>
      <c r="FE30">
        <v>0</v>
      </c>
      <c r="FF30" s="187">
        <v>138.21</v>
      </c>
      <c r="FG30">
        <v>23</v>
      </c>
      <c r="FH30">
        <v>138.21</v>
      </c>
      <c r="FI30">
        <v>23</v>
      </c>
      <c r="FJ30">
        <v>20</v>
      </c>
      <c r="FK30" s="187">
        <v>6</v>
      </c>
      <c r="FL30">
        <v>18</v>
      </c>
      <c r="FM30">
        <v>95</v>
      </c>
      <c r="FN30">
        <v>33</v>
      </c>
    </row>
    <row r="31" spans="1:170" x14ac:dyDescent="0.35">
      <c r="A31" t="s">
        <v>454</v>
      </c>
      <c r="B31" t="s">
        <v>455</v>
      </c>
      <c r="C31" t="s">
        <v>416</v>
      </c>
      <c r="D31">
        <v>12237</v>
      </c>
      <c r="E31">
        <v>11416</v>
      </c>
      <c r="F31">
        <v>69</v>
      </c>
      <c r="G31">
        <v>6</v>
      </c>
      <c r="H31">
        <v>157</v>
      </c>
      <c r="I31">
        <v>92</v>
      </c>
      <c r="J31">
        <v>1332</v>
      </c>
      <c r="K31">
        <v>1179</v>
      </c>
      <c r="L31">
        <v>1371</v>
      </c>
      <c r="M31">
        <v>328</v>
      </c>
      <c r="N31">
        <v>15166</v>
      </c>
      <c r="O31">
        <v>13021</v>
      </c>
      <c r="P31">
        <v>13795</v>
      </c>
      <c r="Q31">
        <v>41</v>
      </c>
      <c r="R31">
        <v>16</v>
      </c>
      <c r="S31">
        <v>26</v>
      </c>
      <c r="T31">
        <v>1058</v>
      </c>
      <c r="U31">
        <v>14108</v>
      </c>
      <c r="V31" s="498">
        <v>11412</v>
      </c>
      <c r="W31">
        <v>154</v>
      </c>
      <c r="X31" s="498">
        <v>40</v>
      </c>
      <c r="Y31" s="498">
        <v>194</v>
      </c>
      <c r="Z31" s="498">
        <v>113.32</v>
      </c>
      <c r="AA31" s="498">
        <v>110.01</v>
      </c>
      <c r="AB31">
        <v>12.61</v>
      </c>
      <c r="AC31">
        <v>125.03</v>
      </c>
      <c r="AD31">
        <v>9555</v>
      </c>
      <c r="AE31">
        <v>100.33</v>
      </c>
      <c r="AF31">
        <v>94.36</v>
      </c>
      <c r="AG31">
        <v>38.090000000000003</v>
      </c>
      <c r="AH31">
        <v>137.44</v>
      </c>
      <c r="AI31">
        <v>1320</v>
      </c>
      <c r="AJ31">
        <v>170.45</v>
      </c>
      <c r="AK31">
        <v>1695</v>
      </c>
      <c r="AL31">
        <v>0</v>
      </c>
      <c r="AM31">
        <v>0</v>
      </c>
      <c r="AN31">
        <v>95.26</v>
      </c>
      <c r="AO31" s="499">
        <v>91.71</v>
      </c>
      <c r="AP31" s="499">
        <v>29.21</v>
      </c>
      <c r="AQ31">
        <v>124.47</v>
      </c>
      <c r="AR31">
        <v>2</v>
      </c>
      <c r="AS31">
        <v>74.239999999999995</v>
      </c>
      <c r="AT31">
        <v>73.39</v>
      </c>
      <c r="AU31">
        <v>15.69</v>
      </c>
      <c r="AV31">
        <v>89.93</v>
      </c>
      <c r="AW31">
        <v>143</v>
      </c>
      <c r="AX31">
        <v>91.11</v>
      </c>
      <c r="AY31">
        <v>89.9</v>
      </c>
      <c r="AZ31">
        <v>18.010000000000002</v>
      </c>
      <c r="BA31">
        <v>108.9</v>
      </c>
      <c r="BB31">
        <v>2215</v>
      </c>
      <c r="BC31">
        <v>107.52</v>
      </c>
      <c r="BD31">
        <v>103.96</v>
      </c>
      <c r="BE31">
        <v>16.37</v>
      </c>
      <c r="BF31">
        <v>123.1</v>
      </c>
      <c r="BG31">
        <v>2971</v>
      </c>
      <c r="BH31">
        <v>130</v>
      </c>
      <c r="BI31">
        <v>125.39</v>
      </c>
      <c r="BJ31">
        <v>5.96</v>
      </c>
      <c r="BK31">
        <v>135.25</v>
      </c>
      <c r="BL31" s="214">
        <v>3649</v>
      </c>
      <c r="BM31" s="214">
        <v>132.43</v>
      </c>
      <c r="BN31">
        <v>129.86000000000001</v>
      </c>
      <c r="BO31" s="187">
        <v>9.51</v>
      </c>
      <c r="BP31" s="214">
        <v>140.57</v>
      </c>
      <c r="BQ31" s="214">
        <v>561</v>
      </c>
      <c r="BR31">
        <v>150.06</v>
      </c>
      <c r="BS31" s="187">
        <v>147.12</v>
      </c>
      <c r="BT31" s="214">
        <v>11.94</v>
      </c>
      <c r="BU31" s="214">
        <v>160.01</v>
      </c>
      <c r="BV31">
        <v>12</v>
      </c>
      <c r="BW31">
        <v>151.05000000000001</v>
      </c>
      <c r="BX31" s="214">
        <v>143.87</v>
      </c>
      <c r="BY31" s="214">
        <v>4.8499999999999996</v>
      </c>
      <c r="BZ31">
        <v>155.9</v>
      </c>
      <c r="CA31" s="187">
        <v>2</v>
      </c>
      <c r="CB31" s="214">
        <v>113.33</v>
      </c>
      <c r="CC31" s="214">
        <v>110.01</v>
      </c>
      <c r="CD31">
        <v>12.61</v>
      </c>
      <c r="CE31" s="187">
        <v>125.03</v>
      </c>
      <c r="CF31" s="214">
        <v>9553</v>
      </c>
      <c r="CG31" s="214">
        <v>113.32</v>
      </c>
      <c r="CH31">
        <v>110.01</v>
      </c>
      <c r="CI31">
        <v>12.61</v>
      </c>
      <c r="CJ31">
        <v>125.03</v>
      </c>
      <c r="CK31">
        <v>9555</v>
      </c>
      <c r="CL31">
        <v>113.36</v>
      </c>
      <c r="CM31">
        <v>84.82</v>
      </c>
      <c r="CN31" s="187">
        <v>29.47</v>
      </c>
      <c r="CO31">
        <v>139.13999999999999</v>
      </c>
      <c r="CP31">
        <v>64</v>
      </c>
      <c r="CQ31">
        <v>91.42</v>
      </c>
      <c r="CR31">
        <v>83.54</v>
      </c>
      <c r="CS31" s="187">
        <v>37.64</v>
      </c>
      <c r="CT31">
        <v>128.47</v>
      </c>
      <c r="CU31">
        <v>128</v>
      </c>
      <c r="CV31">
        <v>99.95</v>
      </c>
      <c r="CW31">
        <v>95.43</v>
      </c>
      <c r="CX31" s="187">
        <v>38.82</v>
      </c>
      <c r="CY31">
        <v>137.91</v>
      </c>
      <c r="CZ31">
        <v>1091</v>
      </c>
      <c r="DA31">
        <v>112.58</v>
      </c>
      <c r="DB31">
        <v>106.03</v>
      </c>
      <c r="DC31" s="187">
        <v>30.99</v>
      </c>
      <c r="DD31">
        <v>143.57</v>
      </c>
      <c r="DE31">
        <v>27</v>
      </c>
      <c r="DF31">
        <v>140.1</v>
      </c>
      <c r="DG31">
        <v>136.26</v>
      </c>
      <c r="DH31" s="187">
        <v>33.5</v>
      </c>
      <c r="DI31">
        <v>173.6</v>
      </c>
      <c r="DJ31">
        <v>10</v>
      </c>
      <c r="DK31">
        <v>0</v>
      </c>
      <c r="DL31">
        <v>0</v>
      </c>
      <c r="DM31" s="187">
        <v>0</v>
      </c>
      <c r="DN31">
        <v>0</v>
      </c>
      <c r="DO31">
        <v>0</v>
      </c>
      <c r="DP31">
        <v>99.67</v>
      </c>
      <c r="DQ31">
        <v>94.77</v>
      </c>
      <c r="DR31" s="187">
        <v>38.479999999999997</v>
      </c>
      <c r="DS31">
        <v>137.35</v>
      </c>
      <c r="DT31">
        <v>1256</v>
      </c>
      <c r="DU31">
        <v>100.33</v>
      </c>
      <c r="DV31">
        <v>94.36</v>
      </c>
      <c r="DW31" s="187">
        <v>38.090000000000003</v>
      </c>
      <c r="DX31">
        <v>137.44</v>
      </c>
      <c r="DY31">
        <v>1320</v>
      </c>
      <c r="DZ31">
        <v>0</v>
      </c>
      <c r="EA31">
        <v>0</v>
      </c>
      <c r="EB31" s="187">
        <v>97.01</v>
      </c>
      <c r="EC31">
        <v>17</v>
      </c>
      <c r="ED31">
        <v>144.06</v>
      </c>
      <c r="EE31">
        <v>449</v>
      </c>
      <c r="EF31">
        <v>169.7</v>
      </c>
      <c r="EG31" s="187">
        <v>744</v>
      </c>
      <c r="EH31">
        <v>196.04</v>
      </c>
      <c r="EI31">
        <v>429</v>
      </c>
      <c r="EJ31">
        <v>219.29</v>
      </c>
      <c r="EK31">
        <v>54</v>
      </c>
      <c r="EL31" s="187">
        <v>191.02</v>
      </c>
      <c r="EM31">
        <v>1</v>
      </c>
      <c r="EN31">
        <v>191.02</v>
      </c>
      <c r="EO31">
        <v>1</v>
      </c>
      <c r="EP31">
        <v>170.45</v>
      </c>
      <c r="EQ31" s="187">
        <v>1695</v>
      </c>
      <c r="ER31">
        <v>170.45</v>
      </c>
      <c r="ES31">
        <v>1695</v>
      </c>
      <c r="ET31">
        <v>0</v>
      </c>
      <c r="EU31">
        <v>0</v>
      </c>
      <c r="EV31" s="187">
        <v>0</v>
      </c>
      <c r="EW31">
        <v>0</v>
      </c>
      <c r="EX31">
        <v>0</v>
      </c>
      <c r="EY31">
        <v>0</v>
      </c>
      <c r="EZ31">
        <v>0</v>
      </c>
      <c r="FA31" s="187">
        <v>0</v>
      </c>
      <c r="FB31">
        <v>0</v>
      </c>
      <c r="FC31">
        <v>0</v>
      </c>
      <c r="FD31">
        <v>0</v>
      </c>
      <c r="FE31">
        <v>0</v>
      </c>
      <c r="FF31" s="187">
        <v>0</v>
      </c>
      <c r="FG31">
        <v>0</v>
      </c>
      <c r="FH31">
        <v>0</v>
      </c>
      <c r="FI31">
        <v>0</v>
      </c>
      <c r="FJ31">
        <v>0</v>
      </c>
      <c r="FK31" s="187">
        <v>18</v>
      </c>
      <c r="FL31">
        <v>6</v>
      </c>
      <c r="FM31">
        <v>46</v>
      </c>
      <c r="FN31">
        <v>63</v>
      </c>
    </row>
    <row r="32" spans="1:170" x14ac:dyDescent="0.35">
      <c r="A32" t="s">
        <v>456</v>
      </c>
      <c r="B32" t="s">
        <v>457</v>
      </c>
      <c r="C32" t="s">
        <v>420</v>
      </c>
      <c r="D32">
        <v>33495</v>
      </c>
      <c r="E32">
        <v>32828</v>
      </c>
      <c r="F32">
        <v>252</v>
      </c>
      <c r="G32">
        <v>25</v>
      </c>
      <c r="H32">
        <v>7265</v>
      </c>
      <c r="I32">
        <v>1624</v>
      </c>
      <c r="J32">
        <v>4878</v>
      </c>
      <c r="K32">
        <v>3637</v>
      </c>
      <c r="L32">
        <v>3176</v>
      </c>
      <c r="M32">
        <v>25</v>
      </c>
      <c r="N32">
        <v>49066</v>
      </c>
      <c r="O32">
        <v>38139</v>
      </c>
      <c r="P32">
        <v>45890</v>
      </c>
      <c r="Q32">
        <v>69</v>
      </c>
      <c r="R32">
        <v>49</v>
      </c>
      <c r="S32">
        <v>33</v>
      </c>
      <c r="T32">
        <v>5875</v>
      </c>
      <c r="U32">
        <v>43191</v>
      </c>
      <c r="V32" s="498">
        <v>32091</v>
      </c>
      <c r="W32">
        <v>195</v>
      </c>
      <c r="X32" s="498">
        <v>83</v>
      </c>
      <c r="Y32" s="498">
        <v>278</v>
      </c>
      <c r="Z32" s="498">
        <v>95.24</v>
      </c>
      <c r="AA32" s="498">
        <v>93.96</v>
      </c>
      <c r="AB32">
        <v>8.26</v>
      </c>
      <c r="AC32">
        <v>101.6</v>
      </c>
      <c r="AD32">
        <v>29863</v>
      </c>
      <c r="AE32">
        <v>84.8</v>
      </c>
      <c r="AF32">
        <v>76.66</v>
      </c>
      <c r="AG32">
        <v>84.9</v>
      </c>
      <c r="AH32">
        <v>168.61</v>
      </c>
      <c r="AI32">
        <v>7899</v>
      </c>
      <c r="AJ32">
        <v>121.89</v>
      </c>
      <c r="AK32">
        <v>1732</v>
      </c>
      <c r="AL32">
        <v>0</v>
      </c>
      <c r="AM32">
        <v>0</v>
      </c>
      <c r="AN32">
        <v>0</v>
      </c>
      <c r="AO32" s="499">
        <v>0</v>
      </c>
      <c r="AP32" s="499">
        <v>0</v>
      </c>
      <c r="AQ32">
        <v>0</v>
      </c>
      <c r="AR32">
        <v>0</v>
      </c>
      <c r="AS32">
        <v>72.099999999999994</v>
      </c>
      <c r="AT32">
        <v>71.510000000000005</v>
      </c>
      <c r="AU32">
        <v>16.239999999999998</v>
      </c>
      <c r="AV32">
        <v>88.34</v>
      </c>
      <c r="AW32">
        <v>491</v>
      </c>
      <c r="AX32">
        <v>81.72</v>
      </c>
      <c r="AY32">
        <v>79.91</v>
      </c>
      <c r="AZ32">
        <v>13.02</v>
      </c>
      <c r="BA32">
        <v>94.16</v>
      </c>
      <c r="BB32">
        <v>8120</v>
      </c>
      <c r="BC32">
        <v>93.95</v>
      </c>
      <c r="BD32">
        <v>92.68</v>
      </c>
      <c r="BE32">
        <v>7.65</v>
      </c>
      <c r="BF32">
        <v>100.04</v>
      </c>
      <c r="BG32">
        <v>10698</v>
      </c>
      <c r="BH32">
        <v>104.95</v>
      </c>
      <c r="BI32">
        <v>104.24</v>
      </c>
      <c r="BJ32">
        <v>2.8</v>
      </c>
      <c r="BK32">
        <v>106.57</v>
      </c>
      <c r="BL32" s="214">
        <v>7983</v>
      </c>
      <c r="BM32" s="214">
        <v>115.46</v>
      </c>
      <c r="BN32">
        <v>113.96</v>
      </c>
      <c r="BO32" s="187">
        <v>1.87</v>
      </c>
      <c r="BP32" s="214">
        <v>116.57</v>
      </c>
      <c r="BQ32" s="214">
        <v>2075</v>
      </c>
      <c r="BR32">
        <v>124.18</v>
      </c>
      <c r="BS32" s="187">
        <v>124.75</v>
      </c>
      <c r="BT32" s="214">
        <v>1.82</v>
      </c>
      <c r="BU32" s="214">
        <v>125.47</v>
      </c>
      <c r="BV32">
        <v>404</v>
      </c>
      <c r="BW32">
        <v>134.62</v>
      </c>
      <c r="BX32" s="214">
        <v>131.07</v>
      </c>
      <c r="BY32" s="214">
        <v>1.1100000000000001</v>
      </c>
      <c r="BZ32">
        <v>135.6</v>
      </c>
      <c r="CA32" s="187">
        <v>92</v>
      </c>
      <c r="CB32" s="214">
        <v>95.24</v>
      </c>
      <c r="CC32" s="214">
        <v>93.96</v>
      </c>
      <c r="CD32">
        <v>8.26</v>
      </c>
      <c r="CE32" s="187">
        <v>101.6</v>
      </c>
      <c r="CF32" s="214">
        <v>29863</v>
      </c>
      <c r="CG32" s="214">
        <v>95.24</v>
      </c>
      <c r="CH32">
        <v>93.96</v>
      </c>
      <c r="CI32">
        <v>8.26</v>
      </c>
      <c r="CJ32">
        <v>101.6</v>
      </c>
      <c r="CK32">
        <v>29863</v>
      </c>
      <c r="CL32">
        <v>70.17</v>
      </c>
      <c r="CM32">
        <v>64.02</v>
      </c>
      <c r="CN32" s="187">
        <v>140.99</v>
      </c>
      <c r="CO32">
        <v>210.16</v>
      </c>
      <c r="CP32">
        <v>2950</v>
      </c>
      <c r="CQ32">
        <v>74.98</v>
      </c>
      <c r="CR32">
        <v>68.58</v>
      </c>
      <c r="CS32" s="187">
        <v>60.2</v>
      </c>
      <c r="CT32">
        <v>132.02000000000001</v>
      </c>
      <c r="CU32">
        <v>418</v>
      </c>
      <c r="CV32">
        <v>91.95</v>
      </c>
      <c r="CW32">
        <v>82.52</v>
      </c>
      <c r="CX32" s="187">
        <v>49.92</v>
      </c>
      <c r="CY32">
        <v>141.28</v>
      </c>
      <c r="CZ32">
        <v>3863</v>
      </c>
      <c r="DA32">
        <v>112.8</v>
      </c>
      <c r="DB32">
        <v>106.36</v>
      </c>
      <c r="DC32" s="187">
        <v>51.73</v>
      </c>
      <c r="DD32">
        <v>163.99</v>
      </c>
      <c r="DE32">
        <v>583</v>
      </c>
      <c r="DF32">
        <v>117.34</v>
      </c>
      <c r="DG32">
        <v>109.14</v>
      </c>
      <c r="DH32" s="187">
        <v>61.58</v>
      </c>
      <c r="DI32">
        <v>175.84</v>
      </c>
      <c r="DJ32">
        <v>80</v>
      </c>
      <c r="DK32">
        <v>233.28</v>
      </c>
      <c r="DL32">
        <v>165.94</v>
      </c>
      <c r="DM32" s="187">
        <v>46.79</v>
      </c>
      <c r="DN32">
        <v>261.36</v>
      </c>
      <c r="DO32">
        <v>5</v>
      </c>
      <c r="DP32">
        <v>93.53</v>
      </c>
      <c r="DQ32">
        <v>84.94</v>
      </c>
      <c r="DR32" s="187">
        <v>51.15</v>
      </c>
      <c r="DS32">
        <v>143.85</v>
      </c>
      <c r="DT32">
        <v>4949</v>
      </c>
      <c r="DU32">
        <v>84.8</v>
      </c>
      <c r="DV32">
        <v>76.66</v>
      </c>
      <c r="DW32" s="187">
        <v>84.9</v>
      </c>
      <c r="DX32">
        <v>168.61</v>
      </c>
      <c r="DY32">
        <v>7899</v>
      </c>
      <c r="DZ32">
        <v>0</v>
      </c>
      <c r="EA32">
        <v>0</v>
      </c>
      <c r="EB32" s="187">
        <v>0</v>
      </c>
      <c r="EC32">
        <v>0</v>
      </c>
      <c r="ED32">
        <v>100.21</v>
      </c>
      <c r="EE32">
        <v>217</v>
      </c>
      <c r="EF32">
        <v>117.18</v>
      </c>
      <c r="EG32" s="187">
        <v>902</v>
      </c>
      <c r="EH32">
        <v>129.96</v>
      </c>
      <c r="EI32">
        <v>444</v>
      </c>
      <c r="EJ32">
        <v>152.19</v>
      </c>
      <c r="EK32">
        <v>147</v>
      </c>
      <c r="EL32" s="187">
        <v>162.47</v>
      </c>
      <c r="EM32">
        <v>16</v>
      </c>
      <c r="EN32">
        <v>165</v>
      </c>
      <c r="EO32">
        <v>6</v>
      </c>
      <c r="EP32">
        <v>121.89</v>
      </c>
      <c r="EQ32" s="187">
        <v>1732</v>
      </c>
      <c r="ER32">
        <v>121.89</v>
      </c>
      <c r="ES32">
        <v>1732</v>
      </c>
      <c r="ET32">
        <v>0</v>
      </c>
      <c r="EU32">
        <v>0</v>
      </c>
      <c r="EV32" s="187">
        <v>0</v>
      </c>
      <c r="EW32">
        <v>0</v>
      </c>
      <c r="EX32">
        <v>0</v>
      </c>
      <c r="EY32">
        <v>0</v>
      </c>
      <c r="EZ32">
        <v>0</v>
      </c>
      <c r="FA32" s="187">
        <v>0</v>
      </c>
      <c r="FB32">
        <v>0</v>
      </c>
      <c r="FC32">
        <v>0</v>
      </c>
      <c r="FD32">
        <v>0</v>
      </c>
      <c r="FE32">
        <v>0</v>
      </c>
      <c r="FF32" s="187">
        <v>0</v>
      </c>
      <c r="FG32">
        <v>0</v>
      </c>
      <c r="FH32">
        <v>0</v>
      </c>
      <c r="FI32">
        <v>0</v>
      </c>
      <c r="FJ32">
        <v>42</v>
      </c>
      <c r="FK32" s="187">
        <v>38</v>
      </c>
      <c r="FL32">
        <v>329</v>
      </c>
      <c r="FM32">
        <v>105</v>
      </c>
      <c r="FN32">
        <v>87</v>
      </c>
    </row>
    <row r="33" spans="1:170" x14ac:dyDescent="0.35">
      <c r="A33" t="s">
        <v>458</v>
      </c>
      <c r="B33" t="s">
        <v>459</v>
      </c>
      <c r="C33" t="s">
        <v>414</v>
      </c>
      <c r="D33">
        <v>2265</v>
      </c>
      <c r="E33">
        <v>2250</v>
      </c>
      <c r="F33">
        <v>0</v>
      </c>
      <c r="G33">
        <v>0</v>
      </c>
      <c r="H33">
        <v>118</v>
      </c>
      <c r="I33">
        <v>49</v>
      </c>
      <c r="J33">
        <v>1364</v>
      </c>
      <c r="K33">
        <v>1363</v>
      </c>
      <c r="L33">
        <v>395</v>
      </c>
      <c r="M33">
        <v>0</v>
      </c>
      <c r="N33">
        <v>4142</v>
      </c>
      <c r="O33">
        <v>3662</v>
      </c>
      <c r="P33">
        <v>3747</v>
      </c>
      <c r="Q33">
        <v>0</v>
      </c>
      <c r="R33">
        <v>1</v>
      </c>
      <c r="S33">
        <v>19</v>
      </c>
      <c r="T33">
        <v>5</v>
      </c>
      <c r="U33">
        <v>4137</v>
      </c>
      <c r="V33" s="498">
        <v>2265</v>
      </c>
      <c r="W33">
        <v>13</v>
      </c>
      <c r="X33" s="498">
        <v>3</v>
      </c>
      <c r="Y33" s="498">
        <v>16</v>
      </c>
      <c r="Z33" s="498">
        <v>90.27</v>
      </c>
      <c r="AA33" s="498">
        <v>89.54</v>
      </c>
      <c r="AB33">
        <v>5.04</v>
      </c>
      <c r="AC33">
        <v>93.21</v>
      </c>
      <c r="AD33">
        <v>1646</v>
      </c>
      <c r="AE33">
        <v>77.62</v>
      </c>
      <c r="AF33">
        <v>76.349999999999994</v>
      </c>
      <c r="AG33">
        <v>15.95</v>
      </c>
      <c r="AH33">
        <v>93.42</v>
      </c>
      <c r="AI33">
        <v>1362</v>
      </c>
      <c r="AJ33">
        <v>116.62</v>
      </c>
      <c r="AK33">
        <v>531</v>
      </c>
      <c r="AL33">
        <v>111.74</v>
      </c>
      <c r="AM33">
        <v>115</v>
      </c>
      <c r="AN33">
        <v>0</v>
      </c>
      <c r="AO33" s="499">
        <v>0</v>
      </c>
      <c r="AP33" s="499">
        <v>0</v>
      </c>
      <c r="AQ33">
        <v>0</v>
      </c>
      <c r="AR33">
        <v>0</v>
      </c>
      <c r="AS33">
        <v>63.19</v>
      </c>
      <c r="AT33">
        <v>61.71</v>
      </c>
      <c r="AU33">
        <v>10.02</v>
      </c>
      <c r="AV33">
        <v>73.209999999999994</v>
      </c>
      <c r="AW33">
        <v>15</v>
      </c>
      <c r="AX33">
        <v>74.77</v>
      </c>
      <c r="AY33">
        <v>73.63</v>
      </c>
      <c r="AZ33">
        <v>7.88</v>
      </c>
      <c r="BA33">
        <v>82.3</v>
      </c>
      <c r="BB33">
        <v>337</v>
      </c>
      <c r="BC33">
        <v>89.7</v>
      </c>
      <c r="BD33">
        <v>88.95</v>
      </c>
      <c r="BE33">
        <v>4.08</v>
      </c>
      <c r="BF33">
        <v>92.39</v>
      </c>
      <c r="BG33">
        <v>632</v>
      </c>
      <c r="BH33">
        <v>98.62</v>
      </c>
      <c r="BI33">
        <v>98.2</v>
      </c>
      <c r="BJ33">
        <v>2.2200000000000002</v>
      </c>
      <c r="BK33">
        <v>99.3</v>
      </c>
      <c r="BL33" s="214">
        <v>635</v>
      </c>
      <c r="BM33" s="214">
        <v>115.8</v>
      </c>
      <c r="BN33">
        <v>114.27</v>
      </c>
      <c r="BO33" s="187">
        <v>1.95</v>
      </c>
      <c r="BP33" s="214">
        <v>116.66</v>
      </c>
      <c r="BQ33" s="214">
        <v>27</v>
      </c>
      <c r="BR33">
        <v>0</v>
      </c>
      <c r="BS33" s="187">
        <v>0</v>
      </c>
      <c r="BT33" s="214">
        <v>0</v>
      </c>
      <c r="BU33" s="214">
        <v>0</v>
      </c>
      <c r="BV33">
        <v>0</v>
      </c>
      <c r="BW33">
        <v>0</v>
      </c>
      <c r="BX33" s="214">
        <v>0</v>
      </c>
      <c r="BY33" s="214">
        <v>0</v>
      </c>
      <c r="BZ33">
        <v>0</v>
      </c>
      <c r="CA33" s="187">
        <v>0</v>
      </c>
      <c r="CB33" s="214">
        <v>90.27</v>
      </c>
      <c r="CC33" s="214">
        <v>89.54</v>
      </c>
      <c r="CD33">
        <v>5.04</v>
      </c>
      <c r="CE33" s="187">
        <v>93.21</v>
      </c>
      <c r="CF33" s="214">
        <v>1646</v>
      </c>
      <c r="CG33" s="214">
        <v>90.27</v>
      </c>
      <c r="CH33">
        <v>89.54</v>
      </c>
      <c r="CI33">
        <v>5.04</v>
      </c>
      <c r="CJ33">
        <v>93.21</v>
      </c>
      <c r="CK33">
        <v>1646</v>
      </c>
      <c r="CL33">
        <v>132.03</v>
      </c>
      <c r="CM33">
        <v>87.69</v>
      </c>
      <c r="CN33" s="187">
        <v>65.28</v>
      </c>
      <c r="CO33">
        <v>197.31</v>
      </c>
      <c r="CP33">
        <v>17</v>
      </c>
      <c r="CQ33">
        <v>66.819999999999993</v>
      </c>
      <c r="CR33">
        <v>60.74</v>
      </c>
      <c r="CS33" s="187">
        <v>33.22</v>
      </c>
      <c r="CT33">
        <v>100.04</v>
      </c>
      <c r="CU33">
        <v>34</v>
      </c>
      <c r="CV33">
        <v>72.67</v>
      </c>
      <c r="CW33">
        <v>72.069999999999993</v>
      </c>
      <c r="CX33" s="187">
        <v>19.62</v>
      </c>
      <c r="CY33">
        <v>92.19</v>
      </c>
      <c r="CZ33">
        <v>752</v>
      </c>
      <c r="DA33">
        <v>82.99</v>
      </c>
      <c r="DB33">
        <v>82.78</v>
      </c>
      <c r="DC33" s="187">
        <v>8.39</v>
      </c>
      <c r="DD33">
        <v>91.32</v>
      </c>
      <c r="DE33">
        <v>550</v>
      </c>
      <c r="DF33">
        <v>101.21</v>
      </c>
      <c r="DG33">
        <v>97.77</v>
      </c>
      <c r="DH33" s="187">
        <v>4.68</v>
      </c>
      <c r="DI33">
        <v>103.29</v>
      </c>
      <c r="DJ33">
        <v>9</v>
      </c>
      <c r="DK33">
        <v>0</v>
      </c>
      <c r="DL33">
        <v>0</v>
      </c>
      <c r="DM33" s="187">
        <v>0</v>
      </c>
      <c r="DN33">
        <v>0</v>
      </c>
      <c r="DO33">
        <v>0</v>
      </c>
      <c r="DP33">
        <v>76.930000000000007</v>
      </c>
      <c r="DQ33">
        <v>76.27</v>
      </c>
      <c r="DR33" s="187">
        <v>15.32</v>
      </c>
      <c r="DS33">
        <v>92.11</v>
      </c>
      <c r="DT33">
        <v>1345</v>
      </c>
      <c r="DU33">
        <v>77.62</v>
      </c>
      <c r="DV33">
        <v>76.349999999999994</v>
      </c>
      <c r="DW33" s="187">
        <v>15.95</v>
      </c>
      <c r="DX33">
        <v>93.42</v>
      </c>
      <c r="DY33">
        <v>1362</v>
      </c>
      <c r="DZ33">
        <v>0</v>
      </c>
      <c r="EA33">
        <v>0</v>
      </c>
      <c r="EB33" s="187">
        <v>98.31</v>
      </c>
      <c r="EC33">
        <v>2</v>
      </c>
      <c r="ED33">
        <v>89.5</v>
      </c>
      <c r="EE33">
        <v>69</v>
      </c>
      <c r="EF33">
        <v>113.28</v>
      </c>
      <c r="EG33" s="187">
        <v>270</v>
      </c>
      <c r="EH33">
        <v>130.54</v>
      </c>
      <c r="EI33">
        <v>184</v>
      </c>
      <c r="EJ33">
        <v>158.30000000000001</v>
      </c>
      <c r="EK33">
        <v>6</v>
      </c>
      <c r="EL33" s="187">
        <v>0</v>
      </c>
      <c r="EM33">
        <v>0</v>
      </c>
      <c r="EN33">
        <v>0</v>
      </c>
      <c r="EO33">
        <v>0</v>
      </c>
      <c r="EP33">
        <v>116.62</v>
      </c>
      <c r="EQ33" s="187">
        <v>531</v>
      </c>
      <c r="ER33">
        <v>116.62</v>
      </c>
      <c r="ES33">
        <v>531</v>
      </c>
      <c r="ET33">
        <v>0</v>
      </c>
      <c r="EU33">
        <v>0</v>
      </c>
      <c r="EV33" s="187">
        <v>109.68</v>
      </c>
      <c r="EW33">
        <v>69</v>
      </c>
      <c r="EX33">
        <v>114.23</v>
      </c>
      <c r="EY33">
        <v>44</v>
      </c>
      <c r="EZ33">
        <v>127.91</v>
      </c>
      <c r="FA33" s="187">
        <v>2</v>
      </c>
      <c r="FB33">
        <v>0</v>
      </c>
      <c r="FC33">
        <v>0</v>
      </c>
      <c r="FD33">
        <v>0</v>
      </c>
      <c r="FE33">
        <v>0</v>
      </c>
      <c r="FF33" s="187">
        <v>111.74</v>
      </c>
      <c r="FG33">
        <v>115</v>
      </c>
      <c r="FH33">
        <v>111.74</v>
      </c>
      <c r="FI33">
        <v>115</v>
      </c>
      <c r="FJ33">
        <v>0</v>
      </c>
      <c r="FK33" s="187">
        <v>10</v>
      </c>
      <c r="FL33">
        <v>4</v>
      </c>
      <c r="FM33">
        <v>32</v>
      </c>
      <c r="FN33">
        <v>16</v>
      </c>
    </row>
    <row r="34" spans="1:170" x14ac:dyDescent="0.35">
      <c r="A34" t="s">
        <v>460</v>
      </c>
      <c r="B34" t="s">
        <v>461</v>
      </c>
      <c r="C34" t="s">
        <v>418</v>
      </c>
      <c r="D34">
        <v>10006</v>
      </c>
      <c r="E34">
        <v>10014</v>
      </c>
      <c r="F34">
        <v>0</v>
      </c>
      <c r="G34">
        <v>0</v>
      </c>
      <c r="H34">
        <v>585</v>
      </c>
      <c r="I34">
        <v>424</v>
      </c>
      <c r="J34">
        <v>1084</v>
      </c>
      <c r="K34">
        <v>1077</v>
      </c>
      <c r="L34">
        <v>214</v>
      </c>
      <c r="M34">
        <v>0</v>
      </c>
      <c r="N34">
        <v>11889</v>
      </c>
      <c r="O34">
        <v>11515</v>
      </c>
      <c r="P34">
        <v>11675</v>
      </c>
      <c r="Q34">
        <v>0</v>
      </c>
      <c r="R34">
        <v>10</v>
      </c>
      <c r="S34">
        <v>16</v>
      </c>
      <c r="T34">
        <v>81</v>
      </c>
      <c r="U34">
        <v>11808</v>
      </c>
      <c r="V34" s="498">
        <v>9997</v>
      </c>
      <c r="W34">
        <v>88</v>
      </c>
      <c r="X34" s="498">
        <v>65</v>
      </c>
      <c r="Y34" s="498">
        <v>153</v>
      </c>
      <c r="Z34" s="498">
        <v>80.290000000000006</v>
      </c>
      <c r="AA34" s="498">
        <v>76.86</v>
      </c>
      <c r="AB34">
        <v>1.88</v>
      </c>
      <c r="AC34">
        <v>81.95</v>
      </c>
      <c r="AD34">
        <v>8354</v>
      </c>
      <c r="AE34">
        <v>94.93</v>
      </c>
      <c r="AF34">
        <v>74.34</v>
      </c>
      <c r="AG34">
        <v>61.62</v>
      </c>
      <c r="AH34">
        <v>154.78</v>
      </c>
      <c r="AI34">
        <v>1462</v>
      </c>
      <c r="AJ34">
        <v>99.44</v>
      </c>
      <c r="AK34">
        <v>1587</v>
      </c>
      <c r="AL34">
        <v>156.91</v>
      </c>
      <c r="AM34">
        <v>135</v>
      </c>
      <c r="AN34">
        <v>0</v>
      </c>
      <c r="AO34" s="499">
        <v>0</v>
      </c>
      <c r="AP34" s="499">
        <v>0</v>
      </c>
      <c r="AQ34">
        <v>0</v>
      </c>
      <c r="AR34">
        <v>0</v>
      </c>
      <c r="AS34">
        <v>62.69</v>
      </c>
      <c r="AT34">
        <v>60.4</v>
      </c>
      <c r="AU34">
        <v>4.03</v>
      </c>
      <c r="AV34">
        <v>66.34</v>
      </c>
      <c r="AW34">
        <v>43</v>
      </c>
      <c r="AX34">
        <v>68</v>
      </c>
      <c r="AY34">
        <v>64.900000000000006</v>
      </c>
      <c r="AZ34">
        <v>2.34</v>
      </c>
      <c r="BA34">
        <v>70.22</v>
      </c>
      <c r="BB34">
        <v>2320</v>
      </c>
      <c r="BC34">
        <v>79.08</v>
      </c>
      <c r="BD34">
        <v>75.599999999999994</v>
      </c>
      <c r="BE34">
        <v>2.1</v>
      </c>
      <c r="BF34">
        <v>80.86</v>
      </c>
      <c r="BG34">
        <v>3192</v>
      </c>
      <c r="BH34">
        <v>89.77</v>
      </c>
      <c r="BI34">
        <v>85.96</v>
      </c>
      <c r="BJ34">
        <v>1.1100000000000001</v>
      </c>
      <c r="BK34">
        <v>90.76</v>
      </c>
      <c r="BL34" s="214">
        <v>2341</v>
      </c>
      <c r="BM34" s="214">
        <v>102.56</v>
      </c>
      <c r="BN34">
        <v>99.59</v>
      </c>
      <c r="BO34" s="187">
        <v>1.53</v>
      </c>
      <c r="BP34" s="214">
        <v>103.78</v>
      </c>
      <c r="BQ34" s="214">
        <v>393</v>
      </c>
      <c r="BR34">
        <v>113.24</v>
      </c>
      <c r="BS34" s="187">
        <v>108.16</v>
      </c>
      <c r="BT34" s="214">
        <v>2.61</v>
      </c>
      <c r="BU34" s="214">
        <v>115.66</v>
      </c>
      <c r="BV34">
        <v>55</v>
      </c>
      <c r="BW34">
        <v>115.67</v>
      </c>
      <c r="BX34" s="214">
        <v>117.71</v>
      </c>
      <c r="BY34" s="214">
        <v>0.68</v>
      </c>
      <c r="BZ34">
        <v>116.22</v>
      </c>
      <c r="CA34" s="187">
        <v>10</v>
      </c>
      <c r="CB34" s="214">
        <v>80.290000000000006</v>
      </c>
      <c r="CC34" s="214">
        <v>76.86</v>
      </c>
      <c r="CD34">
        <v>1.88</v>
      </c>
      <c r="CE34" s="187">
        <v>81.95</v>
      </c>
      <c r="CF34" s="214">
        <v>8354</v>
      </c>
      <c r="CG34" s="214">
        <v>80.290000000000006</v>
      </c>
      <c r="CH34">
        <v>76.86</v>
      </c>
      <c r="CI34">
        <v>1.88</v>
      </c>
      <c r="CJ34">
        <v>81.95</v>
      </c>
      <c r="CK34">
        <v>8354</v>
      </c>
      <c r="CL34">
        <v>108.64</v>
      </c>
      <c r="CM34">
        <v>66.45</v>
      </c>
      <c r="CN34" s="187">
        <v>114.43</v>
      </c>
      <c r="CO34">
        <v>220.53</v>
      </c>
      <c r="CP34">
        <v>135</v>
      </c>
      <c r="CQ34">
        <v>65.61</v>
      </c>
      <c r="CR34">
        <v>61.38</v>
      </c>
      <c r="CS34" s="187">
        <v>42.27</v>
      </c>
      <c r="CT34">
        <v>107.88</v>
      </c>
      <c r="CU34">
        <v>167</v>
      </c>
      <c r="CV34">
        <v>95.87</v>
      </c>
      <c r="CW34">
        <v>73.459999999999994</v>
      </c>
      <c r="CX34" s="187">
        <v>59.03</v>
      </c>
      <c r="CY34">
        <v>153.01</v>
      </c>
      <c r="CZ34">
        <v>995</v>
      </c>
      <c r="DA34">
        <v>107.48</v>
      </c>
      <c r="DB34">
        <v>98.28</v>
      </c>
      <c r="DC34" s="187">
        <v>47.32</v>
      </c>
      <c r="DD34">
        <v>152.6</v>
      </c>
      <c r="DE34">
        <v>151</v>
      </c>
      <c r="DF34">
        <v>109.87</v>
      </c>
      <c r="DG34">
        <v>92.04</v>
      </c>
      <c r="DH34" s="187">
        <v>119.8</v>
      </c>
      <c r="DI34">
        <v>229.66</v>
      </c>
      <c r="DJ34">
        <v>14</v>
      </c>
      <c r="DK34">
        <v>0</v>
      </c>
      <c r="DL34">
        <v>0</v>
      </c>
      <c r="DM34" s="187">
        <v>0</v>
      </c>
      <c r="DN34">
        <v>0</v>
      </c>
      <c r="DO34">
        <v>0</v>
      </c>
      <c r="DP34">
        <v>93.53</v>
      </c>
      <c r="DQ34">
        <v>74.930000000000007</v>
      </c>
      <c r="DR34" s="187">
        <v>56.21</v>
      </c>
      <c r="DS34">
        <v>148.09</v>
      </c>
      <c r="DT34">
        <v>1327</v>
      </c>
      <c r="DU34">
        <v>94.93</v>
      </c>
      <c r="DV34">
        <v>74.34</v>
      </c>
      <c r="DW34" s="187">
        <v>61.62</v>
      </c>
      <c r="DX34">
        <v>154.78</v>
      </c>
      <c r="DY34">
        <v>1462</v>
      </c>
      <c r="DZ34">
        <v>0</v>
      </c>
      <c r="EA34">
        <v>0</v>
      </c>
      <c r="EB34" s="187">
        <v>0</v>
      </c>
      <c r="EC34">
        <v>0</v>
      </c>
      <c r="ED34">
        <v>80.95</v>
      </c>
      <c r="EE34">
        <v>24</v>
      </c>
      <c r="EF34">
        <v>95.8</v>
      </c>
      <c r="EG34" s="187">
        <v>389</v>
      </c>
      <c r="EH34">
        <v>99.11</v>
      </c>
      <c r="EI34">
        <v>1065</v>
      </c>
      <c r="EJ34">
        <v>118.88</v>
      </c>
      <c r="EK34">
        <v>101</v>
      </c>
      <c r="EL34" s="187">
        <v>129.08000000000001</v>
      </c>
      <c r="EM34">
        <v>8</v>
      </c>
      <c r="EN34">
        <v>0</v>
      </c>
      <c r="EO34">
        <v>0</v>
      </c>
      <c r="EP34">
        <v>99.44</v>
      </c>
      <c r="EQ34" s="187">
        <v>1587</v>
      </c>
      <c r="ER34">
        <v>99.44</v>
      </c>
      <c r="ES34">
        <v>1587</v>
      </c>
      <c r="ET34">
        <v>0</v>
      </c>
      <c r="EU34">
        <v>0</v>
      </c>
      <c r="EV34" s="187">
        <v>0</v>
      </c>
      <c r="EW34">
        <v>0</v>
      </c>
      <c r="EX34">
        <v>168.5</v>
      </c>
      <c r="EY34">
        <v>23</v>
      </c>
      <c r="EZ34">
        <v>154.53</v>
      </c>
      <c r="FA34" s="187">
        <v>112</v>
      </c>
      <c r="FB34">
        <v>0</v>
      </c>
      <c r="FC34">
        <v>0</v>
      </c>
      <c r="FD34">
        <v>0</v>
      </c>
      <c r="FE34">
        <v>0</v>
      </c>
      <c r="FF34" s="187">
        <v>156.91</v>
      </c>
      <c r="FG34">
        <v>135</v>
      </c>
      <c r="FH34">
        <v>156.91</v>
      </c>
      <c r="FI34">
        <v>135</v>
      </c>
      <c r="FJ34">
        <v>15</v>
      </c>
      <c r="FK34" s="187">
        <v>62</v>
      </c>
      <c r="FL34">
        <v>17</v>
      </c>
      <c r="FM34">
        <v>16</v>
      </c>
      <c r="FN34">
        <v>10</v>
      </c>
    </row>
    <row r="35" spans="1:170" x14ac:dyDescent="0.35">
      <c r="A35" t="s">
        <v>462</v>
      </c>
      <c r="B35" t="s">
        <v>463</v>
      </c>
      <c r="C35" t="s">
        <v>418</v>
      </c>
      <c r="D35">
        <v>1779</v>
      </c>
      <c r="E35">
        <v>1688</v>
      </c>
      <c r="F35">
        <v>0</v>
      </c>
      <c r="G35">
        <v>0</v>
      </c>
      <c r="H35">
        <v>486</v>
      </c>
      <c r="I35">
        <v>348</v>
      </c>
      <c r="J35">
        <v>201</v>
      </c>
      <c r="K35">
        <v>201</v>
      </c>
      <c r="L35">
        <v>149</v>
      </c>
      <c r="M35">
        <v>0</v>
      </c>
      <c r="N35">
        <v>2615</v>
      </c>
      <c r="O35">
        <v>2237</v>
      </c>
      <c r="P35">
        <v>2466</v>
      </c>
      <c r="Q35">
        <v>0</v>
      </c>
      <c r="R35">
        <v>11</v>
      </c>
      <c r="S35">
        <v>18</v>
      </c>
      <c r="T35">
        <v>182</v>
      </c>
      <c r="U35">
        <v>2433</v>
      </c>
      <c r="V35" s="498">
        <v>1682</v>
      </c>
      <c r="W35">
        <v>13</v>
      </c>
      <c r="X35" s="498">
        <v>15</v>
      </c>
      <c r="Y35" s="498">
        <v>28</v>
      </c>
      <c r="Z35" s="498">
        <v>88.19</v>
      </c>
      <c r="AA35" s="498">
        <v>85.64</v>
      </c>
      <c r="AB35">
        <v>4.96</v>
      </c>
      <c r="AC35">
        <v>92.12</v>
      </c>
      <c r="AD35">
        <v>1197</v>
      </c>
      <c r="AE35">
        <v>115.39</v>
      </c>
      <c r="AF35">
        <v>86.11</v>
      </c>
      <c r="AG35">
        <v>74.63</v>
      </c>
      <c r="AH35">
        <v>183.21</v>
      </c>
      <c r="AI35">
        <v>602</v>
      </c>
      <c r="AJ35">
        <v>107.53</v>
      </c>
      <c r="AK35">
        <v>467</v>
      </c>
      <c r="AL35">
        <v>0</v>
      </c>
      <c r="AM35">
        <v>0</v>
      </c>
      <c r="AN35">
        <v>0</v>
      </c>
      <c r="AO35" s="499">
        <v>0</v>
      </c>
      <c r="AP35" s="499">
        <v>0</v>
      </c>
      <c r="AQ35">
        <v>0</v>
      </c>
      <c r="AR35">
        <v>0</v>
      </c>
      <c r="AS35">
        <v>0</v>
      </c>
      <c r="AT35">
        <v>0</v>
      </c>
      <c r="AU35">
        <v>0</v>
      </c>
      <c r="AV35">
        <v>0</v>
      </c>
      <c r="AW35">
        <v>0</v>
      </c>
      <c r="AX35">
        <v>76.64</v>
      </c>
      <c r="AY35">
        <v>73.459999999999994</v>
      </c>
      <c r="AZ35">
        <v>6.92</v>
      </c>
      <c r="BA35">
        <v>83.22</v>
      </c>
      <c r="BB35">
        <v>291</v>
      </c>
      <c r="BC35">
        <v>87.02</v>
      </c>
      <c r="BD35">
        <v>84.35</v>
      </c>
      <c r="BE35">
        <v>5.73</v>
      </c>
      <c r="BF35">
        <v>91.7</v>
      </c>
      <c r="BG35">
        <v>427</v>
      </c>
      <c r="BH35">
        <v>94.8</v>
      </c>
      <c r="BI35">
        <v>92.71</v>
      </c>
      <c r="BJ35">
        <v>2.56</v>
      </c>
      <c r="BK35">
        <v>96.56</v>
      </c>
      <c r="BL35" s="214">
        <v>366</v>
      </c>
      <c r="BM35" s="214">
        <v>100.04</v>
      </c>
      <c r="BN35">
        <v>97.97</v>
      </c>
      <c r="BO35" s="187">
        <v>2.06</v>
      </c>
      <c r="BP35" s="214">
        <v>101.38</v>
      </c>
      <c r="BQ35" s="214">
        <v>98</v>
      </c>
      <c r="BR35">
        <v>105.33</v>
      </c>
      <c r="BS35" s="187">
        <v>103.87</v>
      </c>
      <c r="BT35" s="214">
        <v>2.2400000000000002</v>
      </c>
      <c r="BU35" s="214">
        <v>106.29</v>
      </c>
      <c r="BV35">
        <v>14</v>
      </c>
      <c r="BW35">
        <v>133.08000000000001</v>
      </c>
      <c r="BX35" s="214">
        <v>126.74</v>
      </c>
      <c r="BY35" s="214">
        <v>0</v>
      </c>
      <c r="BZ35">
        <v>133.08000000000001</v>
      </c>
      <c r="CA35" s="187">
        <v>1</v>
      </c>
      <c r="CB35" s="214">
        <v>88.19</v>
      </c>
      <c r="CC35" s="214">
        <v>85.64</v>
      </c>
      <c r="CD35">
        <v>4.96</v>
      </c>
      <c r="CE35" s="187">
        <v>92.12</v>
      </c>
      <c r="CF35" s="214">
        <v>1197</v>
      </c>
      <c r="CG35" s="214">
        <v>88.19</v>
      </c>
      <c r="CH35">
        <v>85.64</v>
      </c>
      <c r="CI35">
        <v>4.96</v>
      </c>
      <c r="CJ35">
        <v>92.12</v>
      </c>
      <c r="CK35">
        <v>1197</v>
      </c>
      <c r="CL35">
        <v>133.55000000000001</v>
      </c>
      <c r="CM35">
        <v>75.7</v>
      </c>
      <c r="CN35" s="187">
        <v>64.319999999999993</v>
      </c>
      <c r="CO35">
        <v>192.78</v>
      </c>
      <c r="CP35">
        <v>139</v>
      </c>
      <c r="CQ35">
        <v>85.88</v>
      </c>
      <c r="CR35">
        <v>82.83</v>
      </c>
      <c r="CS35" s="187">
        <v>28.5</v>
      </c>
      <c r="CT35">
        <v>111.97</v>
      </c>
      <c r="CU35">
        <v>71</v>
      </c>
      <c r="CV35">
        <v>106.49</v>
      </c>
      <c r="CW35">
        <v>77.77</v>
      </c>
      <c r="CX35" s="187">
        <v>80.56</v>
      </c>
      <c r="CY35">
        <v>175.93</v>
      </c>
      <c r="CZ35">
        <v>261</v>
      </c>
      <c r="DA35">
        <v>130.12</v>
      </c>
      <c r="DB35">
        <v>111.28</v>
      </c>
      <c r="DC35" s="187">
        <v>98.21</v>
      </c>
      <c r="DD35">
        <v>226.82</v>
      </c>
      <c r="DE35">
        <v>130</v>
      </c>
      <c r="DF35">
        <v>94.53</v>
      </c>
      <c r="DG35">
        <v>91.78</v>
      </c>
      <c r="DH35" s="187">
        <v>42.86</v>
      </c>
      <c r="DI35">
        <v>137.38999999999999</v>
      </c>
      <c r="DJ35">
        <v>1</v>
      </c>
      <c r="DK35">
        <v>0</v>
      </c>
      <c r="DL35">
        <v>0</v>
      </c>
      <c r="DM35" s="187">
        <v>0</v>
      </c>
      <c r="DN35">
        <v>0</v>
      </c>
      <c r="DO35">
        <v>0</v>
      </c>
      <c r="DP35">
        <v>109.94</v>
      </c>
      <c r="DQ35">
        <v>87.77</v>
      </c>
      <c r="DR35" s="187">
        <v>77.78</v>
      </c>
      <c r="DS35">
        <v>180.33</v>
      </c>
      <c r="DT35">
        <v>463</v>
      </c>
      <c r="DU35">
        <v>115.39</v>
      </c>
      <c r="DV35">
        <v>86.11</v>
      </c>
      <c r="DW35" s="187">
        <v>74.63</v>
      </c>
      <c r="DX35">
        <v>183.21</v>
      </c>
      <c r="DY35">
        <v>602</v>
      </c>
      <c r="DZ35">
        <v>0</v>
      </c>
      <c r="EA35">
        <v>0</v>
      </c>
      <c r="EB35" s="187">
        <v>0</v>
      </c>
      <c r="EC35">
        <v>0</v>
      </c>
      <c r="ED35">
        <v>85.17</v>
      </c>
      <c r="EE35">
        <v>74</v>
      </c>
      <c r="EF35">
        <v>104.79</v>
      </c>
      <c r="EG35" s="187">
        <v>186</v>
      </c>
      <c r="EH35">
        <v>116.64</v>
      </c>
      <c r="EI35">
        <v>177</v>
      </c>
      <c r="EJ35">
        <v>126.44</v>
      </c>
      <c r="EK35">
        <v>29</v>
      </c>
      <c r="EL35" s="187">
        <v>110.31</v>
      </c>
      <c r="EM35">
        <v>1</v>
      </c>
      <c r="EN35">
        <v>0</v>
      </c>
      <c r="EO35">
        <v>0</v>
      </c>
      <c r="EP35">
        <v>107.53</v>
      </c>
      <c r="EQ35" s="187">
        <v>467</v>
      </c>
      <c r="ER35">
        <v>107.53</v>
      </c>
      <c r="ES35">
        <v>467</v>
      </c>
      <c r="ET35">
        <v>0</v>
      </c>
      <c r="EU35">
        <v>0</v>
      </c>
      <c r="EV35" s="187">
        <v>0</v>
      </c>
      <c r="EW35">
        <v>0</v>
      </c>
      <c r="EX35">
        <v>0</v>
      </c>
      <c r="EY35">
        <v>0</v>
      </c>
      <c r="EZ35">
        <v>0</v>
      </c>
      <c r="FA35" s="187">
        <v>0</v>
      </c>
      <c r="FB35">
        <v>0</v>
      </c>
      <c r="FC35">
        <v>0</v>
      </c>
      <c r="FD35">
        <v>0</v>
      </c>
      <c r="FE35">
        <v>0</v>
      </c>
      <c r="FF35" s="187">
        <v>0</v>
      </c>
      <c r="FG35">
        <v>0</v>
      </c>
      <c r="FH35">
        <v>0</v>
      </c>
      <c r="FI35">
        <v>0</v>
      </c>
      <c r="FJ35">
        <v>1</v>
      </c>
      <c r="FK35" s="187">
        <v>1</v>
      </c>
      <c r="FL35">
        <v>3</v>
      </c>
      <c r="FM35">
        <v>2</v>
      </c>
      <c r="FN35">
        <v>5</v>
      </c>
    </row>
    <row r="36" spans="1:170" x14ac:dyDescent="0.35">
      <c r="A36" t="s">
        <v>464</v>
      </c>
      <c r="B36" t="s">
        <v>465</v>
      </c>
      <c r="C36" t="s">
        <v>414</v>
      </c>
      <c r="D36">
        <v>802</v>
      </c>
      <c r="E36">
        <v>758</v>
      </c>
      <c r="F36">
        <v>0</v>
      </c>
      <c r="G36">
        <v>0</v>
      </c>
      <c r="H36">
        <v>108</v>
      </c>
      <c r="I36">
        <v>70</v>
      </c>
      <c r="J36">
        <v>261</v>
      </c>
      <c r="K36">
        <v>261</v>
      </c>
      <c r="L36">
        <v>77</v>
      </c>
      <c r="M36">
        <v>0</v>
      </c>
      <c r="N36">
        <v>1248</v>
      </c>
      <c r="O36">
        <v>1089</v>
      </c>
      <c r="P36">
        <v>1171</v>
      </c>
      <c r="Q36">
        <v>0</v>
      </c>
      <c r="R36">
        <v>2</v>
      </c>
      <c r="S36">
        <v>20</v>
      </c>
      <c r="T36">
        <v>61</v>
      </c>
      <c r="U36">
        <v>1187</v>
      </c>
      <c r="V36" s="498">
        <v>757</v>
      </c>
      <c r="W36">
        <v>5</v>
      </c>
      <c r="X36" s="498">
        <v>6</v>
      </c>
      <c r="Y36" s="498">
        <v>11</v>
      </c>
      <c r="Z36" s="498">
        <v>91.76</v>
      </c>
      <c r="AA36" s="498">
        <v>89.54</v>
      </c>
      <c r="AB36">
        <v>2.98</v>
      </c>
      <c r="AC36">
        <v>93.56</v>
      </c>
      <c r="AD36">
        <v>649</v>
      </c>
      <c r="AE36">
        <v>104.63</v>
      </c>
      <c r="AF36">
        <v>86.86</v>
      </c>
      <c r="AG36">
        <v>37.96</v>
      </c>
      <c r="AH36">
        <v>139.9</v>
      </c>
      <c r="AI36">
        <v>353</v>
      </c>
      <c r="AJ36">
        <v>96.52</v>
      </c>
      <c r="AK36">
        <v>129</v>
      </c>
      <c r="AL36">
        <v>0</v>
      </c>
      <c r="AM36">
        <v>0</v>
      </c>
      <c r="AN36">
        <v>0</v>
      </c>
      <c r="AO36" s="499">
        <v>0</v>
      </c>
      <c r="AP36" s="499">
        <v>0</v>
      </c>
      <c r="AQ36">
        <v>0</v>
      </c>
      <c r="AR36">
        <v>0</v>
      </c>
      <c r="AS36">
        <v>88.77</v>
      </c>
      <c r="AT36">
        <v>92.36</v>
      </c>
      <c r="AU36">
        <v>2.3199999999999998</v>
      </c>
      <c r="AV36">
        <v>91.09</v>
      </c>
      <c r="AW36">
        <v>1</v>
      </c>
      <c r="AX36">
        <v>76.89</v>
      </c>
      <c r="AY36">
        <v>74.64</v>
      </c>
      <c r="AZ36">
        <v>3.41</v>
      </c>
      <c r="BA36">
        <v>80.22</v>
      </c>
      <c r="BB36">
        <v>127</v>
      </c>
      <c r="BC36">
        <v>89.28</v>
      </c>
      <c r="BD36">
        <v>87</v>
      </c>
      <c r="BE36">
        <v>3.89</v>
      </c>
      <c r="BF36">
        <v>91.14</v>
      </c>
      <c r="BG36">
        <v>216</v>
      </c>
      <c r="BH36">
        <v>99.31</v>
      </c>
      <c r="BI36">
        <v>97.1</v>
      </c>
      <c r="BJ36">
        <v>2.08</v>
      </c>
      <c r="BK36">
        <v>100.43</v>
      </c>
      <c r="BL36" s="214">
        <v>296</v>
      </c>
      <c r="BM36" s="214">
        <v>113.35</v>
      </c>
      <c r="BN36">
        <v>111.43</v>
      </c>
      <c r="BO36" s="187">
        <v>2.25</v>
      </c>
      <c r="BP36" s="214">
        <v>115.03</v>
      </c>
      <c r="BQ36" s="214">
        <v>8</v>
      </c>
      <c r="BR36">
        <v>0</v>
      </c>
      <c r="BS36" s="187">
        <v>0</v>
      </c>
      <c r="BT36" s="214">
        <v>0</v>
      </c>
      <c r="BU36" s="214">
        <v>0</v>
      </c>
      <c r="BV36">
        <v>0</v>
      </c>
      <c r="BW36">
        <v>107.65</v>
      </c>
      <c r="BX36" s="214">
        <v>114.46</v>
      </c>
      <c r="BY36" s="214">
        <v>0</v>
      </c>
      <c r="BZ36">
        <v>107.65</v>
      </c>
      <c r="CA36" s="187">
        <v>1</v>
      </c>
      <c r="CB36" s="214">
        <v>91.76</v>
      </c>
      <c r="CC36" s="214">
        <v>89.54</v>
      </c>
      <c r="CD36">
        <v>2.98</v>
      </c>
      <c r="CE36" s="187">
        <v>93.56</v>
      </c>
      <c r="CF36" s="214">
        <v>649</v>
      </c>
      <c r="CG36" s="214">
        <v>91.76</v>
      </c>
      <c r="CH36">
        <v>89.54</v>
      </c>
      <c r="CI36">
        <v>2.98</v>
      </c>
      <c r="CJ36">
        <v>93.56</v>
      </c>
      <c r="CK36">
        <v>649</v>
      </c>
      <c r="CL36">
        <v>219.4</v>
      </c>
      <c r="CM36">
        <v>0</v>
      </c>
      <c r="CN36" s="187">
        <v>20.16</v>
      </c>
      <c r="CO36">
        <v>239.56</v>
      </c>
      <c r="CP36">
        <v>10</v>
      </c>
      <c r="CQ36">
        <v>0</v>
      </c>
      <c r="CR36">
        <v>0</v>
      </c>
      <c r="CS36" s="187">
        <v>0</v>
      </c>
      <c r="CT36">
        <v>0</v>
      </c>
      <c r="CU36">
        <v>0</v>
      </c>
      <c r="CV36">
        <v>107.7</v>
      </c>
      <c r="CW36">
        <v>80.58</v>
      </c>
      <c r="CX36" s="187">
        <v>71.91</v>
      </c>
      <c r="CY36">
        <v>174.21</v>
      </c>
      <c r="CZ36">
        <v>173</v>
      </c>
      <c r="DA36">
        <v>94.67</v>
      </c>
      <c r="DB36">
        <v>90.64</v>
      </c>
      <c r="DC36" s="187">
        <v>4.68</v>
      </c>
      <c r="DD36">
        <v>99.02</v>
      </c>
      <c r="DE36">
        <v>168</v>
      </c>
      <c r="DF36">
        <v>100.89</v>
      </c>
      <c r="DG36">
        <v>101.96</v>
      </c>
      <c r="DH36" s="187">
        <v>6.57</v>
      </c>
      <c r="DI36">
        <v>107.46</v>
      </c>
      <c r="DJ36">
        <v>2</v>
      </c>
      <c r="DK36">
        <v>0</v>
      </c>
      <c r="DL36">
        <v>0</v>
      </c>
      <c r="DM36" s="187">
        <v>0</v>
      </c>
      <c r="DN36">
        <v>0</v>
      </c>
      <c r="DO36">
        <v>0</v>
      </c>
      <c r="DP36">
        <v>101.28</v>
      </c>
      <c r="DQ36">
        <v>86.86</v>
      </c>
      <c r="DR36" s="187">
        <v>38.520000000000003</v>
      </c>
      <c r="DS36">
        <v>136.99</v>
      </c>
      <c r="DT36">
        <v>343</v>
      </c>
      <c r="DU36">
        <v>104.63</v>
      </c>
      <c r="DV36">
        <v>86.86</v>
      </c>
      <c r="DW36" s="187">
        <v>37.96</v>
      </c>
      <c r="DX36">
        <v>139.9</v>
      </c>
      <c r="DY36">
        <v>353</v>
      </c>
      <c r="DZ36">
        <v>0</v>
      </c>
      <c r="EA36">
        <v>0</v>
      </c>
      <c r="EB36" s="187">
        <v>0</v>
      </c>
      <c r="EC36">
        <v>0</v>
      </c>
      <c r="ED36">
        <v>87.89</v>
      </c>
      <c r="EE36">
        <v>34</v>
      </c>
      <c r="EF36">
        <v>96.88</v>
      </c>
      <c r="EG36" s="187">
        <v>63</v>
      </c>
      <c r="EH36">
        <v>104.99</v>
      </c>
      <c r="EI36">
        <v>32</v>
      </c>
      <c r="EJ36">
        <v>0</v>
      </c>
      <c r="EK36">
        <v>0</v>
      </c>
      <c r="EL36" s="187">
        <v>0</v>
      </c>
      <c r="EM36">
        <v>0</v>
      </c>
      <c r="EN36">
        <v>0</v>
      </c>
      <c r="EO36">
        <v>0</v>
      </c>
      <c r="EP36">
        <v>96.52</v>
      </c>
      <c r="EQ36" s="187">
        <v>129</v>
      </c>
      <c r="ER36">
        <v>96.52</v>
      </c>
      <c r="ES36">
        <v>129</v>
      </c>
      <c r="ET36">
        <v>0</v>
      </c>
      <c r="EU36">
        <v>0</v>
      </c>
      <c r="EV36" s="187">
        <v>0</v>
      </c>
      <c r="EW36">
        <v>0</v>
      </c>
      <c r="EX36">
        <v>0</v>
      </c>
      <c r="EY36">
        <v>0</v>
      </c>
      <c r="EZ36">
        <v>0</v>
      </c>
      <c r="FA36" s="187">
        <v>0</v>
      </c>
      <c r="FB36">
        <v>0</v>
      </c>
      <c r="FC36">
        <v>0</v>
      </c>
      <c r="FD36">
        <v>0</v>
      </c>
      <c r="FE36">
        <v>0</v>
      </c>
      <c r="FF36" s="187">
        <v>0</v>
      </c>
      <c r="FG36">
        <v>0</v>
      </c>
      <c r="FH36">
        <v>0</v>
      </c>
      <c r="FI36">
        <v>0</v>
      </c>
      <c r="FJ36">
        <v>0</v>
      </c>
      <c r="FK36" s="187">
        <v>1</v>
      </c>
      <c r="FL36">
        <v>2</v>
      </c>
      <c r="FM36">
        <v>0</v>
      </c>
      <c r="FN36">
        <v>0</v>
      </c>
    </row>
    <row r="37" spans="1:170" x14ac:dyDescent="0.35">
      <c r="A37" t="s">
        <v>466</v>
      </c>
      <c r="B37" t="s">
        <v>467</v>
      </c>
      <c r="C37" t="s">
        <v>418</v>
      </c>
      <c r="D37">
        <v>20987</v>
      </c>
      <c r="E37">
        <v>20918</v>
      </c>
      <c r="F37">
        <v>13</v>
      </c>
      <c r="G37">
        <v>13</v>
      </c>
      <c r="H37">
        <v>851</v>
      </c>
      <c r="I37">
        <v>620</v>
      </c>
      <c r="J37">
        <v>3635</v>
      </c>
      <c r="K37">
        <v>3635</v>
      </c>
      <c r="L37">
        <v>395</v>
      </c>
      <c r="M37">
        <v>0</v>
      </c>
      <c r="N37">
        <v>25881</v>
      </c>
      <c r="O37">
        <v>25186</v>
      </c>
      <c r="P37">
        <v>25486</v>
      </c>
      <c r="Q37">
        <v>2</v>
      </c>
      <c r="R37">
        <v>8</v>
      </c>
      <c r="S37">
        <v>20</v>
      </c>
      <c r="T37">
        <v>156</v>
      </c>
      <c r="U37">
        <v>25725</v>
      </c>
      <c r="V37" s="498">
        <v>20912</v>
      </c>
      <c r="W37">
        <v>111</v>
      </c>
      <c r="X37" s="498">
        <v>309</v>
      </c>
      <c r="Y37" s="498">
        <v>420</v>
      </c>
      <c r="Z37" s="498">
        <v>79.39</v>
      </c>
      <c r="AA37" s="498">
        <v>80.81</v>
      </c>
      <c r="AB37">
        <v>3.55</v>
      </c>
      <c r="AC37">
        <v>82.6</v>
      </c>
      <c r="AD37">
        <v>17238</v>
      </c>
      <c r="AE37">
        <v>80.099999999999994</v>
      </c>
      <c r="AF37">
        <v>74.47</v>
      </c>
      <c r="AG37">
        <v>42.64</v>
      </c>
      <c r="AH37">
        <v>122.25</v>
      </c>
      <c r="AI37">
        <v>4405</v>
      </c>
      <c r="AJ37">
        <v>98.93</v>
      </c>
      <c r="AK37">
        <v>3447</v>
      </c>
      <c r="AL37">
        <v>0</v>
      </c>
      <c r="AM37">
        <v>0</v>
      </c>
      <c r="AN37">
        <v>48.24</v>
      </c>
      <c r="AO37" s="499">
        <v>38.97</v>
      </c>
      <c r="AP37" s="499">
        <v>23.46</v>
      </c>
      <c r="AQ37">
        <v>68.34</v>
      </c>
      <c r="AR37">
        <v>7</v>
      </c>
      <c r="AS37">
        <v>59</v>
      </c>
      <c r="AT37">
        <v>58.71</v>
      </c>
      <c r="AU37">
        <v>5.01</v>
      </c>
      <c r="AV37">
        <v>64.010000000000005</v>
      </c>
      <c r="AW37">
        <v>22</v>
      </c>
      <c r="AX37">
        <v>69.64</v>
      </c>
      <c r="AY37">
        <v>69.260000000000005</v>
      </c>
      <c r="AZ37">
        <v>5.3</v>
      </c>
      <c r="BA37">
        <v>74.849999999999994</v>
      </c>
      <c r="BB37">
        <v>5131</v>
      </c>
      <c r="BC37">
        <v>79.31</v>
      </c>
      <c r="BD37">
        <v>80.02</v>
      </c>
      <c r="BE37">
        <v>3.59</v>
      </c>
      <c r="BF37">
        <v>82.37</v>
      </c>
      <c r="BG37">
        <v>6014</v>
      </c>
      <c r="BH37">
        <v>86.36</v>
      </c>
      <c r="BI37">
        <v>90.28</v>
      </c>
      <c r="BJ37">
        <v>1.83</v>
      </c>
      <c r="BK37">
        <v>88.04</v>
      </c>
      <c r="BL37" s="214">
        <v>5484</v>
      </c>
      <c r="BM37" s="214">
        <v>100.49</v>
      </c>
      <c r="BN37">
        <v>102.15</v>
      </c>
      <c r="BO37" s="187">
        <v>2.12</v>
      </c>
      <c r="BP37" s="214">
        <v>101.85</v>
      </c>
      <c r="BQ37" s="214">
        <v>512</v>
      </c>
      <c r="BR37">
        <v>108.48</v>
      </c>
      <c r="BS37" s="187">
        <v>110.19</v>
      </c>
      <c r="BT37" s="214">
        <v>1.89</v>
      </c>
      <c r="BU37" s="214">
        <v>109.63</v>
      </c>
      <c r="BV37">
        <v>54</v>
      </c>
      <c r="BW37">
        <v>114.99</v>
      </c>
      <c r="BX37" s="214">
        <v>117.4</v>
      </c>
      <c r="BY37" s="214">
        <v>2.06</v>
      </c>
      <c r="BZ37">
        <v>116.9</v>
      </c>
      <c r="CA37" s="187">
        <v>14</v>
      </c>
      <c r="CB37" s="214">
        <v>79.400000000000006</v>
      </c>
      <c r="CC37" s="214">
        <v>80.83</v>
      </c>
      <c r="CD37">
        <v>3.54</v>
      </c>
      <c r="CE37" s="187">
        <v>82.61</v>
      </c>
      <c r="CF37" s="214">
        <v>17231</v>
      </c>
      <c r="CG37" s="214">
        <v>79.39</v>
      </c>
      <c r="CH37">
        <v>80.81</v>
      </c>
      <c r="CI37">
        <v>3.55</v>
      </c>
      <c r="CJ37">
        <v>82.6</v>
      </c>
      <c r="CK37">
        <v>17238</v>
      </c>
      <c r="CL37">
        <v>78.63</v>
      </c>
      <c r="CM37">
        <v>77.67</v>
      </c>
      <c r="CN37" s="187">
        <v>155.6</v>
      </c>
      <c r="CO37">
        <v>224.94</v>
      </c>
      <c r="CP37">
        <v>352</v>
      </c>
      <c r="CQ37">
        <v>65.42</v>
      </c>
      <c r="CR37">
        <v>62.12</v>
      </c>
      <c r="CS37" s="187">
        <v>91.17</v>
      </c>
      <c r="CT37">
        <v>156.59</v>
      </c>
      <c r="CU37">
        <v>153</v>
      </c>
      <c r="CV37">
        <v>78.209999999999994</v>
      </c>
      <c r="CW37">
        <v>73.040000000000006</v>
      </c>
      <c r="CX37" s="187">
        <v>27.55</v>
      </c>
      <c r="CY37">
        <v>105.53</v>
      </c>
      <c r="CZ37">
        <v>3340</v>
      </c>
      <c r="DA37">
        <v>95.59</v>
      </c>
      <c r="DB37">
        <v>85.62</v>
      </c>
      <c r="DC37" s="187">
        <v>50.55</v>
      </c>
      <c r="DD37">
        <v>145.86000000000001</v>
      </c>
      <c r="DE37">
        <v>532</v>
      </c>
      <c r="DF37">
        <v>107.58</v>
      </c>
      <c r="DG37">
        <v>92.43</v>
      </c>
      <c r="DH37" s="187">
        <v>70.75</v>
      </c>
      <c r="DI37">
        <v>178.34</v>
      </c>
      <c r="DJ37">
        <v>26</v>
      </c>
      <c r="DK37">
        <v>145.87</v>
      </c>
      <c r="DL37">
        <v>90.17</v>
      </c>
      <c r="DM37" s="187">
        <v>180.23</v>
      </c>
      <c r="DN37">
        <v>326.08999999999997</v>
      </c>
      <c r="DO37">
        <v>2</v>
      </c>
      <c r="DP37">
        <v>80.23</v>
      </c>
      <c r="DQ37">
        <v>74.27</v>
      </c>
      <c r="DR37" s="187">
        <v>33.35</v>
      </c>
      <c r="DS37">
        <v>113.33</v>
      </c>
      <c r="DT37">
        <v>4053</v>
      </c>
      <c r="DU37">
        <v>80.099999999999994</v>
      </c>
      <c r="DV37">
        <v>74.47</v>
      </c>
      <c r="DW37" s="187">
        <v>42.64</v>
      </c>
      <c r="DX37">
        <v>122.25</v>
      </c>
      <c r="DY37">
        <v>4405</v>
      </c>
      <c r="DZ37">
        <v>81.86</v>
      </c>
      <c r="EA37">
        <v>6</v>
      </c>
      <c r="EB37" s="187">
        <v>0</v>
      </c>
      <c r="EC37">
        <v>0</v>
      </c>
      <c r="ED37">
        <v>87.15</v>
      </c>
      <c r="EE37">
        <v>200</v>
      </c>
      <c r="EF37">
        <v>93.93</v>
      </c>
      <c r="EG37" s="187">
        <v>1508</v>
      </c>
      <c r="EH37">
        <v>103.92</v>
      </c>
      <c r="EI37">
        <v>1649</v>
      </c>
      <c r="EJ37">
        <v>119.35</v>
      </c>
      <c r="EK37">
        <v>79</v>
      </c>
      <c r="EL37" s="187">
        <v>130.63999999999999</v>
      </c>
      <c r="EM37">
        <v>5</v>
      </c>
      <c r="EN37">
        <v>0</v>
      </c>
      <c r="EO37">
        <v>0</v>
      </c>
      <c r="EP37">
        <v>98.96</v>
      </c>
      <c r="EQ37" s="187">
        <v>3441</v>
      </c>
      <c r="ER37">
        <v>98.93</v>
      </c>
      <c r="ES37">
        <v>3447</v>
      </c>
      <c r="ET37">
        <v>0</v>
      </c>
      <c r="EU37">
        <v>0</v>
      </c>
      <c r="EV37" s="187">
        <v>0</v>
      </c>
      <c r="EW37">
        <v>0</v>
      </c>
      <c r="EX37">
        <v>0</v>
      </c>
      <c r="EY37">
        <v>0</v>
      </c>
      <c r="EZ37">
        <v>0</v>
      </c>
      <c r="FA37" s="187">
        <v>0</v>
      </c>
      <c r="FB37">
        <v>0</v>
      </c>
      <c r="FC37">
        <v>0</v>
      </c>
      <c r="FD37">
        <v>0</v>
      </c>
      <c r="FE37">
        <v>0</v>
      </c>
      <c r="FF37" s="187">
        <v>0</v>
      </c>
      <c r="FG37">
        <v>0</v>
      </c>
      <c r="FH37">
        <v>0</v>
      </c>
      <c r="FI37">
        <v>0</v>
      </c>
      <c r="FJ37">
        <v>9</v>
      </c>
      <c r="FK37" s="187">
        <v>117</v>
      </c>
      <c r="FL37">
        <v>18</v>
      </c>
      <c r="FM37">
        <v>17</v>
      </c>
      <c r="FN37">
        <v>10</v>
      </c>
    </row>
    <row r="38" spans="1:170" x14ac:dyDescent="0.35">
      <c r="A38" t="s">
        <v>468</v>
      </c>
      <c r="B38" t="s">
        <v>469</v>
      </c>
      <c r="C38" t="s">
        <v>414</v>
      </c>
      <c r="D38">
        <v>4835</v>
      </c>
      <c r="E38">
        <v>4798</v>
      </c>
      <c r="F38">
        <v>0</v>
      </c>
      <c r="G38">
        <v>0</v>
      </c>
      <c r="H38">
        <v>180</v>
      </c>
      <c r="I38">
        <v>132</v>
      </c>
      <c r="J38">
        <v>905</v>
      </c>
      <c r="K38">
        <v>895</v>
      </c>
      <c r="L38">
        <v>402</v>
      </c>
      <c r="M38">
        <v>0</v>
      </c>
      <c r="N38">
        <v>6322</v>
      </c>
      <c r="O38">
        <v>5825</v>
      </c>
      <c r="P38">
        <v>5920</v>
      </c>
      <c r="Q38">
        <v>1</v>
      </c>
      <c r="R38">
        <v>4</v>
      </c>
      <c r="S38">
        <v>11</v>
      </c>
      <c r="T38">
        <v>79</v>
      </c>
      <c r="U38">
        <v>6243</v>
      </c>
      <c r="V38" s="498">
        <v>4798</v>
      </c>
      <c r="W38">
        <v>36</v>
      </c>
      <c r="X38" s="498">
        <v>14</v>
      </c>
      <c r="Y38" s="498">
        <v>50</v>
      </c>
      <c r="Z38" s="498">
        <v>82.15</v>
      </c>
      <c r="AA38" s="498">
        <v>79.040000000000006</v>
      </c>
      <c r="AB38">
        <v>2.0099999999999998</v>
      </c>
      <c r="AC38">
        <v>84.12</v>
      </c>
      <c r="AD38">
        <v>4117</v>
      </c>
      <c r="AE38">
        <v>82.04</v>
      </c>
      <c r="AF38">
        <v>72.59</v>
      </c>
      <c r="AG38">
        <v>23.6</v>
      </c>
      <c r="AH38">
        <v>105.62</v>
      </c>
      <c r="AI38">
        <v>1037</v>
      </c>
      <c r="AJ38">
        <v>109.69</v>
      </c>
      <c r="AK38">
        <v>566</v>
      </c>
      <c r="AL38">
        <v>340.69</v>
      </c>
      <c r="AM38">
        <v>6</v>
      </c>
      <c r="AN38">
        <v>0</v>
      </c>
      <c r="AO38" s="499">
        <v>0</v>
      </c>
      <c r="AP38" s="499">
        <v>0</v>
      </c>
      <c r="AQ38">
        <v>0</v>
      </c>
      <c r="AR38">
        <v>0</v>
      </c>
      <c r="AS38">
        <v>58.4</v>
      </c>
      <c r="AT38">
        <v>56.52</v>
      </c>
      <c r="AU38">
        <v>7.42</v>
      </c>
      <c r="AV38">
        <v>65.819999999999993</v>
      </c>
      <c r="AW38">
        <v>39</v>
      </c>
      <c r="AX38">
        <v>68.58</v>
      </c>
      <c r="AY38">
        <v>66.16</v>
      </c>
      <c r="AZ38">
        <v>4.05</v>
      </c>
      <c r="BA38">
        <v>72.58</v>
      </c>
      <c r="BB38">
        <v>765</v>
      </c>
      <c r="BC38">
        <v>79.86</v>
      </c>
      <c r="BD38">
        <v>76.66</v>
      </c>
      <c r="BE38">
        <v>1.61</v>
      </c>
      <c r="BF38">
        <v>81.41</v>
      </c>
      <c r="BG38">
        <v>1629</v>
      </c>
      <c r="BH38">
        <v>90.74</v>
      </c>
      <c r="BI38">
        <v>87.31</v>
      </c>
      <c r="BJ38">
        <v>1.34</v>
      </c>
      <c r="BK38">
        <v>92.07</v>
      </c>
      <c r="BL38" s="214">
        <v>1628</v>
      </c>
      <c r="BM38" s="214">
        <v>100.79</v>
      </c>
      <c r="BN38">
        <v>99.16</v>
      </c>
      <c r="BO38" s="187">
        <v>1.4</v>
      </c>
      <c r="BP38" s="214">
        <v>102.19</v>
      </c>
      <c r="BQ38" s="214">
        <v>51</v>
      </c>
      <c r="BR38">
        <v>95.55</v>
      </c>
      <c r="BS38" s="187">
        <v>101.08</v>
      </c>
      <c r="BT38" s="214">
        <v>0.79</v>
      </c>
      <c r="BU38" s="214">
        <v>96.34</v>
      </c>
      <c r="BV38">
        <v>3</v>
      </c>
      <c r="BW38">
        <v>115.95</v>
      </c>
      <c r="BX38" s="214">
        <v>111.33</v>
      </c>
      <c r="BY38" s="214">
        <v>1.86</v>
      </c>
      <c r="BZ38">
        <v>117.81</v>
      </c>
      <c r="CA38" s="187">
        <v>2</v>
      </c>
      <c r="CB38" s="214">
        <v>82.15</v>
      </c>
      <c r="CC38" s="214">
        <v>79.040000000000006</v>
      </c>
      <c r="CD38">
        <v>2.0099999999999998</v>
      </c>
      <c r="CE38" s="187">
        <v>84.12</v>
      </c>
      <c r="CF38" s="214">
        <v>4117</v>
      </c>
      <c r="CG38" s="214">
        <v>82.15</v>
      </c>
      <c r="CH38">
        <v>79.040000000000006</v>
      </c>
      <c r="CI38">
        <v>2.0099999999999998</v>
      </c>
      <c r="CJ38">
        <v>84.12</v>
      </c>
      <c r="CK38">
        <v>4117</v>
      </c>
      <c r="CL38">
        <v>171.71</v>
      </c>
      <c r="CM38">
        <v>70.180000000000007</v>
      </c>
      <c r="CN38" s="187">
        <v>45.72</v>
      </c>
      <c r="CO38">
        <v>217.44</v>
      </c>
      <c r="CP38">
        <v>62</v>
      </c>
      <c r="CQ38">
        <v>62.12</v>
      </c>
      <c r="CR38">
        <v>57.89</v>
      </c>
      <c r="CS38" s="187">
        <v>23.42</v>
      </c>
      <c r="CT38">
        <v>85.54</v>
      </c>
      <c r="CU38">
        <v>166</v>
      </c>
      <c r="CV38">
        <v>76.069999999999993</v>
      </c>
      <c r="CW38">
        <v>72.53</v>
      </c>
      <c r="CX38" s="187">
        <v>37.950000000000003</v>
      </c>
      <c r="CY38">
        <v>114.02</v>
      </c>
      <c r="CZ38">
        <v>399</v>
      </c>
      <c r="DA38">
        <v>81.91</v>
      </c>
      <c r="DB38">
        <v>78.319999999999993</v>
      </c>
      <c r="DC38" s="187">
        <v>6.22</v>
      </c>
      <c r="DD38">
        <v>88.13</v>
      </c>
      <c r="DE38">
        <v>398</v>
      </c>
      <c r="DF38">
        <v>97.09</v>
      </c>
      <c r="DG38">
        <v>89.78</v>
      </c>
      <c r="DH38" s="187">
        <v>9.74</v>
      </c>
      <c r="DI38">
        <v>106.02</v>
      </c>
      <c r="DJ38">
        <v>12</v>
      </c>
      <c r="DK38">
        <v>0</v>
      </c>
      <c r="DL38">
        <v>0</v>
      </c>
      <c r="DM38" s="187">
        <v>0</v>
      </c>
      <c r="DN38">
        <v>0</v>
      </c>
      <c r="DO38">
        <v>0</v>
      </c>
      <c r="DP38">
        <v>76.34</v>
      </c>
      <c r="DQ38">
        <v>72.61</v>
      </c>
      <c r="DR38" s="187">
        <v>22.19</v>
      </c>
      <c r="DS38">
        <v>98.51</v>
      </c>
      <c r="DT38">
        <v>975</v>
      </c>
      <c r="DU38">
        <v>82.04</v>
      </c>
      <c r="DV38">
        <v>72.59</v>
      </c>
      <c r="DW38" s="187">
        <v>23.6</v>
      </c>
      <c r="DX38">
        <v>105.62</v>
      </c>
      <c r="DY38">
        <v>1037</v>
      </c>
      <c r="DZ38">
        <v>0</v>
      </c>
      <c r="EA38">
        <v>0</v>
      </c>
      <c r="EB38" s="187">
        <v>0</v>
      </c>
      <c r="EC38">
        <v>0</v>
      </c>
      <c r="ED38">
        <v>90.51</v>
      </c>
      <c r="EE38">
        <v>159</v>
      </c>
      <c r="EF38">
        <v>110.5</v>
      </c>
      <c r="EG38" s="187">
        <v>276</v>
      </c>
      <c r="EH38">
        <v>127.62</v>
      </c>
      <c r="EI38">
        <v>114</v>
      </c>
      <c r="EJ38">
        <v>155.47999999999999</v>
      </c>
      <c r="EK38">
        <v>17</v>
      </c>
      <c r="EL38" s="187">
        <v>0</v>
      </c>
      <c r="EM38">
        <v>0</v>
      </c>
      <c r="EN38">
        <v>0</v>
      </c>
      <c r="EO38">
        <v>0</v>
      </c>
      <c r="EP38">
        <v>109.69</v>
      </c>
      <c r="EQ38" s="187">
        <v>566</v>
      </c>
      <c r="ER38">
        <v>109.69</v>
      </c>
      <c r="ES38">
        <v>566</v>
      </c>
      <c r="ET38">
        <v>0</v>
      </c>
      <c r="EU38">
        <v>0</v>
      </c>
      <c r="EV38" s="187">
        <v>0</v>
      </c>
      <c r="EW38">
        <v>0</v>
      </c>
      <c r="EX38">
        <v>340.69</v>
      </c>
      <c r="EY38">
        <v>6</v>
      </c>
      <c r="EZ38">
        <v>0</v>
      </c>
      <c r="FA38" s="187">
        <v>0</v>
      </c>
      <c r="FB38">
        <v>0</v>
      </c>
      <c r="FC38">
        <v>0</v>
      </c>
      <c r="FD38">
        <v>0</v>
      </c>
      <c r="FE38">
        <v>0</v>
      </c>
      <c r="FF38" s="187">
        <v>340.69</v>
      </c>
      <c r="FG38">
        <v>6</v>
      </c>
      <c r="FH38">
        <v>340.69</v>
      </c>
      <c r="FI38">
        <v>6</v>
      </c>
      <c r="FJ38">
        <v>0</v>
      </c>
      <c r="FK38" s="187">
        <v>8</v>
      </c>
      <c r="FL38">
        <v>4</v>
      </c>
      <c r="FM38">
        <v>49</v>
      </c>
      <c r="FN38">
        <v>2</v>
      </c>
    </row>
    <row r="39" spans="1:170" x14ac:dyDescent="0.35">
      <c r="A39" t="s">
        <v>14114</v>
      </c>
      <c r="B39" t="s">
        <v>470</v>
      </c>
      <c r="C39" t="s">
        <v>419</v>
      </c>
      <c r="D39">
        <v>6860</v>
      </c>
      <c r="E39">
        <v>6418</v>
      </c>
      <c r="F39">
        <v>13</v>
      </c>
      <c r="G39">
        <v>13</v>
      </c>
      <c r="H39">
        <v>1236</v>
      </c>
      <c r="I39">
        <v>946</v>
      </c>
      <c r="J39">
        <v>980</v>
      </c>
      <c r="K39">
        <v>833</v>
      </c>
      <c r="L39">
        <v>959</v>
      </c>
      <c r="M39">
        <v>2</v>
      </c>
      <c r="N39">
        <v>10048</v>
      </c>
      <c r="O39">
        <v>8212</v>
      </c>
      <c r="P39">
        <v>9089</v>
      </c>
      <c r="Q39">
        <v>14</v>
      </c>
      <c r="R39">
        <v>13</v>
      </c>
      <c r="S39">
        <v>26</v>
      </c>
      <c r="T39">
        <v>870</v>
      </c>
      <c r="U39">
        <v>9178</v>
      </c>
      <c r="V39" s="498">
        <v>6428</v>
      </c>
      <c r="W39">
        <v>30</v>
      </c>
      <c r="X39" s="498">
        <v>14</v>
      </c>
      <c r="Y39" s="498">
        <v>44</v>
      </c>
      <c r="Z39" s="498">
        <v>106.45</v>
      </c>
      <c r="AA39" s="498">
        <v>102.07</v>
      </c>
      <c r="AB39">
        <v>5.88</v>
      </c>
      <c r="AC39">
        <v>110.63</v>
      </c>
      <c r="AD39">
        <v>5793</v>
      </c>
      <c r="AE39">
        <v>98.02</v>
      </c>
      <c r="AF39">
        <v>83.8</v>
      </c>
      <c r="AG39">
        <v>47.18</v>
      </c>
      <c r="AH39">
        <v>143.83000000000001</v>
      </c>
      <c r="AI39">
        <v>1726</v>
      </c>
      <c r="AJ39">
        <v>150.5</v>
      </c>
      <c r="AK39">
        <v>618</v>
      </c>
      <c r="AL39">
        <v>335.41</v>
      </c>
      <c r="AM39">
        <v>52</v>
      </c>
      <c r="AN39">
        <v>0</v>
      </c>
      <c r="AO39" s="499">
        <v>0</v>
      </c>
      <c r="AP39" s="499">
        <v>0</v>
      </c>
      <c r="AQ39">
        <v>0</v>
      </c>
      <c r="AR39">
        <v>0</v>
      </c>
      <c r="AS39">
        <v>82.6</v>
      </c>
      <c r="AT39">
        <v>78.59</v>
      </c>
      <c r="AU39">
        <v>6.29</v>
      </c>
      <c r="AV39">
        <v>88.81</v>
      </c>
      <c r="AW39">
        <v>77</v>
      </c>
      <c r="AX39">
        <v>90.15</v>
      </c>
      <c r="AY39">
        <v>85.76</v>
      </c>
      <c r="AZ39">
        <v>9.5500000000000007</v>
      </c>
      <c r="BA39">
        <v>98.53</v>
      </c>
      <c r="BB39">
        <v>1372</v>
      </c>
      <c r="BC39">
        <v>104.45</v>
      </c>
      <c r="BD39">
        <v>100.1</v>
      </c>
      <c r="BE39">
        <v>5.8</v>
      </c>
      <c r="BF39">
        <v>108.84</v>
      </c>
      <c r="BG39">
        <v>2373</v>
      </c>
      <c r="BH39">
        <v>120.25</v>
      </c>
      <c r="BI39">
        <v>115.59</v>
      </c>
      <c r="BJ39">
        <v>1.76</v>
      </c>
      <c r="BK39">
        <v>121.18</v>
      </c>
      <c r="BL39" s="214">
        <v>1823</v>
      </c>
      <c r="BM39" s="214">
        <v>131.88999999999999</v>
      </c>
      <c r="BN39">
        <v>127.87</v>
      </c>
      <c r="BO39" s="187">
        <v>1.22</v>
      </c>
      <c r="BP39" s="214">
        <v>132.51</v>
      </c>
      <c r="BQ39" s="214">
        <v>145</v>
      </c>
      <c r="BR39">
        <v>145.47</v>
      </c>
      <c r="BS39" s="187">
        <v>155.01</v>
      </c>
      <c r="BT39" s="214">
        <v>0</v>
      </c>
      <c r="BU39" s="214">
        <v>145.47</v>
      </c>
      <c r="BV39">
        <v>1</v>
      </c>
      <c r="BW39">
        <v>137.55000000000001</v>
      </c>
      <c r="BX39" s="214">
        <v>133.88</v>
      </c>
      <c r="BY39" s="214">
        <v>0.43</v>
      </c>
      <c r="BZ39">
        <v>137.77000000000001</v>
      </c>
      <c r="CA39" s="187">
        <v>2</v>
      </c>
      <c r="CB39" s="214">
        <v>106.45</v>
      </c>
      <c r="CC39" s="214">
        <v>102.07</v>
      </c>
      <c r="CD39">
        <v>5.88</v>
      </c>
      <c r="CE39" s="187">
        <v>110.63</v>
      </c>
      <c r="CF39" s="214">
        <v>5793</v>
      </c>
      <c r="CG39" s="214">
        <v>106.45</v>
      </c>
      <c r="CH39">
        <v>102.07</v>
      </c>
      <c r="CI39">
        <v>5.88</v>
      </c>
      <c r="CJ39">
        <v>110.63</v>
      </c>
      <c r="CK39">
        <v>5793</v>
      </c>
      <c r="CL39">
        <v>94.78</v>
      </c>
      <c r="CM39">
        <v>70.56</v>
      </c>
      <c r="CN39" s="187">
        <v>102.07</v>
      </c>
      <c r="CO39">
        <v>193.32</v>
      </c>
      <c r="CP39">
        <v>318</v>
      </c>
      <c r="CQ39">
        <v>80.239999999999995</v>
      </c>
      <c r="CR39">
        <v>73.94</v>
      </c>
      <c r="CS39" s="187">
        <v>42.41</v>
      </c>
      <c r="CT39">
        <v>122.65</v>
      </c>
      <c r="CU39">
        <v>166</v>
      </c>
      <c r="CV39">
        <v>97.94</v>
      </c>
      <c r="CW39">
        <v>85.28</v>
      </c>
      <c r="CX39" s="187">
        <v>34.729999999999997</v>
      </c>
      <c r="CY39">
        <v>131.97</v>
      </c>
      <c r="CZ39">
        <v>1052</v>
      </c>
      <c r="DA39">
        <v>118.42</v>
      </c>
      <c r="DB39">
        <v>99.58</v>
      </c>
      <c r="DC39" s="187">
        <v>28.58</v>
      </c>
      <c r="DD39">
        <v>144.35</v>
      </c>
      <c r="DE39">
        <v>173</v>
      </c>
      <c r="DF39">
        <v>129.78</v>
      </c>
      <c r="DG39">
        <v>112.3</v>
      </c>
      <c r="DH39" s="187">
        <v>27.5</v>
      </c>
      <c r="DI39">
        <v>154.04</v>
      </c>
      <c r="DJ39">
        <v>17</v>
      </c>
      <c r="DK39">
        <v>0</v>
      </c>
      <c r="DL39">
        <v>0</v>
      </c>
      <c r="DM39" s="187">
        <v>0</v>
      </c>
      <c r="DN39">
        <v>0</v>
      </c>
      <c r="DO39">
        <v>0</v>
      </c>
      <c r="DP39">
        <v>98.75</v>
      </c>
      <c r="DQ39">
        <v>85.98</v>
      </c>
      <c r="DR39" s="187">
        <v>34.869999999999997</v>
      </c>
      <c r="DS39">
        <v>132.66</v>
      </c>
      <c r="DT39">
        <v>1408</v>
      </c>
      <c r="DU39">
        <v>98.02</v>
      </c>
      <c r="DV39">
        <v>83.8</v>
      </c>
      <c r="DW39" s="187">
        <v>47.18</v>
      </c>
      <c r="DX39">
        <v>143.83000000000001</v>
      </c>
      <c r="DY39">
        <v>1726</v>
      </c>
      <c r="DZ39">
        <v>141.11000000000001</v>
      </c>
      <c r="EA39">
        <v>12</v>
      </c>
      <c r="EB39" s="187">
        <v>0</v>
      </c>
      <c r="EC39">
        <v>0</v>
      </c>
      <c r="ED39">
        <v>121.73</v>
      </c>
      <c r="EE39">
        <v>118</v>
      </c>
      <c r="EF39">
        <v>151.61000000000001</v>
      </c>
      <c r="EG39" s="187">
        <v>385</v>
      </c>
      <c r="EH39">
        <v>179.14</v>
      </c>
      <c r="EI39">
        <v>98</v>
      </c>
      <c r="EJ39">
        <v>205.73</v>
      </c>
      <c r="EK39">
        <v>4</v>
      </c>
      <c r="EL39" s="187">
        <v>204.44</v>
      </c>
      <c r="EM39">
        <v>1</v>
      </c>
      <c r="EN39">
        <v>0</v>
      </c>
      <c r="EO39">
        <v>0</v>
      </c>
      <c r="EP39">
        <v>150.69</v>
      </c>
      <c r="EQ39" s="187">
        <v>606</v>
      </c>
      <c r="ER39">
        <v>150.5</v>
      </c>
      <c r="ES39">
        <v>618</v>
      </c>
      <c r="ET39">
        <v>335.41</v>
      </c>
      <c r="EU39">
        <v>52</v>
      </c>
      <c r="EV39" s="187">
        <v>0</v>
      </c>
      <c r="EW39">
        <v>0</v>
      </c>
      <c r="EX39">
        <v>0</v>
      </c>
      <c r="EY39">
        <v>0</v>
      </c>
      <c r="EZ39">
        <v>0</v>
      </c>
      <c r="FA39" s="187">
        <v>0</v>
      </c>
      <c r="FB39">
        <v>0</v>
      </c>
      <c r="FC39">
        <v>0</v>
      </c>
      <c r="FD39">
        <v>0</v>
      </c>
      <c r="FE39">
        <v>0</v>
      </c>
      <c r="FF39" s="187">
        <v>0</v>
      </c>
      <c r="FG39">
        <v>0</v>
      </c>
      <c r="FH39">
        <v>335.41</v>
      </c>
      <c r="FI39">
        <v>52</v>
      </c>
      <c r="FJ39">
        <v>27</v>
      </c>
      <c r="FK39" s="187">
        <v>2</v>
      </c>
      <c r="FL39">
        <v>37</v>
      </c>
      <c r="FM39">
        <v>6</v>
      </c>
      <c r="FN39">
        <v>21</v>
      </c>
    </row>
    <row r="40" spans="1:170" x14ac:dyDescent="0.35">
      <c r="A40" t="s">
        <v>471</v>
      </c>
      <c r="B40" t="s">
        <v>472</v>
      </c>
      <c r="C40" t="s">
        <v>2</v>
      </c>
      <c r="D40">
        <v>7468</v>
      </c>
      <c r="E40">
        <v>7456</v>
      </c>
      <c r="F40">
        <v>0</v>
      </c>
      <c r="G40">
        <v>0</v>
      </c>
      <c r="H40">
        <v>248</v>
      </c>
      <c r="I40">
        <v>223</v>
      </c>
      <c r="J40">
        <v>499</v>
      </c>
      <c r="K40">
        <v>499</v>
      </c>
      <c r="L40">
        <v>813</v>
      </c>
      <c r="M40">
        <v>325</v>
      </c>
      <c r="N40">
        <v>9028</v>
      </c>
      <c r="O40">
        <v>8503</v>
      </c>
      <c r="P40">
        <v>8215</v>
      </c>
      <c r="Q40">
        <v>115</v>
      </c>
      <c r="R40">
        <v>4</v>
      </c>
      <c r="S40">
        <v>28</v>
      </c>
      <c r="T40">
        <v>43</v>
      </c>
      <c r="U40">
        <v>8985</v>
      </c>
      <c r="V40" s="498">
        <v>7456</v>
      </c>
      <c r="W40">
        <v>74</v>
      </c>
      <c r="X40" s="498">
        <v>165</v>
      </c>
      <c r="Y40" s="498">
        <v>239</v>
      </c>
      <c r="Z40" s="498">
        <v>111.97</v>
      </c>
      <c r="AA40" s="498">
        <v>111.59</v>
      </c>
      <c r="AB40">
        <v>8.48</v>
      </c>
      <c r="AC40">
        <v>115.12</v>
      </c>
      <c r="AD40">
        <v>6701</v>
      </c>
      <c r="AE40">
        <v>101.6</v>
      </c>
      <c r="AF40">
        <v>97.69</v>
      </c>
      <c r="AG40">
        <v>41.96</v>
      </c>
      <c r="AH40">
        <v>141.27000000000001</v>
      </c>
      <c r="AI40">
        <v>716</v>
      </c>
      <c r="AJ40">
        <v>173.26</v>
      </c>
      <c r="AK40">
        <v>712</v>
      </c>
      <c r="AL40">
        <v>0</v>
      </c>
      <c r="AM40">
        <v>0</v>
      </c>
      <c r="AN40">
        <v>0</v>
      </c>
      <c r="AO40" s="499">
        <v>0</v>
      </c>
      <c r="AP40" s="499">
        <v>0</v>
      </c>
      <c r="AQ40">
        <v>0</v>
      </c>
      <c r="AR40">
        <v>0</v>
      </c>
      <c r="AS40">
        <v>77.75</v>
      </c>
      <c r="AT40">
        <v>77.19</v>
      </c>
      <c r="AU40">
        <v>8.99</v>
      </c>
      <c r="AV40">
        <v>84.85</v>
      </c>
      <c r="AW40">
        <v>205</v>
      </c>
      <c r="AX40">
        <v>94.05</v>
      </c>
      <c r="AY40">
        <v>93.51</v>
      </c>
      <c r="AZ40">
        <v>8.8699999999999992</v>
      </c>
      <c r="BA40">
        <v>99.49</v>
      </c>
      <c r="BB40">
        <v>1522</v>
      </c>
      <c r="BC40">
        <v>110.18</v>
      </c>
      <c r="BD40">
        <v>109.69</v>
      </c>
      <c r="BE40">
        <v>9.7200000000000006</v>
      </c>
      <c r="BF40">
        <v>114.33</v>
      </c>
      <c r="BG40">
        <v>2380</v>
      </c>
      <c r="BH40">
        <v>125.11</v>
      </c>
      <c r="BI40">
        <v>124.92</v>
      </c>
      <c r="BJ40">
        <v>4.03</v>
      </c>
      <c r="BK40">
        <v>125.66</v>
      </c>
      <c r="BL40" s="214">
        <v>2310</v>
      </c>
      <c r="BM40" s="214">
        <v>140.69999999999999</v>
      </c>
      <c r="BN40">
        <v>140.81</v>
      </c>
      <c r="BO40" s="187">
        <v>3.56</v>
      </c>
      <c r="BP40" s="214">
        <v>141.52000000000001</v>
      </c>
      <c r="BQ40" s="214">
        <v>284</v>
      </c>
      <c r="BR40">
        <v>0</v>
      </c>
      <c r="BS40" s="187">
        <v>0</v>
      </c>
      <c r="BT40" s="214">
        <v>0</v>
      </c>
      <c r="BU40" s="214">
        <v>0</v>
      </c>
      <c r="BV40">
        <v>0</v>
      </c>
      <c r="BW40">
        <v>0</v>
      </c>
      <c r="BX40" s="214">
        <v>0</v>
      </c>
      <c r="BY40" s="214">
        <v>0</v>
      </c>
      <c r="BZ40">
        <v>0</v>
      </c>
      <c r="CA40" s="187">
        <v>0</v>
      </c>
      <c r="CB40" s="214">
        <v>111.97</v>
      </c>
      <c r="CC40" s="214">
        <v>111.59</v>
      </c>
      <c r="CD40">
        <v>8.48</v>
      </c>
      <c r="CE40" s="187">
        <v>115.12</v>
      </c>
      <c r="CF40" s="214">
        <v>6701</v>
      </c>
      <c r="CG40" s="214">
        <v>111.97</v>
      </c>
      <c r="CH40">
        <v>111.59</v>
      </c>
      <c r="CI40">
        <v>8.48</v>
      </c>
      <c r="CJ40">
        <v>115.12</v>
      </c>
      <c r="CK40">
        <v>6701</v>
      </c>
      <c r="CL40">
        <v>95.62</v>
      </c>
      <c r="CM40">
        <v>77.83</v>
      </c>
      <c r="CN40" s="187">
        <v>35.32</v>
      </c>
      <c r="CO40">
        <v>127.31</v>
      </c>
      <c r="CP40">
        <v>107</v>
      </c>
      <c r="CQ40">
        <v>85.83</v>
      </c>
      <c r="CR40">
        <v>86.37</v>
      </c>
      <c r="CS40" s="187">
        <v>69.459999999999994</v>
      </c>
      <c r="CT40">
        <v>144.47</v>
      </c>
      <c r="CU40">
        <v>122</v>
      </c>
      <c r="CV40">
        <v>104.22</v>
      </c>
      <c r="CW40">
        <v>101.35</v>
      </c>
      <c r="CX40" s="187">
        <v>36.44</v>
      </c>
      <c r="CY40">
        <v>139.94</v>
      </c>
      <c r="CZ40">
        <v>405</v>
      </c>
      <c r="DA40">
        <v>119.5</v>
      </c>
      <c r="DB40">
        <v>120.96</v>
      </c>
      <c r="DC40" s="187">
        <v>42.07</v>
      </c>
      <c r="DD40">
        <v>161.57</v>
      </c>
      <c r="DE40">
        <v>79</v>
      </c>
      <c r="DF40">
        <v>130.4</v>
      </c>
      <c r="DG40">
        <v>129.31</v>
      </c>
      <c r="DH40" s="187">
        <v>34.979999999999997</v>
      </c>
      <c r="DI40">
        <v>153.72</v>
      </c>
      <c r="DJ40">
        <v>3</v>
      </c>
      <c r="DK40">
        <v>0</v>
      </c>
      <c r="DL40">
        <v>0</v>
      </c>
      <c r="DM40" s="187">
        <v>0</v>
      </c>
      <c r="DN40">
        <v>0</v>
      </c>
      <c r="DO40">
        <v>0</v>
      </c>
      <c r="DP40">
        <v>102.65</v>
      </c>
      <c r="DQ40">
        <v>101.03</v>
      </c>
      <c r="DR40" s="187">
        <v>43.05</v>
      </c>
      <c r="DS40">
        <v>143.72</v>
      </c>
      <c r="DT40">
        <v>609</v>
      </c>
      <c r="DU40">
        <v>101.6</v>
      </c>
      <c r="DV40">
        <v>97.69</v>
      </c>
      <c r="DW40" s="187">
        <v>41.96</v>
      </c>
      <c r="DX40">
        <v>141.27000000000001</v>
      </c>
      <c r="DY40">
        <v>716</v>
      </c>
      <c r="DZ40">
        <v>0</v>
      </c>
      <c r="EA40">
        <v>0</v>
      </c>
      <c r="EB40" s="187">
        <v>103.65</v>
      </c>
      <c r="EC40">
        <v>7</v>
      </c>
      <c r="ED40">
        <v>142.26</v>
      </c>
      <c r="EE40">
        <v>253</v>
      </c>
      <c r="EF40">
        <v>182.6</v>
      </c>
      <c r="EG40" s="187">
        <v>317</v>
      </c>
      <c r="EH40">
        <v>209.84</v>
      </c>
      <c r="EI40">
        <v>115</v>
      </c>
      <c r="EJ40">
        <v>233.8</v>
      </c>
      <c r="EK40">
        <v>19</v>
      </c>
      <c r="EL40" s="187">
        <v>188.04</v>
      </c>
      <c r="EM40">
        <v>1</v>
      </c>
      <c r="EN40">
        <v>0</v>
      </c>
      <c r="EO40">
        <v>0</v>
      </c>
      <c r="EP40">
        <v>173.26</v>
      </c>
      <c r="EQ40" s="187">
        <v>712</v>
      </c>
      <c r="ER40">
        <v>173.26</v>
      </c>
      <c r="ES40">
        <v>712</v>
      </c>
      <c r="ET40">
        <v>0</v>
      </c>
      <c r="EU40">
        <v>0</v>
      </c>
      <c r="EV40" s="187">
        <v>0</v>
      </c>
      <c r="EW40">
        <v>0</v>
      </c>
      <c r="EX40">
        <v>0</v>
      </c>
      <c r="EY40">
        <v>0</v>
      </c>
      <c r="EZ40">
        <v>0</v>
      </c>
      <c r="FA40" s="187">
        <v>0</v>
      </c>
      <c r="FB40">
        <v>0</v>
      </c>
      <c r="FC40">
        <v>0</v>
      </c>
      <c r="FD40">
        <v>0</v>
      </c>
      <c r="FE40">
        <v>0</v>
      </c>
      <c r="FF40" s="187">
        <v>0</v>
      </c>
      <c r="FG40">
        <v>0</v>
      </c>
      <c r="FH40">
        <v>0</v>
      </c>
      <c r="FI40">
        <v>0</v>
      </c>
      <c r="FJ40">
        <v>9</v>
      </c>
      <c r="FK40" s="187">
        <v>12</v>
      </c>
      <c r="FL40">
        <v>47</v>
      </c>
      <c r="FM40">
        <v>39</v>
      </c>
      <c r="FN40">
        <v>19</v>
      </c>
    </row>
    <row r="41" spans="1:170" x14ac:dyDescent="0.35">
      <c r="A41" t="s">
        <v>473</v>
      </c>
      <c r="B41" t="s">
        <v>474</v>
      </c>
      <c r="C41" t="s">
        <v>1048</v>
      </c>
      <c r="D41">
        <v>27128</v>
      </c>
      <c r="E41">
        <v>27438</v>
      </c>
      <c r="F41">
        <v>1</v>
      </c>
      <c r="G41">
        <v>0</v>
      </c>
      <c r="H41">
        <v>1561</v>
      </c>
      <c r="I41">
        <v>572</v>
      </c>
      <c r="J41">
        <v>2851</v>
      </c>
      <c r="K41">
        <v>2707</v>
      </c>
      <c r="L41">
        <v>795</v>
      </c>
      <c r="M41">
        <v>1</v>
      </c>
      <c r="N41">
        <v>32336</v>
      </c>
      <c r="O41">
        <v>30718</v>
      </c>
      <c r="P41">
        <v>31541</v>
      </c>
      <c r="Q41">
        <v>3</v>
      </c>
      <c r="R41">
        <v>19</v>
      </c>
      <c r="S41">
        <v>32</v>
      </c>
      <c r="T41">
        <v>976</v>
      </c>
      <c r="U41">
        <v>31360</v>
      </c>
      <c r="V41" s="498">
        <v>27112</v>
      </c>
      <c r="W41">
        <v>345</v>
      </c>
      <c r="X41" s="498">
        <v>216</v>
      </c>
      <c r="Y41" s="498">
        <v>561</v>
      </c>
      <c r="Z41" s="498">
        <v>80.77</v>
      </c>
      <c r="AA41" s="498">
        <v>80.34</v>
      </c>
      <c r="AB41">
        <v>5.03</v>
      </c>
      <c r="AC41">
        <v>85.55</v>
      </c>
      <c r="AD41">
        <v>23465</v>
      </c>
      <c r="AE41">
        <v>87.94</v>
      </c>
      <c r="AF41">
        <v>76.239999999999995</v>
      </c>
      <c r="AG41">
        <v>42.28</v>
      </c>
      <c r="AH41">
        <v>129.71</v>
      </c>
      <c r="AI41">
        <v>3453</v>
      </c>
      <c r="AJ41">
        <v>101.98</v>
      </c>
      <c r="AK41">
        <v>3504</v>
      </c>
      <c r="AL41">
        <v>144.02000000000001</v>
      </c>
      <c r="AM41">
        <v>79</v>
      </c>
      <c r="AN41">
        <v>0</v>
      </c>
      <c r="AO41" s="499">
        <v>0</v>
      </c>
      <c r="AP41" s="499">
        <v>0</v>
      </c>
      <c r="AQ41">
        <v>0</v>
      </c>
      <c r="AR41">
        <v>0</v>
      </c>
      <c r="AS41">
        <v>62.82</v>
      </c>
      <c r="AT41">
        <v>62.48</v>
      </c>
      <c r="AU41">
        <v>8.81</v>
      </c>
      <c r="AV41">
        <v>71.63</v>
      </c>
      <c r="AW41">
        <v>203</v>
      </c>
      <c r="AX41">
        <v>70.77</v>
      </c>
      <c r="AY41">
        <v>70.349999999999994</v>
      </c>
      <c r="AZ41">
        <v>6.83</v>
      </c>
      <c r="BA41">
        <v>77.569999999999993</v>
      </c>
      <c r="BB41">
        <v>9223</v>
      </c>
      <c r="BC41">
        <v>80.45</v>
      </c>
      <c r="BD41">
        <v>79.989999999999995</v>
      </c>
      <c r="BE41">
        <v>5.35</v>
      </c>
      <c r="BF41">
        <v>85.47</v>
      </c>
      <c r="BG41">
        <v>6624</v>
      </c>
      <c r="BH41">
        <v>91.09</v>
      </c>
      <c r="BI41">
        <v>90.77</v>
      </c>
      <c r="BJ41">
        <v>2.2000000000000002</v>
      </c>
      <c r="BK41">
        <v>93.12</v>
      </c>
      <c r="BL41" s="214">
        <v>6226</v>
      </c>
      <c r="BM41" s="214">
        <v>106.41</v>
      </c>
      <c r="BN41">
        <v>105.41</v>
      </c>
      <c r="BO41" s="187">
        <v>1.85</v>
      </c>
      <c r="BP41" s="214">
        <v>107.95</v>
      </c>
      <c r="BQ41" s="214">
        <v>947</v>
      </c>
      <c r="BR41">
        <v>117.68</v>
      </c>
      <c r="BS41" s="187">
        <v>116.93</v>
      </c>
      <c r="BT41" s="214">
        <v>2</v>
      </c>
      <c r="BU41" s="214">
        <v>119.28</v>
      </c>
      <c r="BV41">
        <v>201</v>
      </c>
      <c r="BW41">
        <v>127.79</v>
      </c>
      <c r="BX41" s="214">
        <v>129.1</v>
      </c>
      <c r="BY41" s="214">
        <v>2.21</v>
      </c>
      <c r="BZ41">
        <v>129.30000000000001</v>
      </c>
      <c r="CA41" s="187">
        <v>41</v>
      </c>
      <c r="CB41" s="214">
        <v>80.77</v>
      </c>
      <c r="CC41" s="214">
        <v>80.34</v>
      </c>
      <c r="CD41">
        <v>5.03</v>
      </c>
      <c r="CE41" s="187">
        <v>85.55</v>
      </c>
      <c r="CF41" s="214">
        <v>23465</v>
      </c>
      <c r="CG41" s="214">
        <v>80.77</v>
      </c>
      <c r="CH41">
        <v>80.34</v>
      </c>
      <c r="CI41">
        <v>5.03</v>
      </c>
      <c r="CJ41">
        <v>85.55</v>
      </c>
      <c r="CK41">
        <v>23465</v>
      </c>
      <c r="CL41">
        <v>109.93</v>
      </c>
      <c r="CM41">
        <v>63.01</v>
      </c>
      <c r="CN41" s="187">
        <v>85.03</v>
      </c>
      <c r="CO41">
        <v>190.93</v>
      </c>
      <c r="CP41">
        <v>422</v>
      </c>
      <c r="CQ41">
        <v>66.86</v>
      </c>
      <c r="CR41">
        <v>62.38</v>
      </c>
      <c r="CS41" s="187">
        <v>40.299999999999997</v>
      </c>
      <c r="CT41">
        <v>107.16</v>
      </c>
      <c r="CU41">
        <v>379</v>
      </c>
      <c r="CV41">
        <v>85.62</v>
      </c>
      <c r="CW41">
        <v>77</v>
      </c>
      <c r="CX41" s="187">
        <v>37.770000000000003</v>
      </c>
      <c r="CY41">
        <v>123.04</v>
      </c>
      <c r="CZ41">
        <v>2281</v>
      </c>
      <c r="DA41">
        <v>98.52</v>
      </c>
      <c r="DB41">
        <v>92.03</v>
      </c>
      <c r="DC41" s="187">
        <v>25.5</v>
      </c>
      <c r="DD41">
        <v>124.02</v>
      </c>
      <c r="DE41">
        <v>335</v>
      </c>
      <c r="DF41">
        <v>100.51</v>
      </c>
      <c r="DG41">
        <v>96.81</v>
      </c>
      <c r="DH41" s="187">
        <v>25.22</v>
      </c>
      <c r="DI41">
        <v>125.72</v>
      </c>
      <c r="DJ41">
        <v>34</v>
      </c>
      <c r="DK41">
        <v>105.27</v>
      </c>
      <c r="DL41">
        <v>108.18</v>
      </c>
      <c r="DM41" s="187">
        <v>17.64</v>
      </c>
      <c r="DN41">
        <v>122.91</v>
      </c>
      <c r="DO41">
        <v>2</v>
      </c>
      <c r="DP41">
        <v>84.88</v>
      </c>
      <c r="DQ41">
        <v>77.040000000000006</v>
      </c>
      <c r="DR41" s="187">
        <v>36.57</v>
      </c>
      <c r="DS41">
        <v>121.19</v>
      </c>
      <c r="DT41">
        <v>3031</v>
      </c>
      <c r="DU41">
        <v>87.94</v>
      </c>
      <c r="DV41">
        <v>76.239999999999995</v>
      </c>
      <c r="DW41" s="187">
        <v>42.28</v>
      </c>
      <c r="DX41">
        <v>129.71</v>
      </c>
      <c r="DY41">
        <v>3453</v>
      </c>
      <c r="DZ41">
        <v>0</v>
      </c>
      <c r="EA41">
        <v>0</v>
      </c>
      <c r="EB41" s="187">
        <v>0</v>
      </c>
      <c r="EC41">
        <v>0</v>
      </c>
      <c r="ED41">
        <v>88.12</v>
      </c>
      <c r="EE41">
        <v>138</v>
      </c>
      <c r="EF41">
        <v>96.21</v>
      </c>
      <c r="EG41" s="187">
        <v>1254</v>
      </c>
      <c r="EH41">
        <v>105.06</v>
      </c>
      <c r="EI41">
        <v>1975</v>
      </c>
      <c r="EJ41">
        <v>122.79</v>
      </c>
      <c r="EK41">
        <v>116</v>
      </c>
      <c r="EL41" s="187">
        <v>130.37</v>
      </c>
      <c r="EM41">
        <v>14</v>
      </c>
      <c r="EN41">
        <v>134.87</v>
      </c>
      <c r="EO41">
        <v>7</v>
      </c>
      <c r="EP41">
        <v>101.98</v>
      </c>
      <c r="EQ41" s="187">
        <v>3504</v>
      </c>
      <c r="ER41">
        <v>101.98</v>
      </c>
      <c r="ES41">
        <v>3504</v>
      </c>
      <c r="ET41">
        <v>0</v>
      </c>
      <c r="EU41">
        <v>0</v>
      </c>
      <c r="EV41" s="187">
        <v>0</v>
      </c>
      <c r="EW41">
        <v>0</v>
      </c>
      <c r="EX41">
        <v>131.97999999999999</v>
      </c>
      <c r="EY41">
        <v>43</v>
      </c>
      <c r="EZ41">
        <v>158.4</v>
      </c>
      <c r="FA41" s="187">
        <v>36</v>
      </c>
      <c r="FB41">
        <v>0</v>
      </c>
      <c r="FC41">
        <v>0</v>
      </c>
      <c r="FD41">
        <v>0</v>
      </c>
      <c r="FE41">
        <v>0</v>
      </c>
      <c r="FF41" s="187">
        <v>144.02000000000001</v>
      </c>
      <c r="FG41">
        <v>79</v>
      </c>
      <c r="FH41">
        <v>144.02000000000001</v>
      </c>
      <c r="FI41">
        <v>79</v>
      </c>
      <c r="FJ41">
        <v>29</v>
      </c>
      <c r="FK41" s="187">
        <v>124</v>
      </c>
      <c r="FL41">
        <v>38</v>
      </c>
      <c r="FM41">
        <v>53</v>
      </c>
      <c r="FN41">
        <v>15</v>
      </c>
    </row>
    <row r="42" spans="1:170" x14ac:dyDescent="0.35">
      <c r="A42" t="s">
        <v>475</v>
      </c>
      <c r="B42" t="s">
        <v>476</v>
      </c>
      <c r="C42" t="s">
        <v>415</v>
      </c>
      <c r="D42">
        <v>10085</v>
      </c>
      <c r="E42">
        <v>10068</v>
      </c>
      <c r="F42">
        <v>0</v>
      </c>
      <c r="G42">
        <v>0</v>
      </c>
      <c r="H42">
        <v>305</v>
      </c>
      <c r="I42">
        <v>278</v>
      </c>
      <c r="J42">
        <v>739</v>
      </c>
      <c r="K42">
        <v>595</v>
      </c>
      <c r="L42">
        <v>517</v>
      </c>
      <c r="M42">
        <v>20</v>
      </c>
      <c r="N42">
        <v>11646</v>
      </c>
      <c r="O42">
        <v>10961</v>
      </c>
      <c r="P42">
        <v>11129</v>
      </c>
      <c r="Q42">
        <v>0</v>
      </c>
      <c r="R42">
        <v>6</v>
      </c>
      <c r="S42">
        <v>30</v>
      </c>
      <c r="T42">
        <v>190</v>
      </c>
      <c r="U42">
        <v>11456</v>
      </c>
      <c r="V42" s="498">
        <v>10073</v>
      </c>
      <c r="W42">
        <v>50</v>
      </c>
      <c r="X42" s="498">
        <v>59</v>
      </c>
      <c r="Y42" s="498">
        <v>109</v>
      </c>
      <c r="Z42" s="498">
        <v>98.86</v>
      </c>
      <c r="AA42" s="498">
        <v>98.85</v>
      </c>
      <c r="AB42">
        <v>4.05</v>
      </c>
      <c r="AC42">
        <v>100.01</v>
      </c>
      <c r="AD42">
        <v>8738</v>
      </c>
      <c r="AE42">
        <v>88.48</v>
      </c>
      <c r="AF42">
        <v>86.3</v>
      </c>
      <c r="AG42">
        <v>46.16</v>
      </c>
      <c r="AH42">
        <v>132.94</v>
      </c>
      <c r="AI42">
        <v>842</v>
      </c>
      <c r="AJ42">
        <v>150.22</v>
      </c>
      <c r="AK42">
        <v>1257</v>
      </c>
      <c r="AL42">
        <v>153.72</v>
      </c>
      <c r="AM42">
        <v>24</v>
      </c>
      <c r="AN42">
        <v>0</v>
      </c>
      <c r="AO42" s="499">
        <v>0</v>
      </c>
      <c r="AP42" s="499">
        <v>0</v>
      </c>
      <c r="AQ42">
        <v>0</v>
      </c>
      <c r="AR42">
        <v>0</v>
      </c>
      <c r="AS42">
        <v>64.989999999999995</v>
      </c>
      <c r="AT42">
        <v>65.25</v>
      </c>
      <c r="AU42">
        <v>2.42</v>
      </c>
      <c r="AV42">
        <v>67.28</v>
      </c>
      <c r="AW42">
        <v>57</v>
      </c>
      <c r="AX42">
        <v>82.56</v>
      </c>
      <c r="AY42">
        <v>82.75</v>
      </c>
      <c r="AZ42">
        <v>4.95</v>
      </c>
      <c r="BA42">
        <v>85.5</v>
      </c>
      <c r="BB42">
        <v>1361</v>
      </c>
      <c r="BC42">
        <v>97.57</v>
      </c>
      <c r="BD42">
        <v>97.55</v>
      </c>
      <c r="BE42">
        <v>4.05</v>
      </c>
      <c r="BF42">
        <v>98.81</v>
      </c>
      <c r="BG42">
        <v>3787</v>
      </c>
      <c r="BH42">
        <v>105.84</v>
      </c>
      <c r="BI42">
        <v>105.74</v>
      </c>
      <c r="BJ42">
        <v>2.68</v>
      </c>
      <c r="BK42">
        <v>106.17</v>
      </c>
      <c r="BL42" s="214">
        <v>3282</v>
      </c>
      <c r="BM42" s="214">
        <v>122.7</v>
      </c>
      <c r="BN42">
        <v>122.82</v>
      </c>
      <c r="BO42" s="187">
        <v>2.4300000000000002</v>
      </c>
      <c r="BP42" s="214">
        <v>123.24</v>
      </c>
      <c r="BQ42" s="214">
        <v>240</v>
      </c>
      <c r="BR42">
        <v>134.81</v>
      </c>
      <c r="BS42" s="187">
        <v>132.91999999999999</v>
      </c>
      <c r="BT42" s="214">
        <v>3.19</v>
      </c>
      <c r="BU42" s="214">
        <v>135.77000000000001</v>
      </c>
      <c r="BV42">
        <v>10</v>
      </c>
      <c r="BW42">
        <v>144.41999999999999</v>
      </c>
      <c r="BX42" s="214">
        <v>144.41999999999999</v>
      </c>
      <c r="BY42" s="214">
        <v>2.13</v>
      </c>
      <c r="BZ42">
        <v>146.55000000000001</v>
      </c>
      <c r="CA42" s="187">
        <v>1</v>
      </c>
      <c r="CB42" s="214">
        <v>98.86</v>
      </c>
      <c r="CC42" s="214">
        <v>98.85</v>
      </c>
      <c r="CD42">
        <v>4.05</v>
      </c>
      <c r="CE42" s="187">
        <v>100.01</v>
      </c>
      <c r="CF42" s="214">
        <v>8738</v>
      </c>
      <c r="CG42" s="214">
        <v>98.86</v>
      </c>
      <c r="CH42">
        <v>98.85</v>
      </c>
      <c r="CI42">
        <v>4.05</v>
      </c>
      <c r="CJ42">
        <v>100.01</v>
      </c>
      <c r="CK42">
        <v>8738</v>
      </c>
      <c r="CL42">
        <v>83.37</v>
      </c>
      <c r="CM42">
        <v>83.19</v>
      </c>
      <c r="CN42" s="187">
        <v>136.78</v>
      </c>
      <c r="CO42">
        <v>210.8</v>
      </c>
      <c r="CP42">
        <v>117</v>
      </c>
      <c r="CQ42">
        <v>74.44</v>
      </c>
      <c r="CR42">
        <v>65.900000000000006</v>
      </c>
      <c r="CS42" s="187">
        <v>25.14</v>
      </c>
      <c r="CT42">
        <v>99.32</v>
      </c>
      <c r="CU42">
        <v>97</v>
      </c>
      <c r="CV42">
        <v>89.3</v>
      </c>
      <c r="CW42">
        <v>87.39</v>
      </c>
      <c r="CX42" s="187">
        <v>33.630000000000003</v>
      </c>
      <c r="CY42">
        <v>121.52</v>
      </c>
      <c r="CZ42">
        <v>525</v>
      </c>
      <c r="DA42">
        <v>102.97</v>
      </c>
      <c r="DB42">
        <v>100.49</v>
      </c>
      <c r="DC42" s="187">
        <v>31.12</v>
      </c>
      <c r="DD42">
        <v>134.09</v>
      </c>
      <c r="DE42">
        <v>101</v>
      </c>
      <c r="DF42">
        <v>118.71</v>
      </c>
      <c r="DG42">
        <v>112.78</v>
      </c>
      <c r="DH42" s="187">
        <v>28.3</v>
      </c>
      <c r="DI42">
        <v>147.01</v>
      </c>
      <c r="DJ42">
        <v>2</v>
      </c>
      <c r="DK42">
        <v>0</v>
      </c>
      <c r="DL42">
        <v>0</v>
      </c>
      <c r="DM42" s="187">
        <v>0</v>
      </c>
      <c r="DN42">
        <v>0</v>
      </c>
      <c r="DO42">
        <v>0</v>
      </c>
      <c r="DP42">
        <v>89.3</v>
      </c>
      <c r="DQ42">
        <v>86.81</v>
      </c>
      <c r="DR42" s="187">
        <v>32.090000000000003</v>
      </c>
      <c r="DS42">
        <v>120.37</v>
      </c>
      <c r="DT42">
        <v>725</v>
      </c>
      <c r="DU42">
        <v>88.48</v>
      </c>
      <c r="DV42">
        <v>86.3</v>
      </c>
      <c r="DW42" s="187">
        <v>46.16</v>
      </c>
      <c r="DX42">
        <v>132.94</v>
      </c>
      <c r="DY42">
        <v>842</v>
      </c>
      <c r="DZ42">
        <v>0</v>
      </c>
      <c r="EA42">
        <v>0</v>
      </c>
      <c r="EB42" s="187">
        <v>0</v>
      </c>
      <c r="EC42">
        <v>0</v>
      </c>
      <c r="ED42">
        <v>119.77</v>
      </c>
      <c r="EE42">
        <v>278</v>
      </c>
      <c r="EF42">
        <v>149.56</v>
      </c>
      <c r="EG42" s="187">
        <v>729</v>
      </c>
      <c r="EH42">
        <v>182.79</v>
      </c>
      <c r="EI42">
        <v>222</v>
      </c>
      <c r="EJ42">
        <v>212.51</v>
      </c>
      <c r="EK42">
        <v>27</v>
      </c>
      <c r="EL42" s="187">
        <v>186.9</v>
      </c>
      <c r="EM42">
        <v>1</v>
      </c>
      <c r="EN42">
        <v>0</v>
      </c>
      <c r="EO42">
        <v>0</v>
      </c>
      <c r="EP42">
        <v>150.22</v>
      </c>
      <c r="EQ42" s="187">
        <v>1257</v>
      </c>
      <c r="ER42">
        <v>150.22</v>
      </c>
      <c r="ES42">
        <v>1257</v>
      </c>
      <c r="ET42">
        <v>148.15</v>
      </c>
      <c r="EU42">
        <v>1</v>
      </c>
      <c r="EV42" s="187">
        <v>140.5</v>
      </c>
      <c r="EW42">
        <v>9</v>
      </c>
      <c r="EX42">
        <v>159.9</v>
      </c>
      <c r="EY42">
        <v>13</v>
      </c>
      <c r="EZ42">
        <v>197.85</v>
      </c>
      <c r="FA42" s="187">
        <v>1</v>
      </c>
      <c r="FB42">
        <v>0</v>
      </c>
      <c r="FC42">
        <v>0</v>
      </c>
      <c r="FD42">
        <v>0</v>
      </c>
      <c r="FE42">
        <v>0</v>
      </c>
      <c r="FF42" s="187">
        <v>153.96</v>
      </c>
      <c r="FG42">
        <v>23</v>
      </c>
      <c r="FH42">
        <v>153.72</v>
      </c>
      <c r="FI42">
        <v>24</v>
      </c>
      <c r="FJ42">
        <v>27</v>
      </c>
      <c r="FK42" s="187">
        <v>21</v>
      </c>
      <c r="FL42">
        <v>0</v>
      </c>
      <c r="FM42">
        <v>113</v>
      </c>
      <c r="FN42">
        <v>6</v>
      </c>
    </row>
    <row r="43" spans="1:170" x14ac:dyDescent="0.35">
      <c r="A43" t="s">
        <v>477</v>
      </c>
      <c r="B43" t="s">
        <v>478</v>
      </c>
      <c r="C43" t="s">
        <v>415</v>
      </c>
      <c r="D43">
        <v>7542</v>
      </c>
      <c r="E43">
        <v>7546</v>
      </c>
      <c r="F43">
        <v>0</v>
      </c>
      <c r="G43">
        <v>0</v>
      </c>
      <c r="H43">
        <v>194</v>
      </c>
      <c r="I43">
        <v>147</v>
      </c>
      <c r="J43">
        <v>971</v>
      </c>
      <c r="K43">
        <v>971</v>
      </c>
      <c r="L43">
        <v>361</v>
      </c>
      <c r="M43">
        <v>128</v>
      </c>
      <c r="N43">
        <v>9068</v>
      </c>
      <c r="O43">
        <v>8792</v>
      </c>
      <c r="P43">
        <v>8707</v>
      </c>
      <c r="Q43">
        <v>4</v>
      </c>
      <c r="R43">
        <v>4</v>
      </c>
      <c r="S43">
        <v>22</v>
      </c>
      <c r="T43">
        <v>40</v>
      </c>
      <c r="U43">
        <v>9028</v>
      </c>
      <c r="V43" s="498">
        <v>7540</v>
      </c>
      <c r="W43">
        <v>20</v>
      </c>
      <c r="X43" s="498">
        <v>66</v>
      </c>
      <c r="Y43" s="498">
        <v>86</v>
      </c>
      <c r="Z43" s="498">
        <v>90.89</v>
      </c>
      <c r="AA43" s="498">
        <v>87.52</v>
      </c>
      <c r="AB43">
        <v>3.08</v>
      </c>
      <c r="AC43">
        <v>91.82</v>
      </c>
      <c r="AD43">
        <v>6726</v>
      </c>
      <c r="AE43">
        <v>83.17</v>
      </c>
      <c r="AF43">
        <v>76.33</v>
      </c>
      <c r="AG43">
        <v>21.7</v>
      </c>
      <c r="AH43">
        <v>104.18</v>
      </c>
      <c r="AI43">
        <v>1127</v>
      </c>
      <c r="AJ43">
        <v>117.76</v>
      </c>
      <c r="AK43">
        <v>787</v>
      </c>
      <c r="AL43">
        <v>0</v>
      </c>
      <c r="AM43">
        <v>0</v>
      </c>
      <c r="AN43">
        <v>0</v>
      </c>
      <c r="AO43" s="499">
        <v>0</v>
      </c>
      <c r="AP43" s="499">
        <v>0</v>
      </c>
      <c r="AQ43">
        <v>0</v>
      </c>
      <c r="AR43">
        <v>0</v>
      </c>
      <c r="AS43">
        <v>64.680000000000007</v>
      </c>
      <c r="AT43">
        <v>66.64</v>
      </c>
      <c r="AU43">
        <v>1.57</v>
      </c>
      <c r="AV43">
        <v>65.81</v>
      </c>
      <c r="AW43">
        <v>21</v>
      </c>
      <c r="AX43">
        <v>75.28</v>
      </c>
      <c r="AY43">
        <v>73.17</v>
      </c>
      <c r="AZ43">
        <v>5.13</v>
      </c>
      <c r="BA43">
        <v>78.709999999999994</v>
      </c>
      <c r="BB43">
        <v>801</v>
      </c>
      <c r="BC43">
        <v>89.02</v>
      </c>
      <c r="BD43">
        <v>85.81</v>
      </c>
      <c r="BE43">
        <v>2.87</v>
      </c>
      <c r="BF43">
        <v>90.03</v>
      </c>
      <c r="BG43">
        <v>2791</v>
      </c>
      <c r="BH43">
        <v>96.06</v>
      </c>
      <c r="BI43">
        <v>92.15</v>
      </c>
      <c r="BJ43">
        <v>1.25</v>
      </c>
      <c r="BK43">
        <v>96.23</v>
      </c>
      <c r="BL43" s="214">
        <v>2888</v>
      </c>
      <c r="BM43" s="214">
        <v>104.78</v>
      </c>
      <c r="BN43">
        <v>101.22</v>
      </c>
      <c r="BO43" s="187">
        <v>1.55</v>
      </c>
      <c r="BP43" s="214">
        <v>105.22</v>
      </c>
      <c r="BQ43" s="214">
        <v>206</v>
      </c>
      <c r="BR43">
        <v>116.47</v>
      </c>
      <c r="BS43" s="187">
        <v>111.82</v>
      </c>
      <c r="BT43" s="214">
        <v>1.22</v>
      </c>
      <c r="BU43" s="214">
        <v>116.93</v>
      </c>
      <c r="BV43">
        <v>8</v>
      </c>
      <c r="BW43">
        <v>120.26</v>
      </c>
      <c r="BX43" s="214">
        <v>115.79</v>
      </c>
      <c r="BY43" s="214">
        <v>0.42</v>
      </c>
      <c r="BZ43">
        <v>120.37</v>
      </c>
      <c r="CA43" s="187">
        <v>11</v>
      </c>
      <c r="CB43" s="214">
        <v>90.89</v>
      </c>
      <c r="CC43" s="214">
        <v>87.52</v>
      </c>
      <c r="CD43">
        <v>3.08</v>
      </c>
      <c r="CE43" s="187">
        <v>91.82</v>
      </c>
      <c r="CF43" s="214">
        <v>6726</v>
      </c>
      <c r="CG43" s="214">
        <v>90.89</v>
      </c>
      <c r="CH43">
        <v>87.52</v>
      </c>
      <c r="CI43">
        <v>3.08</v>
      </c>
      <c r="CJ43">
        <v>91.82</v>
      </c>
      <c r="CK43">
        <v>6726</v>
      </c>
      <c r="CL43">
        <v>102.21</v>
      </c>
      <c r="CM43">
        <v>76.06</v>
      </c>
      <c r="CN43" s="187">
        <v>94.54</v>
      </c>
      <c r="CO43">
        <v>163.82</v>
      </c>
      <c r="CP43">
        <v>89</v>
      </c>
      <c r="CQ43">
        <v>78.88</v>
      </c>
      <c r="CR43">
        <v>69.42</v>
      </c>
      <c r="CS43" s="187">
        <v>31.49</v>
      </c>
      <c r="CT43">
        <v>109.74</v>
      </c>
      <c r="CU43">
        <v>100</v>
      </c>
      <c r="CV43">
        <v>79.61</v>
      </c>
      <c r="CW43">
        <v>74.989999999999995</v>
      </c>
      <c r="CX43" s="187">
        <v>17.579999999999998</v>
      </c>
      <c r="CY43">
        <v>97.12</v>
      </c>
      <c r="CZ43">
        <v>776</v>
      </c>
      <c r="DA43">
        <v>92.03</v>
      </c>
      <c r="DB43">
        <v>87.01</v>
      </c>
      <c r="DC43" s="187">
        <v>8.92</v>
      </c>
      <c r="DD43">
        <v>100.95</v>
      </c>
      <c r="DE43">
        <v>158</v>
      </c>
      <c r="DF43">
        <v>107.04</v>
      </c>
      <c r="DG43">
        <v>106.91</v>
      </c>
      <c r="DH43" s="187">
        <v>28.23</v>
      </c>
      <c r="DI43">
        <v>135.26</v>
      </c>
      <c r="DJ43">
        <v>4</v>
      </c>
      <c r="DK43">
        <v>0</v>
      </c>
      <c r="DL43">
        <v>0</v>
      </c>
      <c r="DM43" s="187">
        <v>0</v>
      </c>
      <c r="DN43">
        <v>0</v>
      </c>
      <c r="DO43">
        <v>0</v>
      </c>
      <c r="DP43">
        <v>81.53</v>
      </c>
      <c r="DQ43">
        <v>76.349999999999994</v>
      </c>
      <c r="DR43" s="187">
        <v>17.61</v>
      </c>
      <c r="DS43">
        <v>99.06</v>
      </c>
      <c r="DT43">
        <v>1038</v>
      </c>
      <c r="DU43">
        <v>83.17</v>
      </c>
      <c r="DV43">
        <v>76.33</v>
      </c>
      <c r="DW43" s="187">
        <v>21.7</v>
      </c>
      <c r="DX43">
        <v>104.18</v>
      </c>
      <c r="DY43">
        <v>1127</v>
      </c>
      <c r="DZ43">
        <v>0</v>
      </c>
      <c r="EA43">
        <v>0</v>
      </c>
      <c r="EB43" s="187">
        <v>0</v>
      </c>
      <c r="EC43">
        <v>0</v>
      </c>
      <c r="ED43">
        <v>95.96</v>
      </c>
      <c r="EE43">
        <v>179</v>
      </c>
      <c r="EF43">
        <v>118.76</v>
      </c>
      <c r="EG43" s="187">
        <v>420</v>
      </c>
      <c r="EH43">
        <v>134.94999999999999</v>
      </c>
      <c r="EI43">
        <v>177</v>
      </c>
      <c r="EJ43">
        <v>155.24</v>
      </c>
      <c r="EK43">
        <v>10</v>
      </c>
      <c r="EL43" s="187">
        <v>183.7</v>
      </c>
      <c r="EM43">
        <v>1</v>
      </c>
      <c r="EN43">
        <v>0</v>
      </c>
      <c r="EO43">
        <v>0</v>
      </c>
      <c r="EP43">
        <v>117.76</v>
      </c>
      <c r="EQ43" s="187">
        <v>787</v>
      </c>
      <c r="ER43">
        <v>117.76</v>
      </c>
      <c r="ES43">
        <v>787</v>
      </c>
      <c r="ET43">
        <v>0</v>
      </c>
      <c r="EU43">
        <v>0</v>
      </c>
      <c r="EV43" s="187">
        <v>0</v>
      </c>
      <c r="EW43">
        <v>0</v>
      </c>
      <c r="EX43">
        <v>0</v>
      </c>
      <c r="EY43">
        <v>0</v>
      </c>
      <c r="EZ43">
        <v>0</v>
      </c>
      <c r="FA43" s="187">
        <v>0</v>
      </c>
      <c r="FB43">
        <v>0</v>
      </c>
      <c r="FC43">
        <v>0</v>
      </c>
      <c r="FD43">
        <v>0</v>
      </c>
      <c r="FE43">
        <v>0</v>
      </c>
      <c r="FF43" s="187">
        <v>0</v>
      </c>
      <c r="FG43">
        <v>0</v>
      </c>
      <c r="FH43">
        <v>0</v>
      </c>
      <c r="FI43">
        <v>0</v>
      </c>
      <c r="FJ43">
        <v>9</v>
      </c>
      <c r="FK43" s="187">
        <v>4</v>
      </c>
      <c r="FL43">
        <v>12</v>
      </c>
      <c r="FM43">
        <v>45</v>
      </c>
      <c r="FN43">
        <v>10</v>
      </c>
    </row>
    <row r="44" spans="1:170" x14ac:dyDescent="0.35">
      <c r="A44" t="s">
        <v>479</v>
      </c>
      <c r="B44" t="s">
        <v>480</v>
      </c>
      <c r="C44" t="s">
        <v>416</v>
      </c>
      <c r="D44">
        <v>16875</v>
      </c>
      <c r="E44">
        <v>15599</v>
      </c>
      <c r="F44">
        <v>157</v>
      </c>
      <c r="G44">
        <v>135</v>
      </c>
      <c r="H44">
        <v>1167</v>
      </c>
      <c r="I44">
        <v>666</v>
      </c>
      <c r="J44">
        <v>1073</v>
      </c>
      <c r="K44">
        <v>965</v>
      </c>
      <c r="L44">
        <v>2270</v>
      </c>
      <c r="M44">
        <v>79</v>
      </c>
      <c r="N44">
        <v>21542</v>
      </c>
      <c r="O44">
        <v>17444</v>
      </c>
      <c r="P44">
        <v>19272</v>
      </c>
      <c r="Q44">
        <v>90</v>
      </c>
      <c r="R44">
        <v>32</v>
      </c>
      <c r="S44">
        <v>29</v>
      </c>
      <c r="T44">
        <v>2053</v>
      </c>
      <c r="U44">
        <v>19489</v>
      </c>
      <c r="V44" s="498">
        <v>15129</v>
      </c>
      <c r="W44">
        <v>230</v>
      </c>
      <c r="X44" s="498">
        <v>46</v>
      </c>
      <c r="Y44" s="498">
        <v>276</v>
      </c>
      <c r="Z44" s="498">
        <v>129.49</v>
      </c>
      <c r="AA44" s="498">
        <v>130.9</v>
      </c>
      <c r="AB44">
        <v>12.09</v>
      </c>
      <c r="AC44">
        <v>138.01</v>
      </c>
      <c r="AD44">
        <v>11751</v>
      </c>
      <c r="AE44">
        <v>119.57</v>
      </c>
      <c r="AF44">
        <v>99.3</v>
      </c>
      <c r="AG44">
        <v>59.49</v>
      </c>
      <c r="AH44">
        <v>168.69</v>
      </c>
      <c r="AI44">
        <v>1757</v>
      </c>
      <c r="AJ44">
        <v>226.98</v>
      </c>
      <c r="AK44">
        <v>2085</v>
      </c>
      <c r="AL44">
        <v>219.83</v>
      </c>
      <c r="AM44">
        <v>139</v>
      </c>
      <c r="AN44">
        <v>99.88</v>
      </c>
      <c r="AO44" s="499">
        <v>99.86</v>
      </c>
      <c r="AP44" s="499">
        <v>5.59</v>
      </c>
      <c r="AQ44">
        <v>105.47</v>
      </c>
      <c r="AR44">
        <v>7</v>
      </c>
      <c r="AS44">
        <v>96.19</v>
      </c>
      <c r="AT44">
        <v>94.56</v>
      </c>
      <c r="AU44">
        <v>8.0299999999999994</v>
      </c>
      <c r="AV44">
        <v>99.72</v>
      </c>
      <c r="AW44">
        <v>91</v>
      </c>
      <c r="AX44">
        <v>110.95</v>
      </c>
      <c r="AY44">
        <v>109.61</v>
      </c>
      <c r="AZ44">
        <v>12.49</v>
      </c>
      <c r="BA44">
        <v>120.55</v>
      </c>
      <c r="BB44">
        <v>2899</v>
      </c>
      <c r="BC44">
        <v>126.38</v>
      </c>
      <c r="BD44">
        <v>126.95</v>
      </c>
      <c r="BE44">
        <v>13.36</v>
      </c>
      <c r="BF44">
        <v>136.18</v>
      </c>
      <c r="BG44">
        <v>4878</v>
      </c>
      <c r="BH44">
        <v>144.79</v>
      </c>
      <c r="BI44">
        <v>148.26</v>
      </c>
      <c r="BJ44">
        <v>10.73</v>
      </c>
      <c r="BK44">
        <v>151.24</v>
      </c>
      <c r="BL44" s="214">
        <v>3061</v>
      </c>
      <c r="BM44" s="214">
        <v>158.97999999999999</v>
      </c>
      <c r="BN44">
        <v>168.21</v>
      </c>
      <c r="BO44" s="187">
        <v>8.06</v>
      </c>
      <c r="BP44" s="214">
        <v>164.65</v>
      </c>
      <c r="BQ44" s="214">
        <v>703</v>
      </c>
      <c r="BR44">
        <v>171.34</v>
      </c>
      <c r="BS44" s="187">
        <v>178.79</v>
      </c>
      <c r="BT44" s="214">
        <v>3.65</v>
      </c>
      <c r="BU44" s="214">
        <v>174.25</v>
      </c>
      <c r="BV44">
        <v>105</v>
      </c>
      <c r="BW44">
        <v>165.51</v>
      </c>
      <c r="BX44" s="214">
        <v>181.36</v>
      </c>
      <c r="BY44" s="214">
        <v>3.36</v>
      </c>
      <c r="BZ44">
        <v>166.47</v>
      </c>
      <c r="CA44" s="187">
        <v>7</v>
      </c>
      <c r="CB44" s="214">
        <v>129.51</v>
      </c>
      <c r="CC44" s="214">
        <v>130.91999999999999</v>
      </c>
      <c r="CD44">
        <v>12.1</v>
      </c>
      <c r="CE44" s="187">
        <v>138.03</v>
      </c>
      <c r="CF44" s="214">
        <v>11744</v>
      </c>
      <c r="CG44" s="214">
        <v>129.49</v>
      </c>
      <c r="CH44">
        <v>130.9</v>
      </c>
      <c r="CI44">
        <v>12.09</v>
      </c>
      <c r="CJ44">
        <v>138.01</v>
      </c>
      <c r="CK44">
        <v>11751</v>
      </c>
      <c r="CL44">
        <v>97.28</v>
      </c>
      <c r="CM44">
        <v>90.99</v>
      </c>
      <c r="CN44" s="187">
        <v>76.959999999999994</v>
      </c>
      <c r="CO44">
        <v>142.08000000000001</v>
      </c>
      <c r="CP44">
        <v>457</v>
      </c>
      <c r="CQ44">
        <v>108.33</v>
      </c>
      <c r="CR44">
        <v>96.57</v>
      </c>
      <c r="CS44" s="187">
        <v>84.08</v>
      </c>
      <c r="CT44">
        <v>183.9</v>
      </c>
      <c r="CU44">
        <v>257</v>
      </c>
      <c r="CV44">
        <v>131.71</v>
      </c>
      <c r="CW44">
        <v>105.74</v>
      </c>
      <c r="CX44" s="187">
        <v>49.06</v>
      </c>
      <c r="CY44">
        <v>177.2</v>
      </c>
      <c r="CZ44">
        <v>963</v>
      </c>
      <c r="DA44">
        <v>135.49</v>
      </c>
      <c r="DB44">
        <v>112.85</v>
      </c>
      <c r="DC44" s="187">
        <v>44.31</v>
      </c>
      <c r="DD44">
        <v>177.59</v>
      </c>
      <c r="DE44">
        <v>60</v>
      </c>
      <c r="DF44">
        <v>141.12</v>
      </c>
      <c r="DG44">
        <v>147.34</v>
      </c>
      <c r="DH44" s="187">
        <v>25.66</v>
      </c>
      <c r="DI44">
        <v>144.33000000000001</v>
      </c>
      <c r="DJ44">
        <v>16</v>
      </c>
      <c r="DK44">
        <v>140.01</v>
      </c>
      <c r="DL44">
        <v>174.8</v>
      </c>
      <c r="DM44" s="187">
        <v>16.59</v>
      </c>
      <c r="DN44">
        <v>148.30000000000001</v>
      </c>
      <c r="DO44">
        <v>4</v>
      </c>
      <c r="DP44">
        <v>127.4</v>
      </c>
      <c r="DQ44">
        <v>105.46</v>
      </c>
      <c r="DR44" s="187">
        <v>55.57</v>
      </c>
      <c r="DS44">
        <v>178.05</v>
      </c>
      <c r="DT44">
        <v>1300</v>
      </c>
      <c r="DU44">
        <v>119.57</v>
      </c>
      <c r="DV44">
        <v>99.3</v>
      </c>
      <c r="DW44" s="187">
        <v>59.49</v>
      </c>
      <c r="DX44">
        <v>168.69</v>
      </c>
      <c r="DY44">
        <v>1757</v>
      </c>
      <c r="DZ44">
        <v>88.88</v>
      </c>
      <c r="EA44">
        <v>4</v>
      </c>
      <c r="EB44" s="187">
        <v>120.62</v>
      </c>
      <c r="EC44">
        <v>1</v>
      </c>
      <c r="ED44">
        <v>201.46</v>
      </c>
      <c r="EE44">
        <v>713</v>
      </c>
      <c r="EF44">
        <v>248.25</v>
      </c>
      <c r="EG44" s="187">
        <v>955</v>
      </c>
      <c r="EH44">
        <v>222.95</v>
      </c>
      <c r="EI44">
        <v>363</v>
      </c>
      <c r="EJ44">
        <v>227.17</v>
      </c>
      <c r="EK44">
        <v>47</v>
      </c>
      <c r="EL44" s="187">
        <v>0</v>
      </c>
      <c r="EM44">
        <v>0</v>
      </c>
      <c r="EN44">
        <v>222.16</v>
      </c>
      <c r="EO44">
        <v>2</v>
      </c>
      <c r="EP44">
        <v>227.24</v>
      </c>
      <c r="EQ44" s="187">
        <v>2081</v>
      </c>
      <c r="ER44">
        <v>226.98</v>
      </c>
      <c r="ES44">
        <v>2085</v>
      </c>
      <c r="ET44">
        <v>0</v>
      </c>
      <c r="EU44">
        <v>0</v>
      </c>
      <c r="EV44" s="187">
        <v>0</v>
      </c>
      <c r="EW44">
        <v>0</v>
      </c>
      <c r="EX44">
        <v>219.73</v>
      </c>
      <c r="EY44">
        <v>122</v>
      </c>
      <c r="EZ44">
        <v>220.55</v>
      </c>
      <c r="FA44" s="187">
        <v>17</v>
      </c>
      <c r="FB44">
        <v>0</v>
      </c>
      <c r="FC44">
        <v>0</v>
      </c>
      <c r="FD44">
        <v>0</v>
      </c>
      <c r="FE44">
        <v>0</v>
      </c>
      <c r="FF44" s="187">
        <v>219.83</v>
      </c>
      <c r="FG44">
        <v>139</v>
      </c>
      <c r="FH44">
        <v>219.83</v>
      </c>
      <c r="FI44">
        <v>139</v>
      </c>
      <c r="FJ44">
        <v>62</v>
      </c>
      <c r="FK44" s="187">
        <v>6</v>
      </c>
      <c r="FL44">
        <v>5</v>
      </c>
      <c r="FM44">
        <v>336</v>
      </c>
      <c r="FN44">
        <v>195</v>
      </c>
    </row>
    <row r="45" spans="1:170" x14ac:dyDescent="0.35">
      <c r="A45" t="s">
        <v>481</v>
      </c>
      <c r="B45" t="s">
        <v>482</v>
      </c>
      <c r="C45" t="s">
        <v>415</v>
      </c>
      <c r="D45">
        <v>780</v>
      </c>
      <c r="E45">
        <v>640</v>
      </c>
      <c r="F45">
        <v>7</v>
      </c>
      <c r="G45">
        <v>0</v>
      </c>
      <c r="H45">
        <v>78</v>
      </c>
      <c r="I45">
        <v>78</v>
      </c>
      <c r="J45">
        <v>162</v>
      </c>
      <c r="K45">
        <v>162</v>
      </c>
      <c r="L45">
        <v>203</v>
      </c>
      <c r="M45">
        <v>7</v>
      </c>
      <c r="N45">
        <v>1230</v>
      </c>
      <c r="O45">
        <v>887</v>
      </c>
      <c r="P45">
        <v>1027</v>
      </c>
      <c r="Q45">
        <v>0</v>
      </c>
      <c r="R45">
        <v>3</v>
      </c>
      <c r="S45">
        <v>20</v>
      </c>
      <c r="T45">
        <v>153</v>
      </c>
      <c r="U45">
        <v>1077</v>
      </c>
      <c r="V45" s="498">
        <v>639</v>
      </c>
      <c r="W45">
        <v>3</v>
      </c>
      <c r="X45" s="498">
        <v>0</v>
      </c>
      <c r="Y45" s="498">
        <v>3</v>
      </c>
      <c r="Z45" s="498">
        <v>120.54</v>
      </c>
      <c r="AA45" s="498">
        <v>118.5</v>
      </c>
      <c r="AB45">
        <v>9.06</v>
      </c>
      <c r="AC45">
        <v>129.07</v>
      </c>
      <c r="AD45">
        <v>512</v>
      </c>
      <c r="AE45">
        <v>100.37</v>
      </c>
      <c r="AF45">
        <v>96.68</v>
      </c>
      <c r="AG45">
        <v>54.46</v>
      </c>
      <c r="AH45">
        <v>154.83000000000001</v>
      </c>
      <c r="AI45">
        <v>235</v>
      </c>
      <c r="AJ45">
        <v>158.72</v>
      </c>
      <c r="AK45">
        <v>124</v>
      </c>
      <c r="AL45">
        <v>0</v>
      </c>
      <c r="AM45">
        <v>0</v>
      </c>
      <c r="AN45">
        <v>0</v>
      </c>
      <c r="AO45" s="499">
        <v>0</v>
      </c>
      <c r="AP45" s="499">
        <v>0</v>
      </c>
      <c r="AQ45">
        <v>0</v>
      </c>
      <c r="AR45">
        <v>0</v>
      </c>
      <c r="AS45">
        <v>0</v>
      </c>
      <c r="AT45">
        <v>0</v>
      </c>
      <c r="AU45">
        <v>0</v>
      </c>
      <c r="AV45">
        <v>0</v>
      </c>
      <c r="AW45">
        <v>0</v>
      </c>
      <c r="AX45">
        <v>101.71</v>
      </c>
      <c r="AY45">
        <v>99.21</v>
      </c>
      <c r="AZ45">
        <v>11.87</v>
      </c>
      <c r="BA45">
        <v>113.3</v>
      </c>
      <c r="BB45">
        <v>169</v>
      </c>
      <c r="BC45">
        <v>118.92</v>
      </c>
      <c r="BD45">
        <v>116.05</v>
      </c>
      <c r="BE45">
        <v>9.6999999999999993</v>
      </c>
      <c r="BF45">
        <v>128.16999999999999</v>
      </c>
      <c r="BG45">
        <v>151</v>
      </c>
      <c r="BH45">
        <v>137.97999999999999</v>
      </c>
      <c r="BI45">
        <v>136.97999999999999</v>
      </c>
      <c r="BJ45">
        <v>5.9</v>
      </c>
      <c r="BK45">
        <v>143.29</v>
      </c>
      <c r="BL45" s="214">
        <v>189</v>
      </c>
      <c r="BM45" s="214">
        <v>164.31</v>
      </c>
      <c r="BN45">
        <v>164.31</v>
      </c>
      <c r="BO45" s="187">
        <v>2.59</v>
      </c>
      <c r="BP45" s="214">
        <v>166.9</v>
      </c>
      <c r="BQ45" s="214">
        <v>3</v>
      </c>
      <c r="BR45">
        <v>0</v>
      </c>
      <c r="BS45" s="187">
        <v>0</v>
      </c>
      <c r="BT45" s="214">
        <v>0</v>
      </c>
      <c r="BU45" s="214">
        <v>0</v>
      </c>
      <c r="BV45">
        <v>0</v>
      </c>
      <c r="BW45">
        <v>0</v>
      </c>
      <c r="BX45" s="214">
        <v>0</v>
      </c>
      <c r="BY45" s="214">
        <v>0</v>
      </c>
      <c r="BZ45">
        <v>0</v>
      </c>
      <c r="CA45" s="187">
        <v>0</v>
      </c>
      <c r="CB45" s="214">
        <v>120.54</v>
      </c>
      <c r="CC45" s="214">
        <v>118.5</v>
      </c>
      <c r="CD45">
        <v>9.06</v>
      </c>
      <c r="CE45" s="187">
        <v>129.07</v>
      </c>
      <c r="CF45" s="214">
        <v>512</v>
      </c>
      <c r="CG45" s="214">
        <v>120.54</v>
      </c>
      <c r="CH45">
        <v>118.5</v>
      </c>
      <c r="CI45">
        <v>9.06</v>
      </c>
      <c r="CJ45">
        <v>129.07</v>
      </c>
      <c r="CK45">
        <v>512</v>
      </c>
      <c r="CL45">
        <v>116.26</v>
      </c>
      <c r="CM45">
        <v>121.57</v>
      </c>
      <c r="CN45" s="187">
        <v>96.44</v>
      </c>
      <c r="CO45">
        <v>212.7</v>
      </c>
      <c r="CP45">
        <v>61</v>
      </c>
      <c r="CQ45">
        <v>75.39</v>
      </c>
      <c r="CR45">
        <v>68.73</v>
      </c>
      <c r="CS45" s="187">
        <v>38.1</v>
      </c>
      <c r="CT45">
        <v>113.49</v>
      </c>
      <c r="CU45">
        <v>68</v>
      </c>
      <c r="CV45">
        <v>106.69</v>
      </c>
      <c r="CW45">
        <v>99.87</v>
      </c>
      <c r="CX45" s="187">
        <v>41.21</v>
      </c>
      <c r="CY45">
        <v>147.88999999999999</v>
      </c>
      <c r="CZ45">
        <v>102</v>
      </c>
      <c r="DA45">
        <v>121.8</v>
      </c>
      <c r="DB45">
        <v>111.11</v>
      </c>
      <c r="DC45" s="187">
        <v>30</v>
      </c>
      <c r="DD45">
        <v>151.80000000000001</v>
      </c>
      <c r="DE45">
        <v>4</v>
      </c>
      <c r="DF45">
        <v>0</v>
      </c>
      <c r="DG45">
        <v>0</v>
      </c>
      <c r="DH45" s="187">
        <v>0</v>
      </c>
      <c r="DI45">
        <v>0</v>
      </c>
      <c r="DJ45">
        <v>0</v>
      </c>
      <c r="DK45">
        <v>0</v>
      </c>
      <c r="DL45">
        <v>0</v>
      </c>
      <c r="DM45" s="187">
        <v>0</v>
      </c>
      <c r="DN45">
        <v>0</v>
      </c>
      <c r="DO45">
        <v>0</v>
      </c>
      <c r="DP45">
        <v>94.8</v>
      </c>
      <c r="DQ45">
        <v>87.96</v>
      </c>
      <c r="DR45" s="187">
        <v>39.74</v>
      </c>
      <c r="DS45">
        <v>134.54</v>
      </c>
      <c r="DT45">
        <v>174</v>
      </c>
      <c r="DU45">
        <v>100.37</v>
      </c>
      <c r="DV45">
        <v>96.68</v>
      </c>
      <c r="DW45" s="187">
        <v>54.46</v>
      </c>
      <c r="DX45">
        <v>154.83000000000001</v>
      </c>
      <c r="DY45">
        <v>235</v>
      </c>
      <c r="DZ45">
        <v>0</v>
      </c>
      <c r="EA45">
        <v>0</v>
      </c>
      <c r="EB45" s="187">
        <v>99.1</v>
      </c>
      <c r="EC45">
        <v>1</v>
      </c>
      <c r="ED45">
        <v>132.72999999999999</v>
      </c>
      <c r="EE45">
        <v>54</v>
      </c>
      <c r="EF45">
        <v>169.14</v>
      </c>
      <c r="EG45" s="187">
        <v>45</v>
      </c>
      <c r="EH45">
        <v>200.14</v>
      </c>
      <c r="EI45">
        <v>24</v>
      </c>
      <c r="EJ45">
        <v>0</v>
      </c>
      <c r="EK45">
        <v>0</v>
      </c>
      <c r="EL45" s="187">
        <v>0</v>
      </c>
      <c r="EM45">
        <v>0</v>
      </c>
      <c r="EN45">
        <v>0</v>
      </c>
      <c r="EO45">
        <v>0</v>
      </c>
      <c r="EP45">
        <v>158.72</v>
      </c>
      <c r="EQ45" s="187">
        <v>124</v>
      </c>
      <c r="ER45">
        <v>158.72</v>
      </c>
      <c r="ES45">
        <v>124</v>
      </c>
      <c r="ET45">
        <v>0</v>
      </c>
      <c r="EU45">
        <v>0</v>
      </c>
      <c r="EV45" s="187">
        <v>0</v>
      </c>
      <c r="EW45">
        <v>0</v>
      </c>
      <c r="EX45">
        <v>0</v>
      </c>
      <c r="EY45">
        <v>0</v>
      </c>
      <c r="EZ45">
        <v>0</v>
      </c>
      <c r="FA45" s="187">
        <v>0</v>
      </c>
      <c r="FB45">
        <v>0</v>
      </c>
      <c r="FC45">
        <v>0</v>
      </c>
      <c r="FD45">
        <v>0</v>
      </c>
      <c r="FE45">
        <v>0</v>
      </c>
      <c r="FF45" s="187">
        <v>0</v>
      </c>
      <c r="FG45">
        <v>0</v>
      </c>
      <c r="FH45">
        <v>0</v>
      </c>
      <c r="FI45">
        <v>0</v>
      </c>
      <c r="FJ45">
        <v>0</v>
      </c>
      <c r="FK45" s="187">
        <v>0</v>
      </c>
      <c r="FL45">
        <v>0</v>
      </c>
      <c r="FM45">
        <v>0</v>
      </c>
      <c r="FN45">
        <v>4</v>
      </c>
    </row>
    <row r="46" spans="1:170" x14ac:dyDescent="0.35">
      <c r="A46" t="s">
        <v>483</v>
      </c>
      <c r="B46" t="s">
        <v>484</v>
      </c>
      <c r="C46" t="s">
        <v>2</v>
      </c>
      <c r="D46">
        <v>4730</v>
      </c>
      <c r="E46">
        <v>4421</v>
      </c>
      <c r="F46">
        <v>71</v>
      </c>
      <c r="G46">
        <v>0</v>
      </c>
      <c r="H46">
        <v>985</v>
      </c>
      <c r="I46">
        <v>254</v>
      </c>
      <c r="J46">
        <v>1045</v>
      </c>
      <c r="K46">
        <v>792</v>
      </c>
      <c r="L46">
        <v>954</v>
      </c>
      <c r="M46">
        <v>77</v>
      </c>
      <c r="N46">
        <v>7785</v>
      </c>
      <c r="O46">
        <v>5544</v>
      </c>
      <c r="P46">
        <v>6831</v>
      </c>
      <c r="Q46">
        <v>68</v>
      </c>
      <c r="R46">
        <v>17</v>
      </c>
      <c r="S46">
        <v>29</v>
      </c>
      <c r="T46">
        <v>1261</v>
      </c>
      <c r="U46">
        <v>6524</v>
      </c>
      <c r="V46" s="498">
        <v>4406</v>
      </c>
      <c r="W46">
        <v>38</v>
      </c>
      <c r="X46" s="498">
        <v>16</v>
      </c>
      <c r="Y46" s="498">
        <v>54</v>
      </c>
      <c r="Z46" s="498">
        <v>98.1</v>
      </c>
      <c r="AA46" s="498">
        <v>95.74</v>
      </c>
      <c r="AB46">
        <v>10.74</v>
      </c>
      <c r="AC46">
        <v>106.85</v>
      </c>
      <c r="AD46">
        <v>3775</v>
      </c>
      <c r="AE46">
        <v>95.56</v>
      </c>
      <c r="AF46">
        <v>83.13</v>
      </c>
      <c r="AG46">
        <v>67.64</v>
      </c>
      <c r="AH46">
        <v>160.99</v>
      </c>
      <c r="AI46">
        <v>1160</v>
      </c>
      <c r="AJ46">
        <v>172.27</v>
      </c>
      <c r="AK46">
        <v>494</v>
      </c>
      <c r="AL46">
        <v>0</v>
      </c>
      <c r="AM46">
        <v>0</v>
      </c>
      <c r="AN46">
        <v>75.83</v>
      </c>
      <c r="AO46" s="499">
        <v>75.83</v>
      </c>
      <c r="AP46" s="499">
        <v>0</v>
      </c>
      <c r="AQ46">
        <v>75.83</v>
      </c>
      <c r="AR46">
        <v>4</v>
      </c>
      <c r="AS46">
        <v>67.489999999999995</v>
      </c>
      <c r="AT46">
        <v>66.040000000000006</v>
      </c>
      <c r="AU46">
        <v>12.69</v>
      </c>
      <c r="AV46">
        <v>80.069999999999993</v>
      </c>
      <c r="AW46">
        <v>110</v>
      </c>
      <c r="AX46">
        <v>82.99</v>
      </c>
      <c r="AY46">
        <v>81.400000000000006</v>
      </c>
      <c r="AZ46">
        <v>13.5</v>
      </c>
      <c r="BA46">
        <v>96.11</v>
      </c>
      <c r="BB46">
        <v>965</v>
      </c>
      <c r="BC46">
        <v>97.64</v>
      </c>
      <c r="BD46">
        <v>95.71</v>
      </c>
      <c r="BE46">
        <v>11.34</v>
      </c>
      <c r="BF46">
        <v>107.64</v>
      </c>
      <c r="BG46">
        <v>1496</v>
      </c>
      <c r="BH46">
        <v>111.97</v>
      </c>
      <c r="BI46">
        <v>109.27</v>
      </c>
      <c r="BJ46">
        <v>6</v>
      </c>
      <c r="BK46">
        <v>115.45</v>
      </c>
      <c r="BL46" s="214">
        <v>1054</v>
      </c>
      <c r="BM46" s="214">
        <v>125.38</v>
      </c>
      <c r="BN46">
        <v>123.21</v>
      </c>
      <c r="BO46" s="187">
        <v>3.82</v>
      </c>
      <c r="BP46" s="214">
        <v>128.07</v>
      </c>
      <c r="BQ46" s="214">
        <v>138</v>
      </c>
      <c r="BR46">
        <v>137.11000000000001</v>
      </c>
      <c r="BS46" s="187">
        <v>142.27000000000001</v>
      </c>
      <c r="BT46" s="214">
        <v>3.07</v>
      </c>
      <c r="BU46" s="214">
        <v>137.62</v>
      </c>
      <c r="BV46">
        <v>6</v>
      </c>
      <c r="BW46">
        <v>145.99</v>
      </c>
      <c r="BX46" s="214">
        <v>139.87</v>
      </c>
      <c r="BY46" s="214">
        <v>0</v>
      </c>
      <c r="BZ46">
        <v>145.99</v>
      </c>
      <c r="CA46" s="187">
        <v>2</v>
      </c>
      <c r="CB46" s="214">
        <v>98.12</v>
      </c>
      <c r="CC46" s="214">
        <v>95.76</v>
      </c>
      <c r="CD46">
        <v>10.74</v>
      </c>
      <c r="CE46" s="187">
        <v>106.88</v>
      </c>
      <c r="CF46" s="214">
        <v>3771</v>
      </c>
      <c r="CG46" s="214">
        <v>98.1</v>
      </c>
      <c r="CH46">
        <v>95.74</v>
      </c>
      <c r="CI46">
        <v>10.74</v>
      </c>
      <c r="CJ46">
        <v>106.85</v>
      </c>
      <c r="CK46">
        <v>3775</v>
      </c>
      <c r="CL46">
        <v>117.42</v>
      </c>
      <c r="CM46">
        <v>83.26</v>
      </c>
      <c r="CN46" s="187">
        <v>155.66</v>
      </c>
      <c r="CO46">
        <v>251.57</v>
      </c>
      <c r="CP46">
        <v>246</v>
      </c>
      <c r="CQ46">
        <v>69.92</v>
      </c>
      <c r="CR46">
        <v>66.27</v>
      </c>
      <c r="CS46" s="187">
        <v>45.25</v>
      </c>
      <c r="CT46">
        <v>115.16</v>
      </c>
      <c r="CU46">
        <v>113</v>
      </c>
      <c r="CV46">
        <v>90.88</v>
      </c>
      <c r="CW46">
        <v>83.91</v>
      </c>
      <c r="CX46" s="187">
        <v>45.4</v>
      </c>
      <c r="CY46">
        <v>136.09</v>
      </c>
      <c r="CZ46">
        <v>728</v>
      </c>
      <c r="DA46">
        <v>108.57</v>
      </c>
      <c r="DB46">
        <v>103.19</v>
      </c>
      <c r="DC46" s="187">
        <v>63.24</v>
      </c>
      <c r="DD46">
        <v>170.87</v>
      </c>
      <c r="DE46">
        <v>67</v>
      </c>
      <c r="DF46">
        <v>105.48</v>
      </c>
      <c r="DG46">
        <v>95.96</v>
      </c>
      <c r="DH46" s="187">
        <v>115.33</v>
      </c>
      <c r="DI46">
        <v>220.8</v>
      </c>
      <c r="DJ46">
        <v>6</v>
      </c>
      <c r="DK46">
        <v>0</v>
      </c>
      <c r="DL46">
        <v>0</v>
      </c>
      <c r="DM46" s="187">
        <v>0</v>
      </c>
      <c r="DN46">
        <v>0</v>
      </c>
      <c r="DO46">
        <v>0</v>
      </c>
      <c r="DP46">
        <v>89.68</v>
      </c>
      <c r="DQ46">
        <v>83.1</v>
      </c>
      <c r="DR46" s="187">
        <v>47.13</v>
      </c>
      <c r="DS46">
        <v>136.61000000000001</v>
      </c>
      <c r="DT46">
        <v>914</v>
      </c>
      <c r="DU46">
        <v>95.56</v>
      </c>
      <c r="DV46">
        <v>83.13</v>
      </c>
      <c r="DW46" s="187">
        <v>67.64</v>
      </c>
      <c r="DX46">
        <v>160.99</v>
      </c>
      <c r="DY46">
        <v>1160</v>
      </c>
      <c r="DZ46">
        <v>0</v>
      </c>
      <c r="EA46">
        <v>0</v>
      </c>
      <c r="EB46" s="187">
        <v>124.63</v>
      </c>
      <c r="EC46">
        <v>16</v>
      </c>
      <c r="ED46">
        <v>149.19</v>
      </c>
      <c r="EE46">
        <v>206</v>
      </c>
      <c r="EF46">
        <v>187.85</v>
      </c>
      <c r="EG46" s="187">
        <v>205</v>
      </c>
      <c r="EH46">
        <v>206.16</v>
      </c>
      <c r="EI46">
        <v>52</v>
      </c>
      <c r="EJ46">
        <v>206.48</v>
      </c>
      <c r="EK46">
        <v>14</v>
      </c>
      <c r="EL46" s="187">
        <v>254.82</v>
      </c>
      <c r="EM46">
        <v>1</v>
      </c>
      <c r="EN46">
        <v>0</v>
      </c>
      <c r="EO46">
        <v>0</v>
      </c>
      <c r="EP46">
        <v>172.27</v>
      </c>
      <c r="EQ46" s="187">
        <v>494</v>
      </c>
      <c r="ER46">
        <v>172.27</v>
      </c>
      <c r="ES46">
        <v>494</v>
      </c>
      <c r="ET46">
        <v>0</v>
      </c>
      <c r="EU46">
        <v>0</v>
      </c>
      <c r="EV46" s="187">
        <v>0</v>
      </c>
      <c r="EW46">
        <v>0</v>
      </c>
      <c r="EX46">
        <v>0</v>
      </c>
      <c r="EY46">
        <v>0</v>
      </c>
      <c r="EZ46">
        <v>0</v>
      </c>
      <c r="FA46" s="187">
        <v>0</v>
      </c>
      <c r="FB46">
        <v>0</v>
      </c>
      <c r="FC46">
        <v>0</v>
      </c>
      <c r="FD46">
        <v>0</v>
      </c>
      <c r="FE46">
        <v>0</v>
      </c>
      <c r="FF46" s="187">
        <v>0</v>
      </c>
      <c r="FG46">
        <v>0</v>
      </c>
      <c r="FH46">
        <v>0</v>
      </c>
      <c r="FI46">
        <v>0</v>
      </c>
      <c r="FJ46">
        <v>12</v>
      </c>
      <c r="FK46" s="187">
        <v>0</v>
      </c>
      <c r="FL46">
        <v>3</v>
      </c>
      <c r="FM46">
        <v>140</v>
      </c>
      <c r="FN46">
        <v>29</v>
      </c>
    </row>
    <row r="47" spans="1:170" x14ac:dyDescent="0.35">
      <c r="A47" t="s">
        <v>485</v>
      </c>
      <c r="B47" t="s">
        <v>486</v>
      </c>
      <c r="C47" t="s">
        <v>419</v>
      </c>
      <c r="D47">
        <v>9012</v>
      </c>
      <c r="E47">
        <v>8683</v>
      </c>
      <c r="F47">
        <v>31</v>
      </c>
      <c r="G47">
        <v>2</v>
      </c>
      <c r="H47">
        <v>2752</v>
      </c>
      <c r="I47">
        <v>1910</v>
      </c>
      <c r="J47">
        <v>1065</v>
      </c>
      <c r="K47">
        <v>879</v>
      </c>
      <c r="L47">
        <v>1563</v>
      </c>
      <c r="M47">
        <v>18</v>
      </c>
      <c r="N47">
        <v>14423</v>
      </c>
      <c r="O47">
        <v>11492</v>
      </c>
      <c r="P47">
        <v>12860</v>
      </c>
      <c r="Q47">
        <v>41</v>
      </c>
      <c r="R47">
        <v>17</v>
      </c>
      <c r="S47">
        <v>29</v>
      </c>
      <c r="T47">
        <v>1070</v>
      </c>
      <c r="U47">
        <v>13353</v>
      </c>
      <c r="V47" s="498">
        <v>8627</v>
      </c>
      <c r="W47">
        <v>54</v>
      </c>
      <c r="X47" s="498">
        <v>46</v>
      </c>
      <c r="Y47" s="498">
        <v>100</v>
      </c>
      <c r="Z47" s="498">
        <v>99.75</v>
      </c>
      <c r="AA47" s="498">
        <v>98.26</v>
      </c>
      <c r="AB47">
        <v>9.9600000000000009</v>
      </c>
      <c r="AC47">
        <v>106.82</v>
      </c>
      <c r="AD47">
        <v>7122</v>
      </c>
      <c r="AE47">
        <v>91.92</v>
      </c>
      <c r="AF47">
        <v>89.9</v>
      </c>
      <c r="AG47">
        <v>42.54</v>
      </c>
      <c r="AH47">
        <v>131.62</v>
      </c>
      <c r="AI47">
        <v>3134</v>
      </c>
      <c r="AJ47">
        <v>142.38999999999999</v>
      </c>
      <c r="AK47">
        <v>1295</v>
      </c>
      <c r="AL47">
        <v>143.02000000000001</v>
      </c>
      <c r="AM47">
        <v>90</v>
      </c>
      <c r="AN47">
        <v>0</v>
      </c>
      <c r="AO47" s="499">
        <v>0</v>
      </c>
      <c r="AP47" s="499">
        <v>0</v>
      </c>
      <c r="AQ47">
        <v>0</v>
      </c>
      <c r="AR47">
        <v>0</v>
      </c>
      <c r="AS47">
        <v>75.13</v>
      </c>
      <c r="AT47">
        <v>72.14</v>
      </c>
      <c r="AU47">
        <v>15.01</v>
      </c>
      <c r="AV47">
        <v>89.85</v>
      </c>
      <c r="AW47">
        <v>102</v>
      </c>
      <c r="AX47">
        <v>84.95</v>
      </c>
      <c r="AY47">
        <v>83.3</v>
      </c>
      <c r="AZ47">
        <v>12.64</v>
      </c>
      <c r="BA47">
        <v>97.2</v>
      </c>
      <c r="BB47">
        <v>2099</v>
      </c>
      <c r="BC47">
        <v>100.28</v>
      </c>
      <c r="BD47">
        <v>99.11</v>
      </c>
      <c r="BE47">
        <v>9.8699999999999992</v>
      </c>
      <c r="BF47">
        <v>107.26</v>
      </c>
      <c r="BG47">
        <v>2745</v>
      </c>
      <c r="BH47">
        <v>111.85</v>
      </c>
      <c r="BI47">
        <v>110.12</v>
      </c>
      <c r="BJ47">
        <v>4.3</v>
      </c>
      <c r="BK47">
        <v>113.8</v>
      </c>
      <c r="BL47" s="214">
        <v>1772</v>
      </c>
      <c r="BM47" s="214">
        <v>125.72</v>
      </c>
      <c r="BN47">
        <v>124.17</v>
      </c>
      <c r="BO47" s="187">
        <v>2.73</v>
      </c>
      <c r="BP47" s="214">
        <v>126.97</v>
      </c>
      <c r="BQ47" s="214">
        <v>379</v>
      </c>
      <c r="BR47">
        <v>134.58000000000001</v>
      </c>
      <c r="BS47" s="187">
        <v>136.22999999999999</v>
      </c>
      <c r="BT47" s="214">
        <v>8.6300000000000008</v>
      </c>
      <c r="BU47" s="214">
        <v>135.01</v>
      </c>
      <c r="BV47">
        <v>20</v>
      </c>
      <c r="BW47">
        <v>136.77000000000001</v>
      </c>
      <c r="BX47" s="214">
        <v>137.34</v>
      </c>
      <c r="BY47" s="214">
        <v>4.32</v>
      </c>
      <c r="BZ47">
        <v>137.63</v>
      </c>
      <c r="CA47" s="187">
        <v>5</v>
      </c>
      <c r="CB47" s="214">
        <v>99.75</v>
      </c>
      <c r="CC47" s="214">
        <v>98.26</v>
      </c>
      <c r="CD47">
        <v>9.9600000000000009</v>
      </c>
      <c r="CE47" s="187">
        <v>106.82</v>
      </c>
      <c r="CF47" s="214">
        <v>7122</v>
      </c>
      <c r="CG47" s="214">
        <v>99.75</v>
      </c>
      <c r="CH47">
        <v>98.26</v>
      </c>
      <c r="CI47">
        <v>9.9600000000000009</v>
      </c>
      <c r="CJ47">
        <v>106.82</v>
      </c>
      <c r="CK47">
        <v>7122</v>
      </c>
      <c r="CL47">
        <v>82.22</v>
      </c>
      <c r="CM47">
        <v>75.989999999999995</v>
      </c>
      <c r="CN47" s="187">
        <v>90.12</v>
      </c>
      <c r="CO47">
        <v>162.36000000000001</v>
      </c>
      <c r="CP47">
        <v>596</v>
      </c>
      <c r="CQ47">
        <v>88.59</v>
      </c>
      <c r="CR47">
        <v>83.81</v>
      </c>
      <c r="CS47" s="187">
        <v>29.52</v>
      </c>
      <c r="CT47">
        <v>118.11</v>
      </c>
      <c r="CU47">
        <v>229</v>
      </c>
      <c r="CV47">
        <v>92.41</v>
      </c>
      <c r="CW47">
        <v>90.57</v>
      </c>
      <c r="CX47" s="187">
        <v>32.56</v>
      </c>
      <c r="CY47">
        <v>123.08</v>
      </c>
      <c r="CZ47">
        <v>1919</v>
      </c>
      <c r="DA47">
        <v>105.79</v>
      </c>
      <c r="DB47">
        <v>108.25</v>
      </c>
      <c r="DC47" s="187">
        <v>31.65</v>
      </c>
      <c r="DD47">
        <v>135.02000000000001</v>
      </c>
      <c r="DE47">
        <v>366</v>
      </c>
      <c r="DF47">
        <v>113.84</v>
      </c>
      <c r="DG47">
        <v>107.39</v>
      </c>
      <c r="DH47" s="187">
        <v>16.73</v>
      </c>
      <c r="DI47">
        <v>129.12</v>
      </c>
      <c r="DJ47">
        <v>23</v>
      </c>
      <c r="DK47">
        <v>106.8</v>
      </c>
      <c r="DL47">
        <v>97.09</v>
      </c>
      <c r="DM47" s="187">
        <v>0</v>
      </c>
      <c r="DN47">
        <v>106.8</v>
      </c>
      <c r="DO47">
        <v>1</v>
      </c>
      <c r="DP47">
        <v>94.2</v>
      </c>
      <c r="DQ47">
        <v>92.65</v>
      </c>
      <c r="DR47" s="187">
        <v>32</v>
      </c>
      <c r="DS47">
        <v>124.4</v>
      </c>
      <c r="DT47">
        <v>2538</v>
      </c>
      <c r="DU47">
        <v>91.92</v>
      </c>
      <c r="DV47">
        <v>89.9</v>
      </c>
      <c r="DW47" s="187">
        <v>42.54</v>
      </c>
      <c r="DX47">
        <v>131.62</v>
      </c>
      <c r="DY47">
        <v>3134</v>
      </c>
      <c r="DZ47">
        <v>0</v>
      </c>
      <c r="EA47">
        <v>0</v>
      </c>
      <c r="EB47" s="187">
        <v>111.4</v>
      </c>
      <c r="EC47">
        <v>9</v>
      </c>
      <c r="ED47">
        <v>123.09</v>
      </c>
      <c r="EE47">
        <v>383</v>
      </c>
      <c r="EF47">
        <v>143.91</v>
      </c>
      <c r="EG47" s="187">
        <v>604</v>
      </c>
      <c r="EH47">
        <v>161.9</v>
      </c>
      <c r="EI47">
        <v>277</v>
      </c>
      <c r="EJ47">
        <v>203.99</v>
      </c>
      <c r="EK47">
        <v>22</v>
      </c>
      <c r="EL47" s="187">
        <v>0</v>
      </c>
      <c r="EM47">
        <v>0</v>
      </c>
      <c r="EN47">
        <v>0</v>
      </c>
      <c r="EO47">
        <v>0</v>
      </c>
      <c r="EP47">
        <v>142.38999999999999</v>
      </c>
      <c r="EQ47" s="187">
        <v>1295</v>
      </c>
      <c r="ER47">
        <v>142.38999999999999</v>
      </c>
      <c r="ES47">
        <v>1295</v>
      </c>
      <c r="ET47">
        <v>76.150000000000006</v>
      </c>
      <c r="EU47">
        <v>6</v>
      </c>
      <c r="EV47" s="187">
        <v>104.31</v>
      </c>
      <c r="EW47">
        <v>1</v>
      </c>
      <c r="EX47">
        <v>142.01</v>
      </c>
      <c r="EY47">
        <v>61</v>
      </c>
      <c r="EZ47">
        <v>165.84</v>
      </c>
      <c r="FA47" s="187">
        <v>22</v>
      </c>
      <c r="FB47">
        <v>0</v>
      </c>
      <c r="FC47">
        <v>0</v>
      </c>
      <c r="FD47">
        <v>0</v>
      </c>
      <c r="FE47">
        <v>0</v>
      </c>
      <c r="FF47" s="187">
        <v>147.80000000000001</v>
      </c>
      <c r="FG47">
        <v>84</v>
      </c>
      <c r="FH47">
        <v>143.02000000000001</v>
      </c>
      <c r="FI47">
        <v>90</v>
      </c>
      <c r="FJ47">
        <v>0</v>
      </c>
      <c r="FK47" s="187">
        <v>3</v>
      </c>
      <c r="FL47">
        <v>5</v>
      </c>
      <c r="FM47">
        <v>127</v>
      </c>
      <c r="FN47">
        <v>32</v>
      </c>
    </row>
    <row r="48" spans="1:170" x14ac:dyDescent="0.35">
      <c r="A48" t="s">
        <v>487</v>
      </c>
      <c r="B48" t="s">
        <v>488</v>
      </c>
      <c r="C48" t="s">
        <v>415</v>
      </c>
      <c r="D48">
        <v>5070</v>
      </c>
      <c r="E48">
        <v>5047</v>
      </c>
      <c r="F48">
        <v>0</v>
      </c>
      <c r="G48">
        <v>0</v>
      </c>
      <c r="H48">
        <v>149</v>
      </c>
      <c r="I48">
        <v>146</v>
      </c>
      <c r="J48">
        <v>559</v>
      </c>
      <c r="K48">
        <v>598</v>
      </c>
      <c r="L48">
        <v>485</v>
      </c>
      <c r="M48">
        <v>139</v>
      </c>
      <c r="N48">
        <v>6263</v>
      </c>
      <c r="O48">
        <v>5930</v>
      </c>
      <c r="P48">
        <v>5778</v>
      </c>
      <c r="Q48">
        <v>0</v>
      </c>
      <c r="R48">
        <v>2</v>
      </c>
      <c r="S48">
        <v>16</v>
      </c>
      <c r="T48">
        <v>5</v>
      </c>
      <c r="U48">
        <v>6258</v>
      </c>
      <c r="V48" s="498">
        <v>5067</v>
      </c>
      <c r="W48">
        <v>32</v>
      </c>
      <c r="X48" s="498">
        <v>19</v>
      </c>
      <c r="Y48" s="498">
        <v>51</v>
      </c>
      <c r="Z48" s="498">
        <v>94.4</v>
      </c>
      <c r="AA48" s="498">
        <v>91.03</v>
      </c>
      <c r="AB48">
        <v>2.17</v>
      </c>
      <c r="AC48">
        <v>95.88</v>
      </c>
      <c r="AD48">
        <v>3695</v>
      </c>
      <c r="AE48">
        <v>91.75</v>
      </c>
      <c r="AF48">
        <v>80.790000000000006</v>
      </c>
      <c r="AG48">
        <v>32.31</v>
      </c>
      <c r="AH48">
        <v>124.01</v>
      </c>
      <c r="AI48">
        <v>706</v>
      </c>
      <c r="AJ48">
        <v>116.62</v>
      </c>
      <c r="AK48">
        <v>1221</v>
      </c>
      <c r="AL48">
        <v>0</v>
      </c>
      <c r="AM48">
        <v>0</v>
      </c>
      <c r="AN48">
        <v>0</v>
      </c>
      <c r="AO48" s="499">
        <v>0</v>
      </c>
      <c r="AP48" s="499">
        <v>0</v>
      </c>
      <c r="AQ48">
        <v>0</v>
      </c>
      <c r="AR48">
        <v>0</v>
      </c>
      <c r="AS48">
        <v>74.290000000000006</v>
      </c>
      <c r="AT48">
        <v>76.849999999999994</v>
      </c>
      <c r="AU48">
        <v>5.35</v>
      </c>
      <c r="AV48">
        <v>79.64</v>
      </c>
      <c r="AW48">
        <v>1</v>
      </c>
      <c r="AX48">
        <v>78.790000000000006</v>
      </c>
      <c r="AY48">
        <v>76.319999999999993</v>
      </c>
      <c r="AZ48">
        <v>2.86</v>
      </c>
      <c r="BA48">
        <v>81.39</v>
      </c>
      <c r="BB48">
        <v>636</v>
      </c>
      <c r="BC48">
        <v>92.85</v>
      </c>
      <c r="BD48">
        <v>89.53</v>
      </c>
      <c r="BE48">
        <v>1.89</v>
      </c>
      <c r="BF48">
        <v>94.21</v>
      </c>
      <c r="BG48">
        <v>1587</v>
      </c>
      <c r="BH48">
        <v>102.27</v>
      </c>
      <c r="BI48">
        <v>98.42</v>
      </c>
      <c r="BJ48">
        <v>2.11</v>
      </c>
      <c r="BK48">
        <v>103.41</v>
      </c>
      <c r="BL48" s="214">
        <v>1416</v>
      </c>
      <c r="BM48" s="214">
        <v>117.05</v>
      </c>
      <c r="BN48">
        <v>113.22</v>
      </c>
      <c r="BO48" s="187">
        <v>1.24</v>
      </c>
      <c r="BP48" s="214">
        <v>117.64</v>
      </c>
      <c r="BQ48" s="214">
        <v>53</v>
      </c>
      <c r="BR48">
        <v>108.01</v>
      </c>
      <c r="BS48" s="187">
        <v>110.67</v>
      </c>
      <c r="BT48" s="214">
        <v>4.4000000000000004</v>
      </c>
      <c r="BU48" s="214">
        <v>112.41</v>
      </c>
      <c r="BV48">
        <v>1</v>
      </c>
      <c r="BW48">
        <v>123.63</v>
      </c>
      <c r="BX48" s="214">
        <v>117.74</v>
      </c>
      <c r="BY48" s="214">
        <v>0</v>
      </c>
      <c r="BZ48">
        <v>123.63</v>
      </c>
      <c r="CA48" s="187">
        <v>1</v>
      </c>
      <c r="CB48" s="214">
        <v>94.4</v>
      </c>
      <c r="CC48" s="214">
        <v>91.03</v>
      </c>
      <c r="CD48">
        <v>2.17</v>
      </c>
      <c r="CE48" s="187">
        <v>95.88</v>
      </c>
      <c r="CF48" s="214">
        <v>3695</v>
      </c>
      <c r="CG48" s="214">
        <v>94.4</v>
      </c>
      <c r="CH48">
        <v>91.03</v>
      </c>
      <c r="CI48">
        <v>2.17</v>
      </c>
      <c r="CJ48">
        <v>95.88</v>
      </c>
      <c r="CK48">
        <v>3695</v>
      </c>
      <c r="CL48">
        <v>148.36000000000001</v>
      </c>
      <c r="CM48">
        <v>117.22</v>
      </c>
      <c r="CN48" s="187">
        <v>58.42</v>
      </c>
      <c r="CO48">
        <v>206.78</v>
      </c>
      <c r="CP48">
        <v>83</v>
      </c>
      <c r="CQ48">
        <v>89.28</v>
      </c>
      <c r="CR48">
        <v>70.239999999999995</v>
      </c>
      <c r="CS48" s="187">
        <v>26.1</v>
      </c>
      <c r="CT48">
        <v>115.38</v>
      </c>
      <c r="CU48">
        <v>90</v>
      </c>
      <c r="CV48">
        <v>82.73</v>
      </c>
      <c r="CW48">
        <v>77.87</v>
      </c>
      <c r="CX48" s="187">
        <v>28.87</v>
      </c>
      <c r="CY48">
        <v>111.54</v>
      </c>
      <c r="CZ48">
        <v>522</v>
      </c>
      <c r="DA48">
        <v>114.06</v>
      </c>
      <c r="DB48">
        <v>131.46</v>
      </c>
      <c r="DC48" s="187">
        <v>60.01</v>
      </c>
      <c r="DD48">
        <v>174.07</v>
      </c>
      <c r="DE48">
        <v>8</v>
      </c>
      <c r="DF48">
        <v>108.66</v>
      </c>
      <c r="DG48">
        <v>111.26</v>
      </c>
      <c r="DH48" s="187">
        <v>20.260000000000002</v>
      </c>
      <c r="DI48">
        <v>128.91999999999999</v>
      </c>
      <c r="DJ48">
        <v>3</v>
      </c>
      <c r="DK48">
        <v>0</v>
      </c>
      <c r="DL48">
        <v>0</v>
      </c>
      <c r="DM48" s="187">
        <v>0</v>
      </c>
      <c r="DN48">
        <v>0</v>
      </c>
      <c r="DO48">
        <v>0</v>
      </c>
      <c r="DP48">
        <v>84.2</v>
      </c>
      <c r="DQ48">
        <v>77.569999999999993</v>
      </c>
      <c r="DR48" s="187">
        <v>28.82</v>
      </c>
      <c r="DS48">
        <v>112.98</v>
      </c>
      <c r="DT48">
        <v>623</v>
      </c>
      <c r="DU48">
        <v>91.75</v>
      </c>
      <c r="DV48">
        <v>80.790000000000006</v>
      </c>
      <c r="DW48" s="187">
        <v>32.31</v>
      </c>
      <c r="DX48">
        <v>124.01</v>
      </c>
      <c r="DY48">
        <v>706</v>
      </c>
      <c r="DZ48">
        <v>0</v>
      </c>
      <c r="EA48">
        <v>0</v>
      </c>
      <c r="EB48" s="187">
        <v>0</v>
      </c>
      <c r="EC48">
        <v>0</v>
      </c>
      <c r="ED48">
        <v>98.17</v>
      </c>
      <c r="EE48">
        <v>340</v>
      </c>
      <c r="EF48">
        <v>116.51</v>
      </c>
      <c r="EG48" s="187">
        <v>560</v>
      </c>
      <c r="EH48">
        <v>133.58000000000001</v>
      </c>
      <c r="EI48">
        <v>293</v>
      </c>
      <c r="EJ48">
        <v>164.73</v>
      </c>
      <c r="EK48">
        <v>26</v>
      </c>
      <c r="EL48" s="187">
        <v>174.99</v>
      </c>
      <c r="EM48">
        <v>2</v>
      </c>
      <c r="EN48">
        <v>0</v>
      </c>
      <c r="EO48">
        <v>0</v>
      </c>
      <c r="EP48">
        <v>116.62</v>
      </c>
      <c r="EQ48" s="187">
        <v>1221</v>
      </c>
      <c r="ER48">
        <v>116.62</v>
      </c>
      <c r="ES48">
        <v>1221</v>
      </c>
      <c r="ET48">
        <v>0</v>
      </c>
      <c r="EU48">
        <v>0</v>
      </c>
      <c r="EV48" s="187">
        <v>0</v>
      </c>
      <c r="EW48">
        <v>0</v>
      </c>
      <c r="EX48">
        <v>0</v>
      </c>
      <c r="EY48">
        <v>0</v>
      </c>
      <c r="EZ48">
        <v>0</v>
      </c>
      <c r="FA48" s="187">
        <v>0</v>
      </c>
      <c r="FB48">
        <v>0</v>
      </c>
      <c r="FC48">
        <v>0</v>
      </c>
      <c r="FD48">
        <v>0</v>
      </c>
      <c r="FE48">
        <v>0</v>
      </c>
      <c r="FF48" s="187">
        <v>0</v>
      </c>
      <c r="FG48">
        <v>0</v>
      </c>
      <c r="FH48">
        <v>0</v>
      </c>
      <c r="FI48">
        <v>0</v>
      </c>
      <c r="FJ48">
        <v>19</v>
      </c>
      <c r="FK48" s="187">
        <v>3</v>
      </c>
      <c r="FL48">
        <v>0</v>
      </c>
      <c r="FM48">
        <v>67</v>
      </c>
      <c r="FN48">
        <v>11</v>
      </c>
    </row>
    <row r="49" spans="1:170" x14ac:dyDescent="0.35">
      <c r="A49" t="s">
        <v>489</v>
      </c>
      <c r="B49" t="s">
        <v>490</v>
      </c>
      <c r="C49" t="s">
        <v>416</v>
      </c>
      <c r="D49">
        <v>16279</v>
      </c>
      <c r="E49">
        <v>15314</v>
      </c>
      <c r="F49">
        <v>108</v>
      </c>
      <c r="G49">
        <v>101</v>
      </c>
      <c r="H49">
        <v>597</v>
      </c>
      <c r="I49">
        <v>302</v>
      </c>
      <c r="J49">
        <v>2023</v>
      </c>
      <c r="K49">
        <v>1567</v>
      </c>
      <c r="L49">
        <v>1192</v>
      </c>
      <c r="M49">
        <v>107</v>
      </c>
      <c r="N49">
        <v>20199</v>
      </c>
      <c r="O49">
        <v>17391</v>
      </c>
      <c r="P49">
        <v>19007</v>
      </c>
      <c r="Q49">
        <v>43</v>
      </c>
      <c r="R49">
        <v>21</v>
      </c>
      <c r="S49">
        <v>33</v>
      </c>
      <c r="T49">
        <v>1440</v>
      </c>
      <c r="U49">
        <v>18759</v>
      </c>
      <c r="V49" s="498">
        <v>15386</v>
      </c>
      <c r="W49">
        <v>167</v>
      </c>
      <c r="X49" s="498">
        <v>89</v>
      </c>
      <c r="Y49" s="498">
        <v>256</v>
      </c>
      <c r="Z49" s="498">
        <v>117.82</v>
      </c>
      <c r="AA49" s="498">
        <v>113.88</v>
      </c>
      <c r="AB49">
        <v>11.67</v>
      </c>
      <c r="AC49">
        <v>124.46</v>
      </c>
      <c r="AD49">
        <v>13340</v>
      </c>
      <c r="AE49">
        <v>111.8</v>
      </c>
      <c r="AF49">
        <v>101.98</v>
      </c>
      <c r="AG49">
        <v>45.9</v>
      </c>
      <c r="AH49">
        <v>155.34</v>
      </c>
      <c r="AI49">
        <v>2080</v>
      </c>
      <c r="AJ49">
        <v>181.37</v>
      </c>
      <c r="AK49">
        <v>1854</v>
      </c>
      <c r="AL49">
        <v>0</v>
      </c>
      <c r="AM49">
        <v>0</v>
      </c>
      <c r="AN49">
        <v>0</v>
      </c>
      <c r="AO49" s="499">
        <v>0</v>
      </c>
      <c r="AP49" s="499">
        <v>0</v>
      </c>
      <c r="AQ49">
        <v>0</v>
      </c>
      <c r="AR49">
        <v>0</v>
      </c>
      <c r="AS49">
        <v>86.84</v>
      </c>
      <c r="AT49">
        <v>84.18</v>
      </c>
      <c r="AU49">
        <v>14.68</v>
      </c>
      <c r="AV49">
        <v>95.52</v>
      </c>
      <c r="AW49">
        <v>120</v>
      </c>
      <c r="AX49">
        <v>97.26</v>
      </c>
      <c r="AY49">
        <v>93.97</v>
      </c>
      <c r="AZ49">
        <v>10.42</v>
      </c>
      <c r="BA49">
        <v>106.62</v>
      </c>
      <c r="BB49">
        <v>2974</v>
      </c>
      <c r="BC49">
        <v>115.26</v>
      </c>
      <c r="BD49">
        <v>111.31</v>
      </c>
      <c r="BE49">
        <v>13.41</v>
      </c>
      <c r="BF49">
        <v>122.79</v>
      </c>
      <c r="BG49">
        <v>5167</v>
      </c>
      <c r="BH49">
        <v>130.94999999999999</v>
      </c>
      <c r="BI49">
        <v>126.3</v>
      </c>
      <c r="BJ49">
        <v>11.2</v>
      </c>
      <c r="BK49">
        <v>135.41</v>
      </c>
      <c r="BL49" s="214">
        <v>4460</v>
      </c>
      <c r="BM49" s="214">
        <v>148.66</v>
      </c>
      <c r="BN49">
        <v>145.63999999999999</v>
      </c>
      <c r="BO49" s="187">
        <v>4.5</v>
      </c>
      <c r="BP49" s="214">
        <v>149.94</v>
      </c>
      <c r="BQ49" s="214">
        <v>580</v>
      </c>
      <c r="BR49">
        <v>161.99</v>
      </c>
      <c r="BS49" s="187">
        <v>161.03</v>
      </c>
      <c r="BT49" s="214">
        <v>28.22</v>
      </c>
      <c r="BU49" s="214">
        <v>164.41</v>
      </c>
      <c r="BV49">
        <v>35</v>
      </c>
      <c r="BW49">
        <v>165.14</v>
      </c>
      <c r="BX49" s="214">
        <v>179.82</v>
      </c>
      <c r="BY49" s="214">
        <v>0</v>
      </c>
      <c r="BZ49">
        <v>165.14</v>
      </c>
      <c r="CA49" s="187">
        <v>4</v>
      </c>
      <c r="CB49" s="214">
        <v>117.82</v>
      </c>
      <c r="CC49" s="214">
        <v>113.88</v>
      </c>
      <c r="CD49">
        <v>11.67</v>
      </c>
      <c r="CE49" s="187">
        <v>124.46</v>
      </c>
      <c r="CF49" s="214">
        <v>13340</v>
      </c>
      <c r="CG49" s="214">
        <v>117.82</v>
      </c>
      <c r="CH49">
        <v>113.88</v>
      </c>
      <c r="CI49">
        <v>11.67</v>
      </c>
      <c r="CJ49">
        <v>124.46</v>
      </c>
      <c r="CK49">
        <v>13340</v>
      </c>
      <c r="CL49">
        <v>121.19</v>
      </c>
      <c r="CM49">
        <v>96.28</v>
      </c>
      <c r="CN49" s="187">
        <v>95.55</v>
      </c>
      <c r="CO49">
        <v>196.27</v>
      </c>
      <c r="CP49">
        <v>238</v>
      </c>
      <c r="CQ49">
        <v>93.55</v>
      </c>
      <c r="CR49">
        <v>89.2</v>
      </c>
      <c r="CS49" s="187">
        <v>36.700000000000003</v>
      </c>
      <c r="CT49">
        <v>126.49</v>
      </c>
      <c r="CU49">
        <v>156</v>
      </c>
      <c r="CV49">
        <v>111.18</v>
      </c>
      <c r="CW49">
        <v>103.05</v>
      </c>
      <c r="CX49" s="187">
        <v>40.08</v>
      </c>
      <c r="CY49">
        <v>150.35</v>
      </c>
      <c r="CZ49">
        <v>1578</v>
      </c>
      <c r="DA49">
        <v>125.68</v>
      </c>
      <c r="DB49">
        <v>117.02</v>
      </c>
      <c r="DC49" s="187">
        <v>54.44</v>
      </c>
      <c r="DD49">
        <v>178.48</v>
      </c>
      <c r="DE49">
        <v>100</v>
      </c>
      <c r="DF49">
        <v>137.5</v>
      </c>
      <c r="DG49">
        <v>129.26</v>
      </c>
      <c r="DH49" s="187">
        <v>66.430000000000007</v>
      </c>
      <c r="DI49">
        <v>195.62</v>
      </c>
      <c r="DJ49">
        <v>8</v>
      </c>
      <c r="DK49">
        <v>0</v>
      </c>
      <c r="DL49">
        <v>0</v>
      </c>
      <c r="DM49" s="187">
        <v>0</v>
      </c>
      <c r="DN49">
        <v>0</v>
      </c>
      <c r="DO49">
        <v>0</v>
      </c>
      <c r="DP49">
        <v>110.59</v>
      </c>
      <c r="DQ49">
        <v>102.66</v>
      </c>
      <c r="DR49" s="187">
        <v>40.700000000000003</v>
      </c>
      <c r="DS49">
        <v>150.05000000000001</v>
      </c>
      <c r="DT49">
        <v>1842</v>
      </c>
      <c r="DU49">
        <v>111.8</v>
      </c>
      <c r="DV49">
        <v>101.98</v>
      </c>
      <c r="DW49" s="187">
        <v>45.9</v>
      </c>
      <c r="DX49">
        <v>155.34</v>
      </c>
      <c r="DY49">
        <v>2080</v>
      </c>
      <c r="DZ49">
        <v>200.27</v>
      </c>
      <c r="EA49">
        <v>2</v>
      </c>
      <c r="EB49" s="187">
        <v>128.28</v>
      </c>
      <c r="EC49">
        <v>8</v>
      </c>
      <c r="ED49">
        <v>154.16</v>
      </c>
      <c r="EE49">
        <v>571</v>
      </c>
      <c r="EF49">
        <v>191.12</v>
      </c>
      <c r="EG49" s="187">
        <v>777</v>
      </c>
      <c r="EH49">
        <v>195.19</v>
      </c>
      <c r="EI49">
        <v>451</v>
      </c>
      <c r="EJ49">
        <v>228.61</v>
      </c>
      <c r="EK49">
        <v>45</v>
      </c>
      <c r="EL49" s="187">
        <v>0</v>
      </c>
      <c r="EM49">
        <v>0</v>
      </c>
      <c r="EN49">
        <v>0</v>
      </c>
      <c r="EO49">
        <v>0</v>
      </c>
      <c r="EP49">
        <v>181.35</v>
      </c>
      <c r="EQ49" s="187">
        <v>1852</v>
      </c>
      <c r="ER49">
        <v>181.37</v>
      </c>
      <c r="ES49">
        <v>1854</v>
      </c>
      <c r="ET49">
        <v>0</v>
      </c>
      <c r="EU49">
        <v>0</v>
      </c>
      <c r="EV49" s="187">
        <v>0</v>
      </c>
      <c r="EW49">
        <v>0</v>
      </c>
      <c r="EX49">
        <v>0</v>
      </c>
      <c r="EY49">
        <v>0</v>
      </c>
      <c r="EZ49">
        <v>0</v>
      </c>
      <c r="FA49" s="187">
        <v>0</v>
      </c>
      <c r="FB49">
        <v>0</v>
      </c>
      <c r="FC49">
        <v>0</v>
      </c>
      <c r="FD49">
        <v>0</v>
      </c>
      <c r="FE49">
        <v>0</v>
      </c>
      <c r="FF49" s="187">
        <v>0</v>
      </c>
      <c r="FG49">
        <v>0</v>
      </c>
      <c r="FH49">
        <v>0</v>
      </c>
      <c r="FI49">
        <v>0</v>
      </c>
      <c r="FJ49">
        <v>7</v>
      </c>
      <c r="FK49" s="187">
        <v>5</v>
      </c>
      <c r="FL49">
        <v>24</v>
      </c>
      <c r="FM49">
        <v>28</v>
      </c>
      <c r="FN49">
        <v>46</v>
      </c>
    </row>
    <row r="50" spans="1:170" x14ac:dyDescent="0.35">
      <c r="A50" t="s">
        <v>491</v>
      </c>
      <c r="B50" t="s">
        <v>492</v>
      </c>
      <c r="C50" t="s">
        <v>420</v>
      </c>
      <c r="D50">
        <v>3480</v>
      </c>
      <c r="E50">
        <v>3480</v>
      </c>
      <c r="F50">
        <v>0</v>
      </c>
      <c r="G50">
        <v>0</v>
      </c>
      <c r="H50">
        <v>79</v>
      </c>
      <c r="I50">
        <v>64</v>
      </c>
      <c r="J50">
        <v>1006</v>
      </c>
      <c r="K50">
        <v>964</v>
      </c>
      <c r="L50">
        <v>450</v>
      </c>
      <c r="M50">
        <v>30</v>
      </c>
      <c r="N50">
        <v>5015</v>
      </c>
      <c r="O50">
        <v>4538</v>
      </c>
      <c r="P50">
        <v>4565</v>
      </c>
      <c r="Q50">
        <v>0</v>
      </c>
      <c r="R50">
        <v>1</v>
      </c>
      <c r="S50">
        <v>14</v>
      </c>
      <c r="T50">
        <v>42</v>
      </c>
      <c r="U50">
        <v>4973</v>
      </c>
      <c r="V50" s="498">
        <v>3480</v>
      </c>
      <c r="W50">
        <v>21</v>
      </c>
      <c r="X50" s="498">
        <v>6</v>
      </c>
      <c r="Y50" s="498">
        <v>27</v>
      </c>
      <c r="Z50" s="498">
        <v>94.22</v>
      </c>
      <c r="AA50" s="498">
        <v>94.03</v>
      </c>
      <c r="AB50">
        <v>4.87</v>
      </c>
      <c r="AC50">
        <v>97.33</v>
      </c>
      <c r="AD50">
        <v>3094</v>
      </c>
      <c r="AE50">
        <v>86.46</v>
      </c>
      <c r="AF50">
        <v>86.69</v>
      </c>
      <c r="AG50">
        <v>26.66</v>
      </c>
      <c r="AH50">
        <v>113.1</v>
      </c>
      <c r="AI50">
        <v>1043</v>
      </c>
      <c r="AJ50">
        <v>118.86</v>
      </c>
      <c r="AK50">
        <v>347</v>
      </c>
      <c r="AL50">
        <v>0</v>
      </c>
      <c r="AM50">
        <v>0</v>
      </c>
      <c r="AN50">
        <v>0</v>
      </c>
      <c r="AO50" s="499">
        <v>0</v>
      </c>
      <c r="AP50" s="499">
        <v>0</v>
      </c>
      <c r="AQ50">
        <v>0</v>
      </c>
      <c r="AR50">
        <v>0</v>
      </c>
      <c r="AS50">
        <v>0</v>
      </c>
      <c r="AT50">
        <v>0</v>
      </c>
      <c r="AU50">
        <v>0</v>
      </c>
      <c r="AV50">
        <v>0</v>
      </c>
      <c r="AW50">
        <v>0</v>
      </c>
      <c r="AX50">
        <v>77.48</v>
      </c>
      <c r="AY50">
        <v>77.319999999999993</v>
      </c>
      <c r="AZ50">
        <v>6.01</v>
      </c>
      <c r="BA50">
        <v>83.39</v>
      </c>
      <c r="BB50">
        <v>627</v>
      </c>
      <c r="BC50">
        <v>91.91</v>
      </c>
      <c r="BD50">
        <v>91.51</v>
      </c>
      <c r="BE50">
        <v>5.17</v>
      </c>
      <c r="BF50">
        <v>96.1</v>
      </c>
      <c r="BG50">
        <v>1153</v>
      </c>
      <c r="BH50">
        <v>103.37</v>
      </c>
      <c r="BI50">
        <v>103.27</v>
      </c>
      <c r="BJ50">
        <v>2.5099999999999998</v>
      </c>
      <c r="BK50">
        <v>104.15</v>
      </c>
      <c r="BL50" s="214">
        <v>1235</v>
      </c>
      <c r="BM50" s="214">
        <v>118.05</v>
      </c>
      <c r="BN50">
        <v>119.18</v>
      </c>
      <c r="BO50" s="187">
        <v>3.1</v>
      </c>
      <c r="BP50" s="214">
        <v>119.66</v>
      </c>
      <c r="BQ50" s="214">
        <v>77</v>
      </c>
      <c r="BR50">
        <v>113.58</v>
      </c>
      <c r="BS50" s="187">
        <v>113.58</v>
      </c>
      <c r="BT50" s="214">
        <v>0</v>
      </c>
      <c r="BU50" s="214">
        <v>113.58</v>
      </c>
      <c r="BV50">
        <v>2</v>
      </c>
      <c r="BW50">
        <v>0</v>
      </c>
      <c r="BX50" s="214">
        <v>0</v>
      </c>
      <c r="BY50" s="214">
        <v>0</v>
      </c>
      <c r="BZ50">
        <v>0</v>
      </c>
      <c r="CA50" s="187">
        <v>0</v>
      </c>
      <c r="CB50" s="214">
        <v>94.22</v>
      </c>
      <c r="CC50" s="214">
        <v>94.03</v>
      </c>
      <c r="CD50">
        <v>4.87</v>
      </c>
      <c r="CE50" s="187">
        <v>97.33</v>
      </c>
      <c r="CF50" s="214">
        <v>3094</v>
      </c>
      <c r="CG50" s="214">
        <v>94.22</v>
      </c>
      <c r="CH50">
        <v>94.03</v>
      </c>
      <c r="CI50">
        <v>4.87</v>
      </c>
      <c r="CJ50">
        <v>97.33</v>
      </c>
      <c r="CK50">
        <v>3094</v>
      </c>
      <c r="CL50">
        <v>88.87</v>
      </c>
      <c r="CM50">
        <v>83.53</v>
      </c>
      <c r="CN50" s="187">
        <v>86.38</v>
      </c>
      <c r="CO50">
        <v>172.27</v>
      </c>
      <c r="CP50">
        <v>29</v>
      </c>
      <c r="CQ50">
        <v>73.52</v>
      </c>
      <c r="CR50">
        <v>71.59</v>
      </c>
      <c r="CS50" s="187">
        <v>55.81</v>
      </c>
      <c r="CT50">
        <v>129.33000000000001</v>
      </c>
      <c r="CU50">
        <v>51</v>
      </c>
      <c r="CV50">
        <v>85.99</v>
      </c>
      <c r="CW50">
        <v>86.32</v>
      </c>
      <c r="CX50" s="187">
        <v>23.87</v>
      </c>
      <c r="CY50">
        <v>109.86</v>
      </c>
      <c r="CZ50">
        <v>876</v>
      </c>
      <c r="DA50">
        <v>97.45</v>
      </c>
      <c r="DB50">
        <v>99.48</v>
      </c>
      <c r="DC50" s="187">
        <v>18.920000000000002</v>
      </c>
      <c r="DD50">
        <v>116.37</v>
      </c>
      <c r="DE50">
        <v>83</v>
      </c>
      <c r="DF50">
        <v>110.89</v>
      </c>
      <c r="DG50">
        <v>115.11</v>
      </c>
      <c r="DH50" s="187">
        <v>9.99</v>
      </c>
      <c r="DI50">
        <v>120.88</v>
      </c>
      <c r="DJ50">
        <v>4</v>
      </c>
      <c r="DK50">
        <v>0</v>
      </c>
      <c r="DL50">
        <v>0</v>
      </c>
      <c r="DM50" s="187">
        <v>0</v>
      </c>
      <c r="DN50">
        <v>0</v>
      </c>
      <c r="DO50">
        <v>0</v>
      </c>
      <c r="DP50">
        <v>86.4</v>
      </c>
      <c r="DQ50">
        <v>86.78</v>
      </c>
      <c r="DR50" s="187">
        <v>25.02</v>
      </c>
      <c r="DS50">
        <v>111.41</v>
      </c>
      <c r="DT50">
        <v>1014</v>
      </c>
      <c r="DU50">
        <v>86.46</v>
      </c>
      <c r="DV50">
        <v>86.69</v>
      </c>
      <c r="DW50" s="187">
        <v>26.66</v>
      </c>
      <c r="DX50">
        <v>113.1</v>
      </c>
      <c r="DY50">
        <v>1043</v>
      </c>
      <c r="DZ50">
        <v>0</v>
      </c>
      <c r="EA50">
        <v>0</v>
      </c>
      <c r="EB50" s="187">
        <v>0</v>
      </c>
      <c r="EC50">
        <v>0</v>
      </c>
      <c r="ED50">
        <v>99.65</v>
      </c>
      <c r="EE50">
        <v>102</v>
      </c>
      <c r="EF50">
        <v>121.17</v>
      </c>
      <c r="EG50" s="187">
        <v>134</v>
      </c>
      <c r="EH50">
        <v>132.15</v>
      </c>
      <c r="EI50">
        <v>105</v>
      </c>
      <c r="EJ50">
        <v>161.07</v>
      </c>
      <c r="EK50">
        <v>6</v>
      </c>
      <c r="EL50" s="187">
        <v>0</v>
      </c>
      <c r="EM50">
        <v>0</v>
      </c>
      <c r="EN50">
        <v>0</v>
      </c>
      <c r="EO50">
        <v>0</v>
      </c>
      <c r="EP50">
        <v>118.86</v>
      </c>
      <c r="EQ50" s="187">
        <v>347</v>
      </c>
      <c r="ER50">
        <v>118.86</v>
      </c>
      <c r="ES50">
        <v>347</v>
      </c>
      <c r="ET50">
        <v>0</v>
      </c>
      <c r="EU50">
        <v>0</v>
      </c>
      <c r="EV50" s="187">
        <v>0</v>
      </c>
      <c r="EW50">
        <v>0</v>
      </c>
      <c r="EX50">
        <v>0</v>
      </c>
      <c r="EY50">
        <v>0</v>
      </c>
      <c r="EZ50">
        <v>0</v>
      </c>
      <c r="FA50" s="187">
        <v>0</v>
      </c>
      <c r="FB50">
        <v>0</v>
      </c>
      <c r="FC50">
        <v>0</v>
      </c>
      <c r="FD50">
        <v>0</v>
      </c>
      <c r="FE50">
        <v>0</v>
      </c>
      <c r="FF50" s="187">
        <v>0</v>
      </c>
      <c r="FG50">
        <v>0</v>
      </c>
      <c r="FH50">
        <v>0</v>
      </c>
      <c r="FI50">
        <v>0</v>
      </c>
      <c r="FJ50">
        <v>0</v>
      </c>
      <c r="FK50" s="187">
        <v>9</v>
      </c>
      <c r="FL50">
        <v>3</v>
      </c>
      <c r="FM50">
        <v>15</v>
      </c>
      <c r="FN50">
        <v>10</v>
      </c>
    </row>
    <row r="51" spans="1:170" x14ac:dyDescent="0.35">
      <c r="A51" t="s">
        <v>493</v>
      </c>
      <c r="B51" t="s">
        <v>494</v>
      </c>
      <c r="C51" t="s">
        <v>415</v>
      </c>
      <c r="D51">
        <v>4831</v>
      </c>
      <c r="E51">
        <v>4849</v>
      </c>
      <c r="F51">
        <v>0</v>
      </c>
      <c r="G51">
        <v>0</v>
      </c>
      <c r="H51">
        <v>107</v>
      </c>
      <c r="I51">
        <v>100</v>
      </c>
      <c r="J51">
        <v>378</v>
      </c>
      <c r="K51">
        <v>378</v>
      </c>
      <c r="L51">
        <v>399</v>
      </c>
      <c r="M51">
        <v>0</v>
      </c>
      <c r="N51">
        <v>5715</v>
      </c>
      <c r="O51">
        <v>5327</v>
      </c>
      <c r="P51">
        <v>5316</v>
      </c>
      <c r="Q51">
        <v>0</v>
      </c>
      <c r="R51">
        <v>1</v>
      </c>
      <c r="S51">
        <v>17</v>
      </c>
      <c r="T51">
        <v>4</v>
      </c>
      <c r="U51">
        <v>5711</v>
      </c>
      <c r="V51" s="498">
        <v>4831</v>
      </c>
      <c r="W51">
        <v>45</v>
      </c>
      <c r="X51" s="498">
        <v>7</v>
      </c>
      <c r="Y51" s="498">
        <v>52</v>
      </c>
      <c r="Z51" s="498">
        <v>116.17</v>
      </c>
      <c r="AA51" s="498">
        <v>113.33</v>
      </c>
      <c r="AB51">
        <v>9.07</v>
      </c>
      <c r="AC51">
        <v>121.77</v>
      </c>
      <c r="AD51">
        <v>3952</v>
      </c>
      <c r="AE51">
        <v>103.66</v>
      </c>
      <c r="AF51">
        <v>93.25</v>
      </c>
      <c r="AG51">
        <v>35.39</v>
      </c>
      <c r="AH51">
        <v>138.46</v>
      </c>
      <c r="AI51">
        <v>481</v>
      </c>
      <c r="AJ51">
        <v>177.08</v>
      </c>
      <c r="AK51">
        <v>856</v>
      </c>
      <c r="AL51">
        <v>0</v>
      </c>
      <c r="AM51">
        <v>0</v>
      </c>
      <c r="AN51">
        <v>0</v>
      </c>
      <c r="AO51" s="499">
        <v>0</v>
      </c>
      <c r="AP51" s="499">
        <v>0</v>
      </c>
      <c r="AQ51">
        <v>0</v>
      </c>
      <c r="AR51">
        <v>0</v>
      </c>
      <c r="AS51">
        <v>79.12</v>
      </c>
      <c r="AT51">
        <v>76.150000000000006</v>
      </c>
      <c r="AU51">
        <v>8.9700000000000006</v>
      </c>
      <c r="AV51">
        <v>88.05</v>
      </c>
      <c r="AW51">
        <v>264</v>
      </c>
      <c r="AX51">
        <v>99.45</v>
      </c>
      <c r="AY51">
        <v>96.25</v>
      </c>
      <c r="AZ51">
        <v>9.4600000000000009</v>
      </c>
      <c r="BA51">
        <v>107.03</v>
      </c>
      <c r="BB51">
        <v>856</v>
      </c>
      <c r="BC51">
        <v>115.91</v>
      </c>
      <c r="BD51">
        <v>112.18</v>
      </c>
      <c r="BE51">
        <v>9.82</v>
      </c>
      <c r="BF51">
        <v>122.92</v>
      </c>
      <c r="BG51">
        <v>1441</v>
      </c>
      <c r="BH51">
        <v>132.38</v>
      </c>
      <c r="BI51">
        <v>130.22</v>
      </c>
      <c r="BJ51">
        <v>7.06</v>
      </c>
      <c r="BK51">
        <v>134.66999999999999</v>
      </c>
      <c r="BL51" s="214">
        <v>1253</v>
      </c>
      <c r="BM51" s="214">
        <v>146.04</v>
      </c>
      <c r="BN51">
        <v>148.4</v>
      </c>
      <c r="BO51" s="187">
        <v>5.42</v>
      </c>
      <c r="BP51" s="214">
        <v>148.27000000000001</v>
      </c>
      <c r="BQ51" s="214">
        <v>136</v>
      </c>
      <c r="BR51">
        <v>156.84</v>
      </c>
      <c r="BS51" s="187">
        <v>152.97999999999999</v>
      </c>
      <c r="BT51" s="214">
        <v>18.010000000000002</v>
      </c>
      <c r="BU51" s="214">
        <v>165.84</v>
      </c>
      <c r="BV51">
        <v>2</v>
      </c>
      <c r="BW51">
        <v>0</v>
      </c>
      <c r="BX51" s="214">
        <v>0</v>
      </c>
      <c r="BY51" s="214">
        <v>0</v>
      </c>
      <c r="BZ51">
        <v>0</v>
      </c>
      <c r="CA51" s="187">
        <v>0</v>
      </c>
      <c r="CB51" s="214">
        <v>116.17</v>
      </c>
      <c r="CC51" s="214">
        <v>113.33</v>
      </c>
      <c r="CD51">
        <v>9.07</v>
      </c>
      <c r="CE51" s="187">
        <v>121.77</v>
      </c>
      <c r="CF51" s="214">
        <v>3952</v>
      </c>
      <c r="CG51" s="214">
        <v>116.17</v>
      </c>
      <c r="CH51">
        <v>113.33</v>
      </c>
      <c r="CI51">
        <v>9.07</v>
      </c>
      <c r="CJ51">
        <v>121.77</v>
      </c>
      <c r="CK51">
        <v>3952</v>
      </c>
      <c r="CL51">
        <v>135.4</v>
      </c>
      <c r="CM51">
        <v>95.68</v>
      </c>
      <c r="CN51" s="187">
        <v>110.14</v>
      </c>
      <c r="CO51">
        <v>231.33</v>
      </c>
      <c r="CP51">
        <v>31</v>
      </c>
      <c r="CQ51">
        <v>81.03</v>
      </c>
      <c r="CR51">
        <v>74.36</v>
      </c>
      <c r="CS51" s="187">
        <v>32.57</v>
      </c>
      <c r="CT51">
        <v>113.6</v>
      </c>
      <c r="CU51">
        <v>78</v>
      </c>
      <c r="CV51">
        <v>102.11</v>
      </c>
      <c r="CW51">
        <v>95.62</v>
      </c>
      <c r="CX51" s="187">
        <v>27.86</v>
      </c>
      <c r="CY51">
        <v>129.63</v>
      </c>
      <c r="CZ51">
        <v>322</v>
      </c>
      <c r="DA51">
        <v>127.17</v>
      </c>
      <c r="DB51">
        <v>109.98</v>
      </c>
      <c r="DC51" s="187">
        <v>43.51</v>
      </c>
      <c r="DD51">
        <v>170.68</v>
      </c>
      <c r="DE51">
        <v>47</v>
      </c>
      <c r="DF51">
        <v>161.1</v>
      </c>
      <c r="DG51">
        <v>114.07</v>
      </c>
      <c r="DH51" s="187">
        <v>107.23</v>
      </c>
      <c r="DI51">
        <v>268.33</v>
      </c>
      <c r="DJ51">
        <v>3</v>
      </c>
      <c r="DK51">
        <v>0</v>
      </c>
      <c r="DL51">
        <v>0</v>
      </c>
      <c r="DM51" s="187">
        <v>0</v>
      </c>
      <c r="DN51">
        <v>0</v>
      </c>
      <c r="DO51">
        <v>0</v>
      </c>
      <c r="DP51">
        <v>101.47</v>
      </c>
      <c r="DQ51">
        <v>93.17</v>
      </c>
      <c r="DR51" s="187">
        <v>30.87</v>
      </c>
      <c r="DS51">
        <v>132.06</v>
      </c>
      <c r="DT51">
        <v>450</v>
      </c>
      <c r="DU51">
        <v>103.66</v>
      </c>
      <c r="DV51">
        <v>93.25</v>
      </c>
      <c r="DW51" s="187">
        <v>35.39</v>
      </c>
      <c r="DX51">
        <v>138.46</v>
      </c>
      <c r="DY51">
        <v>481</v>
      </c>
      <c r="DZ51">
        <v>0</v>
      </c>
      <c r="EA51">
        <v>0</v>
      </c>
      <c r="EB51" s="187">
        <v>126.11</v>
      </c>
      <c r="EC51">
        <v>27</v>
      </c>
      <c r="ED51">
        <v>148.88</v>
      </c>
      <c r="EE51">
        <v>253</v>
      </c>
      <c r="EF51">
        <v>181.25</v>
      </c>
      <c r="EG51" s="187">
        <v>396</v>
      </c>
      <c r="EH51">
        <v>211.83</v>
      </c>
      <c r="EI51">
        <v>166</v>
      </c>
      <c r="EJ51">
        <v>255.28</v>
      </c>
      <c r="EK51">
        <v>14</v>
      </c>
      <c r="EL51" s="187">
        <v>0</v>
      </c>
      <c r="EM51">
        <v>0</v>
      </c>
      <c r="EN51">
        <v>0</v>
      </c>
      <c r="EO51">
        <v>0</v>
      </c>
      <c r="EP51">
        <v>177.08</v>
      </c>
      <c r="EQ51" s="187">
        <v>856</v>
      </c>
      <c r="ER51">
        <v>177.08</v>
      </c>
      <c r="ES51">
        <v>856</v>
      </c>
      <c r="ET51">
        <v>0</v>
      </c>
      <c r="EU51">
        <v>0</v>
      </c>
      <c r="EV51" s="187">
        <v>0</v>
      </c>
      <c r="EW51">
        <v>0</v>
      </c>
      <c r="EX51">
        <v>0</v>
      </c>
      <c r="EY51">
        <v>0</v>
      </c>
      <c r="EZ51">
        <v>0</v>
      </c>
      <c r="FA51" s="187">
        <v>0</v>
      </c>
      <c r="FB51">
        <v>0</v>
      </c>
      <c r="FC51">
        <v>0</v>
      </c>
      <c r="FD51">
        <v>0</v>
      </c>
      <c r="FE51">
        <v>0</v>
      </c>
      <c r="FF51" s="187">
        <v>0</v>
      </c>
      <c r="FG51">
        <v>0</v>
      </c>
      <c r="FH51">
        <v>0</v>
      </c>
      <c r="FI51">
        <v>0</v>
      </c>
      <c r="FJ51">
        <v>0</v>
      </c>
      <c r="FK51" s="187">
        <v>8</v>
      </c>
      <c r="FL51">
        <v>0</v>
      </c>
      <c r="FM51">
        <v>16</v>
      </c>
      <c r="FN51">
        <v>10</v>
      </c>
    </row>
    <row r="52" spans="1:170" x14ac:dyDescent="0.35">
      <c r="A52" t="s">
        <v>495</v>
      </c>
      <c r="B52" t="s">
        <v>496</v>
      </c>
      <c r="C52" t="s">
        <v>414</v>
      </c>
      <c r="D52">
        <v>1135</v>
      </c>
      <c r="E52">
        <v>1135</v>
      </c>
      <c r="F52">
        <v>0</v>
      </c>
      <c r="G52">
        <v>0</v>
      </c>
      <c r="H52">
        <v>123</v>
      </c>
      <c r="I52">
        <v>105</v>
      </c>
      <c r="J52">
        <v>108</v>
      </c>
      <c r="K52">
        <v>108</v>
      </c>
      <c r="L52">
        <v>103</v>
      </c>
      <c r="M52">
        <v>0</v>
      </c>
      <c r="N52">
        <v>1469</v>
      </c>
      <c r="O52">
        <v>1348</v>
      </c>
      <c r="P52">
        <v>1366</v>
      </c>
      <c r="Q52">
        <v>5</v>
      </c>
      <c r="R52">
        <v>0</v>
      </c>
      <c r="S52">
        <v>19</v>
      </c>
      <c r="T52">
        <v>0</v>
      </c>
      <c r="U52">
        <v>1469</v>
      </c>
      <c r="V52" s="498">
        <v>1135</v>
      </c>
      <c r="W52">
        <v>7</v>
      </c>
      <c r="X52" s="498">
        <v>2</v>
      </c>
      <c r="Y52" s="498">
        <v>9</v>
      </c>
      <c r="Z52" s="498">
        <v>82.55</v>
      </c>
      <c r="AA52" s="498">
        <v>79.98</v>
      </c>
      <c r="AB52">
        <v>7.58</v>
      </c>
      <c r="AC52">
        <v>88.96</v>
      </c>
      <c r="AD52">
        <v>930</v>
      </c>
      <c r="AE52">
        <v>101.49</v>
      </c>
      <c r="AF52">
        <v>73.27</v>
      </c>
      <c r="AG52">
        <v>65.709999999999994</v>
      </c>
      <c r="AH52">
        <v>166.88</v>
      </c>
      <c r="AI52">
        <v>204</v>
      </c>
      <c r="AJ52">
        <v>100.46</v>
      </c>
      <c r="AK52">
        <v>180</v>
      </c>
      <c r="AL52">
        <v>204.71</v>
      </c>
      <c r="AM52">
        <v>27</v>
      </c>
      <c r="AN52">
        <v>0</v>
      </c>
      <c r="AO52" s="499">
        <v>0</v>
      </c>
      <c r="AP52" s="499">
        <v>0</v>
      </c>
      <c r="AQ52">
        <v>0</v>
      </c>
      <c r="AR52">
        <v>0</v>
      </c>
      <c r="AS52">
        <v>65.650000000000006</v>
      </c>
      <c r="AT52">
        <v>62.52</v>
      </c>
      <c r="AU52">
        <v>13.32</v>
      </c>
      <c r="AV52">
        <v>78.97</v>
      </c>
      <c r="AW52">
        <v>33</v>
      </c>
      <c r="AX52">
        <v>74.13</v>
      </c>
      <c r="AY52">
        <v>71.239999999999995</v>
      </c>
      <c r="AZ52">
        <v>9.6199999999999992</v>
      </c>
      <c r="BA52">
        <v>83.7</v>
      </c>
      <c r="BB52">
        <v>401</v>
      </c>
      <c r="BC52">
        <v>86.58</v>
      </c>
      <c r="BD52">
        <v>84.46</v>
      </c>
      <c r="BE52">
        <v>5.8</v>
      </c>
      <c r="BF52">
        <v>91.16</v>
      </c>
      <c r="BG52">
        <v>319</v>
      </c>
      <c r="BH52">
        <v>96.54</v>
      </c>
      <c r="BI52">
        <v>94.08</v>
      </c>
      <c r="BJ52">
        <v>2.27</v>
      </c>
      <c r="BK52">
        <v>97.91</v>
      </c>
      <c r="BL52" s="214">
        <v>166</v>
      </c>
      <c r="BM52" s="214">
        <v>112.95</v>
      </c>
      <c r="BN52">
        <v>108.14</v>
      </c>
      <c r="BO52" s="187">
        <v>0.7</v>
      </c>
      <c r="BP52" s="214">
        <v>113.19</v>
      </c>
      <c r="BQ52" s="214">
        <v>9</v>
      </c>
      <c r="BR52">
        <v>107.77</v>
      </c>
      <c r="BS52" s="187">
        <v>107.49</v>
      </c>
      <c r="BT52" s="214">
        <v>0</v>
      </c>
      <c r="BU52" s="214">
        <v>107.77</v>
      </c>
      <c r="BV52">
        <v>2</v>
      </c>
      <c r="BW52">
        <v>0</v>
      </c>
      <c r="BX52" s="214">
        <v>0</v>
      </c>
      <c r="BY52" s="214">
        <v>0</v>
      </c>
      <c r="BZ52">
        <v>0</v>
      </c>
      <c r="CA52" s="187">
        <v>0</v>
      </c>
      <c r="CB52" s="214">
        <v>82.55</v>
      </c>
      <c r="CC52" s="214">
        <v>79.98</v>
      </c>
      <c r="CD52">
        <v>7.58</v>
      </c>
      <c r="CE52" s="187">
        <v>88.96</v>
      </c>
      <c r="CF52" s="214">
        <v>930</v>
      </c>
      <c r="CG52" s="214">
        <v>82.55</v>
      </c>
      <c r="CH52">
        <v>79.98</v>
      </c>
      <c r="CI52">
        <v>7.58</v>
      </c>
      <c r="CJ52">
        <v>88.96</v>
      </c>
      <c r="CK52">
        <v>930</v>
      </c>
      <c r="CL52">
        <v>136.02000000000001</v>
      </c>
      <c r="CM52">
        <v>71.150000000000006</v>
      </c>
      <c r="CN52" s="187">
        <v>75.28</v>
      </c>
      <c r="CO52">
        <v>211.3</v>
      </c>
      <c r="CP52">
        <v>59</v>
      </c>
      <c r="CQ52">
        <v>0</v>
      </c>
      <c r="CR52">
        <v>0</v>
      </c>
      <c r="CS52" s="187">
        <v>0</v>
      </c>
      <c r="CT52">
        <v>0</v>
      </c>
      <c r="CU52">
        <v>0</v>
      </c>
      <c r="CV52">
        <v>87.14</v>
      </c>
      <c r="CW52">
        <v>73.16</v>
      </c>
      <c r="CX52" s="187">
        <v>60.59</v>
      </c>
      <c r="CY52">
        <v>147.72999999999999</v>
      </c>
      <c r="CZ52">
        <v>141</v>
      </c>
      <c r="DA52">
        <v>96.11</v>
      </c>
      <c r="DB52">
        <v>90.52</v>
      </c>
      <c r="DC52" s="187">
        <v>118.22</v>
      </c>
      <c r="DD52">
        <v>214.33</v>
      </c>
      <c r="DE52">
        <v>3</v>
      </c>
      <c r="DF52">
        <v>104.85</v>
      </c>
      <c r="DG52">
        <v>95.34</v>
      </c>
      <c r="DH52" s="187">
        <v>0</v>
      </c>
      <c r="DI52">
        <v>104.85</v>
      </c>
      <c r="DJ52">
        <v>1</v>
      </c>
      <c r="DK52">
        <v>0</v>
      </c>
      <c r="DL52">
        <v>0</v>
      </c>
      <c r="DM52" s="187">
        <v>0</v>
      </c>
      <c r="DN52">
        <v>0</v>
      </c>
      <c r="DO52">
        <v>0</v>
      </c>
      <c r="DP52">
        <v>87.45</v>
      </c>
      <c r="DQ52">
        <v>73.7</v>
      </c>
      <c r="DR52" s="187">
        <v>61.79</v>
      </c>
      <c r="DS52">
        <v>148.81</v>
      </c>
      <c r="DT52">
        <v>145</v>
      </c>
      <c r="DU52">
        <v>101.49</v>
      </c>
      <c r="DV52">
        <v>73.27</v>
      </c>
      <c r="DW52" s="187">
        <v>65.709999999999994</v>
      </c>
      <c r="DX52">
        <v>166.88</v>
      </c>
      <c r="DY52">
        <v>204</v>
      </c>
      <c r="DZ52">
        <v>0</v>
      </c>
      <c r="EA52">
        <v>0</v>
      </c>
      <c r="EB52" s="187">
        <v>0</v>
      </c>
      <c r="EC52">
        <v>0</v>
      </c>
      <c r="ED52">
        <v>92.82</v>
      </c>
      <c r="EE52">
        <v>74</v>
      </c>
      <c r="EF52">
        <v>101.98</v>
      </c>
      <c r="EG52" s="187">
        <v>66</v>
      </c>
      <c r="EH52">
        <v>112.07</v>
      </c>
      <c r="EI52">
        <v>40</v>
      </c>
      <c r="EJ52">
        <v>0</v>
      </c>
      <c r="EK52">
        <v>0</v>
      </c>
      <c r="EL52" s="187">
        <v>0</v>
      </c>
      <c r="EM52">
        <v>0</v>
      </c>
      <c r="EN52">
        <v>0</v>
      </c>
      <c r="EO52">
        <v>0</v>
      </c>
      <c r="EP52">
        <v>100.46</v>
      </c>
      <c r="EQ52" s="187">
        <v>180</v>
      </c>
      <c r="ER52">
        <v>100.46</v>
      </c>
      <c r="ES52">
        <v>180</v>
      </c>
      <c r="ET52">
        <v>0</v>
      </c>
      <c r="EU52">
        <v>0</v>
      </c>
      <c r="EV52" s="187">
        <v>0</v>
      </c>
      <c r="EW52">
        <v>0</v>
      </c>
      <c r="EX52">
        <v>204.88</v>
      </c>
      <c r="EY52">
        <v>23</v>
      </c>
      <c r="EZ52">
        <v>203.75</v>
      </c>
      <c r="FA52" s="187">
        <v>4</v>
      </c>
      <c r="FB52">
        <v>0</v>
      </c>
      <c r="FC52">
        <v>0</v>
      </c>
      <c r="FD52">
        <v>0</v>
      </c>
      <c r="FE52">
        <v>0</v>
      </c>
      <c r="FF52" s="187">
        <v>204.71</v>
      </c>
      <c r="FG52">
        <v>27</v>
      </c>
      <c r="FH52">
        <v>204.71</v>
      </c>
      <c r="FI52">
        <v>27</v>
      </c>
      <c r="FJ52">
        <v>0</v>
      </c>
      <c r="FK52" s="187">
        <v>0</v>
      </c>
      <c r="FL52">
        <v>1</v>
      </c>
      <c r="FM52">
        <v>8</v>
      </c>
      <c r="FN52">
        <v>1</v>
      </c>
    </row>
    <row r="53" spans="1:170" x14ac:dyDescent="0.35">
      <c r="A53" t="s">
        <v>11441</v>
      </c>
      <c r="B53" t="s">
        <v>11440</v>
      </c>
      <c r="C53" t="s">
        <v>2</v>
      </c>
      <c r="D53">
        <v>25615</v>
      </c>
      <c r="E53">
        <v>25309</v>
      </c>
      <c r="F53">
        <v>3</v>
      </c>
      <c r="G53">
        <v>3</v>
      </c>
      <c r="H53">
        <v>974</v>
      </c>
      <c r="I53">
        <v>774</v>
      </c>
      <c r="J53">
        <v>3265</v>
      </c>
      <c r="K53">
        <v>3088</v>
      </c>
      <c r="L53">
        <v>2634</v>
      </c>
      <c r="M53">
        <v>258</v>
      </c>
      <c r="N53">
        <v>32491</v>
      </c>
      <c r="O53">
        <v>29432</v>
      </c>
      <c r="P53">
        <v>29857</v>
      </c>
      <c r="Q53">
        <v>142</v>
      </c>
      <c r="R53">
        <v>16</v>
      </c>
      <c r="S53">
        <v>47</v>
      </c>
      <c r="T53">
        <v>716</v>
      </c>
      <c r="U53">
        <v>31775</v>
      </c>
      <c r="V53" s="498">
        <v>25257</v>
      </c>
      <c r="W53">
        <v>196</v>
      </c>
      <c r="X53" s="498">
        <v>242</v>
      </c>
      <c r="Y53" s="498">
        <v>438</v>
      </c>
      <c r="Z53" s="498">
        <v>113.66</v>
      </c>
      <c r="AA53" s="498">
        <v>113.19</v>
      </c>
      <c r="AB53">
        <v>5.17</v>
      </c>
      <c r="AC53">
        <v>117.12</v>
      </c>
      <c r="AD53">
        <v>20837</v>
      </c>
      <c r="AE53">
        <v>107.58</v>
      </c>
      <c r="AF53">
        <v>97.09</v>
      </c>
      <c r="AG53">
        <v>29.98</v>
      </c>
      <c r="AH53">
        <v>135.56</v>
      </c>
      <c r="AI53">
        <v>3823</v>
      </c>
      <c r="AJ53">
        <v>172.48</v>
      </c>
      <c r="AK53">
        <v>4170</v>
      </c>
      <c r="AL53">
        <v>170.89</v>
      </c>
      <c r="AM53">
        <v>70</v>
      </c>
      <c r="AN53">
        <v>0</v>
      </c>
      <c r="AO53" s="499">
        <v>0</v>
      </c>
      <c r="AP53" s="499">
        <v>0</v>
      </c>
      <c r="AQ53">
        <v>0</v>
      </c>
      <c r="AR53">
        <v>0</v>
      </c>
      <c r="AS53">
        <v>79.83</v>
      </c>
      <c r="AT53">
        <v>76.38</v>
      </c>
      <c r="AU53">
        <v>10.45</v>
      </c>
      <c r="AV53">
        <v>89.15</v>
      </c>
      <c r="AW53">
        <v>268</v>
      </c>
      <c r="AX53">
        <v>97.35</v>
      </c>
      <c r="AY53">
        <v>96.47</v>
      </c>
      <c r="AZ53">
        <v>7.45</v>
      </c>
      <c r="BA53">
        <v>103.78</v>
      </c>
      <c r="BB53">
        <v>4854</v>
      </c>
      <c r="BC53">
        <v>111.31</v>
      </c>
      <c r="BD53">
        <v>110.43</v>
      </c>
      <c r="BE53">
        <v>5.37</v>
      </c>
      <c r="BF53">
        <v>115.12</v>
      </c>
      <c r="BG53">
        <v>7480</v>
      </c>
      <c r="BH53">
        <v>125.56</v>
      </c>
      <c r="BI53">
        <v>125.74</v>
      </c>
      <c r="BJ53">
        <v>2.3199999999999998</v>
      </c>
      <c r="BK53">
        <v>126.72</v>
      </c>
      <c r="BL53" s="214">
        <v>7761</v>
      </c>
      <c r="BM53" s="214">
        <v>141.41999999999999</v>
      </c>
      <c r="BN53">
        <v>141.26</v>
      </c>
      <c r="BO53" s="187">
        <v>2.7</v>
      </c>
      <c r="BP53" s="214">
        <v>143.41999999999999</v>
      </c>
      <c r="BQ53" s="214">
        <v>457</v>
      </c>
      <c r="BR53">
        <v>152.83000000000001</v>
      </c>
      <c r="BS53" s="187">
        <v>156.53</v>
      </c>
      <c r="BT53" s="214">
        <v>2.25</v>
      </c>
      <c r="BU53" s="214">
        <v>153.88</v>
      </c>
      <c r="BV53">
        <v>15</v>
      </c>
      <c r="BW53">
        <v>179.85</v>
      </c>
      <c r="BX53" s="214">
        <v>195.09</v>
      </c>
      <c r="BY53" s="214">
        <v>0</v>
      </c>
      <c r="BZ53">
        <v>179.85</v>
      </c>
      <c r="CA53" s="187">
        <v>2</v>
      </c>
      <c r="CB53" s="214">
        <v>113.66</v>
      </c>
      <c r="CC53" s="214">
        <v>113.19</v>
      </c>
      <c r="CD53">
        <v>5.17</v>
      </c>
      <c r="CE53" s="187">
        <v>117.12</v>
      </c>
      <c r="CF53" s="214">
        <v>20837</v>
      </c>
      <c r="CG53" s="214">
        <v>113.66</v>
      </c>
      <c r="CH53">
        <v>113.19</v>
      </c>
      <c r="CI53">
        <v>5.17</v>
      </c>
      <c r="CJ53">
        <v>117.12</v>
      </c>
      <c r="CK53">
        <v>20837</v>
      </c>
      <c r="CL53">
        <v>130.78</v>
      </c>
      <c r="CM53">
        <v>85.93</v>
      </c>
      <c r="CN53" s="187">
        <v>83.75</v>
      </c>
      <c r="CO53">
        <v>206.69</v>
      </c>
      <c r="CP53">
        <v>278</v>
      </c>
      <c r="CQ53">
        <v>90.19</v>
      </c>
      <c r="CR53">
        <v>82.04</v>
      </c>
      <c r="CS53" s="187">
        <v>29.22</v>
      </c>
      <c r="CT53">
        <v>117.46</v>
      </c>
      <c r="CU53">
        <v>150</v>
      </c>
      <c r="CV53">
        <v>104.5</v>
      </c>
      <c r="CW53">
        <v>95.5</v>
      </c>
      <c r="CX53" s="187">
        <v>24.32</v>
      </c>
      <c r="CY53">
        <v>127.17</v>
      </c>
      <c r="CZ53">
        <v>2936</v>
      </c>
      <c r="DA53">
        <v>118.17</v>
      </c>
      <c r="DB53">
        <v>118.14</v>
      </c>
      <c r="DC53" s="187">
        <v>35.22</v>
      </c>
      <c r="DD53">
        <v>152.19999999999999</v>
      </c>
      <c r="DE53">
        <v>441</v>
      </c>
      <c r="DF53">
        <v>135.77000000000001</v>
      </c>
      <c r="DG53">
        <v>133.69</v>
      </c>
      <c r="DH53" s="187">
        <v>16.920000000000002</v>
      </c>
      <c r="DI53">
        <v>148.93</v>
      </c>
      <c r="DJ53">
        <v>18</v>
      </c>
      <c r="DK53">
        <v>0</v>
      </c>
      <c r="DL53">
        <v>0</v>
      </c>
      <c r="DM53" s="187">
        <v>0</v>
      </c>
      <c r="DN53">
        <v>0</v>
      </c>
      <c r="DO53">
        <v>0</v>
      </c>
      <c r="DP53">
        <v>105.76</v>
      </c>
      <c r="DQ53">
        <v>97.73</v>
      </c>
      <c r="DR53" s="187">
        <v>25.89</v>
      </c>
      <c r="DS53">
        <v>129.97999999999999</v>
      </c>
      <c r="DT53">
        <v>3545</v>
      </c>
      <c r="DU53">
        <v>107.58</v>
      </c>
      <c r="DV53">
        <v>97.09</v>
      </c>
      <c r="DW53" s="187">
        <v>29.98</v>
      </c>
      <c r="DX53">
        <v>135.56</v>
      </c>
      <c r="DY53">
        <v>3823</v>
      </c>
      <c r="DZ53">
        <v>0</v>
      </c>
      <c r="EA53">
        <v>0</v>
      </c>
      <c r="EB53" s="187">
        <v>122.53</v>
      </c>
      <c r="EC53">
        <v>5</v>
      </c>
      <c r="ED53">
        <v>138.44999999999999</v>
      </c>
      <c r="EE53">
        <v>886</v>
      </c>
      <c r="EF53">
        <v>169.06</v>
      </c>
      <c r="EG53" s="187">
        <v>2121</v>
      </c>
      <c r="EH53">
        <v>199.35</v>
      </c>
      <c r="EI53">
        <v>1026</v>
      </c>
      <c r="EJ53">
        <v>248.91</v>
      </c>
      <c r="EK53">
        <v>131</v>
      </c>
      <c r="EL53" s="187">
        <v>249.56</v>
      </c>
      <c r="EM53">
        <v>1</v>
      </c>
      <c r="EN53">
        <v>0</v>
      </c>
      <c r="EO53">
        <v>0</v>
      </c>
      <c r="EP53">
        <v>172.48</v>
      </c>
      <c r="EQ53" s="187">
        <v>4170</v>
      </c>
      <c r="ER53">
        <v>172.48</v>
      </c>
      <c r="ES53">
        <v>4170</v>
      </c>
      <c r="ET53">
        <v>162.24</v>
      </c>
      <c r="EU53">
        <v>28</v>
      </c>
      <c r="EV53" s="187">
        <v>241.6</v>
      </c>
      <c r="EW53">
        <v>12</v>
      </c>
      <c r="EX53">
        <v>150.69</v>
      </c>
      <c r="EY53">
        <v>30</v>
      </c>
      <c r="EZ53">
        <v>0</v>
      </c>
      <c r="FA53" s="187">
        <v>0</v>
      </c>
      <c r="FB53">
        <v>0</v>
      </c>
      <c r="FC53">
        <v>0</v>
      </c>
      <c r="FD53">
        <v>0</v>
      </c>
      <c r="FE53">
        <v>0</v>
      </c>
      <c r="FF53" s="187">
        <v>176.66</v>
      </c>
      <c r="FG53">
        <v>42</v>
      </c>
      <c r="FH53">
        <v>170.89</v>
      </c>
      <c r="FI53">
        <v>70</v>
      </c>
      <c r="FJ53">
        <v>15</v>
      </c>
      <c r="FK53" s="187">
        <v>46</v>
      </c>
      <c r="FL53">
        <v>30</v>
      </c>
      <c r="FM53">
        <v>155</v>
      </c>
      <c r="FN53">
        <v>55</v>
      </c>
    </row>
    <row r="54" spans="1:170" x14ac:dyDescent="0.35">
      <c r="A54" t="s">
        <v>497</v>
      </c>
      <c r="B54" t="s">
        <v>498</v>
      </c>
      <c r="C54" t="s">
        <v>418</v>
      </c>
      <c r="D54">
        <v>4651</v>
      </c>
      <c r="E54">
        <v>4673</v>
      </c>
      <c r="F54">
        <v>0</v>
      </c>
      <c r="G54">
        <v>0</v>
      </c>
      <c r="H54">
        <v>360</v>
      </c>
      <c r="I54">
        <v>118</v>
      </c>
      <c r="J54">
        <v>1452</v>
      </c>
      <c r="K54">
        <v>1452</v>
      </c>
      <c r="L54">
        <v>62</v>
      </c>
      <c r="M54">
        <v>0</v>
      </c>
      <c r="N54">
        <v>6525</v>
      </c>
      <c r="O54">
        <v>6243</v>
      </c>
      <c r="P54">
        <v>6463</v>
      </c>
      <c r="Q54">
        <v>3</v>
      </c>
      <c r="R54">
        <v>5</v>
      </c>
      <c r="S54">
        <v>15</v>
      </c>
      <c r="T54">
        <v>103</v>
      </c>
      <c r="U54">
        <v>6422</v>
      </c>
      <c r="V54" s="498">
        <v>4618</v>
      </c>
      <c r="W54">
        <v>45</v>
      </c>
      <c r="X54" s="498">
        <v>11</v>
      </c>
      <c r="Y54" s="498">
        <v>56</v>
      </c>
      <c r="Z54" s="498">
        <v>82.54</v>
      </c>
      <c r="AA54" s="498">
        <v>79.069999999999993</v>
      </c>
      <c r="AB54">
        <v>2.8</v>
      </c>
      <c r="AC54">
        <v>85.15</v>
      </c>
      <c r="AD54">
        <v>3799</v>
      </c>
      <c r="AE54">
        <v>81.36</v>
      </c>
      <c r="AF54">
        <v>70.36</v>
      </c>
      <c r="AG54">
        <v>37.35</v>
      </c>
      <c r="AH54">
        <v>118.35</v>
      </c>
      <c r="AI54">
        <v>1616</v>
      </c>
      <c r="AJ54">
        <v>98.92</v>
      </c>
      <c r="AK54">
        <v>817</v>
      </c>
      <c r="AL54">
        <v>265.08</v>
      </c>
      <c r="AM54">
        <v>123</v>
      </c>
      <c r="AN54">
        <v>0</v>
      </c>
      <c r="AO54" s="499">
        <v>0</v>
      </c>
      <c r="AP54" s="499">
        <v>0</v>
      </c>
      <c r="AQ54">
        <v>0</v>
      </c>
      <c r="AR54">
        <v>0</v>
      </c>
      <c r="AS54">
        <v>57.07</v>
      </c>
      <c r="AT54">
        <v>54.5</v>
      </c>
      <c r="AU54">
        <v>17.510000000000002</v>
      </c>
      <c r="AV54">
        <v>74.58</v>
      </c>
      <c r="AW54">
        <v>21</v>
      </c>
      <c r="AX54">
        <v>69.510000000000005</v>
      </c>
      <c r="AY54">
        <v>66.39</v>
      </c>
      <c r="AZ54">
        <v>4.8899999999999997</v>
      </c>
      <c r="BA54">
        <v>74.28</v>
      </c>
      <c r="BB54">
        <v>917</v>
      </c>
      <c r="BC54">
        <v>81.260000000000005</v>
      </c>
      <c r="BD54">
        <v>77.88</v>
      </c>
      <c r="BE54">
        <v>1.95</v>
      </c>
      <c r="BF54">
        <v>82.94</v>
      </c>
      <c r="BG54">
        <v>1227</v>
      </c>
      <c r="BH54">
        <v>90.29</v>
      </c>
      <c r="BI54">
        <v>86.55</v>
      </c>
      <c r="BJ54">
        <v>1.96</v>
      </c>
      <c r="BK54">
        <v>92.17</v>
      </c>
      <c r="BL54" s="214">
        <v>1463</v>
      </c>
      <c r="BM54" s="214">
        <v>98.12</v>
      </c>
      <c r="BN54">
        <v>94.31</v>
      </c>
      <c r="BO54" s="187">
        <v>2.15</v>
      </c>
      <c r="BP54" s="214">
        <v>100.14</v>
      </c>
      <c r="BQ54" s="214">
        <v>162</v>
      </c>
      <c r="BR54">
        <v>103.78</v>
      </c>
      <c r="BS54" s="187">
        <v>99.26</v>
      </c>
      <c r="BT54" s="214">
        <v>2.08</v>
      </c>
      <c r="BU54" s="214">
        <v>105.6</v>
      </c>
      <c r="BV54">
        <v>8</v>
      </c>
      <c r="BW54">
        <v>108.65</v>
      </c>
      <c r="BX54" s="214">
        <v>108</v>
      </c>
      <c r="BY54" s="214">
        <v>2.14</v>
      </c>
      <c r="BZ54">
        <v>110.79</v>
      </c>
      <c r="CA54" s="187">
        <v>1</v>
      </c>
      <c r="CB54" s="214">
        <v>82.54</v>
      </c>
      <c r="CC54" s="214">
        <v>79.069999999999993</v>
      </c>
      <c r="CD54">
        <v>2.8</v>
      </c>
      <c r="CE54" s="187">
        <v>85.15</v>
      </c>
      <c r="CF54" s="214">
        <v>3799</v>
      </c>
      <c r="CG54" s="214">
        <v>82.54</v>
      </c>
      <c r="CH54">
        <v>79.069999999999993</v>
      </c>
      <c r="CI54">
        <v>2.8</v>
      </c>
      <c r="CJ54">
        <v>85.15</v>
      </c>
      <c r="CK54">
        <v>3799</v>
      </c>
      <c r="CL54">
        <v>114.12</v>
      </c>
      <c r="CM54">
        <v>63.85</v>
      </c>
      <c r="CN54" s="187">
        <v>179.05</v>
      </c>
      <c r="CO54">
        <v>291.19</v>
      </c>
      <c r="CP54">
        <v>90</v>
      </c>
      <c r="CQ54">
        <v>78.150000000000006</v>
      </c>
      <c r="CR54">
        <v>73.81</v>
      </c>
      <c r="CS54" s="187">
        <v>54.13</v>
      </c>
      <c r="CT54">
        <v>126.07</v>
      </c>
      <c r="CU54">
        <v>122</v>
      </c>
      <c r="CV54">
        <v>77.45</v>
      </c>
      <c r="CW54">
        <v>69.27</v>
      </c>
      <c r="CX54" s="187">
        <v>22.84</v>
      </c>
      <c r="CY54">
        <v>100.29</v>
      </c>
      <c r="CZ54">
        <v>1253</v>
      </c>
      <c r="DA54">
        <v>94.37</v>
      </c>
      <c r="DB54">
        <v>81.28</v>
      </c>
      <c r="DC54" s="187">
        <v>52.47</v>
      </c>
      <c r="DD54">
        <v>146.84</v>
      </c>
      <c r="DE54">
        <v>135</v>
      </c>
      <c r="DF54">
        <v>118.02</v>
      </c>
      <c r="DG54">
        <v>90.01</v>
      </c>
      <c r="DH54" s="187">
        <v>152.49</v>
      </c>
      <c r="DI54">
        <v>260.97000000000003</v>
      </c>
      <c r="DJ54">
        <v>16</v>
      </c>
      <c r="DK54">
        <v>0</v>
      </c>
      <c r="DL54">
        <v>0</v>
      </c>
      <c r="DM54" s="187">
        <v>0</v>
      </c>
      <c r="DN54">
        <v>0</v>
      </c>
      <c r="DO54">
        <v>0</v>
      </c>
      <c r="DP54">
        <v>79.430000000000007</v>
      </c>
      <c r="DQ54">
        <v>70.63</v>
      </c>
      <c r="DR54" s="187">
        <v>29.01</v>
      </c>
      <c r="DS54">
        <v>108.15</v>
      </c>
      <c r="DT54">
        <v>1526</v>
      </c>
      <c r="DU54">
        <v>81.36</v>
      </c>
      <c r="DV54">
        <v>70.36</v>
      </c>
      <c r="DW54" s="187">
        <v>37.35</v>
      </c>
      <c r="DX54">
        <v>118.35</v>
      </c>
      <c r="DY54">
        <v>1616</v>
      </c>
      <c r="DZ54">
        <v>0</v>
      </c>
      <c r="EA54">
        <v>0</v>
      </c>
      <c r="EB54" s="187">
        <v>0</v>
      </c>
      <c r="EC54">
        <v>0</v>
      </c>
      <c r="ED54">
        <v>90.87</v>
      </c>
      <c r="EE54">
        <v>86</v>
      </c>
      <c r="EF54">
        <v>96.1</v>
      </c>
      <c r="EG54" s="187">
        <v>486</v>
      </c>
      <c r="EH54">
        <v>106.04</v>
      </c>
      <c r="EI54">
        <v>221</v>
      </c>
      <c r="EJ54">
        <v>115.66</v>
      </c>
      <c r="EK54">
        <v>18</v>
      </c>
      <c r="EL54" s="187">
        <v>130.31</v>
      </c>
      <c r="EM54">
        <v>6</v>
      </c>
      <c r="EN54">
        <v>0</v>
      </c>
      <c r="EO54">
        <v>0</v>
      </c>
      <c r="EP54">
        <v>98.92</v>
      </c>
      <c r="EQ54" s="187">
        <v>817</v>
      </c>
      <c r="ER54">
        <v>98.92</v>
      </c>
      <c r="ES54">
        <v>817</v>
      </c>
      <c r="ET54">
        <v>233.33</v>
      </c>
      <c r="EU54">
        <v>6</v>
      </c>
      <c r="EV54" s="187">
        <v>0</v>
      </c>
      <c r="EW54">
        <v>0</v>
      </c>
      <c r="EX54">
        <v>326.52</v>
      </c>
      <c r="EY54">
        <v>56</v>
      </c>
      <c r="EZ54">
        <v>209.58</v>
      </c>
      <c r="FA54" s="187">
        <v>60</v>
      </c>
      <c r="FB54">
        <v>344.7</v>
      </c>
      <c r="FC54">
        <v>1</v>
      </c>
      <c r="FD54">
        <v>0</v>
      </c>
      <c r="FE54">
        <v>0</v>
      </c>
      <c r="FF54" s="187">
        <v>266.70999999999998</v>
      </c>
      <c r="FG54">
        <v>117</v>
      </c>
      <c r="FH54">
        <v>265.08</v>
      </c>
      <c r="FI54">
        <v>123</v>
      </c>
      <c r="FJ54">
        <v>0</v>
      </c>
      <c r="FK54" s="187">
        <v>33</v>
      </c>
      <c r="FL54">
        <v>0</v>
      </c>
      <c r="FM54">
        <v>0</v>
      </c>
      <c r="FN54">
        <v>1</v>
      </c>
    </row>
    <row r="55" spans="1:170" x14ac:dyDescent="0.35">
      <c r="A55" t="s">
        <v>499</v>
      </c>
      <c r="B55" t="s">
        <v>500</v>
      </c>
      <c r="C55" t="s">
        <v>418</v>
      </c>
      <c r="D55">
        <v>3922</v>
      </c>
      <c r="E55">
        <v>3600</v>
      </c>
      <c r="F55">
        <v>12</v>
      </c>
      <c r="G55">
        <v>0</v>
      </c>
      <c r="H55">
        <v>528</v>
      </c>
      <c r="I55">
        <v>226</v>
      </c>
      <c r="J55">
        <v>588</v>
      </c>
      <c r="K55">
        <v>523</v>
      </c>
      <c r="L55">
        <v>186</v>
      </c>
      <c r="M55">
        <v>0</v>
      </c>
      <c r="N55">
        <v>5236</v>
      </c>
      <c r="O55">
        <v>4349</v>
      </c>
      <c r="P55">
        <v>5050</v>
      </c>
      <c r="Q55">
        <v>1</v>
      </c>
      <c r="R55">
        <v>12</v>
      </c>
      <c r="S55">
        <v>22</v>
      </c>
      <c r="T55">
        <v>586</v>
      </c>
      <c r="U55">
        <v>4650</v>
      </c>
      <c r="V55" s="498">
        <v>3634</v>
      </c>
      <c r="W55">
        <v>28</v>
      </c>
      <c r="X55" s="498">
        <v>15</v>
      </c>
      <c r="Y55" s="498">
        <v>43</v>
      </c>
      <c r="Z55" s="498">
        <v>84.27</v>
      </c>
      <c r="AA55" s="498">
        <v>82.88</v>
      </c>
      <c r="AB55">
        <v>4.7300000000000004</v>
      </c>
      <c r="AC55">
        <v>87.96</v>
      </c>
      <c r="AD55">
        <v>3079</v>
      </c>
      <c r="AE55">
        <v>91.58</v>
      </c>
      <c r="AF55">
        <v>77.849999999999994</v>
      </c>
      <c r="AG55">
        <v>48.06</v>
      </c>
      <c r="AH55">
        <v>135.5</v>
      </c>
      <c r="AI55">
        <v>813</v>
      </c>
      <c r="AJ55">
        <v>107.24</v>
      </c>
      <c r="AK55">
        <v>640</v>
      </c>
      <c r="AL55">
        <v>127.86</v>
      </c>
      <c r="AM55">
        <v>17</v>
      </c>
      <c r="AN55">
        <v>0</v>
      </c>
      <c r="AO55" s="499">
        <v>0</v>
      </c>
      <c r="AP55" s="499">
        <v>0</v>
      </c>
      <c r="AQ55">
        <v>0</v>
      </c>
      <c r="AR55">
        <v>0</v>
      </c>
      <c r="AS55">
        <v>65.709999999999994</v>
      </c>
      <c r="AT55">
        <v>64.47</v>
      </c>
      <c r="AU55">
        <v>7.14</v>
      </c>
      <c r="AV55">
        <v>72.86</v>
      </c>
      <c r="AW55">
        <v>13</v>
      </c>
      <c r="AX55">
        <v>74.12</v>
      </c>
      <c r="AY55">
        <v>72.290000000000006</v>
      </c>
      <c r="AZ55">
        <v>6.06</v>
      </c>
      <c r="BA55">
        <v>79.69</v>
      </c>
      <c r="BB55">
        <v>848</v>
      </c>
      <c r="BC55">
        <v>84.41</v>
      </c>
      <c r="BD55">
        <v>82.82</v>
      </c>
      <c r="BE55">
        <v>4.99</v>
      </c>
      <c r="BF55">
        <v>88.12</v>
      </c>
      <c r="BG55">
        <v>1481</v>
      </c>
      <c r="BH55">
        <v>95.09</v>
      </c>
      <c r="BI55">
        <v>94.74</v>
      </c>
      <c r="BJ55">
        <v>2</v>
      </c>
      <c r="BK55">
        <v>96.48</v>
      </c>
      <c r="BL55" s="214">
        <v>682</v>
      </c>
      <c r="BM55" s="214">
        <v>105.82</v>
      </c>
      <c r="BN55">
        <v>103.09</v>
      </c>
      <c r="BO55" s="187">
        <v>2.85</v>
      </c>
      <c r="BP55" s="214">
        <v>107.43</v>
      </c>
      <c r="BQ55" s="214">
        <v>48</v>
      </c>
      <c r="BR55">
        <v>117.64</v>
      </c>
      <c r="BS55" s="187">
        <v>116.79</v>
      </c>
      <c r="BT55" s="214">
        <v>2.76</v>
      </c>
      <c r="BU55" s="214">
        <v>119.22</v>
      </c>
      <c r="BV55">
        <v>7</v>
      </c>
      <c r="BW55">
        <v>0</v>
      </c>
      <c r="BX55" s="214">
        <v>0</v>
      </c>
      <c r="BY55" s="214">
        <v>0</v>
      </c>
      <c r="BZ55">
        <v>0</v>
      </c>
      <c r="CA55" s="187">
        <v>0</v>
      </c>
      <c r="CB55" s="214">
        <v>84.27</v>
      </c>
      <c r="CC55" s="214">
        <v>82.88</v>
      </c>
      <c r="CD55">
        <v>4.7300000000000004</v>
      </c>
      <c r="CE55" s="187">
        <v>87.96</v>
      </c>
      <c r="CF55" s="214">
        <v>3079</v>
      </c>
      <c r="CG55" s="214">
        <v>84.27</v>
      </c>
      <c r="CH55">
        <v>82.88</v>
      </c>
      <c r="CI55">
        <v>4.7300000000000004</v>
      </c>
      <c r="CJ55">
        <v>87.96</v>
      </c>
      <c r="CK55">
        <v>3079</v>
      </c>
      <c r="CL55">
        <v>93.86</v>
      </c>
      <c r="CM55">
        <v>70.58</v>
      </c>
      <c r="CN55" s="187">
        <v>52.41</v>
      </c>
      <c r="CO55">
        <v>134.28</v>
      </c>
      <c r="CP55">
        <v>118</v>
      </c>
      <c r="CQ55">
        <v>73.540000000000006</v>
      </c>
      <c r="CR55">
        <v>73.91</v>
      </c>
      <c r="CS55" s="187">
        <v>42.2</v>
      </c>
      <c r="CT55">
        <v>108.95</v>
      </c>
      <c r="CU55">
        <v>236</v>
      </c>
      <c r="CV55">
        <v>94.19</v>
      </c>
      <c r="CW55">
        <v>80.28</v>
      </c>
      <c r="CX55" s="187">
        <v>38.81</v>
      </c>
      <c r="CY55">
        <v>132.59</v>
      </c>
      <c r="CZ55">
        <v>369</v>
      </c>
      <c r="DA55">
        <v>124.96</v>
      </c>
      <c r="DB55">
        <v>92.26</v>
      </c>
      <c r="DC55" s="187">
        <v>98.41</v>
      </c>
      <c r="DD55">
        <v>222.18</v>
      </c>
      <c r="DE55">
        <v>83</v>
      </c>
      <c r="DF55">
        <v>127.31</v>
      </c>
      <c r="DG55">
        <v>89.31</v>
      </c>
      <c r="DH55" s="187">
        <v>49.43</v>
      </c>
      <c r="DI55">
        <v>176.74</v>
      </c>
      <c r="DJ55">
        <v>7</v>
      </c>
      <c r="DK55">
        <v>0</v>
      </c>
      <c r="DL55">
        <v>0</v>
      </c>
      <c r="DM55" s="187">
        <v>0</v>
      </c>
      <c r="DN55">
        <v>0</v>
      </c>
      <c r="DO55">
        <v>0</v>
      </c>
      <c r="DP55">
        <v>91.19</v>
      </c>
      <c r="DQ55">
        <v>78.87</v>
      </c>
      <c r="DR55" s="187">
        <v>47.45</v>
      </c>
      <c r="DS55">
        <v>135.69999999999999</v>
      </c>
      <c r="DT55">
        <v>695</v>
      </c>
      <c r="DU55">
        <v>91.58</v>
      </c>
      <c r="DV55">
        <v>77.849999999999994</v>
      </c>
      <c r="DW55" s="187">
        <v>48.06</v>
      </c>
      <c r="DX55">
        <v>135.5</v>
      </c>
      <c r="DY55">
        <v>813</v>
      </c>
      <c r="DZ55">
        <v>0</v>
      </c>
      <c r="EA55">
        <v>0</v>
      </c>
      <c r="EB55" s="187">
        <v>0</v>
      </c>
      <c r="EC55">
        <v>0</v>
      </c>
      <c r="ED55">
        <v>92.21</v>
      </c>
      <c r="EE55">
        <v>118</v>
      </c>
      <c r="EF55">
        <v>105.47</v>
      </c>
      <c r="EG55" s="187">
        <v>288</v>
      </c>
      <c r="EH55">
        <v>116.36</v>
      </c>
      <c r="EI55">
        <v>224</v>
      </c>
      <c r="EJ55">
        <v>131.72999999999999</v>
      </c>
      <c r="EK55">
        <v>9</v>
      </c>
      <c r="EL55" s="187">
        <v>124.41</v>
      </c>
      <c r="EM55">
        <v>1</v>
      </c>
      <c r="EN55">
        <v>0</v>
      </c>
      <c r="EO55">
        <v>0</v>
      </c>
      <c r="EP55">
        <v>107.24</v>
      </c>
      <c r="EQ55" s="187">
        <v>640</v>
      </c>
      <c r="ER55">
        <v>107.24</v>
      </c>
      <c r="ES55">
        <v>640</v>
      </c>
      <c r="ET55">
        <v>0</v>
      </c>
      <c r="EU55">
        <v>0</v>
      </c>
      <c r="EV55" s="187">
        <v>0</v>
      </c>
      <c r="EW55">
        <v>0</v>
      </c>
      <c r="EX55">
        <v>126.72</v>
      </c>
      <c r="EY55">
        <v>12</v>
      </c>
      <c r="EZ55">
        <v>130.59</v>
      </c>
      <c r="FA55" s="187">
        <v>5</v>
      </c>
      <c r="FB55">
        <v>0</v>
      </c>
      <c r="FC55">
        <v>0</v>
      </c>
      <c r="FD55">
        <v>0</v>
      </c>
      <c r="FE55">
        <v>0</v>
      </c>
      <c r="FF55" s="187">
        <v>127.86</v>
      </c>
      <c r="FG55">
        <v>17</v>
      </c>
      <c r="FH55">
        <v>127.86</v>
      </c>
      <c r="FI55">
        <v>17</v>
      </c>
      <c r="FJ55">
        <v>3</v>
      </c>
      <c r="FK55" s="187">
        <v>4</v>
      </c>
      <c r="FL55">
        <v>0</v>
      </c>
      <c r="FM55">
        <v>33</v>
      </c>
      <c r="FN55">
        <v>1</v>
      </c>
    </row>
    <row r="56" spans="1:170" x14ac:dyDescent="0.35">
      <c r="A56" t="s">
        <v>501</v>
      </c>
      <c r="B56" t="s">
        <v>502</v>
      </c>
      <c r="C56" t="s">
        <v>1048</v>
      </c>
      <c r="D56">
        <v>12457</v>
      </c>
      <c r="E56">
        <v>12442</v>
      </c>
      <c r="F56">
        <v>0</v>
      </c>
      <c r="G56">
        <v>0</v>
      </c>
      <c r="H56">
        <v>430</v>
      </c>
      <c r="I56">
        <v>208</v>
      </c>
      <c r="J56">
        <v>1103</v>
      </c>
      <c r="K56">
        <v>1067</v>
      </c>
      <c r="L56">
        <v>274</v>
      </c>
      <c r="M56">
        <v>0</v>
      </c>
      <c r="N56">
        <v>14264</v>
      </c>
      <c r="O56">
        <v>13717</v>
      </c>
      <c r="P56">
        <v>13990</v>
      </c>
      <c r="Q56">
        <v>25</v>
      </c>
      <c r="R56">
        <v>11</v>
      </c>
      <c r="S56">
        <v>22</v>
      </c>
      <c r="T56">
        <v>231</v>
      </c>
      <c r="U56">
        <v>14033</v>
      </c>
      <c r="V56" s="498">
        <v>12428</v>
      </c>
      <c r="W56">
        <v>82</v>
      </c>
      <c r="X56" s="498">
        <v>180</v>
      </c>
      <c r="Y56" s="498">
        <v>262</v>
      </c>
      <c r="Z56" s="498">
        <v>80.13</v>
      </c>
      <c r="AA56" s="498">
        <v>78.430000000000007</v>
      </c>
      <c r="AB56">
        <v>5.66</v>
      </c>
      <c r="AC56">
        <v>85.53</v>
      </c>
      <c r="AD56">
        <v>11597</v>
      </c>
      <c r="AE56">
        <v>88.82</v>
      </c>
      <c r="AF56">
        <v>75.790000000000006</v>
      </c>
      <c r="AG56">
        <v>39.229999999999997</v>
      </c>
      <c r="AH56">
        <v>127.76</v>
      </c>
      <c r="AI56">
        <v>1325</v>
      </c>
      <c r="AJ56">
        <v>103.34</v>
      </c>
      <c r="AK56">
        <v>786</v>
      </c>
      <c r="AL56">
        <v>84.68</v>
      </c>
      <c r="AM56">
        <v>6</v>
      </c>
      <c r="AN56">
        <v>0</v>
      </c>
      <c r="AO56" s="499">
        <v>0</v>
      </c>
      <c r="AP56" s="499">
        <v>0</v>
      </c>
      <c r="AQ56">
        <v>0</v>
      </c>
      <c r="AR56">
        <v>0</v>
      </c>
      <c r="AS56">
        <v>64.7</v>
      </c>
      <c r="AT56">
        <v>62.04</v>
      </c>
      <c r="AU56">
        <v>8.43</v>
      </c>
      <c r="AV56">
        <v>73.13</v>
      </c>
      <c r="AW56">
        <v>32</v>
      </c>
      <c r="AX56">
        <v>71.45</v>
      </c>
      <c r="AY56">
        <v>69.099999999999994</v>
      </c>
      <c r="AZ56">
        <v>7.38</v>
      </c>
      <c r="BA56">
        <v>78.790000000000006</v>
      </c>
      <c r="BB56">
        <v>5055</v>
      </c>
      <c r="BC56">
        <v>81.87</v>
      </c>
      <c r="BD56">
        <v>80.36</v>
      </c>
      <c r="BE56">
        <v>5.14</v>
      </c>
      <c r="BF56">
        <v>86.68</v>
      </c>
      <c r="BG56">
        <v>3493</v>
      </c>
      <c r="BH56">
        <v>90.9</v>
      </c>
      <c r="BI56">
        <v>90.43</v>
      </c>
      <c r="BJ56">
        <v>3.21</v>
      </c>
      <c r="BK56">
        <v>93.8</v>
      </c>
      <c r="BL56" s="214">
        <v>2661</v>
      </c>
      <c r="BM56" s="214">
        <v>104.63</v>
      </c>
      <c r="BN56">
        <v>101.61</v>
      </c>
      <c r="BO56" s="187">
        <v>2.69</v>
      </c>
      <c r="BP56" s="214">
        <v>107.06</v>
      </c>
      <c r="BQ56" s="214">
        <v>273</v>
      </c>
      <c r="BR56">
        <v>113.98</v>
      </c>
      <c r="BS56" s="187">
        <v>109.87</v>
      </c>
      <c r="BT56" s="214">
        <v>1.2</v>
      </c>
      <c r="BU56" s="214">
        <v>115.1</v>
      </c>
      <c r="BV56">
        <v>67</v>
      </c>
      <c r="BW56">
        <v>119.85</v>
      </c>
      <c r="BX56" s="214">
        <v>117.09</v>
      </c>
      <c r="BY56" s="214">
        <v>1.8</v>
      </c>
      <c r="BZ56">
        <v>121.31</v>
      </c>
      <c r="CA56" s="187">
        <v>16</v>
      </c>
      <c r="CB56" s="214">
        <v>80.13</v>
      </c>
      <c r="CC56" s="214">
        <v>78.430000000000007</v>
      </c>
      <c r="CD56">
        <v>5.66</v>
      </c>
      <c r="CE56" s="187">
        <v>85.53</v>
      </c>
      <c r="CF56" s="214">
        <v>11597</v>
      </c>
      <c r="CG56" s="214">
        <v>80.13</v>
      </c>
      <c r="CH56">
        <v>78.430000000000007</v>
      </c>
      <c r="CI56">
        <v>5.66</v>
      </c>
      <c r="CJ56">
        <v>85.53</v>
      </c>
      <c r="CK56">
        <v>11597</v>
      </c>
      <c r="CL56">
        <v>128.52000000000001</v>
      </c>
      <c r="CM56">
        <v>71.7</v>
      </c>
      <c r="CN56" s="187">
        <v>61.15</v>
      </c>
      <c r="CO56">
        <v>185.67</v>
      </c>
      <c r="CP56">
        <v>153</v>
      </c>
      <c r="CQ56">
        <v>79.489999999999995</v>
      </c>
      <c r="CR56">
        <v>73.400000000000006</v>
      </c>
      <c r="CS56" s="187">
        <v>31.59</v>
      </c>
      <c r="CT56">
        <v>111.08</v>
      </c>
      <c r="CU56">
        <v>47</v>
      </c>
      <c r="CV56">
        <v>80.7</v>
      </c>
      <c r="CW56">
        <v>73.16</v>
      </c>
      <c r="CX56" s="187">
        <v>31.97</v>
      </c>
      <c r="CY56">
        <v>112.67</v>
      </c>
      <c r="CZ56">
        <v>951</v>
      </c>
      <c r="DA56">
        <v>101.51</v>
      </c>
      <c r="DB56">
        <v>92.45</v>
      </c>
      <c r="DC56" s="187">
        <v>65.930000000000007</v>
      </c>
      <c r="DD56">
        <v>167.44</v>
      </c>
      <c r="DE56">
        <v>162</v>
      </c>
      <c r="DF56">
        <v>91.7</v>
      </c>
      <c r="DG56">
        <v>92.36</v>
      </c>
      <c r="DH56" s="187">
        <v>22.71</v>
      </c>
      <c r="DI56">
        <v>114.41</v>
      </c>
      <c r="DJ56">
        <v>12</v>
      </c>
      <c r="DK56">
        <v>0</v>
      </c>
      <c r="DL56">
        <v>0</v>
      </c>
      <c r="DM56" s="187">
        <v>0</v>
      </c>
      <c r="DN56">
        <v>0</v>
      </c>
      <c r="DO56">
        <v>0</v>
      </c>
      <c r="DP56">
        <v>83.64</v>
      </c>
      <c r="DQ56">
        <v>75.989999999999995</v>
      </c>
      <c r="DR56" s="187">
        <v>36.56</v>
      </c>
      <c r="DS56">
        <v>120.2</v>
      </c>
      <c r="DT56">
        <v>1172</v>
      </c>
      <c r="DU56">
        <v>88.82</v>
      </c>
      <c r="DV56">
        <v>75.790000000000006</v>
      </c>
      <c r="DW56" s="187">
        <v>39.229999999999997</v>
      </c>
      <c r="DX56">
        <v>127.76</v>
      </c>
      <c r="DY56">
        <v>1325</v>
      </c>
      <c r="DZ56">
        <v>0</v>
      </c>
      <c r="EA56">
        <v>0</v>
      </c>
      <c r="EB56" s="187">
        <v>0</v>
      </c>
      <c r="EC56">
        <v>0</v>
      </c>
      <c r="ED56">
        <v>85.54</v>
      </c>
      <c r="EE56">
        <v>84</v>
      </c>
      <c r="EF56">
        <v>98.16</v>
      </c>
      <c r="EG56" s="187">
        <v>334</v>
      </c>
      <c r="EH56">
        <v>111.77</v>
      </c>
      <c r="EI56">
        <v>347</v>
      </c>
      <c r="EJ56">
        <v>118.11</v>
      </c>
      <c r="EK56">
        <v>20</v>
      </c>
      <c r="EL56" s="187">
        <v>107.52</v>
      </c>
      <c r="EM56">
        <v>1</v>
      </c>
      <c r="EN56">
        <v>0</v>
      </c>
      <c r="EO56">
        <v>0</v>
      </c>
      <c r="EP56">
        <v>103.34</v>
      </c>
      <c r="EQ56" s="187">
        <v>786</v>
      </c>
      <c r="ER56">
        <v>103.34</v>
      </c>
      <c r="ES56">
        <v>786</v>
      </c>
      <c r="ET56">
        <v>0</v>
      </c>
      <c r="EU56">
        <v>0</v>
      </c>
      <c r="EV56" s="187">
        <v>0</v>
      </c>
      <c r="EW56">
        <v>0</v>
      </c>
      <c r="EX56">
        <v>84.68</v>
      </c>
      <c r="EY56">
        <v>6</v>
      </c>
      <c r="EZ56">
        <v>0</v>
      </c>
      <c r="FA56" s="187">
        <v>0</v>
      </c>
      <c r="FB56">
        <v>0</v>
      </c>
      <c r="FC56">
        <v>0</v>
      </c>
      <c r="FD56">
        <v>0</v>
      </c>
      <c r="FE56">
        <v>0</v>
      </c>
      <c r="FF56" s="187">
        <v>84.68</v>
      </c>
      <c r="FG56">
        <v>6</v>
      </c>
      <c r="FH56">
        <v>84.68</v>
      </c>
      <c r="FI56">
        <v>6</v>
      </c>
      <c r="FJ56">
        <v>0</v>
      </c>
      <c r="FK56" s="187">
        <v>36</v>
      </c>
      <c r="FL56">
        <v>5</v>
      </c>
      <c r="FM56">
        <v>46</v>
      </c>
      <c r="FN56">
        <v>3</v>
      </c>
    </row>
    <row r="57" spans="1:170" x14ac:dyDescent="0.35">
      <c r="A57" t="s">
        <v>503</v>
      </c>
      <c r="B57" t="s">
        <v>504</v>
      </c>
      <c r="C57" t="s">
        <v>415</v>
      </c>
      <c r="D57">
        <v>3860</v>
      </c>
      <c r="E57">
        <v>3994</v>
      </c>
      <c r="F57">
        <v>595</v>
      </c>
      <c r="G57">
        <v>509</v>
      </c>
      <c r="H57">
        <v>467</v>
      </c>
      <c r="I57">
        <v>344</v>
      </c>
      <c r="J57">
        <v>495</v>
      </c>
      <c r="K57">
        <v>485</v>
      </c>
      <c r="L57">
        <v>695</v>
      </c>
      <c r="M57">
        <v>30</v>
      </c>
      <c r="N57">
        <v>6112</v>
      </c>
      <c r="O57">
        <v>5362</v>
      </c>
      <c r="P57">
        <v>5417</v>
      </c>
      <c r="Q57">
        <v>4</v>
      </c>
      <c r="R57">
        <v>6</v>
      </c>
      <c r="S57">
        <v>23</v>
      </c>
      <c r="T57">
        <v>197</v>
      </c>
      <c r="U57">
        <v>5915</v>
      </c>
      <c r="V57" s="498">
        <v>3843</v>
      </c>
      <c r="W57">
        <v>74</v>
      </c>
      <c r="X57" s="498">
        <v>7</v>
      </c>
      <c r="Y57" s="498">
        <v>81</v>
      </c>
      <c r="Z57" s="498">
        <v>111.15</v>
      </c>
      <c r="AA57" s="498">
        <v>111.3</v>
      </c>
      <c r="AB57">
        <v>9.68</v>
      </c>
      <c r="AC57">
        <v>117.8</v>
      </c>
      <c r="AD57">
        <v>2667</v>
      </c>
      <c r="AE57">
        <v>99.09</v>
      </c>
      <c r="AF57">
        <v>92.26</v>
      </c>
      <c r="AG57">
        <v>70.08</v>
      </c>
      <c r="AH57">
        <v>168.52</v>
      </c>
      <c r="AI57">
        <v>866</v>
      </c>
      <c r="AJ57">
        <v>158.65</v>
      </c>
      <c r="AK57">
        <v>947</v>
      </c>
      <c r="AL57">
        <v>281.39</v>
      </c>
      <c r="AM57">
        <v>2</v>
      </c>
      <c r="AN57">
        <v>69.489999999999995</v>
      </c>
      <c r="AO57" s="499">
        <v>68.849999999999994</v>
      </c>
      <c r="AP57" s="499">
        <v>21.67</v>
      </c>
      <c r="AQ57">
        <v>91.16</v>
      </c>
      <c r="AR57">
        <v>10</v>
      </c>
      <c r="AS57">
        <v>76.569999999999993</v>
      </c>
      <c r="AT57">
        <v>79.430000000000007</v>
      </c>
      <c r="AU57">
        <v>10.31</v>
      </c>
      <c r="AV57">
        <v>86.89</v>
      </c>
      <c r="AW57">
        <v>141</v>
      </c>
      <c r="AX57">
        <v>96.25</v>
      </c>
      <c r="AY57">
        <v>95.68</v>
      </c>
      <c r="AZ57">
        <v>10.1</v>
      </c>
      <c r="BA57">
        <v>105.8</v>
      </c>
      <c r="BB57">
        <v>752</v>
      </c>
      <c r="BC57">
        <v>113.82</v>
      </c>
      <c r="BD57">
        <v>113.92</v>
      </c>
      <c r="BE57">
        <v>11.93</v>
      </c>
      <c r="BF57">
        <v>122.85</v>
      </c>
      <c r="BG57">
        <v>883</v>
      </c>
      <c r="BH57">
        <v>125.09</v>
      </c>
      <c r="BI57">
        <v>125.4</v>
      </c>
      <c r="BJ57">
        <v>2.9</v>
      </c>
      <c r="BK57">
        <v>126.04</v>
      </c>
      <c r="BL57" s="214">
        <v>789</v>
      </c>
      <c r="BM57" s="214">
        <v>143.78</v>
      </c>
      <c r="BN57">
        <v>144.87</v>
      </c>
      <c r="BO57" s="187">
        <v>3.94</v>
      </c>
      <c r="BP57" s="214">
        <v>145.63</v>
      </c>
      <c r="BQ57" s="214">
        <v>79</v>
      </c>
      <c r="BR57">
        <v>153.80000000000001</v>
      </c>
      <c r="BS57" s="187">
        <v>154.33000000000001</v>
      </c>
      <c r="BT57" s="214">
        <v>1.75</v>
      </c>
      <c r="BU57" s="214">
        <v>154.58000000000001</v>
      </c>
      <c r="BV57">
        <v>9</v>
      </c>
      <c r="BW57">
        <v>155.55000000000001</v>
      </c>
      <c r="BX57" s="214">
        <v>158.08000000000001</v>
      </c>
      <c r="BY57" s="214">
        <v>2.54</v>
      </c>
      <c r="BZ57">
        <v>156.19</v>
      </c>
      <c r="CA57" s="187">
        <v>4</v>
      </c>
      <c r="CB57" s="214">
        <v>111.31</v>
      </c>
      <c r="CC57" s="214">
        <v>111.46</v>
      </c>
      <c r="CD57">
        <v>9.6199999999999992</v>
      </c>
      <c r="CE57" s="187">
        <v>117.9</v>
      </c>
      <c r="CF57" s="214">
        <v>2657</v>
      </c>
      <c r="CG57" s="214">
        <v>111.15</v>
      </c>
      <c r="CH57">
        <v>111.3</v>
      </c>
      <c r="CI57">
        <v>9.68</v>
      </c>
      <c r="CJ57">
        <v>117.8</v>
      </c>
      <c r="CK57">
        <v>2667</v>
      </c>
      <c r="CL57">
        <v>86.99</v>
      </c>
      <c r="CM57">
        <v>80.5</v>
      </c>
      <c r="CN57" s="187">
        <v>128.51</v>
      </c>
      <c r="CO57">
        <v>214.65</v>
      </c>
      <c r="CP57">
        <v>301</v>
      </c>
      <c r="CQ57">
        <v>81.489999999999995</v>
      </c>
      <c r="CR57">
        <v>74.819999999999993</v>
      </c>
      <c r="CS57" s="187">
        <v>37.270000000000003</v>
      </c>
      <c r="CT57">
        <v>118.76</v>
      </c>
      <c r="CU57">
        <v>102</v>
      </c>
      <c r="CV57">
        <v>102.85</v>
      </c>
      <c r="CW57">
        <v>95.2</v>
      </c>
      <c r="CX57" s="187">
        <v>40.369999999999997</v>
      </c>
      <c r="CY57">
        <v>142.43</v>
      </c>
      <c r="CZ57">
        <v>312</v>
      </c>
      <c r="DA57">
        <v>127.34</v>
      </c>
      <c r="DB57">
        <v>119.76</v>
      </c>
      <c r="DC57" s="187">
        <v>36.72</v>
      </c>
      <c r="DD57">
        <v>164.06</v>
      </c>
      <c r="DE57">
        <v>148</v>
      </c>
      <c r="DF57">
        <v>126.81</v>
      </c>
      <c r="DG57">
        <v>115.28</v>
      </c>
      <c r="DH57" s="187">
        <v>38.17</v>
      </c>
      <c r="DI57">
        <v>164.99</v>
      </c>
      <c r="DJ57">
        <v>3</v>
      </c>
      <c r="DK57">
        <v>0</v>
      </c>
      <c r="DL57">
        <v>0</v>
      </c>
      <c r="DM57" s="187">
        <v>0</v>
      </c>
      <c r="DN57">
        <v>0</v>
      </c>
      <c r="DO57">
        <v>0</v>
      </c>
      <c r="DP57">
        <v>105.53</v>
      </c>
      <c r="DQ57">
        <v>98.06</v>
      </c>
      <c r="DR57" s="187">
        <v>38.82</v>
      </c>
      <c r="DS57">
        <v>143.94</v>
      </c>
      <c r="DT57">
        <v>565</v>
      </c>
      <c r="DU57">
        <v>99.09</v>
      </c>
      <c r="DV57">
        <v>92.26</v>
      </c>
      <c r="DW57" s="187">
        <v>70.08</v>
      </c>
      <c r="DX57">
        <v>168.52</v>
      </c>
      <c r="DY57">
        <v>866</v>
      </c>
      <c r="DZ57">
        <v>81.510000000000005</v>
      </c>
      <c r="EA57">
        <v>3</v>
      </c>
      <c r="EB57" s="187">
        <v>133.63999999999999</v>
      </c>
      <c r="EC57">
        <v>2</v>
      </c>
      <c r="ED57">
        <v>134.44999999999999</v>
      </c>
      <c r="EE57">
        <v>198</v>
      </c>
      <c r="EF57">
        <v>151.22</v>
      </c>
      <c r="EG57" s="187">
        <v>410</v>
      </c>
      <c r="EH57">
        <v>171.22</v>
      </c>
      <c r="EI57">
        <v>260</v>
      </c>
      <c r="EJ57">
        <v>224.17</v>
      </c>
      <c r="EK57">
        <v>74</v>
      </c>
      <c r="EL57" s="187">
        <v>0</v>
      </c>
      <c r="EM57">
        <v>0</v>
      </c>
      <c r="EN57">
        <v>0</v>
      </c>
      <c r="EO57">
        <v>0</v>
      </c>
      <c r="EP57">
        <v>158.88999999999999</v>
      </c>
      <c r="EQ57" s="187">
        <v>944</v>
      </c>
      <c r="ER57">
        <v>158.65</v>
      </c>
      <c r="ES57">
        <v>947</v>
      </c>
      <c r="ET57">
        <v>0</v>
      </c>
      <c r="EU57">
        <v>0</v>
      </c>
      <c r="EV57" s="187">
        <v>0</v>
      </c>
      <c r="EW57">
        <v>0</v>
      </c>
      <c r="EX57">
        <v>281.39</v>
      </c>
      <c r="EY57">
        <v>2</v>
      </c>
      <c r="EZ57">
        <v>0</v>
      </c>
      <c r="FA57" s="187">
        <v>0</v>
      </c>
      <c r="FB57">
        <v>0</v>
      </c>
      <c r="FC57">
        <v>0</v>
      </c>
      <c r="FD57">
        <v>0</v>
      </c>
      <c r="FE57">
        <v>0</v>
      </c>
      <c r="FF57" s="187">
        <v>281.39</v>
      </c>
      <c r="FG57">
        <v>2</v>
      </c>
      <c r="FH57">
        <v>281.39</v>
      </c>
      <c r="FI57">
        <v>2</v>
      </c>
      <c r="FJ57">
        <v>0</v>
      </c>
      <c r="FK57" s="187">
        <v>0</v>
      </c>
      <c r="FL57">
        <v>4</v>
      </c>
      <c r="FM57">
        <v>30</v>
      </c>
      <c r="FN57">
        <v>51</v>
      </c>
    </row>
    <row r="58" spans="1:170" x14ac:dyDescent="0.35">
      <c r="A58" t="s">
        <v>505</v>
      </c>
      <c r="B58" t="s">
        <v>506</v>
      </c>
      <c r="C58" t="s">
        <v>416</v>
      </c>
      <c r="D58">
        <v>8350</v>
      </c>
      <c r="E58">
        <v>7211</v>
      </c>
      <c r="F58">
        <v>992</v>
      </c>
      <c r="G58">
        <v>902</v>
      </c>
      <c r="H58">
        <v>1509</v>
      </c>
      <c r="I58">
        <v>1021</v>
      </c>
      <c r="J58">
        <v>902</v>
      </c>
      <c r="K58">
        <v>861</v>
      </c>
      <c r="L58">
        <v>553</v>
      </c>
      <c r="M58">
        <v>0</v>
      </c>
      <c r="N58">
        <v>12306</v>
      </c>
      <c r="O58">
        <v>9995</v>
      </c>
      <c r="P58">
        <v>11753</v>
      </c>
      <c r="Q58">
        <v>18</v>
      </c>
      <c r="R58">
        <v>23</v>
      </c>
      <c r="S58">
        <v>26</v>
      </c>
      <c r="T58">
        <v>1613</v>
      </c>
      <c r="U58">
        <v>10693</v>
      </c>
      <c r="V58" s="498">
        <v>6945</v>
      </c>
      <c r="W58">
        <v>72</v>
      </c>
      <c r="X58" s="498">
        <v>63</v>
      </c>
      <c r="Y58" s="498">
        <v>135</v>
      </c>
      <c r="Z58" s="498">
        <v>136.88</v>
      </c>
      <c r="AA58" s="498">
        <v>146.4</v>
      </c>
      <c r="AB58">
        <v>15.46</v>
      </c>
      <c r="AC58">
        <v>150.9</v>
      </c>
      <c r="AD58">
        <v>6124</v>
      </c>
      <c r="AE58">
        <v>114.37</v>
      </c>
      <c r="AF58">
        <v>115.03</v>
      </c>
      <c r="AG58">
        <v>84.11</v>
      </c>
      <c r="AH58">
        <v>197.1</v>
      </c>
      <c r="AI58">
        <v>2207</v>
      </c>
      <c r="AJ58">
        <v>224.19</v>
      </c>
      <c r="AK58">
        <v>520</v>
      </c>
      <c r="AL58">
        <v>257.67</v>
      </c>
      <c r="AM58">
        <v>60</v>
      </c>
      <c r="AN58">
        <v>84.45</v>
      </c>
      <c r="AO58" s="499">
        <v>108.96</v>
      </c>
      <c r="AP58" s="499">
        <v>4.78</v>
      </c>
      <c r="AQ58">
        <v>86.11</v>
      </c>
      <c r="AR58">
        <v>23</v>
      </c>
      <c r="AS58">
        <v>100.33</v>
      </c>
      <c r="AT58">
        <v>102.18</v>
      </c>
      <c r="AU58">
        <v>11.04</v>
      </c>
      <c r="AV58">
        <v>111.29</v>
      </c>
      <c r="AW58">
        <v>146</v>
      </c>
      <c r="AX58">
        <v>124.53</v>
      </c>
      <c r="AY58">
        <v>130.38</v>
      </c>
      <c r="AZ58">
        <v>14.43</v>
      </c>
      <c r="BA58">
        <v>137.66</v>
      </c>
      <c r="BB58">
        <v>1960</v>
      </c>
      <c r="BC58">
        <v>138.02000000000001</v>
      </c>
      <c r="BD58">
        <v>146.79</v>
      </c>
      <c r="BE58">
        <v>15.02</v>
      </c>
      <c r="BF58">
        <v>151.81</v>
      </c>
      <c r="BG58">
        <v>2069</v>
      </c>
      <c r="BH58">
        <v>147.94999999999999</v>
      </c>
      <c r="BI58">
        <v>162.31</v>
      </c>
      <c r="BJ58">
        <v>17.440000000000001</v>
      </c>
      <c r="BK58">
        <v>163.78</v>
      </c>
      <c r="BL58" s="214">
        <v>1375</v>
      </c>
      <c r="BM58" s="214">
        <v>159.53</v>
      </c>
      <c r="BN58">
        <v>173.72</v>
      </c>
      <c r="BO58" s="187">
        <v>15.93</v>
      </c>
      <c r="BP58" s="214">
        <v>173.53</v>
      </c>
      <c r="BQ58" s="214">
        <v>461</v>
      </c>
      <c r="BR58">
        <v>160.30000000000001</v>
      </c>
      <c r="BS58" s="187">
        <v>181.27</v>
      </c>
      <c r="BT58" s="214">
        <v>31.19</v>
      </c>
      <c r="BU58" s="214">
        <v>185.36</v>
      </c>
      <c r="BV58">
        <v>61</v>
      </c>
      <c r="BW58">
        <v>180.58</v>
      </c>
      <c r="BX58" s="214">
        <v>189</v>
      </c>
      <c r="BY58" s="214">
        <v>12.56</v>
      </c>
      <c r="BZ58">
        <v>188.81</v>
      </c>
      <c r="CA58" s="187">
        <v>29</v>
      </c>
      <c r="CB58" s="214">
        <v>137.08000000000001</v>
      </c>
      <c r="CC58" s="214">
        <v>146.54</v>
      </c>
      <c r="CD58">
        <v>15.47</v>
      </c>
      <c r="CE58" s="187">
        <v>151.15</v>
      </c>
      <c r="CF58" s="214">
        <v>6101</v>
      </c>
      <c r="CG58" s="214">
        <v>136.88</v>
      </c>
      <c r="CH58">
        <v>146.4</v>
      </c>
      <c r="CI58">
        <v>15.46</v>
      </c>
      <c r="CJ58">
        <v>150.9</v>
      </c>
      <c r="CK58">
        <v>6124</v>
      </c>
      <c r="CL58">
        <v>105.36</v>
      </c>
      <c r="CM58">
        <v>102.85</v>
      </c>
      <c r="CN58" s="187">
        <v>118.26</v>
      </c>
      <c r="CO58">
        <v>220.49</v>
      </c>
      <c r="CP58">
        <v>943</v>
      </c>
      <c r="CQ58">
        <v>106.99</v>
      </c>
      <c r="CR58">
        <v>109.89</v>
      </c>
      <c r="CS58" s="187">
        <v>50.55</v>
      </c>
      <c r="CT58">
        <v>157.54</v>
      </c>
      <c r="CU58">
        <v>435</v>
      </c>
      <c r="CV58">
        <v>127.22</v>
      </c>
      <c r="CW58">
        <v>128.72</v>
      </c>
      <c r="CX58" s="187">
        <v>64.959999999999994</v>
      </c>
      <c r="CY58">
        <v>191.67</v>
      </c>
      <c r="CZ58">
        <v>775</v>
      </c>
      <c r="DA58">
        <v>145.61000000000001</v>
      </c>
      <c r="DB58">
        <v>142.19</v>
      </c>
      <c r="DC58" s="187">
        <v>46.89</v>
      </c>
      <c r="DD58">
        <v>187.61</v>
      </c>
      <c r="DE58">
        <v>48</v>
      </c>
      <c r="DF58">
        <v>154.9</v>
      </c>
      <c r="DG58">
        <v>160.93</v>
      </c>
      <c r="DH58" s="187">
        <v>12.29</v>
      </c>
      <c r="DI58">
        <v>167.18</v>
      </c>
      <c r="DJ58">
        <v>6</v>
      </c>
      <c r="DK58">
        <v>0</v>
      </c>
      <c r="DL58">
        <v>0</v>
      </c>
      <c r="DM58" s="187">
        <v>0</v>
      </c>
      <c r="DN58">
        <v>0</v>
      </c>
      <c r="DO58">
        <v>0</v>
      </c>
      <c r="DP58">
        <v>121.08</v>
      </c>
      <c r="DQ58">
        <v>122.66</v>
      </c>
      <c r="DR58" s="187">
        <v>59.08</v>
      </c>
      <c r="DS58">
        <v>179.66</v>
      </c>
      <c r="DT58">
        <v>1264</v>
      </c>
      <c r="DU58">
        <v>114.37</v>
      </c>
      <c r="DV58">
        <v>115.03</v>
      </c>
      <c r="DW58" s="187">
        <v>84.11</v>
      </c>
      <c r="DX58">
        <v>197.1</v>
      </c>
      <c r="DY58">
        <v>2207</v>
      </c>
      <c r="DZ58">
        <v>0</v>
      </c>
      <c r="EA58">
        <v>0</v>
      </c>
      <c r="EB58" s="187">
        <v>180.21</v>
      </c>
      <c r="EC58">
        <v>9</v>
      </c>
      <c r="ED58">
        <v>209.04</v>
      </c>
      <c r="EE58">
        <v>203</v>
      </c>
      <c r="EF58">
        <v>231.13</v>
      </c>
      <c r="EG58" s="187">
        <v>192</v>
      </c>
      <c r="EH58">
        <v>240.96</v>
      </c>
      <c r="EI58">
        <v>100</v>
      </c>
      <c r="EJ58">
        <v>243.3</v>
      </c>
      <c r="EK58">
        <v>15</v>
      </c>
      <c r="EL58" s="187">
        <v>397.6</v>
      </c>
      <c r="EM58">
        <v>1</v>
      </c>
      <c r="EN58">
        <v>0</v>
      </c>
      <c r="EO58">
        <v>0</v>
      </c>
      <c r="EP58">
        <v>224.19</v>
      </c>
      <c r="EQ58" s="187">
        <v>520</v>
      </c>
      <c r="ER58">
        <v>224.19</v>
      </c>
      <c r="ES58">
        <v>520</v>
      </c>
      <c r="ET58">
        <v>0</v>
      </c>
      <c r="EU58">
        <v>0</v>
      </c>
      <c r="EV58" s="187">
        <v>0</v>
      </c>
      <c r="EW58">
        <v>0</v>
      </c>
      <c r="EX58">
        <v>257.70999999999998</v>
      </c>
      <c r="EY58">
        <v>51</v>
      </c>
      <c r="EZ58">
        <v>257.43</v>
      </c>
      <c r="FA58" s="187">
        <v>9</v>
      </c>
      <c r="FB58">
        <v>0</v>
      </c>
      <c r="FC58">
        <v>0</v>
      </c>
      <c r="FD58">
        <v>0</v>
      </c>
      <c r="FE58">
        <v>0</v>
      </c>
      <c r="FF58" s="187">
        <v>257.67</v>
      </c>
      <c r="FG58">
        <v>60</v>
      </c>
      <c r="FH58">
        <v>257.67</v>
      </c>
      <c r="FI58">
        <v>60</v>
      </c>
      <c r="FJ58">
        <v>1</v>
      </c>
      <c r="FK58" s="187">
        <v>0</v>
      </c>
      <c r="FL58">
        <v>8</v>
      </c>
      <c r="FM58">
        <v>15</v>
      </c>
      <c r="FN58">
        <v>18</v>
      </c>
    </row>
    <row r="59" spans="1:170" x14ac:dyDescent="0.35">
      <c r="A59" t="s">
        <v>507</v>
      </c>
      <c r="B59" t="s">
        <v>508</v>
      </c>
      <c r="C59" t="s">
        <v>420</v>
      </c>
      <c r="D59">
        <v>1947</v>
      </c>
      <c r="E59">
        <v>1935</v>
      </c>
      <c r="F59">
        <v>2</v>
      </c>
      <c r="G59">
        <v>2</v>
      </c>
      <c r="H59">
        <v>241</v>
      </c>
      <c r="I59">
        <v>144</v>
      </c>
      <c r="J59">
        <v>271</v>
      </c>
      <c r="K59">
        <v>236</v>
      </c>
      <c r="L59">
        <v>297</v>
      </c>
      <c r="M59">
        <v>0</v>
      </c>
      <c r="N59">
        <v>2758</v>
      </c>
      <c r="O59">
        <v>2317</v>
      </c>
      <c r="P59">
        <v>2461</v>
      </c>
      <c r="Q59">
        <v>0</v>
      </c>
      <c r="R59">
        <v>6</v>
      </c>
      <c r="S59">
        <v>19</v>
      </c>
      <c r="T59">
        <v>102</v>
      </c>
      <c r="U59">
        <v>2656</v>
      </c>
      <c r="V59" s="498">
        <v>1924</v>
      </c>
      <c r="W59">
        <v>34</v>
      </c>
      <c r="X59" s="498">
        <v>7</v>
      </c>
      <c r="Y59" s="498">
        <v>41</v>
      </c>
      <c r="Z59" s="498">
        <v>93.5</v>
      </c>
      <c r="AA59" s="498">
        <v>91.48</v>
      </c>
      <c r="AB59">
        <v>5.22</v>
      </c>
      <c r="AC59">
        <v>96.87</v>
      </c>
      <c r="AD59">
        <v>1402</v>
      </c>
      <c r="AE59">
        <v>102.69</v>
      </c>
      <c r="AF59">
        <v>81.62</v>
      </c>
      <c r="AG59">
        <v>68.260000000000005</v>
      </c>
      <c r="AH59">
        <v>170.76</v>
      </c>
      <c r="AI59">
        <v>364</v>
      </c>
      <c r="AJ59">
        <v>120.64</v>
      </c>
      <c r="AK59">
        <v>499</v>
      </c>
      <c r="AL59">
        <v>225.81</v>
      </c>
      <c r="AM59">
        <v>69</v>
      </c>
      <c r="AN59">
        <v>63.75</v>
      </c>
      <c r="AO59" s="499">
        <v>63.19</v>
      </c>
      <c r="AP59" s="499">
        <v>17.02</v>
      </c>
      <c r="AQ59">
        <v>80.77</v>
      </c>
      <c r="AR59">
        <v>2</v>
      </c>
      <c r="AS59">
        <v>0</v>
      </c>
      <c r="AT59">
        <v>0</v>
      </c>
      <c r="AU59">
        <v>0</v>
      </c>
      <c r="AV59">
        <v>0</v>
      </c>
      <c r="AW59">
        <v>0</v>
      </c>
      <c r="AX59">
        <v>75.930000000000007</v>
      </c>
      <c r="AY59">
        <v>73.81</v>
      </c>
      <c r="AZ59">
        <v>11.95</v>
      </c>
      <c r="BA59">
        <v>86.84</v>
      </c>
      <c r="BB59">
        <v>217</v>
      </c>
      <c r="BC59">
        <v>90.65</v>
      </c>
      <c r="BD59">
        <v>88.33</v>
      </c>
      <c r="BE59">
        <v>4.1500000000000004</v>
      </c>
      <c r="BF59">
        <v>93.57</v>
      </c>
      <c r="BG59">
        <v>607</v>
      </c>
      <c r="BH59">
        <v>101.31</v>
      </c>
      <c r="BI59">
        <v>99.52</v>
      </c>
      <c r="BJ59">
        <v>2.1</v>
      </c>
      <c r="BK59">
        <v>102.26</v>
      </c>
      <c r="BL59" s="214">
        <v>499</v>
      </c>
      <c r="BM59" s="214">
        <v>115.67</v>
      </c>
      <c r="BN59">
        <v>114.74</v>
      </c>
      <c r="BO59" s="187">
        <v>1.52</v>
      </c>
      <c r="BP59" s="214">
        <v>116.66</v>
      </c>
      <c r="BQ59" s="214">
        <v>77</v>
      </c>
      <c r="BR59">
        <v>0</v>
      </c>
      <c r="BS59" s="187">
        <v>0</v>
      </c>
      <c r="BT59" s="214">
        <v>0</v>
      </c>
      <c r="BU59" s="214">
        <v>0</v>
      </c>
      <c r="BV59">
        <v>0</v>
      </c>
      <c r="BW59">
        <v>0</v>
      </c>
      <c r="BX59" s="214">
        <v>0</v>
      </c>
      <c r="BY59" s="214">
        <v>0</v>
      </c>
      <c r="BZ59">
        <v>0</v>
      </c>
      <c r="CA59" s="187">
        <v>0</v>
      </c>
      <c r="CB59" s="214">
        <v>93.54</v>
      </c>
      <c r="CC59" s="214">
        <v>91.52</v>
      </c>
      <c r="CD59">
        <v>5.2</v>
      </c>
      <c r="CE59" s="187">
        <v>96.89</v>
      </c>
      <c r="CF59" s="214">
        <v>1400</v>
      </c>
      <c r="CG59" s="214">
        <v>93.5</v>
      </c>
      <c r="CH59">
        <v>91.48</v>
      </c>
      <c r="CI59">
        <v>5.22</v>
      </c>
      <c r="CJ59">
        <v>96.87</v>
      </c>
      <c r="CK59">
        <v>1402</v>
      </c>
      <c r="CL59">
        <v>110.04</v>
      </c>
      <c r="CM59">
        <v>111.71</v>
      </c>
      <c r="CN59" s="187">
        <v>96.41</v>
      </c>
      <c r="CO59">
        <v>206.45</v>
      </c>
      <c r="CP59">
        <v>20</v>
      </c>
      <c r="CQ59">
        <v>78.069999999999993</v>
      </c>
      <c r="CR59">
        <v>70.97</v>
      </c>
      <c r="CS59" s="187">
        <v>29.14</v>
      </c>
      <c r="CT59">
        <v>107.2</v>
      </c>
      <c r="CU59">
        <v>8</v>
      </c>
      <c r="CV59">
        <v>105.38</v>
      </c>
      <c r="CW59">
        <v>80.73</v>
      </c>
      <c r="CX59" s="187">
        <v>69.010000000000005</v>
      </c>
      <c r="CY59">
        <v>174.39</v>
      </c>
      <c r="CZ59">
        <v>284</v>
      </c>
      <c r="DA59">
        <v>88.97</v>
      </c>
      <c r="DB59">
        <v>82.36</v>
      </c>
      <c r="DC59" s="187">
        <v>59.2</v>
      </c>
      <c r="DD59">
        <v>147.03</v>
      </c>
      <c r="DE59">
        <v>52</v>
      </c>
      <c r="DF59">
        <v>0</v>
      </c>
      <c r="DG59">
        <v>0</v>
      </c>
      <c r="DH59" s="187">
        <v>0</v>
      </c>
      <c r="DI59">
        <v>0</v>
      </c>
      <c r="DJ59">
        <v>0</v>
      </c>
      <c r="DK59">
        <v>0</v>
      </c>
      <c r="DL59">
        <v>0</v>
      </c>
      <c r="DM59" s="187">
        <v>0</v>
      </c>
      <c r="DN59">
        <v>0</v>
      </c>
      <c r="DO59">
        <v>0</v>
      </c>
      <c r="DP59">
        <v>102.27</v>
      </c>
      <c r="DQ59">
        <v>80.75</v>
      </c>
      <c r="DR59" s="187">
        <v>66.62</v>
      </c>
      <c r="DS59">
        <v>168.69</v>
      </c>
      <c r="DT59">
        <v>344</v>
      </c>
      <c r="DU59">
        <v>102.69</v>
      </c>
      <c r="DV59">
        <v>81.62</v>
      </c>
      <c r="DW59" s="187">
        <v>68.260000000000005</v>
      </c>
      <c r="DX59">
        <v>170.76</v>
      </c>
      <c r="DY59">
        <v>364</v>
      </c>
      <c r="DZ59">
        <v>0</v>
      </c>
      <c r="EA59">
        <v>0</v>
      </c>
      <c r="EB59" s="187">
        <v>0</v>
      </c>
      <c r="EC59">
        <v>0</v>
      </c>
      <c r="ED59">
        <v>94.27</v>
      </c>
      <c r="EE59">
        <v>55</v>
      </c>
      <c r="EF59">
        <v>117.1</v>
      </c>
      <c r="EG59" s="187">
        <v>268</v>
      </c>
      <c r="EH59">
        <v>133.13</v>
      </c>
      <c r="EI59">
        <v>165</v>
      </c>
      <c r="EJ59">
        <v>151.18</v>
      </c>
      <c r="EK59">
        <v>11</v>
      </c>
      <c r="EL59" s="187">
        <v>0</v>
      </c>
      <c r="EM59">
        <v>0</v>
      </c>
      <c r="EN59">
        <v>0</v>
      </c>
      <c r="EO59">
        <v>0</v>
      </c>
      <c r="EP59">
        <v>120.64</v>
      </c>
      <c r="EQ59" s="187">
        <v>499</v>
      </c>
      <c r="ER59">
        <v>120.64</v>
      </c>
      <c r="ES59">
        <v>499</v>
      </c>
      <c r="ET59">
        <v>0</v>
      </c>
      <c r="EU59">
        <v>0</v>
      </c>
      <c r="EV59" s="187">
        <v>0</v>
      </c>
      <c r="EW59">
        <v>0</v>
      </c>
      <c r="EX59">
        <v>178.09</v>
      </c>
      <c r="EY59">
        <v>15</v>
      </c>
      <c r="EZ59">
        <v>239.06</v>
      </c>
      <c r="FA59" s="187">
        <v>54</v>
      </c>
      <c r="FB59">
        <v>0</v>
      </c>
      <c r="FC59">
        <v>0</v>
      </c>
      <c r="FD59">
        <v>0</v>
      </c>
      <c r="FE59">
        <v>0</v>
      </c>
      <c r="FF59" s="187">
        <v>225.81</v>
      </c>
      <c r="FG59">
        <v>69</v>
      </c>
      <c r="FH59">
        <v>225.81</v>
      </c>
      <c r="FI59">
        <v>69</v>
      </c>
      <c r="FJ59">
        <v>0</v>
      </c>
      <c r="FK59" s="187">
        <v>0</v>
      </c>
      <c r="FL59">
        <v>4</v>
      </c>
      <c r="FM59">
        <v>32</v>
      </c>
      <c r="FN59">
        <v>6</v>
      </c>
    </row>
    <row r="60" spans="1:170" x14ac:dyDescent="0.35">
      <c r="A60" t="s">
        <v>509</v>
      </c>
      <c r="B60" t="s">
        <v>510</v>
      </c>
      <c r="C60" t="s">
        <v>2</v>
      </c>
      <c r="D60">
        <v>2154</v>
      </c>
      <c r="E60">
        <v>1970</v>
      </c>
      <c r="F60">
        <v>0</v>
      </c>
      <c r="G60">
        <v>0</v>
      </c>
      <c r="H60">
        <v>184</v>
      </c>
      <c r="I60">
        <v>125</v>
      </c>
      <c r="J60">
        <v>380</v>
      </c>
      <c r="K60">
        <v>420</v>
      </c>
      <c r="L60">
        <v>548</v>
      </c>
      <c r="M60">
        <v>47</v>
      </c>
      <c r="N60">
        <v>3266</v>
      </c>
      <c r="O60">
        <v>2562</v>
      </c>
      <c r="P60">
        <v>2718</v>
      </c>
      <c r="Q60">
        <v>0</v>
      </c>
      <c r="R60">
        <v>10</v>
      </c>
      <c r="S60">
        <v>22</v>
      </c>
      <c r="T60">
        <v>207</v>
      </c>
      <c r="U60">
        <v>3059</v>
      </c>
      <c r="V60" s="498">
        <v>1968</v>
      </c>
      <c r="W60">
        <v>30</v>
      </c>
      <c r="X60" s="498">
        <v>13</v>
      </c>
      <c r="Y60" s="498">
        <v>43</v>
      </c>
      <c r="Z60" s="498">
        <v>105.76</v>
      </c>
      <c r="AA60" s="498">
        <v>104.71</v>
      </c>
      <c r="AB60">
        <v>8.1</v>
      </c>
      <c r="AC60">
        <v>112.57</v>
      </c>
      <c r="AD60">
        <v>1380</v>
      </c>
      <c r="AE60">
        <v>92.52</v>
      </c>
      <c r="AF60">
        <v>81.040000000000006</v>
      </c>
      <c r="AG60">
        <v>53.31</v>
      </c>
      <c r="AH60">
        <v>140.57</v>
      </c>
      <c r="AI60">
        <v>537</v>
      </c>
      <c r="AJ60">
        <v>153</v>
      </c>
      <c r="AK60">
        <v>479</v>
      </c>
      <c r="AL60">
        <v>122.03</v>
      </c>
      <c r="AM60">
        <v>6</v>
      </c>
      <c r="AN60">
        <v>0</v>
      </c>
      <c r="AO60" s="499">
        <v>0</v>
      </c>
      <c r="AP60" s="499">
        <v>0</v>
      </c>
      <c r="AQ60">
        <v>0</v>
      </c>
      <c r="AR60">
        <v>0</v>
      </c>
      <c r="AS60">
        <v>71.86</v>
      </c>
      <c r="AT60">
        <v>71.849999999999994</v>
      </c>
      <c r="AU60">
        <v>8.56</v>
      </c>
      <c r="AV60">
        <v>80.42</v>
      </c>
      <c r="AW60">
        <v>17</v>
      </c>
      <c r="AX60">
        <v>87.42</v>
      </c>
      <c r="AY60">
        <v>86.21</v>
      </c>
      <c r="AZ60">
        <v>9.35</v>
      </c>
      <c r="BA60">
        <v>96.41</v>
      </c>
      <c r="BB60">
        <v>234</v>
      </c>
      <c r="BC60">
        <v>103.78</v>
      </c>
      <c r="BD60">
        <v>102</v>
      </c>
      <c r="BE60">
        <v>10.7</v>
      </c>
      <c r="BF60">
        <v>112.64</v>
      </c>
      <c r="BG60">
        <v>635</v>
      </c>
      <c r="BH60">
        <v>115.99</v>
      </c>
      <c r="BI60">
        <v>116.08</v>
      </c>
      <c r="BJ60">
        <v>3.97</v>
      </c>
      <c r="BK60">
        <v>119.21</v>
      </c>
      <c r="BL60" s="214">
        <v>415</v>
      </c>
      <c r="BM60" s="214">
        <v>129.6</v>
      </c>
      <c r="BN60">
        <v>128.83000000000001</v>
      </c>
      <c r="BO60" s="187">
        <v>3.28</v>
      </c>
      <c r="BP60" s="214">
        <v>131.93</v>
      </c>
      <c r="BQ60" s="214">
        <v>79</v>
      </c>
      <c r="BR60">
        <v>0</v>
      </c>
      <c r="BS60" s="187">
        <v>0</v>
      </c>
      <c r="BT60" s="214">
        <v>0</v>
      </c>
      <c r="BU60" s="214">
        <v>0</v>
      </c>
      <c r="BV60">
        <v>0</v>
      </c>
      <c r="BW60">
        <v>0</v>
      </c>
      <c r="BX60" s="214">
        <v>0</v>
      </c>
      <c r="BY60" s="214">
        <v>0</v>
      </c>
      <c r="BZ60">
        <v>0</v>
      </c>
      <c r="CA60" s="187">
        <v>0</v>
      </c>
      <c r="CB60" s="214">
        <v>105.76</v>
      </c>
      <c r="CC60" s="214">
        <v>104.71</v>
      </c>
      <c r="CD60">
        <v>8.1</v>
      </c>
      <c r="CE60" s="187">
        <v>112.57</v>
      </c>
      <c r="CF60" s="214">
        <v>1380</v>
      </c>
      <c r="CG60" s="214">
        <v>105.76</v>
      </c>
      <c r="CH60">
        <v>104.71</v>
      </c>
      <c r="CI60">
        <v>8.1</v>
      </c>
      <c r="CJ60">
        <v>112.57</v>
      </c>
      <c r="CK60">
        <v>1380</v>
      </c>
      <c r="CL60">
        <v>93.47</v>
      </c>
      <c r="CM60">
        <v>80.09</v>
      </c>
      <c r="CN60" s="187">
        <v>139.19</v>
      </c>
      <c r="CO60">
        <v>214.65</v>
      </c>
      <c r="CP60">
        <v>85</v>
      </c>
      <c r="CQ60">
        <v>78.150000000000006</v>
      </c>
      <c r="CR60">
        <v>72.66</v>
      </c>
      <c r="CS60" s="187">
        <v>29.05</v>
      </c>
      <c r="CT60">
        <v>106</v>
      </c>
      <c r="CU60">
        <v>169</v>
      </c>
      <c r="CV60">
        <v>97.83</v>
      </c>
      <c r="CW60">
        <v>85.49</v>
      </c>
      <c r="CX60" s="187">
        <v>44.6</v>
      </c>
      <c r="CY60">
        <v>136.55000000000001</v>
      </c>
      <c r="CZ60">
        <v>258</v>
      </c>
      <c r="DA60">
        <v>132.4</v>
      </c>
      <c r="DB60">
        <v>94.61</v>
      </c>
      <c r="DC60" s="187">
        <v>34.950000000000003</v>
      </c>
      <c r="DD60">
        <v>165.6</v>
      </c>
      <c r="DE60">
        <v>20</v>
      </c>
      <c r="DF60">
        <v>129.06</v>
      </c>
      <c r="DG60">
        <v>119.09</v>
      </c>
      <c r="DH60" s="187">
        <v>28.2</v>
      </c>
      <c r="DI60">
        <v>157.26</v>
      </c>
      <c r="DJ60">
        <v>5</v>
      </c>
      <c r="DK60">
        <v>0</v>
      </c>
      <c r="DL60">
        <v>0</v>
      </c>
      <c r="DM60" s="187">
        <v>0</v>
      </c>
      <c r="DN60">
        <v>0</v>
      </c>
      <c r="DO60">
        <v>0</v>
      </c>
      <c r="DP60">
        <v>92.35</v>
      </c>
      <c r="DQ60">
        <v>81.209999999999994</v>
      </c>
      <c r="DR60" s="187">
        <v>37.81</v>
      </c>
      <c r="DS60">
        <v>126.64</v>
      </c>
      <c r="DT60">
        <v>452</v>
      </c>
      <c r="DU60">
        <v>92.52</v>
      </c>
      <c r="DV60">
        <v>81.040000000000006</v>
      </c>
      <c r="DW60" s="187">
        <v>53.31</v>
      </c>
      <c r="DX60">
        <v>140.57</v>
      </c>
      <c r="DY60">
        <v>537</v>
      </c>
      <c r="DZ60">
        <v>0</v>
      </c>
      <c r="EA60">
        <v>0</v>
      </c>
      <c r="EB60" s="187">
        <v>0</v>
      </c>
      <c r="EC60">
        <v>0</v>
      </c>
      <c r="ED60">
        <v>122.66</v>
      </c>
      <c r="EE60">
        <v>79</v>
      </c>
      <c r="EF60">
        <v>149.66</v>
      </c>
      <c r="EG60" s="187">
        <v>270</v>
      </c>
      <c r="EH60">
        <v>175.1</v>
      </c>
      <c r="EI60">
        <v>103</v>
      </c>
      <c r="EJ60">
        <v>190.91</v>
      </c>
      <c r="EK60">
        <v>27</v>
      </c>
      <c r="EL60" s="187">
        <v>0</v>
      </c>
      <c r="EM60">
        <v>0</v>
      </c>
      <c r="EN60">
        <v>0</v>
      </c>
      <c r="EO60">
        <v>0</v>
      </c>
      <c r="EP60">
        <v>153</v>
      </c>
      <c r="EQ60" s="187">
        <v>479</v>
      </c>
      <c r="ER60">
        <v>153</v>
      </c>
      <c r="ES60">
        <v>479</v>
      </c>
      <c r="ET60">
        <v>0</v>
      </c>
      <c r="EU60">
        <v>0</v>
      </c>
      <c r="EV60" s="187">
        <v>0</v>
      </c>
      <c r="EW60">
        <v>0</v>
      </c>
      <c r="EX60">
        <v>122.03</v>
      </c>
      <c r="EY60">
        <v>6</v>
      </c>
      <c r="EZ60">
        <v>0</v>
      </c>
      <c r="FA60" s="187">
        <v>0</v>
      </c>
      <c r="FB60">
        <v>0</v>
      </c>
      <c r="FC60">
        <v>0</v>
      </c>
      <c r="FD60">
        <v>0</v>
      </c>
      <c r="FE60">
        <v>0</v>
      </c>
      <c r="FF60" s="187">
        <v>122.03</v>
      </c>
      <c r="FG60">
        <v>6</v>
      </c>
      <c r="FH60">
        <v>122.03</v>
      </c>
      <c r="FI60">
        <v>6</v>
      </c>
      <c r="FJ60">
        <v>0</v>
      </c>
      <c r="FK60" s="187">
        <v>0</v>
      </c>
      <c r="FL60">
        <v>1</v>
      </c>
      <c r="FM60">
        <v>29</v>
      </c>
      <c r="FN60">
        <v>7</v>
      </c>
    </row>
    <row r="61" spans="1:170" x14ac:dyDescent="0.35">
      <c r="A61" t="s">
        <v>511</v>
      </c>
      <c r="B61" t="s">
        <v>512</v>
      </c>
      <c r="C61" t="s">
        <v>418</v>
      </c>
      <c r="D61">
        <v>7272</v>
      </c>
      <c r="E61">
        <v>7265</v>
      </c>
      <c r="F61">
        <v>0</v>
      </c>
      <c r="G61">
        <v>0</v>
      </c>
      <c r="H61">
        <v>302</v>
      </c>
      <c r="I61">
        <v>164</v>
      </c>
      <c r="J61">
        <v>337</v>
      </c>
      <c r="K61">
        <v>337</v>
      </c>
      <c r="L61">
        <v>302</v>
      </c>
      <c r="M61">
        <v>0</v>
      </c>
      <c r="N61">
        <v>8213</v>
      </c>
      <c r="O61">
        <v>7766</v>
      </c>
      <c r="P61">
        <v>7911</v>
      </c>
      <c r="Q61">
        <v>12</v>
      </c>
      <c r="R61">
        <v>10</v>
      </c>
      <c r="S61">
        <v>11</v>
      </c>
      <c r="T61">
        <v>108</v>
      </c>
      <c r="U61">
        <v>8105</v>
      </c>
      <c r="V61" s="498">
        <v>7257</v>
      </c>
      <c r="W61">
        <v>75</v>
      </c>
      <c r="X61" s="498">
        <v>38</v>
      </c>
      <c r="Y61" s="498">
        <v>113</v>
      </c>
      <c r="Z61" s="498">
        <v>83.93</v>
      </c>
      <c r="AA61" s="498">
        <v>80.41</v>
      </c>
      <c r="AB61">
        <v>4.38</v>
      </c>
      <c r="AC61">
        <v>87.21</v>
      </c>
      <c r="AD61">
        <v>5686</v>
      </c>
      <c r="AE61">
        <v>100.31</v>
      </c>
      <c r="AF61">
        <v>78.45</v>
      </c>
      <c r="AG61">
        <v>58.96</v>
      </c>
      <c r="AH61">
        <v>156.36000000000001</v>
      </c>
      <c r="AI61">
        <v>546</v>
      </c>
      <c r="AJ61">
        <v>95.28</v>
      </c>
      <c r="AK61">
        <v>1556</v>
      </c>
      <c r="AL61">
        <v>0</v>
      </c>
      <c r="AM61">
        <v>0</v>
      </c>
      <c r="AN61">
        <v>0</v>
      </c>
      <c r="AO61" s="499">
        <v>0</v>
      </c>
      <c r="AP61" s="499">
        <v>0</v>
      </c>
      <c r="AQ61">
        <v>0</v>
      </c>
      <c r="AR61">
        <v>0</v>
      </c>
      <c r="AS61">
        <v>62.82</v>
      </c>
      <c r="AT61">
        <v>63.19</v>
      </c>
      <c r="AU61">
        <v>13.09</v>
      </c>
      <c r="AV61">
        <v>75.91</v>
      </c>
      <c r="AW61">
        <v>1</v>
      </c>
      <c r="AX61">
        <v>74.239999999999995</v>
      </c>
      <c r="AY61">
        <v>71.08</v>
      </c>
      <c r="AZ61">
        <v>4.53</v>
      </c>
      <c r="BA61">
        <v>78.599999999999994</v>
      </c>
      <c r="BB61">
        <v>1658</v>
      </c>
      <c r="BC61">
        <v>84.32</v>
      </c>
      <c r="BD61">
        <v>80.88</v>
      </c>
      <c r="BE61">
        <v>4.95</v>
      </c>
      <c r="BF61">
        <v>88.08</v>
      </c>
      <c r="BG61">
        <v>2450</v>
      </c>
      <c r="BH61">
        <v>92.69</v>
      </c>
      <c r="BI61">
        <v>88.68</v>
      </c>
      <c r="BJ61">
        <v>2.79</v>
      </c>
      <c r="BK61">
        <v>94.1</v>
      </c>
      <c r="BL61" s="214">
        <v>1482</v>
      </c>
      <c r="BM61" s="214">
        <v>106.44</v>
      </c>
      <c r="BN61">
        <v>102.12</v>
      </c>
      <c r="BO61" s="187">
        <v>2.13</v>
      </c>
      <c r="BP61" s="214">
        <v>107.67</v>
      </c>
      <c r="BQ61" s="214">
        <v>92</v>
      </c>
      <c r="BR61">
        <v>106.37</v>
      </c>
      <c r="BS61" s="187">
        <v>106.8</v>
      </c>
      <c r="BT61" s="214">
        <v>0</v>
      </c>
      <c r="BU61" s="214">
        <v>106.37</v>
      </c>
      <c r="BV61">
        <v>3</v>
      </c>
      <c r="BW61">
        <v>0</v>
      </c>
      <c r="BX61" s="214">
        <v>0</v>
      </c>
      <c r="BY61" s="214">
        <v>0</v>
      </c>
      <c r="BZ61">
        <v>0</v>
      </c>
      <c r="CA61" s="187">
        <v>0</v>
      </c>
      <c r="CB61" s="214">
        <v>83.93</v>
      </c>
      <c r="CC61" s="214">
        <v>80.41</v>
      </c>
      <c r="CD61">
        <v>4.38</v>
      </c>
      <c r="CE61" s="187">
        <v>87.21</v>
      </c>
      <c r="CF61" s="214">
        <v>5686</v>
      </c>
      <c r="CG61" s="214">
        <v>83.93</v>
      </c>
      <c r="CH61">
        <v>80.41</v>
      </c>
      <c r="CI61">
        <v>4.38</v>
      </c>
      <c r="CJ61">
        <v>87.21</v>
      </c>
      <c r="CK61">
        <v>5686</v>
      </c>
      <c r="CL61">
        <v>83.91</v>
      </c>
      <c r="CM61">
        <v>67.63</v>
      </c>
      <c r="CN61" s="187">
        <v>63.49</v>
      </c>
      <c r="CO61">
        <v>142.74</v>
      </c>
      <c r="CP61">
        <v>68</v>
      </c>
      <c r="CQ61">
        <v>70.209999999999994</v>
      </c>
      <c r="CR61">
        <v>64.02</v>
      </c>
      <c r="CS61" s="187">
        <v>31.5</v>
      </c>
      <c r="CT61">
        <v>98.15</v>
      </c>
      <c r="CU61">
        <v>62</v>
      </c>
      <c r="CV61">
        <v>110.23</v>
      </c>
      <c r="CW61">
        <v>75.91</v>
      </c>
      <c r="CX61" s="187">
        <v>62.2</v>
      </c>
      <c r="CY61">
        <v>170.41</v>
      </c>
      <c r="CZ61">
        <v>277</v>
      </c>
      <c r="DA61">
        <v>101.81</v>
      </c>
      <c r="DB61">
        <v>95.14</v>
      </c>
      <c r="DC61" s="187">
        <v>62.28</v>
      </c>
      <c r="DD61">
        <v>162.65</v>
      </c>
      <c r="DE61">
        <v>129</v>
      </c>
      <c r="DF61">
        <v>103.61</v>
      </c>
      <c r="DG61">
        <v>98.8</v>
      </c>
      <c r="DH61" s="187">
        <v>51.92</v>
      </c>
      <c r="DI61">
        <v>138.22</v>
      </c>
      <c r="DJ61">
        <v>9</v>
      </c>
      <c r="DK61">
        <v>112.09</v>
      </c>
      <c r="DL61">
        <v>101.9</v>
      </c>
      <c r="DM61" s="187">
        <v>40.700000000000003</v>
      </c>
      <c r="DN61">
        <v>152.79</v>
      </c>
      <c r="DO61">
        <v>1</v>
      </c>
      <c r="DP61">
        <v>102.65</v>
      </c>
      <c r="DQ61">
        <v>79.89</v>
      </c>
      <c r="DR61" s="187">
        <v>58.34</v>
      </c>
      <c r="DS61">
        <v>158.30000000000001</v>
      </c>
      <c r="DT61">
        <v>478</v>
      </c>
      <c r="DU61">
        <v>100.31</v>
      </c>
      <c r="DV61">
        <v>78.45</v>
      </c>
      <c r="DW61" s="187">
        <v>58.96</v>
      </c>
      <c r="DX61">
        <v>156.36000000000001</v>
      </c>
      <c r="DY61">
        <v>546</v>
      </c>
      <c r="DZ61">
        <v>0</v>
      </c>
      <c r="EA61">
        <v>0</v>
      </c>
      <c r="EB61" s="187">
        <v>0</v>
      </c>
      <c r="EC61">
        <v>0</v>
      </c>
      <c r="ED61">
        <v>79.63</v>
      </c>
      <c r="EE61">
        <v>103</v>
      </c>
      <c r="EF61">
        <v>89.5</v>
      </c>
      <c r="EG61" s="187">
        <v>700</v>
      </c>
      <c r="EH61">
        <v>101.55</v>
      </c>
      <c r="EI61">
        <v>700</v>
      </c>
      <c r="EJ61">
        <v>118.62</v>
      </c>
      <c r="EK61">
        <v>52</v>
      </c>
      <c r="EL61" s="187">
        <v>0</v>
      </c>
      <c r="EM61">
        <v>0</v>
      </c>
      <c r="EN61">
        <v>144.32</v>
      </c>
      <c r="EO61">
        <v>1</v>
      </c>
      <c r="EP61">
        <v>95.28</v>
      </c>
      <c r="EQ61" s="187">
        <v>1556</v>
      </c>
      <c r="ER61">
        <v>95.28</v>
      </c>
      <c r="ES61">
        <v>1556</v>
      </c>
      <c r="ET61">
        <v>0</v>
      </c>
      <c r="EU61">
        <v>0</v>
      </c>
      <c r="EV61" s="187">
        <v>0</v>
      </c>
      <c r="EW61">
        <v>0</v>
      </c>
      <c r="EX61">
        <v>0</v>
      </c>
      <c r="EY61">
        <v>0</v>
      </c>
      <c r="EZ61">
        <v>0</v>
      </c>
      <c r="FA61" s="187">
        <v>0</v>
      </c>
      <c r="FB61">
        <v>0</v>
      </c>
      <c r="FC61">
        <v>0</v>
      </c>
      <c r="FD61">
        <v>0</v>
      </c>
      <c r="FE61">
        <v>0</v>
      </c>
      <c r="FF61" s="187">
        <v>0</v>
      </c>
      <c r="FG61">
        <v>0</v>
      </c>
      <c r="FH61">
        <v>0</v>
      </c>
      <c r="FI61">
        <v>0</v>
      </c>
      <c r="FJ61">
        <v>0</v>
      </c>
      <c r="FK61" s="187">
        <v>29</v>
      </c>
      <c r="FL61">
        <v>6</v>
      </c>
      <c r="FM61">
        <v>11</v>
      </c>
      <c r="FN61">
        <v>2</v>
      </c>
    </row>
    <row r="62" spans="1:170" x14ac:dyDescent="0.35">
      <c r="A62" t="s">
        <v>513</v>
      </c>
      <c r="B62" t="s">
        <v>514</v>
      </c>
      <c r="C62" t="s">
        <v>415</v>
      </c>
      <c r="D62">
        <v>458</v>
      </c>
      <c r="E62">
        <v>453</v>
      </c>
      <c r="F62">
        <v>0</v>
      </c>
      <c r="G62">
        <v>0</v>
      </c>
      <c r="H62">
        <v>72</v>
      </c>
      <c r="I62">
        <v>57</v>
      </c>
      <c r="J62">
        <v>73</v>
      </c>
      <c r="K62">
        <v>62</v>
      </c>
      <c r="L62">
        <v>93</v>
      </c>
      <c r="M62">
        <v>8</v>
      </c>
      <c r="N62">
        <v>696</v>
      </c>
      <c r="O62">
        <v>580</v>
      </c>
      <c r="P62">
        <v>603</v>
      </c>
      <c r="Q62">
        <v>8</v>
      </c>
      <c r="R62">
        <v>3</v>
      </c>
      <c r="S62">
        <v>21</v>
      </c>
      <c r="T62">
        <v>19</v>
      </c>
      <c r="U62">
        <v>677</v>
      </c>
      <c r="V62" s="498">
        <v>458</v>
      </c>
      <c r="W62">
        <v>1</v>
      </c>
      <c r="X62" s="498">
        <v>0</v>
      </c>
      <c r="Y62" s="498">
        <v>1</v>
      </c>
      <c r="Z62" s="498">
        <v>109.9</v>
      </c>
      <c r="AA62" s="498">
        <v>107.72</v>
      </c>
      <c r="AB62">
        <v>8.48</v>
      </c>
      <c r="AC62">
        <v>114.76</v>
      </c>
      <c r="AD62">
        <v>366</v>
      </c>
      <c r="AE62">
        <v>94.64</v>
      </c>
      <c r="AF62">
        <v>84.12</v>
      </c>
      <c r="AG62">
        <v>71.58</v>
      </c>
      <c r="AH62">
        <v>164.52</v>
      </c>
      <c r="AI62">
        <v>126</v>
      </c>
      <c r="AJ62">
        <v>153.46</v>
      </c>
      <c r="AK62">
        <v>76</v>
      </c>
      <c r="AL62">
        <v>0</v>
      </c>
      <c r="AM62">
        <v>0</v>
      </c>
      <c r="AN62">
        <v>0</v>
      </c>
      <c r="AO62" s="499">
        <v>0</v>
      </c>
      <c r="AP62" s="499">
        <v>0</v>
      </c>
      <c r="AQ62">
        <v>0</v>
      </c>
      <c r="AR62">
        <v>0</v>
      </c>
      <c r="AS62">
        <v>0</v>
      </c>
      <c r="AT62">
        <v>0</v>
      </c>
      <c r="AU62">
        <v>0</v>
      </c>
      <c r="AV62">
        <v>0</v>
      </c>
      <c r="AW62">
        <v>0</v>
      </c>
      <c r="AX62">
        <v>86.91</v>
      </c>
      <c r="AY62">
        <v>86.59</v>
      </c>
      <c r="AZ62">
        <v>17.03</v>
      </c>
      <c r="BA62">
        <v>100.93</v>
      </c>
      <c r="BB62">
        <v>34</v>
      </c>
      <c r="BC62">
        <v>103.37</v>
      </c>
      <c r="BD62">
        <v>102.45</v>
      </c>
      <c r="BE62">
        <v>11.63</v>
      </c>
      <c r="BF62">
        <v>112.24</v>
      </c>
      <c r="BG62">
        <v>114</v>
      </c>
      <c r="BH62">
        <v>116.66</v>
      </c>
      <c r="BI62">
        <v>113.48</v>
      </c>
      <c r="BJ62">
        <v>3.08</v>
      </c>
      <c r="BK62">
        <v>118.04</v>
      </c>
      <c r="BL62" s="214">
        <v>212</v>
      </c>
      <c r="BM62" s="214">
        <v>124.98</v>
      </c>
      <c r="BN62">
        <v>123.87</v>
      </c>
      <c r="BO62" s="187">
        <v>0</v>
      </c>
      <c r="BP62" s="214">
        <v>124.98</v>
      </c>
      <c r="BQ62" s="214">
        <v>6</v>
      </c>
      <c r="BR62">
        <v>0</v>
      </c>
      <c r="BS62" s="187">
        <v>0</v>
      </c>
      <c r="BT62" s="214">
        <v>0</v>
      </c>
      <c r="BU62" s="214">
        <v>0</v>
      </c>
      <c r="BV62">
        <v>0</v>
      </c>
      <c r="BW62">
        <v>0</v>
      </c>
      <c r="BX62" s="214">
        <v>0</v>
      </c>
      <c r="BY62" s="214">
        <v>0</v>
      </c>
      <c r="BZ62">
        <v>0</v>
      </c>
      <c r="CA62" s="187">
        <v>0</v>
      </c>
      <c r="CB62" s="214">
        <v>109.9</v>
      </c>
      <c r="CC62" s="214">
        <v>107.72</v>
      </c>
      <c r="CD62">
        <v>8.48</v>
      </c>
      <c r="CE62" s="187">
        <v>114.76</v>
      </c>
      <c r="CF62" s="214">
        <v>366</v>
      </c>
      <c r="CG62" s="214">
        <v>109.9</v>
      </c>
      <c r="CH62">
        <v>107.72</v>
      </c>
      <c r="CI62">
        <v>8.48</v>
      </c>
      <c r="CJ62">
        <v>114.76</v>
      </c>
      <c r="CK62">
        <v>366</v>
      </c>
      <c r="CL62">
        <v>93.69</v>
      </c>
      <c r="CM62">
        <v>74.010000000000005</v>
      </c>
      <c r="CN62" s="187">
        <v>117.08</v>
      </c>
      <c r="CO62">
        <v>208.17</v>
      </c>
      <c r="CP62">
        <v>45</v>
      </c>
      <c r="CQ62">
        <v>74.790000000000006</v>
      </c>
      <c r="CR62">
        <v>67.989999999999995</v>
      </c>
      <c r="CS62" s="187">
        <v>45.42</v>
      </c>
      <c r="CT62">
        <v>120.21</v>
      </c>
      <c r="CU62">
        <v>31</v>
      </c>
      <c r="CV62">
        <v>107.75</v>
      </c>
      <c r="CW62">
        <v>100.26</v>
      </c>
      <c r="CX62" s="187">
        <v>46.83</v>
      </c>
      <c r="CY62">
        <v>152.63</v>
      </c>
      <c r="CZ62">
        <v>48</v>
      </c>
      <c r="DA62">
        <v>109.21</v>
      </c>
      <c r="DB62">
        <v>102.34</v>
      </c>
      <c r="DC62" s="187">
        <v>45.31</v>
      </c>
      <c r="DD62">
        <v>154.52000000000001</v>
      </c>
      <c r="DE62">
        <v>2</v>
      </c>
      <c r="DF62">
        <v>0</v>
      </c>
      <c r="DG62">
        <v>0</v>
      </c>
      <c r="DH62" s="187">
        <v>0</v>
      </c>
      <c r="DI62">
        <v>0</v>
      </c>
      <c r="DJ62">
        <v>0</v>
      </c>
      <c r="DK62">
        <v>0</v>
      </c>
      <c r="DL62">
        <v>0</v>
      </c>
      <c r="DM62" s="187">
        <v>0</v>
      </c>
      <c r="DN62">
        <v>0</v>
      </c>
      <c r="DO62">
        <v>0</v>
      </c>
      <c r="DP62">
        <v>95.17</v>
      </c>
      <c r="DQ62">
        <v>87.49</v>
      </c>
      <c r="DR62" s="187">
        <v>46.24</v>
      </c>
      <c r="DS62">
        <v>140.27000000000001</v>
      </c>
      <c r="DT62">
        <v>81</v>
      </c>
      <c r="DU62">
        <v>94.64</v>
      </c>
      <c r="DV62">
        <v>84.12</v>
      </c>
      <c r="DW62" s="187">
        <v>71.58</v>
      </c>
      <c r="DX62">
        <v>164.52</v>
      </c>
      <c r="DY62">
        <v>126</v>
      </c>
      <c r="DZ62">
        <v>0</v>
      </c>
      <c r="EA62">
        <v>0</v>
      </c>
      <c r="EB62" s="187">
        <v>0</v>
      </c>
      <c r="EC62">
        <v>0</v>
      </c>
      <c r="ED62">
        <v>118.44</v>
      </c>
      <c r="EE62">
        <v>11</v>
      </c>
      <c r="EF62">
        <v>152.54</v>
      </c>
      <c r="EG62" s="187">
        <v>45</v>
      </c>
      <c r="EH62">
        <v>174.8</v>
      </c>
      <c r="EI62">
        <v>20</v>
      </c>
      <c r="EJ62">
        <v>0</v>
      </c>
      <c r="EK62">
        <v>0</v>
      </c>
      <c r="EL62" s="187">
        <v>0</v>
      </c>
      <c r="EM62">
        <v>0</v>
      </c>
      <c r="EN62">
        <v>0</v>
      </c>
      <c r="EO62">
        <v>0</v>
      </c>
      <c r="EP62">
        <v>153.46</v>
      </c>
      <c r="EQ62" s="187">
        <v>76</v>
      </c>
      <c r="ER62">
        <v>153.46</v>
      </c>
      <c r="ES62">
        <v>76</v>
      </c>
      <c r="ET62">
        <v>0</v>
      </c>
      <c r="EU62">
        <v>0</v>
      </c>
      <c r="EV62" s="187">
        <v>0</v>
      </c>
      <c r="EW62">
        <v>0</v>
      </c>
      <c r="EX62">
        <v>0</v>
      </c>
      <c r="EY62">
        <v>0</v>
      </c>
      <c r="EZ62">
        <v>0</v>
      </c>
      <c r="FA62" s="187">
        <v>0</v>
      </c>
      <c r="FB62">
        <v>0</v>
      </c>
      <c r="FC62">
        <v>0</v>
      </c>
      <c r="FD62">
        <v>0</v>
      </c>
      <c r="FE62">
        <v>0</v>
      </c>
      <c r="FF62" s="187">
        <v>0</v>
      </c>
      <c r="FG62">
        <v>0</v>
      </c>
      <c r="FH62">
        <v>0</v>
      </c>
      <c r="FI62">
        <v>0</v>
      </c>
      <c r="FJ62">
        <v>0</v>
      </c>
      <c r="FK62" s="187">
        <v>0</v>
      </c>
      <c r="FL62">
        <v>0</v>
      </c>
      <c r="FM62">
        <v>0</v>
      </c>
      <c r="FN62">
        <v>1</v>
      </c>
    </row>
    <row r="63" spans="1:170" x14ac:dyDescent="0.35">
      <c r="A63" t="s">
        <v>515</v>
      </c>
      <c r="B63" t="s">
        <v>516</v>
      </c>
      <c r="C63" t="s">
        <v>415</v>
      </c>
      <c r="D63">
        <v>10551</v>
      </c>
      <c r="E63">
        <v>10526</v>
      </c>
      <c r="F63">
        <v>0</v>
      </c>
      <c r="G63">
        <v>0</v>
      </c>
      <c r="H63">
        <v>285</v>
      </c>
      <c r="I63">
        <v>201</v>
      </c>
      <c r="J63">
        <v>813</v>
      </c>
      <c r="K63">
        <v>809</v>
      </c>
      <c r="L63">
        <v>2353</v>
      </c>
      <c r="M63">
        <v>43</v>
      </c>
      <c r="N63">
        <v>14002</v>
      </c>
      <c r="O63">
        <v>11579</v>
      </c>
      <c r="P63">
        <v>11649</v>
      </c>
      <c r="Q63">
        <v>23</v>
      </c>
      <c r="R63">
        <v>5</v>
      </c>
      <c r="S63">
        <v>34</v>
      </c>
      <c r="T63">
        <v>27</v>
      </c>
      <c r="U63">
        <v>13975</v>
      </c>
      <c r="V63" s="498">
        <v>10550</v>
      </c>
      <c r="W63">
        <v>125</v>
      </c>
      <c r="X63" s="498">
        <v>30</v>
      </c>
      <c r="Y63" s="498">
        <v>155</v>
      </c>
      <c r="Z63" s="498">
        <v>104.75</v>
      </c>
      <c r="AA63" s="498">
        <v>105.14</v>
      </c>
      <c r="AB63">
        <v>4.8</v>
      </c>
      <c r="AC63">
        <v>106.16</v>
      </c>
      <c r="AD63">
        <v>8392</v>
      </c>
      <c r="AE63">
        <v>99.7</v>
      </c>
      <c r="AF63">
        <v>87.12</v>
      </c>
      <c r="AG63">
        <v>34.520000000000003</v>
      </c>
      <c r="AH63">
        <v>130.1</v>
      </c>
      <c r="AI63">
        <v>1022</v>
      </c>
      <c r="AJ63">
        <v>157.38999999999999</v>
      </c>
      <c r="AK63">
        <v>2086</v>
      </c>
      <c r="AL63">
        <v>126.04</v>
      </c>
      <c r="AM63">
        <v>50</v>
      </c>
      <c r="AN63">
        <v>0</v>
      </c>
      <c r="AO63" s="499">
        <v>0</v>
      </c>
      <c r="AP63" s="499">
        <v>0</v>
      </c>
      <c r="AQ63">
        <v>0</v>
      </c>
      <c r="AR63">
        <v>0</v>
      </c>
      <c r="AS63">
        <v>0</v>
      </c>
      <c r="AT63">
        <v>0</v>
      </c>
      <c r="AU63">
        <v>0</v>
      </c>
      <c r="AV63">
        <v>0</v>
      </c>
      <c r="AW63">
        <v>0</v>
      </c>
      <c r="AX63">
        <v>86.4</v>
      </c>
      <c r="AY63">
        <v>85.63</v>
      </c>
      <c r="AZ63">
        <v>6.11</v>
      </c>
      <c r="BA63">
        <v>88.09</v>
      </c>
      <c r="BB63">
        <v>1972</v>
      </c>
      <c r="BC63">
        <v>102.85</v>
      </c>
      <c r="BD63">
        <v>101.83</v>
      </c>
      <c r="BE63">
        <v>5.6</v>
      </c>
      <c r="BF63">
        <v>105.23</v>
      </c>
      <c r="BG63">
        <v>2788</v>
      </c>
      <c r="BH63">
        <v>115.13</v>
      </c>
      <c r="BI63">
        <v>117.35</v>
      </c>
      <c r="BJ63">
        <v>2.5099999999999998</v>
      </c>
      <c r="BK63">
        <v>115.6</v>
      </c>
      <c r="BL63" s="214">
        <v>3426</v>
      </c>
      <c r="BM63" s="214">
        <v>132.78</v>
      </c>
      <c r="BN63">
        <v>132.44</v>
      </c>
      <c r="BO63" s="187">
        <v>2.59</v>
      </c>
      <c r="BP63" s="214">
        <v>133.84</v>
      </c>
      <c r="BQ63" s="214">
        <v>191</v>
      </c>
      <c r="BR63">
        <v>146.35</v>
      </c>
      <c r="BS63" s="187">
        <v>151.65</v>
      </c>
      <c r="BT63" s="214">
        <v>2.75</v>
      </c>
      <c r="BU63" s="214">
        <v>148.04</v>
      </c>
      <c r="BV63">
        <v>13</v>
      </c>
      <c r="BW63">
        <v>138.04</v>
      </c>
      <c r="BX63" s="214">
        <v>142.32</v>
      </c>
      <c r="BY63" s="214">
        <v>0</v>
      </c>
      <c r="BZ63">
        <v>138.04</v>
      </c>
      <c r="CA63" s="187">
        <v>2</v>
      </c>
      <c r="CB63" s="214">
        <v>104.75</v>
      </c>
      <c r="CC63" s="214">
        <v>105.14</v>
      </c>
      <c r="CD63">
        <v>4.8</v>
      </c>
      <c r="CE63" s="187">
        <v>106.16</v>
      </c>
      <c r="CF63" s="214">
        <v>8392</v>
      </c>
      <c r="CG63" s="214">
        <v>104.75</v>
      </c>
      <c r="CH63">
        <v>105.14</v>
      </c>
      <c r="CI63">
        <v>4.8</v>
      </c>
      <c r="CJ63">
        <v>106.16</v>
      </c>
      <c r="CK63">
        <v>8392</v>
      </c>
      <c r="CL63">
        <v>110.96</v>
      </c>
      <c r="CM63">
        <v>76.430000000000007</v>
      </c>
      <c r="CN63" s="187">
        <v>56.74</v>
      </c>
      <c r="CO63">
        <v>140.51</v>
      </c>
      <c r="CP63">
        <v>96</v>
      </c>
      <c r="CQ63">
        <v>86.24</v>
      </c>
      <c r="CR63">
        <v>80.67</v>
      </c>
      <c r="CS63" s="187">
        <v>38.729999999999997</v>
      </c>
      <c r="CT63">
        <v>124.97</v>
      </c>
      <c r="CU63">
        <v>55</v>
      </c>
      <c r="CV63">
        <v>96.79</v>
      </c>
      <c r="CW63">
        <v>86.01</v>
      </c>
      <c r="CX63" s="187">
        <v>32.590000000000003</v>
      </c>
      <c r="CY63">
        <v>126.92</v>
      </c>
      <c r="CZ63">
        <v>754</v>
      </c>
      <c r="DA63">
        <v>108.65</v>
      </c>
      <c r="DB63">
        <v>100.01</v>
      </c>
      <c r="DC63" s="187">
        <v>33.83</v>
      </c>
      <c r="DD63">
        <v>137.88</v>
      </c>
      <c r="DE63">
        <v>103</v>
      </c>
      <c r="DF63">
        <v>166.07</v>
      </c>
      <c r="DG63">
        <v>122.33</v>
      </c>
      <c r="DH63" s="187">
        <v>42.03</v>
      </c>
      <c r="DI63">
        <v>193.09</v>
      </c>
      <c r="DJ63">
        <v>14</v>
      </c>
      <c r="DK63">
        <v>0</v>
      </c>
      <c r="DL63">
        <v>0</v>
      </c>
      <c r="DM63" s="187">
        <v>0</v>
      </c>
      <c r="DN63">
        <v>0</v>
      </c>
      <c r="DO63">
        <v>0</v>
      </c>
      <c r="DP63">
        <v>98.53</v>
      </c>
      <c r="DQ63">
        <v>87.6</v>
      </c>
      <c r="DR63" s="187">
        <v>33.22</v>
      </c>
      <c r="DS63">
        <v>129.02000000000001</v>
      </c>
      <c r="DT63">
        <v>926</v>
      </c>
      <c r="DU63">
        <v>99.7</v>
      </c>
      <c r="DV63">
        <v>87.12</v>
      </c>
      <c r="DW63" s="187">
        <v>34.520000000000003</v>
      </c>
      <c r="DX63">
        <v>130.1</v>
      </c>
      <c r="DY63">
        <v>1022</v>
      </c>
      <c r="DZ63">
        <v>0</v>
      </c>
      <c r="EA63">
        <v>0</v>
      </c>
      <c r="EB63" s="187">
        <v>0</v>
      </c>
      <c r="EC63">
        <v>0</v>
      </c>
      <c r="ED63">
        <v>118.41</v>
      </c>
      <c r="EE63">
        <v>340</v>
      </c>
      <c r="EF63">
        <v>153.01</v>
      </c>
      <c r="EG63" s="187">
        <v>1173</v>
      </c>
      <c r="EH63">
        <v>183.82</v>
      </c>
      <c r="EI63">
        <v>483</v>
      </c>
      <c r="EJ63">
        <v>219.83</v>
      </c>
      <c r="EK63">
        <v>89</v>
      </c>
      <c r="EL63" s="187">
        <v>231.37</v>
      </c>
      <c r="EM63">
        <v>1</v>
      </c>
      <c r="EN63">
        <v>0</v>
      </c>
      <c r="EO63">
        <v>0</v>
      </c>
      <c r="EP63">
        <v>157.38999999999999</v>
      </c>
      <c r="EQ63" s="187">
        <v>2086</v>
      </c>
      <c r="ER63">
        <v>157.38999999999999</v>
      </c>
      <c r="ES63">
        <v>2086</v>
      </c>
      <c r="ET63">
        <v>0</v>
      </c>
      <c r="EU63">
        <v>0</v>
      </c>
      <c r="EV63" s="187">
        <v>0</v>
      </c>
      <c r="EW63">
        <v>0</v>
      </c>
      <c r="EX63">
        <v>125.48</v>
      </c>
      <c r="EY63">
        <v>49</v>
      </c>
      <c r="EZ63">
        <v>153.25</v>
      </c>
      <c r="FA63" s="187">
        <v>1</v>
      </c>
      <c r="FB63">
        <v>0</v>
      </c>
      <c r="FC63">
        <v>0</v>
      </c>
      <c r="FD63">
        <v>0</v>
      </c>
      <c r="FE63">
        <v>0</v>
      </c>
      <c r="FF63" s="187">
        <v>126.04</v>
      </c>
      <c r="FG63">
        <v>50</v>
      </c>
      <c r="FH63">
        <v>126.04</v>
      </c>
      <c r="FI63">
        <v>50</v>
      </c>
      <c r="FJ63">
        <v>76</v>
      </c>
      <c r="FK63" s="187">
        <v>7</v>
      </c>
      <c r="FL63">
        <v>2</v>
      </c>
      <c r="FM63">
        <v>312</v>
      </c>
      <c r="FN63">
        <v>39</v>
      </c>
    </row>
    <row r="64" spans="1:170" x14ac:dyDescent="0.35">
      <c r="A64" t="s">
        <v>517</v>
      </c>
      <c r="B64" t="s">
        <v>518</v>
      </c>
      <c r="C64" t="s">
        <v>414</v>
      </c>
      <c r="D64">
        <v>3297</v>
      </c>
      <c r="E64">
        <v>3275</v>
      </c>
      <c r="F64">
        <v>0</v>
      </c>
      <c r="G64">
        <v>0</v>
      </c>
      <c r="H64">
        <v>402</v>
      </c>
      <c r="I64">
        <v>173</v>
      </c>
      <c r="J64">
        <v>254</v>
      </c>
      <c r="K64">
        <v>254</v>
      </c>
      <c r="L64">
        <v>696</v>
      </c>
      <c r="M64">
        <v>0</v>
      </c>
      <c r="N64">
        <v>4649</v>
      </c>
      <c r="O64">
        <v>3702</v>
      </c>
      <c r="P64">
        <v>3953</v>
      </c>
      <c r="Q64">
        <v>3</v>
      </c>
      <c r="R64">
        <v>6</v>
      </c>
      <c r="S64">
        <v>26</v>
      </c>
      <c r="T64">
        <v>98</v>
      </c>
      <c r="U64">
        <v>4551</v>
      </c>
      <c r="V64" s="498">
        <v>3297</v>
      </c>
      <c r="W64">
        <v>16</v>
      </c>
      <c r="X64" s="498">
        <v>31</v>
      </c>
      <c r="Y64" s="498">
        <v>47</v>
      </c>
      <c r="Z64" s="498">
        <v>94.08</v>
      </c>
      <c r="AA64" s="498">
        <v>91.48</v>
      </c>
      <c r="AB64">
        <v>6.81</v>
      </c>
      <c r="AC64">
        <v>99.38</v>
      </c>
      <c r="AD64">
        <v>2238</v>
      </c>
      <c r="AE64">
        <v>106.76</v>
      </c>
      <c r="AF64">
        <v>83.33</v>
      </c>
      <c r="AG64">
        <v>67.08</v>
      </c>
      <c r="AH64">
        <v>171.5</v>
      </c>
      <c r="AI64">
        <v>489</v>
      </c>
      <c r="AJ64">
        <v>115.19</v>
      </c>
      <c r="AK64">
        <v>954</v>
      </c>
      <c r="AL64">
        <v>119.58</v>
      </c>
      <c r="AM64">
        <v>69</v>
      </c>
      <c r="AN64">
        <v>0</v>
      </c>
      <c r="AO64" s="499">
        <v>0</v>
      </c>
      <c r="AP64" s="499">
        <v>0</v>
      </c>
      <c r="AQ64">
        <v>0</v>
      </c>
      <c r="AR64">
        <v>0</v>
      </c>
      <c r="AS64">
        <v>73.42</v>
      </c>
      <c r="AT64">
        <v>70</v>
      </c>
      <c r="AU64">
        <v>12.64</v>
      </c>
      <c r="AV64">
        <v>86.06</v>
      </c>
      <c r="AW64">
        <v>6</v>
      </c>
      <c r="AX64">
        <v>76.84</v>
      </c>
      <c r="AY64">
        <v>74.55</v>
      </c>
      <c r="AZ64">
        <v>10.63</v>
      </c>
      <c r="BA64">
        <v>87.42</v>
      </c>
      <c r="BB64">
        <v>559</v>
      </c>
      <c r="BC64">
        <v>92.9</v>
      </c>
      <c r="BD64">
        <v>90.16</v>
      </c>
      <c r="BE64">
        <v>6.88</v>
      </c>
      <c r="BF64">
        <v>98.09</v>
      </c>
      <c r="BG64">
        <v>893</v>
      </c>
      <c r="BH64">
        <v>106.22</v>
      </c>
      <c r="BI64">
        <v>103.59</v>
      </c>
      <c r="BJ64">
        <v>2.54</v>
      </c>
      <c r="BK64">
        <v>107.85</v>
      </c>
      <c r="BL64" s="214">
        <v>702</v>
      </c>
      <c r="BM64" s="214">
        <v>123.23</v>
      </c>
      <c r="BN64">
        <v>120.48</v>
      </c>
      <c r="BO64" s="187">
        <v>1.81</v>
      </c>
      <c r="BP64" s="214">
        <v>124.49</v>
      </c>
      <c r="BQ64" s="214">
        <v>77</v>
      </c>
      <c r="BR64">
        <v>144.4</v>
      </c>
      <c r="BS64" s="187">
        <v>144.38999999999999</v>
      </c>
      <c r="BT64" s="214">
        <v>1.23</v>
      </c>
      <c r="BU64" s="214">
        <v>145.63</v>
      </c>
      <c r="BV64">
        <v>1</v>
      </c>
      <c r="BW64">
        <v>0</v>
      </c>
      <c r="BX64" s="214">
        <v>0</v>
      </c>
      <c r="BY64" s="214">
        <v>0</v>
      </c>
      <c r="BZ64">
        <v>0</v>
      </c>
      <c r="CA64" s="187">
        <v>0</v>
      </c>
      <c r="CB64" s="214">
        <v>94.08</v>
      </c>
      <c r="CC64" s="214">
        <v>91.48</v>
      </c>
      <c r="CD64">
        <v>6.81</v>
      </c>
      <c r="CE64" s="187">
        <v>99.38</v>
      </c>
      <c r="CF64" s="214">
        <v>2238</v>
      </c>
      <c r="CG64" s="214">
        <v>94.08</v>
      </c>
      <c r="CH64">
        <v>91.48</v>
      </c>
      <c r="CI64">
        <v>6.81</v>
      </c>
      <c r="CJ64">
        <v>99.38</v>
      </c>
      <c r="CK64">
        <v>2238</v>
      </c>
      <c r="CL64">
        <v>158.13</v>
      </c>
      <c r="CM64">
        <v>77.5</v>
      </c>
      <c r="CN64" s="187">
        <v>81.73</v>
      </c>
      <c r="CO64">
        <v>238.87</v>
      </c>
      <c r="CP64">
        <v>83</v>
      </c>
      <c r="CQ64">
        <v>82.1</v>
      </c>
      <c r="CR64">
        <v>74.34</v>
      </c>
      <c r="CS64" s="187">
        <v>82.08</v>
      </c>
      <c r="CT64">
        <v>152.46</v>
      </c>
      <c r="CU64">
        <v>77</v>
      </c>
      <c r="CV64">
        <v>99.14</v>
      </c>
      <c r="CW64">
        <v>83.48</v>
      </c>
      <c r="CX64" s="187">
        <v>63.59</v>
      </c>
      <c r="CY64">
        <v>162.26</v>
      </c>
      <c r="CZ64">
        <v>270</v>
      </c>
      <c r="DA64">
        <v>101.24</v>
      </c>
      <c r="DB64">
        <v>91.28</v>
      </c>
      <c r="DC64" s="187">
        <v>44.89</v>
      </c>
      <c r="DD64">
        <v>143.81</v>
      </c>
      <c r="DE64">
        <v>58</v>
      </c>
      <c r="DF64">
        <v>117.49</v>
      </c>
      <c r="DG64">
        <v>117.49</v>
      </c>
      <c r="DH64" s="187">
        <v>29.48</v>
      </c>
      <c r="DI64">
        <v>146.97</v>
      </c>
      <c r="DJ64">
        <v>1</v>
      </c>
      <c r="DK64">
        <v>0</v>
      </c>
      <c r="DL64">
        <v>0</v>
      </c>
      <c r="DM64" s="187">
        <v>0</v>
      </c>
      <c r="DN64">
        <v>0</v>
      </c>
      <c r="DO64">
        <v>0</v>
      </c>
      <c r="DP64">
        <v>96.26</v>
      </c>
      <c r="DQ64">
        <v>83.94</v>
      </c>
      <c r="DR64" s="187">
        <v>64</v>
      </c>
      <c r="DS64">
        <v>157.72999999999999</v>
      </c>
      <c r="DT64">
        <v>406</v>
      </c>
      <c r="DU64">
        <v>106.76</v>
      </c>
      <c r="DV64">
        <v>83.33</v>
      </c>
      <c r="DW64" s="187">
        <v>67.08</v>
      </c>
      <c r="DX64">
        <v>171.5</v>
      </c>
      <c r="DY64">
        <v>489</v>
      </c>
      <c r="DZ64">
        <v>0</v>
      </c>
      <c r="EA64">
        <v>0</v>
      </c>
      <c r="EB64" s="187">
        <v>92.03</v>
      </c>
      <c r="EC64">
        <v>1</v>
      </c>
      <c r="ED64">
        <v>91</v>
      </c>
      <c r="EE64">
        <v>137</v>
      </c>
      <c r="EF64">
        <v>114.6</v>
      </c>
      <c r="EG64" s="187">
        <v>551</v>
      </c>
      <c r="EH64">
        <v>127.78</v>
      </c>
      <c r="EI64">
        <v>241</v>
      </c>
      <c r="EJ64">
        <v>141.59</v>
      </c>
      <c r="EK64">
        <v>24</v>
      </c>
      <c r="EL64" s="187">
        <v>0</v>
      </c>
      <c r="EM64">
        <v>0</v>
      </c>
      <c r="EN64">
        <v>0</v>
      </c>
      <c r="EO64">
        <v>0</v>
      </c>
      <c r="EP64">
        <v>115.19</v>
      </c>
      <c r="EQ64" s="187">
        <v>954</v>
      </c>
      <c r="ER64">
        <v>115.19</v>
      </c>
      <c r="ES64">
        <v>954</v>
      </c>
      <c r="ET64">
        <v>0</v>
      </c>
      <c r="EU64">
        <v>0</v>
      </c>
      <c r="EV64" s="187">
        <v>119.39</v>
      </c>
      <c r="EW64">
        <v>53</v>
      </c>
      <c r="EX64">
        <v>120.21</v>
      </c>
      <c r="EY64">
        <v>16</v>
      </c>
      <c r="EZ64">
        <v>0</v>
      </c>
      <c r="FA64" s="187">
        <v>0</v>
      </c>
      <c r="FB64">
        <v>0</v>
      </c>
      <c r="FC64">
        <v>0</v>
      </c>
      <c r="FD64">
        <v>0</v>
      </c>
      <c r="FE64">
        <v>0</v>
      </c>
      <c r="FF64" s="187">
        <v>119.58</v>
      </c>
      <c r="FG64">
        <v>69</v>
      </c>
      <c r="FH64">
        <v>119.58</v>
      </c>
      <c r="FI64">
        <v>69</v>
      </c>
      <c r="FJ64">
        <v>4</v>
      </c>
      <c r="FK64" s="187">
        <v>1</v>
      </c>
      <c r="FL64">
        <v>0</v>
      </c>
      <c r="FM64">
        <v>21</v>
      </c>
      <c r="FN64">
        <v>29</v>
      </c>
    </row>
    <row r="65" spans="1:170" x14ac:dyDescent="0.35">
      <c r="A65" t="s">
        <v>519</v>
      </c>
      <c r="B65" t="s">
        <v>520</v>
      </c>
      <c r="C65" t="s">
        <v>415</v>
      </c>
      <c r="D65">
        <v>9901</v>
      </c>
      <c r="E65">
        <v>10047</v>
      </c>
      <c r="F65">
        <v>250</v>
      </c>
      <c r="G65">
        <v>250</v>
      </c>
      <c r="H65">
        <v>348</v>
      </c>
      <c r="I65">
        <v>291</v>
      </c>
      <c r="J65">
        <v>288</v>
      </c>
      <c r="K65">
        <v>204</v>
      </c>
      <c r="L65">
        <v>875</v>
      </c>
      <c r="M65">
        <v>44</v>
      </c>
      <c r="N65">
        <v>11662</v>
      </c>
      <c r="O65">
        <v>10836</v>
      </c>
      <c r="P65">
        <v>10787</v>
      </c>
      <c r="Q65">
        <v>7</v>
      </c>
      <c r="R65">
        <v>6</v>
      </c>
      <c r="S65">
        <v>26</v>
      </c>
      <c r="T65">
        <v>140</v>
      </c>
      <c r="U65">
        <v>11522</v>
      </c>
      <c r="V65" s="498">
        <v>9871</v>
      </c>
      <c r="W65">
        <v>122</v>
      </c>
      <c r="X65" s="498">
        <v>67</v>
      </c>
      <c r="Y65" s="498">
        <v>189</v>
      </c>
      <c r="Z65" s="498">
        <v>104.34</v>
      </c>
      <c r="AA65" s="498">
        <v>102.3</v>
      </c>
      <c r="AB65">
        <v>11.21</v>
      </c>
      <c r="AC65">
        <v>109.69</v>
      </c>
      <c r="AD65">
        <v>8611</v>
      </c>
      <c r="AE65">
        <v>98.4</v>
      </c>
      <c r="AF65">
        <v>91.99</v>
      </c>
      <c r="AG65">
        <v>87.73</v>
      </c>
      <c r="AH65">
        <v>181.96</v>
      </c>
      <c r="AI65">
        <v>526</v>
      </c>
      <c r="AJ65">
        <v>154.25</v>
      </c>
      <c r="AK65">
        <v>1152</v>
      </c>
      <c r="AL65">
        <v>0</v>
      </c>
      <c r="AM65">
        <v>0</v>
      </c>
      <c r="AN65">
        <v>0</v>
      </c>
      <c r="AO65" s="499">
        <v>0</v>
      </c>
      <c r="AP65" s="499">
        <v>0</v>
      </c>
      <c r="AQ65">
        <v>0</v>
      </c>
      <c r="AR65">
        <v>0</v>
      </c>
      <c r="AS65">
        <v>78.349999999999994</v>
      </c>
      <c r="AT65">
        <v>76.08</v>
      </c>
      <c r="AU65">
        <v>10.24</v>
      </c>
      <c r="AV65">
        <v>84.8</v>
      </c>
      <c r="AW65">
        <v>100</v>
      </c>
      <c r="AX65">
        <v>91.37</v>
      </c>
      <c r="AY65">
        <v>88.48</v>
      </c>
      <c r="AZ65">
        <v>15.35</v>
      </c>
      <c r="BA65">
        <v>101.84</v>
      </c>
      <c r="BB65">
        <v>2933</v>
      </c>
      <c r="BC65">
        <v>104.2</v>
      </c>
      <c r="BD65">
        <v>101.99</v>
      </c>
      <c r="BE65">
        <v>8.8000000000000007</v>
      </c>
      <c r="BF65">
        <v>108.99</v>
      </c>
      <c r="BG65">
        <v>2674</v>
      </c>
      <c r="BH65">
        <v>117.36</v>
      </c>
      <c r="BI65">
        <v>116.18</v>
      </c>
      <c r="BJ65">
        <v>3.22</v>
      </c>
      <c r="BK65">
        <v>117.99</v>
      </c>
      <c r="BL65" s="214">
        <v>2770</v>
      </c>
      <c r="BM65" s="214">
        <v>141.09</v>
      </c>
      <c r="BN65">
        <v>142.34</v>
      </c>
      <c r="BO65" s="187">
        <v>3.17</v>
      </c>
      <c r="BP65" s="214">
        <v>142.28</v>
      </c>
      <c r="BQ65" s="214">
        <v>133</v>
      </c>
      <c r="BR65">
        <v>136.27000000000001</v>
      </c>
      <c r="BS65" s="187">
        <v>135.4</v>
      </c>
      <c r="BT65" s="214">
        <v>0</v>
      </c>
      <c r="BU65" s="214">
        <v>136.27000000000001</v>
      </c>
      <c r="BV65">
        <v>1</v>
      </c>
      <c r="BW65">
        <v>0</v>
      </c>
      <c r="BX65" s="214">
        <v>0</v>
      </c>
      <c r="BY65" s="214">
        <v>0</v>
      </c>
      <c r="BZ65">
        <v>0</v>
      </c>
      <c r="CA65" s="187">
        <v>0</v>
      </c>
      <c r="CB65" s="214">
        <v>104.34</v>
      </c>
      <c r="CC65" s="214">
        <v>102.3</v>
      </c>
      <c r="CD65">
        <v>11.21</v>
      </c>
      <c r="CE65" s="187">
        <v>109.69</v>
      </c>
      <c r="CF65" s="214">
        <v>8611</v>
      </c>
      <c r="CG65" s="214">
        <v>104.34</v>
      </c>
      <c r="CH65">
        <v>102.3</v>
      </c>
      <c r="CI65">
        <v>11.21</v>
      </c>
      <c r="CJ65">
        <v>109.69</v>
      </c>
      <c r="CK65">
        <v>8611</v>
      </c>
      <c r="CL65">
        <v>91.76</v>
      </c>
      <c r="CM65">
        <v>89.36</v>
      </c>
      <c r="CN65" s="187">
        <v>96.91</v>
      </c>
      <c r="CO65">
        <v>176.25</v>
      </c>
      <c r="CP65">
        <v>117</v>
      </c>
      <c r="CQ65">
        <v>92.87</v>
      </c>
      <c r="CR65">
        <v>82.96</v>
      </c>
      <c r="CS65" s="187">
        <v>120.91</v>
      </c>
      <c r="CT65">
        <v>213.79</v>
      </c>
      <c r="CU65">
        <v>107</v>
      </c>
      <c r="CV65">
        <v>100.09</v>
      </c>
      <c r="CW65">
        <v>93.48</v>
      </c>
      <c r="CX65" s="187">
        <v>69.59</v>
      </c>
      <c r="CY65">
        <v>169.42</v>
      </c>
      <c r="CZ65">
        <v>262</v>
      </c>
      <c r="DA65">
        <v>121.35</v>
      </c>
      <c r="DB65">
        <v>110.93</v>
      </c>
      <c r="DC65" s="187">
        <v>95.66</v>
      </c>
      <c r="DD65">
        <v>201.49</v>
      </c>
      <c r="DE65">
        <v>37</v>
      </c>
      <c r="DF65">
        <v>124.64</v>
      </c>
      <c r="DG65">
        <v>112.18</v>
      </c>
      <c r="DH65" s="187">
        <v>0</v>
      </c>
      <c r="DI65">
        <v>124.64</v>
      </c>
      <c r="DJ65">
        <v>3</v>
      </c>
      <c r="DK65">
        <v>0</v>
      </c>
      <c r="DL65">
        <v>0</v>
      </c>
      <c r="DM65" s="187">
        <v>0</v>
      </c>
      <c r="DN65">
        <v>0</v>
      </c>
      <c r="DO65">
        <v>0</v>
      </c>
      <c r="DP65">
        <v>100.31</v>
      </c>
      <c r="DQ65">
        <v>92.51</v>
      </c>
      <c r="DR65" s="187">
        <v>85.38</v>
      </c>
      <c r="DS65">
        <v>183.6</v>
      </c>
      <c r="DT65">
        <v>409</v>
      </c>
      <c r="DU65">
        <v>98.4</v>
      </c>
      <c r="DV65">
        <v>91.99</v>
      </c>
      <c r="DW65" s="187">
        <v>87.73</v>
      </c>
      <c r="DX65">
        <v>181.96</v>
      </c>
      <c r="DY65">
        <v>526</v>
      </c>
      <c r="DZ65">
        <v>0</v>
      </c>
      <c r="EA65">
        <v>0</v>
      </c>
      <c r="EB65" s="187">
        <v>118.22</v>
      </c>
      <c r="EC65">
        <v>4</v>
      </c>
      <c r="ED65">
        <v>129.25</v>
      </c>
      <c r="EE65">
        <v>350</v>
      </c>
      <c r="EF65">
        <v>156.36000000000001</v>
      </c>
      <c r="EG65" s="187">
        <v>587</v>
      </c>
      <c r="EH65">
        <v>187.59</v>
      </c>
      <c r="EI65">
        <v>184</v>
      </c>
      <c r="EJ65">
        <v>210.49</v>
      </c>
      <c r="EK65">
        <v>27</v>
      </c>
      <c r="EL65" s="187">
        <v>0</v>
      </c>
      <c r="EM65">
        <v>0</v>
      </c>
      <c r="EN65">
        <v>0</v>
      </c>
      <c r="EO65">
        <v>0</v>
      </c>
      <c r="EP65">
        <v>154.25</v>
      </c>
      <c r="EQ65" s="187">
        <v>1152</v>
      </c>
      <c r="ER65">
        <v>154.25</v>
      </c>
      <c r="ES65">
        <v>1152</v>
      </c>
      <c r="ET65">
        <v>0</v>
      </c>
      <c r="EU65">
        <v>0</v>
      </c>
      <c r="EV65" s="187">
        <v>0</v>
      </c>
      <c r="EW65">
        <v>0</v>
      </c>
      <c r="EX65">
        <v>0</v>
      </c>
      <c r="EY65">
        <v>0</v>
      </c>
      <c r="EZ65">
        <v>0</v>
      </c>
      <c r="FA65" s="187">
        <v>0</v>
      </c>
      <c r="FB65">
        <v>0</v>
      </c>
      <c r="FC65">
        <v>0</v>
      </c>
      <c r="FD65">
        <v>0</v>
      </c>
      <c r="FE65">
        <v>0</v>
      </c>
      <c r="FF65" s="187">
        <v>0</v>
      </c>
      <c r="FG65">
        <v>0</v>
      </c>
      <c r="FH65">
        <v>0</v>
      </c>
      <c r="FI65">
        <v>0</v>
      </c>
      <c r="FJ65">
        <v>52</v>
      </c>
      <c r="FK65" s="187">
        <v>4</v>
      </c>
      <c r="FL65">
        <v>0</v>
      </c>
      <c r="FM65">
        <v>101</v>
      </c>
      <c r="FN65">
        <v>19</v>
      </c>
    </row>
    <row r="66" spans="1:170" x14ac:dyDescent="0.35">
      <c r="A66" t="s">
        <v>521</v>
      </c>
      <c r="B66" t="s">
        <v>522</v>
      </c>
      <c r="C66" t="s">
        <v>419</v>
      </c>
      <c r="D66">
        <v>1872</v>
      </c>
      <c r="E66">
        <v>1715</v>
      </c>
      <c r="F66">
        <v>0</v>
      </c>
      <c r="G66">
        <v>0</v>
      </c>
      <c r="H66">
        <v>414</v>
      </c>
      <c r="I66">
        <v>254</v>
      </c>
      <c r="J66">
        <v>199</v>
      </c>
      <c r="K66">
        <v>199</v>
      </c>
      <c r="L66">
        <v>368</v>
      </c>
      <c r="M66">
        <v>12</v>
      </c>
      <c r="N66">
        <v>2853</v>
      </c>
      <c r="O66">
        <v>2180</v>
      </c>
      <c r="P66">
        <v>2485</v>
      </c>
      <c r="Q66">
        <v>0</v>
      </c>
      <c r="R66">
        <v>7</v>
      </c>
      <c r="S66">
        <v>20</v>
      </c>
      <c r="T66">
        <v>277</v>
      </c>
      <c r="U66">
        <v>2576</v>
      </c>
      <c r="V66" s="498">
        <v>1715</v>
      </c>
      <c r="W66">
        <v>26</v>
      </c>
      <c r="X66" s="498">
        <v>53</v>
      </c>
      <c r="Y66" s="498">
        <v>79</v>
      </c>
      <c r="Z66" s="498">
        <v>97.93</v>
      </c>
      <c r="AA66" s="498">
        <v>93.68</v>
      </c>
      <c r="AB66">
        <v>6.31</v>
      </c>
      <c r="AC66">
        <v>102.98</v>
      </c>
      <c r="AD66">
        <v>1457</v>
      </c>
      <c r="AE66">
        <v>87.93</v>
      </c>
      <c r="AF66">
        <v>84.37</v>
      </c>
      <c r="AG66">
        <v>65.34</v>
      </c>
      <c r="AH66">
        <v>146.69</v>
      </c>
      <c r="AI66">
        <v>456</v>
      </c>
      <c r="AJ66">
        <v>137.63</v>
      </c>
      <c r="AK66">
        <v>328</v>
      </c>
      <c r="AL66">
        <v>242.36</v>
      </c>
      <c r="AM66">
        <v>110</v>
      </c>
      <c r="AN66">
        <v>0</v>
      </c>
      <c r="AO66" s="499">
        <v>0</v>
      </c>
      <c r="AP66" s="499">
        <v>0</v>
      </c>
      <c r="AQ66">
        <v>0</v>
      </c>
      <c r="AR66">
        <v>0</v>
      </c>
      <c r="AS66">
        <v>70.91</v>
      </c>
      <c r="AT66">
        <v>68.48</v>
      </c>
      <c r="AU66">
        <v>10.69</v>
      </c>
      <c r="AV66">
        <v>79.650000000000006</v>
      </c>
      <c r="AW66">
        <v>55</v>
      </c>
      <c r="AX66">
        <v>85.87</v>
      </c>
      <c r="AY66">
        <v>81.05</v>
      </c>
      <c r="AZ66">
        <v>8.77</v>
      </c>
      <c r="BA66">
        <v>93.24</v>
      </c>
      <c r="BB66">
        <v>413</v>
      </c>
      <c r="BC66">
        <v>97.91</v>
      </c>
      <c r="BD66">
        <v>93.93</v>
      </c>
      <c r="BE66">
        <v>6.97</v>
      </c>
      <c r="BF66">
        <v>103.7</v>
      </c>
      <c r="BG66">
        <v>525</v>
      </c>
      <c r="BH66">
        <v>109.22</v>
      </c>
      <c r="BI66">
        <v>104.67</v>
      </c>
      <c r="BJ66">
        <v>2.34</v>
      </c>
      <c r="BK66">
        <v>110.98</v>
      </c>
      <c r="BL66" s="214">
        <v>389</v>
      </c>
      <c r="BM66" s="214">
        <v>125.44</v>
      </c>
      <c r="BN66">
        <v>121.33</v>
      </c>
      <c r="BO66" s="187">
        <v>2.2000000000000002</v>
      </c>
      <c r="BP66" s="214">
        <v>126.82</v>
      </c>
      <c r="BQ66" s="214">
        <v>70</v>
      </c>
      <c r="BR66">
        <v>130.71</v>
      </c>
      <c r="BS66" s="187">
        <v>125.66</v>
      </c>
      <c r="BT66" s="214">
        <v>6.99</v>
      </c>
      <c r="BU66" s="214">
        <v>132.11000000000001</v>
      </c>
      <c r="BV66">
        <v>5</v>
      </c>
      <c r="BW66">
        <v>0</v>
      </c>
      <c r="BX66" s="214">
        <v>0</v>
      </c>
      <c r="BY66" s="214">
        <v>0</v>
      </c>
      <c r="BZ66">
        <v>0</v>
      </c>
      <c r="CA66" s="187">
        <v>0</v>
      </c>
      <c r="CB66" s="214">
        <v>97.93</v>
      </c>
      <c r="CC66" s="214">
        <v>93.68</v>
      </c>
      <c r="CD66">
        <v>6.31</v>
      </c>
      <c r="CE66" s="187">
        <v>102.98</v>
      </c>
      <c r="CF66" s="214">
        <v>1457</v>
      </c>
      <c r="CG66" s="214">
        <v>97.93</v>
      </c>
      <c r="CH66">
        <v>93.68</v>
      </c>
      <c r="CI66">
        <v>6.31</v>
      </c>
      <c r="CJ66">
        <v>102.98</v>
      </c>
      <c r="CK66">
        <v>1457</v>
      </c>
      <c r="CL66">
        <v>80.36</v>
      </c>
      <c r="CM66">
        <v>80.33</v>
      </c>
      <c r="CN66" s="187">
        <v>87.44</v>
      </c>
      <c r="CO66">
        <v>148.44999999999999</v>
      </c>
      <c r="CP66">
        <v>113</v>
      </c>
      <c r="CQ66">
        <v>83.98</v>
      </c>
      <c r="CR66">
        <v>81.84</v>
      </c>
      <c r="CS66" s="187">
        <v>93.91</v>
      </c>
      <c r="CT66">
        <v>162.86000000000001</v>
      </c>
      <c r="CU66">
        <v>50</v>
      </c>
      <c r="CV66">
        <v>90.03</v>
      </c>
      <c r="CW66">
        <v>84.99</v>
      </c>
      <c r="CX66" s="187">
        <v>54.91</v>
      </c>
      <c r="CY66">
        <v>142.26</v>
      </c>
      <c r="CZ66">
        <v>267</v>
      </c>
      <c r="DA66">
        <v>101.91</v>
      </c>
      <c r="DB66">
        <v>96.5</v>
      </c>
      <c r="DC66" s="187">
        <v>44.65</v>
      </c>
      <c r="DD66">
        <v>146.56</v>
      </c>
      <c r="DE66">
        <v>23</v>
      </c>
      <c r="DF66">
        <v>145.19</v>
      </c>
      <c r="DG66">
        <v>124.45</v>
      </c>
      <c r="DH66" s="187">
        <v>59.78</v>
      </c>
      <c r="DI66">
        <v>204.97</v>
      </c>
      <c r="DJ66">
        <v>3</v>
      </c>
      <c r="DK66">
        <v>0</v>
      </c>
      <c r="DL66">
        <v>0</v>
      </c>
      <c r="DM66" s="187">
        <v>0</v>
      </c>
      <c r="DN66">
        <v>0</v>
      </c>
      <c r="DO66">
        <v>0</v>
      </c>
      <c r="DP66">
        <v>90.43</v>
      </c>
      <c r="DQ66">
        <v>85.65</v>
      </c>
      <c r="DR66" s="187">
        <v>59.31</v>
      </c>
      <c r="DS66">
        <v>146.1</v>
      </c>
      <c r="DT66">
        <v>343</v>
      </c>
      <c r="DU66">
        <v>87.93</v>
      </c>
      <c r="DV66">
        <v>84.37</v>
      </c>
      <c r="DW66" s="187">
        <v>65.34</v>
      </c>
      <c r="DX66">
        <v>146.69</v>
      </c>
      <c r="DY66">
        <v>456</v>
      </c>
      <c r="DZ66">
        <v>0</v>
      </c>
      <c r="EA66">
        <v>0</v>
      </c>
      <c r="EB66" s="187">
        <v>116.47</v>
      </c>
      <c r="EC66">
        <v>28</v>
      </c>
      <c r="ED66">
        <v>110.03</v>
      </c>
      <c r="EE66">
        <v>48</v>
      </c>
      <c r="EF66">
        <v>131.94999999999999</v>
      </c>
      <c r="EG66" s="187">
        <v>144</v>
      </c>
      <c r="EH66">
        <v>161.44</v>
      </c>
      <c r="EI66">
        <v>103</v>
      </c>
      <c r="EJ66">
        <v>193.89</v>
      </c>
      <c r="EK66">
        <v>5</v>
      </c>
      <c r="EL66" s="187">
        <v>0</v>
      </c>
      <c r="EM66">
        <v>0</v>
      </c>
      <c r="EN66">
        <v>0</v>
      </c>
      <c r="EO66">
        <v>0</v>
      </c>
      <c r="EP66">
        <v>137.63</v>
      </c>
      <c r="EQ66" s="187">
        <v>328</v>
      </c>
      <c r="ER66">
        <v>137.63</v>
      </c>
      <c r="ES66">
        <v>328</v>
      </c>
      <c r="ET66">
        <v>253.66</v>
      </c>
      <c r="EU66">
        <v>62</v>
      </c>
      <c r="EV66" s="187">
        <v>253.66</v>
      </c>
      <c r="EW66">
        <v>11</v>
      </c>
      <c r="EX66">
        <v>209</v>
      </c>
      <c r="EY66">
        <v>14</v>
      </c>
      <c r="EZ66">
        <v>226.79</v>
      </c>
      <c r="FA66" s="187">
        <v>23</v>
      </c>
      <c r="FB66">
        <v>0</v>
      </c>
      <c r="FC66">
        <v>0</v>
      </c>
      <c r="FD66">
        <v>0</v>
      </c>
      <c r="FE66">
        <v>0</v>
      </c>
      <c r="FF66" s="187">
        <v>227.76</v>
      </c>
      <c r="FG66">
        <v>48</v>
      </c>
      <c r="FH66">
        <v>242.36</v>
      </c>
      <c r="FI66">
        <v>110</v>
      </c>
      <c r="FJ66">
        <v>0</v>
      </c>
      <c r="FK66" s="187">
        <v>0</v>
      </c>
      <c r="FL66">
        <v>30</v>
      </c>
      <c r="FM66">
        <v>2</v>
      </c>
      <c r="FN66">
        <v>10</v>
      </c>
    </row>
    <row r="67" spans="1:170" x14ac:dyDescent="0.35">
      <c r="A67" t="s">
        <v>523</v>
      </c>
      <c r="B67" t="s">
        <v>524</v>
      </c>
      <c r="C67" t="s">
        <v>2</v>
      </c>
      <c r="D67">
        <v>7194</v>
      </c>
      <c r="E67">
        <v>7052</v>
      </c>
      <c r="F67">
        <v>7</v>
      </c>
      <c r="G67">
        <v>7</v>
      </c>
      <c r="H67">
        <v>228</v>
      </c>
      <c r="I67">
        <v>148</v>
      </c>
      <c r="J67">
        <v>1510</v>
      </c>
      <c r="K67">
        <v>1487</v>
      </c>
      <c r="L67">
        <v>1117</v>
      </c>
      <c r="M67">
        <v>68</v>
      </c>
      <c r="N67">
        <v>10056</v>
      </c>
      <c r="O67">
        <v>8762</v>
      </c>
      <c r="P67">
        <v>8939</v>
      </c>
      <c r="Q67">
        <v>10</v>
      </c>
      <c r="R67">
        <v>6</v>
      </c>
      <c r="S67">
        <v>35</v>
      </c>
      <c r="T67">
        <v>207</v>
      </c>
      <c r="U67">
        <v>9849</v>
      </c>
      <c r="V67" s="498">
        <v>7042</v>
      </c>
      <c r="W67">
        <v>28</v>
      </c>
      <c r="X67" s="498">
        <v>52</v>
      </c>
      <c r="Y67" s="498">
        <v>80</v>
      </c>
      <c r="Z67" s="498">
        <v>107.82</v>
      </c>
      <c r="AA67" s="498">
        <v>107.71</v>
      </c>
      <c r="AB67">
        <v>6.35</v>
      </c>
      <c r="AC67">
        <v>109.89</v>
      </c>
      <c r="AD67">
        <v>5081</v>
      </c>
      <c r="AE67">
        <v>100.03</v>
      </c>
      <c r="AF67">
        <v>99.25</v>
      </c>
      <c r="AG67">
        <v>26.23</v>
      </c>
      <c r="AH67">
        <v>125.3</v>
      </c>
      <c r="AI67">
        <v>1626</v>
      </c>
      <c r="AJ67">
        <v>166.28</v>
      </c>
      <c r="AK67">
        <v>2026</v>
      </c>
      <c r="AL67">
        <v>153.37</v>
      </c>
      <c r="AM67">
        <v>73</v>
      </c>
      <c r="AN67">
        <v>76.680000000000007</v>
      </c>
      <c r="AO67" s="499">
        <v>76.680000000000007</v>
      </c>
      <c r="AP67" s="499">
        <v>10.66</v>
      </c>
      <c r="AQ67">
        <v>85.82</v>
      </c>
      <c r="AR67">
        <v>7</v>
      </c>
      <c r="AS67">
        <v>77.11</v>
      </c>
      <c r="AT67">
        <v>76.02</v>
      </c>
      <c r="AU67">
        <v>18.170000000000002</v>
      </c>
      <c r="AV67">
        <v>95.28</v>
      </c>
      <c r="AW67">
        <v>7</v>
      </c>
      <c r="AX67">
        <v>90.58</v>
      </c>
      <c r="AY67">
        <v>89.59</v>
      </c>
      <c r="AZ67">
        <v>8.35</v>
      </c>
      <c r="BA67">
        <v>96.73</v>
      </c>
      <c r="BB67">
        <v>687</v>
      </c>
      <c r="BC67">
        <v>104.08</v>
      </c>
      <c r="BD67">
        <v>103.49</v>
      </c>
      <c r="BE67">
        <v>7.5</v>
      </c>
      <c r="BF67">
        <v>106.95</v>
      </c>
      <c r="BG67">
        <v>1619</v>
      </c>
      <c r="BH67">
        <v>113.21</v>
      </c>
      <c r="BI67">
        <v>113.63</v>
      </c>
      <c r="BJ67">
        <v>2.78</v>
      </c>
      <c r="BK67">
        <v>113.7</v>
      </c>
      <c r="BL67" s="214">
        <v>2551</v>
      </c>
      <c r="BM67" s="214">
        <v>129.44</v>
      </c>
      <c r="BN67">
        <v>129.47999999999999</v>
      </c>
      <c r="BO67" s="187">
        <v>2.73</v>
      </c>
      <c r="BP67" s="214">
        <v>130.26</v>
      </c>
      <c r="BQ67" s="214">
        <v>206</v>
      </c>
      <c r="BR67">
        <v>139.74</v>
      </c>
      <c r="BS67" s="187">
        <v>148.16</v>
      </c>
      <c r="BT67" s="214">
        <v>0.51</v>
      </c>
      <c r="BU67" s="214">
        <v>139.87</v>
      </c>
      <c r="BV67">
        <v>4</v>
      </c>
      <c r="BW67">
        <v>0</v>
      </c>
      <c r="BX67" s="214">
        <v>0</v>
      </c>
      <c r="BY67" s="214">
        <v>0</v>
      </c>
      <c r="BZ67">
        <v>0</v>
      </c>
      <c r="CA67" s="187">
        <v>0</v>
      </c>
      <c r="CB67" s="214">
        <v>107.86</v>
      </c>
      <c r="CC67" s="214">
        <v>107.76</v>
      </c>
      <c r="CD67">
        <v>6.33</v>
      </c>
      <c r="CE67" s="187">
        <v>109.92</v>
      </c>
      <c r="CF67" s="214">
        <v>5074</v>
      </c>
      <c r="CG67" s="214">
        <v>107.82</v>
      </c>
      <c r="CH67">
        <v>107.71</v>
      </c>
      <c r="CI67">
        <v>6.35</v>
      </c>
      <c r="CJ67">
        <v>109.89</v>
      </c>
      <c r="CK67">
        <v>5081</v>
      </c>
      <c r="CL67">
        <v>89.36</v>
      </c>
      <c r="CM67">
        <v>77.56</v>
      </c>
      <c r="CN67" s="187">
        <v>73.36</v>
      </c>
      <c r="CO67">
        <v>159.04</v>
      </c>
      <c r="CP67">
        <v>120</v>
      </c>
      <c r="CQ67">
        <v>85.08</v>
      </c>
      <c r="CR67">
        <v>80.38</v>
      </c>
      <c r="CS67" s="187">
        <v>94.17</v>
      </c>
      <c r="CT67">
        <v>179.25</v>
      </c>
      <c r="CU67">
        <v>98</v>
      </c>
      <c r="CV67">
        <v>96.38</v>
      </c>
      <c r="CW67">
        <v>96.04</v>
      </c>
      <c r="CX67" s="187">
        <v>17.7</v>
      </c>
      <c r="CY67">
        <v>113.73</v>
      </c>
      <c r="CZ67">
        <v>976</v>
      </c>
      <c r="DA67">
        <v>114.58</v>
      </c>
      <c r="DB67">
        <v>116.09</v>
      </c>
      <c r="DC67" s="187">
        <v>16.88</v>
      </c>
      <c r="DD67">
        <v>130.35</v>
      </c>
      <c r="DE67">
        <v>411</v>
      </c>
      <c r="DF67">
        <v>115.48</v>
      </c>
      <c r="DG67">
        <v>122.19</v>
      </c>
      <c r="DH67" s="187">
        <v>5.95</v>
      </c>
      <c r="DI67">
        <v>119.64</v>
      </c>
      <c r="DJ67">
        <v>20</v>
      </c>
      <c r="DK67">
        <v>117.9</v>
      </c>
      <c r="DL67">
        <v>125.87</v>
      </c>
      <c r="DM67" s="187">
        <v>0</v>
      </c>
      <c r="DN67">
        <v>117.9</v>
      </c>
      <c r="DO67">
        <v>1</v>
      </c>
      <c r="DP67">
        <v>100.88</v>
      </c>
      <c r="DQ67">
        <v>100.86</v>
      </c>
      <c r="DR67" s="187">
        <v>22.53</v>
      </c>
      <c r="DS67">
        <v>122.61</v>
      </c>
      <c r="DT67">
        <v>1506</v>
      </c>
      <c r="DU67">
        <v>100.03</v>
      </c>
      <c r="DV67">
        <v>99.25</v>
      </c>
      <c r="DW67" s="187">
        <v>26.23</v>
      </c>
      <c r="DX67">
        <v>125.3</v>
      </c>
      <c r="DY67">
        <v>1626</v>
      </c>
      <c r="DZ67">
        <v>0</v>
      </c>
      <c r="EA67">
        <v>0</v>
      </c>
      <c r="EB67" s="187">
        <v>0</v>
      </c>
      <c r="EC67">
        <v>0</v>
      </c>
      <c r="ED67">
        <v>129.12</v>
      </c>
      <c r="EE67">
        <v>311</v>
      </c>
      <c r="EF67">
        <v>161.08000000000001</v>
      </c>
      <c r="EG67" s="187">
        <v>959</v>
      </c>
      <c r="EH67">
        <v>181.85</v>
      </c>
      <c r="EI67">
        <v>660</v>
      </c>
      <c r="EJ67">
        <v>231.66</v>
      </c>
      <c r="EK67">
        <v>96</v>
      </c>
      <c r="EL67" s="187">
        <v>0</v>
      </c>
      <c r="EM67">
        <v>0</v>
      </c>
      <c r="EN67">
        <v>0</v>
      </c>
      <c r="EO67">
        <v>0</v>
      </c>
      <c r="EP67">
        <v>166.28</v>
      </c>
      <c r="EQ67" s="187">
        <v>2026</v>
      </c>
      <c r="ER67">
        <v>166.28</v>
      </c>
      <c r="ES67">
        <v>2026</v>
      </c>
      <c r="ET67">
        <v>0</v>
      </c>
      <c r="EU67">
        <v>0</v>
      </c>
      <c r="EV67" s="187">
        <v>0</v>
      </c>
      <c r="EW67">
        <v>0</v>
      </c>
      <c r="EX67">
        <v>151.69</v>
      </c>
      <c r="EY67">
        <v>67</v>
      </c>
      <c r="EZ67">
        <v>172.08</v>
      </c>
      <c r="FA67" s="187">
        <v>6</v>
      </c>
      <c r="FB67">
        <v>0</v>
      </c>
      <c r="FC67">
        <v>0</v>
      </c>
      <c r="FD67">
        <v>0</v>
      </c>
      <c r="FE67">
        <v>0</v>
      </c>
      <c r="FF67" s="187">
        <v>153.37</v>
      </c>
      <c r="FG67">
        <v>73</v>
      </c>
      <c r="FH67">
        <v>153.37</v>
      </c>
      <c r="FI67">
        <v>73</v>
      </c>
      <c r="FJ67">
        <v>18</v>
      </c>
      <c r="FK67" s="187">
        <v>13</v>
      </c>
      <c r="FL67">
        <v>2</v>
      </c>
      <c r="FM67">
        <v>69</v>
      </c>
      <c r="FN67">
        <v>31</v>
      </c>
    </row>
    <row r="68" spans="1:170" x14ac:dyDescent="0.35">
      <c r="A68" t="s">
        <v>525</v>
      </c>
      <c r="B68" t="s">
        <v>526</v>
      </c>
      <c r="C68" t="s">
        <v>418</v>
      </c>
      <c r="D68">
        <v>17876</v>
      </c>
      <c r="E68">
        <v>17777</v>
      </c>
      <c r="F68">
        <v>0</v>
      </c>
      <c r="G68">
        <v>0</v>
      </c>
      <c r="H68">
        <v>858</v>
      </c>
      <c r="I68">
        <v>464</v>
      </c>
      <c r="J68">
        <v>2824</v>
      </c>
      <c r="K68">
        <v>2773</v>
      </c>
      <c r="L68">
        <v>1849</v>
      </c>
      <c r="M68">
        <v>3</v>
      </c>
      <c r="N68">
        <v>23407</v>
      </c>
      <c r="O68">
        <v>21017</v>
      </c>
      <c r="P68">
        <v>21558</v>
      </c>
      <c r="Q68">
        <v>18</v>
      </c>
      <c r="R68">
        <v>22</v>
      </c>
      <c r="S68">
        <v>38</v>
      </c>
      <c r="T68">
        <v>403</v>
      </c>
      <c r="U68">
        <v>23004</v>
      </c>
      <c r="V68" s="498">
        <v>17781</v>
      </c>
      <c r="W68">
        <v>124</v>
      </c>
      <c r="X68" s="498">
        <v>83</v>
      </c>
      <c r="Y68" s="498">
        <v>207</v>
      </c>
      <c r="Z68" s="498">
        <v>91.59</v>
      </c>
      <c r="AA68" s="498">
        <v>90.46</v>
      </c>
      <c r="AB68">
        <v>6.11</v>
      </c>
      <c r="AC68">
        <v>94.72</v>
      </c>
      <c r="AD68">
        <v>13302</v>
      </c>
      <c r="AE68">
        <v>92.09</v>
      </c>
      <c r="AF68">
        <v>82.89</v>
      </c>
      <c r="AG68">
        <v>31.81</v>
      </c>
      <c r="AH68">
        <v>116.01</v>
      </c>
      <c r="AI68">
        <v>3211</v>
      </c>
      <c r="AJ68">
        <v>113.77</v>
      </c>
      <c r="AK68">
        <v>4429</v>
      </c>
      <c r="AL68">
        <v>109.43</v>
      </c>
      <c r="AM68">
        <v>163</v>
      </c>
      <c r="AN68">
        <v>0</v>
      </c>
      <c r="AO68" s="499">
        <v>0</v>
      </c>
      <c r="AP68" s="499">
        <v>0</v>
      </c>
      <c r="AQ68">
        <v>0</v>
      </c>
      <c r="AR68">
        <v>0</v>
      </c>
      <c r="AS68">
        <v>67.52</v>
      </c>
      <c r="AT68">
        <v>67.849999999999994</v>
      </c>
      <c r="AU68">
        <v>13.39</v>
      </c>
      <c r="AV68">
        <v>77.709999999999994</v>
      </c>
      <c r="AW68">
        <v>46</v>
      </c>
      <c r="AX68">
        <v>80.069999999999993</v>
      </c>
      <c r="AY68">
        <v>79.319999999999993</v>
      </c>
      <c r="AZ68">
        <v>6.74</v>
      </c>
      <c r="BA68">
        <v>85.67</v>
      </c>
      <c r="BB68">
        <v>3404</v>
      </c>
      <c r="BC68">
        <v>91.65</v>
      </c>
      <c r="BD68">
        <v>90.27</v>
      </c>
      <c r="BE68">
        <v>6.79</v>
      </c>
      <c r="BF68">
        <v>95.59</v>
      </c>
      <c r="BG68">
        <v>5125</v>
      </c>
      <c r="BH68">
        <v>99.62</v>
      </c>
      <c r="BI68">
        <v>98.76</v>
      </c>
      <c r="BJ68">
        <v>1.95</v>
      </c>
      <c r="BK68">
        <v>100.01</v>
      </c>
      <c r="BL68" s="214">
        <v>4487</v>
      </c>
      <c r="BM68" s="214">
        <v>107.8</v>
      </c>
      <c r="BN68">
        <v>107.11</v>
      </c>
      <c r="BO68" s="187">
        <v>1.87</v>
      </c>
      <c r="BP68" s="214">
        <v>108.31</v>
      </c>
      <c r="BQ68" s="214">
        <v>230</v>
      </c>
      <c r="BR68">
        <v>119.11</v>
      </c>
      <c r="BS68" s="187">
        <v>115.97</v>
      </c>
      <c r="BT68" s="214">
        <v>0.27</v>
      </c>
      <c r="BU68" s="214">
        <v>119.15</v>
      </c>
      <c r="BV68">
        <v>6</v>
      </c>
      <c r="BW68">
        <v>120.61</v>
      </c>
      <c r="BX68" s="214">
        <v>131.54</v>
      </c>
      <c r="BY68" s="214">
        <v>1.1200000000000001</v>
      </c>
      <c r="BZ68">
        <v>121.45</v>
      </c>
      <c r="CA68" s="187">
        <v>4</v>
      </c>
      <c r="CB68" s="214">
        <v>91.59</v>
      </c>
      <c r="CC68" s="214">
        <v>90.46</v>
      </c>
      <c r="CD68">
        <v>6.11</v>
      </c>
      <c r="CE68" s="187">
        <v>94.72</v>
      </c>
      <c r="CF68" s="214">
        <v>13302</v>
      </c>
      <c r="CG68" s="214">
        <v>91.59</v>
      </c>
      <c r="CH68">
        <v>90.46</v>
      </c>
      <c r="CI68">
        <v>6.11</v>
      </c>
      <c r="CJ68">
        <v>94.72</v>
      </c>
      <c r="CK68">
        <v>13302</v>
      </c>
      <c r="CL68">
        <v>120.89</v>
      </c>
      <c r="CM68">
        <v>78.459999999999994</v>
      </c>
      <c r="CN68" s="187">
        <v>57.29</v>
      </c>
      <c r="CO68">
        <v>177.67</v>
      </c>
      <c r="CP68">
        <v>338</v>
      </c>
      <c r="CQ68">
        <v>71.61</v>
      </c>
      <c r="CR68">
        <v>69.53</v>
      </c>
      <c r="CS68" s="187">
        <v>39.270000000000003</v>
      </c>
      <c r="CT68">
        <v>110</v>
      </c>
      <c r="CU68">
        <v>223</v>
      </c>
      <c r="CV68">
        <v>87.05</v>
      </c>
      <c r="CW68">
        <v>81.13</v>
      </c>
      <c r="CX68" s="187">
        <v>24.79</v>
      </c>
      <c r="CY68">
        <v>104.81</v>
      </c>
      <c r="CZ68">
        <v>2077</v>
      </c>
      <c r="DA68">
        <v>99.74</v>
      </c>
      <c r="DB68">
        <v>95.59</v>
      </c>
      <c r="DC68" s="187">
        <v>31.87</v>
      </c>
      <c r="DD68">
        <v>120.48</v>
      </c>
      <c r="DE68">
        <v>547</v>
      </c>
      <c r="DF68">
        <v>105.73</v>
      </c>
      <c r="DG68">
        <v>101.95</v>
      </c>
      <c r="DH68" s="187">
        <v>23.16</v>
      </c>
      <c r="DI68">
        <v>122.27</v>
      </c>
      <c r="DJ68">
        <v>21</v>
      </c>
      <c r="DK68">
        <v>262.68</v>
      </c>
      <c r="DL68">
        <v>118.38</v>
      </c>
      <c r="DM68" s="187">
        <v>229.92</v>
      </c>
      <c r="DN68">
        <v>354.65</v>
      </c>
      <c r="DO68">
        <v>5</v>
      </c>
      <c r="DP68">
        <v>88.71</v>
      </c>
      <c r="DQ68">
        <v>83.02</v>
      </c>
      <c r="DR68" s="187">
        <v>27.71</v>
      </c>
      <c r="DS68">
        <v>108.76</v>
      </c>
      <c r="DT68">
        <v>2873</v>
      </c>
      <c r="DU68">
        <v>92.09</v>
      </c>
      <c r="DV68">
        <v>82.89</v>
      </c>
      <c r="DW68" s="187">
        <v>31.81</v>
      </c>
      <c r="DX68">
        <v>116.01</v>
      </c>
      <c r="DY68">
        <v>3211</v>
      </c>
      <c r="DZ68">
        <v>0</v>
      </c>
      <c r="EA68">
        <v>0</v>
      </c>
      <c r="EB68" s="187">
        <v>65.010000000000005</v>
      </c>
      <c r="EC68">
        <v>1</v>
      </c>
      <c r="ED68">
        <v>91.84</v>
      </c>
      <c r="EE68">
        <v>817</v>
      </c>
      <c r="EF68">
        <v>113.42</v>
      </c>
      <c r="EG68" s="187">
        <v>2197</v>
      </c>
      <c r="EH68">
        <v>126.33</v>
      </c>
      <c r="EI68">
        <v>1333</v>
      </c>
      <c r="EJ68">
        <v>138.22</v>
      </c>
      <c r="EK68">
        <v>76</v>
      </c>
      <c r="EL68" s="187">
        <v>143.18</v>
      </c>
      <c r="EM68">
        <v>5</v>
      </c>
      <c r="EN68">
        <v>0</v>
      </c>
      <c r="EO68">
        <v>0</v>
      </c>
      <c r="EP68">
        <v>113.77</v>
      </c>
      <c r="EQ68" s="187">
        <v>4429</v>
      </c>
      <c r="ER68">
        <v>113.77</v>
      </c>
      <c r="ES68">
        <v>4429</v>
      </c>
      <c r="ET68">
        <v>0</v>
      </c>
      <c r="EU68">
        <v>0</v>
      </c>
      <c r="EV68" s="187">
        <v>0</v>
      </c>
      <c r="EW68">
        <v>0</v>
      </c>
      <c r="EX68">
        <v>100.62</v>
      </c>
      <c r="EY68">
        <v>80</v>
      </c>
      <c r="EZ68">
        <v>117.68</v>
      </c>
      <c r="FA68" s="187">
        <v>82</v>
      </c>
      <c r="FB68">
        <v>138.18</v>
      </c>
      <c r="FC68">
        <v>1</v>
      </c>
      <c r="FD68">
        <v>0</v>
      </c>
      <c r="FE68">
        <v>0</v>
      </c>
      <c r="FF68" s="187">
        <v>109.43</v>
      </c>
      <c r="FG68">
        <v>163</v>
      </c>
      <c r="FH68">
        <v>109.43</v>
      </c>
      <c r="FI68">
        <v>163</v>
      </c>
      <c r="FJ68">
        <v>79</v>
      </c>
      <c r="FK68" s="187">
        <v>36</v>
      </c>
      <c r="FL68">
        <v>7</v>
      </c>
      <c r="FM68">
        <v>276</v>
      </c>
      <c r="FN68">
        <v>37</v>
      </c>
    </row>
    <row r="69" spans="1:170" x14ac:dyDescent="0.35">
      <c r="A69" t="s">
        <v>527</v>
      </c>
      <c r="B69" t="s">
        <v>528</v>
      </c>
      <c r="C69" t="s">
        <v>418</v>
      </c>
      <c r="D69">
        <v>14958</v>
      </c>
      <c r="E69">
        <v>20197</v>
      </c>
      <c r="F69">
        <v>5</v>
      </c>
      <c r="G69">
        <v>5</v>
      </c>
      <c r="H69">
        <v>836</v>
      </c>
      <c r="I69">
        <v>580</v>
      </c>
      <c r="J69">
        <v>2896</v>
      </c>
      <c r="K69">
        <v>2820</v>
      </c>
      <c r="L69">
        <v>2001</v>
      </c>
      <c r="M69">
        <v>55</v>
      </c>
      <c r="N69">
        <v>20696</v>
      </c>
      <c r="O69">
        <v>23657</v>
      </c>
      <c r="P69">
        <v>18695</v>
      </c>
      <c r="Q69">
        <v>6</v>
      </c>
      <c r="R69">
        <v>16</v>
      </c>
      <c r="S69">
        <v>36</v>
      </c>
      <c r="T69">
        <v>465</v>
      </c>
      <c r="U69">
        <v>20231</v>
      </c>
      <c r="V69" s="498">
        <v>14778</v>
      </c>
      <c r="W69">
        <v>90</v>
      </c>
      <c r="X69" s="498">
        <v>120</v>
      </c>
      <c r="Y69" s="498">
        <v>210</v>
      </c>
      <c r="Z69" s="498">
        <v>94.75</v>
      </c>
      <c r="AA69" s="498">
        <v>96.52</v>
      </c>
      <c r="AB69">
        <v>4.84</v>
      </c>
      <c r="AC69">
        <v>96.63</v>
      </c>
      <c r="AD69">
        <v>12023</v>
      </c>
      <c r="AE69">
        <v>94.76</v>
      </c>
      <c r="AF69">
        <v>90.22</v>
      </c>
      <c r="AG69">
        <v>37.08</v>
      </c>
      <c r="AH69">
        <v>121.66</v>
      </c>
      <c r="AI69">
        <v>3016</v>
      </c>
      <c r="AJ69">
        <v>116.65</v>
      </c>
      <c r="AK69">
        <v>2603</v>
      </c>
      <c r="AL69">
        <v>160.44999999999999</v>
      </c>
      <c r="AM69">
        <v>431</v>
      </c>
      <c r="AN69">
        <v>126.49</v>
      </c>
      <c r="AO69" s="499">
        <v>126.52</v>
      </c>
      <c r="AP69" s="499">
        <v>2.54</v>
      </c>
      <c r="AQ69">
        <v>129.03</v>
      </c>
      <c r="AR69">
        <v>2</v>
      </c>
      <c r="AS69">
        <v>71.09</v>
      </c>
      <c r="AT69">
        <v>72.86</v>
      </c>
      <c r="AU69">
        <v>5.51</v>
      </c>
      <c r="AV69">
        <v>75.599999999999994</v>
      </c>
      <c r="AW69">
        <v>44</v>
      </c>
      <c r="AX69">
        <v>80.98</v>
      </c>
      <c r="AY69">
        <v>81.400000000000006</v>
      </c>
      <c r="AZ69">
        <v>5.45</v>
      </c>
      <c r="BA69">
        <v>84.57</v>
      </c>
      <c r="BB69">
        <v>2070</v>
      </c>
      <c r="BC69">
        <v>90.9</v>
      </c>
      <c r="BD69">
        <v>92.32</v>
      </c>
      <c r="BE69">
        <v>5.64</v>
      </c>
      <c r="BF69">
        <v>93.46</v>
      </c>
      <c r="BG69">
        <v>4721</v>
      </c>
      <c r="BH69">
        <v>103.26</v>
      </c>
      <c r="BI69">
        <v>105.83</v>
      </c>
      <c r="BJ69">
        <v>2.58</v>
      </c>
      <c r="BK69">
        <v>103.81</v>
      </c>
      <c r="BL69" s="214">
        <v>4868</v>
      </c>
      <c r="BM69" s="214">
        <v>113.71</v>
      </c>
      <c r="BN69">
        <v>116.93</v>
      </c>
      <c r="BO69" s="187">
        <v>2.4500000000000002</v>
      </c>
      <c r="BP69" s="214">
        <v>114.25</v>
      </c>
      <c r="BQ69" s="214">
        <v>304</v>
      </c>
      <c r="BR69">
        <v>135.87</v>
      </c>
      <c r="BS69" s="187">
        <v>141.62</v>
      </c>
      <c r="BT69" s="214">
        <v>1.5</v>
      </c>
      <c r="BU69" s="214">
        <v>136.72999999999999</v>
      </c>
      <c r="BV69">
        <v>7</v>
      </c>
      <c r="BW69">
        <v>130.07</v>
      </c>
      <c r="BX69" s="214">
        <v>152.91999999999999</v>
      </c>
      <c r="BY69" s="214">
        <v>0.24</v>
      </c>
      <c r="BZ69">
        <v>130.13</v>
      </c>
      <c r="CA69" s="187">
        <v>7</v>
      </c>
      <c r="CB69" s="214">
        <v>94.75</v>
      </c>
      <c r="CC69" s="214">
        <v>96.52</v>
      </c>
      <c r="CD69">
        <v>4.84</v>
      </c>
      <c r="CE69" s="187">
        <v>96.63</v>
      </c>
      <c r="CF69" s="214">
        <v>12021</v>
      </c>
      <c r="CG69" s="214">
        <v>94.75</v>
      </c>
      <c r="CH69">
        <v>96.52</v>
      </c>
      <c r="CI69">
        <v>4.84</v>
      </c>
      <c r="CJ69">
        <v>96.63</v>
      </c>
      <c r="CK69">
        <v>12023</v>
      </c>
      <c r="CL69">
        <v>113</v>
      </c>
      <c r="CM69">
        <v>99.57</v>
      </c>
      <c r="CN69" s="187">
        <v>63.83</v>
      </c>
      <c r="CO69">
        <v>176.65</v>
      </c>
      <c r="CP69">
        <v>349</v>
      </c>
      <c r="CQ69">
        <v>99.64</v>
      </c>
      <c r="CR69">
        <v>72.599999999999994</v>
      </c>
      <c r="CS69" s="187">
        <v>46.45</v>
      </c>
      <c r="CT69">
        <v>146.09</v>
      </c>
      <c r="CU69">
        <v>163</v>
      </c>
      <c r="CV69">
        <v>87.56</v>
      </c>
      <c r="CW69">
        <v>85.22</v>
      </c>
      <c r="CX69" s="187">
        <v>36.14</v>
      </c>
      <c r="CY69">
        <v>111.96</v>
      </c>
      <c r="CZ69">
        <v>1546</v>
      </c>
      <c r="DA69">
        <v>98.09</v>
      </c>
      <c r="DB69">
        <v>99.71</v>
      </c>
      <c r="DC69" s="187">
        <v>21</v>
      </c>
      <c r="DD69">
        <v>111.87</v>
      </c>
      <c r="DE69">
        <v>945</v>
      </c>
      <c r="DF69">
        <v>157.52000000000001</v>
      </c>
      <c r="DG69">
        <v>102.47</v>
      </c>
      <c r="DH69" s="187">
        <v>45.76</v>
      </c>
      <c r="DI69">
        <v>203.28</v>
      </c>
      <c r="DJ69">
        <v>13</v>
      </c>
      <c r="DK69">
        <v>0</v>
      </c>
      <c r="DL69">
        <v>0</v>
      </c>
      <c r="DM69" s="187">
        <v>0</v>
      </c>
      <c r="DN69">
        <v>0</v>
      </c>
      <c r="DO69">
        <v>0</v>
      </c>
      <c r="DP69">
        <v>92.37</v>
      </c>
      <c r="DQ69">
        <v>89.57</v>
      </c>
      <c r="DR69" s="187">
        <v>32.020000000000003</v>
      </c>
      <c r="DS69">
        <v>114.46</v>
      </c>
      <c r="DT69">
        <v>2667</v>
      </c>
      <c r="DU69">
        <v>94.76</v>
      </c>
      <c r="DV69">
        <v>90.22</v>
      </c>
      <c r="DW69" s="187">
        <v>37.08</v>
      </c>
      <c r="DX69">
        <v>121.66</v>
      </c>
      <c r="DY69">
        <v>3016</v>
      </c>
      <c r="DZ69">
        <v>0</v>
      </c>
      <c r="EA69">
        <v>0</v>
      </c>
      <c r="EB69" s="187">
        <v>0</v>
      </c>
      <c r="EC69">
        <v>0</v>
      </c>
      <c r="ED69">
        <v>96.02</v>
      </c>
      <c r="EE69">
        <v>404</v>
      </c>
      <c r="EF69">
        <v>116.07</v>
      </c>
      <c r="EG69" s="187">
        <v>1391</v>
      </c>
      <c r="EH69">
        <v>126.93</v>
      </c>
      <c r="EI69">
        <v>774</v>
      </c>
      <c r="EJ69">
        <v>151.19999999999999</v>
      </c>
      <c r="EK69">
        <v>34</v>
      </c>
      <c r="EL69" s="187">
        <v>0</v>
      </c>
      <c r="EM69">
        <v>0</v>
      </c>
      <c r="EN69">
        <v>0</v>
      </c>
      <c r="EO69">
        <v>0</v>
      </c>
      <c r="EP69">
        <v>116.65</v>
      </c>
      <c r="EQ69" s="187">
        <v>2603</v>
      </c>
      <c r="ER69">
        <v>116.65</v>
      </c>
      <c r="ES69">
        <v>2603</v>
      </c>
      <c r="ET69">
        <v>0</v>
      </c>
      <c r="EU69">
        <v>0</v>
      </c>
      <c r="EV69" s="187">
        <v>0</v>
      </c>
      <c r="EW69">
        <v>0</v>
      </c>
      <c r="EX69">
        <v>154.88999999999999</v>
      </c>
      <c r="EY69">
        <v>186</v>
      </c>
      <c r="EZ69">
        <v>164.67</v>
      </c>
      <c r="FA69" s="187">
        <v>245</v>
      </c>
      <c r="FB69">
        <v>0</v>
      </c>
      <c r="FC69">
        <v>0</v>
      </c>
      <c r="FD69">
        <v>0</v>
      </c>
      <c r="FE69">
        <v>0</v>
      </c>
      <c r="FF69" s="187">
        <v>160.44999999999999</v>
      </c>
      <c r="FG69">
        <v>431</v>
      </c>
      <c r="FH69">
        <v>160.44999999999999</v>
      </c>
      <c r="FI69">
        <v>431</v>
      </c>
      <c r="FJ69">
        <v>14</v>
      </c>
      <c r="FK69" s="187">
        <v>32</v>
      </c>
      <c r="FL69">
        <v>12</v>
      </c>
      <c r="FM69">
        <v>125</v>
      </c>
      <c r="FN69">
        <v>40</v>
      </c>
    </row>
    <row r="70" spans="1:170" x14ac:dyDescent="0.35">
      <c r="A70" t="s">
        <v>529</v>
      </c>
      <c r="B70" t="s">
        <v>530</v>
      </c>
      <c r="C70" t="s">
        <v>414</v>
      </c>
      <c r="D70">
        <v>870</v>
      </c>
      <c r="E70">
        <v>766</v>
      </c>
      <c r="F70">
        <v>10</v>
      </c>
      <c r="G70">
        <v>0</v>
      </c>
      <c r="H70">
        <v>178</v>
      </c>
      <c r="I70">
        <v>89</v>
      </c>
      <c r="J70">
        <v>496</v>
      </c>
      <c r="K70">
        <v>463</v>
      </c>
      <c r="L70">
        <v>126</v>
      </c>
      <c r="M70">
        <v>6</v>
      </c>
      <c r="N70">
        <v>1680</v>
      </c>
      <c r="O70">
        <v>1324</v>
      </c>
      <c r="P70">
        <v>1554</v>
      </c>
      <c r="Q70">
        <v>0</v>
      </c>
      <c r="R70">
        <v>6</v>
      </c>
      <c r="S70">
        <v>28</v>
      </c>
      <c r="T70">
        <v>197</v>
      </c>
      <c r="U70">
        <v>1483</v>
      </c>
      <c r="V70" s="498">
        <v>766</v>
      </c>
      <c r="W70">
        <v>4</v>
      </c>
      <c r="X70" s="498">
        <v>2</v>
      </c>
      <c r="Y70" s="498">
        <v>6</v>
      </c>
      <c r="Z70" s="498">
        <v>89.36</v>
      </c>
      <c r="AA70" s="498">
        <v>86.28</v>
      </c>
      <c r="AB70">
        <v>5.38</v>
      </c>
      <c r="AC70">
        <v>91.74</v>
      </c>
      <c r="AD70">
        <v>639</v>
      </c>
      <c r="AE70">
        <v>95.83</v>
      </c>
      <c r="AF70">
        <v>83.31</v>
      </c>
      <c r="AG70">
        <v>26.82</v>
      </c>
      <c r="AH70">
        <v>121.97</v>
      </c>
      <c r="AI70">
        <v>591</v>
      </c>
      <c r="AJ70">
        <v>111.46</v>
      </c>
      <c r="AK70">
        <v>128</v>
      </c>
      <c r="AL70">
        <v>303.77</v>
      </c>
      <c r="AM70">
        <v>25</v>
      </c>
      <c r="AN70">
        <v>0</v>
      </c>
      <c r="AO70" s="499">
        <v>0</v>
      </c>
      <c r="AP70" s="499">
        <v>0</v>
      </c>
      <c r="AQ70">
        <v>0</v>
      </c>
      <c r="AR70">
        <v>0</v>
      </c>
      <c r="AS70">
        <v>66.89</v>
      </c>
      <c r="AT70">
        <v>62.22</v>
      </c>
      <c r="AU70">
        <v>9.3000000000000007</v>
      </c>
      <c r="AV70">
        <v>76.19</v>
      </c>
      <c r="AW70">
        <v>2</v>
      </c>
      <c r="AX70">
        <v>73.430000000000007</v>
      </c>
      <c r="AY70">
        <v>70.22</v>
      </c>
      <c r="AZ70">
        <v>8.4600000000000009</v>
      </c>
      <c r="BA70">
        <v>81.38</v>
      </c>
      <c r="BB70">
        <v>83</v>
      </c>
      <c r="BC70">
        <v>87.65</v>
      </c>
      <c r="BD70">
        <v>84.35</v>
      </c>
      <c r="BE70">
        <v>4.8899999999999997</v>
      </c>
      <c r="BF70">
        <v>89.34</v>
      </c>
      <c r="BG70">
        <v>315</v>
      </c>
      <c r="BH70">
        <v>96.86</v>
      </c>
      <c r="BI70">
        <v>94.08</v>
      </c>
      <c r="BJ70">
        <v>3.35</v>
      </c>
      <c r="BK70">
        <v>98.16</v>
      </c>
      <c r="BL70" s="214">
        <v>226</v>
      </c>
      <c r="BM70" s="214">
        <v>105.78</v>
      </c>
      <c r="BN70">
        <v>103.79</v>
      </c>
      <c r="BO70" s="187">
        <v>2.4300000000000002</v>
      </c>
      <c r="BP70" s="214">
        <v>106.72</v>
      </c>
      <c r="BQ70" s="214">
        <v>13</v>
      </c>
      <c r="BR70">
        <v>0</v>
      </c>
      <c r="BS70" s="187">
        <v>0</v>
      </c>
      <c r="BT70" s="214">
        <v>0</v>
      </c>
      <c r="BU70" s="214">
        <v>0</v>
      </c>
      <c r="BV70">
        <v>0</v>
      </c>
      <c r="BW70">
        <v>0</v>
      </c>
      <c r="BX70" s="214">
        <v>0</v>
      </c>
      <c r="BY70" s="214">
        <v>0</v>
      </c>
      <c r="BZ70">
        <v>0</v>
      </c>
      <c r="CA70" s="187">
        <v>0</v>
      </c>
      <c r="CB70" s="214">
        <v>89.36</v>
      </c>
      <c r="CC70" s="214">
        <v>86.28</v>
      </c>
      <c r="CD70">
        <v>5.38</v>
      </c>
      <c r="CE70" s="187">
        <v>91.74</v>
      </c>
      <c r="CF70" s="214">
        <v>639</v>
      </c>
      <c r="CG70" s="214">
        <v>89.36</v>
      </c>
      <c r="CH70">
        <v>86.28</v>
      </c>
      <c r="CI70">
        <v>5.38</v>
      </c>
      <c r="CJ70">
        <v>91.74</v>
      </c>
      <c r="CK70">
        <v>639</v>
      </c>
      <c r="CL70">
        <v>120.98</v>
      </c>
      <c r="CM70">
        <v>74.78</v>
      </c>
      <c r="CN70" s="187">
        <v>67.77</v>
      </c>
      <c r="CO70">
        <v>184.23</v>
      </c>
      <c r="CP70">
        <v>60</v>
      </c>
      <c r="CQ70">
        <v>68.34</v>
      </c>
      <c r="CR70">
        <v>64.23</v>
      </c>
      <c r="CS70" s="187">
        <v>43.36</v>
      </c>
      <c r="CT70">
        <v>110.31</v>
      </c>
      <c r="CU70">
        <v>31</v>
      </c>
      <c r="CV70">
        <v>96.15</v>
      </c>
      <c r="CW70">
        <v>77.05</v>
      </c>
      <c r="CX70" s="187">
        <v>42.43</v>
      </c>
      <c r="CY70">
        <v>137.54</v>
      </c>
      <c r="CZ70">
        <v>203</v>
      </c>
      <c r="DA70">
        <v>93.17</v>
      </c>
      <c r="DB70">
        <v>89.42</v>
      </c>
      <c r="DC70" s="187">
        <v>6.47</v>
      </c>
      <c r="DD70">
        <v>99.55</v>
      </c>
      <c r="DE70">
        <v>289</v>
      </c>
      <c r="DF70">
        <v>101.56</v>
      </c>
      <c r="DG70">
        <v>99.1</v>
      </c>
      <c r="DH70" s="187">
        <v>15.16</v>
      </c>
      <c r="DI70">
        <v>114.83</v>
      </c>
      <c r="DJ70">
        <v>8</v>
      </c>
      <c r="DK70">
        <v>0</v>
      </c>
      <c r="DL70">
        <v>0</v>
      </c>
      <c r="DM70" s="187">
        <v>0</v>
      </c>
      <c r="DN70">
        <v>0</v>
      </c>
      <c r="DO70">
        <v>0</v>
      </c>
      <c r="DP70">
        <v>92.99</v>
      </c>
      <c r="DQ70">
        <v>83.93</v>
      </c>
      <c r="DR70" s="187">
        <v>22.41</v>
      </c>
      <c r="DS70">
        <v>114.93</v>
      </c>
      <c r="DT70">
        <v>531</v>
      </c>
      <c r="DU70">
        <v>95.83</v>
      </c>
      <c r="DV70">
        <v>83.31</v>
      </c>
      <c r="DW70" s="187">
        <v>26.82</v>
      </c>
      <c r="DX70">
        <v>121.97</v>
      </c>
      <c r="DY70">
        <v>591</v>
      </c>
      <c r="DZ70">
        <v>0</v>
      </c>
      <c r="EA70">
        <v>0</v>
      </c>
      <c r="EB70" s="187">
        <v>0</v>
      </c>
      <c r="EC70">
        <v>0</v>
      </c>
      <c r="ED70">
        <v>80.430000000000007</v>
      </c>
      <c r="EE70">
        <v>9</v>
      </c>
      <c r="EF70">
        <v>101.18</v>
      </c>
      <c r="EG70" s="187">
        <v>74</v>
      </c>
      <c r="EH70">
        <v>125.28</v>
      </c>
      <c r="EI70">
        <v>35</v>
      </c>
      <c r="EJ70">
        <v>167.13</v>
      </c>
      <c r="EK70">
        <v>10</v>
      </c>
      <c r="EL70" s="187">
        <v>0</v>
      </c>
      <c r="EM70">
        <v>0</v>
      </c>
      <c r="EN70">
        <v>0</v>
      </c>
      <c r="EO70">
        <v>0</v>
      </c>
      <c r="EP70">
        <v>111.46</v>
      </c>
      <c r="EQ70" s="187">
        <v>128</v>
      </c>
      <c r="ER70">
        <v>111.46</v>
      </c>
      <c r="ES70">
        <v>128</v>
      </c>
      <c r="ET70">
        <v>244.91</v>
      </c>
      <c r="EU70">
        <v>8</v>
      </c>
      <c r="EV70" s="187">
        <v>331.47</v>
      </c>
      <c r="EW70">
        <v>17</v>
      </c>
      <c r="EX70">
        <v>0</v>
      </c>
      <c r="EY70">
        <v>0</v>
      </c>
      <c r="EZ70">
        <v>0</v>
      </c>
      <c r="FA70" s="187">
        <v>0</v>
      </c>
      <c r="FB70">
        <v>0</v>
      </c>
      <c r="FC70">
        <v>0</v>
      </c>
      <c r="FD70">
        <v>0</v>
      </c>
      <c r="FE70">
        <v>0</v>
      </c>
      <c r="FF70" s="187">
        <v>331.47</v>
      </c>
      <c r="FG70">
        <v>17</v>
      </c>
      <c r="FH70">
        <v>303.77</v>
      </c>
      <c r="FI70">
        <v>25</v>
      </c>
      <c r="FJ70">
        <v>117</v>
      </c>
      <c r="FK70" s="187">
        <v>0</v>
      </c>
      <c r="FL70">
        <v>8</v>
      </c>
      <c r="FM70">
        <v>22</v>
      </c>
      <c r="FN70">
        <v>3</v>
      </c>
    </row>
    <row r="71" spans="1:170" x14ac:dyDescent="0.35">
      <c r="A71" t="s">
        <v>531</v>
      </c>
      <c r="B71" t="s">
        <v>532</v>
      </c>
      <c r="C71" t="s">
        <v>2</v>
      </c>
      <c r="D71">
        <v>7532</v>
      </c>
      <c r="E71">
        <v>7525</v>
      </c>
      <c r="F71">
        <v>0</v>
      </c>
      <c r="G71">
        <v>0</v>
      </c>
      <c r="H71">
        <v>165</v>
      </c>
      <c r="I71">
        <v>66</v>
      </c>
      <c r="J71">
        <v>767</v>
      </c>
      <c r="K71">
        <v>631</v>
      </c>
      <c r="L71">
        <v>819</v>
      </c>
      <c r="M71">
        <v>21</v>
      </c>
      <c r="N71">
        <v>9283</v>
      </c>
      <c r="O71">
        <v>8243</v>
      </c>
      <c r="P71">
        <v>8464</v>
      </c>
      <c r="Q71">
        <v>20</v>
      </c>
      <c r="R71">
        <v>8</v>
      </c>
      <c r="S71">
        <v>25</v>
      </c>
      <c r="T71">
        <v>251</v>
      </c>
      <c r="U71">
        <v>9032</v>
      </c>
      <c r="V71" s="498">
        <v>7510</v>
      </c>
      <c r="W71">
        <v>70</v>
      </c>
      <c r="X71" s="498">
        <v>9</v>
      </c>
      <c r="Y71" s="498">
        <v>79</v>
      </c>
      <c r="Z71" s="498">
        <v>108.43</v>
      </c>
      <c r="AA71" s="498">
        <v>108.78</v>
      </c>
      <c r="AB71">
        <v>7.69</v>
      </c>
      <c r="AC71">
        <v>112.04</v>
      </c>
      <c r="AD71">
        <v>6250</v>
      </c>
      <c r="AE71">
        <v>97.56</v>
      </c>
      <c r="AF71">
        <v>90.9</v>
      </c>
      <c r="AG71">
        <v>32.799999999999997</v>
      </c>
      <c r="AH71">
        <v>128.54</v>
      </c>
      <c r="AI71">
        <v>703</v>
      </c>
      <c r="AJ71">
        <v>169.87</v>
      </c>
      <c r="AK71">
        <v>1231</v>
      </c>
      <c r="AL71">
        <v>152.06</v>
      </c>
      <c r="AM71">
        <v>4</v>
      </c>
      <c r="AN71">
        <v>0</v>
      </c>
      <c r="AO71" s="499">
        <v>0</v>
      </c>
      <c r="AP71" s="499">
        <v>0</v>
      </c>
      <c r="AQ71">
        <v>0</v>
      </c>
      <c r="AR71">
        <v>0</v>
      </c>
      <c r="AS71">
        <v>76.930000000000007</v>
      </c>
      <c r="AT71">
        <v>76.45</v>
      </c>
      <c r="AU71">
        <v>12.17</v>
      </c>
      <c r="AV71">
        <v>87.1</v>
      </c>
      <c r="AW71">
        <v>79</v>
      </c>
      <c r="AX71">
        <v>92.56</v>
      </c>
      <c r="AY71">
        <v>91.89</v>
      </c>
      <c r="AZ71">
        <v>10.07</v>
      </c>
      <c r="BA71">
        <v>99.35</v>
      </c>
      <c r="BB71">
        <v>1168</v>
      </c>
      <c r="BC71">
        <v>106.34</v>
      </c>
      <c r="BD71">
        <v>105.97</v>
      </c>
      <c r="BE71">
        <v>8.06</v>
      </c>
      <c r="BF71">
        <v>110.34</v>
      </c>
      <c r="BG71">
        <v>2930</v>
      </c>
      <c r="BH71">
        <v>120.57</v>
      </c>
      <c r="BI71">
        <v>122.71</v>
      </c>
      <c r="BJ71">
        <v>3.2</v>
      </c>
      <c r="BK71">
        <v>121.48</v>
      </c>
      <c r="BL71" s="214">
        <v>1933</v>
      </c>
      <c r="BM71" s="214">
        <v>134.36000000000001</v>
      </c>
      <c r="BN71">
        <v>134.12</v>
      </c>
      <c r="BO71" s="187">
        <v>4.57</v>
      </c>
      <c r="BP71" s="214">
        <v>137.03</v>
      </c>
      <c r="BQ71" s="214">
        <v>137</v>
      </c>
      <c r="BR71">
        <v>149.05000000000001</v>
      </c>
      <c r="BS71" s="187">
        <v>153.53</v>
      </c>
      <c r="BT71" s="214">
        <v>2.5499999999999998</v>
      </c>
      <c r="BU71" s="214">
        <v>150.75</v>
      </c>
      <c r="BV71">
        <v>3</v>
      </c>
      <c r="BW71">
        <v>0</v>
      </c>
      <c r="BX71" s="214">
        <v>0</v>
      </c>
      <c r="BY71" s="214">
        <v>0</v>
      </c>
      <c r="BZ71">
        <v>0</v>
      </c>
      <c r="CA71" s="187">
        <v>0</v>
      </c>
      <c r="CB71" s="214">
        <v>108.43</v>
      </c>
      <c r="CC71" s="214">
        <v>108.78</v>
      </c>
      <c r="CD71">
        <v>7.69</v>
      </c>
      <c r="CE71" s="187">
        <v>112.04</v>
      </c>
      <c r="CF71" s="214">
        <v>6250</v>
      </c>
      <c r="CG71" s="214">
        <v>108.43</v>
      </c>
      <c r="CH71">
        <v>108.78</v>
      </c>
      <c r="CI71">
        <v>7.69</v>
      </c>
      <c r="CJ71">
        <v>112.04</v>
      </c>
      <c r="CK71">
        <v>6250</v>
      </c>
      <c r="CL71">
        <v>104.44</v>
      </c>
      <c r="CM71">
        <v>85.43</v>
      </c>
      <c r="CN71" s="187">
        <v>18.13</v>
      </c>
      <c r="CO71">
        <v>110.86</v>
      </c>
      <c r="CP71">
        <v>48</v>
      </c>
      <c r="CQ71">
        <v>82.32</v>
      </c>
      <c r="CR71">
        <v>78.94</v>
      </c>
      <c r="CS71" s="187">
        <v>22.88</v>
      </c>
      <c r="CT71">
        <v>102.91</v>
      </c>
      <c r="CU71">
        <v>50</v>
      </c>
      <c r="CV71">
        <v>96.43</v>
      </c>
      <c r="CW71">
        <v>90.12</v>
      </c>
      <c r="CX71" s="187">
        <v>36.020000000000003</v>
      </c>
      <c r="CY71">
        <v>132.38</v>
      </c>
      <c r="CZ71">
        <v>535</v>
      </c>
      <c r="DA71">
        <v>111.76</v>
      </c>
      <c r="DB71">
        <v>107.29</v>
      </c>
      <c r="DC71" s="187">
        <v>16.32</v>
      </c>
      <c r="DD71">
        <v>128.08000000000001</v>
      </c>
      <c r="DE71">
        <v>63</v>
      </c>
      <c r="DF71">
        <v>110.25</v>
      </c>
      <c r="DG71">
        <v>114.76</v>
      </c>
      <c r="DH71" s="187">
        <v>40.93</v>
      </c>
      <c r="DI71">
        <v>137.54</v>
      </c>
      <c r="DJ71">
        <v>6</v>
      </c>
      <c r="DK71">
        <v>166.41</v>
      </c>
      <c r="DL71">
        <v>151.29</v>
      </c>
      <c r="DM71" s="187">
        <v>15.78</v>
      </c>
      <c r="DN71">
        <v>182.19</v>
      </c>
      <c r="DO71">
        <v>1</v>
      </c>
      <c r="DP71">
        <v>97.06</v>
      </c>
      <c r="DQ71">
        <v>91.24</v>
      </c>
      <c r="DR71" s="187">
        <v>33.18</v>
      </c>
      <c r="DS71">
        <v>129.84</v>
      </c>
      <c r="DT71">
        <v>655</v>
      </c>
      <c r="DU71">
        <v>97.56</v>
      </c>
      <c r="DV71">
        <v>90.9</v>
      </c>
      <c r="DW71" s="187">
        <v>32.799999999999997</v>
      </c>
      <c r="DX71">
        <v>128.54</v>
      </c>
      <c r="DY71">
        <v>703</v>
      </c>
      <c r="DZ71">
        <v>0</v>
      </c>
      <c r="EA71">
        <v>0</v>
      </c>
      <c r="EB71" s="187">
        <v>0</v>
      </c>
      <c r="EC71">
        <v>0</v>
      </c>
      <c r="ED71">
        <v>132.44999999999999</v>
      </c>
      <c r="EE71">
        <v>274</v>
      </c>
      <c r="EF71">
        <v>161.58000000000001</v>
      </c>
      <c r="EG71" s="187">
        <v>510</v>
      </c>
      <c r="EH71">
        <v>193.41</v>
      </c>
      <c r="EI71">
        <v>354</v>
      </c>
      <c r="EJ71">
        <v>235.99</v>
      </c>
      <c r="EK71">
        <v>93</v>
      </c>
      <c r="EL71" s="187">
        <v>0</v>
      </c>
      <c r="EM71">
        <v>0</v>
      </c>
      <c r="EN71">
        <v>0</v>
      </c>
      <c r="EO71">
        <v>0</v>
      </c>
      <c r="EP71">
        <v>169.87</v>
      </c>
      <c r="EQ71" s="187">
        <v>1231</v>
      </c>
      <c r="ER71">
        <v>169.87</v>
      </c>
      <c r="ES71">
        <v>1231</v>
      </c>
      <c r="ET71">
        <v>0</v>
      </c>
      <c r="EU71">
        <v>0</v>
      </c>
      <c r="EV71" s="187">
        <v>0</v>
      </c>
      <c r="EW71">
        <v>0</v>
      </c>
      <c r="EX71">
        <v>148.19999999999999</v>
      </c>
      <c r="EY71">
        <v>2</v>
      </c>
      <c r="EZ71">
        <v>155.91999999999999</v>
      </c>
      <c r="FA71" s="187">
        <v>2</v>
      </c>
      <c r="FB71">
        <v>0</v>
      </c>
      <c r="FC71">
        <v>0</v>
      </c>
      <c r="FD71">
        <v>0</v>
      </c>
      <c r="FE71">
        <v>0</v>
      </c>
      <c r="FF71" s="187">
        <v>152.06</v>
      </c>
      <c r="FG71">
        <v>4</v>
      </c>
      <c r="FH71">
        <v>152.06</v>
      </c>
      <c r="FI71">
        <v>4</v>
      </c>
      <c r="FJ71">
        <v>27</v>
      </c>
      <c r="FK71" s="187">
        <v>7</v>
      </c>
      <c r="FL71">
        <v>6</v>
      </c>
      <c r="FM71">
        <v>101</v>
      </c>
      <c r="FN71">
        <v>22</v>
      </c>
    </row>
    <row r="72" spans="1:170" x14ac:dyDescent="0.35">
      <c r="A72" t="s">
        <v>533</v>
      </c>
      <c r="B72" t="s">
        <v>534</v>
      </c>
      <c r="C72" t="s">
        <v>418</v>
      </c>
      <c r="D72">
        <v>6079</v>
      </c>
      <c r="E72">
        <v>6006</v>
      </c>
      <c r="F72">
        <v>0</v>
      </c>
      <c r="G72">
        <v>0</v>
      </c>
      <c r="H72">
        <v>375</v>
      </c>
      <c r="I72">
        <v>149</v>
      </c>
      <c r="J72">
        <v>654</v>
      </c>
      <c r="K72">
        <v>654</v>
      </c>
      <c r="L72">
        <v>308</v>
      </c>
      <c r="M72">
        <v>0</v>
      </c>
      <c r="N72">
        <v>7416</v>
      </c>
      <c r="O72">
        <v>6809</v>
      </c>
      <c r="P72">
        <v>7108</v>
      </c>
      <c r="Q72">
        <v>84</v>
      </c>
      <c r="R72">
        <v>10</v>
      </c>
      <c r="S72">
        <v>18</v>
      </c>
      <c r="T72">
        <v>238</v>
      </c>
      <c r="U72">
        <v>7178</v>
      </c>
      <c r="V72" s="498">
        <v>6004</v>
      </c>
      <c r="W72">
        <v>48</v>
      </c>
      <c r="X72" s="498">
        <v>5</v>
      </c>
      <c r="Y72" s="498">
        <v>53</v>
      </c>
      <c r="Z72" s="498">
        <v>82.94</v>
      </c>
      <c r="AA72" s="498">
        <v>80.150000000000006</v>
      </c>
      <c r="AB72">
        <v>5.96</v>
      </c>
      <c r="AC72">
        <v>87.34</v>
      </c>
      <c r="AD72">
        <v>5074</v>
      </c>
      <c r="AE72">
        <v>87.43</v>
      </c>
      <c r="AF72">
        <v>71.44</v>
      </c>
      <c r="AG72">
        <v>31.01</v>
      </c>
      <c r="AH72">
        <v>116.65</v>
      </c>
      <c r="AI72">
        <v>866</v>
      </c>
      <c r="AJ72">
        <v>105.81</v>
      </c>
      <c r="AK72">
        <v>965</v>
      </c>
      <c r="AL72">
        <v>0</v>
      </c>
      <c r="AM72">
        <v>0</v>
      </c>
      <c r="AN72">
        <v>0</v>
      </c>
      <c r="AO72" s="499">
        <v>0</v>
      </c>
      <c r="AP72" s="499">
        <v>0</v>
      </c>
      <c r="AQ72">
        <v>0</v>
      </c>
      <c r="AR72">
        <v>0</v>
      </c>
      <c r="AS72">
        <v>59.56</v>
      </c>
      <c r="AT72">
        <v>56.96</v>
      </c>
      <c r="AU72">
        <v>18.309999999999999</v>
      </c>
      <c r="AV72">
        <v>77.87</v>
      </c>
      <c r="AW72">
        <v>49</v>
      </c>
      <c r="AX72">
        <v>71.010000000000005</v>
      </c>
      <c r="AY72">
        <v>68.62</v>
      </c>
      <c r="AZ72">
        <v>5.9</v>
      </c>
      <c r="BA72">
        <v>76.34</v>
      </c>
      <c r="BB72">
        <v>1274</v>
      </c>
      <c r="BC72">
        <v>82.22</v>
      </c>
      <c r="BD72">
        <v>79.41</v>
      </c>
      <c r="BE72">
        <v>6.43</v>
      </c>
      <c r="BF72">
        <v>86.79</v>
      </c>
      <c r="BG72">
        <v>1891</v>
      </c>
      <c r="BH72">
        <v>91.92</v>
      </c>
      <c r="BI72">
        <v>88.86</v>
      </c>
      <c r="BJ72">
        <v>5.04</v>
      </c>
      <c r="BK72">
        <v>95.21</v>
      </c>
      <c r="BL72" s="214">
        <v>1754</v>
      </c>
      <c r="BM72" s="214">
        <v>101.65</v>
      </c>
      <c r="BN72">
        <v>98.65</v>
      </c>
      <c r="BO72" s="187">
        <v>4.05</v>
      </c>
      <c r="BP72" s="214">
        <v>103.6</v>
      </c>
      <c r="BQ72" s="214">
        <v>104</v>
      </c>
      <c r="BR72">
        <v>97</v>
      </c>
      <c r="BS72" s="187">
        <v>92.4</v>
      </c>
      <c r="BT72" s="214">
        <v>7.04</v>
      </c>
      <c r="BU72" s="214">
        <v>104.04</v>
      </c>
      <c r="BV72">
        <v>1</v>
      </c>
      <c r="BW72">
        <v>106.3</v>
      </c>
      <c r="BX72" s="214">
        <v>101.24</v>
      </c>
      <c r="BY72" s="214">
        <v>0</v>
      </c>
      <c r="BZ72">
        <v>106.3</v>
      </c>
      <c r="CA72" s="187">
        <v>1</v>
      </c>
      <c r="CB72" s="214">
        <v>82.94</v>
      </c>
      <c r="CC72" s="214">
        <v>80.150000000000006</v>
      </c>
      <c r="CD72">
        <v>5.96</v>
      </c>
      <c r="CE72" s="187">
        <v>87.34</v>
      </c>
      <c r="CF72" s="214">
        <v>5074</v>
      </c>
      <c r="CG72" s="214">
        <v>82.94</v>
      </c>
      <c r="CH72">
        <v>80.150000000000006</v>
      </c>
      <c r="CI72">
        <v>5.96</v>
      </c>
      <c r="CJ72">
        <v>87.34</v>
      </c>
      <c r="CK72">
        <v>5074</v>
      </c>
      <c r="CL72">
        <v>149.97999999999999</v>
      </c>
      <c r="CM72">
        <v>79.209999999999994</v>
      </c>
      <c r="CN72" s="187">
        <v>24.51</v>
      </c>
      <c r="CO72">
        <v>168.87</v>
      </c>
      <c r="CP72">
        <v>131</v>
      </c>
      <c r="CQ72">
        <v>71.209999999999994</v>
      </c>
      <c r="CR72">
        <v>67.39</v>
      </c>
      <c r="CS72" s="187">
        <v>32.31</v>
      </c>
      <c r="CT72">
        <v>100.43</v>
      </c>
      <c r="CU72">
        <v>94</v>
      </c>
      <c r="CV72">
        <v>74.56</v>
      </c>
      <c r="CW72">
        <v>70.14</v>
      </c>
      <c r="CX72" s="187">
        <v>30.15</v>
      </c>
      <c r="CY72">
        <v>104.23</v>
      </c>
      <c r="CZ72">
        <v>561</v>
      </c>
      <c r="DA72">
        <v>93.44</v>
      </c>
      <c r="DB72">
        <v>83.69</v>
      </c>
      <c r="DC72" s="187">
        <v>40.299999999999997</v>
      </c>
      <c r="DD72">
        <v>132.66</v>
      </c>
      <c r="DE72">
        <v>75</v>
      </c>
      <c r="DF72">
        <v>107.97</v>
      </c>
      <c r="DG72">
        <v>87.68</v>
      </c>
      <c r="DH72" s="187">
        <v>99</v>
      </c>
      <c r="DI72">
        <v>206.96</v>
      </c>
      <c r="DJ72">
        <v>5</v>
      </c>
      <c r="DK72">
        <v>0</v>
      </c>
      <c r="DL72">
        <v>0</v>
      </c>
      <c r="DM72" s="187">
        <v>0</v>
      </c>
      <c r="DN72">
        <v>0</v>
      </c>
      <c r="DO72">
        <v>0</v>
      </c>
      <c r="DP72">
        <v>76.28</v>
      </c>
      <c r="DQ72">
        <v>71.09</v>
      </c>
      <c r="DR72" s="187">
        <v>31.93</v>
      </c>
      <c r="DS72">
        <v>107.34</v>
      </c>
      <c r="DT72">
        <v>735</v>
      </c>
      <c r="DU72">
        <v>87.43</v>
      </c>
      <c r="DV72">
        <v>71.44</v>
      </c>
      <c r="DW72" s="187">
        <v>31.01</v>
      </c>
      <c r="DX72">
        <v>116.65</v>
      </c>
      <c r="DY72">
        <v>866</v>
      </c>
      <c r="DZ72">
        <v>0</v>
      </c>
      <c r="EA72">
        <v>0</v>
      </c>
      <c r="EB72" s="187">
        <v>0</v>
      </c>
      <c r="EC72">
        <v>0</v>
      </c>
      <c r="ED72">
        <v>83.34</v>
      </c>
      <c r="EE72">
        <v>139</v>
      </c>
      <c r="EF72">
        <v>104.39</v>
      </c>
      <c r="EG72" s="187">
        <v>503</v>
      </c>
      <c r="EH72">
        <v>116.89</v>
      </c>
      <c r="EI72">
        <v>293</v>
      </c>
      <c r="EJ72">
        <v>125.32</v>
      </c>
      <c r="EK72">
        <v>30</v>
      </c>
      <c r="EL72" s="187">
        <v>0</v>
      </c>
      <c r="EM72">
        <v>0</v>
      </c>
      <c r="EN72">
        <v>0</v>
      </c>
      <c r="EO72">
        <v>0</v>
      </c>
      <c r="EP72">
        <v>105.81</v>
      </c>
      <c r="EQ72" s="187">
        <v>965</v>
      </c>
      <c r="ER72">
        <v>105.81</v>
      </c>
      <c r="ES72">
        <v>965</v>
      </c>
      <c r="ET72">
        <v>0</v>
      </c>
      <c r="EU72">
        <v>0</v>
      </c>
      <c r="EV72" s="187">
        <v>0</v>
      </c>
      <c r="EW72">
        <v>0</v>
      </c>
      <c r="EX72">
        <v>0</v>
      </c>
      <c r="EY72">
        <v>0</v>
      </c>
      <c r="EZ72">
        <v>0</v>
      </c>
      <c r="FA72" s="187">
        <v>0</v>
      </c>
      <c r="FB72">
        <v>0</v>
      </c>
      <c r="FC72">
        <v>0</v>
      </c>
      <c r="FD72">
        <v>0</v>
      </c>
      <c r="FE72">
        <v>0</v>
      </c>
      <c r="FF72" s="187">
        <v>0</v>
      </c>
      <c r="FG72">
        <v>0</v>
      </c>
      <c r="FH72">
        <v>0</v>
      </c>
      <c r="FI72">
        <v>0</v>
      </c>
      <c r="FJ72">
        <v>6</v>
      </c>
      <c r="FK72" s="187">
        <v>6</v>
      </c>
      <c r="FL72">
        <v>0</v>
      </c>
      <c r="FM72">
        <v>10</v>
      </c>
      <c r="FN72">
        <v>4</v>
      </c>
    </row>
    <row r="73" spans="1:170" x14ac:dyDescent="0.35">
      <c r="A73" t="s">
        <v>535</v>
      </c>
      <c r="B73" t="s">
        <v>536</v>
      </c>
      <c r="C73" t="s">
        <v>416</v>
      </c>
      <c r="D73">
        <v>194</v>
      </c>
      <c r="E73">
        <v>194</v>
      </c>
      <c r="F73">
        <v>0</v>
      </c>
      <c r="G73">
        <v>0</v>
      </c>
      <c r="H73">
        <v>17</v>
      </c>
      <c r="I73">
        <v>17</v>
      </c>
      <c r="J73">
        <v>19</v>
      </c>
      <c r="K73">
        <v>19</v>
      </c>
      <c r="L73">
        <v>0</v>
      </c>
      <c r="M73">
        <v>0</v>
      </c>
      <c r="N73">
        <v>230</v>
      </c>
      <c r="O73">
        <v>230</v>
      </c>
      <c r="P73">
        <v>230</v>
      </c>
      <c r="Q73">
        <v>0</v>
      </c>
      <c r="R73">
        <v>0</v>
      </c>
      <c r="S73">
        <v>3</v>
      </c>
      <c r="T73">
        <v>0</v>
      </c>
      <c r="U73">
        <v>230</v>
      </c>
      <c r="V73" s="498">
        <v>194</v>
      </c>
      <c r="W73">
        <v>2</v>
      </c>
      <c r="X73" s="498">
        <v>0</v>
      </c>
      <c r="Y73" s="498">
        <v>2</v>
      </c>
      <c r="Z73" s="498">
        <v>130.65</v>
      </c>
      <c r="AA73" s="498">
        <v>132.4</v>
      </c>
      <c r="AB73">
        <v>10.19</v>
      </c>
      <c r="AC73">
        <v>140.83000000000001</v>
      </c>
      <c r="AD73">
        <v>160</v>
      </c>
      <c r="AE73">
        <v>118.51</v>
      </c>
      <c r="AF73">
        <v>115.42</v>
      </c>
      <c r="AG73">
        <v>184.12</v>
      </c>
      <c r="AH73">
        <v>302.63</v>
      </c>
      <c r="AI73">
        <v>36</v>
      </c>
      <c r="AJ73">
        <v>213.55</v>
      </c>
      <c r="AK73">
        <v>34</v>
      </c>
      <c r="AL73">
        <v>0</v>
      </c>
      <c r="AM73">
        <v>0</v>
      </c>
      <c r="AN73">
        <v>0</v>
      </c>
      <c r="AO73" s="499">
        <v>0</v>
      </c>
      <c r="AP73" s="499">
        <v>0</v>
      </c>
      <c r="AQ73">
        <v>0</v>
      </c>
      <c r="AR73">
        <v>0</v>
      </c>
      <c r="AS73">
        <v>90.39</v>
      </c>
      <c r="AT73">
        <v>87.32</v>
      </c>
      <c r="AU73">
        <v>10.91</v>
      </c>
      <c r="AV73">
        <v>101.3</v>
      </c>
      <c r="AW73">
        <v>21</v>
      </c>
      <c r="AX73">
        <v>126.27</v>
      </c>
      <c r="AY73">
        <v>124.67</v>
      </c>
      <c r="AZ73">
        <v>11.83</v>
      </c>
      <c r="BA73">
        <v>138.1</v>
      </c>
      <c r="BB73">
        <v>57</v>
      </c>
      <c r="BC73">
        <v>137.51</v>
      </c>
      <c r="BD73">
        <v>143.9</v>
      </c>
      <c r="BE73">
        <v>11.6</v>
      </c>
      <c r="BF73">
        <v>149.11000000000001</v>
      </c>
      <c r="BG73">
        <v>34</v>
      </c>
      <c r="BH73">
        <v>148.59</v>
      </c>
      <c r="BI73">
        <v>166.38</v>
      </c>
      <c r="BJ73">
        <v>6.92</v>
      </c>
      <c r="BK73">
        <v>155.51</v>
      </c>
      <c r="BL73" s="214">
        <v>48</v>
      </c>
      <c r="BM73" s="214">
        <v>0</v>
      </c>
      <c r="BN73">
        <v>0</v>
      </c>
      <c r="BO73" s="187">
        <v>0</v>
      </c>
      <c r="BP73" s="214">
        <v>0</v>
      </c>
      <c r="BQ73" s="214">
        <v>0</v>
      </c>
      <c r="BR73">
        <v>0</v>
      </c>
      <c r="BS73" s="187">
        <v>0</v>
      </c>
      <c r="BT73" s="214">
        <v>0</v>
      </c>
      <c r="BU73" s="214">
        <v>0</v>
      </c>
      <c r="BV73">
        <v>0</v>
      </c>
      <c r="BW73">
        <v>0</v>
      </c>
      <c r="BX73" s="214">
        <v>0</v>
      </c>
      <c r="BY73" s="214">
        <v>0</v>
      </c>
      <c r="BZ73">
        <v>0</v>
      </c>
      <c r="CA73" s="187">
        <v>0</v>
      </c>
      <c r="CB73" s="214">
        <v>130.65</v>
      </c>
      <c r="CC73" s="214">
        <v>132.4</v>
      </c>
      <c r="CD73">
        <v>10.19</v>
      </c>
      <c r="CE73" s="187">
        <v>140.83000000000001</v>
      </c>
      <c r="CF73" s="214">
        <v>160</v>
      </c>
      <c r="CG73" s="214">
        <v>130.65</v>
      </c>
      <c r="CH73">
        <v>132.4</v>
      </c>
      <c r="CI73">
        <v>10.19</v>
      </c>
      <c r="CJ73">
        <v>140.83000000000001</v>
      </c>
      <c r="CK73">
        <v>160</v>
      </c>
      <c r="CL73">
        <v>0</v>
      </c>
      <c r="CM73">
        <v>0</v>
      </c>
      <c r="CN73" s="187">
        <v>0</v>
      </c>
      <c r="CO73">
        <v>0</v>
      </c>
      <c r="CP73">
        <v>0</v>
      </c>
      <c r="CQ73">
        <v>0</v>
      </c>
      <c r="CR73">
        <v>0</v>
      </c>
      <c r="CS73" s="187">
        <v>0</v>
      </c>
      <c r="CT73">
        <v>0</v>
      </c>
      <c r="CU73">
        <v>0</v>
      </c>
      <c r="CV73">
        <v>117.4</v>
      </c>
      <c r="CW73">
        <v>114.47</v>
      </c>
      <c r="CX73" s="187">
        <v>188.23</v>
      </c>
      <c r="CY73">
        <v>305.63</v>
      </c>
      <c r="CZ73">
        <v>35</v>
      </c>
      <c r="DA73">
        <v>157.62</v>
      </c>
      <c r="DB73">
        <v>148.74</v>
      </c>
      <c r="DC73" s="187">
        <v>40.32</v>
      </c>
      <c r="DD73">
        <v>197.94</v>
      </c>
      <c r="DE73">
        <v>1</v>
      </c>
      <c r="DF73">
        <v>0</v>
      </c>
      <c r="DG73">
        <v>0</v>
      </c>
      <c r="DH73" s="187">
        <v>0</v>
      </c>
      <c r="DI73">
        <v>0</v>
      </c>
      <c r="DJ73">
        <v>0</v>
      </c>
      <c r="DK73">
        <v>0</v>
      </c>
      <c r="DL73">
        <v>0</v>
      </c>
      <c r="DM73" s="187">
        <v>0</v>
      </c>
      <c r="DN73">
        <v>0</v>
      </c>
      <c r="DO73">
        <v>0</v>
      </c>
      <c r="DP73">
        <v>118.51</v>
      </c>
      <c r="DQ73">
        <v>115.42</v>
      </c>
      <c r="DR73" s="187">
        <v>184.12</v>
      </c>
      <c r="DS73">
        <v>302.63</v>
      </c>
      <c r="DT73">
        <v>36</v>
      </c>
      <c r="DU73">
        <v>118.51</v>
      </c>
      <c r="DV73">
        <v>115.42</v>
      </c>
      <c r="DW73" s="187">
        <v>184.12</v>
      </c>
      <c r="DX73">
        <v>302.63</v>
      </c>
      <c r="DY73">
        <v>36</v>
      </c>
      <c r="DZ73">
        <v>0</v>
      </c>
      <c r="EA73">
        <v>0</v>
      </c>
      <c r="EB73" s="187">
        <v>187.5</v>
      </c>
      <c r="EC73">
        <v>16</v>
      </c>
      <c r="ED73">
        <v>225.5</v>
      </c>
      <c r="EE73">
        <v>14</v>
      </c>
      <c r="EF73">
        <v>275.95999999999998</v>
      </c>
      <c r="EG73" s="187">
        <v>4</v>
      </c>
      <c r="EH73">
        <v>0</v>
      </c>
      <c r="EI73">
        <v>0</v>
      </c>
      <c r="EJ73">
        <v>0</v>
      </c>
      <c r="EK73">
        <v>0</v>
      </c>
      <c r="EL73" s="187">
        <v>0</v>
      </c>
      <c r="EM73">
        <v>0</v>
      </c>
      <c r="EN73">
        <v>0</v>
      </c>
      <c r="EO73">
        <v>0</v>
      </c>
      <c r="EP73">
        <v>213.55</v>
      </c>
      <c r="EQ73" s="187">
        <v>34</v>
      </c>
      <c r="ER73">
        <v>213.55</v>
      </c>
      <c r="ES73">
        <v>34</v>
      </c>
      <c r="ET73">
        <v>0</v>
      </c>
      <c r="EU73">
        <v>0</v>
      </c>
      <c r="EV73" s="187">
        <v>0</v>
      </c>
      <c r="EW73">
        <v>0</v>
      </c>
      <c r="EX73">
        <v>0</v>
      </c>
      <c r="EY73">
        <v>0</v>
      </c>
      <c r="EZ73">
        <v>0</v>
      </c>
      <c r="FA73" s="187">
        <v>0</v>
      </c>
      <c r="FB73">
        <v>0</v>
      </c>
      <c r="FC73">
        <v>0</v>
      </c>
      <c r="FD73">
        <v>0</v>
      </c>
      <c r="FE73">
        <v>0</v>
      </c>
      <c r="FF73" s="187">
        <v>0</v>
      </c>
      <c r="FG73">
        <v>0</v>
      </c>
      <c r="FH73">
        <v>0</v>
      </c>
      <c r="FI73">
        <v>0</v>
      </c>
      <c r="FJ73">
        <v>0</v>
      </c>
      <c r="FK73" s="187">
        <v>0</v>
      </c>
      <c r="FL73">
        <v>0</v>
      </c>
      <c r="FM73">
        <v>0</v>
      </c>
      <c r="FN73">
        <v>0</v>
      </c>
    </row>
    <row r="74" spans="1:170" x14ac:dyDescent="0.35">
      <c r="A74" t="s">
        <v>537</v>
      </c>
      <c r="B74" t="s">
        <v>538</v>
      </c>
      <c r="C74" t="s">
        <v>415</v>
      </c>
      <c r="D74">
        <v>4320</v>
      </c>
      <c r="E74">
        <v>4243</v>
      </c>
      <c r="F74">
        <v>135</v>
      </c>
      <c r="G74">
        <v>135</v>
      </c>
      <c r="H74">
        <v>588</v>
      </c>
      <c r="I74">
        <v>476</v>
      </c>
      <c r="J74">
        <v>357</v>
      </c>
      <c r="K74">
        <v>189</v>
      </c>
      <c r="L74">
        <v>365</v>
      </c>
      <c r="M74">
        <v>17</v>
      </c>
      <c r="N74">
        <v>5765</v>
      </c>
      <c r="O74">
        <v>5060</v>
      </c>
      <c r="P74">
        <v>5400</v>
      </c>
      <c r="Q74">
        <v>8</v>
      </c>
      <c r="R74">
        <v>15</v>
      </c>
      <c r="S74">
        <v>30</v>
      </c>
      <c r="T74">
        <v>334</v>
      </c>
      <c r="U74">
        <v>5431</v>
      </c>
      <c r="V74" s="498">
        <v>4253</v>
      </c>
      <c r="W74">
        <v>43</v>
      </c>
      <c r="X74" s="498">
        <v>42</v>
      </c>
      <c r="Y74" s="498">
        <v>85</v>
      </c>
      <c r="Z74" s="498">
        <v>105.96</v>
      </c>
      <c r="AA74" s="498">
        <v>103.91</v>
      </c>
      <c r="AB74">
        <v>6.23</v>
      </c>
      <c r="AC74">
        <v>110.97</v>
      </c>
      <c r="AD74">
        <v>2731</v>
      </c>
      <c r="AE74">
        <v>106.31</v>
      </c>
      <c r="AF74">
        <v>87.84</v>
      </c>
      <c r="AG74">
        <v>48.43</v>
      </c>
      <c r="AH74">
        <v>149.69999999999999</v>
      </c>
      <c r="AI74">
        <v>644</v>
      </c>
      <c r="AJ74">
        <v>141.66</v>
      </c>
      <c r="AK74">
        <v>1201</v>
      </c>
      <c r="AL74">
        <v>150.36000000000001</v>
      </c>
      <c r="AM74">
        <v>34</v>
      </c>
      <c r="AN74">
        <v>0</v>
      </c>
      <c r="AO74" s="499">
        <v>0</v>
      </c>
      <c r="AP74" s="499">
        <v>0</v>
      </c>
      <c r="AQ74">
        <v>0</v>
      </c>
      <c r="AR74">
        <v>0</v>
      </c>
      <c r="AS74">
        <v>0</v>
      </c>
      <c r="AT74">
        <v>0</v>
      </c>
      <c r="AU74">
        <v>0</v>
      </c>
      <c r="AV74">
        <v>0</v>
      </c>
      <c r="AW74">
        <v>0</v>
      </c>
      <c r="AX74">
        <v>86.35</v>
      </c>
      <c r="AY74">
        <v>84.94</v>
      </c>
      <c r="AZ74">
        <v>9.57</v>
      </c>
      <c r="BA74">
        <v>95.26</v>
      </c>
      <c r="BB74">
        <v>425</v>
      </c>
      <c r="BC74">
        <v>100.79</v>
      </c>
      <c r="BD74">
        <v>98.75</v>
      </c>
      <c r="BE74">
        <v>7.72</v>
      </c>
      <c r="BF74">
        <v>107.44</v>
      </c>
      <c r="BG74">
        <v>1109</v>
      </c>
      <c r="BH74">
        <v>115.28</v>
      </c>
      <c r="BI74">
        <v>112.82</v>
      </c>
      <c r="BJ74">
        <v>2.94</v>
      </c>
      <c r="BK74">
        <v>117.4</v>
      </c>
      <c r="BL74" s="214">
        <v>1026</v>
      </c>
      <c r="BM74" s="214">
        <v>131.87</v>
      </c>
      <c r="BN74">
        <v>130.62</v>
      </c>
      <c r="BO74" s="187">
        <v>3.09</v>
      </c>
      <c r="BP74" s="214">
        <v>133.81</v>
      </c>
      <c r="BQ74" s="214">
        <v>168</v>
      </c>
      <c r="BR74">
        <v>141.16</v>
      </c>
      <c r="BS74" s="187">
        <v>140.34</v>
      </c>
      <c r="BT74" s="214">
        <v>0</v>
      </c>
      <c r="BU74" s="214">
        <v>141.16</v>
      </c>
      <c r="BV74">
        <v>2</v>
      </c>
      <c r="BW74">
        <v>191.82</v>
      </c>
      <c r="BX74" s="214">
        <v>191.82</v>
      </c>
      <c r="BY74" s="214">
        <v>4.9000000000000004</v>
      </c>
      <c r="BZ74">
        <v>196.72</v>
      </c>
      <c r="CA74" s="187">
        <v>1</v>
      </c>
      <c r="CB74" s="214">
        <v>105.96</v>
      </c>
      <c r="CC74" s="214">
        <v>103.91</v>
      </c>
      <c r="CD74">
        <v>6.23</v>
      </c>
      <c r="CE74" s="187">
        <v>110.97</v>
      </c>
      <c r="CF74" s="214">
        <v>2731</v>
      </c>
      <c r="CG74" s="214">
        <v>105.96</v>
      </c>
      <c r="CH74">
        <v>103.91</v>
      </c>
      <c r="CI74">
        <v>6.23</v>
      </c>
      <c r="CJ74">
        <v>110.97</v>
      </c>
      <c r="CK74">
        <v>2731</v>
      </c>
      <c r="CL74">
        <v>107.39</v>
      </c>
      <c r="CM74">
        <v>79.95</v>
      </c>
      <c r="CN74" s="187">
        <v>44.69</v>
      </c>
      <c r="CO74">
        <v>142.97</v>
      </c>
      <c r="CP74">
        <v>211</v>
      </c>
      <c r="CQ74">
        <v>115.68</v>
      </c>
      <c r="CR74">
        <v>75.91</v>
      </c>
      <c r="CS74" s="187">
        <v>80.34</v>
      </c>
      <c r="CT74">
        <v>193.48</v>
      </c>
      <c r="CU74">
        <v>95</v>
      </c>
      <c r="CV74">
        <v>105.18</v>
      </c>
      <c r="CW74">
        <v>93.37</v>
      </c>
      <c r="CX74" s="187">
        <v>40.83</v>
      </c>
      <c r="CY74">
        <v>143.30000000000001</v>
      </c>
      <c r="CZ74">
        <v>256</v>
      </c>
      <c r="DA74">
        <v>93.1</v>
      </c>
      <c r="DB74">
        <v>94.33</v>
      </c>
      <c r="DC74" s="187">
        <v>37.75</v>
      </c>
      <c r="DD74">
        <v>129.24</v>
      </c>
      <c r="DE74">
        <v>70</v>
      </c>
      <c r="DF74">
        <v>110.78</v>
      </c>
      <c r="DG74">
        <v>116.98</v>
      </c>
      <c r="DH74" s="187">
        <v>80.37</v>
      </c>
      <c r="DI74">
        <v>183.11</v>
      </c>
      <c r="DJ74">
        <v>10</v>
      </c>
      <c r="DK74">
        <v>131.71</v>
      </c>
      <c r="DL74">
        <v>126.47</v>
      </c>
      <c r="DM74" s="187">
        <v>15.77</v>
      </c>
      <c r="DN74">
        <v>147.47999999999999</v>
      </c>
      <c r="DO74">
        <v>2</v>
      </c>
      <c r="DP74">
        <v>105.78</v>
      </c>
      <c r="DQ74">
        <v>91.42</v>
      </c>
      <c r="DR74" s="187">
        <v>49.96</v>
      </c>
      <c r="DS74">
        <v>152.97999999999999</v>
      </c>
      <c r="DT74">
        <v>433</v>
      </c>
      <c r="DU74">
        <v>106.31</v>
      </c>
      <c r="DV74">
        <v>87.84</v>
      </c>
      <c r="DW74" s="187">
        <v>48.43</v>
      </c>
      <c r="DX74">
        <v>149.69999999999999</v>
      </c>
      <c r="DY74">
        <v>644</v>
      </c>
      <c r="DZ74">
        <v>0</v>
      </c>
      <c r="EA74">
        <v>0</v>
      </c>
      <c r="EB74" s="187">
        <v>0</v>
      </c>
      <c r="EC74">
        <v>0</v>
      </c>
      <c r="ED74">
        <v>109.19</v>
      </c>
      <c r="EE74">
        <v>191</v>
      </c>
      <c r="EF74">
        <v>135.21</v>
      </c>
      <c r="EG74" s="187">
        <v>609</v>
      </c>
      <c r="EH74">
        <v>159.91</v>
      </c>
      <c r="EI74">
        <v>328</v>
      </c>
      <c r="EJ74">
        <v>198.38</v>
      </c>
      <c r="EK74">
        <v>73</v>
      </c>
      <c r="EL74" s="187">
        <v>0</v>
      </c>
      <c r="EM74">
        <v>0</v>
      </c>
      <c r="EN74">
        <v>0</v>
      </c>
      <c r="EO74">
        <v>0</v>
      </c>
      <c r="EP74">
        <v>141.66</v>
      </c>
      <c r="EQ74" s="187">
        <v>1201</v>
      </c>
      <c r="ER74">
        <v>141.66</v>
      </c>
      <c r="ES74">
        <v>1201</v>
      </c>
      <c r="ET74">
        <v>0</v>
      </c>
      <c r="EU74">
        <v>0</v>
      </c>
      <c r="EV74" s="187">
        <v>148.15</v>
      </c>
      <c r="EW74">
        <v>3</v>
      </c>
      <c r="EX74">
        <v>146.32</v>
      </c>
      <c r="EY74">
        <v>19</v>
      </c>
      <c r="EZ74">
        <v>156.57</v>
      </c>
      <c r="FA74" s="187">
        <v>11</v>
      </c>
      <c r="FB74">
        <v>165.57</v>
      </c>
      <c r="FC74">
        <v>1</v>
      </c>
      <c r="FD74">
        <v>0</v>
      </c>
      <c r="FE74">
        <v>0</v>
      </c>
      <c r="FF74" s="187">
        <v>150.36000000000001</v>
      </c>
      <c r="FG74">
        <v>34</v>
      </c>
      <c r="FH74">
        <v>150.36000000000001</v>
      </c>
      <c r="FI74">
        <v>34</v>
      </c>
      <c r="FJ74">
        <v>0</v>
      </c>
      <c r="FK74" s="187">
        <v>1</v>
      </c>
      <c r="FL74">
        <v>13</v>
      </c>
      <c r="FM74">
        <v>9</v>
      </c>
      <c r="FN74">
        <v>6</v>
      </c>
    </row>
    <row r="75" spans="1:170" x14ac:dyDescent="0.35">
      <c r="A75" t="s">
        <v>539</v>
      </c>
      <c r="B75" t="s">
        <v>540</v>
      </c>
      <c r="C75" t="s">
        <v>418</v>
      </c>
      <c r="D75">
        <v>5495</v>
      </c>
      <c r="E75">
        <v>5465</v>
      </c>
      <c r="F75">
        <v>0</v>
      </c>
      <c r="G75">
        <v>0</v>
      </c>
      <c r="H75">
        <v>131</v>
      </c>
      <c r="I75">
        <v>99</v>
      </c>
      <c r="J75">
        <v>309</v>
      </c>
      <c r="K75">
        <v>309</v>
      </c>
      <c r="L75">
        <v>11</v>
      </c>
      <c r="M75">
        <v>0</v>
      </c>
      <c r="N75">
        <v>5946</v>
      </c>
      <c r="O75">
        <v>5873</v>
      </c>
      <c r="P75">
        <v>5935</v>
      </c>
      <c r="Q75">
        <v>7</v>
      </c>
      <c r="R75">
        <v>6</v>
      </c>
      <c r="S75">
        <v>8</v>
      </c>
      <c r="T75">
        <v>43</v>
      </c>
      <c r="U75">
        <v>5903</v>
      </c>
      <c r="V75" s="498">
        <v>5462</v>
      </c>
      <c r="W75">
        <v>117</v>
      </c>
      <c r="X75" s="498">
        <v>18</v>
      </c>
      <c r="Y75" s="498">
        <v>135</v>
      </c>
      <c r="Z75" s="498">
        <v>88.28</v>
      </c>
      <c r="AA75" s="498">
        <v>84.93</v>
      </c>
      <c r="AB75">
        <v>1.47</v>
      </c>
      <c r="AC75">
        <v>89.63</v>
      </c>
      <c r="AD75">
        <v>5157</v>
      </c>
      <c r="AE75">
        <v>79.650000000000006</v>
      </c>
      <c r="AF75">
        <v>74.52</v>
      </c>
      <c r="AG75">
        <v>46.56</v>
      </c>
      <c r="AH75">
        <v>121.01</v>
      </c>
      <c r="AI75">
        <v>430</v>
      </c>
      <c r="AJ75">
        <v>94.52</v>
      </c>
      <c r="AK75">
        <v>305</v>
      </c>
      <c r="AL75">
        <v>0</v>
      </c>
      <c r="AM75">
        <v>0</v>
      </c>
      <c r="AN75">
        <v>0</v>
      </c>
      <c r="AO75" s="499">
        <v>0</v>
      </c>
      <c r="AP75" s="499">
        <v>0</v>
      </c>
      <c r="AQ75">
        <v>0</v>
      </c>
      <c r="AR75">
        <v>0</v>
      </c>
      <c r="AS75">
        <v>0</v>
      </c>
      <c r="AT75">
        <v>0</v>
      </c>
      <c r="AU75">
        <v>0</v>
      </c>
      <c r="AV75">
        <v>0</v>
      </c>
      <c r="AW75">
        <v>0</v>
      </c>
      <c r="AX75">
        <v>75.290000000000006</v>
      </c>
      <c r="AY75">
        <v>71.959999999999994</v>
      </c>
      <c r="AZ75">
        <v>5.29</v>
      </c>
      <c r="BA75">
        <v>80.489999999999995</v>
      </c>
      <c r="BB75">
        <v>399</v>
      </c>
      <c r="BC75">
        <v>84.46</v>
      </c>
      <c r="BD75">
        <v>81.19</v>
      </c>
      <c r="BE75">
        <v>1.91</v>
      </c>
      <c r="BF75">
        <v>86.23</v>
      </c>
      <c r="BG75">
        <v>2118</v>
      </c>
      <c r="BH75">
        <v>92.71</v>
      </c>
      <c r="BI75">
        <v>89.3</v>
      </c>
      <c r="BJ75">
        <v>0.47</v>
      </c>
      <c r="BK75">
        <v>93.14</v>
      </c>
      <c r="BL75" s="214">
        <v>2456</v>
      </c>
      <c r="BM75" s="214">
        <v>100.83</v>
      </c>
      <c r="BN75">
        <v>97.33</v>
      </c>
      <c r="BO75" s="187">
        <v>0.42</v>
      </c>
      <c r="BP75" s="214">
        <v>101.22</v>
      </c>
      <c r="BQ75" s="214">
        <v>175</v>
      </c>
      <c r="BR75">
        <v>110.08</v>
      </c>
      <c r="BS75" s="187">
        <v>106.79</v>
      </c>
      <c r="BT75" s="214">
        <v>0.32</v>
      </c>
      <c r="BU75" s="214">
        <v>110.4</v>
      </c>
      <c r="BV75">
        <v>9</v>
      </c>
      <c r="BW75">
        <v>0</v>
      </c>
      <c r="BX75" s="214">
        <v>0</v>
      </c>
      <c r="BY75" s="214">
        <v>0</v>
      </c>
      <c r="BZ75">
        <v>0</v>
      </c>
      <c r="CA75" s="187">
        <v>0</v>
      </c>
      <c r="CB75" s="214">
        <v>88.28</v>
      </c>
      <c r="CC75" s="214">
        <v>84.93</v>
      </c>
      <c r="CD75">
        <v>1.47</v>
      </c>
      <c r="CE75" s="187">
        <v>89.63</v>
      </c>
      <c r="CF75" s="214">
        <v>5157</v>
      </c>
      <c r="CG75" s="214">
        <v>88.28</v>
      </c>
      <c r="CH75">
        <v>84.93</v>
      </c>
      <c r="CI75">
        <v>1.47</v>
      </c>
      <c r="CJ75">
        <v>89.63</v>
      </c>
      <c r="CK75">
        <v>5157</v>
      </c>
      <c r="CL75">
        <v>80.73</v>
      </c>
      <c r="CM75">
        <v>66.63</v>
      </c>
      <c r="CN75" s="187">
        <v>78.790000000000006</v>
      </c>
      <c r="CO75">
        <v>159.52000000000001</v>
      </c>
      <c r="CP75">
        <v>53</v>
      </c>
      <c r="CQ75">
        <v>68.41</v>
      </c>
      <c r="CR75">
        <v>64.069999999999993</v>
      </c>
      <c r="CS75" s="187">
        <v>41.17</v>
      </c>
      <c r="CT75">
        <v>109.57</v>
      </c>
      <c r="CU75">
        <v>57</v>
      </c>
      <c r="CV75">
        <v>77.42</v>
      </c>
      <c r="CW75">
        <v>73.650000000000006</v>
      </c>
      <c r="CX75" s="187">
        <v>44.6</v>
      </c>
      <c r="CY75">
        <v>112.67</v>
      </c>
      <c r="CZ75">
        <v>229</v>
      </c>
      <c r="DA75">
        <v>91.19</v>
      </c>
      <c r="DB75">
        <v>87.23</v>
      </c>
      <c r="DC75" s="187">
        <v>35.49</v>
      </c>
      <c r="DD75">
        <v>126.68</v>
      </c>
      <c r="DE75">
        <v>88</v>
      </c>
      <c r="DF75">
        <v>106.38</v>
      </c>
      <c r="DG75">
        <v>98.14</v>
      </c>
      <c r="DH75" s="187">
        <v>22.37</v>
      </c>
      <c r="DI75">
        <v>128.75</v>
      </c>
      <c r="DJ75">
        <v>3</v>
      </c>
      <c r="DK75">
        <v>0</v>
      </c>
      <c r="DL75">
        <v>0</v>
      </c>
      <c r="DM75" s="187">
        <v>0</v>
      </c>
      <c r="DN75">
        <v>0</v>
      </c>
      <c r="DO75">
        <v>0</v>
      </c>
      <c r="DP75">
        <v>79.5</v>
      </c>
      <c r="DQ75">
        <v>75.569999999999993</v>
      </c>
      <c r="DR75" s="187">
        <v>41.36</v>
      </c>
      <c r="DS75">
        <v>115.6</v>
      </c>
      <c r="DT75">
        <v>377</v>
      </c>
      <c r="DU75">
        <v>79.650000000000006</v>
      </c>
      <c r="DV75">
        <v>74.52</v>
      </c>
      <c r="DW75" s="187">
        <v>46.56</v>
      </c>
      <c r="DX75">
        <v>121.01</v>
      </c>
      <c r="DY75">
        <v>430</v>
      </c>
      <c r="DZ75">
        <v>0</v>
      </c>
      <c r="EA75">
        <v>0</v>
      </c>
      <c r="EB75" s="187">
        <v>0</v>
      </c>
      <c r="EC75">
        <v>0</v>
      </c>
      <c r="ED75">
        <v>77.44</v>
      </c>
      <c r="EE75">
        <v>31</v>
      </c>
      <c r="EF75">
        <v>90.62</v>
      </c>
      <c r="EG75" s="187">
        <v>149</v>
      </c>
      <c r="EH75">
        <v>102.66</v>
      </c>
      <c r="EI75">
        <v>113</v>
      </c>
      <c r="EJ75">
        <v>110.4</v>
      </c>
      <c r="EK75">
        <v>12</v>
      </c>
      <c r="EL75" s="187">
        <v>0</v>
      </c>
      <c r="EM75">
        <v>0</v>
      </c>
      <c r="EN75">
        <v>0</v>
      </c>
      <c r="EO75">
        <v>0</v>
      </c>
      <c r="EP75">
        <v>94.52</v>
      </c>
      <c r="EQ75" s="187">
        <v>305</v>
      </c>
      <c r="ER75">
        <v>94.52</v>
      </c>
      <c r="ES75">
        <v>305</v>
      </c>
      <c r="ET75">
        <v>0</v>
      </c>
      <c r="EU75">
        <v>0</v>
      </c>
      <c r="EV75" s="187">
        <v>0</v>
      </c>
      <c r="EW75">
        <v>0</v>
      </c>
      <c r="EX75">
        <v>0</v>
      </c>
      <c r="EY75">
        <v>0</v>
      </c>
      <c r="EZ75">
        <v>0</v>
      </c>
      <c r="FA75" s="187">
        <v>0</v>
      </c>
      <c r="FB75">
        <v>0</v>
      </c>
      <c r="FC75">
        <v>0</v>
      </c>
      <c r="FD75">
        <v>0</v>
      </c>
      <c r="FE75">
        <v>0</v>
      </c>
      <c r="FF75" s="187">
        <v>0</v>
      </c>
      <c r="FG75">
        <v>0</v>
      </c>
      <c r="FH75">
        <v>0</v>
      </c>
      <c r="FI75">
        <v>0</v>
      </c>
      <c r="FJ75">
        <v>0</v>
      </c>
      <c r="FK75" s="187">
        <v>20</v>
      </c>
      <c r="FL75">
        <v>14</v>
      </c>
      <c r="FM75">
        <v>0</v>
      </c>
      <c r="FN75">
        <v>0</v>
      </c>
    </row>
    <row r="76" spans="1:170" x14ac:dyDescent="0.35">
      <c r="A76" t="s">
        <v>541</v>
      </c>
      <c r="B76" t="s">
        <v>542</v>
      </c>
      <c r="C76" t="s">
        <v>419</v>
      </c>
      <c r="D76">
        <v>19284</v>
      </c>
      <c r="E76">
        <v>18935</v>
      </c>
      <c r="F76">
        <v>0</v>
      </c>
      <c r="G76">
        <v>0</v>
      </c>
      <c r="H76">
        <v>853</v>
      </c>
      <c r="I76">
        <v>642</v>
      </c>
      <c r="J76">
        <v>2545</v>
      </c>
      <c r="K76">
        <v>2485</v>
      </c>
      <c r="L76">
        <v>2737</v>
      </c>
      <c r="M76">
        <v>206</v>
      </c>
      <c r="N76">
        <v>25419</v>
      </c>
      <c r="O76">
        <v>22268</v>
      </c>
      <c r="P76">
        <v>22682</v>
      </c>
      <c r="Q76">
        <v>11</v>
      </c>
      <c r="R76">
        <v>18</v>
      </c>
      <c r="S76">
        <v>28</v>
      </c>
      <c r="T76">
        <v>595</v>
      </c>
      <c r="U76">
        <v>24824</v>
      </c>
      <c r="V76" s="498">
        <v>18847</v>
      </c>
      <c r="W76">
        <v>55</v>
      </c>
      <c r="X76" s="498">
        <v>71</v>
      </c>
      <c r="Y76" s="498">
        <v>126</v>
      </c>
      <c r="Z76" s="498">
        <v>85.04</v>
      </c>
      <c r="AA76" s="498">
        <v>81.22</v>
      </c>
      <c r="AB76">
        <v>3.73</v>
      </c>
      <c r="AC76">
        <v>88.15</v>
      </c>
      <c r="AD76">
        <v>13891</v>
      </c>
      <c r="AE76">
        <v>84.67</v>
      </c>
      <c r="AF76">
        <v>71.709999999999994</v>
      </c>
      <c r="AG76">
        <v>47.35</v>
      </c>
      <c r="AH76">
        <v>130.52000000000001</v>
      </c>
      <c r="AI76">
        <v>3060</v>
      </c>
      <c r="AJ76">
        <v>125.61</v>
      </c>
      <c r="AK76">
        <v>3809</v>
      </c>
      <c r="AL76">
        <v>121.35</v>
      </c>
      <c r="AM76">
        <v>180</v>
      </c>
      <c r="AN76">
        <v>0</v>
      </c>
      <c r="AO76" s="499">
        <v>0</v>
      </c>
      <c r="AP76" s="499">
        <v>0</v>
      </c>
      <c r="AQ76">
        <v>0</v>
      </c>
      <c r="AR76">
        <v>0</v>
      </c>
      <c r="AS76">
        <v>59.74</v>
      </c>
      <c r="AT76">
        <v>55.16</v>
      </c>
      <c r="AU76">
        <v>7.51</v>
      </c>
      <c r="AV76">
        <v>66.849999999999994</v>
      </c>
      <c r="AW76">
        <v>111</v>
      </c>
      <c r="AX76">
        <v>72.5</v>
      </c>
      <c r="AY76">
        <v>68.2</v>
      </c>
      <c r="AZ76">
        <v>5.66</v>
      </c>
      <c r="BA76">
        <v>77.84</v>
      </c>
      <c r="BB76">
        <v>2533</v>
      </c>
      <c r="BC76">
        <v>83.01</v>
      </c>
      <c r="BD76">
        <v>79.22</v>
      </c>
      <c r="BE76">
        <v>4.08</v>
      </c>
      <c r="BF76">
        <v>86.48</v>
      </c>
      <c r="BG76">
        <v>5880</v>
      </c>
      <c r="BH76">
        <v>92.92</v>
      </c>
      <c r="BI76">
        <v>89.31</v>
      </c>
      <c r="BJ76">
        <v>2.0699999999999998</v>
      </c>
      <c r="BK76">
        <v>94.49</v>
      </c>
      <c r="BL76" s="214">
        <v>4940</v>
      </c>
      <c r="BM76" s="214">
        <v>102.46</v>
      </c>
      <c r="BN76">
        <v>99.2</v>
      </c>
      <c r="BO76" s="187">
        <v>2.0499999999999998</v>
      </c>
      <c r="BP76" s="214">
        <v>104.13</v>
      </c>
      <c r="BQ76" s="214">
        <v>414</v>
      </c>
      <c r="BR76">
        <v>110.93</v>
      </c>
      <c r="BS76" s="187">
        <v>107.81</v>
      </c>
      <c r="BT76" s="214">
        <v>1.23</v>
      </c>
      <c r="BU76" s="214">
        <v>111.75</v>
      </c>
      <c r="BV76">
        <v>12</v>
      </c>
      <c r="BW76">
        <v>142.46</v>
      </c>
      <c r="BX76" s="214">
        <v>140.85</v>
      </c>
      <c r="BY76" s="214">
        <v>13.85</v>
      </c>
      <c r="BZ76">
        <v>156.31</v>
      </c>
      <c r="CA76" s="187">
        <v>1</v>
      </c>
      <c r="CB76" s="214">
        <v>85.04</v>
      </c>
      <c r="CC76" s="214">
        <v>81.22</v>
      </c>
      <c r="CD76">
        <v>3.73</v>
      </c>
      <c r="CE76" s="187">
        <v>88.15</v>
      </c>
      <c r="CF76" s="214">
        <v>13891</v>
      </c>
      <c r="CG76" s="214">
        <v>85.04</v>
      </c>
      <c r="CH76">
        <v>81.22</v>
      </c>
      <c r="CI76">
        <v>3.73</v>
      </c>
      <c r="CJ76">
        <v>88.15</v>
      </c>
      <c r="CK76">
        <v>13891</v>
      </c>
      <c r="CL76">
        <v>78.94</v>
      </c>
      <c r="CM76">
        <v>66.540000000000006</v>
      </c>
      <c r="CN76" s="187">
        <v>173.86</v>
      </c>
      <c r="CO76">
        <v>216.78</v>
      </c>
      <c r="CP76">
        <v>333</v>
      </c>
      <c r="CQ76">
        <v>142.66</v>
      </c>
      <c r="CR76">
        <v>55.35</v>
      </c>
      <c r="CS76" s="187">
        <v>108.16</v>
      </c>
      <c r="CT76">
        <v>249.38</v>
      </c>
      <c r="CU76">
        <v>75</v>
      </c>
      <c r="CV76">
        <v>82.79</v>
      </c>
      <c r="CW76">
        <v>70.63</v>
      </c>
      <c r="CX76" s="187">
        <v>33.18</v>
      </c>
      <c r="CY76">
        <v>115.6</v>
      </c>
      <c r="CZ76">
        <v>2272</v>
      </c>
      <c r="DA76">
        <v>88.8</v>
      </c>
      <c r="DB76">
        <v>82.61</v>
      </c>
      <c r="DC76" s="187">
        <v>31.81</v>
      </c>
      <c r="DD76">
        <v>120.52</v>
      </c>
      <c r="DE76">
        <v>364</v>
      </c>
      <c r="DF76">
        <v>105.05</v>
      </c>
      <c r="DG76">
        <v>89.22</v>
      </c>
      <c r="DH76" s="187">
        <v>20.05</v>
      </c>
      <c r="DI76">
        <v>123.85</v>
      </c>
      <c r="DJ76">
        <v>16</v>
      </c>
      <c r="DK76">
        <v>0</v>
      </c>
      <c r="DL76">
        <v>0</v>
      </c>
      <c r="DM76" s="187">
        <v>0</v>
      </c>
      <c r="DN76">
        <v>0</v>
      </c>
      <c r="DO76">
        <v>0</v>
      </c>
      <c r="DP76">
        <v>85.37</v>
      </c>
      <c r="DQ76">
        <v>72.28</v>
      </c>
      <c r="DR76" s="187">
        <v>34.979999999999997</v>
      </c>
      <c r="DS76">
        <v>119.98</v>
      </c>
      <c r="DT76">
        <v>2727</v>
      </c>
      <c r="DU76">
        <v>84.67</v>
      </c>
      <c r="DV76">
        <v>71.709999999999994</v>
      </c>
      <c r="DW76" s="187">
        <v>47.35</v>
      </c>
      <c r="DX76">
        <v>130.52000000000001</v>
      </c>
      <c r="DY76">
        <v>3060</v>
      </c>
      <c r="DZ76">
        <v>0</v>
      </c>
      <c r="EA76">
        <v>0</v>
      </c>
      <c r="EB76" s="187">
        <v>0</v>
      </c>
      <c r="EC76">
        <v>0</v>
      </c>
      <c r="ED76">
        <v>98.69</v>
      </c>
      <c r="EE76">
        <v>674</v>
      </c>
      <c r="EF76">
        <v>121.28</v>
      </c>
      <c r="EG76" s="187">
        <v>1762</v>
      </c>
      <c r="EH76">
        <v>141.16</v>
      </c>
      <c r="EI76">
        <v>1212</v>
      </c>
      <c r="EJ76">
        <v>168.83</v>
      </c>
      <c r="EK76">
        <v>158</v>
      </c>
      <c r="EL76" s="187">
        <v>165.62</v>
      </c>
      <c r="EM76">
        <v>3</v>
      </c>
      <c r="EN76">
        <v>0</v>
      </c>
      <c r="EO76">
        <v>0</v>
      </c>
      <c r="EP76">
        <v>125.61</v>
      </c>
      <c r="EQ76" s="187">
        <v>3809</v>
      </c>
      <c r="ER76">
        <v>125.61</v>
      </c>
      <c r="ES76">
        <v>3809</v>
      </c>
      <c r="ET76">
        <v>0</v>
      </c>
      <c r="EU76">
        <v>0</v>
      </c>
      <c r="EV76" s="187">
        <v>138.16</v>
      </c>
      <c r="EW76">
        <v>10</v>
      </c>
      <c r="EX76">
        <v>116.26</v>
      </c>
      <c r="EY76">
        <v>108</v>
      </c>
      <c r="EZ76">
        <v>127.09</v>
      </c>
      <c r="FA76" s="187">
        <v>61</v>
      </c>
      <c r="FB76">
        <v>152.58000000000001</v>
      </c>
      <c r="FC76">
        <v>1</v>
      </c>
      <c r="FD76">
        <v>0</v>
      </c>
      <c r="FE76">
        <v>0</v>
      </c>
      <c r="FF76" s="187">
        <v>121.35</v>
      </c>
      <c r="FG76">
        <v>180</v>
      </c>
      <c r="FH76">
        <v>121.35</v>
      </c>
      <c r="FI76">
        <v>180</v>
      </c>
      <c r="FJ76">
        <v>8</v>
      </c>
      <c r="FK76" s="187">
        <v>13</v>
      </c>
      <c r="FL76">
        <v>81</v>
      </c>
      <c r="FM76">
        <v>216</v>
      </c>
      <c r="FN76">
        <v>63</v>
      </c>
    </row>
    <row r="77" spans="1:170" x14ac:dyDescent="0.35">
      <c r="A77" t="s">
        <v>543</v>
      </c>
      <c r="B77" t="s">
        <v>544</v>
      </c>
      <c r="C77" t="s">
        <v>419</v>
      </c>
      <c r="D77">
        <v>5581</v>
      </c>
      <c r="E77">
        <v>5418</v>
      </c>
      <c r="F77">
        <v>0</v>
      </c>
      <c r="G77">
        <v>0</v>
      </c>
      <c r="H77">
        <v>55</v>
      </c>
      <c r="I77">
        <v>47</v>
      </c>
      <c r="J77">
        <v>544</v>
      </c>
      <c r="K77">
        <v>529</v>
      </c>
      <c r="L77">
        <v>811</v>
      </c>
      <c r="M77">
        <v>2</v>
      </c>
      <c r="N77">
        <v>6991</v>
      </c>
      <c r="O77">
        <v>5996</v>
      </c>
      <c r="P77">
        <v>6180</v>
      </c>
      <c r="Q77">
        <v>0</v>
      </c>
      <c r="R77">
        <v>3</v>
      </c>
      <c r="S77">
        <v>21</v>
      </c>
      <c r="T77">
        <v>241</v>
      </c>
      <c r="U77">
        <v>6750</v>
      </c>
      <c r="V77" s="498">
        <v>5355</v>
      </c>
      <c r="W77">
        <v>71</v>
      </c>
      <c r="X77" s="498">
        <v>67</v>
      </c>
      <c r="Y77" s="498">
        <v>138</v>
      </c>
      <c r="Z77" s="498">
        <v>106.75</v>
      </c>
      <c r="AA77" s="498">
        <v>101.88</v>
      </c>
      <c r="AB77">
        <v>4.25</v>
      </c>
      <c r="AC77">
        <v>108.58</v>
      </c>
      <c r="AD77">
        <v>4407</v>
      </c>
      <c r="AE77">
        <v>101.14</v>
      </c>
      <c r="AF77">
        <v>92.4</v>
      </c>
      <c r="AG77">
        <v>25.81</v>
      </c>
      <c r="AH77">
        <v>126.59</v>
      </c>
      <c r="AI77">
        <v>584</v>
      </c>
      <c r="AJ77">
        <v>141.6</v>
      </c>
      <c r="AK77">
        <v>953</v>
      </c>
      <c r="AL77">
        <v>0</v>
      </c>
      <c r="AM77">
        <v>0</v>
      </c>
      <c r="AN77">
        <v>0</v>
      </c>
      <c r="AO77" s="499">
        <v>0</v>
      </c>
      <c r="AP77" s="499">
        <v>0</v>
      </c>
      <c r="AQ77">
        <v>0</v>
      </c>
      <c r="AR77">
        <v>0</v>
      </c>
      <c r="AS77">
        <v>68.89</v>
      </c>
      <c r="AT77">
        <v>65.56</v>
      </c>
      <c r="AU77">
        <v>4.93</v>
      </c>
      <c r="AV77">
        <v>72.84</v>
      </c>
      <c r="AW77">
        <v>10</v>
      </c>
      <c r="AX77">
        <v>85.54</v>
      </c>
      <c r="AY77">
        <v>81.63</v>
      </c>
      <c r="AZ77">
        <v>5.9</v>
      </c>
      <c r="BA77">
        <v>90.06</v>
      </c>
      <c r="BB77">
        <v>877</v>
      </c>
      <c r="BC77">
        <v>103.84</v>
      </c>
      <c r="BD77">
        <v>99.11</v>
      </c>
      <c r="BE77">
        <v>3.93</v>
      </c>
      <c r="BF77">
        <v>105.78</v>
      </c>
      <c r="BG77">
        <v>1576</v>
      </c>
      <c r="BH77">
        <v>117.76</v>
      </c>
      <c r="BI77">
        <v>112.35</v>
      </c>
      <c r="BJ77">
        <v>2.23</v>
      </c>
      <c r="BK77">
        <v>118.23</v>
      </c>
      <c r="BL77" s="214">
        <v>1825</v>
      </c>
      <c r="BM77" s="214">
        <v>135.5</v>
      </c>
      <c r="BN77">
        <v>130.02000000000001</v>
      </c>
      <c r="BO77" s="187">
        <v>2.68</v>
      </c>
      <c r="BP77" s="214">
        <v>136.68</v>
      </c>
      <c r="BQ77" s="214">
        <v>113</v>
      </c>
      <c r="BR77">
        <v>145.26</v>
      </c>
      <c r="BS77" s="187">
        <v>139.24</v>
      </c>
      <c r="BT77" s="214">
        <v>2.4900000000000002</v>
      </c>
      <c r="BU77" s="214">
        <v>146.09</v>
      </c>
      <c r="BV77">
        <v>6</v>
      </c>
      <c r="BW77">
        <v>0</v>
      </c>
      <c r="BX77" s="214">
        <v>0</v>
      </c>
      <c r="BY77" s="214">
        <v>0</v>
      </c>
      <c r="BZ77">
        <v>0</v>
      </c>
      <c r="CA77" s="187">
        <v>0</v>
      </c>
      <c r="CB77" s="214">
        <v>106.75</v>
      </c>
      <c r="CC77" s="214">
        <v>101.88</v>
      </c>
      <c r="CD77">
        <v>4.25</v>
      </c>
      <c r="CE77" s="187">
        <v>108.58</v>
      </c>
      <c r="CF77" s="214">
        <v>4407</v>
      </c>
      <c r="CG77" s="214">
        <v>106.75</v>
      </c>
      <c r="CH77">
        <v>101.88</v>
      </c>
      <c r="CI77">
        <v>4.25</v>
      </c>
      <c r="CJ77">
        <v>108.58</v>
      </c>
      <c r="CK77">
        <v>4407</v>
      </c>
      <c r="CL77">
        <v>87.28</v>
      </c>
      <c r="CM77">
        <v>76.33</v>
      </c>
      <c r="CN77" s="187">
        <v>126.41</v>
      </c>
      <c r="CO77">
        <v>200.24</v>
      </c>
      <c r="CP77">
        <v>47</v>
      </c>
      <c r="CQ77">
        <v>98.83</v>
      </c>
      <c r="CR77">
        <v>89.49</v>
      </c>
      <c r="CS77" s="187">
        <v>18.91</v>
      </c>
      <c r="CT77">
        <v>117.74</v>
      </c>
      <c r="CU77">
        <v>30</v>
      </c>
      <c r="CV77">
        <v>99.31</v>
      </c>
      <c r="CW77">
        <v>90.5</v>
      </c>
      <c r="CX77" s="187">
        <v>15.06</v>
      </c>
      <c r="CY77">
        <v>114.3</v>
      </c>
      <c r="CZ77">
        <v>416</v>
      </c>
      <c r="DA77">
        <v>117.65</v>
      </c>
      <c r="DB77">
        <v>108.89</v>
      </c>
      <c r="DC77" s="187">
        <v>31.23</v>
      </c>
      <c r="DD77">
        <v>148.88999999999999</v>
      </c>
      <c r="DE77">
        <v>87</v>
      </c>
      <c r="DF77">
        <v>112.44</v>
      </c>
      <c r="DG77">
        <v>105.02</v>
      </c>
      <c r="DH77" s="187">
        <v>11.2</v>
      </c>
      <c r="DI77">
        <v>120.84</v>
      </c>
      <c r="DJ77">
        <v>4</v>
      </c>
      <c r="DK77">
        <v>0</v>
      </c>
      <c r="DL77">
        <v>0</v>
      </c>
      <c r="DM77" s="187">
        <v>0</v>
      </c>
      <c r="DN77">
        <v>0</v>
      </c>
      <c r="DO77">
        <v>0</v>
      </c>
      <c r="DP77">
        <v>102.35</v>
      </c>
      <c r="DQ77">
        <v>93.49</v>
      </c>
      <c r="DR77" s="187">
        <v>17.89</v>
      </c>
      <c r="DS77">
        <v>120.14</v>
      </c>
      <c r="DT77">
        <v>537</v>
      </c>
      <c r="DU77">
        <v>101.14</v>
      </c>
      <c r="DV77">
        <v>92.4</v>
      </c>
      <c r="DW77" s="187">
        <v>25.81</v>
      </c>
      <c r="DX77">
        <v>126.59</v>
      </c>
      <c r="DY77">
        <v>584</v>
      </c>
      <c r="DZ77">
        <v>0</v>
      </c>
      <c r="EA77">
        <v>0</v>
      </c>
      <c r="EB77" s="187">
        <v>0</v>
      </c>
      <c r="EC77">
        <v>0</v>
      </c>
      <c r="ED77">
        <v>112.94</v>
      </c>
      <c r="EE77">
        <v>263</v>
      </c>
      <c r="EF77">
        <v>140.38999999999999</v>
      </c>
      <c r="EG77" s="187">
        <v>381</v>
      </c>
      <c r="EH77">
        <v>162.85</v>
      </c>
      <c r="EI77">
        <v>275</v>
      </c>
      <c r="EJ77">
        <v>203.16</v>
      </c>
      <c r="EK77">
        <v>32</v>
      </c>
      <c r="EL77" s="187">
        <v>250.78</v>
      </c>
      <c r="EM77">
        <v>1</v>
      </c>
      <c r="EN77">
        <v>219.45</v>
      </c>
      <c r="EO77">
        <v>1</v>
      </c>
      <c r="EP77">
        <v>141.6</v>
      </c>
      <c r="EQ77" s="187">
        <v>953</v>
      </c>
      <c r="ER77">
        <v>141.6</v>
      </c>
      <c r="ES77">
        <v>953</v>
      </c>
      <c r="ET77">
        <v>0</v>
      </c>
      <c r="EU77">
        <v>0</v>
      </c>
      <c r="EV77" s="187">
        <v>0</v>
      </c>
      <c r="EW77">
        <v>0</v>
      </c>
      <c r="EX77">
        <v>0</v>
      </c>
      <c r="EY77">
        <v>0</v>
      </c>
      <c r="EZ77">
        <v>0</v>
      </c>
      <c r="FA77" s="187">
        <v>0</v>
      </c>
      <c r="FB77">
        <v>0</v>
      </c>
      <c r="FC77">
        <v>0</v>
      </c>
      <c r="FD77">
        <v>0</v>
      </c>
      <c r="FE77">
        <v>0</v>
      </c>
      <c r="FF77" s="187">
        <v>0</v>
      </c>
      <c r="FG77">
        <v>0</v>
      </c>
      <c r="FH77">
        <v>0</v>
      </c>
      <c r="FI77">
        <v>0</v>
      </c>
      <c r="FJ77">
        <v>0</v>
      </c>
      <c r="FK77" s="187">
        <v>7</v>
      </c>
      <c r="FL77">
        <v>7</v>
      </c>
      <c r="FM77">
        <v>24</v>
      </c>
      <c r="FN77">
        <v>17</v>
      </c>
    </row>
    <row r="78" spans="1:170" x14ac:dyDescent="0.35">
      <c r="A78" t="s">
        <v>545</v>
      </c>
      <c r="B78" t="s">
        <v>546</v>
      </c>
      <c r="C78" t="s">
        <v>417</v>
      </c>
      <c r="D78">
        <v>46066</v>
      </c>
      <c r="E78">
        <v>46040</v>
      </c>
      <c r="F78">
        <v>12</v>
      </c>
      <c r="G78">
        <v>0</v>
      </c>
      <c r="H78">
        <v>1014</v>
      </c>
      <c r="I78">
        <v>696</v>
      </c>
      <c r="J78">
        <v>1516</v>
      </c>
      <c r="K78">
        <v>1509</v>
      </c>
      <c r="L78">
        <v>410</v>
      </c>
      <c r="M78">
        <v>2</v>
      </c>
      <c r="N78">
        <v>49018</v>
      </c>
      <c r="O78">
        <v>48247</v>
      </c>
      <c r="P78">
        <v>48608</v>
      </c>
      <c r="Q78">
        <v>108</v>
      </c>
      <c r="R78">
        <v>13</v>
      </c>
      <c r="S78">
        <v>25</v>
      </c>
      <c r="T78">
        <v>374</v>
      </c>
      <c r="U78">
        <v>48644</v>
      </c>
      <c r="V78" s="498">
        <v>46014</v>
      </c>
      <c r="W78">
        <v>433</v>
      </c>
      <c r="X78" s="498">
        <v>481</v>
      </c>
      <c r="Y78" s="498">
        <v>914</v>
      </c>
      <c r="Z78" s="498">
        <v>74.62</v>
      </c>
      <c r="AA78" s="498">
        <v>74.930000000000007</v>
      </c>
      <c r="AB78">
        <v>3.61</v>
      </c>
      <c r="AC78">
        <v>75.180000000000007</v>
      </c>
      <c r="AD78">
        <v>41079</v>
      </c>
      <c r="AE78">
        <v>106.13</v>
      </c>
      <c r="AF78">
        <v>79.17</v>
      </c>
      <c r="AG78">
        <v>59.88</v>
      </c>
      <c r="AH78">
        <v>164.62</v>
      </c>
      <c r="AI78">
        <v>2068</v>
      </c>
      <c r="AJ78">
        <v>94.55</v>
      </c>
      <c r="AK78">
        <v>4405</v>
      </c>
      <c r="AL78">
        <v>151.84</v>
      </c>
      <c r="AM78">
        <v>171</v>
      </c>
      <c r="AN78">
        <v>0</v>
      </c>
      <c r="AO78" s="499">
        <v>0</v>
      </c>
      <c r="AP78" s="499">
        <v>0</v>
      </c>
      <c r="AQ78">
        <v>0</v>
      </c>
      <c r="AR78">
        <v>0</v>
      </c>
      <c r="AS78">
        <v>58.71</v>
      </c>
      <c r="AT78">
        <v>58.8</v>
      </c>
      <c r="AU78">
        <v>4.83</v>
      </c>
      <c r="AV78">
        <v>59.98</v>
      </c>
      <c r="AW78">
        <v>99</v>
      </c>
      <c r="AX78">
        <v>65.3</v>
      </c>
      <c r="AY78">
        <v>65.819999999999993</v>
      </c>
      <c r="AZ78">
        <v>4.37</v>
      </c>
      <c r="BA78">
        <v>66.13</v>
      </c>
      <c r="BB78">
        <v>8582</v>
      </c>
      <c r="BC78">
        <v>74.540000000000006</v>
      </c>
      <c r="BD78">
        <v>74.739999999999995</v>
      </c>
      <c r="BE78">
        <v>3.98</v>
      </c>
      <c r="BF78">
        <v>75.2</v>
      </c>
      <c r="BG78">
        <v>19123</v>
      </c>
      <c r="BH78">
        <v>80.53</v>
      </c>
      <c r="BI78">
        <v>80.84</v>
      </c>
      <c r="BJ78">
        <v>2.06</v>
      </c>
      <c r="BK78">
        <v>80.77</v>
      </c>
      <c r="BL78" s="214">
        <v>12645</v>
      </c>
      <c r="BM78" s="214">
        <v>87.74</v>
      </c>
      <c r="BN78">
        <v>88.28</v>
      </c>
      <c r="BO78" s="187">
        <v>1.93</v>
      </c>
      <c r="BP78" s="214">
        <v>88.08</v>
      </c>
      <c r="BQ78" s="214">
        <v>612</v>
      </c>
      <c r="BR78">
        <v>96.32</v>
      </c>
      <c r="BS78" s="187">
        <v>98.95</v>
      </c>
      <c r="BT78" s="214">
        <v>0.61</v>
      </c>
      <c r="BU78" s="214">
        <v>96.5</v>
      </c>
      <c r="BV78">
        <v>17</v>
      </c>
      <c r="BW78">
        <v>119.13</v>
      </c>
      <c r="BX78" s="214">
        <v>119.13</v>
      </c>
      <c r="BY78" s="214">
        <v>0</v>
      </c>
      <c r="BZ78">
        <v>119.13</v>
      </c>
      <c r="CA78" s="187">
        <v>1</v>
      </c>
      <c r="CB78" s="214">
        <v>74.62</v>
      </c>
      <c r="CC78" s="214">
        <v>74.930000000000007</v>
      </c>
      <c r="CD78">
        <v>3.61</v>
      </c>
      <c r="CE78" s="187">
        <v>75.180000000000007</v>
      </c>
      <c r="CF78" s="214">
        <v>41079</v>
      </c>
      <c r="CG78" s="214">
        <v>74.62</v>
      </c>
      <c r="CH78">
        <v>74.930000000000007</v>
      </c>
      <c r="CI78">
        <v>3.61</v>
      </c>
      <c r="CJ78">
        <v>75.180000000000007</v>
      </c>
      <c r="CK78">
        <v>41079</v>
      </c>
      <c r="CL78">
        <v>159.12</v>
      </c>
      <c r="CM78">
        <v>69.94</v>
      </c>
      <c r="CN78" s="187">
        <v>65.069999999999993</v>
      </c>
      <c r="CO78">
        <v>223.14</v>
      </c>
      <c r="CP78">
        <v>373</v>
      </c>
      <c r="CQ78">
        <v>69.8</v>
      </c>
      <c r="CR78">
        <v>65.44</v>
      </c>
      <c r="CS78" s="187">
        <v>82.22</v>
      </c>
      <c r="CT78">
        <v>152.02000000000001</v>
      </c>
      <c r="CU78">
        <v>69</v>
      </c>
      <c r="CV78">
        <v>95.16</v>
      </c>
      <c r="CW78">
        <v>79.78</v>
      </c>
      <c r="CX78" s="187">
        <v>57.49</v>
      </c>
      <c r="CY78">
        <v>151.6</v>
      </c>
      <c r="CZ78">
        <v>1322</v>
      </c>
      <c r="DA78">
        <v>96.28</v>
      </c>
      <c r="DB78">
        <v>83.63</v>
      </c>
      <c r="DC78" s="187">
        <v>58.17</v>
      </c>
      <c r="DD78">
        <v>150.97999999999999</v>
      </c>
      <c r="DE78">
        <v>285</v>
      </c>
      <c r="DF78">
        <v>105.04</v>
      </c>
      <c r="DG78">
        <v>86.37</v>
      </c>
      <c r="DH78" s="187">
        <v>66.69</v>
      </c>
      <c r="DI78">
        <v>167.28</v>
      </c>
      <c r="DJ78">
        <v>15</v>
      </c>
      <c r="DK78">
        <v>123.51</v>
      </c>
      <c r="DL78">
        <v>97.33</v>
      </c>
      <c r="DM78" s="187">
        <v>64.44</v>
      </c>
      <c r="DN78">
        <v>187.95</v>
      </c>
      <c r="DO78">
        <v>4</v>
      </c>
      <c r="DP78">
        <v>94.47</v>
      </c>
      <c r="DQ78">
        <v>79.87</v>
      </c>
      <c r="DR78" s="187">
        <v>58.73</v>
      </c>
      <c r="DS78">
        <v>151.74</v>
      </c>
      <c r="DT78">
        <v>1695</v>
      </c>
      <c r="DU78">
        <v>106.13</v>
      </c>
      <c r="DV78">
        <v>79.17</v>
      </c>
      <c r="DW78" s="187">
        <v>59.88</v>
      </c>
      <c r="DX78">
        <v>164.62</v>
      </c>
      <c r="DY78">
        <v>2068</v>
      </c>
      <c r="DZ78">
        <v>0</v>
      </c>
      <c r="EA78">
        <v>0</v>
      </c>
      <c r="EB78" s="187">
        <v>72.92</v>
      </c>
      <c r="EC78">
        <v>1</v>
      </c>
      <c r="ED78">
        <v>75.790000000000006</v>
      </c>
      <c r="EE78">
        <v>124</v>
      </c>
      <c r="EF78">
        <v>92.3</v>
      </c>
      <c r="EG78" s="187">
        <v>3224</v>
      </c>
      <c r="EH78">
        <v>102.97</v>
      </c>
      <c r="EI78">
        <v>999</v>
      </c>
      <c r="EJ78">
        <v>115.49</v>
      </c>
      <c r="EK78">
        <v>56</v>
      </c>
      <c r="EL78" s="187">
        <v>103.25</v>
      </c>
      <c r="EM78">
        <v>1</v>
      </c>
      <c r="EN78">
        <v>0</v>
      </c>
      <c r="EO78">
        <v>0</v>
      </c>
      <c r="EP78">
        <v>94.55</v>
      </c>
      <c r="EQ78" s="187">
        <v>4405</v>
      </c>
      <c r="ER78">
        <v>94.55</v>
      </c>
      <c r="ES78">
        <v>4405</v>
      </c>
      <c r="ET78">
        <v>154.25</v>
      </c>
      <c r="EU78">
        <v>9</v>
      </c>
      <c r="EV78" s="187">
        <v>0</v>
      </c>
      <c r="EW78">
        <v>0</v>
      </c>
      <c r="EX78">
        <v>138.03</v>
      </c>
      <c r="EY78">
        <v>22</v>
      </c>
      <c r="EZ78">
        <v>153.85</v>
      </c>
      <c r="FA78" s="187">
        <v>140</v>
      </c>
      <c r="FB78">
        <v>0</v>
      </c>
      <c r="FC78">
        <v>0</v>
      </c>
      <c r="FD78">
        <v>0</v>
      </c>
      <c r="FE78">
        <v>0</v>
      </c>
      <c r="FF78" s="187">
        <v>151.69999999999999</v>
      </c>
      <c r="FG78">
        <v>162</v>
      </c>
      <c r="FH78">
        <v>151.84</v>
      </c>
      <c r="FI78">
        <v>171</v>
      </c>
      <c r="FJ78">
        <v>11</v>
      </c>
      <c r="FK78" s="187">
        <v>209</v>
      </c>
      <c r="FL78">
        <v>30</v>
      </c>
      <c r="FM78">
        <v>25</v>
      </c>
      <c r="FN78">
        <v>9</v>
      </c>
    </row>
    <row r="79" spans="1:170" x14ac:dyDescent="0.35">
      <c r="A79" t="s">
        <v>547</v>
      </c>
      <c r="B79" t="s">
        <v>548</v>
      </c>
      <c r="C79" t="s">
        <v>420</v>
      </c>
      <c r="D79">
        <v>22354</v>
      </c>
      <c r="E79">
        <v>22159</v>
      </c>
      <c r="F79">
        <v>0</v>
      </c>
      <c r="G79">
        <v>0</v>
      </c>
      <c r="H79">
        <v>906</v>
      </c>
      <c r="I79">
        <v>430</v>
      </c>
      <c r="J79">
        <v>1713</v>
      </c>
      <c r="K79">
        <v>1464</v>
      </c>
      <c r="L79">
        <v>615</v>
      </c>
      <c r="M79">
        <v>98</v>
      </c>
      <c r="N79">
        <v>25588</v>
      </c>
      <c r="O79">
        <v>24151</v>
      </c>
      <c r="P79">
        <v>24973</v>
      </c>
      <c r="Q79">
        <v>4</v>
      </c>
      <c r="R79">
        <v>14</v>
      </c>
      <c r="S79">
        <v>22</v>
      </c>
      <c r="T79">
        <v>663</v>
      </c>
      <c r="U79">
        <v>24925</v>
      </c>
      <c r="V79" s="498">
        <v>22221</v>
      </c>
      <c r="W79">
        <v>174</v>
      </c>
      <c r="X79" s="498">
        <v>342</v>
      </c>
      <c r="Y79" s="498">
        <v>516</v>
      </c>
      <c r="Z79" s="498">
        <v>87.52</v>
      </c>
      <c r="AA79" s="498">
        <v>87.02</v>
      </c>
      <c r="AB79">
        <v>5.79</v>
      </c>
      <c r="AC79">
        <v>92.88</v>
      </c>
      <c r="AD79">
        <v>19694</v>
      </c>
      <c r="AE79">
        <v>93.4</v>
      </c>
      <c r="AF79">
        <v>85.65</v>
      </c>
      <c r="AG79">
        <v>58.58</v>
      </c>
      <c r="AH79">
        <v>151.59</v>
      </c>
      <c r="AI79">
        <v>2084</v>
      </c>
      <c r="AJ79">
        <v>117.6</v>
      </c>
      <c r="AK79">
        <v>2354</v>
      </c>
      <c r="AL79">
        <v>119.73</v>
      </c>
      <c r="AM79">
        <v>5</v>
      </c>
      <c r="AN79">
        <v>0</v>
      </c>
      <c r="AO79" s="499">
        <v>0</v>
      </c>
      <c r="AP79" s="499">
        <v>0</v>
      </c>
      <c r="AQ79">
        <v>0</v>
      </c>
      <c r="AR79">
        <v>0</v>
      </c>
      <c r="AS79">
        <v>65.23</v>
      </c>
      <c r="AT79">
        <v>64.930000000000007</v>
      </c>
      <c r="AU79">
        <v>9.6199999999999992</v>
      </c>
      <c r="AV79">
        <v>74.84</v>
      </c>
      <c r="AW79">
        <v>1033</v>
      </c>
      <c r="AX79">
        <v>76.180000000000007</v>
      </c>
      <c r="AY79">
        <v>75.5</v>
      </c>
      <c r="AZ79">
        <v>8.1</v>
      </c>
      <c r="BA79">
        <v>84.19</v>
      </c>
      <c r="BB79">
        <v>5184</v>
      </c>
      <c r="BC79">
        <v>88.61</v>
      </c>
      <c r="BD79">
        <v>87.41</v>
      </c>
      <c r="BE79">
        <v>6.25</v>
      </c>
      <c r="BF79">
        <v>94.26</v>
      </c>
      <c r="BG79">
        <v>7133</v>
      </c>
      <c r="BH79">
        <v>97.92</v>
      </c>
      <c r="BI79">
        <v>98.42</v>
      </c>
      <c r="BJ79">
        <v>2.44</v>
      </c>
      <c r="BK79">
        <v>100.08</v>
      </c>
      <c r="BL79" s="214">
        <v>5746</v>
      </c>
      <c r="BM79" s="214">
        <v>110.52</v>
      </c>
      <c r="BN79">
        <v>109.9</v>
      </c>
      <c r="BO79" s="187">
        <v>2.41</v>
      </c>
      <c r="BP79" s="214">
        <v>112.64</v>
      </c>
      <c r="BQ79" s="214">
        <v>549</v>
      </c>
      <c r="BR79">
        <v>120.74</v>
      </c>
      <c r="BS79" s="187">
        <v>119.08</v>
      </c>
      <c r="BT79" s="214">
        <v>4.05</v>
      </c>
      <c r="BU79" s="214">
        <v>124.11</v>
      </c>
      <c r="BV79">
        <v>30</v>
      </c>
      <c r="BW79">
        <v>125.92</v>
      </c>
      <c r="BX79" s="214">
        <v>125.95</v>
      </c>
      <c r="BY79" s="214">
        <v>2.4</v>
      </c>
      <c r="BZ79">
        <v>128.19999999999999</v>
      </c>
      <c r="CA79" s="187">
        <v>19</v>
      </c>
      <c r="CB79" s="214">
        <v>87.52</v>
      </c>
      <c r="CC79" s="214">
        <v>87.02</v>
      </c>
      <c r="CD79">
        <v>5.79</v>
      </c>
      <c r="CE79" s="187">
        <v>92.88</v>
      </c>
      <c r="CF79" s="214">
        <v>19694</v>
      </c>
      <c r="CG79" s="214">
        <v>87.52</v>
      </c>
      <c r="CH79">
        <v>87.02</v>
      </c>
      <c r="CI79">
        <v>5.79</v>
      </c>
      <c r="CJ79">
        <v>92.88</v>
      </c>
      <c r="CK79">
        <v>19694</v>
      </c>
      <c r="CL79">
        <v>79.63</v>
      </c>
      <c r="CM79">
        <v>72.849999999999994</v>
      </c>
      <c r="CN79" s="187">
        <v>77.209999999999994</v>
      </c>
      <c r="CO79">
        <v>156.84</v>
      </c>
      <c r="CP79">
        <v>180</v>
      </c>
      <c r="CQ79">
        <v>87.9</v>
      </c>
      <c r="CR79">
        <v>94.42</v>
      </c>
      <c r="CS79" s="187">
        <v>98.48</v>
      </c>
      <c r="CT79">
        <v>186.38</v>
      </c>
      <c r="CU79">
        <v>258</v>
      </c>
      <c r="CV79">
        <v>95.38</v>
      </c>
      <c r="CW79">
        <v>84.5</v>
      </c>
      <c r="CX79" s="187">
        <v>50.64</v>
      </c>
      <c r="CY79">
        <v>145.72999999999999</v>
      </c>
      <c r="CZ79">
        <v>1525</v>
      </c>
      <c r="DA79">
        <v>99.44</v>
      </c>
      <c r="DB79">
        <v>93.3</v>
      </c>
      <c r="DC79" s="187">
        <v>46.44</v>
      </c>
      <c r="DD79">
        <v>143.76</v>
      </c>
      <c r="DE79">
        <v>110</v>
      </c>
      <c r="DF79">
        <v>102.46</v>
      </c>
      <c r="DG79">
        <v>94.49</v>
      </c>
      <c r="DH79" s="187">
        <v>24.21</v>
      </c>
      <c r="DI79">
        <v>126.67</v>
      </c>
      <c r="DJ79">
        <v>9</v>
      </c>
      <c r="DK79">
        <v>164.15</v>
      </c>
      <c r="DL79">
        <v>149.22999999999999</v>
      </c>
      <c r="DM79" s="187">
        <v>40.520000000000003</v>
      </c>
      <c r="DN79">
        <v>204.67</v>
      </c>
      <c r="DO79">
        <v>2</v>
      </c>
      <c r="DP79">
        <v>94.71</v>
      </c>
      <c r="DQ79">
        <v>86.68</v>
      </c>
      <c r="DR79" s="187">
        <v>56.8</v>
      </c>
      <c r="DS79">
        <v>151.09</v>
      </c>
      <c r="DT79">
        <v>1904</v>
      </c>
      <c r="DU79">
        <v>93.4</v>
      </c>
      <c r="DV79">
        <v>85.65</v>
      </c>
      <c r="DW79" s="187">
        <v>58.58</v>
      </c>
      <c r="DX79">
        <v>151.59</v>
      </c>
      <c r="DY79">
        <v>2084</v>
      </c>
      <c r="DZ79">
        <v>0</v>
      </c>
      <c r="EA79">
        <v>0</v>
      </c>
      <c r="EB79" s="187">
        <v>0</v>
      </c>
      <c r="EC79">
        <v>0</v>
      </c>
      <c r="ED79">
        <v>96.81</v>
      </c>
      <c r="EE79">
        <v>364</v>
      </c>
      <c r="EF79">
        <v>114.96</v>
      </c>
      <c r="EG79" s="187">
        <v>1054</v>
      </c>
      <c r="EH79">
        <v>125.67</v>
      </c>
      <c r="EI79">
        <v>833</v>
      </c>
      <c r="EJ79">
        <v>150.02000000000001</v>
      </c>
      <c r="EK79">
        <v>95</v>
      </c>
      <c r="EL79" s="187">
        <v>184.63</v>
      </c>
      <c r="EM79">
        <v>6</v>
      </c>
      <c r="EN79">
        <v>192.09</v>
      </c>
      <c r="EO79">
        <v>2</v>
      </c>
      <c r="EP79">
        <v>117.6</v>
      </c>
      <c r="EQ79" s="187">
        <v>2354</v>
      </c>
      <c r="ER79">
        <v>117.6</v>
      </c>
      <c r="ES79">
        <v>2354</v>
      </c>
      <c r="ET79">
        <v>0</v>
      </c>
      <c r="EU79">
        <v>0</v>
      </c>
      <c r="EV79" s="187">
        <v>0</v>
      </c>
      <c r="EW79">
        <v>0</v>
      </c>
      <c r="EX79">
        <v>119.73</v>
      </c>
      <c r="EY79">
        <v>5</v>
      </c>
      <c r="EZ79">
        <v>0</v>
      </c>
      <c r="FA79" s="187">
        <v>0</v>
      </c>
      <c r="FB79">
        <v>0</v>
      </c>
      <c r="FC79">
        <v>0</v>
      </c>
      <c r="FD79">
        <v>0</v>
      </c>
      <c r="FE79">
        <v>0</v>
      </c>
      <c r="FF79" s="187">
        <v>119.73</v>
      </c>
      <c r="FG79">
        <v>5</v>
      </c>
      <c r="FH79">
        <v>119.73</v>
      </c>
      <c r="FI79">
        <v>5</v>
      </c>
      <c r="FJ79">
        <v>88</v>
      </c>
      <c r="FK79" s="187">
        <v>68</v>
      </c>
      <c r="FL79">
        <v>23</v>
      </c>
      <c r="FM79">
        <v>23</v>
      </c>
      <c r="FN79">
        <v>18</v>
      </c>
    </row>
    <row r="80" spans="1:170" x14ac:dyDescent="0.35">
      <c r="A80" t="s">
        <v>549</v>
      </c>
      <c r="B80" t="s">
        <v>550</v>
      </c>
      <c r="C80" t="s">
        <v>1048</v>
      </c>
      <c r="D80">
        <v>2258</v>
      </c>
      <c r="E80">
        <v>2227</v>
      </c>
      <c r="F80">
        <v>0</v>
      </c>
      <c r="G80">
        <v>0</v>
      </c>
      <c r="H80">
        <v>71</v>
      </c>
      <c r="I80">
        <v>23</v>
      </c>
      <c r="J80">
        <v>241</v>
      </c>
      <c r="K80">
        <v>241</v>
      </c>
      <c r="L80">
        <v>174</v>
      </c>
      <c r="M80">
        <v>0</v>
      </c>
      <c r="N80">
        <v>2744</v>
      </c>
      <c r="O80">
        <v>2491</v>
      </c>
      <c r="P80">
        <v>2570</v>
      </c>
      <c r="Q80">
        <v>3</v>
      </c>
      <c r="R80">
        <v>3</v>
      </c>
      <c r="S80">
        <v>17</v>
      </c>
      <c r="T80">
        <v>57</v>
      </c>
      <c r="U80">
        <v>2687</v>
      </c>
      <c r="V80" s="498">
        <v>2227</v>
      </c>
      <c r="W80">
        <v>16</v>
      </c>
      <c r="X80" s="498">
        <v>3</v>
      </c>
      <c r="Y80" s="498">
        <v>19</v>
      </c>
      <c r="Z80" s="498">
        <v>87.69</v>
      </c>
      <c r="AA80" s="498">
        <v>90.76</v>
      </c>
      <c r="AB80">
        <v>6.49</v>
      </c>
      <c r="AC80">
        <v>91.79</v>
      </c>
      <c r="AD80">
        <v>1528</v>
      </c>
      <c r="AE80">
        <v>92.18</v>
      </c>
      <c r="AF80">
        <v>83.23</v>
      </c>
      <c r="AG80">
        <v>40.200000000000003</v>
      </c>
      <c r="AH80">
        <v>132.38</v>
      </c>
      <c r="AI80">
        <v>286</v>
      </c>
      <c r="AJ80">
        <v>98.18</v>
      </c>
      <c r="AK80">
        <v>676</v>
      </c>
      <c r="AL80">
        <v>0</v>
      </c>
      <c r="AM80">
        <v>0</v>
      </c>
      <c r="AN80">
        <v>0</v>
      </c>
      <c r="AO80" s="499">
        <v>0</v>
      </c>
      <c r="AP80" s="499">
        <v>0</v>
      </c>
      <c r="AQ80">
        <v>0</v>
      </c>
      <c r="AR80">
        <v>0</v>
      </c>
      <c r="AS80">
        <v>65.430000000000007</v>
      </c>
      <c r="AT80">
        <v>70.27</v>
      </c>
      <c r="AU80">
        <v>6.84</v>
      </c>
      <c r="AV80">
        <v>70.56</v>
      </c>
      <c r="AW80">
        <v>8</v>
      </c>
      <c r="AX80">
        <v>76.11</v>
      </c>
      <c r="AY80">
        <v>80.14</v>
      </c>
      <c r="AZ80">
        <v>7.06</v>
      </c>
      <c r="BA80">
        <v>82.84</v>
      </c>
      <c r="BB80">
        <v>467</v>
      </c>
      <c r="BC80">
        <v>88.25</v>
      </c>
      <c r="BD80">
        <v>91.87</v>
      </c>
      <c r="BE80">
        <v>6.7</v>
      </c>
      <c r="BF80">
        <v>92.43</v>
      </c>
      <c r="BG80">
        <v>638</v>
      </c>
      <c r="BH80">
        <v>99</v>
      </c>
      <c r="BI80">
        <v>100.38</v>
      </c>
      <c r="BJ80">
        <v>3.06</v>
      </c>
      <c r="BK80">
        <v>99.72</v>
      </c>
      <c r="BL80" s="214">
        <v>391</v>
      </c>
      <c r="BM80" s="214">
        <v>121.5</v>
      </c>
      <c r="BN80">
        <v>117.83</v>
      </c>
      <c r="BO80" s="187">
        <v>5.51</v>
      </c>
      <c r="BP80" s="214">
        <v>126.55</v>
      </c>
      <c r="BQ80" s="214">
        <v>24</v>
      </c>
      <c r="BR80">
        <v>0</v>
      </c>
      <c r="BS80" s="187">
        <v>0</v>
      </c>
      <c r="BT80" s="214">
        <v>0</v>
      </c>
      <c r="BU80" s="214">
        <v>0</v>
      </c>
      <c r="BV80">
        <v>0</v>
      </c>
      <c r="BW80">
        <v>0</v>
      </c>
      <c r="BX80" s="214">
        <v>0</v>
      </c>
      <c r="BY80" s="214">
        <v>0</v>
      </c>
      <c r="BZ80">
        <v>0</v>
      </c>
      <c r="CA80" s="187">
        <v>0</v>
      </c>
      <c r="CB80" s="214">
        <v>87.69</v>
      </c>
      <c r="CC80" s="214">
        <v>90.76</v>
      </c>
      <c r="CD80">
        <v>6.49</v>
      </c>
      <c r="CE80" s="187">
        <v>91.79</v>
      </c>
      <c r="CF80" s="214">
        <v>1528</v>
      </c>
      <c r="CG80" s="214">
        <v>87.69</v>
      </c>
      <c r="CH80">
        <v>90.76</v>
      </c>
      <c r="CI80">
        <v>6.49</v>
      </c>
      <c r="CJ80">
        <v>91.79</v>
      </c>
      <c r="CK80">
        <v>1528</v>
      </c>
      <c r="CL80">
        <v>129.13999999999999</v>
      </c>
      <c r="CM80">
        <v>69.95</v>
      </c>
      <c r="CN80" s="187">
        <v>39.340000000000003</v>
      </c>
      <c r="CO80">
        <v>168.48</v>
      </c>
      <c r="CP80">
        <v>27</v>
      </c>
      <c r="CQ80">
        <v>65.84</v>
      </c>
      <c r="CR80">
        <v>59.88</v>
      </c>
      <c r="CS80" s="187">
        <v>37.42</v>
      </c>
      <c r="CT80">
        <v>103.26</v>
      </c>
      <c r="CU80">
        <v>39</v>
      </c>
      <c r="CV80">
        <v>90.84</v>
      </c>
      <c r="CW80">
        <v>86.36</v>
      </c>
      <c r="CX80" s="187">
        <v>45.77</v>
      </c>
      <c r="CY80">
        <v>136.61000000000001</v>
      </c>
      <c r="CZ80">
        <v>159</v>
      </c>
      <c r="DA80">
        <v>95.9</v>
      </c>
      <c r="DB80">
        <v>93.75</v>
      </c>
      <c r="DC80" s="187">
        <v>27.58</v>
      </c>
      <c r="DD80">
        <v>123.49</v>
      </c>
      <c r="DE80">
        <v>59</v>
      </c>
      <c r="DF80">
        <v>103.84</v>
      </c>
      <c r="DG80">
        <v>94.4</v>
      </c>
      <c r="DH80" s="187">
        <v>35.74</v>
      </c>
      <c r="DI80">
        <v>139.58000000000001</v>
      </c>
      <c r="DJ80">
        <v>2</v>
      </c>
      <c r="DK80">
        <v>0</v>
      </c>
      <c r="DL80">
        <v>0</v>
      </c>
      <c r="DM80" s="187">
        <v>0</v>
      </c>
      <c r="DN80">
        <v>0</v>
      </c>
      <c r="DO80">
        <v>0</v>
      </c>
      <c r="DP80">
        <v>88.33</v>
      </c>
      <c r="DQ80">
        <v>83.94</v>
      </c>
      <c r="DR80" s="187">
        <v>40.29</v>
      </c>
      <c r="DS80">
        <v>128.62</v>
      </c>
      <c r="DT80">
        <v>259</v>
      </c>
      <c r="DU80">
        <v>92.18</v>
      </c>
      <c r="DV80">
        <v>83.23</v>
      </c>
      <c r="DW80" s="187">
        <v>40.200000000000003</v>
      </c>
      <c r="DX80">
        <v>132.38</v>
      </c>
      <c r="DY80">
        <v>286</v>
      </c>
      <c r="DZ80">
        <v>0</v>
      </c>
      <c r="EA80">
        <v>0</v>
      </c>
      <c r="EB80" s="187">
        <v>0</v>
      </c>
      <c r="EC80">
        <v>0</v>
      </c>
      <c r="ED80">
        <v>86.73</v>
      </c>
      <c r="EE80">
        <v>223</v>
      </c>
      <c r="EF80">
        <v>100.93</v>
      </c>
      <c r="EG80" s="187">
        <v>321</v>
      </c>
      <c r="EH80">
        <v>110.35</v>
      </c>
      <c r="EI80">
        <v>128</v>
      </c>
      <c r="EJ80">
        <v>125.73</v>
      </c>
      <c r="EK80">
        <v>4</v>
      </c>
      <c r="EL80" s="187">
        <v>0</v>
      </c>
      <c r="EM80">
        <v>0</v>
      </c>
      <c r="EN80">
        <v>0</v>
      </c>
      <c r="EO80">
        <v>0</v>
      </c>
      <c r="EP80">
        <v>98.18</v>
      </c>
      <c r="EQ80" s="187">
        <v>676</v>
      </c>
      <c r="ER80">
        <v>98.18</v>
      </c>
      <c r="ES80">
        <v>676</v>
      </c>
      <c r="ET80">
        <v>0</v>
      </c>
      <c r="EU80">
        <v>0</v>
      </c>
      <c r="EV80" s="187">
        <v>0</v>
      </c>
      <c r="EW80">
        <v>0</v>
      </c>
      <c r="EX80">
        <v>0</v>
      </c>
      <c r="EY80">
        <v>0</v>
      </c>
      <c r="EZ80">
        <v>0</v>
      </c>
      <c r="FA80" s="187">
        <v>0</v>
      </c>
      <c r="FB80">
        <v>0</v>
      </c>
      <c r="FC80">
        <v>0</v>
      </c>
      <c r="FD80">
        <v>0</v>
      </c>
      <c r="FE80">
        <v>0</v>
      </c>
      <c r="FF80" s="187">
        <v>0</v>
      </c>
      <c r="FG80">
        <v>0</v>
      </c>
      <c r="FH80">
        <v>0</v>
      </c>
      <c r="FI80">
        <v>0</v>
      </c>
      <c r="FJ80">
        <v>31</v>
      </c>
      <c r="FK80" s="187">
        <v>4</v>
      </c>
      <c r="FL80">
        <v>5</v>
      </c>
      <c r="FM80">
        <v>37</v>
      </c>
      <c r="FN80">
        <v>4</v>
      </c>
    </row>
    <row r="81" spans="1:170" x14ac:dyDescent="0.35">
      <c r="A81" t="s">
        <v>551</v>
      </c>
      <c r="B81" t="s">
        <v>552</v>
      </c>
      <c r="C81" t="s">
        <v>2</v>
      </c>
      <c r="D81">
        <v>2193</v>
      </c>
      <c r="E81">
        <v>2169</v>
      </c>
      <c r="F81">
        <v>0</v>
      </c>
      <c r="G81">
        <v>0</v>
      </c>
      <c r="H81">
        <v>153</v>
      </c>
      <c r="I81">
        <v>23</v>
      </c>
      <c r="J81">
        <v>286</v>
      </c>
      <c r="K81">
        <v>212</v>
      </c>
      <c r="L81">
        <v>454</v>
      </c>
      <c r="M81">
        <v>4</v>
      </c>
      <c r="N81">
        <v>3086</v>
      </c>
      <c r="O81">
        <v>2408</v>
      </c>
      <c r="P81">
        <v>2632</v>
      </c>
      <c r="Q81">
        <v>5</v>
      </c>
      <c r="R81">
        <v>7</v>
      </c>
      <c r="S81">
        <v>26</v>
      </c>
      <c r="T81">
        <v>205</v>
      </c>
      <c r="U81">
        <v>2881</v>
      </c>
      <c r="V81" s="498">
        <v>2164</v>
      </c>
      <c r="W81">
        <v>29</v>
      </c>
      <c r="X81" s="498">
        <v>0</v>
      </c>
      <c r="Y81" s="498">
        <v>29</v>
      </c>
      <c r="Z81" s="498">
        <v>114.45</v>
      </c>
      <c r="AA81" s="498">
        <v>107.63</v>
      </c>
      <c r="AB81">
        <v>10.37</v>
      </c>
      <c r="AC81">
        <v>123.77</v>
      </c>
      <c r="AD81">
        <v>1609</v>
      </c>
      <c r="AE81">
        <v>113.63</v>
      </c>
      <c r="AF81">
        <v>102.55</v>
      </c>
      <c r="AG81">
        <v>43.24</v>
      </c>
      <c r="AH81">
        <v>156.69999999999999</v>
      </c>
      <c r="AI81">
        <v>263</v>
      </c>
      <c r="AJ81">
        <v>167.78</v>
      </c>
      <c r="AK81">
        <v>482</v>
      </c>
      <c r="AL81">
        <v>0</v>
      </c>
      <c r="AM81">
        <v>0</v>
      </c>
      <c r="AN81">
        <v>0</v>
      </c>
      <c r="AO81" s="499">
        <v>0</v>
      </c>
      <c r="AP81" s="499">
        <v>0</v>
      </c>
      <c r="AQ81">
        <v>0</v>
      </c>
      <c r="AR81">
        <v>0</v>
      </c>
      <c r="AS81">
        <v>80.790000000000006</v>
      </c>
      <c r="AT81">
        <v>77.650000000000006</v>
      </c>
      <c r="AU81">
        <v>13.98</v>
      </c>
      <c r="AV81">
        <v>94.77</v>
      </c>
      <c r="AW81">
        <v>15</v>
      </c>
      <c r="AX81">
        <v>98.11</v>
      </c>
      <c r="AY81">
        <v>93.35</v>
      </c>
      <c r="AZ81">
        <v>13.41</v>
      </c>
      <c r="BA81">
        <v>110.85</v>
      </c>
      <c r="BB81">
        <v>418</v>
      </c>
      <c r="BC81">
        <v>116.23</v>
      </c>
      <c r="BD81">
        <v>106.35</v>
      </c>
      <c r="BE81">
        <v>11.64</v>
      </c>
      <c r="BF81">
        <v>126.58</v>
      </c>
      <c r="BG81">
        <v>684</v>
      </c>
      <c r="BH81">
        <v>125.92</v>
      </c>
      <c r="BI81">
        <v>122</v>
      </c>
      <c r="BJ81">
        <v>5.62</v>
      </c>
      <c r="BK81">
        <v>130.82</v>
      </c>
      <c r="BL81" s="214">
        <v>451</v>
      </c>
      <c r="BM81" s="214">
        <v>137.38999999999999</v>
      </c>
      <c r="BN81">
        <v>141.4</v>
      </c>
      <c r="BO81" s="187">
        <v>5.34</v>
      </c>
      <c r="BP81" s="214">
        <v>141.68</v>
      </c>
      <c r="BQ81" s="214">
        <v>41</v>
      </c>
      <c r="BR81">
        <v>0</v>
      </c>
      <c r="BS81" s="187">
        <v>0</v>
      </c>
      <c r="BT81" s="214">
        <v>0</v>
      </c>
      <c r="BU81" s="214">
        <v>0</v>
      </c>
      <c r="BV81">
        <v>0</v>
      </c>
      <c r="BW81">
        <v>0</v>
      </c>
      <c r="BX81" s="214">
        <v>0</v>
      </c>
      <c r="BY81" s="214">
        <v>0</v>
      </c>
      <c r="BZ81">
        <v>0</v>
      </c>
      <c r="CA81" s="187">
        <v>0</v>
      </c>
      <c r="CB81" s="214">
        <v>114.45</v>
      </c>
      <c r="CC81" s="214">
        <v>107.63</v>
      </c>
      <c r="CD81">
        <v>10.37</v>
      </c>
      <c r="CE81" s="187">
        <v>123.77</v>
      </c>
      <c r="CF81" s="214">
        <v>1609</v>
      </c>
      <c r="CG81" s="214">
        <v>114.45</v>
      </c>
      <c r="CH81">
        <v>107.63</v>
      </c>
      <c r="CI81">
        <v>10.37</v>
      </c>
      <c r="CJ81">
        <v>123.77</v>
      </c>
      <c r="CK81">
        <v>1609</v>
      </c>
      <c r="CL81">
        <v>88.12</v>
      </c>
      <c r="CM81">
        <v>87.79</v>
      </c>
      <c r="CN81" s="187">
        <v>5.83</v>
      </c>
      <c r="CO81">
        <v>93.95</v>
      </c>
      <c r="CP81">
        <v>23</v>
      </c>
      <c r="CQ81">
        <v>92.57</v>
      </c>
      <c r="CR81">
        <v>84.87</v>
      </c>
      <c r="CS81" s="187">
        <v>33.06</v>
      </c>
      <c r="CT81">
        <v>125.63</v>
      </c>
      <c r="CU81">
        <v>12</v>
      </c>
      <c r="CV81">
        <v>115.24</v>
      </c>
      <c r="CW81">
        <v>102.41</v>
      </c>
      <c r="CX81" s="187">
        <v>46.51</v>
      </c>
      <c r="CY81">
        <v>161.54</v>
      </c>
      <c r="CZ81">
        <v>210</v>
      </c>
      <c r="DA81">
        <v>140.88999999999999</v>
      </c>
      <c r="DB81">
        <v>134.53</v>
      </c>
      <c r="DC81" s="187">
        <v>61.33</v>
      </c>
      <c r="DD81">
        <v>202.22</v>
      </c>
      <c r="DE81">
        <v>17</v>
      </c>
      <c r="DF81">
        <v>151.08000000000001</v>
      </c>
      <c r="DG81">
        <v>137.34</v>
      </c>
      <c r="DH81" s="187">
        <v>33.06</v>
      </c>
      <c r="DI81">
        <v>184.14</v>
      </c>
      <c r="DJ81">
        <v>1</v>
      </c>
      <c r="DK81">
        <v>0</v>
      </c>
      <c r="DL81">
        <v>0</v>
      </c>
      <c r="DM81" s="187">
        <v>0</v>
      </c>
      <c r="DN81">
        <v>0</v>
      </c>
      <c r="DO81">
        <v>0</v>
      </c>
      <c r="DP81">
        <v>116.08</v>
      </c>
      <c r="DQ81">
        <v>104.01</v>
      </c>
      <c r="DR81" s="187">
        <v>46.84</v>
      </c>
      <c r="DS81">
        <v>162.72</v>
      </c>
      <c r="DT81">
        <v>240</v>
      </c>
      <c r="DU81">
        <v>113.63</v>
      </c>
      <c r="DV81">
        <v>102.55</v>
      </c>
      <c r="DW81" s="187">
        <v>43.24</v>
      </c>
      <c r="DX81">
        <v>156.69999999999999</v>
      </c>
      <c r="DY81">
        <v>263</v>
      </c>
      <c r="DZ81">
        <v>0</v>
      </c>
      <c r="EA81">
        <v>0</v>
      </c>
      <c r="EB81" s="187">
        <v>127.23</v>
      </c>
      <c r="EC81">
        <v>6</v>
      </c>
      <c r="ED81">
        <v>150.99</v>
      </c>
      <c r="EE81">
        <v>166</v>
      </c>
      <c r="EF81">
        <v>176.3</v>
      </c>
      <c r="EG81" s="187">
        <v>270</v>
      </c>
      <c r="EH81">
        <v>184.14</v>
      </c>
      <c r="EI81">
        <v>38</v>
      </c>
      <c r="EJ81">
        <v>223.11</v>
      </c>
      <c r="EK81">
        <v>2</v>
      </c>
      <c r="EL81" s="187">
        <v>0</v>
      </c>
      <c r="EM81">
        <v>0</v>
      </c>
      <c r="EN81">
        <v>0</v>
      </c>
      <c r="EO81">
        <v>0</v>
      </c>
      <c r="EP81">
        <v>167.78</v>
      </c>
      <c r="EQ81" s="187">
        <v>482</v>
      </c>
      <c r="ER81">
        <v>167.78</v>
      </c>
      <c r="ES81">
        <v>482</v>
      </c>
      <c r="ET81">
        <v>0</v>
      </c>
      <c r="EU81">
        <v>0</v>
      </c>
      <c r="EV81" s="187">
        <v>0</v>
      </c>
      <c r="EW81">
        <v>0</v>
      </c>
      <c r="EX81">
        <v>0</v>
      </c>
      <c r="EY81">
        <v>0</v>
      </c>
      <c r="EZ81">
        <v>0</v>
      </c>
      <c r="FA81" s="187">
        <v>0</v>
      </c>
      <c r="FB81">
        <v>0</v>
      </c>
      <c r="FC81">
        <v>0</v>
      </c>
      <c r="FD81">
        <v>0</v>
      </c>
      <c r="FE81">
        <v>0</v>
      </c>
      <c r="FF81" s="187">
        <v>0</v>
      </c>
      <c r="FG81">
        <v>0</v>
      </c>
      <c r="FH81">
        <v>0</v>
      </c>
      <c r="FI81">
        <v>0</v>
      </c>
      <c r="FJ81">
        <v>0</v>
      </c>
      <c r="FK81" s="187">
        <v>1</v>
      </c>
      <c r="FL81">
        <v>1</v>
      </c>
      <c r="FM81">
        <v>35</v>
      </c>
      <c r="FN81">
        <v>12</v>
      </c>
    </row>
    <row r="82" spans="1:170" x14ac:dyDescent="0.35">
      <c r="A82" t="s">
        <v>553</v>
      </c>
      <c r="B82" t="s">
        <v>554</v>
      </c>
      <c r="C82" t="s">
        <v>416</v>
      </c>
      <c r="D82">
        <v>11544</v>
      </c>
      <c r="E82">
        <v>11335</v>
      </c>
      <c r="F82">
        <v>76</v>
      </c>
      <c r="G82">
        <v>5</v>
      </c>
      <c r="H82">
        <v>1085</v>
      </c>
      <c r="I82">
        <v>321</v>
      </c>
      <c r="J82">
        <v>845</v>
      </c>
      <c r="K82">
        <v>764</v>
      </c>
      <c r="L82">
        <v>2447</v>
      </c>
      <c r="M82">
        <v>175</v>
      </c>
      <c r="N82">
        <v>15997</v>
      </c>
      <c r="O82">
        <v>12600</v>
      </c>
      <c r="P82">
        <v>13550</v>
      </c>
      <c r="Q82">
        <v>47</v>
      </c>
      <c r="R82">
        <v>22</v>
      </c>
      <c r="S82">
        <v>39</v>
      </c>
      <c r="T82">
        <v>1117</v>
      </c>
      <c r="U82">
        <v>14880</v>
      </c>
      <c r="V82" s="498">
        <v>11262</v>
      </c>
      <c r="W82">
        <v>95</v>
      </c>
      <c r="X82" s="498">
        <v>59</v>
      </c>
      <c r="Y82" s="498">
        <v>154</v>
      </c>
      <c r="Z82" s="498">
        <v>125.79</v>
      </c>
      <c r="AA82" s="498">
        <v>124.54</v>
      </c>
      <c r="AB82">
        <v>11.55</v>
      </c>
      <c r="AC82">
        <v>133.62</v>
      </c>
      <c r="AD82">
        <v>8743</v>
      </c>
      <c r="AE82">
        <v>104.63</v>
      </c>
      <c r="AF82">
        <v>97.67</v>
      </c>
      <c r="AG82">
        <v>61.08</v>
      </c>
      <c r="AH82">
        <v>162.16999999999999</v>
      </c>
      <c r="AI82">
        <v>1122</v>
      </c>
      <c r="AJ82">
        <v>192.21</v>
      </c>
      <c r="AK82">
        <v>2112</v>
      </c>
      <c r="AL82">
        <v>149.88</v>
      </c>
      <c r="AM82">
        <v>39</v>
      </c>
      <c r="AN82">
        <v>103.93</v>
      </c>
      <c r="AO82" s="499">
        <v>112.03</v>
      </c>
      <c r="AP82" s="499">
        <v>36.340000000000003</v>
      </c>
      <c r="AQ82">
        <v>122.1</v>
      </c>
      <c r="AR82">
        <v>10</v>
      </c>
      <c r="AS82">
        <v>89.19</v>
      </c>
      <c r="AT82">
        <v>88.25</v>
      </c>
      <c r="AU82">
        <v>9.06</v>
      </c>
      <c r="AV82">
        <v>97.46</v>
      </c>
      <c r="AW82">
        <v>80</v>
      </c>
      <c r="AX82">
        <v>102.04</v>
      </c>
      <c r="AY82">
        <v>100.44</v>
      </c>
      <c r="AZ82">
        <v>15.77</v>
      </c>
      <c r="BA82">
        <v>114.56</v>
      </c>
      <c r="BB82">
        <v>1272</v>
      </c>
      <c r="BC82">
        <v>118.43</v>
      </c>
      <c r="BD82">
        <v>116.85</v>
      </c>
      <c r="BE82">
        <v>14.06</v>
      </c>
      <c r="BF82">
        <v>129.56</v>
      </c>
      <c r="BG82">
        <v>3322</v>
      </c>
      <c r="BH82">
        <v>136.13</v>
      </c>
      <c r="BI82">
        <v>134.81</v>
      </c>
      <c r="BJ82">
        <v>6.82</v>
      </c>
      <c r="BK82">
        <v>139.72999999999999</v>
      </c>
      <c r="BL82" s="214">
        <v>3185</v>
      </c>
      <c r="BM82" s="214">
        <v>153.94999999999999</v>
      </c>
      <c r="BN82">
        <v>154.03</v>
      </c>
      <c r="BO82" s="187">
        <v>6.17</v>
      </c>
      <c r="BP82" s="214">
        <v>157.82</v>
      </c>
      <c r="BQ82" s="214">
        <v>787</v>
      </c>
      <c r="BR82">
        <v>157.46</v>
      </c>
      <c r="BS82" s="187">
        <v>161.18</v>
      </c>
      <c r="BT82" s="214">
        <v>5.86</v>
      </c>
      <c r="BU82" s="214">
        <v>159.71</v>
      </c>
      <c r="BV82">
        <v>81</v>
      </c>
      <c r="BW82">
        <v>156.13999999999999</v>
      </c>
      <c r="BX82" s="214">
        <v>176.62</v>
      </c>
      <c r="BY82" s="214">
        <v>4.63</v>
      </c>
      <c r="BZ82">
        <v>157.69</v>
      </c>
      <c r="CA82" s="187">
        <v>6</v>
      </c>
      <c r="CB82" s="214">
        <v>125.82</v>
      </c>
      <c r="CC82" s="214">
        <v>124.55</v>
      </c>
      <c r="CD82">
        <v>11.53</v>
      </c>
      <c r="CE82" s="187">
        <v>133.63999999999999</v>
      </c>
      <c r="CF82" s="214">
        <v>8733</v>
      </c>
      <c r="CG82" s="214">
        <v>125.79</v>
      </c>
      <c r="CH82">
        <v>124.54</v>
      </c>
      <c r="CI82">
        <v>11.55</v>
      </c>
      <c r="CJ82">
        <v>133.62</v>
      </c>
      <c r="CK82">
        <v>8743</v>
      </c>
      <c r="CL82">
        <v>95.92</v>
      </c>
      <c r="CM82">
        <v>89.85</v>
      </c>
      <c r="CN82" s="187">
        <v>144.1</v>
      </c>
      <c r="CO82">
        <v>214.65</v>
      </c>
      <c r="CP82">
        <v>250</v>
      </c>
      <c r="CQ82">
        <v>89.94</v>
      </c>
      <c r="CR82">
        <v>84.98</v>
      </c>
      <c r="CS82" s="187">
        <v>42.36</v>
      </c>
      <c r="CT82">
        <v>131.4</v>
      </c>
      <c r="CU82">
        <v>189</v>
      </c>
      <c r="CV82">
        <v>111.4</v>
      </c>
      <c r="CW82">
        <v>102.94</v>
      </c>
      <c r="CX82" s="187">
        <v>40.99</v>
      </c>
      <c r="CY82">
        <v>151.37</v>
      </c>
      <c r="CZ82">
        <v>648</v>
      </c>
      <c r="DA82">
        <v>116.72</v>
      </c>
      <c r="DB82">
        <v>116.46</v>
      </c>
      <c r="DC82" s="187">
        <v>35.19</v>
      </c>
      <c r="DD82">
        <v>150.69</v>
      </c>
      <c r="DE82">
        <v>29</v>
      </c>
      <c r="DF82">
        <v>140.49</v>
      </c>
      <c r="DG82">
        <v>136.94</v>
      </c>
      <c r="DH82" s="187">
        <v>25.96</v>
      </c>
      <c r="DI82">
        <v>166.45</v>
      </c>
      <c r="DJ82">
        <v>6</v>
      </c>
      <c r="DK82">
        <v>0</v>
      </c>
      <c r="DL82">
        <v>0</v>
      </c>
      <c r="DM82" s="187">
        <v>0</v>
      </c>
      <c r="DN82">
        <v>0</v>
      </c>
      <c r="DO82">
        <v>0</v>
      </c>
      <c r="DP82">
        <v>107.12</v>
      </c>
      <c r="DQ82">
        <v>99.65</v>
      </c>
      <c r="DR82" s="187">
        <v>40.99</v>
      </c>
      <c r="DS82">
        <v>147.12</v>
      </c>
      <c r="DT82">
        <v>872</v>
      </c>
      <c r="DU82">
        <v>104.63</v>
      </c>
      <c r="DV82">
        <v>97.67</v>
      </c>
      <c r="DW82" s="187">
        <v>61.08</v>
      </c>
      <c r="DX82">
        <v>162.16999999999999</v>
      </c>
      <c r="DY82">
        <v>1122</v>
      </c>
      <c r="DZ82">
        <v>79.94</v>
      </c>
      <c r="EA82">
        <v>28</v>
      </c>
      <c r="EB82" s="187">
        <v>163.62</v>
      </c>
      <c r="EC82">
        <v>39</v>
      </c>
      <c r="ED82">
        <v>157.27000000000001</v>
      </c>
      <c r="EE82">
        <v>518</v>
      </c>
      <c r="EF82">
        <v>192.05</v>
      </c>
      <c r="EG82" s="187">
        <v>932</v>
      </c>
      <c r="EH82">
        <v>228.58</v>
      </c>
      <c r="EI82">
        <v>513</v>
      </c>
      <c r="EJ82">
        <v>239.3</v>
      </c>
      <c r="EK82">
        <v>81</v>
      </c>
      <c r="EL82" s="187">
        <v>210.75</v>
      </c>
      <c r="EM82">
        <v>1</v>
      </c>
      <c r="EN82">
        <v>0</v>
      </c>
      <c r="EO82">
        <v>0</v>
      </c>
      <c r="EP82">
        <v>193.71</v>
      </c>
      <c r="EQ82" s="187">
        <v>2084</v>
      </c>
      <c r="ER82">
        <v>192.21</v>
      </c>
      <c r="ES82">
        <v>2112</v>
      </c>
      <c r="ET82">
        <v>0</v>
      </c>
      <c r="EU82">
        <v>0</v>
      </c>
      <c r="EV82" s="187">
        <v>0</v>
      </c>
      <c r="EW82">
        <v>0</v>
      </c>
      <c r="EX82">
        <v>145.65</v>
      </c>
      <c r="EY82">
        <v>35</v>
      </c>
      <c r="EZ82">
        <v>186.88</v>
      </c>
      <c r="FA82" s="187">
        <v>4</v>
      </c>
      <c r="FB82">
        <v>0</v>
      </c>
      <c r="FC82">
        <v>0</v>
      </c>
      <c r="FD82">
        <v>0</v>
      </c>
      <c r="FE82">
        <v>0</v>
      </c>
      <c r="FF82" s="187">
        <v>149.88</v>
      </c>
      <c r="FG82">
        <v>39</v>
      </c>
      <c r="FH82">
        <v>149.88</v>
      </c>
      <c r="FI82">
        <v>39</v>
      </c>
      <c r="FJ82">
        <v>0</v>
      </c>
      <c r="FK82" s="187">
        <v>5</v>
      </c>
      <c r="FL82">
        <v>8</v>
      </c>
      <c r="FM82">
        <v>72</v>
      </c>
      <c r="FN82">
        <v>63</v>
      </c>
    </row>
    <row r="83" spans="1:170" x14ac:dyDescent="0.35">
      <c r="A83" t="s">
        <v>555</v>
      </c>
      <c r="B83" t="s">
        <v>556</v>
      </c>
      <c r="C83" t="s">
        <v>415</v>
      </c>
      <c r="D83">
        <v>3210</v>
      </c>
      <c r="E83">
        <v>3144</v>
      </c>
      <c r="F83">
        <v>0</v>
      </c>
      <c r="G83">
        <v>0</v>
      </c>
      <c r="H83">
        <v>249</v>
      </c>
      <c r="I83">
        <v>287</v>
      </c>
      <c r="J83">
        <v>275</v>
      </c>
      <c r="K83">
        <v>179</v>
      </c>
      <c r="L83">
        <v>409</v>
      </c>
      <c r="M83">
        <v>4</v>
      </c>
      <c r="N83">
        <v>4143</v>
      </c>
      <c r="O83">
        <v>3614</v>
      </c>
      <c r="P83">
        <v>3734</v>
      </c>
      <c r="Q83">
        <v>0</v>
      </c>
      <c r="R83">
        <v>11</v>
      </c>
      <c r="S83">
        <v>23</v>
      </c>
      <c r="T83">
        <v>170</v>
      </c>
      <c r="U83">
        <v>3973</v>
      </c>
      <c r="V83" s="498">
        <v>3159</v>
      </c>
      <c r="W83">
        <v>30</v>
      </c>
      <c r="X83" s="498">
        <v>33</v>
      </c>
      <c r="Y83" s="498">
        <v>63</v>
      </c>
      <c r="Z83" s="498">
        <v>119.84</v>
      </c>
      <c r="AA83" s="498">
        <v>116.1</v>
      </c>
      <c r="AB83">
        <v>8.2100000000000009</v>
      </c>
      <c r="AC83">
        <v>126.86</v>
      </c>
      <c r="AD83">
        <v>1967</v>
      </c>
      <c r="AE83">
        <v>122.19</v>
      </c>
      <c r="AF83">
        <v>100.55</v>
      </c>
      <c r="AG83">
        <v>31.17</v>
      </c>
      <c r="AH83">
        <v>152.32</v>
      </c>
      <c r="AI83">
        <v>392</v>
      </c>
      <c r="AJ83">
        <v>183.93</v>
      </c>
      <c r="AK83">
        <v>1001</v>
      </c>
      <c r="AL83">
        <v>161.34</v>
      </c>
      <c r="AM83">
        <v>13</v>
      </c>
      <c r="AN83">
        <v>0</v>
      </c>
      <c r="AO83" s="499">
        <v>0</v>
      </c>
      <c r="AP83" s="499">
        <v>0</v>
      </c>
      <c r="AQ83">
        <v>0</v>
      </c>
      <c r="AR83">
        <v>0</v>
      </c>
      <c r="AS83">
        <v>81.84</v>
      </c>
      <c r="AT83">
        <v>81.709999999999994</v>
      </c>
      <c r="AU83">
        <v>17.54</v>
      </c>
      <c r="AV83">
        <v>99.38</v>
      </c>
      <c r="AW83">
        <v>48</v>
      </c>
      <c r="AX83">
        <v>100.92</v>
      </c>
      <c r="AY83">
        <v>97.58</v>
      </c>
      <c r="AZ83">
        <v>11.97</v>
      </c>
      <c r="BA83">
        <v>112.67</v>
      </c>
      <c r="BB83">
        <v>383</v>
      </c>
      <c r="BC83">
        <v>118.45</v>
      </c>
      <c r="BD83">
        <v>114.09</v>
      </c>
      <c r="BE83">
        <v>9.08</v>
      </c>
      <c r="BF83">
        <v>126.74</v>
      </c>
      <c r="BG83">
        <v>797</v>
      </c>
      <c r="BH83">
        <v>131.93</v>
      </c>
      <c r="BI83">
        <v>127.95</v>
      </c>
      <c r="BJ83">
        <v>3.6</v>
      </c>
      <c r="BK83">
        <v>134.47999999999999</v>
      </c>
      <c r="BL83" s="214">
        <v>613</v>
      </c>
      <c r="BM83" s="214">
        <v>141.30000000000001</v>
      </c>
      <c r="BN83">
        <v>140.08000000000001</v>
      </c>
      <c r="BO83" s="187">
        <v>3.09</v>
      </c>
      <c r="BP83" s="214">
        <v>143.65</v>
      </c>
      <c r="BQ83" s="214">
        <v>122</v>
      </c>
      <c r="BR83">
        <v>156.63999999999999</v>
      </c>
      <c r="BS83" s="187">
        <v>152.47999999999999</v>
      </c>
      <c r="BT83" s="214">
        <v>1.46</v>
      </c>
      <c r="BU83" s="214">
        <v>157.01</v>
      </c>
      <c r="BV83">
        <v>4</v>
      </c>
      <c r="BW83">
        <v>0</v>
      </c>
      <c r="BX83" s="214">
        <v>0</v>
      </c>
      <c r="BY83" s="214">
        <v>0</v>
      </c>
      <c r="BZ83">
        <v>0</v>
      </c>
      <c r="CA83" s="187">
        <v>0</v>
      </c>
      <c r="CB83" s="214">
        <v>119.84</v>
      </c>
      <c r="CC83" s="214">
        <v>116.1</v>
      </c>
      <c r="CD83">
        <v>8.2100000000000009</v>
      </c>
      <c r="CE83" s="187">
        <v>126.86</v>
      </c>
      <c r="CF83" s="214">
        <v>1967</v>
      </c>
      <c r="CG83" s="214">
        <v>119.84</v>
      </c>
      <c r="CH83">
        <v>116.1</v>
      </c>
      <c r="CI83">
        <v>8.2100000000000009</v>
      </c>
      <c r="CJ83">
        <v>126.86</v>
      </c>
      <c r="CK83">
        <v>1967</v>
      </c>
      <c r="CL83">
        <v>118.2</v>
      </c>
      <c r="CM83">
        <v>81.540000000000006</v>
      </c>
      <c r="CN83" s="187">
        <v>40.9</v>
      </c>
      <c r="CO83">
        <v>159.1</v>
      </c>
      <c r="CP83">
        <v>77</v>
      </c>
      <c r="CQ83">
        <v>98.26</v>
      </c>
      <c r="CR83">
        <v>93.19</v>
      </c>
      <c r="CS83" s="187">
        <v>59.21</v>
      </c>
      <c r="CT83">
        <v>145.63</v>
      </c>
      <c r="CU83">
        <v>5</v>
      </c>
      <c r="CV83">
        <v>123.32</v>
      </c>
      <c r="CW83">
        <v>102.38</v>
      </c>
      <c r="CX83" s="187">
        <v>28.59</v>
      </c>
      <c r="CY83">
        <v>150.87</v>
      </c>
      <c r="CZ83">
        <v>277</v>
      </c>
      <c r="DA83">
        <v>125.06</v>
      </c>
      <c r="DB83">
        <v>112.74</v>
      </c>
      <c r="DC83" s="187">
        <v>25.25</v>
      </c>
      <c r="DD83">
        <v>150.31</v>
      </c>
      <c r="DE83">
        <v>30</v>
      </c>
      <c r="DF83">
        <v>124.72</v>
      </c>
      <c r="DG83">
        <v>119.35</v>
      </c>
      <c r="DH83" s="187">
        <v>37.14</v>
      </c>
      <c r="DI83">
        <v>143.29</v>
      </c>
      <c r="DJ83">
        <v>2</v>
      </c>
      <c r="DK83">
        <v>144.24</v>
      </c>
      <c r="DL83">
        <v>147.09</v>
      </c>
      <c r="DM83" s="187">
        <v>0</v>
      </c>
      <c r="DN83">
        <v>144.24</v>
      </c>
      <c r="DO83">
        <v>1</v>
      </c>
      <c r="DP83">
        <v>123.16</v>
      </c>
      <c r="DQ83">
        <v>103.51</v>
      </c>
      <c r="DR83" s="187">
        <v>28.69</v>
      </c>
      <c r="DS83">
        <v>150.66999999999999</v>
      </c>
      <c r="DT83">
        <v>315</v>
      </c>
      <c r="DU83">
        <v>122.19</v>
      </c>
      <c r="DV83">
        <v>100.55</v>
      </c>
      <c r="DW83" s="187">
        <v>31.17</v>
      </c>
      <c r="DX83">
        <v>152.32</v>
      </c>
      <c r="DY83">
        <v>392</v>
      </c>
      <c r="DZ83">
        <v>0</v>
      </c>
      <c r="EA83">
        <v>0</v>
      </c>
      <c r="EB83" s="187">
        <v>130.94</v>
      </c>
      <c r="EC83">
        <v>8</v>
      </c>
      <c r="ED83">
        <v>153.30000000000001</v>
      </c>
      <c r="EE83">
        <v>298</v>
      </c>
      <c r="EF83">
        <v>187.03</v>
      </c>
      <c r="EG83" s="187">
        <v>531</v>
      </c>
      <c r="EH83">
        <v>229.38</v>
      </c>
      <c r="EI83">
        <v>150</v>
      </c>
      <c r="EJ83">
        <v>261.89</v>
      </c>
      <c r="EK83">
        <v>14</v>
      </c>
      <c r="EL83" s="187">
        <v>0</v>
      </c>
      <c r="EM83">
        <v>0</v>
      </c>
      <c r="EN83">
        <v>0</v>
      </c>
      <c r="EO83">
        <v>0</v>
      </c>
      <c r="EP83">
        <v>183.93</v>
      </c>
      <c r="EQ83" s="187">
        <v>1001</v>
      </c>
      <c r="ER83">
        <v>183.93</v>
      </c>
      <c r="ES83">
        <v>1001</v>
      </c>
      <c r="ET83">
        <v>0</v>
      </c>
      <c r="EU83">
        <v>0</v>
      </c>
      <c r="EV83" s="187">
        <v>0</v>
      </c>
      <c r="EW83">
        <v>0</v>
      </c>
      <c r="EX83">
        <v>161.34</v>
      </c>
      <c r="EY83">
        <v>13</v>
      </c>
      <c r="EZ83">
        <v>0</v>
      </c>
      <c r="FA83" s="187">
        <v>0</v>
      </c>
      <c r="FB83">
        <v>0</v>
      </c>
      <c r="FC83">
        <v>0</v>
      </c>
      <c r="FD83">
        <v>0</v>
      </c>
      <c r="FE83">
        <v>0</v>
      </c>
      <c r="FF83" s="187">
        <v>161.34</v>
      </c>
      <c r="FG83">
        <v>13</v>
      </c>
      <c r="FH83">
        <v>161.34</v>
      </c>
      <c r="FI83">
        <v>13</v>
      </c>
      <c r="FJ83">
        <v>22</v>
      </c>
      <c r="FK83" s="187">
        <v>0</v>
      </c>
      <c r="FL83">
        <v>1</v>
      </c>
      <c r="FM83">
        <v>61</v>
      </c>
      <c r="FN83">
        <v>14</v>
      </c>
    </row>
    <row r="84" spans="1:170" x14ac:dyDescent="0.35">
      <c r="A84" t="s">
        <v>557</v>
      </c>
      <c r="B84" t="s">
        <v>558</v>
      </c>
      <c r="C84" t="s">
        <v>417</v>
      </c>
      <c r="D84">
        <v>2197</v>
      </c>
      <c r="E84">
        <v>2178</v>
      </c>
      <c r="F84">
        <v>4</v>
      </c>
      <c r="G84">
        <v>3</v>
      </c>
      <c r="H84">
        <v>332</v>
      </c>
      <c r="I84">
        <v>158</v>
      </c>
      <c r="J84">
        <v>530</v>
      </c>
      <c r="K84">
        <v>435</v>
      </c>
      <c r="L84">
        <v>139</v>
      </c>
      <c r="M84">
        <v>0</v>
      </c>
      <c r="N84">
        <v>3202</v>
      </c>
      <c r="O84">
        <v>2774</v>
      </c>
      <c r="P84">
        <v>3063</v>
      </c>
      <c r="Q84">
        <v>0</v>
      </c>
      <c r="R84">
        <v>12</v>
      </c>
      <c r="S84">
        <v>23</v>
      </c>
      <c r="T84">
        <v>250</v>
      </c>
      <c r="U84">
        <v>2952</v>
      </c>
      <c r="V84" s="498">
        <v>2176</v>
      </c>
      <c r="W84">
        <v>11</v>
      </c>
      <c r="X84" s="498">
        <v>28</v>
      </c>
      <c r="Y84" s="498">
        <v>39</v>
      </c>
      <c r="Z84" s="498">
        <v>81.150000000000006</v>
      </c>
      <c r="AA84" s="498">
        <v>78.760000000000005</v>
      </c>
      <c r="AB84">
        <v>4.47</v>
      </c>
      <c r="AC84">
        <v>83.98</v>
      </c>
      <c r="AD84">
        <v>1344</v>
      </c>
      <c r="AE84">
        <v>95.26</v>
      </c>
      <c r="AF84">
        <v>79.06</v>
      </c>
      <c r="AG84">
        <v>57.02</v>
      </c>
      <c r="AH84">
        <v>151.99</v>
      </c>
      <c r="AI84">
        <v>595</v>
      </c>
      <c r="AJ84">
        <v>103.12</v>
      </c>
      <c r="AK84">
        <v>704</v>
      </c>
      <c r="AL84">
        <v>112.13</v>
      </c>
      <c r="AM84">
        <v>41</v>
      </c>
      <c r="AN84">
        <v>0</v>
      </c>
      <c r="AO84" s="499">
        <v>0</v>
      </c>
      <c r="AP84" s="499">
        <v>0</v>
      </c>
      <c r="AQ84">
        <v>0</v>
      </c>
      <c r="AR84">
        <v>0</v>
      </c>
      <c r="AS84">
        <v>0</v>
      </c>
      <c r="AT84">
        <v>0</v>
      </c>
      <c r="AU84">
        <v>0</v>
      </c>
      <c r="AV84">
        <v>0</v>
      </c>
      <c r="AW84">
        <v>0</v>
      </c>
      <c r="AX84">
        <v>68.38</v>
      </c>
      <c r="AY84">
        <v>65.900000000000006</v>
      </c>
      <c r="AZ84">
        <v>4.97</v>
      </c>
      <c r="BA84">
        <v>73.16</v>
      </c>
      <c r="BB84">
        <v>364</v>
      </c>
      <c r="BC84">
        <v>82.78</v>
      </c>
      <c r="BD84">
        <v>79.98</v>
      </c>
      <c r="BE84">
        <v>4.87</v>
      </c>
      <c r="BF84">
        <v>86.17</v>
      </c>
      <c r="BG84">
        <v>416</v>
      </c>
      <c r="BH84">
        <v>86.56</v>
      </c>
      <c r="BI84">
        <v>84.64</v>
      </c>
      <c r="BJ84">
        <v>3.13</v>
      </c>
      <c r="BK84">
        <v>87.73</v>
      </c>
      <c r="BL84" s="214">
        <v>516</v>
      </c>
      <c r="BM84" s="214">
        <v>105.6</v>
      </c>
      <c r="BN84">
        <v>102.82</v>
      </c>
      <c r="BO84" s="187">
        <v>2.71</v>
      </c>
      <c r="BP84" s="214">
        <v>106.67</v>
      </c>
      <c r="BQ84" s="214">
        <v>48</v>
      </c>
      <c r="BR84">
        <v>0</v>
      </c>
      <c r="BS84" s="187">
        <v>0</v>
      </c>
      <c r="BT84" s="214">
        <v>0</v>
      </c>
      <c r="BU84" s="214">
        <v>0</v>
      </c>
      <c r="BV84">
        <v>0</v>
      </c>
      <c r="BW84">
        <v>0</v>
      </c>
      <c r="BX84" s="214">
        <v>0</v>
      </c>
      <c r="BY84" s="214">
        <v>0</v>
      </c>
      <c r="BZ84">
        <v>0</v>
      </c>
      <c r="CA84" s="187">
        <v>0</v>
      </c>
      <c r="CB84" s="214">
        <v>81.150000000000006</v>
      </c>
      <c r="CC84" s="214">
        <v>78.760000000000005</v>
      </c>
      <c r="CD84">
        <v>4.47</v>
      </c>
      <c r="CE84" s="187">
        <v>83.98</v>
      </c>
      <c r="CF84" s="214">
        <v>1344</v>
      </c>
      <c r="CG84" s="214">
        <v>81.150000000000006</v>
      </c>
      <c r="CH84">
        <v>78.760000000000005</v>
      </c>
      <c r="CI84">
        <v>4.47</v>
      </c>
      <c r="CJ84">
        <v>83.98</v>
      </c>
      <c r="CK84">
        <v>1344</v>
      </c>
      <c r="CL84">
        <v>122.36</v>
      </c>
      <c r="CM84">
        <v>74</v>
      </c>
      <c r="CN84" s="187">
        <v>100.51</v>
      </c>
      <c r="CO84">
        <v>219.97</v>
      </c>
      <c r="CP84">
        <v>104</v>
      </c>
      <c r="CQ84">
        <v>65.209999999999994</v>
      </c>
      <c r="CR84">
        <v>59.29</v>
      </c>
      <c r="CS84" s="187">
        <v>37.950000000000003</v>
      </c>
      <c r="CT84">
        <v>103.16</v>
      </c>
      <c r="CU84">
        <v>37</v>
      </c>
      <c r="CV84">
        <v>95.01</v>
      </c>
      <c r="CW84">
        <v>81.33</v>
      </c>
      <c r="CX84" s="187">
        <v>63.5</v>
      </c>
      <c r="CY84">
        <v>158.51</v>
      </c>
      <c r="CZ84">
        <v>304</v>
      </c>
      <c r="DA84">
        <v>84.16</v>
      </c>
      <c r="DB84">
        <v>81.599999999999994</v>
      </c>
      <c r="DC84" s="187">
        <v>19.149999999999999</v>
      </c>
      <c r="DD84">
        <v>103.31</v>
      </c>
      <c r="DE84">
        <v>147</v>
      </c>
      <c r="DF84">
        <v>95.06</v>
      </c>
      <c r="DG84">
        <v>88.9</v>
      </c>
      <c r="DH84" s="187">
        <v>26.2</v>
      </c>
      <c r="DI84">
        <v>121.26</v>
      </c>
      <c r="DJ84">
        <v>3</v>
      </c>
      <c r="DK84">
        <v>0</v>
      </c>
      <c r="DL84">
        <v>0</v>
      </c>
      <c r="DM84" s="187">
        <v>0</v>
      </c>
      <c r="DN84">
        <v>0</v>
      </c>
      <c r="DO84">
        <v>0</v>
      </c>
      <c r="DP84">
        <v>89.52</v>
      </c>
      <c r="DQ84">
        <v>79.72</v>
      </c>
      <c r="DR84" s="187">
        <v>48.07</v>
      </c>
      <c r="DS84">
        <v>137.59</v>
      </c>
      <c r="DT84">
        <v>491</v>
      </c>
      <c r="DU84">
        <v>95.26</v>
      </c>
      <c r="DV84">
        <v>79.06</v>
      </c>
      <c r="DW84" s="187">
        <v>57.02</v>
      </c>
      <c r="DX84">
        <v>151.99</v>
      </c>
      <c r="DY84">
        <v>595</v>
      </c>
      <c r="DZ84">
        <v>91.16</v>
      </c>
      <c r="EA84">
        <v>4</v>
      </c>
      <c r="EB84" s="187">
        <v>0</v>
      </c>
      <c r="EC84">
        <v>0</v>
      </c>
      <c r="ED84">
        <v>97.5</v>
      </c>
      <c r="EE84">
        <v>100</v>
      </c>
      <c r="EF84">
        <v>99.83</v>
      </c>
      <c r="EG84" s="187">
        <v>387</v>
      </c>
      <c r="EH84">
        <v>110.89</v>
      </c>
      <c r="EI84">
        <v>190</v>
      </c>
      <c r="EJ84">
        <v>120.93</v>
      </c>
      <c r="EK84">
        <v>23</v>
      </c>
      <c r="EL84" s="187">
        <v>0</v>
      </c>
      <c r="EM84">
        <v>0</v>
      </c>
      <c r="EN84">
        <v>0</v>
      </c>
      <c r="EO84">
        <v>0</v>
      </c>
      <c r="EP84">
        <v>103.19</v>
      </c>
      <c r="EQ84" s="187">
        <v>700</v>
      </c>
      <c r="ER84">
        <v>103.12</v>
      </c>
      <c r="ES84">
        <v>704</v>
      </c>
      <c r="ET84">
        <v>0</v>
      </c>
      <c r="EU84">
        <v>0</v>
      </c>
      <c r="EV84" s="187">
        <v>0</v>
      </c>
      <c r="EW84">
        <v>0</v>
      </c>
      <c r="EX84">
        <v>0</v>
      </c>
      <c r="EY84">
        <v>0</v>
      </c>
      <c r="EZ84">
        <v>112.13</v>
      </c>
      <c r="FA84" s="187">
        <v>41</v>
      </c>
      <c r="FB84">
        <v>0</v>
      </c>
      <c r="FC84">
        <v>0</v>
      </c>
      <c r="FD84">
        <v>0</v>
      </c>
      <c r="FE84">
        <v>0</v>
      </c>
      <c r="FF84" s="187">
        <v>112.13</v>
      </c>
      <c r="FG84">
        <v>41</v>
      </c>
      <c r="FH84">
        <v>112.13</v>
      </c>
      <c r="FI84">
        <v>41</v>
      </c>
      <c r="FJ84">
        <v>0</v>
      </c>
      <c r="FK84" s="187">
        <v>3</v>
      </c>
      <c r="FL84">
        <v>20</v>
      </c>
      <c r="FM84">
        <v>1</v>
      </c>
      <c r="FN84">
        <v>8</v>
      </c>
    </row>
    <row r="85" spans="1:170" x14ac:dyDescent="0.35">
      <c r="A85" t="s">
        <v>559</v>
      </c>
      <c r="B85" t="s">
        <v>560</v>
      </c>
      <c r="C85" t="s">
        <v>2</v>
      </c>
      <c r="D85">
        <v>1812</v>
      </c>
      <c r="E85">
        <v>1434</v>
      </c>
      <c r="F85">
        <v>12</v>
      </c>
      <c r="G85">
        <v>12</v>
      </c>
      <c r="H85">
        <v>146</v>
      </c>
      <c r="I85">
        <v>74</v>
      </c>
      <c r="J85">
        <v>107</v>
      </c>
      <c r="K85">
        <v>111</v>
      </c>
      <c r="L85">
        <v>1289</v>
      </c>
      <c r="M85">
        <v>77</v>
      </c>
      <c r="N85">
        <v>3366</v>
      </c>
      <c r="O85">
        <v>1708</v>
      </c>
      <c r="P85">
        <v>2077</v>
      </c>
      <c r="Q85">
        <v>1</v>
      </c>
      <c r="R85">
        <v>5</v>
      </c>
      <c r="S85">
        <v>19</v>
      </c>
      <c r="T85">
        <v>490</v>
      </c>
      <c r="U85">
        <v>2876</v>
      </c>
      <c r="V85" s="498">
        <v>1433</v>
      </c>
      <c r="W85">
        <v>15</v>
      </c>
      <c r="X85" s="498">
        <v>0</v>
      </c>
      <c r="Y85" s="498">
        <v>15</v>
      </c>
      <c r="Z85" s="498">
        <v>110.79</v>
      </c>
      <c r="AA85" s="498">
        <v>106.96</v>
      </c>
      <c r="AB85">
        <v>7.44</v>
      </c>
      <c r="AC85">
        <v>117.64</v>
      </c>
      <c r="AD85">
        <v>857</v>
      </c>
      <c r="AE85">
        <v>136.26</v>
      </c>
      <c r="AF85">
        <v>88.15</v>
      </c>
      <c r="AG85">
        <v>41.57</v>
      </c>
      <c r="AH85">
        <v>169.63</v>
      </c>
      <c r="AI85">
        <v>142</v>
      </c>
      <c r="AJ85">
        <v>168.28</v>
      </c>
      <c r="AK85">
        <v>524</v>
      </c>
      <c r="AL85">
        <v>0</v>
      </c>
      <c r="AM85">
        <v>0</v>
      </c>
      <c r="AN85">
        <v>0</v>
      </c>
      <c r="AO85" s="499">
        <v>0</v>
      </c>
      <c r="AP85" s="499">
        <v>0</v>
      </c>
      <c r="AQ85">
        <v>0</v>
      </c>
      <c r="AR85">
        <v>0</v>
      </c>
      <c r="AS85">
        <v>0</v>
      </c>
      <c r="AT85">
        <v>0</v>
      </c>
      <c r="AU85">
        <v>0</v>
      </c>
      <c r="AV85">
        <v>0</v>
      </c>
      <c r="AW85">
        <v>0</v>
      </c>
      <c r="AX85">
        <v>92.41</v>
      </c>
      <c r="AY85">
        <v>89.71</v>
      </c>
      <c r="AZ85">
        <v>14.64</v>
      </c>
      <c r="BA85">
        <v>106.37</v>
      </c>
      <c r="BB85">
        <v>128</v>
      </c>
      <c r="BC85">
        <v>107.84</v>
      </c>
      <c r="BD85">
        <v>103.79</v>
      </c>
      <c r="BE85">
        <v>7.79</v>
      </c>
      <c r="BF85">
        <v>115.1</v>
      </c>
      <c r="BG85">
        <v>412</v>
      </c>
      <c r="BH85">
        <v>120.82</v>
      </c>
      <c r="BI85">
        <v>116.56</v>
      </c>
      <c r="BJ85">
        <v>3.82</v>
      </c>
      <c r="BK85">
        <v>124.23</v>
      </c>
      <c r="BL85" s="214">
        <v>290</v>
      </c>
      <c r="BM85" s="214">
        <v>135.21</v>
      </c>
      <c r="BN85">
        <v>131.97999999999999</v>
      </c>
      <c r="BO85" s="187">
        <v>4.54</v>
      </c>
      <c r="BP85" s="214">
        <v>139.38999999999999</v>
      </c>
      <c r="BQ85" s="214">
        <v>25</v>
      </c>
      <c r="BR85">
        <v>132.91</v>
      </c>
      <c r="BS85" s="187">
        <v>157.22</v>
      </c>
      <c r="BT85" s="214">
        <v>2.2000000000000002</v>
      </c>
      <c r="BU85" s="214">
        <v>134.01</v>
      </c>
      <c r="BV85">
        <v>2</v>
      </c>
      <c r="BW85">
        <v>0</v>
      </c>
      <c r="BX85" s="214">
        <v>0</v>
      </c>
      <c r="BY85" s="214">
        <v>0</v>
      </c>
      <c r="BZ85">
        <v>0</v>
      </c>
      <c r="CA85" s="187">
        <v>0</v>
      </c>
      <c r="CB85" s="214">
        <v>110.79</v>
      </c>
      <c r="CC85" s="214">
        <v>106.96</v>
      </c>
      <c r="CD85">
        <v>7.44</v>
      </c>
      <c r="CE85" s="187">
        <v>117.64</v>
      </c>
      <c r="CF85" s="214">
        <v>857</v>
      </c>
      <c r="CG85" s="214">
        <v>110.79</v>
      </c>
      <c r="CH85">
        <v>106.96</v>
      </c>
      <c r="CI85">
        <v>7.44</v>
      </c>
      <c r="CJ85">
        <v>117.64</v>
      </c>
      <c r="CK85">
        <v>857</v>
      </c>
      <c r="CL85">
        <v>116.04</v>
      </c>
      <c r="CM85">
        <v>87.2</v>
      </c>
      <c r="CN85" s="187">
        <v>73.59</v>
      </c>
      <c r="CO85">
        <v>170.15</v>
      </c>
      <c r="CP85">
        <v>34</v>
      </c>
      <c r="CQ85">
        <v>0</v>
      </c>
      <c r="CR85">
        <v>0</v>
      </c>
      <c r="CS85" s="187">
        <v>0</v>
      </c>
      <c r="CT85">
        <v>0</v>
      </c>
      <c r="CU85">
        <v>0</v>
      </c>
      <c r="CV85">
        <v>120.97</v>
      </c>
      <c r="CW85">
        <v>87.97</v>
      </c>
      <c r="CX85" s="187">
        <v>28.02</v>
      </c>
      <c r="CY85">
        <v>142.80000000000001</v>
      </c>
      <c r="CZ85">
        <v>86</v>
      </c>
      <c r="DA85">
        <v>227.29</v>
      </c>
      <c r="DB85">
        <v>123.26</v>
      </c>
      <c r="DC85" s="187">
        <v>46.44</v>
      </c>
      <c r="DD85">
        <v>273.73</v>
      </c>
      <c r="DE85">
        <v>22</v>
      </c>
      <c r="DF85">
        <v>0</v>
      </c>
      <c r="DG85">
        <v>0</v>
      </c>
      <c r="DH85" s="187">
        <v>0</v>
      </c>
      <c r="DI85">
        <v>0</v>
      </c>
      <c r="DJ85">
        <v>0</v>
      </c>
      <c r="DK85">
        <v>0</v>
      </c>
      <c r="DL85">
        <v>0</v>
      </c>
      <c r="DM85" s="187">
        <v>0</v>
      </c>
      <c r="DN85">
        <v>0</v>
      </c>
      <c r="DO85">
        <v>0</v>
      </c>
      <c r="DP85">
        <v>142.63</v>
      </c>
      <c r="DQ85">
        <v>88.59</v>
      </c>
      <c r="DR85" s="187">
        <v>32.58</v>
      </c>
      <c r="DS85">
        <v>169.47</v>
      </c>
      <c r="DT85">
        <v>108</v>
      </c>
      <c r="DU85">
        <v>136.26</v>
      </c>
      <c r="DV85">
        <v>88.15</v>
      </c>
      <c r="DW85" s="187">
        <v>41.57</v>
      </c>
      <c r="DX85">
        <v>169.63</v>
      </c>
      <c r="DY85">
        <v>142</v>
      </c>
      <c r="DZ85">
        <v>0</v>
      </c>
      <c r="EA85">
        <v>0</v>
      </c>
      <c r="EB85" s="187">
        <v>0</v>
      </c>
      <c r="EC85">
        <v>0</v>
      </c>
      <c r="ED85">
        <v>130.76</v>
      </c>
      <c r="EE85">
        <v>92</v>
      </c>
      <c r="EF85">
        <v>165.4</v>
      </c>
      <c r="EG85" s="187">
        <v>305</v>
      </c>
      <c r="EH85">
        <v>193.9</v>
      </c>
      <c r="EI85">
        <v>113</v>
      </c>
      <c r="EJ85">
        <v>270.88</v>
      </c>
      <c r="EK85">
        <v>14</v>
      </c>
      <c r="EL85" s="187">
        <v>0</v>
      </c>
      <c r="EM85">
        <v>0</v>
      </c>
      <c r="EN85">
        <v>0</v>
      </c>
      <c r="EO85">
        <v>0</v>
      </c>
      <c r="EP85">
        <v>168.28</v>
      </c>
      <c r="EQ85" s="187">
        <v>524</v>
      </c>
      <c r="ER85">
        <v>168.28</v>
      </c>
      <c r="ES85">
        <v>524</v>
      </c>
      <c r="ET85">
        <v>0</v>
      </c>
      <c r="EU85">
        <v>0</v>
      </c>
      <c r="EV85" s="187">
        <v>0</v>
      </c>
      <c r="EW85">
        <v>0</v>
      </c>
      <c r="EX85">
        <v>0</v>
      </c>
      <c r="EY85">
        <v>0</v>
      </c>
      <c r="EZ85">
        <v>0</v>
      </c>
      <c r="FA85" s="187">
        <v>0</v>
      </c>
      <c r="FB85">
        <v>0</v>
      </c>
      <c r="FC85">
        <v>0</v>
      </c>
      <c r="FD85">
        <v>0</v>
      </c>
      <c r="FE85">
        <v>0</v>
      </c>
      <c r="FF85" s="187">
        <v>0</v>
      </c>
      <c r="FG85">
        <v>0</v>
      </c>
      <c r="FH85">
        <v>0</v>
      </c>
      <c r="FI85">
        <v>0</v>
      </c>
      <c r="FJ85">
        <v>0</v>
      </c>
      <c r="FK85" s="187">
        <v>0</v>
      </c>
      <c r="FL85">
        <v>0</v>
      </c>
      <c r="FM85">
        <v>252</v>
      </c>
      <c r="FN85">
        <v>35</v>
      </c>
    </row>
    <row r="86" spans="1:170" x14ac:dyDescent="0.35">
      <c r="A86" t="s">
        <v>561</v>
      </c>
      <c r="B86" t="s">
        <v>562</v>
      </c>
      <c r="C86" t="s">
        <v>414</v>
      </c>
      <c r="D86">
        <v>6183</v>
      </c>
      <c r="E86">
        <v>6013</v>
      </c>
      <c r="F86">
        <v>102</v>
      </c>
      <c r="G86">
        <v>102</v>
      </c>
      <c r="H86">
        <v>682</v>
      </c>
      <c r="I86">
        <v>301</v>
      </c>
      <c r="J86">
        <v>1363</v>
      </c>
      <c r="K86">
        <v>1262</v>
      </c>
      <c r="L86">
        <v>575</v>
      </c>
      <c r="M86">
        <v>101</v>
      </c>
      <c r="N86">
        <v>8905</v>
      </c>
      <c r="O86">
        <v>7779</v>
      </c>
      <c r="P86">
        <v>8330</v>
      </c>
      <c r="Q86">
        <v>2</v>
      </c>
      <c r="R86">
        <v>13</v>
      </c>
      <c r="S86">
        <v>25</v>
      </c>
      <c r="T86">
        <v>654</v>
      </c>
      <c r="U86">
        <v>8251</v>
      </c>
      <c r="V86" s="498">
        <v>5976</v>
      </c>
      <c r="W86">
        <v>33</v>
      </c>
      <c r="X86" s="498">
        <v>28</v>
      </c>
      <c r="Y86" s="498">
        <v>61</v>
      </c>
      <c r="Z86" s="498">
        <v>91.41</v>
      </c>
      <c r="AA86" s="498">
        <v>89.16</v>
      </c>
      <c r="AB86">
        <v>6.63</v>
      </c>
      <c r="AC86">
        <v>96.15</v>
      </c>
      <c r="AD86">
        <v>5391</v>
      </c>
      <c r="AE86">
        <v>89.38</v>
      </c>
      <c r="AF86">
        <v>83.04</v>
      </c>
      <c r="AG86">
        <v>54.17</v>
      </c>
      <c r="AH86">
        <v>142.94</v>
      </c>
      <c r="AI86">
        <v>1596</v>
      </c>
      <c r="AJ86">
        <v>110.26</v>
      </c>
      <c r="AK86">
        <v>616</v>
      </c>
      <c r="AL86">
        <v>195.52</v>
      </c>
      <c r="AM86">
        <v>2</v>
      </c>
      <c r="AN86">
        <v>0</v>
      </c>
      <c r="AO86" s="499">
        <v>0</v>
      </c>
      <c r="AP86" s="499">
        <v>0</v>
      </c>
      <c r="AQ86">
        <v>0</v>
      </c>
      <c r="AR86">
        <v>0</v>
      </c>
      <c r="AS86">
        <v>72.27</v>
      </c>
      <c r="AT86">
        <v>71.56</v>
      </c>
      <c r="AU86">
        <v>11.59</v>
      </c>
      <c r="AV86">
        <v>83.54</v>
      </c>
      <c r="AW86">
        <v>36</v>
      </c>
      <c r="AX86">
        <v>77.900000000000006</v>
      </c>
      <c r="AY86">
        <v>76.55</v>
      </c>
      <c r="AZ86">
        <v>8.58</v>
      </c>
      <c r="BA86">
        <v>86.08</v>
      </c>
      <c r="BB86">
        <v>1414</v>
      </c>
      <c r="BC86">
        <v>91.18</v>
      </c>
      <c r="BD86">
        <v>89.03</v>
      </c>
      <c r="BE86">
        <v>7.03</v>
      </c>
      <c r="BF86">
        <v>95.49</v>
      </c>
      <c r="BG86">
        <v>2363</v>
      </c>
      <c r="BH86">
        <v>102.34</v>
      </c>
      <c r="BI86">
        <v>100.08</v>
      </c>
      <c r="BJ86">
        <v>3.39</v>
      </c>
      <c r="BK86">
        <v>104.6</v>
      </c>
      <c r="BL86" s="214">
        <v>1339</v>
      </c>
      <c r="BM86" s="214">
        <v>114.3</v>
      </c>
      <c r="BN86">
        <v>110.87</v>
      </c>
      <c r="BO86" s="187">
        <v>2.7</v>
      </c>
      <c r="BP86" s="214">
        <v>115.82</v>
      </c>
      <c r="BQ86" s="214">
        <v>229</v>
      </c>
      <c r="BR86">
        <v>134.26</v>
      </c>
      <c r="BS86" s="187">
        <v>132.47999999999999</v>
      </c>
      <c r="BT86" s="214">
        <v>0</v>
      </c>
      <c r="BU86" s="214">
        <v>134.26</v>
      </c>
      <c r="BV86">
        <v>7</v>
      </c>
      <c r="BW86">
        <v>146.87</v>
      </c>
      <c r="BX86" s="214">
        <v>142.12</v>
      </c>
      <c r="BY86" s="214">
        <v>0</v>
      </c>
      <c r="BZ86">
        <v>146.87</v>
      </c>
      <c r="CA86" s="187">
        <v>3</v>
      </c>
      <c r="CB86" s="214">
        <v>91.41</v>
      </c>
      <c r="CC86" s="214">
        <v>89.16</v>
      </c>
      <c r="CD86">
        <v>6.63</v>
      </c>
      <c r="CE86" s="187">
        <v>96.15</v>
      </c>
      <c r="CF86" s="214">
        <v>5391</v>
      </c>
      <c r="CG86" s="214">
        <v>91.41</v>
      </c>
      <c r="CH86">
        <v>89.16</v>
      </c>
      <c r="CI86">
        <v>6.63</v>
      </c>
      <c r="CJ86">
        <v>96.15</v>
      </c>
      <c r="CK86">
        <v>5391</v>
      </c>
      <c r="CL86">
        <v>84.59</v>
      </c>
      <c r="CM86">
        <v>69.27</v>
      </c>
      <c r="CN86" s="187">
        <v>152.33000000000001</v>
      </c>
      <c r="CO86">
        <v>233.9</v>
      </c>
      <c r="CP86">
        <v>202</v>
      </c>
      <c r="CQ86">
        <v>71.33</v>
      </c>
      <c r="CR86">
        <v>65.540000000000006</v>
      </c>
      <c r="CS86" s="187">
        <v>40.03</v>
      </c>
      <c r="CT86">
        <v>111.36</v>
      </c>
      <c r="CU86">
        <v>140</v>
      </c>
      <c r="CV86">
        <v>88.04</v>
      </c>
      <c r="CW86">
        <v>82.29</v>
      </c>
      <c r="CX86" s="187">
        <v>40.28</v>
      </c>
      <c r="CY86">
        <v>127.83</v>
      </c>
      <c r="CZ86">
        <v>984</v>
      </c>
      <c r="DA86">
        <v>106.83</v>
      </c>
      <c r="DB86">
        <v>103.19</v>
      </c>
      <c r="DC86" s="187">
        <v>40.229999999999997</v>
      </c>
      <c r="DD86">
        <v>146.9</v>
      </c>
      <c r="DE86">
        <v>252</v>
      </c>
      <c r="DF86">
        <v>112.6</v>
      </c>
      <c r="DG86">
        <v>112.34</v>
      </c>
      <c r="DH86" s="187">
        <v>27.4</v>
      </c>
      <c r="DI86">
        <v>138.47999999999999</v>
      </c>
      <c r="DJ86">
        <v>18</v>
      </c>
      <c r="DK86">
        <v>0</v>
      </c>
      <c r="DL86">
        <v>0</v>
      </c>
      <c r="DM86" s="187">
        <v>0</v>
      </c>
      <c r="DN86">
        <v>0</v>
      </c>
      <c r="DO86">
        <v>0</v>
      </c>
      <c r="DP86">
        <v>90.07</v>
      </c>
      <c r="DQ86">
        <v>84.82</v>
      </c>
      <c r="DR86" s="187">
        <v>40.090000000000003</v>
      </c>
      <c r="DS86">
        <v>129.76</v>
      </c>
      <c r="DT86">
        <v>1394</v>
      </c>
      <c r="DU86">
        <v>89.38</v>
      </c>
      <c r="DV86">
        <v>83.04</v>
      </c>
      <c r="DW86" s="187">
        <v>54.17</v>
      </c>
      <c r="DX86">
        <v>142.94</v>
      </c>
      <c r="DY86">
        <v>1596</v>
      </c>
      <c r="DZ86">
        <v>0</v>
      </c>
      <c r="EA86">
        <v>0</v>
      </c>
      <c r="EB86" s="187">
        <v>106.86</v>
      </c>
      <c r="EC86">
        <v>1</v>
      </c>
      <c r="ED86">
        <v>90.94</v>
      </c>
      <c r="EE86">
        <v>108</v>
      </c>
      <c r="EF86">
        <v>109.58</v>
      </c>
      <c r="EG86" s="187">
        <v>325</v>
      </c>
      <c r="EH86">
        <v>118.89</v>
      </c>
      <c r="EI86">
        <v>152</v>
      </c>
      <c r="EJ86">
        <v>143.62</v>
      </c>
      <c r="EK86">
        <v>30</v>
      </c>
      <c r="EL86" s="187">
        <v>0</v>
      </c>
      <c r="EM86">
        <v>0</v>
      </c>
      <c r="EN86">
        <v>0</v>
      </c>
      <c r="EO86">
        <v>0</v>
      </c>
      <c r="EP86">
        <v>110.26</v>
      </c>
      <c r="EQ86" s="187">
        <v>616</v>
      </c>
      <c r="ER86">
        <v>110.26</v>
      </c>
      <c r="ES86">
        <v>616</v>
      </c>
      <c r="ET86">
        <v>195.52</v>
      </c>
      <c r="EU86">
        <v>2</v>
      </c>
      <c r="EV86" s="187">
        <v>0</v>
      </c>
      <c r="EW86">
        <v>0</v>
      </c>
      <c r="EX86">
        <v>0</v>
      </c>
      <c r="EY86">
        <v>0</v>
      </c>
      <c r="EZ86">
        <v>0</v>
      </c>
      <c r="FA86" s="187">
        <v>0</v>
      </c>
      <c r="FB86">
        <v>0</v>
      </c>
      <c r="FC86">
        <v>0</v>
      </c>
      <c r="FD86">
        <v>0</v>
      </c>
      <c r="FE86">
        <v>0</v>
      </c>
      <c r="FF86" s="187">
        <v>0</v>
      </c>
      <c r="FG86">
        <v>0</v>
      </c>
      <c r="FH86">
        <v>195.52</v>
      </c>
      <c r="FI86">
        <v>2</v>
      </c>
      <c r="FJ86">
        <v>378</v>
      </c>
      <c r="FK86" s="187">
        <v>3</v>
      </c>
      <c r="FL86">
        <v>2</v>
      </c>
      <c r="FM86">
        <v>23</v>
      </c>
      <c r="FN86">
        <v>24</v>
      </c>
    </row>
    <row r="87" spans="1:170" x14ac:dyDescent="0.35">
      <c r="A87" t="s">
        <v>563</v>
      </c>
      <c r="B87" t="s">
        <v>564</v>
      </c>
      <c r="C87" t="s">
        <v>414</v>
      </c>
      <c r="D87">
        <v>3909</v>
      </c>
      <c r="E87">
        <v>3735</v>
      </c>
      <c r="F87">
        <v>0</v>
      </c>
      <c r="G87">
        <v>0</v>
      </c>
      <c r="H87">
        <v>68</v>
      </c>
      <c r="I87">
        <v>29</v>
      </c>
      <c r="J87">
        <v>270</v>
      </c>
      <c r="K87">
        <v>262</v>
      </c>
      <c r="L87">
        <v>246</v>
      </c>
      <c r="M87">
        <v>0</v>
      </c>
      <c r="N87">
        <v>4493</v>
      </c>
      <c r="O87">
        <v>4026</v>
      </c>
      <c r="P87">
        <v>4247</v>
      </c>
      <c r="Q87">
        <v>0</v>
      </c>
      <c r="R87">
        <v>6</v>
      </c>
      <c r="S87">
        <v>14</v>
      </c>
      <c r="T87">
        <v>159</v>
      </c>
      <c r="U87">
        <v>4334</v>
      </c>
      <c r="V87" s="498">
        <v>3762</v>
      </c>
      <c r="W87">
        <v>65</v>
      </c>
      <c r="X87" s="498">
        <v>11</v>
      </c>
      <c r="Y87" s="498">
        <v>76</v>
      </c>
      <c r="Z87" s="498">
        <v>94.71</v>
      </c>
      <c r="AA87" s="498">
        <v>96.5</v>
      </c>
      <c r="AB87">
        <v>3.03</v>
      </c>
      <c r="AC87">
        <v>97.38</v>
      </c>
      <c r="AD87">
        <v>3366</v>
      </c>
      <c r="AE87">
        <v>88.88</v>
      </c>
      <c r="AF87">
        <v>85.34</v>
      </c>
      <c r="AG87">
        <v>30.54</v>
      </c>
      <c r="AH87">
        <v>118.76</v>
      </c>
      <c r="AI87">
        <v>324</v>
      </c>
      <c r="AJ87">
        <v>116.38</v>
      </c>
      <c r="AK87">
        <v>412</v>
      </c>
      <c r="AL87">
        <v>197.73</v>
      </c>
      <c r="AM87">
        <v>2</v>
      </c>
      <c r="AN87">
        <v>0</v>
      </c>
      <c r="AO87" s="499">
        <v>0</v>
      </c>
      <c r="AP87" s="499">
        <v>0</v>
      </c>
      <c r="AQ87">
        <v>0</v>
      </c>
      <c r="AR87">
        <v>0</v>
      </c>
      <c r="AS87">
        <v>70.25</v>
      </c>
      <c r="AT87">
        <v>70.64</v>
      </c>
      <c r="AU87">
        <v>6.87</v>
      </c>
      <c r="AV87">
        <v>76.930000000000007</v>
      </c>
      <c r="AW87">
        <v>37</v>
      </c>
      <c r="AX87">
        <v>83.24</v>
      </c>
      <c r="AY87">
        <v>83.54</v>
      </c>
      <c r="AZ87">
        <v>4.29</v>
      </c>
      <c r="BA87">
        <v>87.39</v>
      </c>
      <c r="BB87">
        <v>959</v>
      </c>
      <c r="BC87">
        <v>96.82</v>
      </c>
      <c r="BD87">
        <v>96.87</v>
      </c>
      <c r="BE87">
        <v>3.84</v>
      </c>
      <c r="BF87">
        <v>100.31</v>
      </c>
      <c r="BG87">
        <v>1029</v>
      </c>
      <c r="BH87">
        <v>101.7</v>
      </c>
      <c r="BI87">
        <v>105.84</v>
      </c>
      <c r="BJ87">
        <v>1.08</v>
      </c>
      <c r="BK87">
        <v>102.55</v>
      </c>
      <c r="BL87" s="214">
        <v>1294</v>
      </c>
      <c r="BM87" s="214">
        <v>109.37</v>
      </c>
      <c r="BN87">
        <v>114</v>
      </c>
      <c r="BO87" s="187">
        <v>1.25</v>
      </c>
      <c r="BP87" s="214">
        <v>110.5</v>
      </c>
      <c r="BQ87" s="214">
        <v>41</v>
      </c>
      <c r="BR87">
        <v>110.27</v>
      </c>
      <c r="BS87" s="187">
        <v>123.44</v>
      </c>
      <c r="BT87" s="214">
        <v>0.25</v>
      </c>
      <c r="BU87" s="214">
        <v>110.48</v>
      </c>
      <c r="BV87">
        <v>6</v>
      </c>
      <c r="BW87">
        <v>0</v>
      </c>
      <c r="BX87" s="214">
        <v>0</v>
      </c>
      <c r="BY87" s="214">
        <v>0</v>
      </c>
      <c r="BZ87">
        <v>0</v>
      </c>
      <c r="CA87" s="187">
        <v>0</v>
      </c>
      <c r="CB87" s="214">
        <v>94.71</v>
      </c>
      <c r="CC87" s="214">
        <v>96.5</v>
      </c>
      <c r="CD87">
        <v>3.03</v>
      </c>
      <c r="CE87" s="187">
        <v>97.38</v>
      </c>
      <c r="CF87" s="214">
        <v>3366</v>
      </c>
      <c r="CG87" s="214">
        <v>94.71</v>
      </c>
      <c r="CH87">
        <v>96.5</v>
      </c>
      <c r="CI87">
        <v>3.03</v>
      </c>
      <c r="CJ87">
        <v>97.38</v>
      </c>
      <c r="CK87">
        <v>3366</v>
      </c>
      <c r="CL87">
        <v>111.25</v>
      </c>
      <c r="CM87">
        <v>79.39</v>
      </c>
      <c r="CN87" s="187">
        <v>36.19</v>
      </c>
      <c r="CO87">
        <v>137.57</v>
      </c>
      <c r="CP87">
        <v>22</v>
      </c>
      <c r="CQ87">
        <v>72.05</v>
      </c>
      <c r="CR87">
        <v>72.09</v>
      </c>
      <c r="CS87" s="187">
        <v>22.66</v>
      </c>
      <c r="CT87">
        <v>94.7</v>
      </c>
      <c r="CU87">
        <v>68</v>
      </c>
      <c r="CV87">
        <v>86.42</v>
      </c>
      <c r="CW87">
        <v>85.13</v>
      </c>
      <c r="CX87" s="187">
        <v>30.16</v>
      </c>
      <c r="CY87">
        <v>116.42</v>
      </c>
      <c r="CZ87">
        <v>182</v>
      </c>
      <c r="DA87">
        <v>112.09</v>
      </c>
      <c r="DB87">
        <v>107.24</v>
      </c>
      <c r="DC87" s="187">
        <v>31.17</v>
      </c>
      <c r="DD87">
        <v>143.26</v>
      </c>
      <c r="DE87">
        <v>45</v>
      </c>
      <c r="DF87">
        <v>96.76</v>
      </c>
      <c r="DG87">
        <v>106.28</v>
      </c>
      <c r="DH87" s="187">
        <v>99.95</v>
      </c>
      <c r="DI87">
        <v>196.7</v>
      </c>
      <c r="DJ87">
        <v>7</v>
      </c>
      <c r="DK87">
        <v>0</v>
      </c>
      <c r="DL87">
        <v>0</v>
      </c>
      <c r="DM87" s="187">
        <v>0</v>
      </c>
      <c r="DN87">
        <v>0</v>
      </c>
      <c r="DO87">
        <v>0</v>
      </c>
      <c r="DP87">
        <v>87.25</v>
      </c>
      <c r="DQ87">
        <v>85.7</v>
      </c>
      <c r="DR87" s="187">
        <v>30.24</v>
      </c>
      <c r="DS87">
        <v>117.39</v>
      </c>
      <c r="DT87">
        <v>302</v>
      </c>
      <c r="DU87">
        <v>88.88</v>
      </c>
      <c r="DV87">
        <v>85.34</v>
      </c>
      <c r="DW87" s="187">
        <v>30.54</v>
      </c>
      <c r="DX87">
        <v>118.76</v>
      </c>
      <c r="DY87">
        <v>324</v>
      </c>
      <c r="DZ87">
        <v>0</v>
      </c>
      <c r="EA87">
        <v>0</v>
      </c>
      <c r="EB87" s="187">
        <v>0</v>
      </c>
      <c r="EC87">
        <v>0</v>
      </c>
      <c r="ED87">
        <v>94.32</v>
      </c>
      <c r="EE87">
        <v>60</v>
      </c>
      <c r="EF87">
        <v>114.65</v>
      </c>
      <c r="EG87" s="187">
        <v>232</v>
      </c>
      <c r="EH87">
        <v>129.93</v>
      </c>
      <c r="EI87">
        <v>113</v>
      </c>
      <c r="EJ87">
        <v>144.1</v>
      </c>
      <c r="EK87">
        <v>7</v>
      </c>
      <c r="EL87" s="187">
        <v>0</v>
      </c>
      <c r="EM87">
        <v>0</v>
      </c>
      <c r="EN87">
        <v>0</v>
      </c>
      <c r="EO87">
        <v>0</v>
      </c>
      <c r="EP87">
        <v>116.38</v>
      </c>
      <c r="EQ87" s="187">
        <v>412</v>
      </c>
      <c r="ER87">
        <v>116.38</v>
      </c>
      <c r="ES87">
        <v>412</v>
      </c>
      <c r="ET87">
        <v>0</v>
      </c>
      <c r="EU87">
        <v>0</v>
      </c>
      <c r="EV87" s="187">
        <v>0</v>
      </c>
      <c r="EW87">
        <v>0</v>
      </c>
      <c r="EX87">
        <v>0</v>
      </c>
      <c r="EY87">
        <v>0</v>
      </c>
      <c r="EZ87">
        <v>197.73</v>
      </c>
      <c r="FA87" s="187">
        <v>2</v>
      </c>
      <c r="FB87">
        <v>0</v>
      </c>
      <c r="FC87">
        <v>0</v>
      </c>
      <c r="FD87">
        <v>0</v>
      </c>
      <c r="FE87">
        <v>0</v>
      </c>
      <c r="FF87" s="187">
        <v>197.73</v>
      </c>
      <c r="FG87">
        <v>2</v>
      </c>
      <c r="FH87">
        <v>197.73</v>
      </c>
      <c r="FI87">
        <v>2</v>
      </c>
      <c r="FJ87">
        <v>0</v>
      </c>
      <c r="FK87" s="187">
        <v>10</v>
      </c>
      <c r="FL87">
        <v>3</v>
      </c>
      <c r="FM87">
        <v>20</v>
      </c>
      <c r="FN87">
        <v>5</v>
      </c>
    </row>
    <row r="88" spans="1:170" x14ac:dyDescent="0.35">
      <c r="A88" t="s">
        <v>565</v>
      </c>
      <c r="B88" t="s">
        <v>566</v>
      </c>
      <c r="C88" t="s">
        <v>1048</v>
      </c>
      <c r="D88">
        <v>2645</v>
      </c>
      <c r="E88">
        <v>2585</v>
      </c>
      <c r="F88">
        <v>3</v>
      </c>
      <c r="G88">
        <v>0</v>
      </c>
      <c r="H88">
        <v>832</v>
      </c>
      <c r="I88">
        <v>662</v>
      </c>
      <c r="J88">
        <v>924</v>
      </c>
      <c r="K88">
        <v>926</v>
      </c>
      <c r="L88">
        <v>467</v>
      </c>
      <c r="M88">
        <v>0</v>
      </c>
      <c r="N88">
        <v>4871</v>
      </c>
      <c r="O88">
        <v>4173</v>
      </c>
      <c r="P88">
        <v>4404</v>
      </c>
      <c r="Q88">
        <v>0</v>
      </c>
      <c r="R88">
        <v>12</v>
      </c>
      <c r="S88">
        <v>27</v>
      </c>
      <c r="T88">
        <v>285</v>
      </c>
      <c r="U88">
        <v>4586</v>
      </c>
      <c r="V88" s="498">
        <v>2560</v>
      </c>
      <c r="W88">
        <v>47</v>
      </c>
      <c r="X88" s="498">
        <v>22</v>
      </c>
      <c r="Y88" s="498">
        <v>69</v>
      </c>
      <c r="Z88" s="498">
        <v>83.82</v>
      </c>
      <c r="AA88" s="498">
        <v>80.59</v>
      </c>
      <c r="AB88">
        <v>5.55</v>
      </c>
      <c r="AC88">
        <v>86.96</v>
      </c>
      <c r="AD88">
        <v>1694</v>
      </c>
      <c r="AE88">
        <v>104.82</v>
      </c>
      <c r="AF88">
        <v>82.16</v>
      </c>
      <c r="AG88">
        <v>45.65</v>
      </c>
      <c r="AH88">
        <v>149.97999999999999</v>
      </c>
      <c r="AI88">
        <v>1550</v>
      </c>
      <c r="AJ88">
        <v>99.99</v>
      </c>
      <c r="AK88">
        <v>844</v>
      </c>
      <c r="AL88">
        <v>108.17</v>
      </c>
      <c r="AM88">
        <v>9</v>
      </c>
      <c r="AN88">
        <v>0</v>
      </c>
      <c r="AO88" s="499">
        <v>0</v>
      </c>
      <c r="AP88" s="499">
        <v>0</v>
      </c>
      <c r="AQ88">
        <v>0</v>
      </c>
      <c r="AR88">
        <v>0</v>
      </c>
      <c r="AS88">
        <v>0</v>
      </c>
      <c r="AT88">
        <v>0</v>
      </c>
      <c r="AU88">
        <v>0</v>
      </c>
      <c r="AV88">
        <v>0</v>
      </c>
      <c r="AW88">
        <v>0</v>
      </c>
      <c r="AX88">
        <v>70.98</v>
      </c>
      <c r="AY88">
        <v>68.37</v>
      </c>
      <c r="AZ88">
        <v>7.71</v>
      </c>
      <c r="BA88">
        <v>78.209999999999994</v>
      </c>
      <c r="BB88">
        <v>454</v>
      </c>
      <c r="BC88">
        <v>83.12</v>
      </c>
      <c r="BD88">
        <v>79.900000000000006</v>
      </c>
      <c r="BE88">
        <v>4.59</v>
      </c>
      <c r="BF88">
        <v>85.34</v>
      </c>
      <c r="BG88">
        <v>698</v>
      </c>
      <c r="BH88">
        <v>94.39</v>
      </c>
      <c r="BI88">
        <v>90.54</v>
      </c>
      <c r="BJ88">
        <v>2.4300000000000002</v>
      </c>
      <c r="BK88">
        <v>95.24</v>
      </c>
      <c r="BL88" s="214">
        <v>485</v>
      </c>
      <c r="BM88" s="214">
        <v>104.5</v>
      </c>
      <c r="BN88">
        <v>102</v>
      </c>
      <c r="BO88" s="187">
        <v>2.97</v>
      </c>
      <c r="BP88" s="214">
        <v>105.94</v>
      </c>
      <c r="BQ88" s="214">
        <v>56</v>
      </c>
      <c r="BR88">
        <v>106.66</v>
      </c>
      <c r="BS88" s="187">
        <v>101.59</v>
      </c>
      <c r="BT88" s="214">
        <v>0</v>
      </c>
      <c r="BU88" s="214">
        <v>106.66</v>
      </c>
      <c r="BV88">
        <v>1</v>
      </c>
      <c r="BW88">
        <v>0</v>
      </c>
      <c r="BX88" s="214">
        <v>0</v>
      </c>
      <c r="BY88" s="214">
        <v>0</v>
      </c>
      <c r="BZ88">
        <v>0</v>
      </c>
      <c r="CA88" s="187">
        <v>0</v>
      </c>
      <c r="CB88" s="214">
        <v>83.82</v>
      </c>
      <c r="CC88" s="214">
        <v>80.59</v>
      </c>
      <c r="CD88">
        <v>5.55</v>
      </c>
      <c r="CE88" s="187">
        <v>86.96</v>
      </c>
      <c r="CF88" s="214">
        <v>1694</v>
      </c>
      <c r="CG88" s="214">
        <v>83.82</v>
      </c>
      <c r="CH88">
        <v>80.59</v>
      </c>
      <c r="CI88">
        <v>5.55</v>
      </c>
      <c r="CJ88">
        <v>86.96</v>
      </c>
      <c r="CK88">
        <v>1694</v>
      </c>
      <c r="CL88">
        <v>133.6</v>
      </c>
      <c r="CM88">
        <v>75.75</v>
      </c>
      <c r="CN88" s="187">
        <v>57.34</v>
      </c>
      <c r="CO88">
        <v>190.21</v>
      </c>
      <c r="CP88">
        <v>392</v>
      </c>
      <c r="CQ88">
        <v>65.41</v>
      </c>
      <c r="CR88">
        <v>60.33</v>
      </c>
      <c r="CS88" s="187">
        <v>47.13</v>
      </c>
      <c r="CT88">
        <v>112.53</v>
      </c>
      <c r="CU88">
        <v>51</v>
      </c>
      <c r="CV88">
        <v>93.2</v>
      </c>
      <c r="CW88">
        <v>74.05</v>
      </c>
      <c r="CX88" s="187">
        <v>45.89</v>
      </c>
      <c r="CY88">
        <v>139.01</v>
      </c>
      <c r="CZ88">
        <v>597</v>
      </c>
      <c r="DA88">
        <v>99.94</v>
      </c>
      <c r="DB88">
        <v>95.76</v>
      </c>
      <c r="DC88" s="187">
        <v>36.090000000000003</v>
      </c>
      <c r="DD88">
        <v>135.24</v>
      </c>
      <c r="DE88">
        <v>501</v>
      </c>
      <c r="DF88">
        <v>119.06</v>
      </c>
      <c r="DG88">
        <v>88.28</v>
      </c>
      <c r="DH88" s="187">
        <v>43.25</v>
      </c>
      <c r="DI88">
        <v>162.31</v>
      </c>
      <c r="DJ88">
        <v>8</v>
      </c>
      <c r="DK88">
        <v>108.16</v>
      </c>
      <c r="DL88">
        <v>98.33</v>
      </c>
      <c r="DM88" s="187">
        <v>9.5500000000000007</v>
      </c>
      <c r="DN88">
        <v>117.71</v>
      </c>
      <c r="DO88">
        <v>1</v>
      </c>
      <c r="DP88">
        <v>95.08</v>
      </c>
      <c r="DQ88">
        <v>83.62</v>
      </c>
      <c r="DR88" s="187">
        <v>41.71</v>
      </c>
      <c r="DS88">
        <v>136.36000000000001</v>
      </c>
      <c r="DT88">
        <v>1158</v>
      </c>
      <c r="DU88">
        <v>104.82</v>
      </c>
      <c r="DV88">
        <v>82.16</v>
      </c>
      <c r="DW88" s="187">
        <v>45.65</v>
      </c>
      <c r="DX88">
        <v>149.97999999999999</v>
      </c>
      <c r="DY88">
        <v>1550</v>
      </c>
      <c r="DZ88">
        <v>0</v>
      </c>
      <c r="EA88">
        <v>0</v>
      </c>
      <c r="EB88" s="187">
        <v>0</v>
      </c>
      <c r="EC88">
        <v>0</v>
      </c>
      <c r="ED88">
        <v>83.14</v>
      </c>
      <c r="EE88">
        <v>93</v>
      </c>
      <c r="EF88">
        <v>96.53</v>
      </c>
      <c r="EG88" s="187">
        <v>427</v>
      </c>
      <c r="EH88">
        <v>108.12</v>
      </c>
      <c r="EI88">
        <v>307</v>
      </c>
      <c r="EJ88">
        <v>130.27000000000001</v>
      </c>
      <c r="EK88">
        <v>16</v>
      </c>
      <c r="EL88" s="187">
        <v>163.01</v>
      </c>
      <c r="EM88">
        <v>1</v>
      </c>
      <c r="EN88">
        <v>0</v>
      </c>
      <c r="EO88">
        <v>0</v>
      </c>
      <c r="EP88">
        <v>99.99</v>
      </c>
      <c r="EQ88" s="187">
        <v>844</v>
      </c>
      <c r="ER88">
        <v>99.99</v>
      </c>
      <c r="ES88">
        <v>844</v>
      </c>
      <c r="ET88">
        <v>0</v>
      </c>
      <c r="EU88">
        <v>0</v>
      </c>
      <c r="EV88" s="187">
        <v>0</v>
      </c>
      <c r="EW88">
        <v>0</v>
      </c>
      <c r="EX88">
        <v>97.88</v>
      </c>
      <c r="EY88">
        <v>8</v>
      </c>
      <c r="EZ88">
        <v>190.45</v>
      </c>
      <c r="FA88" s="187">
        <v>1</v>
      </c>
      <c r="FB88">
        <v>0</v>
      </c>
      <c r="FC88">
        <v>0</v>
      </c>
      <c r="FD88">
        <v>0</v>
      </c>
      <c r="FE88">
        <v>0</v>
      </c>
      <c r="FF88" s="187">
        <v>108.17</v>
      </c>
      <c r="FG88">
        <v>9</v>
      </c>
      <c r="FH88">
        <v>108.17</v>
      </c>
      <c r="FI88">
        <v>9</v>
      </c>
      <c r="FJ88">
        <v>16</v>
      </c>
      <c r="FK88" s="187">
        <v>1</v>
      </c>
      <c r="FL88">
        <v>9</v>
      </c>
      <c r="FM88">
        <v>66</v>
      </c>
      <c r="FN88">
        <v>2</v>
      </c>
    </row>
    <row r="89" spans="1:170" x14ac:dyDescent="0.35">
      <c r="A89" t="s">
        <v>567</v>
      </c>
      <c r="B89" t="s">
        <v>568</v>
      </c>
      <c r="C89" t="s">
        <v>419</v>
      </c>
      <c r="D89">
        <v>16663</v>
      </c>
      <c r="E89">
        <v>16594</v>
      </c>
      <c r="F89">
        <v>16</v>
      </c>
      <c r="G89">
        <v>16</v>
      </c>
      <c r="H89">
        <v>780</v>
      </c>
      <c r="I89">
        <v>500</v>
      </c>
      <c r="J89">
        <v>3986</v>
      </c>
      <c r="K89">
        <v>3653</v>
      </c>
      <c r="L89">
        <v>1467</v>
      </c>
      <c r="M89">
        <v>123</v>
      </c>
      <c r="N89">
        <v>22912</v>
      </c>
      <c r="O89">
        <v>20886</v>
      </c>
      <c r="P89">
        <v>21445</v>
      </c>
      <c r="Q89">
        <v>42</v>
      </c>
      <c r="R89">
        <v>23</v>
      </c>
      <c r="S89">
        <v>29</v>
      </c>
      <c r="T89">
        <v>668</v>
      </c>
      <c r="U89">
        <v>22244</v>
      </c>
      <c r="V89" s="498">
        <v>16582</v>
      </c>
      <c r="W89">
        <v>77</v>
      </c>
      <c r="X89" s="498">
        <v>83</v>
      </c>
      <c r="Y89" s="498">
        <v>160</v>
      </c>
      <c r="Z89" s="498">
        <v>101.67</v>
      </c>
      <c r="AA89" s="498">
        <v>100.51</v>
      </c>
      <c r="AB89">
        <v>4.28</v>
      </c>
      <c r="AC89">
        <v>104.56</v>
      </c>
      <c r="AD89">
        <v>14578</v>
      </c>
      <c r="AE89">
        <v>92</v>
      </c>
      <c r="AF89">
        <v>89.3</v>
      </c>
      <c r="AG89">
        <v>23.39</v>
      </c>
      <c r="AH89">
        <v>114.95</v>
      </c>
      <c r="AI89">
        <v>4123</v>
      </c>
      <c r="AJ89">
        <v>142.41999999999999</v>
      </c>
      <c r="AK89">
        <v>1998</v>
      </c>
      <c r="AL89">
        <v>166.95</v>
      </c>
      <c r="AM89">
        <v>56</v>
      </c>
      <c r="AN89">
        <v>63.4</v>
      </c>
      <c r="AO89" s="499">
        <v>0</v>
      </c>
      <c r="AP89" s="499">
        <v>33.78</v>
      </c>
      <c r="AQ89">
        <v>97.18</v>
      </c>
      <c r="AR89">
        <v>16</v>
      </c>
      <c r="AS89">
        <v>66.11</v>
      </c>
      <c r="AT89">
        <v>65.510000000000005</v>
      </c>
      <c r="AU89">
        <v>8.4</v>
      </c>
      <c r="AV89">
        <v>74.349999999999994</v>
      </c>
      <c r="AW89">
        <v>51</v>
      </c>
      <c r="AX89">
        <v>83.27</v>
      </c>
      <c r="AY89">
        <v>81.87</v>
      </c>
      <c r="AZ89">
        <v>6.64</v>
      </c>
      <c r="BA89">
        <v>88.81</v>
      </c>
      <c r="BB89">
        <v>2336</v>
      </c>
      <c r="BC89">
        <v>97.98</v>
      </c>
      <c r="BD89">
        <v>96.69</v>
      </c>
      <c r="BE89">
        <v>4.6900000000000004</v>
      </c>
      <c r="BF89">
        <v>101.4</v>
      </c>
      <c r="BG89">
        <v>6128</v>
      </c>
      <c r="BH89">
        <v>112.34</v>
      </c>
      <c r="BI89">
        <v>111.26</v>
      </c>
      <c r="BJ89">
        <v>2.14</v>
      </c>
      <c r="BK89">
        <v>113.52</v>
      </c>
      <c r="BL89" s="214">
        <v>5720</v>
      </c>
      <c r="BM89" s="214">
        <v>122.76</v>
      </c>
      <c r="BN89">
        <v>122.4</v>
      </c>
      <c r="BO89" s="187">
        <v>2.4500000000000002</v>
      </c>
      <c r="BP89" s="214">
        <v>124.09</v>
      </c>
      <c r="BQ89" s="214">
        <v>318</v>
      </c>
      <c r="BR89">
        <v>129.16999999999999</v>
      </c>
      <c r="BS89" s="187">
        <v>127.51</v>
      </c>
      <c r="BT89" s="214">
        <v>2.57</v>
      </c>
      <c r="BU89" s="214">
        <v>130.44999999999999</v>
      </c>
      <c r="BV89">
        <v>6</v>
      </c>
      <c r="BW89">
        <v>161.65</v>
      </c>
      <c r="BX89" s="214">
        <v>161.72</v>
      </c>
      <c r="BY89" s="214">
        <v>0.38</v>
      </c>
      <c r="BZ89">
        <v>161.78</v>
      </c>
      <c r="CA89" s="187">
        <v>3</v>
      </c>
      <c r="CB89" s="214">
        <v>101.72</v>
      </c>
      <c r="CC89" s="214">
        <v>100.51</v>
      </c>
      <c r="CD89">
        <v>4.2300000000000004</v>
      </c>
      <c r="CE89" s="187">
        <v>104.57</v>
      </c>
      <c r="CF89" s="214">
        <v>14562</v>
      </c>
      <c r="CG89" s="214">
        <v>101.67</v>
      </c>
      <c r="CH89">
        <v>100.51</v>
      </c>
      <c r="CI89">
        <v>4.28</v>
      </c>
      <c r="CJ89">
        <v>104.56</v>
      </c>
      <c r="CK89">
        <v>14578</v>
      </c>
      <c r="CL89">
        <v>90.35</v>
      </c>
      <c r="CM89">
        <v>72.28</v>
      </c>
      <c r="CN89" s="187">
        <v>81.400000000000006</v>
      </c>
      <c r="CO89">
        <v>161.04</v>
      </c>
      <c r="CP89">
        <v>205</v>
      </c>
      <c r="CQ89">
        <v>74.489999999999995</v>
      </c>
      <c r="CR89">
        <v>72.34</v>
      </c>
      <c r="CS89" s="187">
        <v>29.33</v>
      </c>
      <c r="CT89">
        <v>103.72</v>
      </c>
      <c r="CU89">
        <v>300</v>
      </c>
      <c r="CV89">
        <v>90.49</v>
      </c>
      <c r="CW89">
        <v>87.87</v>
      </c>
      <c r="CX89" s="187">
        <v>21.13</v>
      </c>
      <c r="CY89">
        <v>111.35</v>
      </c>
      <c r="CZ89">
        <v>2802</v>
      </c>
      <c r="DA89">
        <v>103.73</v>
      </c>
      <c r="DB89">
        <v>102.91</v>
      </c>
      <c r="DC89" s="187">
        <v>15.98</v>
      </c>
      <c r="DD89">
        <v>119.54</v>
      </c>
      <c r="DE89">
        <v>805</v>
      </c>
      <c r="DF89">
        <v>117.76</v>
      </c>
      <c r="DG89">
        <v>117.54</v>
      </c>
      <c r="DH89" s="187">
        <v>25.09</v>
      </c>
      <c r="DI89">
        <v>137.27000000000001</v>
      </c>
      <c r="DJ89">
        <v>9</v>
      </c>
      <c r="DK89">
        <v>171.74</v>
      </c>
      <c r="DL89">
        <v>127.42</v>
      </c>
      <c r="DM89" s="187">
        <v>0</v>
      </c>
      <c r="DN89">
        <v>171.74</v>
      </c>
      <c r="DO89">
        <v>2</v>
      </c>
      <c r="DP89">
        <v>92.09</v>
      </c>
      <c r="DQ89">
        <v>89.83</v>
      </c>
      <c r="DR89" s="187">
        <v>20.71</v>
      </c>
      <c r="DS89">
        <v>112.54</v>
      </c>
      <c r="DT89">
        <v>3918</v>
      </c>
      <c r="DU89">
        <v>92</v>
      </c>
      <c r="DV89">
        <v>89.3</v>
      </c>
      <c r="DW89" s="187">
        <v>23.39</v>
      </c>
      <c r="DX89">
        <v>114.95</v>
      </c>
      <c r="DY89">
        <v>4123</v>
      </c>
      <c r="DZ89">
        <v>0</v>
      </c>
      <c r="EA89">
        <v>0</v>
      </c>
      <c r="EB89" s="187">
        <v>68.569999999999993</v>
      </c>
      <c r="EC89">
        <v>1</v>
      </c>
      <c r="ED89">
        <v>115.1</v>
      </c>
      <c r="EE89">
        <v>444</v>
      </c>
      <c r="EF89">
        <v>139.84</v>
      </c>
      <c r="EG89" s="187">
        <v>994</v>
      </c>
      <c r="EH89">
        <v>166.01</v>
      </c>
      <c r="EI89">
        <v>515</v>
      </c>
      <c r="EJ89">
        <v>202.11</v>
      </c>
      <c r="EK89">
        <v>44</v>
      </c>
      <c r="EL89" s="187">
        <v>0</v>
      </c>
      <c r="EM89">
        <v>0</v>
      </c>
      <c r="EN89">
        <v>0</v>
      </c>
      <c r="EO89">
        <v>0</v>
      </c>
      <c r="EP89">
        <v>142.41999999999999</v>
      </c>
      <c r="EQ89" s="187">
        <v>1998</v>
      </c>
      <c r="ER89">
        <v>142.41999999999999</v>
      </c>
      <c r="ES89">
        <v>1998</v>
      </c>
      <c r="ET89">
        <v>0</v>
      </c>
      <c r="EU89">
        <v>0</v>
      </c>
      <c r="EV89" s="187">
        <v>0</v>
      </c>
      <c r="EW89">
        <v>0</v>
      </c>
      <c r="EX89">
        <v>157</v>
      </c>
      <c r="EY89">
        <v>39</v>
      </c>
      <c r="EZ89">
        <v>189.78</v>
      </c>
      <c r="FA89" s="187">
        <v>17</v>
      </c>
      <c r="FB89">
        <v>0</v>
      </c>
      <c r="FC89">
        <v>0</v>
      </c>
      <c r="FD89">
        <v>0</v>
      </c>
      <c r="FE89">
        <v>0</v>
      </c>
      <c r="FF89" s="187">
        <v>166.95</v>
      </c>
      <c r="FG89">
        <v>56</v>
      </c>
      <c r="FH89">
        <v>166.95</v>
      </c>
      <c r="FI89">
        <v>56</v>
      </c>
      <c r="FJ89">
        <v>9</v>
      </c>
      <c r="FK89" s="187">
        <v>15</v>
      </c>
      <c r="FL89">
        <v>52</v>
      </c>
      <c r="FM89">
        <v>171</v>
      </c>
      <c r="FN89">
        <v>33</v>
      </c>
    </row>
    <row r="90" spans="1:170" x14ac:dyDescent="0.35">
      <c r="A90" t="s">
        <v>569</v>
      </c>
      <c r="B90" t="s">
        <v>570</v>
      </c>
      <c r="C90" t="s">
        <v>2</v>
      </c>
      <c r="D90">
        <v>2125</v>
      </c>
      <c r="E90">
        <v>2047</v>
      </c>
      <c r="F90">
        <v>4</v>
      </c>
      <c r="G90">
        <v>4</v>
      </c>
      <c r="H90">
        <v>139</v>
      </c>
      <c r="I90">
        <v>99</v>
      </c>
      <c r="J90">
        <v>550</v>
      </c>
      <c r="K90">
        <v>584</v>
      </c>
      <c r="L90">
        <v>283</v>
      </c>
      <c r="M90">
        <v>48</v>
      </c>
      <c r="N90">
        <v>3101</v>
      </c>
      <c r="O90">
        <v>2782</v>
      </c>
      <c r="P90">
        <v>2818</v>
      </c>
      <c r="Q90">
        <v>22</v>
      </c>
      <c r="R90">
        <v>4</v>
      </c>
      <c r="S90">
        <v>25</v>
      </c>
      <c r="T90">
        <v>87</v>
      </c>
      <c r="U90">
        <v>3014</v>
      </c>
      <c r="V90" s="498">
        <v>2047</v>
      </c>
      <c r="W90">
        <v>12</v>
      </c>
      <c r="X90" s="498">
        <v>15</v>
      </c>
      <c r="Y90" s="498">
        <v>27</v>
      </c>
      <c r="Z90" s="498">
        <v>92.63</v>
      </c>
      <c r="AA90" s="498">
        <v>90.69</v>
      </c>
      <c r="AB90">
        <v>7.77</v>
      </c>
      <c r="AC90">
        <v>98.56</v>
      </c>
      <c r="AD90">
        <v>1703</v>
      </c>
      <c r="AE90">
        <v>111.54</v>
      </c>
      <c r="AF90">
        <v>87.86</v>
      </c>
      <c r="AG90">
        <v>42.97</v>
      </c>
      <c r="AH90">
        <v>151.79</v>
      </c>
      <c r="AI90">
        <v>680</v>
      </c>
      <c r="AJ90">
        <v>133.30000000000001</v>
      </c>
      <c r="AK90">
        <v>314</v>
      </c>
      <c r="AL90">
        <v>0</v>
      </c>
      <c r="AM90">
        <v>0</v>
      </c>
      <c r="AN90">
        <v>59.26</v>
      </c>
      <c r="AO90" s="499">
        <v>59.26</v>
      </c>
      <c r="AP90" s="499">
        <v>5.0999999999999996</v>
      </c>
      <c r="AQ90">
        <v>64.36</v>
      </c>
      <c r="AR90">
        <v>4</v>
      </c>
      <c r="AS90">
        <v>64.010000000000005</v>
      </c>
      <c r="AT90">
        <v>63.84</v>
      </c>
      <c r="AU90">
        <v>10.54</v>
      </c>
      <c r="AV90">
        <v>74.55</v>
      </c>
      <c r="AW90">
        <v>18</v>
      </c>
      <c r="AX90">
        <v>80.06</v>
      </c>
      <c r="AY90">
        <v>78.37</v>
      </c>
      <c r="AZ90">
        <v>11.1</v>
      </c>
      <c r="BA90">
        <v>90.64</v>
      </c>
      <c r="BB90">
        <v>414</v>
      </c>
      <c r="BC90">
        <v>92.18</v>
      </c>
      <c r="BD90">
        <v>90.54</v>
      </c>
      <c r="BE90">
        <v>6.7</v>
      </c>
      <c r="BF90">
        <v>97.52</v>
      </c>
      <c r="BG90">
        <v>728</v>
      </c>
      <c r="BH90">
        <v>103.14</v>
      </c>
      <c r="BI90">
        <v>100.33</v>
      </c>
      <c r="BJ90">
        <v>5.0599999999999996</v>
      </c>
      <c r="BK90">
        <v>105.95</v>
      </c>
      <c r="BL90" s="214">
        <v>503</v>
      </c>
      <c r="BM90" s="214">
        <v>117.13</v>
      </c>
      <c r="BN90">
        <v>120.06</v>
      </c>
      <c r="BO90" s="187">
        <v>4.01</v>
      </c>
      <c r="BP90" s="214">
        <v>119.53</v>
      </c>
      <c r="BQ90" s="214">
        <v>35</v>
      </c>
      <c r="BR90">
        <v>0</v>
      </c>
      <c r="BS90" s="187">
        <v>0</v>
      </c>
      <c r="BT90" s="214">
        <v>0</v>
      </c>
      <c r="BU90" s="214">
        <v>0</v>
      </c>
      <c r="BV90">
        <v>0</v>
      </c>
      <c r="BW90">
        <v>129.72</v>
      </c>
      <c r="BX90" s="214">
        <v>133.22999999999999</v>
      </c>
      <c r="BY90" s="214">
        <v>112.42</v>
      </c>
      <c r="BZ90">
        <v>242.14</v>
      </c>
      <c r="CA90" s="187">
        <v>1</v>
      </c>
      <c r="CB90" s="214">
        <v>92.71</v>
      </c>
      <c r="CC90" s="214">
        <v>90.77</v>
      </c>
      <c r="CD90">
        <v>7.78</v>
      </c>
      <c r="CE90" s="187">
        <v>98.64</v>
      </c>
      <c r="CF90" s="214">
        <v>1699</v>
      </c>
      <c r="CG90" s="214">
        <v>92.63</v>
      </c>
      <c r="CH90">
        <v>90.69</v>
      </c>
      <c r="CI90">
        <v>7.77</v>
      </c>
      <c r="CJ90">
        <v>98.56</v>
      </c>
      <c r="CK90">
        <v>1703</v>
      </c>
      <c r="CL90">
        <v>156.88</v>
      </c>
      <c r="CM90">
        <v>73.62</v>
      </c>
      <c r="CN90" s="187">
        <v>113.34</v>
      </c>
      <c r="CO90">
        <v>222.99</v>
      </c>
      <c r="CP90">
        <v>60</v>
      </c>
      <c r="CQ90">
        <v>83.11</v>
      </c>
      <c r="CR90">
        <v>76.62</v>
      </c>
      <c r="CS90" s="187">
        <v>35.24</v>
      </c>
      <c r="CT90">
        <v>113.12</v>
      </c>
      <c r="CU90">
        <v>74</v>
      </c>
      <c r="CV90">
        <v>104.06</v>
      </c>
      <c r="CW90">
        <v>87.74</v>
      </c>
      <c r="CX90" s="187">
        <v>39.9</v>
      </c>
      <c r="CY90">
        <v>143.44999999999999</v>
      </c>
      <c r="CZ90">
        <v>466</v>
      </c>
      <c r="DA90">
        <v>148.26</v>
      </c>
      <c r="DB90">
        <v>111.17</v>
      </c>
      <c r="DC90" s="187">
        <v>36.19</v>
      </c>
      <c r="DD90">
        <v>184.45</v>
      </c>
      <c r="DE90">
        <v>77</v>
      </c>
      <c r="DF90">
        <v>124.35</v>
      </c>
      <c r="DG90">
        <v>115.74</v>
      </c>
      <c r="DH90" s="187">
        <v>19.68</v>
      </c>
      <c r="DI90">
        <v>137.47</v>
      </c>
      <c r="DJ90">
        <v>3</v>
      </c>
      <c r="DK90">
        <v>0</v>
      </c>
      <c r="DL90">
        <v>0</v>
      </c>
      <c r="DM90" s="187">
        <v>0</v>
      </c>
      <c r="DN90">
        <v>0</v>
      </c>
      <c r="DO90">
        <v>0</v>
      </c>
      <c r="DP90">
        <v>107.15</v>
      </c>
      <c r="DQ90">
        <v>88.8</v>
      </c>
      <c r="DR90" s="187">
        <v>38.880000000000003</v>
      </c>
      <c r="DS90">
        <v>144.88999999999999</v>
      </c>
      <c r="DT90">
        <v>620</v>
      </c>
      <c r="DU90">
        <v>111.54</v>
      </c>
      <c r="DV90">
        <v>87.86</v>
      </c>
      <c r="DW90" s="187">
        <v>42.97</v>
      </c>
      <c r="DX90">
        <v>151.79</v>
      </c>
      <c r="DY90">
        <v>680</v>
      </c>
      <c r="DZ90">
        <v>0</v>
      </c>
      <c r="EA90">
        <v>0</v>
      </c>
      <c r="EB90" s="187">
        <v>0</v>
      </c>
      <c r="EC90">
        <v>0</v>
      </c>
      <c r="ED90">
        <v>91.44</v>
      </c>
      <c r="EE90">
        <v>28</v>
      </c>
      <c r="EF90">
        <v>127.81</v>
      </c>
      <c r="EG90" s="187">
        <v>177</v>
      </c>
      <c r="EH90">
        <v>151.53</v>
      </c>
      <c r="EI90">
        <v>99</v>
      </c>
      <c r="EJ90">
        <v>167.11</v>
      </c>
      <c r="EK90">
        <v>10</v>
      </c>
      <c r="EL90" s="187">
        <v>0</v>
      </c>
      <c r="EM90">
        <v>0</v>
      </c>
      <c r="EN90">
        <v>0</v>
      </c>
      <c r="EO90">
        <v>0</v>
      </c>
      <c r="EP90">
        <v>133.30000000000001</v>
      </c>
      <c r="EQ90" s="187">
        <v>314</v>
      </c>
      <c r="ER90">
        <v>133.30000000000001</v>
      </c>
      <c r="ES90">
        <v>314</v>
      </c>
      <c r="ET90">
        <v>0</v>
      </c>
      <c r="EU90">
        <v>0</v>
      </c>
      <c r="EV90" s="187">
        <v>0</v>
      </c>
      <c r="EW90">
        <v>0</v>
      </c>
      <c r="EX90">
        <v>0</v>
      </c>
      <c r="EY90">
        <v>0</v>
      </c>
      <c r="EZ90">
        <v>0</v>
      </c>
      <c r="FA90" s="187">
        <v>0</v>
      </c>
      <c r="FB90">
        <v>0</v>
      </c>
      <c r="FC90">
        <v>0</v>
      </c>
      <c r="FD90">
        <v>0</v>
      </c>
      <c r="FE90">
        <v>0</v>
      </c>
      <c r="FF90" s="187">
        <v>0</v>
      </c>
      <c r="FG90">
        <v>0</v>
      </c>
      <c r="FH90">
        <v>0</v>
      </c>
      <c r="FI90">
        <v>0</v>
      </c>
      <c r="FJ90">
        <v>0</v>
      </c>
      <c r="FK90" s="187">
        <v>0</v>
      </c>
      <c r="FL90">
        <v>1</v>
      </c>
      <c r="FM90">
        <v>23</v>
      </c>
      <c r="FN90">
        <v>8</v>
      </c>
    </row>
    <row r="91" spans="1:170" x14ac:dyDescent="0.35">
      <c r="A91" t="s">
        <v>571</v>
      </c>
      <c r="B91" t="s">
        <v>572</v>
      </c>
      <c r="C91" t="s">
        <v>420</v>
      </c>
      <c r="D91">
        <v>4035</v>
      </c>
      <c r="E91">
        <v>4035</v>
      </c>
      <c r="F91">
        <v>0</v>
      </c>
      <c r="G91">
        <v>0</v>
      </c>
      <c r="H91">
        <v>405</v>
      </c>
      <c r="I91">
        <v>233</v>
      </c>
      <c r="J91">
        <v>790</v>
      </c>
      <c r="K91">
        <v>695</v>
      </c>
      <c r="L91">
        <v>749</v>
      </c>
      <c r="M91">
        <v>0</v>
      </c>
      <c r="N91">
        <v>5979</v>
      </c>
      <c r="O91">
        <v>4963</v>
      </c>
      <c r="P91">
        <v>5230</v>
      </c>
      <c r="Q91">
        <v>0</v>
      </c>
      <c r="R91">
        <v>2</v>
      </c>
      <c r="S91">
        <v>25</v>
      </c>
      <c r="T91">
        <v>248</v>
      </c>
      <c r="U91">
        <v>5731</v>
      </c>
      <c r="V91" s="498">
        <v>4035</v>
      </c>
      <c r="W91">
        <v>52</v>
      </c>
      <c r="X91" s="498">
        <v>6</v>
      </c>
      <c r="Y91" s="498">
        <v>58</v>
      </c>
      <c r="Z91" s="498">
        <v>95.6</v>
      </c>
      <c r="AA91" s="498">
        <v>93.09</v>
      </c>
      <c r="AB91">
        <v>6.63</v>
      </c>
      <c r="AC91">
        <v>101.2</v>
      </c>
      <c r="AD91">
        <v>3216</v>
      </c>
      <c r="AE91">
        <v>112.91</v>
      </c>
      <c r="AF91">
        <v>96.43</v>
      </c>
      <c r="AG91">
        <v>58.99</v>
      </c>
      <c r="AH91">
        <v>169.63</v>
      </c>
      <c r="AI91">
        <v>935</v>
      </c>
      <c r="AJ91">
        <v>117.12</v>
      </c>
      <c r="AK91">
        <v>731</v>
      </c>
      <c r="AL91">
        <v>108.61</v>
      </c>
      <c r="AM91">
        <v>12</v>
      </c>
      <c r="AN91">
        <v>0</v>
      </c>
      <c r="AO91" s="499">
        <v>0</v>
      </c>
      <c r="AP91" s="499">
        <v>0</v>
      </c>
      <c r="AQ91">
        <v>0</v>
      </c>
      <c r="AR91">
        <v>0</v>
      </c>
      <c r="AS91">
        <v>67.3</v>
      </c>
      <c r="AT91">
        <v>67.39</v>
      </c>
      <c r="AU91">
        <v>17.420000000000002</v>
      </c>
      <c r="AV91">
        <v>84.72</v>
      </c>
      <c r="AW91">
        <v>32</v>
      </c>
      <c r="AX91">
        <v>79.319999999999993</v>
      </c>
      <c r="AY91">
        <v>76.239999999999995</v>
      </c>
      <c r="AZ91">
        <v>10.51</v>
      </c>
      <c r="BA91">
        <v>89.72</v>
      </c>
      <c r="BB91">
        <v>710</v>
      </c>
      <c r="BC91">
        <v>93.27</v>
      </c>
      <c r="BD91">
        <v>90.81</v>
      </c>
      <c r="BE91">
        <v>7.9</v>
      </c>
      <c r="BF91">
        <v>99.84</v>
      </c>
      <c r="BG91">
        <v>1201</v>
      </c>
      <c r="BH91">
        <v>105.3</v>
      </c>
      <c r="BI91">
        <v>102.89</v>
      </c>
      <c r="BJ91">
        <v>2.2599999999999998</v>
      </c>
      <c r="BK91">
        <v>107.13</v>
      </c>
      <c r="BL91" s="214">
        <v>1089</v>
      </c>
      <c r="BM91" s="214">
        <v>119.1</v>
      </c>
      <c r="BN91">
        <v>117.3</v>
      </c>
      <c r="BO91" s="187">
        <v>1.67</v>
      </c>
      <c r="BP91" s="214">
        <v>120.02</v>
      </c>
      <c r="BQ91" s="214">
        <v>155</v>
      </c>
      <c r="BR91">
        <v>125.16</v>
      </c>
      <c r="BS91" s="187">
        <v>125.8</v>
      </c>
      <c r="BT91" s="214">
        <v>0.28999999999999998</v>
      </c>
      <c r="BU91" s="214">
        <v>125.24</v>
      </c>
      <c r="BV91">
        <v>7</v>
      </c>
      <c r="BW91">
        <v>134.69</v>
      </c>
      <c r="BX91" s="214">
        <v>135.4</v>
      </c>
      <c r="BY91" s="214">
        <v>1.81</v>
      </c>
      <c r="BZ91">
        <v>135.43</v>
      </c>
      <c r="CA91" s="187">
        <v>22</v>
      </c>
      <c r="CB91" s="214">
        <v>95.6</v>
      </c>
      <c r="CC91" s="214">
        <v>93.09</v>
      </c>
      <c r="CD91">
        <v>6.63</v>
      </c>
      <c r="CE91" s="187">
        <v>101.2</v>
      </c>
      <c r="CF91" s="214">
        <v>3216</v>
      </c>
      <c r="CG91" s="214">
        <v>95.6</v>
      </c>
      <c r="CH91">
        <v>93.09</v>
      </c>
      <c r="CI91">
        <v>6.63</v>
      </c>
      <c r="CJ91">
        <v>101.2</v>
      </c>
      <c r="CK91">
        <v>3216</v>
      </c>
      <c r="CL91">
        <v>191.21</v>
      </c>
      <c r="CM91">
        <v>79.59</v>
      </c>
      <c r="CN91" s="187">
        <v>79.48</v>
      </c>
      <c r="CO91">
        <v>242.71</v>
      </c>
      <c r="CP91">
        <v>71</v>
      </c>
      <c r="CQ91">
        <v>75.709999999999994</v>
      </c>
      <c r="CR91">
        <v>70.86</v>
      </c>
      <c r="CS91" s="187">
        <v>33.94</v>
      </c>
      <c r="CT91">
        <v>109.65</v>
      </c>
      <c r="CU91">
        <v>73</v>
      </c>
      <c r="CV91">
        <v>99.93</v>
      </c>
      <c r="CW91">
        <v>90.3</v>
      </c>
      <c r="CX91" s="187">
        <v>56.37</v>
      </c>
      <c r="CY91">
        <v>156.30000000000001</v>
      </c>
      <c r="CZ91">
        <v>542</v>
      </c>
      <c r="DA91">
        <v>128.71</v>
      </c>
      <c r="DB91">
        <v>117.69</v>
      </c>
      <c r="DC91" s="187">
        <v>68.87</v>
      </c>
      <c r="DD91">
        <v>194.79</v>
      </c>
      <c r="DE91">
        <v>247</v>
      </c>
      <c r="DF91">
        <v>107.99</v>
      </c>
      <c r="DG91">
        <v>98.99</v>
      </c>
      <c r="DH91" s="187">
        <v>27.85</v>
      </c>
      <c r="DI91">
        <v>135.84</v>
      </c>
      <c r="DJ91">
        <v>1</v>
      </c>
      <c r="DK91">
        <v>402.53</v>
      </c>
      <c r="DL91">
        <v>0</v>
      </c>
      <c r="DM91" s="187">
        <v>0</v>
      </c>
      <c r="DN91">
        <v>402.53</v>
      </c>
      <c r="DO91">
        <v>1</v>
      </c>
      <c r="DP91">
        <v>106.47</v>
      </c>
      <c r="DQ91">
        <v>96.74</v>
      </c>
      <c r="DR91" s="187">
        <v>57.89</v>
      </c>
      <c r="DS91">
        <v>163.62</v>
      </c>
      <c r="DT91">
        <v>864</v>
      </c>
      <c r="DU91">
        <v>112.91</v>
      </c>
      <c r="DV91">
        <v>96.43</v>
      </c>
      <c r="DW91" s="187">
        <v>58.99</v>
      </c>
      <c r="DX91">
        <v>169.63</v>
      </c>
      <c r="DY91">
        <v>935</v>
      </c>
      <c r="DZ91">
        <v>0</v>
      </c>
      <c r="EA91">
        <v>0</v>
      </c>
      <c r="EB91" s="187">
        <v>0</v>
      </c>
      <c r="EC91">
        <v>0</v>
      </c>
      <c r="ED91">
        <v>90.02</v>
      </c>
      <c r="EE91">
        <v>89</v>
      </c>
      <c r="EF91">
        <v>111.62</v>
      </c>
      <c r="EG91" s="187">
        <v>362</v>
      </c>
      <c r="EH91">
        <v>128.9</v>
      </c>
      <c r="EI91">
        <v>223</v>
      </c>
      <c r="EJ91">
        <v>148.27000000000001</v>
      </c>
      <c r="EK91">
        <v>57</v>
      </c>
      <c r="EL91" s="187">
        <v>0</v>
      </c>
      <c r="EM91">
        <v>0</v>
      </c>
      <c r="EN91">
        <v>0</v>
      </c>
      <c r="EO91">
        <v>0</v>
      </c>
      <c r="EP91">
        <v>117.12</v>
      </c>
      <c r="EQ91" s="187">
        <v>731</v>
      </c>
      <c r="ER91">
        <v>117.12</v>
      </c>
      <c r="ES91">
        <v>731</v>
      </c>
      <c r="ET91">
        <v>0</v>
      </c>
      <c r="EU91">
        <v>0</v>
      </c>
      <c r="EV91" s="187">
        <v>0</v>
      </c>
      <c r="EW91">
        <v>0</v>
      </c>
      <c r="EX91">
        <v>98.08</v>
      </c>
      <c r="EY91">
        <v>4</v>
      </c>
      <c r="EZ91">
        <v>113.87</v>
      </c>
      <c r="FA91" s="187">
        <v>8</v>
      </c>
      <c r="FB91">
        <v>0</v>
      </c>
      <c r="FC91">
        <v>0</v>
      </c>
      <c r="FD91">
        <v>0</v>
      </c>
      <c r="FE91">
        <v>0</v>
      </c>
      <c r="FF91" s="187">
        <v>108.61</v>
      </c>
      <c r="FG91">
        <v>12</v>
      </c>
      <c r="FH91">
        <v>108.61</v>
      </c>
      <c r="FI91">
        <v>12</v>
      </c>
      <c r="FJ91">
        <v>12</v>
      </c>
      <c r="FK91" s="187">
        <v>6</v>
      </c>
      <c r="FL91">
        <v>4</v>
      </c>
      <c r="FM91">
        <v>21</v>
      </c>
      <c r="FN91">
        <v>22</v>
      </c>
    </row>
    <row r="92" spans="1:170" x14ac:dyDescent="0.35">
      <c r="A92" t="s">
        <v>573</v>
      </c>
      <c r="B92" t="s">
        <v>574</v>
      </c>
      <c r="C92" t="s">
        <v>416</v>
      </c>
      <c r="D92">
        <v>10920</v>
      </c>
      <c r="E92">
        <v>10575</v>
      </c>
      <c r="F92">
        <v>379</v>
      </c>
      <c r="G92">
        <v>22</v>
      </c>
      <c r="H92">
        <v>995</v>
      </c>
      <c r="I92">
        <v>490</v>
      </c>
      <c r="J92">
        <v>742</v>
      </c>
      <c r="K92">
        <v>550</v>
      </c>
      <c r="L92">
        <v>3196</v>
      </c>
      <c r="M92">
        <v>110</v>
      </c>
      <c r="N92">
        <v>16232</v>
      </c>
      <c r="O92">
        <v>11747</v>
      </c>
      <c r="P92">
        <v>13036</v>
      </c>
      <c r="Q92">
        <v>48</v>
      </c>
      <c r="R92">
        <v>32</v>
      </c>
      <c r="S92">
        <v>34</v>
      </c>
      <c r="T92">
        <v>1454</v>
      </c>
      <c r="U92">
        <v>14778</v>
      </c>
      <c r="V92" s="498">
        <v>10428</v>
      </c>
      <c r="W92">
        <v>58</v>
      </c>
      <c r="X92" s="498">
        <v>115</v>
      </c>
      <c r="Y92" s="498">
        <v>173</v>
      </c>
      <c r="Z92" s="498">
        <v>131.18</v>
      </c>
      <c r="AA92" s="498">
        <v>129.47</v>
      </c>
      <c r="AB92">
        <v>11.44</v>
      </c>
      <c r="AC92">
        <v>139.5</v>
      </c>
      <c r="AD92">
        <v>8287</v>
      </c>
      <c r="AE92">
        <v>123.72</v>
      </c>
      <c r="AF92">
        <v>114.91</v>
      </c>
      <c r="AG92">
        <v>52.23</v>
      </c>
      <c r="AH92">
        <v>169.79</v>
      </c>
      <c r="AI92">
        <v>1077</v>
      </c>
      <c r="AJ92">
        <v>203.85</v>
      </c>
      <c r="AK92">
        <v>1732</v>
      </c>
      <c r="AL92">
        <v>199.53</v>
      </c>
      <c r="AM92">
        <v>44</v>
      </c>
      <c r="AN92">
        <v>16.010000000000002</v>
      </c>
      <c r="AO92" s="499">
        <v>98.11</v>
      </c>
      <c r="AP92" s="499">
        <v>2.68</v>
      </c>
      <c r="AQ92">
        <v>18.690000000000001</v>
      </c>
      <c r="AR92">
        <v>12</v>
      </c>
      <c r="AS92">
        <v>121.22</v>
      </c>
      <c r="AT92">
        <v>95.54</v>
      </c>
      <c r="AU92">
        <v>7.5</v>
      </c>
      <c r="AV92">
        <v>126.71</v>
      </c>
      <c r="AW92">
        <v>191</v>
      </c>
      <c r="AX92">
        <v>113.61</v>
      </c>
      <c r="AY92">
        <v>110.94</v>
      </c>
      <c r="AZ92">
        <v>11.27</v>
      </c>
      <c r="BA92">
        <v>122.24</v>
      </c>
      <c r="BB92">
        <v>2364</v>
      </c>
      <c r="BC92">
        <v>130.28</v>
      </c>
      <c r="BD92">
        <v>127.38</v>
      </c>
      <c r="BE92">
        <v>13.33</v>
      </c>
      <c r="BF92">
        <v>140.72</v>
      </c>
      <c r="BG92">
        <v>3220</v>
      </c>
      <c r="BH92">
        <v>147.11000000000001</v>
      </c>
      <c r="BI92">
        <v>147.04</v>
      </c>
      <c r="BJ92">
        <v>9.92</v>
      </c>
      <c r="BK92">
        <v>152.99</v>
      </c>
      <c r="BL92" s="214">
        <v>1925</v>
      </c>
      <c r="BM92" s="214">
        <v>160.24</v>
      </c>
      <c r="BN92">
        <v>166.36</v>
      </c>
      <c r="BO92" s="187">
        <v>6.33</v>
      </c>
      <c r="BP92" s="214">
        <v>164.75</v>
      </c>
      <c r="BQ92" s="214">
        <v>517</v>
      </c>
      <c r="BR92">
        <v>164.59</v>
      </c>
      <c r="BS92" s="187">
        <v>179.5</v>
      </c>
      <c r="BT92" s="214">
        <v>4.51</v>
      </c>
      <c r="BU92" s="214">
        <v>167.29</v>
      </c>
      <c r="BV92">
        <v>45</v>
      </c>
      <c r="BW92">
        <v>174.68</v>
      </c>
      <c r="BX92" s="214">
        <v>202.08</v>
      </c>
      <c r="BY92" s="214">
        <v>9.61</v>
      </c>
      <c r="BZ92">
        <v>177.63</v>
      </c>
      <c r="CA92" s="187">
        <v>13</v>
      </c>
      <c r="CB92" s="214">
        <v>131.35</v>
      </c>
      <c r="CC92" s="214">
        <v>129.52000000000001</v>
      </c>
      <c r="CD92">
        <v>11.46</v>
      </c>
      <c r="CE92" s="187">
        <v>139.66999999999999</v>
      </c>
      <c r="CF92" s="214">
        <v>8275</v>
      </c>
      <c r="CG92" s="214">
        <v>131.18</v>
      </c>
      <c r="CH92">
        <v>129.47</v>
      </c>
      <c r="CI92">
        <v>11.44</v>
      </c>
      <c r="CJ92">
        <v>139.5</v>
      </c>
      <c r="CK92">
        <v>8287</v>
      </c>
      <c r="CL92">
        <v>127.93</v>
      </c>
      <c r="CM92">
        <v>103.34</v>
      </c>
      <c r="CN92" s="187">
        <v>82</v>
      </c>
      <c r="CO92">
        <v>173.27</v>
      </c>
      <c r="CP92">
        <v>217</v>
      </c>
      <c r="CQ92">
        <v>103.01</v>
      </c>
      <c r="CR92">
        <v>96.89</v>
      </c>
      <c r="CS92" s="187">
        <v>24.33</v>
      </c>
      <c r="CT92">
        <v>119.91</v>
      </c>
      <c r="CU92">
        <v>36</v>
      </c>
      <c r="CV92">
        <v>122.44</v>
      </c>
      <c r="CW92">
        <v>116.94</v>
      </c>
      <c r="CX92" s="187">
        <v>49.93</v>
      </c>
      <c r="CY92">
        <v>171.38</v>
      </c>
      <c r="CZ92">
        <v>749</v>
      </c>
      <c r="DA92">
        <v>131.74</v>
      </c>
      <c r="DB92">
        <v>126.11</v>
      </c>
      <c r="DC92" s="187">
        <v>38.909999999999997</v>
      </c>
      <c r="DD92">
        <v>168.3</v>
      </c>
      <c r="DE92">
        <v>66</v>
      </c>
      <c r="DF92">
        <v>152.26</v>
      </c>
      <c r="DG92">
        <v>150.31</v>
      </c>
      <c r="DH92" s="187">
        <v>10.68</v>
      </c>
      <c r="DI92">
        <v>162.94</v>
      </c>
      <c r="DJ92">
        <v>8</v>
      </c>
      <c r="DK92">
        <v>156.33000000000001</v>
      </c>
      <c r="DL92">
        <v>146.77000000000001</v>
      </c>
      <c r="DM92" s="187">
        <v>18.579999999999998</v>
      </c>
      <c r="DN92">
        <v>174.91</v>
      </c>
      <c r="DO92">
        <v>1</v>
      </c>
      <c r="DP92">
        <v>122.66</v>
      </c>
      <c r="DQ92">
        <v>117.15</v>
      </c>
      <c r="DR92" s="187">
        <v>47.92</v>
      </c>
      <c r="DS92">
        <v>168.91</v>
      </c>
      <c r="DT92">
        <v>860</v>
      </c>
      <c r="DU92">
        <v>123.72</v>
      </c>
      <c r="DV92">
        <v>114.91</v>
      </c>
      <c r="DW92" s="187">
        <v>52.23</v>
      </c>
      <c r="DX92">
        <v>169.79</v>
      </c>
      <c r="DY92">
        <v>1077</v>
      </c>
      <c r="DZ92">
        <v>0</v>
      </c>
      <c r="EA92">
        <v>0</v>
      </c>
      <c r="EB92" s="187">
        <v>150.5</v>
      </c>
      <c r="EC92">
        <v>7</v>
      </c>
      <c r="ED92">
        <v>184.61</v>
      </c>
      <c r="EE92">
        <v>607</v>
      </c>
      <c r="EF92">
        <v>211.22</v>
      </c>
      <c r="EG92" s="187">
        <v>715</v>
      </c>
      <c r="EH92">
        <v>219.2</v>
      </c>
      <c r="EI92">
        <v>314</v>
      </c>
      <c r="EJ92">
        <v>223.46</v>
      </c>
      <c r="EK92">
        <v>80</v>
      </c>
      <c r="EL92" s="187">
        <v>247.46</v>
      </c>
      <c r="EM92">
        <v>9</v>
      </c>
      <c r="EN92">
        <v>0</v>
      </c>
      <c r="EO92">
        <v>0</v>
      </c>
      <c r="EP92">
        <v>203.85</v>
      </c>
      <c r="EQ92" s="187">
        <v>1732</v>
      </c>
      <c r="ER92">
        <v>203.85</v>
      </c>
      <c r="ES92">
        <v>1732</v>
      </c>
      <c r="ET92">
        <v>0</v>
      </c>
      <c r="EU92">
        <v>0</v>
      </c>
      <c r="EV92" s="187">
        <v>0</v>
      </c>
      <c r="EW92">
        <v>0</v>
      </c>
      <c r="EX92">
        <v>198.74</v>
      </c>
      <c r="EY92">
        <v>42</v>
      </c>
      <c r="EZ92">
        <v>216.22</v>
      </c>
      <c r="FA92" s="187">
        <v>2</v>
      </c>
      <c r="FB92">
        <v>0</v>
      </c>
      <c r="FC92">
        <v>0</v>
      </c>
      <c r="FD92">
        <v>0</v>
      </c>
      <c r="FE92">
        <v>0</v>
      </c>
      <c r="FF92" s="187">
        <v>199.53</v>
      </c>
      <c r="FG92">
        <v>44</v>
      </c>
      <c r="FH92">
        <v>199.53</v>
      </c>
      <c r="FI92">
        <v>44</v>
      </c>
      <c r="FJ92">
        <v>0</v>
      </c>
      <c r="FK92" s="187">
        <v>5</v>
      </c>
      <c r="FL92">
        <v>1</v>
      </c>
      <c r="FM92">
        <v>259</v>
      </c>
      <c r="FN92">
        <v>73</v>
      </c>
    </row>
    <row r="93" spans="1:170" x14ac:dyDescent="0.35">
      <c r="A93" t="s">
        <v>575</v>
      </c>
      <c r="B93" t="s">
        <v>576</v>
      </c>
      <c r="C93" t="s">
        <v>415</v>
      </c>
      <c r="D93">
        <v>4281</v>
      </c>
      <c r="E93">
        <v>4248</v>
      </c>
      <c r="F93">
        <v>5</v>
      </c>
      <c r="G93">
        <v>5</v>
      </c>
      <c r="H93">
        <v>115</v>
      </c>
      <c r="I93">
        <v>104</v>
      </c>
      <c r="J93">
        <v>1022</v>
      </c>
      <c r="K93">
        <v>1016</v>
      </c>
      <c r="L93">
        <v>523</v>
      </c>
      <c r="M93">
        <v>18</v>
      </c>
      <c r="N93">
        <v>5946</v>
      </c>
      <c r="O93">
        <v>5391</v>
      </c>
      <c r="P93">
        <v>5423</v>
      </c>
      <c r="Q93">
        <v>11</v>
      </c>
      <c r="R93">
        <v>4</v>
      </c>
      <c r="S93">
        <v>25</v>
      </c>
      <c r="T93">
        <v>25</v>
      </c>
      <c r="U93">
        <v>5921</v>
      </c>
      <c r="V93" s="498">
        <v>4273</v>
      </c>
      <c r="W93">
        <v>39</v>
      </c>
      <c r="X93" s="498">
        <v>105</v>
      </c>
      <c r="Y93" s="498">
        <v>144</v>
      </c>
      <c r="Z93" s="498">
        <v>104.61</v>
      </c>
      <c r="AA93" s="498">
        <v>104.45</v>
      </c>
      <c r="AB93">
        <v>3.25</v>
      </c>
      <c r="AC93">
        <v>105.88</v>
      </c>
      <c r="AD93">
        <v>3670</v>
      </c>
      <c r="AE93">
        <v>98.25</v>
      </c>
      <c r="AF93">
        <v>96.88</v>
      </c>
      <c r="AG93">
        <v>29.34</v>
      </c>
      <c r="AH93">
        <v>127.44</v>
      </c>
      <c r="AI93">
        <v>1120</v>
      </c>
      <c r="AJ93">
        <v>140.6</v>
      </c>
      <c r="AK93">
        <v>523</v>
      </c>
      <c r="AL93">
        <v>0</v>
      </c>
      <c r="AM93">
        <v>0</v>
      </c>
      <c r="AN93">
        <v>78.91</v>
      </c>
      <c r="AO93" s="499">
        <v>78.91</v>
      </c>
      <c r="AP93" s="499">
        <v>0</v>
      </c>
      <c r="AQ93">
        <v>78.91</v>
      </c>
      <c r="AR93">
        <v>5</v>
      </c>
      <c r="AS93">
        <v>75.63</v>
      </c>
      <c r="AT93">
        <v>75.62</v>
      </c>
      <c r="AU93">
        <v>1.61</v>
      </c>
      <c r="AV93">
        <v>76.17</v>
      </c>
      <c r="AW93">
        <v>9</v>
      </c>
      <c r="AX93">
        <v>87.53</v>
      </c>
      <c r="AY93">
        <v>86.92</v>
      </c>
      <c r="AZ93">
        <v>5.17</v>
      </c>
      <c r="BA93">
        <v>91.15</v>
      </c>
      <c r="BB93">
        <v>595</v>
      </c>
      <c r="BC93">
        <v>102.22</v>
      </c>
      <c r="BD93">
        <v>102.06</v>
      </c>
      <c r="BE93">
        <v>2.75</v>
      </c>
      <c r="BF93">
        <v>103.4</v>
      </c>
      <c r="BG93">
        <v>1610</v>
      </c>
      <c r="BH93">
        <v>113.67</v>
      </c>
      <c r="BI93">
        <v>113.67</v>
      </c>
      <c r="BJ93">
        <v>1.81</v>
      </c>
      <c r="BK93">
        <v>114.03</v>
      </c>
      <c r="BL93" s="214">
        <v>1342</v>
      </c>
      <c r="BM93" s="214">
        <v>125.2</v>
      </c>
      <c r="BN93">
        <v>125.36</v>
      </c>
      <c r="BO93" s="187">
        <v>2.0499999999999998</v>
      </c>
      <c r="BP93" s="214">
        <v>126.11</v>
      </c>
      <c r="BQ93" s="214">
        <v>108</v>
      </c>
      <c r="BR93">
        <v>137.41</v>
      </c>
      <c r="BS93" s="187">
        <v>137.41</v>
      </c>
      <c r="BT93" s="214">
        <v>0</v>
      </c>
      <c r="BU93" s="214">
        <v>137.41</v>
      </c>
      <c r="BV93">
        <v>1</v>
      </c>
      <c r="BW93">
        <v>0</v>
      </c>
      <c r="BX93" s="214">
        <v>0</v>
      </c>
      <c r="BY93" s="214">
        <v>0</v>
      </c>
      <c r="BZ93">
        <v>0</v>
      </c>
      <c r="CA93" s="187">
        <v>0</v>
      </c>
      <c r="CB93" s="214">
        <v>104.65</v>
      </c>
      <c r="CC93" s="214">
        <v>104.48</v>
      </c>
      <c r="CD93">
        <v>3.25</v>
      </c>
      <c r="CE93" s="187">
        <v>105.91</v>
      </c>
      <c r="CF93" s="214">
        <v>3665</v>
      </c>
      <c r="CG93" s="214">
        <v>104.61</v>
      </c>
      <c r="CH93">
        <v>104.45</v>
      </c>
      <c r="CI93">
        <v>3.25</v>
      </c>
      <c r="CJ93">
        <v>105.88</v>
      </c>
      <c r="CK93">
        <v>3670</v>
      </c>
      <c r="CL93">
        <v>99.29</v>
      </c>
      <c r="CM93">
        <v>86.88</v>
      </c>
      <c r="CN93" s="187">
        <v>87.71</v>
      </c>
      <c r="CO93">
        <v>187</v>
      </c>
      <c r="CP93">
        <v>90</v>
      </c>
      <c r="CQ93">
        <v>84.2</v>
      </c>
      <c r="CR93">
        <v>80.45</v>
      </c>
      <c r="CS93" s="187">
        <v>12.04</v>
      </c>
      <c r="CT93">
        <v>96.24</v>
      </c>
      <c r="CU93">
        <v>2</v>
      </c>
      <c r="CV93">
        <v>95.48</v>
      </c>
      <c r="CW93">
        <v>94.23</v>
      </c>
      <c r="CX93" s="187">
        <v>26.3</v>
      </c>
      <c r="CY93">
        <v>121.78</v>
      </c>
      <c r="CZ93">
        <v>738</v>
      </c>
      <c r="DA93">
        <v>104.84</v>
      </c>
      <c r="DB93">
        <v>105.82</v>
      </c>
      <c r="DC93" s="187">
        <v>18.809999999999999</v>
      </c>
      <c r="DD93">
        <v>123.32</v>
      </c>
      <c r="DE93">
        <v>283</v>
      </c>
      <c r="DF93">
        <v>114.68</v>
      </c>
      <c r="DG93">
        <v>113.77</v>
      </c>
      <c r="DH93" s="187">
        <v>21.48</v>
      </c>
      <c r="DI93">
        <v>133.09</v>
      </c>
      <c r="DJ93">
        <v>7</v>
      </c>
      <c r="DK93">
        <v>0</v>
      </c>
      <c r="DL93">
        <v>0</v>
      </c>
      <c r="DM93" s="187">
        <v>0</v>
      </c>
      <c r="DN93">
        <v>0</v>
      </c>
      <c r="DO93">
        <v>0</v>
      </c>
      <c r="DP93">
        <v>98.16</v>
      </c>
      <c r="DQ93">
        <v>97.54</v>
      </c>
      <c r="DR93" s="187">
        <v>24.21</v>
      </c>
      <c r="DS93">
        <v>122.23</v>
      </c>
      <c r="DT93">
        <v>1030</v>
      </c>
      <c r="DU93">
        <v>98.25</v>
      </c>
      <c r="DV93">
        <v>96.88</v>
      </c>
      <c r="DW93" s="187">
        <v>29.34</v>
      </c>
      <c r="DX93">
        <v>127.44</v>
      </c>
      <c r="DY93">
        <v>1120</v>
      </c>
      <c r="DZ93">
        <v>0</v>
      </c>
      <c r="EA93">
        <v>0</v>
      </c>
      <c r="EB93" s="187">
        <v>0</v>
      </c>
      <c r="EC93">
        <v>0</v>
      </c>
      <c r="ED93">
        <v>116.34</v>
      </c>
      <c r="EE93">
        <v>68</v>
      </c>
      <c r="EF93">
        <v>135.87</v>
      </c>
      <c r="EG93" s="187">
        <v>281</v>
      </c>
      <c r="EH93">
        <v>151.22999999999999</v>
      </c>
      <c r="EI93">
        <v>153</v>
      </c>
      <c r="EJ93">
        <v>205.5</v>
      </c>
      <c r="EK93">
        <v>20</v>
      </c>
      <c r="EL93" s="187">
        <v>196.06</v>
      </c>
      <c r="EM93">
        <v>1</v>
      </c>
      <c r="EN93">
        <v>0</v>
      </c>
      <c r="EO93">
        <v>0</v>
      </c>
      <c r="EP93">
        <v>140.6</v>
      </c>
      <c r="EQ93" s="187">
        <v>523</v>
      </c>
      <c r="ER93">
        <v>140.6</v>
      </c>
      <c r="ES93">
        <v>523</v>
      </c>
      <c r="ET93">
        <v>0</v>
      </c>
      <c r="EU93">
        <v>0</v>
      </c>
      <c r="EV93" s="187">
        <v>0</v>
      </c>
      <c r="EW93">
        <v>0</v>
      </c>
      <c r="EX93">
        <v>0</v>
      </c>
      <c r="EY93">
        <v>0</v>
      </c>
      <c r="EZ93">
        <v>0</v>
      </c>
      <c r="FA93" s="187">
        <v>0</v>
      </c>
      <c r="FB93">
        <v>0</v>
      </c>
      <c r="FC93">
        <v>0</v>
      </c>
      <c r="FD93">
        <v>0</v>
      </c>
      <c r="FE93">
        <v>0</v>
      </c>
      <c r="FF93" s="187">
        <v>0</v>
      </c>
      <c r="FG93">
        <v>0</v>
      </c>
      <c r="FH93">
        <v>0</v>
      </c>
      <c r="FI93">
        <v>0</v>
      </c>
      <c r="FJ93">
        <v>17</v>
      </c>
      <c r="FK93" s="187">
        <v>2</v>
      </c>
      <c r="FL93">
        <v>2</v>
      </c>
      <c r="FM93">
        <v>58</v>
      </c>
      <c r="FN93">
        <v>11</v>
      </c>
    </row>
    <row r="94" spans="1:170" x14ac:dyDescent="0.35">
      <c r="A94" t="s">
        <v>577</v>
      </c>
      <c r="B94" t="s">
        <v>578</v>
      </c>
      <c r="C94" t="s">
        <v>419</v>
      </c>
      <c r="D94">
        <v>2650</v>
      </c>
      <c r="E94">
        <v>2645</v>
      </c>
      <c r="F94">
        <v>1</v>
      </c>
      <c r="G94">
        <v>1</v>
      </c>
      <c r="H94">
        <v>193</v>
      </c>
      <c r="I94">
        <v>143</v>
      </c>
      <c r="J94">
        <v>145</v>
      </c>
      <c r="K94">
        <v>88</v>
      </c>
      <c r="L94">
        <v>945</v>
      </c>
      <c r="M94">
        <v>28</v>
      </c>
      <c r="N94">
        <v>3934</v>
      </c>
      <c r="O94">
        <v>2905</v>
      </c>
      <c r="P94">
        <v>2989</v>
      </c>
      <c r="Q94">
        <v>0</v>
      </c>
      <c r="R94">
        <v>7</v>
      </c>
      <c r="S94">
        <v>24</v>
      </c>
      <c r="T94">
        <v>144</v>
      </c>
      <c r="U94">
        <v>3790</v>
      </c>
      <c r="V94" s="498">
        <v>2605</v>
      </c>
      <c r="W94">
        <v>14</v>
      </c>
      <c r="X94" s="498">
        <v>8</v>
      </c>
      <c r="Y94" s="498">
        <v>22</v>
      </c>
      <c r="Z94" s="498">
        <v>95.8</v>
      </c>
      <c r="AA94" s="498">
        <v>92.01</v>
      </c>
      <c r="AB94">
        <v>4.09</v>
      </c>
      <c r="AC94">
        <v>98.68</v>
      </c>
      <c r="AD94">
        <v>1605</v>
      </c>
      <c r="AE94">
        <v>107.35</v>
      </c>
      <c r="AF94">
        <v>76.56</v>
      </c>
      <c r="AG94">
        <v>56.21</v>
      </c>
      <c r="AH94">
        <v>161.91</v>
      </c>
      <c r="AI94">
        <v>239</v>
      </c>
      <c r="AJ94">
        <v>136.85</v>
      </c>
      <c r="AK94">
        <v>824</v>
      </c>
      <c r="AL94">
        <v>0</v>
      </c>
      <c r="AM94">
        <v>0</v>
      </c>
      <c r="AN94">
        <v>69.83</v>
      </c>
      <c r="AO94" s="499">
        <v>64.05</v>
      </c>
      <c r="AP94" s="499">
        <v>1.4</v>
      </c>
      <c r="AQ94">
        <v>71.23</v>
      </c>
      <c r="AR94">
        <v>1</v>
      </c>
      <c r="AS94">
        <v>67.239999999999995</v>
      </c>
      <c r="AT94">
        <v>64.05</v>
      </c>
      <c r="AU94">
        <v>1.4</v>
      </c>
      <c r="AV94">
        <v>68.64</v>
      </c>
      <c r="AW94">
        <v>1</v>
      </c>
      <c r="AX94">
        <v>77.400000000000006</v>
      </c>
      <c r="AY94">
        <v>74.3</v>
      </c>
      <c r="AZ94">
        <v>8.3800000000000008</v>
      </c>
      <c r="BA94">
        <v>85.73</v>
      </c>
      <c r="BB94">
        <v>184</v>
      </c>
      <c r="BC94">
        <v>92.1</v>
      </c>
      <c r="BD94">
        <v>88.39</v>
      </c>
      <c r="BE94">
        <v>4.08</v>
      </c>
      <c r="BF94">
        <v>95.09</v>
      </c>
      <c r="BG94">
        <v>770</v>
      </c>
      <c r="BH94">
        <v>104.14</v>
      </c>
      <c r="BI94">
        <v>100.07</v>
      </c>
      <c r="BJ94">
        <v>2.0699999999999998</v>
      </c>
      <c r="BK94">
        <v>105.36</v>
      </c>
      <c r="BL94" s="214">
        <v>595</v>
      </c>
      <c r="BM94" s="214">
        <v>120.69</v>
      </c>
      <c r="BN94">
        <v>116.35</v>
      </c>
      <c r="BO94" s="187">
        <v>2.0499999999999998</v>
      </c>
      <c r="BP94" s="214">
        <v>121.98</v>
      </c>
      <c r="BQ94" s="214">
        <v>51</v>
      </c>
      <c r="BR94">
        <v>113.33</v>
      </c>
      <c r="BS94" s="187">
        <v>115.2</v>
      </c>
      <c r="BT94" s="214">
        <v>0</v>
      </c>
      <c r="BU94" s="214">
        <v>113.33</v>
      </c>
      <c r="BV94">
        <v>3</v>
      </c>
      <c r="BW94">
        <v>0</v>
      </c>
      <c r="BX94" s="214">
        <v>0</v>
      </c>
      <c r="BY94" s="214">
        <v>0</v>
      </c>
      <c r="BZ94">
        <v>0</v>
      </c>
      <c r="CA94" s="187">
        <v>0</v>
      </c>
      <c r="CB94" s="214">
        <v>95.81</v>
      </c>
      <c r="CC94" s="214">
        <v>92.03</v>
      </c>
      <c r="CD94">
        <v>4.09</v>
      </c>
      <c r="CE94" s="187">
        <v>98.7</v>
      </c>
      <c r="CF94" s="214">
        <v>1604</v>
      </c>
      <c r="CG94" s="214">
        <v>95.8</v>
      </c>
      <c r="CH94">
        <v>92.01</v>
      </c>
      <c r="CI94">
        <v>4.09</v>
      </c>
      <c r="CJ94">
        <v>98.68</v>
      </c>
      <c r="CK94">
        <v>1605</v>
      </c>
      <c r="CL94">
        <v>153.01</v>
      </c>
      <c r="CM94">
        <v>59.67</v>
      </c>
      <c r="CN94" s="187">
        <v>98.69</v>
      </c>
      <c r="CO94">
        <v>251.7</v>
      </c>
      <c r="CP94">
        <v>66</v>
      </c>
      <c r="CQ94">
        <v>82.68</v>
      </c>
      <c r="CR94">
        <v>75.17</v>
      </c>
      <c r="CS94" s="187">
        <v>28.65</v>
      </c>
      <c r="CT94">
        <v>111.33</v>
      </c>
      <c r="CU94">
        <v>7</v>
      </c>
      <c r="CV94">
        <v>89.63</v>
      </c>
      <c r="CW94">
        <v>78.040000000000006</v>
      </c>
      <c r="CX94" s="187">
        <v>40.74</v>
      </c>
      <c r="CY94">
        <v>128.81</v>
      </c>
      <c r="CZ94">
        <v>157</v>
      </c>
      <c r="DA94">
        <v>100.75</v>
      </c>
      <c r="DB94">
        <v>94.31</v>
      </c>
      <c r="DC94" s="187">
        <v>21.81</v>
      </c>
      <c r="DD94">
        <v>120.14</v>
      </c>
      <c r="DE94">
        <v>9</v>
      </c>
      <c r="DF94">
        <v>0</v>
      </c>
      <c r="DG94">
        <v>0</v>
      </c>
      <c r="DH94" s="187">
        <v>0</v>
      </c>
      <c r="DI94">
        <v>0</v>
      </c>
      <c r="DJ94">
        <v>0</v>
      </c>
      <c r="DK94">
        <v>0</v>
      </c>
      <c r="DL94">
        <v>0</v>
      </c>
      <c r="DM94" s="187">
        <v>0</v>
      </c>
      <c r="DN94">
        <v>0</v>
      </c>
      <c r="DO94">
        <v>0</v>
      </c>
      <c r="DP94">
        <v>89.93</v>
      </c>
      <c r="DQ94">
        <v>78.81</v>
      </c>
      <c r="DR94" s="187">
        <v>39.32</v>
      </c>
      <c r="DS94">
        <v>127.65</v>
      </c>
      <c r="DT94">
        <v>173</v>
      </c>
      <c r="DU94">
        <v>107.35</v>
      </c>
      <c r="DV94">
        <v>76.56</v>
      </c>
      <c r="DW94" s="187">
        <v>56.21</v>
      </c>
      <c r="DX94">
        <v>161.91</v>
      </c>
      <c r="DY94">
        <v>239</v>
      </c>
      <c r="DZ94">
        <v>0</v>
      </c>
      <c r="EA94">
        <v>0</v>
      </c>
      <c r="EB94" s="187">
        <v>0</v>
      </c>
      <c r="EC94">
        <v>0</v>
      </c>
      <c r="ED94">
        <v>113.84</v>
      </c>
      <c r="EE94">
        <v>171</v>
      </c>
      <c r="EF94">
        <v>134.36000000000001</v>
      </c>
      <c r="EG94" s="187">
        <v>441</v>
      </c>
      <c r="EH94">
        <v>159.22999999999999</v>
      </c>
      <c r="EI94">
        <v>199</v>
      </c>
      <c r="EJ94">
        <v>181.79</v>
      </c>
      <c r="EK94">
        <v>13</v>
      </c>
      <c r="EL94" s="187">
        <v>0</v>
      </c>
      <c r="EM94">
        <v>0</v>
      </c>
      <c r="EN94">
        <v>0</v>
      </c>
      <c r="EO94">
        <v>0</v>
      </c>
      <c r="EP94">
        <v>136.85</v>
      </c>
      <c r="EQ94" s="187">
        <v>824</v>
      </c>
      <c r="ER94">
        <v>136.85</v>
      </c>
      <c r="ES94">
        <v>824</v>
      </c>
      <c r="ET94">
        <v>0</v>
      </c>
      <c r="EU94">
        <v>0</v>
      </c>
      <c r="EV94" s="187">
        <v>0</v>
      </c>
      <c r="EW94">
        <v>0</v>
      </c>
      <c r="EX94">
        <v>0</v>
      </c>
      <c r="EY94">
        <v>0</v>
      </c>
      <c r="EZ94">
        <v>0</v>
      </c>
      <c r="FA94" s="187">
        <v>0</v>
      </c>
      <c r="FB94">
        <v>0</v>
      </c>
      <c r="FC94">
        <v>0</v>
      </c>
      <c r="FD94">
        <v>0</v>
      </c>
      <c r="FE94">
        <v>0</v>
      </c>
      <c r="FF94" s="187">
        <v>0</v>
      </c>
      <c r="FG94">
        <v>0</v>
      </c>
      <c r="FH94">
        <v>0</v>
      </c>
      <c r="FI94">
        <v>0</v>
      </c>
      <c r="FJ94">
        <v>0</v>
      </c>
      <c r="FK94" s="187">
        <v>0</v>
      </c>
      <c r="FL94">
        <v>0</v>
      </c>
      <c r="FM94">
        <v>114</v>
      </c>
      <c r="FN94">
        <v>16</v>
      </c>
    </row>
    <row r="95" spans="1:170" x14ac:dyDescent="0.35">
      <c r="A95" t="s">
        <v>579</v>
      </c>
      <c r="B95" t="s">
        <v>580</v>
      </c>
      <c r="C95" t="s">
        <v>2</v>
      </c>
      <c r="D95">
        <v>5882</v>
      </c>
      <c r="E95">
        <v>5609</v>
      </c>
      <c r="F95">
        <v>0</v>
      </c>
      <c r="G95">
        <v>0</v>
      </c>
      <c r="H95">
        <v>119</v>
      </c>
      <c r="I95">
        <v>81</v>
      </c>
      <c r="J95">
        <v>784</v>
      </c>
      <c r="K95">
        <v>784</v>
      </c>
      <c r="L95">
        <v>728</v>
      </c>
      <c r="M95">
        <v>43</v>
      </c>
      <c r="N95">
        <v>7513</v>
      </c>
      <c r="O95">
        <v>6517</v>
      </c>
      <c r="P95">
        <v>6785</v>
      </c>
      <c r="Q95">
        <v>0</v>
      </c>
      <c r="R95">
        <v>3</v>
      </c>
      <c r="S95">
        <v>26</v>
      </c>
      <c r="T95">
        <v>293</v>
      </c>
      <c r="U95">
        <v>7220</v>
      </c>
      <c r="V95" s="498">
        <v>5608</v>
      </c>
      <c r="W95">
        <v>22</v>
      </c>
      <c r="X95" s="498">
        <v>19</v>
      </c>
      <c r="Y95" s="498">
        <v>41</v>
      </c>
      <c r="Z95" s="498">
        <v>117.78</v>
      </c>
      <c r="AA95" s="498">
        <v>115.33</v>
      </c>
      <c r="AB95">
        <v>4.1100000000000003</v>
      </c>
      <c r="AC95">
        <v>119.27</v>
      </c>
      <c r="AD95">
        <v>4268</v>
      </c>
      <c r="AE95">
        <v>100.25</v>
      </c>
      <c r="AF95">
        <v>95.57</v>
      </c>
      <c r="AG95">
        <v>18.579999999999998</v>
      </c>
      <c r="AH95">
        <v>118.33</v>
      </c>
      <c r="AI95">
        <v>884</v>
      </c>
      <c r="AJ95">
        <v>162.80000000000001</v>
      </c>
      <c r="AK95">
        <v>1234</v>
      </c>
      <c r="AL95">
        <v>0</v>
      </c>
      <c r="AM95">
        <v>0</v>
      </c>
      <c r="AN95">
        <v>0</v>
      </c>
      <c r="AO95" s="499">
        <v>0</v>
      </c>
      <c r="AP95" s="499">
        <v>0</v>
      </c>
      <c r="AQ95">
        <v>0</v>
      </c>
      <c r="AR95">
        <v>0</v>
      </c>
      <c r="AS95">
        <v>82.37</v>
      </c>
      <c r="AT95">
        <v>79.48</v>
      </c>
      <c r="AU95">
        <v>11.82</v>
      </c>
      <c r="AV95">
        <v>93.1</v>
      </c>
      <c r="AW95">
        <v>54</v>
      </c>
      <c r="AX95">
        <v>95.25</v>
      </c>
      <c r="AY95">
        <v>94.08</v>
      </c>
      <c r="AZ95">
        <v>4.7699999999999996</v>
      </c>
      <c r="BA95">
        <v>97.64</v>
      </c>
      <c r="BB95">
        <v>767</v>
      </c>
      <c r="BC95">
        <v>113.36</v>
      </c>
      <c r="BD95">
        <v>110.65</v>
      </c>
      <c r="BE95">
        <v>4.3</v>
      </c>
      <c r="BF95">
        <v>115.17</v>
      </c>
      <c r="BG95">
        <v>1484</v>
      </c>
      <c r="BH95">
        <v>130.02000000000001</v>
      </c>
      <c r="BI95">
        <v>126.99</v>
      </c>
      <c r="BJ95">
        <v>2.56</v>
      </c>
      <c r="BK95">
        <v>130.66</v>
      </c>
      <c r="BL95" s="214">
        <v>1821</v>
      </c>
      <c r="BM95" s="214">
        <v>142.03</v>
      </c>
      <c r="BN95">
        <v>142.54</v>
      </c>
      <c r="BO95" s="187">
        <v>2.34</v>
      </c>
      <c r="BP95" s="214">
        <v>142.54</v>
      </c>
      <c r="BQ95" s="214">
        <v>140</v>
      </c>
      <c r="BR95">
        <v>147.61000000000001</v>
      </c>
      <c r="BS95" s="187">
        <v>183.15</v>
      </c>
      <c r="BT95" s="214">
        <v>0</v>
      </c>
      <c r="BU95" s="214">
        <v>147.61000000000001</v>
      </c>
      <c r="BV95">
        <v>2</v>
      </c>
      <c r="BW95">
        <v>0</v>
      </c>
      <c r="BX95" s="214">
        <v>0</v>
      </c>
      <c r="BY95" s="214">
        <v>0</v>
      </c>
      <c r="BZ95">
        <v>0</v>
      </c>
      <c r="CA95" s="187">
        <v>0</v>
      </c>
      <c r="CB95" s="214">
        <v>117.78</v>
      </c>
      <c r="CC95" s="214">
        <v>115.33</v>
      </c>
      <c r="CD95">
        <v>4.1100000000000003</v>
      </c>
      <c r="CE95" s="187">
        <v>119.27</v>
      </c>
      <c r="CF95" s="214">
        <v>4268</v>
      </c>
      <c r="CG95" s="214">
        <v>117.78</v>
      </c>
      <c r="CH95">
        <v>115.33</v>
      </c>
      <c r="CI95">
        <v>4.1100000000000003</v>
      </c>
      <c r="CJ95">
        <v>119.27</v>
      </c>
      <c r="CK95">
        <v>4268</v>
      </c>
      <c r="CL95">
        <v>93.38</v>
      </c>
      <c r="CM95">
        <v>85.96</v>
      </c>
      <c r="CN95" s="187">
        <v>82.04</v>
      </c>
      <c r="CO95">
        <v>173.75</v>
      </c>
      <c r="CP95">
        <v>49</v>
      </c>
      <c r="CQ95">
        <v>81.52</v>
      </c>
      <c r="CR95">
        <v>79.900000000000006</v>
      </c>
      <c r="CS95" s="187">
        <v>19.2</v>
      </c>
      <c r="CT95">
        <v>100.72</v>
      </c>
      <c r="CU95">
        <v>140</v>
      </c>
      <c r="CV95">
        <v>100.07</v>
      </c>
      <c r="CW95">
        <v>95.21</v>
      </c>
      <c r="CX95" s="187">
        <v>15.59</v>
      </c>
      <c r="CY95">
        <v>115.2</v>
      </c>
      <c r="CZ95">
        <v>542</v>
      </c>
      <c r="DA95">
        <v>119.78</v>
      </c>
      <c r="DB95">
        <v>114.86</v>
      </c>
      <c r="DC95" s="187">
        <v>7.54</v>
      </c>
      <c r="DD95">
        <v>127.16</v>
      </c>
      <c r="DE95">
        <v>145</v>
      </c>
      <c r="DF95">
        <v>129.1</v>
      </c>
      <c r="DG95">
        <v>114.36</v>
      </c>
      <c r="DH95" s="187">
        <v>26.85</v>
      </c>
      <c r="DI95">
        <v>140.61000000000001</v>
      </c>
      <c r="DJ95">
        <v>7</v>
      </c>
      <c r="DK95">
        <v>125.84</v>
      </c>
      <c r="DL95">
        <v>0</v>
      </c>
      <c r="DM95" s="187">
        <v>0.72</v>
      </c>
      <c r="DN95">
        <v>126.56</v>
      </c>
      <c r="DO95">
        <v>1</v>
      </c>
      <c r="DP95">
        <v>100.65</v>
      </c>
      <c r="DQ95">
        <v>96.03</v>
      </c>
      <c r="DR95" s="187">
        <v>14.83</v>
      </c>
      <c r="DS95">
        <v>115.07</v>
      </c>
      <c r="DT95">
        <v>835</v>
      </c>
      <c r="DU95">
        <v>100.25</v>
      </c>
      <c r="DV95">
        <v>95.57</v>
      </c>
      <c r="DW95" s="187">
        <v>18.579999999999998</v>
      </c>
      <c r="DX95">
        <v>118.33</v>
      </c>
      <c r="DY95">
        <v>884</v>
      </c>
      <c r="DZ95">
        <v>0</v>
      </c>
      <c r="EA95">
        <v>0</v>
      </c>
      <c r="EB95" s="187">
        <v>101.54</v>
      </c>
      <c r="EC95">
        <v>1</v>
      </c>
      <c r="ED95">
        <v>126.78</v>
      </c>
      <c r="EE95">
        <v>315</v>
      </c>
      <c r="EF95">
        <v>164.94</v>
      </c>
      <c r="EG95" s="187">
        <v>614</v>
      </c>
      <c r="EH95">
        <v>191.7</v>
      </c>
      <c r="EI95">
        <v>277</v>
      </c>
      <c r="EJ95">
        <v>239.88</v>
      </c>
      <c r="EK95">
        <v>27</v>
      </c>
      <c r="EL95" s="187">
        <v>0</v>
      </c>
      <c r="EM95">
        <v>0</v>
      </c>
      <c r="EN95">
        <v>0</v>
      </c>
      <c r="EO95">
        <v>0</v>
      </c>
      <c r="EP95">
        <v>162.80000000000001</v>
      </c>
      <c r="EQ95" s="187">
        <v>1234</v>
      </c>
      <c r="ER95">
        <v>162.80000000000001</v>
      </c>
      <c r="ES95">
        <v>1234</v>
      </c>
      <c r="ET95">
        <v>0</v>
      </c>
      <c r="EU95">
        <v>0</v>
      </c>
      <c r="EV95" s="187">
        <v>0</v>
      </c>
      <c r="EW95">
        <v>0</v>
      </c>
      <c r="EX95">
        <v>0</v>
      </c>
      <c r="EY95">
        <v>0</v>
      </c>
      <c r="EZ95">
        <v>0</v>
      </c>
      <c r="FA95" s="187">
        <v>0</v>
      </c>
      <c r="FB95">
        <v>0</v>
      </c>
      <c r="FC95">
        <v>0</v>
      </c>
      <c r="FD95">
        <v>0</v>
      </c>
      <c r="FE95">
        <v>0</v>
      </c>
      <c r="FF95" s="187">
        <v>0</v>
      </c>
      <c r="FG95">
        <v>0</v>
      </c>
      <c r="FH95">
        <v>0</v>
      </c>
      <c r="FI95">
        <v>0</v>
      </c>
      <c r="FJ95">
        <v>0</v>
      </c>
      <c r="FK95" s="187">
        <v>5</v>
      </c>
      <c r="FL95">
        <v>0</v>
      </c>
      <c r="FM95">
        <v>47</v>
      </c>
      <c r="FN95">
        <v>24</v>
      </c>
    </row>
    <row r="96" spans="1:170" x14ac:dyDescent="0.35">
      <c r="A96" t="s">
        <v>581</v>
      </c>
      <c r="B96" t="s">
        <v>582</v>
      </c>
      <c r="C96" t="s">
        <v>415</v>
      </c>
      <c r="D96">
        <v>7281</v>
      </c>
      <c r="E96">
        <v>7273</v>
      </c>
      <c r="F96">
        <v>0</v>
      </c>
      <c r="G96">
        <v>0</v>
      </c>
      <c r="H96">
        <v>175</v>
      </c>
      <c r="I96">
        <v>146</v>
      </c>
      <c r="J96">
        <v>1055</v>
      </c>
      <c r="K96">
        <v>1049</v>
      </c>
      <c r="L96">
        <v>1014</v>
      </c>
      <c r="M96">
        <v>30</v>
      </c>
      <c r="N96">
        <v>9525</v>
      </c>
      <c r="O96">
        <v>8498</v>
      </c>
      <c r="P96">
        <v>8511</v>
      </c>
      <c r="Q96">
        <v>138</v>
      </c>
      <c r="R96">
        <v>5</v>
      </c>
      <c r="S96">
        <v>27</v>
      </c>
      <c r="T96">
        <v>66</v>
      </c>
      <c r="U96">
        <v>9459</v>
      </c>
      <c r="V96" s="498">
        <v>7257</v>
      </c>
      <c r="W96">
        <v>71</v>
      </c>
      <c r="X96" s="498">
        <v>21</v>
      </c>
      <c r="Y96" s="498">
        <v>92</v>
      </c>
      <c r="Z96" s="498">
        <v>119.01</v>
      </c>
      <c r="AA96" s="498">
        <v>118.01</v>
      </c>
      <c r="AB96">
        <v>5.4</v>
      </c>
      <c r="AC96">
        <v>121.32</v>
      </c>
      <c r="AD96">
        <v>5126</v>
      </c>
      <c r="AE96">
        <v>109.02</v>
      </c>
      <c r="AF96">
        <v>100.68</v>
      </c>
      <c r="AG96">
        <v>33.229999999999997</v>
      </c>
      <c r="AH96">
        <v>141.05000000000001</v>
      </c>
      <c r="AI96">
        <v>1188</v>
      </c>
      <c r="AJ96">
        <v>172.54</v>
      </c>
      <c r="AK96">
        <v>2040</v>
      </c>
      <c r="AL96">
        <v>0</v>
      </c>
      <c r="AM96">
        <v>0</v>
      </c>
      <c r="AN96">
        <v>0</v>
      </c>
      <c r="AO96" s="499">
        <v>0</v>
      </c>
      <c r="AP96" s="499">
        <v>0</v>
      </c>
      <c r="AQ96">
        <v>0</v>
      </c>
      <c r="AR96">
        <v>0</v>
      </c>
      <c r="AS96">
        <v>83.03</v>
      </c>
      <c r="AT96">
        <v>81.59</v>
      </c>
      <c r="AU96">
        <v>6.28</v>
      </c>
      <c r="AV96">
        <v>88.45</v>
      </c>
      <c r="AW96">
        <v>102</v>
      </c>
      <c r="AX96">
        <v>98.52</v>
      </c>
      <c r="AY96">
        <v>97.13</v>
      </c>
      <c r="AZ96">
        <v>6.11</v>
      </c>
      <c r="BA96">
        <v>102.82</v>
      </c>
      <c r="BB96">
        <v>1023</v>
      </c>
      <c r="BC96">
        <v>115.71</v>
      </c>
      <c r="BD96">
        <v>114.28</v>
      </c>
      <c r="BE96">
        <v>5.88</v>
      </c>
      <c r="BF96">
        <v>118.73</v>
      </c>
      <c r="BG96">
        <v>1796</v>
      </c>
      <c r="BH96">
        <v>132.26</v>
      </c>
      <c r="BI96">
        <v>131.94</v>
      </c>
      <c r="BJ96">
        <v>3.26</v>
      </c>
      <c r="BK96">
        <v>132.91</v>
      </c>
      <c r="BL96" s="214">
        <v>2105</v>
      </c>
      <c r="BM96" s="214">
        <v>145.06</v>
      </c>
      <c r="BN96">
        <v>142.58000000000001</v>
      </c>
      <c r="BO96" s="187">
        <v>2.2000000000000002</v>
      </c>
      <c r="BP96" s="214">
        <v>145.91999999999999</v>
      </c>
      <c r="BQ96" s="214">
        <v>95</v>
      </c>
      <c r="BR96">
        <v>155.69999999999999</v>
      </c>
      <c r="BS96" s="187">
        <v>158.29</v>
      </c>
      <c r="BT96" s="214">
        <v>2.82</v>
      </c>
      <c r="BU96" s="214">
        <v>157.11000000000001</v>
      </c>
      <c r="BV96">
        <v>4</v>
      </c>
      <c r="BW96">
        <v>172.44</v>
      </c>
      <c r="BX96" s="214">
        <v>175.96</v>
      </c>
      <c r="BY96" s="214">
        <v>0</v>
      </c>
      <c r="BZ96">
        <v>172.44</v>
      </c>
      <c r="CA96" s="187">
        <v>1</v>
      </c>
      <c r="CB96" s="214">
        <v>119.01</v>
      </c>
      <c r="CC96" s="214">
        <v>118.01</v>
      </c>
      <c r="CD96">
        <v>5.4</v>
      </c>
      <c r="CE96" s="187">
        <v>121.32</v>
      </c>
      <c r="CF96" s="214">
        <v>5126</v>
      </c>
      <c r="CG96" s="214">
        <v>119.01</v>
      </c>
      <c r="CH96">
        <v>118.01</v>
      </c>
      <c r="CI96">
        <v>5.4</v>
      </c>
      <c r="CJ96">
        <v>121.32</v>
      </c>
      <c r="CK96">
        <v>5126</v>
      </c>
      <c r="CL96">
        <v>101.78</v>
      </c>
      <c r="CM96">
        <v>92.74</v>
      </c>
      <c r="CN96" s="187">
        <v>42.69</v>
      </c>
      <c r="CO96">
        <v>127.67</v>
      </c>
      <c r="CP96">
        <v>61</v>
      </c>
      <c r="CQ96">
        <v>91.57</v>
      </c>
      <c r="CR96">
        <v>78.25</v>
      </c>
      <c r="CS96" s="187">
        <v>116.36</v>
      </c>
      <c r="CT96">
        <v>207.93</v>
      </c>
      <c r="CU96">
        <v>47</v>
      </c>
      <c r="CV96">
        <v>106.57</v>
      </c>
      <c r="CW96">
        <v>98.15</v>
      </c>
      <c r="CX96" s="187">
        <v>30.8</v>
      </c>
      <c r="CY96">
        <v>136.77000000000001</v>
      </c>
      <c r="CZ96">
        <v>825</v>
      </c>
      <c r="DA96">
        <v>121.81</v>
      </c>
      <c r="DB96">
        <v>113.83</v>
      </c>
      <c r="DC96" s="187">
        <v>24.16</v>
      </c>
      <c r="DD96">
        <v>145.69</v>
      </c>
      <c r="DE96">
        <v>253</v>
      </c>
      <c r="DF96">
        <v>132.36000000000001</v>
      </c>
      <c r="DG96">
        <v>125.12</v>
      </c>
      <c r="DH96" s="187">
        <v>25.11</v>
      </c>
      <c r="DI96">
        <v>157.46</v>
      </c>
      <c r="DJ96">
        <v>2</v>
      </c>
      <c r="DK96">
        <v>0</v>
      </c>
      <c r="DL96">
        <v>0</v>
      </c>
      <c r="DM96" s="187">
        <v>0</v>
      </c>
      <c r="DN96">
        <v>0</v>
      </c>
      <c r="DO96">
        <v>0</v>
      </c>
      <c r="DP96">
        <v>109.41</v>
      </c>
      <c r="DQ96">
        <v>101.05</v>
      </c>
      <c r="DR96" s="187">
        <v>32.92</v>
      </c>
      <c r="DS96">
        <v>141.77000000000001</v>
      </c>
      <c r="DT96">
        <v>1127</v>
      </c>
      <c r="DU96">
        <v>109.02</v>
      </c>
      <c r="DV96">
        <v>100.68</v>
      </c>
      <c r="DW96" s="187">
        <v>33.229999999999997</v>
      </c>
      <c r="DX96">
        <v>141.05000000000001</v>
      </c>
      <c r="DY96">
        <v>1188</v>
      </c>
      <c r="DZ96">
        <v>0</v>
      </c>
      <c r="EA96">
        <v>0</v>
      </c>
      <c r="EB96" s="187">
        <v>0</v>
      </c>
      <c r="EC96">
        <v>0</v>
      </c>
      <c r="ED96">
        <v>138.08000000000001</v>
      </c>
      <c r="EE96">
        <v>595</v>
      </c>
      <c r="EF96">
        <v>173.29</v>
      </c>
      <c r="EG96" s="187">
        <v>941</v>
      </c>
      <c r="EH96">
        <v>209.92</v>
      </c>
      <c r="EI96">
        <v>481</v>
      </c>
      <c r="EJ96">
        <v>251.24</v>
      </c>
      <c r="EK96">
        <v>23</v>
      </c>
      <c r="EL96" s="187">
        <v>0</v>
      </c>
      <c r="EM96">
        <v>0</v>
      </c>
      <c r="EN96">
        <v>0</v>
      </c>
      <c r="EO96">
        <v>0</v>
      </c>
      <c r="EP96">
        <v>172.54</v>
      </c>
      <c r="EQ96" s="187">
        <v>2040</v>
      </c>
      <c r="ER96">
        <v>172.54</v>
      </c>
      <c r="ES96">
        <v>2040</v>
      </c>
      <c r="ET96">
        <v>0</v>
      </c>
      <c r="EU96">
        <v>0</v>
      </c>
      <c r="EV96" s="187">
        <v>0</v>
      </c>
      <c r="EW96">
        <v>0</v>
      </c>
      <c r="EX96">
        <v>0</v>
      </c>
      <c r="EY96">
        <v>0</v>
      </c>
      <c r="EZ96">
        <v>0</v>
      </c>
      <c r="FA96" s="187">
        <v>0</v>
      </c>
      <c r="FB96">
        <v>0</v>
      </c>
      <c r="FC96">
        <v>0</v>
      </c>
      <c r="FD96">
        <v>0</v>
      </c>
      <c r="FE96">
        <v>0</v>
      </c>
      <c r="FF96" s="187">
        <v>0</v>
      </c>
      <c r="FG96">
        <v>0</v>
      </c>
      <c r="FH96">
        <v>0</v>
      </c>
      <c r="FI96">
        <v>0</v>
      </c>
      <c r="FJ96">
        <v>55</v>
      </c>
      <c r="FK96" s="187">
        <v>4</v>
      </c>
      <c r="FL96">
        <v>1</v>
      </c>
      <c r="FM96">
        <v>73</v>
      </c>
      <c r="FN96">
        <v>26</v>
      </c>
    </row>
    <row r="97" spans="1:170" x14ac:dyDescent="0.35">
      <c r="A97" t="s">
        <v>583</v>
      </c>
      <c r="B97" t="s">
        <v>584</v>
      </c>
      <c r="C97" t="s">
        <v>414</v>
      </c>
      <c r="D97">
        <v>6896</v>
      </c>
      <c r="E97">
        <v>6731</v>
      </c>
      <c r="F97">
        <v>8</v>
      </c>
      <c r="G97">
        <v>8</v>
      </c>
      <c r="H97">
        <v>247</v>
      </c>
      <c r="I97">
        <v>189</v>
      </c>
      <c r="J97">
        <v>577</v>
      </c>
      <c r="K97">
        <v>577</v>
      </c>
      <c r="L97">
        <v>642</v>
      </c>
      <c r="M97">
        <v>0</v>
      </c>
      <c r="N97">
        <v>8370</v>
      </c>
      <c r="O97">
        <v>7505</v>
      </c>
      <c r="P97">
        <v>7728</v>
      </c>
      <c r="Q97">
        <v>1</v>
      </c>
      <c r="R97">
        <v>4</v>
      </c>
      <c r="S97">
        <v>19</v>
      </c>
      <c r="T97">
        <v>163</v>
      </c>
      <c r="U97">
        <v>8207</v>
      </c>
      <c r="V97" s="498">
        <v>6739</v>
      </c>
      <c r="W97">
        <v>74</v>
      </c>
      <c r="X97" s="498">
        <v>51</v>
      </c>
      <c r="Y97" s="498">
        <v>125</v>
      </c>
      <c r="Z97" s="498">
        <v>85.05</v>
      </c>
      <c r="AA97" s="498">
        <v>84.52</v>
      </c>
      <c r="AB97">
        <v>3.14</v>
      </c>
      <c r="AC97">
        <v>87.59</v>
      </c>
      <c r="AD97">
        <v>5147</v>
      </c>
      <c r="AE97">
        <v>88.76</v>
      </c>
      <c r="AF97">
        <v>78.5</v>
      </c>
      <c r="AG97">
        <v>47.91</v>
      </c>
      <c r="AH97">
        <v>135.31</v>
      </c>
      <c r="AI97">
        <v>776</v>
      </c>
      <c r="AJ97">
        <v>96.28</v>
      </c>
      <c r="AK97">
        <v>1518</v>
      </c>
      <c r="AL97">
        <v>152.62</v>
      </c>
      <c r="AM97">
        <v>42</v>
      </c>
      <c r="AN97">
        <v>0</v>
      </c>
      <c r="AO97" s="499">
        <v>0</v>
      </c>
      <c r="AP97" s="499">
        <v>0</v>
      </c>
      <c r="AQ97">
        <v>0</v>
      </c>
      <c r="AR97">
        <v>0</v>
      </c>
      <c r="AS97">
        <v>69.86</v>
      </c>
      <c r="AT97">
        <v>67.2</v>
      </c>
      <c r="AU97">
        <v>11.59</v>
      </c>
      <c r="AV97">
        <v>77.77</v>
      </c>
      <c r="AW97">
        <v>82</v>
      </c>
      <c r="AX97">
        <v>75.069999999999993</v>
      </c>
      <c r="AY97">
        <v>72.13</v>
      </c>
      <c r="AZ97">
        <v>7.16</v>
      </c>
      <c r="BA97">
        <v>81.78</v>
      </c>
      <c r="BB97">
        <v>539</v>
      </c>
      <c r="BC97">
        <v>83.89</v>
      </c>
      <c r="BD97">
        <v>83.59</v>
      </c>
      <c r="BE97">
        <v>2.88</v>
      </c>
      <c r="BF97">
        <v>86.31</v>
      </c>
      <c r="BG97">
        <v>2761</v>
      </c>
      <c r="BH97">
        <v>90.2</v>
      </c>
      <c r="BI97">
        <v>90.13</v>
      </c>
      <c r="BJ97">
        <v>1.69</v>
      </c>
      <c r="BK97">
        <v>91.41</v>
      </c>
      <c r="BL97" s="214">
        <v>1673</v>
      </c>
      <c r="BM97" s="214">
        <v>97.91</v>
      </c>
      <c r="BN97">
        <v>98.16</v>
      </c>
      <c r="BO97" s="187">
        <v>1.4</v>
      </c>
      <c r="BP97" s="214">
        <v>99.12</v>
      </c>
      <c r="BQ97" s="214">
        <v>90</v>
      </c>
      <c r="BR97">
        <v>104.98</v>
      </c>
      <c r="BS97" s="187">
        <v>104.98</v>
      </c>
      <c r="BT97" s="214">
        <v>1.41</v>
      </c>
      <c r="BU97" s="214">
        <v>105.69</v>
      </c>
      <c r="BV97">
        <v>2</v>
      </c>
      <c r="BW97">
        <v>0</v>
      </c>
      <c r="BX97" s="214">
        <v>0</v>
      </c>
      <c r="BY97" s="214">
        <v>0</v>
      </c>
      <c r="BZ97">
        <v>0</v>
      </c>
      <c r="CA97" s="187">
        <v>0</v>
      </c>
      <c r="CB97" s="214">
        <v>85.05</v>
      </c>
      <c r="CC97" s="214">
        <v>84.52</v>
      </c>
      <c r="CD97">
        <v>3.14</v>
      </c>
      <c r="CE97" s="187">
        <v>87.59</v>
      </c>
      <c r="CF97" s="214">
        <v>5147</v>
      </c>
      <c r="CG97" s="214">
        <v>85.05</v>
      </c>
      <c r="CH97">
        <v>84.52</v>
      </c>
      <c r="CI97">
        <v>3.14</v>
      </c>
      <c r="CJ97">
        <v>87.59</v>
      </c>
      <c r="CK97">
        <v>5147</v>
      </c>
      <c r="CL97">
        <v>121.28</v>
      </c>
      <c r="CM97">
        <v>63.5</v>
      </c>
      <c r="CN97" s="187">
        <v>110.76</v>
      </c>
      <c r="CO97">
        <v>232.04</v>
      </c>
      <c r="CP97">
        <v>56</v>
      </c>
      <c r="CQ97">
        <v>68.64</v>
      </c>
      <c r="CR97">
        <v>66.55</v>
      </c>
      <c r="CS97" s="187">
        <v>27.22</v>
      </c>
      <c r="CT97">
        <v>90.6</v>
      </c>
      <c r="CU97">
        <v>88</v>
      </c>
      <c r="CV97">
        <v>85.47</v>
      </c>
      <c r="CW97">
        <v>78.75</v>
      </c>
      <c r="CX97" s="187">
        <v>45.32</v>
      </c>
      <c r="CY97">
        <v>130.32</v>
      </c>
      <c r="CZ97">
        <v>484</v>
      </c>
      <c r="DA97">
        <v>98.52</v>
      </c>
      <c r="DB97">
        <v>88.34</v>
      </c>
      <c r="DC97" s="187">
        <v>39.200000000000003</v>
      </c>
      <c r="DD97">
        <v>137.72999999999999</v>
      </c>
      <c r="DE97">
        <v>142</v>
      </c>
      <c r="DF97">
        <v>106.04</v>
      </c>
      <c r="DG97">
        <v>97.96</v>
      </c>
      <c r="DH97" s="187">
        <v>91.46</v>
      </c>
      <c r="DI97">
        <v>197.51</v>
      </c>
      <c r="DJ97">
        <v>5</v>
      </c>
      <c r="DK97">
        <v>155</v>
      </c>
      <c r="DL97">
        <v>0</v>
      </c>
      <c r="DM97" s="187">
        <v>259.2</v>
      </c>
      <c r="DN97">
        <v>414.2</v>
      </c>
      <c r="DO97">
        <v>1</v>
      </c>
      <c r="DP97">
        <v>86.23</v>
      </c>
      <c r="DQ97">
        <v>79.08</v>
      </c>
      <c r="DR97" s="187">
        <v>42.87</v>
      </c>
      <c r="DS97">
        <v>127.79</v>
      </c>
      <c r="DT97">
        <v>720</v>
      </c>
      <c r="DU97">
        <v>88.76</v>
      </c>
      <c r="DV97">
        <v>78.5</v>
      </c>
      <c r="DW97" s="187">
        <v>47.91</v>
      </c>
      <c r="DX97">
        <v>135.31</v>
      </c>
      <c r="DY97">
        <v>776</v>
      </c>
      <c r="DZ97">
        <v>0</v>
      </c>
      <c r="EA97">
        <v>0</v>
      </c>
      <c r="EB97" s="187">
        <v>0</v>
      </c>
      <c r="EC97">
        <v>0</v>
      </c>
      <c r="ED97">
        <v>78.84</v>
      </c>
      <c r="EE97">
        <v>236</v>
      </c>
      <c r="EF97">
        <v>93.79</v>
      </c>
      <c r="EG97" s="187">
        <v>773</v>
      </c>
      <c r="EH97">
        <v>106.6</v>
      </c>
      <c r="EI97">
        <v>469</v>
      </c>
      <c r="EJ97">
        <v>126.45</v>
      </c>
      <c r="EK97">
        <v>40</v>
      </c>
      <c r="EL97" s="187">
        <v>0</v>
      </c>
      <c r="EM97">
        <v>0</v>
      </c>
      <c r="EN97">
        <v>0</v>
      </c>
      <c r="EO97">
        <v>0</v>
      </c>
      <c r="EP97">
        <v>96.28</v>
      </c>
      <c r="EQ97" s="187">
        <v>1518</v>
      </c>
      <c r="ER97">
        <v>96.28</v>
      </c>
      <c r="ES97">
        <v>1518</v>
      </c>
      <c r="ET97">
        <v>0</v>
      </c>
      <c r="EU97">
        <v>0</v>
      </c>
      <c r="EV97" s="187">
        <v>0</v>
      </c>
      <c r="EW97">
        <v>0</v>
      </c>
      <c r="EX97">
        <v>155.44</v>
      </c>
      <c r="EY97">
        <v>38</v>
      </c>
      <c r="EZ97">
        <v>125.85</v>
      </c>
      <c r="FA97" s="187">
        <v>4</v>
      </c>
      <c r="FB97">
        <v>0</v>
      </c>
      <c r="FC97">
        <v>0</v>
      </c>
      <c r="FD97">
        <v>0</v>
      </c>
      <c r="FE97">
        <v>0</v>
      </c>
      <c r="FF97" s="187">
        <v>152.62</v>
      </c>
      <c r="FG97">
        <v>42</v>
      </c>
      <c r="FH97">
        <v>152.62</v>
      </c>
      <c r="FI97">
        <v>42</v>
      </c>
      <c r="FJ97">
        <v>0</v>
      </c>
      <c r="FK97" s="187">
        <v>15</v>
      </c>
      <c r="FL97">
        <v>3</v>
      </c>
      <c r="FM97">
        <v>21</v>
      </c>
      <c r="FN97">
        <v>13</v>
      </c>
    </row>
    <row r="98" spans="1:170" x14ac:dyDescent="0.35">
      <c r="A98" t="s">
        <v>585</v>
      </c>
      <c r="B98" t="s">
        <v>586</v>
      </c>
      <c r="C98" t="s">
        <v>1048</v>
      </c>
      <c r="D98">
        <v>2469</v>
      </c>
      <c r="E98">
        <v>2098</v>
      </c>
      <c r="F98">
        <v>0</v>
      </c>
      <c r="G98">
        <v>0</v>
      </c>
      <c r="H98">
        <v>305</v>
      </c>
      <c r="I98">
        <v>191</v>
      </c>
      <c r="J98">
        <v>618</v>
      </c>
      <c r="K98">
        <v>581</v>
      </c>
      <c r="L98">
        <v>473</v>
      </c>
      <c r="M98">
        <v>0</v>
      </c>
      <c r="N98">
        <v>3865</v>
      </c>
      <c r="O98">
        <v>2870</v>
      </c>
      <c r="P98">
        <v>3392</v>
      </c>
      <c r="Q98">
        <v>2</v>
      </c>
      <c r="R98">
        <v>11</v>
      </c>
      <c r="S98">
        <v>30</v>
      </c>
      <c r="T98">
        <v>337</v>
      </c>
      <c r="U98">
        <v>3528</v>
      </c>
      <c r="V98" s="498">
        <v>2243</v>
      </c>
      <c r="W98">
        <v>18</v>
      </c>
      <c r="X98" s="498">
        <v>10</v>
      </c>
      <c r="Y98" s="498">
        <v>28</v>
      </c>
      <c r="Z98" s="498">
        <v>91.69</v>
      </c>
      <c r="AA98" s="498">
        <v>89.05</v>
      </c>
      <c r="AB98">
        <v>5.04</v>
      </c>
      <c r="AC98">
        <v>94.66</v>
      </c>
      <c r="AD98">
        <v>1271</v>
      </c>
      <c r="AE98">
        <v>96.15</v>
      </c>
      <c r="AF98">
        <v>84.08</v>
      </c>
      <c r="AG98">
        <v>54.54</v>
      </c>
      <c r="AH98">
        <v>147.83000000000001</v>
      </c>
      <c r="AI98">
        <v>801</v>
      </c>
      <c r="AJ98">
        <v>106.11</v>
      </c>
      <c r="AK98">
        <v>902</v>
      </c>
      <c r="AL98">
        <v>117.53</v>
      </c>
      <c r="AM98">
        <v>12</v>
      </c>
      <c r="AN98">
        <v>0</v>
      </c>
      <c r="AO98" s="499">
        <v>0</v>
      </c>
      <c r="AP98" s="499">
        <v>0</v>
      </c>
      <c r="AQ98">
        <v>0</v>
      </c>
      <c r="AR98">
        <v>0</v>
      </c>
      <c r="AS98">
        <v>0</v>
      </c>
      <c r="AT98">
        <v>0</v>
      </c>
      <c r="AU98">
        <v>0</v>
      </c>
      <c r="AV98">
        <v>0</v>
      </c>
      <c r="AW98">
        <v>0</v>
      </c>
      <c r="AX98">
        <v>74.12</v>
      </c>
      <c r="AY98">
        <v>72.75</v>
      </c>
      <c r="AZ98">
        <v>9.83</v>
      </c>
      <c r="BA98">
        <v>83.89</v>
      </c>
      <c r="BB98">
        <v>187</v>
      </c>
      <c r="BC98">
        <v>89.86</v>
      </c>
      <c r="BD98">
        <v>87.43</v>
      </c>
      <c r="BE98">
        <v>4.16</v>
      </c>
      <c r="BF98">
        <v>92.32</v>
      </c>
      <c r="BG98">
        <v>646</v>
      </c>
      <c r="BH98">
        <v>101.55</v>
      </c>
      <c r="BI98">
        <v>98.03</v>
      </c>
      <c r="BJ98">
        <v>1.92</v>
      </c>
      <c r="BK98">
        <v>102.35</v>
      </c>
      <c r="BL98" s="214">
        <v>409</v>
      </c>
      <c r="BM98" s="214">
        <v>106.07</v>
      </c>
      <c r="BN98">
        <v>103.08</v>
      </c>
      <c r="BO98" s="187">
        <v>2.82</v>
      </c>
      <c r="BP98" s="214">
        <v>106.94</v>
      </c>
      <c r="BQ98" s="214">
        <v>26</v>
      </c>
      <c r="BR98">
        <v>109.48</v>
      </c>
      <c r="BS98" s="187">
        <v>106.71</v>
      </c>
      <c r="BT98" s="214">
        <v>1.71</v>
      </c>
      <c r="BU98" s="214">
        <v>111.19</v>
      </c>
      <c r="BV98">
        <v>2</v>
      </c>
      <c r="BW98">
        <v>120.03</v>
      </c>
      <c r="BX98" s="214">
        <v>111.28</v>
      </c>
      <c r="BY98" s="214">
        <v>0</v>
      </c>
      <c r="BZ98">
        <v>120.03</v>
      </c>
      <c r="CA98" s="187">
        <v>1</v>
      </c>
      <c r="CB98" s="214">
        <v>91.69</v>
      </c>
      <c r="CC98" s="214">
        <v>89.05</v>
      </c>
      <c r="CD98">
        <v>5.04</v>
      </c>
      <c r="CE98" s="187">
        <v>94.66</v>
      </c>
      <c r="CF98" s="214">
        <v>1271</v>
      </c>
      <c r="CG98" s="214">
        <v>91.69</v>
      </c>
      <c r="CH98">
        <v>89.05</v>
      </c>
      <c r="CI98">
        <v>5.04</v>
      </c>
      <c r="CJ98">
        <v>94.66</v>
      </c>
      <c r="CK98">
        <v>1271</v>
      </c>
      <c r="CL98">
        <v>122.63</v>
      </c>
      <c r="CM98">
        <v>98.55</v>
      </c>
      <c r="CN98" s="187">
        <v>100.72</v>
      </c>
      <c r="CO98">
        <v>196.2</v>
      </c>
      <c r="CP98">
        <v>115</v>
      </c>
      <c r="CQ98">
        <v>77.53</v>
      </c>
      <c r="CR98">
        <v>70.5</v>
      </c>
      <c r="CS98" s="187">
        <v>39.799999999999997</v>
      </c>
      <c r="CT98">
        <v>117.33</v>
      </c>
      <c r="CU98">
        <v>58</v>
      </c>
      <c r="CV98">
        <v>91.69</v>
      </c>
      <c r="CW98">
        <v>81.38</v>
      </c>
      <c r="CX98" s="187">
        <v>53.92</v>
      </c>
      <c r="CY98">
        <v>145.07</v>
      </c>
      <c r="CZ98">
        <v>500</v>
      </c>
      <c r="DA98">
        <v>97.91</v>
      </c>
      <c r="DB98">
        <v>92.09</v>
      </c>
      <c r="DC98" s="187">
        <v>32.159999999999997</v>
      </c>
      <c r="DD98">
        <v>129.53</v>
      </c>
      <c r="DE98">
        <v>120</v>
      </c>
      <c r="DF98">
        <v>102.81</v>
      </c>
      <c r="DG98">
        <v>96.66</v>
      </c>
      <c r="DH98" s="187">
        <v>35.479999999999997</v>
      </c>
      <c r="DI98">
        <v>120.54</v>
      </c>
      <c r="DJ98">
        <v>8</v>
      </c>
      <c r="DK98">
        <v>0</v>
      </c>
      <c r="DL98">
        <v>0</v>
      </c>
      <c r="DM98" s="187">
        <v>0</v>
      </c>
      <c r="DN98">
        <v>0</v>
      </c>
      <c r="DO98">
        <v>0</v>
      </c>
      <c r="DP98">
        <v>91.71</v>
      </c>
      <c r="DQ98">
        <v>82.55</v>
      </c>
      <c r="DR98" s="187">
        <v>48.8</v>
      </c>
      <c r="DS98">
        <v>139.72</v>
      </c>
      <c r="DT98">
        <v>686</v>
      </c>
      <c r="DU98">
        <v>96.15</v>
      </c>
      <c r="DV98">
        <v>84.08</v>
      </c>
      <c r="DW98" s="187">
        <v>54.54</v>
      </c>
      <c r="DX98">
        <v>147.83000000000001</v>
      </c>
      <c r="DY98">
        <v>801</v>
      </c>
      <c r="DZ98">
        <v>0</v>
      </c>
      <c r="EA98">
        <v>0</v>
      </c>
      <c r="EB98" s="187">
        <v>0</v>
      </c>
      <c r="EC98">
        <v>0</v>
      </c>
      <c r="ED98">
        <v>88.07</v>
      </c>
      <c r="EE98">
        <v>188</v>
      </c>
      <c r="EF98">
        <v>106.62</v>
      </c>
      <c r="EG98" s="187">
        <v>481</v>
      </c>
      <c r="EH98">
        <v>119.53</v>
      </c>
      <c r="EI98">
        <v>223</v>
      </c>
      <c r="EJ98">
        <v>121.35</v>
      </c>
      <c r="EK98">
        <v>10</v>
      </c>
      <c r="EL98" s="187">
        <v>0</v>
      </c>
      <c r="EM98">
        <v>0</v>
      </c>
      <c r="EN98">
        <v>0</v>
      </c>
      <c r="EO98">
        <v>0</v>
      </c>
      <c r="EP98">
        <v>106.11</v>
      </c>
      <c r="EQ98" s="187">
        <v>902</v>
      </c>
      <c r="ER98">
        <v>106.11</v>
      </c>
      <c r="ES98">
        <v>902</v>
      </c>
      <c r="ET98">
        <v>0</v>
      </c>
      <c r="EU98">
        <v>0</v>
      </c>
      <c r="EV98" s="187">
        <v>0</v>
      </c>
      <c r="EW98">
        <v>0</v>
      </c>
      <c r="EX98">
        <v>109.73</v>
      </c>
      <c r="EY98">
        <v>10</v>
      </c>
      <c r="EZ98">
        <v>156.54</v>
      </c>
      <c r="FA98" s="187">
        <v>2</v>
      </c>
      <c r="FB98">
        <v>0</v>
      </c>
      <c r="FC98">
        <v>0</v>
      </c>
      <c r="FD98">
        <v>0</v>
      </c>
      <c r="FE98">
        <v>0</v>
      </c>
      <c r="FF98" s="187">
        <v>117.53</v>
      </c>
      <c r="FG98">
        <v>12</v>
      </c>
      <c r="FH98">
        <v>117.53</v>
      </c>
      <c r="FI98">
        <v>12</v>
      </c>
      <c r="FJ98">
        <v>2</v>
      </c>
      <c r="FK98" s="187">
        <v>0</v>
      </c>
      <c r="FL98">
        <v>3</v>
      </c>
      <c r="FM98">
        <v>100</v>
      </c>
      <c r="FN98">
        <v>4</v>
      </c>
    </row>
    <row r="99" spans="1:170" x14ac:dyDescent="0.35">
      <c r="A99" t="s">
        <v>587</v>
      </c>
      <c r="B99" t="s">
        <v>588</v>
      </c>
      <c r="C99" t="s">
        <v>420</v>
      </c>
      <c r="D99">
        <v>6461</v>
      </c>
      <c r="E99">
        <v>6443</v>
      </c>
      <c r="F99">
        <v>0</v>
      </c>
      <c r="G99">
        <v>0</v>
      </c>
      <c r="H99">
        <v>135</v>
      </c>
      <c r="I99">
        <v>53</v>
      </c>
      <c r="J99">
        <v>381</v>
      </c>
      <c r="K99">
        <v>381</v>
      </c>
      <c r="L99">
        <v>344</v>
      </c>
      <c r="M99">
        <v>0</v>
      </c>
      <c r="N99">
        <v>7321</v>
      </c>
      <c r="O99">
        <v>6877</v>
      </c>
      <c r="P99">
        <v>6977</v>
      </c>
      <c r="Q99">
        <v>0</v>
      </c>
      <c r="R99">
        <v>1</v>
      </c>
      <c r="S99">
        <v>18</v>
      </c>
      <c r="T99">
        <v>3</v>
      </c>
      <c r="U99">
        <v>7318</v>
      </c>
      <c r="V99" s="498">
        <v>6461</v>
      </c>
      <c r="W99">
        <v>54</v>
      </c>
      <c r="X99" s="498">
        <v>11</v>
      </c>
      <c r="Y99" s="498">
        <v>65</v>
      </c>
      <c r="Z99" s="498">
        <v>84.04</v>
      </c>
      <c r="AA99" s="498">
        <v>81.099999999999994</v>
      </c>
      <c r="AB99">
        <v>6.19</v>
      </c>
      <c r="AC99">
        <v>86.65</v>
      </c>
      <c r="AD99">
        <v>5110</v>
      </c>
      <c r="AE99">
        <v>83.29</v>
      </c>
      <c r="AF99">
        <v>76.66</v>
      </c>
      <c r="AG99">
        <v>59.88</v>
      </c>
      <c r="AH99">
        <v>142.34</v>
      </c>
      <c r="AI99">
        <v>512</v>
      </c>
      <c r="AJ99">
        <v>101.74</v>
      </c>
      <c r="AK99">
        <v>1330</v>
      </c>
      <c r="AL99">
        <v>0</v>
      </c>
      <c r="AM99">
        <v>0</v>
      </c>
      <c r="AN99">
        <v>0</v>
      </c>
      <c r="AO99" s="499">
        <v>0</v>
      </c>
      <c r="AP99" s="499">
        <v>0</v>
      </c>
      <c r="AQ99">
        <v>0</v>
      </c>
      <c r="AR99">
        <v>0</v>
      </c>
      <c r="AS99">
        <v>66.069999999999993</v>
      </c>
      <c r="AT99">
        <v>62.87</v>
      </c>
      <c r="AU99">
        <v>6.88</v>
      </c>
      <c r="AV99">
        <v>72.900000000000006</v>
      </c>
      <c r="AW99">
        <v>151</v>
      </c>
      <c r="AX99">
        <v>74.349999999999994</v>
      </c>
      <c r="AY99">
        <v>71.48</v>
      </c>
      <c r="AZ99">
        <v>6.62</v>
      </c>
      <c r="BA99">
        <v>78.67</v>
      </c>
      <c r="BB99">
        <v>1331</v>
      </c>
      <c r="BC99">
        <v>83.9</v>
      </c>
      <c r="BD99">
        <v>80.84</v>
      </c>
      <c r="BE99">
        <v>6.31</v>
      </c>
      <c r="BF99">
        <v>86.99</v>
      </c>
      <c r="BG99">
        <v>1912</v>
      </c>
      <c r="BH99">
        <v>92.46</v>
      </c>
      <c r="BI99">
        <v>89.59</v>
      </c>
      <c r="BJ99">
        <v>3.05</v>
      </c>
      <c r="BK99">
        <v>92.77</v>
      </c>
      <c r="BL99" s="214">
        <v>1606</v>
      </c>
      <c r="BM99" s="214">
        <v>104.97</v>
      </c>
      <c r="BN99">
        <v>102.92</v>
      </c>
      <c r="BO99" s="187">
        <v>4.32</v>
      </c>
      <c r="BP99" s="214">
        <v>106.52</v>
      </c>
      <c r="BQ99" s="214">
        <v>106</v>
      </c>
      <c r="BR99">
        <v>111.77</v>
      </c>
      <c r="BS99" s="187">
        <v>106.46</v>
      </c>
      <c r="BT99" s="214">
        <v>0</v>
      </c>
      <c r="BU99" s="214">
        <v>111.77</v>
      </c>
      <c r="BV99">
        <v>3</v>
      </c>
      <c r="BW99">
        <v>118.32</v>
      </c>
      <c r="BX99" s="214">
        <v>112.7</v>
      </c>
      <c r="BY99" s="214">
        <v>0</v>
      </c>
      <c r="BZ99">
        <v>118.32</v>
      </c>
      <c r="CA99" s="187">
        <v>1</v>
      </c>
      <c r="CB99" s="214">
        <v>84.04</v>
      </c>
      <c r="CC99" s="214">
        <v>81.099999999999994</v>
      </c>
      <c r="CD99">
        <v>6.19</v>
      </c>
      <c r="CE99" s="187">
        <v>86.65</v>
      </c>
      <c r="CF99" s="214">
        <v>5110</v>
      </c>
      <c r="CG99" s="214">
        <v>84.04</v>
      </c>
      <c r="CH99">
        <v>81.099999999999994</v>
      </c>
      <c r="CI99">
        <v>6.19</v>
      </c>
      <c r="CJ99">
        <v>86.65</v>
      </c>
      <c r="CK99">
        <v>5110</v>
      </c>
      <c r="CL99">
        <v>79.19</v>
      </c>
      <c r="CM99">
        <v>63.61</v>
      </c>
      <c r="CN99" s="187">
        <v>59.48</v>
      </c>
      <c r="CO99">
        <v>138.66999999999999</v>
      </c>
      <c r="CP99">
        <v>40</v>
      </c>
      <c r="CQ99">
        <v>79.510000000000005</v>
      </c>
      <c r="CR99">
        <v>72.319999999999993</v>
      </c>
      <c r="CS99" s="187">
        <v>88.25</v>
      </c>
      <c r="CT99">
        <v>167.76</v>
      </c>
      <c r="CU99">
        <v>55</v>
      </c>
      <c r="CV99">
        <v>83.08</v>
      </c>
      <c r="CW99">
        <v>78.5</v>
      </c>
      <c r="CX99" s="187">
        <v>56.77</v>
      </c>
      <c r="CY99">
        <v>138.84</v>
      </c>
      <c r="CZ99">
        <v>395</v>
      </c>
      <c r="DA99">
        <v>104.63</v>
      </c>
      <c r="DB99">
        <v>87.75</v>
      </c>
      <c r="DC99" s="187">
        <v>44.47</v>
      </c>
      <c r="DD99">
        <v>149.1</v>
      </c>
      <c r="DE99">
        <v>21</v>
      </c>
      <c r="DF99">
        <v>89.19</v>
      </c>
      <c r="DG99">
        <v>84.92</v>
      </c>
      <c r="DH99" s="187">
        <v>43.7</v>
      </c>
      <c r="DI99">
        <v>132.88999999999999</v>
      </c>
      <c r="DJ99">
        <v>1</v>
      </c>
      <c r="DK99">
        <v>0</v>
      </c>
      <c r="DL99">
        <v>0</v>
      </c>
      <c r="DM99" s="187">
        <v>0</v>
      </c>
      <c r="DN99">
        <v>0</v>
      </c>
      <c r="DO99">
        <v>0</v>
      </c>
      <c r="DP99">
        <v>83.63</v>
      </c>
      <c r="DQ99">
        <v>77.790000000000006</v>
      </c>
      <c r="DR99" s="187">
        <v>59.91</v>
      </c>
      <c r="DS99">
        <v>142.66</v>
      </c>
      <c r="DT99">
        <v>472</v>
      </c>
      <c r="DU99">
        <v>83.29</v>
      </c>
      <c r="DV99">
        <v>76.66</v>
      </c>
      <c r="DW99" s="187">
        <v>59.88</v>
      </c>
      <c r="DX99">
        <v>142.34</v>
      </c>
      <c r="DY99">
        <v>512</v>
      </c>
      <c r="DZ99">
        <v>0</v>
      </c>
      <c r="EA99">
        <v>0</v>
      </c>
      <c r="EB99" s="187">
        <v>0</v>
      </c>
      <c r="EC99">
        <v>0</v>
      </c>
      <c r="ED99">
        <v>83.64</v>
      </c>
      <c r="EE99">
        <v>318</v>
      </c>
      <c r="EF99">
        <v>101.47</v>
      </c>
      <c r="EG99" s="187">
        <v>584</v>
      </c>
      <c r="EH99">
        <v>113.5</v>
      </c>
      <c r="EI99">
        <v>393</v>
      </c>
      <c r="EJ99">
        <v>140.77000000000001</v>
      </c>
      <c r="EK99">
        <v>32</v>
      </c>
      <c r="EL99" s="187">
        <v>115.74</v>
      </c>
      <c r="EM99">
        <v>3</v>
      </c>
      <c r="EN99">
        <v>0</v>
      </c>
      <c r="EO99">
        <v>0</v>
      </c>
      <c r="EP99">
        <v>101.74</v>
      </c>
      <c r="EQ99" s="187">
        <v>1330</v>
      </c>
      <c r="ER99">
        <v>101.74</v>
      </c>
      <c r="ES99">
        <v>1330</v>
      </c>
      <c r="ET99">
        <v>0</v>
      </c>
      <c r="EU99">
        <v>0</v>
      </c>
      <c r="EV99" s="187">
        <v>0</v>
      </c>
      <c r="EW99">
        <v>0</v>
      </c>
      <c r="EX99">
        <v>0</v>
      </c>
      <c r="EY99">
        <v>0</v>
      </c>
      <c r="EZ99">
        <v>0</v>
      </c>
      <c r="FA99" s="187">
        <v>0</v>
      </c>
      <c r="FB99">
        <v>0</v>
      </c>
      <c r="FC99">
        <v>0</v>
      </c>
      <c r="FD99">
        <v>0</v>
      </c>
      <c r="FE99">
        <v>0</v>
      </c>
      <c r="FF99" s="187">
        <v>0</v>
      </c>
      <c r="FG99">
        <v>0</v>
      </c>
      <c r="FH99">
        <v>0</v>
      </c>
      <c r="FI99">
        <v>0</v>
      </c>
      <c r="FJ99">
        <v>538</v>
      </c>
      <c r="FK99" s="187">
        <v>20</v>
      </c>
      <c r="FL99">
        <v>5</v>
      </c>
      <c r="FM99">
        <v>24</v>
      </c>
      <c r="FN99">
        <v>8</v>
      </c>
    </row>
    <row r="100" spans="1:170" x14ac:dyDescent="0.35">
      <c r="A100" t="s">
        <v>589</v>
      </c>
      <c r="B100" t="s">
        <v>590</v>
      </c>
      <c r="C100" t="s">
        <v>415</v>
      </c>
      <c r="D100">
        <v>8506</v>
      </c>
      <c r="E100">
        <v>8488</v>
      </c>
      <c r="F100">
        <v>0</v>
      </c>
      <c r="G100">
        <v>0</v>
      </c>
      <c r="H100">
        <v>386</v>
      </c>
      <c r="I100">
        <v>286</v>
      </c>
      <c r="J100">
        <v>1375</v>
      </c>
      <c r="K100">
        <v>1202</v>
      </c>
      <c r="L100">
        <v>283</v>
      </c>
      <c r="M100">
        <v>26</v>
      </c>
      <c r="N100">
        <v>10550</v>
      </c>
      <c r="O100">
        <v>10002</v>
      </c>
      <c r="P100">
        <v>10267</v>
      </c>
      <c r="Q100">
        <v>3</v>
      </c>
      <c r="R100">
        <v>7</v>
      </c>
      <c r="S100">
        <v>23</v>
      </c>
      <c r="T100">
        <v>155</v>
      </c>
      <c r="U100">
        <v>10395</v>
      </c>
      <c r="V100" s="498">
        <v>8479</v>
      </c>
      <c r="W100">
        <v>39</v>
      </c>
      <c r="X100" s="498">
        <v>62</v>
      </c>
      <c r="Y100" s="498">
        <v>101</v>
      </c>
      <c r="Z100" s="498">
        <v>94.16</v>
      </c>
      <c r="AA100" s="498">
        <v>91.1</v>
      </c>
      <c r="AB100">
        <v>3.34</v>
      </c>
      <c r="AC100">
        <v>95.83</v>
      </c>
      <c r="AD100">
        <v>7020</v>
      </c>
      <c r="AE100">
        <v>85.09</v>
      </c>
      <c r="AF100">
        <v>79.25</v>
      </c>
      <c r="AG100">
        <v>38.200000000000003</v>
      </c>
      <c r="AH100">
        <v>122.52</v>
      </c>
      <c r="AI100">
        <v>1631</v>
      </c>
      <c r="AJ100">
        <v>110.27</v>
      </c>
      <c r="AK100">
        <v>1277</v>
      </c>
      <c r="AL100">
        <v>116.85</v>
      </c>
      <c r="AM100">
        <v>19</v>
      </c>
      <c r="AN100">
        <v>0</v>
      </c>
      <c r="AO100" s="499">
        <v>0</v>
      </c>
      <c r="AP100" s="499">
        <v>0</v>
      </c>
      <c r="AQ100">
        <v>0</v>
      </c>
      <c r="AR100">
        <v>0</v>
      </c>
      <c r="AS100">
        <v>62.91</v>
      </c>
      <c r="AT100">
        <v>61.26</v>
      </c>
      <c r="AU100">
        <v>4.24</v>
      </c>
      <c r="AV100">
        <v>66.5</v>
      </c>
      <c r="AW100">
        <v>39</v>
      </c>
      <c r="AX100">
        <v>78.34</v>
      </c>
      <c r="AY100">
        <v>75.7</v>
      </c>
      <c r="AZ100">
        <v>4.79</v>
      </c>
      <c r="BA100">
        <v>81.7</v>
      </c>
      <c r="BB100">
        <v>1121</v>
      </c>
      <c r="BC100">
        <v>91.6</v>
      </c>
      <c r="BD100">
        <v>88.46</v>
      </c>
      <c r="BE100">
        <v>3.68</v>
      </c>
      <c r="BF100">
        <v>93.58</v>
      </c>
      <c r="BG100">
        <v>2931</v>
      </c>
      <c r="BH100">
        <v>102.55</v>
      </c>
      <c r="BI100">
        <v>99.39</v>
      </c>
      <c r="BJ100">
        <v>1.8</v>
      </c>
      <c r="BK100">
        <v>103.22</v>
      </c>
      <c r="BL100" s="214">
        <v>2772</v>
      </c>
      <c r="BM100" s="214">
        <v>114.5</v>
      </c>
      <c r="BN100">
        <v>110.65</v>
      </c>
      <c r="BO100" s="187">
        <v>1.84</v>
      </c>
      <c r="BP100" s="214">
        <v>115.22</v>
      </c>
      <c r="BQ100" s="214">
        <v>149</v>
      </c>
      <c r="BR100">
        <v>115.95</v>
      </c>
      <c r="BS100" s="187">
        <v>111.75</v>
      </c>
      <c r="BT100" s="214">
        <v>0</v>
      </c>
      <c r="BU100" s="214">
        <v>115.95</v>
      </c>
      <c r="BV100">
        <v>4</v>
      </c>
      <c r="BW100">
        <v>125.84</v>
      </c>
      <c r="BX100" s="214">
        <v>122.99</v>
      </c>
      <c r="BY100" s="214">
        <v>0.03</v>
      </c>
      <c r="BZ100">
        <v>125.85</v>
      </c>
      <c r="CA100" s="187">
        <v>4</v>
      </c>
      <c r="CB100" s="214">
        <v>94.16</v>
      </c>
      <c r="CC100" s="214">
        <v>91.1</v>
      </c>
      <c r="CD100">
        <v>3.34</v>
      </c>
      <c r="CE100" s="187">
        <v>95.83</v>
      </c>
      <c r="CF100" s="214">
        <v>7020</v>
      </c>
      <c r="CG100" s="214">
        <v>94.16</v>
      </c>
      <c r="CH100">
        <v>91.1</v>
      </c>
      <c r="CI100">
        <v>3.34</v>
      </c>
      <c r="CJ100">
        <v>95.83</v>
      </c>
      <c r="CK100">
        <v>7020</v>
      </c>
      <c r="CL100">
        <v>90.24</v>
      </c>
      <c r="CM100">
        <v>74.84</v>
      </c>
      <c r="CN100" s="187">
        <v>89.99</v>
      </c>
      <c r="CO100">
        <v>179.1</v>
      </c>
      <c r="CP100">
        <v>240</v>
      </c>
      <c r="CQ100">
        <v>84.32</v>
      </c>
      <c r="CR100">
        <v>75</v>
      </c>
      <c r="CS100" s="187">
        <v>38.14</v>
      </c>
      <c r="CT100">
        <v>122.46</v>
      </c>
      <c r="CU100">
        <v>85</v>
      </c>
      <c r="CV100">
        <v>82.5</v>
      </c>
      <c r="CW100">
        <v>78.459999999999994</v>
      </c>
      <c r="CX100" s="187">
        <v>29.2</v>
      </c>
      <c r="CY100">
        <v>111.2</v>
      </c>
      <c r="CZ100">
        <v>1176</v>
      </c>
      <c r="DA100">
        <v>98.49</v>
      </c>
      <c r="DB100">
        <v>93.78</v>
      </c>
      <c r="DC100" s="187">
        <v>22.25</v>
      </c>
      <c r="DD100">
        <v>119.24</v>
      </c>
      <c r="DE100">
        <v>119</v>
      </c>
      <c r="DF100">
        <v>110.15</v>
      </c>
      <c r="DG100">
        <v>107.06</v>
      </c>
      <c r="DH100" s="187">
        <v>28.53</v>
      </c>
      <c r="DI100">
        <v>133.5</v>
      </c>
      <c r="DJ100">
        <v>11</v>
      </c>
      <c r="DK100">
        <v>0</v>
      </c>
      <c r="DL100">
        <v>0</v>
      </c>
      <c r="DM100" s="187">
        <v>0</v>
      </c>
      <c r="DN100">
        <v>0</v>
      </c>
      <c r="DO100">
        <v>0</v>
      </c>
      <c r="DP100">
        <v>84.2</v>
      </c>
      <c r="DQ100">
        <v>79.790000000000006</v>
      </c>
      <c r="DR100" s="187">
        <v>29.18</v>
      </c>
      <c r="DS100">
        <v>112.75</v>
      </c>
      <c r="DT100">
        <v>1391</v>
      </c>
      <c r="DU100">
        <v>85.09</v>
      </c>
      <c r="DV100">
        <v>79.25</v>
      </c>
      <c r="DW100" s="187">
        <v>38.200000000000003</v>
      </c>
      <c r="DX100">
        <v>122.52</v>
      </c>
      <c r="DY100">
        <v>1631</v>
      </c>
      <c r="DZ100">
        <v>0</v>
      </c>
      <c r="EA100">
        <v>0</v>
      </c>
      <c r="EB100" s="187">
        <v>0</v>
      </c>
      <c r="EC100">
        <v>0</v>
      </c>
      <c r="ED100">
        <v>92.72</v>
      </c>
      <c r="EE100">
        <v>441</v>
      </c>
      <c r="EF100">
        <v>113.87</v>
      </c>
      <c r="EG100" s="187">
        <v>565</v>
      </c>
      <c r="EH100">
        <v>127.86</v>
      </c>
      <c r="EI100">
        <v>244</v>
      </c>
      <c r="EJ100">
        <v>162.83000000000001</v>
      </c>
      <c r="EK100">
        <v>27</v>
      </c>
      <c r="EL100" s="187">
        <v>0</v>
      </c>
      <c r="EM100">
        <v>0</v>
      </c>
      <c r="EN100">
        <v>0</v>
      </c>
      <c r="EO100">
        <v>0</v>
      </c>
      <c r="EP100">
        <v>110.27</v>
      </c>
      <c r="EQ100" s="187">
        <v>1277</v>
      </c>
      <c r="ER100">
        <v>110.27</v>
      </c>
      <c r="ES100">
        <v>1277</v>
      </c>
      <c r="ET100">
        <v>0</v>
      </c>
      <c r="EU100">
        <v>0</v>
      </c>
      <c r="EV100" s="187">
        <v>0</v>
      </c>
      <c r="EW100">
        <v>0</v>
      </c>
      <c r="EX100">
        <v>115.98</v>
      </c>
      <c r="EY100">
        <v>18</v>
      </c>
      <c r="EZ100">
        <v>132.47999999999999</v>
      </c>
      <c r="FA100" s="187">
        <v>1</v>
      </c>
      <c r="FB100">
        <v>0</v>
      </c>
      <c r="FC100">
        <v>0</v>
      </c>
      <c r="FD100">
        <v>0</v>
      </c>
      <c r="FE100">
        <v>0</v>
      </c>
      <c r="FF100" s="187">
        <v>116.85</v>
      </c>
      <c r="FG100">
        <v>19</v>
      </c>
      <c r="FH100">
        <v>116.85</v>
      </c>
      <c r="FI100">
        <v>19</v>
      </c>
      <c r="FJ100">
        <v>4</v>
      </c>
      <c r="FK100" s="187">
        <v>4</v>
      </c>
      <c r="FL100">
        <v>29</v>
      </c>
      <c r="FM100">
        <v>14</v>
      </c>
      <c r="FN100">
        <v>7</v>
      </c>
    </row>
    <row r="101" spans="1:170" x14ac:dyDescent="0.35">
      <c r="A101" t="s">
        <v>591</v>
      </c>
      <c r="B101" t="s">
        <v>592</v>
      </c>
      <c r="C101" t="s">
        <v>2</v>
      </c>
      <c r="D101">
        <v>1711</v>
      </c>
      <c r="E101">
        <v>1710</v>
      </c>
      <c r="F101">
        <v>0</v>
      </c>
      <c r="G101">
        <v>0</v>
      </c>
      <c r="H101">
        <v>236</v>
      </c>
      <c r="I101">
        <v>81</v>
      </c>
      <c r="J101">
        <v>632</v>
      </c>
      <c r="K101">
        <v>621</v>
      </c>
      <c r="L101">
        <v>169</v>
      </c>
      <c r="M101">
        <v>35</v>
      </c>
      <c r="N101">
        <v>2748</v>
      </c>
      <c r="O101">
        <v>2447</v>
      </c>
      <c r="P101">
        <v>2579</v>
      </c>
      <c r="Q101">
        <v>7</v>
      </c>
      <c r="R101">
        <v>6</v>
      </c>
      <c r="S101">
        <v>23</v>
      </c>
      <c r="T101">
        <v>167</v>
      </c>
      <c r="U101">
        <v>2581</v>
      </c>
      <c r="V101" s="498">
        <v>1710</v>
      </c>
      <c r="W101">
        <v>5</v>
      </c>
      <c r="X101" s="498">
        <v>4</v>
      </c>
      <c r="Y101" s="498">
        <v>9</v>
      </c>
      <c r="Z101" s="498">
        <v>97.51</v>
      </c>
      <c r="AA101" s="498">
        <v>93.79</v>
      </c>
      <c r="AB101">
        <v>8.61</v>
      </c>
      <c r="AC101">
        <v>104.75</v>
      </c>
      <c r="AD101">
        <v>1469</v>
      </c>
      <c r="AE101">
        <v>83.04</v>
      </c>
      <c r="AF101">
        <v>74.709999999999994</v>
      </c>
      <c r="AG101">
        <v>45.03</v>
      </c>
      <c r="AH101">
        <v>127.47</v>
      </c>
      <c r="AI101">
        <v>684</v>
      </c>
      <c r="AJ101">
        <v>139.51</v>
      </c>
      <c r="AK101">
        <v>219</v>
      </c>
      <c r="AL101">
        <v>142.71</v>
      </c>
      <c r="AM101">
        <v>18</v>
      </c>
      <c r="AN101">
        <v>0</v>
      </c>
      <c r="AO101" s="499">
        <v>0</v>
      </c>
      <c r="AP101" s="499">
        <v>0</v>
      </c>
      <c r="AQ101">
        <v>0</v>
      </c>
      <c r="AR101">
        <v>0</v>
      </c>
      <c r="AS101">
        <v>71.45</v>
      </c>
      <c r="AT101">
        <v>68.510000000000005</v>
      </c>
      <c r="AU101">
        <v>24.76</v>
      </c>
      <c r="AV101">
        <v>96.21</v>
      </c>
      <c r="AW101">
        <v>38</v>
      </c>
      <c r="AX101">
        <v>77.94</v>
      </c>
      <c r="AY101">
        <v>74.819999999999993</v>
      </c>
      <c r="AZ101">
        <v>13.82</v>
      </c>
      <c r="BA101">
        <v>91.41</v>
      </c>
      <c r="BB101">
        <v>318</v>
      </c>
      <c r="BC101">
        <v>95.37</v>
      </c>
      <c r="BD101">
        <v>91.49</v>
      </c>
      <c r="BE101">
        <v>9.4499999999999993</v>
      </c>
      <c r="BF101">
        <v>104.04</v>
      </c>
      <c r="BG101">
        <v>467</v>
      </c>
      <c r="BH101">
        <v>108.25</v>
      </c>
      <c r="BI101">
        <v>104.26</v>
      </c>
      <c r="BJ101">
        <v>3.04</v>
      </c>
      <c r="BK101">
        <v>110.38</v>
      </c>
      <c r="BL101" s="214">
        <v>579</v>
      </c>
      <c r="BM101" s="214">
        <v>127.52</v>
      </c>
      <c r="BN101">
        <v>124.07</v>
      </c>
      <c r="BO101" s="187">
        <v>2.4500000000000002</v>
      </c>
      <c r="BP101" s="214">
        <v>129.53</v>
      </c>
      <c r="BQ101" s="214">
        <v>66</v>
      </c>
      <c r="BR101">
        <v>111.91</v>
      </c>
      <c r="BS101" s="187">
        <v>106.6</v>
      </c>
      <c r="BT101" s="214">
        <v>0</v>
      </c>
      <c r="BU101" s="214">
        <v>111.91</v>
      </c>
      <c r="BV101">
        <v>1</v>
      </c>
      <c r="BW101">
        <v>0</v>
      </c>
      <c r="BX101" s="214">
        <v>0</v>
      </c>
      <c r="BY101" s="214">
        <v>0</v>
      </c>
      <c r="BZ101">
        <v>0</v>
      </c>
      <c r="CA101" s="187">
        <v>0</v>
      </c>
      <c r="CB101" s="214">
        <v>97.51</v>
      </c>
      <c r="CC101" s="214">
        <v>93.79</v>
      </c>
      <c r="CD101">
        <v>8.61</v>
      </c>
      <c r="CE101" s="187">
        <v>104.75</v>
      </c>
      <c r="CF101" s="214">
        <v>1469</v>
      </c>
      <c r="CG101" s="214">
        <v>97.51</v>
      </c>
      <c r="CH101">
        <v>93.79</v>
      </c>
      <c r="CI101">
        <v>8.61</v>
      </c>
      <c r="CJ101">
        <v>104.75</v>
      </c>
      <c r="CK101">
        <v>1469</v>
      </c>
      <c r="CL101">
        <v>86.15</v>
      </c>
      <c r="CM101">
        <v>83.87</v>
      </c>
      <c r="CN101" s="187">
        <v>183.28</v>
      </c>
      <c r="CO101">
        <v>269.43</v>
      </c>
      <c r="CP101">
        <v>13</v>
      </c>
      <c r="CQ101">
        <v>70.87</v>
      </c>
      <c r="CR101">
        <v>65.27</v>
      </c>
      <c r="CS101" s="187">
        <v>36.74</v>
      </c>
      <c r="CT101">
        <v>107.61</v>
      </c>
      <c r="CU101">
        <v>259</v>
      </c>
      <c r="CV101">
        <v>88.59</v>
      </c>
      <c r="CW101">
        <v>77.83</v>
      </c>
      <c r="CX101" s="187">
        <v>44.71</v>
      </c>
      <c r="CY101">
        <v>132.15</v>
      </c>
      <c r="CZ101">
        <v>350</v>
      </c>
      <c r="DA101">
        <v>100.62</v>
      </c>
      <c r="DB101">
        <v>93.95</v>
      </c>
      <c r="DC101" s="187">
        <v>54.86</v>
      </c>
      <c r="DD101">
        <v>155.47999999999999</v>
      </c>
      <c r="DE101">
        <v>55</v>
      </c>
      <c r="DF101">
        <v>111.45</v>
      </c>
      <c r="DG101">
        <v>105.29</v>
      </c>
      <c r="DH101" s="187">
        <v>33.61</v>
      </c>
      <c r="DI101">
        <v>145.07</v>
      </c>
      <c r="DJ101">
        <v>7</v>
      </c>
      <c r="DK101">
        <v>0</v>
      </c>
      <c r="DL101">
        <v>0</v>
      </c>
      <c r="DM101" s="187">
        <v>0</v>
      </c>
      <c r="DN101">
        <v>0</v>
      </c>
      <c r="DO101">
        <v>0</v>
      </c>
      <c r="DP101">
        <v>82.98</v>
      </c>
      <c r="DQ101">
        <v>74.53</v>
      </c>
      <c r="DR101" s="187">
        <v>42.31</v>
      </c>
      <c r="DS101">
        <v>124.72</v>
      </c>
      <c r="DT101">
        <v>671</v>
      </c>
      <c r="DU101">
        <v>83.04</v>
      </c>
      <c r="DV101">
        <v>74.709999999999994</v>
      </c>
      <c r="DW101" s="187">
        <v>45.03</v>
      </c>
      <c r="DX101">
        <v>127.47</v>
      </c>
      <c r="DY101">
        <v>684</v>
      </c>
      <c r="DZ101">
        <v>0</v>
      </c>
      <c r="EA101">
        <v>0</v>
      </c>
      <c r="EB101" s="187">
        <v>0</v>
      </c>
      <c r="EC101">
        <v>0</v>
      </c>
      <c r="ED101">
        <v>105.05</v>
      </c>
      <c r="EE101">
        <v>46</v>
      </c>
      <c r="EF101">
        <v>134.38999999999999</v>
      </c>
      <c r="EG101" s="187">
        <v>66</v>
      </c>
      <c r="EH101">
        <v>157.57</v>
      </c>
      <c r="EI101">
        <v>106</v>
      </c>
      <c r="EJ101">
        <v>146.88</v>
      </c>
      <c r="EK101">
        <v>1</v>
      </c>
      <c r="EL101" s="187">
        <v>0</v>
      </c>
      <c r="EM101">
        <v>0</v>
      </c>
      <c r="EN101">
        <v>0</v>
      </c>
      <c r="EO101">
        <v>0</v>
      </c>
      <c r="EP101">
        <v>139.51</v>
      </c>
      <c r="EQ101" s="187">
        <v>219</v>
      </c>
      <c r="ER101">
        <v>139.51</v>
      </c>
      <c r="ES101">
        <v>219</v>
      </c>
      <c r="ET101">
        <v>0</v>
      </c>
      <c r="EU101">
        <v>0</v>
      </c>
      <c r="EV101" s="187">
        <v>0</v>
      </c>
      <c r="EW101">
        <v>0</v>
      </c>
      <c r="EX101">
        <v>142.71</v>
      </c>
      <c r="EY101">
        <v>18</v>
      </c>
      <c r="EZ101">
        <v>0</v>
      </c>
      <c r="FA101" s="187">
        <v>0</v>
      </c>
      <c r="FB101">
        <v>0</v>
      </c>
      <c r="FC101">
        <v>0</v>
      </c>
      <c r="FD101">
        <v>0</v>
      </c>
      <c r="FE101">
        <v>0</v>
      </c>
      <c r="FF101" s="187">
        <v>142.71</v>
      </c>
      <c r="FG101">
        <v>18</v>
      </c>
      <c r="FH101">
        <v>142.71</v>
      </c>
      <c r="FI101">
        <v>18</v>
      </c>
      <c r="FJ101">
        <v>0</v>
      </c>
      <c r="FK101" s="187">
        <v>0</v>
      </c>
      <c r="FL101">
        <v>1</v>
      </c>
      <c r="FM101">
        <v>0</v>
      </c>
      <c r="FN101">
        <v>8</v>
      </c>
    </row>
    <row r="102" spans="1:170" x14ac:dyDescent="0.35">
      <c r="A102" t="s">
        <v>593</v>
      </c>
      <c r="B102" t="s">
        <v>594</v>
      </c>
      <c r="C102" t="s">
        <v>2</v>
      </c>
      <c r="D102">
        <v>6793</v>
      </c>
      <c r="E102">
        <v>6829</v>
      </c>
      <c r="F102">
        <v>0</v>
      </c>
      <c r="G102">
        <v>0</v>
      </c>
      <c r="H102">
        <v>169</v>
      </c>
      <c r="I102">
        <v>123</v>
      </c>
      <c r="J102">
        <v>714</v>
      </c>
      <c r="K102">
        <v>714</v>
      </c>
      <c r="L102">
        <v>1229</v>
      </c>
      <c r="M102">
        <v>124</v>
      </c>
      <c r="N102">
        <v>8905</v>
      </c>
      <c r="O102">
        <v>7790</v>
      </c>
      <c r="P102">
        <v>7676</v>
      </c>
      <c r="Q102">
        <v>0</v>
      </c>
      <c r="R102">
        <v>5</v>
      </c>
      <c r="S102">
        <v>25</v>
      </c>
      <c r="T102">
        <v>78</v>
      </c>
      <c r="U102">
        <v>8827</v>
      </c>
      <c r="V102" s="498">
        <v>6793</v>
      </c>
      <c r="W102">
        <v>73</v>
      </c>
      <c r="X102" s="498">
        <v>20</v>
      </c>
      <c r="Y102" s="498">
        <v>93</v>
      </c>
      <c r="Z102" s="498">
        <v>110.87</v>
      </c>
      <c r="AA102" s="498">
        <v>106.38</v>
      </c>
      <c r="AB102">
        <v>5.31</v>
      </c>
      <c r="AC102">
        <v>113.62</v>
      </c>
      <c r="AD102">
        <v>4807</v>
      </c>
      <c r="AE102">
        <v>102.69</v>
      </c>
      <c r="AF102">
        <v>89.13</v>
      </c>
      <c r="AG102">
        <v>37.68</v>
      </c>
      <c r="AH102">
        <v>140.22999999999999</v>
      </c>
      <c r="AI102">
        <v>755</v>
      </c>
      <c r="AJ102">
        <v>156.12</v>
      </c>
      <c r="AK102">
        <v>1838</v>
      </c>
      <c r="AL102">
        <v>179.18</v>
      </c>
      <c r="AM102">
        <v>50</v>
      </c>
      <c r="AN102">
        <v>0</v>
      </c>
      <c r="AO102" s="499">
        <v>0</v>
      </c>
      <c r="AP102" s="499">
        <v>0</v>
      </c>
      <c r="AQ102">
        <v>0</v>
      </c>
      <c r="AR102">
        <v>0</v>
      </c>
      <c r="AS102">
        <v>75.349999999999994</v>
      </c>
      <c r="AT102">
        <v>72.209999999999994</v>
      </c>
      <c r="AU102">
        <v>20.010000000000002</v>
      </c>
      <c r="AV102">
        <v>93.45</v>
      </c>
      <c r="AW102">
        <v>21</v>
      </c>
      <c r="AX102">
        <v>91.17</v>
      </c>
      <c r="AY102">
        <v>87.3</v>
      </c>
      <c r="AZ102">
        <v>5.51</v>
      </c>
      <c r="BA102">
        <v>95.76</v>
      </c>
      <c r="BB102">
        <v>718</v>
      </c>
      <c r="BC102">
        <v>107.74</v>
      </c>
      <c r="BD102">
        <v>103.45</v>
      </c>
      <c r="BE102">
        <v>6.22</v>
      </c>
      <c r="BF102">
        <v>111.62</v>
      </c>
      <c r="BG102">
        <v>2128</v>
      </c>
      <c r="BH102">
        <v>121.08</v>
      </c>
      <c r="BI102">
        <v>115.98</v>
      </c>
      <c r="BJ102">
        <v>2.23</v>
      </c>
      <c r="BK102">
        <v>121.64</v>
      </c>
      <c r="BL102" s="214">
        <v>1850</v>
      </c>
      <c r="BM102" s="214">
        <v>139.91999999999999</v>
      </c>
      <c r="BN102">
        <v>135.29</v>
      </c>
      <c r="BO102" s="187">
        <v>2.99</v>
      </c>
      <c r="BP102" s="214">
        <v>142.22999999999999</v>
      </c>
      <c r="BQ102" s="214">
        <v>83</v>
      </c>
      <c r="BR102">
        <v>152.53</v>
      </c>
      <c r="BS102" s="187">
        <v>154.12</v>
      </c>
      <c r="BT102" s="214">
        <v>1.17</v>
      </c>
      <c r="BU102" s="214">
        <v>153.19999999999999</v>
      </c>
      <c r="BV102">
        <v>7</v>
      </c>
      <c r="BW102">
        <v>0</v>
      </c>
      <c r="BX102" s="214">
        <v>0</v>
      </c>
      <c r="BY102" s="214">
        <v>0</v>
      </c>
      <c r="BZ102">
        <v>0</v>
      </c>
      <c r="CA102" s="187">
        <v>0</v>
      </c>
      <c r="CB102" s="214">
        <v>110.87</v>
      </c>
      <c r="CC102" s="214">
        <v>106.38</v>
      </c>
      <c r="CD102">
        <v>5.31</v>
      </c>
      <c r="CE102" s="187">
        <v>113.62</v>
      </c>
      <c r="CF102" s="214">
        <v>4807</v>
      </c>
      <c r="CG102" s="214">
        <v>110.87</v>
      </c>
      <c r="CH102">
        <v>106.38</v>
      </c>
      <c r="CI102">
        <v>5.31</v>
      </c>
      <c r="CJ102">
        <v>113.62</v>
      </c>
      <c r="CK102">
        <v>4807</v>
      </c>
      <c r="CL102">
        <v>123.12</v>
      </c>
      <c r="CM102">
        <v>82.25</v>
      </c>
      <c r="CN102" s="187">
        <v>50.82</v>
      </c>
      <c r="CO102">
        <v>172.9</v>
      </c>
      <c r="CP102">
        <v>97</v>
      </c>
      <c r="CQ102">
        <v>81.61</v>
      </c>
      <c r="CR102">
        <v>77.540000000000006</v>
      </c>
      <c r="CS102" s="187">
        <v>43.22</v>
      </c>
      <c r="CT102">
        <v>124.82</v>
      </c>
      <c r="CU102">
        <v>68</v>
      </c>
      <c r="CV102">
        <v>100.57</v>
      </c>
      <c r="CW102">
        <v>89.24</v>
      </c>
      <c r="CX102" s="187">
        <v>36.96</v>
      </c>
      <c r="CY102">
        <v>137.52000000000001</v>
      </c>
      <c r="CZ102">
        <v>522</v>
      </c>
      <c r="DA102">
        <v>110.18</v>
      </c>
      <c r="DB102">
        <v>104.87</v>
      </c>
      <c r="DC102" s="187">
        <v>17.86</v>
      </c>
      <c r="DD102">
        <v>127.76</v>
      </c>
      <c r="DE102">
        <v>63</v>
      </c>
      <c r="DF102">
        <v>120.86</v>
      </c>
      <c r="DG102">
        <v>119.37</v>
      </c>
      <c r="DH102" s="187">
        <v>34.71</v>
      </c>
      <c r="DI102">
        <v>155.57</v>
      </c>
      <c r="DJ102">
        <v>5</v>
      </c>
      <c r="DK102">
        <v>0</v>
      </c>
      <c r="DL102">
        <v>0</v>
      </c>
      <c r="DM102" s="187">
        <v>0</v>
      </c>
      <c r="DN102">
        <v>0</v>
      </c>
      <c r="DO102">
        <v>0</v>
      </c>
      <c r="DP102">
        <v>99.68</v>
      </c>
      <c r="DQ102">
        <v>89.74</v>
      </c>
      <c r="DR102" s="187">
        <v>35.79</v>
      </c>
      <c r="DS102">
        <v>135.41</v>
      </c>
      <c r="DT102">
        <v>658</v>
      </c>
      <c r="DU102">
        <v>102.69</v>
      </c>
      <c r="DV102">
        <v>89.13</v>
      </c>
      <c r="DW102" s="187">
        <v>37.68</v>
      </c>
      <c r="DX102">
        <v>140.22999999999999</v>
      </c>
      <c r="DY102">
        <v>755</v>
      </c>
      <c r="DZ102">
        <v>0</v>
      </c>
      <c r="EA102">
        <v>0</v>
      </c>
      <c r="EB102" s="187">
        <v>0</v>
      </c>
      <c r="EC102">
        <v>0</v>
      </c>
      <c r="ED102">
        <v>117.89</v>
      </c>
      <c r="EE102">
        <v>276</v>
      </c>
      <c r="EF102">
        <v>152.55000000000001</v>
      </c>
      <c r="EG102" s="187">
        <v>1111</v>
      </c>
      <c r="EH102">
        <v>181.64</v>
      </c>
      <c r="EI102">
        <v>385</v>
      </c>
      <c r="EJ102">
        <v>227.05</v>
      </c>
      <c r="EK102">
        <v>60</v>
      </c>
      <c r="EL102" s="187">
        <v>226.8</v>
      </c>
      <c r="EM102">
        <v>6</v>
      </c>
      <c r="EN102">
        <v>0</v>
      </c>
      <c r="EO102">
        <v>0</v>
      </c>
      <c r="EP102">
        <v>156.12</v>
      </c>
      <c r="EQ102" s="187">
        <v>1838</v>
      </c>
      <c r="ER102">
        <v>156.12</v>
      </c>
      <c r="ES102">
        <v>1838</v>
      </c>
      <c r="ET102">
        <v>0</v>
      </c>
      <c r="EU102">
        <v>0</v>
      </c>
      <c r="EV102" s="187">
        <v>0</v>
      </c>
      <c r="EW102">
        <v>0</v>
      </c>
      <c r="EX102">
        <v>146.53</v>
      </c>
      <c r="EY102">
        <v>14</v>
      </c>
      <c r="EZ102">
        <v>191.88</v>
      </c>
      <c r="FA102" s="187">
        <v>36</v>
      </c>
      <c r="FB102">
        <v>0</v>
      </c>
      <c r="FC102">
        <v>0</v>
      </c>
      <c r="FD102">
        <v>0</v>
      </c>
      <c r="FE102">
        <v>0</v>
      </c>
      <c r="FF102" s="187">
        <v>179.18</v>
      </c>
      <c r="FG102">
        <v>50</v>
      </c>
      <c r="FH102">
        <v>179.18</v>
      </c>
      <c r="FI102">
        <v>50</v>
      </c>
      <c r="FJ102">
        <v>0</v>
      </c>
      <c r="FK102" s="187">
        <v>11</v>
      </c>
      <c r="FL102">
        <v>2</v>
      </c>
      <c r="FM102">
        <v>117</v>
      </c>
      <c r="FN102">
        <v>34</v>
      </c>
    </row>
    <row r="103" spans="1:170" x14ac:dyDescent="0.35">
      <c r="A103" t="s">
        <v>595</v>
      </c>
      <c r="B103" t="s">
        <v>596</v>
      </c>
      <c r="C103" t="s">
        <v>418</v>
      </c>
      <c r="D103">
        <v>2199</v>
      </c>
      <c r="E103">
        <v>2199</v>
      </c>
      <c r="F103">
        <v>0</v>
      </c>
      <c r="G103">
        <v>0</v>
      </c>
      <c r="H103">
        <v>182</v>
      </c>
      <c r="I103">
        <v>154</v>
      </c>
      <c r="J103">
        <v>211</v>
      </c>
      <c r="K103">
        <v>211</v>
      </c>
      <c r="L103">
        <v>205</v>
      </c>
      <c r="M103">
        <v>10</v>
      </c>
      <c r="N103">
        <v>2797</v>
      </c>
      <c r="O103">
        <v>2574</v>
      </c>
      <c r="P103">
        <v>2592</v>
      </c>
      <c r="Q103">
        <v>10</v>
      </c>
      <c r="R103">
        <v>3</v>
      </c>
      <c r="S103">
        <v>10</v>
      </c>
      <c r="T103">
        <v>51</v>
      </c>
      <c r="U103">
        <v>2746</v>
      </c>
      <c r="V103" s="498">
        <v>2161</v>
      </c>
      <c r="W103">
        <v>17</v>
      </c>
      <c r="X103" s="498">
        <v>4</v>
      </c>
      <c r="Y103" s="498">
        <v>21</v>
      </c>
      <c r="Z103" s="498">
        <v>97.9</v>
      </c>
      <c r="AA103" s="498">
        <v>99.13</v>
      </c>
      <c r="AB103">
        <v>5.71</v>
      </c>
      <c r="AC103">
        <v>99.83</v>
      </c>
      <c r="AD103">
        <v>1928</v>
      </c>
      <c r="AE103">
        <v>94.46</v>
      </c>
      <c r="AF103">
        <v>84.73</v>
      </c>
      <c r="AG103">
        <v>41.94</v>
      </c>
      <c r="AH103">
        <v>135.18</v>
      </c>
      <c r="AI103">
        <v>380</v>
      </c>
      <c r="AJ103">
        <v>110.38</v>
      </c>
      <c r="AK103">
        <v>235</v>
      </c>
      <c r="AL103">
        <v>0</v>
      </c>
      <c r="AM103">
        <v>0</v>
      </c>
      <c r="AN103">
        <v>0</v>
      </c>
      <c r="AO103" s="499">
        <v>0</v>
      </c>
      <c r="AP103" s="499">
        <v>0</v>
      </c>
      <c r="AQ103">
        <v>0</v>
      </c>
      <c r="AR103">
        <v>0</v>
      </c>
      <c r="AS103">
        <v>72.12</v>
      </c>
      <c r="AT103">
        <v>73.08</v>
      </c>
      <c r="AU103">
        <v>10.02</v>
      </c>
      <c r="AV103">
        <v>75.23</v>
      </c>
      <c r="AW103">
        <v>29</v>
      </c>
      <c r="AX103">
        <v>83.23</v>
      </c>
      <c r="AY103">
        <v>83.29</v>
      </c>
      <c r="AZ103">
        <v>7.98</v>
      </c>
      <c r="BA103">
        <v>86.11</v>
      </c>
      <c r="BB103">
        <v>333</v>
      </c>
      <c r="BC103">
        <v>97.4</v>
      </c>
      <c r="BD103">
        <v>97.16</v>
      </c>
      <c r="BE103">
        <v>5.99</v>
      </c>
      <c r="BF103">
        <v>100.13</v>
      </c>
      <c r="BG103">
        <v>858</v>
      </c>
      <c r="BH103">
        <v>106.21</v>
      </c>
      <c r="BI103">
        <v>109.97</v>
      </c>
      <c r="BJ103">
        <v>2.6</v>
      </c>
      <c r="BK103">
        <v>106.7</v>
      </c>
      <c r="BL103" s="214">
        <v>695</v>
      </c>
      <c r="BM103" s="214">
        <v>118.75</v>
      </c>
      <c r="BN103">
        <v>118.07</v>
      </c>
      <c r="BO103" s="187">
        <v>0.81</v>
      </c>
      <c r="BP103" s="214">
        <v>119</v>
      </c>
      <c r="BQ103" s="214">
        <v>13</v>
      </c>
      <c r="BR103">
        <v>0</v>
      </c>
      <c r="BS103" s="187">
        <v>0</v>
      </c>
      <c r="BT103" s="214">
        <v>0</v>
      </c>
      <c r="BU103" s="214">
        <v>0</v>
      </c>
      <c r="BV103">
        <v>0</v>
      </c>
      <c r="BW103">
        <v>0</v>
      </c>
      <c r="BX103" s="214">
        <v>0</v>
      </c>
      <c r="BY103" s="214">
        <v>0</v>
      </c>
      <c r="BZ103">
        <v>0</v>
      </c>
      <c r="CA103" s="187">
        <v>0</v>
      </c>
      <c r="CB103" s="214">
        <v>97.9</v>
      </c>
      <c r="CC103" s="214">
        <v>99.13</v>
      </c>
      <c r="CD103">
        <v>5.71</v>
      </c>
      <c r="CE103" s="187">
        <v>99.83</v>
      </c>
      <c r="CF103" s="214">
        <v>1928</v>
      </c>
      <c r="CG103" s="214">
        <v>97.9</v>
      </c>
      <c r="CH103">
        <v>99.13</v>
      </c>
      <c r="CI103">
        <v>5.71</v>
      </c>
      <c r="CJ103">
        <v>99.83</v>
      </c>
      <c r="CK103">
        <v>1928</v>
      </c>
      <c r="CL103">
        <v>101.55</v>
      </c>
      <c r="CM103">
        <v>75.66</v>
      </c>
      <c r="CN103" s="187">
        <v>35.71</v>
      </c>
      <c r="CO103">
        <v>131.76</v>
      </c>
      <c r="CP103">
        <v>39</v>
      </c>
      <c r="CQ103">
        <v>71.959999999999994</v>
      </c>
      <c r="CR103">
        <v>66.040000000000006</v>
      </c>
      <c r="CS103" s="187">
        <v>43.52</v>
      </c>
      <c r="CT103">
        <v>115.49</v>
      </c>
      <c r="CU103">
        <v>18</v>
      </c>
      <c r="CV103">
        <v>89.92</v>
      </c>
      <c r="CW103">
        <v>81.89</v>
      </c>
      <c r="CX103" s="187">
        <v>41.44</v>
      </c>
      <c r="CY103">
        <v>130.47</v>
      </c>
      <c r="CZ103">
        <v>233</v>
      </c>
      <c r="DA103">
        <v>107.53</v>
      </c>
      <c r="DB103">
        <v>100.38</v>
      </c>
      <c r="DC103" s="187">
        <v>45.3</v>
      </c>
      <c r="DD103">
        <v>152.83000000000001</v>
      </c>
      <c r="DE103">
        <v>89</v>
      </c>
      <c r="DF103">
        <v>118</v>
      </c>
      <c r="DG103">
        <v>107.28</v>
      </c>
      <c r="DH103" s="187">
        <v>32.54</v>
      </c>
      <c r="DI103">
        <v>150.54</v>
      </c>
      <c r="DJ103">
        <v>1</v>
      </c>
      <c r="DK103">
        <v>0</v>
      </c>
      <c r="DL103">
        <v>0</v>
      </c>
      <c r="DM103" s="187">
        <v>0</v>
      </c>
      <c r="DN103">
        <v>0</v>
      </c>
      <c r="DO103">
        <v>0</v>
      </c>
      <c r="DP103">
        <v>93.65</v>
      </c>
      <c r="DQ103">
        <v>85.63</v>
      </c>
      <c r="DR103" s="187">
        <v>42.55</v>
      </c>
      <c r="DS103">
        <v>135.57</v>
      </c>
      <c r="DT103">
        <v>341</v>
      </c>
      <c r="DU103">
        <v>94.46</v>
      </c>
      <c r="DV103">
        <v>84.73</v>
      </c>
      <c r="DW103" s="187">
        <v>41.94</v>
      </c>
      <c r="DX103">
        <v>135.18</v>
      </c>
      <c r="DY103">
        <v>380</v>
      </c>
      <c r="DZ103">
        <v>0</v>
      </c>
      <c r="EA103">
        <v>0</v>
      </c>
      <c r="EB103" s="187">
        <v>0</v>
      </c>
      <c r="EC103">
        <v>0</v>
      </c>
      <c r="ED103">
        <v>94.87</v>
      </c>
      <c r="EE103">
        <v>39</v>
      </c>
      <c r="EF103">
        <v>107.81</v>
      </c>
      <c r="EG103" s="187">
        <v>124</v>
      </c>
      <c r="EH103">
        <v>122.98</v>
      </c>
      <c r="EI103">
        <v>70</v>
      </c>
      <c r="EJ103">
        <v>131.82</v>
      </c>
      <c r="EK103">
        <v>2</v>
      </c>
      <c r="EL103" s="187">
        <v>0</v>
      </c>
      <c r="EM103">
        <v>0</v>
      </c>
      <c r="EN103">
        <v>0</v>
      </c>
      <c r="EO103">
        <v>0</v>
      </c>
      <c r="EP103">
        <v>110.38</v>
      </c>
      <c r="EQ103" s="187">
        <v>235</v>
      </c>
      <c r="ER103">
        <v>110.38</v>
      </c>
      <c r="ES103">
        <v>235</v>
      </c>
      <c r="ET103">
        <v>0</v>
      </c>
      <c r="EU103">
        <v>0</v>
      </c>
      <c r="EV103" s="187">
        <v>0</v>
      </c>
      <c r="EW103">
        <v>0</v>
      </c>
      <c r="EX103">
        <v>0</v>
      </c>
      <c r="EY103">
        <v>0</v>
      </c>
      <c r="EZ103">
        <v>0</v>
      </c>
      <c r="FA103" s="187">
        <v>0</v>
      </c>
      <c r="FB103">
        <v>0</v>
      </c>
      <c r="FC103">
        <v>0</v>
      </c>
      <c r="FD103">
        <v>0</v>
      </c>
      <c r="FE103">
        <v>0</v>
      </c>
      <c r="FF103" s="187">
        <v>0</v>
      </c>
      <c r="FG103">
        <v>0</v>
      </c>
      <c r="FH103">
        <v>0</v>
      </c>
      <c r="FI103">
        <v>0</v>
      </c>
      <c r="FJ103">
        <v>0</v>
      </c>
      <c r="FK103" s="187">
        <v>3</v>
      </c>
      <c r="FL103">
        <v>0</v>
      </c>
      <c r="FM103">
        <v>17</v>
      </c>
      <c r="FN103">
        <v>1</v>
      </c>
    </row>
    <row r="104" spans="1:170" x14ac:dyDescent="0.35">
      <c r="A104" t="s">
        <v>597</v>
      </c>
      <c r="B104" t="s">
        <v>598</v>
      </c>
      <c r="C104" t="s">
        <v>2</v>
      </c>
      <c r="D104">
        <v>4598</v>
      </c>
      <c r="E104">
        <v>4611</v>
      </c>
      <c r="F104">
        <v>6</v>
      </c>
      <c r="G104">
        <v>0</v>
      </c>
      <c r="H104">
        <v>124</v>
      </c>
      <c r="I104">
        <v>54</v>
      </c>
      <c r="J104">
        <v>884</v>
      </c>
      <c r="K104">
        <v>754</v>
      </c>
      <c r="L104">
        <v>525</v>
      </c>
      <c r="M104">
        <v>125</v>
      </c>
      <c r="N104">
        <v>6137</v>
      </c>
      <c r="O104">
        <v>5544</v>
      </c>
      <c r="P104">
        <v>5612</v>
      </c>
      <c r="Q104">
        <v>13</v>
      </c>
      <c r="R104">
        <v>7</v>
      </c>
      <c r="S104">
        <v>15</v>
      </c>
      <c r="T104">
        <v>394</v>
      </c>
      <c r="U104">
        <v>5743</v>
      </c>
      <c r="V104" s="498">
        <v>4424</v>
      </c>
      <c r="W104">
        <v>16</v>
      </c>
      <c r="X104" s="498">
        <v>4</v>
      </c>
      <c r="Y104" s="498">
        <v>20</v>
      </c>
      <c r="Z104" s="498">
        <v>130.59</v>
      </c>
      <c r="AA104" s="498">
        <v>132.05000000000001</v>
      </c>
      <c r="AB104">
        <v>10.73</v>
      </c>
      <c r="AC104">
        <v>135.88</v>
      </c>
      <c r="AD104">
        <v>3658</v>
      </c>
      <c r="AE104">
        <v>123.48</v>
      </c>
      <c r="AF104">
        <v>110.13</v>
      </c>
      <c r="AG104">
        <v>23.7</v>
      </c>
      <c r="AH104">
        <v>146.80000000000001</v>
      </c>
      <c r="AI104">
        <v>794</v>
      </c>
      <c r="AJ104">
        <v>207.05</v>
      </c>
      <c r="AK104">
        <v>675</v>
      </c>
      <c r="AL104">
        <v>169.39</v>
      </c>
      <c r="AM104">
        <v>10</v>
      </c>
      <c r="AN104">
        <v>0</v>
      </c>
      <c r="AO104" s="499">
        <v>0</v>
      </c>
      <c r="AP104" s="499">
        <v>0</v>
      </c>
      <c r="AQ104">
        <v>0</v>
      </c>
      <c r="AR104">
        <v>0</v>
      </c>
      <c r="AS104">
        <v>90.76</v>
      </c>
      <c r="AT104">
        <v>92.05</v>
      </c>
      <c r="AU104">
        <v>7.19</v>
      </c>
      <c r="AV104">
        <v>97.95</v>
      </c>
      <c r="AW104">
        <v>51</v>
      </c>
      <c r="AX104">
        <v>107.42</v>
      </c>
      <c r="AY104">
        <v>105.07</v>
      </c>
      <c r="AZ104">
        <v>12.53</v>
      </c>
      <c r="BA104">
        <v>116.91</v>
      </c>
      <c r="BB104">
        <v>846</v>
      </c>
      <c r="BC104">
        <v>126.88</v>
      </c>
      <c r="BD104">
        <v>126.57</v>
      </c>
      <c r="BE104">
        <v>11.06</v>
      </c>
      <c r="BF104">
        <v>134.11000000000001</v>
      </c>
      <c r="BG104">
        <v>1256</v>
      </c>
      <c r="BH104">
        <v>147.08000000000001</v>
      </c>
      <c r="BI104">
        <v>151.83000000000001</v>
      </c>
      <c r="BJ104">
        <v>6.7</v>
      </c>
      <c r="BK104">
        <v>148.34</v>
      </c>
      <c r="BL104" s="214">
        <v>1410</v>
      </c>
      <c r="BM104" s="214">
        <v>161.83000000000001</v>
      </c>
      <c r="BN104">
        <v>168.18</v>
      </c>
      <c r="BO104" s="187">
        <v>3.42</v>
      </c>
      <c r="BP104" s="214">
        <v>162.74</v>
      </c>
      <c r="BQ104" s="214">
        <v>87</v>
      </c>
      <c r="BR104">
        <v>172.34</v>
      </c>
      <c r="BS104" s="187">
        <v>175.36</v>
      </c>
      <c r="BT104" s="214">
        <v>0</v>
      </c>
      <c r="BU104" s="214">
        <v>172.34</v>
      </c>
      <c r="BV104">
        <v>8</v>
      </c>
      <c r="BW104">
        <v>0</v>
      </c>
      <c r="BX104" s="214">
        <v>0</v>
      </c>
      <c r="BY104" s="214">
        <v>0</v>
      </c>
      <c r="BZ104">
        <v>0</v>
      </c>
      <c r="CA104" s="187">
        <v>0</v>
      </c>
      <c r="CB104" s="214">
        <v>130.59</v>
      </c>
      <c r="CC104" s="214">
        <v>132.05000000000001</v>
      </c>
      <c r="CD104">
        <v>10.73</v>
      </c>
      <c r="CE104" s="187">
        <v>135.88</v>
      </c>
      <c r="CF104" s="214">
        <v>3658</v>
      </c>
      <c r="CG104" s="214">
        <v>130.59</v>
      </c>
      <c r="CH104">
        <v>132.05000000000001</v>
      </c>
      <c r="CI104">
        <v>10.73</v>
      </c>
      <c r="CJ104">
        <v>135.88</v>
      </c>
      <c r="CK104">
        <v>3658</v>
      </c>
      <c r="CL104">
        <v>243.05</v>
      </c>
      <c r="CM104">
        <v>70.7</v>
      </c>
      <c r="CN104" s="187">
        <v>79.08</v>
      </c>
      <c r="CO104">
        <v>322.13</v>
      </c>
      <c r="CP104">
        <v>42</v>
      </c>
      <c r="CQ104">
        <v>98.29</v>
      </c>
      <c r="CR104">
        <v>89.35</v>
      </c>
      <c r="CS104" s="187">
        <v>0</v>
      </c>
      <c r="CT104">
        <v>98.29</v>
      </c>
      <c r="CU104">
        <v>7</v>
      </c>
      <c r="CV104">
        <v>114.06</v>
      </c>
      <c r="CW104">
        <v>107.49</v>
      </c>
      <c r="CX104" s="187">
        <v>21.17</v>
      </c>
      <c r="CY104">
        <v>135.03</v>
      </c>
      <c r="CZ104">
        <v>642</v>
      </c>
      <c r="DA104">
        <v>134.93</v>
      </c>
      <c r="DB104">
        <v>132.76</v>
      </c>
      <c r="DC104" s="187">
        <v>16.809999999999999</v>
      </c>
      <c r="DD104">
        <v>151.74</v>
      </c>
      <c r="DE104">
        <v>102</v>
      </c>
      <c r="DF104">
        <v>157.85</v>
      </c>
      <c r="DG104">
        <v>157.24</v>
      </c>
      <c r="DH104" s="187">
        <v>11.97</v>
      </c>
      <c r="DI104">
        <v>169.82</v>
      </c>
      <c r="DJ104">
        <v>1</v>
      </c>
      <c r="DK104">
        <v>0</v>
      </c>
      <c r="DL104">
        <v>0</v>
      </c>
      <c r="DM104" s="187">
        <v>0</v>
      </c>
      <c r="DN104">
        <v>0</v>
      </c>
      <c r="DO104">
        <v>0</v>
      </c>
      <c r="DP104">
        <v>116.8</v>
      </c>
      <c r="DQ104">
        <v>110.81</v>
      </c>
      <c r="DR104" s="187">
        <v>20.56</v>
      </c>
      <c r="DS104">
        <v>137</v>
      </c>
      <c r="DT104">
        <v>752</v>
      </c>
      <c r="DU104">
        <v>123.48</v>
      </c>
      <c r="DV104">
        <v>110.13</v>
      </c>
      <c r="DW104" s="187">
        <v>23.7</v>
      </c>
      <c r="DX104">
        <v>146.80000000000001</v>
      </c>
      <c r="DY104">
        <v>794</v>
      </c>
      <c r="DZ104">
        <v>0</v>
      </c>
      <c r="EA104">
        <v>0</v>
      </c>
      <c r="EB104" s="187">
        <v>131.28</v>
      </c>
      <c r="EC104">
        <v>8</v>
      </c>
      <c r="ED104">
        <v>164.57</v>
      </c>
      <c r="EE104">
        <v>173</v>
      </c>
      <c r="EF104">
        <v>203.73</v>
      </c>
      <c r="EG104" s="187">
        <v>280</v>
      </c>
      <c r="EH104">
        <v>246.54</v>
      </c>
      <c r="EI104">
        <v>194</v>
      </c>
      <c r="EJ104">
        <v>268.31</v>
      </c>
      <c r="EK104">
        <v>19</v>
      </c>
      <c r="EL104" s="187">
        <v>265.29000000000002</v>
      </c>
      <c r="EM104">
        <v>1</v>
      </c>
      <c r="EN104">
        <v>0</v>
      </c>
      <c r="EO104">
        <v>0</v>
      </c>
      <c r="EP104">
        <v>207.05</v>
      </c>
      <c r="EQ104" s="187">
        <v>675</v>
      </c>
      <c r="ER104">
        <v>207.05</v>
      </c>
      <c r="ES104">
        <v>675</v>
      </c>
      <c r="ET104">
        <v>0</v>
      </c>
      <c r="EU104">
        <v>0</v>
      </c>
      <c r="EV104" s="187">
        <v>0</v>
      </c>
      <c r="EW104">
        <v>0</v>
      </c>
      <c r="EX104">
        <v>169.39</v>
      </c>
      <c r="EY104">
        <v>10</v>
      </c>
      <c r="EZ104">
        <v>0</v>
      </c>
      <c r="FA104" s="187">
        <v>0</v>
      </c>
      <c r="FB104">
        <v>0</v>
      </c>
      <c r="FC104">
        <v>0</v>
      </c>
      <c r="FD104">
        <v>0</v>
      </c>
      <c r="FE104">
        <v>0</v>
      </c>
      <c r="FF104" s="187">
        <v>169.39</v>
      </c>
      <c r="FG104">
        <v>10</v>
      </c>
      <c r="FH104">
        <v>169.39</v>
      </c>
      <c r="FI104">
        <v>10</v>
      </c>
      <c r="FJ104">
        <v>249</v>
      </c>
      <c r="FK104" s="187">
        <v>12</v>
      </c>
      <c r="FL104">
        <v>1</v>
      </c>
      <c r="FM104">
        <v>9</v>
      </c>
      <c r="FN104">
        <v>25</v>
      </c>
    </row>
    <row r="105" spans="1:170" x14ac:dyDescent="0.35">
      <c r="A105" t="s">
        <v>599</v>
      </c>
      <c r="B105" t="s">
        <v>600</v>
      </c>
      <c r="C105" t="s">
        <v>416</v>
      </c>
      <c r="D105">
        <v>7102</v>
      </c>
      <c r="E105">
        <v>6779</v>
      </c>
      <c r="F105">
        <v>337</v>
      </c>
      <c r="G105">
        <v>329</v>
      </c>
      <c r="H105">
        <v>595</v>
      </c>
      <c r="I105">
        <v>413</v>
      </c>
      <c r="J105">
        <v>695</v>
      </c>
      <c r="K105">
        <v>634</v>
      </c>
      <c r="L105">
        <v>1449</v>
      </c>
      <c r="M105">
        <v>35</v>
      </c>
      <c r="N105">
        <v>10178</v>
      </c>
      <c r="O105">
        <v>8190</v>
      </c>
      <c r="P105">
        <v>8729</v>
      </c>
      <c r="Q105">
        <v>8</v>
      </c>
      <c r="R105">
        <v>17</v>
      </c>
      <c r="S105">
        <v>33</v>
      </c>
      <c r="T105">
        <v>622</v>
      </c>
      <c r="U105">
        <v>9556</v>
      </c>
      <c r="V105" s="498">
        <v>6655</v>
      </c>
      <c r="W105">
        <v>100</v>
      </c>
      <c r="X105" s="498">
        <v>52</v>
      </c>
      <c r="Y105" s="498">
        <v>152</v>
      </c>
      <c r="Z105" s="498">
        <v>125.04</v>
      </c>
      <c r="AA105" s="498">
        <v>124.01</v>
      </c>
      <c r="AB105">
        <v>15.68</v>
      </c>
      <c r="AC105">
        <v>136.61000000000001</v>
      </c>
      <c r="AD105">
        <v>5775</v>
      </c>
      <c r="AE105">
        <v>115.44</v>
      </c>
      <c r="AF105">
        <v>107.98</v>
      </c>
      <c r="AG105">
        <v>73.5</v>
      </c>
      <c r="AH105">
        <v>186.92</v>
      </c>
      <c r="AI105">
        <v>1096</v>
      </c>
      <c r="AJ105">
        <v>200.47</v>
      </c>
      <c r="AK105">
        <v>782</v>
      </c>
      <c r="AL105">
        <v>196.06</v>
      </c>
      <c r="AM105">
        <v>27</v>
      </c>
      <c r="AN105">
        <v>74.19</v>
      </c>
      <c r="AO105" s="499">
        <v>72.14</v>
      </c>
      <c r="AP105" s="499">
        <v>48</v>
      </c>
      <c r="AQ105">
        <v>122.19</v>
      </c>
      <c r="AR105">
        <v>306</v>
      </c>
      <c r="AS105">
        <v>80.67</v>
      </c>
      <c r="AT105">
        <v>79.8</v>
      </c>
      <c r="AU105">
        <v>8.91</v>
      </c>
      <c r="AV105">
        <v>88.59</v>
      </c>
      <c r="AW105">
        <v>36</v>
      </c>
      <c r="AX105">
        <v>102.9</v>
      </c>
      <c r="AY105">
        <v>101.51</v>
      </c>
      <c r="AZ105">
        <v>20.95</v>
      </c>
      <c r="BA105">
        <v>121.08</v>
      </c>
      <c r="BB105">
        <v>832</v>
      </c>
      <c r="BC105">
        <v>120.69</v>
      </c>
      <c r="BD105">
        <v>119.64</v>
      </c>
      <c r="BE105">
        <v>14.84</v>
      </c>
      <c r="BF105">
        <v>133.26</v>
      </c>
      <c r="BG105">
        <v>2255</v>
      </c>
      <c r="BH105">
        <v>141.51</v>
      </c>
      <c r="BI105">
        <v>139.91999999999999</v>
      </c>
      <c r="BJ105">
        <v>6.84</v>
      </c>
      <c r="BK105">
        <v>145.01</v>
      </c>
      <c r="BL105" s="214">
        <v>1934</v>
      </c>
      <c r="BM105" s="214">
        <v>157.1</v>
      </c>
      <c r="BN105">
        <v>159.6</v>
      </c>
      <c r="BO105" s="187">
        <v>5.28</v>
      </c>
      <c r="BP105" s="214">
        <v>160.81</v>
      </c>
      <c r="BQ105" s="214">
        <v>370</v>
      </c>
      <c r="BR105">
        <v>163.01</v>
      </c>
      <c r="BS105" s="187">
        <v>168.66</v>
      </c>
      <c r="BT105" s="214">
        <v>4.29</v>
      </c>
      <c r="BU105" s="214">
        <v>166.79</v>
      </c>
      <c r="BV105">
        <v>33</v>
      </c>
      <c r="BW105">
        <v>176.2</v>
      </c>
      <c r="BX105" s="214">
        <v>188.85</v>
      </c>
      <c r="BY105" s="214">
        <v>8.43</v>
      </c>
      <c r="BZ105">
        <v>182.76</v>
      </c>
      <c r="CA105" s="187">
        <v>9</v>
      </c>
      <c r="CB105" s="214">
        <v>127.89</v>
      </c>
      <c r="CC105" s="214">
        <v>126.91</v>
      </c>
      <c r="CD105">
        <v>13.18</v>
      </c>
      <c r="CE105" s="187">
        <v>137.41999999999999</v>
      </c>
      <c r="CF105" s="214">
        <v>5469</v>
      </c>
      <c r="CG105" s="214">
        <v>125.04</v>
      </c>
      <c r="CH105">
        <v>124.01</v>
      </c>
      <c r="CI105">
        <v>15.68</v>
      </c>
      <c r="CJ105">
        <v>136.61000000000001</v>
      </c>
      <c r="CK105">
        <v>5775</v>
      </c>
      <c r="CL105">
        <v>122.19</v>
      </c>
      <c r="CM105">
        <v>107.2</v>
      </c>
      <c r="CN105" s="187">
        <v>134.13999999999999</v>
      </c>
      <c r="CO105">
        <v>234.89</v>
      </c>
      <c r="CP105">
        <v>169</v>
      </c>
      <c r="CQ105">
        <v>87.52</v>
      </c>
      <c r="CR105">
        <v>86.65</v>
      </c>
      <c r="CS105" s="187">
        <v>65.47</v>
      </c>
      <c r="CT105">
        <v>152.1</v>
      </c>
      <c r="CU105">
        <v>224</v>
      </c>
      <c r="CV105">
        <v>121.03</v>
      </c>
      <c r="CW105">
        <v>112.11</v>
      </c>
      <c r="CX105" s="187">
        <v>67.239999999999995</v>
      </c>
      <c r="CY105">
        <v>188.27</v>
      </c>
      <c r="CZ105">
        <v>570</v>
      </c>
      <c r="DA105">
        <v>128.97999999999999</v>
      </c>
      <c r="DB105">
        <v>129.1</v>
      </c>
      <c r="DC105" s="187">
        <v>49.78</v>
      </c>
      <c r="DD105">
        <v>178.76</v>
      </c>
      <c r="DE105">
        <v>126</v>
      </c>
      <c r="DF105">
        <v>144.22999999999999</v>
      </c>
      <c r="DG105">
        <v>144.16999999999999</v>
      </c>
      <c r="DH105" s="187">
        <v>26.28</v>
      </c>
      <c r="DI105">
        <v>170.51</v>
      </c>
      <c r="DJ105">
        <v>6</v>
      </c>
      <c r="DK105">
        <v>161.43</v>
      </c>
      <c r="DL105">
        <v>161.43</v>
      </c>
      <c r="DM105" s="187">
        <v>71.849999999999994</v>
      </c>
      <c r="DN105">
        <v>233.28</v>
      </c>
      <c r="DO105">
        <v>1</v>
      </c>
      <c r="DP105">
        <v>114.21</v>
      </c>
      <c r="DQ105">
        <v>108.09</v>
      </c>
      <c r="DR105" s="187">
        <v>64.180000000000007</v>
      </c>
      <c r="DS105">
        <v>178.18</v>
      </c>
      <c r="DT105">
        <v>927</v>
      </c>
      <c r="DU105">
        <v>115.44</v>
      </c>
      <c r="DV105">
        <v>107.98</v>
      </c>
      <c r="DW105" s="187">
        <v>73.5</v>
      </c>
      <c r="DX105">
        <v>186.92</v>
      </c>
      <c r="DY105">
        <v>1096</v>
      </c>
      <c r="DZ105">
        <v>0</v>
      </c>
      <c r="EA105">
        <v>0</v>
      </c>
      <c r="EB105" s="187">
        <v>0</v>
      </c>
      <c r="EC105">
        <v>0</v>
      </c>
      <c r="ED105">
        <v>165.16</v>
      </c>
      <c r="EE105">
        <v>193</v>
      </c>
      <c r="EF105">
        <v>204.55</v>
      </c>
      <c r="EG105" s="187">
        <v>363</v>
      </c>
      <c r="EH105">
        <v>217.35</v>
      </c>
      <c r="EI105">
        <v>141</v>
      </c>
      <c r="EJ105">
        <v>235.22</v>
      </c>
      <c r="EK105">
        <v>85</v>
      </c>
      <c r="EL105" s="187">
        <v>0</v>
      </c>
      <c r="EM105">
        <v>0</v>
      </c>
      <c r="EN105">
        <v>0</v>
      </c>
      <c r="EO105">
        <v>0</v>
      </c>
      <c r="EP105">
        <v>200.47</v>
      </c>
      <c r="EQ105" s="187">
        <v>782</v>
      </c>
      <c r="ER105">
        <v>200.47</v>
      </c>
      <c r="ES105">
        <v>782</v>
      </c>
      <c r="ET105">
        <v>0</v>
      </c>
      <c r="EU105">
        <v>0</v>
      </c>
      <c r="EV105" s="187">
        <v>0</v>
      </c>
      <c r="EW105">
        <v>0</v>
      </c>
      <c r="EX105">
        <v>196.06</v>
      </c>
      <c r="EY105">
        <v>27</v>
      </c>
      <c r="EZ105">
        <v>0</v>
      </c>
      <c r="FA105" s="187">
        <v>0</v>
      </c>
      <c r="FB105">
        <v>0</v>
      </c>
      <c r="FC105">
        <v>0</v>
      </c>
      <c r="FD105">
        <v>0</v>
      </c>
      <c r="FE105">
        <v>0</v>
      </c>
      <c r="FF105" s="187">
        <v>196.06</v>
      </c>
      <c r="FG105">
        <v>27</v>
      </c>
      <c r="FH105">
        <v>196.06</v>
      </c>
      <c r="FI105">
        <v>27</v>
      </c>
      <c r="FJ105">
        <v>43</v>
      </c>
      <c r="FK105" s="187">
        <v>5</v>
      </c>
      <c r="FL105">
        <v>6</v>
      </c>
      <c r="FM105">
        <v>107</v>
      </c>
      <c r="FN105">
        <v>72</v>
      </c>
    </row>
    <row r="106" spans="1:170" x14ac:dyDescent="0.35">
      <c r="A106" t="s">
        <v>601</v>
      </c>
      <c r="B106" t="s">
        <v>602</v>
      </c>
      <c r="C106" t="s">
        <v>415</v>
      </c>
      <c r="D106">
        <v>1460</v>
      </c>
      <c r="E106">
        <v>1463</v>
      </c>
      <c r="F106">
        <v>0</v>
      </c>
      <c r="G106">
        <v>0</v>
      </c>
      <c r="H106">
        <v>154</v>
      </c>
      <c r="I106">
        <v>50</v>
      </c>
      <c r="J106">
        <v>227</v>
      </c>
      <c r="K106">
        <v>227</v>
      </c>
      <c r="L106">
        <v>375</v>
      </c>
      <c r="M106">
        <v>5</v>
      </c>
      <c r="N106">
        <v>2216</v>
      </c>
      <c r="O106">
        <v>1745</v>
      </c>
      <c r="P106">
        <v>1841</v>
      </c>
      <c r="Q106">
        <v>2</v>
      </c>
      <c r="R106">
        <v>4</v>
      </c>
      <c r="S106">
        <v>20</v>
      </c>
      <c r="T106">
        <v>100</v>
      </c>
      <c r="U106">
        <v>2116</v>
      </c>
      <c r="V106" s="498">
        <v>1460</v>
      </c>
      <c r="W106">
        <v>16</v>
      </c>
      <c r="X106" s="498">
        <v>4</v>
      </c>
      <c r="Y106" s="498">
        <v>20</v>
      </c>
      <c r="Z106" s="498">
        <v>123.21</v>
      </c>
      <c r="AA106" s="498">
        <v>120.93</v>
      </c>
      <c r="AB106">
        <v>6.38</v>
      </c>
      <c r="AC106">
        <v>128.81</v>
      </c>
      <c r="AD106">
        <v>1229</v>
      </c>
      <c r="AE106">
        <v>97.91</v>
      </c>
      <c r="AF106">
        <v>91.53</v>
      </c>
      <c r="AG106">
        <v>59.57</v>
      </c>
      <c r="AH106">
        <v>157.26</v>
      </c>
      <c r="AI106">
        <v>281</v>
      </c>
      <c r="AJ106">
        <v>189.33</v>
      </c>
      <c r="AK106">
        <v>214</v>
      </c>
      <c r="AL106">
        <v>0</v>
      </c>
      <c r="AM106">
        <v>0</v>
      </c>
      <c r="AN106">
        <v>0</v>
      </c>
      <c r="AO106" s="499">
        <v>0</v>
      </c>
      <c r="AP106" s="499">
        <v>0</v>
      </c>
      <c r="AQ106">
        <v>0</v>
      </c>
      <c r="AR106">
        <v>0</v>
      </c>
      <c r="AS106">
        <v>0</v>
      </c>
      <c r="AT106">
        <v>0</v>
      </c>
      <c r="AU106">
        <v>0</v>
      </c>
      <c r="AV106">
        <v>0</v>
      </c>
      <c r="AW106">
        <v>0</v>
      </c>
      <c r="AX106">
        <v>96.51</v>
      </c>
      <c r="AY106">
        <v>94.72</v>
      </c>
      <c r="AZ106">
        <v>8.5500000000000007</v>
      </c>
      <c r="BA106">
        <v>104.95</v>
      </c>
      <c r="BB106">
        <v>250</v>
      </c>
      <c r="BC106">
        <v>118.23</v>
      </c>
      <c r="BD106">
        <v>114.93</v>
      </c>
      <c r="BE106">
        <v>7.18</v>
      </c>
      <c r="BF106">
        <v>124.66</v>
      </c>
      <c r="BG106">
        <v>455</v>
      </c>
      <c r="BH106">
        <v>138.87</v>
      </c>
      <c r="BI106">
        <v>137.22</v>
      </c>
      <c r="BJ106">
        <v>4.38</v>
      </c>
      <c r="BK106">
        <v>142.34</v>
      </c>
      <c r="BL106" s="214">
        <v>474</v>
      </c>
      <c r="BM106" s="214">
        <v>152.88</v>
      </c>
      <c r="BN106">
        <v>153.57</v>
      </c>
      <c r="BO106" s="187">
        <v>3.32</v>
      </c>
      <c r="BP106" s="214">
        <v>156.01</v>
      </c>
      <c r="BQ106" s="214">
        <v>37</v>
      </c>
      <c r="BR106">
        <v>155.85</v>
      </c>
      <c r="BS106" s="187">
        <v>148.57</v>
      </c>
      <c r="BT106" s="214">
        <v>6.35</v>
      </c>
      <c r="BU106" s="214">
        <v>162.19999999999999</v>
      </c>
      <c r="BV106">
        <v>13</v>
      </c>
      <c r="BW106">
        <v>0</v>
      </c>
      <c r="BX106" s="214">
        <v>0</v>
      </c>
      <c r="BY106" s="214">
        <v>0</v>
      </c>
      <c r="BZ106">
        <v>0</v>
      </c>
      <c r="CA106" s="187">
        <v>0</v>
      </c>
      <c r="CB106" s="214">
        <v>123.21</v>
      </c>
      <c r="CC106" s="214">
        <v>120.93</v>
      </c>
      <c r="CD106">
        <v>6.38</v>
      </c>
      <c r="CE106" s="187">
        <v>128.81</v>
      </c>
      <c r="CF106" s="214">
        <v>1229</v>
      </c>
      <c r="CG106" s="214">
        <v>123.21</v>
      </c>
      <c r="CH106">
        <v>120.93</v>
      </c>
      <c r="CI106">
        <v>6.38</v>
      </c>
      <c r="CJ106">
        <v>128.81</v>
      </c>
      <c r="CK106">
        <v>1229</v>
      </c>
      <c r="CL106">
        <v>70.53</v>
      </c>
      <c r="CM106">
        <v>109.85</v>
      </c>
      <c r="CN106" s="187">
        <v>57.98</v>
      </c>
      <c r="CO106">
        <v>116.92</v>
      </c>
      <c r="CP106">
        <v>5</v>
      </c>
      <c r="CQ106">
        <v>80.13</v>
      </c>
      <c r="CR106">
        <v>72.400000000000006</v>
      </c>
      <c r="CS106" s="187">
        <v>99.36</v>
      </c>
      <c r="CT106">
        <v>179.49</v>
      </c>
      <c r="CU106">
        <v>54</v>
      </c>
      <c r="CV106">
        <v>101.08</v>
      </c>
      <c r="CW106">
        <v>94.18</v>
      </c>
      <c r="CX106" s="187">
        <v>51.67</v>
      </c>
      <c r="CY106">
        <v>152.74</v>
      </c>
      <c r="CZ106">
        <v>205</v>
      </c>
      <c r="DA106">
        <v>124.2</v>
      </c>
      <c r="DB106">
        <v>114.97</v>
      </c>
      <c r="DC106" s="187">
        <v>28.83</v>
      </c>
      <c r="DD106">
        <v>153.02000000000001</v>
      </c>
      <c r="DE106">
        <v>17</v>
      </c>
      <c r="DF106">
        <v>0</v>
      </c>
      <c r="DG106">
        <v>0</v>
      </c>
      <c r="DH106" s="187">
        <v>0</v>
      </c>
      <c r="DI106">
        <v>0</v>
      </c>
      <c r="DJ106">
        <v>0</v>
      </c>
      <c r="DK106">
        <v>0</v>
      </c>
      <c r="DL106">
        <v>0</v>
      </c>
      <c r="DM106" s="187">
        <v>0</v>
      </c>
      <c r="DN106">
        <v>0</v>
      </c>
      <c r="DO106">
        <v>0</v>
      </c>
      <c r="DP106">
        <v>98.4</v>
      </c>
      <c r="DQ106">
        <v>91.2</v>
      </c>
      <c r="DR106" s="187">
        <v>59.59</v>
      </c>
      <c r="DS106">
        <v>157.99</v>
      </c>
      <c r="DT106">
        <v>276</v>
      </c>
      <c r="DU106">
        <v>97.91</v>
      </c>
      <c r="DV106">
        <v>91.53</v>
      </c>
      <c r="DW106" s="187">
        <v>59.57</v>
      </c>
      <c r="DX106">
        <v>157.26</v>
      </c>
      <c r="DY106">
        <v>281</v>
      </c>
      <c r="DZ106">
        <v>0</v>
      </c>
      <c r="EA106">
        <v>0</v>
      </c>
      <c r="EB106" s="187">
        <v>0</v>
      </c>
      <c r="EC106">
        <v>0</v>
      </c>
      <c r="ED106">
        <v>141.86000000000001</v>
      </c>
      <c r="EE106">
        <v>27</v>
      </c>
      <c r="EF106">
        <v>180.19</v>
      </c>
      <c r="EG106" s="187">
        <v>115</v>
      </c>
      <c r="EH106">
        <v>219.8</v>
      </c>
      <c r="EI106">
        <v>63</v>
      </c>
      <c r="EJ106">
        <v>235.38</v>
      </c>
      <c r="EK106">
        <v>9</v>
      </c>
      <c r="EL106" s="187">
        <v>0</v>
      </c>
      <c r="EM106">
        <v>0</v>
      </c>
      <c r="EN106">
        <v>0</v>
      </c>
      <c r="EO106">
        <v>0</v>
      </c>
      <c r="EP106">
        <v>189.33</v>
      </c>
      <c r="EQ106" s="187">
        <v>214</v>
      </c>
      <c r="ER106">
        <v>189.33</v>
      </c>
      <c r="ES106">
        <v>214</v>
      </c>
      <c r="ET106">
        <v>0</v>
      </c>
      <c r="EU106">
        <v>0</v>
      </c>
      <c r="EV106" s="187">
        <v>0</v>
      </c>
      <c r="EW106">
        <v>0</v>
      </c>
      <c r="EX106">
        <v>0</v>
      </c>
      <c r="EY106">
        <v>0</v>
      </c>
      <c r="EZ106">
        <v>0</v>
      </c>
      <c r="FA106" s="187">
        <v>0</v>
      </c>
      <c r="FB106">
        <v>0</v>
      </c>
      <c r="FC106">
        <v>0</v>
      </c>
      <c r="FD106">
        <v>0</v>
      </c>
      <c r="FE106">
        <v>0</v>
      </c>
      <c r="FF106" s="187">
        <v>0</v>
      </c>
      <c r="FG106">
        <v>0</v>
      </c>
      <c r="FH106">
        <v>0</v>
      </c>
      <c r="FI106">
        <v>0</v>
      </c>
      <c r="FJ106">
        <v>0</v>
      </c>
      <c r="FK106" s="187">
        <v>0</v>
      </c>
      <c r="FL106">
        <v>0</v>
      </c>
      <c r="FM106">
        <v>0</v>
      </c>
      <c r="FN106">
        <v>12</v>
      </c>
    </row>
    <row r="107" spans="1:170" x14ac:dyDescent="0.35">
      <c r="A107" t="s">
        <v>603</v>
      </c>
      <c r="B107" t="s">
        <v>604</v>
      </c>
      <c r="C107" t="s">
        <v>2</v>
      </c>
      <c r="D107">
        <v>2238</v>
      </c>
      <c r="E107">
        <v>2239</v>
      </c>
      <c r="F107">
        <v>0</v>
      </c>
      <c r="G107">
        <v>0</v>
      </c>
      <c r="H107">
        <v>139</v>
      </c>
      <c r="I107">
        <v>44</v>
      </c>
      <c r="J107">
        <v>416</v>
      </c>
      <c r="K107">
        <v>291</v>
      </c>
      <c r="L107">
        <v>348</v>
      </c>
      <c r="M107">
        <v>114</v>
      </c>
      <c r="N107">
        <v>3141</v>
      </c>
      <c r="O107">
        <v>2688</v>
      </c>
      <c r="P107">
        <v>2793</v>
      </c>
      <c r="Q107">
        <v>0</v>
      </c>
      <c r="R107">
        <v>8</v>
      </c>
      <c r="S107">
        <v>19</v>
      </c>
      <c r="T107">
        <v>210</v>
      </c>
      <c r="U107">
        <v>2931</v>
      </c>
      <c r="V107" s="498">
        <v>2235</v>
      </c>
      <c r="W107">
        <v>6</v>
      </c>
      <c r="X107" s="498">
        <v>4</v>
      </c>
      <c r="Y107" s="498">
        <v>10</v>
      </c>
      <c r="Z107" s="498">
        <v>125.24</v>
      </c>
      <c r="AA107" s="498">
        <v>117.59</v>
      </c>
      <c r="AB107">
        <v>10.99</v>
      </c>
      <c r="AC107">
        <v>131.29</v>
      </c>
      <c r="AD107">
        <v>1946</v>
      </c>
      <c r="AE107">
        <v>110.25</v>
      </c>
      <c r="AF107">
        <v>102.72</v>
      </c>
      <c r="AG107">
        <v>29.13</v>
      </c>
      <c r="AH107">
        <v>135.19</v>
      </c>
      <c r="AI107">
        <v>327</v>
      </c>
      <c r="AJ107">
        <v>205.37</v>
      </c>
      <c r="AK107">
        <v>269</v>
      </c>
      <c r="AL107">
        <v>269.39999999999998</v>
      </c>
      <c r="AM107">
        <v>56</v>
      </c>
      <c r="AN107">
        <v>0</v>
      </c>
      <c r="AO107" s="499">
        <v>0</v>
      </c>
      <c r="AP107" s="499">
        <v>0</v>
      </c>
      <c r="AQ107">
        <v>0</v>
      </c>
      <c r="AR107">
        <v>0</v>
      </c>
      <c r="AS107">
        <v>160.78</v>
      </c>
      <c r="AT107">
        <v>95.72</v>
      </c>
      <c r="AU107">
        <v>18.16</v>
      </c>
      <c r="AV107">
        <v>178.94</v>
      </c>
      <c r="AW107">
        <v>43</v>
      </c>
      <c r="AX107">
        <v>104.99</v>
      </c>
      <c r="AY107">
        <v>97.45</v>
      </c>
      <c r="AZ107">
        <v>11.66</v>
      </c>
      <c r="BA107">
        <v>115.72</v>
      </c>
      <c r="BB107">
        <v>476</v>
      </c>
      <c r="BC107">
        <v>120.26</v>
      </c>
      <c r="BD107">
        <v>113.1</v>
      </c>
      <c r="BE107">
        <v>11.39</v>
      </c>
      <c r="BF107">
        <v>127.01</v>
      </c>
      <c r="BG107">
        <v>666</v>
      </c>
      <c r="BH107">
        <v>138.58000000000001</v>
      </c>
      <c r="BI107">
        <v>131.71</v>
      </c>
      <c r="BJ107">
        <v>7.19</v>
      </c>
      <c r="BK107">
        <v>140.38</v>
      </c>
      <c r="BL107" s="214">
        <v>700</v>
      </c>
      <c r="BM107" s="214">
        <v>158.97999999999999</v>
      </c>
      <c r="BN107">
        <v>159.47</v>
      </c>
      <c r="BO107" s="187">
        <v>6.02</v>
      </c>
      <c r="BP107" s="214">
        <v>161.06</v>
      </c>
      <c r="BQ107" s="214">
        <v>58</v>
      </c>
      <c r="BR107">
        <v>170.69</v>
      </c>
      <c r="BS107" s="187">
        <v>178.34</v>
      </c>
      <c r="BT107" s="214">
        <v>0</v>
      </c>
      <c r="BU107" s="214">
        <v>170.69</v>
      </c>
      <c r="BV107">
        <v>3</v>
      </c>
      <c r="BW107">
        <v>0</v>
      </c>
      <c r="BX107" s="214">
        <v>0</v>
      </c>
      <c r="BY107" s="214">
        <v>0</v>
      </c>
      <c r="BZ107">
        <v>0</v>
      </c>
      <c r="CA107" s="187">
        <v>0</v>
      </c>
      <c r="CB107" s="214">
        <v>125.24</v>
      </c>
      <c r="CC107" s="214">
        <v>117.59</v>
      </c>
      <c r="CD107">
        <v>10.99</v>
      </c>
      <c r="CE107" s="187">
        <v>131.29</v>
      </c>
      <c r="CF107" s="214">
        <v>1946</v>
      </c>
      <c r="CG107" s="214">
        <v>125.24</v>
      </c>
      <c r="CH107">
        <v>117.59</v>
      </c>
      <c r="CI107">
        <v>10.99</v>
      </c>
      <c r="CJ107">
        <v>131.29</v>
      </c>
      <c r="CK107">
        <v>1946</v>
      </c>
      <c r="CL107">
        <v>96.14</v>
      </c>
      <c r="CM107">
        <v>94.32</v>
      </c>
      <c r="CN107" s="187">
        <v>105.36</v>
      </c>
      <c r="CO107">
        <v>120.45</v>
      </c>
      <c r="CP107">
        <v>13</v>
      </c>
      <c r="CQ107">
        <v>97</v>
      </c>
      <c r="CR107">
        <v>97.02</v>
      </c>
      <c r="CS107" s="187">
        <v>26.07</v>
      </c>
      <c r="CT107">
        <v>123.07</v>
      </c>
      <c r="CU107">
        <v>51</v>
      </c>
      <c r="CV107">
        <v>113.21</v>
      </c>
      <c r="CW107">
        <v>103.73</v>
      </c>
      <c r="CX107" s="187">
        <v>28.76</v>
      </c>
      <c r="CY107">
        <v>137.81</v>
      </c>
      <c r="CZ107">
        <v>256</v>
      </c>
      <c r="DA107">
        <v>124.78</v>
      </c>
      <c r="DB107">
        <v>124.99</v>
      </c>
      <c r="DC107" s="187">
        <v>30.42</v>
      </c>
      <c r="DD107">
        <v>155.19999999999999</v>
      </c>
      <c r="DE107">
        <v>7</v>
      </c>
      <c r="DF107">
        <v>0</v>
      </c>
      <c r="DG107">
        <v>0</v>
      </c>
      <c r="DH107" s="187">
        <v>0</v>
      </c>
      <c r="DI107">
        <v>0</v>
      </c>
      <c r="DJ107">
        <v>0</v>
      </c>
      <c r="DK107">
        <v>0</v>
      </c>
      <c r="DL107">
        <v>0</v>
      </c>
      <c r="DM107" s="187">
        <v>0</v>
      </c>
      <c r="DN107">
        <v>0</v>
      </c>
      <c r="DO107">
        <v>0</v>
      </c>
      <c r="DP107">
        <v>110.84</v>
      </c>
      <c r="DQ107">
        <v>103.08</v>
      </c>
      <c r="DR107" s="187">
        <v>28.3</v>
      </c>
      <c r="DS107">
        <v>135.80000000000001</v>
      </c>
      <c r="DT107">
        <v>314</v>
      </c>
      <c r="DU107">
        <v>110.25</v>
      </c>
      <c r="DV107">
        <v>102.72</v>
      </c>
      <c r="DW107" s="187">
        <v>29.13</v>
      </c>
      <c r="DX107">
        <v>135.19</v>
      </c>
      <c r="DY107">
        <v>327</v>
      </c>
      <c r="DZ107">
        <v>0</v>
      </c>
      <c r="EA107">
        <v>0</v>
      </c>
      <c r="EB107" s="187">
        <v>0</v>
      </c>
      <c r="EC107">
        <v>0</v>
      </c>
      <c r="ED107">
        <v>153.54</v>
      </c>
      <c r="EE107">
        <v>76</v>
      </c>
      <c r="EF107">
        <v>209.42</v>
      </c>
      <c r="EG107" s="187">
        <v>141</v>
      </c>
      <c r="EH107">
        <v>264.31</v>
      </c>
      <c r="EI107">
        <v>42</v>
      </c>
      <c r="EJ107">
        <v>291.14</v>
      </c>
      <c r="EK107">
        <v>8</v>
      </c>
      <c r="EL107" s="187">
        <v>309.06</v>
      </c>
      <c r="EM107">
        <v>2</v>
      </c>
      <c r="EN107">
        <v>0</v>
      </c>
      <c r="EO107">
        <v>0</v>
      </c>
      <c r="EP107">
        <v>205.37</v>
      </c>
      <c r="EQ107" s="187">
        <v>269</v>
      </c>
      <c r="ER107">
        <v>205.37</v>
      </c>
      <c r="ES107">
        <v>269</v>
      </c>
      <c r="ET107">
        <v>0</v>
      </c>
      <c r="EU107">
        <v>0</v>
      </c>
      <c r="EV107" s="187">
        <v>241.84</v>
      </c>
      <c r="EW107">
        <v>21</v>
      </c>
      <c r="EX107">
        <v>285.94</v>
      </c>
      <c r="EY107">
        <v>35</v>
      </c>
      <c r="EZ107">
        <v>0</v>
      </c>
      <c r="FA107" s="187">
        <v>0</v>
      </c>
      <c r="FB107">
        <v>0</v>
      </c>
      <c r="FC107">
        <v>0</v>
      </c>
      <c r="FD107">
        <v>0</v>
      </c>
      <c r="FE107">
        <v>0</v>
      </c>
      <c r="FF107" s="187">
        <v>269.39999999999998</v>
      </c>
      <c r="FG107">
        <v>56</v>
      </c>
      <c r="FH107">
        <v>269.39999999999998</v>
      </c>
      <c r="FI107">
        <v>56</v>
      </c>
      <c r="FJ107">
        <v>0</v>
      </c>
      <c r="FK107" s="187">
        <v>0</v>
      </c>
      <c r="FL107">
        <v>0</v>
      </c>
      <c r="FM107">
        <v>0</v>
      </c>
      <c r="FN107">
        <v>11</v>
      </c>
    </row>
    <row r="108" spans="1:170" x14ac:dyDescent="0.35">
      <c r="A108" t="s">
        <v>605</v>
      </c>
      <c r="B108" t="s">
        <v>606</v>
      </c>
      <c r="C108" t="s">
        <v>414</v>
      </c>
      <c r="D108">
        <v>4692</v>
      </c>
      <c r="E108">
        <v>4705</v>
      </c>
      <c r="F108">
        <v>0</v>
      </c>
      <c r="G108">
        <v>0</v>
      </c>
      <c r="H108">
        <v>121</v>
      </c>
      <c r="I108">
        <v>69</v>
      </c>
      <c r="J108">
        <v>1938</v>
      </c>
      <c r="K108">
        <v>1938</v>
      </c>
      <c r="L108">
        <v>209</v>
      </c>
      <c r="M108">
        <v>15</v>
      </c>
      <c r="N108">
        <v>6960</v>
      </c>
      <c r="O108">
        <v>6727</v>
      </c>
      <c r="P108">
        <v>6751</v>
      </c>
      <c r="Q108">
        <v>2</v>
      </c>
      <c r="R108">
        <v>2</v>
      </c>
      <c r="S108">
        <v>18</v>
      </c>
      <c r="T108">
        <v>37</v>
      </c>
      <c r="U108">
        <v>6923</v>
      </c>
      <c r="V108" s="498">
        <v>4692</v>
      </c>
      <c r="W108">
        <v>14</v>
      </c>
      <c r="X108" s="498">
        <v>26</v>
      </c>
      <c r="Y108" s="498">
        <v>40</v>
      </c>
      <c r="Z108" s="498">
        <v>92.53</v>
      </c>
      <c r="AA108" s="498">
        <v>92.12</v>
      </c>
      <c r="AB108">
        <v>3.54</v>
      </c>
      <c r="AC108">
        <v>95.3</v>
      </c>
      <c r="AD108">
        <v>4147</v>
      </c>
      <c r="AE108">
        <v>83.31</v>
      </c>
      <c r="AF108">
        <v>82.07</v>
      </c>
      <c r="AG108">
        <v>11.18</v>
      </c>
      <c r="AH108">
        <v>94.16</v>
      </c>
      <c r="AI108">
        <v>1985</v>
      </c>
      <c r="AJ108">
        <v>107.45</v>
      </c>
      <c r="AK108">
        <v>489</v>
      </c>
      <c r="AL108">
        <v>96.53</v>
      </c>
      <c r="AM108">
        <v>37</v>
      </c>
      <c r="AN108">
        <v>0</v>
      </c>
      <c r="AO108" s="499">
        <v>0</v>
      </c>
      <c r="AP108" s="499">
        <v>0</v>
      </c>
      <c r="AQ108">
        <v>0</v>
      </c>
      <c r="AR108">
        <v>0</v>
      </c>
      <c r="AS108">
        <v>0</v>
      </c>
      <c r="AT108">
        <v>0</v>
      </c>
      <c r="AU108">
        <v>0</v>
      </c>
      <c r="AV108">
        <v>0</v>
      </c>
      <c r="AW108">
        <v>0</v>
      </c>
      <c r="AX108">
        <v>76.37</v>
      </c>
      <c r="AY108">
        <v>76</v>
      </c>
      <c r="AZ108">
        <v>6.32</v>
      </c>
      <c r="BA108">
        <v>82.66</v>
      </c>
      <c r="BB108">
        <v>783</v>
      </c>
      <c r="BC108">
        <v>89.95</v>
      </c>
      <c r="BD108">
        <v>88.89</v>
      </c>
      <c r="BE108">
        <v>4.57</v>
      </c>
      <c r="BF108">
        <v>93.38</v>
      </c>
      <c r="BG108">
        <v>1245</v>
      </c>
      <c r="BH108">
        <v>99.75</v>
      </c>
      <c r="BI108">
        <v>99.71</v>
      </c>
      <c r="BJ108">
        <v>1.5</v>
      </c>
      <c r="BK108">
        <v>100.83</v>
      </c>
      <c r="BL108" s="214">
        <v>2054</v>
      </c>
      <c r="BM108" s="214">
        <v>107.46</v>
      </c>
      <c r="BN108">
        <v>106.98</v>
      </c>
      <c r="BO108" s="187">
        <v>1.43</v>
      </c>
      <c r="BP108" s="214">
        <v>108.57</v>
      </c>
      <c r="BQ108" s="214">
        <v>58</v>
      </c>
      <c r="BR108">
        <v>114.27</v>
      </c>
      <c r="BS108" s="187">
        <v>118.83</v>
      </c>
      <c r="BT108" s="214">
        <v>2.25</v>
      </c>
      <c r="BU108" s="214">
        <v>116.52</v>
      </c>
      <c r="BV108">
        <v>5</v>
      </c>
      <c r="BW108">
        <v>128.63</v>
      </c>
      <c r="BX108" s="214">
        <v>127.23</v>
      </c>
      <c r="BY108" s="214">
        <v>3.03</v>
      </c>
      <c r="BZ108">
        <v>131.66</v>
      </c>
      <c r="CA108" s="187">
        <v>2</v>
      </c>
      <c r="CB108" s="214">
        <v>92.53</v>
      </c>
      <c r="CC108" s="214">
        <v>92.12</v>
      </c>
      <c r="CD108">
        <v>3.54</v>
      </c>
      <c r="CE108" s="187">
        <v>95.3</v>
      </c>
      <c r="CF108" s="214">
        <v>4147</v>
      </c>
      <c r="CG108" s="214">
        <v>92.53</v>
      </c>
      <c r="CH108">
        <v>92.12</v>
      </c>
      <c r="CI108">
        <v>3.54</v>
      </c>
      <c r="CJ108">
        <v>95.3</v>
      </c>
      <c r="CK108">
        <v>4147</v>
      </c>
      <c r="CL108">
        <v>82.66</v>
      </c>
      <c r="CM108">
        <v>70.47</v>
      </c>
      <c r="CN108" s="187">
        <v>106.95</v>
      </c>
      <c r="CO108">
        <v>162.87</v>
      </c>
      <c r="CP108">
        <v>20</v>
      </c>
      <c r="CQ108">
        <v>78.069999999999993</v>
      </c>
      <c r="CR108">
        <v>78.069999999999993</v>
      </c>
      <c r="CS108" s="187">
        <v>0</v>
      </c>
      <c r="CT108">
        <v>78.069999999999993</v>
      </c>
      <c r="CU108">
        <v>9</v>
      </c>
      <c r="CV108">
        <v>79.3</v>
      </c>
      <c r="CW108">
        <v>78.150000000000006</v>
      </c>
      <c r="CX108" s="187">
        <v>10.54</v>
      </c>
      <c r="CY108">
        <v>89.68</v>
      </c>
      <c r="CZ108">
        <v>1496</v>
      </c>
      <c r="DA108">
        <v>96.32</v>
      </c>
      <c r="DB108">
        <v>95.19</v>
      </c>
      <c r="DC108" s="187">
        <v>9.42</v>
      </c>
      <c r="DD108">
        <v>105.3</v>
      </c>
      <c r="DE108">
        <v>448</v>
      </c>
      <c r="DF108">
        <v>101.5</v>
      </c>
      <c r="DG108">
        <v>98.8</v>
      </c>
      <c r="DH108" s="187">
        <v>32.76</v>
      </c>
      <c r="DI108">
        <v>134.26</v>
      </c>
      <c r="DJ108">
        <v>12</v>
      </c>
      <c r="DK108">
        <v>0</v>
      </c>
      <c r="DL108">
        <v>0</v>
      </c>
      <c r="DM108" s="187">
        <v>0</v>
      </c>
      <c r="DN108">
        <v>0</v>
      </c>
      <c r="DO108">
        <v>0</v>
      </c>
      <c r="DP108">
        <v>83.31</v>
      </c>
      <c r="DQ108">
        <v>82.18</v>
      </c>
      <c r="DR108" s="187">
        <v>10.43</v>
      </c>
      <c r="DS108">
        <v>93.46</v>
      </c>
      <c r="DT108">
        <v>1965</v>
      </c>
      <c r="DU108">
        <v>83.31</v>
      </c>
      <c r="DV108">
        <v>82.07</v>
      </c>
      <c r="DW108" s="187">
        <v>11.18</v>
      </c>
      <c r="DX108">
        <v>94.16</v>
      </c>
      <c r="DY108">
        <v>1985</v>
      </c>
      <c r="DZ108">
        <v>0</v>
      </c>
      <c r="EA108">
        <v>0</v>
      </c>
      <c r="EB108" s="187">
        <v>0</v>
      </c>
      <c r="EC108">
        <v>0</v>
      </c>
      <c r="ED108">
        <v>84.54</v>
      </c>
      <c r="EE108">
        <v>54</v>
      </c>
      <c r="EF108">
        <v>104.93</v>
      </c>
      <c r="EG108" s="187">
        <v>261</v>
      </c>
      <c r="EH108">
        <v>115.9</v>
      </c>
      <c r="EI108">
        <v>154</v>
      </c>
      <c r="EJ108">
        <v>137.16999999999999</v>
      </c>
      <c r="EK108">
        <v>20</v>
      </c>
      <c r="EL108" s="187">
        <v>0</v>
      </c>
      <c r="EM108">
        <v>0</v>
      </c>
      <c r="EN108">
        <v>0</v>
      </c>
      <c r="EO108">
        <v>0</v>
      </c>
      <c r="EP108">
        <v>107.45</v>
      </c>
      <c r="EQ108" s="187">
        <v>489</v>
      </c>
      <c r="ER108">
        <v>107.45</v>
      </c>
      <c r="ES108">
        <v>489</v>
      </c>
      <c r="ET108">
        <v>0</v>
      </c>
      <c r="EU108">
        <v>0</v>
      </c>
      <c r="EV108" s="187">
        <v>89.74</v>
      </c>
      <c r="EW108">
        <v>24</v>
      </c>
      <c r="EX108">
        <v>109.07</v>
      </c>
      <c r="EY108">
        <v>13</v>
      </c>
      <c r="EZ108">
        <v>0</v>
      </c>
      <c r="FA108" s="187">
        <v>0</v>
      </c>
      <c r="FB108">
        <v>0</v>
      </c>
      <c r="FC108">
        <v>0</v>
      </c>
      <c r="FD108">
        <v>0</v>
      </c>
      <c r="FE108">
        <v>0</v>
      </c>
      <c r="FF108" s="187">
        <v>96.53</v>
      </c>
      <c r="FG108">
        <v>37</v>
      </c>
      <c r="FH108">
        <v>96.53</v>
      </c>
      <c r="FI108">
        <v>37</v>
      </c>
      <c r="FJ108">
        <v>0</v>
      </c>
      <c r="FK108" s="187">
        <v>13</v>
      </c>
      <c r="FL108">
        <v>1</v>
      </c>
      <c r="FM108">
        <v>9</v>
      </c>
      <c r="FN108">
        <v>8</v>
      </c>
    </row>
    <row r="109" spans="1:170" x14ac:dyDescent="0.35">
      <c r="A109" t="s">
        <v>607</v>
      </c>
      <c r="B109" t="s">
        <v>608</v>
      </c>
      <c r="C109" t="s">
        <v>419</v>
      </c>
      <c r="D109">
        <v>3690</v>
      </c>
      <c r="E109">
        <v>3682</v>
      </c>
      <c r="F109">
        <v>2</v>
      </c>
      <c r="G109">
        <v>2</v>
      </c>
      <c r="H109">
        <v>570</v>
      </c>
      <c r="I109">
        <v>462</v>
      </c>
      <c r="J109">
        <v>395</v>
      </c>
      <c r="K109">
        <v>236</v>
      </c>
      <c r="L109">
        <v>514</v>
      </c>
      <c r="M109">
        <v>26</v>
      </c>
      <c r="N109">
        <v>5171</v>
      </c>
      <c r="O109">
        <v>4408</v>
      </c>
      <c r="P109">
        <v>4657</v>
      </c>
      <c r="Q109">
        <v>0</v>
      </c>
      <c r="R109">
        <v>6</v>
      </c>
      <c r="S109">
        <v>22</v>
      </c>
      <c r="T109">
        <v>511</v>
      </c>
      <c r="U109">
        <v>4660</v>
      </c>
      <c r="V109" s="498">
        <v>3668</v>
      </c>
      <c r="W109">
        <v>13</v>
      </c>
      <c r="X109" s="498">
        <v>31</v>
      </c>
      <c r="Y109" s="498">
        <v>44</v>
      </c>
      <c r="Z109" s="498">
        <v>91.05</v>
      </c>
      <c r="AA109" s="498">
        <v>88.38</v>
      </c>
      <c r="AB109">
        <v>7.48</v>
      </c>
      <c r="AC109">
        <v>96.84</v>
      </c>
      <c r="AD109">
        <v>3444</v>
      </c>
      <c r="AE109">
        <v>96.32</v>
      </c>
      <c r="AF109">
        <v>69.37</v>
      </c>
      <c r="AG109">
        <v>90.53</v>
      </c>
      <c r="AH109">
        <v>184.18</v>
      </c>
      <c r="AI109">
        <v>476</v>
      </c>
      <c r="AJ109">
        <v>130.63999999999999</v>
      </c>
      <c r="AK109">
        <v>219</v>
      </c>
      <c r="AL109">
        <v>130.22</v>
      </c>
      <c r="AM109">
        <v>61</v>
      </c>
      <c r="AN109">
        <v>64.209999999999994</v>
      </c>
      <c r="AO109" s="499">
        <v>64.14</v>
      </c>
      <c r="AP109" s="499">
        <v>63.25</v>
      </c>
      <c r="AQ109">
        <v>127.46</v>
      </c>
      <c r="AR109">
        <v>4</v>
      </c>
      <c r="AS109">
        <v>67.69</v>
      </c>
      <c r="AT109">
        <v>59.34</v>
      </c>
      <c r="AU109">
        <v>13.9</v>
      </c>
      <c r="AV109">
        <v>79.599999999999994</v>
      </c>
      <c r="AW109">
        <v>14</v>
      </c>
      <c r="AX109">
        <v>77.98</v>
      </c>
      <c r="AY109">
        <v>75.44</v>
      </c>
      <c r="AZ109">
        <v>10.07</v>
      </c>
      <c r="BA109">
        <v>87.7</v>
      </c>
      <c r="BB109">
        <v>962</v>
      </c>
      <c r="BC109">
        <v>90.01</v>
      </c>
      <c r="BD109">
        <v>87.65</v>
      </c>
      <c r="BE109">
        <v>7.49</v>
      </c>
      <c r="BF109">
        <v>96.54</v>
      </c>
      <c r="BG109">
        <v>1334</v>
      </c>
      <c r="BH109">
        <v>99.57</v>
      </c>
      <c r="BI109">
        <v>96.71</v>
      </c>
      <c r="BJ109">
        <v>2.5099999999999998</v>
      </c>
      <c r="BK109">
        <v>100.68</v>
      </c>
      <c r="BL109" s="214">
        <v>907</v>
      </c>
      <c r="BM109" s="214">
        <v>119.81</v>
      </c>
      <c r="BN109">
        <v>115.97</v>
      </c>
      <c r="BO109" s="187">
        <v>2.97</v>
      </c>
      <c r="BP109" s="214">
        <v>121.98</v>
      </c>
      <c r="BQ109" s="214">
        <v>208</v>
      </c>
      <c r="BR109">
        <v>136.01</v>
      </c>
      <c r="BS109" s="187">
        <v>132.13999999999999</v>
      </c>
      <c r="BT109" s="214">
        <v>2.23</v>
      </c>
      <c r="BU109" s="214">
        <v>137.19999999999999</v>
      </c>
      <c r="BV109">
        <v>15</v>
      </c>
      <c r="BW109">
        <v>0</v>
      </c>
      <c r="BX109" s="214">
        <v>0</v>
      </c>
      <c r="BY109" s="214">
        <v>0</v>
      </c>
      <c r="BZ109">
        <v>0</v>
      </c>
      <c r="CA109" s="187">
        <v>0</v>
      </c>
      <c r="CB109" s="214">
        <v>91.08</v>
      </c>
      <c r="CC109" s="214">
        <v>88.41</v>
      </c>
      <c r="CD109">
        <v>7.4</v>
      </c>
      <c r="CE109" s="187">
        <v>96.81</v>
      </c>
      <c r="CF109" s="214">
        <v>3440</v>
      </c>
      <c r="CG109" s="214">
        <v>91.05</v>
      </c>
      <c r="CH109">
        <v>88.38</v>
      </c>
      <c r="CI109">
        <v>7.48</v>
      </c>
      <c r="CJ109">
        <v>96.84</v>
      </c>
      <c r="CK109">
        <v>3444</v>
      </c>
      <c r="CL109">
        <v>80.56</v>
      </c>
      <c r="CM109">
        <v>64.77</v>
      </c>
      <c r="CN109" s="187">
        <v>126.48</v>
      </c>
      <c r="CO109">
        <v>204.48</v>
      </c>
      <c r="CP109">
        <v>247</v>
      </c>
      <c r="CQ109">
        <v>73.59</v>
      </c>
      <c r="CR109">
        <v>62.52</v>
      </c>
      <c r="CS109" s="187">
        <v>95.55</v>
      </c>
      <c r="CT109">
        <v>169.14</v>
      </c>
      <c r="CU109">
        <v>18</v>
      </c>
      <c r="CV109">
        <v>117.46</v>
      </c>
      <c r="CW109">
        <v>75.290000000000006</v>
      </c>
      <c r="CX109" s="187">
        <v>49.24</v>
      </c>
      <c r="CY109">
        <v>164.47</v>
      </c>
      <c r="CZ109">
        <v>198</v>
      </c>
      <c r="DA109">
        <v>96.5</v>
      </c>
      <c r="DB109">
        <v>79.88</v>
      </c>
      <c r="DC109" s="187">
        <v>10.84</v>
      </c>
      <c r="DD109">
        <v>107.34</v>
      </c>
      <c r="DE109">
        <v>12</v>
      </c>
      <c r="DF109">
        <v>0</v>
      </c>
      <c r="DG109">
        <v>0</v>
      </c>
      <c r="DH109" s="187">
        <v>0</v>
      </c>
      <c r="DI109">
        <v>0</v>
      </c>
      <c r="DJ109">
        <v>0</v>
      </c>
      <c r="DK109">
        <v>207.5</v>
      </c>
      <c r="DL109">
        <v>0</v>
      </c>
      <c r="DM109" s="187">
        <v>60.34</v>
      </c>
      <c r="DN109">
        <v>267.83999999999997</v>
      </c>
      <c r="DO109">
        <v>1</v>
      </c>
      <c r="DP109">
        <v>113.31</v>
      </c>
      <c r="DQ109">
        <v>75.03</v>
      </c>
      <c r="DR109" s="187">
        <v>50.99</v>
      </c>
      <c r="DS109">
        <v>162.29</v>
      </c>
      <c r="DT109">
        <v>229</v>
      </c>
      <c r="DU109">
        <v>96.32</v>
      </c>
      <c r="DV109">
        <v>69.37</v>
      </c>
      <c r="DW109" s="187">
        <v>90.53</v>
      </c>
      <c r="DX109">
        <v>184.18</v>
      </c>
      <c r="DY109">
        <v>476</v>
      </c>
      <c r="DZ109">
        <v>0</v>
      </c>
      <c r="EA109">
        <v>0</v>
      </c>
      <c r="EB109" s="187">
        <v>0</v>
      </c>
      <c r="EC109">
        <v>0</v>
      </c>
      <c r="ED109">
        <v>111.72</v>
      </c>
      <c r="EE109">
        <v>73</v>
      </c>
      <c r="EF109">
        <v>135.53</v>
      </c>
      <c r="EG109" s="187">
        <v>106</v>
      </c>
      <c r="EH109">
        <v>150.97</v>
      </c>
      <c r="EI109">
        <v>37</v>
      </c>
      <c r="EJ109">
        <v>142.01</v>
      </c>
      <c r="EK109">
        <v>2</v>
      </c>
      <c r="EL109" s="187">
        <v>218.93</v>
      </c>
      <c r="EM109">
        <v>1</v>
      </c>
      <c r="EN109">
        <v>0</v>
      </c>
      <c r="EO109">
        <v>0</v>
      </c>
      <c r="EP109">
        <v>130.63999999999999</v>
      </c>
      <c r="EQ109" s="187">
        <v>219</v>
      </c>
      <c r="ER109">
        <v>130.63999999999999</v>
      </c>
      <c r="ES109">
        <v>219</v>
      </c>
      <c r="ET109">
        <v>0</v>
      </c>
      <c r="EU109">
        <v>0</v>
      </c>
      <c r="EV109" s="187">
        <v>0</v>
      </c>
      <c r="EW109">
        <v>0</v>
      </c>
      <c r="EX109">
        <v>128.62</v>
      </c>
      <c r="EY109">
        <v>32</v>
      </c>
      <c r="EZ109">
        <v>131.99</v>
      </c>
      <c r="FA109" s="187">
        <v>29</v>
      </c>
      <c r="FB109">
        <v>0</v>
      </c>
      <c r="FC109">
        <v>0</v>
      </c>
      <c r="FD109">
        <v>0</v>
      </c>
      <c r="FE109">
        <v>0</v>
      </c>
      <c r="FF109" s="187">
        <v>130.22</v>
      </c>
      <c r="FG109">
        <v>61</v>
      </c>
      <c r="FH109">
        <v>130.22</v>
      </c>
      <c r="FI109">
        <v>61</v>
      </c>
      <c r="FJ109">
        <v>0</v>
      </c>
      <c r="FK109" s="187">
        <v>0</v>
      </c>
      <c r="FL109">
        <v>1</v>
      </c>
      <c r="FM109">
        <v>52</v>
      </c>
      <c r="FN109">
        <v>15</v>
      </c>
    </row>
    <row r="110" spans="1:170" x14ac:dyDescent="0.35">
      <c r="A110" t="s">
        <v>609</v>
      </c>
      <c r="B110" t="s">
        <v>610</v>
      </c>
      <c r="C110" t="s">
        <v>2</v>
      </c>
      <c r="D110">
        <v>1538</v>
      </c>
      <c r="E110">
        <v>1526</v>
      </c>
      <c r="F110">
        <v>0</v>
      </c>
      <c r="G110">
        <v>0</v>
      </c>
      <c r="H110">
        <v>187</v>
      </c>
      <c r="I110">
        <v>114</v>
      </c>
      <c r="J110">
        <v>183</v>
      </c>
      <c r="K110">
        <v>112</v>
      </c>
      <c r="L110">
        <v>252</v>
      </c>
      <c r="M110">
        <v>0</v>
      </c>
      <c r="N110">
        <v>2160</v>
      </c>
      <c r="O110">
        <v>1752</v>
      </c>
      <c r="P110">
        <v>1908</v>
      </c>
      <c r="Q110">
        <v>3</v>
      </c>
      <c r="R110">
        <v>6</v>
      </c>
      <c r="S110">
        <v>27</v>
      </c>
      <c r="T110">
        <v>145</v>
      </c>
      <c r="U110">
        <v>2015</v>
      </c>
      <c r="V110" s="498">
        <v>1526</v>
      </c>
      <c r="W110">
        <v>10</v>
      </c>
      <c r="X110" s="498">
        <v>2</v>
      </c>
      <c r="Y110" s="498">
        <v>12</v>
      </c>
      <c r="Z110" s="498">
        <v>108.99</v>
      </c>
      <c r="AA110" s="498">
        <v>105.66</v>
      </c>
      <c r="AB110">
        <v>8.7799999999999994</v>
      </c>
      <c r="AC110">
        <v>115.36</v>
      </c>
      <c r="AD110">
        <v>1070</v>
      </c>
      <c r="AE110">
        <v>111.57</v>
      </c>
      <c r="AF110">
        <v>89.31</v>
      </c>
      <c r="AG110">
        <v>61.1</v>
      </c>
      <c r="AH110">
        <v>171.9</v>
      </c>
      <c r="AI110">
        <v>237</v>
      </c>
      <c r="AJ110">
        <v>152.22999999999999</v>
      </c>
      <c r="AK110">
        <v>366</v>
      </c>
      <c r="AL110">
        <v>0</v>
      </c>
      <c r="AM110">
        <v>0</v>
      </c>
      <c r="AN110">
        <v>0</v>
      </c>
      <c r="AO110" s="499">
        <v>0</v>
      </c>
      <c r="AP110" s="499">
        <v>0</v>
      </c>
      <c r="AQ110">
        <v>0</v>
      </c>
      <c r="AR110">
        <v>0</v>
      </c>
      <c r="AS110">
        <v>0</v>
      </c>
      <c r="AT110">
        <v>0</v>
      </c>
      <c r="AU110">
        <v>0</v>
      </c>
      <c r="AV110">
        <v>0</v>
      </c>
      <c r="AW110">
        <v>0</v>
      </c>
      <c r="AX110">
        <v>89.5</v>
      </c>
      <c r="AY110">
        <v>86.26</v>
      </c>
      <c r="AZ110">
        <v>10.36</v>
      </c>
      <c r="BA110">
        <v>98.29</v>
      </c>
      <c r="BB110">
        <v>204</v>
      </c>
      <c r="BC110">
        <v>106.71</v>
      </c>
      <c r="BD110">
        <v>103.23</v>
      </c>
      <c r="BE110">
        <v>10.35</v>
      </c>
      <c r="BF110">
        <v>115.26</v>
      </c>
      <c r="BG110">
        <v>524</v>
      </c>
      <c r="BH110">
        <v>122.69</v>
      </c>
      <c r="BI110">
        <v>119.05</v>
      </c>
      <c r="BJ110">
        <v>3.22</v>
      </c>
      <c r="BK110">
        <v>124.26</v>
      </c>
      <c r="BL110" s="214">
        <v>316</v>
      </c>
      <c r="BM110" s="214">
        <v>141.35</v>
      </c>
      <c r="BN110">
        <v>138.35</v>
      </c>
      <c r="BO110" s="187">
        <v>2.86</v>
      </c>
      <c r="BP110" s="214">
        <v>142.99</v>
      </c>
      <c r="BQ110" s="214">
        <v>26</v>
      </c>
      <c r="BR110">
        <v>0</v>
      </c>
      <c r="BS110" s="187">
        <v>0</v>
      </c>
      <c r="BT110" s="214">
        <v>0</v>
      </c>
      <c r="BU110" s="214">
        <v>0</v>
      </c>
      <c r="BV110">
        <v>0</v>
      </c>
      <c r="BW110">
        <v>0</v>
      </c>
      <c r="BX110" s="214">
        <v>0</v>
      </c>
      <c r="BY110" s="214">
        <v>0</v>
      </c>
      <c r="BZ110">
        <v>0</v>
      </c>
      <c r="CA110" s="187">
        <v>0</v>
      </c>
      <c r="CB110" s="214">
        <v>108.99</v>
      </c>
      <c r="CC110" s="214">
        <v>105.66</v>
      </c>
      <c r="CD110">
        <v>8.7799999999999994</v>
      </c>
      <c r="CE110" s="187">
        <v>115.36</v>
      </c>
      <c r="CF110" s="214">
        <v>1070</v>
      </c>
      <c r="CG110" s="214">
        <v>108.99</v>
      </c>
      <c r="CH110">
        <v>105.66</v>
      </c>
      <c r="CI110">
        <v>8.7799999999999994</v>
      </c>
      <c r="CJ110">
        <v>115.36</v>
      </c>
      <c r="CK110">
        <v>1070</v>
      </c>
      <c r="CL110">
        <v>97.76</v>
      </c>
      <c r="CM110">
        <v>86.35</v>
      </c>
      <c r="CN110" s="187">
        <v>54.9</v>
      </c>
      <c r="CO110">
        <v>150.69999999999999</v>
      </c>
      <c r="CP110">
        <v>84</v>
      </c>
      <c r="CQ110">
        <v>79.56</v>
      </c>
      <c r="CR110">
        <v>73.64</v>
      </c>
      <c r="CS110" s="187">
        <v>40.43</v>
      </c>
      <c r="CT110">
        <v>119.99</v>
      </c>
      <c r="CU110">
        <v>30</v>
      </c>
      <c r="CV110">
        <v>129.93</v>
      </c>
      <c r="CW110">
        <v>94.8</v>
      </c>
      <c r="CX110" s="187">
        <v>66.41</v>
      </c>
      <c r="CY110">
        <v>196.33</v>
      </c>
      <c r="CZ110">
        <v>113</v>
      </c>
      <c r="DA110">
        <v>116.25</v>
      </c>
      <c r="DB110">
        <v>111.46</v>
      </c>
      <c r="DC110" s="187">
        <v>113.43</v>
      </c>
      <c r="DD110">
        <v>229.67</v>
      </c>
      <c r="DE110">
        <v>10</v>
      </c>
      <c r="DF110">
        <v>0</v>
      </c>
      <c r="DG110">
        <v>0</v>
      </c>
      <c r="DH110" s="187">
        <v>0</v>
      </c>
      <c r="DI110">
        <v>0</v>
      </c>
      <c r="DJ110">
        <v>0</v>
      </c>
      <c r="DK110">
        <v>0</v>
      </c>
      <c r="DL110">
        <v>0</v>
      </c>
      <c r="DM110" s="187">
        <v>0</v>
      </c>
      <c r="DN110">
        <v>0</v>
      </c>
      <c r="DO110">
        <v>0</v>
      </c>
      <c r="DP110">
        <v>119.16</v>
      </c>
      <c r="DQ110">
        <v>90.69</v>
      </c>
      <c r="DR110" s="187">
        <v>64.39</v>
      </c>
      <c r="DS110">
        <v>183.54</v>
      </c>
      <c r="DT110">
        <v>153</v>
      </c>
      <c r="DU110">
        <v>111.57</v>
      </c>
      <c r="DV110">
        <v>89.31</v>
      </c>
      <c r="DW110" s="187">
        <v>61.1</v>
      </c>
      <c r="DX110">
        <v>171.9</v>
      </c>
      <c r="DY110">
        <v>237</v>
      </c>
      <c r="DZ110">
        <v>0</v>
      </c>
      <c r="EA110">
        <v>0</v>
      </c>
      <c r="EB110" s="187">
        <v>0</v>
      </c>
      <c r="EC110">
        <v>0</v>
      </c>
      <c r="ED110">
        <v>120.26</v>
      </c>
      <c r="EE110">
        <v>74</v>
      </c>
      <c r="EF110">
        <v>148.25</v>
      </c>
      <c r="EG110" s="187">
        <v>187</v>
      </c>
      <c r="EH110">
        <v>174.4</v>
      </c>
      <c r="EI110">
        <v>91</v>
      </c>
      <c r="EJ110">
        <v>230.34</v>
      </c>
      <c r="EK110">
        <v>14</v>
      </c>
      <c r="EL110" s="187">
        <v>0</v>
      </c>
      <c r="EM110">
        <v>0</v>
      </c>
      <c r="EN110">
        <v>0</v>
      </c>
      <c r="EO110">
        <v>0</v>
      </c>
      <c r="EP110">
        <v>152.22999999999999</v>
      </c>
      <c r="EQ110" s="187">
        <v>366</v>
      </c>
      <c r="ER110">
        <v>152.22999999999999</v>
      </c>
      <c r="ES110">
        <v>366</v>
      </c>
      <c r="ET110">
        <v>0</v>
      </c>
      <c r="EU110">
        <v>0</v>
      </c>
      <c r="EV110" s="187">
        <v>0</v>
      </c>
      <c r="EW110">
        <v>0</v>
      </c>
      <c r="EX110">
        <v>0</v>
      </c>
      <c r="EY110">
        <v>0</v>
      </c>
      <c r="EZ110">
        <v>0</v>
      </c>
      <c r="FA110" s="187">
        <v>0</v>
      </c>
      <c r="FB110">
        <v>0</v>
      </c>
      <c r="FC110">
        <v>0</v>
      </c>
      <c r="FD110">
        <v>0</v>
      </c>
      <c r="FE110">
        <v>0</v>
      </c>
      <c r="FF110" s="187">
        <v>0</v>
      </c>
      <c r="FG110">
        <v>0</v>
      </c>
      <c r="FH110">
        <v>0</v>
      </c>
      <c r="FI110">
        <v>0</v>
      </c>
      <c r="FJ110">
        <v>25</v>
      </c>
      <c r="FK110" s="187">
        <v>1</v>
      </c>
      <c r="FL110">
        <v>0</v>
      </c>
      <c r="FM110">
        <v>16</v>
      </c>
      <c r="FN110">
        <v>15</v>
      </c>
    </row>
    <row r="111" spans="1:170" x14ac:dyDescent="0.35">
      <c r="A111" t="s">
        <v>611</v>
      </c>
      <c r="B111" t="s">
        <v>612</v>
      </c>
      <c r="C111" t="s">
        <v>415</v>
      </c>
      <c r="D111">
        <v>4853</v>
      </c>
      <c r="E111">
        <v>4853</v>
      </c>
      <c r="F111">
        <v>0</v>
      </c>
      <c r="G111">
        <v>0</v>
      </c>
      <c r="H111">
        <v>250</v>
      </c>
      <c r="I111">
        <v>197</v>
      </c>
      <c r="J111">
        <v>756</v>
      </c>
      <c r="K111">
        <v>735</v>
      </c>
      <c r="L111">
        <v>219</v>
      </c>
      <c r="M111">
        <v>1</v>
      </c>
      <c r="N111">
        <v>6078</v>
      </c>
      <c r="O111">
        <v>5786</v>
      </c>
      <c r="P111">
        <v>5859</v>
      </c>
      <c r="Q111">
        <v>3</v>
      </c>
      <c r="R111">
        <v>5</v>
      </c>
      <c r="S111">
        <v>27</v>
      </c>
      <c r="T111">
        <v>48</v>
      </c>
      <c r="U111">
        <v>6030</v>
      </c>
      <c r="V111" s="498">
        <v>4853</v>
      </c>
      <c r="W111">
        <v>23</v>
      </c>
      <c r="X111" s="498">
        <v>30</v>
      </c>
      <c r="Y111" s="498">
        <v>53</v>
      </c>
      <c r="Z111" s="498">
        <v>91.53</v>
      </c>
      <c r="AA111" s="498">
        <v>88.5</v>
      </c>
      <c r="AB111">
        <v>5.87</v>
      </c>
      <c r="AC111">
        <v>94.32</v>
      </c>
      <c r="AD111">
        <v>4373</v>
      </c>
      <c r="AE111">
        <v>99.89</v>
      </c>
      <c r="AF111">
        <v>83.22</v>
      </c>
      <c r="AG111">
        <v>50.34</v>
      </c>
      <c r="AH111">
        <v>148.33000000000001</v>
      </c>
      <c r="AI111">
        <v>898</v>
      </c>
      <c r="AJ111">
        <v>115.58</v>
      </c>
      <c r="AK111">
        <v>429</v>
      </c>
      <c r="AL111">
        <v>241.75</v>
      </c>
      <c r="AM111">
        <v>60</v>
      </c>
      <c r="AN111">
        <v>0</v>
      </c>
      <c r="AO111" s="499">
        <v>0</v>
      </c>
      <c r="AP111" s="499">
        <v>0</v>
      </c>
      <c r="AQ111">
        <v>0</v>
      </c>
      <c r="AR111">
        <v>0</v>
      </c>
      <c r="AS111">
        <v>64.709999999999994</v>
      </c>
      <c r="AT111">
        <v>66.75</v>
      </c>
      <c r="AU111">
        <v>6.32</v>
      </c>
      <c r="AV111">
        <v>71.03</v>
      </c>
      <c r="AW111">
        <v>9</v>
      </c>
      <c r="AX111">
        <v>80.87</v>
      </c>
      <c r="AY111">
        <v>78.13</v>
      </c>
      <c r="AZ111">
        <v>7.91</v>
      </c>
      <c r="BA111">
        <v>86.03</v>
      </c>
      <c r="BB111">
        <v>1001</v>
      </c>
      <c r="BC111">
        <v>90.16</v>
      </c>
      <c r="BD111">
        <v>87.28</v>
      </c>
      <c r="BE111">
        <v>5.19</v>
      </c>
      <c r="BF111">
        <v>92.95</v>
      </c>
      <c r="BG111">
        <v>1866</v>
      </c>
      <c r="BH111">
        <v>99.71</v>
      </c>
      <c r="BI111">
        <v>96.23</v>
      </c>
      <c r="BJ111">
        <v>4.49</v>
      </c>
      <c r="BK111">
        <v>100.92</v>
      </c>
      <c r="BL111" s="214">
        <v>1383</v>
      </c>
      <c r="BM111" s="214">
        <v>110.39</v>
      </c>
      <c r="BN111">
        <v>106.92</v>
      </c>
      <c r="BO111" s="187">
        <v>2.56</v>
      </c>
      <c r="BP111" s="214">
        <v>111.33</v>
      </c>
      <c r="BQ111" s="214">
        <v>114</v>
      </c>
      <c r="BR111">
        <v>0</v>
      </c>
      <c r="BS111" s="187">
        <v>0</v>
      </c>
      <c r="BT111" s="214">
        <v>0</v>
      </c>
      <c r="BU111" s="214">
        <v>0</v>
      </c>
      <c r="BV111">
        <v>0</v>
      </c>
      <c r="BW111">
        <v>0</v>
      </c>
      <c r="BX111" s="214">
        <v>0</v>
      </c>
      <c r="BY111" s="214">
        <v>0</v>
      </c>
      <c r="BZ111">
        <v>0</v>
      </c>
      <c r="CA111" s="187">
        <v>0</v>
      </c>
      <c r="CB111" s="214">
        <v>91.53</v>
      </c>
      <c r="CC111" s="214">
        <v>88.5</v>
      </c>
      <c r="CD111">
        <v>5.87</v>
      </c>
      <c r="CE111" s="187">
        <v>94.32</v>
      </c>
      <c r="CF111" s="214">
        <v>4373</v>
      </c>
      <c r="CG111" s="214">
        <v>91.53</v>
      </c>
      <c r="CH111">
        <v>88.5</v>
      </c>
      <c r="CI111">
        <v>5.87</v>
      </c>
      <c r="CJ111">
        <v>94.32</v>
      </c>
      <c r="CK111">
        <v>4373</v>
      </c>
      <c r="CL111">
        <v>124.69</v>
      </c>
      <c r="CM111">
        <v>79.900000000000006</v>
      </c>
      <c r="CN111" s="187">
        <v>90.94</v>
      </c>
      <c r="CO111">
        <v>205.3</v>
      </c>
      <c r="CP111">
        <v>141</v>
      </c>
      <c r="CQ111">
        <v>111.42</v>
      </c>
      <c r="CR111">
        <v>71.41</v>
      </c>
      <c r="CS111" s="187">
        <v>29.57</v>
      </c>
      <c r="CT111">
        <v>132.54</v>
      </c>
      <c r="CU111">
        <v>42</v>
      </c>
      <c r="CV111">
        <v>92.89</v>
      </c>
      <c r="CW111">
        <v>82.74</v>
      </c>
      <c r="CX111" s="187">
        <v>44.54</v>
      </c>
      <c r="CY111">
        <v>137.29</v>
      </c>
      <c r="CZ111">
        <v>653</v>
      </c>
      <c r="DA111">
        <v>109.9</v>
      </c>
      <c r="DB111">
        <v>97.3</v>
      </c>
      <c r="DC111" s="187">
        <v>39.31</v>
      </c>
      <c r="DD111">
        <v>146.55000000000001</v>
      </c>
      <c r="DE111">
        <v>59</v>
      </c>
      <c r="DF111">
        <v>101.62</v>
      </c>
      <c r="DG111">
        <v>100.14</v>
      </c>
      <c r="DH111" s="187">
        <v>27.88</v>
      </c>
      <c r="DI111">
        <v>129.5</v>
      </c>
      <c r="DJ111">
        <v>3</v>
      </c>
      <c r="DK111">
        <v>0</v>
      </c>
      <c r="DL111">
        <v>0</v>
      </c>
      <c r="DM111" s="187">
        <v>0</v>
      </c>
      <c r="DN111">
        <v>0</v>
      </c>
      <c r="DO111">
        <v>0</v>
      </c>
      <c r="DP111">
        <v>95.28</v>
      </c>
      <c r="DQ111">
        <v>83.51</v>
      </c>
      <c r="DR111" s="187">
        <v>43.47</v>
      </c>
      <c r="DS111">
        <v>137.72</v>
      </c>
      <c r="DT111">
        <v>757</v>
      </c>
      <c r="DU111">
        <v>99.89</v>
      </c>
      <c r="DV111">
        <v>83.22</v>
      </c>
      <c r="DW111" s="187">
        <v>50.34</v>
      </c>
      <c r="DX111">
        <v>148.33000000000001</v>
      </c>
      <c r="DY111">
        <v>898</v>
      </c>
      <c r="DZ111">
        <v>0</v>
      </c>
      <c r="EA111">
        <v>0</v>
      </c>
      <c r="EB111" s="187">
        <v>0</v>
      </c>
      <c r="EC111">
        <v>0</v>
      </c>
      <c r="ED111">
        <v>90.31</v>
      </c>
      <c r="EE111">
        <v>55</v>
      </c>
      <c r="EF111">
        <v>111.75</v>
      </c>
      <c r="EG111" s="187">
        <v>217</v>
      </c>
      <c r="EH111">
        <v>127.1</v>
      </c>
      <c r="EI111">
        <v>139</v>
      </c>
      <c r="EJ111">
        <v>150.1</v>
      </c>
      <c r="EK111">
        <v>18</v>
      </c>
      <c r="EL111" s="187">
        <v>0</v>
      </c>
      <c r="EM111">
        <v>0</v>
      </c>
      <c r="EN111">
        <v>0</v>
      </c>
      <c r="EO111">
        <v>0</v>
      </c>
      <c r="EP111">
        <v>115.58</v>
      </c>
      <c r="EQ111" s="187">
        <v>429</v>
      </c>
      <c r="ER111">
        <v>115.58</v>
      </c>
      <c r="ES111">
        <v>429</v>
      </c>
      <c r="ET111">
        <v>0</v>
      </c>
      <c r="EU111">
        <v>0</v>
      </c>
      <c r="EV111" s="187">
        <v>0</v>
      </c>
      <c r="EW111">
        <v>0</v>
      </c>
      <c r="EX111">
        <v>233.14</v>
      </c>
      <c r="EY111">
        <v>47</v>
      </c>
      <c r="EZ111">
        <v>272.89999999999998</v>
      </c>
      <c r="FA111" s="187">
        <v>13</v>
      </c>
      <c r="FB111">
        <v>0</v>
      </c>
      <c r="FC111">
        <v>0</v>
      </c>
      <c r="FD111">
        <v>0</v>
      </c>
      <c r="FE111">
        <v>0</v>
      </c>
      <c r="FF111" s="187">
        <v>241.75</v>
      </c>
      <c r="FG111">
        <v>60</v>
      </c>
      <c r="FH111">
        <v>241.75</v>
      </c>
      <c r="FI111">
        <v>60</v>
      </c>
      <c r="FJ111">
        <v>0</v>
      </c>
      <c r="FK111" s="187">
        <v>9</v>
      </c>
      <c r="FL111">
        <v>0</v>
      </c>
      <c r="FM111">
        <v>49</v>
      </c>
      <c r="FN111">
        <v>4</v>
      </c>
    </row>
    <row r="112" spans="1:170" x14ac:dyDescent="0.35">
      <c r="A112" t="s">
        <v>613</v>
      </c>
      <c r="B112" t="s">
        <v>614</v>
      </c>
      <c r="C112" t="s">
        <v>2</v>
      </c>
      <c r="D112">
        <v>1610</v>
      </c>
      <c r="E112">
        <v>1481</v>
      </c>
      <c r="F112">
        <v>0</v>
      </c>
      <c r="G112">
        <v>0</v>
      </c>
      <c r="H112">
        <v>168</v>
      </c>
      <c r="I112">
        <v>113</v>
      </c>
      <c r="J112">
        <v>264</v>
      </c>
      <c r="K112">
        <v>276</v>
      </c>
      <c r="L112">
        <v>302</v>
      </c>
      <c r="M112">
        <v>23</v>
      </c>
      <c r="N112">
        <v>2344</v>
      </c>
      <c r="O112">
        <v>1893</v>
      </c>
      <c r="P112">
        <v>2042</v>
      </c>
      <c r="Q112">
        <v>16</v>
      </c>
      <c r="R112">
        <v>11</v>
      </c>
      <c r="S112">
        <v>24</v>
      </c>
      <c r="T112">
        <v>227</v>
      </c>
      <c r="U112">
        <v>2117</v>
      </c>
      <c r="V112" s="498">
        <v>1449</v>
      </c>
      <c r="W112">
        <v>5</v>
      </c>
      <c r="X112" s="498">
        <v>6</v>
      </c>
      <c r="Y112" s="498">
        <v>11</v>
      </c>
      <c r="Z112" s="498">
        <v>96.64</v>
      </c>
      <c r="AA112" s="498">
        <v>95.04</v>
      </c>
      <c r="AB112">
        <v>8.6199999999999992</v>
      </c>
      <c r="AC112">
        <v>102.84</v>
      </c>
      <c r="AD112">
        <v>1203</v>
      </c>
      <c r="AE112">
        <v>101.69</v>
      </c>
      <c r="AF112">
        <v>81.05</v>
      </c>
      <c r="AG112">
        <v>51.98</v>
      </c>
      <c r="AH112">
        <v>153.24</v>
      </c>
      <c r="AI112">
        <v>359</v>
      </c>
      <c r="AJ112">
        <v>141.49</v>
      </c>
      <c r="AK112">
        <v>223</v>
      </c>
      <c r="AL112">
        <v>76.430000000000007</v>
      </c>
      <c r="AM112">
        <v>7</v>
      </c>
      <c r="AN112">
        <v>0</v>
      </c>
      <c r="AO112" s="499">
        <v>0</v>
      </c>
      <c r="AP112" s="499">
        <v>0</v>
      </c>
      <c r="AQ112">
        <v>0</v>
      </c>
      <c r="AR112">
        <v>0</v>
      </c>
      <c r="AS112">
        <v>0</v>
      </c>
      <c r="AT112">
        <v>0</v>
      </c>
      <c r="AU112">
        <v>0</v>
      </c>
      <c r="AV112">
        <v>0</v>
      </c>
      <c r="AW112">
        <v>0</v>
      </c>
      <c r="AX112">
        <v>76.63</v>
      </c>
      <c r="AY112">
        <v>77.75</v>
      </c>
      <c r="AZ112">
        <v>11.85</v>
      </c>
      <c r="BA112">
        <v>87</v>
      </c>
      <c r="BB112">
        <v>257</v>
      </c>
      <c r="BC112">
        <v>97.47</v>
      </c>
      <c r="BD112">
        <v>94.72</v>
      </c>
      <c r="BE112">
        <v>9.32</v>
      </c>
      <c r="BF112">
        <v>104.48</v>
      </c>
      <c r="BG112">
        <v>575</v>
      </c>
      <c r="BH112">
        <v>107.8</v>
      </c>
      <c r="BI112">
        <v>105.75</v>
      </c>
      <c r="BJ112">
        <v>3.71</v>
      </c>
      <c r="BK112">
        <v>110</v>
      </c>
      <c r="BL112" s="214">
        <v>327</v>
      </c>
      <c r="BM112" s="214">
        <v>118.82</v>
      </c>
      <c r="BN112">
        <v>120.07</v>
      </c>
      <c r="BO112" s="187">
        <v>2.87</v>
      </c>
      <c r="BP112" s="214">
        <v>119.73</v>
      </c>
      <c r="BQ112" s="214">
        <v>41</v>
      </c>
      <c r="BR112">
        <v>133.66</v>
      </c>
      <c r="BS112" s="187">
        <v>126.86</v>
      </c>
      <c r="BT112" s="214">
        <v>0</v>
      </c>
      <c r="BU112" s="214">
        <v>133.66</v>
      </c>
      <c r="BV112">
        <v>2</v>
      </c>
      <c r="BW112">
        <v>130.09</v>
      </c>
      <c r="BX112" s="214">
        <v>130.1</v>
      </c>
      <c r="BY112" s="214">
        <v>2.44</v>
      </c>
      <c r="BZ112">
        <v>132.53</v>
      </c>
      <c r="CA112" s="187">
        <v>1</v>
      </c>
      <c r="CB112" s="214">
        <v>96.64</v>
      </c>
      <c r="CC112" s="214">
        <v>95.04</v>
      </c>
      <c r="CD112">
        <v>8.6199999999999992</v>
      </c>
      <c r="CE112" s="187">
        <v>102.84</v>
      </c>
      <c r="CF112" s="214">
        <v>1203</v>
      </c>
      <c r="CG112" s="214">
        <v>96.64</v>
      </c>
      <c r="CH112">
        <v>95.04</v>
      </c>
      <c r="CI112">
        <v>8.6199999999999992</v>
      </c>
      <c r="CJ112">
        <v>102.84</v>
      </c>
      <c r="CK112">
        <v>1203</v>
      </c>
      <c r="CL112">
        <v>150.69999999999999</v>
      </c>
      <c r="CM112">
        <v>76.41</v>
      </c>
      <c r="CN112" s="187">
        <v>78.989999999999995</v>
      </c>
      <c r="CO112">
        <v>228.26</v>
      </c>
      <c r="CP112">
        <v>55</v>
      </c>
      <c r="CQ112">
        <v>71.930000000000007</v>
      </c>
      <c r="CR112">
        <v>65.39</v>
      </c>
      <c r="CS112" s="187">
        <v>34.4</v>
      </c>
      <c r="CT112">
        <v>106.33</v>
      </c>
      <c r="CU112">
        <v>46</v>
      </c>
      <c r="CV112">
        <v>96.46</v>
      </c>
      <c r="CW112">
        <v>84.02</v>
      </c>
      <c r="CX112" s="187">
        <v>49.66</v>
      </c>
      <c r="CY112">
        <v>145.91999999999999</v>
      </c>
      <c r="CZ112">
        <v>254</v>
      </c>
      <c r="DA112">
        <v>75.31</v>
      </c>
      <c r="DB112">
        <v>75.31</v>
      </c>
      <c r="DC112" s="187">
        <v>0</v>
      </c>
      <c r="DD112">
        <v>75.31</v>
      </c>
      <c r="DE112">
        <v>1</v>
      </c>
      <c r="DF112">
        <v>111.2</v>
      </c>
      <c r="DG112">
        <v>101.09</v>
      </c>
      <c r="DH112" s="187">
        <v>31.48</v>
      </c>
      <c r="DI112">
        <v>142.69</v>
      </c>
      <c r="DJ112">
        <v>3</v>
      </c>
      <c r="DK112">
        <v>0</v>
      </c>
      <c r="DL112">
        <v>0</v>
      </c>
      <c r="DM112" s="187">
        <v>0</v>
      </c>
      <c r="DN112">
        <v>0</v>
      </c>
      <c r="DO112">
        <v>0</v>
      </c>
      <c r="DP112">
        <v>92.83</v>
      </c>
      <c r="DQ112">
        <v>81.2</v>
      </c>
      <c r="DR112" s="187">
        <v>47.15</v>
      </c>
      <c r="DS112">
        <v>139.66999999999999</v>
      </c>
      <c r="DT112">
        <v>304</v>
      </c>
      <c r="DU112">
        <v>101.69</v>
      </c>
      <c r="DV112">
        <v>81.05</v>
      </c>
      <c r="DW112" s="187">
        <v>51.98</v>
      </c>
      <c r="DX112">
        <v>153.24</v>
      </c>
      <c r="DY112">
        <v>359</v>
      </c>
      <c r="DZ112">
        <v>0</v>
      </c>
      <c r="EA112">
        <v>0</v>
      </c>
      <c r="EB112" s="187">
        <v>0</v>
      </c>
      <c r="EC112">
        <v>0</v>
      </c>
      <c r="ED112">
        <v>116.86</v>
      </c>
      <c r="EE112">
        <v>20</v>
      </c>
      <c r="EF112">
        <v>128.5</v>
      </c>
      <c r="EG112" s="187">
        <v>97</v>
      </c>
      <c r="EH112">
        <v>145.65</v>
      </c>
      <c r="EI112">
        <v>72</v>
      </c>
      <c r="EJ112">
        <v>184.21</v>
      </c>
      <c r="EK112">
        <v>34</v>
      </c>
      <c r="EL112" s="187">
        <v>0</v>
      </c>
      <c r="EM112">
        <v>0</v>
      </c>
      <c r="EN112">
        <v>0</v>
      </c>
      <c r="EO112">
        <v>0</v>
      </c>
      <c r="EP112">
        <v>141.49</v>
      </c>
      <c r="EQ112" s="187">
        <v>223</v>
      </c>
      <c r="ER112">
        <v>141.49</v>
      </c>
      <c r="ES112">
        <v>223</v>
      </c>
      <c r="ET112">
        <v>0</v>
      </c>
      <c r="EU112">
        <v>0</v>
      </c>
      <c r="EV112" s="187">
        <v>0</v>
      </c>
      <c r="EW112">
        <v>0</v>
      </c>
      <c r="EX112">
        <v>76.430000000000007</v>
      </c>
      <c r="EY112">
        <v>7</v>
      </c>
      <c r="EZ112">
        <v>0</v>
      </c>
      <c r="FA112" s="187">
        <v>0</v>
      </c>
      <c r="FB112">
        <v>0</v>
      </c>
      <c r="FC112">
        <v>0</v>
      </c>
      <c r="FD112">
        <v>0</v>
      </c>
      <c r="FE112">
        <v>0</v>
      </c>
      <c r="FF112" s="187">
        <v>76.430000000000007</v>
      </c>
      <c r="FG112">
        <v>7</v>
      </c>
      <c r="FH112">
        <v>76.430000000000007</v>
      </c>
      <c r="FI112">
        <v>7</v>
      </c>
      <c r="FJ112">
        <v>0</v>
      </c>
      <c r="FK112" s="187">
        <v>1</v>
      </c>
      <c r="FL112">
        <v>0</v>
      </c>
      <c r="FM112">
        <v>6</v>
      </c>
      <c r="FN112">
        <v>6</v>
      </c>
    </row>
    <row r="113" spans="1:170" x14ac:dyDescent="0.35">
      <c r="A113" t="s">
        <v>615</v>
      </c>
      <c r="B113" t="s">
        <v>616</v>
      </c>
      <c r="C113" t="s">
        <v>419</v>
      </c>
      <c r="D113">
        <v>4342</v>
      </c>
      <c r="E113">
        <v>3931</v>
      </c>
      <c r="F113">
        <v>0</v>
      </c>
      <c r="G113">
        <v>0</v>
      </c>
      <c r="H113">
        <v>73</v>
      </c>
      <c r="I113">
        <v>33</v>
      </c>
      <c r="J113">
        <v>786</v>
      </c>
      <c r="K113">
        <v>764</v>
      </c>
      <c r="L113">
        <v>332</v>
      </c>
      <c r="M113">
        <v>2</v>
      </c>
      <c r="N113">
        <v>5533</v>
      </c>
      <c r="O113">
        <v>4730</v>
      </c>
      <c r="P113">
        <v>5201</v>
      </c>
      <c r="Q113">
        <v>9</v>
      </c>
      <c r="R113">
        <v>6</v>
      </c>
      <c r="S113">
        <v>19</v>
      </c>
      <c r="T113">
        <v>486</v>
      </c>
      <c r="U113">
        <v>5047</v>
      </c>
      <c r="V113" s="498">
        <v>3901</v>
      </c>
      <c r="W113">
        <v>16</v>
      </c>
      <c r="X113" s="498">
        <v>29</v>
      </c>
      <c r="Y113" s="498">
        <v>45</v>
      </c>
      <c r="Z113" s="498">
        <v>96.22</v>
      </c>
      <c r="AA113" s="498">
        <v>93</v>
      </c>
      <c r="AB113">
        <v>2.0499999999999998</v>
      </c>
      <c r="AC113">
        <v>98.01</v>
      </c>
      <c r="AD113">
        <v>3290</v>
      </c>
      <c r="AE113">
        <v>91.15</v>
      </c>
      <c r="AF113">
        <v>83.26</v>
      </c>
      <c r="AG113">
        <v>23.27</v>
      </c>
      <c r="AH113">
        <v>113.99</v>
      </c>
      <c r="AI113">
        <v>745</v>
      </c>
      <c r="AJ113">
        <v>118.63</v>
      </c>
      <c r="AK113">
        <v>625</v>
      </c>
      <c r="AL113">
        <v>215.09</v>
      </c>
      <c r="AM113">
        <v>79</v>
      </c>
      <c r="AN113">
        <v>0</v>
      </c>
      <c r="AO113" s="499">
        <v>0</v>
      </c>
      <c r="AP113" s="499">
        <v>0</v>
      </c>
      <c r="AQ113">
        <v>0</v>
      </c>
      <c r="AR113">
        <v>0</v>
      </c>
      <c r="AS113">
        <v>64.14</v>
      </c>
      <c r="AT113">
        <v>61.09</v>
      </c>
      <c r="AU113">
        <v>6.69</v>
      </c>
      <c r="AV113">
        <v>70.83</v>
      </c>
      <c r="AW113">
        <v>5</v>
      </c>
      <c r="AX113">
        <v>84.31</v>
      </c>
      <c r="AY113">
        <v>80.040000000000006</v>
      </c>
      <c r="AZ113">
        <v>3.38</v>
      </c>
      <c r="BA113">
        <v>87.52</v>
      </c>
      <c r="BB113">
        <v>697</v>
      </c>
      <c r="BC113">
        <v>94.19</v>
      </c>
      <c r="BD113">
        <v>90.37</v>
      </c>
      <c r="BE113">
        <v>2.3199999999999998</v>
      </c>
      <c r="BF113">
        <v>96.31</v>
      </c>
      <c r="BG113">
        <v>1171</v>
      </c>
      <c r="BH113">
        <v>103.51</v>
      </c>
      <c r="BI113">
        <v>101.29</v>
      </c>
      <c r="BJ113">
        <v>1.01</v>
      </c>
      <c r="BK113">
        <v>104.33</v>
      </c>
      <c r="BL113" s="214">
        <v>1365</v>
      </c>
      <c r="BM113" s="214">
        <v>112.81</v>
      </c>
      <c r="BN113">
        <v>111.17</v>
      </c>
      <c r="BO113" s="187">
        <v>1.06</v>
      </c>
      <c r="BP113" s="214">
        <v>113.73</v>
      </c>
      <c r="BQ113" s="214">
        <v>51</v>
      </c>
      <c r="BR113">
        <v>115.9</v>
      </c>
      <c r="BS113" s="187">
        <v>110.4</v>
      </c>
      <c r="BT113" s="214">
        <v>0</v>
      </c>
      <c r="BU113" s="214">
        <v>115.9</v>
      </c>
      <c r="BV113">
        <v>1</v>
      </c>
      <c r="BW113">
        <v>0</v>
      </c>
      <c r="BX113" s="214">
        <v>0</v>
      </c>
      <c r="BY113" s="214">
        <v>0</v>
      </c>
      <c r="BZ113">
        <v>0</v>
      </c>
      <c r="CA113" s="187">
        <v>0</v>
      </c>
      <c r="CB113" s="214">
        <v>96.22</v>
      </c>
      <c r="CC113" s="214">
        <v>93</v>
      </c>
      <c r="CD113">
        <v>2.0499999999999998</v>
      </c>
      <c r="CE113" s="187">
        <v>98.01</v>
      </c>
      <c r="CF113" s="214">
        <v>3290</v>
      </c>
      <c r="CG113" s="214">
        <v>96.22</v>
      </c>
      <c r="CH113">
        <v>93</v>
      </c>
      <c r="CI113">
        <v>2.0499999999999998</v>
      </c>
      <c r="CJ113">
        <v>98.01</v>
      </c>
      <c r="CK113">
        <v>3290</v>
      </c>
      <c r="CL113">
        <v>68.59</v>
      </c>
      <c r="CM113">
        <v>67.77</v>
      </c>
      <c r="CN113" s="187">
        <v>29.69</v>
      </c>
      <c r="CO113">
        <v>98.27</v>
      </c>
      <c r="CP113">
        <v>38</v>
      </c>
      <c r="CQ113">
        <v>77.92</v>
      </c>
      <c r="CR113">
        <v>71.680000000000007</v>
      </c>
      <c r="CS113" s="187">
        <v>34.03</v>
      </c>
      <c r="CT113">
        <v>109.11</v>
      </c>
      <c r="CU113">
        <v>48</v>
      </c>
      <c r="CV113">
        <v>92.71</v>
      </c>
      <c r="CW113">
        <v>84.14</v>
      </c>
      <c r="CX113" s="187">
        <v>22.46</v>
      </c>
      <c r="CY113">
        <v>114.8</v>
      </c>
      <c r="CZ113">
        <v>610</v>
      </c>
      <c r="DA113">
        <v>101.95</v>
      </c>
      <c r="DB113">
        <v>94.26</v>
      </c>
      <c r="DC113" s="187">
        <v>18.68</v>
      </c>
      <c r="DD113">
        <v>120.63</v>
      </c>
      <c r="DE113">
        <v>48</v>
      </c>
      <c r="DF113">
        <v>111.88</v>
      </c>
      <c r="DG113">
        <v>102.42</v>
      </c>
      <c r="DH113" s="187">
        <v>15.59</v>
      </c>
      <c r="DI113">
        <v>127.47</v>
      </c>
      <c r="DJ113">
        <v>1</v>
      </c>
      <c r="DK113">
        <v>0</v>
      </c>
      <c r="DL113">
        <v>0</v>
      </c>
      <c r="DM113" s="187">
        <v>0</v>
      </c>
      <c r="DN113">
        <v>0</v>
      </c>
      <c r="DO113">
        <v>0</v>
      </c>
      <c r="DP113">
        <v>92.36</v>
      </c>
      <c r="DQ113">
        <v>84.03</v>
      </c>
      <c r="DR113" s="187">
        <v>22.92</v>
      </c>
      <c r="DS113">
        <v>114.83</v>
      </c>
      <c r="DT113">
        <v>707</v>
      </c>
      <c r="DU113">
        <v>91.15</v>
      </c>
      <c r="DV113">
        <v>83.26</v>
      </c>
      <c r="DW113" s="187">
        <v>23.27</v>
      </c>
      <c r="DX113">
        <v>113.99</v>
      </c>
      <c r="DY113">
        <v>745</v>
      </c>
      <c r="DZ113">
        <v>0</v>
      </c>
      <c r="EA113">
        <v>0</v>
      </c>
      <c r="EB113" s="187">
        <v>0</v>
      </c>
      <c r="EC113">
        <v>0</v>
      </c>
      <c r="ED113">
        <v>92.44</v>
      </c>
      <c r="EE113">
        <v>114</v>
      </c>
      <c r="EF113">
        <v>117.53</v>
      </c>
      <c r="EG113" s="187">
        <v>288</v>
      </c>
      <c r="EH113">
        <v>130.54</v>
      </c>
      <c r="EI113">
        <v>200</v>
      </c>
      <c r="EJ113">
        <v>158.68</v>
      </c>
      <c r="EK113">
        <v>23</v>
      </c>
      <c r="EL113" s="187">
        <v>0</v>
      </c>
      <c r="EM113">
        <v>0</v>
      </c>
      <c r="EN113">
        <v>0</v>
      </c>
      <c r="EO113">
        <v>0</v>
      </c>
      <c r="EP113">
        <v>118.63</v>
      </c>
      <c r="EQ113" s="187">
        <v>625</v>
      </c>
      <c r="ER113">
        <v>118.63</v>
      </c>
      <c r="ES113">
        <v>625</v>
      </c>
      <c r="ET113">
        <v>123.61</v>
      </c>
      <c r="EU113">
        <v>2</v>
      </c>
      <c r="EV113" s="187">
        <v>221.78</v>
      </c>
      <c r="EW113">
        <v>9</v>
      </c>
      <c r="EX113">
        <v>210.68</v>
      </c>
      <c r="EY113">
        <v>42</v>
      </c>
      <c r="EZ113">
        <v>226.93</v>
      </c>
      <c r="FA113" s="187">
        <v>26</v>
      </c>
      <c r="FB113">
        <v>0</v>
      </c>
      <c r="FC113">
        <v>0</v>
      </c>
      <c r="FD113">
        <v>0</v>
      </c>
      <c r="FE113">
        <v>0</v>
      </c>
      <c r="FF113" s="187">
        <v>217.47</v>
      </c>
      <c r="FG113">
        <v>77</v>
      </c>
      <c r="FH113">
        <v>215.09</v>
      </c>
      <c r="FI113">
        <v>79</v>
      </c>
      <c r="FJ113">
        <v>8</v>
      </c>
      <c r="FK113" s="187">
        <v>7</v>
      </c>
      <c r="FL113">
        <v>3</v>
      </c>
      <c r="FM113">
        <v>64</v>
      </c>
      <c r="FN113">
        <v>7</v>
      </c>
    </row>
    <row r="114" spans="1:170" x14ac:dyDescent="0.35">
      <c r="A114" t="s">
        <v>617</v>
      </c>
      <c r="B114" t="s">
        <v>618</v>
      </c>
      <c r="C114" t="s">
        <v>418</v>
      </c>
      <c r="D114">
        <v>2533</v>
      </c>
      <c r="E114">
        <v>2510</v>
      </c>
      <c r="F114">
        <v>0</v>
      </c>
      <c r="G114">
        <v>0</v>
      </c>
      <c r="H114">
        <v>152</v>
      </c>
      <c r="I114">
        <v>109</v>
      </c>
      <c r="J114">
        <v>504</v>
      </c>
      <c r="K114">
        <v>482</v>
      </c>
      <c r="L114">
        <v>249</v>
      </c>
      <c r="M114">
        <v>0</v>
      </c>
      <c r="N114">
        <v>3438</v>
      </c>
      <c r="O114">
        <v>3101</v>
      </c>
      <c r="P114">
        <v>3189</v>
      </c>
      <c r="Q114">
        <v>0</v>
      </c>
      <c r="R114">
        <v>7</v>
      </c>
      <c r="S114">
        <v>18</v>
      </c>
      <c r="T114">
        <v>72</v>
      </c>
      <c r="U114">
        <v>3366</v>
      </c>
      <c r="V114" s="498">
        <v>2514</v>
      </c>
      <c r="W114">
        <v>16</v>
      </c>
      <c r="X114" s="498">
        <v>3</v>
      </c>
      <c r="Y114" s="498">
        <v>19</v>
      </c>
      <c r="Z114" s="498">
        <v>89.19</v>
      </c>
      <c r="AA114" s="498">
        <v>86.65</v>
      </c>
      <c r="AB114">
        <v>3.49</v>
      </c>
      <c r="AC114">
        <v>92.44</v>
      </c>
      <c r="AD114">
        <v>1856</v>
      </c>
      <c r="AE114">
        <v>95.17</v>
      </c>
      <c r="AF114">
        <v>80.900000000000006</v>
      </c>
      <c r="AG114">
        <v>24.01</v>
      </c>
      <c r="AH114">
        <v>118.54</v>
      </c>
      <c r="AI114">
        <v>603</v>
      </c>
      <c r="AJ114">
        <v>113.72</v>
      </c>
      <c r="AK114">
        <v>658</v>
      </c>
      <c r="AL114">
        <v>0</v>
      </c>
      <c r="AM114">
        <v>0</v>
      </c>
      <c r="AN114">
        <v>0</v>
      </c>
      <c r="AO114" s="499">
        <v>0</v>
      </c>
      <c r="AP114" s="499">
        <v>0</v>
      </c>
      <c r="AQ114">
        <v>0</v>
      </c>
      <c r="AR114">
        <v>0</v>
      </c>
      <c r="AS114">
        <v>65.7</v>
      </c>
      <c r="AT114">
        <v>65.72</v>
      </c>
      <c r="AU114">
        <v>3.17</v>
      </c>
      <c r="AV114">
        <v>68.87</v>
      </c>
      <c r="AW114">
        <v>1</v>
      </c>
      <c r="AX114">
        <v>76.58</v>
      </c>
      <c r="AY114">
        <v>74.53</v>
      </c>
      <c r="AZ114">
        <v>3.7</v>
      </c>
      <c r="BA114">
        <v>80.180000000000007</v>
      </c>
      <c r="BB114">
        <v>331</v>
      </c>
      <c r="BC114">
        <v>87.18</v>
      </c>
      <c r="BD114">
        <v>83.9</v>
      </c>
      <c r="BE114">
        <v>4.63</v>
      </c>
      <c r="BF114">
        <v>91.59</v>
      </c>
      <c r="BG114">
        <v>822</v>
      </c>
      <c r="BH114">
        <v>96.78</v>
      </c>
      <c r="BI114">
        <v>94.75</v>
      </c>
      <c r="BJ114">
        <v>1.96</v>
      </c>
      <c r="BK114">
        <v>98.54</v>
      </c>
      <c r="BL114" s="214">
        <v>643</v>
      </c>
      <c r="BM114" s="214">
        <v>104.68</v>
      </c>
      <c r="BN114">
        <v>103.34</v>
      </c>
      <c r="BO114" s="187">
        <v>1.82</v>
      </c>
      <c r="BP114" s="214">
        <v>106.11</v>
      </c>
      <c r="BQ114" s="214">
        <v>56</v>
      </c>
      <c r="BR114">
        <v>122.75</v>
      </c>
      <c r="BS114" s="187">
        <v>119.92</v>
      </c>
      <c r="BT114" s="214">
        <v>0.8</v>
      </c>
      <c r="BU114" s="214">
        <v>123.15</v>
      </c>
      <c r="BV114">
        <v>2</v>
      </c>
      <c r="BW114">
        <v>120.26</v>
      </c>
      <c r="BX114" s="214">
        <v>114.54</v>
      </c>
      <c r="BY114" s="214">
        <v>6.53</v>
      </c>
      <c r="BZ114">
        <v>126.79</v>
      </c>
      <c r="CA114" s="187">
        <v>1</v>
      </c>
      <c r="CB114" s="214">
        <v>89.19</v>
      </c>
      <c r="CC114" s="214">
        <v>86.65</v>
      </c>
      <c r="CD114">
        <v>3.49</v>
      </c>
      <c r="CE114" s="187">
        <v>92.44</v>
      </c>
      <c r="CF114" s="214">
        <v>1856</v>
      </c>
      <c r="CG114" s="214">
        <v>89.19</v>
      </c>
      <c r="CH114">
        <v>86.65</v>
      </c>
      <c r="CI114">
        <v>3.49</v>
      </c>
      <c r="CJ114">
        <v>92.44</v>
      </c>
      <c r="CK114">
        <v>1856</v>
      </c>
      <c r="CL114">
        <v>149.41</v>
      </c>
      <c r="CM114">
        <v>72.89</v>
      </c>
      <c r="CN114" s="187">
        <v>22.28</v>
      </c>
      <c r="CO114">
        <v>171.06</v>
      </c>
      <c r="CP114">
        <v>70</v>
      </c>
      <c r="CQ114">
        <v>81.97</v>
      </c>
      <c r="CR114">
        <v>83.35</v>
      </c>
      <c r="CS114" s="187">
        <v>16.02</v>
      </c>
      <c r="CT114">
        <v>97.99</v>
      </c>
      <c r="CU114">
        <v>23</v>
      </c>
      <c r="CV114">
        <v>87.79</v>
      </c>
      <c r="CW114">
        <v>80.38</v>
      </c>
      <c r="CX114" s="187">
        <v>25.29</v>
      </c>
      <c r="CY114">
        <v>112.32</v>
      </c>
      <c r="CZ114">
        <v>464</v>
      </c>
      <c r="DA114">
        <v>91.69</v>
      </c>
      <c r="DB114">
        <v>86.47</v>
      </c>
      <c r="DC114" s="187">
        <v>18.079999999999998</v>
      </c>
      <c r="DD114">
        <v>109.77</v>
      </c>
      <c r="DE114">
        <v>38</v>
      </c>
      <c r="DF114">
        <v>102.88</v>
      </c>
      <c r="DG114">
        <v>99.12</v>
      </c>
      <c r="DH114" s="187">
        <v>17.77</v>
      </c>
      <c r="DI114">
        <v>120.65</v>
      </c>
      <c r="DJ114">
        <v>8</v>
      </c>
      <c r="DK114">
        <v>0</v>
      </c>
      <c r="DL114">
        <v>0</v>
      </c>
      <c r="DM114" s="187">
        <v>0</v>
      </c>
      <c r="DN114">
        <v>0</v>
      </c>
      <c r="DO114">
        <v>0</v>
      </c>
      <c r="DP114">
        <v>88.05</v>
      </c>
      <c r="DQ114">
        <v>81.25</v>
      </c>
      <c r="DR114" s="187">
        <v>24.24</v>
      </c>
      <c r="DS114">
        <v>111.65</v>
      </c>
      <c r="DT114">
        <v>533</v>
      </c>
      <c r="DU114">
        <v>95.17</v>
      </c>
      <c r="DV114">
        <v>80.900000000000006</v>
      </c>
      <c r="DW114" s="187">
        <v>24.01</v>
      </c>
      <c r="DX114">
        <v>118.54</v>
      </c>
      <c r="DY114">
        <v>603</v>
      </c>
      <c r="DZ114">
        <v>0</v>
      </c>
      <c r="EA114">
        <v>0</v>
      </c>
      <c r="EB114" s="187">
        <v>0</v>
      </c>
      <c r="EC114">
        <v>0</v>
      </c>
      <c r="ED114">
        <v>87.74</v>
      </c>
      <c r="EE114">
        <v>88</v>
      </c>
      <c r="EF114">
        <v>110.43</v>
      </c>
      <c r="EG114" s="187">
        <v>327</v>
      </c>
      <c r="EH114">
        <v>124.51</v>
      </c>
      <c r="EI114">
        <v>213</v>
      </c>
      <c r="EJ114">
        <v>149.19</v>
      </c>
      <c r="EK114">
        <v>30</v>
      </c>
      <c r="EL114" s="187">
        <v>0</v>
      </c>
      <c r="EM114">
        <v>0</v>
      </c>
      <c r="EN114">
        <v>0</v>
      </c>
      <c r="EO114">
        <v>0</v>
      </c>
      <c r="EP114">
        <v>113.72</v>
      </c>
      <c r="EQ114" s="187">
        <v>658</v>
      </c>
      <c r="ER114">
        <v>113.72</v>
      </c>
      <c r="ES114">
        <v>658</v>
      </c>
      <c r="ET114">
        <v>0</v>
      </c>
      <c r="EU114">
        <v>0</v>
      </c>
      <c r="EV114" s="187">
        <v>0</v>
      </c>
      <c r="EW114">
        <v>0</v>
      </c>
      <c r="EX114">
        <v>0</v>
      </c>
      <c r="EY114">
        <v>0</v>
      </c>
      <c r="EZ114">
        <v>0</v>
      </c>
      <c r="FA114" s="187">
        <v>0</v>
      </c>
      <c r="FB114">
        <v>0</v>
      </c>
      <c r="FC114">
        <v>0</v>
      </c>
      <c r="FD114">
        <v>0</v>
      </c>
      <c r="FE114">
        <v>0</v>
      </c>
      <c r="FF114" s="187">
        <v>0</v>
      </c>
      <c r="FG114">
        <v>0</v>
      </c>
      <c r="FH114">
        <v>0</v>
      </c>
      <c r="FI114">
        <v>0</v>
      </c>
      <c r="FJ114">
        <v>39</v>
      </c>
      <c r="FK114" s="187">
        <v>4</v>
      </c>
      <c r="FL114">
        <v>1</v>
      </c>
      <c r="FM114">
        <v>37</v>
      </c>
      <c r="FN114">
        <v>4</v>
      </c>
    </row>
    <row r="115" spans="1:170" x14ac:dyDescent="0.35">
      <c r="A115" t="s">
        <v>619</v>
      </c>
      <c r="B115" t="s">
        <v>620</v>
      </c>
      <c r="C115" t="s">
        <v>417</v>
      </c>
      <c r="D115">
        <v>4031</v>
      </c>
      <c r="E115">
        <v>3598</v>
      </c>
      <c r="F115">
        <v>0</v>
      </c>
      <c r="G115">
        <v>0</v>
      </c>
      <c r="H115">
        <v>497</v>
      </c>
      <c r="I115">
        <v>439</v>
      </c>
      <c r="J115">
        <v>1036</v>
      </c>
      <c r="K115">
        <v>1032</v>
      </c>
      <c r="L115">
        <v>303</v>
      </c>
      <c r="M115">
        <v>0</v>
      </c>
      <c r="N115">
        <v>5867</v>
      </c>
      <c r="O115">
        <v>5069</v>
      </c>
      <c r="P115">
        <v>5564</v>
      </c>
      <c r="Q115">
        <v>20</v>
      </c>
      <c r="R115">
        <v>5</v>
      </c>
      <c r="S115">
        <v>19</v>
      </c>
      <c r="T115">
        <v>342</v>
      </c>
      <c r="U115">
        <v>5525</v>
      </c>
      <c r="V115" s="498">
        <v>3712</v>
      </c>
      <c r="W115">
        <v>27</v>
      </c>
      <c r="X115" s="498">
        <v>70</v>
      </c>
      <c r="Y115" s="498">
        <v>97</v>
      </c>
      <c r="Z115" s="498">
        <v>80.89</v>
      </c>
      <c r="AA115" s="498">
        <v>78.010000000000005</v>
      </c>
      <c r="AB115">
        <v>7.36</v>
      </c>
      <c r="AC115">
        <v>85.3</v>
      </c>
      <c r="AD115">
        <v>2858</v>
      </c>
      <c r="AE115">
        <v>97.26</v>
      </c>
      <c r="AF115">
        <v>79.91</v>
      </c>
      <c r="AG115">
        <v>58.1</v>
      </c>
      <c r="AH115">
        <v>152.83000000000001</v>
      </c>
      <c r="AI115">
        <v>1351</v>
      </c>
      <c r="AJ115">
        <v>99.48</v>
      </c>
      <c r="AK115">
        <v>1132</v>
      </c>
      <c r="AL115">
        <v>188.03</v>
      </c>
      <c r="AM115">
        <v>163</v>
      </c>
      <c r="AN115">
        <v>0</v>
      </c>
      <c r="AO115" s="499">
        <v>0</v>
      </c>
      <c r="AP115" s="499">
        <v>0</v>
      </c>
      <c r="AQ115">
        <v>0</v>
      </c>
      <c r="AR115">
        <v>0</v>
      </c>
      <c r="AS115">
        <v>64.69</v>
      </c>
      <c r="AT115">
        <v>62.39</v>
      </c>
      <c r="AU115">
        <v>13.67</v>
      </c>
      <c r="AV115">
        <v>76.66</v>
      </c>
      <c r="AW115">
        <v>24</v>
      </c>
      <c r="AX115">
        <v>70.84</v>
      </c>
      <c r="AY115">
        <v>68.84</v>
      </c>
      <c r="AZ115">
        <v>9.74</v>
      </c>
      <c r="BA115">
        <v>78.599999999999994</v>
      </c>
      <c r="BB115">
        <v>810</v>
      </c>
      <c r="BC115">
        <v>81.03</v>
      </c>
      <c r="BD115">
        <v>78.2</v>
      </c>
      <c r="BE115">
        <v>6.15</v>
      </c>
      <c r="BF115">
        <v>84.5</v>
      </c>
      <c r="BG115">
        <v>1187</v>
      </c>
      <c r="BH115">
        <v>89.7</v>
      </c>
      <c r="BI115">
        <v>85.94</v>
      </c>
      <c r="BJ115">
        <v>5.29</v>
      </c>
      <c r="BK115">
        <v>92.14</v>
      </c>
      <c r="BL115" s="214">
        <v>765</v>
      </c>
      <c r="BM115" s="214">
        <v>101.67</v>
      </c>
      <c r="BN115">
        <v>97.19</v>
      </c>
      <c r="BO115" s="187">
        <v>3.01</v>
      </c>
      <c r="BP115" s="214">
        <v>102.82</v>
      </c>
      <c r="BQ115" s="214">
        <v>63</v>
      </c>
      <c r="BR115">
        <v>105.94</v>
      </c>
      <c r="BS115" s="187">
        <v>101.41</v>
      </c>
      <c r="BT115" s="214">
        <v>1.32</v>
      </c>
      <c r="BU115" s="214">
        <v>106.47</v>
      </c>
      <c r="BV115">
        <v>5</v>
      </c>
      <c r="BW115">
        <v>124.2</v>
      </c>
      <c r="BX115" s="214">
        <v>120.16</v>
      </c>
      <c r="BY115" s="214">
        <v>1.32</v>
      </c>
      <c r="BZ115">
        <v>125.19</v>
      </c>
      <c r="CA115" s="187">
        <v>4</v>
      </c>
      <c r="CB115" s="214">
        <v>80.89</v>
      </c>
      <c r="CC115" s="214">
        <v>78.010000000000005</v>
      </c>
      <c r="CD115">
        <v>7.36</v>
      </c>
      <c r="CE115" s="187">
        <v>85.3</v>
      </c>
      <c r="CF115" s="214">
        <v>2858</v>
      </c>
      <c r="CG115" s="214">
        <v>80.89</v>
      </c>
      <c r="CH115">
        <v>78.010000000000005</v>
      </c>
      <c r="CI115">
        <v>7.36</v>
      </c>
      <c r="CJ115">
        <v>85.3</v>
      </c>
      <c r="CK115">
        <v>2858</v>
      </c>
      <c r="CL115">
        <v>154.01</v>
      </c>
      <c r="CM115">
        <v>72.61</v>
      </c>
      <c r="CN115" s="187">
        <v>104.17</v>
      </c>
      <c r="CO115">
        <v>258.18</v>
      </c>
      <c r="CP115">
        <v>205</v>
      </c>
      <c r="CQ115">
        <v>78.099999999999994</v>
      </c>
      <c r="CR115">
        <v>67.3</v>
      </c>
      <c r="CS115" s="187">
        <v>54.2</v>
      </c>
      <c r="CT115">
        <v>132.29</v>
      </c>
      <c r="CU115">
        <v>73</v>
      </c>
      <c r="CV115">
        <v>84.61</v>
      </c>
      <c r="CW115">
        <v>78.72</v>
      </c>
      <c r="CX115" s="187">
        <v>50.95</v>
      </c>
      <c r="CY115">
        <v>132.38</v>
      </c>
      <c r="CZ115">
        <v>897</v>
      </c>
      <c r="DA115">
        <v>101.97</v>
      </c>
      <c r="DB115">
        <v>95.51</v>
      </c>
      <c r="DC115" s="187">
        <v>36.78</v>
      </c>
      <c r="DD115">
        <v>138.52000000000001</v>
      </c>
      <c r="DE115">
        <v>158</v>
      </c>
      <c r="DF115">
        <v>118.01</v>
      </c>
      <c r="DG115">
        <v>91.11</v>
      </c>
      <c r="DH115" s="187">
        <v>70.78</v>
      </c>
      <c r="DI115">
        <v>180.93</v>
      </c>
      <c r="DJ115">
        <v>18</v>
      </c>
      <c r="DK115">
        <v>0</v>
      </c>
      <c r="DL115">
        <v>0</v>
      </c>
      <c r="DM115" s="187">
        <v>0</v>
      </c>
      <c r="DN115">
        <v>0</v>
      </c>
      <c r="DO115">
        <v>0</v>
      </c>
      <c r="DP115">
        <v>87.11</v>
      </c>
      <c r="DQ115">
        <v>80.41</v>
      </c>
      <c r="DR115" s="187">
        <v>49.42</v>
      </c>
      <c r="DS115">
        <v>133.97999999999999</v>
      </c>
      <c r="DT115">
        <v>1146</v>
      </c>
      <c r="DU115">
        <v>97.26</v>
      </c>
      <c r="DV115">
        <v>79.91</v>
      </c>
      <c r="DW115" s="187">
        <v>58.1</v>
      </c>
      <c r="DX115">
        <v>152.83000000000001</v>
      </c>
      <c r="DY115">
        <v>1351</v>
      </c>
      <c r="DZ115">
        <v>0</v>
      </c>
      <c r="EA115">
        <v>0</v>
      </c>
      <c r="EB115" s="187">
        <v>79.849999999999994</v>
      </c>
      <c r="EC115">
        <v>1</v>
      </c>
      <c r="ED115">
        <v>79.45</v>
      </c>
      <c r="EE115">
        <v>93</v>
      </c>
      <c r="EF115">
        <v>94.69</v>
      </c>
      <c r="EG115" s="187">
        <v>617</v>
      </c>
      <c r="EH115">
        <v>106.86</v>
      </c>
      <c r="EI115">
        <v>372</v>
      </c>
      <c r="EJ115">
        <v>143.11000000000001</v>
      </c>
      <c r="EK115">
        <v>48</v>
      </c>
      <c r="EL115" s="187">
        <v>97.72</v>
      </c>
      <c r="EM115">
        <v>1</v>
      </c>
      <c r="EN115">
        <v>0</v>
      </c>
      <c r="EO115">
        <v>0</v>
      </c>
      <c r="EP115">
        <v>99.48</v>
      </c>
      <c r="EQ115" s="187">
        <v>1132</v>
      </c>
      <c r="ER115">
        <v>99.48</v>
      </c>
      <c r="ES115">
        <v>1132</v>
      </c>
      <c r="ET115">
        <v>0</v>
      </c>
      <c r="EU115">
        <v>0</v>
      </c>
      <c r="EV115" s="187">
        <v>249.23</v>
      </c>
      <c r="EW115">
        <v>1</v>
      </c>
      <c r="EX115">
        <v>213.96</v>
      </c>
      <c r="EY115">
        <v>80</v>
      </c>
      <c r="EZ115">
        <v>162</v>
      </c>
      <c r="FA115" s="187">
        <v>82</v>
      </c>
      <c r="FB115">
        <v>0</v>
      </c>
      <c r="FC115">
        <v>0</v>
      </c>
      <c r="FD115">
        <v>0</v>
      </c>
      <c r="FE115">
        <v>0</v>
      </c>
      <c r="FF115" s="187">
        <v>188.03</v>
      </c>
      <c r="FG115">
        <v>163</v>
      </c>
      <c r="FH115">
        <v>188.03</v>
      </c>
      <c r="FI115">
        <v>163</v>
      </c>
      <c r="FJ115">
        <v>0</v>
      </c>
      <c r="FK115" s="187">
        <v>2</v>
      </c>
      <c r="FL115">
        <v>6</v>
      </c>
      <c r="FM115">
        <v>17</v>
      </c>
      <c r="FN115">
        <v>4</v>
      </c>
    </row>
    <row r="116" spans="1:170" x14ac:dyDescent="0.35">
      <c r="A116" t="s">
        <v>621</v>
      </c>
      <c r="B116" t="s">
        <v>622</v>
      </c>
      <c r="C116" t="s">
        <v>414</v>
      </c>
      <c r="D116">
        <v>3640</v>
      </c>
      <c r="E116">
        <v>3640</v>
      </c>
      <c r="F116">
        <v>0</v>
      </c>
      <c r="G116">
        <v>0</v>
      </c>
      <c r="H116">
        <v>192</v>
      </c>
      <c r="I116">
        <v>185</v>
      </c>
      <c r="J116">
        <v>1159</v>
      </c>
      <c r="K116">
        <v>1159</v>
      </c>
      <c r="L116">
        <v>211</v>
      </c>
      <c r="M116">
        <v>0</v>
      </c>
      <c r="N116">
        <v>5202</v>
      </c>
      <c r="O116">
        <v>4984</v>
      </c>
      <c r="P116">
        <v>4991</v>
      </c>
      <c r="Q116">
        <v>0</v>
      </c>
      <c r="R116">
        <v>2</v>
      </c>
      <c r="S116">
        <v>21</v>
      </c>
      <c r="T116">
        <v>9</v>
      </c>
      <c r="U116">
        <v>5193</v>
      </c>
      <c r="V116" s="498">
        <v>3640</v>
      </c>
      <c r="W116">
        <v>14</v>
      </c>
      <c r="X116" s="498">
        <v>10</v>
      </c>
      <c r="Y116" s="498">
        <v>24</v>
      </c>
      <c r="Z116" s="498">
        <v>84.62</v>
      </c>
      <c r="AA116" s="498">
        <v>83.1</v>
      </c>
      <c r="AB116">
        <v>5.03</v>
      </c>
      <c r="AC116">
        <v>86.51</v>
      </c>
      <c r="AD116">
        <v>3355</v>
      </c>
      <c r="AE116">
        <v>88.29</v>
      </c>
      <c r="AF116">
        <v>75.099999999999994</v>
      </c>
      <c r="AG116">
        <v>33.25</v>
      </c>
      <c r="AH116">
        <v>121.26</v>
      </c>
      <c r="AI116">
        <v>1323</v>
      </c>
      <c r="AJ116">
        <v>112.79</v>
      </c>
      <c r="AK116">
        <v>270</v>
      </c>
      <c r="AL116">
        <v>174.7</v>
      </c>
      <c r="AM116">
        <v>19</v>
      </c>
      <c r="AN116">
        <v>0</v>
      </c>
      <c r="AO116" s="499">
        <v>0</v>
      </c>
      <c r="AP116" s="499">
        <v>0</v>
      </c>
      <c r="AQ116">
        <v>0</v>
      </c>
      <c r="AR116">
        <v>0</v>
      </c>
      <c r="AS116">
        <v>62.62</v>
      </c>
      <c r="AT116">
        <v>60.41</v>
      </c>
      <c r="AU116">
        <v>5.41</v>
      </c>
      <c r="AV116">
        <v>67.61</v>
      </c>
      <c r="AW116">
        <v>51</v>
      </c>
      <c r="AX116">
        <v>71.17</v>
      </c>
      <c r="AY116">
        <v>69.510000000000005</v>
      </c>
      <c r="AZ116">
        <v>6.28</v>
      </c>
      <c r="BA116">
        <v>76.64</v>
      </c>
      <c r="BB116">
        <v>694</v>
      </c>
      <c r="BC116">
        <v>83.59</v>
      </c>
      <c r="BD116">
        <v>81.53</v>
      </c>
      <c r="BE116">
        <v>5.03</v>
      </c>
      <c r="BF116">
        <v>85.51</v>
      </c>
      <c r="BG116">
        <v>1001</v>
      </c>
      <c r="BH116">
        <v>91.07</v>
      </c>
      <c r="BI116">
        <v>90.01</v>
      </c>
      <c r="BJ116">
        <v>1.62</v>
      </c>
      <c r="BK116">
        <v>91.29</v>
      </c>
      <c r="BL116" s="214">
        <v>1521</v>
      </c>
      <c r="BM116" s="214">
        <v>103.28</v>
      </c>
      <c r="BN116">
        <v>102.78</v>
      </c>
      <c r="BO116" s="187">
        <v>1.74</v>
      </c>
      <c r="BP116" s="214">
        <v>103.75</v>
      </c>
      <c r="BQ116" s="214">
        <v>82</v>
      </c>
      <c r="BR116">
        <v>111.14</v>
      </c>
      <c r="BS116" s="187">
        <v>111.13</v>
      </c>
      <c r="BT116" s="214">
        <v>1.33</v>
      </c>
      <c r="BU116" s="214">
        <v>111.36</v>
      </c>
      <c r="BV116">
        <v>6</v>
      </c>
      <c r="BW116">
        <v>0</v>
      </c>
      <c r="BX116" s="214">
        <v>0</v>
      </c>
      <c r="BY116" s="214">
        <v>0</v>
      </c>
      <c r="BZ116">
        <v>0</v>
      </c>
      <c r="CA116" s="187">
        <v>0</v>
      </c>
      <c r="CB116" s="214">
        <v>84.62</v>
      </c>
      <c r="CC116" s="214">
        <v>83.1</v>
      </c>
      <c r="CD116">
        <v>5.03</v>
      </c>
      <c r="CE116" s="187">
        <v>86.51</v>
      </c>
      <c r="CF116" s="214">
        <v>3355</v>
      </c>
      <c r="CG116" s="214">
        <v>84.62</v>
      </c>
      <c r="CH116">
        <v>83.1</v>
      </c>
      <c r="CI116">
        <v>5.03</v>
      </c>
      <c r="CJ116">
        <v>86.51</v>
      </c>
      <c r="CK116">
        <v>3355</v>
      </c>
      <c r="CL116">
        <v>153.82</v>
      </c>
      <c r="CM116">
        <v>76.06</v>
      </c>
      <c r="CN116" s="187">
        <v>84.89</v>
      </c>
      <c r="CO116">
        <v>238.72</v>
      </c>
      <c r="CP116">
        <v>105</v>
      </c>
      <c r="CQ116">
        <v>69.38</v>
      </c>
      <c r="CR116">
        <v>63.77</v>
      </c>
      <c r="CS116" s="187">
        <v>29.8</v>
      </c>
      <c r="CT116">
        <v>96.91</v>
      </c>
      <c r="CU116">
        <v>79</v>
      </c>
      <c r="CV116">
        <v>81.58</v>
      </c>
      <c r="CW116">
        <v>72.930000000000007</v>
      </c>
      <c r="CX116" s="187">
        <v>32.26</v>
      </c>
      <c r="CY116">
        <v>113.73</v>
      </c>
      <c r="CZ116">
        <v>876</v>
      </c>
      <c r="DA116">
        <v>90.1</v>
      </c>
      <c r="DB116">
        <v>84.93</v>
      </c>
      <c r="DC116" s="187">
        <v>16.690000000000001</v>
      </c>
      <c r="DD116">
        <v>106.66</v>
      </c>
      <c r="DE116">
        <v>254</v>
      </c>
      <c r="DF116">
        <v>91.85</v>
      </c>
      <c r="DG116">
        <v>87.48</v>
      </c>
      <c r="DH116" s="187">
        <v>18.100000000000001</v>
      </c>
      <c r="DI116">
        <v>109.96</v>
      </c>
      <c r="DJ116">
        <v>9</v>
      </c>
      <c r="DK116">
        <v>0</v>
      </c>
      <c r="DL116">
        <v>0</v>
      </c>
      <c r="DM116" s="187">
        <v>0</v>
      </c>
      <c r="DN116">
        <v>0</v>
      </c>
      <c r="DO116">
        <v>0</v>
      </c>
      <c r="DP116">
        <v>82.64</v>
      </c>
      <c r="DQ116">
        <v>75.069999999999993</v>
      </c>
      <c r="DR116" s="187">
        <v>28.76</v>
      </c>
      <c r="DS116">
        <v>111.14</v>
      </c>
      <c r="DT116">
        <v>1218</v>
      </c>
      <c r="DU116">
        <v>88.29</v>
      </c>
      <c r="DV116">
        <v>75.099999999999994</v>
      </c>
      <c r="DW116" s="187">
        <v>33.25</v>
      </c>
      <c r="DX116">
        <v>121.26</v>
      </c>
      <c r="DY116">
        <v>1323</v>
      </c>
      <c r="DZ116">
        <v>0</v>
      </c>
      <c r="EA116">
        <v>0</v>
      </c>
      <c r="EB116" s="187">
        <v>0</v>
      </c>
      <c r="EC116">
        <v>0</v>
      </c>
      <c r="ED116">
        <v>91.93</v>
      </c>
      <c r="EE116">
        <v>57</v>
      </c>
      <c r="EF116">
        <v>112.4</v>
      </c>
      <c r="EG116" s="187">
        <v>116</v>
      </c>
      <c r="EH116">
        <v>121.4</v>
      </c>
      <c r="EI116">
        <v>79</v>
      </c>
      <c r="EJ116">
        <v>141.91</v>
      </c>
      <c r="EK116">
        <v>17</v>
      </c>
      <c r="EL116" s="187">
        <v>171.07</v>
      </c>
      <c r="EM116">
        <v>1</v>
      </c>
      <c r="EN116">
        <v>0</v>
      </c>
      <c r="EO116">
        <v>0</v>
      </c>
      <c r="EP116">
        <v>112.79</v>
      </c>
      <c r="EQ116" s="187">
        <v>270</v>
      </c>
      <c r="ER116">
        <v>112.79</v>
      </c>
      <c r="ES116">
        <v>270</v>
      </c>
      <c r="ET116">
        <v>0</v>
      </c>
      <c r="EU116">
        <v>0</v>
      </c>
      <c r="EV116" s="187">
        <v>129.69999999999999</v>
      </c>
      <c r="EW116">
        <v>1</v>
      </c>
      <c r="EX116">
        <v>175.95</v>
      </c>
      <c r="EY116">
        <v>17</v>
      </c>
      <c r="EZ116">
        <v>198.38</v>
      </c>
      <c r="FA116" s="187">
        <v>1</v>
      </c>
      <c r="FB116">
        <v>0</v>
      </c>
      <c r="FC116">
        <v>0</v>
      </c>
      <c r="FD116">
        <v>0</v>
      </c>
      <c r="FE116">
        <v>0</v>
      </c>
      <c r="FF116" s="187">
        <v>174.7</v>
      </c>
      <c r="FG116">
        <v>19</v>
      </c>
      <c r="FH116">
        <v>174.7</v>
      </c>
      <c r="FI116">
        <v>19</v>
      </c>
      <c r="FJ116">
        <v>0</v>
      </c>
      <c r="FK116" s="187">
        <v>23</v>
      </c>
      <c r="FL116">
        <v>13</v>
      </c>
      <c r="FM116">
        <v>17</v>
      </c>
      <c r="FN116">
        <v>9</v>
      </c>
    </row>
    <row r="117" spans="1:170" x14ac:dyDescent="0.35">
      <c r="A117" t="s">
        <v>623</v>
      </c>
      <c r="B117" t="s">
        <v>624</v>
      </c>
      <c r="C117" t="s">
        <v>419</v>
      </c>
      <c r="D117">
        <v>7051</v>
      </c>
      <c r="E117">
        <v>7005</v>
      </c>
      <c r="F117">
        <v>0</v>
      </c>
      <c r="G117">
        <v>0</v>
      </c>
      <c r="H117">
        <v>589</v>
      </c>
      <c r="I117">
        <v>374</v>
      </c>
      <c r="J117">
        <v>793</v>
      </c>
      <c r="K117">
        <v>656</v>
      </c>
      <c r="L117">
        <v>637</v>
      </c>
      <c r="M117">
        <v>26</v>
      </c>
      <c r="N117">
        <v>9070</v>
      </c>
      <c r="O117">
        <v>8061</v>
      </c>
      <c r="P117">
        <v>8433</v>
      </c>
      <c r="Q117">
        <v>12</v>
      </c>
      <c r="R117">
        <v>10</v>
      </c>
      <c r="S117">
        <v>28</v>
      </c>
      <c r="T117">
        <v>408</v>
      </c>
      <c r="U117">
        <v>8662</v>
      </c>
      <c r="V117" s="498">
        <v>6992</v>
      </c>
      <c r="W117">
        <v>71</v>
      </c>
      <c r="X117" s="498">
        <v>8</v>
      </c>
      <c r="Y117" s="498">
        <v>79</v>
      </c>
      <c r="Z117" s="498">
        <v>87.93</v>
      </c>
      <c r="AA117" s="498">
        <v>86.76</v>
      </c>
      <c r="AB117">
        <v>9.0299999999999994</v>
      </c>
      <c r="AC117">
        <v>92.04</v>
      </c>
      <c r="AD117">
        <v>6263</v>
      </c>
      <c r="AE117">
        <v>88.77</v>
      </c>
      <c r="AF117">
        <v>83.92</v>
      </c>
      <c r="AG117">
        <v>55.17</v>
      </c>
      <c r="AH117">
        <v>143.22999999999999</v>
      </c>
      <c r="AI117">
        <v>1007</v>
      </c>
      <c r="AJ117">
        <v>124.41</v>
      </c>
      <c r="AK117">
        <v>684</v>
      </c>
      <c r="AL117">
        <v>230.71</v>
      </c>
      <c r="AM117">
        <v>90</v>
      </c>
      <c r="AN117">
        <v>0</v>
      </c>
      <c r="AO117" s="499">
        <v>0</v>
      </c>
      <c r="AP117" s="499">
        <v>0</v>
      </c>
      <c r="AQ117">
        <v>0</v>
      </c>
      <c r="AR117">
        <v>0</v>
      </c>
      <c r="AS117">
        <v>62.12</v>
      </c>
      <c r="AT117">
        <v>61.08</v>
      </c>
      <c r="AU117">
        <v>11.98</v>
      </c>
      <c r="AV117">
        <v>73.08</v>
      </c>
      <c r="AW117">
        <v>235</v>
      </c>
      <c r="AX117">
        <v>72.459999999999994</v>
      </c>
      <c r="AY117">
        <v>71.81</v>
      </c>
      <c r="AZ117">
        <v>9.17</v>
      </c>
      <c r="BA117">
        <v>77.739999999999995</v>
      </c>
      <c r="BB117">
        <v>1552</v>
      </c>
      <c r="BC117">
        <v>87.7</v>
      </c>
      <c r="BD117">
        <v>86.05</v>
      </c>
      <c r="BE117">
        <v>10.119999999999999</v>
      </c>
      <c r="BF117">
        <v>93.68</v>
      </c>
      <c r="BG117">
        <v>2208</v>
      </c>
      <c r="BH117">
        <v>98.67</v>
      </c>
      <c r="BI117">
        <v>97.65</v>
      </c>
      <c r="BJ117">
        <v>4.8499999999999996</v>
      </c>
      <c r="BK117">
        <v>99.52</v>
      </c>
      <c r="BL117" s="214">
        <v>1958</v>
      </c>
      <c r="BM117" s="214">
        <v>118.17</v>
      </c>
      <c r="BN117">
        <v>116.12</v>
      </c>
      <c r="BO117" s="187">
        <v>1.31</v>
      </c>
      <c r="BP117" s="214">
        <v>118.59</v>
      </c>
      <c r="BQ117" s="214">
        <v>290</v>
      </c>
      <c r="BR117">
        <v>123.45</v>
      </c>
      <c r="BS117" s="187">
        <v>126.34</v>
      </c>
      <c r="BT117" s="214">
        <v>2.2799999999999998</v>
      </c>
      <c r="BU117" s="214">
        <v>123.86</v>
      </c>
      <c r="BV117">
        <v>17</v>
      </c>
      <c r="BW117">
        <v>142.81</v>
      </c>
      <c r="BX117" s="214">
        <v>146.86000000000001</v>
      </c>
      <c r="BY117" s="214">
        <v>0</v>
      </c>
      <c r="BZ117">
        <v>142.81</v>
      </c>
      <c r="CA117" s="187">
        <v>3</v>
      </c>
      <c r="CB117" s="214">
        <v>87.93</v>
      </c>
      <c r="CC117" s="214">
        <v>86.76</v>
      </c>
      <c r="CD117">
        <v>9.0299999999999994</v>
      </c>
      <c r="CE117" s="187">
        <v>92.04</v>
      </c>
      <c r="CF117" s="214">
        <v>6263</v>
      </c>
      <c r="CG117" s="214">
        <v>87.93</v>
      </c>
      <c r="CH117">
        <v>86.76</v>
      </c>
      <c r="CI117">
        <v>9.0299999999999994</v>
      </c>
      <c r="CJ117">
        <v>92.04</v>
      </c>
      <c r="CK117">
        <v>6263</v>
      </c>
      <c r="CL117">
        <v>68.86</v>
      </c>
      <c r="CM117">
        <v>77.17</v>
      </c>
      <c r="CN117" s="187">
        <v>90.93</v>
      </c>
      <c r="CO117">
        <v>159.79</v>
      </c>
      <c r="CP117">
        <v>120</v>
      </c>
      <c r="CQ117">
        <v>86.72</v>
      </c>
      <c r="CR117">
        <v>80.069999999999993</v>
      </c>
      <c r="CS117" s="187">
        <v>111.59</v>
      </c>
      <c r="CT117">
        <v>197.48</v>
      </c>
      <c r="CU117">
        <v>135</v>
      </c>
      <c r="CV117">
        <v>88.32</v>
      </c>
      <c r="CW117">
        <v>80.680000000000007</v>
      </c>
      <c r="CX117" s="187">
        <v>39.6</v>
      </c>
      <c r="CY117">
        <v>127.37</v>
      </c>
      <c r="CZ117">
        <v>569</v>
      </c>
      <c r="DA117">
        <v>105.2</v>
      </c>
      <c r="DB117">
        <v>99.76</v>
      </c>
      <c r="DC117" s="187">
        <v>38.22</v>
      </c>
      <c r="DD117">
        <v>142.77000000000001</v>
      </c>
      <c r="DE117">
        <v>178</v>
      </c>
      <c r="DF117">
        <v>87.25</v>
      </c>
      <c r="DG117">
        <v>97.49</v>
      </c>
      <c r="DH117" s="187">
        <v>18.350000000000001</v>
      </c>
      <c r="DI117">
        <v>101.93</v>
      </c>
      <c r="DJ117">
        <v>5</v>
      </c>
      <c r="DK117">
        <v>0</v>
      </c>
      <c r="DL117">
        <v>0</v>
      </c>
      <c r="DM117" s="187">
        <v>0</v>
      </c>
      <c r="DN117">
        <v>0</v>
      </c>
      <c r="DO117">
        <v>0</v>
      </c>
      <c r="DP117">
        <v>91.46</v>
      </c>
      <c r="DQ117">
        <v>84.58</v>
      </c>
      <c r="DR117" s="187">
        <v>50.27</v>
      </c>
      <c r="DS117">
        <v>140.99</v>
      </c>
      <c r="DT117">
        <v>887</v>
      </c>
      <c r="DU117">
        <v>88.77</v>
      </c>
      <c r="DV117">
        <v>83.92</v>
      </c>
      <c r="DW117" s="187">
        <v>55.17</v>
      </c>
      <c r="DX117">
        <v>143.22999999999999</v>
      </c>
      <c r="DY117">
        <v>1007</v>
      </c>
      <c r="DZ117">
        <v>0</v>
      </c>
      <c r="EA117">
        <v>0</v>
      </c>
      <c r="EB117" s="187">
        <v>0</v>
      </c>
      <c r="EC117">
        <v>0</v>
      </c>
      <c r="ED117">
        <v>102.78</v>
      </c>
      <c r="EE117">
        <v>216</v>
      </c>
      <c r="EF117">
        <v>128.19999999999999</v>
      </c>
      <c r="EG117" s="187">
        <v>359</v>
      </c>
      <c r="EH117">
        <v>148.65</v>
      </c>
      <c r="EI117">
        <v>90</v>
      </c>
      <c r="EJ117">
        <v>184.72</v>
      </c>
      <c r="EK117">
        <v>18</v>
      </c>
      <c r="EL117" s="187">
        <v>166.32</v>
      </c>
      <c r="EM117">
        <v>1</v>
      </c>
      <c r="EN117">
        <v>0</v>
      </c>
      <c r="EO117">
        <v>0</v>
      </c>
      <c r="EP117">
        <v>124.41</v>
      </c>
      <c r="EQ117" s="187">
        <v>684</v>
      </c>
      <c r="ER117">
        <v>124.41</v>
      </c>
      <c r="ES117">
        <v>684</v>
      </c>
      <c r="ET117">
        <v>251.99</v>
      </c>
      <c r="EU117">
        <v>66</v>
      </c>
      <c r="EV117" s="187">
        <v>283.44</v>
      </c>
      <c r="EW117">
        <v>1</v>
      </c>
      <c r="EX117">
        <v>166.95</v>
      </c>
      <c r="EY117">
        <v>21</v>
      </c>
      <c r="EZ117">
        <v>149.37</v>
      </c>
      <c r="FA117" s="187">
        <v>1</v>
      </c>
      <c r="FB117">
        <v>193.35</v>
      </c>
      <c r="FC117">
        <v>1</v>
      </c>
      <c r="FD117">
        <v>0</v>
      </c>
      <c r="FE117">
        <v>0</v>
      </c>
      <c r="FF117" s="187">
        <v>172.17</v>
      </c>
      <c r="FG117">
        <v>24</v>
      </c>
      <c r="FH117">
        <v>230.71</v>
      </c>
      <c r="FI117">
        <v>90</v>
      </c>
      <c r="FJ117">
        <v>1</v>
      </c>
      <c r="FK117" s="187">
        <v>16</v>
      </c>
      <c r="FL117">
        <v>0</v>
      </c>
      <c r="FM117">
        <v>75</v>
      </c>
      <c r="FN117">
        <v>10</v>
      </c>
    </row>
    <row r="118" spans="1:170" x14ac:dyDescent="0.35">
      <c r="A118" t="s">
        <v>625</v>
      </c>
      <c r="B118" t="s">
        <v>626</v>
      </c>
      <c r="C118" t="s">
        <v>2</v>
      </c>
      <c r="D118">
        <v>2345</v>
      </c>
      <c r="E118">
        <v>2345</v>
      </c>
      <c r="F118">
        <v>0</v>
      </c>
      <c r="G118">
        <v>0</v>
      </c>
      <c r="H118">
        <v>86</v>
      </c>
      <c r="I118">
        <v>43</v>
      </c>
      <c r="J118">
        <v>584</v>
      </c>
      <c r="K118">
        <v>330</v>
      </c>
      <c r="L118">
        <v>494</v>
      </c>
      <c r="M118">
        <v>0</v>
      </c>
      <c r="N118">
        <v>3509</v>
      </c>
      <c r="O118">
        <v>2718</v>
      </c>
      <c r="P118">
        <v>3015</v>
      </c>
      <c r="Q118">
        <v>39</v>
      </c>
      <c r="R118">
        <v>5</v>
      </c>
      <c r="S118">
        <v>18</v>
      </c>
      <c r="T118">
        <v>281</v>
      </c>
      <c r="U118">
        <v>3228</v>
      </c>
      <c r="V118" s="498">
        <v>2345</v>
      </c>
      <c r="W118">
        <v>10</v>
      </c>
      <c r="X118" s="498">
        <v>4</v>
      </c>
      <c r="Y118" s="498">
        <v>14</v>
      </c>
      <c r="Z118" s="498">
        <v>101.16</v>
      </c>
      <c r="AA118" s="498">
        <v>96.74</v>
      </c>
      <c r="AB118">
        <v>10.28</v>
      </c>
      <c r="AC118">
        <v>110.06</v>
      </c>
      <c r="AD118">
        <v>1915</v>
      </c>
      <c r="AE118">
        <v>97.47</v>
      </c>
      <c r="AF118">
        <v>87.78</v>
      </c>
      <c r="AG118">
        <v>39.6</v>
      </c>
      <c r="AH118">
        <v>133.91999999999999</v>
      </c>
      <c r="AI118">
        <v>389</v>
      </c>
      <c r="AJ118">
        <v>132.13999999999999</v>
      </c>
      <c r="AK118">
        <v>298</v>
      </c>
      <c r="AL118">
        <v>140.82</v>
      </c>
      <c r="AM118">
        <v>26</v>
      </c>
      <c r="AN118">
        <v>0</v>
      </c>
      <c r="AO118" s="499">
        <v>0</v>
      </c>
      <c r="AP118" s="499">
        <v>0</v>
      </c>
      <c r="AQ118">
        <v>0</v>
      </c>
      <c r="AR118">
        <v>0</v>
      </c>
      <c r="AS118">
        <v>0</v>
      </c>
      <c r="AT118">
        <v>0</v>
      </c>
      <c r="AU118">
        <v>0</v>
      </c>
      <c r="AV118">
        <v>0</v>
      </c>
      <c r="AW118">
        <v>0</v>
      </c>
      <c r="AX118">
        <v>86.1</v>
      </c>
      <c r="AY118">
        <v>81.99</v>
      </c>
      <c r="AZ118">
        <v>18.75</v>
      </c>
      <c r="BA118">
        <v>103.95</v>
      </c>
      <c r="BB118">
        <v>416</v>
      </c>
      <c r="BC118">
        <v>98.48</v>
      </c>
      <c r="BD118">
        <v>94.29</v>
      </c>
      <c r="BE118">
        <v>10.64</v>
      </c>
      <c r="BF118">
        <v>108.28</v>
      </c>
      <c r="BG118">
        <v>814</v>
      </c>
      <c r="BH118">
        <v>111.99</v>
      </c>
      <c r="BI118">
        <v>107.14</v>
      </c>
      <c r="BJ118">
        <v>3.24</v>
      </c>
      <c r="BK118">
        <v>114.38</v>
      </c>
      <c r="BL118" s="214">
        <v>613</v>
      </c>
      <c r="BM118" s="214">
        <v>126.4</v>
      </c>
      <c r="BN118">
        <v>120.97</v>
      </c>
      <c r="BO118" s="187">
        <v>2.68</v>
      </c>
      <c r="BP118" s="214">
        <v>128.63</v>
      </c>
      <c r="BQ118" s="214">
        <v>71</v>
      </c>
      <c r="BR118">
        <v>125.89</v>
      </c>
      <c r="BS118" s="187">
        <v>126.52</v>
      </c>
      <c r="BT118" s="214">
        <v>5.62</v>
      </c>
      <c r="BU118" s="214">
        <v>131.51</v>
      </c>
      <c r="BV118">
        <v>1</v>
      </c>
      <c r="BW118">
        <v>0</v>
      </c>
      <c r="BX118" s="214">
        <v>0</v>
      </c>
      <c r="BY118" s="214">
        <v>0</v>
      </c>
      <c r="BZ118">
        <v>0</v>
      </c>
      <c r="CA118" s="187">
        <v>0</v>
      </c>
      <c r="CB118" s="214">
        <v>101.16</v>
      </c>
      <c r="CC118" s="214">
        <v>96.74</v>
      </c>
      <c r="CD118">
        <v>10.28</v>
      </c>
      <c r="CE118" s="187">
        <v>110.06</v>
      </c>
      <c r="CF118" s="214">
        <v>1915</v>
      </c>
      <c r="CG118" s="214">
        <v>101.16</v>
      </c>
      <c r="CH118">
        <v>96.74</v>
      </c>
      <c r="CI118">
        <v>10.28</v>
      </c>
      <c r="CJ118">
        <v>110.06</v>
      </c>
      <c r="CK118">
        <v>1915</v>
      </c>
      <c r="CL118">
        <v>105.05</v>
      </c>
      <c r="CM118">
        <v>84.16</v>
      </c>
      <c r="CN118" s="187">
        <v>125.18</v>
      </c>
      <c r="CO118">
        <v>198.93</v>
      </c>
      <c r="CP118">
        <v>48</v>
      </c>
      <c r="CQ118">
        <v>80.150000000000006</v>
      </c>
      <c r="CR118">
        <v>0</v>
      </c>
      <c r="CS118" s="187">
        <v>0</v>
      </c>
      <c r="CT118">
        <v>80.150000000000006</v>
      </c>
      <c r="CU118">
        <v>10</v>
      </c>
      <c r="CV118">
        <v>95.02</v>
      </c>
      <c r="CW118">
        <v>84.73</v>
      </c>
      <c r="CX118" s="187">
        <v>30.46</v>
      </c>
      <c r="CY118">
        <v>124.42</v>
      </c>
      <c r="CZ118">
        <v>259</v>
      </c>
      <c r="DA118">
        <v>103.45</v>
      </c>
      <c r="DB118">
        <v>99.37</v>
      </c>
      <c r="DC118" s="187">
        <v>28.47</v>
      </c>
      <c r="DD118">
        <v>131.91999999999999</v>
      </c>
      <c r="DE118">
        <v>71</v>
      </c>
      <c r="DF118">
        <v>114.75</v>
      </c>
      <c r="DG118">
        <v>104.32</v>
      </c>
      <c r="DH118" s="187">
        <v>35.82</v>
      </c>
      <c r="DI118">
        <v>150.57</v>
      </c>
      <c r="DJ118">
        <v>1</v>
      </c>
      <c r="DK118">
        <v>0</v>
      </c>
      <c r="DL118">
        <v>0</v>
      </c>
      <c r="DM118" s="187">
        <v>0</v>
      </c>
      <c r="DN118">
        <v>0</v>
      </c>
      <c r="DO118">
        <v>0</v>
      </c>
      <c r="DP118">
        <v>96.4</v>
      </c>
      <c r="DQ118">
        <v>88</v>
      </c>
      <c r="DR118" s="187">
        <v>30.04</v>
      </c>
      <c r="DS118">
        <v>124.76</v>
      </c>
      <c r="DT118">
        <v>341</v>
      </c>
      <c r="DU118">
        <v>97.47</v>
      </c>
      <c r="DV118">
        <v>87.78</v>
      </c>
      <c r="DW118" s="187">
        <v>39.6</v>
      </c>
      <c r="DX118">
        <v>133.91999999999999</v>
      </c>
      <c r="DY118">
        <v>389</v>
      </c>
      <c r="DZ118">
        <v>0</v>
      </c>
      <c r="EA118">
        <v>0</v>
      </c>
      <c r="EB118" s="187">
        <v>0</v>
      </c>
      <c r="EC118">
        <v>0</v>
      </c>
      <c r="ED118">
        <v>108.24</v>
      </c>
      <c r="EE118">
        <v>62</v>
      </c>
      <c r="EF118">
        <v>126.24</v>
      </c>
      <c r="EG118" s="187">
        <v>131</v>
      </c>
      <c r="EH118">
        <v>147.24</v>
      </c>
      <c r="EI118">
        <v>88</v>
      </c>
      <c r="EJ118">
        <v>185.42</v>
      </c>
      <c r="EK118">
        <v>16</v>
      </c>
      <c r="EL118" s="187">
        <v>205.87</v>
      </c>
      <c r="EM118">
        <v>1</v>
      </c>
      <c r="EN118">
        <v>0</v>
      </c>
      <c r="EO118">
        <v>0</v>
      </c>
      <c r="EP118">
        <v>132.13999999999999</v>
      </c>
      <c r="EQ118" s="187">
        <v>298</v>
      </c>
      <c r="ER118">
        <v>132.13999999999999</v>
      </c>
      <c r="ES118">
        <v>298</v>
      </c>
      <c r="ET118">
        <v>0</v>
      </c>
      <c r="EU118">
        <v>0</v>
      </c>
      <c r="EV118" s="187">
        <v>0</v>
      </c>
      <c r="EW118">
        <v>0</v>
      </c>
      <c r="EX118">
        <v>140.82</v>
      </c>
      <c r="EY118">
        <v>26</v>
      </c>
      <c r="EZ118">
        <v>0</v>
      </c>
      <c r="FA118" s="187">
        <v>0</v>
      </c>
      <c r="FB118">
        <v>0</v>
      </c>
      <c r="FC118">
        <v>0</v>
      </c>
      <c r="FD118">
        <v>0</v>
      </c>
      <c r="FE118">
        <v>0</v>
      </c>
      <c r="FF118" s="187">
        <v>140.82</v>
      </c>
      <c r="FG118">
        <v>26</v>
      </c>
      <c r="FH118">
        <v>140.82</v>
      </c>
      <c r="FI118">
        <v>26</v>
      </c>
      <c r="FJ118">
        <v>0</v>
      </c>
      <c r="FK118" s="187">
        <v>1</v>
      </c>
      <c r="FL118">
        <v>0</v>
      </c>
      <c r="FM118">
        <v>56</v>
      </c>
      <c r="FN118">
        <v>9</v>
      </c>
    </row>
    <row r="119" spans="1:170" x14ac:dyDescent="0.35">
      <c r="A119" t="s">
        <v>627</v>
      </c>
      <c r="B119" t="s">
        <v>628</v>
      </c>
      <c r="C119" t="s">
        <v>2</v>
      </c>
      <c r="D119">
        <v>1576</v>
      </c>
      <c r="E119">
        <v>1154</v>
      </c>
      <c r="F119">
        <v>0</v>
      </c>
      <c r="G119">
        <v>0</v>
      </c>
      <c r="H119">
        <v>90</v>
      </c>
      <c r="I119">
        <v>42</v>
      </c>
      <c r="J119">
        <v>178</v>
      </c>
      <c r="K119">
        <v>62</v>
      </c>
      <c r="L119">
        <v>634</v>
      </c>
      <c r="M119">
        <v>47</v>
      </c>
      <c r="N119">
        <v>2478</v>
      </c>
      <c r="O119">
        <v>1305</v>
      </c>
      <c r="P119">
        <v>1844</v>
      </c>
      <c r="Q119">
        <v>12</v>
      </c>
      <c r="R119">
        <v>5</v>
      </c>
      <c r="S119">
        <v>18</v>
      </c>
      <c r="T119">
        <v>533</v>
      </c>
      <c r="U119">
        <v>1945</v>
      </c>
      <c r="V119" s="498">
        <v>1184</v>
      </c>
      <c r="W119">
        <v>6</v>
      </c>
      <c r="X119" s="498">
        <v>12</v>
      </c>
      <c r="Y119" s="498">
        <v>18</v>
      </c>
      <c r="Z119" s="498">
        <v>108.56</v>
      </c>
      <c r="AA119" s="498">
        <v>108.63</v>
      </c>
      <c r="AB119">
        <v>6.58</v>
      </c>
      <c r="AC119">
        <v>113.81</v>
      </c>
      <c r="AD119">
        <v>744</v>
      </c>
      <c r="AE119">
        <v>101.98</v>
      </c>
      <c r="AF119">
        <v>87.52</v>
      </c>
      <c r="AG119">
        <v>82.34</v>
      </c>
      <c r="AH119">
        <v>171.38</v>
      </c>
      <c r="AI119">
        <v>70</v>
      </c>
      <c r="AJ119">
        <v>153.34</v>
      </c>
      <c r="AK119">
        <v>435</v>
      </c>
      <c r="AL119">
        <v>231.99</v>
      </c>
      <c r="AM119">
        <v>57</v>
      </c>
      <c r="AN119">
        <v>0</v>
      </c>
      <c r="AO119" s="499">
        <v>0</v>
      </c>
      <c r="AP119" s="499">
        <v>0</v>
      </c>
      <c r="AQ119">
        <v>0</v>
      </c>
      <c r="AR119">
        <v>0</v>
      </c>
      <c r="AS119">
        <v>0</v>
      </c>
      <c r="AT119">
        <v>0</v>
      </c>
      <c r="AU119">
        <v>0</v>
      </c>
      <c r="AV119">
        <v>0</v>
      </c>
      <c r="AW119">
        <v>0</v>
      </c>
      <c r="AX119">
        <v>93.19</v>
      </c>
      <c r="AY119">
        <v>89.06</v>
      </c>
      <c r="AZ119">
        <v>11.78</v>
      </c>
      <c r="BA119">
        <v>103.83</v>
      </c>
      <c r="BB119">
        <v>83</v>
      </c>
      <c r="BC119">
        <v>102.81</v>
      </c>
      <c r="BD119">
        <v>100.02</v>
      </c>
      <c r="BE119">
        <v>8.64</v>
      </c>
      <c r="BF119">
        <v>110.56</v>
      </c>
      <c r="BG119">
        <v>302</v>
      </c>
      <c r="BH119">
        <v>115.4</v>
      </c>
      <c r="BI119">
        <v>116.93</v>
      </c>
      <c r="BJ119">
        <v>2.86</v>
      </c>
      <c r="BK119">
        <v>117.25</v>
      </c>
      <c r="BL119" s="214">
        <v>276</v>
      </c>
      <c r="BM119" s="214">
        <v>121.64</v>
      </c>
      <c r="BN119">
        <v>130.41</v>
      </c>
      <c r="BO119" s="187">
        <v>2.77</v>
      </c>
      <c r="BP119" s="214">
        <v>123.94</v>
      </c>
      <c r="BQ119" s="214">
        <v>71</v>
      </c>
      <c r="BR119">
        <v>124.82</v>
      </c>
      <c r="BS119" s="187">
        <v>141.30000000000001</v>
      </c>
      <c r="BT119" s="214">
        <v>0.67</v>
      </c>
      <c r="BU119" s="214">
        <v>125.38</v>
      </c>
      <c r="BV119">
        <v>12</v>
      </c>
      <c r="BW119">
        <v>0</v>
      </c>
      <c r="BX119" s="214">
        <v>0</v>
      </c>
      <c r="BY119" s="214">
        <v>0</v>
      </c>
      <c r="BZ119">
        <v>0</v>
      </c>
      <c r="CA119" s="187">
        <v>0</v>
      </c>
      <c r="CB119" s="214">
        <v>108.56</v>
      </c>
      <c r="CC119" s="214">
        <v>108.63</v>
      </c>
      <c r="CD119">
        <v>6.58</v>
      </c>
      <c r="CE119" s="187">
        <v>113.81</v>
      </c>
      <c r="CF119" s="214">
        <v>744</v>
      </c>
      <c r="CG119" s="214">
        <v>108.56</v>
      </c>
      <c r="CH119">
        <v>108.63</v>
      </c>
      <c r="CI119">
        <v>6.58</v>
      </c>
      <c r="CJ119">
        <v>113.81</v>
      </c>
      <c r="CK119">
        <v>744</v>
      </c>
      <c r="CL119">
        <v>98.69</v>
      </c>
      <c r="CM119">
        <v>82.2</v>
      </c>
      <c r="CN119" s="187">
        <v>153.15</v>
      </c>
      <c r="CO119">
        <v>211.54</v>
      </c>
      <c r="CP119">
        <v>19</v>
      </c>
      <c r="CQ119">
        <v>0</v>
      </c>
      <c r="CR119">
        <v>0</v>
      </c>
      <c r="CS119" s="187">
        <v>0</v>
      </c>
      <c r="CT119">
        <v>0</v>
      </c>
      <c r="CU119">
        <v>0</v>
      </c>
      <c r="CV119">
        <v>95.79</v>
      </c>
      <c r="CW119">
        <v>88.43</v>
      </c>
      <c r="CX119" s="187">
        <v>60.82</v>
      </c>
      <c r="CY119">
        <v>150.28</v>
      </c>
      <c r="CZ119">
        <v>48</v>
      </c>
      <c r="DA119">
        <v>221.78</v>
      </c>
      <c r="DB119">
        <v>105.76</v>
      </c>
      <c r="DC119" s="187">
        <v>49.49</v>
      </c>
      <c r="DD119">
        <v>254.77</v>
      </c>
      <c r="DE119">
        <v>3</v>
      </c>
      <c r="DF119">
        <v>0</v>
      </c>
      <c r="DG119">
        <v>0</v>
      </c>
      <c r="DH119" s="187">
        <v>0</v>
      </c>
      <c r="DI119">
        <v>0</v>
      </c>
      <c r="DJ119">
        <v>0</v>
      </c>
      <c r="DK119">
        <v>0</v>
      </c>
      <c r="DL119">
        <v>0</v>
      </c>
      <c r="DM119" s="187">
        <v>0</v>
      </c>
      <c r="DN119">
        <v>0</v>
      </c>
      <c r="DO119">
        <v>0</v>
      </c>
      <c r="DP119">
        <v>103.21</v>
      </c>
      <c r="DQ119">
        <v>89.12</v>
      </c>
      <c r="DR119" s="187">
        <v>60.32</v>
      </c>
      <c r="DS119">
        <v>156.41999999999999</v>
      </c>
      <c r="DT119">
        <v>51</v>
      </c>
      <c r="DU119">
        <v>101.98</v>
      </c>
      <c r="DV119">
        <v>87.52</v>
      </c>
      <c r="DW119" s="187">
        <v>82.34</v>
      </c>
      <c r="DX119">
        <v>171.38</v>
      </c>
      <c r="DY119">
        <v>70</v>
      </c>
      <c r="DZ119">
        <v>0</v>
      </c>
      <c r="EA119">
        <v>0</v>
      </c>
      <c r="EB119" s="187">
        <v>0</v>
      </c>
      <c r="EC119">
        <v>0</v>
      </c>
      <c r="ED119">
        <v>128.69</v>
      </c>
      <c r="EE119">
        <v>135</v>
      </c>
      <c r="EF119">
        <v>156.97999999999999</v>
      </c>
      <c r="EG119" s="187">
        <v>223</v>
      </c>
      <c r="EH119">
        <v>183.16</v>
      </c>
      <c r="EI119">
        <v>68</v>
      </c>
      <c r="EJ119">
        <v>207.71</v>
      </c>
      <c r="EK119">
        <v>9</v>
      </c>
      <c r="EL119" s="187">
        <v>0</v>
      </c>
      <c r="EM119">
        <v>0</v>
      </c>
      <c r="EN119">
        <v>0</v>
      </c>
      <c r="EO119">
        <v>0</v>
      </c>
      <c r="EP119">
        <v>153.34</v>
      </c>
      <c r="EQ119" s="187">
        <v>435</v>
      </c>
      <c r="ER119">
        <v>153.34</v>
      </c>
      <c r="ES119">
        <v>435</v>
      </c>
      <c r="ET119">
        <v>0</v>
      </c>
      <c r="EU119">
        <v>0</v>
      </c>
      <c r="EV119" s="187">
        <v>0</v>
      </c>
      <c r="EW119">
        <v>0</v>
      </c>
      <c r="EX119">
        <v>232.02</v>
      </c>
      <c r="EY119">
        <v>35</v>
      </c>
      <c r="EZ119">
        <v>231.93</v>
      </c>
      <c r="FA119" s="187">
        <v>22</v>
      </c>
      <c r="FB119">
        <v>0</v>
      </c>
      <c r="FC119">
        <v>0</v>
      </c>
      <c r="FD119">
        <v>0</v>
      </c>
      <c r="FE119">
        <v>0</v>
      </c>
      <c r="FF119" s="187">
        <v>231.99</v>
      </c>
      <c r="FG119">
        <v>57</v>
      </c>
      <c r="FH119">
        <v>231.99</v>
      </c>
      <c r="FI119">
        <v>57</v>
      </c>
      <c r="FJ119">
        <v>20</v>
      </c>
      <c r="FK119" s="187">
        <v>1</v>
      </c>
      <c r="FL119">
        <v>0</v>
      </c>
      <c r="FM119">
        <v>173</v>
      </c>
      <c r="FN119">
        <v>11</v>
      </c>
    </row>
    <row r="120" spans="1:170" x14ac:dyDescent="0.35">
      <c r="A120" t="s">
        <v>629</v>
      </c>
      <c r="B120" t="s">
        <v>630</v>
      </c>
      <c r="C120" t="s">
        <v>415</v>
      </c>
      <c r="D120">
        <v>1459</v>
      </c>
      <c r="E120">
        <v>1450</v>
      </c>
      <c r="F120">
        <v>0</v>
      </c>
      <c r="G120">
        <v>0</v>
      </c>
      <c r="H120">
        <v>259</v>
      </c>
      <c r="I120">
        <v>111</v>
      </c>
      <c r="J120">
        <v>149</v>
      </c>
      <c r="K120">
        <v>141</v>
      </c>
      <c r="L120">
        <v>97</v>
      </c>
      <c r="M120">
        <v>15</v>
      </c>
      <c r="N120">
        <v>1964</v>
      </c>
      <c r="O120">
        <v>1717</v>
      </c>
      <c r="P120">
        <v>1867</v>
      </c>
      <c r="Q120">
        <v>0</v>
      </c>
      <c r="R120">
        <v>4</v>
      </c>
      <c r="S120">
        <v>19</v>
      </c>
      <c r="T120">
        <v>132</v>
      </c>
      <c r="U120">
        <v>1832</v>
      </c>
      <c r="V120" s="498">
        <v>1459</v>
      </c>
      <c r="W120">
        <v>24</v>
      </c>
      <c r="X120" s="498">
        <v>19</v>
      </c>
      <c r="Y120" s="498">
        <v>43</v>
      </c>
      <c r="Z120" s="498">
        <v>89.26</v>
      </c>
      <c r="AA120" s="498">
        <v>87.02</v>
      </c>
      <c r="AB120">
        <v>5.85</v>
      </c>
      <c r="AC120">
        <v>93.18</v>
      </c>
      <c r="AD120">
        <v>1174</v>
      </c>
      <c r="AE120">
        <v>100.43</v>
      </c>
      <c r="AF120">
        <v>84.25</v>
      </c>
      <c r="AG120">
        <v>69.75</v>
      </c>
      <c r="AH120">
        <v>169.92</v>
      </c>
      <c r="AI120">
        <v>276</v>
      </c>
      <c r="AJ120">
        <v>106.74</v>
      </c>
      <c r="AK120">
        <v>250</v>
      </c>
      <c r="AL120">
        <v>0</v>
      </c>
      <c r="AM120">
        <v>0</v>
      </c>
      <c r="AN120">
        <v>0</v>
      </c>
      <c r="AO120" s="499">
        <v>0</v>
      </c>
      <c r="AP120" s="499">
        <v>0</v>
      </c>
      <c r="AQ120">
        <v>0</v>
      </c>
      <c r="AR120">
        <v>0</v>
      </c>
      <c r="AS120">
        <v>0</v>
      </c>
      <c r="AT120">
        <v>0</v>
      </c>
      <c r="AU120">
        <v>0</v>
      </c>
      <c r="AV120">
        <v>0</v>
      </c>
      <c r="AW120">
        <v>0</v>
      </c>
      <c r="AX120">
        <v>78.510000000000005</v>
      </c>
      <c r="AY120">
        <v>77.349999999999994</v>
      </c>
      <c r="AZ120">
        <v>8.4</v>
      </c>
      <c r="BA120">
        <v>85.91</v>
      </c>
      <c r="BB120">
        <v>243</v>
      </c>
      <c r="BC120">
        <v>86.19</v>
      </c>
      <c r="BD120">
        <v>83.49</v>
      </c>
      <c r="BE120">
        <v>6.36</v>
      </c>
      <c r="BF120">
        <v>90.54</v>
      </c>
      <c r="BG120">
        <v>510</v>
      </c>
      <c r="BH120">
        <v>97.22</v>
      </c>
      <c r="BI120">
        <v>94.81</v>
      </c>
      <c r="BJ120">
        <v>2.64</v>
      </c>
      <c r="BK120">
        <v>98.72</v>
      </c>
      <c r="BL120" s="214">
        <v>364</v>
      </c>
      <c r="BM120" s="214">
        <v>108.79</v>
      </c>
      <c r="BN120">
        <v>106.28</v>
      </c>
      <c r="BO120" s="187">
        <v>2.2200000000000002</v>
      </c>
      <c r="BP120" s="214">
        <v>109.75</v>
      </c>
      <c r="BQ120" s="214">
        <v>37</v>
      </c>
      <c r="BR120">
        <v>113.54</v>
      </c>
      <c r="BS120" s="187">
        <v>112.98</v>
      </c>
      <c r="BT120" s="214">
        <v>0.27</v>
      </c>
      <c r="BU120" s="214">
        <v>113.57</v>
      </c>
      <c r="BV120">
        <v>11</v>
      </c>
      <c r="BW120">
        <v>121.24</v>
      </c>
      <c r="BX120" s="214">
        <v>122.28</v>
      </c>
      <c r="BY120" s="214">
        <v>0</v>
      </c>
      <c r="BZ120">
        <v>121.24</v>
      </c>
      <c r="CA120" s="187">
        <v>9</v>
      </c>
      <c r="CB120" s="214">
        <v>89.26</v>
      </c>
      <c r="CC120" s="214">
        <v>87.02</v>
      </c>
      <c r="CD120">
        <v>5.85</v>
      </c>
      <c r="CE120" s="187">
        <v>93.18</v>
      </c>
      <c r="CF120" s="214">
        <v>1174</v>
      </c>
      <c r="CG120" s="214">
        <v>89.26</v>
      </c>
      <c r="CH120">
        <v>87.02</v>
      </c>
      <c r="CI120">
        <v>5.85</v>
      </c>
      <c r="CJ120">
        <v>93.18</v>
      </c>
      <c r="CK120">
        <v>1174</v>
      </c>
      <c r="CL120">
        <v>140.97</v>
      </c>
      <c r="CM120">
        <v>96.34</v>
      </c>
      <c r="CN120" s="187">
        <v>80.2</v>
      </c>
      <c r="CO120">
        <v>221.17</v>
      </c>
      <c r="CP120">
        <v>80</v>
      </c>
      <c r="CQ120">
        <v>74.349999999999994</v>
      </c>
      <c r="CR120">
        <v>67.66</v>
      </c>
      <c r="CS120" s="187">
        <v>35.47</v>
      </c>
      <c r="CT120">
        <v>109.82</v>
      </c>
      <c r="CU120">
        <v>8</v>
      </c>
      <c r="CV120">
        <v>83.67</v>
      </c>
      <c r="CW120">
        <v>80.37</v>
      </c>
      <c r="CX120" s="187">
        <v>66.099999999999994</v>
      </c>
      <c r="CY120">
        <v>149.76</v>
      </c>
      <c r="CZ120">
        <v>178</v>
      </c>
      <c r="DA120">
        <v>93.27</v>
      </c>
      <c r="DB120">
        <v>91.92</v>
      </c>
      <c r="DC120" s="187">
        <v>77.459999999999994</v>
      </c>
      <c r="DD120">
        <v>161.05000000000001</v>
      </c>
      <c r="DE120">
        <v>8</v>
      </c>
      <c r="DF120">
        <v>103.17</v>
      </c>
      <c r="DG120">
        <v>0</v>
      </c>
      <c r="DH120" s="187">
        <v>86.67</v>
      </c>
      <c r="DI120">
        <v>189.84</v>
      </c>
      <c r="DJ120">
        <v>2</v>
      </c>
      <c r="DK120">
        <v>0</v>
      </c>
      <c r="DL120">
        <v>0</v>
      </c>
      <c r="DM120" s="187">
        <v>0</v>
      </c>
      <c r="DN120">
        <v>0</v>
      </c>
      <c r="DO120">
        <v>0</v>
      </c>
      <c r="DP120">
        <v>83.88</v>
      </c>
      <c r="DQ120">
        <v>79.900000000000006</v>
      </c>
      <c r="DR120" s="187">
        <v>65.459999999999994</v>
      </c>
      <c r="DS120">
        <v>149</v>
      </c>
      <c r="DT120">
        <v>196</v>
      </c>
      <c r="DU120">
        <v>100.43</v>
      </c>
      <c r="DV120">
        <v>84.25</v>
      </c>
      <c r="DW120" s="187">
        <v>69.75</v>
      </c>
      <c r="DX120">
        <v>169.92</v>
      </c>
      <c r="DY120">
        <v>276</v>
      </c>
      <c r="DZ120">
        <v>0</v>
      </c>
      <c r="EA120">
        <v>0</v>
      </c>
      <c r="EB120" s="187">
        <v>0</v>
      </c>
      <c r="EC120">
        <v>0</v>
      </c>
      <c r="ED120">
        <v>88.93</v>
      </c>
      <c r="EE120">
        <v>66</v>
      </c>
      <c r="EF120">
        <v>106.06</v>
      </c>
      <c r="EG120" s="187">
        <v>96</v>
      </c>
      <c r="EH120">
        <v>117.33</v>
      </c>
      <c r="EI120">
        <v>78</v>
      </c>
      <c r="EJ120">
        <v>149.56</v>
      </c>
      <c r="EK120">
        <v>9</v>
      </c>
      <c r="EL120" s="187">
        <v>0</v>
      </c>
      <c r="EM120">
        <v>0</v>
      </c>
      <c r="EN120">
        <v>136.35</v>
      </c>
      <c r="EO120">
        <v>1</v>
      </c>
      <c r="EP120">
        <v>106.74</v>
      </c>
      <c r="EQ120" s="187">
        <v>250</v>
      </c>
      <c r="ER120">
        <v>106.74</v>
      </c>
      <c r="ES120">
        <v>250</v>
      </c>
      <c r="ET120">
        <v>0</v>
      </c>
      <c r="EU120">
        <v>0</v>
      </c>
      <c r="EV120" s="187">
        <v>0</v>
      </c>
      <c r="EW120">
        <v>0</v>
      </c>
      <c r="EX120">
        <v>0</v>
      </c>
      <c r="EY120">
        <v>0</v>
      </c>
      <c r="EZ120">
        <v>0</v>
      </c>
      <c r="FA120" s="187">
        <v>0</v>
      </c>
      <c r="FB120">
        <v>0</v>
      </c>
      <c r="FC120">
        <v>0</v>
      </c>
      <c r="FD120">
        <v>0</v>
      </c>
      <c r="FE120">
        <v>0</v>
      </c>
      <c r="FF120" s="187">
        <v>0</v>
      </c>
      <c r="FG120">
        <v>0</v>
      </c>
      <c r="FH120">
        <v>0</v>
      </c>
      <c r="FI120">
        <v>0</v>
      </c>
      <c r="FJ120">
        <v>9</v>
      </c>
      <c r="FK120" s="187">
        <v>0</v>
      </c>
      <c r="FL120">
        <v>31</v>
      </c>
      <c r="FM120">
        <v>0</v>
      </c>
      <c r="FN120">
        <v>3</v>
      </c>
    </row>
    <row r="121" spans="1:170" x14ac:dyDescent="0.35">
      <c r="A121" t="s">
        <v>631</v>
      </c>
      <c r="B121" t="s">
        <v>632</v>
      </c>
      <c r="C121" t="s">
        <v>416</v>
      </c>
      <c r="D121">
        <v>13286</v>
      </c>
      <c r="E121">
        <v>12157</v>
      </c>
      <c r="F121">
        <v>160</v>
      </c>
      <c r="G121">
        <v>63</v>
      </c>
      <c r="H121">
        <v>419</v>
      </c>
      <c r="I121">
        <v>166</v>
      </c>
      <c r="J121">
        <v>980</v>
      </c>
      <c r="K121">
        <v>933</v>
      </c>
      <c r="L121">
        <v>2879</v>
      </c>
      <c r="M121">
        <v>112</v>
      </c>
      <c r="N121">
        <v>17724</v>
      </c>
      <c r="O121">
        <v>13431</v>
      </c>
      <c r="P121">
        <v>14845</v>
      </c>
      <c r="Q121">
        <v>85</v>
      </c>
      <c r="R121">
        <v>18</v>
      </c>
      <c r="S121">
        <v>25</v>
      </c>
      <c r="T121">
        <v>1588</v>
      </c>
      <c r="U121">
        <v>16136</v>
      </c>
      <c r="V121" s="498">
        <v>11979</v>
      </c>
      <c r="W121">
        <v>148</v>
      </c>
      <c r="X121" s="498">
        <v>47</v>
      </c>
      <c r="Y121" s="498">
        <v>195</v>
      </c>
      <c r="Z121" s="498">
        <v>122.34</v>
      </c>
      <c r="AA121" s="498">
        <v>121.44</v>
      </c>
      <c r="AB121">
        <v>16.64</v>
      </c>
      <c r="AC121">
        <v>135.30000000000001</v>
      </c>
      <c r="AD121">
        <v>10020</v>
      </c>
      <c r="AE121">
        <v>117.82</v>
      </c>
      <c r="AF121">
        <v>106.48</v>
      </c>
      <c r="AG121">
        <v>56.92</v>
      </c>
      <c r="AH121">
        <v>173.51</v>
      </c>
      <c r="AI121">
        <v>1210</v>
      </c>
      <c r="AJ121">
        <v>182.39</v>
      </c>
      <c r="AK121">
        <v>1534</v>
      </c>
      <c r="AL121">
        <v>0</v>
      </c>
      <c r="AM121">
        <v>0</v>
      </c>
      <c r="AN121">
        <v>80.290000000000006</v>
      </c>
      <c r="AO121" s="499">
        <v>77.41</v>
      </c>
      <c r="AP121" s="499">
        <v>17.3</v>
      </c>
      <c r="AQ121">
        <v>95.8</v>
      </c>
      <c r="AR121">
        <v>58</v>
      </c>
      <c r="AS121">
        <v>82.27</v>
      </c>
      <c r="AT121">
        <v>79.48</v>
      </c>
      <c r="AU121">
        <v>15.44</v>
      </c>
      <c r="AV121">
        <v>96.09</v>
      </c>
      <c r="AW121">
        <v>115</v>
      </c>
      <c r="AX121">
        <v>98.89</v>
      </c>
      <c r="AY121">
        <v>96.76</v>
      </c>
      <c r="AZ121">
        <v>16.86</v>
      </c>
      <c r="BA121">
        <v>114.15</v>
      </c>
      <c r="BB121">
        <v>2261</v>
      </c>
      <c r="BC121">
        <v>120.52</v>
      </c>
      <c r="BD121">
        <v>119.24</v>
      </c>
      <c r="BE121">
        <v>17.98</v>
      </c>
      <c r="BF121">
        <v>134.91</v>
      </c>
      <c r="BG121">
        <v>3516</v>
      </c>
      <c r="BH121">
        <v>136.51</v>
      </c>
      <c r="BI121">
        <v>136.51</v>
      </c>
      <c r="BJ121">
        <v>16.62</v>
      </c>
      <c r="BK121">
        <v>147.57</v>
      </c>
      <c r="BL121" s="214">
        <v>3310</v>
      </c>
      <c r="BM121" s="214">
        <v>147.27000000000001</v>
      </c>
      <c r="BN121">
        <v>148.02000000000001</v>
      </c>
      <c r="BO121" s="187">
        <v>9.89</v>
      </c>
      <c r="BP121" s="214">
        <v>154.88</v>
      </c>
      <c r="BQ121" s="214">
        <v>716</v>
      </c>
      <c r="BR121">
        <v>160.02000000000001</v>
      </c>
      <c r="BS121" s="187">
        <v>165.07</v>
      </c>
      <c r="BT121" s="214">
        <v>5.33</v>
      </c>
      <c r="BU121" s="214">
        <v>163.79</v>
      </c>
      <c r="BV121">
        <v>41</v>
      </c>
      <c r="BW121">
        <v>179.2</v>
      </c>
      <c r="BX121" s="214">
        <v>192.63</v>
      </c>
      <c r="BY121" s="214">
        <v>0</v>
      </c>
      <c r="BZ121">
        <v>179.2</v>
      </c>
      <c r="CA121" s="187">
        <v>3</v>
      </c>
      <c r="CB121" s="214">
        <v>122.59</v>
      </c>
      <c r="CC121" s="214">
        <v>121.7</v>
      </c>
      <c r="CD121">
        <v>16.64</v>
      </c>
      <c r="CE121" s="187">
        <v>135.53</v>
      </c>
      <c r="CF121" s="214">
        <v>9962</v>
      </c>
      <c r="CG121" s="214">
        <v>122.34</v>
      </c>
      <c r="CH121">
        <v>121.44</v>
      </c>
      <c r="CI121">
        <v>16.64</v>
      </c>
      <c r="CJ121">
        <v>135.30000000000001</v>
      </c>
      <c r="CK121">
        <v>10020</v>
      </c>
      <c r="CL121">
        <v>99.41</v>
      </c>
      <c r="CM121">
        <v>95.52</v>
      </c>
      <c r="CN121" s="187">
        <v>58.44</v>
      </c>
      <c r="CO121">
        <v>152.13999999999999</v>
      </c>
      <c r="CP121">
        <v>164</v>
      </c>
      <c r="CQ121">
        <v>97.35</v>
      </c>
      <c r="CR121">
        <v>90.66</v>
      </c>
      <c r="CS121" s="187">
        <v>78.28</v>
      </c>
      <c r="CT121">
        <v>174.65</v>
      </c>
      <c r="CU121">
        <v>80</v>
      </c>
      <c r="CV121">
        <v>117.99</v>
      </c>
      <c r="CW121">
        <v>101.12</v>
      </c>
      <c r="CX121" s="187">
        <v>53.31</v>
      </c>
      <c r="CY121">
        <v>170.91</v>
      </c>
      <c r="CZ121">
        <v>694</v>
      </c>
      <c r="DA121">
        <v>134.33000000000001</v>
      </c>
      <c r="DB121">
        <v>130.43</v>
      </c>
      <c r="DC121" s="187">
        <v>59.52</v>
      </c>
      <c r="DD121">
        <v>193.41</v>
      </c>
      <c r="DE121">
        <v>266</v>
      </c>
      <c r="DF121">
        <v>140.29</v>
      </c>
      <c r="DG121">
        <v>129.88</v>
      </c>
      <c r="DH121" s="187">
        <v>29.29</v>
      </c>
      <c r="DI121">
        <v>157.87</v>
      </c>
      <c r="DJ121">
        <v>5</v>
      </c>
      <c r="DK121">
        <v>149.87</v>
      </c>
      <c r="DL121">
        <v>143.18</v>
      </c>
      <c r="DM121" s="187">
        <v>29.67</v>
      </c>
      <c r="DN121">
        <v>179.54</v>
      </c>
      <c r="DO121">
        <v>1</v>
      </c>
      <c r="DP121">
        <v>120.7</v>
      </c>
      <c r="DQ121">
        <v>108.16</v>
      </c>
      <c r="DR121" s="187">
        <v>56.7</v>
      </c>
      <c r="DS121">
        <v>176.86</v>
      </c>
      <c r="DT121">
        <v>1046</v>
      </c>
      <c r="DU121">
        <v>117.82</v>
      </c>
      <c r="DV121">
        <v>106.48</v>
      </c>
      <c r="DW121" s="187">
        <v>56.92</v>
      </c>
      <c r="DX121">
        <v>173.51</v>
      </c>
      <c r="DY121">
        <v>1210</v>
      </c>
      <c r="DZ121">
        <v>0</v>
      </c>
      <c r="EA121">
        <v>0</v>
      </c>
      <c r="EB121" s="187">
        <v>146.13</v>
      </c>
      <c r="EC121">
        <v>5</v>
      </c>
      <c r="ED121">
        <v>159.84</v>
      </c>
      <c r="EE121">
        <v>527</v>
      </c>
      <c r="EF121">
        <v>189.78</v>
      </c>
      <c r="EG121" s="187">
        <v>742</v>
      </c>
      <c r="EH121">
        <v>206.18</v>
      </c>
      <c r="EI121">
        <v>224</v>
      </c>
      <c r="EJ121">
        <v>216.95</v>
      </c>
      <c r="EK121">
        <v>36</v>
      </c>
      <c r="EL121" s="187">
        <v>0</v>
      </c>
      <c r="EM121">
        <v>0</v>
      </c>
      <c r="EN121">
        <v>0</v>
      </c>
      <c r="EO121">
        <v>0</v>
      </c>
      <c r="EP121">
        <v>182.39</v>
      </c>
      <c r="EQ121" s="187">
        <v>1534</v>
      </c>
      <c r="ER121">
        <v>182.39</v>
      </c>
      <c r="ES121">
        <v>1534</v>
      </c>
      <c r="ET121">
        <v>0</v>
      </c>
      <c r="EU121">
        <v>0</v>
      </c>
      <c r="EV121" s="187">
        <v>0</v>
      </c>
      <c r="EW121">
        <v>0</v>
      </c>
      <c r="EX121">
        <v>0</v>
      </c>
      <c r="EY121">
        <v>0</v>
      </c>
      <c r="EZ121">
        <v>0</v>
      </c>
      <c r="FA121" s="187">
        <v>0</v>
      </c>
      <c r="FB121">
        <v>0</v>
      </c>
      <c r="FC121">
        <v>0</v>
      </c>
      <c r="FD121">
        <v>0</v>
      </c>
      <c r="FE121">
        <v>0</v>
      </c>
      <c r="FF121" s="187">
        <v>0</v>
      </c>
      <c r="FG121">
        <v>0</v>
      </c>
      <c r="FH121">
        <v>0</v>
      </c>
      <c r="FI121">
        <v>0</v>
      </c>
      <c r="FJ121">
        <v>3</v>
      </c>
      <c r="FK121" s="187">
        <v>6</v>
      </c>
      <c r="FL121">
        <v>20</v>
      </c>
      <c r="FM121">
        <v>113</v>
      </c>
      <c r="FN121">
        <v>108</v>
      </c>
    </row>
    <row r="122" spans="1:170" x14ac:dyDescent="0.35">
      <c r="A122" t="s">
        <v>633</v>
      </c>
      <c r="B122" t="s">
        <v>634</v>
      </c>
      <c r="C122" t="s">
        <v>2</v>
      </c>
      <c r="D122">
        <v>1894</v>
      </c>
      <c r="E122">
        <v>1867</v>
      </c>
      <c r="F122">
        <v>0</v>
      </c>
      <c r="G122">
        <v>0</v>
      </c>
      <c r="H122">
        <v>272</v>
      </c>
      <c r="I122">
        <v>175</v>
      </c>
      <c r="J122">
        <v>215</v>
      </c>
      <c r="K122">
        <v>65</v>
      </c>
      <c r="L122">
        <v>505</v>
      </c>
      <c r="M122">
        <v>103</v>
      </c>
      <c r="N122">
        <v>2886</v>
      </c>
      <c r="O122">
        <v>2210</v>
      </c>
      <c r="P122">
        <v>2381</v>
      </c>
      <c r="Q122">
        <v>2</v>
      </c>
      <c r="R122">
        <v>14</v>
      </c>
      <c r="S122">
        <v>20</v>
      </c>
      <c r="T122">
        <v>432</v>
      </c>
      <c r="U122">
        <v>2454</v>
      </c>
      <c r="V122" s="498">
        <v>1729</v>
      </c>
      <c r="W122">
        <v>12</v>
      </c>
      <c r="X122" s="498">
        <v>1</v>
      </c>
      <c r="Y122" s="498">
        <v>13</v>
      </c>
      <c r="Z122" s="498">
        <v>128.30000000000001</v>
      </c>
      <c r="AA122" s="498">
        <v>125.8</v>
      </c>
      <c r="AB122">
        <v>8.67</v>
      </c>
      <c r="AC122">
        <v>135.35</v>
      </c>
      <c r="AD122">
        <v>1368</v>
      </c>
      <c r="AE122">
        <v>98.25</v>
      </c>
      <c r="AF122">
        <v>87.78</v>
      </c>
      <c r="AG122">
        <v>85.65</v>
      </c>
      <c r="AH122">
        <v>180.79</v>
      </c>
      <c r="AI122">
        <v>220</v>
      </c>
      <c r="AJ122">
        <v>179.23</v>
      </c>
      <c r="AK122">
        <v>367</v>
      </c>
      <c r="AL122">
        <v>264.19</v>
      </c>
      <c r="AM122">
        <v>43</v>
      </c>
      <c r="AN122">
        <v>0</v>
      </c>
      <c r="AO122" s="499">
        <v>0</v>
      </c>
      <c r="AP122" s="499">
        <v>0</v>
      </c>
      <c r="AQ122">
        <v>0</v>
      </c>
      <c r="AR122">
        <v>0</v>
      </c>
      <c r="AS122">
        <v>0</v>
      </c>
      <c r="AT122">
        <v>0</v>
      </c>
      <c r="AU122">
        <v>0</v>
      </c>
      <c r="AV122">
        <v>0</v>
      </c>
      <c r="AW122">
        <v>0</v>
      </c>
      <c r="AX122">
        <v>107.4</v>
      </c>
      <c r="AY122">
        <v>104.89</v>
      </c>
      <c r="AZ122">
        <v>13.74</v>
      </c>
      <c r="BA122">
        <v>120.37</v>
      </c>
      <c r="BB122">
        <v>305</v>
      </c>
      <c r="BC122">
        <v>127.59</v>
      </c>
      <c r="BD122">
        <v>124.71</v>
      </c>
      <c r="BE122">
        <v>8</v>
      </c>
      <c r="BF122">
        <v>134.41999999999999</v>
      </c>
      <c r="BG122">
        <v>576</v>
      </c>
      <c r="BH122">
        <v>140.62</v>
      </c>
      <c r="BI122">
        <v>138.4</v>
      </c>
      <c r="BJ122">
        <v>5.32</v>
      </c>
      <c r="BK122">
        <v>144.29</v>
      </c>
      <c r="BL122" s="214">
        <v>440</v>
      </c>
      <c r="BM122" s="214">
        <v>156.81</v>
      </c>
      <c r="BN122">
        <v>156.13</v>
      </c>
      <c r="BO122" s="187">
        <v>5.17</v>
      </c>
      <c r="BP122" s="214">
        <v>159.96</v>
      </c>
      <c r="BQ122" s="214">
        <v>46</v>
      </c>
      <c r="BR122">
        <v>174.08</v>
      </c>
      <c r="BS122" s="187">
        <v>183.89</v>
      </c>
      <c r="BT122" s="214">
        <v>2.5499999999999998</v>
      </c>
      <c r="BU122" s="214">
        <v>176.63</v>
      </c>
      <c r="BV122">
        <v>1</v>
      </c>
      <c r="BW122">
        <v>0</v>
      </c>
      <c r="BX122" s="214">
        <v>0</v>
      </c>
      <c r="BY122" s="214">
        <v>0</v>
      </c>
      <c r="BZ122">
        <v>0</v>
      </c>
      <c r="CA122" s="187">
        <v>0</v>
      </c>
      <c r="CB122" s="214">
        <v>128.30000000000001</v>
      </c>
      <c r="CC122" s="214">
        <v>125.8</v>
      </c>
      <c r="CD122">
        <v>8.67</v>
      </c>
      <c r="CE122" s="187">
        <v>135.35</v>
      </c>
      <c r="CF122" s="214">
        <v>1368</v>
      </c>
      <c r="CG122" s="214">
        <v>128.30000000000001</v>
      </c>
      <c r="CH122">
        <v>125.8</v>
      </c>
      <c r="CI122">
        <v>8.67</v>
      </c>
      <c r="CJ122">
        <v>135.35</v>
      </c>
      <c r="CK122">
        <v>1368</v>
      </c>
      <c r="CL122">
        <v>93.18</v>
      </c>
      <c r="CM122">
        <v>79.459999999999994</v>
      </c>
      <c r="CN122" s="187">
        <v>114.98</v>
      </c>
      <c r="CO122">
        <v>207.25</v>
      </c>
      <c r="CP122">
        <v>127</v>
      </c>
      <c r="CQ122">
        <v>0</v>
      </c>
      <c r="CR122">
        <v>0</v>
      </c>
      <c r="CS122" s="187">
        <v>0</v>
      </c>
      <c r="CT122">
        <v>0</v>
      </c>
      <c r="CU122">
        <v>0</v>
      </c>
      <c r="CV122">
        <v>103.73</v>
      </c>
      <c r="CW122">
        <v>97.1</v>
      </c>
      <c r="CX122" s="187">
        <v>41.38</v>
      </c>
      <c r="CY122">
        <v>141.86000000000001</v>
      </c>
      <c r="CZ122">
        <v>89</v>
      </c>
      <c r="DA122">
        <v>137.13</v>
      </c>
      <c r="DB122">
        <v>126.12</v>
      </c>
      <c r="DC122" s="187">
        <v>69.599999999999994</v>
      </c>
      <c r="DD122">
        <v>206.74</v>
      </c>
      <c r="DE122">
        <v>4</v>
      </c>
      <c r="DF122">
        <v>0</v>
      </c>
      <c r="DG122">
        <v>0</v>
      </c>
      <c r="DH122" s="187">
        <v>0</v>
      </c>
      <c r="DI122">
        <v>0</v>
      </c>
      <c r="DJ122">
        <v>0</v>
      </c>
      <c r="DK122">
        <v>0</v>
      </c>
      <c r="DL122">
        <v>0</v>
      </c>
      <c r="DM122" s="187">
        <v>0</v>
      </c>
      <c r="DN122">
        <v>0</v>
      </c>
      <c r="DO122">
        <v>0</v>
      </c>
      <c r="DP122">
        <v>105.17</v>
      </c>
      <c r="DQ122">
        <v>98.08</v>
      </c>
      <c r="DR122" s="187">
        <v>42.7</v>
      </c>
      <c r="DS122">
        <v>144.65</v>
      </c>
      <c r="DT122">
        <v>93</v>
      </c>
      <c r="DU122">
        <v>98.25</v>
      </c>
      <c r="DV122">
        <v>87.78</v>
      </c>
      <c r="DW122" s="187">
        <v>85.65</v>
      </c>
      <c r="DX122">
        <v>180.79</v>
      </c>
      <c r="DY122">
        <v>220</v>
      </c>
      <c r="DZ122">
        <v>0</v>
      </c>
      <c r="EA122">
        <v>0</v>
      </c>
      <c r="EB122" s="187">
        <v>0</v>
      </c>
      <c r="EC122">
        <v>0</v>
      </c>
      <c r="ED122">
        <v>153.62</v>
      </c>
      <c r="EE122">
        <v>134</v>
      </c>
      <c r="EF122">
        <v>185.19</v>
      </c>
      <c r="EG122" s="187">
        <v>170</v>
      </c>
      <c r="EH122">
        <v>215.16</v>
      </c>
      <c r="EI122">
        <v>61</v>
      </c>
      <c r="EJ122">
        <v>292.51</v>
      </c>
      <c r="EK122">
        <v>2</v>
      </c>
      <c r="EL122" s="187">
        <v>0</v>
      </c>
      <c r="EM122">
        <v>0</v>
      </c>
      <c r="EN122">
        <v>0</v>
      </c>
      <c r="EO122">
        <v>0</v>
      </c>
      <c r="EP122">
        <v>179.23</v>
      </c>
      <c r="EQ122" s="187">
        <v>367</v>
      </c>
      <c r="ER122">
        <v>179.23</v>
      </c>
      <c r="ES122">
        <v>367</v>
      </c>
      <c r="ET122">
        <v>306.42</v>
      </c>
      <c r="EU122">
        <v>10</v>
      </c>
      <c r="EV122" s="187">
        <v>293.06</v>
      </c>
      <c r="EW122">
        <v>24</v>
      </c>
      <c r="EX122">
        <v>140.27000000000001</v>
      </c>
      <c r="EY122">
        <v>9</v>
      </c>
      <c r="EZ122">
        <v>0</v>
      </c>
      <c r="FA122" s="187">
        <v>0</v>
      </c>
      <c r="FB122">
        <v>0</v>
      </c>
      <c r="FC122">
        <v>0</v>
      </c>
      <c r="FD122">
        <v>0</v>
      </c>
      <c r="FE122">
        <v>0</v>
      </c>
      <c r="FF122" s="187">
        <v>251.39</v>
      </c>
      <c r="FG122">
        <v>33</v>
      </c>
      <c r="FH122">
        <v>264.19</v>
      </c>
      <c r="FI122">
        <v>43</v>
      </c>
      <c r="FJ122">
        <v>0</v>
      </c>
      <c r="FK122" s="187">
        <v>0</v>
      </c>
      <c r="FL122">
        <v>0</v>
      </c>
      <c r="FM122">
        <v>67</v>
      </c>
      <c r="FN122">
        <v>13</v>
      </c>
    </row>
    <row r="123" spans="1:170" x14ac:dyDescent="0.35">
      <c r="A123" t="s">
        <v>635</v>
      </c>
      <c r="B123" t="s">
        <v>636</v>
      </c>
      <c r="C123" t="s">
        <v>416</v>
      </c>
      <c r="D123">
        <v>19910</v>
      </c>
      <c r="E123">
        <v>19129</v>
      </c>
      <c r="F123">
        <v>596</v>
      </c>
      <c r="G123">
        <v>432</v>
      </c>
      <c r="H123">
        <v>1550</v>
      </c>
      <c r="I123">
        <v>974</v>
      </c>
      <c r="J123">
        <v>1786</v>
      </c>
      <c r="K123">
        <v>1574</v>
      </c>
      <c r="L123">
        <v>2519</v>
      </c>
      <c r="M123">
        <v>110</v>
      </c>
      <c r="N123">
        <v>26361</v>
      </c>
      <c r="O123">
        <v>22219</v>
      </c>
      <c r="P123">
        <v>23842</v>
      </c>
      <c r="Q123">
        <v>114</v>
      </c>
      <c r="R123">
        <v>26</v>
      </c>
      <c r="S123">
        <v>33</v>
      </c>
      <c r="T123">
        <v>1623</v>
      </c>
      <c r="U123">
        <v>24738</v>
      </c>
      <c r="V123" s="498">
        <v>18740</v>
      </c>
      <c r="W123">
        <v>95</v>
      </c>
      <c r="X123" s="498">
        <v>92</v>
      </c>
      <c r="Y123" s="498">
        <v>187</v>
      </c>
      <c r="Z123" s="498">
        <v>123.4</v>
      </c>
      <c r="AA123" s="498">
        <v>129.11000000000001</v>
      </c>
      <c r="AB123">
        <v>14.35</v>
      </c>
      <c r="AC123">
        <v>134.35</v>
      </c>
      <c r="AD123">
        <v>17298</v>
      </c>
      <c r="AE123">
        <v>109.32</v>
      </c>
      <c r="AF123">
        <v>108.86</v>
      </c>
      <c r="AG123">
        <v>63.03</v>
      </c>
      <c r="AH123">
        <v>168.3</v>
      </c>
      <c r="AI123">
        <v>2768</v>
      </c>
      <c r="AJ123">
        <v>221.6</v>
      </c>
      <c r="AK123">
        <v>1079</v>
      </c>
      <c r="AL123">
        <v>264.95999999999998</v>
      </c>
      <c r="AM123">
        <v>53</v>
      </c>
      <c r="AN123">
        <v>138.13999999999999</v>
      </c>
      <c r="AO123" s="499">
        <v>108.78</v>
      </c>
      <c r="AP123" s="499">
        <v>29.42</v>
      </c>
      <c r="AQ123">
        <v>167.57</v>
      </c>
      <c r="AR123">
        <v>60</v>
      </c>
      <c r="AS123">
        <v>85.83</v>
      </c>
      <c r="AT123">
        <v>87.37</v>
      </c>
      <c r="AU123">
        <v>13.35</v>
      </c>
      <c r="AV123">
        <v>98.07</v>
      </c>
      <c r="AW123">
        <v>181</v>
      </c>
      <c r="AX123">
        <v>105.8</v>
      </c>
      <c r="AY123">
        <v>108.03</v>
      </c>
      <c r="AZ123">
        <v>13.17</v>
      </c>
      <c r="BA123">
        <v>116.25</v>
      </c>
      <c r="BB123">
        <v>4412</v>
      </c>
      <c r="BC123">
        <v>118.66</v>
      </c>
      <c r="BD123">
        <v>123.31</v>
      </c>
      <c r="BE123">
        <v>14.14</v>
      </c>
      <c r="BF123">
        <v>130.26</v>
      </c>
      <c r="BG123">
        <v>6045</v>
      </c>
      <c r="BH123">
        <v>135.59</v>
      </c>
      <c r="BI123">
        <v>144.32</v>
      </c>
      <c r="BJ123">
        <v>14.87</v>
      </c>
      <c r="BK123">
        <v>145.94999999999999</v>
      </c>
      <c r="BL123" s="214">
        <v>4766</v>
      </c>
      <c r="BM123" s="214">
        <v>151.55000000000001</v>
      </c>
      <c r="BN123">
        <v>162.38999999999999</v>
      </c>
      <c r="BO123" s="187">
        <v>16.59</v>
      </c>
      <c r="BP123" s="214">
        <v>162.72</v>
      </c>
      <c r="BQ123" s="214">
        <v>1605</v>
      </c>
      <c r="BR123">
        <v>160.21</v>
      </c>
      <c r="BS123" s="187">
        <v>175.18</v>
      </c>
      <c r="BT123" s="214">
        <v>15.47</v>
      </c>
      <c r="BU123" s="214">
        <v>167.81</v>
      </c>
      <c r="BV123">
        <v>181</v>
      </c>
      <c r="BW123">
        <v>170.12</v>
      </c>
      <c r="BX123" s="214">
        <v>185.44</v>
      </c>
      <c r="BY123" s="214">
        <v>23.96</v>
      </c>
      <c r="BZ123">
        <v>182.6</v>
      </c>
      <c r="CA123" s="187">
        <v>48</v>
      </c>
      <c r="CB123" s="214">
        <v>123.35</v>
      </c>
      <c r="CC123" s="214">
        <v>129.16999999999999</v>
      </c>
      <c r="CD123">
        <v>14.28</v>
      </c>
      <c r="CE123" s="187">
        <v>134.24</v>
      </c>
      <c r="CF123" s="214">
        <v>17238</v>
      </c>
      <c r="CG123" s="214">
        <v>123.4</v>
      </c>
      <c r="CH123">
        <v>129.11000000000001</v>
      </c>
      <c r="CI123">
        <v>14.35</v>
      </c>
      <c r="CJ123">
        <v>134.35</v>
      </c>
      <c r="CK123">
        <v>17298</v>
      </c>
      <c r="CL123">
        <v>89.94</v>
      </c>
      <c r="CM123">
        <v>101.37</v>
      </c>
      <c r="CN123" s="187">
        <v>121.72</v>
      </c>
      <c r="CO123">
        <v>186.33</v>
      </c>
      <c r="CP123">
        <v>442</v>
      </c>
      <c r="CQ123">
        <v>99.93</v>
      </c>
      <c r="CR123">
        <v>107.86</v>
      </c>
      <c r="CS123" s="187">
        <v>104.94</v>
      </c>
      <c r="CT123">
        <v>191.26</v>
      </c>
      <c r="CU123">
        <v>131</v>
      </c>
      <c r="CV123">
        <v>112.59</v>
      </c>
      <c r="CW123">
        <v>108.56</v>
      </c>
      <c r="CX123" s="187">
        <v>51.5</v>
      </c>
      <c r="CY123">
        <v>162.58000000000001</v>
      </c>
      <c r="CZ123">
        <v>2046</v>
      </c>
      <c r="DA123">
        <v>128.05000000000001</v>
      </c>
      <c r="DB123">
        <v>132.55000000000001</v>
      </c>
      <c r="DC123" s="187">
        <v>51.03</v>
      </c>
      <c r="DD123">
        <v>175.5</v>
      </c>
      <c r="DE123">
        <v>114</v>
      </c>
      <c r="DF123">
        <v>133.47</v>
      </c>
      <c r="DG123">
        <v>137.74</v>
      </c>
      <c r="DH123" s="187">
        <v>31.83</v>
      </c>
      <c r="DI123">
        <v>164.27</v>
      </c>
      <c r="DJ123">
        <v>31</v>
      </c>
      <c r="DK123">
        <v>163.24</v>
      </c>
      <c r="DL123">
        <v>169.89</v>
      </c>
      <c r="DM123" s="187">
        <v>11</v>
      </c>
      <c r="DN123">
        <v>174.24</v>
      </c>
      <c r="DO123">
        <v>4</v>
      </c>
      <c r="DP123">
        <v>113</v>
      </c>
      <c r="DQ123">
        <v>110.23</v>
      </c>
      <c r="DR123" s="187">
        <v>53.86</v>
      </c>
      <c r="DS123">
        <v>164.87</v>
      </c>
      <c r="DT123">
        <v>2326</v>
      </c>
      <c r="DU123">
        <v>109.32</v>
      </c>
      <c r="DV123">
        <v>108.86</v>
      </c>
      <c r="DW123" s="187">
        <v>63.03</v>
      </c>
      <c r="DX123">
        <v>168.3</v>
      </c>
      <c r="DY123">
        <v>2768</v>
      </c>
      <c r="DZ123">
        <v>0</v>
      </c>
      <c r="EA123">
        <v>0</v>
      </c>
      <c r="EB123" s="187">
        <v>104.5</v>
      </c>
      <c r="EC123">
        <v>8</v>
      </c>
      <c r="ED123">
        <v>192.53</v>
      </c>
      <c r="EE123">
        <v>409</v>
      </c>
      <c r="EF123">
        <v>220.14</v>
      </c>
      <c r="EG123" s="187">
        <v>389</v>
      </c>
      <c r="EH123">
        <v>249.05</v>
      </c>
      <c r="EI123">
        <v>201</v>
      </c>
      <c r="EJ123">
        <v>327.72</v>
      </c>
      <c r="EK123">
        <v>68</v>
      </c>
      <c r="EL123" s="187">
        <v>400.53</v>
      </c>
      <c r="EM123">
        <v>1</v>
      </c>
      <c r="EN123">
        <v>381.93</v>
      </c>
      <c r="EO123">
        <v>3</v>
      </c>
      <c r="EP123">
        <v>221.6</v>
      </c>
      <c r="EQ123" s="187">
        <v>1079</v>
      </c>
      <c r="ER123">
        <v>221.6</v>
      </c>
      <c r="ES123">
        <v>1079</v>
      </c>
      <c r="ET123">
        <v>0</v>
      </c>
      <c r="EU123">
        <v>0</v>
      </c>
      <c r="EV123" s="187">
        <v>0</v>
      </c>
      <c r="EW123">
        <v>0</v>
      </c>
      <c r="EX123">
        <v>256.36</v>
      </c>
      <c r="EY123">
        <v>27</v>
      </c>
      <c r="EZ123">
        <v>279.73</v>
      </c>
      <c r="FA123" s="187">
        <v>24</v>
      </c>
      <c r="FB123">
        <v>203.79</v>
      </c>
      <c r="FC123">
        <v>2</v>
      </c>
      <c r="FD123">
        <v>0</v>
      </c>
      <c r="FE123">
        <v>0</v>
      </c>
      <c r="FF123" s="187">
        <v>264.95999999999998</v>
      </c>
      <c r="FG123">
        <v>53</v>
      </c>
      <c r="FH123">
        <v>264.95999999999998</v>
      </c>
      <c r="FI123">
        <v>53</v>
      </c>
      <c r="FJ123">
        <v>54</v>
      </c>
      <c r="FK123" s="187">
        <v>31</v>
      </c>
      <c r="FL123">
        <v>13</v>
      </c>
      <c r="FM123">
        <v>88</v>
      </c>
      <c r="FN123">
        <v>70</v>
      </c>
    </row>
    <row r="124" spans="1:170" x14ac:dyDescent="0.35">
      <c r="A124" t="s">
        <v>637</v>
      </c>
      <c r="B124" t="s">
        <v>638</v>
      </c>
      <c r="C124" t="s">
        <v>418</v>
      </c>
      <c r="D124">
        <v>13360</v>
      </c>
      <c r="E124">
        <v>13363</v>
      </c>
      <c r="F124">
        <v>0</v>
      </c>
      <c r="G124">
        <v>0</v>
      </c>
      <c r="H124">
        <v>494</v>
      </c>
      <c r="I124">
        <v>381</v>
      </c>
      <c r="J124">
        <v>467</v>
      </c>
      <c r="K124">
        <v>467</v>
      </c>
      <c r="L124">
        <v>357</v>
      </c>
      <c r="M124">
        <v>0</v>
      </c>
      <c r="N124">
        <v>14678</v>
      </c>
      <c r="O124">
        <v>14211</v>
      </c>
      <c r="P124">
        <v>14321</v>
      </c>
      <c r="Q124">
        <v>15</v>
      </c>
      <c r="R124">
        <v>4</v>
      </c>
      <c r="S124">
        <v>17</v>
      </c>
      <c r="T124">
        <v>95</v>
      </c>
      <c r="U124">
        <v>14583</v>
      </c>
      <c r="V124" s="498">
        <v>13360</v>
      </c>
      <c r="W124">
        <v>78</v>
      </c>
      <c r="X124" s="498">
        <v>23</v>
      </c>
      <c r="Y124" s="498">
        <v>101</v>
      </c>
      <c r="Z124" s="498">
        <v>85.34</v>
      </c>
      <c r="AA124" s="498">
        <v>84.84</v>
      </c>
      <c r="AB124">
        <v>4.63</v>
      </c>
      <c r="AC124">
        <v>89.79</v>
      </c>
      <c r="AD124">
        <v>11238</v>
      </c>
      <c r="AE124">
        <v>91.19</v>
      </c>
      <c r="AF124">
        <v>75.8</v>
      </c>
      <c r="AG124">
        <v>39.06</v>
      </c>
      <c r="AH124">
        <v>129.19999999999999</v>
      </c>
      <c r="AI124">
        <v>788</v>
      </c>
      <c r="AJ124">
        <v>102.79</v>
      </c>
      <c r="AK124">
        <v>2098</v>
      </c>
      <c r="AL124">
        <v>158.41</v>
      </c>
      <c r="AM124">
        <v>78</v>
      </c>
      <c r="AN124">
        <v>0</v>
      </c>
      <c r="AO124" s="499">
        <v>0</v>
      </c>
      <c r="AP124" s="499">
        <v>0</v>
      </c>
      <c r="AQ124">
        <v>0</v>
      </c>
      <c r="AR124">
        <v>0</v>
      </c>
      <c r="AS124">
        <v>0</v>
      </c>
      <c r="AT124">
        <v>0</v>
      </c>
      <c r="AU124">
        <v>0</v>
      </c>
      <c r="AV124">
        <v>0</v>
      </c>
      <c r="AW124">
        <v>0</v>
      </c>
      <c r="AX124">
        <v>74.08</v>
      </c>
      <c r="AY124">
        <v>73.45</v>
      </c>
      <c r="AZ124">
        <v>5.63</v>
      </c>
      <c r="BA124">
        <v>79.69</v>
      </c>
      <c r="BB124">
        <v>2613</v>
      </c>
      <c r="BC124">
        <v>83.41</v>
      </c>
      <c r="BD124">
        <v>82.53</v>
      </c>
      <c r="BE124">
        <v>5.72</v>
      </c>
      <c r="BF124">
        <v>88.75</v>
      </c>
      <c r="BG124">
        <v>2987</v>
      </c>
      <c r="BH124">
        <v>90.82</v>
      </c>
      <c r="BI124">
        <v>90.55</v>
      </c>
      <c r="BJ124">
        <v>3.56</v>
      </c>
      <c r="BK124">
        <v>94.22</v>
      </c>
      <c r="BL124" s="214">
        <v>5015</v>
      </c>
      <c r="BM124" s="214">
        <v>97.56</v>
      </c>
      <c r="BN124">
        <v>97.77</v>
      </c>
      <c r="BO124" s="187">
        <v>3.82</v>
      </c>
      <c r="BP124" s="214">
        <v>101.34</v>
      </c>
      <c r="BQ124" s="214">
        <v>599</v>
      </c>
      <c r="BR124">
        <v>101.72</v>
      </c>
      <c r="BS124" s="187">
        <v>102.88</v>
      </c>
      <c r="BT124" s="214">
        <v>4.29</v>
      </c>
      <c r="BU124" s="214">
        <v>105.83</v>
      </c>
      <c r="BV124">
        <v>24</v>
      </c>
      <c r="BW124">
        <v>0</v>
      </c>
      <c r="BX124" s="214">
        <v>0</v>
      </c>
      <c r="BY124" s="214">
        <v>0</v>
      </c>
      <c r="BZ124">
        <v>0</v>
      </c>
      <c r="CA124" s="187">
        <v>0</v>
      </c>
      <c r="CB124" s="214">
        <v>85.34</v>
      </c>
      <c r="CC124" s="214">
        <v>84.84</v>
      </c>
      <c r="CD124">
        <v>4.63</v>
      </c>
      <c r="CE124" s="187">
        <v>89.79</v>
      </c>
      <c r="CF124" s="214">
        <v>11238</v>
      </c>
      <c r="CG124" s="214">
        <v>85.34</v>
      </c>
      <c r="CH124">
        <v>84.84</v>
      </c>
      <c r="CI124">
        <v>4.63</v>
      </c>
      <c r="CJ124">
        <v>89.79</v>
      </c>
      <c r="CK124">
        <v>11238</v>
      </c>
      <c r="CL124">
        <v>128.94999999999999</v>
      </c>
      <c r="CM124">
        <v>80.010000000000005</v>
      </c>
      <c r="CN124" s="187">
        <v>44.71</v>
      </c>
      <c r="CO124">
        <v>172.34</v>
      </c>
      <c r="CP124">
        <v>135</v>
      </c>
      <c r="CQ124">
        <v>84.75</v>
      </c>
      <c r="CR124">
        <v>77.05</v>
      </c>
      <c r="CS124" s="187">
        <v>30.74</v>
      </c>
      <c r="CT124">
        <v>96.28</v>
      </c>
      <c r="CU124">
        <v>8</v>
      </c>
      <c r="CV124">
        <v>81.33</v>
      </c>
      <c r="CW124">
        <v>74.48</v>
      </c>
      <c r="CX124" s="187">
        <v>34.450000000000003</v>
      </c>
      <c r="CY124">
        <v>115.36</v>
      </c>
      <c r="CZ124">
        <v>577</v>
      </c>
      <c r="DA124">
        <v>99.53</v>
      </c>
      <c r="DB124">
        <v>88.14</v>
      </c>
      <c r="DC124" s="187">
        <v>73.78</v>
      </c>
      <c r="DD124">
        <v>170.81</v>
      </c>
      <c r="DE124">
        <v>59</v>
      </c>
      <c r="DF124">
        <v>107.55</v>
      </c>
      <c r="DG124">
        <v>91.38</v>
      </c>
      <c r="DH124" s="187">
        <v>27.55</v>
      </c>
      <c r="DI124">
        <v>125.92</v>
      </c>
      <c r="DJ124">
        <v>9</v>
      </c>
      <c r="DK124">
        <v>0</v>
      </c>
      <c r="DL124">
        <v>0</v>
      </c>
      <c r="DM124" s="187">
        <v>0</v>
      </c>
      <c r="DN124">
        <v>0</v>
      </c>
      <c r="DO124">
        <v>0</v>
      </c>
      <c r="DP124">
        <v>83.38</v>
      </c>
      <c r="DQ124">
        <v>75.739999999999995</v>
      </c>
      <c r="DR124" s="187">
        <v>37.89</v>
      </c>
      <c r="DS124">
        <v>120.28</v>
      </c>
      <c r="DT124">
        <v>653</v>
      </c>
      <c r="DU124">
        <v>91.19</v>
      </c>
      <c r="DV124">
        <v>75.8</v>
      </c>
      <c r="DW124" s="187">
        <v>39.06</v>
      </c>
      <c r="DX124">
        <v>129.19999999999999</v>
      </c>
      <c r="DY124">
        <v>788</v>
      </c>
      <c r="DZ124">
        <v>0</v>
      </c>
      <c r="EA124">
        <v>0</v>
      </c>
      <c r="EB124" s="187">
        <v>0</v>
      </c>
      <c r="EC124">
        <v>0</v>
      </c>
      <c r="ED124">
        <v>88.52</v>
      </c>
      <c r="EE124">
        <v>289</v>
      </c>
      <c r="EF124">
        <v>101.21</v>
      </c>
      <c r="EG124" s="187">
        <v>961</v>
      </c>
      <c r="EH124">
        <v>108.44</v>
      </c>
      <c r="EI124">
        <v>784</v>
      </c>
      <c r="EJ124">
        <v>121.63</v>
      </c>
      <c r="EK124">
        <v>63</v>
      </c>
      <c r="EL124" s="187">
        <v>131.59</v>
      </c>
      <c r="EM124">
        <v>1</v>
      </c>
      <c r="EN124">
        <v>0</v>
      </c>
      <c r="EO124">
        <v>0</v>
      </c>
      <c r="EP124">
        <v>102.79</v>
      </c>
      <c r="EQ124" s="187">
        <v>2098</v>
      </c>
      <c r="ER124">
        <v>102.79</v>
      </c>
      <c r="ES124">
        <v>2098</v>
      </c>
      <c r="ET124">
        <v>0</v>
      </c>
      <c r="EU124">
        <v>0</v>
      </c>
      <c r="EV124" s="187">
        <v>136.02000000000001</v>
      </c>
      <c r="EW124">
        <v>39</v>
      </c>
      <c r="EX124">
        <v>214.28</v>
      </c>
      <c r="EY124">
        <v>3</v>
      </c>
      <c r="EZ124">
        <v>178.02</v>
      </c>
      <c r="FA124" s="187">
        <v>36</v>
      </c>
      <c r="FB124">
        <v>0</v>
      </c>
      <c r="FC124">
        <v>0</v>
      </c>
      <c r="FD124">
        <v>0</v>
      </c>
      <c r="FE124">
        <v>0</v>
      </c>
      <c r="FF124" s="187">
        <v>158.41</v>
      </c>
      <c r="FG124">
        <v>78</v>
      </c>
      <c r="FH124">
        <v>158.41</v>
      </c>
      <c r="FI124">
        <v>78</v>
      </c>
      <c r="FJ124">
        <v>101</v>
      </c>
      <c r="FK124" s="187">
        <v>47</v>
      </c>
      <c r="FL124">
        <v>2</v>
      </c>
      <c r="FM124">
        <v>10</v>
      </c>
      <c r="FN124">
        <v>11</v>
      </c>
    </row>
    <row r="125" spans="1:170" x14ac:dyDescent="0.35">
      <c r="A125" t="s">
        <v>639</v>
      </c>
      <c r="B125" t="s">
        <v>640</v>
      </c>
      <c r="C125" t="s">
        <v>1048</v>
      </c>
      <c r="D125">
        <v>5296</v>
      </c>
      <c r="E125">
        <v>5252</v>
      </c>
      <c r="F125">
        <v>5</v>
      </c>
      <c r="G125">
        <v>5</v>
      </c>
      <c r="H125">
        <v>355</v>
      </c>
      <c r="I125">
        <v>337</v>
      </c>
      <c r="J125">
        <v>181</v>
      </c>
      <c r="K125">
        <v>169</v>
      </c>
      <c r="L125">
        <v>373</v>
      </c>
      <c r="M125">
        <v>0</v>
      </c>
      <c r="N125">
        <v>6210</v>
      </c>
      <c r="O125">
        <v>5763</v>
      </c>
      <c r="P125">
        <v>5837</v>
      </c>
      <c r="Q125">
        <v>37</v>
      </c>
      <c r="R125">
        <v>5</v>
      </c>
      <c r="S125">
        <v>22</v>
      </c>
      <c r="T125">
        <v>42</v>
      </c>
      <c r="U125">
        <v>6168</v>
      </c>
      <c r="V125" s="498">
        <v>5282</v>
      </c>
      <c r="W125">
        <v>29</v>
      </c>
      <c r="X125" s="498">
        <v>101</v>
      </c>
      <c r="Y125" s="498">
        <v>130</v>
      </c>
      <c r="Z125" s="498">
        <v>93.79</v>
      </c>
      <c r="AA125" s="498">
        <v>90.75</v>
      </c>
      <c r="AB125">
        <v>1.99</v>
      </c>
      <c r="AC125">
        <v>95.55</v>
      </c>
      <c r="AD125">
        <v>4807</v>
      </c>
      <c r="AE125">
        <v>114.11</v>
      </c>
      <c r="AF125">
        <v>87.27</v>
      </c>
      <c r="AG125">
        <v>72.59</v>
      </c>
      <c r="AH125">
        <v>186.7</v>
      </c>
      <c r="AI125">
        <v>421</v>
      </c>
      <c r="AJ125">
        <v>117.32</v>
      </c>
      <c r="AK125">
        <v>403</v>
      </c>
      <c r="AL125">
        <v>191.96</v>
      </c>
      <c r="AM125">
        <v>87</v>
      </c>
      <c r="AN125">
        <v>0</v>
      </c>
      <c r="AO125" s="499">
        <v>0</v>
      </c>
      <c r="AP125" s="499">
        <v>0</v>
      </c>
      <c r="AQ125">
        <v>0</v>
      </c>
      <c r="AR125">
        <v>0</v>
      </c>
      <c r="AS125">
        <v>69.069999999999993</v>
      </c>
      <c r="AT125">
        <v>67.52</v>
      </c>
      <c r="AU125">
        <v>20.58</v>
      </c>
      <c r="AV125">
        <v>89.65</v>
      </c>
      <c r="AW125">
        <v>7</v>
      </c>
      <c r="AX125">
        <v>82.63</v>
      </c>
      <c r="AY125">
        <v>79.180000000000007</v>
      </c>
      <c r="AZ125">
        <v>2.4900000000000002</v>
      </c>
      <c r="BA125">
        <v>85.06</v>
      </c>
      <c r="BB125">
        <v>1134</v>
      </c>
      <c r="BC125">
        <v>92.95</v>
      </c>
      <c r="BD125">
        <v>89.55</v>
      </c>
      <c r="BE125">
        <v>2.56</v>
      </c>
      <c r="BF125">
        <v>95.22</v>
      </c>
      <c r="BG125">
        <v>1848</v>
      </c>
      <c r="BH125">
        <v>101.11</v>
      </c>
      <c r="BI125">
        <v>98.65</v>
      </c>
      <c r="BJ125">
        <v>0.93</v>
      </c>
      <c r="BK125">
        <v>101.86</v>
      </c>
      <c r="BL125" s="214">
        <v>1682</v>
      </c>
      <c r="BM125" s="214">
        <v>109.02</v>
      </c>
      <c r="BN125">
        <v>106.69</v>
      </c>
      <c r="BO125" s="187">
        <v>0.63</v>
      </c>
      <c r="BP125" s="214">
        <v>109.56</v>
      </c>
      <c r="BQ125" s="214">
        <v>136</v>
      </c>
      <c r="BR125">
        <v>0</v>
      </c>
      <c r="BS125" s="187">
        <v>0</v>
      </c>
      <c r="BT125" s="214">
        <v>0</v>
      </c>
      <c r="BU125" s="214">
        <v>0</v>
      </c>
      <c r="BV125">
        <v>0</v>
      </c>
      <c r="BW125">
        <v>0</v>
      </c>
      <c r="BX125" s="214">
        <v>0</v>
      </c>
      <c r="BY125" s="214">
        <v>0</v>
      </c>
      <c r="BZ125">
        <v>0</v>
      </c>
      <c r="CA125" s="187">
        <v>0</v>
      </c>
      <c r="CB125" s="214">
        <v>93.79</v>
      </c>
      <c r="CC125" s="214">
        <v>90.75</v>
      </c>
      <c r="CD125">
        <v>1.99</v>
      </c>
      <c r="CE125" s="187">
        <v>95.55</v>
      </c>
      <c r="CF125" s="214">
        <v>4807</v>
      </c>
      <c r="CG125" s="214">
        <v>93.79</v>
      </c>
      <c r="CH125">
        <v>90.75</v>
      </c>
      <c r="CI125">
        <v>1.99</v>
      </c>
      <c r="CJ125">
        <v>95.55</v>
      </c>
      <c r="CK125">
        <v>4807</v>
      </c>
      <c r="CL125">
        <v>214.26</v>
      </c>
      <c r="CM125">
        <v>0</v>
      </c>
      <c r="CN125" s="187">
        <v>19.23</v>
      </c>
      <c r="CO125">
        <v>233.49</v>
      </c>
      <c r="CP125">
        <v>62</v>
      </c>
      <c r="CQ125">
        <v>68.650000000000006</v>
      </c>
      <c r="CR125">
        <v>65.010000000000005</v>
      </c>
      <c r="CS125" s="187">
        <v>27.35</v>
      </c>
      <c r="CT125">
        <v>96</v>
      </c>
      <c r="CU125">
        <v>15</v>
      </c>
      <c r="CV125">
        <v>96.7</v>
      </c>
      <c r="CW125">
        <v>85.75</v>
      </c>
      <c r="CX125" s="187">
        <v>78.08</v>
      </c>
      <c r="CY125">
        <v>174.77</v>
      </c>
      <c r="CZ125">
        <v>247</v>
      </c>
      <c r="DA125">
        <v>101.48</v>
      </c>
      <c r="DB125">
        <v>94.57</v>
      </c>
      <c r="DC125" s="187">
        <v>99.71</v>
      </c>
      <c r="DD125">
        <v>201.19</v>
      </c>
      <c r="DE125">
        <v>97</v>
      </c>
      <c r="DF125">
        <v>0</v>
      </c>
      <c r="DG125">
        <v>0</v>
      </c>
      <c r="DH125" s="187">
        <v>0</v>
      </c>
      <c r="DI125">
        <v>0</v>
      </c>
      <c r="DJ125">
        <v>0</v>
      </c>
      <c r="DK125">
        <v>0</v>
      </c>
      <c r="DL125">
        <v>0</v>
      </c>
      <c r="DM125" s="187">
        <v>0</v>
      </c>
      <c r="DN125">
        <v>0</v>
      </c>
      <c r="DO125">
        <v>0</v>
      </c>
      <c r="DP125">
        <v>96.82</v>
      </c>
      <c r="DQ125">
        <v>87.27</v>
      </c>
      <c r="DR125" s="187">
        <v>81.8</v>
      </c>
      <c r="DS125">
        <v>178.62</v>
      </c>
      <c r="DT125">
        <v>359</v>
      </c>
      <c r="DU125">
        <v>114.11</v>
      </c>
      <c r="DV125">
        <v>87.27</v>
      </c>
      <c r="DW125" s="187">
        <v>72.59</v>
      </c>
      <c r="DX125">
        <v>186.7</v>
      </c>
      <c r="DY125">
        <v>421</v>
      </c>
      <c r="DZ125">
        <v>0</v>
      </c>
      <c r="EA125">
        <v>0</v>
      </c>
      <c r="EB125" s="187">
        <v>103.84</v>
      </c>
      <c r="EC125">
        <v>5</v>
      </c>
      <c r="ED125">
        <v>93.27</v>
      </c>
      <c r="EE125">
        <v>39</v>
      </c>
      <c r="EF125">
        <v>115.97</v>
      </c>
      <c r="EG125" s="187">
        <v>225</v>
      </c>
      <c r="EH125">
        <v>126.73</v>
      </c>
      <c r="EI125">
        <v>131</v>
      </c>
      <c r="EJ125">
        <v>142.82</v>
      </c>
      <c r="EK125">
        <v>3</v>
      </c>
      <c r="EL125" s="187">
        <v>0</v>
      </c>
      <c r="EM125">
        <v>0</v>
      </c>
      <c r="EN125">
        <v>0</v>
      </c>
      <c r="EO125">
        <v>0</v>
      </c>
      <c r="EP125">
        <v>117.32</v>
      </c>
      <c r="EQ125" s="187">
        <v>403</v>
      </c>
      <c r="ER125">
        <v>117.32</v>
      </c>
      <c r="ES125">
        <v>403</v>
      </c>
      <c r="ET125">
        <v>0</v>
      </c>
      <c r="EU125">
        <v>0</v>
      </c>
      <c r="EV125" s="187">
        <v>0</v>
      </c>
      <c r="EW125">
        <v>0</v>
      </c>
      <c r="EX125">
        <v>179.4</v>
      </c>
      <c r="EY125">
        <v>20</v>
      </c>
      <c r="EZ125">
        <v>195.72</v>
      </c>
      <c r="FA125" s="187">
        <v>67</v>
      </c>
      <c r="FB125">
        <v>0</v>
      </c>
      <c r="FC125">
        <v>0</v>
      </c>
      <c r="FD125">
        <v>0</v>
      </c>
      <c r="FE125">
        <v>0</v>
      </c>
      <c r="FF125" s="187">
        <v>191.96</v>
      </c>
      <c r="FG125">
        <v>87</v>
      </c>
      <c r="FH125">
        <v>191.96</v>
      </c>
      <c r="FI125">
        <v>87</v>
      </c>
      <c r="FJ125">
        <v>0</v>
      </c>
      <c r="FK125" s="187">
        <v>0</v>
      </c>
      <c r="FL125">
        <v>0</v>
      </c>
      <c r="FM125">
        <v>67</v>
      </c>
      <c r="FN125">
        <v>4</v>
      </c>
    </row>
    <row r="126" spans="1:170" x14ac:dyDescent="0.35">
      <c r="A126" t="s">
        <v>641</v>
      </c>
      <c r="B126" t="s">
        <v>642</v>
      </c>
      <c r="C126" t="s">
        <v>416</v>
      </c>
      <c r="D126">
        <v>11940</v>
      </c>
      <c r="E126">
        <v>11436</v>
      </c>
      <c r="F126">
        <v>78</v>
      </c>
      <c r="G126">
        <v>45</v>
      </c>
      <c r="H126">
        <v>1158</v>
      </c>
      <c r="I126">
        <v>563</v>
      </c>
      <c r="J126">
        <v>559</v>
      </c>
      <c r="K126">
        <v>388</v>
      </c>
      <c r="L126">
        <v>1022</v>
      </c>
      <c r="M126">
        <v>0</v>
      </c>
      <c r="N126">
        <v>14757</v>
      </c>
      <c r="O126">
        <v>12432</v>
      </c>
      <c r="P126">
        <v>13735</v>
      </c>
      <c r="Q126">
        <v>265</v>
      </c>
      <c r="R126">
        <v>15</v>
      </c>
      <c r="S126">
        <v>27</v>
      </c>
      <c r="T126">
        <v>862</v>
      </c>
      <c r="U126">
        <v>13895</v>
      </c>
      <c r="V126" s="498">
        <v>11544</v>
      </c>
      <c r="W126">
        <v>156</v>
      </c>
      <c r="X126" s="498">
        <v>95</v>
      </c>
      <c r="Y126" s="498">
        <v>251</v>
      </c>
      <c r="Z126" s="498">
        <v>132.27000000000001</v>
      </c>
      <c r="AA126" s="498">
        <v>145.35</v>
      </c>
      <c r="AB126">
        <v>13.32</v>
      </c>
      <c r="AC126">
        <v>139.27000000000001</v>
      </c>
      <c r="AD126">
        <v>9443</v>
      </c>
      <c r="AE126">
        <v>125.53</v>
      </c>
      <c r="AF126">
        <v>120.38</v>
      </c>
      <c r="AG126">
        <v>62.26</v>
      </c>
      <c r="AH126">
        <v>173.96</v>
      </c>
      <c r="AI126">
        <v>1148</v>
      </c>
      <c r="AJ126">
        <v>213.14</v>
      </c>
      <c r="AK126">
        <v>1290</v>
      </c>
      <c r="AL126">
        <v>219.4</v>
      </c>
      <c r="AM126">
        <v>84</v>
      </c>
      <c r="AN126">
        <v>104.22</v>
      </c>
      <c r="AO126" s="499">
        <v>103.27</v>
      </c>
      <c r="AP126" s="499">
        <v>16.63</v>
      </c>
      <c r="AQ126">
        <v>120.85</v>
      </c>
      <c r="AR126">
        <v>21</v>
      </c>
      <c r="AS126">
        <v>104.14</v>
      </c>
      <c r="AT126">
        <v>108.79</v>
      </c>
      <c r="AU126">
        <v>10.96</v>
      </c>
      <c r="AV126">
        <v>109.44</v>
      </c>
      <c r="AW126">
        <v>180</v>
      </c>
      <c r="AX126">
        <v>120.79</v>
      </c>
      <c r="AY126">
        <v>128.66999999999999</v>
      </c>
      <c r="AZ126">
        <v>12.95</v>
      </c>
      <c r="BA126">
        <v>125.6</v>
      </c>
      <c r="BB126">
        <v>3264</v>
      </c>
      <c r="BC126">
        <v>133.96</v>
      </c>
      <c r="BD126">
        <v>147.84</v>
      </c>
      <c r="BE126">
        <v>14.33</v>
      </c>
      <c r="BF126">
        <v>143.04</v>
      </c>
      <c r="BG126">
        <v>3304</v>
      </c>
      <c r="BH126">
        <v>144.63</v>
      </c>
      <c r="BI126">
        <v>163.91</v>
      </c>
      <c r="BJ126">
        <v>12.56</v>
      </c>
      <c r="BK126">
        <v>152</v>
      </c>
      <c r="BL126" s="214">
        <v>2174</v>
      </c>
      <c r="BM126" s="214">
        <v>156.87</v>
      </c>
      <c r="BN126">
        <v>178.19</v>
      </c>
      <c r="BO126" s="187">
        <v>12.65</v>
      </c>
      <c r="BP126" s="214">
        <v>163.57</v>
      </c>
      <c r="BQ126" s="214">
        <v>432</v>
      </c>
      <c r="BR126">
        <v>129.21</v>
      </c>
      <c r="BS126" s="187">
        <v>134.96</v>
      </c>
      <c r="BT126" s="214">
        <v>3.4</v>
      </c>
      <c r="BU126" s="214">
        <v>131.51</v>
      </c>
      <c r="BV126">
        <v>62</v>
      </c>
      <c r="BW126">
        <v>176.97</v>
      </c>
      <c r="BX126" s="214">
        <v>192.64</v>
      </c>
      <c r="BY126" s="214">
        <v>22.14</v>
      </c>
      <c r="BZ126">
        <v>188.04</v>
      </c>
      <c r="CA126" s="187">
        <v>6</v>
      </c>
      <c r="CB126" s="214">
        <v>132.33000000000001</v>
      </c>
      <c r="CC126" s="214">
        <v>145.44999999999999</v>
      </c>
      <c r="CD126">
        <v>13.31</v>
      </c>
      <c r="CE126" s="187">
        <v>139.32</v>
      </c>
      <c r="CF126" s="214">
        <v>9422</v>
      </c>
      <c r="CG126" s="214">
        <v>132.27000000000001</v>
      </c>
      <c r="CH126">
        <v>145.35</v>
      </c>
      <c r="CI126">
        <v>13.32</v>
      </c>
      <c r="CJ126">
        <v>139.27000000000001</v>
      </c>
      <c r="CK126">
        <v>9443</v>
      </c>
      <c r="CL126">
        <v>118.13</v>
      </c>
      <c r="CM126">
        <v>108.89</v>
      </c>
      <c r="CN126" s="187">
        <v>110.38</v>
      </c>
      <c r="CO126">
        <v>175.56</v>
      </c>
      <c r="CP126">
        <v>296</v>
      </c>
      <c r="CQ126">
        <v>119.5</v>
      </c>
      <c r="CR126">
        <v>110.91</v>
      </c>
      <c r="CS126" s="187">
        <v>53.42</v>
      </c>
      <c r="CT126">
        <v>151.78</v>
      </c>
      <c r="CU126">
        <v>139</v>
      </c>
      <c r="CV126">
        <v>128.94</v>
      </c>
      <c r="CW126">
        <v>125.35</v>
      </c>
      <c r="CX126" s="187">
        <v>52.86</v>
      </c>
      <c r="CY126">
        <v>177.48</v>
      </c>
      <c r="CZ126">
        <v>661</v>
      </c>
      <c r="DA126">
        <v>139.63999999999999</v>
      </c>
      <c r="DB126">
        <v>146.22999999999999</v>
      </c>
      <c r="DC126" s="187">
        <v>45.57</v>
      </c>
      <c r="DD126">
        <v>183.09</v>
      </c>
      <c r="DE126">
        <v>43</v>
      </c>
      <c r="DF126">
        <v>144.77000000000001</v>
      </c>
      <c r="DG126">
        <v>159.94</v>
      </c>
      <c r="DH126" s="187">
        <v>22.57</v>
      </c>
      <c r="DI126">
        <v>162.33000000000001</v>
      </c>
      <c r="DJ126">
        <v>9</v>
      </c>
      <c r="DK126">
        <v>0</v>
      </c>
      <c r="DL126">
        <v>0</v>
      </c>
      <c r="DM126" s="187">
        <v>0</v>
      </c>
      <c r="DN126">
        <v>0</v>
      </c>
      <c r="DO126">
        <v>0</v>
      </c>
      <c r="DP126">
        <v>128.11000000000001</v>
      </c>
      <c r="DQ126">
        <v>124.41</v>
      </c>
      <c r="DR126" s="187">
        <v>52.23</v>
      </c>
      <c r="DS126">
        <v>173.41</v>
      </c>
      <c r="DT126">
        <v>852</v>
      </c>
      <c r="DU126">
        <v>125.53</v>
      </c>
      <c r="DV126">
        <v>120.38</v>
      </c>
      <c r="DW126" s="187">
        <v>62.26</v>
      </c>
      <c r="DX126">
        <v>173.96</v>
      </c>
      <c r="DY126">
        <v>1148</v>
      </c>
      <c r="DZ126">
        <v>0</v>
      </c>
      <c r="EA126">
        <v>0</v>
      </c>
      <c r="EB126" s="187">
        <v>180.14</v>
      </c>
      <c r="EC126">
        <v>34</v>
      </c>
      <c r="ED126">
        <v>201.08</v>
      </c>
      <c r="EE126">
        <v>745</v>
      </c>
      <c r="EF126">
        <v>230.06</v>
      </c>
      <c r="EG126" s="187">
        <v>411</v>
      </c>
      <c r="EH126">
        <v>243.25</v>
      </c>
      <c r="EI126">
        <v>83</v>
      </c>
      <c r="EJ126">
        <v>251.93</v>
      </c>
      <c r="EK126">
        <v>17</v>
      </c>
      <c r="EL126" s="187">
        <v>0</v>
      </c>
      <c r="EM126">
        <v>0</v>
      </c>
      <c r="EN126">
        <v>0</v>
      </c>
      <c r="EO126">
        <v>0</v>
      </c>
      <c r="EP126">
        <v>213.14</v>
      </c>
      <c r="EQ126" s="187">
        <v>1290</v>
      </c>
      <c r="ER126">
        <v>213.14</v>
      </c>
      <c r="ES126">
        <v>1290</v>
      </c>
      <c r="ET126">
        <v>0</v>
      </c>
      <c r="EU126">
        <v>0</v>
      </c>
      <c r="EV126" s="187">
        <v>0</v>
      </c>
      <c r="EW126">
        <v>0</v>
      </c>
      <c r="EX126">
        <v>219.21</v>
      </c>
      <c r="EY126">
        <v>82</v>
      </c>
      <c r="EZ126">
        <v>217.28</v>
      </c>
      <c r="FA126" s="187">
        <v>1</v>
      </c>
      <c r="FB126">
        <v>237.29</v>
      </c>
      <c r="FC126">
        <v>1</v>
      </c>
      <c r="FD126">
        <v>0</v>
      </c>
      <c r="FE126">
        <v>0</v>
      </c>
      <c r="FF126" s="187">
        <v>219.4</v>
      </c>
      <c r="FG126">
        <v>84</v>
      </c>
      <c r="FH126">
        <v>219.4</v>
      </c>
      <c r="FI126">
        <v>84</v>
      </c>
      <c r="FJ126">
        <v>14</v>
      </c>
      <c r="FK126" s="187">
        <v>0</v>
      </c>
      <c r="FL126">
        <v>16</v>
      </c>
      <c r="FM126">
        <v>49</v>
      </c>
      <c r="FN126">
        <v>40</v>
      </c>
    </row>
    <row r="127" spans="1:170" x14ac:dyDescent="0.35">
      <c r="A127" t="s">
        <v>643</v>
      </c>
      <c r="B127" t="s">
        <v>644</v>
      </c>
      <c r="C127" t="s">
        <v>414</v>
      </c>
      <c r="D127">
        <v>3292</v>
      </c>
      <c r="E127">
        <v>3276</v>
      </c>
      <c r="F127">
        <v>0</v>
      </c>
      <c r="G127">
        <v>0</v>
      </c>
      <c r="H127">
        <v>109</v>
      </c>
      <c r="I127">
        <v>65</v>
      </c>
      <c r="J127">
        <v>292</v>
      </c>
      <c r="K127">
        <v>292</v>
      </c>
      <c r="L127">
        <v>885</v>
      </c>
      <c r="M127">
        <v>8</v>
      </c>
      <c r="N127">
        <v>4578</v>
      </c>
      <c r="O127">
        <v>3641</v>
      </c>
      <c r="P127">
        <v>3693</v>
      </c>
      <c r="Q127">
        <v>0</v>
      </c>
      <c r="R127">
        <v>2</v>
      </c>
      <c r="S127">
        <v>20</v>
      </c>
      <c r="T127">
        <v>16</v>
      </c>
      <c r="U127">
        <v>4562</v>
      </c>
      <c r="V127" s="498">
        <v>3292</v>
      </c>
      <c r="W127">
        <v>27</v>
      </c>
      <c r="X127" s="498">
        <v>18</v>
      </c>
      <c r="Y127" s="498">
        <v>45</v>
      </c>
      <c r="Z127" s="498">
        <v>92.41</v>
      </c>
      <c r="AA127" s="498">
        <v>92.18</v>
      </c>
      <c r="AB127">
        <v>4.4400000000000004</v>
      </c>
      <c r="AC127">
        <v>95.22</v>
      </c>
      <c r="AD127">
        <v>2404</v>
      </c>
      <c r="AE127">
        <v>83.68</v>
      </c>
      <c r="AF127">
        <v>78.709999999999994</v>
      </c>
      <c r="AG127">
        <v>45.84</v>
      </c>
      <c r="AH127">
        <v>127.03</v>
      </c>
      <c r="AI127">
        <v>368</v>
      </c>
      <c r="AJ127">
        <v>119.88</v>
      </c>
      <c r="AK127">
        <v>784</v>
      </c>
      <c r="AL127">
        <v>124.85</v>
      </c>
      <c r="AM127">
        <v>17</v>
      </c>
      <c r="AN127">
        <v>0</v>
      </c>
      <c r="AO127" s="499">
        <v>0</v>
      </c>
      <c r="AP127" s="499">
        <v>0</v>
      </c>
      <c r="AQ127">
        <v>0</v>
      </c>
      <c r="AR127">
        <v>0</v>
      </c>
      <c r="AS127">
        <v>70.88</v>
      </c>
      <c r="AT127">
        <v>72.58</v>
      </c>
      <c r="AU127">
        <v>5.95</v>
      </c>
      <c r="AV127">
        <v>74.709999999999994</v>
      </c>
      <c r="AW127">
        <v>14</v>
      </c>
      <c r="AX127">
        <v>80.08</v>
      </c>
      <c r="AY127">
        <v>79.489999999999995</v>
      </c>
      <c r="AZ127">
        <v>5.95</v>
      </c>
      <c r="BA127">
        <v>85.54</v>
      </c>
      <c r="BB127">
        <v>536</v>
      </c>
      <c r="BC127">
        <v>92.78</v>
      </c>
      <c r="BD127">
        <v>92.52</v>
      </c>
      <c r="BE127">
        <v>4.34</v>
      </c>
      <c r="BF127">
        <v>95.96</v>
      </c>
      <c r="BG127">
        <v>1064</v>
      </c>
      <c r="BH127">
        <v>100.15</v>
      </c>
      <c r="BI127">
        <v>100.2</v>
      </c>
      <c r="BJ127">
        <v>1.65</v>
      </c>
      <c r="BK127">
        <v>100.64</v>
      </c>
      <c r="BL127" s="214">
        <v>762</v>
      </c>
      <c r="BM127" s="214">
        <v>114.61</v>
      </c>
      <c r="BN127">
        <v>113.78</v>
      </c>
      <c r="BO127" s="187">
        <v>1.24</v>
      </c>
      <c r="BP127" s="214">
        <v>115.05</v>
      </c>
      <c r="BQ127" s="214">
        <v>28</v>
      </c>
      <c r="BR127">
        <v>0</v>
      </c>
      <c r="BS127" s="187">
        <v>0</v>
      </c>
      <c r="BT127" s="214">
        <v>0</v>
      </c>
      <c r="BU127" s="214">
        <v>0</v>
      </c>
      <c r="BV127">
        <v>0</v>
      </c>
      <c r="BW127">
        <v>0</v>
      </c>
      <c r="BX127" s="214">
        <v>0</v>
      </c>
      <c r="BY127" s="214">
        <v>0</v>
      </c>
      <c r="BZ127">
        <v>0</v>
      </c>
      <c r="CA127" s="187">
        <v>0</v>
      </c>
      <c r="CB127" s="214">
        <v>92.41</v>
      </c>
      <c r="CC127" s="214">
        <v>92.18</v>
      </c>
      <c r="CD127">
        <v>4.4400000000000004</v>
      </c>
      <c r="CE127" s="187">
        <v>95.22</v>
      </c>
      <c r="CF127" s="214">
        <v>2404</v>
      </c>
      <c r="CG127" s="214">
        <v>92.41</v>
      </c>
      <c r="CH127">
        <v>92.18</v>
      </c>
      <c r="CI127">
        <v>4.4400000000000004</v>
      </c>
      <c r="CJ127">
        <v>95.22</v>
      </c>
      <c r="CK127">
        <v>2404</v>
      </c>
      <c r="CL127">
        <v>116.74</v>
      </c>
      <c r="CM127">
        <v>94.67</v>
      </c>
      <c r="CN127" s="187">
        <v>86.48</v>
      </c>
      <c r="CO127">
        <v>203.21</v>
      </c>
      <c r="CP127">
        <v>10</v>
      </c>
      <c r="CQ127">
        <v>64.33</v>
      </c>
      <c r="CR127">
        <v>64.290000000000006</v>
      </c>
      <c r="CS127" s="187">
        <v>24.51</v>
      </c>
      <c r="CT127">
        <v>88.84</v>
      </c>
      <c r="CU127">
        <v>22</v>
      </c>
      <c r="CV127">
        <v>83.4</v>
      </c>
      <c r="CW127">
        <v>78.400000000000006</v>
      </c>
      <c r="CX127" s="187">
        <v>47.48</v>
      </c>
      <c r="CY127">
        <v>127.89</v>
      </c>
      <c r="CZ127">
        <v>318</v>
      </c>
      <c r="DA127">
        <v>94.1</v>
      </c>
      <c r="DB127">
        <v>94.83</v>
      </c>
      <c r="DC127" s="187">
        <v>21.79</v>
      </c>
      <c r="DD127">
        <v>115.89</v>
      </c>
      <c r="DE127">
        <v>17</v>
      </c>
      <c r="DF127">
        <v>91.39</v>
      </c>
      <c r="DG127">
        <v>91.67</v>
      </c>
      <c r="DH127" s="187">
        <v>29.36</v>
      </c>
      <c r="DI127">
        <v>120.75</v>
      </c>
      <c r="DJ127">
        <v>1</v>
      </c>
      <c r="DK127">
        <v>0</v>
      </c>
      <c r="DL127">
        <v>0</v>
      </c>
      <c r="DM127" s="187">
        <v>0</v>
      </c>
      <c r="DN127">
        <v>0</v>
      </c>
      <c r="DO127">
        <v>0</v>
      </c>
      <c r="DP127">
        <v>82.76</v>
      </c>
      <c r="DQ127">
        <v>78.34</v>
      </c>
      <c r="DR127" s="187">
        <v>44.64</v>
      </c>
      <c r="DS127">
        <v>124.9</v>
      </c>
      <c r="DT127">
        <v>358</v>
      </c>
      <c r="DU127">
        <v>83.68</v>
      </c>
      <c r="DV127">
        <v>78.709999999999994</v>
      </c>
      <c r="DW127" s="187">
        <v>45.84</v>
      </c>
      <c r="DX127">
        <v>127.03</v>
      </c>
      <c r="DY127">
        <v>368</v>
      </c>
      <c r="DZ127">
        <v>0</v>
      </c>
      <c r="EA127">
        <v>0</v>
      </c>
      <c r="EB127" s="187">
        <v>0</v>
      </c>
      <c r="EC127">
        <v>0</v>
      </c>
      <c r="ED127">
        <v>99.49</v>
      </c>
      <c r="EE127">
        <v>211</v>
      </c>
      <c r="EF127">
        <v>119.75</v>
      </c>
      <c r="EG127" s="187">
        <v>385</v>
      </c>
      <c r="EH127">
        <v>137.52000000000001</v>
      </c>
      <c r="EI127">
        <v>163</v>
      </c>
      <c r="EJ127">
        <v>178.08</v>
      </c>
      <c r="EK127">
        <v>24</v>
      </c>
      <c r="EL127" s="187">
        <v>206.53</v>
      </c>
      <c r="EM127">
        <v>1</v>
      </c>
      <c r="EN127">
        <v>0</v>
      </c>
      <c r="EO127">
        <v>0</v>
      </c>
      <c r="EP127">
        <v>119.88</v>
      </c>
      <c r="EQ127" s="187">
        <v>784</v>
      </c>
      <c r="ER127">
        <v>119.88</v>
      </c>
      <c r="ES127">
        <v>784</v>
      </c>
      <c r="ET127">
        <v>0</v>
      </c>
      <c r="EU127">
        <v>0</v>
      </c>
      <c r="EV127" s="187">
        <v>89.12</v>
      </c>
      <c r="EW127">
        <v>1</v>
      </c>
      <c r="EX127">
        <v>126.74</v>
      </c>
      <c r="EY127">
        <v>13</v>
      </c>
      <c r="EZ127">
        <v>128.55000000000001</v>
      </c>
      <c r="FA127" s="187">
        <v>3</v>
      </c>
      <c r="FB127">
        <v>0</v>
      </c>
      <c r="FC127">
        <v>0</v>
      </c>
      <c r="FD127">
        <v>0</v>
      </c>
      <c r="FE127">
        <v>0</v>
      </c>
      <c r="FF127" s="187">
        <v>124.85</v>
      </c>
      <c r="FG127">
        <v>17</v>
      </c>
      <c r="FH127">
        <v>124.85</v>
      </c>
      <c r="FI127">
        <v>17</v>
      </c>
      <c r="FJ127">
        <v>29</v>
      </c>
      <c r="FK127" s="187">
        <v>10</v>
      </c>
      <c r="FL127">
        <v>17</v>
      </c>
      <c r="FM127">
        <v>139</v>
      </c>
      <c r="FN127">
        <v>12</v>
      </c>
    </row>
    <row r="128" spans="1:170" x14ac:dyDescent="0.35">
      <c r="A128" t="s">
        <v>645</v>
      </c>
      <c r="B128" t="s">
        <v>646</v>
      </c>
      <c r="C128" t="s">
        <v>416</v>
      </c>
      <c r="D128">
        <v>10050</v>
      </c>
      <c r="E128">
        <v>9043</v>
      </c>
      <c r="F128">
        <v>117</v>
      </c>
      <c r="G128">
        <v>64</v>
      </c>
      <c r="H128">
        <v>1011</v>
      </c>
      <c r="I128">
        <v>560</v>
      </c>
      <c r="J128">
        <v>854</v>
      </c>
      <c r="K128">
        <v>748</v>
      </c>
      <c r="L128">
        <v>1667</v>
      </c>
      <c r="M128">
        <v>137</v>
      </c>
      <c r="N128">
        <v>13699</v>
      </c>
      <c r="O128">
        <v>10552</v>
      </c>
      <c r="P128">
        <v>12032</v>
      </c>
      <c r="Q128">
        <v>30</v>
      </c>
      <c r="R128">
        <v>29</v>
      </c>
      <c r="S128">
        <v>33</v>
      </c>
      <c r="T128">
        <v>1566</v>
      </c>
      <c r="U128">
        <v>12133</v>
      </c>
      <c r="V128" s="498">
        <v>9051</v>
      </c>
      <c r="W128">
        <v>128</v>
      </c>
      <c r="X128" s="498">
        <v>54</v>
      </c>
      <c r="Y128" s="498">
        <v>182</v>
      </c>
      <c r="Z128" s="498">
        <v>121.13</v>
      </c>
      <c r="AA128" s="498">
        <v>121.44</v>
      </c>
      <c r="AB128">
        <v>12.04</v>
      </c>
      <c r="AC128">
        <v>129.13</v>
      </c>
      <c r="AD128">
        <v>8027</v>
      </c>
      <c r="AE128">
        <v>116.21</v>
      </c>
      <c r="AF128">
        <v>106.46</v>
      </c>
      <c r="AG128">
        <v>68.459999999999994</v>
      </c>
      <c r="AH128">
        <v>181.8</v>
      </c>
      <c r="AI128">
        <v>1144</v>
      </c>
      <c r="AJ128">
        <v>193.93</v>
      </c>
      <c r="AK128">
        <v>720</v>
      </c>
      <c r="AL128">
        <v>266.77</v>
      </c>
      <c r="AM128">
        <v>135</v>
      </c>
      <c r="AN128">
        <v>94.05</v>
      </c>
      <c r="AO128" s="499">
        <v>86.91</v>
      </c>
      <c r="AP128" s="499">
        <v>34.869999999999997</v>
      </c>
      <c r="AQ128">
        <v>128.28</v>
      </c>
      <c r="AR128">
        <v>55</v>
      </c>
      <c r="AS128">
        <v>88.88</v>
      </c>
      <c r="AT128">
        <v>88.41</v>
      </c>
      <c r="AU128">
        <v>17.07</v>
      </c>
      <c r="AV128">
        <v>103.81</v>
      </c>
      <c r="AW128">
        <v>144</v>
      </c>
      <c r="AX128">
        <v>103.7</v>
      </c>
      <c r="AY128">
        <v>103.61</v>
      </c>
      <c r="AZ128">
        <v>11.63</v>
      </c>
      <c r="BA128">
        <v>111.91</v>
      </c>
      <c r="BB128">
        <v>2280</v>
      </c>
      <c r="BC128">
        <v>120.46</v>
      </c>
      <c r="BD128">
        <v>119.99</v>
      </c>
      <c r="BE128">
        <v>12.39</v>
      </c>
      <c r="BF128">
        <v>129.57</v>
      </c>
      <c r="BG128">
        <v>2935</v>
      </c>
      <c r="BH128">
        <v>136.02000000000001</v>
      </c>
      <c r="BI128">
        <v>137.66999999999999</v>
      </c>
      <c r="BJ128">
        <v>10.84</v>
      </c>
      <c r="BK128">
        <v>141.76</v>
      </c>
      <c r="BL128" s="214">
        <v>2124</v>
      </c>
      <c r="BM128" s="214">
        <v>150.34</v>
      </c>
      <c r="BN128">
        <v>153.46</v>
      </c>
      <c r="BO128" s="187">
        <v>9.52</v>
      </c>
      <c r="BP128" s="214">
        <v>155.75</v>
      </c>
      <c r="BQ128" s="214">
        <v>403</v>
      </c>
      <c r="BR128">
        <v>173.11</v>
      </c>
      <c r="BS128" s="187">
        <v>169.58</v>
      </c>
      <c r="BT128" s="214">
        <v>9.59</v>
      </c>
      <c r="BU128" s="214">
        <v>176.69</v>
      </c>
      <c r="BV128">
        <v>75</v>
      </c>
      <c r="BW128">
        <v>170.01</v>
      </c>
      <c r="BX128" s="214">
        <v>182.14</v>
      </c>
      <c r="BY128" s="214">
        <v>17.510000000000002</v>
      </c>
      <c r="BZ128">
        <v>176.38</v>
      </c>
      <c r="CA128" s="187">
        <v>11</v>
      </c>
      <c r="CB128" s="214">
        <v>121.32</v>
      </c>
      <c r="CC128" s="214">
        <v>121.67</v>
      </c>
      <c r="CD128">
        <v>11.8</v>
      </c>
      <c r="CE128" s="187">
        <v>129.13</v>
      </c>
      <c r="CF128" s="214">
        <v>7972</v>
      </c>
      <c r="CG128" s="214">
        <v>121.13</v>
      </c>
      <c r="CH128">
        <v>121.44</v>
      </c>
      <c r="CI128">
        <v>12.04</v>
      </c>
      <c r="CJ128">
        <v>129.13</v>
      </c>
      <c r="CK128">
        <v>8027</v>
      </c>
      <c r="CL128">
        <v>112.47</v>
      </c>
      <c r="CM128">
        <v>96.9</v>
      </c>
      <c r="CN128" s="187">
        <v>104.51</v>
      </c>
      <c r="CO128">
        <v>208.14</v>
      </c>
      <c r="CP128">
        <v>260</v>
      </c>
      <c r="CQ128">
        <v>93.28</v>
      </c>
      <c r="CR128">
        <v>92.24</v>
      </c>
      <c r="CS128" s="187">
        <v>49.88</v>
      </c>
      <c r="CT128">
        <v>143.16</v>
      </c>
      <c r="CU128">
        <v>136</v>
      </c>
      <c r="CV128">
        <v>119.78</v>
      </c>
      <c r="CW128">
        <v>109.2</v>
      </c>
      <c r="CX128" s="187">
        <v>58.19</v>
      </c>
      <c r="CY128">
        <v>175.72</v>
      </c>
      <c r="CZ128">
        <v>648</v>
      </c>
      <c r="DA128">
        <v>132.16</v>
      </c>
      <c r="DB128">
        <v>136.13999999999999</v>
      </c>
      <c r="DC128" s="187">
        <v>82.59</v>
      </c>
      <c r="DD128">
        <v>213.74</v>
      </c>
      <c r="DE128">
        <v>82</v>
      </c>
      <c r="DF128">
        <v>136.44999999999999</v>
      </c>
      <c r="DG128">
        <v>140.55000000000001</v>
      </c>
      <c r="DH128" s="187">
        <v>27.24</v>
      </c>
      <c r="DI128">
        <v>163.69</v>
      </c>
      <c r="DJ128">
        <v>12</v>
      </c>
      <c r="DK128">
        <v>154.55000000000001</v>
      </c>
      <c r="DL128">
        <v>157.81</v>
      </c>
      <c r="DM128" s="187">
        <v>17.39</v>
      </c>
      <c r="DN128">
        <v>171.94</v>
      </c>
      <c r="DO128">
        <v>6</v>
      </c>
      <c r="DP128">
        <v>117.31</v>
      </c>
      <c r="DQ128">
        <v>109.24</v>
      </c>
      <c r="DR128" s="187">
        <v>58.46</v>
      </c>
      <c r="DS128">
        <v>174.05</v>
      </c>
      <c r="DT128">
        <v>884</v>
      </c>
      <c r="DU128">
        <v>116.21</v>
      </c>
      <c r="DV128">
        <v>106.46</v>
      </c>
      <c r="DW128" s="187">
        <v>68.459999999999994</v>
      </c>
      <c r="DX128">
        <v>181.8</v>
      </c>
      <c r="DY128">
        <v>1144</v>
      </c>
      <c r="DZ128">
        <v>0</v>
      </c>
      <c r="EA128">
        <v>0</v>
      </c>
      <c r="EB128" s="187">
        <v>134.85</v>
      </c>
      <c r="EC128">
        <v>6</v>
      </c>
      <c r="ED128">
        <v>158.11000000000001</v>
      </c>
      <c r="EE128">
        <v>294</v>
      </c>
      <c r="EF128">
        <v>209.33</v>
      </c>
      <c r="EG128" s="187">
        <v>253</v>
      </c>
      <c r="EH128">
        <v>231.14</v>
      </c>
      <c r="EI128">
        <v>125</v>
      </c>
      <c r="EJ128">
        <v>244.69</v>
      </c>
      <c r="EK128">
        <v>39</v>
      </c>
      <c r="EL128" s="187">
        <v>0</v>
      </c>
      <c r="EM128">
        <v>0</v>
      </c>
      <c r="EN128">
        <v>313.82</v>
      </c>
      <c r="EO128">
        <v>3</v>
      </c>
      <c r="EP128">
        <v>193.93</v>
      </c>
      <c r="EQ128" s="187">
        <v>720</v>
      </c>
      <c r="ER128">
        <v>193.93</v>
      </c>
      <c r="ES128">
        <v>720</v>
      </c>
      <c r="ET128">
        <v>0</v>
      </c>
      <c r="EU128">
        <v>0</v>
      </c>
      <c r="EV128" s="187">
        <v>0</v>
      </c>
      <c r="EW128">
        <v>0</v>
      </c>
      <c r="EX128">
        <v>240.45</v>
      </c>
      <c r="EY128">
        <v>68</v>
      </c>
      <c r="EZ128">
        <v>283.36</v>
      </c>
      <c r="FA128" s="187">
        <v>52</v>
      </c>
      <c r="FB128">
        <v>328.62</v>
      </c>
      <c r="FC128">
        <v>15</v>
      </c>
      <c r="FD128">
        <v>0</v>
      </c>
      <c r="FE128">
        <v>0</v>
      </c>
      <c r="FF128" s="187">
        <v>266.77</v>
      </c>
      <c r="FG128">
        <v>135</v>
      </c>
      <c r="FH128">
        <v>266.77</v>
      </c>
      <c r="FI128">
        <v>135</v>
      </c>
      <c r="FJ128">
        <v>0</v>
      </c>
      <c r="FK128" s="187">
        <v>6</v>
      </c>
      <c r="FL128">
        <v>15</v>
      </c>
      <c r="FM128">
        <v>19</v>
      </c>
      <c r="FN128">
        <v>55</v>
      </c>
    </row>
    <row r="129" spans="1:170" x14ac:dyDescent="0.35">
      <c r="A129" t="s">
        <v>647</v>
      </c>
      <c r="B129" t="s">
        <v>648</v>
      </c>
      <c r="C129" t="s">
        <v>415</v>
      </c>
      <c r="D129">
        <v>1720</v>
      </c>
      <c r="E129">
        <v>1726</v>
      </c>
      <c r="F129">
        <v>280</v>
      </c>
      <c r="G129">
        <v>280</v>
      </c>
      <c r="H129">
        <v>115</v>
      </c>
      <c r="I129">
        <v>82</v>
      </c>
      <c r="J129">
        <v>261</v>
      </c>
      <c r="K129">
        <v>247</v>
      </c>
      <c r="L129">
        <v>524</v>
      </c>
      <c r="M129">
        <v>22</v>
      </c>
      <c r="N129">
        <v>2900</v>
      </c>
      <c r="O129">
        <v>2357</v>
      </c>
      <c r="P129">
        <v>2376</v>
      </c>
      <c r="Q129">
        <v>3</v>
      </c>
      <c r="R129">
        <v>4</v>
      </c>
      <c r="S129">
        <v>21</v>
      </c>
      <c r="T129">
        <v>28</v>
      </c>
      <c r="U129">
        <v>2872</v>
      </c>
      <c r="V129" s="498">
        <v>1709</v>
      </c>
      <c r="W129">
        <v>47</v>
      </c>
      <c r="X129" s="498">
        <v>121</v>
      </c>
      <c r="Y129" s="498">
        <v>168</v>
      </c>
      <c r="Z129" s="498">
        <v>104.07</v>
      </c>
      <c r="AA129" s="498">
        <v>101.56</v>
      </c>
      <c r="AB129">
        <v>8.51</v>
      </c>
      <c r="AC129">
        <v>111.26</v>
      </c>
      <c r="AD129">
        <v>1242</v>
      </c>
      <c r="AE129">
        <v>94.58</v>
      </c>
      <c r="AF129">
        <v>87.39</v>
      </c>
      <c r="AG129">
        <v>50.68</v>
      </c>
      <c r="AH129">
        <v>142.01</v>
      </c>
      <c r="AI129">
        <v>359</v>
      </c>
      <c r="AJ129">
        <v>170.06</v>
      </c>
      <c r="AK129">
        <v>465</v>
      </c>
      <c r="AL129">
        <v>0</v>
      </c>
      <c r="AM129">
        <v>0</v>
      </c>
      <c r="AN129">
        <v>0</v>
      </c>
      <c r="AO129" s="499">
        <v>0</v>
      </c>
      <c r="AP129" s="499">
        <v>0</v>
      </c>
      <c r="AQ129">
        <v>0</v>
      </c>
      <c r="AR129">
        <v>0</v>
      </c>
      <c r="AS129">
        <v>70.19</v>
      </c>
      <c r="AT129">
        <v>67.819999999999993</v>
      </c>
      <c r="AU129">
        <v>12.14</v>
      </c>
      <c r="AV129">
        <v>82.33</v>
      </c>
      <c r="AW129">
        <v>20</v>
      </c>
      <c r="AX129">
        <v>89.89</v>
      </c>
      <c r="AY129">
        <v>86.38</v>
      </c>
      <c r="AZ129">
        <v>11.61</v>
      </c>
      <c r="BA129">
        <v>98.35</v>
      </c>
      <c r="BB129">
        <v>445</v>
      </c>
      <c r="BC129">
        <v>105.94</v>
      </c>
      <c r="BD129">
        <v>103.57</v>
      </c>
      <c r="BE129">
        <v>9.42</v>
      </c>
      <c r="BF129">
        <v>114.87</v>
      </c>
      <c r="BG129">
        <v>466</v>
      </c>
      <c r="BH129">
        <v>122.49</v>
      </c>
      <c r="BI129">
        <v>120.75</v>
      </c>
      <c r="BJ129">
        <v>2.96</v>
      </c>
      <c r="BK129">
        <v>124.95</v>
      </c>
      <c r="BL129" s="214">
        <v>276</v>
      </c>
      <c r="BM129" s="214">
        <v>133.28</v>
      </c>
      <c r="BN129">
        <v>135.51</v>
      </c>
      <c r="BO129" s="187">
        <v>2.23</v>
      </c>
      <c r="BP129" s="214">
        <v>135.31</v>
      </c>
      <c r="BQ129" s="214">
        <v>34</v>
      </c>
      <c r="BR129">
        <v>148.55000000000001</v>
      </c>
      <c r="BS129" s="187">
        <v>141.47</v>
      </c>
      <c r="BT129" s="214">
        <v>2.48</v>
      </c>
      <c r="BU129" s="214">
        <v>151.03</v>
      </c>
      <c r="BV129">
        <v>1</v>
      </c>
      <c r="BW129">
        <v>0</v>
      </c>
      <c r="BX129" s="214">
        <v>0</v>
      </c>
      <c r="BY129" s="214">
        <v>0</v>
      </c>
      <c r="BZ129">
        <v>0</v>
      </c>
      <c r="CA129" s="187">
        <v>0</v>
      </c>
      <c r="CB129" s="214">
        <v>104.07</v>
      </c>
      <c r="CC129" s="214">
        <v>101.56</v>
      </c>
      <c r="CD129">
        <v>8.51</v>
      </c>
      <c r="CE129" s="187">
        <v>111.26</v>
      </c>
      <c r="CF129" s="214">
        <v>1242</v>
      </c>
      <c r="CG129" s="214">
        <v>104.07</v>
      </c>
      <c r="CH129">
        <v>101.56</v>
      </c>
      <c r="CI129">
        <v>8.51</v>
      </c>
      <c r="CJ129">
        <v>111.26</v>
      </c>
      <c r="CK129">
        <v>1242</v>
      </c>
      <c r="CL129">
        <v>121.32</v>
      </c>
      <c r="CM129">
        <v>122.08</v>
      </c>
      <c r="CN129" s="187">
        <v>44.35</v>
      </c>
      <c r="CO129">
        <v>144.88</v>
      </c>
      <c r="CP129">
        <v>32</v>
      </c>
      <c r="CQ129">
        <v>78.849999999999994</v>
      </c>
      <c r="CR129">
        <v>71.400000000000006</v>
      </c>
      <c r="CS129" s="187">
        <v>65.06</v>
      </c>
      <c r="CT129">
        <v>142.19999999999999</v>
      </c>
      <c r="CU129">
        <v>76</v>
      </c>
      <c r="CV129">
        <v>92.84</v>
      </c>
      <c r="CW129">
        <v>87.47</v>
      </c>
      <c r="CX129" s="187">
        <v>43.45</v>
      </c>
      <c r="CY129">
        <v>135.21</v>
      </c>
      <c r="CZ129">
        <v>239</v>
      </c>
      <c r="DA129">
        <v>157.19999999999999</v>
      </c>
      <c r="DB129">
        <v>94.26</v>
      </c>
      <c r="DC129" s="187">
        <v>116.93</v>
      </c>
      <c r="DD129">
        <v>274.13</v>
      </c>
      <c r="DE129">
        <v>11</v>
      </c>
      <c r="DF129">
        <v>159.63</v>
      </c>
      <c r="DG129">
        <v>152.03</v>
      </c>
      <c r="DH129" s="187">
        <v>49.51</v>
      </c>
      <c r="DI129">
        <v>209.14</v>
      </c>
      <c r="DJ129">
        <v>1</v>
      </c>
      <c r="DK129">
        <v>0</v>
      </c>
      <c r="DL129">
        <v>0</v>
      </c>
      <c r="DM129" s="187">
        <v>0</v>
      </c>
      <c r="DN129">
        <v>0</v>
      </c>
      <c r="DO129">
        <v>0</v>
      </c>
      <c r="DP129">
        <v>91.96</v>
      </c>
      <c r="DQ129">
        <v>83.87</v>
      </c>
      <c r="DR129" s="187">
        <v>51.02</v>
      </c>
      <c r="DS129">
        <v>141.72999999999999</v>
      </c>
      <c r="DT129">
        <v>327</v>
      </c>
      <c r="DU129">
        <v>94.58</v>
      </c>
      <c r="DV129">
        <v>87.39</v>
      </c>
      <c r="DW129" s="187">
        <v>50.68</v>
      </c>
      <c r="DX129">
        <v>142.01</v>
      </c>
      <c r="DY129">
        <v>359</v>
      </c>
      <c r="DZ129">
        <v>0</v>
      </c>
      <c r="EA129">
        <v>0</v>
      </c>
      <c r="EB129" s="187">
        <v>0</v>
      </c>
      <c r="EC129">
        <v>0</v>
      </c>
      <c r="ED129">
        <v>143.93</v>
      </c>
      <c r="EE129">
        <v>177</v>
      </c>
      <c r="EF129">
        <v>173.5</v>
      </c>
      <c r="EG129" s="187">
        <v>179</v>
      </c>
      <c r="EH129">
        <v>202.76</v>
      </c>
      <c r="EI129">
        <v>103</v>
      </c>
      <c r="EJ129">
        <v>276.86</v>
      </c>
      <c r="EK129">
        <v>6</v>
      </c>
      <c r="EL129" s="187">
        <v>0</v>
      </c>
      <c r="EM129">
        <v>0</v>
      </c>
      <c r="EN129">
        <v>0</v>
      </c>
      <c r="EO129">
        <v>0</v>
      </c>
      <c r="EP129">
        <v>170.06</v>
      </c>
      <c r="EQ129" s="187">
        <v>465</v>
      </c>
      <c r="ER129">
        <v>170.06</v>
      </c>
      <c r="ES129">
        <v>465</v>
      </c>
      <c r="ET129">
        <v>0</v>
      </c>
      <c r="EU129">
        <v>0</v>
      </c>
      <c r="EV129" s="187">
        <v>0</v>
      </c>
      <c r="EW129">
        <v>0</v>
      </c>
      <c r="EX129">
        <v>0</v>
      </c>
      <c r="EY129">
        <v>0</v>
      </c>
      <c r="EZ129">
        <v>0</v>
      </c>
      <c r="FA129" s="187">
        <v>0</v>
      </c>
      <c r="FB129">
        <v>0</v>
      </c>
      <c r="FC129">
        <v>0</v>
      </c>
      <c r="FD129">
        <v>0</v>
      </c>
      <c r="FE129">
        <v>0</v>
      </c>
      <c r="FF129" s="187">
        <v>0</v>
      </c>
      <c r="FG129">
        <v>0</v>
      </c>
      <c r="FH129">
        <v>0</v>
      </c>
      <c r="FI129">
        <v>0</v>
      </c>
      <c r="FJ129">
        <v>129</v>
      </c>
      <c r="FK129" s="187">
        <v>0</v>
      </c>
      <c r="FL129">
        <v>28</v>
      </c>
      <c r="FM129">
        <v>69</v>
      </c>
      <c r="FN129">
        <v>14</v>
      </c>
    </row>
    <row r="130" spans="1:170" x14ac:dyDescent="0.35">
      <c r="A130" t="s">
        <v>649</v>
      </c>
      <c r="B130" t="s">
        <v>650</v>
      </c>
      <c r="C130" t="s">
        <v>1048</v>
      </c>
      <c r="D130">
        <v>2978</v>
      </c>
      <c r="E130">
        <v>2657</v>
      </c>
      <c r="F130">
        <v>0</v>
      </c>
      <c r="G130">
        <v>0</v>
      </c>
      <c r="H130">
        <v>236</v>
      </c>
      <c r="I130">
        <v>134</v>
      </c>
      <c r="J130">
        <v>392</v>
      </c>
      <c r="K130">
        <v>304</v>
      </c>
      <c r="L130">
        <v>662</v>
      </c>
      <c r="M130">
        <v>2</v>
      </c>
      <c r="N130">
        <v>4268</v>
      </c>
      <c r="O130">
        <v>3097</v>
      </c>
      <c r="P130">
        <v>3606</v>
      </c>
      <c r="Q130">
        <v>6</v>
      </c>
      <c r="R130">
        <v>10</v>
      </c>
      <c r="S130">
        <v>24</v>
      </c>
      <c r="T130">
        <v>385</v>
      </c>
      <c r="U130">
        <v>3883</v>
      </c>
      <c r="V130" s="498">
        <v>2722</v>
      </c>
      <c r="W130">
        <v>22</v>
      </c>
      <c r="X130" s="498">
        <v>13</v>
      </c>
      <c r="Y130" s="498">
        <v>35</v>
      </c>
      <c r="Z130" s="498">
        <v>97.46</v>
      </c>
      <c r="AA130" s="498">
        <v>94.11</v>
      </c>
      <c r="AB130">
        <v>6.77</v>
      </c>
      <c r="AC130">
        <v>101.8</v>
      </c>
      <c r="AD130">
        <v>1690</v>
      </c>
      <c r="AE130">
        <v>109.91</v>
      </c>
      <c r="AF130">
        <v>84.98</v>
      </c>
      <c r="AG130">
        <v>56.88</v>
      </c>
      <c r="AH130">
        <v>166.67</v>
      </c>
      <c r="AI130">
        <v>490</v>
      </c>
      <c r="AJ130">
        <v>129.66</v>
      </c>
      <c r="AK130">
        <v>1126</v>
      </c>
      <c r="AL130">
        <v>199.77</v>
      </c>
      <c r="AM130">
        <v>11</v>
      </c>
      <c r="AN130">
        <v>0</v>
      </c>
      <c r="AO130" s="499">
        <v>0</v>
      </c>
      <c r="AP130" s="499">
        <v>0</v>
      </c>
      <c r="AQ130">
        <v>0</v>
      </c>
      <c r="AR130">
        <v>0</v>
      </c>
      <c r="AS130">
        <v>78.22</v>
      </c>
      <c r="AT130">
        <v>74.650000000000006</v>
      </c>
      <c r="AU130">
        <v>8.77</v>
      </c>
      <c r="AV130">
        <v>81.14</v>
      </c>
      <c r="AW130">
        <v>3</v>
      </c>
      <c r="AX130">
        <v>84.53</v>
      </c>
      <c r="AY130">
        <v>81.62</v>
      </c>
      <c r="AZ130">
        <v>9.3699999999999992</v>
      </c>
      <c r="BA130">
        <v>93.09</v>
      </c>
      <c r="BB130">
        <v>494</v>
      </c>
      <c r="BC130">
        <v>98.17</v>
      </c>
      <c r="BD130">
        <v>94.71</v>
      </c>
      <c r="BE130">
        <v>6.07</v>
      </c>
      <c r="BF130">
        <v>102.04</v>
      </c>
      <c r="BG130">
        <v>677</v>
      </c>
      <c r="BH130">
        <v>108.83</v>
      </c>
      <c r="BI130">
        <v>105.2</v>
      </c>
      <c r="BJ130">
        <v>2.39</v>
      </c>
      <c r="BK130">
        <v>109.76</v>
      </c>
      <c r="BL130" s="214">
        <v>510</v>
      </c>
      <c r="BM130" s="214">
        <v>119.19</v>
      </c>
      <c r="BN130">
        <v>114.9</v>
      </c>
      <c r="BO130" s="187">
        <v>3.34</v>
      </c>
      <c r="BP130" s="214">
        <v>120.53</v>
      </c>
      <c r="BQ130" s="214">
        <v>5</v>
      </c>
      <c r="BR130">
        <v>159.97</v>
      </c>
      <c r="BS130" s="187">
        <v>153.82</v>
      </c>
      <c r="BT130" s="214">
        <v>0</v>
      </c>
      <c r="BU130" s="214">
        <v>159.97</v>
      </c>
      <c r="BV130">
        <v>1</v>
      </c>
      <c r="BW130">
        <v>0</v>
      </c>
      <c r="BX130" s="214">
        <v>0</v>
      </c>
      <c r="BY130" s="214">
        <v>0</v>
      </c>
      <c r="BZ130">
        <v>0</v>
      </c>
      <c r="CA130" s="187">
        <v>0</v>
      </c>
      <c r="CB130" s="214">
        <v>97.46</v>
      </c>
      <c r="CC130" s="214">
        <v>94.11</v>
      </c>
      <c r="CD130">
        <v>6.77</v>
      </c>
      <c r="CE130" s="187">
        <v>101.8</v>
      </c>
      <c r="CF130" s="214">
        <v>1690</v>
      </c>
      <c r="CG130" s="214">
        <v>97.46</v>
      </c>
      <c r="CH130">
        <v>94.11</v>
      </c>
      <c r="CI130">
        <v>6.77</v>
      </c>
      <c r="CJ130">
        <v>101.8</v>
      </c>
      <c r="CK130">
        <v>1690</v>
      </c>
      <c r="CL130">
        <v>186.66</v>
      </c>
      <c r="CM130">
        <v>77.459999999999994</v>
      </c>
      <c r="CN130" s="187">
        <v>65.72</v>
      </c>
      <c r="CO130">
        <v>252.37</v>
      </c>
      <c r="CP130">
        <v>50</v>
      </c>
      <c r="CQ130">
        <v>72.16</v>
      </c>
      <c r="CR130">
        <v>71.099999999999994</v>
      </c>
      <c r="CS130" s="187">
        <v>35.549999999999997</v>
      </c>
      <c r="CT130">
        <v>107.33</v>
      </c>
      <c r="CU130">
        <v>95</v>
      </c>
      <c r="CV130">
        <v>108.94</v>
      </c>
      <c r="CW130">
        <v>88.71</v>
      </c>
      <c r="CX130" s="187">
        <v>62.38</v>
      </c>
      <c r="CY130">
        <v>171.32</v>
      </c>
      <c r="CZ130">
        <v>321</v>
      </c>
      <c r="DA130">
        <v>112.87</v>
      </c>
      <c r="DB130">
        <v>108</v>
      </c>
      <c r="DC130" s="187">
        <v>48.87</v>
      </c>
      <c r="DD130">
        <v>161.74</v>
      </c>
      <c r="DE130">
        <v>23</v>
      </c>
      <c r="DF130">
        <v>102.81</v>
      </c>
      <c r="DG130">
        <v>93.47</v>
      </c>
      <c r="DH130" s="187">
        <v>40.29</v>
      </c>
      <c r="DI130">
        <v>143.1</v>
      </c>
      <c r="DJ130">
        <v>1</v>
      </c>
      <c r="DK130">
        <v>0</v>
      </c>
      <c r="DL130">
        <v>0</v>
      </c>
      <c r="DM130" s="187">
        <v>0</v>
      </c>
      <c r="DN130">
        <v>0</v>
      </c>
      <c r="DO130">
        <v>0</v>
      </c>
      <c r="DP130">
        <v>101.19</v>
      </c>
      <c r="DQ130">
        <v>85.35</v>
      </c>
      <c r="DR130" s="187">
        <v>55.88</v>
      </c>
      <c r="DS130">
        <v>156.94</v>
      </c>
      <c r="DT130">
        <v>440</v>
      </c>
      <c r="DU130">
        <v>109.91</v>
      </c>
      <c r="DV130">
        <v>84.98</v>
      </c>
      <c r="DW130" s="187">
        <v>56.88</v>
      </c>
      <c r="DX130">
        <v>166.67</v>
      </c>
      <c r="DY130">
        <v>490</v>
      </c>
      <c r="DZ130">
        <v>0</v>
      </c>
      <c r="EA130">
        <v>0</v>
      </c>
      <c r="EB130" s="187">
        <v>0</v>
      </c>
      <c r="EC130">
        <v>0</v>
      </c>
      <c r="ED130">
        <v>106.53</v>
      </c>
      <c r="EE130">
        <v>252</v>
      </c>
      <c r="EF130">
        <v>130.63</v>
      </c>
      <c r="EG130" s="187">
        <v>643</v>
      </c>
      <c r="EH130">
        <v>150.18</v>
      </c>
      <c r="EI130">
        <v>217</v>
      </c>
      <c r="EJ130">
        <v>183.71</v>
      </c>
      <c r="EK130">
        <v>14</v>
      </c>
      <c r="EL130" s="187">
        <v>0</v>
      </c>
      <c r="EM130">
        <v>0</v>
      </c>
      <c r="EN130">
        <v>0</v>
      </c>
      <c r="EO130">
        <v>0</v>
      </c>
      <c r="EP130">
        <v>129.66</v>
      </c>
      <c r="EQ130" s="187">
        <v>1126</v>
      </c>
      <c r="ER130">
        <v>129.66</v>
      </c>
      <c r="ES130">
        <v>1126</v>
      </c>
      <c r="ET130">
        <v>0</v>
      </c>
      <c r="EU130">
        <v>0</v>
      </c>
      <c r="EV130" s="187">
        <v>0</v>
      </c>
      <c r="EW130">
        <v>0</v>
      </c>
      <c r="EX130">
        <v>199.77</v>
      </c>
      <c r="EY130">
        <v>11</v>
      </c>
      <c r="EZ130">
        <v>0</v>
      </c>
      <c r="FA130" s="187">
        <v>0</v>
      </c>
      <c r="FB130">
        <v>0</v>
      </c>
      <c r="FC130">
        <v>0</v>
      </c>
      <c r="FD130">
        <v>0</v>
      </c>
      <c r="FE130">
        <v>0</v>
      </c>
      <c r="FF130" s="187">
        <v>199.77</v>
      </c>
      <c r="FG130">
        <v>11</v>
      </c>
      <c r="FH130">
        <v>199.77</v>
      </c>
      <c r="FI130">
        <v>11</v>
      </c>
      <c r="FJ130">
        <v>0</v>
      </c>
      <c r="FK130" s="187">
        <v>1</v>
      </c>
      <c r="FL130">
        <v>1</v>
      </c>
      <c r="FM130">
        <v>100</v>
      </c>
      <c r="FN130">
        <v>2</v>
      </c>
    </row>
    <row r="131" spans="1:170" x14ac:dyDescent="0.35">
      <c r="A131" t="s">
        <v>651</v>
      </c>
      <c r="B131" t="s">
        <v>652</v>
      </c>
      <c r="C131" t="s">
        <v>416</v>
      </c>
      <c r="D131">
        <v>3597</v>
      </c>
      <c r="E131">
        <v>3555</v>
      </c>
      <c r="F131">
        <v>0</v>
      </c>
      <c r="G131">
        <v>0</v>
      </c>
      <c r="H131">
        <v>256</v>
      </c>
      <c r="I131">
        <v>92</v>
      </c>
      <c r="J131">
        <v>609</v>
      </c>
      <c r="K131">
        <v>318</v>
      </c>
      <c r="L131">
        <v>1007</v>
      </c>
      <c r="M131">
        <v>53</v>
      </c>
      <c r="N131">
        <v>5469</v>
      </c>
      <c r="O131">
        <v>4018</v>
      </c>
      <c r="P131">
        <v>4462</v>
      </c>
      <c r="Q131">
        <v>32</v>
      </c>
      <c r="R131">
        <v>10</v>
      </c>
      <c r="S131">
        <v>28</v>
      </c>
      <c r="T131">
        <v>463</v>
      </c>
      <c r="U131">
        <v>5006</v>
      </c>
      <c r="V131" s="498">
        <v>3526</v>
      </c>
      <c r="W131">
        <v>43</v>
      </c>
      <c r="X131" s="498">
        <v>7</v>
      </c>
      <c r="Y131" s="498">
        <v>50</v>
      </c>
      <c r="Z131" s="498">
        <v>135.08000000000001</v>
      </c>
      <c r="AA131" s="498">
        <v>129.62</v>
      </c>
      <c r="AB131">
        <v>11.46</v>
      </c>
      <c r="AC131">
        <v>142.91</v>
      </c>
      <c r="AD131">
        <v>2729</v>
      </c>
      <c r="AE131">
        <v>110.76</v>
      </c>
      <c r="AF131">
        <v>94.57</v>
      </c>
      <c r="AG131">
        <v>37.99</v>
      </c>
      <c r="AH131">
        <v>146.18</v>
      </c>
      <c r="AI131">
        <v>473</v>
      </c>
      <c r="AJ131">
        <v>192.86</v>
      </c>
      <c r="AK131">
        <v>609</v>
      </c>
      <c r="AL131">
        <v>200.51</v>
      </c>
      <c r="AM131">
        <v>28</v>
      </c>
      <c r="AN131">
        <v>0</v>
      </c>
      <c r="AO131" s="499">
        <v>0</v>
      </c>
      <c r="AP131" s="499">
        <v>0</v>
      </c>
      <c r="AQ131">
        <v>0</v>
      </c>
      <c r="AR131">
        <v>0</v>
      </c>
      <c r="AS131">
        <v>91.71</v>
      </c>
      <c r="AT131">
        <v>90.83</v>
      </c>
      <c r="AU131">
        <v>13.32</v>
      </c>
      <c r="AV131">
        <v>105.03</v>
      </c>
      <c r="AW131">
        <v>9</v>
      </c>
      <c r="AX131">
        <v>107.46</v>
      </c>
      <c r="AY131">
        <v>104.4</v>
      </c>
      <c r="AZ131">
        <v>13.59</v>
      </c>
      <c r="BA131">
        <v>120.19</v>
      </c>
      <c r="BB131">
        <v>461</v>
      </c>
      <c r="BC131">
        <v>128.24</v>
      </c>
      <c r="BD131">
        <v>121.18</v>
      </c>
      <c r="BE131">
        <v>14.51</v>
      </c>
      <c r="BF131">
        <v>139.22</v>
      </c>
      <c r="BG131">
        <v>987</v>
      </c>
      <c r="BH131">
        <v>147.56</v>
      </c>
      <c r="BI131">
        <v>141.51</v>
      </c>
      <c r="BJ131">
        <v>7.24</v>
      </c>
      <c r="BK131">
        <v>151.19</v>
      </c>
      <c r="BL131" s="214">
        <v>990</v>
      </c>
      <c r="BM131" s="214">
        <v>159.93</v>
      </c>
      <c r="BN131">
        <v>158.87</v>
      </c>
      <c r="BO131" s="187">
        <v>5.09</v>
      </c>
      <c r="BP131" s="214">
        <v>163.24</v>
      </c>
      <c r="BQ131" s="214">
        <v>234</v>
      </c>
      <c r="BR131">
        <v>169.81</v>
      </c>
      <c r="BS131" s="187">
        <v>174.18</v>
      </c>
      <c r="BT131" s="214">
        <v>6.45</v>
      </c>
      <c r="BU131" s="214">
        <v>173.33</v>
      </c>
      <c r="BV131">
        <v>44</v>
      </c>
      <c r="BW131">
        <v>178.18</v>
      </c>
      <c r="BX131" s="214">
        <v>191.22</v>
      </c>
      <c r="BY131" s="214">
        <v>5.35</v>
      </c>
      <c r="BZ131">
        <v>183.52</v>
      </c>
      <c r="CA131" s="187">
        <v>4</v>
      </c>
      <c r="CB131" s="214">
        <v>135.08000000000001</v>
      </c>
      <c r="CC131" s="214">
        <v>129.62</v>
      </c>
      <c r="CD131">
        <v>11.46</v>
      </c>
      <c r="CE131" s="187">
        <v>142.91</v>
      </c>
      <c r="CF131" s="214">
        <v>2729</v>
      </c>
      <c r="CG131" s="214">
        <v>135.08000000000001</v>
      </c>
      <c r="CH131">
        <v>129.62</v>
      </c>
      <c r="CI131">
        <v>11.46</v>
      </c>
      <c r="CJ131">
        <v>142.91</v>
      </c>
      <c r="CK131">
        <v>2729</v>
      </c>
      <c r="CL131">
        <v>75.36</v>
      </c>
      <c r="CM131">
        <v>87.48</v>
      </c>
      <c r="CN131" s="187">
        <v>33.11</v>
      </c>
      <c r="CO131">
        <v>105.23</v>
      </c>
      <c r="CP131">
        <v>92</v>
      </c>
      <c r="CQ131">
        <v>92.38</v>
      </c>
      <c r="CR131">
        <v>83.27</v>
      </c>
      <c r="CS131" s="187">
        <v>35</v>
      </c>
      <c r="CT131">
        <v>127.38</v>
      </c>
      <c r="CU131">
        <v>103</v>
      </c>
      <c r="CV131">
        <v>128.36000000000001</v>
      </c>
      <c r="CW131">
        <v>101.11</v>
      </c>
      <c r="CX131" s="187">
        <v>41.62</v>
      </c>
      <c r="CY131">
        <v>166.87</v>
      </c>
      <c r="CZ131">
        <v>254</v>
      </c>
      <c r="DA131">
        <v>137.66</v>
      </c>
      <c r="DB131">
        <v>119.45</v>
      </c>
      <c r="DC131" s="187">
        <v>30.72</v>
      </c>
      <c r="DD131">
        <v>165.45</v>
      </c>
      <c r="DE131">
        <v>21</v>
      </c>
      <c r="DF131">
        <v>139.41999999999999</v>
      </c>
      <c r="DG131">
        <v>127.16</v>
      </c>
      <c r="DH131" s="187">
        <v>34.729999999999997</v>
      </c>
      <c r="DI131">
        <v>156.79</v>
      </c>
      <c r="DJ131">
        <v>2</v>
      </c>
      <c r="DK131">
        <v>167.99</v>
      </c>
      <c r="DL131">
        <v>152.72</v>
      </c>
      <c r="DM131" s="187">
        <v>0</v>
      </c>
      <c r="DN131">
        <v>167.99</v>
      </c>
      <c r="DO131">
        <v>1</v>
      </c>
      <c r="DP131">
        <v>119.31</v>
      </c>
      <c r="DQ131">
        <v>96.55</v>
      </c>
      <c r="DR131" s="187">
        <v>39.119999999999997</v>
      </c>
      <c r="DS131">
        <v>156.07</v>
      </c>
      <c r="DT131">
        <v>381</v>
      </c>
      <c r="DU131">
        <v>110.76</v>
      </c>
      <c r="DV131">
        <v>94.57</v>
      </c>
      <c r="DW131" s="187">
        <v>37.99</v>
      </c>
      <c r="DX131">
        <v>146.18</v>
      </c>
      <c r="DY131">
        <v>473</v>
      </c>
      <c r="DZ131">
        <v>0</v>
      </c>
      <c r="EA131">
        <v>0</v>
      </c>
      <c r="EB131" s="187">
        <v>0</v>
      </c>
      <c r="EC131">
        <v>0</v>
      </c>
      <c r="ED131">
        <v>167.46</v>
      </c>
      <c r="EE131">
        <v>211</v>
      </c>
      <c r="EF131">
        <v>198.19</v>
      </c>
      <c r="EG131" s="187">
        <v>319</v>
      </c>
      <c r="EH131">
        <v>218.12</v>
      </c>
      <c r="EI131">
        <v>61</v>
      </c>
      <c r="EJ131">
        <v>299.82</v>
      </c>
      <c r="EK131">
        <v>13</v>
      </c>
      <c r="EL131" s="187">
        <v>338.61</v>
      </c>
      <c r="EM131">
        <v>5</v>
      </c>
      <c r="EN131">
        <v>0</v>
      </c>
      <c r="EO131">
        <v>0</v>
      </c>
      <c r="EP131">
        <v>192.86</v>
      </c>
      <c r="EQ131" s="187">
        <v>609</v>
      </c>
      <c r="ER131">
        <v>192.86</v>
      </c>
      <c r="ES131">
        <v>609</v>
      </c>
      <c r="ET131">
        <v>0</v>
      </c>
      <c r="EU131">
        <v>0</v>
      </c>
      <c r="EV131" s="187">
        <v>0</v>
      </c>
      <c r="EW131">
        <v>0</v>
      </c>
      <c r="EX131">
        <v>200.51</v>
      </c>
      <c r="EY131">
        <v>28</v>
      </c>
      <c r="EZ131">
        <v>0</v>
      </c>
      <c r="FA131" s="187">
        <v>0</v>
      </c>
      <c r="FB131">
        <v>0</v>
      </c>
      <c r="FC131">
        <v>0</v>
      </c>
      <c r="FD131">
        <v>0</v>
      </c>
      <c r="FE131">
        <v>0</v>
      </c>
      <c r="FF131" s="187">
        <v>200.51</v>
      </c>
      <c r="FG131">
        <v>28</v>
      </c>
      <c r="FH131">
        <v>200.51</v>
      </c>
      <c r="FI131">
        <v>28</v>
      </c>
      <c r="FJ131">
        <v>37</v>
      </c>
      <c r="FK131" s="187">
        <v>5</v>
      </c>
      <c r="FL131">
        <v>0</v>
      </c>
      <c r="FM131">
        <v>67</v>
      </c>
      <c r="FN131">
        <v>28</v>
      </c>
    </row>
    <row r="132" spans="1:170" x14ac:dyDescent="0.35">
      <c r="A132" t="s">
        <v>653</v>
      </c>
      <c r="B132" t="s">
        <v>654</v>
      </c>
      <c r="C132" t="s">
        <v>2</v>
      </c>
      <c r="D132">
        <v>3190</v>
      </c>
      <c r="E132">
        <v>3190</v>
      </c>
      <c r="F132">
        <v>0</v>
      </c>
      <c r="G132">
        <v>0</v>
      </c>
      <c r="H132">
        <v>45</v>
      </c>
      <c r="I132">
        <v>40</v>
      </c>
      <c r="J132">
        <v>322</v>
      </c>
      <c r="K132">
        <v>269</v>
      </c>
      <c r="L132">
        <v>764</v>
      </c>
      <c r="M132">
        <v>227</v>
      </c>
      <c r="N132">
        <v>4321</v>
      </c>
      <c r="O132">
        <v>3726</v>
      </c>
      <c r="P132">
        <v>3557</v>
      </c>
      <c r="Q132">
        <v>0</v>
      </c>
      <c r="R132">
        <v>1</v>
      </c>
      <c r="S132">
        <v>21</v>
      </c>
      <c r="T132">
        <v>53</v>
      </c>
      <c r="U132">
        <v>4268</v>
      </c>
      <c r="V132" s="498">
        <v>3190</v>
      </c>
      <c r="W132">
        <v>29</v>
      </c>
      <c r="X132" s="498">
        <v>11</v>
      </c>
      <c r="Y132" s="498">
        <v>40</v>
      </c>
      <c r="Z132" s="498">
        <v>119.61</v>
      </c>
      <c r="AA132" s="498">
        <v>116.18</v>
      </c>
      <c r="AB132">
        <v>6.7</v>
      </c>
      <c r="AC132">
        <v>122.32</v>
      </c>
      <c r="AD132">
        <v>2389</v>
      </c>
      <c r="AE132">
        <v>105.44</v>
      </c>
      <c r="AF132">
        <v>99.74</v>
      </c>
      <c r="AG132">
        <v>38.909999999999997</v>
      </c>
      <c r="AH132">
        <v>144.1</v>
      </c>
      <c r="AI132">
        <v>313</v>
      </c>
      <c r="AJ132">
        <v>180.48</v>
      </c>
      <c r="AK132">
        <v>767</v>
      </c>
      <c r="AL132">
        <v>145.63999999999999</v>
      </c>
      <c r="AM132">
        <v>1</v>
      </c>
      <c r="AN132">
        <v>0</v>
      </c>
      <c r="AO132" s="499">
        <v>0</v>
      </c>
      <c r="AP132" s="499">
        <v>0</v>
      </c>
      <c r="AQ132">
        <v>0</v>
      </c>
      <c r="AR132">
        <v>0</v>
      </c>
      <c r="AS132">
        <v>83.45</v>
      </c>
      <c r="AT132">
        <v>74.98</v>
      </c>
      <c r="AU132">
        <v>3.79</v>
      </c>
      <c r="AV132">
        <v>87.24</v>
      </c>
      <c r="AW132">
        <v>44</v>
      </c>
      <c r="AX132">
        <v>97.04</v>
      </c>
      <c r="AY132">
        <v>93.36</v>
      </c>
      <c r="AZ132">
        <v>6.75</v>
      </c>
      <c r="BA132">
        <v>101.91</v>
      </c>
      <c r="BB132">
        <v>358</v>
      </c>
      <c r="BC132">
        <v>116.85</v>
      </c>
      <c r="BD132">
        <v>113.73</v>
      </c>
      <c r="BE132">
        <v>8.1</v>
      </c>
      <c r="BF132">
        <v>120.54</v>
      </c>
      <c r="BG132">
        <v>1043</v>
      </c>
      <c r="BH132">
        <v>132.19999999999999</v>
      </c>
      <c r="BI132">
        <v>128.77000000000001</v>
      </c>
      <c r="BJ132">
        <v>3.83</v>
      </c>
      <c r="BK132">
        <v>132.96</v>
      </c>
      <c r="BL132" s="214">
        <v>891</v>
      </c>
      <c r="BM132" s="214">
        <v>144.74</v>
      </c>
      <c r="BN132">
        <v>141.33000000000001</v>
      </c>
      <c r="BO132" s="187">
        <v>3.89</v>
      </c>
      <c r="BP132" s="214">
        <v>145.62</v>
      </c>
      <c r="BQ132" s="214">
        <v>53</v>
      </c>
      <c r="BR132">
        <v>0</v>
      </c>
      <c r="BS132" s="187">
        <v>0</v>
      </c>
      <c r="BT132" s="214">
        <v>0</v>
      </c>
      <c r="BU132" s="214">
        <v>0</v>
      </c>
      <c r="BV132">
        <v>0</v>
      </c>
      <c r="BW132">
        <v>0</v>
      </c>
      <c r="BX132" s="214">
        <v>0</v>
      </c>
      <c r="BY132" s="214">
        <v>0</v>
      </c>
      <c r="BZ132">
        <v>0</v>
      </c>
      <c r="CA132" s="187">
        <v>0</v>
      </c>
      <c r="CB132" s="214">
        <v>119.61</v>
      </c>
      <c r="CC132" s="214">
        <v>116.18</v>
      </c>
      <c r="CD132">
        <v>6.7</v>
      </c>
      <c r="CE132" s="187">
        <v>122.32</v>
      </c>
      <c r="CF132" s="214">
        <v>2389</v>
      </c>
      <c r="CG132" s="214">
        <v>119.61</v>
      </c>
      <c r="CH132">
        <v>116.18</v>
      </c>
      <c r="CI132">
        <v>6.7</v>
      </c>
      <c r="CJ132">
        <v>122.32</v>
      </c>
      <c r="CK132">
        <v>2389</v>
      </c>
      <c r="CL132">
        <v>117.46</v>
      </c>
      <c r="CM132">
        <v>105.48</v>
      </c>
      <c r="CN132" s="187">
        <v>53.29</v>
      </c>
      <c r="CO132">
        <v>170.75</v>
      </c>
      <c r="CP132">
        <v>6</v>
      </c>
      <c r="CQ132">
        <v>69.92</v>
      </c>
      <c r="CR132">
        <v>0</v>
      </c>
      <c r="CS132" s="187">
        <v>42.15</v>
      </c>
      <c r="CT132">
        <v>112.07</v>
      </c>
      <c r="CU132">
        <v>7</v>
      </c>
      <c r="CV132">
        <v>99.37</v>
      </c>
      <c r="CW132">
        <v>94.33</v>
      </c>
      <c r="CX132" s="187">
        <v>32.33</v>
      </c>
      <c r="CY132">
        <v>131.55000000000001</v>
      </c>
      <c r="CZ132">
        <v>216</v>
      </c>
      <c r="DA132">
        <v>123.43</v>
      </c>
      <c r="DB132">
        <v>113.04</v>
      </c>
      <c r="DC132" s="187">
        <v>55.41</v>
      </c>
      <c r="DD132">
        <v>178.15</v>
      </c>
      <c r="DE132">
        <v>81</v>
      </c>
      <c r="DF132">
        <v>115.51</v>
      </c>
      <c r="DG132">
        <v>113.17</v>
      </c>
      <c r="DH132" s="187">
        <v>33.880000000000003</v>
      </c>
      <c r="DI132">
        <v>149.38999999999999</v>
      </c>
      <c r="DJ132">
        <v>3</v>
      </c>
      <c r="DK132">
        <v>0</v>
      </c>
      <c r="DL132">
        <v>0</v>
      </c>
      <c r="DM132" s="187">
        <v>0</v>
      </c>
      <c r="DN132">
        <v>0</v>
      </c>
      <c r="DO132">
        <v>0</v>
      </c>
      <c r="DP132">
        <v>105.2</v>
      </c>
      <c r="DQ132">
        <v>99.62</v>
      </c>
      <c r="DR132" s="187">
        <v>38.619999999999997</v>
      </c>
      <c r="DS132">
        <v>143.58000000000001</v>
      </c>
      <c r="DT132">
        <v>307</v>
      </c>
      <c r="DU132">
        <v>105.44</v>
      </c>
      <c r="DV132">
        <v>99.74</v>
      </c>
      <c r="DW132" s="187">
        <v>38.909999999999997</v>
      </c>
      <c r="DX132">
        <v>144.1</v>
      </c>
      <c r="DY132">
        <v>313</v>
      </c>
      <c r="DZ132">
        <v>0</v>
      </c>
      <c r="EA132">
        <v>0</v>
      </c>
      <c r="EB132" s="187">
        <v>117.62</v>
      </c>
      <c r="EC132">
        <v>8</v>
      </c>
      <c r="ED132">
        <v>142.15</v>
      </c>
      <c r="EE132">
        <v>215</v>
      </c>
      <c r="EF132">
        <v>179.92</v>
      </c>
      <c r="EG132" s="187">
        <v>319</v>
      </c>
      <c r="EH132">
        <v>217.4</v>
      </c>
      <c r="EI132">
        <v>193</v>
      </c>
      <c r="EJ132">
        <v>236.76</v>
      </c>
      <c r="EK132">
        <v>32</v>
      </c>
      <c r="EL132" s="187">
        <v>0</v>
      </c>
      <c r="EM132">
        <v>0</v>
      </c>
      <c r="EN132">
        <v>0</v>
      </c>
      <c r="EO132">
        <v>0</v>
      </c>
      <c r="EP132">
        <v>180.48</v>
      </c>
      <c r="EQ132" s="187">
        <v>767</v>
      </c>
      <c r="ER132">
        <v>180.48</v>
      </c>
      <c r="ES132">
        <v>767</v>
      </c>
      <c r="ET132">
        <v>0</v>
      </c>
      <c r="EU132">
        <v>0</v>
      </c>
      <c r="EV132" s="187">
        <v>0</v>
      </c>
      <c r="EW132">
        <v>0</v>
      </c>
      <c r="EX132">
        <v>145.63999999999999</v>
      </c>
      <c r="EY132">
        <v>1</v>
      </c>
      <c r="EZ132">
        <v>0</v>
      </c>
      <c r="FA132" s="187">
        <v>0</v>
      </c>
      <c r="FB132">
        <v>0</v>
      </c>
      <c r="FC132">
        <v>0</v>
      </c>
      <c r="FD132">
        <v>0</v>
      </c>
      <c r="FE132">
        <v>0</v>
      </c>
      <c r="FF132" s="187">
        <v>145.63999999999999</v>
      </c>
      <c r="FG132">
        <v>1</v>
      </c>
      <c r="FH132">
        <v>145.63999999999999</v>
      </c>
      <c r="FI132">
        <v>1</v>
      </c>
      <c r="FJ132">
        <v>0</v>
      </c>
      <c r="FK132" s="187">
        <v>1</v>
      </c>
      <c r="FL132">
        <v>0</v>
      </c>
      <c r="FM132">
        <v>16</v>
      </c>
      <c r="FN132">
        <v>18</v>
      </c>
    </row>
    <row r="133" spans="1:170" x14ac:dyDescent="0.35">
      <c r="A133" t="s">
        <v>655</v>
      </c>
      <c r="B133" t="s">
        <v>656</v>
      </c>
      <c r="C133" t="s">
        <v>417</v>
      </c>
      <c r="D133">
        <v>7645</v>
      </c>
      <c r="E133">
        <v>7694</v>
      </c>
      <c r="F133">
        <v>0</v>
      </c>
      <c r="G133">
        <v>0</v>
      </c>
      <c r="H133">
        <v>209</v>
      </c>
      <c r="I133">
        <v>181</v>
      </c>
      <c r="J133">
        <v>1984</v>
      </c>
      <c r="K133">
        <v>1958</v>
      </c>
      <c r="L133">
        <v>259</v>
      </c>
      <c r="M133">
        <v>0</v>
      </c>
      <c r="N133">
        <v>10097</v>
      </c>
      <c r="O133">
        <v>9833</v>
      </c>
      <c r="P133">
        <v>9838</v>
      </c>
      <c r="Q133">
        <v>1</v>
      </c>
      <c r="R133">
        <v>5</v>
      </c>
      <c r="S133">
        <v>14</v>
      </c>
      <c r="T133">
        <v>69</v>
      </c>
      <c r="U133">
        <v>10028</v>
      </c>
      <c r="V133" s="498">
        <v>7614</v>
      </c>
      <c r="W133">
        <v>41</v>
      </c>
      <c r="X133" s="498">
        <v>46</v>
      </c>
      <c r="Y133" s="498">
        <v>87</v>
      </c>
      <c r="Z133" s="498">
        <v>84.03</v>
      </c>
      <c r="AA133" s="498">
        <v>85.58</v>
      </c>
      <c r="AB133">
        <v>5.69</v>
      </c>
      <c r="AC133">
        <v>86.34</v>
      </c>
      <c r="AD133">
        <v>6459</v>
      </c>
      <c r="AE133">
        <v>84.17</v>
      </c>
      <c r="AF133">
        <v>85.01</v>
      </c>
      <c r="AG133">
        <v>45.09</v>
      </c>
      <c r="AH133">
        <v>110.92</v>
      </c>
      <c r="AI133">
        <v>2088</v>
      </c>
      <c r="AJ133">
        <v>97.44</v>
      </c>
      <c r="AK133">
        <v>1093</v>
      </c>
      <c r="AL133">
        <v>107.89</v>
      </c>
      <c r="AM133">
        <v>67</v>
      </c>
      <c r="AN133">
        <v>0</v>
      </c>
      <c r="AO133" s="499">
        <v>0</v>
      </c>
      <c r="AP133" s="499">
        <v>0</v>
      </c>
      <c r="AQ133">
        <v>0</v>
      </c>
      <c r="AR133">
        <v>0</v>
      </c>
      <c r="AS133">
        <v>66.14</v>
      </c>
      <c r="AT133">
        <v>62.99</v>
      </c>
      <c r="AU133">
        <v>17.32</v>
      </c>
      <c r="AV133">
        <v>83.46</v>
      </c>
      <c r="AW133">
        <v>4</v>
      </c>
      <c r="AX133">
        <v>72.48</v>
      </c>
      <c r="AY133">
        <v>72.75</v>
      </c>
      <c r="AZ133">
        <v>6.15</v>
      </c>
      <c r="BA133">
        <v>78.23</v>
      </c>
      <c r="BB133">
        <v>1529</v>
      </c>
      <c r="BC133">
        <v>83.71</v>
      </c>
      <c r="BD133">
        <v>84.6</v>
      </c>
      <c r="BE133">
        <v>6.16</v>
      </c>
      <c r="BF133">
        <v>86.08</v>
      </c>
      <c r="BG133">
        <v>2306</v>
      </c>
      <c r="BH133">
        <v>90.6</v>
      </c>
      <c r="BI133">
        <v>93.42</v>
      </c>
      <c r="BJ133">
        <v>2.08</v>
      </c>
      <c r="BK133">
        <v>90.86</v>
      </c>
      <c r="BL133" s="214">
        <v>2458</v>
      </c>
      <c r="BM133" s="214">
        <v>97.92</v>
      </c>
      <c r="BN133">
        <v>101.63</v>
      </c>
      <c r="BO133" s="187">
        <v>0.28000000000000003</v>
      </c>
      <c r="BP133" s="214">
        <v>97.93</v>
      </c>
      <c r="BQ133" s="214">
        <v>152</v>
      </c>
      <c r="BR133">
        <v>102.02</v>
      </c>
      <c r="BS133" s="187">
        <v>110.02</v>
      </c>
      <c r="BT133" s="214">
        <v>0</v>
      </c>
      <c r="BU133" s="214">
        <v>102.02</v>
      </c>
      <c r="BV133">
        <v>9</v>
      </c>
      <c r="BW133">
        <v>120.86</v>
      </c>
      <c r="BX133" s="214">
        <v>119.77</v>
      </c>
      <c r="BY133" s="214">
        <v>0</v>
      </c>
      <c r="BZ133">
        <v>120.86</v>
      </c>
      <c r="CA133" s="187">
        <v>1</v>
      </c>
      <c r="CB133" s="214">
        <v>84.03</v>
      </c>
      <c r="CC133" s="214">
        <v>85.58</v>
      </c>
      <c r="CD133">
        <v>5.69</v>
      </c>
      <c r="CE133" s="187">
        <v>86.34</v>
      </c>
      <c r="CF133" s="214">
        <v>6459</v>
      </c>
      <c r="CG133" s="214">
        <v>84.03</v>
      </c>
      <c r="CH133">
        <v>85.58</v>
      </c>
      <c r="CI133">
        <v>5.69</v>
      </c>
      <c r="CJ133">
        <v>86.34</v>
      </c>
      <c r="CK133">
        <v>6459</v>
      </c>
      <c r="CL133">
        <v>115.78</v>
      </c>
      <c r="CM133">
        <v>82.68</v>
      </c>
      <c r="CN133" s="187">
        <v>104.92</v>
      </c>
      <c r="CO133">
        <v>220.7</v>
      </c>
      <c r="CP133">
        <v>45</v>
      </c>
      <c r="CQ133">
        <v>73.44</v>
      </c>
      <c r="CR133">
        <v>67.77</v>
      </c>
      <c r="CS133" s="187">
        <v>59.17</v>
      </c>
      <c r="CT133">
        <v>131.32</v>
      </c>
      <c r="CU133">
        <v>92</v>
      </c>
      <c r="CV133">
        <v>78.47</v>
      </c>
      <c r="CW133">
        <v>79.03</v>
      </c>
      <c r="CX133" s="187">
        <v>44.62</v>
      </c>
      <c r="CY133">
        <v>105.23</v>
      </c>
      <c r="CZ133">
        <v>1049</v>
      </c>
      <c r="DA133">
        <v>90.05</v>
      </c>
      <c r="DB133">
        <v>93.52</v>
      </c>
      <c r="DC133" s="187">
        <v>37.67</v>
      </c>
      <c r="DD133">
        <v>109.79</v>
      </c>
      <c r="DE133">
        <v>885</v>
      </c>
      <c r="DF133">
        <v>103.81</v>
      </c>
      <c r="DG133">
        <v>106.19</v>
      </c>
      <c r="DH133" s="187">
        <v>25.47</v>
      </c>
      <c r="DI133">
        <v>119.73</v>
      </c>
      <c r="DJ133">
        <v>16</v>
      </c>
      <c r="DK133">
        <v>111.43</v>
      </c>
      <c r="DL133">
        <v>122.56</v>
      </c>
      <c r="DM133" s="187">
        <v>16.39</v>
      </c>
      <c r="DN133">
        <v>127.82</v>
      </c>
      <c r="DO133">
        <v>1</v>
      </c>
      <c r="DP133">
        <v>83.47</v>
      </c>
      <c r="DQ133">
        <v>85.04</v>
      </c>
      <c r="DR133" s="187">
        <v>42.83</v>
      </c>
      <c r="DS133">
        <v>108.51</v>
      </c>
      <c r="DT133">
        <v>2043</v>
      </c>
      <c r="DU133">
        <v>84.17</v>
      </c>
      <c r="DV133">
        <v>85.01</v>
      </c>
      <c r="DW133" s="187">
        <v>45.09</v>
      </c>
      <c r="DX133">
        <v>110.92</v>
      </c>
      <c r="DY133">
        <v>2088</v>
      </c>
      <c r="DZ133">
        <v>0</v>
      </c>
      <c r="EA133">
        <v>0</v>
      </c>
      <c r="EB133" s="187">
        <v>0</v>
      </c>
      <c r="EC133">
        <v>0</v>
      </c>
      <c r="ED133">
        <v>78.37</v>
      </c>
      <c r="EE133">
        <v>27</v>
      </c>
      <c r="EF133">
        <v>94.64</v>
      </c>
      <c r="EG133" s="187">
        <v>589</v>
      </c>
      <c r="EH133">
        <v>101.29</v>
      </c>
      <c r="EI133">
        <v>437</v>
      </c>
      <c r="EJ133">
        <v>109.54</v>
      </c>
      <c r="EK133">
        <v>35</v>
      </c>
      <c r="EL133" s="187">
        <v>111.82</v>
      </c>
      <c r="EM133">
        <v>4</v>
      </c>
      <c r="EN133">
        <v>97</v>
      </c>
      <c r="EO133">
        <v>1</v>
      </c>
      <c r="EP133">
        <v>97.44</v>
      </c>
      <c r="EQ133" s="187">
        <v>1093</v>
      </c>
      <c r="ER133">
        <v>97.44</v>
      </c>
      <c r="ES133">
        <v>1093</v>
      </c>
      <c r="ET133">
        <v>0</v>
      </c>
      <c r="EU133">
        <v>0</v>
      </c>
      <c r="EV133" s="187">
        <v>0</v>
      </c>
      <c r="EW133">
        <v>0</v>
      </c>
      <c r="EX133">
        <v>91.23</v>
      </c>
      <c r="EY133">
        <v>2</v>
      </c>
      <c r="EZ133">
        <v>108.31</v>
      </c>
      <c r="FA133" s="187">
        <v>63</v>
      </c>
      <c r="FB133">
        <v>111.16</v>
      </c>
      <c r="FC133">
        <v>2</v>
      </c>
      <c r="FD133">
        <v>0</v>
      </c>
      <c r="FE133">
        <v>0</v>
      </c>
      <c r="FF133" s="187">
        <v>107.89</v>
      </c>
      <c r="FG133">
        <v>67</v>
      </c>
      <c r="FH133">
        <v>107.89</v>
      </c>
      <c r="FI133">
        <v>67</v>
      </c>
      <c r="FJ133">
        <v>0</v>
      </c>
      <c r="FK133" s="187">
        <v>33</v>
      </c>
      <c r="FL133">
        <v>1</v>
      </c>
      <c r="FM133">
        <v>17</v>
      </c>
      <c r="FN133">
        <v>7</v>
      </c>
    </row>
    <row r="134" spans="1:170" x14ac:dyDescent="0.35">
      <c r="A134" t="s">
        <v>657</v>
      </c>
      <c r="B134" t="s">
        <v>658</v>
      </c>
      <c r="C134" t="s">
        <v>2</v>
      </c>
      <c r="D134">
        <v>5126</v>
      </c>
      <c r="E134">
        <v>5057</v>
      </c>
      <c r="F134">
        <v>0</v>
      </c>
      <c r="G134">
        <v>0</v>
      </c>
      <c r="H134">
        <v>252</v>
      </c>
      <c r="I134">
        <v>100</v>
      </c>
      <c r="J134">
        <v>713</v>
      </c>
      <c r="K134">
        <v>701</v>
      </c>
      <c r="L134">
        <v>206</v>
      </c>
      <c r="M134">
        <v>140</v>
      </c>
      <c r="N134">
        <v>6297</v>
      </c>
      <c r="O134">
        <v>5998</v>
      </c>
      <c r="P134">
        <v>6091</v>
      </c>
      <c r="Q134">
        <v>17</v>
      </c>
      <c r="R134">
        <v>5</v>
      </c>
      <c r="S134">
        <v>16</v>
      </c>
      <c r="T134">
        <v>203</v>
      </c>
      <c r="U134">
        <v>6094</v>
      </c>
      <c r="V134" s="498">
        <v>5057</v>
      </c>
      <c r="W134">
        <v>13</v>
      </c>
      <c r="X134" s="498">
        <v>57</v>
      </c>
      <c r="Y134" s="498">
        <v>70</v>
      </c>
      <c r="Z134" s="498">
        <v>88.19</v>
      </c>
      <c r="AA134" s="498">
        <v>86.07</v>
      </c>
      <c r="AB134">
        <v>6.88</v>
      </c>
      <c r="AC134">
        <v>94.12</v>
      </c>
      <c r="AD134">
        <v>4167</v>
      </c>
      <c r="AE134">
        <v>74.3</v>
      </c>
      <c r="AF134">
        <v>69.56</v>
      </c>
      <c r="AG134">
        <v>46.61</v>
      </c>
      <c r="AH134">
        <v>120.91</v>
      </c>
      <c r="AI134">
        <v>809</v>
      </c>
      <c r="AJ134">
        <v>117.3</v>
      </c>
      <c r="AK134">
        <v>764</v>
      </c>
      <c r="AL134">
        <v>109.65</v>
      </c>
      <c r="AM134">
        <v>22</v>
      </c>
      <c r="AN134">
        <v>0</v>
      </c>
      <c r="AO134" s="499">
        <v>0</v>
      </c>
      <c r="AP134" s="499">
        <v>0</v>
      </c>
      <c r="AQ134">
        <v>0</v>
      </c>
      <c r="AR134">
        <v>0</v>
      </c>
      <c r="AS134">
        <v>62.46</v>
      </c>
      <c r="AT134">
        <v>60.1</v>
      </c>
      <c r="AU134">
        <v>12.97</v>
      </c>
      <c r="AV134">
        <v>75.430000000000007</v>
      </c>
      <c r="AW134">
        <v>28</v>
      </c>
      <c r="AX134">
        <v>73.709999999999994</v>
      </c>
      <c r="AY134">
        <v>72.69</v>
      </c>
      <c r="AZ134">
        <v>8.25</v>
      </c>
      <c r="BA134">
        <v>81.709999999999994</v>
      </c>
      <c r="BB134">
        <v>932</v>
      </c>
      <c r="BC134">
        <v>82.86</v>
      </c>
      <c r="BD134">
        <v>80.53</v>
      </c>
      <c r="BE134">
        <v>10.62</v>
      </c>
      <c r="BF134">
        <v>92.46</v>
      </c>
      <c r="BG134">
        <v>1431</v>
      </c>
      <c r="BH134">
        <v>99.3</v>
      </c>
      <c r="BI134">
        <v>96.97</v>
      </c>
      <c r="BJ134">
        <v>2.2000000000000002</v>
      </c>
      <c r="BK134">
        <v>101.02</v>
      </c>
      <c r="BL134" s="214">
        <v>1599</v>
      </c>
      <c r="BM134" s="214">
        <v>109.9</v>
      </c>
      <c r="BN134">
        <v>105.76</v>
      </c>
      <c r="BO134" s="187">
        <v>3.53</v>
      </c>
      <c r="BP134" s="214">
        <v>112.22</v>
      </c>
      <c r="BQ134" s="214">
        <v>160</v>
      </c>
      <c r="BR134">
        <v>123.97</v>
      </c>
      <c r="BS134" s="187">
        <v>117.13</v>
      </c>
      <c r="BT134" s="214">
        <v>1.83</v>
      </c>
      <c r="BU134" s="214">
        <v>124.94</v>
      </c>
      <c r="BV134">
        <v>15</v>
      </c>
      <c r="BW134">
        <v>119.66</v>
      </c>
      <c r="BX134" s="214">
        <v>118.21</v>
      </c>
      <c r="BY134" s="214">
        <v>0</v>
      </c>
      <c r="BZ134">
        <v>119.66</v>
      </c>
      <c r="CA134" s="187">
        <v>2</v>
      </c>
      <c r="CB134" s="214">
        <v>88.19</v>
      </c>
      <c r="CC134" s="214">
        <v>86.07</v>
      </c>
      <c r="CD134">
        <v>6.88</v>
      </c>
      <c r="CE134" s="187">
        <v>94.12</v>
      </c>
      <c r="CF134" s="214">
        <v>4167</v>
      </c>
      <c r="CG134" s="214">
        <v>88.19</v>
      </c>
      <c r="CH134">
        <v>86.07</v>
      </c>
      <c r="CI134">
        <v>6.88</v>
      </c>
      <c r="CJ134">
        <v>94.12</v>
      </c>
      <c r="CK134">
        <v>4167</v>
      </c>
      <c r="CL134">
        <v>77.239999999999995</v>
      </c>
      <c r="CM134">
        <v>62.79</v>
      </c>
      <c r="CN134" s="187">
        <v>131.83000000000001</v>
      </c>
      <c r="CO134">
        <v>209.07</v>
      </c>
      <c r="CP134">
        <v>76</v>
      </c>
      <c r="CQ134">
        <v>65.34</v>
      </c>
      <c r="CR134">
        <v>63.42</v>
      </c>
      <c r="CS134" s="187">
        <v>83.97</v>
      </c>
      <c r="CT134">
        <v>149.31</v>
      </c>
      <c r="CU134">
        <v>22</v>
      </c>
      <c r="CV134">
        <v>73.489999999999995</v>
      </c>
      <c r="CW134">
        <v>69.27</v>
      </c>
      <c r="CX134" s="187">
        <v>36.270000000000003</v>
      </c>
      <c r="CY134">
        <v>109.75</v>
      </c>
      <c r="CZ134">
        <v>515</v>
      </c>
      <c r="DA134">
        <v>76.08</v>
      </c>
      <c r="DB134">
        <v>72.989999999999995</v>
      </c>
      <c r="DC134" s="187">
        <v>36.54</v>
      </c>
      <c r="DD134">
        <v>112.62</v>
      </c>
      <c r="DE134">
        <v>194</v>
      </c>
      <c r="DF134">
        <v>98.41</v>
      </c>
      <c r="DG134">
        <v>89.47</v>
      </c>
      <c r="DH134" s="187">
        <v>38.86</v>
      </c>
      <c r="DI134">
        <v>137.27000000000001</v>
      </c>
      <c r="DJ134">
        <v>2</v>
      </c>
      <c r="DK134">
        <v>0</v>
      </c>
      <c r="DL134">
        <v>0</v>
      </c>
      <c r="DM134" s="187">
        <v>0</v>
      </c>
      <c r="DN134">
        <v>0</v>
      </c>
      <c r="DO134">
        <v>0</v>
      </c>
      <c r="DP134">
        <v>74</v>
      </c>
      <c r="DQ134">
        <v>70.13</v>
      </c>
      <c r="DR134" s="187">
        <v>37.78</v>
      </c>
      <c r="DS134">
        <v>111.77</v>
      </c>
      <c r="DT134">
        <v>733</v>
      </c>
      <c r="DU134">
        <v>74.3</v>
      </c>
      <c r="DV134">
        <v>69.56</v>
      </c>
      <c r="DW134" s="187">
        <v>46.61</v>
      </c>
      <c r="DX134">
        <v>120.91</v>
      </c>
      <c r="DY134">
        <v>809</v>
      </c>
      <c r="DZ134">
        <v>0</v>
      </c>
      <c r="EA134">
        <v>0</v>
      </c>
      <c r="EB134" s="187">
        <v>92.02</v>
      </c>
      <c r="EC134">
        <v>1</v>
      </c>
      <c r="ED134">
        <v>88.95</v>
      </c>
      <c r="EE134">
        <v>138</v>
      </c>
      <c r="EF134">
        <v>108.47</v>
      </c>
      <c r="EG134" s="187">
        <v>356</v>
      </c>
      <c r="EH134">
        <v>135.87</v>
      </c>
      <c r="EI134">
        <v>221</v>
      </c>
      <c r="EJ134">
        <v>179.05</v>
      </c>
      <c r="EK134">
        <v>45</v>
      </c>
      <c r="EL134" s="187">
        <v>182.37</v>
      </c>
      <c r="EM134">
        <v>3</v>
      </c>
      <c r="EN134">
        <v>0</v>
      </c>
      <c r="EO134">
        <v>0</v>
      </c>
      <c r="EP134">
        <v>117.3</v>
      </c>
      <c r="EQ134" s="187">
        <v>764</v>
      </c>
      <c r="ER134">
        <v>117.3</v>
      </c>
      <c r="ES134">
        <v>764</v>
      </c>
      <c r="ET134">
        <v>0</v>
      </c>
      <c r="EU134">
        <v>0</v>
      </c>
      <c r="EV134" s="187">
        <v>0</v>
      </c>
      <c r="EW134">
        <v>0</v>
      </c>
      <c r="EX134">
        <v>103.22</v>
      </c>
      <c r="EY134">
        <v>17</v>
      </c>
      <c r="EZ134">
        <v>131.49</v>
      </c>
      <c r="FA134" s="187">
        <v>5</v>
      </c>
      <c r="FB134">
        <v>0</v>
      </c>
      <c r="FC134">
        <v>0</v>
      </c>
      <c r="FD134">
        <v>0</v>
      </c>
      <c r="FE134">
        <v>0</v>
      </c>
      <c r="FF134" s="187">
        <v>109.65</v>
      </c>
      <c r="FG134">
        <v>22</v>
      </c>
      <c r="FH134">
        <v>109.65</v>
      </c>
      <c r="FI134">
        <v>22</v>
      </c>
      <c r="FJ134">
        <v>0</v>
      </c>
      <c r="FK134" s="187">
        <v>3</v>
      </c>
      <c r="FL134">
        <v>9</v>
      </c>
      <c r="FM134">
        <v>19</v>
      </c>
      <c r="FN134">
        <v>0</v>
      </c>
    </row>
    <row r="135" spans="1:170" x14ac:dyDescent="0.35">
      <c r="A135" t="s">
        <v>659</v>
      </c>
      <c r="B135" t="s">
        <v>660</v>
      </c>
      <c r="C135" t="s">
        <v>2</v>
      </c>
      <c r="D135">
        <v>4470</v>
      </c>
      <c r="E135">
        <v>4419</v>
      </c>
      <c r="F135">
        <v>0</v>
      </c>
      <c r="G135">
        <v>0</v>
      </c>
      <c r="H135">
        <v>216</v>
      </c>
      <c r="I135">
        <v>76</v>
      </c>
      <c r="J135">
        <v>1074</v>
      </c>
      <c r="K135">
        <v>1049</v>
      </c>
      <c r="L135">
        <v>472</v>
      </c>
      <c r="M135">
        <v>13</v>
      </c>
      <c r="N135">
        <v>6232</v>
      </c>
      <c r="O135">
        <v>5557</v>
      </c>
      <c r="P135">
        <v>5760</v>
      </c>
      <c r="Q135">
        <v>5</v>
      </c>
      <c r="R135">
        <v>6</v>
      </c>
      <c r="S135">
        <v>25</v>
      </c>
      <c r="T135">
        <v>200</v>
      </c>
      <c r="U135">
        <v>6032</v>
      </c>
      <c r="V135" s="498">
        <v>4419</v>
      </c>
      <c r="W135">
        <v>28</v>
      </c>
      <c r="X135" s="498">
        <v>8</v>
      </c>
      <c r="Y135" s="498">
        <v>36</v>
      </c>
      <c r="Z135" s="498">
        <v>108.66</v>
      </c>
      <c r="AA135" s="498">
        <v>103.47</v>
      </c>
      <c r="AB135">
        <v>9.74</v>
      </c>
      <c r="AC135">
        <v>113.17</v>
      </c>
      <c r="AD135">
        <v>3509</v>
      </c>
      <c r="AE135">
        <v>100.36</v>
      </c>
      <c r="AF135">
        <v>89.86</v>
      </c>
      <c r="AG135">
        <v>23.37</v>
      </c>
      <c r="AH135">
        <v>121.72</v>
      </c>
      <c r="AI135">
        <v>1141</v>
      </c>
      <c r="AJ135">
        <v>151.66999999999999</v>
      </c>
      <c r="AK135">
        <v>826</v>
      </c>
      <c r="AL135">
        <v>164.94</v>
      </c>
      <c r="AM135">
        <v>14</v>
      </c>
      <c r="AN135">
        <v>0</v>
      </c>
      <c r="AO135" s="499">
        <v>0</v>
      </c>
      <c r="AP135" s="499">
        <v>0</v>
      </c>
      <c r="AQ135">
        <v>0</v>
      </c>
      <c r="AR135">
        <v>0</v>
      </c>
      <c r="AS135">
        <v>73.900000000000006</v>
      </c>
      <c r="AT135">
        <v>69.89</v>
      </c>
      <c r="AU135">
        <v>12.98</v>
      </c>
      <c r="AV135">
        <v>86.81</v>
      </c>
      <c r="AW135">
        <v>193</v>
      </c>
      <c r="AX135">
        <v>86.94</v>
      </c>
      <c r="AY135">
        <v>83.17</v>
      </c>
      <c r="AZ135">
        <v>9.11</v>
      </c>
      <c r="BA135">
        <v>94.79</v>
      </c>
      <c r="BB135">
        <v>223</v>
      </c>
      <c r="BC135">
        <v>101.73</v>
      </c>
      <c r="BD135">
        <v>97.13</v>
      </c>
      <c r="BE135">
        <v>11.42</v>
      </c>
      <c r="BF135">
        <v>109.91</v>
      </c>
      <c r="BG135">
        <v>1322</v>
      </c>
      <c r="BH135">
        <v>119.13</v>
      </c>
      <c r="BI135">
        <v>113.21</v>
      </c>
      <c r="BJ135">
        <v>2.46</v>
      </c>
      <c r="BK135">
        <v>119.54</v>
      </c>
      <c r="BL135" s="214">
        <v>1627</v>
      </c>
      <c r="BM135" s="214">
        <v>133.5</v>
      </c>
      <c r="BN135">
        <v>126.93</v>
      </c>
      <c r="BO135" s="187">
        <v>3.66</v>
      </c>
      <c r="BP135" s="214">
        <v>134.19999999999999</v>
      </c>
      <c r="BQ135" s="214">
        <v>130</v>
      </c>
      <c r="BR135">
        <v>140.61000000000001</v>
      </c>
      <c r="BS135" s="187">
        <v>137.44999999999999</v>
      </c>
      <c r="BT135" s="214">
        <v>0</v>
      </c>
      <c r="BU135" s="214">
        <v>140.61000000000001</v>
      </c>
      <c r="BV135">
        <v>13</v>
      </c>
      <c r="BW135">
        <v>148.88</v>
      </c>
      <c r="BX135" s="214">
        <v>141.79</v>
      </c>
      <c r="BY135" s="214">
        <v>0</v>
      </c>
      <c r="BZ135">
        <v>148.88</v>
      </c>
      <c r="CA135" s="187">
        <v>1</v>
      </c>
      <c r="CB135" s="214">
        <v>108.66</v>
      </c>
      <c r="CC135" s="214">
        <v>103.47</v>
      </c>
      <c r="CD135">
        <v>9.74</v>
      </c>
      <c r="CE135" s="187">
        <v>113.17</v>
      </c>
      <c r="CF135" s="214">
        <v>3509</v>
      </c>
      <c r="CG135" s="214">
        <v>108.66</v>
      </c>
      <c r="CH135">
        <v>103.47</v>
      </c>
      <c r="CI135">
        <v>9.74</v>
      </c>
      <c r="CJ135">
        <v>113.17</v>
      </c>
      <c r="CK135">
        <v>3509</v>
      </c>
      <c r="CL135">
        <v>108.09</v>
      </c>
      <c r="CM135">
        <v>76.39</v>
      </c>
      <c r="CN135" s="187">
        <v>78.92</v>
      </c>
      <c r="CO135">
        <v>187.01</v>
      </c>
      <c r="CP135">
        <v>70</v>
      </c>
      <c r="CQ135">
        <v>86.38</v>
      </c>
      <c r="CR135">
        <v>80.58</v>
      </c>
      <c r="CS135" s="187">
        <v>19.86</v>
      </c>
      <c r="CT135">
        <v>106.24</v>
      </c>
      <c r="CU135">
        <v>38</v>
      </c>
      <c r="CV135">
        <v>96.27</v>
      </c>
      <c r="CW135">
        <v>86.15</v>
      </c>
      <c r="CX135" s="187">
        <v>20.18</v>
      </c>
      <c r="CY135">
        <v>116.42</v>
      </c>
      <c r="CZ135">
        <v>807</v>
      </c>
      <c r="DA135">
        <v>114.95</v>
      </c>
      <c r="DB135">
        <v>106.69</v>
      </c>
      <c r="DC135" s="187">
        <v>14.06</v>
      </c>
      <c r="DD135">
        <v>122.95</v>
      </c>
      <c r="DE135">
        <v>225</v>
      </c>
      <c r="DF135">
        <v>114.2</v>
      </c>
      <c r="DG135">
        <v>114.2</v>
      </c>
      <c r="DH135" s="187">
        <v>24.93</v>
      </c>
      <c r="DI135">
        <v>139.13</v>
      </c>
      <c r="DJ135">
        <v>1</v>
      </c>
      <c r="DK135">
        <v>0</v>
      </c>
      <c r="DL135">
        <v>0</v>
      </c>
      <c r="DM135" s="187">
        <v>0</v>
      </c>
      <c r="DN135">
        <v>0</v>
      </c>
      <c r="DO135">
        <v>0</v>
      </c>
      <c r="DP135">
        <v>99.86</v>
      </c>
      <c r="DQ135">
        <v>90.37</v>
      </c>
      <c r="DR135" s="187">
        <v>19.37</v>
      </c>
      <c r="DS135">
        <v>117.45</v>
      </c>
      <c r="DT135">
        <v>1071</v>
      </c>
      <c r="DU135">
        <v>100.36</v>
      </c>
      <c r="DV135">
        <v>89.86</v>
      </c>
      <c r="DW135" s="187">
        <v>23.37</v>
      </c>
      <c r="DX135">
        <v>121.72</v>
      </c>
      <c r="DY135">
        <v>1141</v>
      </c>
      <c r="DZ135">
        <v>0</v>
      </c>
      <c r="EA135">
        <v>0</v>
      </c>
      <c r="EB135" s="187">
        <v>119.57</v>
      </c>
      <c r="EC135">
        <v>20</v>
      </c>
      <c r="ED135">
        <v>117.91</v>
      </c>
      <c r="EE135">
        <v>102</v>
      </c>
      <c r="EF135">
        <v>143.44999999999999</v>
      </c>
      <c r="EG135" s="187">
        <v>404</v>
      </c>
      <c r="EH135">
        <v>169.51</v>
      </c>
      <c r="EI135">
        <v>258</v>
      </c>
      <c r="EJ135">
        <v>218.39</v>
      </c>
      <c r="EK135">
        <v>42</v>
      </c>
      <c r="EL135" s="187">
        <v>0</v>
      </c>
      <c r="EM135">
        <v>0</v>
      </c>
      <c r="EN135">
        <v>0</v>
      </c>
      <c r="EO135">
        <v>0</v>
      </c>
      <c r="EP135">
        <v>151.66999999999999</v>
      </c>
      <c r="EQ135" s="187">
        <v>826</v>
      </c>
      <c r="ER135">
        <v>151.66999999999999</v>
      </c>
      <c r="ES135">
        <v>826</v>
      </c>
      <c r="ET135">
        <v>0</v>
      </c>
      <c r="EU135">
        <v>0</v>
      </c>
      <c r="EV135" s="187">
        <v>0</v>
      </c>
      <c r="EW135">
        <v>0</v>
      </c>
      <c r="EX135">
        <v>164.94</v>
      </c>
      <c r="EY135">
        <v>14</v>
      </c>
      <c r="EZ135">
        <v>0</v>
      </c>
      <c r="FA135" s="187">
        <v>0</v>
      </c>
      <c r="FB135">
        <v>0</v>
      </c>
      <c r="FC135">
        <v>0</v>
      </c>
      <c r="FD135">
        <v>0</v>
      </c>
      <c r="FE135">
        <v>0</v>
      </c>
      <c r="FF135" s="187">
        <v>164.94</v>
      </c>
      <c r="FG135">
        <v>14</v>
      </c>
      <c r="FH135">
        <v>164.94</v>
      </c>
      <c r="FI135">
        <v>14</v>
      </c>
      <c r="FJ135">
        <v>32</v>
      </c>
      <c r="FK135" s="187">
        <v>3</v>
      </c>
      <c r="FL135">
        <v>0</v>
      </c>
      <c r="FM135">
        <v>44</v>
      </c>
      <c r="FN135">
        <v>12</v>
      </c>
    </row>
    <row r="136" spans="1:170" x14ac:dyDescent="0.35">
      <c r="A136" t="s">
        <v>661</v>
      </c>
      <c r="B136" t="s">
        <v>662</v>
      </c>
      <c r="C136" t="s">
        <v>416</v>
      </c>
      <c r="D136">
        <v>3679</v>
      </c>
      <c r="E136">
        <v>3546</v>
      </c>
      <c r="F136">
        <v>354</v>
      </c>
      <c r="G136">
        <v>354</v>
      </c>
      <c r="H136">
        <v>216</v>
      </c>
      <c r="I136">
        <v>141</v>
      </c>
      <c r="J136">
        <v>497</v>
      </c>
      <c r="K136">
        <v>497</v>
      </c>
      <c r="L136">
        <v>960</v>
      </c>
      <c r="M136">
        <v>45</v>
      </c>
      <c r="N136">
        <v>5706</v>
      </c>
      <c r="O136">
        <v>4583</v>
      </c>
      <c r="P136">
        <v>4746</v>
      </c>
      <c r="Q136">
        <v>15</v>
      </c>
      <c r="R136">
        <v>6</v>
      </c>
      <c r="S136">
        <v>29</v>
      </c>
      <c r="T136">
        <v>97</v>
      </c>
      <c r="U136">
        <v>5609</v>
      </c>
      <c r="V136" s="498">
        <v>3633</v>
      </c>
      <c r="W136">
        <v>38</v>
      </c>
      <c r="X136" s="498">
        <v>13</v>
      </c>
      <c r="Y136" s="498">
        <v>51</v>
      </c>
      <c r="Z136" s="498">
        <v>119.55</v>
      </c>
      <c r="AA136" s="498">
        <v>119.94</v>
      </c>
      <c r="AB136">
        <v>12.79</v>
      </c>
      <c r="AC136">
        <v>129.51</v>
      </c>
      <c r="AD136">
        <v>2385</v>
      </c>
      <c r="AE136">
        <v>110.89</v>
      </c>
      <c r="AF136">
        <v>100.33</v>
      </c>
      <c r="AG136">
        <v>46.72</v>
      </c>
      <c r="AH136">
        <v>157.18</v>
      </c>
      <c r="AI136">
        <v>659</v>
      </c>
      <c r="AJ136">
        <v>186.79</v>
      </c>
      <c r="AK136">
        <v>1080</v>
      </c>
      <c r="AL136">
        <v>210.95</v>
      </c>
      <c r="AM136">
        <v>3</v>
      </c>
      <c r="AN136">
        <v>0</v>
      </c>
      <c r="AO136" s="499">
        <v>0</v>
      </c>
      <c r="AP136" s="499">
        <v>0</v>
      </c>
      <c r="AQ136">
        <v>0</v>
      </c>
      <c r="AR136">
        <v>0</v>
      </c>
      <c r="AS136">
        <v>91.11</v>
      </c>
      <c r="AT136">
        <v>81.88</v>
      </c>
      <c r="AU136">
        <v>12.38</v>
      </c>
      <c r="AV136">
        <v>103.49</v>
      </c>
      <c r="AW136">
        <v>8</v>
      </c>
      <c r="AX136">
        <v>96.96</v>
      </c>
      <c r="AY136">
        <v>97.76</v>
      </c>
      <c r="AZ136">
        <v>13.83</v>
      </c>
      <c r="BA136">
        <v>110.42</v>
      </c>
      <c r="BB136">
        <v>479</v>
      </c>
      <c r="BC136">
        <v>111.54</v>
      </c>
      <c r="BD136">
        <v>111.64</v>
      </c>
      <c r="BE136">
        <v>16.05</v>
      </c>
      <c r="BF136">
        <v>126.37</v>
      </c>
      <c r="BG136">
        <v>791</v>
      </c>
      <c r="BH136">
        <v>133.24</v>
      </c>
      <c r="BI136">
        <v>133.41</v>
      </c>
      <c r="BJ136">
        <v>8.75</v>
      </c>
      <c r="BK136">
        <v>138.27000000000001</v>
      </c>
      <c r="BL136" s="214">
        <v>970</v>
      </c>
      <c r="BM136" s="214">
        <v>148.09</v>
      </c>
      <c r="BN136">
        <v>150.11000000000001</v>
      </c>
      <c r="BO136" s="187">
        <v>6.65</v>
      </c>
      <c r="BP136" s="214">
        <v>152.56</v>
      </c>
      <c r="BQ136" s="214">
        <v>128</v>
      </c>
      <c r="BR136">
        <v>168.2</v>
      </c>
      <c r="BS136" s="187">
        <v>182.51</v>
      </c>
      <c r="BT136" s="214">
        <v>4.2699999999999996</v>
      </c>
      <c r="BU136" s="214">
        <v>172.47</v>
      </c>
      <c r="BV136">
        <v>9</v>
      </c>
      <c r="BW136">
        <v>0</v>
      </c>
      <c r="BX136" s="214">
        <v>0</v>
      </c>
      <c r="BY136" s="214">
        <v>0</v>
      </c>
      <c r="BZ136">
        <v>0</v>
      </c>
      <c r="CA136" s="187">
        <v>0</v>
      </c>
      <c r="CB136" s="214">
        <v>119.55</v>
      </c>
      <c r="CC136" s="214">
        <v>119.94</v>
      </c>
      <c r="CD136">
        <v>12.79</v>
      </c>
      <c r="CE136" s="187">
        <v>129.51</v>
      </c>
      <c r="CF136" s="214">
        <v>2385</v>
      </c>
      <c r="CG136" s="214">
        <v>119.55</v>
      </c>
      <c r="CH136">
        <v>119.94</v>
      </c>
      <c r="CI136">
        <v>12.79</v>
      </c>
      <c r="CJ136">
        <v>129.51</v>
      </c>
      <c r="CK136">
        <v>2385</v>
      </c>
      <c r="CL136">
        <v>123.03</v>
      </c>
      <c r="CM136">
        <v>92.3</v>
      </c>
      <c r="CN136" s="187">
        <v>41.16</v>
      </c>
      <c r="CO136">
        <v>159.15</v>
      </c>
      <c r="CP136">
        <v>49</v>
      </c>
      <c r="CQ136">
        <v>95.21</v>
      </c>
      <c r="CR136">
        <v>84.32</v>
      </c>
      <c r="CS136" s="187">
        <v>62.78</v>
      </c>
      <c r="CT136">
        <v>157.99</v>
      </c>
      <c r="CU136">
        <v>67</v>
      </c>
      <c r="CV136">
        <v>109.77</v>
      </c>
      <c r="CW136">
        <v>100.16</v>
      </c>
      <c r="CX136" s="187">
        <v>43.12</v>
      </c>
      <c r="CY136">
        <v>152.88999999999999</v>
      </c>
      <c r="CZ136">
        <v>479</v>
      </c>
      <c r="DA136">
        <v>125.56</v>
      </c>
      <c r="DB136">
        <v>121.96</v>
      </c>
      <c r="DC136" s="187">
        <v>62.71</v>
      </c>
      <c r="DD136">
        <v>188.26</v>
      </c>
      <c r="DE136">
        <v>59</v>
      </c>
      <c r="DF136">
        <v>136.62</v>
      </c>
      <c r="DG136">
        <v>127.61</v>
      </c>
      <c r="DH136" s="187">
        <v>35.5</v>
      </c>
      <c r="DI136">
        <v>172.12</v>
      </c>
      <c r="DJ136">
        <v>5</v>
      </c>
      <c r="DK136">
        <v>0</v>
      </c>
      <c r="DL136">
        <v>0</v>
      </c>
      <c r="DM136" s="187">
        <v>0</v>
      </c>
      <c r="DN136">
        <v>0</v>
      </c>
      <c r="DO136">
        <v>0</v>
      </c>
      <c r="DP136">
        <v>109.91</v>
      </c>
      <c r="DQ136">
        <v>100.83</v>
      </c>
      <c r="DR136" s="187">
        <v>47.11</v>
      </c>
      <c r="DS136">
        <v>157.03</v>
      </c>
      <c r="DT136">
        <v>610</v>
      </c>
      <c r="DU136">
        <v>110.89</v>
      </c>
      <c r="DV136">
        <v>100.33</v>
      </c>
      <c r="DW136" s="187">
        <v>46.72</v>
      </c>
      <c r="DX136">
        <v>157.18</v>
      </c>
      <c r="DY136">
        <v>659</v>
      </c>
      <c r="DZ136">
        <v>0</v>
      </c>
      <c r="EA136">
        <v>0</v>
      </c>
      <c r="EB136" s="187">
        <v>165.92</v>
      </c>
      <c r="EC136">
        <v>1</v>
      </c>
      <c r="ED136">
        <v>146.80000000000001</v>
      </c>
      <c r="EE136">
        <v>251</v>
      </c>
      <c r="EF136">
        <v>173.41</v>
      </c>
      <c r="EG136" s="187">
        <v>391</v>
      </c>
      <c r="EH136">
        <v>214.34</v>
      </c>
      <c r="EI136">
        <v>306</v>
      </c>
      <c r="EJ136">
        <v>239.67</v>
      </c>
      <c r="EK136">
        <v>126</v>
      </c>
      <c r="EL136" s="187">
        <v>225.28</v>
      </c>
      <c r="EM136">
        <v>4</v>
      </c>
      <c r="EN136">
        <v>228.17</v>
      </c>
      <c r="EO136">
        <v>1</v>
      </c>
      <c r="EP136">
        <v>186.79</v>
      </c>
      <c r="EQ136" s="187">
        <v>1080</v>
      </c>
      <c r="ER136">
        <v>186.79</v>
      </c>
      <c r="ES136">
        <v>1080</v>
      </c>
      <c r="ET136">
        <v>0</v>
      </c>
      <c r="EU136">
        <v>0</v>
      </c>
      <c r="EV136" s="187">
        <v>0</v>
      </c>
      <c r="EW136">
        <v>0</v>
      </c>
      <c r="EX136">
        <v>0</v>
      </c>
      <c r="EY136">
        <v>0</v>
      </c>
      <c r="EZ136">
        <v>210.95</v>
      </c>
      <c r="FA136" s="187">
        <v>3</v>
      </c>
      <c r="FB136">
        <v>0</v>
      </c>
      <c r="FC136">
        <v>0</v>
      </c>
      <c r="FD136">
        <v>0</v>
      </c>
      <c r="FE136">
        <v>0</v>
      </c>
      <c r="FF136" s="187">
        <v>210.95</v>
      </c>
      <c r="FG136">
        <v>3</v>
      </c>
      <c r="FH136">
        <v>210.95</v>
      </c>
      <c r="FI136">
        <v>3</v>
      </c>
      <c r="FJ136">
        <v>0</v>
      </c>
      <c r="FK136" s="187">
        <v>2</v>
      </c>
      <c r="FL136">
        <v>3</v>
      </c>
      <c r="FM136">
        <v>54</v>
      </c>
      <c r="FN136">
        <v>31</v>
      </c>
    </row>
    <row r="137" spans="1:170" x14ac:dyDescent="0.35">
      <c r="A137" t="s">
        <v>663</v>
      </c>
      <c r="B137" t="s">
        <v>664</v>
      </c>
      <c r="C137" t="s">
        <v>420</v>
      </c>
      <c r="D137">
        <v>9454</v>
      </c>
      <c r="E137">
        <v>9444</v>
      </c>
      <c r="F137">
        <v>0</v>
      </c>
      <c r="G137">
        <v>0</v>
      </c>
      <c r="H137">
        <v>316</v>
      </c>
      <c r="I137">
        <v>278</v>
      </c>
      <c r="J137">
        <v>1631</v>
      </c>
      <c r="K137">
        <v>1608</v>
      </c>
      <c r="L137">
        <v>978</v>
      </c>
      <c r="M137">
        <v>41</v>
      </c>
      <c r="N137">
        <v>12379</v>
      </c>
      <c r="O137">
        <v>11371</v>
      </c>
      <c r="P137">
        <v>11401</v>
      </c>
      <c r="Q137">
        <v>1</v>
      </c>
      <c r="R137">
        <v>5</v>
      </c>
      <c r="S137">
        <v>24</v>
      </c>
      <c r="T137">
        <v>79</v>
      </c>
      <c r="U137">
        <v>12300</v>
      </c>
      <c r="V137" s="498">
        <v>9403</v>
      </c>
      <c r="W137">
        <v>49</v>
      </c>
      <c r="X137" s="498">
        <v>59</v>
      </c>
      <c r="Y137" s="498">
        <v>108</v>
      </c>
      <c r="Z137" s="498">
        <v>92.02</v>
      </c>
      <c r="AA137" s="498">
        <v>90.93</v>
      </c>
      <c r="AB137">
        <v>4.1100000000000003</v>
      </c>
      <c r="AC137">
        <v>94.24</v>
      </c>
      <c r="AD137">
        <v>8390</v>
      </c>
      <c r="AE137">
        <v>86.17</v>
      </c>
      <c r="AF137">
        <v>83.37</v>
      </c>
      <c r="AG137">
        <v>39.68</v>
      </c>
      <c r="AH137">
        <v>117.25</v>
      </c>
      <c r="AI137">
        <v>1909</v>
      </c>
      <c r="AJ137">
        <v>112.58</v>
      </c>
      <c r="AK137">
        <v>980</v>
      </c>
      <c r="AL137">
        <v>142.81</v>
      </c>
      <c r="AM137">
        <v>10</v>
      </c>
      <c r="AN137">
        <v>0</v>
      </c>
      <c r="AO137" s="499">
        <v>0</v>
      </c>
      <c r="AP137" s="499">
        <v>0</v>
      </c>
      <c r="AQ137">
        <v>0</v>
      </c>
      <c r="AR137">
        <v>0</v>
      </c>
      <c r="AS137">
        <v>72.56</v>
      </c>
      <c r="AT137">
        <v>64.400000000000006</v>
      </c>
      <c r="AU137">
        <v>4.5999999999999996</v>
      </c>
      <c r="AV137">
        <v>76.83</v>
      </c>
      <c r="AW137">
        <v>14</v>
      </c>
      <c r="AX137">
        <v>76.56</v>
      </c>
      <c r="AY137">
        <v>75.48</v>
      </c>
      <c r="AZ137">
        <v>5.74</v>
      </c>
      <c r="BA137">
        <v>80.400000000000006</v>
      </c>
      <c r="BB137">
        <v>1578</v>
      </c>
      <c r="BC137">
        <v>89.37</v>
      </c>
      <c r="BD137">
        <v>88.14</v>
      </c>
      <c r="BE137">
        <v>4.1900000000000004</v>
      </c>
      <c r="BF137">
        <v>92.06</v>
      </c>
      <c r="BG137">
        <v>2980</v>
      </c>
      <c r="BH137">
        <v>99.77</v>
      </c>
      <c r="BI137">
        <v>98.77</v>
      </c>
      <c r="BJ137">
        <v>2.86</v>
      </c>
      <c r="BK137">
        <v>100.94</v>
      </c>
      <c r="BL137" s="214">
        <v>3577</v>
      </c>
      <c r="BM137" s="214">
        <v>111.49</v>
      </c>
      <c r="BN137">
        <v>110.52</v>
      </c>
      <c r="BO137" s="187">
        <v>2.46</v>
      </c>
      <c r="BP137" s="214">
        <v>112.43</v>
      </c>
      <c r="BQ137" s="214">
        <v>226</v>
      </c>
      <c r="BR137">
        <v>121.01</v>
      </c>
      <c r="BS137" s="187">
        <v>121.42</v>
      </c>
      <c r="BT137" s="214">
        <v>33.08</v>
      </c>
      <c r="BU137" s="214">
        <v>128.65</v>
      </c>
      <c r="BV137">
        <v>13</v>
      </c>
      <c r="BW137">
        <v>129.16999999999999</v>
      </c>
      <c r="BX137" s="214">
        <v>130.13999999999999</v>
      </c>
      <c r="BY137" s="214">
        <v>4.79</v>
      </c>
      <c r="BZ137">
        <v>133.96</v>
      </c>
      <c r="CA137" s="187">
        <v>2</v>
      </c>
      <c r="CB137" s="214">
        <v>92.02</v>
      </c>
      <c r="CC137" s="214">
        <v>90.93</v>
      </c>
      <c r="CD137">
        <v>4.1100000000000003</v>
      </c>
      <c r="CE137" s="187">
        <v>94.24</v>
      </c>
      <c r="CF137" s="214">
        <v>8390</v>
      </c>
      <c r="CG137" s="214">
        <v>92.02</v>
      </c>
      <c r="CH137">
        <v>90.93</v>
      </c>
      <c r="CI137">
        <v>4.1100000000000003</v>
      </c>
      <c r="CJ137">
        <v>94.24</v>
      </c>
      <c r="CK137">
        <v>8390</v>
      </c>
      <c r="CL137">
        <v>66.900000000000006</v>
      </c>
      <c r="CM137">
        <v>63.32</v>
      </c>
      <c r="CN137" s="187">
        <v>107.79</v>
      </c>
      <c r="CO137">
        <v>171.02</v>
      </c>
      <c r="CP137">
        <v>88</v>
      </c>
      <c r="CQ137">
        <v>71.989999999999995</v>
      </c>
      <c r="CR137">
        <v>68.23</v>
      </c>
      <c r="CS137" s="187">
        <v>90.48</v>
      </c>
      <c r="CT137">
        <v>161.75</v>
      </c>
      <c r="CU137">
        <v>126</v>
      </c>
      <c r="CV137">
        <v>85.97</v>
      </c>
      <c r="CW137">
        <v>82.84</v>
      </c>
      <c r="CX137" s="187">
        <v>31.49</v>
      </c>
      <c r="CY137">
        <v>110.92</v>
      </c>
      <c r="CZ137">
        <v>1387</v>
      </c>
      <c r="DA137">
        <v>97.7</v>
      </c>
      <c r="DB137">
        <v>96.82</v>
      </c>
      <c r="DC137" s="187">
        <v>22.77</v>
      </c>
      <c r="DD137">
        <v>111.33</v>
      </c>
      <c r="DE137">
        <v>294</v>
      </c>
      <c r="DF137">
        <v>111.82</v>
      </c>
      <c r="DG137">
        <v>106.83</v>
      </c>
      <c r="DH137" s="187">
        <v>24.4</v>
      </c>
      <c r="DI137">
        <v>130.59</v>
      </c>
      <c r="DJ137">
        <v>13</v>
      </c>
      <c r="DK137">
        <v>125.79</v>
      </c>
      <c r="DL137">
        <v>114.35</v>
      </c>
      <c r="DM137" s="187">
        <v>0</v>
      </c>
      <c r="DN137">
        <v>125.79</v>
      </c>
      <c r="DO137">
        <v>1</v>
      </c>
      <c r="DP137">
        <v>87.1</v>
      </c>
      <c r="DQ137">
        <v>84.3</v>
      </c>
      <c r="DR137" s="187">
        <v>35.58</v>
      </c>
      <c r="DS137">
        <v>114.65</v>
      </c>
      <c r="DT137">
        <v>1821</v>
      </c>
      <c r="DU137">
        <v>86.17</v>
      </c>
      <c r="DV137">
        <v>83.37</v>
      </c>
      <c r="DW137" s="187">
        <v>39.68</v>
      </c>
      <c r="DX137">
        <v>117.25</v>
      </c>
      <c r="DY137">
        <v>1909</v>
      </c>
      <c r="DZ137">
        <v>0</v>
      </c>
      <c r="EA137">
        <v>0</v>
      </c>
      <c r="EB137" s="187">
        <v>0</v>
      </c>
      <c r="EC137">
        <v>0</v>
      </c>
      <c r="ED137">
        <v>92.69</v>
      </c>
      <c r="EE137">
        <v>237</v>
      </c>
      <c r="EF137">
        <v>111.56</v>
      </c>
      <c r="EG137" s="187">
        <v>466</v>
      </c>
      <c r="EH137">
        <v>128.94999999999999</v>
      </c>
      <c r="EI137">
        <v>250</v>
      </c>
      <c r="EJ137">
        <v>153.28</v>
      </c>
      <c r="EK137">
        <v>27</v>
      </c>
      <c r="EL137" s="187">
        <v>0</v>
      </c>
      <c r="EM137">
        <v>0</v>
      </c>
      <c r="EN137">
        <v>0</v>
      </c>
      <c r="EO137">
        <v>0</v>
      </c>
      <c r="EP137">
        <v>112.58</v>
      </c>
      <c r="EQ137" s="187">
        <v>980</v>
      </c>
      <c r="ER137">
        <v>112.58</v>
      </c>
      <c r="ES137">
        <v>980</v>
      </c>
      <c r="ET137">
        <v>0</v>
      </c>
      <c r="EU137">
        <v>0</v>
      </c>
      <c r="EV137" s="187">
        <v>0</v>
      </c>
      <c r="EW137">
        <v>0</v>
      </c>
      <c r="EX137">
        <v>142.81</v>
      </c>
      <c r="EY137">
        <v>10</v>
      </c>
      <c r="EZ137">
        <v>0</v>
      </c>
      <c r="FA137" s="187">
        <v>0</v>
      </c>
      <c r="FB137">
        <v>0</v>
      </c>
      <c r="FC137">
        <v>0</v>
      </c>
      <c r="FD137">
        <v>0</v>
      </c>
      <c r="FE137">
        <v>0</v>
      </c>
      <c r="FF137" s="187">
        <v>142.81</v>
      </c>
      <c r="FG137">
        <v>10</v>
      </c>
      <c r="FH137">
        <v>142.81</v>
      </c>
      <c r="FI137">
        <v>10</v>
      </c>
      <c r="FJ137">
        <v>11</v>
      </c>
      <c r="FK137" s="187">
        <v>27</v>
      </c>
      <c r="FL137">
        <v>5</v>
      </c>
      <c r="FM137">
        <v>122</v>
      </c>
      <c r="FN137">
        <v>14</v>
      </c>
    </row>
    <row r="138" spans="1:170" x14ac:dyDescent="0.35">
      <c r="A138" t="s">
        <v>665</v>
      </c>
      <c r="B138" t="s">
        <v>666</v>
      </c>
      <c r="C138" t="s">
        <v>415</v>
      </c>
      <c r="D138">
        <v>6485</v>
      </c>
      <c r="E138">
        <v>6316</v>
      </c>
      <c r="F138">
        <v>4</v>
      </c>
      <c r="G138">
        <v>0</v>
      </c>
      <c r="H138">
        <v>190</v>
      </c>
      <c r="I138">
        <v>182</v>
      </c>
      <c r="J138">
        <v>802</v>
      </c>
      <c r="K138">
        <v>801</v>
      </c>
      <c r="L138">
        <v>544</v>
      </c>
      <c r="M138">
        <v>0</v>
      </c>
      <c r="N138">
        <v>8025</v>
      </c>
      <c r="O138">
        <v>7299</v>
      </c>
      <c r="P138">
        <v>7481</v>
      </c>
      <c r="Q138">
        <v>1</v>
      </c>
      <c r="R138">
        <v>7</v>
      </c>
      <c r="S138">
        <v>28</v>
      </c>
      <c r="T138">
        <v>234</v>
      </c>
      <c r="U138">
        <v>7791</v>
      </c>
      <c r="V138" s="498">
        <v>6310</v>
      </c>
      <c r="W138">
        <v>63</v>
      </c>
      <c r="X138" s="498">
        <v>62</v>
      </c>
      <c r="Y138" s="498">
        <v>125</v>
      </c>
      <c r="Z138" s="498">
        <v>123.59</v>
      </c>
      <c r="AA138" s="498">
        <v>123.48</v>
      </c>
      <c r="AB138">
        <v>7.56</v>
      </c>
      <c r="AC138">
        <v>127.36</v>
      </c>
      <c r="AD138">
        <v>5417</v>
      </c>
      <c r="AE138">
        <v>113.05</v>
      </c>
      <c r="AF138">
        <v>104.88</v>
      </c>
      <c r="AG138">
        <v>30.57</v>
      </c>
      <c r="AH138">
        <v>142.74</v>
      </c>
      <c r="AI138">
        <v>933</v>
      </c>
      <c r="AJ138">
        <v>190.67</v>
      </c>
      <c r="AK138">
        <v>861</v>
      </c>
      <c r="AL138">
        <v>217.12</v>
      </c>
      <c r="AM138">
        <v>4</v>
      </c>
      <c r="AN138">
        <v>0</v>
      </c>
      <c r="AO138" s="499">
        <v>0</v>
      </c>
      <c r="AP138" s="499">
        <v>0</v>
      </c>
      <c r="AQ138">
        <v>0</v>
      </c>
      <c r="AR138">
        <v>0</v>
      </c>
      <c r="AS138">
        <v>82.17</v>
      </c>
      <c r="AT138">
        <v>79.180000000000007</v>
      </c>
      <c r="AU138">
        <v>4.3600000000000003</v>
      </c>
      <c r="AV138">
        <v>86.53</v>
      </c>
      <c r="AW138">
        <v>8</v>
      </c>
      <c r="AX138">
        <v>101.78</v>
      </c>
      <c r="AY138">
        <v>98.44</v>
      </c>
      <c r="AZ138">
        <v>7.23</v>
      </c>
      <c r="BA138">
        <v>108.38</v>
      </c>
      <c r="BB138">
        <v>1264</v>
      </c>
      <c r="BC138">
        <v>120.59</v>
      </c>
      <c r="BD138">
        <v>117.66</v>
      </c>
      <c r="BE138">
        <v>8.81</v>
      </c>
      <c r="BF138">
        <v>125.69</v>
      </c>
      <c r="BG138">
        <v>1880</v>
      </c>
      <c r="BH138">
        <v>137.12</v>
      </c>
      <c r="BI138">
        <v>140.66999999999999</v>
      </c>
      <c r="BJ138">
        <v>5.19</v>
      </c>
      <c r="BK138">
        <v>138.08000000000001</v>
      </c>
      <c r="BL138" s="214">
        <v>2052</v>
      </c>
      <c r="BM138" s="214">
        <v>150.68</v>
      </c>
      <c r="BN138">
        <v>156.06</v>
      </c>
      <c r="BO138" s="187">
        <v>6.63</v>
      </c>
      <c r="BP138" s="214">
        <v>152.99</v>
      </c>
      <c r="BQ138" s="214">
        <v>201</v>
      </c>
      <c r="BR138">
        <v>149.86000000000001</v>
      </c>
      <c r="BS138" s="187">
        <v>175.22</v>
      </c>
      <c r="BT138" s="214">
        <v>0</v>
      </c>
      <c r="BU138" s="214">
        <v>149.86000000000001</v>
      </c>
      <c r="BV138">
        <v>11</v>
      </c>
      <c r="BW138">
        <v>180.29</v>
      </c>
      <c r="BX138" s="214">
        <v>192.64</v>
      </c>
      <c r="BY138" s="214">
        <v>0</v>
      </c>
      <c r="BZ138">
        <v>180.29</v>
      </c>
      <c r="CA138" s="187">
        <v>1</v>
      </c>
      <c r="CB138" s="214">
        <v>123.59</v>
      </c>
      <c r="CC138" s="214">
        <v>123.48</v>
      </c>
      <c r="CD138">
        <v>7.56</v>
      </c>
      <c r="CE138" s="187">
        <v>127.36</v>
      </c>
      <c r="CF138" s="214">
        <v>5417</v>
      </c>
      <c r="CG138" s="214">
        <v>123.59</v>
      </c>
      <c r="CH138">
        <v>123.48</v>
      </c>
      <c r="CI138">
        <v>7.56</v>
      </c>
      <c r="CJ138">
        <v>127.36</v>
      </c>
      <c r="CK138">
        <v>5417</v>
      </c>
      <c r="CL138">
        <v>105.64</v>
      </c>
      <c r="CM138">
        <v>94.36</v>
      </c>
      <c r="CN138" s="187">
        <v>88.53</v>
      </c>
      <c r="CO138">
        <v>173.09</v>
      </c>
      <c r="CP138">
        <v>63</v>
      </c>
      <c r="CQ138">
        <v>0</v>
      </c>
      <c r="CR138">
        <v>0</v>
      </c>
      <c r="CS138" s="187">
        <v>0</v>
      </c>
      <c r="CT138">
        <v>0</v>
      </c>
      <c r="CU138">
        <v>0</v>
      </c>
      <c r="CV138">
        <v>111.15</v>
      </c>
      <c r="CW138">
        <v>102.75</v>
      </c>
      <c r="CX138" s="187">
        <v>27.19</v>
      </c>
      <c r="CY138">
        <v>138.02000000000001</v>
      </c>
      <c r="CZ138">
        <v>749</v>
      </c>
      <c r="DA138">
        <v>128.41999999999999</v>
      </c>
      <c r="DB138">
        <v>121.83</v>
      </c>
      <c r="DC138" s="187">
        <v>28.07</v>
      </c>
      <c r="DD138">
        <v>155.79</v>
      </c>
      <c r="DE138">
        <v>120</v>
      </c>
      <c r="DF138">
        <v>160.43</v>
      </c>
      <c r="DG138">
        <v>152.93</v>
      </c>
      <c r="DH138" s="187">
        <v>36.67</v>
      </c>
      <c r="DI138">
        <v>197.1</v>
      </c>
      <c r="DJ138">
        <v>1</v>
      </c>
      <c r="DK138">
        <v>0</v>
      </c>
      <c r="DL138">
        <v>0</v>
      </c>
      <c r="DM138" s="187">
        <v>0</v>
      </c>
      <c r="DN138">
        <v>0</v>
      </c>
      <c r="DO138">
        <v>0</v>
      </c>
      <c r="DP138">
        <v>113.59</v>
      </c>
      <c r="DQ138">
        <v>105.46</v>
      </c>
      <c r="DR138" s="187">
        <v>27.32</v>
      </c>
      <c r="DS138">
        <v>140.54</v>
      </c>
      <c r="DT138">
        <v>870</v>
      </c>
      <c r="DU138">
        <v>113.05</v>
      </c>
      <c r="DV138">
        <v>104.88</v>
      </c>
      <c r="DW138" s="187">
        <v>30.57</v>
      </c>
      <c r="DX138">
        <v>142.74</v>
      </c>
      <c r="DY138">
        <v>933</v>
      </c>
      <c r="DZ138">
        <v>0</v>
      </c>
      <c r="EA138">
        <v>0</v>
      </c>
      <c r="EB138" s="187">
        <v>0</v>
      </c>
      <c r="EC138">
        <v>0</v>
      </c>
      <c r="ED138">
        <v>157.03</v>
      </c>
      <c r="EE138">
        <v>291</v>
      </c>
      <c r="EF138">
        <v>199.51</v>
      </c>
      <c r="EG138" s="187">
        <v>403</v>
      </c>
      <c r="EH138">
        <v>227.88</v>
      </c>
      <c r="EI138">
        <v>155</v>
      </c>
      <c r="EJ138">
        <v>229.02</v>
      </c>
      <c r="EK138">
        <v>12</v>
      </c>
      <c r="EL138" s="187">
        <v>0</v>
      </c>
      <c r="EM138">
        <v>0</v>
      </c>
      <c r="EN138">
        <v>0</v>
      </c>
      <c r="EO138">
        <v>0</v>
      </c>
      <c r="EP138">
        <v>190.67</v>
      </c>
      <c r="EQ138" s="187">
        <v>861</v>
      </c>
      <c r="ER138">
        <v>190.67</v>
      </c>
      <c r="ES138">
        <v>861</v>
      </c>
      <c r="ET138">
        <v>0</v>
      </c>
      <c r="EU138">
        <v>0</v>
      </c>
      <c r="EV138" s="187">
        <v>0</v>
      </c>
      <c r="EW138">
        <v>0</v>
      </c>
      <c r="EX138">
        <v>217.12</v>
      </c>
      <c r="EY138">
        <v>4</v>
      </c>
      <c r="EZ138">
        <v>0</v>
      </c>
      <c r="FA138" s="187">
        <v>0</v>
      </c>
      <c r="FB138">
        <v>0</v>
      </c>
      <c r="FC138">
        <v>0</v>
      </c>
      <c r="FD138">
        <v>0</v>
      </c>
      <c r="FE138">
        <v>0</v>
      </c>
      <c r="FF138" s="187">
        <v>217.12</v>
      </c>
      <c r="FG138">
        <v>4</v>
      </c>
      <c r="FH138">
        <v>217.12</v>
      </c>
      <c r="FI138">
        <v>4</v>
      </c>
      <c r="FJ138">
        <v>24</v>
      </c>
      <c r="FK138" s="187">
        <v>3</v>
      </c>
      <c r="FL138">
        <v>6</v>
      </c>
      <c r="FM138">
        <v>52</v>
      </c>
      <c r="FN138">
        <v>23</v>
      </c>
    </row>
    <row r="139" spans="1:170" x14ac:dyDescent="0.35">
      <c r="A139" t="s">
        <v>667</v>
      </c>
      <c r="B139" t="s">
        <v>668</v>
      </c>
      <c r="C139" t="s">
        <v>414</v>
      </c>
      <c r="D139">
        <v>1100</v>
      </c>
      <c r="E139">
        <v>1034</v>
      </c>
      <c r="F139">
        <v>1</v>
      </c>
      <c r="G139">
        <v>1</v>
      </c>
      <c r="H139">
        <v>66</v>
      </c>
      <c r="I139">
        <v>20</v>
      </c>
      <c r="J139">
        <v>318</v>
      </c>
      <c r="K139">
        <v>317</v>
      </c>
      <c r="L139">
        <v>257</v>
      </c>
      <c r="M139">
        <v>0</v>
      </c>
      <c r="N139">
        <v>1742</v>
      </c>
      <c r="O139">
        <v>1372</v>
      </c>
      <c r="P139">
        <v>1485</v>
      </c>
      <c r="Q139">
        <v>0</v>
      </c>
      <c r="R139">
        <v>3</v>
      </c>
      <c r="S139">
        <v>18</v>
      </c>
      <c r="T139">
        <v>34</v>
      </c>
      <c r="U139">
        <v>1708</v>
      </c>
      <c r="V139" s="498">
        <v>1082</v>
      </c>
      <c r="W139">
        <v>10</v>
      </c>
      <c r="X139" s="498">
        <v>3</v>
      </c>
      <c r="Y139" s="498">
        <v>13</v>
      </c>
      <c r="Z139" s="498">
        <v>97.98</v>
      </c>
      <c r="AA139" s="498">
        <v>94.89</v>
      </c>
      <c r="AB139">
        <v>7.82</v>
      </c>
      <c r="AC139">
        <v>102.22</v>
      </c>
      <c r="AD139">
        <v>789</v>
      </c>
      <c r="AE139">
        <v>93.23</v>
      </c>
      <c r="AF139">
        <v>80.650000000000006</v>
      </c>
      <c r="AG139">
        <v>47.62</v>
      </c>
      <c r="AH139">
        <v>139.94</v>
      </c>
      <c r="AI139">
        <v>368</v>
      </c>
      <c r="AJ139">
        <v>117.37</v>
      </c>
      <c r="AK139">
        <v>284</v>
      </c>
      <c r="AL139">
        <v>0</v>
      </c>
      <c r="AM139">
        <v>0</v>
      </c>
      <c r="AN139">
        <v>0</v>
      </c>
      <c r="AO139" s="499">
        <v>0</v>
      </c>
      <c r="AP139" s="499">
        <v>0</v>
      </c>
      <c r="AQ139">
        <v>0</v>
      </c>
      <c r="AR139">
        <v>0</v>
      </c>
      <c r="AS139">
        <v>0</v>
      </c>
      <c r="AT139">
        <v>0</v>
      </c>
      <c r="AU139">
        <v>0</v>
      </c>
      <c r="AV139">
        <v>0</v>
      </c>
      <c r="AW139">
        <v>0</v>
      </c>
      <c r="AX139">
        <v>83.76</v>
      </c>
      <c r="AY139">
        <v>80.819999999999993</v>
      </c>
      <c r="AZ139">
        <v>9.27</v>
      </c>
      <c r="BA139">
        <v>92.6</v>
      </c>
      <c r="BB139">
        <v>174</v>
      </c>
      <c r="BC139">
        <v>95.74</v>
      </c>
      <c r="BD139">
        <v>92.92</v>
      </c>
      <c r="BE139">
        <v>8.84</v>
      </c>
      <c r="BF139">
        <v>100.85</v>
      </c>
      <c r="BG139">
        <v>334</v>
      </c>
      <c r="BH139">
        <v>109.49</v>
      </c>
      <c r="BI139">
        <v>105.9</v>
      </c>
      <c r="BJ139">
        <v>1.35</v>
      </c>
      <c r="BK139">
        <v>109.81</v>
      </c>
      <c r="BL139" s="214">
        <v>275</v>
      </c>
      <c r="BM139" s="214">
        <v>107.77</v>
      </c>
      <c r="BN139">
        <v>103.53</v>
      </c>
      <c r="BO139" s="187">
        <v>3.61</v>
      </c>
      <c r="BP139" s="214">
        <v>108.97</v>
      </c>
      <c r="BQ139" s="214">
        <v>6</v>
      </c>
      <c r="BR139">
        <v>0</v>
      </c>
      <c r="BS139" s="187">
        <v>0</v>
      </c>
      <c r="BT139" s="214">
        <v>0</v>
      </c>
      <c r="BU139" s="214">
        <v>0</v>
      </c>
      <c r="BV139">
        <v>0</v>
      </c>
      <c r="BW139">
        <v>0</v>
      </c>
      <c r="BX139" s="214">
        <v>0</v>
      </c>
      <c r="BY139" s="214">
        <v>0</v>
      </c>
      <c r="BZ139">
        <v>0</v>
      </c>
      <c r="CA139" s="187">
        <v>0</v>
      </c>
      <c r="CB139" s="214">
        <v>97.98</v>
      </c>
      <c r="CC139" s="214">
        <v>94.89</v>
      </c>
      <c r="CD139">
        <v>7.82</v>
      </c>
      <c r="CE139" s="187">
        <v>102.22</v>
      </c>
      <c r="CF139" s="214">
        <v>789</v>
      </c>
      <c r="CG139" s="214">
        <v>97.98</v>
      </c>
      <c r="CH139">
        <v>94.89</v>
      </c>
      <c r="CI139">
        <v>7.82</v>
      </c>
      <c r="CJ139">
        <v>102.22</v>
      </c>
      <c r="CK139">
        <v>789</v>
      </c>
      <c r="CL139">
        <v>87.43</v>
      </c>
      <c r="CM139">
        <v>73.08</v>
      </c>
      <c r="CN139" s="187">
        <v>18.96</v>
      </c>
      <c r="CO139">
        <v>105.4</v>
      </c>
      <c r="CP139">
        <v>19</v>
      </c>
      <c r="CQ139">
        <v>72.069999999999993</v>
      </c>
      <c r="CR139">
        <v>68.61</v>
      </c>
      <c r="CS139" s="187">
        <v>40.950000000000003</v>
      </c>
      <c r="CT139">
        <v>111.98</v>
      </c>
      <c r="CU139">
        <v>79</v>
      </c>
      <c r="CV139">
        <v>98.93</v>
      </c>
      <c r="CW139">
        <v>80.19</v>
      </c>
      <c r="CX139" s="187">
        <v>51.2</v>
      </c>
      <c r="CY139">
        <v>149.9</v>
      </c>
      <c r="CZ139">
        <v>218</v>
      </c>
      <c r="DA139">
        <v>105.34</v>
      </c>
      <c r="DB139">
        <v>103.51</v>
      </c>
      <c r="DC139" s="187">
        <v>49.38</v>
      </c>
      <c r="DD139">
        <v>151.57</v>
      </c>
      <c r="DE139">
        <v>47</v>
      </c>
      <c r="DF139">
        <v>87.23</v>
      </c>
      <c r="DG139">
        <v>92.11</v>
      </c>
      <c r="DH139" s="187">
        <v>82.43</v>
      </c>
      <c r="DI139">
        <v>169.66</v>
      </c>
      <c r="DJ139">
        <v>5</v>
      </c>
      <c r="DK139">
        <v>0</v>
      </c>
      <c r="DL139">
        <v>0</v>
      </c>
      <c r="DM139" s="187">
        <v>0</v>
      </c>
      <c r="DN139">
        <v>0</v>
      </c>
      <c r="DO139">
        <v>0</v>
      </c>
      <c r="DP139">
        <v>93.55</v>
      </c>
      <c r="DQ139">
        <v>81</v>
      </c>
      <c r="DR139" s="187">
        <v>49.12</v>
      </c>
      <c r="DS139">
        <v>141.83000000000001</v>
      </c>
      <c r="DT139">
        <v>349</v>
      </c>
      <c r="DU139">
        <v>93.23</v>
      </c>
      <c r="DV139">
        <v>80.650000000000006</v>
      </c>
      <c r="DW139" s="187">
        <v>47.62</v>
      </c>
      <c r="DX139">
        <v>139.94</v>
      </c>
      <c r="DY139">
        <v>368</v>
      </c>
      <c r="DZ139">
        <v>0</v>
      </c>
      <c r="EA139">
        <v>0</v>
      </c>
      <c r="EB139" s="187">
        <v>0</v>
      </c>
      <c r="EC139">
        <v>0</v>
      </c>
      <c r="ED139">
        <v>93.27</v>
      </c>
      <c r="EE139">
        <v>46</v>
      </c>
      <c r="EF139">
        <v>112.93</v>
      </c>
      <c r="EG139" s="187">
        <v>138</v>
      </c>
      <c r="EH139">
        <v>133.5</v>
      </c>
      <c r="EI139">
        <v>97</v>
      </c>
      <c r="EJ139">
        <v>169.31</v>
      </c>
      <c r="EK139">
        <v>3</v>
      </c>
      <c r="EL139" s="187">
        <v>0</v>
      </c>
      <c r="EM139">
        <v>0</v>
      </c>
      <c r="EN139">
        <v>0</v>
      </c>
      <c r="EO139">
        <v>0</v>
      </c>
      <c r="EP139">
        <v>117.37</v>
      </c>
      <c r="EQ139" s="187">
        <v>284</v>
      </c>
      <c r="ER139">
        <v>117.37</v>
      </c>
      <c r="ES139">
        <v>284</v>
      </c>
      <c r="ET139">
        <v>0</v>
      </c>
      <c r="EU139">
        <v>0</v>
      </c>
      <c r="EV139" s="187">
        <v>0</v>
      </c>
      <c r="EW139">
        <v>0</v>
      </c>
      <c r="EX139">
        <v>0</v>
      </c>
      <c r="EY139">
        <v>0</v>
      </c>
      <c r="EZ139">
        <v>0</v>
      </c>
      <c r="FA139" s="187">
        <v>0</v>
      </c>
      <c r="FB139">
        <v>0</v>
      </c>
      <c r="FC139">
        <v>0</v>
      </c>
      <c r="FD139">
        <v>0</v>
      </c>
      <c r="FE139">
        <v>0</v>
      </c>
      <c r="FF139" s="187">
        <v>0</v>
      </c>
      <c r="FG139">
        <v>0</v>
      </c>
      <c r="FH139">
        <v>0</v>
      </c>
      <c r="FI139">
        <v>0</v>
      </c>
      <c r="FJ139">
        <v>35</v>
      </c>
      <c r="FK139" s="187">
        <v>2</v>
      </c>
      <c r="FL139">
        <v>3</v>
      </c>
      <c r="FM139">
        <v>37</v>
      </c>
      <c r="FN139">
        <v>9</v>
      </c>
    </row>
    <row r="140" spans="1:170" x14ac:dyDescent="0.35">
      <c r="A140" t="s">
        <v>669</v>
      </c>
      <c r="B140" t="s">
        <v>670</v>
      </c>
      <c r="C140" t="s">
        <v>416</v>
      </c>
      <c r="D140">
        <v>6765</v>
      </c>
      <c r="E140">
        <v>6522</v>
      </c>
      <c r="F140">
        <v>0</v>
      </c>
      <c r="G140">
        <v>12</v>
      </c>
      <c r="H140">
        <v>537</v>
      </c>
      <c r="I140">
        <v>209</v>
      </c>
      <c r="J140">
        <v>569</v>
      </c>
      <c r="K140">
        <v>514</v>
      </c>
      <c r="L140">
        <v>1354</v>
      </c>
      <c r="M140">
        <v>59</v>
      </c>
      <c r="N140">
        <v>9225</v>
      </c>
      <c r="O140">
        <v>7316</v>
      </c>
      <c r="P140">
        <v>7871</v>
      </c>
      <c r="Q140">
        <v>41</v>
      </c>
      <c r="R140">
        <v>14</v>
      </c>
      <c r="S140">
        <v>31</v>
      </c>
      <c r="T140">
        <v>448</v>
      </c>
      <c r="U140">
        <v>8777</v>
      </c>
      <c r="V140" s="498">
        <v>6512</v>
      </c>
      <c r="W140">
        <v>101</v>
      </c>
      <c r="X140" s="498">
        <v>25</v>
      </c>
      <c r="Y140" s="498">
        <v>126</v>
      </c>
      <c r="Z140" s="498">
        <v>126.75</v>
      </c>
      <c r="AA140" s="498">
        <v>124.25</v>
      </c>
      <c r="AB140">
        <v>11.11</v>
      </c>
      <c r="AC140">
        <v>134.66</v>
      </c>
      <c r="AD140">
        <v>5126</v>
      </c>
      <c r="AE140">
        <v>105.86</v>
      </c>
      <c r="AF140">
        <v>102.35</v>
      </c>
      <c r="AG140">
        <v>42.75</v>
      </c>
      <c r="AH140">
        <v>139.69999999999999</v>
      </c>
      <c r="AI140">
        <v>853</v>
      </c>
      <c r="AJ140">
        <v>193.38</v>
      </c>
      <c r="AK140">
        <v>990</v>
      </c>
      <c r="AL140">
        <v>168.64</v>
      </c>
      <c r="AM140">
        <v>58</v>
      </c>
      <c r="AN140">
        <v>0</v>
      </c>
      <c r="AO140" s="499">
        <v>0</v>
      </c>
      <c r="AP140" s="499">
        <v>0</v>
      </c>
      <c r="AQ140">
        <v>0</v>
      </c>
      <c r="AR140">
        <v>0</v>
      </c>
      <c r="AS140">
        <v>85</v>
      </c>
      <c r="AT140">
        <v>81.48</v>
      </c>
      <c r="AU140">
        <v>10.41</v>
      </c>
      <c r="AV140">
        <v>94.51</v>
      </c>
      <c r="AW140">
        <v>23</v>
      </c>
      <c r="AX140">
        <v>104.99</v>
      </c>
      <c r="AY140">
        <v>102.26</v>
      </c>
      <c r="AZ140">
        <v>12.38</v>
      </c>
      <c r="BA140">
        <v>116.85</v>
      </c>
      <c r="BB140">
        <v>928</v>
      </c>
      <c r="BC140">
        <v>124.41</v>
      </c>
      <c r="BD140">
        <v>120.77</v>
      </c>
      <c r="BE140">
        <v>11.58</v>
      </c>
      <c r="BF140">
        <v>132.94</v>
      </c>
      <c r="BG140">
        <v>2304</v>
      </c>
      <c r="BH140">
        <v>138.66</v>
      </c>
      <c r="BI140">
        <v>136.88</v>
      </c>
      <c r="BJ140">
        <v>9.16</v>
      </c>
      <c r="BK140">
        <v>143.47999999999999</v>
      </c>
      <c r="BL140" s="214">
        <v>1581</v>
      </c>
      <c r="BM140" s="214">
        <v>151.61000000000001</v>
      </c>
      <c r="BN140">
        <v>153.75</v>
      </c>
      <c r="BO140" s="187">
        <v>10.25</v>
      </c>
      <c r="BP140" s="214">
        <v>159.19999999999999</v>
      </c>
      <c r="BQ140" s="214">
        <v>262</v>
      </c>
      <c r="BR140">
        <v>169.32</v>
      </c>
      <c r="BS140" s="187">
        <v>176.05</v>
      </c>
      <c r="BT140" s="214">
        <v>5.48</v>
      </c>
      <c r="BU140" s="214">
        <v>173.23</v>
      </c>
      <c r="BV140">
        <v>28</v>
      </c>
      <c r="BW140">
        <v>0</v>
      </c>
      <c r="BX140" s="214">
        <v>0</v>
      </c>
      <c r="BY140" s="214">
        <v>0</v>
      </c>
      <c r="BZ140">
        <v>0</v>
      </c>
      <c r="CA140" s="187">
        <v>0</v>
      </c>
      <c r="CB140" s="214">
        <v>126.75</v>
      </c>
      <c r="CC140" s="214">
        <v>124.25</v>
      </c>
      <c r="CD140">
        <v>11.11</v>
      </c>
      <c r="CE140" s="187">
        <v>134.66</v>
      </c>
      <c r="CF140" s="214">
        <v>5126</v>
      </c>
      <c r="CG140" s="214">
        <v>126.75</v>
      </c>
      <c r="CH140">
        <v>124.25</v>
      </c>
      <c r="CI140">
        <v>11.11</v>
      </c>
      <c r="CJ140">
        <v>134.66</v>
      </c>
      <c r="CK140">
        <v>5126</v>
      </c>
      <c r="CL140">
        <v>73.819999999999993</v>
      </c>
      <c r="CM140">
        <v>88.14</v>
      </c>
      <c r="CN140" s="187">
        <v>85.12</v>
      </c>
      <c r="CO140">
        <v>112.23</v>
      </c>
      <c r="CP140">
        <v>113</v>
      </c>
      <c r="CQ140">
        <v>93.66</v>
      </c>
      <c r="CR140">
        <v>88.53</v>
      </c>
      <c r="CS140" s="187">
        <v>38.36</v>
      </c>
      <c r="CT140">
        <v>131.6</v>
      </c>
      <c r="CU140">
        <v>185</v>
      </c>
      <c r="CV140">
        <v>112.61</v>
      </c>
      <c r="CW140">
        <v>105.27</v>
      </c>
      <c r="CX140" s="187">
        <v>42.25</v>
      </c>
      <c r="CY140">
        <v>145.25</v>
      </c>
      <c r="CZ140">
        <v>466</v>
      </c>
      <c r="DA140">
        <v>135.56</v>
      </c>
      <c r="DB140">
        <v>131.25</v>
      </c>
      <c r="DC140" s="187">
        <v>28.83</v>
      </c>
      <c r="DD140">
        <v>161.5</v>
      </c>
      <c r="DE140">
        <v>80</v>
      </c>
      <c r="DF140">
        <v>145.83000000000001</v>
      </c>
      <c r="DG140">
        <v>139.59</v>
      </c>
      <c r="DH140" s="187">
        <v>23.8</v>
      </c>
      <c r="DI140">
        <v>169.63</v>
      </c>
      <c r="DJ140">
        <v>9</v>
      </c>
      <c r="DK140">
        <v>0</v>
      </c>
      <c r="DL140">
        <v>0</v>
      </c>
      <c r="DM140" s="187">
        <v>0</v>
      </c>
      <c r="DN140">
        <v>0</v>
      </c>
      <c r="DO140">
        <v>0</v>
      </c>
      <c r="DP140">
        <v>110.76</v>
      </c>
      <c r="DQ140">
        <v>104.3</v>
      </c>
      <c r="DR140" s="187">
        <v>39.29</v>
      </c>
      <c r="DS140">
        <v>143.88999999999999</v>
      </c>
      <c r="DT140">
        <v>740</v>
      </c>
      <c r="DU140">
        <v>105.86</v>
      </c>
      <c r="DV140">
        <v>102.35</v>
      </c>
      <c r="DW140" s="187">
        <v>42.75</v>
      </c>
      <c r="DX140">
        <v>139.69999999999999</v>
      </c>
      <c r="DY140">
        <v>853</v>
      </c>
      <c r="DZ140">
        <v>0</v>
      </c>
      <c r="EA140">
        <v>0</v>
      </c>
      <c r="EB140" s="187">
        <v>152.51</v>
      </c>
      <c r="EC140">
        <v>10</v>
      </c>
      <c r="ED140">
        <v>168.34</v>
      </c>
      <c r="EE140">
        <v>296</v>
      </c>
      <c r="EF140">
        <v>197.18</v>
      </c>
      <c r="EG140" s="187">
        <v>511</v>
      </c>
      <c r="EH140">
        <v>228.88</v>
      </c>
      <c r="EI140">
        <v>160</v>
      </c>
      <c r="EJ140">
        <v>208.55</v>
      </c>
      <c r="EK140">
        <v>13</v>
      </c>
      <c r="EL140" s="187">
        <v>0</v>
      </c>
      <c r="EM140">
        <v>0</v>
      </c>
      <c r="EN140">
        <v>0</v>
      </c>
      <c r="EO140">
        <v>0</v>
      </c>
      <c r="EP140">
        <v>193.38</v>
      </c>
      <c r="EQ140" s="187">
        <v>990</v>
      </c>
      <c r="ER140">
        <v>193.38</v>
      </c>
      <c r="ES140">
        <v>990</v>
      </c>
      <c r="ET140">
        <v>0</v>
      </c>
      <c r="EU140">
        <v>0</v>
      </c>
      <c r="EV140" s="187">
        <v>0</v>
      </c>
      <c r="EW140">
        <v>0</v>
      </c>
      <c r="EX140">
        <v>168.79</v>
      </c>
      <c r="EY140">
        <v>55</v>
      </c>
      <c r="EZ140">
        <v>165.88</v>
      </c>
      <c r="FA140" s="187">
        <v>3</v>
      </c>
      <c r="FB140">
        <v>0</v>
      </c>
      <c r="FC140">
        <v>0</v>
      </c>
      <c r="FD140">
        <v>0</v>
      </c>
      <c r="FE140">
        <v>0</v>
      </c>
      <c r="FF140" s="187">
        <v>168.64</v>
      </c>
      <c r="FG140">
        <v>58</v>
      </c>
      <c r="FH140">
        <v>168.64</v>
      </c>
      <c r="FI140">
        <v>58</v>
      </c>
      <c r="FJ140">
        <v>26</v>
      </c>
      <c r="FK140" s="187">
        <v>4</v>
      </c>
      <c r="FL140">
        <v>1</v>
      </c>
      <c r="FM140">
        <v>109</v>
      </c>
      <c r="FN140">
        <v>43</v>
      </c>
    </row>
    <row r="141" spans="1:170" x14ac:dyDescent="0.35">
      <c r="A141" t="s">
        <v>671</v>
      </c>
      <c r="B141" t="s">
        <v>672</v>
      </c>
      <c r="C141" t="s">
        <v>414</v>
      </c>
      <c r="D141">
        <v>1995</v>
      </c>
      <c r="E141">
        <v>1959</v>
      </c>
      <c r="F141">
        <v>1</v>
      </c>
      <c r="G141">
        <v>0</v>
      </c>
      <c r="H141">
        <v>150</v>
      </c>
      <c r="I141">
        <v>76</v>
      </c>
      <c r="J141">
        <v>125</v>
      </c>
      <c r="K141">
        <v>125</v>
      </c>
      <c r="L141">
        <v>437</v>
      </c>
      <c r="M141">
        <v>52</v>
      </c>
      <c r="N141">
        <v>2708</v>
      </c>
      <c r="O141">
        <v>2212</v>
      </c>
      <c r="P141">
        <v>2271</v>
      </c>
      <c r="Q141">
        <v>0</v>
      </c>
      <c r="R141">
        <v>4</v>
      </c>
      <c r="S141">
        <v>19</v>
      </c>
      <c r="T141">
        <v>47</v>
      </c>
      <c r="U141">
        <v>2661</v>
      </c>
      <c r="V141" s="498">
        <v>1995</v>
      </c>
      <c r="W141">
        <v>18</v>
      </c>
      <c r="X141" s="498">
        <v>7</v>
      </c>
      <c r="Y141" s="498">
        <v>25</v>
      </c>
      <c r="Z141" s="498">
        <v>93.45</v>
      </c>
      <c r="AA141" s="498">
        <v>90.48</v>
      </c>
      <c r="AB141">
        <v>6.29</v>
      </c>
      <c r="AC141">
        <v>96.83</v>
      </c>
      <c r="AD141">
        <v>1397</v>
      </c>
      <c r="AE141">
        <v>107.89</v>
      </c>
      <c r="AF141">
        <v>75.67</v>
      </c>
      <c r="AG141">
        <v>61.1</v>
      </c>
      <c r="AH141">
        <v>164.72</v>
      </c>
      <c r="AI141">
        <v>229</v>
      </c>
      <c r="AJ141">
        <v>113.78</v>
      </c>
      <c r="AK141">
        <v>561</v>
      </c>
      <c r="AL141">
        <v>0</v>
      </c>
      <c r="AM141">
        <v>0</v>
      </c>
      <c r="AN141">
        <v>0</v>
      </c>
      <c r="AO141" s="499">
        <v>0</v>
      </c>
      <c r="AP141" s="499">
        <v>0</v>
      </c>
      <c r="AQ141">
        <v>0</v>
      </c>
      <c r="AR141">
        <v>0</v>
      </c>
      <c r="AS141">
        <v>0</v>
      </c>
      <c r="AT141">
        <v>0</v>
      </c>
      <c r="AU141">
        <v>0</v>
      </c>
      <c r="AV141">
        <v>0</v>
      </c>
      <c r="AW141">
        <v>0</v>
      </c>
      <c r="AX141">
        <v>79.010000000000005</v>
      </c>
      <c r="AY141">
        <v>76.849999999999994</v>
      </c>
      <c r="AZ141">
        <v>10.33</v>
      </c>
      <c r="BA141">
        <v>87.36</v>
      </c>
      <c r="BB141">
        <v>266</v>
      </c>
      <c r="BC141">
        <v>92.76</v>
      </c>
      <c r="BD141">
        <v>89.77</v>
      </c>
      <c r="BE141">
        <v>5.64</v>
      </c>
      <c r="BF141">
        <v>95.66</v>
      </c>
      <c r="BG141">
        <v>694</v>
      </c>
      <c r="BH141">
        <v>102.24</v>
      </c>
      <c r="BI141">
        <v>98.89</v>
      </c>
      <c r="BJ141">
        <v>2.77</v>
      </c>
      <c r="BK141">
        <v>103.36</v>
      </c>
      <c r="BL141" s="214">
        <v>418</v>
      </c>
      <c r="BM141" s="214">
        <v>126.77</v>
      </c>
      <c r="BN141">
        <v>122.21</v>
      </c>
      <c r="BO141" s="187">
        <v>2.3199999999999998</v>
      </c>
      <c r="BP141" s="214">
        <v>128.06</v>
      </c>
      <c r="BQ141" s="214">
        <v>18</v>
      </c>
      <c r="BR141">
        <v>136.44</v>
      </c>
      <c r="BS141" s="187">
        <v>129.94999999999999</v>
      </c>
      <c r="BT141" s="214">
        <v>0</v>
      </c>
      <c r="BU141" s="214">
        <v>136.44</v>
      </c>
      <c r="BV141">
        <v>1</v>
      </c>
      <c r="BW141">
        <v>0</v>
      </c>
      <c r="BX141" s="214">
        <v>0</v>
      </c>
      <c r="BY141" s="214">
        <v>0</v>
      </c>
      <c r="BZ141">
        <v>0</v>
      </c>
      <c r="CA141" s="187">
        <v>0</v>
      </c>
      <c r="CB141" s="214">
        <v>93.45</v>
      </c>
      <c r="CC141" s="214">
        <v>90.48</v>
      </c>
      <c r="CD141">
        <v>6.29</v>
      </c>
      <c r="CE141" s="187">
        <v>96.83</v>
      </c>
      <c r="CF141" s="214">
        <v>1397</v>
      </c>
      <c r="CG141" s="214">
        <v>93.45</v>
      </c>
      <c r="CH141">
        <v>90.48</v>
      </c>
      <c r="CI141">
        <v>6.29</v>
      </c>
      <c r="CJ141">
        <v>96.83</v>
      </c>
      <c r="CK141">
        <v>1397</v>
      </c>
      <c r="CL141">
        <v>123.03</v>
      </c>
      <c r="CM141">
        <v>62.57</v>
      </c>
      <c r="CN141" s="187">
        <v>105.48</v>
      </c>
      <c r="CO141">
        <v>194.75</v>
      </c>
      <c r="CP141">
        <v>50</v>
      </c>
      <c r="CQ141">
        <v>0</v>
      </c>
      <c r="CR141">
        <v>0</v>
      </c>
      <c r="CS141" s="187">
        <v>0</v>
      </c>
      <c r="CT141">
        <v>0</v>
      </c>
      <c r="CU141">
        <v>0</v>
      </c>
      <c r="CV141">
        <v>102.97</v>
      </c>
      <c r="CW141">
        <v>77.06</v>
      </c>
      <c r="CX141" s="187">
        <v>49.2</v>
      </c>
      <c r="CY141">
        <v>152.16999999999999</v>
      </c>
      <c r="CZ141">
        <v>132</v>
      </c>
      <c r="DA141">
        <v>104.53</v>
      </c>
      <c r="DB141">
        <v>82.82</v>
      </c>
      <c r="DC141" s="187">
        <v>59.47</v>
      </c>
      <c r="DD141">
        <v>164.01</v>
      </c>
      <c r="DE141">
        <v>46</v>
      </c>
      <c r="DF141">
        <v>155</v>
      </c>
      <c r="DG141">
        <v>0</v>
      </c>
      <c r="DH141" s="187">
        <v>197</v>
      </c>
      <c r="DI141">
        <v>352</v>
      </c>
      <c r="DJ141">
        <v>1</v>
      </c>
      <c r="DK141">
        <v>0</v>
      </c>
      <c r="DL141">
        <v>0</v>
      </c>
      <c r="DM141" s="187">
        <v>0</v>
      </c>
      <c r="DN141">
        <v>0</v>
      </c>
      <c r="DO141">
        <v>0</v>
      </c>
      <c r="DP141">
        <v>103.66</v>
      </c>
      <c r="DQ141">
        <v>78.510000000000005</v>
      </c>
      <c r="DR141" s="187">
        <v>52.67</v>
      </c>
      <c r="DS141">
        <v>156.33000000000001</v>
      </c>
      <c r="DT141">
        <v>179</v>
      </c>
      <c r="DU141">
        <v>107.89</v>
      </c>
      <c r="DV141">
        <v>75.67</v>
      </c>
      <c r="DW141" s="187">
        <v>61.1</v>
      </c>
      <c r="DX141">
        <v>164.72</v>
      </c>
      <c r="DY141">
        <v>229</v>
      </c>
      <c r="DZ141">
        <v>0</v>
      </c>
      <c r="EA141">
        <v>0</v>
      </c>
      <c r="EB141" s="187">
        <v>0</v>
      </c>
      <c r="EC141">
        <v>0</v>
      </c>
      <c r="ED141">
        <v>92.24</v>
      </c>
      <c r="EE141">
        <v>100</v>
      </c>
      <c r="EF141">
        <v>113.88</v>
      </c>
      <c r="EG141" s="187">
        <v>317</v>
      </c>
      <c r="EH141">
        <v>124.08</v>
      </c>
      <c r="EI141">
        <v>132</v>
      </c>
      <c r="EJ141">
        <v>177.3</v>
      </c>
      <c r="EK141">
        <v>12</v>
      </c>
      <c r="EL141" s="187">
        <v>0</v>
      </c>
      <c r="EM141">
        <v>0</v>
      </c>
      <c r="EN141">
        <v>0</v>
      </c>
      <c r="EO141">
        <v>0</v>
      </c>
      <c r="EP141">
        <v>113.78</v>
      </c>
      <c r="EQ141" s="187">
        <v>561</v>
      </c>
      <c r="ER141">
        <v>113.78</v>
      </c>
      <c r="ES141">
        <v>561</v>
      </c>
      <c r="ET141">
        <v>0</v>
      </c>
      <c r="EU141">
        <v>0</v>
      </c>
      <c r="EV141" s="187">
        <v>0</v>
      </c>
      <c r="EW141">
        <v>0</v>
      </c>
      <c r="EX141">
        <v>0</v>
      </c>
      <c r="EY141">
        <v>0</v>
      </c>
      <c r="EZ141">
        <v>0</v>
      </c>
      <c r="FA141" s="187">
        <v>0</v>
      </c>
      <c r="FB141">
        <v>0</v>
      </c>
      <c r="FC141">
        <v>0</v>
      </c>
      <c r="FD141">
        <v>0</v>
      </c>
      <c r="FE141">
        <v>0</v>
      </c>
      <c r="FF141" s="187">
        <v>0</v>
      </c>
      <c r="FG141">
        <v>0</v>
      </c>
      <c r="FH141">
        <v>0</v>
      </c>
      <c r="FI141">
        <v>0</v>
      </c>
      <c r="FJ141">
        <v>0</v>
      </c>
      <c r="FK141" s="187">
        <v>0</v>
      </c>
      <c r="FL141">
        <v>7</v>
      </c>
      <c r="FM141">
        <v>30</v>
      </c>
      <c r="FN141">
        <v>10</v>
      </c>
    </row>
    <row r="142" spans="1:170" x14ac:dyDescent="0.35">
      <c r="A142" t="s">
        <v>673</v>
      </c>
      <c r="B142" t="s">
        <v>674</v>
      </c>
      <c r="C142" t="s">
        <v>2</v>
      </c>
      <c r="D142">
        <v>6151</v>
      </c>
      <c r="E142">
        <v>6108</v>
      </c>
      <c r="F142">
        <v>0</v>
      </c>
      <c r="G142">
        <v>0</v>
      </c>
      <c r="H142">
        <v>104</v>
      </c>
      <c r="I142">
        <v>5</v>
      </c>
      <c r="J142">
        <v>1067</v>
      </c>
      <c r="K142">
        <v>1032</v>
      </c>
      <c r="L142">
        <v>1098</v>
      </c>
      <c r="M142">
        <v>103</v>
      </c>
      <c r="N142">
        <v>8420</v>
      </c>
      <c r="O142">
        <v>7248</v>
      </c>
      <c r="P142">
        <v>7322</v>
      </c>
      <c r="Q142">
        <v>17</v>
      </c>
      <c r="R142">
        <v>5</v>
      </c>
      <c r="S142">
        <v>29</v>
      </c>
      <c r="T142">
        <v>138</v>
      </c>
      <c r="U142">
        <v>8282</v>
      </c>
      <c r="V142" s="498">
        <v>6137</v>
      </c>
      <c r="W142">
        <v>72</v>
      </c>
      <c r="X142" s="498">
        <v>31</v>
      </c>
      <c r="Y142" s="498">
        <v>103</v>
      </c>
      <c r="Z142" s="498">
        <v>113.7</v>
      </c>
      <c r="AA142" s="498">
        <v>112.83</v>
      </c>
      <c r="AB142">
        <v>5.39</v>
      </c>
      <c r="AC142">
        <v>116.94</v>
      </c>
      <c r="AD142">
        <v>4649</v>
      </c>
      <c r="AE142">
        <v>99.55</v>
      </c>
      <c r="AF142">
        <v>96.73</v>
      </c>
      <c r="AG142">
        <v>28.07</v>
      </c>
      <c r="AH142">
        <v>125.84</v>
      </c>
      <c r="AI142">
        <v>930</v>
      </c>
      <c r="AJ142">
        <v>174.63</v>
      </c>
      <c r="AK142">
        <v>1469</v>
      </c>
      <c r="AL142">
        <v>227.77</v>
      </c>
      <c r="AM142">
        <v>117</v>
      </c>
      <c r="AN142">
        <v>0</v>
      </c>
      <c r="AO142" s="499">
        <v>0</v>
      </c>
      <c r="AP142" s="499">
        <v>0</v>
      </c>
      <c r="AQ142">
        <v>0</v>
      </c>
      <c r="AR142">
        <v>0</v>
      </c>
      <c r="AS142">
        <v>77.81</v>
      </c>
      <c r="AT142">
        <v>78.02</v>
      </c>
      <c r="AU142">
        <v>9.6999999999999993</v>
      </c>
      <c r="AV142">
        <v>84.84</v>
      </c>
      <c r="AW142">
        <v>109</v>
      </c>
      <c r="AX142">
        <v>94.28</v>
      </c>
      <c r="AY142">
        <v>93.3</v>
      </c>
      <c r="AZ142">
        <v>6.33</v>
      </c>
      <c r="BA142">
        <v>100.12</v>
      </c>
      <c r="BB142">
        <v>1050</v>
      </c>
      <c r="BC142">
        <v>111.51</v>
      </c>
      <c r="BD142">
        <v>110.37</v>
      </c>
      <c r="BE142">
        <v>5.7</v>
      </c>
      <c r="BF142">
        <v>115.41</v>
      </c>
      <c r="BG142">
        <v>1668</v>
      </c>
      <c r="BH142">
        <v>128.6</v>
      </c>
      <c r="BI142">
        <v>127.92</v>
      </c>
      <c r="BJ142">
        <v>2.74</v>
      </c>
      <c r="BK142">
        <v>129.49</v>
      </c>
      <c r="BL142" s="214">
        <v>1767</v>
      </c>
      <c r="BM142" s="214">
        <v>143.06</v>
      </c>
      <c r="BN142">
        <v>144.54</v>
      </c>
      <c r="BO142" s="187">
        <v>2.63</v>
      </c>
      <c r="BP142" s="214">
        <v>144.49</v>
      </c>
      <c r="BQ142" s="214">
        <v>55</v>
      </c>
      <c r="BR142">
        <v>0</v>
      </c>
      <c r="BS142" s="187">
        <v>0</v>
      </c>
      <c r="BT142" s="214">
        <v>0</v>
      </c>
      <c r="BU142" s="214">
        <v>0</v>
      </c>
      <c r="BV142">
        <v>0</v>
      </c>
      <c r="BW142">
        <v>0</v>
      </c>
      <c r="BX142" s="214">
        <v>0</v>
      </c>
      <c r="BY142" s="214">
        <v>0</v>
      </c>
      <c r="BZ142">
        <v>0</v>
      </c>
      <c r="CA142" s="187">
        <v>0</v>
      </c>
      <c r="CB142" s="214">
        <v>113.7</v>
      </c>
      <c r="CC142" s="214">
        <v>112.83</v>
      </c>
      <c r="CD142">
        <v>5.39</v>
      </c>
      <c r="CE142" s="187">
        <v>116.94</v>
      </c>
      <c r="CF142" s="214">
        <v>4649</v>
      </c>
      <c r="CG142" s="214">
        <v>113.7</v>
      </c>
      <c r="CH142">
        <v>112.83</v>
      </c>
      <c r="CI142">
        <v>5.39</v>
      </c>
      <c r="CJ142">
        <v>116.94</v>
      </c>
      <c r="CK142">
        <v>4649</v>
      </c>
      <c r="CL142">
        <v>84.23</v>
      </c>
      <c r="CM142">
        <v>83.17</v>
      </c>
      <c r="CN142" s="187">
        <v>0</v>
      </c>
      <c r="CO142">
        <v>84.23</v>
      </c>
      <c r="CP142">
        <v>17</v>
      </c>
      <c r="CQ142">
        <v>79.33</v>
      </c>
      <c r="CR142">
        <v>77.86</v>
      </c>
      <c r="CS142" s="187">
        <v>27.3</v>
      </c>
      <c r="CT142">
        <v>102.55</v>
      </c>
      <c r="CU142">
        <v>174</v>
      </c>
      <c r="CV142">
        <v>100.95</v>
      </c>
      <c r="CW142">
        <v>97.69</v>
      </c>
      <c r="CX142" s="187">
        <v>28.29</v>
      </c>
      <c r="CY142">
        <v>128.76</v>
      </c>
      <c r="CZ142">
        <v>587</v>
      </c>
      <c r="DA142">
        <v>118.55</v>
      </c>
      <c r="DB142">
        <v>115.62</v>
      </c>
      <c r="DC142" s="187">
        <v>27.87</v>
      </c>
      <c r="DD142">
        <v>145.46</v>
      </c>
      <c r="DE142">
        <v>144</v>
      </c>
      <c r="DF142">
        <v>127.33</v>
      </c>
      <c r="DG142">
        <v>125.27</v>
      </c>
      <c r="DH142" s="187">
        <v>30.12</v>
      </c>
      <c r="DI142">
        <v>153.69</v>
      </c>
      <c r="DJ142">
        <v>8</v>
      </c>
      <c r="DK142">
        <v>0</v>
      </c>
      <c r="DL142">
        <v>0</v>
      </c>
      <c r="DM142" s="187">
        <v>0</v>
      </c>
      <c r="DN142">
        <v>0</v>
      </c>
      <c r="DO142">
        <v>0</v>
      </c>
      <c r="DP142">
        <v>99.84</v>
      </c>
      <c r="DQ142">
        <v>96.98</v>
      </c>
      <c r="DR142" s="187">
        <v>28.07</v>
      </c>
      <c r="DS142">
        <v>126.62</v>
      </c>
      <c r="DT142">
        <v>913</v>
      </c>
      <c r="DU142">
        <v>99.55</v>
      </c>
      <c r="DV142">
        <v>96.73</v>
      </c>
      <c r="DW142" s="187">
        <v>28.07</v>
      </c>
      <c r="DX142">
        <v>125.84</v>
      </c>
      <c r="DY142">
        <v>930</v>
      </c>
      <c r="DZ142">
        <v>0</v>
      </c>
      <c r="EA142">
        <v>0</v>
      </c>
      <c r="EB142" s="187">
        <v>70.150000000000006</v>
      </c>
      <c r="EC142">
        <v>9</v>
      </c>
      <c r="ED142">
        <v>141.36000000000001</v>
      </c>
      <c r="EE142">
        <v>340</v>
      </c>
      <c r="EF142">
        <v>176.2</v>
      </c>
      <c r="EG142" s="187">
        <v>742</v>
      </c>
      <c r="EH142">
        <v>200.21</v>
      </c>
      <c r="EI142">
        <v>329</v>
      </c>
      <c r="EJ142">
        <v>229.24</v>
      </c>
      <c r="EK142">
        <v>49</v>
      </c>
      <c r="EL142" s="187">
        <v>0</v>
      </c>
      <c r="EM142">
        <v>0</v>
      </c>
      <c r="EN142">
        <v>0</v>
      </c>
      <c r="EO142">
        <v>0</v>
      </c>
      <c r="EP142">
        <v>174.63</v>
      </c>
      <c r="EQ142" s="187">
        <v>1469</v>
      </c>
      <c r="ER142">
        <v>174.63</v>
      </c>
      <c r="ES142">
        <v>1469</v>
      </c>
      <c r="ET142">
        <v>0</v>
      </c>
      <c r="EU142">
        <v>0</v>
      </c>
      <c r="EV142" s="187">
        <v>0</v>
      </c>
      <c r="EW142">
        <v>0</v>
      </c>
      <c r="EX142">
        <v>207.72</v>
      </c>
      <c r="EY142">
        <v>72</v>
      </c>
      <c r="EZ142">
        <v>259.86</v>
      </c>
      <c r="FA142" s="187">
        <v>45</v>
      </c>
      <c r="FB142">
        <v>0</v>
      </c>
      <c r="FC142">
        <v>0</v>
      </c>
      <c r="FD142">
        <v>0</v>
      </c>
      <c r="FE142">
        <v>0</v>
      </c>
      <c r="FF142" s="187">
        <v>227.77</v>
      </c>
      <c r="FG142">
        <v>117</v>
      </c>
      <c r="FH142">
        <v>227.77</v>
      </c>
      <c r="FI142">
        <v>117</v>
      </c>
      <c r="FJ142">
        <v>556</v>
      </c>
      <c r="FK142" s="187">
        <v>5</v>
      </c>
      <c r="FL142">
        <v>9</v>
      </c>
      <c r="FM142">
        <v>59</v>
      </c>
      <c r="FN142">
        <v>19</v>
      </c>
    </row>
    <row r="143" spans="1:170" x14ac:dyDescent="0.35">
      <c r="A143" t="s">
        <v>675</v>
      </c>
      <c r="B143" t="s">
        <v>676</v>
      </c>
      <c r="C143" t="s">
        <v>416</v>
      </c>
      <c r="D143">
        <v>8126</v>
      </c>
      <c r="E143">
        <v>7537</v>
      </c>
      <c r="F143">
        <v>37</v>
      </c>
      <c r="G143">
        <v>11</v>
      </c>
      <c r="H143">
        <v>392</v>
      </c>
      <c r="I143">
        <v>224</v>
      </c>
      <c r="J143">
        <v>192</v>
      </c>
      <c r="K143">
        <v>88</v>
      </c>
      <c r="L143">
        <v>2238</v>
      </c>
      <c r="M143">
        <v>201</v>
      </c>
      <c r="N143">
        <v>10985</v>
      </c>
      <c r="O143">
        <v>8061</v>
      </c>
      <c r="P143">
        <v>8747</v>
      </c>
      <c r="Q143">
        <v>77</v>
      </c>
      <c r="R143">
        <v>23</v>
      </c>
      <c r="S143">
        <v>31</v>
      </c>
      <c r="T143">
        <v>799</v>
      </c>
      <c r="U143">
        <v>10186</v>
      </c>
      <c r="V143" s="498">
        <v>7576</v>
      </c>
      <c r="W143">
        <v>55</v>
      </c>
      <c r="X143" s="498">
        <v>45</v>
      </c>
      <c r="Y143" s="498">
        <v>100</v>
      </c>
      <c r="Z143" s="498">
        <v>127.53</v>
      </c>
      <c r="AA143" s="498">
        <v>127.31</v>
      </c>
      <c r="AB143">
        <v>11.67</v>
      </c>
      <c r="AC143">
        <v>136.66999999999999</v>
      </c>
      <c r="AD143">
        <v>5890</v>
      </c>
      <c r="AE143">
        <v>118.65</v>
      </c>
      <c r="AF143">
        <v>108.89</v>
      </c>
      <c r="AG143">
        <v>120.78</v>
      </c>
      <c r="AH143">
        <v>207.82</v>
      </c>
      <c r="AI143">
        <v>321</v>
      </c>
      <c r="AJ143">
        <v>202.91</v>
      </c>
      <c r="AK143">
        <v>1294</v>
      </c>
      <c r="AL143">
        <v>220.12</v>
      </c>
      <c r="AM143">
        <v>76</v>
      </c>
      <c r="AN143">
        <v>0</v>
      </c>
      <c r="AO143" s="499">
        <v>0</v>
      </c>
      <c r="AP143" s="499">
        <v>0</v>
      </c>
      <c r="AQ143">
        <v>0</v>
      </c>
      <c r="AR143">
        <v>0</v>
      </c>
      <c r="AS143">
        <v>90.73</v>
      </c>
      <c r="AT143">
        <v>90.27</v>
      </c>
      <c r="AU143">
        <v>11.18</v>
      </c>
      <c r="AV143">
        <v>101.03</v>
      </c>
      <c r="AW143">
        <v>64</v>
      </c>
      <c r="AX143">
        <v>107.85</v>
      </c>
      <c r="AY143">
        <v>106.91</v>
      </c>
      <c r="AZ143">
        <v>13.93</v>
      </c>
      <c r="BA143">
        <v>119.86</v>
      </c>
      <c r="BB143">
        <v>1136</v>
      </c>
      <c r="BC143">
        <v>124.58</v>
      </c>
      <c r="BD143">
        <v>123.45</v>
      </c>
      <c r="BE143">
        <v>12.57</v>
      </c>
      <c r="BF143">
        <v>135.03</v>
      </c>
      <c r="BG143">
        <v>2431</v>
      </c>
      <c r="BH143">
        <v>138.88</v>
      </c>
      <c r="BI143">
        <v>139.16</v>
      </c>
      <c r="BJ143">
        <v>9.51</v>
      </c>
      <c r="BK143">
        <v>145.28</v>
      </c>
      <c r="BL143" s="214">
        <v>1866</v>
      </c>
      <c r="BM143" s="214">
        <v>153.09</v>
      </c>
      <c r="BN143">
        <v>156.41999999999999</v>
      </c>
      <c r="BO143" s="187">
        <v>6.94</v>
      </c>
      <c r="BP143" s="214">
        <v>158.47999999999999</v>
      </c>
      <c r="BQ143" s="214">
        <v>350</v>
      </c>
      <c r="BR143">
        <v>167.21</v>
      </c>
      <c r="BS143" s="187">
        <v>178.87</v>
      </c>
      <c r="BT143" s="214">
        <v>10.64</v>
      </c>
      <c r="BU143" s="214">
        <v>175.26</v>
      </c>
      <c r="BV143">
        <v>41</v>
      </c>
      <c r="BW143">
        <v>181.8</v>
      </c>
      <c r="BX143" s="214">
        <v>179.16</v>
      </c>
      <c r="BY143" s="214">
        <v>0</v>
      </c>
      <c r="BZ143">
        <v>181.8</v>
      </c>
      <c r="CA143" s="187">
        <v>2</v>
      </c>
      <c r="CB143" s="214">
        <v>127.53</v>
      </c>
      <c r="CC143" s="214">
        <v>127.31</v>
      </c>
      <c r="CD143">
        <v>11.67</v>
      </c>
      <c r="CE143" s="187">
        <v>136.66999999999999</v>
      </c>
      <c r="CF143" s="214">
        <v>5890</v>
      </c>
      <c r="CG143" s="214">
        <v>127.53</v>
      </c>
      <c r="CH143">
        <v>127.31</v>
      </c>
      <c r="CI143">
        <v>11.67</v>
      </c>
      <c r="CJ143">
        <v>136.66999999999999</v>
      </c>
      <c r="CK143">
        <v>5890</v>
      </c>
      <c r="CL143">
        <v>111.01</v>
      </c>
      <c r="CM143">
        <v>104.19</v>
      </c>
      <c r="CN143" s="187">
        <v>146.15</v>
      </c>
      <c r="CO143">
        <v>217.51</v>
      </c>
      <c r="CP143">
        <v>129</v>
      </c>
      <c r="CQ143">
        <v>112.14</v>
      </c>
      <c r="CR143">
        <v>94.44</v>
      </c>
      <c r="CS143" s="187">
        <v>192.5</v>
      </c>
      <c r="CT143">
        <v>205.22</v>
      </c>
      <c r="CU143">
        <v>91</v>
      </c>
      <c r="CV143">
        <v>132.53</v>
      </c>
      <c r="CW143">
        <v>125.6</v>
      </c>
      <c r="CX143" s="187">
        <v>66.13</v>
      </c>
      <c r="CY143">
        <v>197.2</v>
      </c>
      <c r="CZ143">
        <v>91</v>
      </c>
      <c r="DA143">
        <v>150.25</v>
      </c>
      <c r="DB143">
        <v>146.97</v>
      </c>
      <c r="DC143" s="187">
        <v>53.02</v>
      </c>
      <c r="DD143">
        <v>203.26</v>
      </c>
      <c r="DE143">
        <v>10</v>
      </c>
      <c r="DF143">
        <v>0</v>
      </c>
      <c r="DG143">
        <v>0</v>
      </c>
      <c r="DH143" s="187">
        <v>0</v>
      </c>
      <c r="DI143">
        <v>0</v>
      </c>
      <c r="DJ143">
        <v>0</v>
      </c>
      <c r="DK143">
        <v>0</v>
      </c>
      <c r="DL143">
        <v>0</v>
      </c>
      <c r="DM143" s="187">
        <v>0</v>
      </c>
      <c r="DN143">
        <v>0</v>
      </c>
      <c r="DO143">
        <v>0</v>
      </c>
      <c r="DP143">
        <v>123.79</v>
      </c>
      <c r="DQ143">
        <v>111.94</v>
      </c>
      <c r="DR143" s="187">
        <v>104.1</v>
      </c>
      <c r="DS143">
        <v>201.32</v>
      </c>
      <c r="DT143">
        <v>192</v>
      </c>
      <c r="DU143">
        <v>118.65</v>
      </c>
      <c r="DV143">
        <v>108.89</v>
      </c>
      <c r="DW143" s="187">
        <v>120.78</v>
      </c>
      <c r="DX143">
        <v>207.82</v>
      </c>
      <c r="DY143">
        <v>321</v>
      </c>
      <c r="DZ143">
        <v>0</v>
      </c>
      <c r="EA143">
        <v>0</v>
      </c>
      <c r="EB143" s="187">
        <v>161.75</v>
      </c>
      <c r="EC143">
        <v>5</v>
      </c>
      <c r="ED143">
        <v>172.46</v>
      </c>
      <c r="EE143">
        <v>397</v>
      </c>
      <c r="EF143">
        <v>210.85</v>
      </c>
      <c r="EG143" s="187">
        <v>652</v>
      </c>
      <c r="EH143">
        <v>234</v>
      </c>
      <c r="EI143">
        <v>224</v>
      </c>
      <c r="EJ143">
        <v>208.68</v>
      </c>
      <c r="EK143">
        <v>13</v>
      </c>
      <c r="EL143" s="187">
        <v>228.69</v>
      </c>
      <c r="EM143">
        <v>3</v>
      </c>
      <c r="EN143">
        <v>0</v>
      </c>
      <c r="EO143">
        <v>0</v>
      </c>
      <c r="EP143">
        <v>202.91</v>
      </c>
      <c r="EQ143" s="187">
        <v>1294</v>
      </c>
      <c r="ER143">
        <v>202.91</v>
      </c>
      <c r="ES143">
        <v>1294</v>
      </c>
      <c r="ET143">
        <v>0</v>
      </c>
      <c r="EU143">
        <v>0</v>
      </c>
      <c r="EV143" s="187">
        <v>0</v>
      </c>
      <c r="EW143">
        <v>0</v>
      </c>
      <c r="EX143">
        <v>221.52</v>
      </c>
      <c r="EY143">
        <v>65</v>
      </c>
      <c r="EZ143">
        <v>211.89</v>
      </c>
      <c r="FA143" s="187">
        <v>11</v>
      </c>
      <c r="FB143">
        <v>0</v>
      </c>
      <c r="FC143">
        <v>0</v>
      </c>
      <c r="FD143">
        <v>0</v>
      </c>
      <c r="FE143">
        <v>0</v>
      </c>
      <c r="FF143" s="187">
        <v>220.12</v>
      </c>
      <c r="FG143">
        <v>76</v>
      </c>
      <c r="FH143">
        <v>220.12</v>
      </c>
      <c r="FI143">
        <v>76</v>
      </c>
      <c r="FJ143">
        <v>0</v>
      </c>
      <c r="FK143" s="187">
        <v>6</v>
      </c>
      <c r="FL143">
        <v>1</v>
      </c>
      <c r="FM143">
        <v>85</v>
      </c>
      <c r="FN143">
        <v>84</v>
      </c>
    </row>
    <row r="144" spans="1:170" x14ac:dyDescent="0.35">
      <c r="A144" t="s">
        <v>677</v>
      </c>
      <c r="B144" t="s">
        <v>678</v>
      </c>
      <c r="C144" t="s">
        <v>415</v>
      </c>
      <c r="D144">
        <v>8945</v>
      </c>
      <c r="E144">
        <v>8953</v>
      </c>
      <c r="F144">
        <v>0</v>
      </c>
      <c r="G144">
        <v>0</v>
      </c>
      <c r="H144">
        <v>459</v>
      </c>
      <c r="I144">
        <v>303</v>
      </c>
      <c r="J144">
        <v>980</v>
      </c>
      <c r="K144">
        <v>936</v>
      </c>
      <c r="L144">
        <v>1104</v>
      </c>
      <c r="M144">
        <v>17</v>
      </c>
      <c r="N144">
        <v>11488</v>
      </c>
      <c r="O144">
        <v>10209</v>
      </c>
      <c r="P144">
        <v>10384</v>
      </c>
      <c r="Q144">
        <v>0</v>
      </c>
      <c r="R144">
        <v>4</v>
      </c>
      <c r="S144">
        <v>33</v>
      </c>
      <c r="T144">
        <v>86</v>
      </c>
      <c r="U144">
        <v>11402</v>
      </c>
      <c r="V144" s="498">
        <v>8945</v>
      </c>
      <c r="W144">
        <v>66</v>
      </c>
      <c r="X144" s="498">
        <v>53</v>
      </c>
      <c r="Y144" s="498">
        <v>119</v>
      </c>
      <c r="Z144" s="498">
        <v>97.76</v>
      </c>
      <c r="AA144" s="498">
        <v>97.42</v>
      </c>
      <c r="AB144">
        <v>3.52</v>
      </c>
      <c r="AC144">
        <v>101.06</v>
      </c>
      <c r="AD144">
        <v>7831</v>
      </c>
      <c r="AE144">
        <v>97.64</v>
      </c>
      <c r="AF144">
        <v>85.19</v>
      </c>
      <c r="AG144">
        <v>44.98</v>
      </c>
      <c r="AH144">
        <v>140.06</v>
      </c>
      <c r="AI144">
        <v>1298</v>
      </c>
      <c r="AJ144">
        <v>139.58000000000001</v>
      </c>
      <c r="AK144">
        <v>945</v>
      </c>
      <c r="AL144">
        <v>201.01</v>
      </c>
      <c r="AM144">
        <v>55</v>
      </c>
      <c r="AN144">
        <v>0</v>
      </c>
      <c r="AO144" s="499">
        <v>0</v>
      </c>
      <c r="AP144" s="499">
        <v>0</v>
      </c>
      <c r="AQ144">
        <v>0</v>
      </c>
      <c r="AR144">
        <v>0</v>
      </c>
      <c r="AS144">
        <v>0</v>
      </c>
      <c r="AT144">
        <v>0</v>
      </c>
      <c r="AU144">
        <v>0</v>
      </c>
      <c r="AV144">
        <v>0</v>
      </c>
      <c r="AW144">
        <v>0</v>
      </c>
      <c r="AX144">
        <v>83.05</v>
      </c>
      <c r="AY144">
        <v>82.23</v>
      </c>
      <c r="AZ144">
        <v>6.45</v>
      </c>
      <c r="BA144">
        <v>89.13</v>
      </c>
      <c r="BB144">
        <v>1368</v>
      </c>
      <c r="BC144">
        <v>95.29</v>
      </c>
      <c r="BD144">
        <v>95.09</v>
      </c>
      <c r="BE144">
        <v>3.96</v>
      </c>
      <c r="BF144">
        <v>99.09</v>
      </c>
      <c r="BG144">
        <v>3274</v>
      </c>
      <c r="BH144">
        <v>104.92</v>
      </c>
      <c r="BI144">
        <v>104.71</v>
      </c>
      <c r="BJ144">
        <v>1.7</v>
      </c>
      <c r="BK144">
        <v>106.48</v>
      </c>
      <c r="BL144" s="214">
        <v>2870</v>
      </c>
      <c r="BM144" s="214">
        <v>120.52</v>
      </c>
      <c r="BN144">
        <v>120.02</v>
      </c>
      <c r="BO144" s="187">
        <v>2.29</v>
      </c>
      <c r="BP144" s="214">
        <v>122.56</v>
      </c>
      <c r="BQ144" s="214">
        <v>298</v>
      </c>
      <c r="BR144">
        <v>138.94</v>
      </c>
      <c r="BS144" s="187">
        <v>139.43</v>
      </c>
      <c r="BT144" s="214">
        <v>2.9</v>
      </c>
      <c r="BU144" s="214">
        <v>141.16</v>
      </c>
      <c r="BV144">
        <v>17</v>
      </c>
      <c r="BW144">
        <v>137.68</v>
      </c>
      <c r="BX144" s="214">
        <v>140.51</v>
      </c>
      <c r="BY144" s="214">
        <v>3.67</v>
      </c>
      <c r="BZ144">
        <v>139.52000000000001</v>
      </c>
      <c r="CA144" s="187">
        <v>4</v>
      </c>
      <c r="CB144" s="214">
        <v>97.76</v>
      </c>
      <c r="CC144" s="214">
        <v>97.42</v>
      </c>
      <c r="CD144">
        <v>3.52</v>
      </c>
      <c r="CE144" s="187">
        <v>101.06</v>
      </c>
      <c r="CF144" s="214">
        <v>7831</v>
      </c>
      <c r="CG144" s="214">
        <v>97.76</v>
      </c>
      <c r="CH144">
        <v>97.42</v>
      </c>
      <c r="CI144">
        <v>3.52</v>
      </c>
      <c r="CJ144">
        <v>101.06</v>
      </c>
      <c r="CK144">
        <v>7831</v>
      </c>
      <c r="CL144">
        <v>114.46</v>
      </c>
      <c r="CM144">
        <v>78.3</v>
      </c>
      <c r="CN144" s="187">
        <v>88.01</v>
      </c>
      <c r="CO144">
        <v>180.85</v>
      </c>
      <c r="CP144">
        <v>285</v>
      </c>
      <c r="CQ144">
        <v>111.81</v>
      </c>
      <c r="CR144">
        <v>68.709999999999994</v>
      </c>
      <c r="CS144" s="187">
        <v>56.15</v>
      </c>
      <c r="CT144">
        <v>164.84</v>
      </c>
      <c r="CU144">
        <v>36</v>
      </c>
      <c r="CV144">
        <v>90.08</v>
      </c>
      <c r="CW144">
        <v>84.54</v>
      </c>
      <c r="CX144" s="187">
        <v>36.96</v>
      </c>
      <c r="CY144">
        <v>127</v>
      </c>
      <c r="CZ144">
        <v>830</v>
      </c>
      <c r="DA144">
        <v>103.91</v>
      </c>
      <c r="DB144">
        <v>96.54</v>
      </c>
      <c r="DC144" s="187">
        <v>24.71</v>
      </c>
      <c r="DD144">
        <v>128.43</v>
      </c>
      <c r="DE144">
        <v>139</v>
      </c>
      <c r="DF144">
        <v>110.58</v>
      </c>
      <c r="DG144">
        <v>105.27</v>
      </c>
      <c r="DH144" s="187">
        <v>21.66</v>
      </c>
      <c r="DI144">
        <v>132.24</v>
      </c>
      <c r="DJ144">
        <v>8</v>
      </c>
      <c r="DK144">
        <v>0</v>
      </c>
      <c r="DL144">
        <v>0</v>
      </c>
      <c r="DM144" s="187">
        <v>0</v>
      </c>
      <c r="DN144">
        <v>0</v>
      </c>
      <c r="DO144">
        <v>0</v>
      </c>
      <c r="DP144">
        <v>92.91</v>
      </c>
      <c r="DQ144">
        <v>85.94</v>
      </c>
      <c r="DR144" s="187">
        <v>35.81</v>
      </c>
      <c r="DS144">
        <v>128.58000000000001</v>
      </c>
      <c r="DT144">
        <v>1013</v>
      </c>
      <c r="DU144">
        <v>97.64</v>
      </c>
      <c r="DV144">
        <v>85.19</v>
      </c>
      <c r="DW144" s="187">
        <v>44.98</v>
      </c>
      <c r="DX144">
        <v>140.06</v>
      </c>
      <c r="DY144">
        <v>1298</v>
      </c>
      <c r="DZ144">
        <v>0</v>
      </c>
      <c r="EA144">
        <v>0</v>
      </c>
      <c r="EB144" s="187">
        <v>0</v>
      </c>
      <c r="EC144">
        <v>0</v>
      </c>
      <c r="ED144">
        <v>115.74</v>
      </c>
      <c r="EE144">
        <v>228</v>
      </c>
      <c r="EF144">
        <v>136.79</v>
      </c>
      <c r="EG144" s="187">
        <v>476</v>
      </c>
      <c r="EH144">
        <v>160</v>
      </c>
      <c r="EI144">
        <v>191</v>
      </c>
      <c r="EJ144">
        <v>196.03</v>
      </c>
      <c r="EK144">
        <v>46</v>
      </c>
      <c r="EL144" s="187">
        <v>207.02</v>
      </c>
      <c r="EM144">
        <v>4</v>
      </c>
      <c r="EN144">
        <v>0</v>
      </c>
      <c r="EO144">
        <v>0</v>
      </c>
      <c r="EP144">
        <v>139.58000000000001</v>
      </c>
      <c r="EQ144" s="187">
        <v>945</v>
      </c>
      <c r="ER144">
        <v>139.58000000000001</v>
      </c>
      <c r="ES144">
        <v>945</v>
      </c>
      <c r="ET144">
        <v>0</v>
      </c>
      <c r="EU144">
        <v>0</v>
      </c>
      <c r="EV144" s="187">
        <v>0</v>
      </c>
      <c r="EW144">
        <v>0</v>
      </c>
      <c r="EX144">
        <v>198.22</v>
      </c>
      <c r="EY144">
        <v>49</v>
      </c>
      <c r="EZ144">
        <v>223.79</v>
      </c>
      <c r="FA144" s="187">
        <v>6</v>
      </c>
      <c r="FB144">
        <v>0</v>
      </c>
      <c r="FC144">
        <v>0</v>
      </c>
      <c r="FD144">
        <v>0</v>
      </c>
      <c r="FE144">
        <v>0</v>
      </c>
      <c r="FF144" s="187">
        <v>201.01</v>
      </c>
      <c r="FG144">
        <v>55</v>
      </c>
      <c r="FH144">
        <v>201.01</v>
      </c>
      <c r="FI144">
        <v>55</v>
      </c>
      <c r="FJ144">
        <v>50</v>
      </c>
      <c r="FK144" s="187">
        <v>9</v>
      </c>
      <c r="FL144">
        <v>0</v>
      </c>
      <c r="FM144">
        <v>106</v>
      </c>
      <c r="FN144">
        <v>45</v>
      </c>
    </row>
    <row r="145" spans="1:170" x14ac:dyDescent="0.35">
      <c r="A145" t="s">
        <v>679</v>
      </c>
      <c r="B145" t="s">
        <v>680</v>
      </c>
      <c r="C145" t="s">
        <v>418</v>
      </c>
      <c r="D145">
        <v>3063</v>
      </c>
      <c r="E145">
        <v>3075</v>
      </c>
      <c r="F145">
        <v>0</v>
      </c>
      <c r="G145">
        <v>0</v>
      </c>
      <c r="H145">
        <v>314</v>
      </c>
      <c r="I145">
        <v>138</v>
      </c>
      <c r="J145">
        <v>1549</v>
      </c>
      <c r="K145">
        <v>1549</v>
      </c>
      <c r="L145">
        <v>71</v>
      </c>
      <c r="M145">
        <v>0</v>
      </c>
      <c r="N145">
        <v>4997</v>
      </c>
      <c r="O145">
        <v>4762</v>
      </c>
      <c r="P145">
        <v>4926</v>
      </c>
      <c r="Q145">
        <v>92</v>
      </c>
      <c r="R145">
        <v>10</v>
      </c>
      <c r="S145">
        <v>17</v>
      </c>
      <c r="T145">
        <v>99</v>
      </c>
      <c r="U145">
        <v>4898</v>
      </c>
      <c r="V145" s="498">
        <v>3063</v>
      </c>
      <c r="W145">
        <v>22</v>
      </c>
      <c r="X145" s="498">
        <v>4</v>
      </c>
      <c r="Y145" s="498">
        <v>26</v>
      </c>
      <c r="Z145" s="498">
        <v>78.91</v>
      </c>
      <c r="AA145" s="498">
        <v>78.67</v>
      </c>
      <c r="AB145">
        <v>2.58</v>
      </c>
      <c r="AC145">
        <v>80.239999999999995</v>
      </c>
      <c r="AD145">
        <v>2889</v>
      </c>
      <c r="AE145">
        <v>79.430000000000007</v>
      </c>
      <c r="AF145">
        <v>71.430000000000007</v>
      </c>
      <c r="AG145">
        <v>25.94</v>
      </c>
      <c r="AH145">
        <v>104.77</v>
      </c>
      <c r="AI145">
        <v>1750</v>
      </c>
      <c r="AJ145">
        <v>99.83</v>
      </c>
      <c r="AK145">
        <v>174</v>
      </c>
      <c r="AL145">
        <v>252.16</v>
      </c>
      <c r="AM145">
        <v>14</v>
      </c>
      <c r="AN145">
        <v>0</v>
      </c>
      <c r="AO145" s="499">
        <v>0</v>
      </c>
      <c r="AP145" s="499">
        <v>0</v>
      </c>
      <c r="AQ145">
        <v>0</v>
      </c>
      <c r="AR145">
        <v>0</v>
      </c>
      <c r="AS145">
        <v>58.61</v>
      </c>
      <c r="AT145">
        <v>57.26</v>
      </c>
      <c r="AU145">
        <v>2.0299999999999998</v>
      </c>
      <c r="AV145">
        <v>60.63</v>
      </c>
      <c r="AW145">
        <v>2</v>
      </c>
      <c r="AX145">
        <v>68.08</v>
      </c>
      <c r="AY145">
        <v>66.89</v>
      </c>
      <c r="AZ145">
        <v>3.15</v>
      </c>
      <c r="BA145">
        <v>71.09</v>
      </c>
      <c r="BB145">
        <v>488</v>
      </c>
      <c r="BC145">
        <v>77.150000000000006</v>
      </c>
      <c r="BD145">
        <v>76.89</v>
      </c>
      <c r="BE145">
        <v>2.38</v>
      </c>
      <c r="BF145">
        <v>78.31</v>
      </c>
      <c r="BG145">
        <v>1401</v>
      </c>
      <c r="BH145">
        <v>85.64</v>
      </c>
      <c r="BI145">
        <v>86.02</v>
      </c>
      <c r="BJ145">
        <v>2.1800000000000002</v>
      </c>
      <c r="BK145">
        <v>86.32</v>
      </c>
      <c r="BL145" s="214">
        <v>898</v>
      </c>
      <c r="BM145" s="214">
        <v>95.7</v>
      </c>
      <c r="BN145">
        <v>94.99</v>
      </c>
      <c r="BO145" s="187">
        <v>2.4900000000000002</v>
      </c>
      <c r="BP145" s="214">
        <v>97.09</v>
      </c>
      <c r="BQ145" s="214">
        <v>95</v>
      </c>
      <c r="BR145">
        <v>111.47</v>
      </c>
      <c r="BS145" s="187">
        <v>108.99</v>
      </c>
      <c r="BT145" s="214">
        <v>2.2999999999999998</v>
      </c>
      <c r="BU145" s="214">
        <v>112.62</v>
      </c>
      <c r="BV145">
        <v>4</v>
      </c>
      <c r="BW145">
        <v>102.36</v>
      </c>
      <c r="BX145" s="214">
        <v>97.5</v>
      </c>
      <c r="BY145" s="214">
        <v>0</v>
      </c>
      <c r="BZ145">
        <v>102.36</v>
      </c>
      <c r="CA145" s="187">
        <v>1</v>
      </c>
      <c r="CB145" s="214">
        <v>78.91</v>
      </c>
      <c r="CC145" s="214">
        <v>78.67</v>
      </c>
      <c r="CD145">
        <v>2.58</v>
      </c>
      <c r="CE145" s="187">
        <v>80.239999999999995</v>
      </c>
      <c r="CF145" s="214">
        <v>2889</v>
      </c>
      <c r="CG145" s="214">
        <v>78.91</v>
      </c>
      <c r="CH145">
        <v>78.67</v>
      </c>
      <c r="CI145">
        <v>2.58</v>
      </c>
      <c r="CJ145">
        <v>80.239999999999995</v>
      </c>
      <c r="CK145">
        <v>2889</v>
      </c>
      <c r="CL145">
        <v>134.09</v>
      </c>
      <c r="CM145">
        <v>78.11</v>
      </c>
      <c r="CN145" s="187">
        <v>68.040000000000006</v>
      </c>
      <c r="CO145">
        <v>185.12</v>
      </c>
      <c r="CP145">
        <v>108</v>
      </c>
      <c r="CQ145">
        <v>63.19</v>
      </c>
      <c r="CR145">
        <v>61.65</v>
      </c>
      <c r="CS145" s="187">
        <v>31.25</v>
      </c>
      <c r="CT145">
        <v>94.43</v>
      </c>
      <c r="CU145">
        <v>83</v>
      </c>
      <c r="CV145">
        <v>75.89</v>
      </c>
      <c r="CW145">
        <v>71.45</v>
      </c>
      <c r="CX145" s="187">
        <v>22.88</v>
      </c>
      <c r="CY145">
        <v>98.57</v>
      </c>
      <c r="CZ145">
        <v>1495</v>
      </c>
      <c r="DA145">
        <v>87.41</v>
      </c>
      <c r="DB145">
        <v>78.010000000000005</v>
      </c>
      <c r="DC145" s="187">
        <v>31.22</v>
      </c>
      <c r="DD145">
        <v>118.05</v>
      </c>
      <c r="DE145">
        <v>54</v>
      </c>
      <c r="DF145">
        <v>110.73</v>
      </c>
      <c r="DG145">
        <v>90.94</v>
      </c>
      <c r="DH145" s="187">
        <v>67.33</v>
      </c>
      <c r="DI145">
        <v>178.06</v>
      </c>
      <c r="DJ145">
        <v>10</v>
      </c>
      <c r="DK145">
        <v>0</v>
      </c>
      <c r="DL145">
        <v>0</v>
      </c>
      <c r="DM145" s="187">
        <v>0</v>
      </c>
      <c r="DN145">
        <v>0</v>
      </c>
      <c r="DO145">
        <v>0</v>
      </c>
      <c r="DP145">
        <v>75.84</v>
      </c>
      <c r="DQ145">
        <v>71.23</v>
      </c>
      <c r="DR145" s="187">
        <v>23.85</v>
      </c>
      <c r="DS145">
        <v>99.49</v>
      </c>
      <c r="DT145">
        <v>1642</v>
      </c>
      <c r="DU145">
        <v>79.430000000000007</v>
      </c>
      <c r="DV145">
        <v>71.430000000000007</v>
      </c>
      <c r="DW145" s="187">
        <v>25.94</v>
      </c>
      <c r="DX145">
        <v>104.77</v>
      </c>
      <c r="DY145">
        <v>1750</v>
      </c>
      <c r="DZ145">
        <v>0</v>
      </c>
      <c r="EA145">
        <v>0</v>
      </c>
      <c r="EB145" s="187">
        <v>0</v>
      </c>
      <c r="EC145">
        <v>0</v>
      </c>
      <c r="ED145">
        <v>0</v>
      </c>
      <c r="EE145">
        <v>0</v>
      </c>
      <c r="EF145">
        <v>90.53</v>
      </c>
      <c r="EG145" s="187">
        <v>92</v>
      </c>
      <c r="EH145">
        <v>105.76</v>
      </c>
      <c r="EI145">
        <v>69</v>
      </c>
      <c r="EJ145">
        <v>134.16</v>
      </c>
      <c r="EK145">
        <v>13</v>
      </c>
      <c r="EL145" s="187">
        <v>0</v>
      </c>
      <c r="EM145">
        <v>0</v>
      </c>
      <c r="EN145">
        <v>0</v>
      </c>
      <c r="EO145">
        <v>0</v>
      </c>
      <c r="EP145">
        <v>99.83</v>
      </c>
      <c r="EQ145" s="187">
        <v>174</v>
      </c>
      <c r="ER145">
        <v>99.83</v>
      </c>
      <c r="ES145">
        <v>174</v>
      </c>
      <c r="ET145">
        <v>318.85000000000002</v>
      </c>
      <c r="EU145">
        <v>2</v>
      </c>
      <c r="EV145" s="187">
        <v>0</v>
      </c>
      <c r="EW145">
        <v>0</v>
      </c>
      <c r="EX145">
        <v>241.22</v>
      </c>
      <c r="EY145">
        <v>10</v>
      </c>
      <c r="EZ145">
        <v>240.2</v>
      </c>
      <c r="FA145" s="187">
        <v>2</v>
      </c>
      <c r="FB145">
        <v>0</v>
      </c>
      <c r="FC145">
        <v>0</v>
      </c>
      <c r="FD145">
        <v>0</v>
      </c>
      <c r="FE145">
        <v>0</v>
      </c>
      <c r="FF145" s="187">
        <v>241.05</v>
      </c>
      <c r="FG145">
        <v>12</v>
      </c>
      <c r="FH145">
        <v>252.16</v>
      </c>
      <c r="FI145">
        <v>14</v>
      </c>
      <c r="FJ145">
        <v>5</v>
      </c>
      <c r="FK145" s="187">
        <v>18</v>
      </c>
      <c r="FL145">
        <v>16</v>
      </c>
      <c r="FM145">
        <v>0</v>
      </c>
      <c r="FN145">
        <v>0</v>
      </c>
    </row>
    <row r="146" spans="1:170" x14ac:dyDescent="0.35">
      <c r="A146" t="s">
        <v>681</v>
      </c>
      <c r="B146" t="s">
        <v>682</v>
      </c>
      <c r="C146" t="s">
        <v>415</v>
      </c>
      <c r="D146">
        <v>3732</v>
      </c>
      <c r="E146">
        <v>3603</v>
      </c>
      <c r="F146">
        <v>0</v>
      </c>
      <c r="G146">
        <v>0</v>
      </c>
      <c r="H146">
        <v>599</v>
      </c>
      <c r="I146">
        <v>371</v>
      </c>
      <c r="J146">
        <v>711</v>
      </c>
      <c r="K146">
        <v>675</v>
      </c>
      <c r="L146">
        <v>298</v>
      </c>
      <c r="M146">
        <v>15</v>
      </c>
      <c r="N146">
        <v>5340</v>
      </c>
      <c r="O146">
        <v>4664</v>
      </c>
      <c r="P146">
        <v>5042</v>
      </c>
      <c r="Q146">
        <v>0</v>
      </c>
      <c r="R146">
        <v>9</v>
      </c>
      <c r="S146">
        <v>22</v>
      </c>
      <c r="T146">
        <v>400</v>
      </c>
      <c r="U146">
        <v>4940</v>
      </c>
      <c r="V146" s="498">
        <v>3603</v>
      </c>
      <c r="W146">
        <v>12</v>
      </c>
      <c r="X146" s="498">
        <v>71</v>
      </c>
      <c r="Y146" s="498">
        <v>83</v>
      </c>
      <c r="Z146" s="498">
        <v>91.44</v>
      </c>
      <c r="AA146" s="498">
        <v>90.55</v>
      </c>
      <c r="AB146">
        <v>6.6</v>
      </c>
      <c r="AC146">
        <v>96.57</v>
      </c>
      <c r="AD146">
        <v>2989</v>
      </c>
      <c r="AE146">
        <v>83.21</v>
      </c>
      <c r="AF146">
        <v>75.099999999999994</v>
      </c>
      <c r="AG146">
        <v>65.58</v>
      </c>
      <c r="AH146">
        <v>148.79</v>
      </c>
      <c r="AI146">
        <v>1037</v>
      </c>
      <c r="AJ146">
        <v>106.53</v>
      </c>
      <c r="AK146">
        <v>553</v>
      </c>
      <c r="AL146">
        <v>104.67</v>
      </c>
      <c r="AM146">
        <v>2</v>
      </c>
      <c r="AN146">
        <v>0</v>
      </c>
      <c r="AO146" s="499">
        <v>0</v>
      </c>
      <c r="AP146" s="499">
        <v>0</v>
      </c>
      <c r="AQ146">
        <v>0</v>
      </c>
      <c r="AR146">
        <v>0</v>
      </c>
      <c r="AS146">
        <v>63.35</v>
      </c>
      <c r="AT146">
        <v>67.02</v>
      </c>
      <c r="AU146">
        <v>6.67</v>
      </c>
      <c r="AV146">
        <v>69.89</v>
      </c>
      <c r="AW146">
        <v>52</v>
      </c>
      <c r="AX146">
        <v>74.89</v>
      </c>
      <c r="AY146">
        <v>74.58</v>
      </c>
      <c r="AZ146">
        <v>7.09</v>
      </c>
      <c r="BA146">
        <v>81.430000000000007</v>
      </c>
      <c r="BB146">
        <v>676</v>
      </c>
      <c r="BC146">
        <v>91.22</v>
      </c>
      <c r="BD146">
        <v>89.52</v>
      </c>
      <c r="BE146">
        <v>7.71</v>
      </c>
      <c r="BF146">
        <v>97.47</v>
      </c>
      <c r="BG146">
        <v>1410</v>
      </c>
      <c r="BH146">
        <v>104.09</v>
      </c>
      <c r="BI146">
        <v>104.09</v>
      </c>
      <c r="BJ146">
        <v>3.17</v>
      </c>
      <c r="BK146">
        <v>106.03</v>
      </c>
      <c r="BL146" s="214">
        <v>725</v>
      </c>
      <c r="BM146" s="214">
        <v>119.33</v>
      </c>
      <c r="BN146">
        <v>117.42</v>
      </c>
      <c r="BO146" s="187">
        <v>6.15</v>
      </c>
      <c r="BP146" s="214">
        <v>122.73</v>
      </c>
      <c r="BQ146" s="214">
        <v>105</v>
      </c>
      <c r="BR146">
        <v>130.88999999999999</v>
      </c>
      <c r="BS146" s="187">
        <v>128.24</v>
      </c>
      <c r="BT146" s="214">
        <v>1.19</v>
      </c>
      <c r="BU146" s="214">
        <v>131.41999999999999</v>
      </c>
      <c r="BV146">
        <v>18</v>
      </c>
      <c r="BW146">
        <v>140.32</v>
      </c>
      <c r="BX146" s="214">
        <v>138.43</v>
      </c>
      <c r="BY146" s="214">
        <v>0</v>
      </c>
      <c r="BZ146">
        <v>140.32</v>
      </c>
      <c r="CA146" s="187">
        <v>3</v>
      </c>
      <c r="CB146" s="214">
        <v>91.44</v>
      </c>
      <c r="CC146" s="214">
        <v>90.55</v>
      </c>
      <c r="CD146">
        <v>6.6</v>
      </c>
      <c r="CE146" s="187">
        <v>96.57</v>
      </c>
      <c r="CF146" s="214">
        <v>2989</v>
      </c>
      <c r="CG146" s="214">
        <v>91.44</v>
      </c>
      <c r="CH146">
        <v>90.55</v>
      </c>
      <c r="CI146">
        <v>6.6</v>
      </c>
      <c r="CJ146">
        <v>96.57</v>
      </c>
      <c r="CK146">
        <v>2989</v>
      </c>
      <c r="CL146">
        <v>90.48</v>
      </c>
      <c r="CM146">
        <v>73.73</v>
      </c>
      <c r="CN146" s="187">
        <v>117.45</v>
      </c>
      <c r="CO146">
        <v>207.93</v>
      </c>
      <c r="CP146">
        <v>282</v>
      </c>
      <c r="CQ146">
        <v>71.72</v>
      </c>
      <c r="CR146">
        <v>65.28</v>
      </c>
      <c r="CS146" s="187">
        <v>34.1</v>
      </c>
      <c r="CT146">
        <v>105.82</v>
      </c>
      <c r="CU146">
        <v>112</v>
      </c>
      <c r="CV146">
        <v>81.09</v>
      </c>
      <c r="CW146">
        <v>76.03</v>
      </c>
      <c r="CX146" s="187">
        <v>49.28</v>
      </c>
      <c r="CY146">
        <v>130.37</v>
      </c>
      <c r="CZ146">
        <v>592</v>
      </c>
      <c r="DA146">
        <v>90.2</v>
      </c>
      <c r="DB146">
        <v>88.58</v>
      </c>
      <c r="DC146" s="187">
        <v>37.06</v>
      </c>
      <c r="DD146">
        <v>127.26</v>
      </c>
      <c r="DE146">
        <v>45</v>
      </c>
      <c r="DF146">
        <v>113.72</v>
      </c>
      <c r="DG146">
        <v>111.29</v>
      </c>
      <c r="DH146" s="187">
        <v>37.01</v>
      </c>
      <c r="DI146">
        <v>150.72</v>
      </c>
      <c r="DJ146">
        <v>6</v>
      </c>
      <c r="DK146">
        <v>0</v>
      </c>
      <c r="DL146">
        <v>0</v>
      </c>
      <c r="DM146" s="187">
        <v>0</v>
      </c>
      <c r="DN146">
        <v>0</v>
      </c>
      <c r="DO146">
        <v>0</v>
      </c>
      <c r="DP146">
        <v>80.5</v>
      </c>
      <c r="DQ146">
        <v>75.489999999999995</v>
      </c>
      <c r="DR146" s="187">
        <v>46.2</v>
      </c>
      <c r="DS146">
        <v>126.7</v>
      </c>
      <c r="DT146">
        <v>755</v>
      </c>
      <c r="DU146">
        <v>83.21</v>
      </c>
      <c r="DV146">
        <v>75.099999999999994</v>
      </c>
      <c r="DW146" s="187">
        <v>65.58</v>
      </c>
      <c r="DX146">
        <v>148.79</v>
      </c>
      <c r="DY146">
        <v>1037</v>
      </c>
      <c r="DZ146">
        <v>0</v>
      </c>
      <c r="EA146">
        <v>0</v>
      </c>
      <c r="EB146" s="187">
        <v>88.7</v>
      </c>
      <c r="EC146">
        <v>2</v>
      </c>
      <c r="ED146">
        <v>91.91</v>
      </c>
      <c r="EE146">
        <v>189</v>
      </c>
      <c r="EF146">
        <v>110.87</v>
      </c>
      <c r="EG146" s="187">
        <v>263</v>
      </c>
      <c r="EH146">
        <v>121.75</v>
      </c>
      <c r="EI146">
        <v>89</v>
      </c>
      <c r="EJ146">
        <v>136.47</v>
      </c>
      <c r="EK146">
        <v>10</v>
      </c>
      <c r="EL146" s="187">
        <v>0</v>
      </c>
      <c r="EM146">
        <v>0</v>
      </c>
      <c r="EN146">
        <v>0</v>
      </c>
      <c r="EO146">
        <v>0</v>
      </c>
      <c r="EP146">
        <v>106.53</v>
      </c>
      <c r="EQ146" s="187">
        <v>553</v>
      </c>
      <c r="ER146">
        <v>106.53</v>
      </c>
      <c r="ES146">
        <v>553</v>
      </c>
      <c r="ET146">
        <v>0</v>
      </c>
      <c r="EU146">
        <v>0</v>
      </c>
      <c r="EV146" s="187">
        <v>0</v>
      </c>
      <c r="EW146">
        <v>0</v>
      </c>
      <c r="EX146">
        <v>91.2</v>
      </c>
      <c r="EY146">
        <v>1</v>
      </c>
      <c r="EZ146">
        <v>118.13</v>
      </c>
      <c r="FA146" s="187">
        <v>1</v>
      </c>
      <c r="FB146">
        <v>0</v>
      </c>
      <c r="FC146">
        <v>0</v>
      </c>
      <c r="FD146">
        <v>0</v>
      </c>
      <c r="FE146">
        <v>0</v>
      </c>
      <c r="FF146" s="187">
        <v>104.67</v>
      </c>
      <c r="FG146">
        <v>2</v>
      </c>
      <c r="FH146">
        <v>104.67</v>
      </c>
      <c r="FI146">
        <v>2</v>
      </c>
      <c r="FJ146">
        <v>0</v>
      </c>
      <c r="FK146" s="187">
        <v>1</v>
      </c>
      <c r="FL146">
        <v>8</v>
      </c>
      <c r="FM146">
        <v>12</v>
      </c>
      <c r="FN146">
        <v>7</v>
      </c>
    </row>
    <row r="147" spans="1:170" x14ac:dyDescent="0.35">
      <c r="A147" t="s">
        <v>683</v>
      </c>
      <c r="B147" t="s">
        <v>684</v>
      </c>
      <c r="C147" t="s">
        <v>2</v>
      </c>
      <c r="D147">
        <v>6278</v>
      </c>
      <c r="E147">
        <v>5830</v>
      </c>
      <c r="F147">
        <v>0</v>
      </c>
      <c r="G147">
        <v>0</v>
      </c>
      <c r="H147">
        <v>470</v>
      </c>
      <c r="I147">
        <v>466</v>
      </c>
      <c r="J147">
        <v>637</v>
      </c>
      <c r="K147">
        <v>621</v>
      </c>
      <c r="L147">
        <v>351</v>
      </c>
      <c r="M147">
        <v>0</v>
      </c>
      <c r="N147">
        <v>7736</v>
      </c>
      <c r="O147">
        <v>6917</v>
      </c>
      <c r="P147">
        <v>7385</v>
      </c>
      <c r="Q147">
        <v>102</v>
      </c>
      <c r="R147">
        <v>5</v>
      </c>
      <c r="S147">
        <v>12</v>
      </c>
      <c r="T147">
        <v>489</v>
      </c>
      <c r="U147">
        <v>7247</v>
      </c>
      <c r="V147" s="498">
        <v>5830</v>
      </c>
      <c r="W147">
        <v>21</v>
      </c>
      <c r="X147" s="498">
        <v>11</v>
      </c>
      <c r="Y147" s="498">
        <v>32</v>
      </c>
      <c r="Z147" s="498">
        <v>91.04</v>
      </c>
      <c r="AA147" s="498">
        <v>90.57</v>
      </c>
      <c r="AB147">
        <v>5.6</v>
      </c>
      <c r="AC147">
        <v>94.45</v>
      </c>
      <c r="AD147">
        <v>5445</v>
      </c>
      <c r="AE147">
        <v>87.25</v>
      </c>
      <c r="AF147">
        <v>78.239999999999995</v>
      </c>
      <c r="AG147">
        <v>46.34</v>
      </c>
      <c r="AH147">
        <v>132.22999999999999</v>
      </c>
      <c r="AI147">
        <v>1054</v>
      </c>
      <c r="AJ147">
        <v>125.55</v>
      </c>
      <c r="AK147">
        <v>324</v>
      </c>
      <c r="AL147">
        <v>96.11</v>
      </c>
      <c r="AM147">
        <v>12</v>
      </c>
      <c r="AN147">
        <v>0</v>
      </c>
      <c r="AO147" s="499">
        <v>0</v>
      </c>
      <c r="AP147" s="499">
        <v>0</v>
      </c>
      <c r="AQ147">
        <v>0</v>
      </c>
      <c r="AR147">
        <v>0</v>
      </c>
      <c r="AS147">
        <v>65.05</v>
      </c>
      <c r="AT147">
        <v>64.67</v>
      </c>
      <c r="AU147">
        <v>4.91</v>
      </c>
      <c r="AV147">
        <v>69.959999999999994</v>
      </c>
      <c r="AW147">
        <v>65</v>
      </c>
      <c r="AX147">
        <v>76.78</v>
      </c>
      <c r="AY147">
        <v>76.87</v>
      </c>
      <c r="AZ147">
        <v>6.58</v>
      </c>
      <c r="BA147">
        <v>82.63</v>
      </c>
      <c r="BB147">
        <v>1252</v>
      </c>
      <c r="BC147">
        <v>89.94</v>
      </c>
      <c r="BD147">
        <v>89.05</v>
      </c>
      <c r="BE147">
        <v>6.43</v>
      </c>
      <c r="BF147">
        <v>94.07</v>
      </c>
      <c r="BG147">
        <v>2131</v>
      </c>
      <c r="BH147">
        <v>101.3</v>
      </c>
      <c r="BI147">
        <v>100.73</v>
      </c>
      <c r="BJ147">
        <v>2.83</v>
      </c>
      <c r="BK147">
        <v>102.4</v>
      </c>
      <c r="BL147" s="214">
        <v>1871</v>
      </c>
      <c r="BM147" s="214">
        <v>111.78</v>
      </c>
      <c r="BN147">
        <v>113.33</v>
      </c>
      <c r="BO147" s="187">
        <v>2.0699999999999998</v>
      </c>
      <c r="BP147" s="214">
        <v>112.56</v>
      </c>
      <c r="BQ147" s="214">
        <v>118</v>
      </c>
      <c r="BR147">
        <v>118.86</v>
      </c>
      <c r="BS147" s="187">
        <v>121.18</v>
      </c>
      <c r="BT147" s="214">
        <v>0.35</v>
      </c>
      <c r="BU147" s="214">
        <v>119.07</v>
      </c>
      <c r="BV147">
        <v>5</v>
      </c>
      <c r="BW147">
        <v>120.94</v>
      </c>
      <c r="BX147" s="214">
        <v>127.17</v>
      </c>
      <c r="BY147" s="214">
        <v>4.42</v>
      </c>
      <c r="BZ147">
        <v>123.89</v>
      </c>
      <c r="CA147" s="187">
        <v>3</v>
      </c>
      <c r="CB147" s="214">
        <v>91.04</v>
      </c>
      <c r="CC147" s="214">
        <v>90.57</v>
      </c>
      <c r="CD147">
        <v>5.6</v>
      </c>
      <c r="CE147" s="187">
        <v>94.45</v>
      </c>
      <c r="CF147" s="214">
        <v>5445</v>
      </c>
      <c r="CG147" s="214">
        <v>91.04</v>
      </c>
      <c r="CH147">
        <v>90.57</v>
      </c>
      <c r="CI147">
        <v>5.6</v>
      </c>
      <c r="CJ147">
        <v>94.45</v>
      </c>
      <c r="CK147">
        <v>5445</v>
      </c>
      <c r="CL147">
        <v>79.58</v>
      </c>
      <c r="CM147">
        <v>66.819999999999993</v>
      </c>
      <c r="CN147" s="187">
        <v>83.92</v>
      </c>
      <c r="CO147">
        <v>162.06</v>
      </c>
      <c r="CP147">
        <v>176</v>
      </c>
      <c r="CQ147">
        <v>76.75</v>
      </c>
      <c r="CR147">
        <v>75.25</v>
      </c>
      <c r="CS147" s="187">
        <v>58.72</v>
      </c>
      <c r="CT147">
        <v>130.69999999999999</v>
      </c>
      <c r="CU147">
        <v>111</v>
      </c>
      <c r="CV147">
        <v>88.57</v>
      </c>
      <c r="CW147">
        <v>78.430000000000007</v>
      </c>
      <c r="CX147" s="187">
        <v>35.64</v>
      </c>
      <c r="CY147">
        <v>123.35</v>
      </c>
      <c r="CZ147">
        <v>698</v>
      </c>
      <c r="DA147">
        <v>110.97</v>
      </c>
      <c r="DB147">
        <v>90.96</v>
      </c>
      <c r="DC147" s="187">
        <v>40</v>
      </c>
      <c r="DD147">
        <v>150.34</v>
      </c>
      <c r="DE147">
        <v>63</v>
      </c>
      <c r="DF147">
        <v>103.82</v>
      </c>
      <c r="DG147">
        <v>98.28</v>
      </c>
      <c r="DH147" s="187">
        <v>28.52</v>
      </c>
      <c r="DI147">
        <v>132.34</v>
      </c>
      <c r="DJ147">
        <v>5</v>
      </c>
      <c r="DK147">
        <v>104.43</v>
      </c>
      <c r="DL147">
        <v>118.17</v>
      </c>
      <c r="DM147" s="187">
        <v>0</v>
      </c>
      <c r="DN147">
        <v>104.43</v>
      </c>
      <c r="DO147">
        <v>1</v>
      </c>
      <c r="DP147">
        <v>88.79</v>
      </c>
      <c r="DQ147">
        <v>78.95</v>
      </c>
      <c r="DR147" s="187">
        <v>38.69</v>
      </c>
      <c r="DS147">
        <v>126.24</v>
      </c>
      <c r="DT147">
        <v>878</v>
      </c>
      <c r="DU147">
        <v>87.25</v>
      </c>
      <c r="DV147">
        <v>78.239999999999995</v>
      </c>
      <c r="DW147" s="187">
        <v>46.34</v>
      </c>
      <c r="DX147">
        <v>132.22999999999999</v>
      </c>
      <c r="DY147">
        <v>1054</v>
      </c>
      <c r="DZ147">
        <v>0</v>
      </c>
      <c r="EA147">
        <v>0</v>
      </c>
      <c r="EB147" s="187">
        <v>0</v>
      </c>
      <c r="EC147">
        <v>0</v>
      </c>
      <c r="ED147">
        <v>95.99</v>
      </c>
      <c r="EE147">
        <v>27</v>
      </c>
      <c r="EF147">
        <v>116.54</v>
      </c>
      <c r="EG147" s="187">
        <v>153</v>
      </c>
      <c r="EH147">
        <v>139.71</v>
      </c>
      <c r="EI147">
        <v>136</v>
      </c>
      <c r="EJ147">
        <v>155.55000000000001</v>
      </c>
      <c r="EK147">
        <v>7</v>
      </c>
      <c r="EL147" s="187">
        <v>166.38</v>
      </c>
      <c r="EM147">
        <v>1</v>
      </c>
      <c r="EN147">
        <v>0</v>
      </c>
      <c r="EO147">
        <v>0</v>
      </c>
      <c r="EP147">
        <v>125.55</v>
      </c>
      <c r="EQ147" s="187">
        <v>324</v>
      </c>
      <c r="ER147">
        <v>125.55</v>
      </c>
      <c r="ES147">
        <v>324</v>
      </c>
      <c r="ET147">
        <v>0</v>
      </c>
      <c r="EU147">
        <v>0</v>
      </c>
      <c r="EV147" s="187">
        <v>0</v>
      </c>
      <c r="EW147">
        <v>0</v>
      </c>
      <c r="EX147">
        <v>96.11</v>
      </c>
      <c r="EY147">
        <v>12</v>
      </c>
      <c r="EZ147">
        <v>0</v>
      </c>
      <c r="FA147" s="187">
        <v>0</v>
      </c>
      <c r="FB147">
        <v>0</v>
      </c>
      <c r="FC147">
        <v>0</v>
      </c>
      <c r="FD147">
        <v>0</v>
      </c>
      <c r="FE147">
        <v>0</v>
      </c>
      <c r="FF147" s="187">
        <v>96.11</v>
      </c>
      <c r="FG147">
        <v>12</v>
      </c>
      <c r="FH147">
        <v>96.11</v>
      </c>
      <c r="FI147">
        <v>12</v>
      </c>
      <c r="FJ147">
        <v>0</v>
      </c>
      <c r="FK147" s="187">
        <v>2</v>
      </c>
      <c r="FL147">
        <v>3</v>
      </c>
      <c r="FM147">
        <v>0</v>
      </c>
      <c r="FN147">
        <v>11</v>
      </c>
    </row>
    <row r="148" spans="1:170" x14ac:dyDescent="0.35">
      <c r="A148" t="s">
        <v>685</v>
      </c>
      <c r="B148" t="s">
        <v>686</v>
      </c>
      <c r="C148" t="s">
        <v>419</v>
      </c>
      <c r="D148">
        <v>152</v>
      </c>
      <c r="E148">
        <v>121</v>
      </c>
      <c r="F148">
        <v>0</v>
      </c>
      <c r="G148">
        <v>0</v>
      </c>
      <c r="H148">
        <v>0</v>
      </c>
      <c r="I148">
        <v>0</v>
      </c>
      <c r="J148">
        <v>7</v>
      </c>
      <c r="K148">
        <v>7</v>
      </c>
      <c r="L148">
        <v>6</v>
      </c>
      <c r="M148">
        <v>0</v>
      </c>
      <c r="N148">
        <v>165</v>
      </c>
      <c r="O148">
        <v>128</v>
      </c>
      <c r="P148">
        <v>159</v>
      </c>
      <c r="Q148">
        <v>0</v>
      </c>
      <c r="R148">
        <v>1</v>
      </c>
      <c r="S148">
        <v>3</v>
      </c>
      <c r="T148">
        <v>27</v>
      </c>
      <c r="U148">
        <v>138</v>
      </c>
      <c r="V148" s="498">
        <v>125</v>
      </c>
      <c r="W148">
        <v>0</v>
      </c>
      <c r="X148" s="498">
        <v>0</v>
      </c>
      <c r="Y148" s="498">
        <v>0</v>
      </c>
      <c r="Z148" s="498">
        <v>96.06</v>
      </c>
      <c r="AA148" s="498">
        <v>95.88</v>
      </c>
      <c r="AB148">
        <v>7.87</v>
      </c>
      <c r="AC148">
        <v>101.37</v>
      </c>
      <c r="AD148">
        <v>117</v>
      </c>
      <c r="AE148">
        <v>98.44</v>
      </c>
      <c r="AF148">
        <v>89.49</v>
      </c>
      <c r="AG148">
        <v>26.05</v>
      </c>
      <c r="AH148">
        <v>124.49</v>
      </c>
      <c r="AI148">
        <v>7</v>
      </c>
      <c r="AJ148">
        <v>118.76</v>
      </c>
      <c r="AK148">
        <v>2</v>
      </c>
      <c r="AL148">
        <v>0</v>
      </c>
      <c r="AM148">
        <v>0</v>
      </c>
      <c r="AN148">
        <v>0</v>
      </c>
      <c r="AO148" s="499">
        <v>0</v>
      </c>
      <c r="AP148" s="499">
        <v>0</v>
      </c>
      <c r="AQ148">
        <v>0</v>
      </c>
      <c r="AR148">
        <v>0</v>
      </c>
      <c r="AS148">
        <v>0</v>
      </c>
      <c r="AT148">
        <v>0</v>
      </c>
      <c r="AU148">
        <v>0</v>
      </c>
      <c r="AV148">
        <v>0</v>
      </c>
      <c r="AW148">
        <v>0</v>
      </c>
      <c r="AX148">
        <v>74.38</v>
      </c>
      <c r="AY148">
        <v>80.19</v>
      </c>
      <c r="AZ148">
        <v>11.65</v>
      </c>
      <c r="BA148">
        <v>84.58</v>
      </c>
      <c r="BB148">
        <v>16</v>
      </c>
      <c r="BC148">
        <v>96.25</v>
      </c>
      <c r="BD148">
        <v>94.83</v>
      </c>
      <c r="BE148">
        <v>10.74</v>
      </c>
      <c r="BF148">
        <v>102.98</v>
      </c>
      <c r="BG148">
        <v>59</v>
      </c>
      <c r="BH148">
        <v>104.05</v>
      </c>
      <c r="BI148">
        <v>103.35</v>
      </c>
      <c r="BJ148">
        <v>2.19</v>
      </c>
      <c r="BK148">
        <v>105.51</v>
      </c>
      <c r="BL148" s="214">
        <v>42</v>
      </c>
      <c r="BM148" s="214">
        <v>0</v>
      </c>
      <c r="BN148">
        <v>0</v>
      </c>
      <c r="BO148" s="187">
        <v>0</v>
      </c>
      <c r="BP148" s="214">
        <v>0</v>
      </c>
      <c r="BQ148" s="214">
        <v>0</v>
      </c>
      <c r="BR148">
        <v>0</v>
      </c>
      <c r="BS148" s="187">
        <v>0</v>
      </c>
      <c r="BT148" s="214">
        <v>0</v>
      </c>
      <c r="BU148" s="214">
        <v>0</v>
      </c>
      <c r="BV148">
        <v>0</v>
      </c>
      <c r="BW148">
        <v>0</v>
      </c>
      <c r="BX148" s="214">
        <v>0</v>
      </c>
      <c r="BY148" s="214">
        <v>0</v>
      </c>
      <c r="BZ148">
        <v>0</v>
      </c>
      <c r="CA148" s="187">
        <v>0</v>
      </c>
      <c r="CB148" s="214">
        <v>96.06</v>
      </c>
      <c r="CC148" s="214">
        <v>95.88</v>
      </c>
      <c r="CD148">
        <v>7.87</v>
      </c>
      <c r="CE148" s="187">
        <v>101.37</v>
      </c>
      <c r="CF148" s="214">
        <v>117</v>
      </c>
      <c r="CG148" s="214">
        <v>96.06</v>
      </c>
      <c r="CH148">
        <v>95.88</v>
      </c>
      <c r="CI148">
        <v>7.87</v>
      </c>
      <c r="CJ148">
        <v>101.37</v>
      </c>
      <c r="CK148">
        <v>117</v>
      </c>
      <c r="CL148">
        <v>0</v>
      </c>
      <c r="CM148">
        <v>0</v>
      </c>
      <c r="CN148" s="187">
        <v>0</v>
      </c>
      <c r="CO148">
        <v>0</v>
      </c>
      <c r="CP148">
        <v>0</v>
      </c>
      <c r="CQ148">
        <v>0</v>
      </c>
      <c r="CR148">
        <v>0</v>
      </c>
      <c r="CS148" s="187">
        <v>0</v>
      </c>
      <c r="CT148">
        <v>0</v>
      </c>
      <c r="CU148">
        <v>0</v>
      </c>
      <c r="CV148">
        <v>98.44</v>
      </c>
      <c r="CW148">
        <v>89.49</v>
      </c>
      <c r="CX148" s="187">
        <v>26.05</v>
      </c>
      <c r="CY148">
        <v>124.49</v>
      </c>
      <c r="CZ148">
        <v>7</v>
      </c>
      <c r="DA148">
        <v>0</v>
      </c>
      <c r="DB148">
        <v>0</v>
      </c>
      <c r="DC148" s="187">
        <v>0</v>
      </c>
      <c r="DD148">
        <v>0</v>
      </c>
      <c r="DE148">
        <v>0</v>
      </c>
      <c r="DF148">
        <v>0</v>
      </c>
      <c r="DG148">
        <v>0</v>
      </c>
      <c r="DH148" s="187">
        <v>0</v>
      </c>
      <c r="DI148">
        <v>0</v>
      </c>
      <c r="DJ148">
        <v>0</v>
      </c>
      <c r="DK148">
        <v>0</v>
      </c>
      <c r="DL148">
        <v>0</v>
      </c>
      <c r="DM148" s="187">
        <v>0</v>
      </c>
      <c r="DN148">
        <v>0</v>
      </c>
      <c r="DO148">
        <v>0</v>
      </c>
      <c r="DP148">
        <v>98.44</v>
      </c>
      <c r="DQ148">
        <v>89.49</v>
      </c>
      <c r="DR148" s="187">
        <v>26.05</v>
      </c>
      <c r="DS148">
        <v>124.49</v>
      </c>
      <c r="DT148">
        <v>7</v>
      </c>
      <c r="DU148">
        <v>98.44</v>
      </c>
      <c r="DV148">
        <v>89.49</v>
      </c>
      <c r="DW148" s="187">
        <v>26.05</v>
      </c>
      <c r="DX148">
        <v>124.49</v>
      </c>
      <c r="DY148">
        <v>7</v>
      </c>
      <c r="DZ148">
        <v>0</v>
      </c>
      <c r="EA148">
        <v>0</v>
      </c>
      <c r="EB148" s="187">
        <v>0</v>
      </c>
      <c r="EC148">
        <v>0</v>
      </c>
      <c r="ED148">
        <v>105.02</v>
      </c>
      <c r="EE148">
        <v>1</v>
      </c>
      <c r="EF148">
        <v>132.5</v>
      </c>
      <c r="EG148" s="187">
        <v>1</v>
      </c>
      <c r="EH148">
        <v>0</v>
      </c>
      <c r="EI148">
        <v>0</v>
      </c>
      <c r="EJ148">
        <v>0</v>
      </c>
      <c r="EK148">
        <v>0</v>
      </c>
      <c r="EL148" s="187">
        <v>0</v>
      </c>
      <c r="EM148">
        <v>0</v>
      </c>
      <c r="EN148">
        <v>0</v>
      </c>
      <c r="EO148">
        <v>0</v>
      </c>
      <c r="EP148">
        <v>118.76</v>
      </c>
      <c r="EQ148" s="187">
        <v>2</v>
      </c>
      <c r="ER148">
        <v>118.76</v>
      </c>
      <c r="ES148">
        <v>2</v>
      </c>
      <c r="ET148">
        <v>0</v>
      </c>
      <c r="EU148">
        <v>0</v>
      </c>
      <c r="EV148" s="187">
        <v>0</v>
      </c>
      <c r="EW148">
        <v>0</v>
      </c>
      <c r="EX148">
        <v>0</v>
      </c>
      <c r="EY148">
        <v>0</v>
      </c>
      <c r="EZ148">
        <v>0</v>
      </c>
      <c r="FA148" s="187">
        <v>0</v>
      </c>
      <c r="FB148">
        <v>0</v>
      </c>
      <c r="FC148">
        <v>0</v>
      </c>
      <c r="FD148">
        <v>0</v>
      </c>
      <c r="FE148">
        <v>0</v>
      </c>
      <c r="FF148" s="187">
        <v>0</v>
      </c>
      <c r="FG148">
        <v>0</v>
      </c>
      <c r="FH148">
        <v>0</v>
      </c>
      <c r="FI148">
        <v>0</v>
      </c>
      <c r="FJ148">
        <v>0</v>
      </c>
      <c r="FK148" s="187">
        <v>0</v>
      </c>
      <c r="FL148">
        <v>0</v>
      </c>
      <c r="FM148">
        <v>0</v>
      </c>
      <c r="FN148">
        <v>1</v>
      </c>
    </row>
    <row r="149" spans="1:170" x14ac:dyDescent="0.35">
      <c r="A149" t="s">
        <v>687</v>
      </c>
      <c r="B149" t="s">
        <v>688</v>
      </c>
      <c r="C149" t="s">
        <v>416</v>
      </c>
      <c r="D149">
        <v>13805</v>
      </c>
      <c r="E149">
        <v>17200</v>
      </c>
      <c r="F149">
        <v>165</v>
      </c>
      <c r="G149">
        <v>186</v>
      </c>
      <c r="H149">
        <v>1485</v>
      </c>
      <c r="I149">
        <v>933</v>
      </c>
      <c r="J149">
        <v>742</v>
      </c>
      <c r="K149">
        <v>702</v>
      </c>
      <c r="L149">
        <v>1439</v>
      </c>
      <c r="M149">
        <v>36</v>
      </c>
      <c r="N149">
        <v>17636</v>
      </c>
      <c r="O149">
        <v>19057</v>
      </c>
      <c r="P149">
        <v>16197</v>
      </c>
      <c r="Q149">
        <v>153</v>
      </c>
      <c r="R149">
        <v>23</v>
      </c>
      <c r="S149">
        <v>24</v>
      </c>
      <c r="T149">
        <v>1431</v>
      </c>
      <c r="U149">
        <v>16205</v>
      </c>
      <c r="V149" s="498">
        <v>12795</v>
      </c>
      <c r="W149">
        <v>84</v>
      </c>
      <c r="X149" s="498">
        <v>86</v>
      </c>
      <c r="Y149" s="498">
        <v>170</v>
      </c>
      <c r="Z149" s="498">
        <v>128.5</v>
      </c>
      <c r="AA149" s="498">
        <v>138.32</v>
      </c>
      <c r="AB149">
        <v>13.61</v>
      </c>
      <c r="AC149">
        <v>139.47999999999999</v>
      </c>
      <c r="AD149">
        <v>11962</v>
      </c>
      <c r="AE149">
        <v>118.3</v>
      </c>
      <c r="AF149">
        <v>117.47</v>
      </c>
      <c r="AG149">
        <v>85.15</v>
      </c>
      <c r="AH149">
        <v>194.67</v>
      </c>
      <c r="AI149">
        <v>1716</v>
      </c>
      <c r="AJ149">
        <v>190.81</v>
      </c>
      <c r="AK149">
        <v>534</v>
      </c>
      <c r="AL149">
        <v>198.12</v>
      </c>
      <c r="AM149">
        <v>13</v>
      </c>
      <c r="AN149">
        <v>96.54</v>
      </c>
      <c r="AO149" s="499">
        <v>94.6</v>
      </c>
      <c r="AP149" s="499">
        <v>21.26</v>
      </c>
      <c r="AQ149">
        <v>116.39</v>
      </c>
      <c r="AR149">
        <v>60</v>
      </c>
      <c r="AS149">
        <v>94.12</v>
      </c>
      <c r="AT149">
        <v>95.56</v>
      </c>
      <c r="AU149">
        <v>9.92</v>
      </c>
      <c r="AV149">
        <v>103.39</v>
      </c>
      <c r="AW149">
        <v>182</v>
      </c>
      <c r="AX149">
        <v>113.6</v>
      </c>
      <c r="AY149">
        <v>118.88</v>
      </c>
      <c r="AZ149">
        <v>11.8</v>
      </c>
      <c r="BA149">
        <v>123.12</v>
      </c>
      <c r="BB149">
        <v>3862</v>
      </c>
      <c r="BC149">
        <v>129.94999999999999</v>
      </c>
      <c r="BD149">
        <v>138.97</v>
      </c>
      <c r="BE149">
        <v>14.58</v>
      </c>
      <c r="BF149">
        <v>141.81</v>
      </c>
      <c r="BG149">
        <v>4337</v>
      </c>
      <c r="BH149">
        <v>140.66999999999999</v>
      </c>
      <c r="BI149">
        <v>156.52000000000001</v>
      </c>
      <c r="BJ149">
        <v>14.55</v>
      </c>
      <c r="BK149">
        <v>152.4</v>
      </c>
      <c r="BL149" s="214">
        <v>2631</v>
      </c>
      <c r="BM149" s="214">
        <v>157.11000000000001</v>
      </c>
      <c r="BN149">
        <v>174.87</v>
      </c>
      <c r="BO149" s="187">
        <v>15.04</v>
      </c>
      <c r="BP149" s="214">
        <v>168.43</v>
      </c>
      <c r="BQ149" s="214">
        <v>706</v>
      </c>
      <c r="BR149">
        <v>166.47</v>
      </c>
      <c r="BS149" s="187">
        <v>183.38</v>
      </c>
      <c r="BT149" s="214">
        <v>11.53</v>
      </c>
      <c r="BU149" s="214">
        <v>174.65</v>
      </c>
      <c r="BV149">
        <v>162</v>
      </c>
      <c r="BW149">
        <v>176.36</v>
      </c>
      <c r="BX149" s="214">
        <v>193.8</v>
      </c>
      <c r="BY149" s="214">
        <v>7.12</v>
      </c>
      <c r="BZ149">
        <v>181.21</v>
      </c>
      <c r="CA149" s="187">
        <v>22</v>
      </c>
      <c r="CB149" s="214">
        <v>128.66</v>
      </c>
      <c r="CC149" s="214">
        <v>138.5</v>
      </c>
      <c r="CD149">
        <v>13.57</v>
      </c>
      <c r="CE149" s="187">
        <v>139.6</v>
      </c>
      <c r="CF149" s="214">
        <v>11902</v>
      </c>
      <c r="CG149" s="214">
        <v>128.5</v>
      </c>
      <c r="CH149">
        <v>138.32</v>
      </c>
      <c r="CI149">
        <v>13.61</v>
      </c>
      <c r="CJ149">
        <v>139.47999999999999</v>
      </c>
      <c r="CK149">
        <v>11962</v>
      </c>
      <c r="CL149">
        <v>102.11</v>
      </c>
      <c r="CM149">
        <v>103.28</v>
      </c>
      <c r="CN149" s="187">
        <v>146.99</v>
      </c>
      <c r="CO149">
        <v>238.22</v>
      </c>
      <c r="CP149">
        <v>432</v>
      </c>
      <c r="CQ149">
        <v>105.04</v>
      </c>
      <c r="CR149">
        <v>102.63</v>
      </c>
      <c r="CS149" s="187">
        <v>111.69</v>
      </c>
      <c r="CT149">
        <v>216.73</v>
      </c>
      <c r="CU149">
        <v>150</v>
      </c>
      <c r="CV149">
        <v>125.48</v>
      </c>
      <c r="CW149">
        <v>122.59</v>
      </c>
      <c r="CX149" s="187">
        <v>56.82</v>
      </c>
      <c r="CY149">
        <v>175.87</v>
      </c>
      <c r="CZ149">
        <v>1061</v>
      </c>
      <c r="DA149">
        <v>136.27000000000001</v>
      </c>
      <c r="DB149">
        <v>141.97999999999999</v>
      </c>
      <c r="DC149" s="187">
        <v>43.44</v>
      </c>
      <c r="DD149">
        <v>167.6</v>
      </c>
      <c r="DE149">
        <v>61</v>
      </c>
      <c r="DF149">
        <v>140.88</v>
      </c>
      <c r="DG149">
        <v>155.38999999999999</v>
      </c>
      <c r="DH149" s="187">
        <v>29.47</v>
      </c>
      <c r="DI149">
        <v>150.71</v>
      </c>
      <c r="DJ149">
        <v>12</v>
      </c>
      <c r="DK149">
        <v>0</v>
      </c>
      <c r="DL149">
        <v>0</v>
      </c>
      <c r="DM149" s="187">
        <v>0</v>
      </c>
      <c r="DN149">
        <v>0</v>
      </c>
      <c r="DO149">
        <v>0</v>
      </c>
      <c r="DP149">
        <v>123.75</v>
      </c>
      <c r="DQ149">
        <v>121.48</v>
      </c>
      <c r="DR149" s="187">
        <v>63.43</v>
      </c>
      <c r="DS149">
        <v>180.02</v>
      </c>
      <c r="DT149">
        <v>1284</v>
      </c>
      <c r="DU149">
        <v>118.3</v>
      </c>
      <c r="DV149">
        <v>117.47</v>
      </c>
      <c r="DW149" s="187">
        <v>85.15</v>
      </c>
      <c r="DX149">
        <v>194.67</v>
      </c>
      <c r="DY149">
        <v>1716</v>
      </c>
      <c r="DZ149">
        <v>168.67</v>
      </c>
      <c r="EA149">
        <v>1</v>
      </c>
      <c r="EB149" s="187">
        <v>135.99</v>
      </c>
      <c r="EC149">
        <v>5</v>
      </c>
      <c r="ED149">
        <v>177.67</v>
      </c>
      <c r="EE149">
        <v>276</v>
      </c>
      <c r="EF149">
        <v>205.26</v>
      </c>
      <c r="EG149" s="187">
        <v>176</v>
      </c>
      <c r="EH149">
        <v>210.75</v>
      </c>
      <c r="EI149">
        <v>53</v>
      </c>
      <c r="EJ149">
        <v>200.92</v>
      </c>
      <c r="EK149">
        <v>22</v>
      </c>
      <c r="EL149" s="187">
        <v>289.51</v>
      </c>
      <c r="EM149">
        <v>1</v>
      </c>
      <c r="EN149">
        <v>0</v>
      </c>
      <c r="EO149">
        <v>0</v>
      </c>
      <c r="EP149">
        <v>190.85</v>
      </c>
      <c r="EQ149" s="187">
        <v>533</v>
      </c>
      <c r="ER149">
        <v>190.81</v>
      </c>
      <c r="ES149">
        <v>534</v>
      </c>
      <c r="ET149">
        <v>0</v>
      </c>
      <c r="EU149">
        <v>0</v>
      </c>
      <c r="EV149" s="187">
        <v>0</v>
      </c>
      <c r="EW149">
        <v>0</v>
      </c>
      <c r="EX149">
        <v>194.39</v>
      </c>
      <c r="EY149">
        <v>11</v>
      </c>
      <c r="EZ149">
        <v>218.65</v>
      </c>
      <c r="FA149" s="187">
        <v>2</v>
      </c>
      <c r="FB149">
        <v>0</v>
      </c>
      <c r="FC149">
        <v>0</v>
      </c>
      <c r="FD149">
        <v>0</v>
      </c>
      <c r="FE149">
        <v>0</v>
      </c>
      <c r="FF149" s="187">
        <v>198.12</v>
      </c>
      <c r="FG149">
        <v>13</v>
      </c>
      <c r="FH149">
        <v>198.12</v>
      </c>
      <c r="FI149">
        <v>13</v>
      </c>
      <c r="FJ149">
        <v>59</v>
      </c>
      <c r="FK149" s="187">
        <v>20</v>
      </c>
      <c r="FL149">
        <v>4</v>
      </c>
      <c r="FM149">
        <v>5</v>
      </c>
      <c r="FN149">
        <v>23</v>
      </c>
    </row>
    <row r="150" spans="1:170" x14ac:dyDescent="0.35">
      <c r="A150" t="s">
        <v>689</v>
      </c>
      <c r="B150" t="s">
        <v>690</v>
      </c>
      <c r="C150" t="s">
        <v>416</v>
      </c>
      <c r="D150">
        <v>10884</v>
      </c>
      <c r="E150">
        <v>10034</v>
      </c>
      <c r="F150">
        <v>142</v>
      </c>
      <c r="G150">
        <v>125</v>
      </c>
      <c r="H150">
        <v>1032</v>
      </c>
      <c r="I150">
        <v>673</v>
      </c>
      <c r="J150">
        <v>913</v>
      </c>
      <c r="K150">
        <v>647</v>
      </c>
      <c r="L150">
        <v>541</v>
      </c>
      <c r="M150">
        <v>26</v>
      </c>
      <c r="N150">
        <v>13512</v>
      </c>
      <c r="O150">
        <v>11505</v>
      </c>
      <c r="P150">
        <v>12971</v>
      </c>
      <c r="Q150">
        <v>133</v>
      </c>
      <c r="R150">
        <v>13</v>
      </c>
      <c r="S150">
        <v>24</v>
      </c>
      <c r="T150">
        <v>1212</v>
      </c>
      <c r="U150">
        <v>12300</v>
      </c>
      <c r="V150" s="498">
        <v>10073</v>
      </c>
      <c r="W150">
        <v>69</v>
      </c>
      <c r="X150" s="498">
        <v>287</v>
      </c>
      <c r="Y150" s="498">
        <v>356</v>
      </c>
      <c r="Z150" s="498">
        <v>130.47</v>
      </c>
      <c r="AA150" s="498">
        <v>152.22</v>
      </c>
      <c r="AB150">
        <v>11.93</v>
      </c>
      <c r="AC150">
        <v>138.56</v>
      </c>
      <c r="AD150">
        <v>9433</v>
      </c>
      <c r="AE150">
        <v>117.58</v>
      </c>
      <c r="AF150">
        <v>129.34</v>
      </c>
      <c r="AG150">
        <v>71.81</v>
      </c>
      <c r="AH150">
        <v>173.77</v>
      </c>
      <c r="AI150">
        <v>1522</v>
      </c>
      <c r="AJ150">
        <v>215.39</v>
      </c>
      <c r="AK150">
        <v>626</v>
      </c>
      <c r="AL150">
        <v>191.52</v>
      </c>
      <c r="AM150">
        <v>31</v>
      </c>
      <c r="AN150">
        <v>0</v>
      </c>
      <c r="AO150" s="499">
        <v>0</v>
      </c>
      <c r="AP150" s="499">
        <v>0</v>
      </c>
      <c r="AQ150">
        <v>0</v>
      </c>
      <c r="AR150">
        <v>0</v>
      </c>
      <c r="AS150">
        <v>107.47</v>
      </c>
      <c r="AT150">
        <v>114.9</v>
      </c>
      <c r="AU150">
        <v>12.7</v>
      </c>
      <c r="AV150">
        <v>116.67</v>
      </c>
      <c r="AW150">
        <v>491</v>
      </c>
      <c r="AX150">
        <v>122.24</v>
      </c>
      <c r="AY150">
        <v>137.55000000000001</v>
      </c>
      <c r="AZ150">
        <v>10.94</v>
      </c>
      <c r="BA150">
        <v>129.58000000000001</v>
      </c>
      <c r="BB150">
        <v>3716</v>
      </c>
      <c r="BC150">
        <v>133.08000000000001</v>
      </c>
      <c r="BD150">
        <v>158.94999999999999</v>
      </c>
      <c r="BE150">
        <v>12.53</v>
      </c>
      <c r="BF150">
        <v>141.99</v>
      </c>
      <c r="BG150">
        <v>3207</v>
      </c>
      <c r="BH150">
        <v>144.46</v>
      </c>
      <c r="BI150">
        <v>174.91</v>
      </c>
      <c r="BJ150">
        <v>12.69</v>
      </c>
      <c r="BK150">
        <v>152.94999999999999</v>
      </c>
      <c r="BL150" s="214">
        <v>1606</v>
      </c>
      <c r="BM150" s="214">
        <v>155.83000000000001</v>
      </c>
      <c r="BN150">
        <v>186.69</v>
      </c>
      <c r="BO150" s="187">
        <v>11.87</v>
      </c>
      <c r="BP150" s="214">
        <v>161.47</v>
      </c>
      <c r="BQ150" s="214">
        <v>379</v>
      </c>
      <c r="BR150">
        <v>170.91</v>
      </c>
      <c r="BS150" s="187">
        <v>195.51</v>
      </c>
      <c r="BT150" s="214">
        <v>12.53</v>
      </c>
      <c r="BU150" s="214">
        <v>178.59</v>
      </c>
      <c r="BV150">
        <v>31</v>
      </c>
      <c r="BW150">
        <v>173.57</v>
      </c>
      <c r="BX150" s="214">
        <v>261.77</v>
      </c>
      <c r="BY150" s="214">
        <v>19</v>
      </c>
      <c r="BZ150">
        <v>179.9</v>
      </c>
      <c r="CA150" s="187">
        <v>3</v>
      </c>
      <c r="CB150" s="214">
        <v>130.47</v>
      </c>
      <c r="CC150" s="214">
        <v>152.22</v>
      </c>
      <c r="CD150">
        <v>11.93</v>
      </c>
      <c r="CE150" s="187">
        <v>138.56</v>
      </c>
      <c r="CF150" s="214">
        <v>9433</v>
      </c>
      <c r="CG150" s="214">
        <v>130.47</v>
      </c>
      <c r="CH150">
        <v>152.22</v>
      </c>
      <c r="CI150">
        <v>11.93</v>
      </c>
      <c r="CJ150">
        <v>138.56</v>
      </c>
      <c r="CK150">
        <v>9433</v>
      </c>
      <c r="CL150">
        <v>110.71</v>
      </c>
      <c r="CM150">
        <v>111.66</v>
      </c>
      <c r="CN150" s="187">
        <v>151.44</v>
      </c>
      <c r="CO150">
        <v>232.55</v>
      </c>
      <c r="CP150">
        <v>307</v>
      </c>
      <c r="CQ150">
        <v>106.12</v>
      </c>
      <c r="CR150">
        <v>124.96</v>
      </c>
      <c r="CS150" s="187">
        <v>58.47</v>
      </c>
      <c r="CT150">
        <v>143.12</v>
      </c>
      <c r="CU150">
        <v>365</v>
      </c>
      <c r="CV150">
        <v>123.31</v>
      </c>
      <c r="CW150">
        <v>134.54</v>
      </c>
      <c r="CX150" s="187">
        <v>50.56</v>
      </c>
      <c r="CY150">
        <v>165.25</v>
      </c>
      <c r="CZ150">
        <v>751</v>
      </c>
      <c r="DA150">
        <v>137.63</v>
      </c>
      <c r="DB150">
        <v>161.99</v>
      </c>
      <c r="DC150" s="187">
        <v>35.380000000000003</v>
      </c>
      <c r="DD150">
        <v>169.59</v>
      </c>
      <c r="DE150">
        <v>93</v>
      </c>
      <c r="DF150">
        <v>130.88999999999999</v>
      </c>
      <c r="DG150">
        <v>142.28</v>
      </c>
      <c r="DH150" s="187">
        <v>26.35</v>
      </c>
      <c r="DI150">
        <v>157.24</v>
      </c>
      <c r="DJ150">
        <v>5</v>
      </c>
      <c r="DK150">
        <v>172.93</v>
      </c>
      <c r="DL150">
        <v>175.12</v>
      </c>
      <c r="DM150" s="187">
        <v>10.95</v>
      </c>
      <c r="DN150">
        <v>183.88</v>
      </c>
      <c r="DO150">
        <v>1</v>
      </c>
      <c r="DP150">
        <v>119.31</v>
      </c>
      <c r="DQ150">
        <v>133.81</v>
      </c>
      <c r="DR150" s="187">
        <v>50.97</v>
      </c>
      <c r="DS150">
        <v>158.91999999999999</v>
      </c>
      <c r="DT150">
        <v>1215</v>
      </c>
      <c r="DU150">
        <v>117.58</v>
      </c>
      <c r="DV150">
        <v>129.34</v>
      </c>
      <c r="DW150" s="187">
        <v>71.81</v>
      </c>
      <c r="DX150">
        <v>173.77</v>
      </c>
      <c r="DY150">
        <v>1522</v>
      </c>
      <c r="DZ150">
        <v>0</v>
      </c>
      <c r="EA150">
        <v>0</v>
      </c>
      <c r="EB150" s="187">
        <v>192.52</v>
      </c>
      <c r="EC150">
        <v>73</v>
      </c>
      <c r="ED150">
        <v>213.27</v>
      </c>
      <c r="EE150">
        <v>320</v>
      </c>
      <c r="EF150">
        <v>226.56</v>
      </c>
      <c r="EG150" s="187">
        <v>189</v>
      </c>
      <c r="EH150">
        <v>223.36</v>
      </c>
      <c r="EI150">
        <v>34</v>
      </c>
      <c r="EJ150">
        <v>207.9</v>
      </c>
      <c r="EK150">
        <v>8</v>
      </c>
      <c r="EL150" s="187">
        <v>227.99</v>
      </c>
      <c r="EM150">
        <v>2</v>
      </c>
      <c r="EN150">
        <v>0</v>
      </c>
      <c r="EO150">
        <v>0</v>
      </c>
      <c r="EP150">
        <v>215.39</v>
      </c>
      <c r="EQ150" s="187">
        <v>626</v>
      </c>
      <c r="ER150">
        <v>215.39</v>
      </c>
      <c r="ES150">
        <v>626</v>
      </c>
      <c r="ET150">
        <v>0</v>
      </c>
      <c r="EU150">
        <v>0</v>
      </c>
      <c r="EV150" s="187">
        <v>200.71</v>
      </c>
      <c r="EW150">
        <v>9</v>
      </c>
      <c r="EX150">
        <v>187.76</v>
      </c>
      <c r="EY150">
        <v>22</v>
      </c>
      <c r="EZ150">
        <v>0</v>
      </c>
      <c r="FA150" s="187">
        <v>0</v>
      </c>
      <c r="FB150">
        <v>0</v>
      </c>
      <c r="FC150">
        <v>0</v>
      </c>
      <c r="FD150">
        <v>0</v>
      </c>
      <c r="FE150">
        <v>0</v>
      </c>
      <c r="FF150" s="187">
        <v>191.52</v>
      </c>
      <c r="FG150">
        <v>31</v>
      </c>
      <c r="FH150">
        <v>191.52</v>
      </c>
      <c r="FI150">
        <v>31</v>
      </c>
      <c r="FJ150">
        <v>0</v>
      </c>
      <c r="FK150" s="187">
        <v>3</v>
      </c>
      <c r="FL150">
        <v>2</v>
      </c>
      <c r="FM150">
        <v>0</v>
      </c>
      <c r="FN150">
        <v>18</v>
      </c>
    </row>
    <row r="151" spans="1:170" x14ac:dyDescent="0.35">
      <c r="A151" t="s">
        <v>691</v>
      </c>
      <c r="B151" t="s">
        <v>692</v>
      </c>
      <c r="C151" t="s">
        <v>415</v>
      </c>
      <c r="D151">
        <v>8488</v>
      </c>
      <c r="E151">
        <v>8497</v>
      </c>
      <c r="F151">
        <v>18</v>
      </c>
      <c r="G151">
        <v>0</v>
      </c>
      <c r="H151">
        <v>284</v>
      </c>
      <c r="I151">
        <v>197</v>
      </c>
      <c r="J151">
        <v>912</v>
      </c>
      <c r="K151">
        <v>912</v>
      </c>
      <c r="L151">
        <v>219</v>
      </c>
      <c r="M151">
        <v>7</v>
      </c>
      <c r="N151">
        <v>9921</v>
      </c>
      <c r="O151">
        <v>9613</v>
      </c>
      <c r="P151">
        <v>9702</v>
      </c>
      <c r="Q151">
        <v>105</v>
      </c>
      <c r="R151">
        <v>5</v>
      </c>
      <c r="S151">
        <v>19</v>
      </c>
      <c r="T151">
        <v>65</v>
      </c>
      <c r="U151">
        <v>9856</v>
      </c>
      <c r="V151" s="498">
        <v>8473</v>
      </c>
      <c r="W151">
        <v>79</v>
      </c>
      <c r="X151" s="498">
        <v>147</v>
      </c>
      <c r="Y151" s="498">
        <v>226</v>
      </c>
      <c r="Z151" s="498">
        <v>85.81</v>
      </c>
      <c r="AA151" s="498">
        <v>82.63</v>
      </c>
      <c r="AB151">
        <v>6.22</v>
      </c>
      <c r="AC151">
        <v>88.07</v>
      </c>
      <c r="AD151">
        <v>7730</v>
      </c>
      <c r="AE151">
        <v>91.68</v>
      </c>
      <c r="AF151">
        <v>78.98</v>
      </c>
      <c r="AG151">
        <v>26.43</v>
      </c>
      <c r="AH151">
        <v>117.95</v>
      </c>
      <c r="AI151">
        <v>1129</v>
      </c>
      <c r="AJ151">
        <v>109.56</v>
      </c>
      <c r="AK151">
        <v>733</v>
      </c>
      <c r="AL151">
        <v>98.61</v>
      </c>
      <c r="AM151">
        <v>17</v>
      </c>
      <c r="AN151">
        <v>54.12</v>
      </c>
      <c r="AO151" s="499">
        <v>52.32</v>
      </c>
      <c r="AP151" s="499">
        <v>152.32</v>
      </c>
      <c r="AQ151">
        <v>206.44</v>
      </c>
      <c r="AR151">
        <v>18</v>
      </c>
      <c r="AS151">
        <v>69.95</v>
      </c>
      <c r="AT151">
        <v>67.510000000000005</v>
      </c>
      <c r="AU151">
        <v>9.24</v>
      </c>
      <c r="AV151">
        <v>77.819999999999993</v>
      </c>
      <c r="AW151">
        <v>47</v>
      </c>
      <c r="AX151">
        <v>74.13</v>
      </c>
      <c r="AY151">
        <v>71.28</v>
      </c>
      <c r="AZ151">
        <v>7.82</v>
      </c>
      <c r="BA151">
        <v>78.86</v>
      </c>
      <c r="BB151">
        <v>1639</v>
      </c>
      <c r="BC151">
        <v>84.96</v>
      </c>
      <c r="BD151">
        <v>81.62</v>
      </c>
      <c r="BE151">
        <v>4.37</v>
      </c>
      <c r="BF151">
        <v>86.5</v>
      </c>
      <c r="BG151">
        <v>3186</v>
      </c>
      <c r="BH151">
        <v>93.28</v>
      </c>
      <c r="BI151">
        <v>89.92</v>
      </c>
      <c r="BJ151">
        <v>2.68</v>
      </c>
      <c r="BK151">
        <v>93.87</v>
      </c>
      <c r="BL151" s="214">
        <v>2676</v>
      </c>
      <c r="BM151" s="214">
        <v>104.77</v>
      </c>
      <c r="BN151">
        <v>103.66</v>
      </c>
      <c r="BO151" s="187">
        <v>2.16</v>
      </c>
      <c r="BP151" s="214">
        <v>105.48</v>
      </c>
      <c r="BQ151" s="214">
        <v>146</v>
      </c>
      <c r="BR151">
        <v>110.82</v>
      </c>
      <c r="BS151" s="187">
        <v>109.87</v>
      </c>
      <c r="BT151" s="214">
        <v>2.65</v>
      </c>
      <c r="BU151" s="214">
        <v>111</v>
      </c>
      <c r="BV151">
        <v>15</v>
      </c>
      <c r="BW151">
        <v>109.39</v>
      </c>
      <c r="BX151" s="214">
        <v>113.23</v>
      </c>
      <c r="BY151" s="214">
        <v>0</v>
      </c>
      <c r="BZ151">
        <v>109.39</v>
      </c>
      <c r="CA151" s="187">
        <v>3</v>
      </c>
      <c r="CB151" s="214">
        <v>85.89</v>
      </c>
      <c r="CC151" s="214">
        <v>82.7</v>
      </c>
      <c r="CD151">
        <v>5.27</v>
      </c>
      <c r="CE151" s="187">
        <v>87.8</v>
      </c>
      <c r="CF151" s="214">
        <v>7712</v>
      </c>
      <c r="CG151" s="214">
        <v>85.81</v>
      </c>
      <c r="CH151">
        <v>82.63</v>
      </c>
      <c r="CI151">
        <v>6.22</v>
      </c>
      <c r="CJ151">
        <v>88.07</v>
      </c>
      <c r="CK151">
        <v>7730</v>
      </c>
      <c r="CL151">
        <v>125.95</v>
      </c>
      <c r="CM151">
        <v>104.66</v>
      </c>
      <c r="CN151" s="187">
        <v>64.91</v>
      </c>
      <c r="CO151">
        <v>190.86</v>
      </c>
      <c r="CP151">
        <v>98</v>
      </c>
      <c r="CQ151">
        <v>69.040000000000006</v>
      </c>
      <c r="CR151">
        <v>58.48</v>
      </c>
      <c r="CS151" s="187">
        <v>22.14</v>
      </c>
      <c r="CT151">
        <v>91.17</v>
      </c>
      <c r="CU151">
        <v>104</v>
      </c>
      <c r="CV151">
        <v>89.64</v>
      </c>
      <c r="CW151">
        <v>77.81</v>
      </c>
      <c r="CX151" s="187">
        <v>24.42</v>
      </c>
      <c r="CY151">
        <v>113.83</v>
      </c>
      <c r="CZ151">
        <v>774</v>
      </c>
      <c r="DA151">
        <v>94.9</v>
      </c>
      <c r="DB151">
        <v>87.05</v>
      </c>
      <c r="DC151" s="187">
        <v>15.01</v>
      </c>
      <c r="DD151">
        <v>109.91</v>
      </c>
      <c r="DE151">
        <v>145</v>
      </c>
      <c r="DF151">
        <v>105.88</v>
      </c>
      <c r="DG151">
        <v>97.94</v>
      </c>
      <c r="DH151" s="187">
        <v>11.09</v>
      </c>
      <c r="DI151">
        <v>116.97</v>
      </c>
      <c r="DJ151">
        <v>8</v>
      </c>
      <c r="DK151">
        <v>0</v>
      </c>
      <c r="DL151">
        <v>0</v>
      </c>
      <c r="DM151" s="187">
        <v>0</v>
      </c>
      <c r="DN151">
        <v>0</v>
      </c>
      <c r="DO151">
        <v>0</v>
      </c>
      <c r="DP151">
        <v>88.43</v>
      </c>
      <c r="DQ151">
        <v>77.52</v>
      </c>
      <c r="DR151" s="187">
        <v>22.75</v>
      </c>
      <c r="DS151">
        <v>111.02</v>
      </c>
      <c r="DT151">
        <v>1031</v>
      </c>
      <c r="DU151">
        <v>91.68</v>
      </c>
      <c r="DV151">
        <v>78.98</v>
      </c>
      <c r="DW151" s="187">
        <v>26.43</v>
      </c>
      <c r="DX151">
        <v>117.95</v>
      </c>
      <c r="DY151">
        <v>1129</v>
      </c>
      <c r="DZ151">
        <v>0</v>
      </c>
      <c r="EA151">
        <v>0</v>
      </c>
      <c r="EB151" s="187">
        <v>68.989999999999995</v>
      </c>
      <c r="EC151">
        <v>1</v>
      </c>
      <c r="ED151">
        <v>88.66</v>
      </c>
      <c r="EE151">
        <v>115</v>
      </c>
      <c r="EF151">
        <v>108.5</v>
      </c>
      <c r="EG151" s="187">
        <v>302</v>
      </c>
      <c r="EH151">
        <v>116.26</v>
      </c>
      <c r="EI151">
        <v>288</v>
      </c>
      <c r="EJ151">
        <v>141.85</v>
      </c>
      <c r="EK151">
        <v>23</v>
      </c>
      <c r="EL151" s="187">
        <v>132.27000000000001</v>
      </c>
      <c r="EM151">
        <v>4</v>
      </c>
      <c r="EN151">
        <v>0</v>
      </c>
      <c r="EO151">
        <v>0</v>
      </c>
      <c r="EP151">
        <v>109.56</v>
      </c>
      <c r="EQ151" s="187">
        <v>733</v>
      </c>
      <c r="ER151">
        <v>109.56</v>
      </c>
      <c r="ES151">
        <v>733</v>
      </c>
      <c r="ET151">
        <v>0</v>
      </c>
      <c r="EU151">
        <v>0</v>
      </c>
      <c r="EV151" s="187">
        <v>0</v>
      </c>
      <c r="EW151">
        <v>0</v>
      </c>
      <c r="EX151">
        <v>98.61</v>
      </c>
      <c r="EY151">
        <v>17</v>
      </c>
      <c r="EZ151">
        <v>0</v>
      </c>
      <c r="FA151" s="187">
        <v>0</v>
      </c>
      <c r="FB151">
        <v>0</v>
      </c>
      <c r="FC151">
        <v>0</v>
      </c>
      <c r="FD151">
        <v>0</v>
      </c>
      <c r="FE151">
        <v>0</v>
      </c>
      <c r="FF151" s="187">
        <v>98.61</v>
      </c>
      <c r="FG151">
        <v>17</v>
      </c>
      <c r="FH151">
        <v>98.61</v>
      </c>
      <c r="FI151">
        <v>17</v>
      </c>
      <c r="FJ151">
        <v>0</v>
      </c>
      <c r="FK151" s="187">
        <v>31</v>
      </c>
      <c r="FL151">
        <v>2</v>
      </c>
      <c r="FM151">
        <v>7</v>
      </c>
      <c r="FN151">
        <v>6</v>
      </c>
    </row>
    <row r="152" spans="1:170" x14ac:dyDescent="0.35">
      <c r="A152" t="s">
        <v>693</v>
      </c>
      <c r="B152" t="s">
        <v>694</v>
      </c>
      <c r="C152" t="s">
        <v>1048</v>
      </c>
      <c r="D152">
        <v>7274</v>
      </c>
      <c r="E152">
        <v>7039</v>
      </c>
      <c r="F152">
        <v>0</v>
      </c>
      <c r="G152">
        <v>0</v>
      </c>
      <c r="H152">
        <v>983</v>
      </c>
      <c r="I152">
        <v>807</v>
      </c>
      <c r="J152">
        <v>1261</v>
      </c>
      <c r="K152">
        <v>960</v>
      </c>
      <c r="L152">
        <v>341</v>
      </c>
      <c r="M152">
        <v>0</v>
      </c>
      <c r="N152">
        <v>9859</v>
      </c>
      <c r="O152">
        <v>8806</v>
      </c>
      <c r="P152">
        <v>9518</v>
      </c>
      <c r="Q152">
        <v>1</v>
      </c>
      <c r="R152">
        <v>14</v>
      </c>
      <c r="S152">
        <v>20</v>
      </c>
      <c r="T152">
        <v>786</v>
      </c>
      <c r="U152">
        <v>9073</v>
      </c>
      <c r="V152" s="498">
        <v>7032</v>
      </c>
      <c r="W152">
        <v>39</v>
      </c>
      <c r="X152" s="498">
        <v>58</v>
      </c>
      <c r="Y152" s="498">
        <v>97</v>
      </c>
      <c r="Z152" s="498">
        <v>84.2</v>
      </c>
      <c r="AA152" s="498">
        <v>83.84</v>
      </c>
      <c r="AB152">
        <v>5.96</v>
      </c>
      <c r="AC152">
        <v>88.89</v>
      </c>
      <c r="AD152">
        <v>6090</v>
      </c>
      <c r="AE152">
        <v>82.04</v>
      </c>
      <c r="AF152">
        <v>76.349999999999994</v>
      </c>
      <c r="AG152">
        <v>57.97</v>
      </c>
      <c r="AH152">
        <v>136.05000000000001</v>
      </c>
      <c r="AI152">
        <v>1670</v>
      </c>
      <c r="AJ152">
        <v>98.69</v>
      </c>
      <c r="AK152">
        <v>981</v>
      </c>
      <c r="AL152">
        <v>231.92</v>
      </c>
      <c r="AM152">
        <v>30</v>
      </c>
      <c r="AN152">
        <v>0</v>
      </c>
      <c r="AO152" s="499">
        <v>0</v>
      </c>
      <c r="AP152" s="499">
        <v>0</v>
      </c>
      <c r="AQ152">
        <v>0</v>
      </c>
      <c r="AR152">
        <v>0</v>
      </c>
      <c r="AS152">
        <v>62.33</v>
      </c>
      <c r="AT152">
        <v>62.3</v>
      </c>
      <c r="AU152">
        <v>10.65</v>
      </c>
      <c r="AV152">
        <v>72.98</v>
      </c>
      <c r="AW152">
        <v>31</v>
      </c>
      <c r="AX152">
        <v>72.14</v>
      </c>
      <c r="AY152">
        <v>71.78</v>
      </c>
      <c r="AZ152">
        <v>8.41</v>
      </c>
      <c r="BA152">
        <v>80.45</v>
      </c>
      <c r="BB152">
        <v>1564</v>
      </c>
      <c r="BC152">
        <v>88.72</v>
      </c>
      <c r="BD152">
        <v>88.12</v>
      </c>
      <c r="BE152">
        <v>6.41</v>
      </c>
      <c r="BF152">
        <v>93.64</v>
      </c>
      <c r="BG152">
        <v>2666</v>
      </c>
      <c r="BH152">
        <v>86.76</v>
      </c>
      <c r="BI152">
        <v>86.8</v>
      </c>
      <c r="BJ152">
        <v>1.79</v>
      </c>
      <c r="BK152">
        <v>87.95</v>
      </c>
      <c r="BL152" s="214">
        <v>1613</v>
      </c>
      <c r="BM152" s="214">
        <v>99.22</v>
      </c>
      <c r="BN152">
        <v>98.77</v>
      </c>
      <c r="BO152" s="187">
        <v>1.84</v>
      </c>
      <c r="BP152" s="214">
        <v>100.1</v>
      </c>
      <c r="BQ152" s="214">
        <v>206</v>
      </c>
      <c r="BR152">
        <v>109.3</v>
      </c>
      <c r="BS152" s="187">
        <v>108.72</v>
      </c>
      <c r="BT152" s="214">
        <v>3.09</v>
      </c>
      <c r="BU152" s="214">
        <v>111.02</v>
      </c>
      <c r="BV152">
        <v>9</v>
      </c>
      <c r="BW152">
        <v>111.36</v>
      </c>
      <c r="BX152" s="214">
        <v>110.97</v>
      </c>
      <c r="BY152" s="214">
        <v>0</v>
      </c>
      <c r="BZ152">
        <v>111.36</v>
      </c>
      <c r="CA152" s="187">
        <v>1</v>
      </c>
      <c r="CB152" s="214">
        <v>84.2</v>
      </c>
      <c r="CC152" s="214">
        <v>83.84</v>
      </c>
      <c r="CD152">
        <v>5.96</v>
      </c>
      <c r="CE152" s="187">
        <v>88.89</v>
      </c>
      <c r="CF152" s="214">
        <v>6090</v>
      </c>
      <c r="CG152" s="214">
        <v>84.2</v>
      </c>
      <c r="CH152">
        <v>83.84</v>
      </c>
      <c r="CI152">
        <v>5.96</v>
      </c>
      <c r="CJ152">
        <v>88.89</v>
      </c>
      <c r="CK152">
        <v>6090</v>
      </c>
      <c r="CL152">
        <v>82.47</v>
      </c>
      <c r="CM152">
        <v>74.58</v>
      </c>
      <c r="CN152" s="187">
        <v>152.22</v>
      </c>
      <c r="CO152">
        <v>202.42</v>
      </c>
      <c r="CP152">
        <v>250</v>
      </c>
      <c r="CQ152">
        <v>70.11</v>
      </c>
      <c r="CR152">
        <v>64.510000000000005</v>
      </c>
      <c r="CS152" s="187">
        <v>39.770000000000003</v>
      </c>
      <c r="CT152">
        <v>109.88</v>
      </c>
      <c r="CU152">
        <v>78</v>
      </c>
      <c r="CV152">
        <v>80.260000000000005</v>
      </c>
      <c r="CW152">
        <v>75.510000000000005</v>
      </c>
      <c r="CX152" s="187">
        <v>42.55</v>
      </c>
      <c r="CY152">
        <v>120.76</v>
      </c>
      <c r="CZ152">
        <v>1165</v>
      </c>
      <c r="DA152">
        <v>96.43</v>
      </c>
      <c r="DB152">
        <v>86.17</v>
      </c>
      <c r="DC152" s="187">
        <v>55.05</v>
      </c>
      <c r="DD152">
        <v>150.36000000000001</v>
      </c>
      <c r="DE152">
        <v>147</v>
      </c>
      <c r="DF152">
        <v>107.21</v>
      </c>
      <c r="DG152">
        <v>109.21</v>
      </c>
      <c r="DH152" s="187">
        <v>73.06</v>
      </c>
      <c r="DI152">
        <v>175.22</v>
      </c>
      <c r="DJ152">
        <v>29</v>
      </c>
      <c r="DK152">
        <v>134.43</v>
      </c>
      <c r="DL152">
        <v>141.52000000000001</v>
      </c>
      <c r="DM152" s="187">
        <v>21.46</v>
      </c>
      <c r="DN152">
        <v>155.88999999999999</v>
      </c>
      <c r="DO152">
        <v>1</v>
      </c>
      <c r="DP152">
        <v>81.96</v>
      </c>
      <c r="DQ152">
        <v>76.67</v>
      </c>
      <c r="DR152" s="187">
        <v>44.3</v>
      </c>
      <c r="DS152">
        <v>124.36</v>
      </c>
      <c r="DT152">
        <v>1420</v>
      </c>
      <c r="DU152">
        <v>82.04</v>
      </c>
      <c r="DV152">
        <v>76.349999999999994</v>
      </c>
      <c r="DW152" s="187">
        <v>57.97</v>
      </c>
      <c r="DX152">
        <v>136.05000000000001</v>
      </c>
      <c r="DY152">
        <v>1670</v>
      </c>
      <c r="DZ152">
        <v>0</v>
      </c>
      <c r="EA152">
        <v>0</v>
      </c>
      <c r="EB152" s="187">
        <v>0</v>
      </c>
      <c r="EC152">
        <v>0</v>
      </c>
      <c r="ED152">
        <v>75.36</v>
      </c>
      <c r="EE152">
        <v>36</v>
      </c>
      <c r="EF152">
        <v>93.62</v>
      </c>
      <c r="EG152" s="187">
        <v>480</v>
      </c>
      <c r="EH152">
        <v>104.27</v>
      </c>
      <c r="EI152">
        <v>407</v>
      </c>
      <c r="EJ152">
        <v>116.13</v>
      </c>
      <c r="EK152">
        <v>57</v>
      </c>
      <c r="EL152" s="187">
        <v>107.76</v>
      </c>
      <c r="EM152">
        <v>1</v>
      </c>
      <c r="EN152">
        <v>0</v>
      </c>
      <c r="EO152">
        <v>0</v>
      </c>
      <c r="EP152">
        <v>98.69</v>
      </c>
      <c r="EQ152" s="187">
        <v>981</v>
      </c>
      <c r="ER152">
        <v>98.69</v>
      </c>
      <c r="ES152">
        <v>981</v>
      </c>
      <c r="ET152">
        <v>0</v>
      </c>
      <c r="EU152">
        <v>0</v>
      </c>
      <c r="EV152" s="187">
        <v>231.92</v>
      </c>
      <c r="EW152">
        <v>30</v>
      </c>
      <c r="EX152">
        <v>0</v>
      </c>
      <c r="EY152">
        <v>0</v>
      </c>
      <c r="EZ152">
        <v>0</v>
      </c>
      <c r="FA152" s="187">
        <v>0</v>
      </c>
      <c r="FB152">
        <v>0</v>
      </c>
      <c r="FC152">
        <v>0</v>
      </c>
      <c r="FD152">
        <v>0</v>
      </c>
      <c r="FE152">
        <v>0</v>
      </c>
      <c r="FF152" s="187">
        <v>231.92</v>
      </c>
      <c r="FG152">
        <v>30</v>
      </c>
      <c r="FH152">
        <v>231.92</v>
      </c>
      <c r="FI152">
        <v>30</v>
      </c>
      <c r="FJ152">
        <v>683</v>
      </c>
      <c r="FK152" s="187">
        <v>5</v>
      </c>
      <c r="FL152">
        <v>0</v>
      </c>
      <c r="FM152">
        <v>1</v>
      </c>
      <c r="FN152">
        <v>4</v>
      </c>
    </row>
    <row r="153" spans="1:170" x14ac:dyDescent="0.35">
      <c r="A153" t="s">
        <v>695</v>
      </c>
      <c r="B153" t="s">
        <v>696</v>
      </c>
      <c r="C153" t="s">
        <v>416</v>
      </c>
      <c r="D153">
        <v>2131</v>
      </c>
      <c r="E153">
        <v>1859</v>
      </c>
      <c r="F153">
        <v>93</v>
      </c>
      <c r="G153">
        <v>83</v>
      </c>
      <c r="H153">
        <v>292</v>
      </c>
      <c r="I153">
        <v>70</v>
      </c>
      <c r="J153">
        <v>214</v>
      </c>
      <c r="K153">
        <v>197</v>
      </c>
      <c r="L153">
        <v>400</v>
      </c>
      <c r="M153">
        <v>52</v>
      </c>
      <c r="N153">
        <v>3130</v>
      </c>
      <c r="O153">
        <v>2261</v>
      </c>
      <c r="P153">
        <v>2730</v>
      </c>
      <c r="Q153">
        <v>6</v>
      </c>
      <c r="R153">
        <v>9</v>
      </c>
      <c r="S153">
        <v>26</v>
      </c>
      <c r="T153">
        <v>472</v>
      </c>
      <c r="U153">
        <v>2658</v>
      </c>
      <c r="V153" s="498">
        <v>1856</v>
      </c>
      <c r="W153">
        <v>13</v>
      </c>
      <c r="X153" s="498">
        <v>13</v>
      </c>
      <c r="Y153" s="498">
        <v>26</v>
      </c>
      <c r="Z153" s="498">
        <v>132.33000000000001</v>
      </c>
      <c r="AA153" s="498">
        <v>133.08000000000001</v>
      </c>
      <c r="AB153">
        <v>10.85</v>
      </c>
      <c r="AC153">
        <v>141.79</v>
      </c>
      <c r="AD153">
        <v>1516</v>
      </c>
      <c r="AE153">
        <v>136.69999999999999</v>
      </c>
      <c r="AF153">
        <v>105.16</v>
      </c>
      <c r="AG153">
        <v>42.59</v>
      </c>
      <c r="AH153">
        <v>179.29</v>
      </c>
      <c r="AI153">
        <v>319</v>
      </c>
      <c r="AJ153">
        <v>229.19</v>
      </c>
      <c r="AK153">
        <v>351</v>
      </c>
      <c r="AL153">
        <v>0</v>
      </c>
      <c r="AM153">
        <v>0</v>
      </c>
      <c r="AN153">
        <v>97.63</v>
      </c>
      <c r="AO153" s="499">
        <v>117.81</v>
      </c>
      <c r="AP153" s="499">
        <v>0</v>
      </c>
      <c r="AQ153">
        <v>97.63</v>
      </c>
      <c r="AR153">
        <v>5</v>
      </c>
      <c r="AS153">
        <v>97.96</v>
      </c>
      <c r="AT153">
        <v>98.94</v>
      </c>
      <c r="AU153">
        <v>10.32</v>
      </c>
      <c r="AV153">
        <v>107.84</v>
      </c>
      <c r="AW153">
        <v>23</v>
      </c>
      <c r="AX153">
        <v>111.29</v>
      </c>
      <c r="AY153">
        <v>109.76</v>
      </c>
      <c r="AZ153">
        <v>11.07</v>
      </c>
      <c r="BA153">
        <v>122.06</v>
      </c>
      <c r="BB153">
        <v>404</v>
      </c>
      <c r="BC153">
        <v>134.61000000000001</v>
      </c>
      <c r="BD153">
        <v>133.19999999999999</v>
      </c>
      <c r="BE153">
        <v>12.42</v>
      </c>
      <c r="BF153">
        <v>145.80000000000001</v>
      </c>
      <c r="BG153">
        <v>668</v>
      </c>
      <c r="BH153">
        <v>148.21</v>
      </c>
      <c r="BI153">
        <v>152.24</v>
      </c>
      <c r="BJ153">
        <v>8.06</v>
      </c>
      <c r="BK153">
        <v>153.54</v>
      </c>
      <c r="BL153" s="214">
        <v>286</v>
      </c>
      <c r="BM153" s="214">
        <v>157.61000000000001</v>
      </c>
      <c r="BN153">
        <v>167.92</v>
      </c>
      <c r="BO153" s="187">
        <v>7.06</v>
      </c>
      <c r="BP153" s="214">
        <v>163.76</v>
      </c>
      <c r="BQ153" s="214">
        <v>117</v>
      </c>
      <c r="BR153">
        <v>164.94</v>
      </c>
      <c r="BS153" s="187">
        <v>182.33</v>
      </c>
      <c r="BT153" s="214">
        <v>3.32</v>
      </c>
      <c r="BU153" s="214">
        <v>168.26</v>
      </c>
      <c r="BV153">
        <v>12</v>
      </c>
      <c r="BW153">
        <v>180.28</v>
      </c>
      <c r="BX153" s="214">
        <v>192.64</v>
      </c>
      <c r="BY153" s="214">
        <v>0.57999999999999996</v>
      </c>
      <c r="BZ153">
        <v>180.86</v>
      </c>
      <c r="CA153" s="187">
        <v>1</v>
      </c>
      <c r="CB153" s="214">
        <v>132.44999999999999</v>
      </c>
      <c r="CC153" s="214">
        <v>133.13</v>
      </c>
      <c r="CD153">
        <v>10.85</v>
      </c>
      <c r="CE153" s="187">
        <v>141.93</v>
      </c>
      <c r="CF153" s="214">
        <v>1511</v>
      </c>
      <c r="CG153" s="214">
        <v>132.33000000000001</v>
      </c>
      <c r="CH153">
        <v>133.08000000000001</v>
      </c>
      <c r="CI153">
        <v>10.85</v>
      </c>
      <c r="CJ153">
        <v>141.79</v>
      </c>
      <c r="CK153">
        <v>1516</v>
      </c>
      <c r="CL153">
        <v>304.11</v>
      </c>
      <c r="CM153">
        <v>91.48</v>
      </c>
      <c r="CN153" s="187">
        <v>27.71</v>
      </c>
      <c r="CO153">
        <v>331.82</v>
      </c>
      <c r="CP153">
        <v>39</v>
      </c>
      <c r="CQ153">
        <v>90.1</v>
      </c>
      <c r="CR153">
        <v>87.41</v>
      </c>
      <c r="CS153" s="187">
        <v>57.91</v>
      </c>
      <c r="CT153">
        <v>148.01</v>
      </c>
      <c r="CU153">
        <v>101</v>
      </c>
      <c r="CV153">
        <v>125.75</v>
      </c>
      <c r="CW153">
        <v>112.81</v>
      </c>
      <c r="CX153" s="187">
        <v>36.619999999999997</v>
      </c>
      <c r="CY153">
        <v>162.37</v>
      </c>
      <c r="CZ153">
        <v>158</v>
      </c>
      <c r="DA153">
        <v>130.96</v>
      </c>
      <c r="DB153">
        <v>135.16</v>
      </c>
      <c r="DC153" s="187">
        <v>41.88</v>
      </c>
      <c r="DD153">
        <v>172.84</v>
      </c>
      <c r="DE153">
        <v>20</v>
      </c>
      <c r="DF153">
        <v>159.87</v>
      </c>
      <c r="DG153">
        <v>160.75</v>
      </c>
      <c r="DH153" s="187">
        <v>33.64</v>
      </c>
      <c r="DI153">
        <v>193.51</v>
      </c>
      <c r="DJ153">
        <v>1</v>
      </c>
      <c r="DK153">
        <v>0</v>
      </c>
      <c r="DL153">
        <v>0</v>
      </c>
      <c r="DM153" s="187">
        <v>0</v>
      </c>
      <c r="DN153">
        <v>0</v>
      </c>
      <c r="DO153">
        <v>0</v>
      </c>
      <c r="DP153">
        <v>113.38</v>
      </c>
      <c r="DQ153">
        <v>105.26</v>
      </c>
      <c r="DR153" s="187">
        <v>44.67</v>
      </c>
      <c r="DS153">
        <v>158.05000000000001</v>
      </c>
      <c r="DT153">
        <v>280</v>
      </c>
      <c r="DU153">
        <v>136.69999999999999</v>
      </c>
      <c r="DV153">
        <v>105.16</v>
      </c>
      <c r="DW153" s="187">
        <v>42.59</v>
      </c>
      <c r="DX153">
        <v>179.29</v>
      </c>
      <c r="DY153">
        <v>319</v>
      </c>
      <c r="DZ153">
        <v>0</v>
      </c>
      <c r="EA153">
        <v>0</v>
      </c>
      <c r="EB153" s="187">
        <v>143.97999999999999</v>
      </c>
      <c r="EC153">
        <v>2</v>
      </c>
      <c r="ED153">
        <v>186.09</v>
      </c>
      <c r="EE153">
        <v>119</v>
      </c>
      <c r="EF153">
        <v>238.77</v>
      </c>
      <c r="EG153" s="187">
        <v>143</v>
      </c>
      <c r="EH153">
        <v>273.38</v>
      </c>
      <c r="EI153">
        <v>66</v>
      </c>
      <c r="EJ153">
        <v>275.77</v>
      </c>
      <c r="EK153">
        <v>19</v>
      </c>
      <c r="EL153" s="187">
        <v>293.35000000000002</v>
      </c>
      <c r="EM153">
        <v>2</v>
      </c>
      <c r="EN153">
        <v>0</v>
      </c>
      <c r="EO153">
        <v>0</v>
      </c>
      <c r="EP153">
        <v>229.19</v>
      </c>
      <c r="EQ153" s="187">
        <v>351</v>
      </c>
      <c r="ER153">
        <v>229.19</v>
      </c>
      <c r="ES153">
        <v>351</v>
      </c>
      <c r="ET153">
        <v>0</v>
      </c>
      <c r="EU153">
        <v>0</v>
      </c>
      <c r="EV153" s="187">
        <v>0</v>
      </c>
      <c r="EW153">
        <v>0</v>
      </c>
      <c r="EX153">
        <v>0</v>
      </c>
      <c r="EY153">
        <v>0</v>
      </c>
      <c r="EZ153">
        <v>0</v>
      </c>
      <c r="FA153" s="187">
        <v>0</v>
      </c>
      <c r="FB153">
        <v>0</v>
      </c>
      <c r="FC153">
        <v>0</v>
      </c>
      <c r="FD153">
        <v>0</v>
      </c>
      <c r="FE153">
        <v>0</v>
      </c>
      <c r="FF153" s="187">
        <v>0</v>
      </c>
      <c r="FG153">
        <v>0</v>
      </c>
      <c r="FH153">
        <v>0</v>
      </c>
      <c r="FI153">
        <v>0</v>
      </c>
      <c r="FJ153">
        <v>33</v>
      </c>
      <c r="FK153" s="187">
        <v>1</v>
      </c>
      <c r="FL153">
        <v>5</v>
      </c>
      <c r="FM153">
        <v>9</v>
      </c>
      <c r="FN153">
        <v>15</v>
      </c>
    </row>
    <row r="154" spans="1:170" x14ac:dyDescent="0.35">
      <c r="A154" t="s">
        <v>697</v>
      </c>
      <c r="B154" t="s">
        <v>698</v>
      </c>
      <c r="C154" t="s">
        <v>1048</v>
      </c>
      <c r="D154">
        <v>4282</v>
      </c>
      <c r="E154">
        <v>4281</v>
      </c>
      <c r="F154">
        <v>6</v>
      </c>
      <c r="G154">
        <v>6</v>
      </c>
      <c r="H154">
        <v>493</v>
      </c>
      <c r="I154">
        <v>257</v>
      </c>
      <c r="J154">
        <v>1267</v>
      </c>
      <c r="K154">
        <v>1175</v>
      </c>
      <c r="L154">
        <v>508</v>
      </c>
      <c r="M154">
        <v>0</v>
      </c>
      <c r="N154">
        <v>6556</v>
      </c>
      <c r="O154">
        <v>5719</v>
      </c>
      <c r="P154">
        <v>6048</v>
      </c>
      <c r="Q154">
        <v>6</v>
      </c>
      <c r="R154">
        <v>13</v>
      </c>
      <c r="S154">
        <v>25</v>
      </c>
      <c r="T154">
        <v>228</v>
      </c>
      <c r="U154">
        <v>6328</v>
      </c>
      <c r="V154" s="498">
        <v>4270</v>
      </c>
      <c r="W154">
        <v>32</v>
      </c>
      <c r="X154" s="498">
        <v>9</v>
      </c>
      <c r="Y154" s="498">
        <v>41</v>
      </c>
      <c r="Z154" s="498">
        <v>86.85</v>
      </c>
      <c r="AA154" s="498">
        <v>84.57</v>
      </c>
      <c r="AB154">
        <v>4.62</v>
      </c>
      <c r="AC154">
        <v>90.37</v>
      </c>
      <c r="AD154">
        <v>3557</v>
      </c>
      <c r="AE154">
        <v>83.37</v>
      </c>
      <c r="AF154">
        <v>76.05</v>
      </c>
      <c r="AG154">
        <v>43.79</v>
      </c>
      <c r="AH154">
        <v>126.6</v>
      </c>
      <c r="AI154">
        <v>1493</v>
      </c>
      <c r="AJ154">
        <v>99.49</v>
      </c>
      <c r="AK154">
        <v>608</v>
      </c>
      <c r="AL154">
        <v>110.51</v>
      </c>
      <c r="AM154">
        <v>51</v>
      </c>
      <c r="AN154">
        <v>93.01</v>
      </c>
      <c r="AO154" s="499">
        <v>73.290000000000006</v>
      </c>
      <c r="AP154" s="499">
        <v>6.14</v>
      </c>
      <c r="AQ154">
        <v>99.14</v>
      </c>
      <c r="AR154">
        <v>6</v>
      </c>
      <c r="AS154">
        <v>60.65</v>
      </c>
      <c r="AT154">
        <v>57.76</v>
      </c>
      <c r="AU154">
        <v>5.41</v>
      </c>
      <c r="AV154">
        <v>66.06</v>
      </c>
      <c r="AW154">
        <v>3</v>
      </c>
      <c r="AX154">
        <v>73.22</v>
      </c>
      <c r="AY154">
        <v>70.69</v>
      </c>
      <c r="AZ154">
        <v>6.04</v>
      </c>
      <c r="BA154">
        <v>78.819999999999993</v>
      </c>
      <c r="BB154">
        <v>1079</v>
      </c>
      <c r="BC154">
        <v>84.96</v>
      </c>
      <c r="BD154">
        <v>82.57</v>
      </c>
      <c r="BE154">
        <v>5.41</v>
      </c>
      <c r="BF154">
        <v>89.02</v>
      </c>
      <c r="BG154">
        <v>1167</v>
      </c>
      <c r="BH154">
        <v>96.83</v>
      </c>
      <c r="BI154">
        <v>94.16</v>
      </c>
      <c r="BJ154">
        <v>2.25</v>
      </c>
      <c r="BK154">
        <v>98.22</v>
      </c>
      <c r="BL154" s="214">
        <v>917</v>
      </c>
      <c r="BM154" s="214">
        <v>105.2</v>
      </c>
      <c r="BN154">
        <v>105.18</v>
      </c>
      <c r="BO154" s="187">
        <v>1.7</v>
      </c>
      <c r="BP154" s="214">
        <v>106.31</v>
      </c>
      <c r="BQ154" s="214">
        <v>322</v>
      </c>
      <c r="BR154">
        <v>116.9</v>
      </c>
      <c r="BS154" s="187">
        <v>116.88</v>
      </c>
      <c r="BT154" s="214">
        <v>0.97</v>
      </c>
      <c r="BU154" s="214">
        <v>117.54</v>
      </c>
      <c r="BV154">
        <v>63</v>
      </c>
      <c r="BW154">
        <v>0</v>
      </c>
      <c r="BX154" s="214">
        <v>0</v>
      </c>
      <c r="BY154" s="214">
        <v>0</v>
      </c>
      <c r="BZ154">
        <v>0</v>
      </c>
      <c r="CA154" s="187">
        <v>0</v>
      </c>
      <c r="CB154" s="214">
        <v>86.84</v>
      </c>
      <c r="CC154" s="214">
        <v>84.59</v>
      </c>
      <c r="CD154">
        <v>4.62</v>
      </c>
      <c r="CE154" s="187">
        <v>90.35</v>
      </c>
      <c r="CF154" s="214">
        <v>3551</v>
      </c>
      <c r="CG154" s="214">
        <v>86.85</v>
      </c>
      <c r="CH154">
        <v>84.57</v>
      </c>
      <c r="CI154">
        <v>4.62</v>
      </c>
      <c r="CJ154">
        <v>90.37</v>
      </c>
      <c r="CK154">
        <v>3557</v>
      </c>
      <c r="CL154">
        <v>90.32</v>
      </c>
      <c r="CM154">
        <v>71.27</v>
      </c>
      <c r="CN154" s="187">
        <v>123.26</v>
      </c>
      <c r="CO154">
        <v>211.06</v>
      </c>
      <c r="CP154">
        <v>98</v>
      </c>
      <c r="CQ154">
        <v>76.2</v>
      </c>
      <c r="CR154">
        <v>73.989999999999995</v>
      </c>
      <c r="CS154" s="187">
        <v>54.69</v>
      </c>
      <c r="CT154">
        <v>122.14</v>
      </c>
      <c r="CU154">
        <v>25</v>
      </c>
      <c r="CV154">
        <v>81.81</v>
      </c>
      <c r="CW154">
        <v>74.53</v>
      </c>
      <c r="CX154" s="187">
        <v>41.79</v>
      </c>
      <c r="CY154">
        <v>123.59</v>
      </c>
      <c r="CZ154">
        <v>1144</v>
      </c>
      <c r="DA154">
        <v>88.56</v>
      </c>
      <c r="DB154">
        <v>85.13</v>
      </c>
      <c r="DC154" s="187">
        <v>17.3</v>
      </c>
      <c r="DD154">
        <v>104.84</v>
      </c>
      <c r="DE154">
        <v>221</v>
      </c>
      <c r="DF154">
        <v>112.05</v>
      </c>
      <c r="DG154">
        <v>100.93</v>
      </c>
      <c r="DH154" s="187">
        <v>31.95</v>
      </c>
      <c r="DI154">
        <v>144</v>
      </c>
      <c r="DJ154">
        <v>5</v>
      </c>
      <c r="DK154">
        <v>0</v>
      </c>
      <c r="DL154">
        <v>0</v>
      </c>
      <c r="DM154" s="187">
        <v>0</v>
      </c>
      <c r="DN154">
        <v>0</v>
      </c>
      <c r="DO154">
        <v>0</v>
      </c>
      <c r="DP154">
        <v>82.88</v>
      </c>
      <c r="DQ154">
        <v>76.319999999999993</v>
      </c>
      <c r="DR154" s="187">
        <v>38.25</v>
      </c>
      <c r="DS154">
        <v>120.67</v>
      </c>
      <c r="DT154">
        <v>1395</v>
      </c>
      <c r="DU154">
        <v>83.37</v>
      </c>
      <c r="DV154">
        <v>76.05</v>
      </c>
      <c r="DW154" s="187">
        <v>43.79</v>
      </c>
      <c r="DX154">
        <v>126.6</v>
      </c>
      <c r="DY154">
        <v>1493</v>
      </c>
      <c r="DZ154">
        <v>0</v>
      </c>
      <c r="EA154">
        <v>0</v>
      </c>
      <c r="EB154" s="187">
        <v>0</v>
      </c>
      <c r="EC154">
        <v>0</v>
      </c>
      <c r="ED154">
        <v>81.83</v>
      </c>
      <c r="EE154">
        <v>86</v>
      </c>
      <c r="EF154">
        <v>97.83</v>
      </c>
      <c r="EG154" s="187">
        <v>308</v>
      </c>
      <c r="EH154">
        <v>108.1</v>
      </c>
      <c r="EI154">
        <v>193</v>
      </c>
      <c r="EJ154">
        <v>117.16</v>
      </c>
      <c r="EK154">
        <v>21</v>
      </c>
      <c r="EL154" s="187">
        <v>0</v>
      </c>
      <c r="EM154">
        <v>0</v>
      </c>
      <c r="EN154">
        <v>0</v>
      </c>
      <c r="EO154">
        <v>0</v>
      </c>
      <c r="EP154">
        <v>99.49</v>
      </c>
      <c r="EQ154" s="187">
        <v>608</v>
      </c>
      <c r="ER154">
        <v>99.49</v>
      </c>
      <c r="ES154">
        <v>608</v>
      </c>
      <c r="ET154">
        <v>0</v>
      </c>
      <c r="EU154">
        <v>0</v>
      </c>
      <c r="EV154" s="187">
        <v>0</v>
      </c>
      <c r="EW154">
        <v>0</v>
      </c>
      <c r="EX154">
        <v>109.98</v>
      </c>
      <c r="EY154">
        <v>49</v>
      </c>
      <c r="EZ154">
        <v>123.47</v>
      </c>
      <c r="FA154" s="187">
        <v>2</v>
      </c>
      <c r="FB154">
        <v>0</v>
      </c>
      <c r="FC154">
        <v>0</v>
      </c>
      <c r="FD154">
        <v>0</v>
      </c>
      <c r="FE154">
        <v>0</v>
      </c>
      <c r="FF154" s="187">
        <v>110.51</v>
      </c>
      <c r="FG154">
        <v>51</v>
      </c>
      <c r="FH154">
        <v>110.51</v>
      </c>
      <c r="FI154">
        <v>51</v>
      </c>
      <c r="FJ154">
        <v>0</v>
      </c>
      <c r="FK154" s="187">
        <v>12</v>
      </c>
      <c r="FL154">
        <v>6</v>
      </c>
      <c r="FM154">
        <v>22</v>
      </c>
      <c r="FN154">
        <v>16</v>
      </c>
    </row>
    <row r="155" spans="1:170" x14ac:dyDescent="0.35">
      <c r="A155" t="s">
        <v>699</v>
      </c>
      <c r="B155" t="s">
        <v>700</v>
      </c>
      <c r="C155" t="s">
        <v>418</v>
      </c>
      <c r="D155">
        <v>16080</v>
      </c>
      <c r="E155">
        <v>15918</v>
      </c>
      <c r="F155">
        <v>4</v>
      </c>
      <c r="G155">
        <v>4</v>
      </c>
      <c r="H155">
        <v>753</v>
      </c>
      <c r="I155">
        <v>445</v>
      </c>
      <c r="J155">
        <v>1329</v>
      </c>
      <c r="K155">
        <v>1329</v>
      </c>
      <c r="L155">
        <v>528</v>
      </c>
      <c r="M155">
        <v>1</v>
      </c>
      <c r="N155">
        <v>18694</v>
      </c>
      <c r="O155">
        <v>17697</v>
      </c>
      <c r="P155">
        <v>18166</v>
      </c>
      <c r="Q155">
        <v>14</v>
      </c>
      <c r="R155">
        <v>13</v>
      </c>
      <c r="S155">
        <v>20</v>
      </c>
      <c r="T155">
        <v>314</v>
      </c>
      <c r="U155">
        <v>18380</v>
      </c>
      <c r="V155" s="498">
        <v>15918</v>
      </c>
      <c r="W155">
        <v>64</v>
      </c>
      <c r="X155" s="498">
        <v>273</v>
      </c>
      <c r="Y155" s="498">
        <v>337</v>
      </c>
      <c r="Z155" s="498">
        <v>86.15</v>
      </c>
      <c r="AA155" s="498">
        <v>86.21</v>
      </c>
      <c r="AB155">
        <v>11.67</v>
      </c>
      <c r="AC155">
        <v>89.01</v>
      </c>
      <c r="AD155">
        <v>14413</v>
      </c>
      <c r="AE155">
        <v>88.14</v>
      </c>
      <c r="AF155">
        <v>76.260000000000005</v>
      </c>
      <c r="AG155">
        <v>32.53</v>
      </c>
      <c r="AH155">
        <v>118.96</v>
      </c>
      <c r="AI155">
        <v>1518</v>
      </c>
      <c r="AJ155">
        <v>110.49</v>
      </c>
      <c r="AK155">
        <v>1365</v>
      </c>
      <c r="AL155">
        <v>156.72999999999999</v>
      </c>
      <c r="AM155">
        <v>412</v>
      </c>
      <c r="AN155">
        <v>66.11</v>
      </c>
      <c r="AO155" s="499">
        <v>66.11</v>
      </c>
      <c r="AP155" s="499">
        <v>18.850000000000001</v>
      </c>
      <c r="AQ155">
        <v>84.96</v>
      </c>
      <c r="AR155">
        <v>4</v>
      </c>
      <c r="AS155">
        <v>0</v>
      </c>
      <c r="AT155">
        <v>0</v>
      </c>
      <c r="AU155">
        <v>0</v>
      </c>
      <c r="AV155">
        <v>0</v>
      </c>
      <c r="AW155">
        <v>0</v>
      </c>
      <c r="AX155">
        <v>71.150000000000006</v>
      </c>
      <c r="AY155">
        <v>70.97</v>
      </c>
      <c r="AZ155">
        <v>11.57</v>
      </c>
      <c r="BA155">
        <v>80.91</v>
      </c>
      <c r="BB155">
        <v>2658</v>
      </c>
      <c r="BC155">
        <v>82.39</v>
      </c>
      <c r="BD155">
        <v>82.49</v>
      </c>
      <c r="BE155">
        <v>12.72</v>
      </c>
      <c r="BF155">
        <v>85.76</v>
      </c>
      <c r="BG155">
        <v>3887</v>
      </c>
      <c r="BH155">
        <v>92.34</v>
      </c>
      <c r="BI155">
        <v>92.42</v>
      </c>
      <c r="BJ155">
        <v>8.3800000000000008</v>
      </c>
      <c r="BK155">
        <v>92.59</v>
      </c>
      <c r="BL155" s="214">
        <v>6836</v>
      </c>
      <c r="BM155" s="214">
        <v>97.74</v>
      </c>
      <c r="BN155">
        <v>98.13</v>
      </c>
      <c r="BO155" s="187">
        <v>7.28</v>
      </c>
      <c r="BP155" s="214">
        <v>98.12</v>
      </c>
      <c r="BQ155" s="214">
        <v>1001</v>
      </c>
      <c r="BR155">
        <v>105.4</v>
      </c>
      <c r="BS155" s="187">
        <v>107.94</v>
      </c>
      <c r="BT155" s="214">
        <v>0</v>
      </c>
      <c r="BU155" s="214">
        <v>105.4</v>
      </c>
      <c r="BV155">
        <v>23</v>
      </c>
      <c r="BW155">
        <v>125.51</v>
      </c>
      <c r="BX155" s="214">
        <v>127.96</v>
      </c>
      <c r="BY155" s="214">
        <v>0</v>
      </c>
      <c r="BZ155">
        <v>125.51</v>
      </c>
      <c r="CA155" s="187">
        <v>4</v>
      </c>
      <c r="CB155" s="214">
        <v>86.15</v>
      </c>
      <c r="CC155" s="214">
        <v>86.21</v>
      </c>
      <c r="CD155">
        <v>11.66</v>
      </c>
      <c r="CE155" s="187">
        <v>89.01</v>
      </c>
      <c r="CF155" s="214">
        <v>14409</v>
      </c>
      <c r="CG155" s="214">
        <v>86.15</v>
      </c>
      <c r="CH155">
        <v>86.21</v>
      </c>
      <c r="CI155">
        <v>11.67</v>
      </c>
      <c r="CJ155">
        <v>89.01</v>
      </c>
      <c r="CK155">
        <v>14413</v>
      </c>
      <c r="CL155">
        <v>123.92</v>
      </c>
      <c r="CM155">
        <v>62.14</v>
      </c>
      <c r="CN155" s="187">
        <v>54.75</v>
      </c>
      <c r="CO155">
        <v>175.89</v>
      </c>
      <c r="CP155">
        <v>177</v>
      </c>
      <c r="CQ155">
        <v>69.13</v>
      </c>
      <c r="CR155">
        <v>64.03</v>
      </c>
      <c r="CS155" s="187">
        <v>85.23</v>
      </c>
      <c r="CT155">
        <v>154.36000000000001</v>
      </c>
      <c r="CU155">
        <v>29</v>
      </c>
      <c r="CV155">
        <v>82.63</v>
      </c>
      <c r="CW155">
        <v>74.63</v>
      </c>
      <c r="CX155" s="187">
        <v>27.12</v>
      </c>
      <c r="CY155">
        <v>107.83</v>
      </c>
      <c r="CZ155">
        <v>935</v>
      </c>
      <c r="DA155">
        <v>84.91</v>
      </c>
      <c r="DB155">
        <v>83.52</v>
      </c>
      <c r="DC155" s="187">
        <v>30.3</v>
      </c>
      <c r="DD155">
        <v>115.04</v>
      </c>
      <c r="DE155">
        <v>348</v>
      </c>
      <c r="DF155">
        <v>100.99</v>
      </c>
      <c r="DG155">
        <v>93.67</v>
      </c>
      <c r="DH155" s="187">
        <v>40.76</v>
      </c>
      <c r="DI155">
        <v>137.22</v>
      </c>
      <c r="DJ155">
        <v>27</v>
      </c>
      <c r="DK155">
        <v>163.98</v>
      </c>
      <c r="DL155">
        <v>99.65</v>
      </c>
      <c r="DM155" s="187">
        <v>43.69</v>
      </c>
      <c r="DN155">
        <v>207.67</v>
      </c>
      <c r="DO155">
        <v>2</v>
      </c>
      <c r="DP155">
        <v>83.42</v>
      </c>
      <c r="DQ155">
        <v>77.09</v>
      </c>
      <c r="DR155" s="187">
        <v>29.6</v>
      </c>
      <c r="DS155">
        <v>111.45</v>
      </c>
      <c r="DT155">
        <v>1341</v>
      </c>
      <c r="DU155">
        <v>88.14</v>
      </c>
      <c r="DV155">
        <v>76.260000000000005</v>
      </c>
      <c r="DW155" s="187">
        <v>32.53</v>
      </c>
      <c r="DX155">
        <v>118.96</v>
      </c>
      <c r="DY155">
        <v>1518</v>
      </c>
      <c r="DZ155">
        <v>0</v>
      </c>
      <c r="EA155">
        <v>0</v>
      </c>
      <c r="EB155" s="187">
        <v>0</v>
      </c>
      <c r="EC155">
        <v>0</v>
      </c>
      <c r="ED155">
        <v>90.6</v>
      </c>
      <c r="EE155">
        <v>115</v>
      </c>
      <c r="EF155">
        <v>106.06</v>
      </c>
      <c r="EG155" s="187">
        <v>634</v>
      </c>
      <c r="EH155">
        <v>117.97</v>
      </c>
      <c r="EI155">
        <v>569</v>
      </c>
      <c r="EJ155">
        <v>127.95</v>
      </c>
      <c r="EK155">
        <v>46</v>
      </c>
      <c r="EL155" s="187">
        <v>144.33000000000001</v>
      </c>
      <c r="EM155">
        <v>1</v>
      </c>
      <c r="EN155">
        <v>0</v>
      </c>
      <c r="EO155">
        <v>0</v>
      </c>
      <c r="EP155">
        <v>110.49</v>
      </c>
      <c r="EQ155" s="187">
        <v>1365</v>
      </c>
      <c r="ER155">
        <v>110.49</v>
      </c>
      <c r="ES155">
        <v>1365</v>
      </c>
      <c r="ET155">
        <v>0</v>
      </c>
      <c r="EU155">
        <v>0</v>
      </c>
      <c r="EV155" s="187">
        <v>0</v>
      </c>
      <c r="EW155">
        <v>0</v>
      </c>
      <c r="EX155">
        <v>153.24</v>
      </c>
      <c r="EY155">
        <v>228</v>
      </c>
      <c r="EZ155">
        <v>161.05000000000001</v>
      </c>
      <c r="FA155" s="187">
        <v>184</v>
      </c>
      <c r="FB155">
        <v>0</v>
      </c>
      <c r="FC155">
        <v>0</v>
      </c>
      <c r="FD155">
        <v>0</v>
      </c>
      <c r="FE155">
        <v>0</v>
      </c>
      <c r="FF155" s="187">
        <v>156.72999999999999</v>
      </c>
      <c r="FG155">
        <v>412</v>
      </c>
      <c r="FH155">
        <v>156.72999999999999</v>
      </c>
      <c r="FI155">
        <v>412</v>
      </c>
      <c r="FJ155">
        <v>0</v>
      </c>
      <c r="FK155" s="187">
        <v>124</v>
      </c>
      <c r="FL155">
        <v>6</v>
      </c>
      <c r="FM155">
        <v>26</v>
      </c>
      <c r="FN155">
        <v>11</v>
      </c>
    </row>
    <row r="156" spans="1:170" x14ac:dyDescent="0.35">
      <c r="A156" t="s">
        <v>701</v>
      </c>
      <c r="B156" t="s">
        <v>702</v>
      </c>
      <c r="C156" t="s">
        <v>416</v>
      </c>
      <c r="D156">
        <v>21231</v>
      </c>
      <c r="E156">
        <v>19048</v>
      </c>
      <c r="F156">
        <v>183</v>
      </c>
      <c r="G156">
        <v>78</v>
      </c>
      <c r="H156">
        <v>1937</v>
      </c>
      <c r="I156">
        <v>1238</v>
      </c>
      <c r="J156">
        <v>1460</v>
      </c>
      <c r="K156">
        <v>1344</v>
      </c>
      <c r="L156">
        <v>2169</v>
      </c>
      <c r="M156">
        <v>164</v>
      </c>
      <c r="N156">
        <v>26980</v>
      </c>
      <c r="O156">
        <v>21872</v>
      </c>
      <c r="P156">
        <v>24811</v>
      </c>
      <c r="Q156">
        <v>130</v>
      </c>
      <c r="R156">
        <v>36</v>
      </c>
      <c r="S156">
        <v>31</v>
      </c>
      <c r="T156">
        <v>1670</v>
      </c>
      <c r="U156">
        <v>25310</v>
      </c>
      <c r="V156" s="498">
        <v>20042</v>
      </c>
      <c r="W156">
        <v>166</v>
      </c>
      <c r="X156" s="498">
        <v>89</v>
      </c>
      <c r="Y156" s="498">
        <v>255</v>
      </c>
      <c r="Z156" s="498">
        <v>121.57</v>
      </c>
      <c r="AA156" s="498">
        <v>127.09</v>
      </c>
      <c r="AB156">
        <v>15.64</v>
      </c>
      <c r="AC156">
        <v>134.63999999999999</v>
      </c>
      <c r="AD156">
        <v>18508</v>
      </c>
      <c r="AE156">
        <v>113.18</v>
      </c>
      <c r="AF156">
        <v>110.23</v>
      </c>
      <c r="AG156">
        <v>54.5</v>
      </c>
      <c r="AH156">
        <v>162.43</v>
      </c>
      <c r="AI156">
        <v>2868</v>
      </c>
      <c r="AJ156">
        <v>199.81</v>
      </c>
      <c r="AK156">
        <v>1321</v>
      </c>
      <c r="AL156">
        <v>276.57</v>
      </c>
      <c r="AM156">
        <v>82</v>
      </c>
      <c r="AN156">
        <v>0</v>
      </c>
      <c r="AO156" s="499">
        <v>0</v>
      </c>
      <c r="AP156" s="499">
        <v>0</v>
      </c>
      <c r="AQ156">
        <v>0</v>
      </c>
      <c r="AR156">
        <v>0</v>
      </c>
      <c r="AS156">
        <v>91.34</v>
      </c>
      <c r="AT156">
        <v>91.33</v>
      </c>
      <c r="AU156">
        <v>11.8</v>
      </c>
      <c r="AV156">
        <v>102.58</v>
      </c>
      <c r="AW156">
        <v>382</v>
      </c>
      <c r="AX156">
        <v>108.32</v>
      </c>
      <c r="AY156">
        <v>110.47</v>
      </c>
      <c r="AZ156">
        <v>14.25</v>
      </c>
      <c r="BA156">
        <v>120.33</v>
      </c>
      <c r="BB156">
        <v>5195</v>
      </c>
      <c r="BC156">
        <v>120.08</v>
      </c>
      <c r="BD156">
        <v>125.26</v>
      </c>
      <c r="BE156">
        <v>16.71</v>
      </c>
      <c r="BF156">
        <v>134.6</v>
      </c>
      <c r="BG156">
        <v>6798</v>
      </c>
      <c r="BH156">
        <v>133.28</v>
      </c>
      <c r="BI156">
        <v>141.65</v>
      </c>
      <c r="BJ156">
        <v>15.9</v>
      </c>
      <c r="BK156">
        <v>146.02000000000001</v>
      </c>
      <c r="BL156" s="214">
        <v>4721</v>
      </c>
      <c r="BM156" s="214">
        <v>144.38999999999999</v>
      </c>
      <c r="BN156">
        <v>155.66</v>
      </c>
      <c r="BO156" s="187">
        <v>16.25</v>
      </c>
      <c r="BP156" s="214">
        <v>156.68</v>
      </c>
      <c r="BQ156" s="214">
        <v>1242</v>
      </c>
      <c r="BR156">
        <v>159.88999999999999</v>
      </c>
      <c r="BS156" s="187">
        <v>173.48</v>
      </c>
      <c r="BT156" s="214">
        <v>11.22</v>
      </c>
      <c r="BU156" s="214">
        <v>166.83</v>
      </c>
      <c r="BV156">
        <v>139</v>
      </c>
      <c r="BW156">
        <v>172.43</v>
      </c>
      <c r="BX156" s="214">
        <v>185.42</v>
      </c>
      <c r="BY156" s="214">
        <v>8.9600000000000009</v>
      </c>
      <c r="BZ156">
        <v>174.75</v>
      </c>
      <c r="CA156" s="187">
        <v>31</v>
      </c>
      <c r="CB156" s="214">
        <v>121.57</v>
      </c>
      <c r="CC156" s="214">
        <v>127.09</v>
      </c>
      <c r="CD156">
        <v>15.64</v>
      </c>
      <c r="CE156" s="187">
        <v>134.63999999999999</v>
      </c>
      <c r="CF156" s="214">
        <v>18508</v>
      </c>
      <c r="CG156" s="214">
        <v>121.57</v>
      </c>
      <c r="CH156">
        <v>127.09</v>
      </c>
      <c r="CI156">
        <v>15.64</v>
      </c>
      <c r="CJ156">
        <v>134.63999999999999</v>
      </c>
      <c r="CK156">
        <v>18508</v>
      </c>
      <c r="CL156">
        <v>105.66</v>
      </c>
      <c r="CM156">
        <v>100.97</v>
      </c>
      <c r="CN156" s="187">
        <v>70.56</v>
      </c>
      <c r="CO156">
        <v>160.19</v>
      </c>
      <c r="CP156">
        <v>762</v>
      </c>
      <c r="CQ156">
        <v>98.05</v>
      </c>
      <c r="CR156">
        <v>92.5</v>
      </c>
      <c r="CS156" s="187">
        <v>79.569999999999993</v>
      </c>
      <c r="CT156">
        <v>164.13</v>
      </c>
      <c r="CU156">
        <v>289</v>
      </c>
      <c r="CV156">
        <v>117.47</v>
      </c>
      <c r="CW156">
        <v>115.27</v>
      </c>
      <c r="CX156" s="187">
        <v>46.03</v>
      </c>
      <c r="CY156">
        <v>162.19999999999999</v>
      </c>
      <c r="CZ156">
        <v>1663</v>
      </c>
      <c r="DA156">
        <v>130.6</v>
      </c>
      <c r="DB156">
        <v>131.88999999999999</v>
      </c>
      <c r="DC156" s="187">
        <v>43.4</v>
      </c>
      <c r="DD156">
        <v>172.4</v>
      </c>
      <c r="DE156">
        <v>136</v>
      </c>
      <c r="DF156">
        <v>145.07</v>
      </c>
      <c r="DG156">
        <v>148.91999999999999</v>
      </c>
      <c r="DH156" s="187">
        <v>33.61</v>
      </c>
      <c r="DI156">
        <v>176.7</v>
      </c>
      <c r="DJ156">
        <v>17</v>
      </c>
      <c r="DK156">
        <v>168.93</v>
      </c>
      <c r="DL156">
        <v>168.93</v>
      </c>
      <c r="DM156" s="187">
        <v>0</v>
      </c>
      <c r="DN156">
        <v>168.93</v>
      </c>
      <c r="DO156">
        <v>1</v>
      </c>
      <c r="DP156">
        <v>115.9</v>
      </c>
      <c r="DQ156">
        <v>113.51</v>
      </c>
      <c r="DR156" s="187">
        <v>49.78</v>
      </c>
      <c r="DS156">
        <v>163.25</v>
      </c>
      <c r="DT156">
        <v>2106</v>
      </c>
      <c r="DU156">
        <v>113.18</v>
      </c>
      <c r="DV156">
        <v>110.23</v>
      </c>
      <c r="DW156" s="187">
        <v>54.5</v>
      </c>
      <c r="DX156">
        <v>162.43</v>
      </c>
      <c r="DY156">
        <v>2868</v>
      </c>
      <c r="DZ156">
        <v>0</v>
      </c>
      <c r="EA156">
        <v>0</v>
      </c>
      <c r="EB156" s="187">
        <v>145.02000000000001</v>
      </c>
      <c r="EC156">
        <v>83</v>
      </c>
      <c r="ED156">
        <v>181.39</v>
      </c>
      <c r="EE156">
        <v>521</v>
      </c>
      <c r="EF156">
        <v>216.08</v>
      </c>
      <c r="EG156" s="187">
        <v>506</v>
      </c>
      <c r="EH156">
        <v>224.88</v>
      </c>
      <c r="EI156">
        <v>165</v>
      </c>
      <c r="EJ156">
        <v>238.55</v>
      </c>
      <c r="EK156">
        <v>41</v>
      </c>
      <c r="EL156" s="187">
        <v>236.68</v>
      </c>
      <c r="EM156">
        <v>5</v>
      </c>
      <c r="EN156">
        <v>0</v>
      </c>
      <c r="EO156">
        <v>0</v>
      </c>
      <c r="EP156">
        <v>199.81</v>
      </c>
      <c r="EQ156" s="187">
        <v>1321</v>
      </c>
      <c r="ER156">
        <v>199.81</v>
      </c>
      <c r="ES156">
        <v>1321</v>
      </c>
      <c r="ET156">
        <v>0</v>
      </c>
      <c r="EU156">
        <v>0</v>
      </c>
      <c r="EV156" s="187">
        <v>0</v>
      </c>
      <c r="EW156">
        <v>0</v>
      </c>
      <c r="EX156">
        <v>260.49</v>
      </c>
      <c r="EY156">
        <v>67</v>
      </c>
      <c r="EZ156">
        <v>348.41</v>
      </c>
      <c r="FA156" s="187">
        <v>15</v>
      </c>
      <c r="FB156">
        <v>0</v>
      </c>
      <c r="FC156">
        <v>0</v>
      </c>
      <c r="FD156">
        <v>0</v>
      </c>
      <c r="FE156">
        <v>0</v>
      </c>
      <c r="FF156" s="187">
        <v>276.57</v>
      </c>
      <c r="FG156">
        <v>82</v>
      </c>
      <c r="FH156">
        <v>276.57</v>
      </c>
      <c r="FI156">
        <v>82</v>
      </c>
      <c r="FJ156">
        <v>0</v>
      </c>
      <c r="FK156" s="187">
        <v>27</v>
      </c>
      <c r="FL156">
        <v>17</v>
      </c>
      <c r="FM156">
        <v>44</v>
      </c>
      <c r="FN156">
        <v>107</v>
      </c>
    </row>
    <row r="157" spans="1:170" x14ac:dyDescent="0.35">
      <c r="A157" t="s">
        <v>703</v>
      </c>
      <c r="B157" t="s">
        <v>704</v>
      </c>
      <c r="C157" t="s">
        <v>418</v>
      </c>
      <c r="D157">
        <v>2004</v>
      </c>
      <c r="E157">
        <v>1964</v>
      </c>
      <c r="F157">
        <v>0</v>
      </c>
      <c r="G157">
        <v>0</v>
      </c>
      <c r="H157">
        <v>401</v>
      </c>
      <c r="I157">
        <v>169</v>
      </c>
      <c r="J157">
        <v>526</v>
      </c>
      <c r="K157">
        <v>526</v>
      </c>
      <c r="L157">
        <v>365</v>
      </c>
      <c r="M157">
        <v>7</v>
      </c>
      <c r="N157">
        <v>3296</v>
      </c>
      <c r="O157">
        <v>2666</v>
      </c>
      <c r="P157">
        <v>2931</v>
      </c>
      <c r="Q157">
        <v>3</v>
      </c>
      <c r="R157">
        <v>13</v>
      </c>
      <c r="S157">
        <v>22</v>
      </c>
      <c r="T157">
        <v>179</v>
      </c>
      <c r="U157">
        <v>3117</v>
      </c>
      <c r="V157" s="498">
        <v>1956</v>
      </c>
      <c r="W157">
        <v>25</v>
      </c>
      <c r="X157" s="498">
        <v>12</v>
      </c>
      <c r="Y157" s="498">
        <v>37</v>
      </c>
      <c r="Z157" s="498">
        <v>85.75</v>
      </c>
      <c r="AA157" s="498">
        <v>82.41</v>
      </c>
      <c r="AB157">
        <v>5.91</v>
      </c>
      <c r="AC157">
        <v>90.76</v>
      </c>
      <c r="AD157">
        <v>1269</v>
      </c>
      <c r="AE157">
        <v>91.89</v>
      </c>
      <c r="AF157">
        <v>73.150000000000006</v>
      </c>
      <c r="AG157">
        <v>70.58</v>
      </c>
      <c r="AH157">
        <v>159.41999999999999</v>
      </c>
      <c r="AI157">
        <v>764</v>
      </c>
      <c r="AJ157">
        <v>107.3</v>
      </c>
      <c r="AK157">
        <v>664</v>
      </c>
      <c r="AL157">
        <v>286.7</v>
      </c>
      <c r="AM157">
        <v>32</v>
      </c>
      <c r="AN157">
        <v>0</v>
      </c>
      <c r="AO157" s="499">
        <v>0</v>
      </c>
      <c r="AP157" s="499">
        <v>0</v>
      </c>
      <c r="AQ157">
        <v>0</v>
      </c>
      <c r="AR157">
        <v>0</v>
      </c>
      <c r="AS157">
        <v>0</v>
      </c>
      <c r="AT157">
        <v>0</v>
      </c>
      <c r="AU157">
        <v>0</v>
      </c>
      <c r="AV157">
        <v>0</v>
      </c>
      <c r="AW157">
        <v>0</v>
      </c>
      <c r="AX157">
        <v>72.55</v>
      </c>
      <c r="AY157">
        <v>69.97</v>
      </c>
      <c r="AZ157">
        <v>7.78</v>
      </c>
      <c r="BA157">
        <v>80.08</v>
      </c>
      <c r="BB157">
        <v>351</v>
      </c>
      <c r="BC157">
        <v>85.68</v>
      </c>
      <c r="BD157">
        <v>82.45</v>
      </c>
      <c r="BE157">
        <v>5.92</v>
      </c>
      <c r="BF157">
        <v>90.57</v>
      </c>
      <c r="BG157">
        <v>539</v>
      </c>
      <c r="BH157">
        <v>97.41</v>
      </c>
      <c r="BI157">
        <v>93.12</v>
      </c>
      <c r="BJ157">
        <v>3.79</v>
      </c>
      <c r="BK157">
        <v>100.39</v>
      </c>
      <c r="BL157" s="214">
        <v>360</v>
      </c>
      <c r="BM157" s="214">
        <v>107.61</v>
      </c>
      <c r="BN157">
        <v>105.62</v>
      </c>
      <c r="BO157" s="187">
        <v>1.1100000000000001</v>
      </c>
      <c r="BP157" s="214">
        <v>108.13</v>
      </c>
      <c r="BQ157" s="214">
        <v>15</v>
      </c>
      <c r="BR157">
        <v>120.64</v>
      </c>
      <c r="BS157" s="187">
        <v>124.2</v>
      </c>
      <c r="BT157" s="214">
        <v>0</v>
      </c>
      <c r="BU157" s="214">
        <v>120.64</v>
      </c>
      <c r="BV157">
        <v>4</v>
      </c>
      <c r="BW157">
        <v>0</v>
      </c>
      <c r="BX157" s="214">
        <v>0</v>
      </c>
      <c r="BY157" s="214">
        <v>0</v>
      </c>
      <c r="BZ157">
        <v>0</v>
      </c>
      <c r="CA157" s="187">
        <v>0</v>
      </c>
      <c r="CB157" s="214">
        <v>85.75</v>
      </c>
      <c r="CC157" s="214">
        <v>82.41</v>
      </c>
      <c r="CD157">
        <v>5.91</v>
      </c>
      <c r="CE157" s="187">
        <v>90.76</v>
      </c>
      <c r="CF157" s="214">
        <v>1269</v>
      </c>
      <c r="CG157" s="214">
        <v>85.75</v>
      </c>
      <c r="CH157">
        <v>82.41</v>
      </c>
      <c r="CI157">
        <v>5.91</v>
      </c>
      <c r="CJ157">
        <v>90.76</v>
      </c>
      <c r="CK157">
        <v>1269</v>
      </c>
      <c r="CL157">
        <v>118.98</v>
      </c>
      <c r="CM157">
        <v>81.89</v>
      </c>
      <c r="CN157" s="187">
        <v>169.41</v>
      </c>
      <c r="CO157">
        <v>270.5</v>
      </c>
      <c r="CP157">
        <v>142</v>
      </c>
      <c r="CQ157">
        <v>68.31</v>
      </c>
      <c r="CR157">
        <v>62.71</v>
      </c>
      <c r="CS157" s="187">
        <v>33.200000000000003</v>
      </c>
      <c r="CT157">
        <v>101.51</v>
      </c>
      <c r="CU157">
        <v>185</v>
      </c>
      <c r="CV157">
        <v>92.39</v>
      </c>
      <c r="CW157">
        <v>75.319999999999993</v>
      </c>
      <c r="CX157" s="187">
        <v>57.92</v>
      </c>
      <c r="CY157">
        <v>147.82</v>
      </c>
      <c r="CZ157">
        <v>396</v>
      </c>
      <c r="DA157">
        <v>102.45</v>
      </c>
      <c r="DB157">
        <v>84.53</v>
      </c>
      <c r="DC157" s="187">
        <v>52.88</v>
      </c>
      <c r="DD157">
        <v>153.78</v>
      </c>
      <c r="DE157">
        <v>34</v>
      </c>
      <c r="DF157">
        <v>86.48</v>
      </c>
      <c r="DG157">
        <v>95.69</v>
      </c>
      <c r="DH157" s="187">
        <v>33.700000000000003</v>
      </c>
      <c r="DI157">
        <v>120.18</v>
      </c>
      <c r="DJ157">
        <v>7</v>
      </c>
      <c r="DK157">
        <v>0</v>
      </c>
      <c r="DL157">
        <v>0</v>
      </c>
      <c r="DM157" s="187">
        <v>0</v>
      </c>
      <c r="DN157">
        <v>0</v>
      </c>
      <c r="DO157">
        <v>0</v>
      </c>
      <c r="DP157">
        <v>85.71</v>
      </c>
      <c r="DQ157">
        <v>71.989999999999995</v>
      </c>
      <c r="DR157" s="187">
        <v>49.79</v>
      </c>
      <c r="DS157">
        <v>134.06</v>
      </c>
      <c r="DT157">
        <v>622</v>
      </c>
      <c r="DU157">
        <v>91.89</v>
      </c>
      <c r="DV157">
        <v>73.150000000000006</v>
      </c>
      <c r="DW157" s="187">
        <v>70.58</v>
      </c>
      <c r="DX157">
        <v>159.41999999999999</v>
      </c>
      <c r="DY157">
        <v>764</v>
      </c>
      <c r="DZ157">
        <v>0</v>
      </c>
      <c r="EA157">
        <v>0</v>
      </c>
      <c r="EB157" s="187">
        <v>80.319999999999993</v>
      </c>
      <c r="EC157">
        <v>1</v>
      </c>
      <c r="ED157">
        <v>89.36</v>
      </c>
      <c r="EE157">
        <v>169</v>
      </c>
      <c r="EF157">
        <v>107.43</v>
      </c>
      <c r="EG157" s="187">
        <v>269</v>
      </c>
      <c r="EH157">
        <v>120.35</v>
      </c>
      <c r="EI157">
        <v>212</v>
      </c>
      <c r="EJ157">
        <v>127.07</v>
      </c>
      <c r="EK157">
        <v>13</v>
      </c>
      <c r="EL157" s="187">
        <v>0</v>
      </c>
      <c r="EM157">
        <v>0</v>
      </c>
      <c r="EN157">
        <v>0</v>
      </c>
      <c r="EO157">
        <v>0</v>
      </c>
      <c r="EP157">
        <v>107.3</v>
      </c>
      <c r="EQ157" s="187">
        <v>664</v>
      </c>
      <c r="ER157">
        <v>107.3</v>
      </c>
      <c r="ES157">
        <v>664</v>
      </c>
      <c r="ET157">
        <v>377.44</v>
      </c>
      <c r="EU157">
        <v>15</v>
      </c>
      <c r="EV157" s="187">
        <v>0</v>
      </c>
      <c r="EW157">
        <v>0</v>
      </c>
      <c r="EX157">
        <v>206.64</v>
      </c>
      <c r="EY157">
        <v>17</v>
      </c>
      <c r="EZ157">
        <v>0</v>
      </c>
      <c r="FA157" s="187">
        <v>0</v>
      </c>
      <c r="FB157">
        <v>0</v>
      </c>
      <c r="FC157">
        <v>0</v>
      </c>
      <c r="FD157">
        <v>0</v>
      </c>
      <c r="FE157">
        <v>0</v>
      </c>
      <c r="FF157" s="187">
        <v>206.64</v>
      </c>
      <c r="FG157">
        <v>17</v>
      </c>
      <c r="FH157">
        <v>286.7</v>
      </c>
      <c r="FI157">
        <v>32</v>
      </c>
      <c r="FJ157">
        <v>17</v>
      </c>
      <c r="FK157" s="187">
        <v>3</v>
      </c>
      <c r="FL157">
        <v>0</v>
      </c>
      <c r="FM157">
        <v>10</v>
      </c>
      <c r="FN157">
        <v>11</v>
      </c>
    </row>
    <row r="158" spans="1:170" x14ac:dyDescent="0.35">
      <c r="A158" t="s">
        <v>705</v>
      </c>
      <c r="B158" t="s">
        <v>706</v>
      </c>
      <c r="C158" t="s">
        <v>1048</v>
      </c>
      <c r="D158">
        <v>13480</v>
      </c>
      <c r="E158">
        <v>13060</v>
      </c>
      <c r="F158">
        <v>8</v>
      </c>
      <c r="G158">
        <v>8</v>
      </c>
      <c r="H158">
        <v>1536</v>
      </c>
      <c r="I158">
        <v>873</v>
      </c>
      <c r="J158">
        <v>2906</v>
      </c>
      <c r="K158">
        <v>2436</v>
      </c>
      <c r="L158">
        <v>1652</v>
      </c>
      <c r="M158">
        <v>15</v>
      </c>
      <c r="N158">
        <v>19582</v>
      </c>
      <c r="O158">
        <v>16392</v>
      </c>
      <c r="P158">
        <v>17930</v>
      </c>
      <c r="Q158">
        <v>45</v>
      </c>
      <c r="R158">
        <v>25</v>
      </c>
      <c r="S158">
        <v>35</v>
      </c>
      <c r="T158">
        <v>1266</v>
      </c>
      <c r="U158">
        <v>18316</v>
      </c>
      <c r="V158" s="498">
        <v>13088</v>
      </c>
      <c r="W158">
        <v>108</v>
      </c>
      <c r="X158" s="498">
        <v>49</v>
      </c>
      <c r="Y158" s="498">
        <v>157</v>
      </c>
      <c r="Z158" s="498">
        <v>86.28</v>
      </c>
      <c r="AA158" s="498">
        <v>84.62</v>
      </c>
      <c r="AB158">
        <v>6.99</v>
      </c>
      <c r="AC158">
        <v>90.7</v>
      </c>
      <c r="AD158">
        <v>11134</v>
      </c>
      <c r="AE158">
        <v>98.46</v>
      </c>
      <c r="AF158">
        <v>75.17</v>
      </c>
      <c r="AG158">
        <v>51.71</v>
      </c>
      <c r="AH158">
        <v>148.56</v>
      </c>
      <c r="AI158">
        <v>3472</v>
      </c>
      <c r="AJ158">
        <v>110.72</v>
      </c>
      <c r="AK158">
        <v>1472</v>
      </c>
      <c r="AL158">
        <v>198.61</v>
      </c>
      <c r="AM158">
        <v>99</v>
      </c>
      <c r="AN158">
        <v>41.29</v>
      </c>
      <c r="AO158" s="499">
        <v>41.12</v>
      </c>
      <c r="AP158" s="499">
        <v>9.48</v>
      </c>
      <c r="AQ158">
        <v>50.77</v>
      </c>
      <c r="AR158">
        <v>8</v>
      </c>
      <c r="AS158">
        <v>63.35</v>
      </c>
      <c r="AT158">
        <v>62.32</v>
      </c>
      <c r="AU158">
        <v>8.58</v>
      </c>
      <c r="AV158">
        <v>71.88</v>
      </c>
      <c r="AW158">
        <v>157</v>
      </c>
      <c r="AX158">
        <v>74.36</v>
      </c>
      <c r="AY158">
        <v>72.650000000000006</v>
      </c>
      <c r="AZ158">
        <v>8.65</v>
      </c>
      <c r="BA158">
        <v>82.7</v>
      </c>
      <c r="BB158">
        <v>2887</v>
      </c>
      <c r="BC158">
        <v>86.47</v>
      </c>
      <c r="BD158">
        <v>84.53</v>
      </c>
      <c r="BE158">
        <v>6.9</v>
      </c>
      <c r="BF158">
        <v>90.76</v>
      </c>
      <c r="BG158">
        <v>4596</v>
      </c>
      <c r="BH158">
        <v>95.04</v>
      </c>
      <c r="BI158">
        <v>93.6</v>
      </c>
      <c r="BJ158">
        <v>3.07</v>
      </c>
      <c r="BK158">
        <v>96.31</v>
      </c>
      <c r="BL158" s="214">
        <v>2481</v>
      </c>
      <c r="BM158" s="214">
        <v>100.31</v>
      </c>
      <c r="BN158">
        <v>99.5</v>
      </c>
      <c r="BO158" s="187">
        <v>4.17</v>
      </c>
      <c r="BP158" s="214">
        <v>101.22</v>
      </c>
      <c r="BQ158" s="214">
        <v>877</v>
      </c>
      <c r="BR158">
        <v>112.53</v>
      </c>
      <c r="BS158" s="187">
        <v>110.77</v>
      </c>
      <c r="BT158" s="214">
        <v>3.93</v>
      </c>
      <c r="BU158" s="214">
        <v>113.03</v>
      </c>
      <c r="BV158">
        <v>116</v>
      </c>
      <c r="BW158">
        <v>121.01</v>
      </c>
      <c r="BX158" s="214">
        <v>124.51</v>
      </c>
      <c r="BY158" s="214">
        <v>3.69</v>
      </c>
      <c r="BZ158">
        <v>121.32</v>
      </c>
      <c r="CA158" s="187">
        <v>12</v>
      </c>
      <c r="CB158" s="214">
        <v>86.31</v>
      </c>
      <c r="CC158" s="214">
        <v>84.65</v>
      </c>
      <c r="CD158">
        <v>6.99</v>
      </c>
      <c r="CE158" s="187">
        <v>90.73</v>
      </c>
      <c r="CF158" s="214">
        <v>11126</v>
      </c>
      <c r="CG158" s="214">
        <v>86.28</v>
      </c>
      <c r="CH158">
        <v>84.62</v>
      </c>
      <c r="CI158">
        <v>6.99</v>
      </c>
      <c r="CJ158">
        <v>90.7</v>
      </c>
      <c r="CK158">
        <v>11134</v>
      </c>
      <c r="CL158">
        <v>142.08000000000001</v>
      </c>
      <c r="CM158">
        <v>75.319999999999993</v>
      </c>
      <c r="CN158" s="187">
        <v>87.48</v>
      </c>
      <c r="CO158">
        <v>227.99</v>
      </c>
      <c r="CP158">
        <v>559</v>
      </c>
      <c r="CQ158">
        <v>67.84</v>
      </c>
      <c r="CR158">
        <v>62.98</v>
      </c>
      <c r="CS158" s="187">
        <v>48.16</v>
      </c>
      <c r="CT158">
        <v>116</v>
      </c>
      <c r="CU158">
        <v>259</v>
      </c>
      <c r="CV158">
        <v>91.08</v>
      </c>
      <c r="CW158">
        <v>74.2</v>
      </c>
      <c r="CX158" s="187">
        <v>46.94</v>
      </c>
      <c r="CY158">
        <v>137.91999999999999</v>
      </c>
      <c r="CZ158">
        <v>2089</v>
      </c>
      <c r="DA158">
        <v>93.39</v>
      </c>
      <c r="DB158">
        <v>83.72</v>
      </c>
      <c r="DC158" s="187">
        <v>31.97</v>
      </c>
      <c r="DD158">
        <v>119.77</v>
      </c>
      <c r="DE158">
        <v>532</v>
      </c>
      <c r="DF158">
        <v>148.93</v>
      </c>
      <c r="DG158">
        <v>96.82</v>
      </c>
      <c r="DH158" s="187">
        <v>48.36</v>
      </c>
      <c r="DI158">
        <v>195.83</v>
      </c>
      <c r="DJ158">
        <v>33</v>
      </c>
      <c r="DK158">
        <v>0</v>
      </c>
      <c r="DL158">
        <v>0</v>
      </c>
      <c r="DM158" s="187">
        <v>0</v>
      </c>
      <c r="DN158">
        <v>0</v>
      </c>
      <c r="DO158">
        <v>0</v>
      </c>
      <c r="DP158">
        <v>90.09</v>
      </c>
      <c r="DQ158">
        <v>75.16</v>
      </c>
      <c r="DR158" s="187">
        <v>44.73</v>
      </c>
      <c r="DS158">
        <v>133.31</v>
      </c>
      <c r="DT158">
        <v>2913</v>
      </c>
      <c r="DU158">
        <v>98.46</v>
      </c>
      <c r="DV158">
        <v>75.17</v>
      </c>
      <c r="DW158" s="187">
        <v>51.71</v>
      </c>
      <c r="DX158">
        <v>148.56</v>
      </c>
      <c r="DY158">
        <v>3472</v>
      </c>
      <c r="DZ158">
        <v>0</v>
      </c>
      <c r="EA158">
        <v>0</v>
      </c>
      <c r="EB158" s="187">
        <v>90.96</v>
      </c>
      <c r="EC158">
        <v>7</v>
      </c>
      <c r="ED158">
        <v>92.19</v>
      </c>
      <c r="EE158">
        <v>250</v>
      </c>
      <c r="EF158">
        <v>110.9</v>
      </c>
      <c r="EG158" s="187">
        <v>748</v>
      </c>
      <c r="EH158">
        <v>119.41</v>
      </c>
      <c r="EI158">
        <v>418</v>
      </c>
      <c r="EJ158">
        <v>130.81</v>
      </c>
      <c r="EK158">
        <v>47</v>
      </c>
      <c r="EL158" s="187">
        <v>140.97999999999999</v>
      </c>
      <c r="EM158">
        <v>2</v>
      </c>
      <c r="EN158">
        <v>0</v>
      </c>
      <c r="EO158">
        <v>0</v>
      </c>
      <c r="EP158">
        <v>110.72</v>
      </c>
      <c r="EQ158" s="187">
        <v>1472</v>
      </c>
      <c r="ER158">
        <v>110.72</v>
      </c>
      <c r="ES158">
        <v>1472</v>
      </c>
      <c r="ET158">
        <v>0</v>
      </c>
      <c r="EU158">
        <v>0</v>
      </c>
      <c r="EV158" s="187">
        <v>0</v>
      </c>
      <c r="EW158">
        <v>0</v>
      </c>
      <c r="EX158">
        <v>218.35</v>
      </c>
      <c r="EY158">
        <v>53</v>
      </c>
      <c r="EZ158">
        <v>176.89</v>
      </c>
      <c r="FA158" s="187">
        <v>43</v>
      </c>
      <c r="FB158">
        <v>161.04</v>
      </c>
      <c r="FC158">
        <v>3</v>
      </c>
      <c r="FD158">
        <v>0</v>
      </c>
      <c r="FE158">
        <v>0</v>
      </c>
      <c r="FF158" s="187">
        <v>198.61</v>
      </c>
      <c r="FG158">
        <v>99</v>
      </c>
      <c r="FH158">
        <v>198.61</v>
      </c>
      <c r="FI158">
        <v>99</v>
      </c>
      <c r="FJ158">
        <v>2</v>
      </c>
      <c r="FK158" s="187">
        <v>8</v>
      </c>
      <c r="FL158">
        <v>32</v>
      </c>
      <c r="FM158">
        <v>113</v>
      </c>
      <c r="FN158">
        <v>49</v>
      </c>
    </row>
    <row r="159" spans="1:170" x14ac:dyDescent="0.35">
      <c r="A159" t="s">
        <v>707</v>
      </c>
      <c r="B159" t="s">
        <v>708</v>
      </c>
      <c r="C159" t="s">
        <v>414</v>
      </c>
      <c r="D159">
        <v>8984</v>
      </c>
      <c r="E159">
        <v>8506</v>
      </c>
      <c r="F159">
        <v>0</v>
      </c>
      <c r="G159">
        <v>0</v>
      </c>
      <c r="H159">
        <v>987</v>
      </c>
      <c r="I159">
        <v>444</v>
      </c>
      <c r="J159">
        <v>919</v>
      </c>
      <c r="K159">
        <v>875</v>
      </c>
      <c r="L159">
        <v>561</v>
      </c>
      <c r="M159">
        <v>0</v>
      </c>
      <c r="N159">
        <v>11451</v>
      </c>
      <c r="O159">
        <v>9825</v>
      </c>
      <c r="P159">
        <v>10890</v>
      </c>
      <c r="Q159">
        <v>63</v>
      </c>
      <c r="R159">
        <v>17</v>
      </c>
      <c r="S159">
        <v>25</v>
      </c>
      <c r="T159">
        <v>1004</v>
      </c>
      <c r="U159">
        <v>10447</v>
      </c>
      <c r="V159" s="498">
        <v>8265</v>
      </c>
      <c r="W159">
        <v>93</v>
      </c>
      <c r="X159" s="498">
        <v>49</v>
      </c>
      <c r="Y159" s="498">
        <v>142</v>
      </c>
      <c r="Z159" s="498">
        <v>85.95</v>
      </c>
      <c r="AA159" s="498">
        <v>83.33</v>
      </c>
      <c r="AB159">
        <v>8.77</v>
      </c>
      <c r="AC159">
        <v>92.13</v>
      </c>
      <c r="AD159">
        <v>6971</v>
      </c>
      <c r="AE159">
        <v>90.13</v>
      </c>
      <c r="AF159">
        <v>76.900000000000006</v>
      </c>
      <c r="AG159">
        <v>62.81</v>
      </c>
      <c r="AH159">
        <v>148.22999999999999</v>
      </c>
      <c r="AI159">
        <v>1535</v>
      </c>
      <c r="AJ159">
        <v>115.48</v>
      </c>
      <c r="AK159">
        <v>1128</v>
      </c>
      <c r="AL159">
        <v>137.34</v>
      </c>
      <c r="AM159">
        <v>86</v>
      </c>
      <c r="AN159">
        <v>0</v>
      </c>
      <c r="AO159" s="499">
        <v>0</v>
      </c>
      <c r="AP159" s="499">
        <v>0</v>
      </c>
      <c r="AQ159">
        <v>0</v>
      </c>
      <c r="AR159">
        <v>0</v>
      </c>
      <c r="AS159">
        <v>60.58</v>
      </c>
      <c r="AT159">
        <v>59.75</v>
      </c>
      <c r="AU159">
        <v>17.170000000000002</v>
      </c>
      <c r="AV159">
        <v>77.67</v>
      </c>
      <c r="AW159">
        <v>222</v>
      </c>
      <c r="AX159">
        <v>72.260000000000005</v>
      </c>
      <c r="AY159">
        <v>70.17</v>
      </c>
      <c r="AZ159">
        <v>14.27</v>
      </c>
      <c r="BA159">
        <v>86.32</v>
      </c>
      <c r="BB159">
        <v>1715</v>
      </c>
      <c r="BC159">
        <v>85.79</v>
      </c>
      <c r="BD159">
        <v>82.98</v>
      </c>
      <c r="BE159">
        <v>7.36</v>
      </c>
      <c r="BF159">
        <v>90.07</v>
      </c>
      <c r="BG159">
        <v>2697</v>
      </c>
      <c r="BH159">
        <v>93.96</v>
      </c>
      <c r="BI159">
        <v>91.22</v>
      </c>
      <c r="BJ159">
        <v>2.46</v>
      </c>
      <c r="BK159">
        <v>95.46</v>
      </c>
      <c r="BL159" s="214">
        <v>1793</v>
      </c>
      <c r="BM159" s="214">
        <v>112.04</v>
      </c>
      <c r="BN159">
        <v>108.28</v>
      </c>
      <c r="BO159" s="187">
        <v>2.97</v>
      </c>
      <c r="BP159" s="214">
        <v>114.11</v>
      </c>
      <c r="BQ159" s="214">
        <v>409</v>
      </c>
      <c r="BR159">
        <v>115.98</v>
      </c>
      <c r="BS159" s="187">
        <v>112.88</v>
      </c>
      <c r="BT159" s="214">
        <v>2.0699999999999998</v>
      </c>
      <c r="BU159" s="214">
        <v>116.91</v>
      </c>
      <c r="BV159">
        <v>107</v>
      </c>
      <c r="BW159">
        <v>131.13</v>
      </c>
      <c r="BX159" s="214">
        <v>126.58</v>
      </c>
      <c r="BY159" s="214">
        <v>2.5499999999999998</v>
      </c>
      <c r="BZ159">
        <v>132.22</v>
      </c>
      <c r="CA159" s="187">
        <v>28</v>
      </c>
      <c r="CB159" s="214">
        <v>85.95</v>
      </c>
      <c r="CC159" s="214">
        <v>83.33</v>
      </c>
      <c r="CD159">
        <v>8.77</v>
      </c>
      <c r="CE159" s="187">
        <v>92.13</v>
      </c>
      <c r="CF159" s="214">
        <v>6971</v>
      </c>
      <c r="CG159" s="214">
        <v>85.95</v>
      </c>
      <c r="CH159">
        <v>83.33</v>
      </c>
      <c r="CI159">
        <v>8.77</v>
      </c>
      <c r="CJ159">
        <v>92.13</v>
      </c>
      <c r="CK159">
        <v>6971</v>
      </c>
      <c r="CL159">
        <v>100.18</v>
      </c>
      <c r="CM159">
        <v>71.13</v>
      </c>
      <c r="CN159" s="187">
        <v>128.04</v>
      </c>
      <c r="CO159">
        <v>162.77000000000001</v>
      </c>
      <c r="CP159">
        <v>178</v>
      </c>
      <c r="CQ159">
        <v>67.41</v>
      </c>
      <c r="CR159">
        <v>62.53</v>
      </c>
      <c r="CS159" s="187">
        <v>115.15</v>
      </c>
      <c r="CT159">
        <v>174.06</v>
      </c>
      <c r="CU159">
        <v>176</v>
      </c>
      <c r="CV159">
        <v>90.78</v>
      </c>
      <c r="CW159">
        <v>77.17</v>
      </c>
      <c r="CX159" s="187">
        <v>52.75</v>
      </c>
      <c r="CY159">
        <v>143</v>
      </c>
      <c r="CZ159">
        <v>993</v>
      </c>
      <c r="DA159">
        <v>98.37</v>
      </c>
      <c r="DB159">
        <v>91.75</v>
      </c>
      <c r="DC159" s="187">
        <v>39.75</v>
      </c>
      <c r="DD159">
        <v>137.91</v>
      </c>
      <c r="DE159">
        <v>181</v>
      </c>
      <c r="DF159">
        <v>96.46</v>
      </c>
      <c r="DG159">
        <v>96.15</v>
      </c>
      <c r="DH159" s="187">
        <v>38.64</v>
      </c>
      <c r="DI159">
        <v>135.11000000000001</v>
      </c>
      <c r="DJ159">
        <v>6</v>
      </c>
      <c r="DK159">
        <v>118.37</v>
      </c>
      <c r="DL159">
        <v>0</v>
      </c>
      <c r="DM159" s="187">
        <v>36.799999999999997</v>
      </c>
      <c r="DN159">
        <v>155.16999999999999</v>
      </c>
      <c r="DO159">
        <v>1</v>
      </c>
      <c r="DP159">
        <v>88.81</v>
      </c>
      <c r="DQ159">
        <v>77.42</v>
      </c>
      <c r="DR159" s="187">
        <v>58.55</v>
      </c>
      <c r="DS159">
        <v>146.32</v>
      </c>
      <c r="DT159">
        <v>1357</v>
      </c>
      <c r="DU159">
        <v>90.13</v>
      </c>
      <c r="DV159">
        <v>76.900000000000006</v>
      </c>
      <c r="DW159" s="187">
        <v>62.81</v>
      </c>
      <c r="DX159">
        <v>148.22999999999999</v>
      </c>
      <c r="DY159">
        <v>1535</v>
      </c>
      <c r="DZ159">
        <v>0</v>
      </c>
      <c r="EA159">
        <v>0</v>
      </c>
      <c r="EB159" s="187">
        <v>81.010000000000005</v>
      </c>
      <c r="EC159">
        <v>1</v>
      </c>
      <c r="ED159">
        <v>94.92</v>
      </c>
      <c r="EE159">
        <v>94</v>
      </c>
      <c r="EF159">
        <v>108.03</v>
      </c>
      <c r="EG159" s="187">
        <v>588</v>
      </c>
      <c r="EH159">
        <v>125.25</v>
      </c>
      <c r="EI159">
        <v>361</v>
      </c>
      <c r="EJ159">
        <v>150.07</v>
      </c>
      <c r="EK159">
        <v>78</v>
      </c>
      <c r="EL159" s="187">
        <v>135.16999999999999</v>
      </c>
      <c r="EM159">
        <v>5</v>
      </c>
      <c r="EN159">
        <v>136.38</v>
      </c>
      <c r="EO159">
        <v>1</v>
      </c>
      <c r="EP159">
        <v>115.48</v>
      </c>
      <c r="EQ159" s="187">
        <v>1128</v>
      </c>
      <c r="ER159">
        <v>115.48</v>
      </c>
      <c r="ES159">
        <v>1128</v>
      </c>
      <c r="ET159">
        <v>0</v>
      </c>
      <c r="EU159">
        <v>0</v>
      </c>
      <c r="EV159" s="187">
        <v>129.61000000000001</v>
      </c>
      <c r="EW159">
        <v>1</v>
      </c>
      <c r="EX159">
        <v>135.71</v>
      </c>
      <c r="EY159">
        <v>82</v>
      </c>
      <c r="EZ159">
        <v>184.53</v>
      </c>
      <c r="FA159" s="187">
        <v>3</v>
      </c>
      <c r="FB159">
        <v>0</v>
      </c>
      <c r="FC159">
        <v>0</v>
      </c>
      <c r="FD159">
        <v>0</v>
      </c>
      <c r="FE159">
        <v>0</v>
      </c>
      <c r="FF159" s="187">
        <v>137.34</v>
      </c>
      <c r="FG159">
        <v>86</v>
      </c>
      <c r="FH159">
        <v>137.34</v>
      </c>
      <c r="FI159">
        <v>86</v>
      </c>
      <c r="FJ159">
        <v>0</v>
      </c>
      <c r="FK159" s="187">
        <v>12</v>
      </c>
      <c r="FL159">
        <v>16</v>
      </c>
      <c r="FM159">
        <v>22</v>
      </c>
      <c r="FN159">
        <v>34</v>
      </c>
    </row>
    <row r="160" spans="1:170" x14ac:dyDescent="0.35">
      <c r="A160" t="s">
        <v>709</v>
      </c>
      <c r="B160" t="s">
        <v>710</v>
      </c>
      <c r="C160" t="s">
        <v>2</v>
      </c>
      <c r="D160">
        <v>1157</v>
      </c>
      <c r="E160">
        <v>1151</v>
      </c>
      <c r="F160">
        <v>0</v>
      </c>
      <c r="G160">
        <v>0</v>
      </c>
      <c r="H160">
        <v>154</v>
      </c>
      <c r="I160">
        <v>77</v>
      </c>
      <c r="J160">
        <v>442</v>
      </c>
      <c r="K160">
        <v>236</v>
      </c>
      <c r="L160">
        <v>403</v>
      </c>
      <c r="M160">
        <v>59</v>
      </c>
      <c r="N160">
        <v>2156</v>
      </c>
      <c r="O160">
        <v>1523</v>
      </c>
      <c r="P160">
        <v>1753</v>
      </c>
      <c r="Q160">
        <v>11</v>
      </c>
      <c r="R160">
        <v>6</v>
      </c>
      <c r="S160">
        <v>27</v>
      </c>
      <c r="T160">
        <v>275</v>
      </c>
      <c r="U160">
        <v>1881</v>
      </c>
      <c r="V160" s="498">
        <v>1157</v>
      </c>
      <c r="W160">
        <v>15</v>
      </c>
      <c r="X160" s="498">
        <v>11</v>
      </c>
      <c r="Y160" s="498">
        <v>26</v>
      </c>
      <c r="Z160" s="498">
        <v>96.53</v>
      </c>
      <c r="AA160" s="498">
        <v>94.99</v>
      </c>
      <c r="AB160">
        <v>7.3</v>
      </c>
      <c r="AC160">
        <v>102.9</v>
      </c>
      <c r="AD160">
        <v>868</v>
      </c>
      <c r="AE160">
        <v>85.37</v>
      </c>
      <c r="AF160">
        <v>78.88</v>
      </c>
      <c r="AG160">
        <v>50.94</v>
      </c>
      <c r="AH160">
        <v>135</v>
      </c>
      <c r="AI160">
        <v>312</v>
      </c>
      <c r="AJ160">
        <v>175.58</v>
      </c>
      <c r="AK160">
        <v>276</v>
      </c>
      <c r="AL160">
        <v>153.1</v>
      </c>
      <c r="AM160">
        <v>9</v>
      </c>
      <c r="AN160">
        <v>0</v>
      </c>
      <c r="AO160" s="499">
        <v>0</v>
      </c>
      <c r="AP160" s="499">
        <v>0</v>
      </c>
      <c r="AQ160">
        <v>0</v>
      </c>
      <c r="AR160">
        <v>0</v>
      </c>
      <c r="AS160">
        <v>63.75</v>
      </c>
      <c r="AT160">
        <v>63.24</v>
      </c>
      <c r="AU160">
        <v>2.87</v>
      </c>
      <c r="AV160">
        <v>66.62</v>
      </c>
      <c r="AW160">
        <v>28</v>
      </c>
      <c r="AX160">
        <v>79.42</v>
      </c>
      <c r="AY160">
        <v>78.349999999999994</v>
      </c>
      <c r="AZ160">
        <v>8.82</v>
      </c>
      <c r="BA160">
        <v>88.02</v>
      </c>
      <c r="BB160">
        <v>199</v>
      </c>
      <c r="BC160">
        <v>93.24</v>
      </c>
      <c r="BD160">
        <v>91.89</v>
      </c>
      <c r="BE160">
        <v>9.19</v>
      </c>
      <c r="BF160">
        <v>101.09</v>
      </c>
      <c r="BG160">
        <v>343</v>
      </c>
      <c r="BH160">
        <v>114.33</v>
      </c>
      <c r="BI160">
        <v>112.97</v>
      </c>
      <c r="BJ160">
        <v>4.32</v>
      </c>
      <c r="BK160">
        <v>117.89</v>
      </c>
      <c r="BL160" s="214">
        <v>284</v>
      </c>
      <c r="BM160" s="214">
        <v>124.53</v>
      </c>
      <c r="BN160">
        <v>120.89</v>
      </c>
      <c r="BO160" s="187">
        <v>3.86</v>
      </c>
      <c r="BP160" s="214">
        <v>127.01</v>
      </c>
      <c r="BQ160" s="214">
        <v>14</v>
      </c>
      <c r="BR160">
        <v>0</v>
      </c>
      <c r="BS160" s="187">
        <v>0</v>
      </c>
      <c r="BT160" s="214">
        <v>0</v>
      </c>
      <c r="BU160" s="214">
        <v>0</v>
      </c>
      <c r="BV160">
        <v>0</v>
      </c>
      <c r="BW160">
        <v>0</v>
      </c>
      <c r="BX160" s="214">
        <v>0</v>
      </c>
      <c r="BY160" s="214">
        <v>0</v>
      </c>
      <c r="BZ160">
        <v>0</v>
      </c>
      <c r="CA160" s="187">
        <v>0</v>
      </c>
      <c r="CB160" s="214">
        <v>96.53</v>
      </c>
      <c r="CC160" s="214">
        <v>94.99</v>
      </c>
      <c r="CD160">
        <v>7.3</v>
      </c>
      <c r="CE160" s="187">
        <v>102.9</v>
      </c>
      <c r="CF160" s="214">
        <v>868</v>
      </c>
      <c r="CG160" s="214">
        <v>96.53</v>
      </c>
      <c r="CH160">
        <v>94.99</v>
      </c>
      <c r="CI160">
        <v>7.3</v>
      </c>
      <c r="CJ160">
        <v>102.9</v>
      </c>
      <c r="CK160">
        <v>868</v>
      </c>
      <c r="CL160">
        <v>115.24</v>
      </c>
      <c r="CM160">
        <v>82.58</v>
      </c>
      <c r="CN160" s="187">
        <v>133.36000000000001</v>
      </c>
      <c r="CO160">
        <v>232.27</v>
      </c>
      <c r="CP160">
        <v>49</v>
      </c>
      <c r="CQ160">
        <v>71.06</v>
      </c>
      <c r="CR160">
        <v>67.349999999999994</v>
      </c>
      <c r="CS160" s="187">
        <v>19.399999999999999</v>
      </c>
      <c r="CT160">
        <v>90.45</v>
      </c>
      <c r="CU160">
        <v>40</v>
      </c>
      <c r="CV160">
        <v>78.47</v>
      </c>
      <c r="CW160">
        <v>77.959999999999994</v>
      </c>
      <c r="CX160" s="187">
        <v>40.200000000000003</v>
      </c>
      <c r="CY160">
        <v>118.46</v>
      </c>
      <c r="CZ160">
        <v>195</v>
      </c>
      <c r="DA160">
        <v>101.26</v>
      </c>
      <c r="DB160">
        <v>95.12</v>
      </c>
      <c r="DC160" s="187">
        <v>43.53</v>
      </c>
      <c r="DD160">
        <v>144.79</v>
      </c>
      <c r="DE160">
        <v>27</v>
      </c>
      <c r="DF160">
        <v>111.2</v>
      </c>
      <c r="DG160">
        <v>111.99</v>
      </c>
      <c r="DH160" s="187">
        <v>0</v>
      </c>
      <c r="DI160">
        <v>111.2</v>
      </c>
      <c r="DJ160">
        <v>1</v>
      </c>
      <c r="DK160">
        <v>0</v>
      </c>
      <c r="DL160">
        <v>0</v>
      </c>
      <c r="DM160" s="187">
        <v>0</v>
      </c>
      <c r="DN160">
        <v>0</v>
      </c>
      <c r="DO160">
        <v>0</v>
      </c>
      <c r="DP160">
        <v>79.8</v>
      </c>
      <c r="DQ160">
        <v>78.25</v>
      </c>
      <c r="DR160" s="187">
        <v>37.36</v>
      </c>
      <c r="DS160">
        <v>116.88</v>
      </c>
      <c r="DT160">
        <v>263</v>
      </c>
      <c r="DU160">
        <v>85.37</v>
      </c>
      <c r="DV160">
        <v>78.88</v>
      </c>
      <c r="DW160" s="187">
        <v>50.94</v>
      </c>
      <c r="DX160">
        <v>135</v>
      </c>
      <c r="DY160">
        <v>312</v>
      </c>
      <c r="DZ160">
        <v>0</v>
      </c>
      <c r="EA160">
        <v>0</v>
      </c>
      <c r="EB160" s="187">
        <v>0</v>
      </c>
      <c r="EC160">
        <v>0</v>
      </c>
      <c r="ED160">
        <v>146.08000000000001</v>
      </c>
      <c r="EE160">
        <v>87</v>
      </c>
      <c r="EF160">
        <v>178.16</v>
      </c>
      <c r="EG160" s="187">
        <v>140</v>
      </c>
      <c r="EH160">
        <v>219.92</v>
      </c>
      <c r="EI160">
        <v>48</v>
      </c>
      <c r="EJ160">
        <v>252.49</v>
      </c>
      <c r="EK160">
        <v>1</v>
      </c>
      <c r="EL160" s="187">
        <v>0</v>
      </c>
      <c r="EM160">
        <v>0</v>
      </c>
      <c r="EN160">
        <v>0</v>
      </c>
      <c r="EO160">
        <v>0</v>
      </c>
      <c r="EP160">
        <v>175.58</v>
      </c>
      <c r="EQ160" s="187">
        <v>276</v>
      </c>
      <c r="ER160">
        <v>175.58</v>
      </c>
      <c r="ES160">
        <v>276</v>
      </c>
      <c r="ET160">
        <v>0</v>
      </c>
      <c r="EU160">
        <v>0</v>
      </c>
      <c r="EV160" s="187">
        <v>0</v>
      </c>
      <c r="EW160">
        <v>0</v>
      </c>
      <c r="EX160">
        <v>153.1</v>
      </c>
      <c r="EY160">
        <v>9</v>
      </c>
      <c r="EZ160">
        <v>0</v>
      </c>
      <c r="FA160" s="187">
        <v>0</v>
      </c>
      <c r="FB160">
        <v>0</v>
      </c>
      <c r="FC160">
        <v>0</v>
      </c>
      <c r="FD160">
        <v>0</v>
      </c>
      <c r="FE160">
        <v>0</v>
      </c>
      <c r="FF160" s="187">
        <v>153.1</v>
      </c>
      <c r="FG160">
        <v>9</v>
      </c>
      <c r="FH160">
        <v>153.1</v>
      </c>
      <c r="FI160">
        <v>9</v>
      </c>
      <c r="FJ160">
        <v>6</v>
      </c>
      <c r="FK160" s="187">
        <v>0</v>
      </c>
      <c r="FL160">
        <v>0</v>
      </c>
      <c r="FM160">
        <v>48</v>
      </c>
      <c r="FN160">
        <v>11</v>
      </c>
    </row>
    <row r="161" spans="1:170" x14ac:dyDescent="0.35">
      <c r="A161" t="s">
        <v>711</v>
      </c>
      <c r="B161" t="s">
        <v>712</v>
      </c>
      <c r="C161" t="s">
        <v>416</v>
      </c>
      <c r="D161">
        <v>20921</v>
      </c>
      <c r="E161">
        <v>20139</v>
      </c>
      <c r="F161">
        <v>149</v>
      </c>
      <c r="G161">
        <v>5</v>
      </c>
      <c r="H161">
        <v>1518</v>
      </c>
      <c r="I161">
        <v>1022</v>
      </c>
      <c r="J161">
        <v>684</v>
      </c>
      <c r="K161">
        <v>576</v>
      </c>
      <c r="L161">
        <v>1976</v>
      </c>
      <c r="M161">
        <v>128</v>
      </c>
      <c r="N161">
        <v>25248</v>
      </c>
      <c r="O161">
        <v>21870</v>
      </c>
      <c r="P161">
        <v>23272</v>
      </c>
      <c r="Q161">
        <v>215</v>
      </c>
      <c r="R161">
        <v>30</v>
      </c>
      <c r="S161">
        <v>28</v>
      </c>
      <c r="T161">
        <v>1271</v>
      </c>
      <c r="U161">
        <v>23977</v>
      </c>
      <c r="V161" s="498">
        <v>20053</v>
      </c>
      <c r="W161">
        <v>218</v>
      </c>
      <c r="X161" s="498">
        <v>115</v>
      </c>
      <c r="Y161" s="498">
        <v>333</v>
      </c>
      <c r="Z161" s="498">
        <v>112.71</v>
      </c>
      <c r="AA161" s="498">
        <v>115.03</v>
      </c>
      <c r="AB161">
        <v>12.14</v>
      </c>
      <c r="AC161">
        <v>119.59</v>
      </c>
      <c r="AD161">
        <v>18303</v>
      </c>
      <c r="AE161">
        <v>108.45</v>
      </c>
      <c r="AF161">
        <v>102.84</v>
      </c>
      <c r="AG161">
        <v>86.09</v>
      </c>
      <c r="AH161">
        <v>188.76</v>
      </c>
      <c r="AI161">
        <v>1771</v>
      </c>
      <c r="AJ161">
        <v>183.29</v>
      </c>
      <c r="AK161">
        <v>1671</v>
      </c>
      <c r="AL161">
        <v>283.99</v>
      </c>
      <c r="AM161">
        <v>119</v>
      </c>
      <c r="AN161">
        <v>72.73</v>
      </c>
      <c r="AO161" s="499">
        <v>72.8</v>
      </c>
      <c r="AP161" s="499">
        <v>68.900000000000006</v>
      </c>
      <c r="AQ161">
        <v>81.91</v>
      </c>
      <c r="AR161">
        <v>30</v>
      </c>
      <c r="AS161">
        <v>78.56</v>
      </c>
      <c r="AT161">
        <v>79.03</v>
      </c>
      <c r="AU161">
        <v>10.19</v>
      </c>
      <c r="AV161">
        <v>86.49</v>
      </c>
      <c r="AW161">
        <v>405</v>
      </c>
      <c r="AX161">
        <v>97.23</v>
      </c>
      <c r="AY161">
        <v>97.34</v>
      </c>
      <c r="AZ161">
        <v>12.27</v>
      </c>
      <c r="BA161">
        <v>106.18</v>
      </c>
      <c r="BB161">
        <v>4586</v>
      </c>
      <c r="BC161">
        <v>111.09</v>
      </c>
      <c r="BD161">
        <v>112.91</v>
      </c>
      <c r="BE161">
        <v>12.81</v>
      </c>
      <c r="BF161">
        <v>118.81</v>
      </c>
      <c r="BG161">
        <v>6825</v>
      </c>
      <c r="BH161">
        <v>124.29</v>
      </c>
      <c r="BI161">
        <v>128.6</v>
      </c>
      <c r="BJ161">
        <v>11.68</v>
      </c>
      <c r="BK161">
        <v>128.77000000000001</v>
      </c>
      <c r="BL161" s="214">
        <v>5367</v>
      </c>
      <c r="BM161" s="214">
        <v>142.86000000000001</v>
      </c>
      <c r="BN161">
        <v>148.53</v>
      </c>
      <c r="BO161" s="187">
        <v>9.0500000000000007</v>
      </c>
      <c r="BP161" s="214">
        <v>147.54</v>
      </c>
      <c r="BQ161" s="214">
        <v>971</v>
      </c>
      <c r="BR161">
        <v>159.76</v>
      </c>
      <c r="BS161" s="187">
        <v>166.68</v>
      </c>
      <c r="BT161" s="214">
        <v>4.6900000000000004</v>
      </c>
      <c r="BU161" s="214">
        <v>161.41</v>
      </c>
      <c r="BV161">
        <v>102</v>
      </c>
      <c r="BW161">
        <v>156.47999999999999</v>
      </c>
      <c r="BX161" s="214">
        <v>168.11</v>
      </c>
      <c r="BY161" s="214">
        <v>2.33</v>
      </c>
      <c r="BZ161">
        <v>156.88999999999999</v>
      </c>
      <c r="CA161" s="187">
        <v>17</v>
      </c>
      <c r="CB161" s="214">
        <v>112.77</v>
      </c>
      <c r="CC161" s="214">
        <v>115.1</v>
      </c>
      <c r="CD161">
        <v>12.12</v>
      </c>
      <c r="CE161" s="187">
        <v>119.65</v>
      </c>
      <c r="CF161" s="214">
        <v>18273</v>
      </c>
      <c r="CG161" s="214">
        <v>112.71</v>
      </c>
      <c r="CH161">
        <v>115.03</v>
      </c>
      <c r="CI161">
        <v>12.14</v>
      </c>
      <c r="CJ161">
        <v>119.59</v>
      </c>
      <c r="CK161">
        <v>18303</v>
      </c>
      <c r="CL161">
        <v>101.63</v>
      </c>
      <c r="CM161">
        <v>95.07</v>
      </c>
      <c r="CN161" s="187">
        <v>145.01</v>
      </c>
      <c r="CO161">
        <v>227.97</v>
      </c>
      <c r="CP161">
        <v>567</v>
      </c>
      <c r="CQ161">
        <v>92.18</v>
      </c>
      <c r="CR161">
        <v>94.92</v>
      </c>
      <c r="CS161" s="187">
        <v>81.400000000000006</v>
      </c>
      <c r="CT161">
        <v>161.71</v>
      </c>
      <c r="CU161">
        <v>48</v>
      </c>
      <c r="CV161">
        <v>109.6</v>
      </c>
      <c r="CW161">
        <v>103.65</v>
      </c>
      <c r="CX161" s="187">
        <v>58.53</v>
      </c>
      <c r="CY161">
        <v>166.46</v>
      </c>
      <c r="CZ161">
        <v>1051</v>
      </c>
      <c r="DA161">
        <v>140.58000000000001</v>
      </c>
      <c r="DB161">
        <v>138.76</v>
      </c>
      <c r="DC161" s="187">
        <v>81.650000000000006</v>
      </c>
      <c r="DD161">
        <v>216.34</v>
      </c>
      <c r="DE161">
        <v>97</v>
      </c>
      <c r="DF161">
        <v>145.9</v>
      </c>
      <c r="DG161">
        <v>144.59</v>
      </c>
      <c r="DH161" s="187">
        <v>27.91</v>
      </c>
      <c r="DI161">
        <v>165.84</v>
      </c>
      <c r="DJ161">
        <v>7</v>
      </c>
      <c r="DK161">
        <v>168.93</v>
      </c>
      <c r="DL161">
        <v>168.93</v>
      </c>
      <c r="DM161" s="187">
        <v>1.46</v>
      </c>
      <c r="DN161">
        <v>170.39</v>
      </c>
      <c r="DO161">
        <v>1</v>
      </c>
      <c r="DP161">
        <v>111.66</v>
      </c>
      <c r="DQ161">
        <v>106.42</v>
      </c>
      <c r="DR161" s="187">
        <v>60.96</v>
      </c>
      <c r="DS161">
        <v>170.29</v>
      </c>
      <c r="DT161">
        <v>1204</v>
      </c>
      <c r="DU161">
        <v>108.45</v>
      </c>
      <c r="DV161">
        <v>102.84</v>
      </c>
      <c r="DW161" s="187">
        <v>86.09</v>
      </c>
      <c r="DX161">
        <v>188.76</v>
      </c>
      <c r="DY161">
        <v>1771</v>
      </c>
      <c r="DZ161">
        <v>83.72</v>
      </c>
      <c r="EA161">
        <v>4</v>
      </c>
      <c r="EB161" s="187">
        <v>108.97</v>
      </c>
      <c r="EC161">
        <v>41</v>
      </c>
      <c r="ED161">
        <v>160.77000000000001</v>
      </c>
      <c r="EE161">
        <v>566</v>
      </c>
      <c r="EF161">
        <v>186.96</v>
      </c>
      <c r="EG161" s="187">
        <v>666</v>
      </c>
      <c r="EH161">
        <v>215.26</v>
      </c>
      <c r="EI161">
        <v>312</v>
      </c>
      <c r="EJ161">
        <v>229.2</v>
      </c>
      <c r="EK161">
        <v>82</v>
      </c>
      <c r="EL161" s="187">
        <v>0</v>
      </c>
      <c r="EM161">
        <v>0</v>
      </c>
      <c r="EN161">
        <v>0</v>
      </c>
      <c r="EO161">
        <v>0</v>
      </c>
      <c r="EP161">
        <v>183.53</v>
      </c>
      <c r="EQ161" s="187">
        <v>1667</v>
      </c>
      <c r="ER161">
        <v>183.29</v>
      </c>
      <c r="ES161">
        <v>1671</v>
      </c>
      <c r="ET161">
        <v>0</v>
      </c>
      <c r="EU161">
        <v>0</v>
      </c>
      <c r="EV161" s="187">
        <v>0</v>
      </c>
      <c r="EW161">
        <v>0</v>
      </c>
      <c r="EX161">
        <v>281.17</v>
      </c>
      <c r="EY161">
        <v>111</v>
      </c>
      <c r="EZ161">
        <v>323.11</v>
      </c>
      <c r="FA161" s="187">
        <v>8</v>
      </c>
      <c r="FB161">
        <v>0</v>
      </c>
      <c r="FC161">
        <v>0</v>
      </c>
      <c r="FD161">
        <v>0</v>
      </c>
      <c r="FE161">
        <v>0</v>
      </c>
      <c r="FF161" s="187">
        <v>283.99</v>
      </c>
      <c r="FG161">
        <v>119</v>
      </c>
      <c r="FH161">
        <v>283.99</v>
      </c>
      <c r="FI161">
        <v>119</v>
      </c>
      <c r="FJ161">
        <v>1098</v>
      </c>
      <c r="FK161" s="187">
        <v>25</v>
      </c>
      <c r="FL161">
        <v>42</v>
      </c>
      <c r="FM161">
        <v>40</v>
      </c>
      <c r="FN161">
        <v>59</v>
      </c>
    </row>
    <row r="162" spans="1:170" x14ac:dyDescent="0.35">
      <c r="A162" t="s">
        <v>713</v>
      </c>
      <c r="B162" t="s">
        <v>714</v>
      </c>
      <c r="C162" t="s">
        <v>420</v>
      </c>
      <c r="D162">
        <v>5688</v>
      </c>
      <c r="E162">
        <v>5650</v>
      </c>
      <c r="F162">
        <v>14</v>
      </c>
      <c r="G162">
        <v>0</v>
      </c>
      <c r="H162">
        <v>119</v>
      </c>
      <c r="I162">
        <v>109</v>
      </c>
      <c r="J162">
        <v>298</v>
      </c>
      <c r="K162">
        <v>298</v>
      </c>
      <c r="L162">
        <v>564</v>
      </c>
      <c r="M162">
        <v>109</v>
      </c>
      <c r="N162">
        <v>6683</v>
      </c>
      <c r="O162">
        <v>6166</v>
      </c>
      <c r="P162">
        <v>6119</v>
      </c>
      <c r="Q162">
        <v>1</v>
      </c>
      <c r="R162">
        <v>3</v>
      </c>
      <c r="S162">
        <v>21</v>
      </c>
      <c r="T162">
        <v>48</v>
      </c>
      <c r="U162">
        <v>6635</v>
      </c>
      <c r="V162" s="498">
        <v>5650</v>
      </c>
      <c r="W162">
        <v>56</v>
      </c>
      <c r="X162" s="498">
        <v>27</v>
      </c>
      <c r="Y162" s="498">
        <v>83</v>
      </c>
      <c r="Z162" s="498">
        <v>91.46</v>
      </c>
      <c r="AA162" s="498">
        <v>87.79</v>
      </c>
      <c r="AB162">
        <v>3.31</v>
      </c>
      <c r="AC162">
        <v>93.94</v>
      </c>
      <c r="AD162">
        <v>5104</v>
      </c>
      <c r="AE162">
        <v>102.92</v>
      </c>
      <c r="AF162">
        <v>92.5</v>
      </c>
      <c r="AG162">
        <v>35.82</v>
      </c>
      <c r="AH162">
        <v>138.72999999999999</v>
      </c>
      <c r="AI162">
        <v>407</v>
      </c>
      <c r="AJ162">
        <v>114.94</v>
      </c>
      <c r="AK162">
        <v>539</v>
      </c>
      <c r="AL162">
        <v>0</v>
      </c>
      <c r="AM162">
        <v>0</v>
      </c>
      <c r="AN162">
        <v>81.069999999999993</v>
      </c>
      <c r="AO162" s="499">
        <v>0</v>
      </c>
      <c r="AP162" s="499">
        <v>0</v>
      </c>
      <c r="AQ162">
        <v>81.069999999999993</v>
      </c>
      <c r="AR162">
        <v>14</v>
      </c>
      <c r="AS162">
        <v>70.430000000000007</v>
      </c>
      <c r="AT162">
        <v>67.72</v>
      </c>
      <c r="AU162">
        <v>9.76</v>
      </c>
      <c r="AV162">
        <v>80.180000000000007</v>
      </c>
      <c r="AW162">
        <v>16</v>
      </c>
      <c r="AX162">
        <v>78.42</v>
      </c>
      <c r="AY162">
        <v>74.959999999999994</v>
      </c>
      <c r="AZ162">
        <v>4.0199999999999996</v>
      </c>
      <c r="BA162">
        <v>82.23</v>
      </c>
      <c r="BB162">
        <v>1234</v>
      </c>
      <c r="BC162">
        <v>90.41</v>
      </c>
      <c r="BD162">
        <v>86.89</v>
      </c>
      <c r="BE162">
        <v>3.61</v>
      </c>
      <c r="BF162">
        <v>93.4</v>
      </c>
      <c r="BG162">
        <v>2030</v>
      </c>
      <c r="BH162">
        <v>101.24</v>
      </c>
      <c r="BI162">
        <v>97.24</v>
      </c>
      <c r="BJ162">
        <v>1.82</v>
      </c>
      <c r="BK162">
        <v>102.2</v>
      </c>
      <c r="BL162" s="214">
        <v>1734</v>
      </c>
      <c r="BM162" s="214">
        <v>114.11</v>
      </c>
      <c r="BN162">
        <v>108.97</v>
      </c>
      <c r="BO162" s="187">
        <v>1.43</v>
      </c>
      <c r="BP162" s="214">
        <v>115.11</v>
      </c>
      <c r="BQ162" s="214">
        <v>73</v>
      </c>
      <c r="BR162">
        <v>118.85</v>
      </c>
      <c r="BS162" s="187">
        <v>116.4</v>
      </c>
      <c r="BT162" s="214">
        <v>0.64</v>
      </c>
      <c r="BU162" s="214">
        <v>119.49</v>
      </c>
      <c r="BV162">
        <v>3</v>
      </c>
      <c r="BW162">
        <v>0</v>
      </c>
      <c r="BX162" s="214">
        <v>0</v>
      </c>
      <c r="BY162" s="214">
        <v>0</v>
      </c>
      <c r="BZ162">
        <v>0</v>
      </c>
      <c r="CA162" s="187">
        <v>0</v>
      </c>
      <c r="CB162" s="214">
        <v>91.49</v>
      </c>
      <c r="CC162" s="214">
        <v>87.79</v>
      </c>
      <c r="CD162">
        <v>3.31</v>
      </c>
      <c r="CE162" s="187">
        <v>93.97</v>
      </c>
      <c r="CF162" s="214">
        <v>5090</v>
      </c>
      <c r="CG162" s="214">
        <v>91.46</v>
      </c>
      <c r="CH162">
        <v>87.79</v>
      </c>
      <c r="CI162">
        <v>3.31</v>
      </c>
      <c r="CJ162">
        <v>93.94</v>
      </c>
      <c r="CK162">
        <v>5104</v>
      </c>
      <c r="CL162">
        <v>76.94</v>
      </c>
      <c r="CM162">
        <v>82.7</v>
      </c>
      <c r="CN162" s="187">
        <v>108.36</v>
      </c>
      <c r="CO162">
        <v>185.3</v>
      </c>
      <c r="CP162">
        <v>4</v>
      </c>
      <c r="CQ162">
        <v>85.32</v>
      </c>
      <c r="CR162">
        <v>77.319999999999993</v>
      </c>
      <c r="CS162" s="187">
        <v>36.4</v>
      </c>
      <c r="CT162">
        <v>121.72</v>
      </c>
      <c r="CU162">
        <v>29</v>
      </c>
      <c r="CV162">
        <v>101.07</v>
      </c>
      <c r="CW162">
        <v>88.96</v>
      </c>
      <c r="CX162" s="187">
        <v>36.700000000000003</v>
      </c>
      <c r="CY162">
        <v>137.77000000000001</v>
      </c>
      <c r="CZ162">
        <v>251</v>
      </c>
      <c r="DA162">
        <v>110.83</v>
      </c>
      <c r="DB162">
        <v>104.18</v>
      </c>
      <c r="DC162" s="187">
        <v>30.73</v>
      </c>
      <c r="DD162">
        <v>141.56</v>
      </c>
      <c r="DE162">
        <v>118</v>
      </c>
      <c r="DF162">
        <v>129.85</v>
      </c>
      <c r="DG162">
        <v>0</v>
      </c>
      <c r="DH162" s="187">
        <v>50.4</v>
      </c>
      <c r="DI162">
        <v>180.25</v>
      </c>
      <c r="DJ162">
        <v>4</v>
      </c>
      <c r="DK162">
        <v>139.37</v>
      </c>
      <c r="DL162">
        <v>0</v>
      </c>
      <c r="DM162" s="187">
        <v>48.08</v>
      </c>
      <c r="DN162">
        <v>187.45</v>
      </c>
      <c r="DO162">
        <v>1</v>
      </c>
      <c r="DP162">
        <v>103.17</v>
      </c>
      <c r="DQ162">
        <v>92.6</v>
      </c>
      <c r="DR162" s="187">
        <v>35.1</v>
      </c>
      <c r="DS162">
        <v>138.27000000000001</v>
      </c>
      <c r="DT162">
        <v>403</v>
      </c>
      <c r="DU162">
        <v>102.92</v>
      </c>
      <c r="DV162">
        <v>92.5</v>
      </c>
      <c r="DW162" s="187">
        <v>35.82</v>
      </c>
      <c r="DX162">
        <v>138.72999999999999</v>
      </c>
      <c r="DY162">
        <v>407</v>
      </c>
      <c r="DZ162">
        <v>0</v>
      </c>
      <c r="EA162">
        <v>0</v>
      </c>
      <c r="EB162" s="187">
        <v>0</v>
      </c>
      <c r="EC162">
        <v>0</v>
      </c>
      <c r="ED162">
        <v>95.61</v>
      </c>
      <c r="EE162">
        <v>77</v>
      </c>
      <c r="EF162">
        <v>113.54</v>
      </c>
      <c r="EG162" s="187">
        <v>302</v>
      </c>
      <c r="EH162">
        <v>125.39</v>
      </c>
      <c r="EI162">
        <v>153</v>
      </c>
      <c r="EJ162">
        <v>159.83000000000001</v>
      </c>
      <c r="EK162">
        <v>7</v>
      </c>
      <c r="EL162" s="187">
        <v>0</v>
      </c>
      <c r="EM162">
        <v>0</v>
      </c>
      <c r="EN162">
        <v>0</v>
      </c>
      <c r="EO162">
        <v>0</v>
      </c>
      <c r="EP162">
        <v>114.94</v>
      </c>
      <c r="EQ162" s="187">
        <v>539</v>
      </c>
      <c r="ER162">
        <v>114.94</v>
      </c>
      <c r="ES162">
        <v>539</v>
      </c>
      <c r="ET162">
        <v>0</v>
      </c>
      <c r="EU162">
        <v>0</v>
      </c>
      <c r="EV162" s="187">
        <v>0</v>
      </c>
      <c r="EW162">
        <v>0</v>
      </c>
      <c r="EX162">
        <v>0</v>
      </c>
      <c r="EY162">
        <v>0</v>
      </c>
      <c r="EZ162">
        <v>0</v>
      </c>
      <c r="FA162" s="187">
        <v>0</v>
      </c>
      <c r="FB162">
        <v>0</v>
      </c>
      <c r="FC162">
        <v>0</v>
      </c>
      <c r="FD162">
        <v>0</v>
      </c>
      <c r="FE162">
        <v>0</v>
      </c>
      <c r="FF162" s="187">
        <v>0</v>
      </c>
      <c r="FG162">
        <v>0</v>
      </c>
      <c r="FH162">
        <v>0</v>
      </c>
      <c r="FI162">
        <v>0</v>
      </c>
      <c r="FJ162">
        <v>0</v>
      </c>
      <c r="FK162" s="187">
        <v>7</v>
      </c>
      <c r="FL162">
        <v>8</v>
      </c>
      <c r="FM162">
        <v>114</v>
      </c>
      <c r="FN162">
        <v>10</v>
      </c>
    </row>
    <row r="163" spans="1:170" x14ac:dyDescent="0.35">
      <c r="A163" t="s">
        <v>715</v>
      </c>
      <c r="B163" t="s">
        <v>716</v>
      </c>
      <c r="C163" t="s">
        <v>414</v>
      </c>
      <c r="D163">
        <v>1353</v>
      </c>
      <c r="E163">
        <v>1358</v>
      </c>
      <c r="F163">
        <v>0</v>
      </c>
      <c r="G163">
        <v>0</v>
      </c>
      <c r="H163">
        <v>457</v>
      </c>
      <c r="I163">
        <v>168</v>
      </c>
      <c r="J163">
        <v>148</v>
      </c>
      <c r="K163">
        <v>101</v>
      </c>
      <c r="L163">
        <v>297</v>
      </c>
      <c r="M163">
        <v>0</v>
      </c>
      <c r="N163">
        <v>2255</v>
      </c>
      <c r="O163">
        <v>1627</v>
      </c>
      <c r="P163">
        <v>1958</v>
      </c>
      <c r="Q163">
        <v>8</v>
      </c>
      <c r="R163">
        <v>6</v>
      </c>
      <c r="S163">
        <v>19</v>
      </c>
      <c r="T163">
        <v>325</v>
      </c>
      <c r="U163">
        <v>1930</v>
      </c>
      <c r="V163" s="498">
        <v>1320</v>
      </c>
      <c r="W163">
        <v>7</v>
      </c>
      <c r="X163" s="498">
        <v>24</v>
      </c>
      <c r="Y163" s="498">
        <v>31</v>
      </c>
      <c r="Z163" s="498">
        <v>82.69</v>
      </c>
      <c r="AA163" s="498">
        <v>79.84</v>
      </c>
      <c r="AB163">
        <v>9</v>
      </c>
      <c r="AC163">
        <v>90.03</v>
      </c>
      <c r="AD163">
        <v>1019</v>
      </c>
      <c r="AE163">
        <v>94.25</v>
      </c>
      <c r="AF163">
        <v>81.61</v>
      </c>
      <c r="AG163">
        <v>112.48</v>
      </c>
      <c r="AH163">
        <v>206.74</v>
      </c>
      <c r="AI163">
        <v>282</v>
      </c>
      <c r="AJ163">
        <v>104.01</v>
      </c>
      <c r="AK163">
        <v>230</v>
      </c>
      <c r="AL163">
        <v>303.62</v>
      </c>
      <c r="AM163">
        <v>31</v>
      </c>
      <c r="AN163">
        <v>0</v>
      </c>
      <c r="AO163" s="499">
        <v>0</v>
      </c>
      <c r="AP163" s="499">
        <v>0</v>
      </c>
      <c r="AQ163">
        <v>0</v>
      </c>
      <c r="AR163">
        <v>0</v>
      </c>
      <c r="AS163">
        <v>62.78</v>
      </c>
      <c r="AT163">
        <v>60.25</v>
      </c>
      <c r="AU163">
        <v>23.69</v>
      </c>
      <c r="AV163">
        <v>86.47</v>
      </c>
      <c r="AW163">
        <v>26</v>
      </c>
      <c r="AX163">
        <v>71.78</v>
      </c>
      <c r="AY163">
        <v>68.930000000000007</v>
      </c>
      <c r="AZ163">
        <v>11.01</v>
      </c>
      <c r="BA163">
        <v>82.56</v>
      </c>
      <c r="BB163">
        <v>339</v>
      </c>
      <c r="BC163">
        <v>86.14</v>
      </c>
      <c r="BD163">
        <v>83.29</v>
      </c>
      <c r="BE163">
        <v>7.93</v>
      </c>
      <c r="BF163">
        <v>92.58</v>
      </c>
      <c r="BG163">
        <v>431</v>
      </c>
      <c r="BH163">
        <v>94.35</v>
      </c>
      <c r="BI163">
        <v>91.43</v>
      </c>
      <c r="BJ163">
        <v>3.53</v>
      </c>
      <c r="BK163">
        <v>96.36</v>
      </c>
      <c r="BL163" s="214">
        <v>212</v>
      </c>
      <c r="BM163" s="214">
        <v>106.04</v>
      </c>
      <c r="BN163">
        <v>104.24</v>
      </c>
      <c r="BO163" s="187">
        <v>4.66</v>
      </c>
      <c r="BP163" s="214">
        <v>106.89</v>
      </c>
      <c r="BQ163" s="214">
        <v>11</v>
      </c>
      <c r="BR163">
        <v>0</v>
      </c>
      <c r="BS163" s="187">
        <v>0</v>
      </c>
      <c r="BT163" s="214">
        <v>0</v>
      </c>
      <c r="BU163" s="214">
        <v>0</v>
      </c>
      <c r="BV163">
        <v>0</v>
      </c>
      <c r="BW163">
        <v>0</v>
      </c>
      <c r="BX163" s="214">
        <v>0</v>
      </c>
      <c r="BY163" s="214">
        <v>0</v>
      </c>
      <c r="BZ163">
        <v>0</v>
      </c>
      <c r="CA163" s="187">
        <v>0</v>
      </c>
      <c r="CB163" s="214">
        <v>82.69</v>
      </c>
      <c r="CC163" s="214">
        <v>79.84</v>
      </c>
      <c r="CD163">
        <v>9</v>
      </c>
      <c r="CE163" s="187">
        <v>90.03</v>
      </c>
      <c r="CF163" s="214">
        <v>1019</v>
      </c>
      <c r="CG163" s="214">
        <v>82.69</v>
      </c>
      <c r="CH163">
        <v>79.84</v>
      </c>
      <c r="CI163">
        <v>9</v>
      </c>
      <c r="CJ163">
        <v>90.03</v>
      </c>
      <c r="CK163">
        <v>1019</v>
      </c>
      <c r="CL163">
        <v>108.92</v>
      </c>
      <c r="CM163">
        <v>97.96</v>
      </c>
      <c r="CN163" s="187">
        <v>158.11000000000001</v>
      </c>
      <c r="CO163">
        <v>267.02999999999997</v>
      </c>
      <c r="CP163">
        <v>81</v>
      </c>
      <c r="CQ163">
        <v>71.84</v>
      </c>
      <c r="CR163">
        <v>65.31</v>
      </c>
      <c r="CS163" s="187">
        <v>210.84</v>
      </c>
      <c r="CT163">
        <v>282.68</v>
      </c>
      <c r="CU163">
        <v>2</v>
      </c>
      <c r="CV163">
        <v>88.51</v>
      </c>
      <c r="CW163">
        <v>75.3</v>
      </c>
      <c r="CX163" s="187">
        <v>91.72</v>
      </c>
      <c r="CY163">
        <v>180.23</v>
      </c>
      <c r="CZ163">
        <v>190</v>
      </c>
      <c r="DA163">
        <v>88.5</v>
      </c>
      <c r="DB163">
        <v>82.05</v>
      </c>
      <c r="DC163" s="187">
        <v>118.28</v>
      </c>
      <c r="DD163">
        <v>206.78</v>
      </c>
      <c r="DE163">
        <v>9</v>
      </c>
      <c r="DF163">
        <v>0</v>
      </c>
      <c r="DG163">
        <v>0</v>
      </c>
      <c r="DH163" s="187">
        <v>0</v>
      </c>
      <c r="DI163">
        <v>0</v>
      </c>
      <c r="DJ163">
        <v>0</v>
      </c>
      <c r="DK163">
        <v>0</v>
      </c>
      <c r="DL163">
        <v>0</v>
      </c>
      <c r="DM163" s="187">
        <v>0</v>
      </c>
      <c r="DN163">
        <v>0</v>
      </c>
      <c r="DO163">
        <v>0</v>
      </c>
      <c r="DP163">
        <v>88.34</v>
      </c>
      <c r="DQ163">
        <v>75.540000000000006</v>
      </c>
      <c r="DR163" s="187">
        <v>94.09</v>
      </c>
      <c r="DS163">
        <v>182.44</v>
      </c>
      <c r="DT163">
        <v>201</v>
      </c>
      <c r="DU163">
        <v>94.25</v>
      </c>
      <c r="DV163">
        <v>81.61</v>
      </c>
      <c r="DW163" s="187">
        <v>112.48</v>
      </c>
      <c r="DX163">
        <v>206.74</v>
      </c>
      <c r="DY163">
        <v>282</v>
      </c>
      <c r="DZ163">
        <v>0</v>
      </c>
      <c r="EA163">
        <v>0</v>
      </c>
      <c r="EB163" s="187">
        <v>0</v>
      </c>
      <c r="EC163">
        <v>0</v>
      </c>
      <c r="ED163">
        <v>86.65</v>
      </c>
      <c r="EE163">
        <v>34</v>
      </c>
      <c r="EF163">
        <v>102.93</v>
      </c>
      <c r="EG163" s="187">
        <v>140</v>
      </c>
      <c r="EH163">
        <v>116.3</v>
      </c>
      <c r="EI163">
        <v>54</v>
      </c>
      <c r="EJ163">
        <v>142.86000000000001</v>
      </c>
      <c r="EK163">
        <v>2</v>
      </c>
      <c r="EL163" s="187">
        <v>0</v>
      </c>
      <c r="EM163">
        <v>0</v>
      </c>
      <c r="EN163">
        <v>0</v>
      </c>
      <c r="EO163">
        <v>0</v>
      </c>
      <c r="EP163">
        <v>104.01</v>
      </c>
      <c r="EQ163" s="187">
        <v>230</v>
      </c>
      <c r="ER163">
        <v>104.01</v>
      </c>
      <c r="ES163">
        <v>230</v>
      </c>
      <c r="ET163">
        <v>0</v>
      </c>
      <c r="EU163">
        <v>0</v>
      </c>
      <c r="EV163" s="187">
        <v>0</v>
      </c>
      <c r="EW163">
        <v>0</v>
      </c>
      <c r="EX163">
        <v>303.62</v>
      </c>
      <c r="EY163">
        <v>31</v>
      </c>
      <c r="EZ163">
        <v>0</v>
      </c>
      <c r="FA163" s="187">
        <v>0</v>
      </c>
      <c r="FB163">
        <v>0</v>
      </c>
      <c r="FC163">
        <v>0</v>
      </c>
      <c r="FD163">
        <v>0</v>
      </c>
      <c r="FE163">
        <v>0</v>
      </c>
      <c r="FF163" s="187">
        <v>303.62</v>
      </c>
      <c r="FG163">
        <v>31</v>
      </c>
      <c r="FH163">
        <v>303.62</v>
      </c>
      <c r="FI163">
        <v>31</v>
      </c>
      <c r="FJ163">
        <v>63</v>
      </c>
      <c r="FK163" s="187">
        <v>0</v>
      </c>
      <c r="FL163">
        <v>0</v>
      </c>
      <c r="FM163">
        <v>0</v>
      </c>
      <c r="FN163">
        <v>8</v>
      </c>
    </row>
    <row r="164" spans="1:170" x14ac:dyDescent="0.35">
      <c r="A164" t="s">
        <v>717</v>
      </c>
      <c r="B164" t="s">
        <v>718</v>
      </c>
      <c r="C164" t="s">
        <v>418</v>
      </c>
      <c r="D164">
        <v>52171</v>
      </c>
      <c r="E164">
        <v>49053</v>
      </c>
      <c r="F164">
        <v>10</v>
      </c>
      <c r="G164">
        <v>0</v>
      </c>
      <c r="H164">
        <v>2518</v>
      </c>
      <c r="I164">
        <v>1378</v>
      </c>
      <c r="J164">
        <v>3744</v>
      </c>
      <c r="K164">
        <v>3496</v>
      </c>
      <c r="L164">
        <v>969</v>
      </c>
      <c r="M164">
        <v>16</v>
      </c>
      <c r="N164">
        <v>59412</v>
      </c>
      <c r="O164">
        <v>53943</v>
      </c>
      <c r="P164">
        <v>58443</v>
      </c>
      <c r="Q164">
        <v>210</v>
      </c>
      <c r="R164">
        <v>52</v>
      </c>
      <c r="S164">
        <v>25</v>
      </c>
      <c r="T164">
        <v>3814</v>
      </c>
      <c r="U164">
        <v>55598</v>
      </c>
      <c r="V164" s="498">
        <v>49548</v>
      </c>
      <c r="W164">
        <v>445</v>
      </c>
      <c r="X164" s="498">
        <v>346</v>
      </c>
      <c r="Y164" s="498">
        <v>791</v>
      </c>
      <c r="Z164" s="498">
        <v>85.78</v>
      </c>
      <c r="AA164" s="498">
        <v>85.06</v>
      </c>
      <c r="AB164">
        <v>9.9499999999999993</v>
      </c>
      <c r="AC164">
        <v>88.49</v>
      </c>
      <c r="AD164">
        <v>43185</v>
      </c>
      <c r="AE164">
        <v>88.83</v>
      </c>
      <c r="AF164">
        <v>79.61</v>
      </c>
      <c r="AG164">
        <v>51.6</v>
      </c>
      <c r="AH164">
        <v>139.24</v>
      </c>
      <c r="AI164">
        <v>4986</v>
      </c>
      <c r="AJ164">
        <v>105.84</v>
      </c>
      <c r="AK164">
        <v>6049</v>
      </c>
      <c r="AL164">
        <v>128.22</v>
      </c>
      <c r="AM164">
        <v>119</v>
      </c>
      <c r="AN164">
        <v>0</v>
      </c>
      <c r="AO164" s="499">
        <v>0</v>
      </c>
      <c r="AP164" s="499">
        <v>0</v>
      </c>
      <c r="AQ164">
        <v>0</v>
      </c>
      <c r="AR164">
        <v>0</v>
      </c>
      <c r="AS164">
        <v>67.319999999999993</v>
      </c>
      <c r="AT164">
        <v>66.81</v>
      </c>
      <c r="AU164">
        <v>17.47</v>
      </c>
      <c r="AV164">
        <v>80.849999999999994</v>
      </c>
      <c r="AW164">
        <v>191</v>
      </c>
      <c r="AX164">
        <v>74.209999999999994</v>
      </c>
      <c r="AY164">
        <v>73.650000000000006</v>
      </c>
      <c r="AZ164">
        <v>11.61</v>
      </c>
      <c r="BA164">
        <v>81.28</v>
      </c>
      <c r="BB164">
        <v>7995</v>
      </c>
      <c r="BC164">
        <v>83.77</v>
      </c>
      <c r="BD164">
        <v>82.79</v>
      </c>
      <c r="BE164">
        <v>9.4700000000000006</v>
      </c>
      <c r="BF164">
        <v>86.73</v>
      </c>
      <c r="BG164">
        <v>13274</v>
      </c>
      <c r="BH164">
        <v>90.68</v>
      </c>
      <c r="BI164">
        <v>90.03</v>
      </c>
      <c r="BJ164">
        <v>7.45</v>
      </c>
      <c r="BK164">
        <v>91.56</v>
      </c>
      <c r="BL164" s="214">
        <v>19939</v>
      </c>
      <c r="BM164" s="214">
        <v>99.33</v>
      </c>
      <c r="BN164">
        <v>98.74</v>
      </c>
      <c r="BO164" s="187">
        <v>4.91</v>
      </c>
      <c r="BP164" s="214">
        <v>100.08</v>
      </c>
      <c r="BQ164" s="214">
        <v>1679</v>
      </c>
      <c r="BR164">
        <v>104.25</v>
      </c>
      <c r="BS164" s="187">
        <v>108.43</v>
      </c>
      <c r="BT164" s="214">
        <v>4.49</v>
      </c>
      <c r="BU164" s="214">
        <v>104.66</v>
      </c>
      <c r="BV164">
        <v>86</v>
      </c>
      <c r="BW164">
        <v>114.1</v>
      </c>
      <c r="BX164" s="214">
        <v>123.57</v>
      </c>
      <c r="BY164" s="214">
        <v>5.32</v>
      </c>
      <c r="BZ164">
        <v>114.36</v>
      </c>
      <c r="CA164" s="187">
        <v>21</v>
      </c>
      <c r="CB164" s="214">
        <v>85.78</v>
      </c>
      <c r="CC164" s="214">
        <v>85.06</v>
      </c>
      <c r="CD164">
        <v>9.9499999999999993</v>
      </c>
      <c r="CE164" s="187">
        <v>88.49</v>
      </c>
      <c r="CF164" s="214">
        <v>43185</v>
      </c>
      <c r="CG164" s="214">
        <v>85.78</v>
      </c>
      <c r="CH164">
        <v>85.06</v>
      </c>
      <c r="CI164">
        <v>9.9499999999999993</v>
      </c>
      <c r="CJ164">
        <v>88.49</v>
      </c>
      <c r="CK164">
        <v>43185</v>
      </c>
      <c r="CL164">
        <v>100.32</v>
      </c>
      <c r="CM164">
        <v>68.95</v>
      </c>
      <c r="CN164" s="187">
        <v>74.930000000000007</v>
      </c>
      <c r="CO164">
        <v>169.46</v>
      </c>
      <c r="CP164">
        <v>557</v>
      </c>
      <c r="CQ164">
        <v>74.400000000000006</v>
      </c>
      <c r="CR164">
        <v>69.58</v>
      </c>
      <c r="CS164" s="187">
        <v>70.28</v>
      </c>
      <c r="CT164">
        <v>143.38</v>
      </c>
      <c r="CU164">
        <v>432</v>
      </c>
      <c r="CV164">
        <v>87.08</v>
      </c>
      <c r="CW164">
        <v>79.459999999999994</v>
      </c>
      <c r="CX164" s="187">
        <v>45.49</v>
      </c>
      <c r="CY164">
        <v>131.99</v>
      </c>
      <c r="CZ164">
        <v>3294</v>
      </c>
      <c r="DA164">
        <v>95.06</v>
      </c>
      <c r="DB164">
        <v>91.09</v>
      </c>
      <c r="DC164" s="187">
        <v>50.15</v>
      </c>
      <c r="DD164">
        <v>144.5</v>
      </c>
      <c r="DE164">
        <v>630</v>
      </c>
      <c r="DF164">
        <v>108.56</v>
      </c>
      <c r="DG164">
        <v>96.36</v>
      </c>
      <c r="DH164" s="187">
        <v>64.540000000000006</v>
      </c>
      <c r="DI164">
        <v>159.61000000000001</v>
      </c>
      <c r="DJ164">
        <v>67</v>
      </c>
      <c r="DK164">
        <v>149.16</v>
      </c>
      <c r="DL164">
        <v>107.16</v>
      </c>
      <c r="DM164" s="187">
        <v>85.99</v>
      </c>
      <c r="DN164">
        <v>235.15</v>
      </c>
      <c r="DO164">
        <v>6</v>
      </c>
      <c r="DP164">
        <v>87.39</v>
      </c>
      <c r="DQ164">
        <v>80.319999999999993</v>
      </c>
      <c r="DR164" s="187">
        <v>48.85</v>
      </c>
      <c r="DS164">
        <v>135.44</v>
      </c>
      <c r="DT164">
        <v>4429</v>
      </c>
      <c r="DU164">
        <v>88.83</v>
      </c>
      <c r="DV164">
        <v>79.61</v>
      </c>
      <c r="DW164" s="187">
        <v>51.6</v>
      </c>
      <c r="DX164">
        <v>139.24</v>
      </c>
      <c r="DY164">
        <v>4986</v>
      </c>
      <c r="DZ164">
        <v>0</v>
      </c>
      <c r="EA164">
        <v>0</v>
      </c>
      <c r="EB164" s="187">
        <v>0</v>
      </c>
      <c r="EC164">
        <v>0</v>
      </c>
      <c r="ED164">
        <v>91.35</v>
      </c>
      <c r="EE164">
        <v>469</v>
      </c>
      <c r="EF164">
        <v>103.62</v>
      </c>
      <c r="EG164" s="187">
        <v>2820</v>
      </c>
      <c r="EH164">
        <v>109.7</v>
      </c>
      <c r="EI164">
        <v>2584</v>
      </c>
      <c r="EJ164">
        <v>123.15</v>
      </c>
      <c r="EK164">
        <v>172</v>
      </c>
      <c r="EL164" s="187">
        <v>133.63999999999999</v>
      </c>
      <c r="EM164">
        <v>3</v>
      </c>
      <c r="EN164">
        <v>126.97</v>
      </c>
      <c r="EO164">
        <v>1</v>
      </c>
      <c r="EP164">
        <v>105.84</v>
      </c>
      <c r="EQ164" s="187">
        <v>6049</v>
      </c>
      <c r="ER164">
        <v>105.84</v>
      </c>
      <c r="ES164">
        <v>6049</v>
      </c>
      <c r="ET164">
        <v>0</v>
      </c>
      <c r="EU164">
        <v>0</v>
      </c>
      <c r="EV164" s="187">
        <v>0</v>
      </c>
      <c r="EW164">
        <v>0</v>
      </c>
      <c r="EX164">
        <v>115.76</v>
      </c>
      <c r="EY164">
        <v>55</v>
      </c>
      <c r="EZ164">
        <v>138.91999999999999</v>
      </c>
      <c r="FA164" s="187">
        <v>64</v>
      </c>
      <c r="FB164">
        <v>0</v>
      </c>
      <c r="FC164">
        <v>0</v>
      </c>
      <c r="FD164">
        <v>0</v>
      </c>
      <c r="FE164">
        <v>0</v>
      </c>
      <c r="FF164" s="187">
        <v>128.22</v>
      </c>
      <c r="FG164">
        <v>119</v>
      </c>
      <c r="FH164">
        <v>128.22</v>
      </c>
      <c r="FI164">
        <v>119</v>
      </c>
      <c r="FJ164">
        <v>327</v>
      </c>
      <c r="FK164" s="187">
        <v>240</v>
      </c>
      <c r="FL164">
        <v>32</v>
      </c>
      <c r="FM164">
        <v>59</v>
      </c>
      <c r="FN164">
        <v>30</v>
      </c>
    </row>
    <row r="165" spans="1:170" x14ac:dyDescent="0.35">
      <c r="A165" t="s">
        <v>719</v>
      </c>
      <c r="B165" t="s">
        <v>720</v>
      </c>
      <c r="C165" t="s">
        <v>415</v>
      </c>
      <c r="D165">
        <v>3870</v>
      </c>
      <c r="E165">
        <v>3583</v>
      </c>
      <c r="F165">
        <v>175</v>
      </c>
      <c r="G165">
        <v>175</v>
      </c>
      <c r="H165">
        <v>409</v>
      </c>
      <c r="I165">
        <v>125</v>
      </c>
      <c r="J165">
        <v>392</v>
      </c>
      <c r="K165">
        <v>304</v>
      </c>
      <c r="L165">
        <v>324</v>
      </c>
      <c r="M165">
        <v>0</v>
      </c>
      <c r="N165">
        <v>5170</v>
      </c>
      <c r="O165">
        <v>4187</v>
      </c>
      <c r="P165">
        <v>4846</v>
      </c>
      <c r="Q165">
        <v>1</v>
      </c>
      <c r="R165">
        <v>9</v>
      </c>
      <c r="S165">
        <v>23</v>
      </c>
      <c r="T165">
        <v>682</v>
      </c>
      <c r="U165">
        <v>4488</v>
      </c>
      <c r="V165" s="498">
        <v>3542</v>
      </c>
      <c r="W165">
        <v>34</v>
      </c>
      <c r="X165" s="498">
        <v>7</v>
      </c>
      <c r="Y165" s="498">
        <v>41</v>
      </c>
      <c r="Z165" s="498">
        <v>103.38</v>
      </c>
      <c r="AA165" s="498">
        <v>100.6</v>
      </c>
      <c r="AB165">
        <v>6.06</v>
      </c>
      <c r="AC165">
        <v>107.9</v>
      </c>
      <c r="AD165">
        <v>2787</v>
      </c>
      <c r="AE165">
        <v>103.45</v>
      </c>
      <c r="AF165">
        <v>97.48</v>
      </c>
      <c r="AG165">
        <v>45.27</v>
      </c>
      <c r="AH165">
        <v>144.96</v>
      </c>
      <c r="AI165">
        <v>434</v>
      </c>
      <c r="AJ165">
        <v>146.97999999999999</v>
      </c>
      <c r="AK165">
        <v>622</v>
      </c>
      <c r="AL165">
        <v>141.76</v>
      </c>
      <c r="AM165">
        <v>13</v>
      </c>
      <c r="AN165">
        <v>0</v>
      </c>
      <c r="AO165" s="499">
        <v>0</v>
      </c>
      <c r="AP165" s="499">
        <v>0</v>
      </c>
      <c r="AQ165">
        <v>0</v>
      </c>
      <c r="AR165">
        <v>0</v>
      </c>
      <c r="AS165">
        <v>0</v>
      </c>
      <c r="AT165">
        <v>0</v>
      </c>
      <c r="AU165">
        <v>0</v>
      </c>
      <c r="AV165">
        <v>0</v>
      </c>
      <c r="AW165">
        <v>0</v>
      </c>
      <c r="AX165">
        <v>82.57</v>
      </c>
      <c r="AY165">
        <v>79.209999999999994</v>
      </c>
      <c r="AZ165">
        <v>7.63</v>
      </c>
      <c r="BA165">
        <v>89.9</v>
      </c>
      <c r="BB165">
        <v>483</v>
      </c>
      <c r="BC165">
        <v>99.56</v>
      </c>
      <c r="BD165">
        <v>96.17</v>
      </c>
      <c r="BE165">
        <v>7.73</v>
      </c>
      <c r="BF165">
        <v>105.91</v>
      </c>
      <c r="BG165">
        <v>1082</v>
      </c>
      <c r="BH165">
        <v>111.92</v>
      </c>
      <c r="BI165">
        <v>110.04</v>
      </c>
      <c r="BJ165">
        <v>2.99</v>
      </c>
      <c r="BK165">
        <v>113.59</v>
      </c>
      <c r="BL165" s="214">
        <v>970</v>
      </c>
      <c r="BM165" s="214">
        <v>124.77</v>
      </c>
      <c r="BN165">
        <v>122.16</v>
      </c>
      <c r="BO165" s="187">
        <v>2.98</v>
      </c>
      <c r="BP165" s="214">
        <v>127.02</v>
      </c>
      <c r="BQ165" s="214">
        <v>196</v>
      </c>
      <c r="BR165">
        <v>131.12</v>
      </c>
      <c r="BS165" s="187">
        <v>129.11000000000001</v>
      </c>
      <c r="BT165" s="214">
        <v>3.38</v>
      </c>
      <c r="BU165" s="214">
        <v>133.25</v>
      </c>
      <c r="BV165">
        <v>46</v>
      </c>
      <c r="BW165">
        <v>148.93</v>
      </c>
      <c r="BX165" s="214">
        <v>151.76</v>
      </c>
      <c r="BY165" s="214">
        <v>2.27</v>
      </c>
      <c r="BZ165">
        <v>149.62</v>
      </c>
      <c r="CA165" s="187">
        <v>10</v>
      </c>
      <c r="CB165" s="214">
        <v>103.38</v>
      </c>
      <c r="CC165" s="214">
        <v>100.6</v>
      </c>
      <c r="CD165">
        <v>6.06</v>
      </c>
      <c r="CE165" s="187">
        <v>107.9</v>
      </c>
      <c r="CF165" s="214">
        <v>2787</v>
      </c>
      <c r="CG165" s="214">
        <v>103.38</v>
      </c>
      <c r="CH165">
        <v>100.6</v>
      </c>
      <c r="CI165">
        <v>6.06</v>
      </c>
      <c r="CJ165">
        <v>107.9</v>
      </c>
      <c r="CK165">
        <v>2787</v>
      </c>
      <c r="CL165">
        <v>97.02</v>
      </c>
      <c r="CM165">
        <v>91.28</v>
      </c>
      <c r="CN165" s="187">
        <v>59.75</v>
      </c>
      <c r="CO165">
        <v>129.25</v>
      </c>
      <c r="CP165">
        <v>76</v>
      </c>
      <c r="CQ165">
        <v>78.849999999999994</v>
      </c>
      <c r="CR165">
        <v>73.37</v>
      </c>
      <c r="CS165" s="187">
        <v>33.18</v>
      </c>
      <c r="CT165">
        <v>112.03</v>
      </c>
      <c r="CU165">
        <v>4</v>
      </c>
      <c r="CV165">
        <v>101.97</v>
      </c>
      <c r="CW165">
        <v>95.15</v>
      </c>
      <c r="CX165" s="187">
        <v>44.48</v>
      </c>
      <c r="CY165">
        <v>146.30000000000001</v>
      </c>
      <c r="CZ165">
        <v>305</v>
      </c>
      <c r="DA165">
        <v>124.29</v>
      </c>
      <c r="DB165">
        <v>117.77</v>
      </c>
      <c r="DC165" s="187">
        <v>39.090000000000003</v>
      </c>
      <c r="DD165">
        <v>163.38</v>
      </c>
      <c r="DE165">
        <v>48</v>
      </c>
      <c r="DF165">
        <v>143.84</v>
      </c>
      <c r="DG165">
        <v>143.84</v>
      </c>
      <c r="DH165" s="187">
        <v>34.72</v>
      </c>
      <c r="DI165">
        <v>178.56</v>
      </c>
      <c r="DJ165">
        <v>1</v>
      </c>
      <c r="DK165">
        <v>0</v>
      </c>
      <c r="DL165">
        <v>0</v>
      </c>
      <c r="DM165" s="187">
        <v>0</v>
      </c>
      <c r="DN165">
        <v>0</v>
      </c>
      <c r="DO165">
        <v>0</v>
      </c>
      <c r="DP165">
        <v>104.82</v>
      </c>
      <c r="DQ165">
        <v>98.21</v>
      </c>
      <c r="DR165" s="187">
        <v>43.6</v>
      </c>
      <c r="DS165">
        <v>148.30000000000001</v>
      </c>
      <c r="DT165">
        <v>358</v>
      </c>
      <c r="DU165">
        <v>103.45</v>
      </c>
      <c r="DV165">
        <v>97.48</v>
      </c>
      <c r="DW165" s="187">
        <v>45.27</v>
      </c>
      <c r="DX165">
        <v>144.96</v>
      </c>
      <c r="DY165">
        <v>434</v>
      </c>
      <c r="DZ165">
        <v>0</v>
      </c>
      <c r="EA165">
        <v>0</v>
      </c>
      <c r="EB165" s="187">
        <v>0</v>
      </c>
      <c r="EC165">
        <v>0</v>
      </c>
      <c r="ED165">
        <v>126.3</v>
      </c>
      <c r="EE165">
        <v>190</v>
      </c>
      <c r="EF165">
        <v>149.19999999999999</v>
      </c>
      <c r="EG165" s="187">
        <v>327</v>
      </c>
      <c r="EH165">
        <v>176.19</v>
      </c>
      <c r="EI165">
        <v>96</v>
      </c>
      <c r="EJ165">
        <v>191.58</v>
      </c>
      <c r="EK165">
        <v>9</v>
      </c>
      <c r="EL165" s="187">
        <v>0</v>
      </c>
      <c r="EM165">
        <v>0</v>
      </c>
      <c r="EN165">
        <v>0</v>
      </c>
      <c r="EO165">
        <v>0</v>
      </c>
      <c r="EP165">
        <v>146.97999999999999</v>
      </c>
      <c r="EQ165" s="187">
        <v>622</v>
      </c>
      <c r="ER165">
        <v>146.97999999999999</v>
      </c>
      <c r="ES165">
        <v>622</v>
      </c>
      <c r="ET165">
        <v>80</v>
      </c>
      <c r="EU165">
        <v>5</v>
      </c>
      <c r="EV165" s="187">
        <v>181.08</v>
      </c>
      <c r="EW165">
        <v>6</v>
      </c>
      <c r="EX165">
        <v>178.18</v>
      </c>
      <c r="EY165">
        <v>2</v>
      </c>
      <c r="EZ165">
        <v>0</v>
      </c>
      <c r="FA165" s="187">
        <v>0</v>
      </c>
      <c r="FB165">
        <v>0</v>
      </c>
      <c r="FC165">
        <v>0</v>
      </c>
      <c r="FD165">
        <v>0</v>
      </c>
      <c r="FE165">
        <v>0</v>
      </c>
      <c r="FF165" s="187">
        <v>180.36</v>
      </c>
      <c r="FG165">
        <v>8</v>
      </c>
      <c r="FH165">
        <v>141.76</v>
      </c>
      <c r="FI165">
        <v>13</v>
      </c>
      <c r="FJ165">
        <v>0</v>
      </c>
      <c r="FK165" s="187">
        <v>3</v>
      </c>
      <c r="FL165">
        <v>5</v>
      </c>
      <c r="FM165">
        <v>9</v>
      </c>
      <c r="FN165">
        <v>11</v>
      </c>
    </row>
    <row r="166" spans="1:170" x14ac:dyDescent="0.35">
      <c r="A166" t="s">
        <v>721</v>
      </c>
      <c r="B166" t="s">
        <v>722</v>
      </c>
      <c r="C166" t="s">
        <v>2</v>
      </c>
      <c r="D166">
        <v>8398</v>
      </c>
      <c r="E166">
        <v>7926</v>
      </c>
      <c r="F166">
        <v>0</v>
      </c>
      <c r="G166">
        <v>0</v>
      </c>
      <c r="H166">
        <v>359</v>
      </c>
      <c r="I166">
        <v>137</v>
      </c>
      <c r="J166">
        <v>1144</v>
      </c>
      <c r="K166">
        <v>1184</v>
      </c>
      <c r="L166">
        <v>1259</v>
      </c>
      <c r="M166">
        <v>148</v>
      </c>
      <c r="N166">
        <v>11160</v>
      </c>
      <c r="O166">
        <v>9395</v>
      </c>
      <c r="P166">
        <v>9901</v>
      </c>
      <c r="Q166">
        <v>144</v>
      </c>
      <c r="R166">
        <v>16</v>
      </c>
      <c r="S166">
        <v>25</v>
      </c>
      <c r="T166">
        <v>639</v>
      </c>
      <c r="U166">
        <v>10521</v>
      </c>
      <c r="V166" s="498">
        <v>7924</v>
      </c>
      <c r="W166">
        <v>78</v>
      </c>
      <c r="X166" s="498">
        <v>9</v>
      </c>
      <c r="Y166" s="498">
        <v>87</v>
      </c>
      <c r="Z166" s="498">
        <v>99.02</v>
      </c>
      <c r="AA166" s="498">
        <v>97.79</v>
      </c>
      <c r="AB166">
        <v>6.79</v>
      </c>
      <c r="AC166">
        <v>104.2</v>
      </c>
      <c r="AD166">
        <v>6059</v>
      </c>
      <c r="AE166">
        <v>93.74</v>
      </c>
      <c r="AF166">
        <v>89.03</v>
      </c>
      <c r="AG166">
        <v>27.67</v>
      </c>
      <c r="AH166">
        <v>120.09</v>
      </c>
      <c r="AI166">
        <v>1325</v>
      </c>
      <c r="AJ166">
        <v>165.26</v>
      </c>
      <c r="AK166">
        <v>1978</v>
      </c>
      <c r="AL166">
        <v>119.18</v>
      </c>
      <c r="AM166">
        <v>13</v>
      </c>
      <c r="AN166">
        <v>0</v>
      </c>
      <c r="AO166" s="499">
        <v>0</v>
      </c>
      <c r="AP166" s="499">
        <v>0</v>
      </c>
      <c r="AQ166">
        <v>0</v>
      </c>
      <c r="AR166">
        <v>0</v>
      </c>
      <c r="AS166">
        <v>68.62</v>
      </c>
      <c r="AT166">
        <v>66.650000000000006</v>
      </c>
      <c r="AU166">
        <v>5.98</v>
      </c>
      <c r="AV166">
        <v>74.59</v>
      </c>
      <c r="AW166">
        <v>89</v>
      </c>
      <c r="AX166">
        <v>84.1</v>
      </c>
      <c r="AY166">
        <v>82</v>
      </c>
      <c r="AZ166">
        <v>9.5500000000000007</v>
      </c>
      <c r="BA166">
        <v>93.24</v>
      </c>
      <c r="BB166">
        <v>1179</v>
      </c>
      <c r="BC166">
        <v>96.13</v>
      </c>
      <c r="BD166">
        <v>94.25</v>
      </c>
      <c r="BE166">
        <v>8.67</v>
      </c>
      <c r="BF166">
        <v>103.37</v>
      </c>
      <c r="BG166">
        <v>2405</v>
      </c>
      <c r="BH166">
        <v>109.51</v>
      </c>
      <c r="BI166">
        <v>109.43</v>
      </c>
      <c r="BJ166">
        <v>1.94</v>
      </c>
      <c r="BK166">
        <v>110.64</v>
      </c>
      <c r="BL166" s="214">
        <v>2200</v>
      </c>
      <c r="BM166" s="214">
        <v>120.81</v>
      </c>
      <c r="BN166">
        <v>120.38</v>
      </c>
      <c r="BO166" s="187">
        <v>1.66</v>
      </c>
      <c r="BP166" s="214">
        <v>121.86</v>
      </c>
      <c r="BQ166" s="214">
        <v>182</v>
      </c>
      <c r="BR166">
        <v>141.08000000000001</v>
      </c>
      <c r="BS166" s="187">
        <v>144.47999999999999</v>
      </c>
      <c r="BT166" s="214">
        <v>2.88</v>
      </c>
      <c r="BU166" s="214">
        <v>143</v>
      </c>
      <c r="BV166">
        <v>3</v>
      </c>
      <c r="BW166">
        <v>133.53</v>
      </c>
      <c r="BX166" s="214">
        <v>133.53</v>
      </c>
      <c r="BY166" s="214">
        <v>7.0000000000000007E-2</v>
      </c>
      <c r="BZ166">
        <v>133.6</v>
      </c>
      <c r="CA166" s="187">
        <v>1</v>
      </c>
      <c r="CB166" s="214">
        <v>99.02</v>
      </c>
      <c r="CC166" s="214">
        <v>97.79</v>
      </c>
      <c r="CD166">
        <v>6.79</v>
      </c>
      <c r="CE166" s="187">
        <v>104.2</v>
      </c>
      <c r="CF166" s="214">
        <v>6059</v>
      </c>
      <c r="CG166" s="214">
        <v>99.02</v>
      </c>
      <c r="CH166">
        <v>97.79</v>
      </c>
      <c r="CI166">
        <v>6.79</v>
      </c>
      <c r="CJ166">
        <v>104.2</v>
      </c>
      <c r="CK166">
        <v>6059</v>
      </c>
      <c r="CL166">
        <v>106.56</v>
      </c>
      <c r="CM166">
        <v>79.81</v>
      </c>
      <c r="CN166" s="187">
        <v>95.26</v>
      </c>
      <c r="CO166">
        <v>183.9</v>
      </c>
      <c r="CP166">
        <v>101</v>
      </c>
      <c r="CQ166">
        <v>79.19</v>
      </c>
      <c r="CR166">
        <v>81.25</v>
      </c>
      <c r="CS166" s="187">
        <v>54.36</v>
      </c>
      <c r="CT166">
        <v>119.05</v>
      </c>
      <c r="CU166">
        <v>45</v>
      </c>
      <c r="CV166">
        <v>89.67</v>
      </c>
      <c r="CW166">
        <v>86.34</v>
      </c>
      <c r="CX166" s="187">
        <v>20.75</v>
      </c>
      <c r="CY166">
        <v>109.86</v>
      </c>
      <c r="CZ166">
        <v>967</v>
      </c>
      <c r="DA166">
        <v>109.29</v>
      </c>
      <c r="DB166">
        <v>106.05</v>
      </c>
      <c r="DC166" s="187">
        <v>28.16</v>
      </c>
      <c r="DD166">
        <v>136.78</v>
      </c>
      <c r="DE166">
        <v>210</v>
      </c>
      <c r="DF166">
        <v>108.15</v>
      </c>
      <c r="DG166">
        <v>110.29</v>
      </c>
      <c r="DH166" s="187">
        <v>16.329999999999998</v>
      </c>
      <c r="DI166">
        <v>116.32</v>
      </c>
      <c r="DJ166">
        <v>2</v>
      </c>
      <c r="DK166">
        <v>0</v>
      </c>
      <c r="DL166">
        <v>0</v>
      </c>
      <c r="DM166" s="187">
        <v>0</v>
      </c>
      <c r="DN166">
        <v>0</v>
      </c>
      <c r="DO166">
        <v>0</v>
      </c>
      <c r="DP166">
        <v>92.68</v>
      </c>
      <c r="DQ166">
        <v>89.68</v>
      </c>
      <c r="DR166" s="187">
        <v>22.97</v>
      </c>
      <c r="DS166">
        <v>114.82</v>
      </c>
      <c r="DT166">
        <v>1224</v>
      </c>
      <c r="DU166">
        <v>93.74</v>
      </c>
      <c r="DV166">
        <v>89.03</v>
      </c>
      <c r="DW166" s="187">
        <v>27.67</v>
      </c>
      <c r="DX166">
        <v>120.09</v>
      </c>
      <c r="DY166">
        <v>1325</v>
      </c>
      <c r="DZ166">
        <v>0</v>
      </c>
      <c r="EA166">
        <v>0</v>
      </c>
      <c r="EB166" s="187">
        <v>124.62</v>
      </c>
      <c r="EC166">
        <v>1</v>
      </c>
      <c r="ED166">
        <v>131.55000000000001</v>
      </c>
      <c r="EE166">
        <v>414</v>
      </c>
      <c r="EF166">
        <v>160.86000000000001</v>
      </c>
      <c r="EG166" s="187">
        <v>903</v>
      </c>
      <c r="EH166">
        <v>184.99</v>
      </c>
      <c r="EI166">
        <v>547</v>
      </c>
      <c r="EJ166">
        <v>228.83</v>
      </c>
      <c r="EK166">
        <v>113</v>
      </c>
      <c r="EL166" s="187">
        <v>0</v>
      </c>
      <c r="EM166">
        <v>0</v>
      </c>
      <c r="EN166">
        <v>0</v>
      </c>
      <c r="EO166">
        <v>0</v>
      </c>
      <c r="EP166">
        <v>165.26</v>
      </c>
      <c r="EQ166" s="187">
        <v>1978</v>
      </c>
      <c r="ER166">
        <v>165.26</v>
      </c>
      <c r="ES166">
        <v>1978</v>
      </c>
      <c r="ET166">
        <v>0</v>
      </c>
      <c r="EU166">
        <v>0</v>
      </c>
      <c r="EV166" s="187">
        <v>0</v>
      </c>
      <c r="EW166">
        <v>0</v>
      </c>
      <c r="EX166">
        <v>118.34</v>
      </c>
      <c r="EY166">
        <v>11</v>
      </c>
      <c r="EZ166">
        <v>123.8</v>
      </c>
      <c r="FA166" s="187">
        <v>2</v>
      </c>
      <c r="FB166">
        <v>0</v>
      </c>
      <c r="FC166">
        <v>0</v>
      </c>
      <c r="FD166">
        <v>0</v>
      </c>
      <c r="FE166">
        <v>0</v>
      </c>
      <c r="FF166" s="187">
        <v>119.18</v>
      </c>
      <c r="FG166">
        <v>13</v>
      </c>
      <c r="FH166">
        <v>119.18</v>
      </c>
      <c r="FI166">
        <v>13</v>
      </c>
      <c r="FJ166">
        <v>25</v>
      </c>
      <c r="FK166" s="187">
        <v>7</v>
      </c>
      <c r="FL166">
        <v>3</v>
      </c>
      <c r="FM166">
        <v>163</v>
      </c>
      <c r="FN166">
        <v>19</v>
      </c>
    </row>
    <row r="167" spans="1:170" x14ac:dyDescent="0.35">
      <c r="A167" t="s">
        <v>723</v>
      </c>
      <c r="B167" t="s">
        <v>724</v>
      </c>
      <c r="C167" t="s">
        <v>415</v>
      </c>
      <c r="D167">
        <v>2479</v>
      </c>
      <c r="E167">
        <v>2462</v>
      </c>
      <c r="F167">
        <v>0</v>
      </c>
      <c r="G167">
        <v>0</v>
      </c>
      <c r="H167">
        <v>35</v>
      </c>
      <c r="I167">
        <v>23</v>
      </c>
      <c r="J167">
        <v>795</v>
      </c>
      <c r="K167">
        <v>738</v>
      </c>
      <c r="L167">
        <v>192</v>
      </c>
      <c r="M167">
        <v>75</v>
      </c>
      <c r="N167">
        <v>3501</v>
      </c>
      <c r="O167">
        <v>3298</v>
      </c>
      <c r="P167">
        <v>3309</v>
      </c>
      <c r="Q167">
        <v>0</v>
      </c>
      <c r="R167">
        <v>4</v>
      </c>
      <c r="S167">
        <v>20</v>
      </c>
      <c r="T167">
        <v>97</v>
      </c>
      <c r="U167">
        <v>3404</v>
      </c>
      <c r="V167" s="498">
        <v>2443</v>
      </c>
      <c r="W167">
        <v>24</v>
      </c>
      <c r="X167" s="498">
        <v>7</v>
      </c>
      <c r="Y167" s="498">
        <v>31</v>
      </c>
      <c r="Z167" s="498">
        <v>105.9</v>
      </c>
      <c r="AA167" s="498">
        <v>104.8</v>
      </c>
      <c r="AB167">
        <v>4.5</v>
      </c>
      <c r="AC167">
        <v>108.71</v>
      </c>
      <c r="AD167">
        <v>1967</v>
      </c>
      <c r="AE167">
        <v>90.39</v>
      </c>
      <c r="AF167">
        <v>88.7</v>
      </c>
      <c r="AG167">
        <v>16.350000000000001</v>
      </c>
      <c r="AH167">
        <v>106.18</v>
      </c>
      <c r="AI167">
        <v>768</v>
      </c>
      <c r="AJ167">
        <v>147.21</v>
      </c>
      <c r="AK167">
        <v>483</v>
      </c>
      <c r="AL167">
        <v>116.48</v>
      </c>
      <c r="AM167">
        <v>1</v>
      </c>
      <c r="AN167">
        <v>0</v>
      </c>
      <c r="AO167" s="499">
        <v>0</v>
      </c>
      <c r="AP167" s="499">
        <v>0</v>
      </c>
      <c r="AQ167">
        <v>0</v>
      </c>
      <c r="AR167">
        <v>0</v>
      </c>
      <c r="AS167">
        <v>0</v>
      </c>
      <c r="AT167">
        <v>0</v>
      </c>
      <c r="AU167">
        <v>0</v>
      </c>
      <c r="AV167">
        <v>0</v>
      </c>
      <c r="AW167">
        <v>0</v>
      </c>
      <c r="AX167">
        <v>84.46</v>
      </c>
      <c r="AY167">
        <v>82.3</v>
      </c>
      <c r="AZ167">
        <v>9.09</v>
      </c>
      <c r="BA167">
        <v>91.7</v>
      </c>
      <c r="BB167">
        <v>241</v>
      </c>
      <c r="BC167">
        <v>100.39</v>
      </c>
      <c r="BD167">
        <v>98.86</v>
      </c>
      <c r="BE167">
        <v>5.0999999999999996</v>
      </c>
      <c r="BF167">
        <v>103.77</v>
      </c>
      <c r="BG167">
        <v>770</v>
      </c>
      <c r="BH167">
        <v>115.27</v>
      </c>
      <c r="BI167">
        <v>114.69</v>
      </c>
      <c r="BJ167">
        <v>2.2799999999999998</v>
      </c>
      <c r="BK167">
        <v>116.52</v>
      </c>
      <c r="BL167" s="214">
        <v>924</v>
      </c>
      <c r="BM167" s="214">
        <v>128.41999999999999</v>
      </c>
      <c r="BN167">
        <v>129.44999999999999</v>
      </c>
      <c r="BO167" s="187">
        <v>1.42</v>
      </c>
      <c r="BP167" s="214">
        <v>129.30000000000001</v>
      </c>
      <c r="BQ167" s="214">
        <v>29</v>
      </c>
      <c r="BR167">
        <v>137.03</v>
      </c>
      <c r="BS167" s="187">
        <v>139.15</v>
      </c>
      <c r="BT167" s="214">
        <v>0.81</v>
      </c>
      <c r="BU167" s="214">
        <v>137.30000000000001</v>
      </c>
      <c r="BV167">
        <v>3</v>
      </c>
      <c r="BW167">
        <v>0</v>
      </c>
      <c r="BX167" s="214">
        <v>0</v>
      </c>
      <c r="BY167" s="214">
        <v>0</v>
      </c>
      <c r="BZ167">
        <v>0</v>
      </c>
      <c r="CA167" s="187">
        <v>0</v>
      </c>
      <c r="CB167" s="214">
        <v>105.9</v>
      </c>
      <c r="CC167" s="214">
        <v>104.8</v>
      </c>
      <c r="CD167">
        <v>4.5</v>
      </c>
      <c r="CE167" s="187">
        <v>108.71</v>
      </c>
      <c r="CF167" s="214">
        <v>1967</v>
      </c>
      <c r="CG167" s="214">
        <v>105.9</v>
      </c>
      <c r="CH167">
        <v>104.8</v>
      </c>
      <c r="CI167">
        <v>4.5</v>
      </c>
      <c r="CJ167">
        <v>108.71</v>
      </c>
      <c r="CK167">
        <v>1967</v>
      </c>
      <c r="CL167">
        <v>140.29</v>
      </c>
      <c r="CM167">
        <v>107.87</v>
      </c>
      <c r="CN167" s="187">
        <v>44.19</v>
      </c>
      <c r="CO167">
        <v>168.41</v>
      </c>
      <c r="CP167">
        <v>11</v>
      </c>
      <c r="CQ167">
        <v>80.09</v>
      </c>
      <c r="CR167">
        <v>73.45</v>
      </c>
      <c r="CS167" s="187">
        <v>19.760000000000002</v>
      </c>
      <c r="CT167">
        <v>99.85</v>
      </c>
      <c r="CU167">
        <v>21</v>
      </c>
      <c r="CV167">
        <v>86.17</v>
      </c>
      <c r="CW167">
        <v>84.73</v>
      </c>
      <c r="CX167" s="187">
        <v>18.54</v>
      </c>
      <c r="CY167">
        <v>104.28</v>
      </c>
      <c r="CZ167">
        <v>556</v>
      </c>
      <c r="DA167">
        <v>101.51</v>
      </c>
      <c r="DB167">
        <v>101.66</v>
      </c>
      <c r="DC167" s="187">
        <v>7.79</v>
      </c>
      <c r="DD167">
        <v>108.91</v>
      </c>
      <c r="DE167">
        <v>179</v>
      </c>
      <c r="DF167">
        <v>112.59</v>
      </c>
      <c r="DG167">
        <v>112.49</v>
      </c>
      <c r="DH167" s="187">
        <v>10.45</v>
      </c>
      <c r="DI167">
        <v>123.04</v>
      </c>
      <c r="DJ167">
        <v>1</v>
      </c>
      <c r="DK167">
        <v>0</v>
      </c>
      <c r="DL167">
        <v>0</v>
      </c>
      <c r="DM167" s="187">
        <v>0</v>
      </c>
      <c r="DN167">
        <v>0</v>
      </c>
      <c r="DO167">
        <v>0</v>
      </c>
      <c r="DP167">
        <v>89.67</v>
      </c>
      <c r="DQ167">
        <v>88.5</v>
      </c>
      <c r="DR167" s="187">
        <v>16.079999999999998</v>
      </c>
      <c r="DS167">
        <v>105.28</v>
      </c>
      <c r="DT167">
        <v>757</v>
      </c>
      <c r="DU167">
        <v>90.39</v>
      </c>
      <c r="DV167">
        <v>88.7</v>
      </c>
      <c r="DW167" s="187">
        <v>16.350000000000001</v>
      </c>
      <c r="DX167">
        <v>106.18</v>
      </c>
      <c r="DY167">
        <v>768</v>
      </c>
      <c r="DZ167">
        <v>0</v>
      </c>
      <c r="EA167">
        <v>0</v>
      </c>
      <c r="EB167" s="187">
        <v>0</v>
      </c>
      <c r="EC167">
        <v>0</v>
      </c>
      <c r="ED167">
        <v>124.03</v>
      </c>
      <c r="EE167">
        <v>143</v>
      </c>
      <c r="EF167">
        <v>150.72</v>
      </c>
      <c r="EG167" s="187">
        <v>266</v>
      </c>
      <c r="EH167">
        <v>176.39</v>
      </c>
      <c r="EI167">
        <v>69</v>
      </c>
      <c r="EJ167">
        <v>220.47</v>
      </c>
      <c r="EK167">
        <v>5</v>
      </c>
      <c r="EL167" s="187">
        <v>0</v>
      </c>
      <c r="EM167">
        <v>0</v>
      </c>
      <c r="EN167">
        <v>0</v>
      </c>
      <c r="EO167">
        <v>0</v>
      </c>
      <c r="EP167">
        <v>147.21</v>
      </c>
      <c r="EQ167" s="187">
        <v>483</v>
      </c>
      <c r="ER167">
        <v>147.21</v>
      </c>
      <c r="ES167">
        <v>483</v>
      </c>
      <c r="ET167">
        <v>0</v>
      </c>
      <c r="EU167">
        <v>0</v>
      </c>
      <c r="EV167" s="187">
        <v>0</v>
      </c>
      <c r="EW167">
        <v>0</v>
      </c>
      <c r="EX167">
        <v>116.48</v>
      </c>
      <c r="EY167">
        <v>1</v>
      </c>
      <c r="EZ167">
        <v>0</v>
      </c>
      <c r="FA167" s="187">
        <v>0</v>
      </c>
      <c r="FB167">
        <v>0</v>
      </c>
      <c r="FC167">
        <v>0</v>
      </c>
      <c r="FD167">
        <v>0</v>
      </c>
      <c r="FE167">
        <v>0</v>
      </c>
      <c r="FF167" s="187">
        <v>116.48</v>
      </c>
      <c r="FG167">
        <v>1</v>
      </c>
      <c r="FH167">
        <v>116.48</v>
      </c>
      <c r="FI167">
        <v>1</v>
      </c>
      <c r="FJ167">
        <v>20</v>
      </c>
      <c r="FK167" s="187">
        <v>1</v>
      </c>
      <c r="FL167">
        <v>0</v>
      </c>
      <c r="FM167">
        <v>14</v>
      </c>
      <c r="FN167">
        <v>1</v>
      </c>
    </row>
    <row r="168" spans="1:170" x14ac:dyDescent="0.35">
      <c r="A168" t="s">
        <v>725</v>
      </c>
      <c r="B168" t="s">
        <v>726</v>
      </c>
      <c r="C168" t="s">
        <v>420</v>
      </c>
      <c r="D168">
        <v>4646</v>
      </c>
      <c r="E168">
        <v>4635</v>
      </c>
      <c r="F168">
        <v>0</v>
      </c>
      <c r="G168">
        <v>0</v>
      </c>
      <c r="H168">
        <v>74</v>
      </c>
      <c r="I168">
        <v>74</v>
      </c>
      <c r="J168">
        <v>594</v>
      </c>
      <c r="K168">
        <v>594</v>
      </c>
      <c r="L168">
        <v>488</v>
      </c>
      <c r="M168">
        <v>3</v>
      </c>
      <c r="N168">
        <v>5802</v>
      </c>
      <c r="O168">
        <v>5306</v>
      </c>
      <c r="P168">
        <v>5314</v>
      </c>
      <c r="Q168">
        <v>0</v>
      </c>
      <c r="R168">
        <v>2</v>
      </c>
      <c r="S168">
        <v>15</v>
      </c>
      <c r="T168">
        <v>12</v>
      </c>
      <c r="U168">
        <v>5790</v>
      </c>
      <c r="V168" s="498">
        <v>4634</v>
      </c>
      <c r="W168">
        <v>32</v>
      </c>
      <c r="X168" s="498">
        <v>27</v>
      </c>
      <c r="Y168" s="498">
        <v>59</v>
      </c>
      <c r="Z168" s="498">
        <v>98.92</v>
      </c>
      <c r="AA168" s="498">
        <v>98.6</v>
      </c>
      <c r="AB168">
        <v>4.03</v>
      </c>
      <c r="AC168">
        <v>102.62</v>
      </c>
      <c r="AD168">
        <v>4148</v>
      </c>
      <c r="AE168">
        <v>93.92</v>
      </c>
      <c r="AF168">
        <v>93.27</v>
      </c>
      <c r="AG168">
        <v>30.45</v>
      </c>
      <c r="AH168">
        <v>124.22</v>
      </c>
      <c r="AI168">
        <v>608</v>
      </c>
      <c r="AJ168">
        <v>122.67</v>
      </c>
      <c r="AK168">
        <v>416</v>
      </c>
      <c r="AL168">
        <v>194.18</v>
      </c>
      <c r="AM168">
        <v>60</v>
      </c>
      <c r="AN168">
        <v>0</v>
      </c>
      <c r="AO168" s="499">
        <v>0</v>
      </c>
      <c r="AP168" s="499">
        <v>0</v>
      </c>
      <c r="AQ168">
        <v>0</v>
      </c>
      <c r="AR168">
        <v>0</v>
      </c>
      <c r="AS168">
        <v>67.540000000000006</v>
      </c>
      <c r="AT168">
        <v>67.650000000000006</v>
      </c>
      <c r="AU168">
        <v>11.03</v>
      </c>
      <c r="AV168">
        <v>78.569999999999993</v>
      </c>
      <c r="AW168">
        <v>13</v>
      </c>
      <c r="AX168">
        <v>84.97</v>
      </c>
      <c r="AY168">
        <v>84.62</v>
      </c>
      <c r="AZ168">
        <v>5.14</v>
      </c>
      <c r="BA168">
        <v>89.99</v>
      </c>
      <c r="BB168">
        <v>916</v>
      </c>
      <c r="BC168">
        <v>96.52</v>
      </c>
      <c r="BD168">
        <v>96.05</v>
      </c>
      <c r="BE168">
        <v>4.68</v>
      </c>
      <c r="BF168">
        <v>100.88</v>
      </c>
      <c r="BG168">
        <v>1717</v>
      </c>
      <c r="BH168">
        <v>109.64</v>
      </c>
      <c r="BI168">
        <v>109.46</v>
      </c>
      <c r="BJ168">
        <v>2.39</v>
      </c>
      <c r="BK168">
        <v>111.69</v>
      </c>
      <c r="BL168" s="214">
        <v>1408</v>
      </c>
      <c r="BM168" s="214">
        <v>122.75</v>
      </c>
      <c r="BN168">
        <v>122.84</v>
      </c>
      <c r="BO168" s="187">
        <v>2.4900000000000002</v>
      </c>
      <c r="BP168" s="214">
        <v>125.14</v>
      </c>
      <c r="BQ168" s="214">
        <v>94</v>
      </c>
      <c r="BR168">
        <v>0</v>
      </c>
      <c r="BS168" s="187">
        <v>0</v>
      </c>
      <c r="BT168" s="214">
        <v>0</v>
      </c>
      <c r="BU168" s="214">
        <v>0</v>
      </c>
      <c r="BV168">
        <v>0</v>
      </c>
      <c r="BW168">
        <v>0</v>
      </c>
      <c r="BX168" s="214">
        <v>0</v>
      </c>
      <c r="BY168" s="214">
        <v>0</v>
      </c>
      <c r="BZ168">
        <v>0</v>
      </c>
      <c r="CA168" s="187">
        <v>0</v>
      </c>
      <c r="CB168" s="214">
        <v>98.92</v>
      </c>
      <c r="CC168" s="214">
        <v>98.6</v>
      </c>
      <c r="CD168">
        <v>4.03</v>
      </c>
      <c r="CE168" s="187">
        <v>102.62</v>
      </c>
      <c r="CF168" s="214">
        <v>4148</v>
      </c>
      <c r="CG168" s="214">
        <v>98.92</v>
      </c>
      <c r="CH168">
        <v>98.6</v>
      </c>
      <c r="CI168">
        <v>4.03</v>
      </c>
      <c r="CJ168">
        <v>102.62</v>
      </c>
      <c r="CK168">
        <v>4148</v>
      </c>
      <c r="CL168">
        <v>106.43</v>
      </c>
      <c r="CM168">
        <v>112.48</v>
      </c>
      <c r="CN168" s="187">
        <v>86.11</v>
      </c>
      <c r="CO168">
        <v>185.74</v>
      </c>
      <c r="CP168">
        <v>38</v>
      </c>
      <c r="CQ168">
        <v>68.19</v>
      </c>
      <c r="CR168">
        <v>61.99</v>
      </c>
      <c r="CS168" s="187">
        <v>38.020000000000003</v>
      </c>
      <c r="CT168">
        <v>106.22</v>
      </c>
      <c r="CU168">
        <v>25</v>
      </c>
      <c r="CV168">
        <v>90.86</v>
      </c>
      <c r="CW168">
        <v>90.49</v>
      </c>
      <c r="CX168" s="187">
        <v>29.01</v>
      </c>
      <c r="CY168">
        <v>119.87</v>
      </c>
      <c r="CZ168">
        <v>439</v>
      </c>
      <c r="DA168">
        <v>108.16</v>
      </c>
      <c r="DB168">
        <v>110.82</v>
      </c>
      <c r="DC168" s="187">
        <v>16.27</v>
      </c>
      <c r="DD168">
        <v>124.43</v>
      </c>
      <c r="DE168">
        <v>106</v>
      </c>
      <c r="DF168">
        <v>0</v>
      </c>
      <c r="DG168">
        <v>0</v>
      </c>
      <c r="DH168" s="187">
        <v>0</v>
      </c>
      <c r="DI168">
        <v>0</v>
      </c>
      <c r="DJ168">
        <v>0</v>
      </c>
      <c r="DK168">
        <v>0</v>
      </c>
      <c r="DL168">
        <v>0</v>
      </c>
      <c r="DM168" s="187">
        <v>0</v>
      </c>
      <c r="DN168">
        <v>0</v>
      </c>
      <c r="DO168">
        <v>0</v>
      </c>
      <c r="DP168">
        <v>93.08</v>
      </c>
      <c r="DQ168">
        <v>93.03</v>
      </c>
      <c r="DR168" s="187">
        <v>27.04</v>
      </c>
      <c r="DS168">
        <v>120.12</v>
      </c>
      <c r="DT168">
        <v>570</v>
      </c>
      <c r="DU168">
        <v>93.92</v>
      </c>
      <c r="DV168">
        <v>93.27</v>
      </c>
      <c r="DW168" s="187">
        <v>30.45</v>
      </c>
      <c r="DX168">
        <v>124.22</v>
      </c>
      <c r="DY168">
        <v>608</v>
      </c>
      <c r="DZ168">
        <v>0</v>
      </c>
      <c r="EA168">
        <v>0</v>
      </c>
      <c r="EB168" s="187">
        <v>0</v>
      </c>
      <c r="EC168">
        <v>0</v>
      </c>
      <c r="ED168">
        <v>100.29</v>
      </c>
      <c r="EE168">
        <v>50</v>
      </c>
      <c r="EF168">
        <v>119.19</v>
      </c>
      <c r="EG168" s="187">
        <v>207</v>
      </c>
      <c r="EH168">
        <v>132.71</v>
      </c>
      <c r="EI168">
        <v>152</v>
      </c>
      <c r="EJ168">
        <v>167.69</v>
      </c>
      <c r="EK168">
        <v>7</v>
      </c>
      <c r="EL168" s="187">
        <v>0</v>
      </c>
      <c r="EM168">
        <v>0</v>
      </c>
      <c r="EN168">
        <v>0</v>
      </c>
      <c r="EO168">
        <v>0</v>
      </c>
      <c r="EP168">
        <v>122.67</v>
      </c>
      <c r="EQ168" s="187">
        <v>416</v>
      </c>
      <c r="ER168">
        <v>122.67</v>
      </c>
      <c r="ES168">
        <v>416</v>
      </c>
      <c r="ET168">
        <v>0</v>
      </c>
      <c r="EU168">
        <v>0</v>
      </c>
      <c r="EV168" s="187">
        <v>0</v>
      </c>
      <c r="EW168">
        <v>0</v>
      </c>
      <c r="EX168">
        <v>207.27</v>
      </c>
      <c r="EY168">
        <v>24</v>
      </c>
      <c r="EZ168">
        <v>185.46</v>
      </c>
      <c r="FA168" s="187">
        <v>36</v>
      </c>
      <c r="FB168">
        <v>0</v>
      </c>
      <c r="FC168">
        <v>0</v>
      </c>
      <c r="FD168">
        <v>0</v>
      </c>
      <c r="FE168">
        <v>0</v>
      </c>
      <c r="FF168" s="187">
        <v>194.18</v>
      </c>
      <c r="FG168">
        <v>60</v>
      </c>
      <c r="FH168">
        <v>194.18</v>
      </c>
      <c r="FI168">
        <v>60</v>
      </c>
      <c r="FJ168">
        <v>0</v>
      </c>
      <c r="FK168" s="187">
        <v>4</v>
      </c>
      <c r="FL168">
        <v>3</v>
      </c>
      <c r="FM168">
        <v>66</v>
      </c>
      <c r="FN168">
        <v>9</v>
      </c>
    </row>
    <row r="169" spans="1:170" x14ac:dyDescent="0.35">
      <c r="A169" t="s">
        <v>727</v>
      </c>
      <c r="B169" t="s">
        <v>728</v>
      </c>
      <c r="C169" t="s">
        <v>418</v>
      </c>
      <c r="D169">
        <v>46261</v>
      </c>
      <c r="E169">
        <v>47690</v>
      </c>
      <c r="F169">
        <v>72</v>
      </c>
      <c r="G169">
        <v>12</v>
      </c>
      <c r="H169">
        <v>1729</v>
      </c>
      <c r="I169">
        <v>1017</v>
      </c>
      <c r="J169">
        <v>3348</v>
      </c>
      <c r="K169">
        <v>3435</v>
      </c>
      <c r="L169">
        <v>1608</v>
      </c>
      <c r="M169">
        <v>34</v>
      </c>
      <c r="N169">
        <v>53018</v>
      </c>
      <c r="O169">
        <v>52188</v>
      </c>
      <c r="P169">
        <v>51410</v>
      </c>
      <c r="Q169">
        <v>41</v>
      </c>
      <c r="R169">
        <v>21</v>
      </c>
      <c r="S169">
        <v>28</v>
      </c>
      <c r="T169">
        <v>818</v>
      </c>
      <c r="U169">
        <v>52200</v>
      </c>
      <c r="V169" s="498">
        <v>45757</v>
      </c>
      <c r="W169">
        <v>143</v>
      </c>
      <c r="X169" s="498">
        <v>231</v>
      </c>
      <c r="Y169" s="498">
        <v>374</v>
      </c>
      <c r="Z169" s="498">
        <v>83.43</v>
      </c>
      <c r="AA169" s="498">
        <v>84.09</v>
      </c>
      <c r="AB169">
        <v>5.13</v>
      </c>
      <c r="AC169">
        <v>85.43</v>
      </c>
      <c r="AD169">
        <v>42135</v>
      </c>
      <c r="AE169">
        <v>81.760000000000005</v>
      </c>
      <c r="AF169">
        <v>76.94</v>
      </c>
      <c r="AG169">
        <v>46.44</v>
      </c>
      <c r="AH169">
        <v>124.91</v>
      </c>
      <c r="AI169">
        <v>4662</v>
      </c>
      <c r="AJ169">
        <v>114.93</v>
      </c>
      <c r="AK169">
        <v>3244</v>
      </c>
      <c r="AL169">
        <v>149.91999999999999</v>
      </c>
      <c r="AM169">
        <v>144</v>
      </c>
      <c r="AN169">
        <v>41.8</v>
      </c>
      <c r="AO169" s="499">
        <v>62.32</v>
      </c>
      <c r="AP169" s="499">
        <v>18.88</v>
      </c>
      <c r="AQ169">
        <v>46.89</v>
      </c>
      <c r="AR169">
        <v>26</v>
      </c>
      <c r="AS169">
        <v>66.97</v>
      </c>
      <c r="AT169">
        <v>70.650000000000006</v>
      </c>
      <c r="AU169">
        <v>10.199999999999999</v>
      </c>
      <c r="AV169">
        <v>76.09</v>
      </c>
      <c r="AW169">
        <v>237</v>
      </c>
      <c r="AX169">
        <v>71.72</v>
      </c>
      <c r="AY169">
        <v>71.569999999999993</v>
      </c>
      <c r="AZ169">
        <v>7.9</v>
      </c>
      <c r="BA169">
        <v>77.48</v>
      </c>
      <c r="BB169">
        <v>8531</v>
      </c>
      <c r="BC169">
        <v>79.86</v>
      </c>
      <c r="BD169">
        <v>80.239999999999995</v>
      </c>
      <c r="BE169">
        <v>5.29</v>
      </c>
      <c r="BF169">
        <v>81.900000000000006</v>
      </c>
      <c r="BG169">
        <v>13154</v>
      </c>
      <c r="BH169">
        <v>90.06</v>
      </c>
      <c r="BI169">
        <v>91.2</v>
      </c>
      <c r="BJ169">
        <v>1.19</v>
      </c>
      <c r="BK169">
        <v>90.34</v>
      </c>
      <c r="BL169" s="214">
        <v>18478</v>
      </c>
      <c r="BM169" s="214">
        <v>99.37</v>
      </c>
      <c r="BN169">
        <v>100.37</v>
      </c>
      <c r="BO169" s="187">
        <v>1.5</v>
      </c>
      <c r="BP169" s="214">
        <v>99.91</v>
      </c>
      <c r="BQ169" s="214">
        <v>1499</v>
      </c>
      <c r="BR169">
        <v>106.58</v>
      </c>
      <c r="BS169" s="187">
        <v>108.6</v>
      </c>
      <c r="BT169" s="214">
        <v>2.4300000000000002</v>
      </c>
      <c r="BU169" s="214">
        <v>107.32</v>
      </c>
      <c r="BV169">
        <v>159</v>
      </c>
      <c r="BW169">
        <v>115.75</v>
      </c>
      <c r="BX169" s="214">
        <v>116.54</v>
      </c>
      <c r="BY169" s="214">
        <v>4.9800000000000004</v>
      </c>
      <c r="BZ169">
        <v>118.09</v>
      </c>
      <c r="CA169" s="187">
        <v>51</v>
      </c>
      <c r="CB169" s="214">
        <v>83.45</v>
      </c>
      <c r="CC169" s="214">
        <v>84.11</v>
      </c>
      <c r="CD169">
        <v>5.12</v>
      </c>
      <c r="CE169" s="187">
        <v>85.46</v>
      </c>
      <c r="CF169" s="214">
        <v>42109</v>
      </c>
      <c r="CG169" s="214">
        <v>83.43</v>
      </c>
      <c r="CH169">
        <v>84.09</v>
      </c>
      <c r="CI169">
        <v>5.13</v>
      </c>
      <c r="CJ169">
        <v>85.43</v>
      </c>
      <c r="CK169">
        <v>42135</v>
      </c>
      <c r="CL169">
        <v>81.56</v>
      </c>
      <c r="CM169">
        <v>78.03</v>
      </c>
      <c r="CN169" s="187">
        <v>98.48</v>
      </c>
      <c r="CO169">
        <v>163.26</v>
      </c>
      <c r="CP169">
        <v>628</v>
      </c>
      <c r="CQ169">
        <v>71.180000000000007</v>
      </c>
      <c r="CR169">
        <v>66.59</v>
      </c>
      <c r="CS169" s="187">
        <v>34.840000000000003</v>
      </c>
      <c r="CT169">
        <v>106.02</v>
      </c>
      <c r="CU169">
        <v>603</v>
      </c>
      <c r="CV169">
        <v>81.14</v>
      </c>
      <c r="CW169">
        <v>75.89</v>
      </c>
      <c r="CX169" s="187">
        <v>40.299999999999997</v>
      </c>
      <c r="CY169">
        <v>119.11</v>
      </c>
      <c r="CZ169">
        <v>2843</v>
      </c>
      <c r="DA169">
        <v>95.4</v>
      </c>
      <c r="DB169">
        <v>91.14</v>
      </c>
      <c r="DC169" s="187">
        <v>39.64</v>
      </c>
      <c r="DD169">
        <v>131.72</v>
      </c>
      <c r="DE169">
        <v>550</v>
      </c>
      <c r="DF169">
        <v>100.53</v>
      </c>
      <c r="DG169">
        <v>96.91</v>
      </c>
      <c r="DH169" s="187">
        <v>36.630000000000003</v>
      </c>
      <c r="DI169">
        <v>125.65</v>
      </c>
      <c r="DJ169">
        <v>35</v>
      </c>
      <c r="DK169">
        <v>123.35</v>
      </c>
      <c r="DL169">
        <v>116.16</v>
      </c>
      <c r="DM169" s="187">
        <v>0</v>
      </c>
      <c r="DN169">
        <v>123.35</v>
      </c>
      <c r="DO169">
        <v>3</v>
      </c>
      <c r="DP169">
        <v>81.790000000000006</v>
      </c>
      <c r="DQ169">
        <v>76.8</v>
      </c>
      <c r="DR169" s="187">
        <v>39.32</v>
      </c>
      <c r="DS169">
        <v>118.93</v>
      </c>
      <c r="DT169">
        <v>4034</v>
      </c>
      <c r="DU169">
        <v>81.760000000000005</v>
      </c>
      <c r="DV169">
        <v>76.94</v>
      </c>
      <c r="DW169" s="187">
        <v>46.44</v>
      </c>
      <c r="DX169">
        <v>124.91</v>
      </c>
      <c r="DY169">
        <v>4662</v>
      </c>
      <c r="DZ169">
        <v>53.03</v>
      </c>
      <c r="EA169">
        <v>20</v>
      </c>
      <c r="EB169" s="187">
        <v>107.77</v>
      </c>
      <c r="EC169">
        <v>1</v>
      </c>
      <c r="ED169">
        <v>100.3</v>
      </c>
      <c r="EE169">
        <v>421</v>
      </c>
      <c r="EF169">
        <v>113.02</v>
      </c>
      <c r="EG169" s="187">
        <v>1520</v>
      </c>
      <c r="EH169">
        <v>120.23</v>
      </c>
      <c r="EI169">
        <v>1146</v>
      </c>
      <c r="EJ169">
        <v>145.55000000000001</v>
      </c>
      <c r="EK169">
        <v>123</v>
      </c>
      <c r="EL169" s="187">
        <v>148.53</v>
      </c>
      <c r="EM169">
        <v>12</v>
      </c>
      <c r="EN169">
        <v>178.74</v>
      </c>
      <c r="EO169">
        <v>1</v>
      </c>
      <c r="EP169">
        <v>115.32</v>
      </c>
      <c r="EQ169" s="187">
        <v>3224</v>
      </c>
      <c r="ER169">
        <v>114.93</v>
      </c>
      <c r="ES169">
        <v>3244</v>
      </c>
      <c r="ET169">
        <v>90</v>
      </c>
      <c r="EU169">
        <v>3</v>
      </c>
      <c r="EV169" s="187">
        <v>0</v>
      </c>
      <c r="EW169">
        <v>0</v>
      </c>
      <c r="EX169">
        <v>151.41</v>
      </c>
      <c r="EY169">
        <v>47</v>
      </c>
      <c r="EZ169">
        <v>151.09</v>
      </c>
      <c r="FA169" s="187">
        <v>94</v>
      </c>
      <c r="FB169">
        <v>0</v>
      </c>
      <c r="FC169">
        <v>0</v>
      </c>
      <c r="FD169">
        <v>0</v>
      </c>
      <c r="FE169">
        <v>0</v>
      </c>
      <c r="FF169" s="187">
        <v>151.19999999999999</v>
      </c>
      <c r="FG169">
        <v>141</v>
      </c>
      <c r="FH169">
        <v>149.91999999999999</v>
      </c>
      <c r="FI169">
        <v>144</v>
      </c>
      <c r="FJ169">
        <v>0</v>
      </c>
      <c r="FK169" s="187">
        <v>202</v>
      </c>
      <c r="FL169">
        <v>7</v>
      </c>
      <c r="FM169">
        <v>88</v>
      </c>
      <c r="FN169">
        <v>50</v>
      </c>
    </row>
    <row r="170" spans="1:170" x14ac:dyDescent="0.35">
      <c r="A170" t="s">
        <v>729</v>
      </c>
      <c r="B170" t="s">
        <v>730</v>
      </c>
      <c r="C170" t="s">
        <v>414</v>
      </c>
      <c r="D170">
        <v>1730</v>
      </c>
      <c r="E170">
        <v>1730</v>
      </c>
      <c r="F170">
        <v>0</v>
      </c>
      <c r="G170">
        <v>0</v>
      </c>
      <c r="H170">
        <v>360</v>
      </c>
      <c r="I170">
        <v>306</v>
      </c>
      <c r="J170">
        <v>232</v>
      </c>
      <c r="K170">
        <v>79</v>
      </c>
      <c r="L170">
        <v>129</v>
      </c>
      <c r="M170">
        <v>2</v>
      </c>
      <c r="N170">
        <v>2451</v>
      </c>
      <c r="O170">
        <v>2117</v>
      </c>
      <c r="P170">
        <v>2322</v>
      </c>
      <c r="Q170">
        <v>0</v>
      </c>
      <c r="R170">
        <v>5</v>
      </c>
      <c r="S170">
        <v>21</v>
      </c>
      <c r="T170">
        <v>212</v>
      </c>
      <c r="U170">
        <v>2239</v>
      </c>
      <c r="V170" s="498">
        <v>1717</v>
      </c>
      <c r="W170">
        <v>5</v>
      </c>
      <c r="X170" s="498">
        <v>3</v>
      </c>
      <c r="Y170" s="498">
        <v>8</v>
      </c>
      <c r="Z170" s="498">
        <v>83.89</v>
      </c>
      <c r="AA170" s="498">
        <v>81.31</v>
      </c>
      <c r="AB170">
        <v>6.06</v>
      </c>
      <c r="AC170">
        <v>86.84</v>
      </c>
      <c r="AD170">
        <v>1626</v>
      </c>
      <c r="AE170">
        <v>113.65</v>
      </c>
      <c r="AF170">
        <v>78.599999999999994</v>
      </c>
      <c r="AG170">
        <v>90.91</v>
      </c>
      <c r="AH170">
        <v>201.79</v>
      </c>
      <c r="AI170">
        <v>393</v>
      </c>
      <c r="AJ170">
        <v>100.24</v>
      </c>
      <c r="AK170">
        <v>99</v>
      </c>
      <c r="AL170">
        <v>0</v>
      </c>
      <c r="AM170">
        <v>0</v>
      </c>
      <c r="AN170">
        <v>0</v>
      </c>
      <c r="AO170" s="499">
        <v>0</v>
      </c>
      <c r="AP170" s="499">
        <v>0</v>
      </c>
      <c r="AQ170">
        <v>0</v>
      </c>
      <c r="AR170">
        <v>0</v>
      </c>
      <c r="AS170">
        <v>59.5</v>
      </c>
      <c r="AT170">
        <v>56.67</v>
      </c>
      <c r="AU170">
        <v>7.65</v>
      </c>
      <c r="AV170">
        <v>67.150000000000006</v>
      </c>
      <c r="AW170">
        <v>13</v>
      </c>
      <c r="AX170">
        <v>70.260000000000005</v>
      </c>
      <c r="AY170">
        <v>68.5</v>
      </c>
      <c r="AZ170">
        <v>9.2799999999999994</v>
      </c>
      <c r="BA170">
        <v>79.33</v>
      </c>
      <c r="BB170">
        <v>214</v>
      </c>
      <c r="BC170">
        <v>82.68</v>
      </c>
      <c r="BD170">
        <v>79.900000000000006</v>
      </c>
      <c r="BE170">
        <v>5.74</v>
      </c>
      <c r="BF170">
        <v>85.77</v>
      </c>
      <c r="BG170">
        <v>693</v>
      </c>
      <c r="BH170">
        <v>89.24</v>
      </c>
      <c r="BI170">
        <v>86.62</v>
      </c>
      <c r="BJ170">
        <v>3.09</v>
      </c>
      <c r="BK170">
        <v>90.1</v>
      </c>
      <c r="BL170" s="214">
        <v>673</v>
      </c>
      <c r="BM170" s="214">
        <v>98.32</v>
      </c>
      <c r="BN170">
        <v>94.96</v>
      </c>
      <c r="BO170" s="187">
        <v>3.95</v>
      </c>
      <c r="BP170" s="214">
        <v>99.27</v>
      </c>
      <c r="BQ170" s="214">
        <v>33</v>
      </c>
      <c r="BR170">
        <v>0</v>
      </c>
      <c r="BS170" s="187">
        <v>0</v>
      </c>
      <c r="BT170" s="214">
        <v>0</v>
      </c>
      <c r="BU170" s="214">
        <v>0</v>
      </c>
      <c r="BV170">
        <v>0</v>
      </c>
      <c r="BW170">
        <v>0</v>
      </c>
      <c r="BX170" s="214">
        <v>0</v>
      </c>
      <c r="BY170" s="214">
        <v>0</v>
      </c>
      <c r="BZ170">
        <v>0</v>
      </c>
      <c r="CA170" s="187">
        <v>0</v>
      </c>
      <c r="CB170" s="214">
        <v>83.89</v>
      </c>
      <c r="CC170" s="214">
        <v>81.31</v>
      </c>
      <c r="CD170">
        <v>6.06</v>
      </c>
      <c r="CE170" s="187">
        <v>86.84</v>
      </c>
      <c r="CF170" s="214">
        <v>1626</v>
      </c>
      <c r="CG170" s="214">
        <v>83.89</v>
      </c>
      <c r="CH170">
        <v>81.31</v>
      </c>
      <c r="CI170">
        <v>6.06</v>
      </c>
      <c r="CJ170">
        <v>86.84</v>
      </c>
      <c r="CK170">
        <v>1626</v>
      </c>
      <c r="CL170">
        <v>140.6</v>
      </c>
      <c r="CM170">
        <v>66.58</v>
      </c>
      <c r="CN170" s="187">
        <v>77.349999999999994</v>
      </c>
      <c r="CO170">
        <v>217.95</v>
      </c>
      <c r="CP170">
        <v>116</v>
      </c>
      <c r="CQ170">
        <v>73.930000000000007</v>
      </c>
      <c r="CR170">
        <v>66.88</v>
      </c>
      <c r="CS170" s="187">
        <v>98.18</v>
      </c>
      <c r="CT170">
        <v>172.1</v>
      </c>
      <c r="CU170">
        <v>18</v>
      </c>
      <c r="CV170">
        <v>106.48</v>
      </c>
      <c r="CW170">
        <v>83.65</v>
      </c>
      <c r="CX170" s="187">
        <v>106.8</v>
      </c>
      <c r="CY170">
        <v>207.73</v>
      </c>
      <c r="CZ170">
        <v>231</v>
      </c>
      <c r="DA170">
        <v>86.76</v>
      </c>
      <c r="DB170">
        <v>79.61</v>
      </c>
      <c r="DC170" s="187">
        <v>18.09</v>
      </c>
      <c r="DD170">
        <v>104.84</v>
      </c>
      <c r="DE170">
        <v>28</v>
      </c>
      <c r="DF170">
        <v>0</v>
      </c>
      <c r="DG170">
        <v>0</v>
      </c>
      <c r="DH170" s="187">
        <v>0</v>
      </c>
      <c r="DI170">
        <v>0</v>
      </c>
      <c r="DJ170">
        <v>0</v>
      </c>
      <c r="DK170">
        <v>0</v>
      </c>
      <c r="DL170">
        <v>0</v>
      </c>
      <c r="DM170" s="187">
        <v>0</v>
      </c>
      <c r="DN170">
        <v>0</v>
      </c>
      <c r="DO170">
        <v>0</v>
      </c>
      <c r="DP170">
        <v>102.37</v>
      </c>
      <c r="DQ170">
        <v>81.510000000000005</v>
      </c>
      <c r="DR170" s="187">
        <v>96.84</v>
      </c>
      <c r="DS170">
        <v>195.02</v>
      </c>
      <c r="DT170">
        <v>277</v>
      </c>
      <c r="DU170">
        <v>113.65</v>
      </c>
      <c r="DV170">
        <v>78.599999999999994</v>
      </c>
      <c r="DW170" s="187">
        <v>90.91</v>
      </c>
      <c r="DX170">
        <v>201.79</v>
      </c>
      <c r="DY170">
        <v>393</v>
      </c>
      <c r="DZ170">
        <v>0</v>
      </c>
      <c r="EA170">
        <v>0</v>
      </c>
      <c r="EB170" s="187">
        <v>0</v>
      </c>
      <c r="EC170">
        <v>0</v>
      </c>
      <c r="ED170">
        <v>96.17</v>
      </c>
      <c r="EE170">
        <v>17</v>
      </c>
      <c r="EF170">
        <v>100.37</v>
      </c>
      <c r="EG170" s="187">
        <v>51</v>
      </c>
      <c r="EH170">
        <v>102.46</v>
      </c>
      <c r="EI170">
        <v>29</v>
      </c>
      <c r="EJ170">
        <v>99.24</v>
      </c>
      <c r="EK170">
        <v>2</v>
      </c>
      <c r="EL170" s="187">
        <v>0</v>
      </c>
      <c r="EM170">
        <v>0</v>
      </c>
      <c r="EN170">
        <v>0</v>
      </c>
      <c r="EO170">
        <v>0</v>
      </c>
      <c r="EP170">
        <v>100.24</v>
      </c>
      <c r="EQ170" s="187">
        <v>99</v>
      </c>
      <c r="ER170">
        <v>100.24</v>
      </c>
      <c r="ES170">
        <v>99</v>
      </c>
      <c r="ET170">
        <v>0</v>
      </c>
      <c r="EU170">
        <v>0</v>
      </c>
      <c r="EV170" s="187">
        <v>0</v>
      </c>
      <c r="EW170">
        <v>0</v>
      </c>
      <c r="EX170">
        <v>0</v>
      </c>
      <c r="EY170">
        <v>0</v>
      </c>
      <c r="EZ170">
        <v>0</v>
      </c>
      <c r="FA170" s="187">
        <v>0</v>
      </c>
      <c r="FB170">
        <v>0</v>
      </c>
      <c r="FC170">
        <v>0</v>
      </c>
      <c r="FD170">
        <v>0</v>
      </c>
      <c r="FE170">
        <v>0</v>
      </c>
      <c r="FF170" s="187">
        <v>0</v>
      </c>
      <c r="FG170">
        <v>0</v>
      </c>
      <c r="FH170">
        <v>0</v>
      </c>
      <c r="FI170">
        <v>0</v>
      </c>
      <c r="FJ170">
        <v>0</v>
      </c>
      <c r="FK170" s="187">
        <v>1</v>
      </c>
      <c r="FL170">
        <v>5</v>
      </c>
      <c r="FM170">
        <v>4</v>
      </c>
      <c r="FN170">
        <v>3</v>
      </c>
    </row>
    <row r="171" spans="1:170" x14ac:dyDescent="0.35">
      <c r="A171" t="s">
        <v>731</v>
      </c>
      <c r="B171" t="s">
        <v>732</v>
      </c>
      <c r="C171" t="s">
        <v>2</v>
      </c>
      <c r="D171">
        <v>4038</v>
      </c>
      <c r="E171">
        <v>3568</v>
      </c>
      <c r="F171">
        <v>0</v>
      </c>
      <c r="G171">
        <v>5</v>
      </c>
      <c r="H171">
        <v>365</v>
      </c>
      <c r="I171">
        <v>167</v>
      </c>
      <c r="J171">
        <v>951</v>
      </c>
      <c r="K171">
        <v>885</v>
      </c>
      <c r="L171">
        <v>1549</v>
      </c>
      <c r="M171">
        <v>336</v>
      </c>
      <c r="N171">
        <v>6903</v>
      </c>
      <c r="O171">
        <v>4961</v>
      </c>
      <c r="P171">
        <v>5354</v>
      </c>
      <c r="Q171">
        <v>28</v>
      </c>
      <c r="R171">
        <v>6</v>
      </c>
      <c r="S171">
        <v>23</v>
      </c>
      <c r="T171">
        <v>617</v>
      </c>
      <c r="U171">
        <v>6286</v>
      </c>
      <c r="V171" s="498">
        <v>3651</v>
      </c>
      <c r="W171">
        <v>51</v>
      </c>
      <c r="X171" s="498">
        <v>11</v>
      </c>
      <c r="Y171" s="498">
        <v>62</v>
      </c>
      <c r="Z171" s="498">
        <v>102.64</v>
      </c>
      <c r="AA171" s="498">
        <v>99.46</v>
      </c>
      <c r="AB171">
        <v>7.92</v>
      </c>
      <c r="AC171">
        <v>109.13</v>
      </c>
      <c r="AD171">
        <v>2843</v>
      </c>
      <c r="AE171">
        <v>98.82</v>
      </c>
      <c r="AF171">
        <v>87.23</v>
      </c>
      <c r="AG171">
        <v>40.659999999999997</v>
      </c>
      <c r="AH171">
        <v>138.35</v>
      </c>
      <c r="AI171">
        <v>1085</v>
      </c>
      <c r="AJ171">
        <v>137.93</v>
      </c>
      <c r="AK171">
        <v>841</v>
      </c>
      <c r="AL171">
        <v>145.62</v>
      </c>
      <c r="AM171">
        <v>55</v>
      </c>
      <c r="AN171">
        <v>0</v>
      </c>
      <c r="AO171" s="499">
        <v>0</v>
      </c>
      <c r="AP171" s="499">
        <v>0</v>
      </c>
      <c r="AQ171">
        <v>0</v>
      </c>
      <c r="AR171">
        <v>0</v>
      </c>
      <c r="AS171">
        <v>71.260000000000005</v>
      </c>
      <c r="AT171">
        <v>68.290000000000006</v>
      </c>
      <c r="AU171">
        <v>10.99</v>
      </c>
      <c r="AV171">
        <v>82.25</v>
      </c>
      <c r="AW171">
        <v>9</v>
      </c>
      <c r="AX171">
        <v>84.92</v>
      </c>
      <c r="AY171">
        <v>82.68</v>
      </c>
      <c r="AZ171">
        <v>11.5</v>
      </c>
      <c r="BA171">
        <v>96.07</v>
      </c>
      <c r="BB171">
        <v>494</v>
      </c>
      <c r="BC171">
        <v>98.15</v>
      </c>
      <c r="BD171">
        <v>94.97</v>
      </c>
      <c r="BE171">
        <v>9.86</v>
      </c>
      <c r="BF171">
        <v>106.36</v>
      </c>
      <c r="BG171">
        <v>1152</v>
      </c>
      <c r="BH171">
        <v>112.98</v>
      </c>
      <c r="BI171">
        <v>109.34</v>
      </c>
      <c r="BJ171">
        <v>3.76</v>
      </c>
      <c r="BK171">
        <v>115.73</v>
      </c>
      <c r="BL171" s="214">
        <v>1071</v>
      </c>
      <c r="BM171" s="214">
        <v>128.88999999999999</v>
      </c>
      <c r="BN171">
        <v>125.9</v>
      </c>
      <c r="BO171" s="187">
        <v>4.2699999999999996</v>
      </c>
      <c r="BP171" s="214">
        <v>132.57</v>
      </c>
      <c r="BQ171" s="214">
        <v>110</v>
      </c>
      <c r="BR171">
        <v>135.87</v>
      </c>
      <c r="BS171" s="187">
        <v>132.33000000000001</v>
      </c>
      <c r="BT171" s="214">
        <v>4.88</v>
      </c>
      <c r="BU171" s="214">
        <v>139.93</v>
      </c>
      <c r="BV171">
        <v>6</v>
      </c>
      <c r="BW171">
        <v>146.91999999999999</v>
      </c>
      <c r="BX171" s="214">
        <v>139.91999999999999</v>
      </c>
      <c r="BY171" s="214">
        <v>0</v>
      </c>
      <c r="BZ171">
        <v>146.91999999999999</v>
      </c>
      <c r="CA171" s="187">
        <v>1</v>
      </c>
      <c r="CB171" s="214">
        <v>102.64</v>
      </c>
      <c r="CC171" s="214">
        <v>99.46</v>
      </c>
      <c r="CD171">
        <v>7.92</v>
      </c>
      <c r="CE171" s="187">
        <v>109.13</v>
      </c>
      <c r="CF171" s="214">
        <v>2843</v>
      </c>
      <c r="CG171" s="214">
        <v>102.64</v>
      </c>
      <c r="CH171">
        <v>99.46</v>
      </c>
      <c r="CI171">
        <v>7.92</v>
      </c>
      <c r="CJ171">
        <v>109.13</v>
      </c>
      <c r="CK171">
        <v>2843</v>
      </c>
      <c r="CL171">
        <v>131.87</v>
      </c>
      <c r="CM171">
        <v>79.64</v>
      </c>
      <c r="CN171" s="187">
        <v>104.94</v>
      </c>
      <c r="CO171">
        <v>222.07</v>
      </c>
      <c r="CP171">
        <v>121</v>
      </c>
      <c r="CQ171">
        <v>74.81</v>
      </c>
      <c r="CR171">
        <v>68.180000000000007</v>
      </c>
      <c r="CS171" s="187">
        <v>34.11</v>
      </c>
      <c r="CT171">
        <v>108.59</v>
      </c>
      <c r="CU171">
        <v>106</v>
      </c>
      <c r="CV171">
        <v>91.88</v>
      </c>
      <c r="CW171">
        <v>86.38</v>
      </c>
      <c r="CX171" s="187">
        <v>33.630000000000003</v>
      </c>
      <c r="CY171">
        <v>125</v>
      </c>
      <c r="CZ171">
        <v>648</v>
      </c>
      <c r="DA171">
        <v>114.64</v>
      </c>
      <c r="DB171">
        <v>102.4</v>
      </c>
      <c r="DC171" s="187">
        <v>34.51</v>
      </c>
      <c r="DD171">
        <v>149.13999999999999</v>
      </c>
      <c r="DE171">
        <v>194</v>
      </c>
      <c r="DF171">
        <v>95.82</v>
      </c>
      <c r="DG171">
        <v>106.04</v>
      </c>
      <c r="DH171" s="187">
        <v>18.89</v>
      </c>
      <c r="DI171">
        <v>112.19</v>
      </c>
      <c r="DJ171">
        <v>15</v>
      </c>
      <c r="DK171">
        <v>111.49</v>
      </c>
      <c r="DL171">
        <v>101.35</v>
      </c>
      <c r="DM171" s="187">
        <v>6.7</v>
      </c>
      <c r="DN171">
        <v>118.19</v>
      </c>
      <c r="DO171">
        <v>1</v>
      </c>
      <c r="DP171">
        <v>94.67</v>
      </c>
      <c r="DQ171">
        <v>87.86</v>
      </c>
      <c r="DR171" s="187">
        <v>33.630000000000003</v>
      </c>
      <c r="DS171">
        <v>127.85</v>
      </c>
      <c r="DT171">
        <v>964</v>
      </c>
      <c r="DU171">
        <v>98.82</v>
      </c>
      <c r="DV171">
        <v>87.23</v>
      </c>
      <c r="DW171" s="187">
        <v>40.659999999999997</v>
      </c>
      <c r="DX171">
        <v>138.35</v>
      </c>
      <c r="DY171">
        <v>1085</v>
      </c>
      <c r="DZ171">
        <v>0</v>
      </c>
      <c r="EA171">
        <v>0</v>
      </c>
      <c r="EB171" s="187">
        <v>85.91</v>
      </c>
      <c r="EC171">
        <v>1</v>
      </c>
      <c r="ED171">
        <v>115.77</v>
      </c>
      <c r="EE171">
        <v>170</v>
      </c>
      <c r="EF171">
        <v>136.41999999999999</v>
      </c>
      <c r="EG171" s="187">
        <v>473</v>
      </c>
      <c r="EH171">
        <v>152.43</v>
      </c>
      <c r="EI171">
        <v>160</v>
      </c>
      <c r="EJ171">
        <v>197.81</v>
      </c>
      <c r="EK171">
        <v>37</v>
      </c>
      <c r="EL171" s="187">
        <v>0</v>
      </c>
      <c r="EM171">
        <v>0</v>
      </c>
      <c r="EN171">
        <v>0</v>
      </c>
      <c r="EO171">
        <v>0</v>
      </c>
      <c r="EP171">
        <v>137.93</v>
      </c>
      <c r="EQ171" s="187">
        <v>841</v>
      </c>
      <c r="ER171">
        <v>137.93</v>
      </c>
      <c r="ES171">
        <v>841</v>
      </c>
      <c r="ET171">
        <v>0</v>
      </c>
      <c r="EU171">
        <v>0</v>
      </c>
      <c r="EV171" s="187">
        <v>0</v>
      </c>
      <c r="EW171">
        <v>0</v>
      </c>
      <c r="EX171">
        <v>136.41</v>
      </c>
      <c r="EY171">
        <v>41</v>
      </c>
      <c r="EZ171">
        <v>172.6</v>
      </c>
      <c r="FA171" s="187">
        <v>14</v>
      </c>
      <c r="FB171">
        <v>0</v>
      </c>
      <c r="FC171">
        <v>0</v>
      </c>
      <c r="FD171">
        <v>0</v>
      </c>
      <c r="FE171">
        <v>0</v>
      </c>
      <c r="FF171" s="187">
        <v>145.62</v>
      </c>
      <c r="FG171">
        <v>55</v>
      </c>
      <c r="FH171">
        <v>145.62</v>
      </c>
      <c r="FI171">
        <v>55</v>
      </c>
      <c r="FJ171">
        <v>0</v>
      </c>
      <c r="FK171" s="187">
        <v>1</v>
      </c>
      <c r="FL171">
        <v>7</v>
      </c>
      <c r="FM171">
        <v>97</v>
      </c>
      <c r="FN171">
        <v>37</v>
      </c>
    </row>
    <row r="172" spans="1:170" x14ac:dyDescent="0.35">
      <c r="A172" t="s">
        <v>733</v>
      </c>
      <c r="B172" t="s">
        <v>734</v>
      </c>
      <c r="C172" t="s">
        <v>414</v>
      </c>
      <c r="D172">
        <v>662</v>
      </c>
      <c r="E172">
        <v>661</v>
      </c>
      <c r="F172">
        <v>0</v>
      </c>
      <c r="G172">
        <v>0</v>
      </c>
      <c r="H172">
        <v>39</v>
      </c>
      <c r="I172">
        <v>44</v>
      </c>
      <c r="J172">
        <v>77</v>
      </c>
      <c r="K172">
        <v>77</v>
      </c>
      <c r="L172">
        <v>230</v>
      </c>
      <c r="M172">
        <v>0</v>
      </c>
      <c r="N172">
        <v>1008</v>
      </c>
      <c r="O172">
        <v>782</v>
      </c>
      <c r="P172">
        <v>778</v>
      </c>
      <c r="Q172">
        <v>0</v>
      </c>
      <c r="R172">
        <v>1</v>
      </c>
      <c r="S172">
        <v>16</v>
      </c>
      <c r="T172">
        <v>1</v>
      </c>
      <c r="U172">
        <v>1007</v>
      </c>
      <c r="V172" s="498">
        <v>661</v>
      </c>
      <c r="W172">
        <v>2</v>
      </c>
      <c r="X172" s="498">
        <v>5</v>
      </c>
      <c r="Y172" s="498">
        <v>7</v>
      </c>
      <c r="Z172" s="498">
        <v>94.77</v>
      </c>
      <c r="AA172" s="498">
        <v>91.5</v>
      </c>
      <c r="AB172">
        <v>2.66</v>
      </c>
      <c r="AC172">
        <v>96.85</v>
      </c>
      <c r="AD172">
        <v>399</v>
      </c>
      <c r="AE172">
        <v>93.76</v>
      </c>
      <c r="AF172">
        <v>81.790000000000006</v>
      </c>
      <c r="AG172">
        <v>73.84</v>
      </c>
      <c r="AH172">
        <v>166.32</v>
      </c>
      <c r="AI172">
        <v>116</v>
      </c>
      <c r="AJ172">
        <v>117.8</v>
      </c>
      <c r="AK172">
        <v>242</v>
      </c>
      <c r="AL172">
        <v>0</v>
      </c>
      <c r="AM172">
        <v>0</v>
      </c>
      <c r="AN172">
        <v>0</v>
      </c>
      <c r="AO172" s="499">
        <v>0</v>
      </c>
      <c r="AP172" s="499">
        <v>0</v>
      </c>
      <c r="AQ172">
        <v>0</v>
      </c>
      <c r="AR172">
        <v>0</v>
      </c>
      <c r="AS172">
        <v>0</v>
      </c>
      <c r="AT172">
        <v>0</v>
      </c>
      <c r="AU172">
        <v>0</v>
      </c>
      <c r="AV172">
        <v>0</v>
      </c>
      <c r="AW172">
        <v>0</v>
      </c>
      <c r="AX172">
        <v>75.13</v>
      </c>
      <c r="AY172">
        <v>72.930000000000007</v>
      </c>
      <c r="AZ172">
        <v>4.1100000000000003</v>
      </c>
      <c r="BA172">
        <v>78.94</v>
      </c>
      <c r="BB172">
        <v>41</v>
      </c>
      <c r="BC172">
        <v>94.54</v>
      </c>
      <c r="BD172">
        <v>91.5</v>
      </c>
      <c r="BE172">
        <v>2.56</v>
      </c>
      <c r="BF172">
        <v>96.42</v>
      </c>
      <c r="BG172">
        <v>252</v>
      </c>
      <c r="BH172">
        <v>102.68</v>
      </c>
      <c r="BI172">
        <v>98.91</v>
      </c>
      <c r="BJ172">
        <v>2.2599999999999998</v>
      </c>
      <c r="BK172">
        <v>104.59</v>
      </c>
      <c r="BL172" s="214">
        <v>103</v>
      </c>
      <c r="BM172" s="214">
        <v>111.63</v>
      </c>
      <c r="BN172">
        <v>107.97</v>
      </c>
      <c r="BO172" s="187">
        <v>0</v>
      </c>
      <c r="BP172" s="214">
        <v>111.63</v>
      </c>
      <c r="BQ172" s="214">
        <v>3</v>
      </c>
      <c r="BR172">
        <v>0</v>
      </c>
      <c r="BS172" s="187">
        <v>0</v>
      </c>
      <c r="BT172" s="214">
        <v>0</v>
      </c>
      <c r="BU172" s="214">
        <v>0</v>
      </c>
      <c r="BV172">
        <v>0</v>
      </c>
      <c r="BW172">
        <v>0</v>
      </c>
      <c r="BX172" s="214">
        <v>0</v>
      </c>
      <c r="BY172" s="214">
        <v>0</v>
      </c>
      <c r="BZ172">
        <v>0</v>
      </c>
      <c r="CA172" s="187">
        <v>0</v>
      </c>
      <c r="CB172" s="214">
        <v>94.77</v>
      </c>
      <c r="CC172" s="214">
        <v>91.5</v>
      </c>
      <c r="CD172">
        <v>2.66</v>
      </c>
      <c r="CE172" s="187">
        <v>96.85</v>
      </c>
      <c r="CF172" s="214">
        <v>399</v>
      </c>
      <c r="CG172" s="214">
        <v>94.77</v>
      </c>
      <c r="CH172">
        <v>91.5</v>
      </c>
      <c r="CI172">
        <v>2.66</v>
      </c>
      <c r="CJ172">
        <v>96.85</v>
      </c>
      <c r="CK172">
        <v>399</v>
      </c>
      <c r="CL172">
        <v>206.79</v>
      </c>
      <c r="CM172">
        <v>87.9</v>
      </c>
      <c r="CN172" s="187">
        <v>55.8</v>
      </c>
      <c r="CO172">
        <v>262.58999999999997</v>
      </c>
      <c r="CP172">
        <v>7</v>
      </c>
      <c r="CQ172">
        <v>77.02</v>
      </c>
      <c r="CR172">
        <v>76</v>
      </c>
      <c r="CS172" s="187">
        <v>85.66</v>
      </c>
      <c r="CT172">
        <v>160.16999999999999</v>
      </c>
      <c r="CU172">
        <v>34</v>
      </c>
      <c r="CV172">
        <v>91.59</v>
      </c>
      <c r="CW172">
        <v>84.24</v>
      </c>
      <c r="CX172" s="187">
        <v>63.24</v>
      </c>
      <c r="CY172">
        <v>154.83000000000001</v>
      </c>
      <c r="CZ172">
        <v>56</v>
      </c>
      <c r="DA172">
        <v>87.73</v>
      </c>
      <c r="DB172">
        <v>81.52</v>
      </c>
      <c r="DC172" s="187">
        <v>92.13</v>
      </c>
      <c r="DD172">
        <v>179.87</v>
      </c>
      <c r="DE172">
        <v>18</v>
      </c>
      <c r="DF172">
        <v>101.26</v>
      </c>
      <c r="DG172">
        <v>0</v>
      </c>
      <c r="DH172" s="187">
        <v>0</v>
      </c>
      <c r="DI172">
        <v>101.26</v>
      </c>
      <c r="DJ172">
        <v>1</v>
      </c>
      <c r="DK172">
        <v>0</v>
      </c>
      <c r="DL172">
        <v>0</v>
      </c>
      <c r="DM172" s="187">
        <v>0</v>
      </c>
      <c r="DN172">
        <v>0</v>
      </c>
      <c r="DO172">
        <v>0</v>
      </c>
      <c r="DP172">
        <v>86.5</v>
      </c>
      <c r="DQ172">
        <v>81.56</v>
      </c>
      <c r="DR172" s="187">
        <v>75.02</v>
      </c>
      <c r="DS172">
        <v>160.13999999999999</v>
      </c>
      <c r="DT172">
        <v>109</v>
      </c>
      <c r="DU172">
        <v>93.76</v>
      </c>
      <c r="DV172">
        <v>81.790000000000006</v>
      </c>
      <c r="DW172" s="187">
        <v>73.84</v>
      </c>
      <c r="DX172">
        <v>166.32</v>
      </c>
      <c r="DY172">
        <v>116</v>
      </c>
      <c r="DZ172">
        <v>0</v>
      </c>
      <c r="EA172">
        <v>0</v>
      </c>
      <c r="EB172" s="187">
        <v>0</v>
      </c>
      <c r="EC172">
        <v>0</v>
      </c>
      <c r="ED172">
        <v>92.65</v>
      </c>
      <c r="EE172">
        <v>23</v>
      </c>
      <c r="EF172">
        <v>109.69</v>
      </c>
      <c r="EG172" s="187">
        <v>149</v>
      </c>
      <c r="EH172">
        <v>139.04</v>
      </c>
      <c r="EI172">
        <v>61</v>
      </c>
      <c r="EJ172">
        <v>172.52</v>
      </c>
      <c r="EK172">
        <v>9</v>
      </c>
      <c r="EL172" s="187">
        <v>0</v>
      </c>
      <c r="EM172">
        <v>0</v>
      </c>
      <c r="EN172">
        <v>0</v>
      </c>
      <c r="EO172">
        <v>0</v>
      </c>
      <c r="EP172">
        <v>117.8</v>
      </c>
      <c r="EQ172" s="187">
        <v>242</v>
      </c>
      <c r="ER172">
        <v>117.8</v>
      </c>
      <c r="ES172">
        <v>242</v>
      </c>
      <c r="ET172">
        <v>0</v>
      </c>
      <c r="EU172">
        <v>0</v>
      </c>
      <c r="EV172" s="187">
        <v>0</v>
      </c>
      <c r="EW172">
        <v>0</v>
      </c>
      <c r="EX172">
        <v>0</v>
      </c>
      <c r="EY172">
        <v>0</v>
      </c>
      <c r="EZ172">
        <v>0</v>
      </c>
      <c r="FA172" s="187">
        <v>0</v>
      </c>
      <c r="FB172">
        <v>0</v>
      </c>
      <c r="FC172">
        <v>0</v>
      </c>
      <c r="FD172">
        <v>0</v>
      </c>
      <c r="FE172">
        <v>0</v>
      </c>
      <c r="FF172" s="187">
        <v>0</v>
      </c>
      <c r="FG172">
        <v>0</v>
      </c>
      <c r="FH172">
        <v>0</v>
      </c>
      <c r="FI172">
        <v>0</v>
      </c>
      <c r="FJ172">
        <v>0</v>
      </c>
      <c r="FK172" s="187">
        <v>0</v>
      </c>
      <c r="FL172">
        <v>0</v>
      </c>
      <c r="FM172">
        <v>13</v>
      </c>
      <c r="FN172">
        <v>6</v>
      </c>
    </row>
    <row r="173" spans="1:170" x14ac:dyDescent="0.35">
      <c r="A173" t="s">
        <v>735</v>
      </c>
      <c r="B173" t="s">
        <v>736</v>
      </c>
      <c r="C173" t="s">
        <v>419</v>
      </c>
      <c r="D173">
        <v>5180</v>
      </c>
      <c r="E173">
        <v>5086</v>
      </c>
      <c r="F173">
        <v>0</v>
      </c>
      <c r="G173">
        <v>0</v>
      </c>
      <c r="H173">
        <v>289</v>
      </c>
      <c r="I173">
        <v>211</v>
      </c>
      <c r="J173">
        <v>1011</v>
      </c>
      <c r="K173">
        <v>940</v>
      </c>
      <c r="L173">
        <v>598</v>
      </c>
      <c r="M173">
        <v>22</v>
      </c>
      <c r="N173">
        <v>7078</v>
      </c>
      <c r="O173">
        <v>6259</v>
      </c>
      <c r="P173">
        <v>6480</v>
      </c>
      <c r="Q173">
        <v>0</v>
      </c>
      <c r="R173">
        <v>8</v>
      </c>
      <c r="S173">
        <v>20</v>
      </c>
      <c r="T173">
        <v>250</v>
      </c>
      <c r="U173">
        <v>6828</v>
      </c>
      <c r="V173" s="498">
        <v>5086</v>
      </c>
      <c r="W173">
        <v>23</v>
      </c>
      <c r="X173" s="498">
        <v>19</v>
      </c>
      <c r="Y173" s="498">
        <v>42</v>
      </c>
      <c r="Z173" s="498">
        <v>95.73</v>
      </c>
      <c r="AA173" s="498">
        <v>94.8</v>
      </c>
      <c r="AB173">
        <v>4.4000000000000004</v>
      </c>
      <c r="AC173">
        <v>98.2</v>
      </c>
      <c r="AD173">
        <v>4320</v>
      </c>
      <c r="AE173">
        <v>88.59</v>
      </c>
      <c r="AF173">
        <v>85.2</v>
      </c>
      <c r="AG173">
        <v>33.92</v>
      </c>
      <c r="AH173">
        <v>122.11</v>
      </c>
      <c r="AI173">
        <v>1096</v>
      </c>
      <c r="AJ173">
        <v>121.11</v>
      </c>
      <c r="AK173">
        <v>763</v>
      </c>
      <c r="AL173">
        <v>110</v>
      </c>
      <c r="AM173">
        <v>48</v>
      </c>
      <c r="AN173">
        <v>0</v>
      </c>
      <c r="AO173" s="499">
        <v>0</v>
      </c>
      <c r="AP173" s="499">
        <v>0</v>
      </c>
      <c r="AQ173">
        <v>0</v>
      </c>
      <c r="AR173">
        <v>0</v>
      </c>
      <c r="AS173">
        <v>64.09</v>
      </c>
      <c r="AT173">
        <v>63.8</v>
      </c>
      <c r="AU173">
        <v>5.8</v>
      </c>
      <c r="AV173">
        <v>69.31</v>
      </c>
      <c r="AW173">
        <v>20</v>
      </c>
      <c r="AX173">
        <v>80.709999999999994</v>
      </c>
      <c r="AY173">
        <v>79.790000000000006</v>
      </c>
      <c r="AZ173">
        <v>6.2</v>
      </c>
      <c r="BA173">
        <v>85.32</v>
      </c>
      <c r="BB173">
        <v>1017</v>
      </c>
      <c r="BC173">
        <v>93.82</v>
      </c>
      <c r="BD173">
        <v>92.71</v>
      </c>
      <c r="BE173">
        <v>4.4800000000000004</v>
      </c>
      <c r="BF173">
        <v>96.46</v>
      </c>
      <c r="BG173">
        <v>1599</v>
      </c>
      <c r="BH173">
        <v>105.71</v>
      </c>
      <c r="BI173">
        <v>105.01</v>
      </c>
      <c r="BJ173">
        <v>2.23</v>
      </c>
      <c r="BK173">
        <v>106.61</v>
      </c>
      <c r="BL173" s="214">
        <v>1578</v>
      </c>
      <c r="BM173" s="214">
        <v>125.92</v>
      </c>
      <c r="BN173">
        <v>124.18</v>
      </c>
      <c r="BO173" s="187">
        <v>3.48</v>
      </c>
      <c r="BP173" s="214">
        <v>128.47</v>
      </c>
      <c r="BQ173" s="214">
        <v>102</v>
      </c>
      <c r="BR173">
        <v>127.27</v>
      </c>
      <c r="BS173" s="187">
        <v>132.88999999999999</v>
      </c>
      <c r="BT173" s="214">
        <v>0.85</v>
      </c>
      <c r="BU173" s="214">
        <v>127.91</v>
      </c>
      <c r="BV173">
        <v>4</v>
      </c>
      <c r="BW173">
        <v>0</v>
      </c>
      <c r="BX173" s="214">
        <v>0</v>
      </c>
      <c r="BY173" s="214">
        <v>0</v>
      </c>
      <c r="BZ173">
        <v>0</v>
      </c>
      <c r="CA173" s="187">
        <v>0</v>
      </c>
      <c r="CB173" s="214">
        <v>95.73</v>
      </c>
      <c r="CC173" s="214">
        <v>94.8</v>
      </c>
      <c r="CD173">
        <v>4.4000000000000004</v>
      </c>
      <c r="CE173" s="187">
        <v>98.2</v>
      </c>
      <c r="CF173" s="214">
        <v>4320</v>
      </c>
      <c r="CG173" s="214">
        <v>95.73</v>
      </c>
      <c r="CH173">
        <v>94.8</v>
      </c>
      <c r="CI173">
        <v>4.4000000000000004</v>
      </c>
      <c r="CJ173">
        <v>98.2</v>
      </c>
      <c r="CK173">
        <v>4320</v>
      </c>
      <c r="CL173">
        <v>89.79</v>
      </c>
      <c r="CM173">
        <v>68.819999999999993</v>
      </c>
      <c r="CN173" s="187">
        <v>120.87</v>
      </c>
      <c r="CO173">
        <v>202.39</v>
      </c>
      <c r="CP173">
        <v>117</v>
      </c>
      <c r="CQ173">
        <v>69.41</v>
      </c>
      <c r="CR173">
        <v>63.95</v>
      </c>
      <c r="CS173" s="187">
        <v>40.79</v>
      </c>
      <c r="CT173">
        <v>110.2</v>
      </c>
      <c r="CU173">
        <v>33</v>
      </c>
      <c r="CV173">
        <v>87.13</v>
      </c>
      <c r="CW173">
        <v>83.99</v>
      </c>
      <c r="CX173" s="187">
        <v>23.88</v>
      </c>
      <c r="CY173">
        <v>110.87</v>
      </c>
      <c r="CZ173">
        <v>703</v>
      </c>
      <c r="DA173">
        <v>94.67</v>
      </c>
      <c r="DB173">
        <v>93.79</v>
      </c>
      <c r="DC173" s="187">
        <v>22.72</v>
      </c>
      <c r="DD173">
        <v>117.29</v>
      </c>
      <c r="DE173">
        <v>239</v>
      </c>
      <c r="DF173">
        <v>105.22</v>
      </c>
      <c r="DG173">
        <v>100.36</v>
      </c>
      <c r="DH173" s="187">
        <v>28.43</v>
      </c>
      <c r="DI173">
        <v>133.66</v>
      </c>
      <c r="DJ173">
        <v>4</v>
      </c>
      <c r="DK173">
        <v>0</v>
      </c>
      <c r="DL173">
        <v>0</v>
      </c>
      <c r="DM173" s="187">
        <v>0</v>
      </c>
      <c r="DN173">
        <v>0</v>
      </c>
      <c r="DO173">
        <v>0</v>
      </c>
      <c r="DP173">
        <v>88.45</v>
      </c>
      <c r="DQ173">
        <v>85.86</v>
      </c>
      <c r="DR173" s="187">
        <v>24.19</v>
      </c>
      <c r="DS173">
        <v>112.51</v>
      </c>
      <c r="DT173">
        <v>979</v>
      </c>
      <c r="DU173">
        <v>88.59</v>
      </c>
      <c r="DV173">
        <v>85.2</v>
      </c>
      <c r="DW173" s="187">
        <v>33.92</v>
      </c>
      <c r="DX173">
        <v>122.11</v>
      </c>
      <c r="DY173">
        <v>1096</v>
      </c>
      <c r="DZ173">
        <v>0</v>
      </c>
      <c r="EA173">
        <v>0</v>
      </c>
      <c r="EB173" s="187">
        <v>73.760000000000005</v>
      </c>
      <c r="EC173">
        <v>5</v>
      </c>
      <c r="ED173">
        <v>95.6</v>
      </c>
      <c r="EE173">
        <v>160</v>
      </c>
      <c r="EF173">
        <v>119.64</v>
      </c>
      <c r="EG173" s="187">
        <v>394</v>
      </c>
      <c r="EH173">
        <v>141.94999999999999</v>
      </c>
      <c r="EI173">
        <v>185</v>
      </c>
      <c r="EJ173">
        <v>175.99</v>
      </c>
      <c r="EK173">
        <v>19</v>
      </c>
      <c r="EL173" s="187">
        <v>0</v>
      </c>
      <c r="EM173">
        <v>0</v>
      </c>
      <c r="EN173">
        <v>0</v>
      </c>
      <c r="EO173">
        <v>0</v>
      </c>
      <c r="EP173">
        <v>121.11</v>
      </c>
      <c r="EQ173" s="187">
        <v>763</v>
      </c>
      <c r="ER173">
        <v>121.11</v>
      </c>
      <c r="ES173">
        <v>763</v>
      </c>
      <c r="ET173">
        <v>0</v>
      </c>
      <c r="EU173">
        <v>0</v>
      </c>
      <c r="EV173" s="187">
        <v>0</v>
      </c>
      <c r="EW173">
        <v>0</v>
      </c>
      <c r="EX173">
        <v>101.68</v>
      </c>
      <c r="EY173">
        <v>26</v>
      </c>
      <c r="EZ173">
        <v>119.84</v>
      </c>
      <c r="FA173" s="187">
        <v>22</v>
      </c>
      <c r="FB173">
        <v>0</v>
      </c>
      <c r="FC173">
        <v>0</v>
      </c>
      <c r="FD173">
        <v>0</v>
      </c>
      <c r="FE173">
        <v>0</v>
      </c>
      <c r="FF173" s="187">
        <v>110</v>
      </c>
      <c r="FG173">
        <v>48</v>
      </c>
      <c r="FH173">
        <v>110</v>
      </c>
      <c r="FI173">
        <v>48</v>
      </c>
      <c r="FJ173">
        <v>0</v>
      </c>
      <c r="FK173" s="187">
        <v>7</v>
      </c>
      <c r="FL173">
        <v>23</v>
      </c>
      <c r="FM173">
        <v>31</v>
      </c>
      <c r="FN173">
        <v>17</v>
      </c>
    </row>
    <row r="174" spans="1:170" x14ac:dyDescent="0.35">
      <c r="A174" t="s">
        <v>737</v>
      </c>
      <c r="B174" t="s">
        <v>738</v>
      </c>
      <c r="C174" t="s">
        <v>416</v>
      </c>
      <c r="D174">
        <v>10371</v>
      </c>
      <c r="E174">
        <v>10258</v>
      </c>
      <c r="F174">
        <v>12</v>
      </c>
      <c r="G174">
        <v>0</v>
      </c>
      <c r="H174">
        <v>401</v>
      </c>
      <c r="I174">
        <v>124</v>
      </c>
      <c r="J174">
        <v>788</v>
      </c>
      <c r="K174">
        <v>712</v>
      </c>
      <c r="L174">
        <v>1081</v>
      </c>
      <c r="M174">
        <v>241</v>
      </c>
      <c r="N174">
        <v>12653</v>
      </c>
      <c r="O174">
        <v>11335</v>
      </c>
      <c r="P174">
        <v>11572</v>
      </c>
      <c r="Q174">
        <v>33</v>
      </c>
      <c r="R174">
        <v>11</v>
      </c>
      <c r="S174">
        <v>28</v>
      </c>
      <c r="T174">
        <v>407</v>
      </c>
      <c r="U174">
        <v>12246</v>
      </c>
      <c r="V174" s="498">
        <v>10254</v>
      </c>
      <c r="W174">
        <v>112</v>
      </c>
      <c r="X174" s="498">
        <v>178</v>
      </c>
      <c r="Y174" s="498">
        <v>290</v>
      </c>
      <c r="Z174" s="498">
        <v>118.85</v>
      </c>
      <c r="AA174" s="498">
        <v>117.38</v>
      </c>
      <c r="AB174">
        <v>8.98</v>
      </c>
      <c r="AC174">
        <v>124.9</v>
      </c>
      <c r="AD174">
        <v>9082</v>
      </c>
      <c r="AE174">
        <v>110.19</v>
      </c>
      <c r="AF174">
        <v>105.14</v>
      </c>
      <c r="AG174">
        <v>39.42</v>
      </c>
      <c r="AH174">
        <v>148.81</v>
      </c>
      <c r="AI174">
        <v>895</v>
      </c>
      <c r="AJ174">
        <v>165.93</v>
      </c>
      <c r="AK174">
        <v>1087</v>
      </c>
      <c r="AL174">
        <v>175.28</v>
      </c>
      <c r="AM174">
        <v>16</v>
      </c>
      <c r="AN174">
        <v>0</v>
      </c>
      <c r="AO174" s="499">
        <v>0</v>
      </c>
      <c r="AP174" s="499">
        <v>0</v>
      </c>
      <c r="AQ174">
        <v>0</v>
      </c>
      <c r="AR174">
        <v>0</v>
      </c>
      <c r="AS174">
        <v>85.17</v>
      </c>
      <c r="AT174">
        <v>90.32</v>
      </c>
      <c r="AU174">
        <v>8.94</v>
      </c>
      <c r="AV174">
        <v>93.34</v>
      </c>
      <c r="AW174">
        <v>35</v>
      </c>
      <c r="AX174">
        <v>98.04</v>
      </c>
      <c r="AY174">
        <v>95.27</v>
      </c>
      <c r="AZ174">
        <v>9.3800000000000008</v>
      </c>
      <c r="BA174">
        <v>106.19</v>
      </c>
      <c r="BB174">
        <v>2207</v>
      </c>
      <c r="BC174">
        <v>117.13</v>
      </c>
      <c r="BD174">
        <v>115.6</v>
      </c>
      <c r="BE174">
        <v>10.86</v>
      </c>
      <c r="BF174">
        <v>124.3</v>
      </c>
      <c r="BG174">
        <v>3246</v>
      </c>
      <c r="BH174">
        <v>132.13999999999999</v>
      </c>
      <c r="BI174">
        <v>130.96</v>
      </c>
      <c r="BJ174">
        <v>6.65</v>
      </c>
      <c r="BK174">
        <v>135.81</v>
      </c>
      <c r="BL174" s="214">
        <v>3287</v>
      </c>
      <c r="BM174" s="214">
        <v>147.28</v>
      </c>
      <c r="BN174">
        <v>150.88999999999999</v>
      </c>
      <c r="BO174" s="187">
        <v>6.56</v>
      </c>
      <c r="BP174" s="214">
        <v>151.41</v>
      </c>
      <c r="BQ174" s="214">
        <v>283</v>
      </c>
      <c r="BR174">
        <v>158.85</v>
      </c>
      <c r="BS174" s="187">
        <v>174.21</v>
      </c>
      <c r="BT174" s="214">
        <v>4.42</v>
      </c>
      <c r="BU174" s="214">
        <v>162.83000000000001</v>
      </c>
      <c r="BV174">
        <v>20</v>
      </c>
      <c r="BW174">
        <v>166.05</v>
      </c>
      <c r="BX174" s="214">
        <v>178.11</v>
      </c>
      <c r="BY174" s="214">
        <v>3.74</v>
      </c>
      <c r="BZ174">
        <v>167.92</v>
      </c>
      <c r="CA174" s="187">
        <v>4</v>
      </c>
      <c r="CB174" s="214">
        <v>118.85</v>
      </c>
      <c r="CC174" s="214">
        <v>117.38</v>
      </c>
      <c r="CD174">
        <v>8.98</v>
      </c>
      <c r="CE174" s="187">
        <v>124.9</v>
      </c>
      <c r="CF174" s="214">
        <v>9082</v>
      </c>
      <c r="CG174" s="214">
        <v>118.85</v>
      </c>
      <c r="CH174">
        <v>117.38</v>
      </c>
      <c r="CI174">
        <v>8.98</v>
      </c>
      <c r="CJ174">
        <v>124.9</v>
      </c>
      <c r="CK174">
        <v>9082</v>
      </c>
      <c r="CL174">
        <v>96.73</v>
      </c>
      <c r="CM174">
        <v>89.01</v>
      </c>
      <c r="CN174" s="187">
        <v>36.75</v>
      </c>
      <c r="CO174">
        <v>126.62</v>
      </c>
      <c r="CP174">
        <v>75</v>
      </c>
      <c r="CQ174">
        <v>91.6</v>
      </c>
      <c r="CR174">
        <v>87.89</v>
      </c>
      <c r="CS174" s="187">
        <v>37.14</v>
      </c>
      <c r="CT174">
        <v>128.38</v>
      </c>
      <c r="CU174">
        <v>104</v>
      </c>
      <c r="CV174">
        <v>113.48</v>
      </c>
      <c r="CW174">
        <v>108.09</v>
      </c>
      <c r="CX174" s="187">
        <v>40.36</v>
      </c>
      <c r="CY174">
        <v>153.66</v>
      </c>
      <c r="CZ174">
        <v>651</v>
      </c>
      <c r="DA174">
        <v>122.02</v>
      </c>
      <c r="DB174">
        <v>121.91</v>
      </c>
      <c r="DC174" s="187">
        <v>36.81</v>
      </c>
      <c r="DD174">
        <v>158.84</v>
      </c>
      <c r="DE174">
        <v>59</v>
      </c>
      <c r="DF174">
        <v>127.15</v>
      </c>
      <c r="DG174">
        <v>120.57</v>
      </c>
      <c r="DH174" s="187">
        <v>29.17</v>
      </c>
      <c r="DI174">
        <v>156.32</v>
      </c>
      <c r="DJ174">
        <v>6</v>
      </c>
      <c r="DK174">
        <v>0</v>
      </c>
      <c r="DL174">
        <v>0</v>
      </c>
      <c r="DM174" s="187">
        <v>0</v>
      </c>
      <c r="DN174">
        <v>0</v>
      </c>
      <c r="DO174">
        <v>0</v>
      </c>
      <c r="DP174">
        <v>111.42</v>
      </c>
      <c r="DQ174">
        <v>106.61</v>
      </c>
      <c r="DR174" s="187">
        <v>39.619999999999997</v>
      </c>
      <c r="DS174">
        <v>150.84</v>
      </c>
      <c r="DT174">
        <v>820</v>
      </c>
      <c r="DU174">
        <v>110.19</v>
      </c>
      <c r="DV174">
        <v>105.14</v>
      </c>
      <c r="DW174" s="187">
        <v>39.42</v>
      </c>
      <c r="DX174">
        <v>148.81</v>
      </c>
      <c r="DY174">
        <v>895</v>
      </c>
      <c r="DZ174">
        <v>0</v>
      </c>
      <c r="EA174">
        <v>0</v>
      </c>
      <c r="EB174" s="187">
        <v>171.36</v>
      </c>
      <c r="EC174">
        <v>2</v>
      </c>
      <c r="ED174">
        <v>137.5</v>
      </c>
      <c r="EE174">
        <v>481</v>
      </c>
      <c r="EF174">
        <v>174.54</v>
      </c>
      <c r="EG174" s="187">
        <v>375</v>
      </c>
      <c r="EH174">
        <v>207.13</v>
      </c>
      <c r="EI174">
        <v>204</v>
      </c>
      <c r="EJ174">
        <v>247.25</v>
      </c>
      <c r="EK174">
        <v>25</v>
      </c>
      <c r="EL174" s="187">
        <v>0</v>
      </c>
      <c r="EM174">
        <v>0</v>
      </c>
      <c r="EN174">
        <v>0</v>
      </c>
      <c r="EO174">
        <v>0</v>
      </c>
      <c r="EP174">
        <v>165.93</v>
      </c>
      <c r="EQ174" s="187">
        <v>1087</v>
      </c>
      <c r="ER174">
        <v>165.93</v>
      </c>
      <c r="ES174">
        <v>1087</v>
      </c>
      <c r="ET174">
        <v>0</v>
      </c>
      <c r="EU174">
        <v>0</v>
      </c>
      <c r="EV174" s="187">
        <v>99.35</v>
      </c>
      <c r="EW174">
        <v>1</v>
      </c>
      <c r="EX174">
        <v>178.96</v>
      </c>
      <c r="EY174">
        <v>13</v>
      </c>
      <c r="EZ174">
        <v>189.35</v>
      </c>
      <c r="FA174" s="187">
        <v>2</v>
      </c>
      <c r="FB174">
        <v>0</v>
      </c>
      <c r="FC174">
        <v>0</v>
      </c>
      <c r="FD174">
        <v>0</v>
      </c>
      <c r="FE174">
        <v>0</v>
      </c>
      <c r="FF174" s="187">
        <v>175.28</v>
      </c>
      <c r="FG174">
        <v>16</v>
      </c>
      <c r="FH174">
        <v>175.28</v>
      </c>
      <c r="FI174">
        <v>16</v>
      </c>
      <c r="FJ174">
        <v>0</v>
      </c>
      <c r="FK174" s="187">
        <v>18</v>
      </c>
      <c r="FL174">
        <v>5</v>
      </c>
      <c r="FM174">
        <v>151</v>
      </c>
      <c r="FN174">
        <v>29</v>
      </c>
    </row>
    <row r="175" spans="1:170" x14ac:dyDescent="0.35">
      <c r="A175" t="s">
        <v>739</v>
      </c>
      <c r="B175" t="s">
        <v>740</v>
      </c>
      <c r="C175" t="s">
        <v>419</v>
      </c>
      <c r="D175">
        <v>1214</v>
      </c>
      <c r="E175">
        <v>1116</v>
      </c>
      <c r="F175">
        <v>0</v>
      </c>
      <c r="G175">
        <v>0</v>
      </c>
      <c r="H175">
        <v>28</v>
      </c>
      <c r="I175">
        <v>13</v>
      </c>
      <c r="J175">
        <v>280</v>
      </c>
      <c r="K175">
        <v>191</v>
      </c>
      <c r="L175">
        <v>279</v>
      </c>
      <c r="M175">
        <v>0</v>
      </c>
      <c r="N175">
        <v>1801</v>
      </c>
      <c r="O175">
        <v>1320</v>
      </c>
      <c r="P175">
        <v>1522</v>
      </c>
      <c r="Q175">
        <v>0</v>
      </c>
      <c r="R175">
        <v>7</v>
      </c>
      <c r="S175">
        <v>16</v>
      </c>
      <c r="T175">
        <v>288</v>
      </c>
      <c r="U175">
        <v>1513</v>
      </c>
      <c r="V175" s="498">
        <v>1096</v>
      </c>
      <c r="W175">
        <v>4</v>
      </c>
      <c r="X175" s="498">
        <v>3</v>
      </c>
      <c r="Y175" s="498">
        <v>7</v>
      </c>
      <c r="Z175" s="498">
        <v>89.93</v>
      </c>
      <c r="AA175" s="498">
        <v>86.83</v>
      </c>
      <c r="AB175">
        <v>5.32</v>
      </c>
      <c r="AC175">
        <v>94.6</v>
      </c>
      <c r="AD175">
        <v>796</v>
      </c>
      <c r="AE175">
        <v>80.38</v>
      </c>
      <c r="AF175">
        <v>76.760000000000005</v>
      </c>
      <c r="AG175">
        <v>16.39</v>
      </c>
      <c r="AH175">
        <v>96.77</v>
      </c>
      <c r="AI175">
        <v>138</v>
      </c>
      <c r="AJ175">
        <v>129.80000000000001</v>
      </c>
      <c r="AK175">
        <v>306</v>
      </c>
      <c r="AL175">
        <v>0</v>
      </c>
      <c r="AM175">
        <v>0</v>
      </c>
      <c r="AN175">
        <v>0</v>
      </c>
      <c r="AO175" s="499">
        <v>0</v>
      </c>
      <c r="AP175" s="499">
        <v>0</v>
      </c>
      <c r="AQ175">
        <v>0</v>
      </c>
      <c r="AR175">
        <v>0</v>
      </c>
      <c r="AS175">
        <v>60.7</v>
      </c>
      <c r="AT175">
        <v>60.7</v>
      </c>
      <c r="AU175">
        <v>11.61</v>
      </c>
      <c r="AV175">
        <v>72.31</v>
      </c>
      <c r="AW175">
        <v>8</v>
      </c>
      <c r="AX175">
        <v>75.41</v>
      </c>
      <c r="AY175">
        <v>73.239999999999995</v>
      </c>
      <c r="AZ175">
        <v>9.98</v>
      </c>
      <c r="BA175">
        <v>85.23</v>
      </c>
      <c r="BB175">
        <v>186</v>
      </c>
      <c r="BC175">
        <v>88.18</v>
      </c>
      <c r="BD175">
        <v>85.11</v>
      </c>
      <c r="BE175">
        <v>4.99</v>
      </c>
      <c r="BF175">
        <v>92.38</v>
      </c>
      <c r="BG175">
        <v>305</v>
      </c>
      <c r="BH175">
        <v>100.47</v>
      </c>
      <c r="BI175">
        <v>96.51</v>
      </c>
      <c r="BJ175">
        <v>2.04</v>
      </c>
      <c r="BK175">
        <v>102.2</v>
      </c>
      <c r="BL175" s="214">
        <v>264</v>
      </c>
      <c r="BM175" s="214">
        <v>110.6</v>
      </c>
      <c r="BN175">
        <v>108.21</v>
      </c>
      <c r="BO175" s="187">
        <v>2.2599999999999998</v>
      </c>
      <c r="BP175" s="214">
        <v>112.52</v>
      </c>
      <c r="BQ175" s="214">
        <v>33</v>
      </c>
      <c r="BR175">
        <v>0</v>
      </c>
      <c r="BS175" s="187">
        <v>0</v>
      </c>
      <c r="BT175" s="214">
        <v>0</v>
      </c>
      <c r="BU175" s="214">
        <v>0</v>
      </c>
      <c r="BV175">
        <v>0</v>
      </c>
      <c r="BW175">
        <v>0</v>
      </c>
      <c r="BX175" s="214">
        <v>0</v>
      </c>
      <c r="BY175" s="214">
        <v>0</v>
      </c>
      <c r="BZ175">
        <v>0</v>
      </c>
      <c r="CA175" s="187">
        <v>0</v>
      </c>
      <c r="CB175" s="214">
        <v>89.93</v>
      </c>
      <c r="CC175" s="214">
        <v>86.83</v>
      </c>
      <c r="CD175">
        <v>5.32</v>
      </c>
      <c r="CE175" s="187">
        <v>94.6</v>
      </c>
      <c r="CF175" s="214">
        <v>796</v>
      </c>
      <c r="CG175" s="214">
        <v>89.93</v>
      </c>
      <c r="CH175">
        <v>86.83</v>
      </c>
      <c r="CI175">
        <v>5.32</v>
      </c>
      <c r="CJ175">
        <v>94.6</v>
      </c>
      <c r="CK175">
        <v>796</v>
      </c>
      <c r="CL175">
        <v>131.63999999999999</v>
      </c>
      <c r="CM175">
        <v>0</v>
      </c>
      <c r="CN175" s="187">
        <v>22.51</v>
      </c>
      <c r="CO175">
        <v>154.15</v>
      </c>
      <c r="CP175">
        <v>3</v>
      </c>
      <c r="CQ175">
        <v>75.59</v>
      </c>
      <c r="CR175">
        <v>68.91</v>
      </c>
      <c r="CS175" s="187">
        <v>25.14</v>
      </c>
      <c r="CT175">
        <v>100.73</v>
      </c>
      <c r="CU175">
        <v>10</v>
      </c>
      <c r="CV175">
        <v>78.12</v>
      </c>
      <c r="CW175">
        <v>75.89</v>
      </c>
      <c r="CX175" s="187">
        <v>16.07</v>
      </c>
      <c r="CY175">
        <v>94.19</v>
      </c>
      <c r="CZ175">
        <v>110</v>
      </c>
      <c r="DA175">
        <v>89.94</v>
      </c>
      <c r="DB175">
        <v>88.41</v>
      </c>
      <c r="DC175" s="187">
        <v>11.65</v>
      </c>
      <c r="DD175">
        <v>101.6</v>
      </c>
      <c r="DE175">
        <v>15</v>
      </c>
      <c r="DF175">
        <v>0</v>
      </c>
      <c r="DG175">
        <v>0</v>
      </c>
      <c r="DH175" s="187">
        <v>0</v>
      </c>
      <c r="DI175">
        <v>0</v>
      </c>
      <c r="DJ175">
        <v>0</v>
      </c>
      <c r="DK175">
        <v>0</v>
      </c>
      <c r="DL175">
        <v>0</v>
      </c>
      <c r="DM175" s="187">
        <v>0</v>
      </c>
      <c r="DN175">
        <v>0</v>
      </c>
      <c r="DO175">
        <v>0</v>
      </c>
      <c r="DP175">
        <v>79.25</v>
      </c>
      <c r="DQ175">
        <v>76.760000000000005</v>
      </c>
      <c r="DR175" s="187">
        <v>16.25</v>
      </c>
      <c r="DS175">
        <v>95.5</v>
      </c>
      <c r="DT175">
        <v>135</v>
      </c>
      <c r="DU175">
        <v>80.38</v>
      </c>
      <c r="DV175">
        <v>76.760000000000005</v>
      </c>
      <c r="DW175" s="187">
        <v>16.39</v>
      </c>
      <c r="DX175">
        <v>96.77</v>
      </c>
      <c r="DY175">
        <v>138</v>
      </c>
      <c r="DZ175">
        <v>0</v>
      </c>
      <c r="EA175">
        <v>0</v>
      </c>
      <c r="EB175" s="187">
        <v>0</v>
      </c>
      <c r="EC175">
        <v>0</v>
      </c>
      <c r="ED175">
        <v>99.14</v>
      </c>
      <c r="EE175">
        <v>42</v>
      </c>
      <c r="EF175">
        <v>123.56</v>
      </c>
      <c r="EG175" s="187">
        <v>137</v>
      </c>
      <c r="EH175">
        <v>142.54</v>
      </c>
      <c r="EI175">
        <v>110</v>
      </c>
      <c r="EJ175">
        <v>173.35</v>
      </c>
      <c r="EK175">
        <v>17</v>
      </c>
      <c r="EL175" s="187">
        <v>0</v>
      </c>
      <c r="EM175">
        <v>0</v>
      </c>
      <c r="EN175">
        <v>0</v>
      </c>
      <c r="EO175">
        <v>0</v>
      </c>
      <c r="EP175">
        <v>129.80000000000001</v>
      </c>
      <c r="EQ175" s="187">
        <v>306</v>
      </c>
      <c r="ER175">
        <v>129.80000000000001</v>
      </c>
      <c r="ES175">
        <v>306</v>
      </c>
      <c r="ET175">
        <v>0</v>
      </c>
      <c r="EU175">
        <v>0</v>
      </c>
      <c r="EV175" s="187">
        <v>0</v>
      </c>
      <c r="EW175">
        <v>0</v>
      </c>
      <c r="EX175">
        <v>0</v>
      </c>
      <c r="EY175">
        <v>0</v>
      </c>
      <c r="EZ175">
        <v>0</v>
      </c>
      <c r="FA175" s="187">
        <v>0</v>
      </c>
      <c r="FB175">
        <v>0</v>
      </c>
      <c r="FC175">
        <v>0</v>
      </c>
      <c r="FD175">
        <v>0</v>
      </c>
      <c r="FE175">
        <v>0</v>
      </c>
      <c r="FF175" s="187">
        <v>0</v>
      </c>
      <c r="FG175">
        <v>0</v>
      </c>
      <c r="FH175">
        <v>0</v>
      </c>
      <c r="FI175">
        <v>0</v>
      </c>
      <c r="FJ175">
        <v>0</v>
      </c>
      <c r="FK175" s="187">
        <v>0</v>
      </c>
      <c r="FL175">
        <v>12</v>
      </c>
      <c r="FM175">
        <v>6</v>
      </c>
      <c r="FN175">
        <v>9</v>
      </c>
    </row>
    <row r="176" spans="1:170" x14ac:dyDescent="0.35">
      <c r="A176" t="s">
        <v>741</v>
      </c>
      <c r="B176" t="s">
        <v>742</v>
      </c>
      <c r="C176" t="s">
        <v>415</v>
      </c>
      <c r="D176">
        <v>1766</v>
      </c>
      <c r="E176">
        <v>1718</v>
      </c>
      <c r="F176">
        <v>0</v>
      </c>
      <c r="G176">
        <v>0</v>
      </c>
      <c r="H176">
        <v>134</v>
      </c>
      <c r="I176">
        <v>87</v>
      </c>
      <c r="J176">
        <v>210</v>
      </c>
      <c r="K176">
        <v>210</v>
      </c>
      <c r="L176">
        <v>569</v>
      </c>
      <c r="M176">
        <v>100</v>
      </c>
      <c r="N176">
        <v>2679</v>
      </c>
      <c r="O176">
        <v>2115</v>
      </c>
      <c r="P176">
        <v>2110</v>
      </c>
      <c r="Q176">
        <v>2</v>
      </c>
      <c r="R176">
        <v>4</v>
      </c>
      <c r="S176">
        <v>22</v>
      </c>
      <c r="T176">
        <v>43</v>
      </c>
      <c r="U176">
        <v>2636</v>
      </c>
      <c r="V176" s="498">
        <v>1763</v>
      </c>
      <c r="W176">
        <v>38</v>
      </c>
      <c r="X176" s="498">
        <v>5</v>
      </c>
      <c r="Y176" s="498">
        <v>43</v>
      </c>
      <c r="Z176" s="498">
        <v>95.27</v>
      </c>
      <c r="AA176" s="498">
        <v>93.44</v>
      </c>
      <c r="AB176">
        <v>4.6500000000000004</v>
      </c>
      <c r="AC176">
        <v>98.77</v>
      </c>
      <c r="AD176">
        <v>944</v>
      </c>
      <c r="AE176">
        <v>85.07</v>
      </c>
      <c r="AF176">
        <v>80.3</v>
      </c>
      <c r="AG176">
        <v>43.57</v>
      </c>
      <c r="AH176">
        <v>128.35</v>
      </c>
      <c r="AI176">
        <v>303</v>
      </c>
      <c r="AJ176">
        <v>123.24</v>
      </c>
      <c r="AK176">
        <v>758</v>
      </c>
      <c r="AL176">
        <v>118.14</v>
      </c>
      <c r="AM176">
        <v>1</v>
      </c>
      <c r="AN176">
        <v>0</v>
      </c>
      <c r="AO176" s="499">
        <v>0</v>
      </c>
      <c r="AP176" s="499">
        <v>0</v>
      </c>
      <c r="AQ176">
        <v>0</v>
      </c>
      <c r="AR176">
        <v>0</v>
      </c>
      <c r="AS176">
        <v>55.19</v>
      </c>
      <c r="AT176">
        <v>55.2</v>
      </c>
      <c r="AU176">
        <v>9.01</v>
      </c>
      <c r="AV176">
        <v>64.2</v>
      </c>
      <c r="AW176">
        <v>1</v>
      </c>
      <c r="AX176">
        <v>75.849999999999994</v>
      </c>
      <c r="AY176">
        <v>74.89</v>
      </c>
      <c r="AZ176">
        <v>8.8800000000000008</v>
      </c>
      <c r="BA176">
        <v>84.2</v>
      </c>
      <c r="BB176">
        <v>118</v>
      </c>
      <c r="BC176">
        <v>93.06</v>
      </c>
      <c r="BD176">
        <v>91.45</v>
      </c>
      <c r="BE176">
        <v>4.28</v>
      </c>
      <c r="BF176">
        <v>96.5</v>
      </c>
      <c r="BG176">
        <v>548</v>
      </c>
      <c r="BH176">
        <v>106.5</v>
      </c>
      <c r="BI176">
        <v>104.05</v>
      </c>
      <c r="BJ176">
        <v>2.74</v>
      </c>
      <c r="BK176">
        <v>108.05</v>
      </c>
      <c r="BL176" s="214">
        <v>247</v>
      </c>
      <c r="BM176" s="214">
        <v>118.68</v>
      </c>
      <c r="BN176">
        <v>115.11</v>
      </c>
      <c r="BO176" s="187">
        <v>2.33</v>
      </c>
      <c r="BP176" s="214">
        <v>120.17</v>
      </c>
      <c r="BQ176" s="214">
        <v>25</v>
      </c>
      <c r="BR176">
        <v>129.82</v>
      </c>
      <c r="BS176" s="187">
        <v>127.04</v>
      </c>
      <c r="BT176" s="214">
        <v>1.07</v>
      </c>
      <c r="BU176" s="214">
        <v>130.08000000000001</v>
      </c>
      <c r="BV176">
        <v>4</v>
      </c>
      <c r="BW176">
        <v>140.62</v>
      </c>
      <c r="BX176" s="214">
        <v>135.30000000000001</v>
      </c>
      <c r="BY176" s="214">
        <v>1.17</v>
      </c>
      <c r="BZ176">
        <v>141.79</v>
      </c>
      <c r="CA176" s="187">
        <v>1</v>
      </c>
      <c r="CB176" s="214">
        <v>95.27</v>
      </c>
      <c r="CC176" s="214">
        <v>93.44</v>
      </c>
      <c r="CD176">
        <v>4.6500000000000004</v>
      </c>
      <c r="CE176" s="187">
        <v>98.77</v>
      </c>
      <c r="CF176" s="214">
        <v>944</v>
      </c>
      <c r="CG176" s="214">
        <v>95.27</v>
      </c>
      <c r="CH176">
        <v>93.44</v>
      </c>
      <c r="CI176">
        <v>4.6500000000000004</v>
      </c>
      <c r="CJ176">
        <v>98.77</v>
      </c>
      <c r="CK176">
        <v>944</v>
      </c>
      <c r="CL176">
        <v>82.94</v>
      </c>
      <c r="CM176">
        <v>80.61</v>
      </c>
      <c r="CN176" s="187">
        <v>68.760000000000005</v>
      </c>
      <c r="CO176">
        <v>151.69999999999999</v>
      </c>
      <c r="CP176">
        <v>44</v>
      </c>
      <c r="CQ176">
        <v>0</v>
      </c>
      <c r="CR176">
        <v>0</v>
      </c>
      <c r="CS176" s="187">
        <v>0</v>
      </c>
      <c r="CT176">
        <v>0</v>
      </c>
      <c r="CU176">
        <v>0</v>
      </c>
      <c r="CV176">
        <v>83.04</v>
      </c>
      <c r="CW176">
        <v>77.87</v>
      </c>
      <c r="CX176" s="187">
        <v>43.13</v>
      </c>
      <c r="CY176">
        <v>126.17</v>
      </c>
      <c r="CZ176">
        <v>204</v>
      </c>
      <c r="DA176">
        <v>94.26</v>
      </c>
      <c r="DB176">
        <v>89.09</v>
      </c>
      <c r="DC176" s="187">
        <v>24.35</v>
      </c>
      <c r="DD176">
        <v>117.71</v>
      </c>
      <c r="DE176">
        <v>54</v>
      </c>
      <c r="DF176">
        <v>94.5</v>
      </c>
      <c r="DG176">
        <v>94.51</v>
      </c>
      <c r="DH176" s="187">
        <v>24.76</v>
      </c>
      <c r="DI176">
        <v>119.26</v>
      </c>
      <c r="DJ176">
        <v>1</v>
      </c>
      <c r="DK176">
        <v>0</v>
      </c>
      <c r="DL176">
        <v>0</v>
      </c>
      <c r="DM176" s="187">
        <v>0</v>
      </c>
      <c r="DN176">
        <v>0</v>
      </c>
      <c r="DO176">
        <v>0</v>
      </c>
      <c r="DP176">
        <v>85.43</v>
      </c>
      <c r="DQ176">
        <v>80.25</v>
      </c>
      <c r="DR176" s="187">
        <v>39.26</v>
      </c>
      <c r="DS176">
        <v>124.38</v>
      </c>
      <c r="DT176">
        <v>259</v>
      </c>
      <c r="DU176">
        <v>85.07</v>
      </c>
      <c r="DV176">
        <v>80.3</v>
      </c>
      <c r="DW176" s="187">
        <v>43.57</v>
      </c>
      <c r="DX176">
        <v>128.35</v>
      </c>
      <c r="DY176">
        <v>303</v>
      </c>
      <c r="DZ176">
        <v>0</v>
      </c>
      <c r="EA176">
        <v>0</v>
      </c>
      <c r="EB176" s="187">
        <v>0</v>
      </c>
      <c r="EC176">
        <v>0</v>
      </c>
      <c r="ED176">
        <v>104.23</v>
      </c>
      <c r="EE176">
        <v>236</v>
      </c>
      <c r="EF176">
        <v>127.33</v>
      </c>
      <c r="EG176" s="187">
        <v>377</v>
      </c>
      <c r="EH176">
        <v>141.57</v>
      </c>
      <c r="EI176">
        <v>132</v>
      </c>
      <c r="EJ176">
        <v>160.6</v>
      </c>
      <c r="EK176">
        <v>12</v>
      </c>
      <c r="EL176" s="187">
        <v>203.35</v>
      </c>
      <c r="EM176">
        <v>1</v>
      </c>
      <c r="EN176">
        <v>0</v>
      </c>
      <c r="EO176">
        <v>0</v>
      </c>
      <c r="EP176">
        <v>123.24</v>
      </c>
      <c r="EQ176" s="187">
        <v>758</v>
      </c>
      <c r="ER176">
        <v>123.24</v>
      </c>
      <c r="ES176">
        <v>758</v>
      </c>
      <c r="ET176">
        <v>0</v>
      </c>
      <c r="EU176">
        <v>0</v>
      </c>
      <c r="EV176" s="187">
        <v>0</v>
      </c>
      <c r="EW176">
        <v>0</v>
      </c>
      <c r="EX176">
        <v>0</v>
      </c>
      <c r="EY176">
        <v>0</v>
      </c>
      <c r="EZ176">
        <v>118.14</v>
      </c>
      <c r="FA176" s="187">
        <v>1</v>
      </c>
      <c r="FB176">
        <v>0</v>
      </c>
      <c r="FC176">
        <v>0</v>
      </c>
      <c r="FD176">
        <v>0</v>
      </c>
      <c r="FE176">
        <v>0</v>
      </c>
      <c r="FF176" s="187">
        <v>118.14</v>
      </c>
      <c r="FG176">
        <v>1</v>
      </c>
      <c r="FH176">
        <v>118.14</v>
      </c>
      <c r="FI176">
        <v>1</v>
      </c>
      <c r="FJ176">
        <v>14</v>
      </c>
      <c r="FK176" s="187">
        <v>0</v>
      </c>
      <c r="FL176">
        <v>0</v>
      </c>
      <c r="FM176">
        <v>87</v>
      </c>
      <c r="FN176">
        <v>6</v>
      </c>
    </row>
    <row r="177" spans="1:170" x14ac:dyDescent="0.35">
      <c r="A177" t="s">
        <v>743</v>
      </c>
      <c r="B177" t="s">
        <v>744</v>
      </c>
      <c r="C177" t="s">
        <v>2</v>
      </c>
      <c r="D177">
        <v>6487</v>
      </c>
      <c r="E177">
        <v>6174</v>
      </c>
      <c r="F177">
        <v>3</v>
      </c>
      <c r="G177">
        <v>3</v>
      </c>
      <c r="H177">
        <v>203</v>
      </c>
      <c r="I177">
        <v>74</v>
      </c>
      <c r="J177">
        <v>777</v>
      </c>
      <c r="K177">
        <v>672</v>
      </c>
      <c r="L177">
        <v>817</v>
      </c>
      <c r="M177">
        <v>15</v>
      </c>
      <c r="N177">
        <v>8287</v>
      </c>
      <c r="O177">
        <v>6938</v>
      </c>
      <c r="P177">
        <v>7470</v>
      </c>
      <c r="Q177">
        <v>16</v>
      </c>
      <c r="R177">
        <v>11</v>
      </c>
      <c r="S177">
        <v>28</v>
      </c>
      <c r="T177">
        <v>531</v>
      </c>
      <c r="U177">
        <v>7756</v>
      </c>
      <c r="V177" s="498">
        <v>6165</v>
      </c>
      <c r="W177">
        <v>95</v>
      </c>
      <c r="X177" s="498">
        <v>3</v>
      </c>
      <c r="Y177" s="498">
        <v>98</v>
      </c>
      <c r="Z177" s="498">
        <v>118.83</v>
      </c>
      <c r="AA177" s="498">
        <v>112.86</v>
      </c>
      <c r="AB177">
        <v>6.22</v>
      </c>
      <c r="AC177">
        <v>123.54</v>
      </c>
      <c r="AD177">
        <v>4185</v>
      </c>
      <c r="AE177">
        <v>103.23</v>
      </c>
      <c r="AF177">
        <v>95.57</v>
      </c>
      <c r="AG177">
        <v>44.85</v>
      </c>
      <c r="AH177">
        <v>146.72999999999999</v>
      </c>
      <c r="AI177">
        <v>765</v>
      </c>
      <c r="AJ177">
        <v>177.3</v>
      </c>
      <c r="AK177">
        <v>1885</v>
      </c>
      <c r="AL177">
        <v>234.63</v>
      </c>
      <c r="AM177">
        <v>6</v>
      </c>
      <c r="AN177">
        <v>76.56</v>
      </c>
      <c r="AO177" s="499">
        <v>79.44</v>
      </c>
      <c r="AP177" s="499">
        <v>14.75</v>
      </c>
      <c r="AQ177">
        <v>91.31</v>
      </c>
      <c r="AR177">
        <v>2</v>
      </c>
      <c r="AS177">
        <v>78.59</v>
      </c>
      <c r="AT177">
        <v>75.22</v>
      </c>
      <c r="AU177">
        <v>28.31</v>
      </c>
      <c r="AV177">
        <v>106.89</v>
      </c>
      <c r="AW177">
        <v>18</v>
      </c>
      <c r="AX177">
        <v>97.24</v>
      </c>
      <c r="AY177">
        <v>93.33</v>
      </c>
      <c r="AZ177">
        <v>9.19</v>
      </c>
      <c r="BA177">
        <v>105.8</v>
      </c>
      <c r="BB177">
        <v>1136</v>
      </c>
      <c r="BC177">
        <v>116.01</v>
      </c>
      <c r="BD177">
        <v>110.28</v>
      </c>
      <c r="BE177">
        <v>6.53</v>
      </c>
      <c r="BF177">
        <v>120.83</v>
      </c>
      <c r="BG177">
        <v>1405</v>
      </c>
      <c r="BH177">
        <v>135.91999999999999</v>
      </c>
      <c r="BI177">
        <v>127.87</v>
      </c>
      <c r="BJ177">
        <v>2.44</v>
      </c>
      <c r="BK177">
        <v>137.46</v>
      </c>
      <c r="BL177" s="214">
        <v>1514</v>
      </c>
      <c r="BM177" s="214">
        <v>150.13</v>
      </c>
      <c r="BN177">
        <v>146.75</v>
      </c>
      <c r="BO177" s="187">
        <v>3.5</v>
      </c>
      <c r="BP177" s="214">
        <v>153.05000000000001</v>
      </c>
      <c r="BQ177" s="214">
        <v>109</v>
      </c>
      <c r="BR177">
        <v>142.5</v>
      </c>
      <c r="BS177" s="187">
        <v>136.58000000000001</v>
      </c>
      <c r="BT177" s="214">
        <v>0.14000000000000001</v>
      </c>
      <c r="BU177" s="214">
        <v>142.63999999999999</v>
      </c>
      <c r="BV177">
        <v>1</v>
      </c>
      <c r="BW177">
        <v>0</v>
      </c>
      <c r="BX177" s="214">
        <v>0</v>
      </c>
      <c r="BY177" s="214">
        <v>0</v>
      </c>
      <c r="BZ177">
        <v>0</v>
      </c>
      <c r="CA177" s="187">
        <v>0</v>
      </c>
      <c r="CB177" s="214">
        <v>118.85</v>
      </c>
      <c r="CC177" s="214">
        <v>112.88</v>
      </c>
      <c r="CD177">
        <v>6.22</v>
      </c>
      <c r="CE177" s="187">
        <v>123.55</v>
      </c>
      <c r="CF177" s="214">
        <v>4183</v>
      </c>
      <c r="CG177" s="214">
        <v>118.83</v>
      </c>
      <c r="CH177">
        <v>112.86</v>
      </c>
      <c r="CI177">
        <v>6.22</v>
      </c>
      <c r="CJ177">
        <v>123.54</v>
      </c>
      <c r="CK177">
        <v>4185</v>
      </c>
      <c r="CL177">
        <v>142.94999999999999</v>
      </c>
      <c r="CM177">
        <v>78.25</v>
      </c>
      <c r="CN177" s="187">
        <v>83.52</v>
      </c>
      <c r="CO177">
        <v>213.62</v>
      </c>
      <c r="CP177">
        <v>26</v>
      </c>
      <c r="CQ177">
        <v>97.49</v>
      </c>
      <c r="CR177">
        <v>89.27</v>
      </c>
      <c r="CS177" s="187">
        <v>38.479999999999997</v>
      </c>
      <c r="CT177">
        <v>135.97</v>
      </c>
      <c r="CU177">
        <v>9</v>
      </c>
      <c r="CV177">
        <v>100.95</v>
      </c>
      <c r="CW177">
        <v>94.58</v>
      </c>
      <c r="CX177" s="187">
        <v>44.58</v>
      </c>
      <c r="CY177">
        <v>144.33000000000001</v>
      </c>
      <c r="CZ177">
        <v>671</v>
      </c>
      <c r="DA177">
        <v>111.3</v>
      </c>
      <c r="DB177">
        <v>110.27</v>
      </c>
      <c r="DC177" s="187">
        <v>35.869999999999997</v>
      </c>
      <c r="DD177">
        <v>146.52000000000001</v>
      </c>
      <c r="DE177">
        <v>55</v>
      </c>
      <c r="DF177">
        <v>130.13999999999999</v>
      </c>
      <c r="DG177">
        <v>141.29</v>
      </c>
      <c r="DH177" s="187">
        <v>12.06</v>
      </c>
      <c r="DI177">
        <v>142.19999999999999</v>
      </c>
      <c r="DJ177">
        <v>4</v>
      </c>
      <c r="DK177">
        <v>0</v>
      </c>
      <c r="DL177">
        <v>0</v>
      </c>
      <c r="DM177" s="187">
        <v>0</v>
      </c>
      <c r="DN177">
        <v>0</v>
      </c>
      <c r="DO177">
        <v>0</v>
      </c>
      <c r="DP177">
        <v>101.83</v>
      </c>
      <c r="DQ177">
        <v>95.95</v>
      </c>
      <c r="DR177" s="187">
        <v>43.67</v>
      </c>
      <c r="DS177">
        <v>144.38</v>
      </c>
      <c r="DT177">
        <v>739</v>
      </c>
      <c r="DU177">
        <v>103.23</v>
      </c>
      <c r="DV177">
        <v>95.57</v>
      </c>
      <c r="DW177" s="187">
        <v>44.85</v>
      </c>
      <c r="DX177">
        <v>146.72999999999999</v>
      </c>
      <c r="DY177">
        <v>765</v>
      </c>
      <c r="DZ177">
        <v>0</v>
      </c>
      <c r="EA177">
        <v>0</v>
      </c>
      <c r="EB177" s="187">
        <v>125.96</v>
      </c>
      <c r="EC177">
        <v>2</v>
      </c>
      <c r="ED177">
        <v>143.9</v>
      </c>
      <c r="EE177">
        <v>542</v>
      </c>
      <c r="EF177">
        <v>184.88</v>
      </c>
      <c r="EG177" s="187">
        <v>909</v>
      </c>
      <c r="EH177">
        <v>201.43</v>
      </c>
      <c r="EI177">
        <v>411</v>
      </c>
      <c r="EJ177">
        <v>243.71</v>
      </c>
      <c r="EK177">
        <v>21</v>
      </c>
      <c r="EL177" s="187">
        <v>0</v>
      </c>
      <c r="EM177">
        <v>0</v>
      </c>
      <c r="EN177">
        <v>0</v>
      </c>
      <c r="EO177">
        <v>0</v>
      </c>
      <c r="EP177">
        <v>177.3</v>
      </c>
      <c r="EQ177" s="187">
        <v>1885</v>
      </c>
      <c r="ER177">
        <v>177.3</v>
      </c>
      <c r="ES177">
        <v>1885</v>
      </c>
      <c r="ET177">
        <v>234.63</v>
      </c>
      <c r="EU177">
        <v>6</v>
      </c>
      <c r="EV177" s="187">
        <v>0</v>
      </c>
      <c r="EW177">
        <v>0</v>
      </c>
      <c r="EX177">
        <v>0</v>
      </c>
      <c r="EY177">
        <v>0</v>
      </c>
      <c r="EZ177">
        <v>0</v>
      </c>
      <c r="FA177" s="187">
        <v>0</v>
      </c>
      <c r="FB177">
        <v>0</v>
      </c>
      <c r="FC177">
        <v>0</v>
      </c>
      <c r="FD177">
        <v>0</v>
      </c>
      <c r="FE177">
        <v>0</v>
      </c>
      <c r="FF177" s="187">
        <v>0</v>
      </c>
      <c r="FG177">
        <v>0</v>
      </c>
      <c r="FH177">
        <v>234.63</v>
      </c>
      <c r="FI177">
        <v>6</v>
      </c>
      <c r="FJ177">
        <v>52</v>
      </c>
      <c r="FK177" s="187">
        <v>2</v>
      </c>
      <c r="FL177">
        <v>2</v>
      </c>
      <c r="FM177">
        <v>71</v>
      </c>
      <c r="FN177">
        <v>14</v>
      </c>
    </row>
    <row r="178" spans="1:170" x14ac:dyDescent="0.35">
      <c r="A178" t="s">
        <v>745</v>
      </c>
      <c r="B178" t="s">
        <v>746</v>
      </c>
      <c r="C178" t="s">
        <v>417</v>
      </c>
      <c r="D178">
        <v>13106</v>
      </c>
      <c r="E178">
        <v>13103</v>
      </c>
      <c r="F178">
        <v>2</v>
      </c>
      <c r="G178">
        <v>2</v>
      </c>
      <c r="H178">
        <v>619</v>
      </c>
      <c r="I178">
        <v>435</v>
      </c>
      <c r="J178">
        <v>1364</v>
      </c>
      <c r="K178">
        <v>1364</v>
      </c>
      <c r="L178">
        <v>304</v>
      </c>
      <c r="M178">
        <v>0</v>
      </c>
      <c r="N178">
        <v>15395</v>
      </c>
      <c r="O178">
        <v>14904</v>
      </c>
      <c r="P178">
        <v>15091</v>
      </c>
      <c r="Q178">
        <v>9</v>
      </c>
      <c r="R178">
        <v>7</v>
      </c>
      <c r="S178">
        <v>20</v>
      </c>
      <c r="T178">
        <v>112</v>
      </c>
      <c r="U178">
        <v>15283</v>
      </c>
      <c r="V178" s="498">
        <v>13076</v>
      </c>
      <c r="W178">
        <v>69</v>
      </c>
      <c r="X178" s="498">
        <v>334</v>
      </c>
      <c r="Y178" s="498">
        <v>403</v>
      </c>
      <c r="Z178" s="498">
        <v>87.99</v>
      </c>
      <c r="AA178" s="498">
        <v>87.86</v>
      </c>
      <c r="AB178">
        <v>8.51</v>
      </c>
      <c r="AC178">
        <v>90.72</v>
      </c>
      <c r="AD178">
        <v>12163</v>
      </c>
      <c r="AE178">
        <v>91.27</v>
      </c>
      <c r="AF178">
        <v>83.99</v>
      </c>
      <c r="AG178">
        <v>66.58</v>
      </c>
      <c r="AH178">
        <v>142.94</v>
      </c>
      <c r="AI178">
        <v>1800</v>
      </c>
      <c r="AJ178">
        <v>102.53</v>
      </c>
      <c r="AK178">
        <v>849</v>
      </c>
      <c r="AL178">
        <v>161.54</v>
      </c>
      <c r="AM178">
        <v>101</v>
      </c>
      <c r="AN178">
        <v>66.52</v>
      </c>
      <c r="AO178" s="499">
        <v>66.52</v>
      </c>
      <c r="AP178" s="499">
        <v>20.11</v>
      </c>
      <c r="AQ178">
        <v>86.63</v>
      </c>
      <c r="AR178">
        <v>2</v>
      </c>
      <c r="AS178">
        <v>65.05</v>
      </c>
      <c r="AT178">
        <v>65.78</v>
      </c>
      <c r="AU178">
        <v>9.65</v>
      </c>
      <c r="AV178">
        <v>74.44</v>
      </c>
      <c r="AW178">
        <v>38</v>
      </c>
      <c r="AX178">
        <v>75.78</v>
      </c>
      <c r="AY178">
        <v>75.489999999999995</v>
      </c>
      <c r="AZ178">
        <v>12.8</v>
      </c>
      <c r="BA178">
        <v>84.43</v>
      </c>
      <c r="BB178">
        <v>2791</v>
      </c>
      <c r="BC178">
        <v>86.02</v>
      </c>
      <c r="BD178">
        <v>85.47</v>
      </c>
      <c r="BE178">
        <v>5.08</v>
      </c>
      <c r="BF178">
        <v>87.75</v>
      </c>
      <c r="BG178">
        <v>3437</v>
      </c>
      <c r="BH178">
        <v>94.52</v>
      </c>
      <c r="BI178">
        <v>94.69</v>
      </c>
      <c r="BJ178">
        <v>3.24</v>
      </c>
      <c r="BK178">
        <v>94.96</v>
      </c>
      <c r="BL178" s="214">
        <v>5542</v>
      </c>
      <c r="BM178" s="214">
        <v>102.81</v>
      </c>
      <c r="BN178">
        <v>103.4</v>
      </c>
      <c r="BO178" s="187">
        <v>5.01</v>
      </c>
      <c r="BP178" s="214">
        <v>103.49</v>
      </c>
      <c r="BQ178" s="214">
        <v>310</v>
      </c>
      <c r="BR178">
        <v>110.53</v>
      </c>
      <c r="BS178" s="187">
        <v>112.59</v>
      </c>
      <c r="BT178" s="214">
        <v>7.34</v>
      </c>
      <c r="BU178" s="214">
        <v>111.24</v>
      </c>
      <c r="BV178">
        <v>41</v>
      </c>
      <c r="BW178">
        <v>116.14</v>
      </c>
      <c r="BX178" s="214">
        <v>115.98</v>
      </c>
      <c r="BY178" s="214">
        <v>0</v>
      </c>
      <c r="BZ178">
        <v>116.14</v>
      </c>
      <c r="CA178" s="187">
        <v>2</v>
      </c>
      <c r="CB178" s="214">
        <v>88</v>
      </c>
      <c r="CC178" s="214">
        <v>87.86</v>
      </c>
      <c r="CD178">
        <v>8.5</v>
      </c>
      <c r="CE178" s="187">
        <v>90.72</v>
      </c>
      <c r="CF178" s="214">
        <v>12161</v>
      </c>
      <c r="CG178" s="214">
        <v>87.99</v>
      </c>
      <c r="CH178">
        <v>87.86</v>
      </c>
      <c r="CI178">
        <v>8.51</v>
      </c>
      <c r="CJ178">
        <v>90.72</v>
      </c>
      <c r="CK178">
        <v>12163</v>
      </c>
      <c r="CL178">
        <v>130.37</v>
      </c>
      <c r="CM178">
        <v>85.65</v>
      </c>
      <c r="CN178" s="187">
        <v>101.52</v>
      </c>
      <c r="CO178">
        <v>231.28</v>
      </c>
      <c r="CP178">
        <v>168</v>
      </c>
      <c r="CQ178">
        <v>78.19</v>
      </c>
      <c r="CR178">
        <v>72.12</v>
      </c>
      <c r="CS178" s="187">
        <v>64.02</v>
      </c>
      <c r="CT178">
        <v>142.21</v>
      </c>
      <c r="CU178">
        <v>105</v>
      </c>
      <c r="CV178">
        <v>83.73</v>
      </c>
      <c r="CW178">
        <v>82.25</v>
      </c>
      <c r="CX178" s="187">
        <v>54.48</v>
      </c>
      <c r="CY178">
        <v>123.91</v>
      </c>
      <c r="CZ178">
        <v>1067</v>
      </c>
      <c r="DA178">
        <v>97.12</v>
      </c>
      <c r="DB178">
        <v>90.33</v>
      </c>
      <c r="DC178" s="187">
        <v>79.67</v>
      </c>
      <c r="DD178">
        <v>155.11000000000001</v>
      </c>
      <c r="DE178">
        <v>441</v>
      </c>
      <c r="DF178">
        <v>105.96</v>
      </c>
      <c r="DG178">
        <v>105.25</v>
      </c>
      <c r="DH178" s="187">
        <v>51.81</v>
      </c>
      <c r="DI178">
        <v>152.32</v>
      </c>
      <c r="DJ178">
        <v>19</v>
      </c>
      <c r="DK178">
        <v>0</v>
      </c>
      <c r="DL178">
        <v>0</v>
      </c>
      <c r="DM178" s="187">
        <v>0</v>
      </c>
      <c r="DN178">
        <v>0</v>
      </c>
      <c r="DO178">
        <v>0</v>
      </c>
      <c r="DP178">
        <v>87.25</v>
      </c>
      <c r="DQ178">
        <v>83.88</v>
      </c>
      <c r="DR178" s="187">
        <v>61.83</v>
      </c>
      <c r="DS178">
        <v>133.85</v>
      </c>
      <c r="DT178">
        <v>1632</v>
      </c>
      <c r="DU178">
        <v>91.27</v>
      </c>
      <c r="DV178">
        <v>83.99</v>
      </c>
      <c r="DW178" s="187">
        <v>66.58</v>
      </c>
      <c r="DX178">
        <v>142.94</v>
      </c>
      <c r="DY178">
        <v>1800</v>
      </c>
      <c r="DZ178">
        <v>0</v>
      </c>
      <c r="EA178">
        <v>0</v>
      </c>
      <c r="EB178" s="187">
        <v>0</v>
      </c>
      <c r="EC178">
        <v>0</v>
      </c>
      <c r="ED178">
        <v>87.51</v>
      </c>
      <c r="EE178">
        <v>36</v>
      </c>
      <c r="EF178">
        <v>99.43</v>
      </c>
      <c r="EG178" s="187">
        <v>552</v>
      </c>
      <c r="EH178">
        <v>110.4</v>
      </c>
      <c r="EI178">
        <v>248</v>
      </c>
      <c r="EJ178">
        <v>125.52</v>
      </c>
      <c r="EK178">
        <v>13</v>
      </c>
      <c r="EL178" s="187">
        <v>0</v>
      </c>
      <c r="EM178">
        <v>0</v>
      </c>
      <c r="EN178">
        <v>0</v>
      </c>
      <c r="EO178">
        <v>0</v>
      </c>
      <c r="EP178">
        <v>102.53</v>
      </c>
      <c r="EQ178" s="187">
        <v>849</v>
      </c>
      <c r="ER178">
        <v>102.53</v>
      </c>
      <c r="ES178">
        <v>849</v>
      </c>
      <c r="ET178">
        <v>178.1</v>
      </c>
      <c r="EU178">
        <v>4</v>
      </c>
      <c r="EV178" s="187">
        <v>0</v>
      </c>
      <c r="EW178">
        <v>0</v>
      </c>
      <c r="EX178">
        <v>149.24</v>
      </c>
      <c r="EY178">
        <v>13</v>
      </c>
      <c r="EZ178">
        <v>162.58000000000001</v>
      </c>
      <c r="FA178" s="187">
        <v>82</v>
      </c>
      <c r="FB178">
        <v>165.54</v>
      </c>
      <c r="FC178">
        <v>2</v>
      </c>
      <c r="FD178">
        <v>0</v>
      </c>
      <c r="FE178">
        <v>0</v>
      </c>
      <c r="FF178" s="187">
        <v>160.85</v>
      </c>
      <c r="FG178">
        <v>97</v>
      </c>
      <c r="FH178">
        <v>161.54</v>
      </c>
      <c r="FI178">
        <v>101</v>
      </c>
      <c r="FJ178">
        <v>634</v>
      </c>
      <c r="FK178" s="187">
        <v>62</v>
      </c>
      <c r="FL178">
        <v>6</v>
      </c>
      <c r="FM178">
        <v>7</v>
      </c>
      <c r="FN178">
        <v>3</v>
      </c>
    </row>
    <row r="179" spans="1:170" x14ac:dyDescent="0.35">
      <c r="A179" t="s">
        <v>747</v>
      </c>
      <c r="B179" t="s">
        <v>748</v>
      </c>
      <c r="C179" t="s">
        <v>2</v>
      </c>
      <c r="D179">
        <v>9000</v>
      </c>
      <c r="E179">
        <v>8719</v>
      </c>
      <c r="F179">
        <v>161</v>
      </c>
      <c r="G179">
        <v>13</v>
      </c>
      <c r="H179">
        <v>618</v>
      </c>
      <c r="I179">
        <v>318</v>
      </c>
      <c r="J179">
        <v>585</v>
      </c>
      <c r="K179">
        <v>410</v>
      </c>
      <c r="L179">
        <v>5993</v>
      </c>
      <c r="M179">
        <v>270</v>
      </c>
      <c r="N179">
        <v>16357</v>
      </c>
      <c r="O179">
        <v>9730</v>
      </c>
      <c r="P179">
        <v>10364</v>
      </c>
      <c r="Q179">
        <v>8</v>
      </c>
      <c r="R179">
        <v>11</v>
      </c>
      <c r="S179">
        <v>43</v>
      </c>
      <c r="T179">
        <v>636</v>
      </c>
      <c r="U179">
        <v>15721</v>
      </c>
      <c r="V179" s="498">
        <v>8725</v>
      </c>
      <c r="W179">
        <v>113</v>
      </c>
      <c r="X179" s="498">
        <v>34</v>
      </c>
      <c r="Y179" s="498">
        <v>147</v>
      </c>
      <c r="Z179" s="498">
        <v>101.77</v>
      </c>
      <c r="AA179" s="498">
        <v>98.9</v>
      </c>
      <c r="AB179">
        <v>7.1</v>
      </c>
      <c r="AC179">
        <v>106.58</v>
      </c>
      <c r="AD179">
        <v>6522</v>
      </c>
      <c r="AE179">
        <v>108.47</v>
      </c>
      <c r="AF179">
        <v>96.56</v>
      </c>
      <c r="AG179">
        <v>46.59</v>
      </c>
      <c r="AH179">
        <v>153.63999999999999</v>
      </c>
      <c r="AI179">
        <v>886</v>
      </c>
      <c r="AJ179">
        <v>157.46</v>
      </c>
      <c r="AK179">
        <v>1781</v>
      </c>
      <c r="AL179">
        <v>211.01</v>
      </c>
      <c r="AM179">
        <v>210</v>
      </c>
      <c r="AN179">
        <v>0</v>
      </c>
      <c r="AO179" s="499">
        <v>0</v>
      </c>
      <c r="AP179" s="499">
        <v>0</v>
      </c>
      <c r="AQ179">
        <v>0</v>
      </c>
      <c r="AR179">
        <v>0</v>
      </c>
      <c r="AS179">
        <v>70.930000000000007</v>
      </c>
      <c r="AT179">
        <v>68.239999999999995</v>
      </c>
      <c r="AU179">
        <v>7.18</v>
      </c>
      <c r="AV179">
        <v>78.11</v>
      </c>
      <c r="AW179">
        <v>48</v>
      </c>
      <c r="AX179">
        <v>84.93</v>
      </c>
      <c r="AY179">
        <v>82.26</v>
      </c>
      <c r="AZ179">
        <v>8.23</v>
      </c>
      <c r="BA179">
        <v>91.94</v>
      </c>
      <c r="BB179">
        <v>1449</v>
      </c>
      <c r="BC179">
        <v>102.39</v>
      </c>
      <c r="BD179">
        <v>99.43</v>
      </c>
      <c r="BE179">
        <v>7.67</v>
      </c>
      <c r="BF179">
        <v>107.93</v>
      </c>
      <c r="BG179">
        <v>3223</v>
      </c>
      <c r="BH179">
        <v>112.91</v>
      </c>
      <c r="BI179">
        <v>110.04</v>
      </c>
      <c r="BJ179">
        <v>3.67</v>
      </c>
      <c r="BK179">
        <v>114.53</v>
      </c>
      <c r="BL179" s="214">
        <v>1574</v>
      </c>
      <c r="BM179" s="214">
        <v>129.6</v>
      </c>
      <c r="BN179">
        <v>127.16</v>
      </c>
      <c r="BO179" s="187">
        <v>3.72</v>
      </c>
      <c r="BP179" s="214">
        <v>131.38</v>
      </c>
      <c r="BQ179" s="214">
        <v>222</v>
      </c>
      <c r="BR179">
        <v>136</v>
      </c>
      <c r="BS179" s="187">
        <v>137.97999999999999</v>
      </c>
      <c r="BT179" s="214">
        <v>3.18</v>
      </c>
      <c r="BU179" s="214">
        <v>137.06</v>
      </c>
      <c r="BV179">
        <v>6</v>
      </c>
      <c r="BW179">
        <v>0</v>
      </c>
      <c r="BX179" s="214">
        <v>0</v>
      </c>
      <c r="BY179" s="214">
        <v>0</v>
      </c>
      <c r="BZ179">
        <v>0</v>
      </c>
      <c r="CA179" s="187">
        <v>0</v>
      </c>
      <c r="CB179" s="214">
        <v>101.77</v>
      </c>
      <c r="CC179" s="214">
        <v>98.9</v>
      </c>
      <c r="CD179">
        <v>7.1</v>
      </c>
      <c r="CE179" s="187">
        <v>106.58</v>
      </c>
      <c r="CF179" s="214">
        <v>6522</v>
      </c>
      <c r="CG179" s="214">
        <v>101.77</v>
      </c>
      <c r="CH179">
        <v>98.9</v>
      </c>
      <c r="CI179">
        <v>7.1</v>
      </c>
      <c r="CJ179">
        <v>106.58</v>
      </c>
      <c r="CK179">
        <v>6522</v>
      </c>
      <c r="CL179">
        <v>124.9</v>
      </c>
      <c r="CM179">
        <v>105.88</v>
      </c>
      <c r="CN179" s="187">
        <v>66.64</v>
      </c>
      <c r="CO179">
        <v>182.34</v>
      </c>
      <c r="CP179">
        <v>116</v>
      </c>
      <c r="CQ179">
        <v>85.2</v>
      </c>
      <c r="CR179">
        <v>78.91</v>
      </c>
      <c r="CS179" s="187">
        <v>121.73</v>
      </c>
      <c r="CT179">
        <v>206.93</v>
      </c>
      <c r="CU179">
        <v>39</v>
      </c>
      <c r="CV179">
        <v>104.93</v>
      </c>
      <c r="CW179">
        <v>93.39</v>
      </c>
      <c r="CX179" s="187">
        <v>45.12</v>
      </c>
      <c r="CY179">
        <v>149.96</v>
      </c>
      <c r="CZ179">
        <v>514</v>
      </c>
      <c r="DA179">
        <v>112.07</v>
      </c>
      <c r="DB179">
        <v>103.03</v>
      </c>
      <c r="DC179" s="187">
        <v>27.12</v>
      </c>
      <c r="DD179">
        <v>137.86000000000001</v>
      </c>
      <c r="DE179">
        <v>204</v>
      </c>
      <c r="DF179">
        <v>115.16</v>
      </c>
      <c r="DG179">
        <v>113.89</v>
      </c>
      <c r="DH179" s="187">
        <v>15.76</v>
      </c>
      <c r="DI179">
        <v>130.91999999999999</v>
      </c>
      <c r="DJ179">
        <v>13</v>
      </c>
      <c r="DK179">
        <v>0</v>
      </c>
      <c r="DL179">
        <v>0</v>
      </c>
      <c r="DM179" s="187">
        <v>0</v>
      </c>
      <c r="DN179">
        <v>0</v>
      </c>
      <c r="DO179">
        <v>0</v>
      </c>
      <c r="DP179">
        <v>106</v>
      </c>
      <c r="DQ179">
        <v>95.39</v>
      </c>
      <c r="DR179" s="187">
        <v>43.95</v>
      </c>
      <c r="DS179">
        <v>149.32</v>
      </c>
      <c r="DT179">
        <v>770</v>
      </c>
      <c r="DU179">
        <v>108.47</v>
      </c>
      <c r="DV179">
        <v>96.56</v>
      </c>
      <c r="DW179" s="187">
        <v>46.59</v>
      </c>
      <c r="DX179">
        <v>153.63999999999999</v>
      </c>
      <c r="DY179">
        <v>886</v>
      </c>
      <c r="DZ179">
        <v>0</v>
      </c>
      <c r="EA179">
        <v>0</v>
      </c>
      <c r="EB179" s="187">
        <v>102.56</v>
      </c>
      <c r="EC179">
        <v>6</v>
      </c>
      <c r="ED179">
        <v>126.25</v>
      </c>
      <c r="EE179">
        <v>511</v>
      </c>
      <c r="EF179">
        <v>156.76</v>
      </c>
      <c r="EG179" s="187">
        <v>918</v>
      </c>
      <c r="EH179">
        <v>189.54</v>
      </c>
      <c r="EI179">
        <v>230</v>
      </c>
      <c r="EJ179">
        <v>241.75</v>
      </c>
      <c r="EK179">
        <v>109</v>
      </c>
      <c r="EL179" s="187">
        <v>207.78</v>
      </c>
      <c r="EM179">
        <v>7</v>
      </c>
      <c r="EN179">
        <v>0</v>
      </c>
      <c r="EO179">
        <v>0</v>
      </c>
      <c r="EP179">
        <v>157.46</v>
      </c>
      <c r="EQ179" s="187">
        <v>1781</v>
      </c>
      <c r="ER179">
        <v>157.46</v>
      </c>
      <c r="ES179">
        <v>1781</v>
      </c>
      <c r="ET179">
        <v>302.82</v>
      </c>
      <c r="EU179">
        <v>100</v>
      </c>
      <c r="EV179" s="187">
        <v>126.21</v>
      </c>
      <c r="EW179">
        <v>79</v>
      </c>
      <c r="EX179">
        <v>130.94999999999999</v>
      </c>
      <c r="EY179">
        <v>31</v>
      </c>
      <c r="EZ179">
        <v>0</v>
      </c>
      <c r="FA179" s="187">
        <v>0</v>
      </c>
      <c r="FB179">
        <v>0</v>
      </c>
      <c r="FC179">
        <v>0</v>
      </c>
      <c r="FD179">
        <v>0</v>
      </c>
      <c r="FE179">
        <v>0</v>
      </c>
      <c r="FF179" s="187">
        <v>127.55</v>
      </c>
      <c r="FG179">
        <v>110</v>
      </c>
      <c r="FH179">
        <v>211.01</v>
      </c>
      <c r="FI179">
        <v>210</v>
      </c>
      <c r="FJ179">
        <v>235</v>
      </c>
      <c r="FK179" s="187">
        <v>0</v>
      </c>
      <c r="FL179">
        <v>52</v>
      </c>
      <c r="FM179">
        <v>323</v>
      </c>
      <c r="FN179">
        <v>90</v>
      </c>
    </row>
    <row r="180" spans="1:170" x14ac:dyDescent="0.35">
      <c r="A180" t="s">
        <v>749</v>
      </c>
      <c r="B180" t="s">
        <v>750</v>
      </c>
      <c r="C180" t="s">
        <v>2</v>
      </c>
      <c r="D180">
        <v>3535</v>
      </c>
      <c r="E180">
        <v>3531</v>
      </c>
      <c r="F180">
        <v>11</v>
      </c>
      <c r="G180">
        <v>0</v>
      </c>
      <c r="H180">
        <v>241</v>
      </c>
      <c r="I180">
        <v>75</v>
      </c>
      <c r="J180">
        <v>629</v>
      </c>
      <c r="K180">
        <v>617</v>
      </c>
      <c r="L180">
        <v>302</v>
      </c>
      <c r="M180">
        <v>57</v>
      </c>
      <c r="N180">
        <v>4718</v>
      </c>
      <c r="O180">
        <v>4280</v>
      </c>
      <c r="P180">
        <v>4416</v>
      </c>
      <c r="Q180">
        <v>1</v>
      </c>
      <c r="R180">
        <v>8</v>
      </c>
      <c r="S180">
        <v>21</v>
      </c>
      <c r="T180">
        <v>181</v>
      </c>
      <c r="U180">
        <v>4537</v>
      </c>
      <c r="V180" s="498">
        <v>3529</v>
      </c>
      <c r="W180">
        <v>85</v>
      </c>
      <c r="X180" s="498">
        <v>0</v>
      </c>
      <c r="Y180" s="498">
        <v>85</v>
      </c>
      <c r="Z180" s="498">
        <v>115.41</v>
      </c>
      <c r="AA180" s="498">
        <v>117.32</v>
      </c>
      <c r="AB180">
        <v>6.24</v>
      </c>
      <c r="AC180">
        <v>120.09</v>
      </c>
      <c r="AD180">
        <v>3014</v>
      </c>
      <c r="AE180">
        <v>104.23</v>
      </c>
      <c r="AF180">
        <v>97.8</v>
      </c>
      <c r="AG180">
        <v>46.13</v>
      </c>
      <c r="AH180">
        <v>147.51</v>
      </c>
      <c r="AI180">
        <v>695</v>
      </c>
      <c r="AJ180">
        <v>168.35</v>
      </c>
      <c r="AK180">
        <v>490</v>
      </c>
      <c r="AL180">
        <v>0</v>
      </c>
      <c r="AM180">
        <v>0</v>
      </c>
      <c r="AN180">
        <v>139.07</v>
      </c>
      <c r="AO180" s="499">
        <v>0</v>
      </c>
      <c r="AP180" s="499">
        <v>72.33</v>
      </c>
      <c r="AQ180">
        <v>211.4</v>
      </c>
      <c r="AR180">
        <v>11</v>
      </c>
      <c r="AS180">
        <v>87.38</v>
      </c>
      <c r="AT180">
        <v>88.6</v>
      </c>
      <c r="AU180">
        <v>15.77</v>
      </c>
      <c r="AV180">
        <v>103.15</v>
      </c>
      <c r="AW180">
        <v>57</v>
      </c>
      <c r="AX180">
        <v>98.64</v>
      </c>
      <c r="AY180">
        <v>97.72</v>
      </c>
      <c r="AZ180">
        <v>6.6</v>
      </c>
      <c r="BA180">
        <v>104.55</v>
      </c>
      <c r="BB180">
        <v>1038</v>
      </c>
      <c r="BC180">
        <v>117.34</v>
      </c>
      <c r="BD180">
        <v>118.61</v>
      </c>
      <c r="BE180">
        <v>7.69</v>
      </c>
      <c r="BF180">
        <v>123.24</v>
      </c>
      <c r="BG180">
        <v>828</v>
      </c>
      <c r="BH180">
        <v>130.38999999999999</v>
      </c>
      <c r="BI180">
        <v>135.69</v>
      </c>
      <c r="BJ180">
        <v>2.14</v>
      </c>
      <c r="BK180">
        <v>131.62</v>
      </c>
      <c r="BL180" s="214">
        <v>1024</v>
      </c>
      <c r="BM180" s="214">
        <v>147.22999999999999</v>
      </c>
      <c r="BN180">
        <v>154.53</v>
      </c>
      <c r="BO180" s="187">
        <v>3.58</v>
      </c>
      <c r="BP180" s="214">
        <v>149.63999999999999</v>
      </c>
      <c r="BQ180" s="214">
        <v>55</v>
      </c>
      <c r="BR180">
        <v>160.12</v>
      </c>
      <c r="BS180" s="187">
        <v>158.07</v>
      </c>
      <c r="BT180" s="214">
        <v>0.33</v>
      </c>
      <c r="BU180" s="214">
        <v>160.44999999999999</v>
      </c>
      <c r="BV180">
        <v>1</v>
      </c>
      <c r="BW180">
        <v>0</v>
      </c>
      <c r="BX180" s="214">
        <v>0</v>
      </c>
      <c r="BY180" s="214">
        <v>0</v>
      </c>
      <c r="BZ180">
        <v>0</v>
      </c>
      <c r="CA180" s="187">
        <v>0</v>
      </c>
      <c r="CB180" s="214">
        <v>115.32</v>
      </c>
      <c r="CC180" s="214">
        <v>117.32</v>
      </c>
      <c r="CD180">
        <v>5.92</v>
      </c>
      <c r="CE180" s="187">
        <v>119.75</v>
      </c>
      <c r="CF180" s="214">
        <v>3003</v>
      </c>
      <c r="CG180" s="214">
        <v>115.41</v>
      </c>
      <c r="CH180">
        <v>117.32</v>
      </c>
      <c r="CI180">
        <v>6.24</v>
      </c>
      <c r="CJ180">
        <v>120.09</v>
      </c>
      <c r="CK180">
        <v>3014</v>
      </c>
      <c r="CL180">
        <v>127.68</v>
      </c>
      <c r="CM180">
        <v>93.8</v>
      </c>
      <c r="CN180" s="187">
        <v>76.44</v>
      </c>
      <c r="CO180">
        <v>204.13</v>
      </c>
      <c r="CP180">
        <v>58</v>
      </c>
      <c r="CQ180">
        <v>92.59</v>
      </c>
      <c r="CR180">
        <v>92.34</v>
      </c>
      <c r="CS180" s="187">
        <v>43.74</v>
      </c>
      <c r="CT180">
        <v>135.94999999999999</v>
      </c>
      <c r="CU180">
        <v>228</v>
      </c>
      <c r="CV180">
        <v>106.61</v>
      </c>
      <c r="CW180">
        <v>100.03</v>
      </c>
      <c r="CX180" s="187">
        <v>43.15</v>
      </c>
      <c r="CY180">
        <v>146.02000000000001</v>
      </c>
      <c r="CZ180">
        <v>380</v>
      </c>
      <c r="DA180">
        <v>117.2</v>
      </c>
      <c r="DB180">
        <v>117.55</v>
      </c>
      <c r="DC180" s="187">
        <v>36.200000000000003</v>
      </c>
      <c r="DD180">
        <v>142.66999999999999</v>
      </c>
      <c r="DE180">
        <v>27</v>
      </c>
      <c r="DF180">
        <v>124.49</v>
      </c>
      <c r="DG180">
        <v>133.47999999999999</v>
      </c>
      <c r="DH180" s="187">
        <v>46.43</v>
      </c>
      <c r="DI180">
        <v>170.92</v>
      </c>
      <c r="DJ180">
        <v>2</v>
      </c>
      <c r="DK180">
        <v>0</v>
      </c>
      <c r="DL180">
        <v>0</v>
      </c>
      <c r="DM180" s="187">
        <v>0</v>
      </c>
      <c r="DN180">
        <v>0</v>
      </c>
      <c r="DO180">
        <v>0</v>
      </c>
      <c r="DP180">
        <v>102.1</v>
      </c>
      <c r="DQ180">
        <v>98.1</v>
      </c>
      <c r="DR180" s="187">
        <v>43.17</v>
      </c>
      <c r="DS180">
        <v>142.35</v>
      </c>
      <c r="DT180">
        <v>637</v>
      </c>
      <c r="DU180">
        <v>104.23</v>
      </c>
      <c r="DV180">
        <v>97.8</v>
      </c>
      <c r="DW180" s="187">
        <v>46.13</v>
      </c>
      <c r="DX180">
        <v>147.51</v>
      </c>
      <c r="DY180">
        <v>695</v>
      </c>
      <c r="DZ180">
        <v>0</v>
      </c>
      <c r="EA180">
        <v>0</v>
      </c>
      <c r="EB180" s="187">
        <v>0</v>
      </c>
      <c r="EC180">
        <v>0</v>
      </c>
      <c r="ED180">
        <v>130.76</v>
      </c>
      <c r="EE180">
        <v>200</v>
      </c>
      <c r="EF180">
        <v>178.41</v>
      </c>
      <c r="EG180" s="187">
        <v>202</v>
      </c>
      <c r="EH180">
        <v>223.55</v>
      </c>
      <c r="EI180">
        <v>83</v>
      </c>
      <c r="EJ180">
        <v>349.18</v>
      </c>
      <c r="EK180">
        <v>5</v>
      </c>
      <c r="EL180" s="187">
        <v>0</v>
      </c>
      <c r="EM180">
        <v>0</v>
      </c>
      <c r="EN180">
        <v>0</v>
      </c>
      <c r="EO180">
        <v>0</v>
      </c>
      <c r="EP180">
        <v>168.35</v>
      </c>
      <c r="EQ180" s="187">
        <v>490</v>
      </c>
      <c r="ER180">
        <v>168.35</v>
      </c>
      <c r="ES180">
        <v>490</v>
      </c>
      <c r="ET180">
        <v>0</v>
      </c>
      <c r="EU180">
        <v>0</v>
      </c>
      <c r="EV180" s="187">
        <v>0</v>
      </c>
      <c r="EW180">
        <v>0</v>
      </c>
      <c r="EX180">
        <v>0</v>
      </c>
      <c r="EY180">
        <v>0</v>
      </c>
      <c r="EZ180">
        <v>0</v>
      </c>
      <c r="FA180" s="187">
        <v>0</v>
      </c>
      <c r="FB180">
        <v>0</v>
      </c>
      <c r="FC180">
        <v>0</v>
      </c>
      <c r="FD180">
        <v>0</v>
      </c>
      <c r="FE180">
        <v>0</v>
      </c>
      <c r="FF180" s="187">
        <v>0</v>
      </c>
      <c r="FG180">
        <v>0</v>
      </c>
      <c r="FH180">
        <v>0</v>
      </c>
      <c r="FI180">
        <v>0</v>
      </c>
      <c r="FJ180">
        <v>0</v>
      </c>
      <c r="FK180" s="187">
        <v>5</v>
      </c>
      <c r="FL180">
        <v>1</v>
      </c>
      <c r="FM180">
        <v>1</v>
      </c>
      <c r="FN180">
        <v>14</v>
      </c>
    </row>
    <row r="181" spans="1:170" x14ac:dyDescent="0.35">
      <c r="A181" t="s">
        <v>1</v>
      </c>
      <c r="B181" t="s">
        <v>751</v>
      </c>
      <c r="C181" t="s">
        <v>2</v>
      </c>
      <c r="D181">
        <v>2868</v>
      </c>
      <c r="E181">
        <v>2823</v>
      </c>
      <c r="F181">
        <v>8</v>
      </c>
      <c r="G181">
        <v>8</v>
      </c>
      <c r="H181">
        <v>181</v>
      </c>
      <c r="I181">
        <v>152</v>
      </c>
      <c r="J181">
        <v>412</v>
      </c>
      <c r="K181">
        <v>304</v>
      </c>
      <c r="L181">
        <v>408</v>
      </c>
      <c r="M181">
        <v>22</v>
      </c>
      <c r="N181">
        <v>3877</v>
      </c>
      <c r="O181">
        <v>3309</v>
      </c>
      <c r="P181">
        <v>3469</v>
      </c>
      <c r="Q181">
        <v>1</v>
      </c>
      <c r="R181">
        <v>7</v>
      </c>
      <c r="S181">
        <v>21</v>
      </c>
      <c r="T181">
        <v>218</v>
      </c>
      <c r="U181">
        <v>3659</v>
      </c>
      <c r="V181" s="498">
        <v>2776</v>
      </c>
      <c r="W181">
        <v>8</v>
      </c>
      <c r="X181" s="498">
        <v>12</v>
      </c>
      <c r="Y181" s="498">
        <v>20</v>
      </c>
      <c r="Z181" s="498">
        <v>115.16</v>
      </c>
      <c r="AA181" s="498">
        <v>111.53</v>
      </c>
      <c r="AB181">
        <v>4.0999999999999996</v>
      </c>
      <c r="AC181">
        <v>118.07</v>
      </c>
      <c r="AD181">
        <v>2389</v>
      </c>
      <c r="AE181">
        <v>105.37</v>
      </c>
      <c r="AF181">
        <v>90.98</v>
      </c>
      <c r="AG181">
        <v>38.799999999999997</v>
      </c>
      <c r="AH181">
        <v>142.91999999999999</v>
      </c>
      <c r="AI181">
        <v>463</v>
      </c>
      <c r="AJ181">
        <v>150.52000000000001</v>
      </c>
      <c r="AK181">
        <v>317</v>
      </c>
      <c r="AL181">
        <v>144.66</v>
      </c>
      <c r="AM181">
        <v>4</v>
      </c>
      <c r="AN181">
        <v>92.03</v>
      </c>
      <c r="AO181" s="499">
        <v>87.65</v>
      </c>
      <c r="AP181" s="499">
        <v>43.46</v>
      </c>
      <c r="AQ181">
        <v>135.49</v>
      </c>
      <c r="AR181">
        <v>8</v>
      </c>
      <c r="AS181">
        <v>82.19</v>
      </c>
      <c r="AT181">
        <v>78.27</v>
      </c>
      <c r="AU181">
        <v>2.77</v>
      </c>
      <c r="AV181">
        <v>84.96</v>
      </c>
      <c r="AW181">
        <v>2</v>
      </c>
      <c r="AX181">
        <v>95.08</v>
      </c>
      <c r="AY181">
        <v>91.94</v>
      </c>
      <c r="AZ181">
        <v>6.84</v>
      </c>
      <c r="BA181">
        <v>100.93</v>
      </c>
      <c r="BB181">
        <v>399</v>
      </c>
      <c r="BC181">
        <v>111.93</v>
      </c>
      <c r="BD181">
        <v>108.3</v>
      </c>
      <c r="BE181">
        <v>4.46</v>
      </c>
      <c r="BF181">
        <v>115.28</v>
      </c>
      <c r="BG181">
        <v>1007</v>
      </c>
      <c r="BH181">
        <v>125.78</v>
      </c>
      <c r="BI181">
        <v>121.77</v>
      </c>
      <c r="BJ181">
        <v>1.58</v>
      </c>
      <c r="BK181">
        <v>126.72</v>
      </c>
      <c r="BL181" s="214">
        <v>891</v>
      </c>
      <c r="BM181" s="214">
        <v>140.22999999999999</v>
      </c>
      <c r="BN181">
        <v>136.54</v>
      </c>
      <c r="BO181" s="187">
        <v>0.94</v>
      </c>
      <c r="BP181" s="214">
        <v>140.88999999999999</v>
      </c>
      <c r="BQ181" s="214">
        <v>82</v>
      </c>
      <c r="BR181">
        <v>0</v>
      </c>
      <c r="BS181" s="187">
        <v>0</v>
      </c>
      <c r="BT181" s="214">
        <v>0</v>
      </c>
      <c r="BU181" s="214">
        <v>0</v>
      </c>
      <c r="BV181">
        <v>0</v>
      </c>
      <c r="BW181">
        <v>0</v>
      </c>
      <c r="BX181" s="214">
        <v>0</v>
      </c>
      <c r="BY181" s="214">
        <v>0</v>
      </c>
      <c r="BZ181">
        <v>0</v>
      </c>
      <c r="CA181" s="187">
        <v>0</v>
      </c>
      <c r="CB181" s="214">
        <v>115.24</v>
      </c>
      <c r="CC181" s="214">
        <v>111.61</v>
      </c>
      <c r="CD181">
        <v>3.92</v>
      </c>
      <c r="CE181" s="187">
        <v>118.01</v>
      </c>
      <c r="CF181" s="214">
        <v>2381</v>
      </c>
      <c r="CG181" s="214">
        <v>115.16</v>
      </c>
      <c r="CH181">
        <v>111.53</v>
      </c>
      <c r="CI181">
        <v>4.0999999999999996</v>
      </c>
      <c r="CJ181">
        <v>118.07</v>
      </c>
      <c r="CK181">
        <v>2389</v>
      </c>
      <c r="CL181">
        <v>104.89</v>
      </c>
      <c r="CM181">
        <v>96.81</v>
      </c>
      <c r="CN181" s="187">
        <v>59.74</v>
      </c>
      <c r="CO181">
        <v>164</v>
      </c>
      <c r="CP181">
        <v>94</v>
      </c>
      <c r="CQ181">
        <v>84.75</v>
      </c>
      <c r="CR181">
        <v>77.680000000000007</v>
      </c>
      <c r="CS181" s="187">
        <v>32.96</v>
      </c>
      <c r="CT181">
        <v>117.72</v>
      </c>
      <c r="CU181">
        <v>91</v>
      </c>
      <c r="CV181">
        <v>109.78</v>
      </c>
      <c r="CW181">
        <v>92.46</v>
      </c>
      <c r="CX181" s="187">
        <v>33.93</v>
      </c>
      <c r="CY181">
        <v>142.19999999999999</v>
      </c>
      <c r="CZ181">
        <v>248</v>
      </c>
      <c r="DA181">
        <v>129.06</v>
      </c>
      <c r="DB181">
        <v>105.31</v>
      </c>
      <c r="DC181" s="187">
        <v>28.04</v>
      </c>
      <c r="DD181">
        <v>155.97999999999999</v>
      </c>
      <c r="DE181">
        <v>25</v>
      </c>
      <c r="DF181">
        <v>152.72999999999999</v>
      </c>
      <c r="DG181">
        <v>116.71</v>
      </c>
      <c r="DH181" s="187">
        <v>37.51</v>
      </c>
      <c r="DI181">
        <v>175.24</v>
      </c>
      <c r="DJ181">
        <v>5</v>
      </c>
      <c r="DK181">
        <v>0</v>
      </c>
      <c r="DL181">
        <v>0</v>
      </c>
      <c r="DM181" s="187">
        <v>0</v>
      </c>
      <c r="DN181">
        <v>0</v>
      </c>
      <c r="DO181">
        <v>0</v>
      </c>
      <c r="DP181">
        <v>105.49</v>
      </c>
      <c r="DQ181">
        <v>89.56</v>
      </c>
      <c r="DR181" s="187">
        <v>33.32</v>
      </c>
      <c r="DS181">
        <v>137.55000000000001</v>
      </c>
      <c r="DT181">
        <v>369</v>
      </c>
      <c r="DU181">
        <v>105.37</v>
      </c>
      <c r="DV181">
        <v>90.98</v>
      </c>
      <c r="DW181" s="187">
        <v>38.799999999999997</v>
      </c>
      <c r="DX181">
        <v>142.91999999999999</v>
      </c>
      <c r="DY181">
        <v>463</v>
      </c>
      <c r="DZ181">
        <v>0</v>
      </c>
      <c r="EA181">
        <v>0</v>
      </c>
      <c r="EB181" s="187">
        <v>0</v>
      </c>
      <c r="EC181">
        <v>0</v>
      </c>
      <c r="ED181">
        <v>121.54</v>
      </c>
      <c r="EE181">
        <v>67</v>
      </c>
      <c r="EF181">
        <v>148.07</v>
      </c>
      <c r="EG181" s="187">
        <v>168</v>
      </c>
      <c r="EH181">
        <v>179.21</v>
      </c>
      <c r="EI181">
        <v>82</v>
      </c>
      <c r="EJ181">
        <v>0</v>
      </c>
      <c r="EK181">
        <v>0</v>
      </c>
      <c r="EL181" s="187">
        <v>0</v>
      </c>
      <c r="EM181">
        <v>0</v>
      </c>
      <c r="EN181">
        <v>0</v>
      </c>
      <c r="EO181">
        <v>0</v>
      </c>
      <c r="EP181">
        <v>150.52000000000001</v>
      </c>
      <c r="EQ181" s="187">
        <v>317</v>
      </c>
      <c r="ER181">
        <v>150.52000000000001</v>
      </c>
      <c r="ES181">
        <v>317</v>
      </c>
      <c r="ET181">
        <v>158.77000000000001</v>
      </c>
      <c r="EU181">
        <v>1</v>
      </c>
      <c r="EV181" s="187">
        <v>0</v>
      </c>
      <c r="EW181">
        <v>0</v>
      </c>
      <c r="EX181">
        <v>110.29</v>
      </c>
      <c r="EY181">
        <v>1</v>
      </c>
      <c r="EZ181">
        <v>154.78</v>
      </c>
      <c r="FA181" s="187">
        <v>2</v>
      </c>
      <c r="FB181">
        <v>0</v>
      </c>
      <c r="FC181">
        <v>0</v>
      </c>
      <c r="FD181">
        <v>0</v>
      </c>
      <c r="FE181">
        <v>0</v>
      </c>
      <c r="FF181" s="187">
        <v>139.94999999999999</v>
      </c>
      <c r="FG181">
        <v>3</v>
      </c>
      <c r="FH181">
        <v>144.66</v>
      </c>
      <c r="FI181">
        <v>4</v>
      </c>
      <c r="FJ181">
        <v>0</v>
      </c>
      <c r="FK181" s="187">
        <v>0</v>
      </c>
      <c r="FL181">
        <v>1</v>
      </c>
      <c r="FM181">
        <v>27</v>
      </c>
      <c r="FN181">
        <v>14</v>
      </c>
    </row>
    <row r="182" spans="1:170" x14ac:dyDescent="0.35">
      <c r="A182" t="s">
        <v>752</v>
      </c>
      <c r="B182" t="s">
        <v>753</v>
      </c>
      <c r="C182" t="s">
        <v>414</v>
      </c>
      <c r="D182">
        <v>2061</v>
      </c>
      <c r="E182">
        <v>2061</v>
      </c>
      <c r="F182">
        <v>0</v>
      </c>
      <c r="G182">
        <v>0</v>
      </c>
      <c r="H182">
        <v>326</v>
      </c>
      <c r="I182">
        <v>271</v>
      </c>
      <c r="J182">
        <v>264</v>
      </c>
      <c r="K182">
        <v>167</v>
      </c>
      <c r="L182">
        <v>396</v>
      </c>
      <c r="M182">
        <v>0</v>
      </c>
      <c r="N182">
        <v>3047</v>
      </c>
      <c r="O182">
        <v>2499</v>
      </c>
      <c r="P182">
        <v>2651</v>
      </c>
      <c r="Q182">
        <v>1</v>
      </c>
      <c r="R182">
        <v>5</v>
      </c>
      <c r="S182">
        <v>24</v>
      </c>
      <c r="T182">
        <v>146</v>
      </c>
      <c r="U182">
        <v>2901</v>
      </c>
      <c r="V182" s="498">
        <v>2061</v>
      </c>
      <c r="W182">
        <v>21</v>
      </c>
      <c r="X182" s="498">
        <v>40</v>
      </c>
      <c r="Y182" s="498">
        <v>61</v>
      </c>
      <c r="Z182" s="498">
        <v>89.26</v>
      </c>
      <c r="AA182" s="498">
        <v>86.06</v>
      </c>
      <c r="AB182">
        <v>4.79</v>
      </c>
      <c r="AC182">
        <v>91.97</v>
      </c>
      <c r="AD182">
        <v>1562</v>
      </c>
      <c r="AE182">
        <v>110.03</v>
      </c>
      <c r="AF182">
        <v>79.17</v>
      </c>
      <c r="AG182">
        <v>72.19</v>
      </c>
      <c r="AH182">
        <v>182.06</v>
      </c>
      <c r="AI182">
        <v>439</v>
      </c>
      <c r="AJ182">
        <v>101.38</v>
      </c>
      <c r="AK182">
        <v>413</v>
      </c>
      <c r="AL182">
        <v>163.95</v>
      </c>
      <c r="AM182">
        <v>5</v>
      </c>
      <c r="AN182">
        <v>0</v>
      </c>
      <c r="AO182" s="499">
        <v>0</v>
      </c>
      <c r="AP182" s="499">
        <v>0</v>
      </c>
      <c r="AQ182">
        <v>0</v>
      </c>
      <c r="AR182">
        <v>0</v>
      </c>
      <c r="AS182">
        <v>66.62</v>
      </c>
      <c r="AT182">
        <v>64.650000000000006</v>
      </c>
      <c r="AU182">
        <v>16.78</v>
      </c>
      <c r="AV182">
        <v>69.41</v>
      </c>
      <c r="AW182">
        <v>36</v>
      </c>
      <c r="AX182">
        <v>77.099999999999994</v>
      </c>
      <c r="AY182">
        <v>73.61</v>
      </c>
      <c r="AZ182">
        <v>5.85</v>
      </c>
      <c r="BA182">
        <v>82.85</v>
      </c>
      <c r="BB182">
        <v>270</v>
      </c>
      <c r="BC182">
        <v>91.3</v>
      </c>
      <c r="BD182">
        <v>88.13</v>
      </c>
      <c r="BE182">
        <v>4.5</v>
      </c>
      <c r="BF182">
        <v>94.51</v>
      </c>
      <c r="BG182">
        <v>680</v>
      </c>
      <c r="BH182">
        <v>93.44</v>
      </c>
      <c r="BI182">
        <v>90.32</v>
      </c>
      <c r="BJ182">
        <v>3.1</v>
      </c>
      <c r="BK182">
        <v>94.14</v>
      </c>
      <c r="BL182" s="214">
        <v>545</v>
      </c>
      <c r="BM182" s="214">
        <v>103.26</v>
      </c>
      <c r="BN182">
        <v>99.4</v>
      </c>
      <c r="BO182" s="187">
        <v>3.55</v>
      </c>
      <c r="BP182" s="214">
        <v>104.09</v>
      </c>
      <c r="BQ182" s="214">
        <v>30</v>
      </c>
      <c r="BR182">
        <v>97.9</v>
      </c>
      <c r="BS182" s="187">
        <v>93.25</v>
      </c>
      <c r="BT182" s="214">
        <v>0</v>
      </c>
      <c r="BU182" s="214">
        <v>97.9</v>
      </c>
      <c r="BV182">
        <v>1</v>
      </c>
      <c r="BW182">
        <v>0</v>
      </c>
      <c r="BX182" s="214">
        <v>0</v>
      </c>
      <c r="BY182" s="214">
        <v>0</v>
      </c>
      <c r="BZ182">
        <v>0</v>
      </c>
      <c r="CA182" s="187">
        <v>0</v>
      </c>
      <c r="CB182" s="214">
        <v>89.26</v>
      </c>
      <c r="CC182" s="214">
        <v>86.06</v>
      </c>
      <c r="CD182">
        <v>4.79</v>
      </c>
      <c r="CE182" s="187">
        <v>91.97</v>
      </c>
      <c r="CF182" s="214">
        <v>1562</v>
      </c>
      <c r="CG182" s="214">
        <v>89.26</v>
      </c>
      <c r="CH182">
        <v>86.06</v>
      </c>
      <c r="CI182">
        <v>4.79</v>
      </c>
      <c r="CJ182">
        <v>91.97</v>
      </c>
      <c r="CK182">
        <v>1562</v>
      </c>
      <c r="CL182">
        <v>155.13999999999999</v>
      </c>
      <c r="CM182">
        <v>79.739999999999995</v>
      </c>
      <c r="CN182" s="187">
        <v>47.79</v>
      </c>
      <c r="CO182">
        <v>202.47</v>
      </c>
      <c r="CP182">
        <v>104</v>
      </c>
      <c r="CQ182">
        <v>111.68</v>
      </c>
      <c r="CR182">
        <v>73.17</v>
      </c>
      <c r="CS182" s="187">
        <v>199.61</v>
      </c>
      <c r="CT182">
        <v>311.27999999999997</v>
      </c>
      <c r="CU182">
        <v>27</v>
      </c>
      <c r="CV182">
        <v>95.12</v>
      </c>
      <c r="CW182">
        <v>76.23</v>
      </c>
      <c r="CX182" s="187">
        <v>75.56</v>
      </c>
      <c r="CY182">
        <v>170.68</v>
      </c>
      <c r="CZ182">
        <v>246</v>
      </c>
      <c r="DA182">
        <v>92.55</v>
      </c>
      <c r="DB182">
        <v>88.97</v>
      </c>
      <c r="DC182" s="187">
        <v>43.56</v>
      </c>
      <c r="DD182">
        <v>136.11000000000001</v>
      </c>
      <c r="DE182">
        <v>61</v>
      </c>
      <c r="DF182">
        <v>111.33</v>
      </c>
      <c r="DG182">
        <v>101.21</v>
      </c>
      <c r="DH182" s="187">
        <v>61.37</v>
      </c>
      <c r="DI182">
        <v>172.7</v>
      </c>
      <c r="DJ182">
        <v>1</v>
      </c>
      <c r="DK182">
        <v>0</v>
      </c>
      <c r="DL182">
        <v>0</v>
      </c>
      <c r="DM182" s="187">
        <v>0</v>
      </c>
      <c r="DN182">
        <v>0</v>
      </c>
      <c r="DO182">
        <v>0</v>
      </c>
      <c r="DP182">
        <v>96.03</v>
      </c>
      <c r="DQ182">
        <v>79.13</v>
      </c>
      <c r="DR182" s="187">
        <v>79.69</v>
      </c>
      <c r="DS182">
        <v>175.72</v>
      </c>
      <c r="DT182">
        <v>335</v>
      </c>
      <c r="DU182">
        <v>110.03</v>
      </c>
      <c r="DV182">
        <v>79.17</v>
      </c>
      <c r="DW182" s="187">
        <v>72.19</v>
      </c>
      <c r="DX182">
        <v>182.06</v>
      </c>
      <c r="DY182">
        <v>439</v>
      </c>
      <c r="DZ182">
        <v>0</v>
      </c>
      <c r="EA182">
        <v>0</v>
      </c>
      <c r="EB182" s="187">
        <v>70.66</v>
      </c>
      <c r="EC182">
        <v>2</v>
      </c>
      <c r="ED182">
        <v>86.92</v>
      </c>
      <c r="EE182">
        <v>97</v>
      </c>
      <c r="EF182">
        <v>102.85</v>
      </c>
      <c r="EG182" s="187">
        <v>215</v>
      </c>
      <c r="EH182">
        <v>110.26</v>
      </c>
      <c r="EI182">
        <v>92</v>
      </c>
      <c r="EJ182">
        <v>148.81</v>
      </c>
      <c r="EK182">
        <v>7</v>
      </c>
      <c r="EL182" s="187">
        <v>0</v>
      </c>
      <c r="EM182">
        <v>0</v>
      </c>
      <c r="EN182">
        <v>0</v>
      </c>
      <c r="EO182">
        <v>0</v>
      </c>
      <c r="EP182">
        <v>101.38</v>
      </c>
      <c r="EQ182" s="187">
        <v>413</v>
      </c>
      <c r="ER182">
        <v>101.38</v>
      </c>
      <c r="ES182">
        <v>413</v>
      </c>
      <c r="ET182">
        <v>0</v>
      </c>
      <c r="EU182">
        <v>0</v>
      </c>
      <c r="EV182" s="187">
        <v>0</v>
      </c>
      <c r="EW182">
        <v>0</v>
      </c>
      <c r="EX182">
        <v>163.95</v>
      </c>
      <c r="EY182">
        <v>5</v>
      </c>
      <c r="EZ182">
        <v>0</v>
      </c>
      <c r="FA182" s="187">
        <v>0</v>
      </c>
      <c r="FB182">
        <v>0</v>
      </c>
      <c r="FC182">
        <v>0</v>
      </c>
      <c r="FD182">
        <v>0</v>
      </c>
      <c r="FE182">
        <v>0</v>
      </c>
      <c r="FF182" s="187">
        <v>163.95</v>
      </c>
      <c r="FG182">
        <v>5</v>
      </c>
      <c r="FH182">
        <v>163.95</v>
      </c>
      <c r="FI182">
        <v>5</v>
      </c>
      <c r="FJ182">
        <v>0</v>
      </c>
      <c r="FK182" s="187">
        <v>0</v>
      </c>
      <c r="FL182">
        <v>5</v>
      </c>
      <c r="FM182">
        <v>24</v>
      </c>
      <c r="FN182">
        <v>9</v>
      </c>
    </row>
    <row r="183" spans="1:170" x14ac:dyDescent="0.35">
      <c r="A183" t="s">
        <v>754</v>
      </c>
      <c r="B183" t="s">
        <v>755</v>
      </c>
      <c r="C183" t="s">
        <v>417</v>
      </c>
      <c r="D183">
        <v>7323</v>
      </c>
      <c r="E183">
        <v>6763</v>
      </c>
      <c r="F183">
        <v>137</v>
      </c>
      <c r="G183">
        <v>0</v>
      </c>
      <c r="H183">
        <v>1502</v>
      </c>
      <c r="I183">
        <v>634</v>
      </c>
      <c r="J183">
        <v>1615</v>
      </c>
      <c r="K183">
        <v>1550</v>
      </c>
      <c r="L183">
        <v>412</v>
      </c>
      <c r="M183">
        <v>0</v>
      </c>
      <c r="N183">
        <v>10989</v>
      </c>
      <c r="O183">
        <v>8947</v>
      </c>
      <c r="P183">
        <v>10577</v>
      </c>
      <c r="Q183">
        <v>0</v>
      </c>
      <c r="R183">
        <v>14</v>
      </c>
      <c r="S183">
        <v>18</v>
      </c>
      <c r="T183">
        <v>1437</v>
      </c>
      <c r="U183">
        <v>9552</v>
      </c>
      <c r="V183" s="498">
        <v>6751</v>
      </c>
      <c r="W183">
        <v>69</v>
      </c>
      <c r="X183" s="498">
        <v>52</v>
      </c>
      <c r="Y183" s="498">
        <v>121</v>
      </c>
      <c r="Z183" s="498">
        <v>80.09</v>
      </c>
      <c r="AA183" s="498">
        <v>78.08</v>
      </c>
      <c r="AB183">
        <v>9.94</v>
      </c>
      <c r="AC183">
        <v>88.25</v>
      </c>
      <c r="AD183">
        <v>5650</v>
      </c>
      <c r="AE183">
        <v>87.61</v>
      </c>
      <c r="AF183">
        <v>74.41</v>
      </c>
      <c r="AG183">
        <v>66.37</v>
      </c>
      <c r="AH183">
        <v>152.36000000000001</v>
      </c>
      <c r="AI183">
        <v>2306</v>
      </c>
      <c r="AJ183">
        <v>104.73</v>
      </c>
      <c r="AK183">
        <v>1274</v>
      </c>
      <c r="AL183">
        <v>206.04</v>
      </c>
      <c r="AM183">
        <v>361</v>
      </c>
      <c r="AN183">
        <v>0</v>
      </c>
      <c r="AO183" s="499">
        <v>0</v>
      </c>
      <c r="AP183" s="499">
        <v>0</v>
      </c>
      <c r="AQ183">
        <v>0</v>
      </c>
      <c r="AR183">
        <v>0</v>
      </c>
      <c r="AS183">
        <v>65.23</v>
      </c>
      <c r="AT183">
        <v>62.54</v>
      </c>
      <c r="AU183">
        <v>17.89</v>
      </c>
      <c r="AV183">
        <v>82.79</v>
      </c>
      <c r="AW183">
        <v>159</v>
      </c>
      <c r="AX183">
        <v>73.13</v>
      </c>
      <c r="AY183">
        <v>71.17</v>
      </c>
      <c r="AZ183">
        <v>13.23</v>
      </c>
      <c r="BA183">
        <v>85.12</v>
      </c>
      <c r="BB183">
        <v>1919</v>
      </c>
      <c r="BC183">
        <v>80.88</v>
      </c>
      <c r="BD183">
        <v>78.72</v>
      </c>
      <c r="BE183">
        <v>8.77</v>
      </c>
      <c r="BF183">
        <v>87.83</v>
      </c>
      <c r="BG183">
        <v>1962</v>
      </c>
      <c r="BH183">
        <v>87.77</v>
      </c>
      <c r="BI183">
        <v>85.99</v>
      </c>
      <c r="BJ183">
        <v>5.82</v>
      </c>
      <c r="BK183">
        <v>92.16</v>
      </c>
      <c r="BL183" s="214">
        <v>1420</v>
      </c>
      <c r="BM183" s="214">
        <v>95.72</v>
      </c>
      <c r="BN183">
        <v>93.68</v>
      </c>
      <c r="BO183" s="187">
        <v>3.62</v>
      </c>
      <c r="BP183" s="214">
        <v>98.06</v>
      </c>
      <c r="BQ183" s="214">
        <v>172</v>
      </c>
      <c r="BR183">
        <v>112.66</v>
      </c>
      <c r="BS183" s="187">
        <v>109.45</v>
      </c>
      <c r="BT183" s="214">
        <v>3.17</v>
      </c>
      <c r="BU183" s="214">
        <v>113.39</v>
      </c>
      <c r="BV183">
        <v>13</v>
      </c>
      <c r="BW183">
        <v>111.6</v>
      </c>
      <c r="BX183" s="214">
        <v>109.15</v>
      </c>
      <c r="BY183" s="214">
        <v>3.44</v>
      </c>
      <c r="BZ183">
        <v>112.97</v>
      </c>
      <c r="CA183" s="187">
        <v>5</v>
      </c>
      <c r="CB183" s="214">
        <v>80.09</v>
      </c>
      <c r="CC183" s="214">
        <v>78.08</v>
      </c>
      <c r="CD183">
        <v>9.94</v>
      </c>
      <c r="CE183" s="187">
        <v>88.25</v>
      </c>
      <c r="CF183" s="214">
        <v>5650</v>
      </c>
      <c r="CG183" s="214">
        <v>80.09</v>
      </c>
      <c r="CH183">
        <v>78.08</v>
      </c>
      <c r="CI183">
        <v>9.94</v>
      </c>
      <c r="CJ183">
        <v>88.25</v>
      </c>
      <c r="CK183">
        <v>5650</v>
      </c>
      <c r="CL183">
        <v>102.16</v>
      </c>
      <c r="CM183">
        <v>75.739999999999995</v>
      </c>
      <c r="CN183" s="187">
        <v>128.51</v>
      </c>
      <c r="CO183">
        <v>226.06</v>
      </c>
      <c r="CP183">
        <v>446</v>
      </c>
      <c r="CQ183">
        <v>68.989999999999995</v>
      </c>
      <c r="CR183">
        <v>62.9</v>
      </c>
      <c r="CS183" s="187">
        <v>37.47</v>
      </c>
      <c r="CT183">
        <v>106.46</v>
      </c>
      <c r="CU183">
        <v>205</v>
      </c>
      <c r="CV183">
        <v>83.22</v>
      </c>
      <c r="CW183">
        <v>72.94</v>
      </c>
      <c r="CX183" s="187">
        <v>56.1</v>
      </c>
      <c r="CY183">
        <v>137.99</v>
      </c>
      <c r="CZ183">
        <v>1310</v>
      </c>
      <c r="DA183">
        <v>92.22</v>
      </c>
      <c r="DB183">
        <v>85.29</v>
      </c>
      <c r="DC183" s="187">
        <v>44.13</v>
      </c>
      <c r="DD183">
        <v>136.06</v>
      </c>
      <c r="DE183">
        <v>310</v>
      </c>
      <c r="DF183">
        <v>128.28</v>
      </c>
      <c r="DG183">
        <v>93.58</v>
      </c>
      <c r="DH183" s="187">
        <v>36.909999999999997</v>
      </c>
      <c r="DI183">
        <v>160.43</v>
      </c>
      <c r="DJ183">
        <v>31</v>
      </c>
      <c r="DK183">
        <v>182.45</v>
      </c>
      <c r="DL183">
        <v>0</v>
      </c>
      <c r="DM183" s="187">
        <v>49.32</v>
      </c>
      <c r="DN183">
        <v>194.78</v>
      </c>
      <c r="DO183">
        <v>4</v>
      </c>
      <c r="DP183">
        <v>84.12</v>
      </c>
      <c r="DQ183">
        <v>74.150000000000006</v>
      </c>
      <c r="DR183" s="187">
        <v>51.69</v>
      </c>
      <c r="DS183">
        <v>134.69</v>
      </c>
      <c r="DT183">
        <v>1860</v>
      </c>
      <c r="DU183">
        <v>87.61</v>
      </c>
      <c r="DV183">
        <v>74.41</v>
      </c>
      <c r="DW183" s="187">
        <v>66.37</v>
      </c>
      <c r="DX183">
        <v>152.36000000000001</v>
      </c>
      <c r="DY183">
        <v>2306</v>
      </c>
      <c r="DZ183">
        <v>0</v>
      </c>
      <c r="EA183">
        <v>0</v>
      </c>
      <c r="EB183" s="187">
        <v>116.8</v>
      </c>
      <c r="EC183">
        <v>1</v>
      </c>
      <c r="ED183">
        <v>85.75</v>
      </c>
      <c r="EE183">
        <v>128</v>
      </c>
      <c r="EF183">
        <v>103.21</v>
      </c>
      <c r="EG183" s="187">
        <v>749</v>
      </c>
      <c r="EH183">
        <v>112.27</v>
      </c>
      <c r="EI183">
        <v>371</v>
      </c>
      <c r="EJ183">
        <v>132.34</v>
      </c>
      <c r="EK183">
        <v>22</v>
      </c>
      <c r="EL183" s="187">
        <v>172.24</v>
      </c>
      <c r="EM183">
        <v>2</v>
      </c>
      <c r="EN183">
        <v>124.23</v>
      </c>
      <c r="EO183">
        <v>1</v>
      </c>
      <c r="EP183">
        <v>104.73</v>
      </c>
      <c r="EQ183" s="187">
        <v>1274</v>
      </c>
      <c r="ER183">
        <v>104.73</v>
      </c>
      <c r="ES183">
        <v>1274</v>
      </c>
      <c r="ET183">
        <v>0</v>
      </c>
      <c r="EU183">
        <v>0</v>
      </c>
      <c r="EV183" s="187">
        <v>217.1</v>
      </c>
      <c r="EW183">
        <v>25</v>
      </c>
      <c r="EX183">
        <v>211.97</v>
      </c>
      <c r="EY183">
        <v>143</v>
      </c>
      <c r="EZ183">
        <v>198.29</v>
      </c>
      <c r="FA183" s="187">
        <v>189</v>
      </c>
      <c r="FB183">
        <v>291.67</v>
      </c>
      <c r="FC183">
        <v>4</v>
      </c>
      <c r="FD183">
        <v>0</v>
      </c>
      <c r="FE183">
        <v>0</v>
      </c>
      <c r="FF183" s="187">
        <v>206.04</v>
      </c>
      <c r="FG183">
        <v>361</v>
      </c>
      <c r="FH183">
        <v>206.04</v>
      </c>
      <c r="FI183">
        <v>361</v>
      </c>
      <c r="FJ183">
        <v>0</v>
      </c>
      <c r="FK183" s="187">
        <v>10</v>
      </c>
      <c r="FL183">
        <v>2</v>
      </c>
      <c r="FM183">
        <v>14</v>
      </c>
      <c r="FN183">
        <v>17</v>
      </c>
    </row>
    <row r="184" spans="1:170" x14ac:dyDescent="0.35">
      <c r="A184" t="s">
        <v>756</v>
      </c>
      <c r="B184" t="s">
        <v>757</v>
      </c>
      <c r="C184" t="s">
        <v>420</v>
      </c>
      <c r="D184">
        <v>8687</v>
      </c>
      <c r="E184">
        <v>8685</v>
      </c>
      <c r="F184">
        <v>0</v>
      </c>
      <c r="G184">
        <v>0</v>
      </c>
      <c r="H184">
        <v>120</v>
      </c>
      <c r="I184">
        <v>32</v>
      </c>
      <c r="J184">
        <v>828</v>
      </c>
      <c r="K184">
        <v>1213</v>
      </c>
      <c r="L184">
        <v>274</v>
      </c>
      <c r="M184">
        <v>0</v>
      </c>
      <c r="N184">
        <v>9909</v>
      </c>
      <c r="O184">
        <v>9930</v>
      </c>
      <c r="P184">
        <v>9635</v>
      </c>
      <c r="Q184">
        <v>35</v>
      </c>
      <c r="R184">
        <v>3</v>
      </c>
      <c r="S184">
        <v>16</v>
      </c>
      <c r="T184">
        <v>85</v>
      </c>
      <c r="U184">
        <v>9824</v>
      </c>
      <c r="V184" s="498">
        <v>8687</v>
      </c>
      <c r="W184">
        <v>108</v>
      </c>
      <c r="X184" s="498">
        <v>50</v>
      </c>
      <c r="Y184" s="498">
        <v>158</v>
      </c>
      <c r="Z184" s="498">
        <v>79.62</v>
      </c>
      <c r="AA184" s="498">
        <v>80.89</v>
      </c>
      <c r="AB184">
        <v>4.55</v>
      </c>
      <c r="AC184">
        <v>83.95</v>
      </c>
      <c r="AD184">
        <v>8030</v>
      </c>
      <c r="AE184">
        <v>81.92</v>
      </c>
      <c r="AF184">
        <v>77.959999999999994</v>
      </c>
      <c r="AG184">
        <v>29.26</v>
      </c>
      <c r="AH184">
        <v>111.18</v>
      </c>
      <c r="AI184">
        <v>794</v>
      </c>
      <c r="AJ184">
        <v>99.65</v>
      </c>
      <c r="AK184">
        <v>552</v>
      </c>
      <c r="AL184">
        <v>256.68</v>
      </c>
      <c r="AM184">
        <v>70</v>
      </c>
      <c r="AN184">
        <v>0</v>
      </c>
      <c r="AO184" s="499">
        <v>0</v>
      </c>
      <c r="AP184" s="499">
        <v>0</v>
      </c>
      <c r="AQ184">
        <v>0</v>
      </c>
      <c r="AR184">
        <v>0</v>
      </c>
      <c r="AS184">
        <v>66.819999999999993</v>
      </c>
      <c r="AT184">
        <v>66.63</v>
      </c>
      <c r="AU184">
        <v>6.44</v>
      </c>
      <c r="AV184">
        <v>73.260000000000005</v>
      </c>
      <c r="AW184">
        <v>11</v>
      </c>
      <c r="AX184">
        <v>71</v>
      </c>
      <c r="AY184">
        <v>70.53</v>
      </c>
      <c r="AZ184">
        <v>5.55</v>
      </c>
      <c r="BA184">
        <v>76.489999999999995</v>
      </c>
      <c r="BB184">
        <v>2397</v>
      </c>
      <c r="BC184">
        <v>79.94</v>
      </c>
      <c r="BD184">
        <v>80.92</v>
      </c>
      <c r="BE184">
        <v>4.57</v>
      </c>
      <c r="BF184">
        <v>84.23</v>
      </c>
      <c r="BG184">
        <v>2983</v>
      </c>
      <c r="BH184">
        <v>86.78</v>
      </c>
      <c r="BI184">
        <v>89.89</v>
      </c>
      <c r="BJ184">
        <v>3.55</v>
      </c>
      <c r="BK184">
        <v>90.06</v>
      </c>
      <c r="BL184" s="214">
        <v>2501</v>
      </c>
      <c r="BM184" s="214">
        <v>93.57</v>
      </c>
      <c r="BN184">
        <v>97.98</v>
      </c>
      <c r="BO184" s="187">
        <v>3.54</v>
      </c>
      <c r="BP184" s="214">
        <v>97.03</v>
      </c>
      <c r="BQ184" s="214">
        <v>136</v>
      </c>
      <c r="BR184">
        <v>120.39</v>
      </c>
      <c r="BS184" s="187">
        <v>119.07</v>
      </c>
      <c r="BT184" s="214">
        <v>3.49</v>
      </c>
      <c r="BU184" s="214">
        <v>123.88</v>
      </c>
      <c r="BV184">
        <v>2</v>
      </c>
      <c r="BW184">
        <v>0</v>
      </c>
      <c r="BX184" s="214">
        <v>0</v>
      </c>
      <c r="BY184" s="214">
        <v>0</v>
      </c>
      <c r="BZ184">
        <v>0</v>
      </c>
      <c r="CA184" s="187">
        <v>0</v>
      </c>
      <c r="CB184" s="214">
        <v>79.62</v>
      </c>
      <c r="CC184" s="214">
        <v>80.89</v>
      </c>
      <c r="CD184">
        <v>4.55</v>
      </c>
      <c r="CE184" s="187">
        <v>83.95</v>
      </c>
      <c r="CF184" s="214">
        <v>8030</v>
      </c>
      <c r="CG184" s="214">
        <v>79.62</v>
      </c>
      <c r="CH184">
        <v>80.89</v>
      </c>
      <c r="CI184">
        <v>4.55</v>
      </c>
      <c r="CJ184">
        <v>83.95</v>
      </c>
      <c r="CK184">
        <v>8030</v>
      </c>
      <c r="CL184">
        <v>78.099999999999994</v>
      </c>
      <c r="CM184">
        <v>76.86</v>
      </c>
      <c r="CN184" s="187">
        <v>62.16</v>
      </c>
      <c r="CO184">
        <v>140.26</v>
      </c>
      <c r="CP184">
        <v>22</v>
      </c>
      <c r="CQ184">
        <v>90.91</v>
      </c>
      <c r="CR184">
        <v>65.400000000000006</v>
      </c>
      <c r="CS184" s="187">
        <v>46.65</v>
      </c>
      <c r="CT184">
        <v>137.56</v>
      </c>
      <c r="CU184">
        <v>33</v>
      </c>
      <c r="CV184">
        <v>77.61</v>
      </c>
      <c r="CW184">
        <v>74.58</v>
      </c>
      <c r="CX184" s="187">
        <v>26.12</v>
      </c>
      <c r="CY184">
        <v>103.73</v>
      </c>
      <c r="CZ184">
        <v>604</v>
      </c>
      <c r="DA184">
        <v>100.14</v>
      </c>
      <c r="DB184">
        <v>96.58</v>
      </c>
      <c r="DC184" s="187">
        <v>34.5</v>
      </c>
      <c r="DD184">
        <v>134.63999999999999</v>
      </c>
      <c r="DE184">
        <v>128</v>
      </c>
      <c r="DF184">
        <v>90.73</v>
      </c>
      <c r="DG184">
        <v>87.88</v>
      </c>
      <c r="DH184" s="187">
        <v>18.309999999999999</v>
      </c>
      <c r="DI184">
        <v>109.04</v>
      </c>
      <c r="DJ184">
        <v>7</v>
      </c>
      <c r="DK184">
        <v>0</v>
      </c>
      <c r="DL184">
        <v>0</v>
      </c>
      <c r="DM184" s="187">
        <v>0</v>
      </c>
      <c r="DN184">
        <v>0</v>
      </c>
      <c r="DO184">
        <v>0</v>
      </c>
      <c r="DP184">
        <v>82.03</v>
      </c>
      <c r="DQ184">
        <v>77.989999999999995</v>
      </c>
      <c r="DR184" s="187">
        <v>28.32</v>
      </c>
      <c r="DS184">
        <v>110.35</v>
      </c>
      <c r="DT184">
        <v>772</v>
      </c>
      <c r="DU184">
        <v>81.92</v>
      </c>
      <c r="DV184">
        <v>77.959999999999994</v>
      </c>
      <c r="DW184" s="187">
        <v>29.26</v>
      </c>
      <c r="DX184">
        <v>111.18</v>
      </c>
      <c r="DY184">
        <v>794</v>
      </c>
      <c r="DZ184">
        <v>0</v>
      </c>
      <c r="EA184">
        <v>0</v>
      </c>
      <c r="EB184" s="187">
        <v>0</v>
      </c>
      <c r="EC184">
        <v>0</v>
      </c>
      <c r="ED184">
        <v>83.02</v>
      </c>
      <c r="EE184">
        <v>54</v>
      </c>
      <c r="EF184">
        <v>94.96</v>
      </c>
      <c r="EG184" s="187">
        <v>263</v>
      </c>
      <c r="EH184">
        <v>105.73</v>
      </c>
      <c r="EI184">
        <v>201</v>
      </c>
      <c r="EJ184">
        <v>124.78</v>
      </c>
      <c r="EK184">
        <v>32</v>
      </c>
      <c r="EL184" s="187">
        <v>151.99</v>
      </c>
      <c r="EM184">
        <v>2</v>
      </c>
      <c r="EN184">
        <v>0</v>
      </c>
      <c r="EO184">
        <v>0</v>
      </c>
      <c r="EP184">
        <v>99.65</v>
      </c>
      <c r="EQ184" s="187">
        <v>552</v>
      </c>
      <c r="ER184">
        <v>99.65</v>
      </c>
      <c r="ES184">
        <v>552</v>
      </c>
      <c r="ET184">
        <v>0</v>
      </c>
      <c r="EU184">
        <v>0</v>
      </c>
      <c r="EV184" s="187">
        <v>0</v>
      </c>
      <c r="EW184">
        <v>0</v>
      </c>
      <c r="EX184">
        <v>235.03</v>
      </c>
      <c r="EY184">
        <v>32</v>
      </c>
      <c r="EZ184">
        <v>274.89999999999998</v>
      </c>
      <c r="FA184" s="187">
        <v>38</v>
      </c>
      <c r="FB184">
        <v>0</v>
      </c>
      <c r="FC184">
        <v>0</v>
      </c>
      <c r="FD184">
        <v>0</v>
      </c>
      <c r="FE184">
        <v>0</v>
      </c>
      <c r="FF184" s="187">
        <v>256.68</v>
      </c>
      <c r="FG184">
        <v>70</v>
      </c>
      <c r="FH184">
        <v>256.68</v>
      </c>
      <c r="FI184">
        <v>70</v>
      </c>
      <c r="FJ184">
        <v>0</v>
      </c>
      <c r="FK184" s="187">
        <v>17</v>
      </c>
      <c r="FL184">
        <v>17</v>
      </c>
      <c r="FM184">
        <v>29</v>
      </c>
      <c r="FN184">
        <v>3</v>
      </c>
    </row>
    <row r="185" spans="1:170" x14ac:dyDescent="0.35">
      <c r="A185" t="s">
        <v>758</v>
      </c>
      <c r="B185" t="s">
        <v>759</v>
      </c>
      <c r="C185" t="s">
        <v>416</v>
      </c>
      <c r="D185">
        <v>12888</v>
      </c>
      <c r="E185">
        <v>13939</v>
      </c>
      <c r="F185">
        <v>22</v>
      </c>
      <c r="G185">
        <v>6</v>
      </c>
      <c r="H185">
        <v>915</v>
      </c>
      <c r="I185">
        <v>631</v>
      </c>
      <c r="J185">
        <v>917</v>
      </c>
      <c r="K185">
        <v>900</v>
      </c>
      <c r="L185">
        <v>2825</v>
      </c>
      <c r="M185">
        <v>344</v>
      </c>
      <c r="N185">
        <v>17567</v>
      </c>
      <c r="O185">
        <v>15820</v>
      </c>
      <c r="P185">
        <v>14742</v>
      </c>
      <c r="Q185">
        <v>129</v>
      </c>
      <c r="R185">
        <v>19</v>
      </c>
      <c r="S185">
        <v>31</v>
      </c>
      <c r="T185">
        <v>822</v>
      </c>
      <c r="U185">
        <v>16745</v>
      </c>
      <c r="V185" s="498">
        <v>12269</v>
      </c>
      <c r="W185">
        <v>505</v>
      </c>
      <c r="X185" s="498">
        <v>37</v>
      </c>
      <c r="Y185" s="498">
        <v>542</v>
      </c>
      <c r="Z185" s="498">
        <v>122.52</v>
      </c>
      <c r="AA185" s="498">
        <v>123.14</v>
      </c>
      <c r="AB185">
        <v>11.75</v>
      </c>
      <c r="AC185">
        <v>130.09</v>
      </c>
      <c r="AD185">
        <v>9524</v>
      </c>
      <c r="AE185">
        <v>106.63</v>
      </c>
      <c r="AF185">
        <v>99.16</v>
      </c>
      <c r="AG185">
        <v>63.96</v>
      </c>
      <c r="AH185">
        <v>168.01</v>
      </c>
      <c r="AI185">
        <v>1561</v>
      </c>
      <c r="AJ185">
        <v>213.12</v>
      </c>
      <c r="AK185">
        <v>1524</v>
      </c>
      <c r="AL185">
        <v>200.11</v>
      </c>
      <c r="AM185">
        <v>53</v>
      </c>
      <c r="AN185">
        <v>94.15</v>
      </c>
      <c r="AO185" s="499">
        <v>103.89</v>
      </c>
      <c r="AP185" s="499">
        <v>12.62</v>
      </c>
      <c r="AQ185">
        <v>106.77</v>
      </c>
      <c r="AR185">
        <v>10</v>
      </c>
      <c r="AS185">
        <v>89.15</v>
      </c>
      <c r="AT185">
        <v>86.82</v>
      </c>
      <c r="AU185">
        <v>17.89</v>
      </c>
      <c r="AV185">
        <v>107.05</v>
      </c>
      <c r="AW185">
        <v>37</v>
      </c>
      <c r="AX185">
        <v>100.61</v>
      </c>
      <c r="AY185">
        <v>99.98</v>
      </c>
      <c r="AZ185">
        <v>9.92</v>
      </c>
      <c r="BA185">
        <v>109.06</v>
      </c>
      <c r="BB185">
        <v>2261</v>
      </c>
      <c r="BC185">
        <v>117.45</v>
      </c>
      <c r="BD185">
        <v>117.35</v>
      </c>
      <c r="BE185">
        <v>13.2</v>
      </c>
      <c r="BF185">
        <v>125.93</v>
      </c>
      <c r="BG185">
        <v>3382</v>
      </c>
      <c r="BH185">
        <v>136.07</v>
      </c>
      <c r="BI185">
        <v>137.43</v>
      </c>
      <c r="BJ185">
        <v>13.62</v>
      </c>
      <c r="BK185">
        <v>142.85</v>
      </c>
      <c r="BL185" s="214">
        <v>2846</v>
      </c>
      <c r="BM185" s="214">
        <v>149.5</v>
      </c>
      <c r="BN185">
        <v>152.66999999999999</v>
      </c>
      <c r="BO185" s="187">
        <v>7.51</v>
      </c>
      <c r="BP185" s="214">
        <v>153.84</v>
      </c>
      <c r="BQ185" s="214">
        <v>821</v>
      </c>
      <c r="BR185">
        <v>162.9</v>
      </c>
      <c r="BS185" s="187">
        <v>167.74</v>
      </c>
      <c r="BT185" s="214">
        <v>10.199999999999999</v>
      </c>
      <c r="BU185" s="214">
        <v>167.69</v>
      </c>
      <c r="BV185">
        <v>98</v>
      </c>
      <c r="BW185">
        <v>173.38</v>
      </c>
      <c r="BX185" s="214">
        <v>185.08</v>
      </c>
      <c r="BY185" s="214">
        <v>3.84</v>
      </c>
      <c r="BZ185">
        <v>176.39</v>
      </c>
      <c r="CA185" s="187">
        <v>69</v>
      </c>
      <c r="CB185" s="214">
        <v>122.55</v>
      </c>
      <c r="CC185" s="214">
        <v>123.16</v>
      </c>
      <c r="CD185">
        <v>11.75</v>
      </c>
      <c r="CE185" s="187">
        <v>130.12</v>
      </c>
      <c r="CF185" s="214">
        <v>9514</v>
      </c>
      <c r="CG185" s="214">
        <v>122.52</v>
      </c>
      <c r="CH185">
        <v>123.14</v>
      </c>
      <c r="CI185">
        <v>11.75</v>
      </c>
      <c r="CJ185">
        <v>130.09</v>
      </c>
      <c r="CK185">
        <v>9524</v>
      </c>
      <c r="CL185">
        <v>101.64</v>
      </c>
      <c r="CM185">
        <v>96.68</v>
      </c>
      <c r="CN185" s="187">
        <v>19.25</v>
      </c>
      <c r="CO185">
        <v>117.51</v>
      </c>
      <c r="CP185">
        <v>131</v>
      </c>
      <c r="CQ185">
        <v>87.23</v>
      </c>
      <c r="CR185">
        <v>80.52</v>
      </c>
      <c r="CS185" s="187">
        <v>93.27</v>
      </c>
      <c r="CT185">
        <v>179.72</v>
      </c>
      <c r="CU185">
        <v>120</v>
      </c>
      <c r="CV185">
        <v>107.06</v>
      </c>
      <c r="CW185">
        <v>99.34</v>
      </c>
      <c r="CX185" s="187">
        <v>64.680000000000007</v>
      </c>
      <c r="CY185">
        <v>170.48</v>
      </c>
      <c r="CZ185">
        <v>1188</v>
      </c>
      <c r="DA185">
        <v>126.18</v>
      </c>
      <c r="DB185">
        <v>117.91</v>
      </c>
      <c r="DC185" s="187">
        <v>74.790000000000006</v>
      </c>
      <c r="DD185">
        <v>190.58</v>
      </c>
      <c r="DE185">
        <v>108</v>
      </c>
      <c r="DF185">
        <v>128.44</v>
      </c>
      <c r="DG185">
        <v>121.68</v>
      </c>
      <c r="DH185" s="187">
        <v>28.43</v>
      </c>
      <c r="DI185">
        <v>154.28</v>
      </c>
      <c r="DJ185">
        <v>11</v>
      </c>
      <c r="DK185">
        <v>146.29</v>
      </c>
      <c r="DL185">
        <v>149.07</v>
      </c>
      <c r="DM185" s="187">
        <v>15</v>
      </c>
      <c r="DN185">
        <v>161.29</v>
      </c>
      <c r="DO185">
        <v>3</v>
      </c>
      <c r="DP185">
        <v>107.08</v>
      </c>
      <c r="DQ185">
        <v>99.39</v>
      </c>
      <c r="DR185" s="187">
        <v>67.430000000000007</v>
      </c>
      <c r="DS185">
        <v>172.63</v>
      </c>
      <c r="DT185">
        <v>1430</v>
      </c>
      <c r="DU185">
        <v>106.63</v>
      </c>
      <c r="DV185">
        <v>99.16</v>
      </c>
      <c r="DW185" s="187">
        <v>63.96</v>
      </c>
      <c r="DX185">
        <v>168.01</v>
      </c>
      <c r="DY185">
        <v>1561</v>
      </c>
      <c r="DZ185">
        <v>0</v>
      </c>
      <c r="EA185">
        <v>0</v>
      </c>
      <c r="EB185" s="187">
        <v>152.41999999999999</v>
      </c>
      <c r="EC185">
        <v>8</v>
      </c>
      <c r="ED185">
        <v>174.65</v>
      </c>
      <c r="EE185">
        <v>484</v>
      </c>
      <c r="EF185">
        <v>219.91</v>
      </c>
      <c r="EG185" s="187">
        <v>615</v>
      </c>
      <c r="EH185">
        <v>248.22</v>
      </c>
      <c r="EI185">
        <v>398</v>
      </c>
      <c r="EJ185">
        <v>263.22000000000003</v>
      </c>
      <c r="EK185">
        <v>19</v>
      </c>
      <c r="EL185" s="187">
        <v>0</v>
      </c>
      <c r="EM185">
        <v>0</v>
      </c>
      <c r="EN185">
        <v>0</v>
      </c>
      <c r="EO185">
        <v>0</v>
      </c>
      <c r="EP185">
        <v>213.12</v>
      </c>
      <c r="EQ185" s="187">
        <v>1524</v>
      </c>
      <c r="ER185">
        <v>213.12</v>
      </c>
      <c r="ES185">
        <v>1524</v>
      </c>
      <c r="ET185">
        <v>0</v>
      </c>
      <c r="EU185">
        <v>0</v>
      </c>
      <c r="EV185" s="187">
        <v>213.97</v>
      </c>
      <c r="EW185">
        <v>15</v>
      </c>
      <c r="EX185">
        <v>192.25</v>
      </c>
      <c r="EY185">
        <v>33</v>
      </c>
      <c r="EZ185">
        <v>210.33</v>
      </c>
      <c r="FA185" s="187">
        <v>5</v>
      </c>
      <c r="FB185">
        <v>0</v>
      </c>
      <c r="FC185">
        <v>0</v>
      </c>
      <c r="FD185">
        <v>0</v>
      </c>
      <c r="FE185">
        <v>0</v>
      </c>
      <c r="FF185" s="187">
        <v>200.11</v>
      </c>
      <c r="FG185">
        <v>53</v>
      </c>
      <c r="FH185">
        <v>200.11</v>
      </c>
      <c r="FI185">
        <v>53</v>
      </c>
      <c r="FJ185">
        <v>0</v>
      </c>
      <c r="FK185" s="187">
        <v>10</v>
      </c>
      <c r="FL185">
        <v>2</v>
      </c>
      <c r="FM185">
        <v>218</v>
      </c>
      <c r="FN185">
        <v>116</v>
      </c>
    </row>
    <row r="186" spans="1:170" x14ac:dyDescent="0.35">
      <c r="A186" t="s">
        <v>760</v>
      </c>
      <c r="B186" t="s">
        <v>761</v>
      </c>
      <c r="C186" t="s">
        <v>419</v>
      </c>
      <c r="D186">
        <v>4086</v>
      </c>
      <c r="E186">
        <v>4102</v>
      </c>
      <c r="F186">
        <v>0</v>
      </c>
      <c r="G186">
        <v>0</v>
      </c>
      <c r="H186">
        <v>73</v>
      </c>
      <c r="I186">
        <v>34</v>
      </c>
      <c r="J186">
        <v>795</v>
      </c>
      <c r="K186">
        <v>740</v>
      </c>
      <c r="L186">
        <v>445</v>
      </c>
      <c r="M186">
        <v>45</v>
      </c>
      <c r="N186">
        <v>5399</v>
      </c>
      <c r="O186">
        <v>4921</v>
      </c>
      <c r="P186">
        <v>4954</v>
      </c>
      <c r="Q186">
        <v>3</v>
      </c>
      <c r="R186">
        <v>8</v>
      </c>
      <c r="S186">
        <v>18</v>
      </c>
      <c r="T186">
        <v>116</v>
      </c>
      <c r="U186">
        <v>5283</v>
      </c>
      <c r="V186" s="498">
        <v>4049</v>
      </c>
      <c r="W186">
        <v>9</v>
      </c>
      <c r="X186" s="498">
        <v>29</v>
      </c>
      <c r="Y186" s="498">
        <v>38</v>
      </c>
      <c r="Z186" s="498">
        <v>87.51</v>
      </c>
      <c r="AA186" s="498">
        <v>86.82</v>
      </c>
      <c r="AB186">
        <v>3.97</v>
      </c>
      <c r="AC186">
        <v>90.2</v>
      </c>
      <c r="AD186">
        <v>3529</v>
      </c>
      <c r="AE186">
        <v>78</v>
      </c>
      <c r="AF186">
        <v>76.17</v>
      </c>
      <c r="AG186">
        <v>22.82</v>
      </c>
      <c r="AH186">
        <v>100.76</v>
      </c>
      <c r="AI186">
        <v>758</v>
      </c>
      <c r="AJ186">
        <v>118.28</v>
      </c>
      <c r="AK186">
        <v>488</v>
      </c>
      <c r="AL186">
        <v>135.83000000000001</v>
      </c>
      <c r="AM186">
        <v>31</v>
      </c>
      <c r="AN186">
        <v>0</v>
      </c>
      <c r="AO186" s="499">
        <v>0</v>
      </c>
      <c r="AP186" s="499">
        <v>0</v>
      </c>
      <c r="AQ186">
        <v>0</v>
      </c>
      <c r="AR186">
        <v>0</v>
      </c>
      <c r="AS186">
        <v>58.6</v>
      </c>
      <c r="AT186">
        <v>55.8</v>
      </c>
      <c r="AU186">
        <v>15.24</v>
      </c>
      <c r="AV186">
        <v>73.84</v>
      </c>
      <c r="AW186">
        <v>1</v>
      </c>
      <c r="AX186">
        <v>73.900000000000006</v>
      </c>
      <c r="AY186">
        <v>73.319999999999993</v>
      </c>
      <c r="AZ186">
        <v>5.76</v>
      </c>
      <c r="BA186">
        <v>79.040000000000006</v>
      </c>
      <c r="BB186">
        <v>859</v>
      </c>
      <c r="BC186">
        <v>86.77</v>
      </c>
      <c r="BD186">
        <v>86.01</v>
      </c>
      <c r="BE186">
        <v>3.66</v>
      </c>
      <c r="BF186">
        <v>89.41</v>
      </c>
      <c r="BG186">
        <v>1432</v>
      </c>
      <c r="BH186">
        <v>96.58</v>
      </c>
      <c r="BI186">
        <v>95.91</v>
      </c>
      <c r="BJ186">
        <v>2.17</v>
      </c>
      <c r="BK186">
        <v>97.56</v>
      </c>
      <c r="BL186" s="214">
        <v>1130</v>
      </c>
      <c r="BM186" s="214">
        <v>111.35</v>
      </c>
      <c r="BN186">
        <v>110.47</v>
      </c>
      <c r="BO186" s="187">
        <v>2.39</v>
      </c>
      <c r="BP186" s="214">
        <v>113.17</v>
      </c>
      <c r="BQ186" s="214">
        <v>101</v>
      </c>
      <c r="BR186">
        <v>104.05</v>
      </c>
      <c r="BS186" s="187">
        <v>103.34</v>
      </c>
      <c r="BT186" s="214">
        <v>0.82</v>
      </c>
      <c r="BU186" s="214">
        <v>104.71</v>
      </c>
      <c r="BV186">
        <v>5</v>
      </c>
      <c r="BW186">
        <v>128.53</v>
      </c>
      <c r="BX186" s="214">
        <v>128.53</v>
      </c>
      <c r="BY186" s="214">
        <v>0.52</v>
      </c>
      <c r="BZ186">
        <v>129.05000000000001</v>
      </c>
      <c r="CA186" s="187">
        <v>1</v>
      </c>
      <c r="CB186" s="214">
        <v>87.51</v>
      </c>
      <c r="CC186" s="214">
        <v>86.82</v>
      </c>
      <c r="CD186">
        <v>3.97</v>
      </c>
      <c r="CE186" s="187">
        <v>90.2</v>
      </c>
      <c r="CF186" s="214">
        <v>3529</v>
      </c>
      <c r="CG186" s="214">
        <v>87.51</v>
      </c>
      <c r="CH186">
        <v>86.82</v>
      </c>
      <c r="CI186">
        <v>3.97</v>
      </c>
      <c r="CJ186">
        <v>90.2</v>
      </c>
      <c r="CK186">
        <v>3529</v>
      </c>
      <c r="CL186">
        <v>84</v>
      </c>
      <c r="CM186">
        <v>64.47</v>
      </c>
      <c r="CN186" s="187">
        <v>103.1</v>
      </c>
      <c r="CO186">
        <v>187.1</v>
      </c>
      <c r="CP186">
        <v>45</v>
      </c>
      <c r="CQ186">
        <v>61.32</v>
      </c>
      <c r="CR186">
        <v>61.32</v>
      </c>
      <c r="CS186" s="187">
        <v>13.8</v>
      </c>
      <c r="CT186">
        <v>75.12</v>
      </c>
      <c r="CU186">
        <v>6</v>
      </c>
      <c r="CV186">
        <v>76.09</v>
      </c>
      <c r="CW186">
        <v>75.099999999999994</v>
      </c>
      <c r="CX186" s="187">
        <v>19.12</v>
      </c>
      <c r="CY186">
        <v>95.21</v>
      </c>
      <c r="CZ186">
        <v>609</v>
      </c>
      <c r="DA186">
        <v>88.16</v>
      </c>
      <c r="DB186">
        <v>87.84</v>
      </c>
      <c r="DC186" s="187">
        <v>9.2200000000000006</v>
      </c>
      <c r="DD186">
        <v>97.19</v>
      </c>
      <c r="DE186">
        <v>98</v>
      </c>
      <c r="DF186">
        <v>0</v>
      </c>
      <c r="DG186">
        <v>0</v>
      </c>
      <c r="DH186" s="187">
        <v>0</v>
      </c>
      <c r="DI186">
        <v>0</v>
      </c>
      <c r="DJ186">
        <v>0</v>
      </c>
      <c r="DK186">
        <v>0</v>
      </c>
      <c r="DL186">
        <v>0</v>
      </c>
      <c r="DM186" s="187">
        <v>0</v>
      </c>
      <c r="DN186">
        <v>0</v>
      </c>
      <c r="DO186">
        <v>0</v>
      </c>
      <c r="DP186">
        <v>77.62</v>
      </c>
      <c r="DQ186">
        <v>76.73</v>
      </c>
      <c r="DR186" s="187">
        <v>17.739999999999998</v>
      </c>
      <c r="DS186">
        <v>95.31</v>
      </c>
      <c r="DT186">
        <v>713</v>
      </c>
      <c r="DU186">
        <v>78</v>
      </c>
      <c r="DV186">
        <v>76.17</v>
      </c>
      <c r="DW186" s="187">
        <v>22.82</v>
      </c>
      <c r="DX186">
        <v>100.76</v>
      </c>
      <c r="DY186">
        <v>758</v>
      </c>
      <c r="DZ186">
        <v>0</v>
      </c>
      <c r="EA186">
        <v>0</v>
      </c>
      <c r="EB186" s="187">
        <v>0</v>
      </c>
      <c r="EC186">
        <v>0</v>
      </c>
      <c r="ED186">
        <v>88.13</v>
      </c>
      <c r="EE186">
        <v>3</v>
      </c>
      <c r="EF186">
        <v>112.01</v>
      </c>
      <c r="EG186" s="187">
        <v>223</v>
      </c>
      <c r="EH186">
        <v>123.16</v>
      </c>
      <c r="EI186">
        <v>245</v>
      </c>
      <c r="EJ186">
        <v>136.74</v>
      </c>
      <c r="EK186">
        <v>15</v>
      </c>
      <c r="EL186" s="187">
        <v>127.27</v>
      </c>
      <c r="EM186">
        <v>2</v>
      </c>
      <c r="EN186">
        <v>0</v>
      </c>
      <c r="EO186">
        <v>0</v>
      </c>
      <c r="EP186">
        <v>118.28</v>
      </c>
      <c r="EQ186" s="187">
        <v>488</v>
      </c>
      <c r="ER186">
        <v>118.28</v>
      </c>
      <c r="ES186">
        <v>488</v>
      </c>
      <c r="ET186">
        <v>0</v>
      </c>
      <c r="EU186">
        <v>0</v>
      </c>
      <c r="EV186" s="187">
        <v>0</v>
      </c>
      <c r="EW186">
        <v>0</v>
      </c>
      <c r="EX186">
        <v>122.89</v>
      </c>
      <c r="EY186">
        <v>7</v>
      </c>
      <c r="EZ186">
        <v>139.61000000000001</v>
      </c>
      <c r="FA186" s="187">
        <v>24</v>
      </c>
      <c r="FB186">
        <v>0</v>
      </c>
      <c r="FC186">
        <v>0</v>
      </c>
      <c r="FD186">
        <v>0</v>
      </c>
      <c r="FE186">
        <v>0</v>
      </c>
      <c r="FF186" s="187">
        <v>135.83000000000001</v>
      </c>
      <c r="FG186">
        <v>31</v>
      </c>
      <c r="FH186">
        <v>135.83000000000001</v>
      </c>
      <c r="FI186">
        <v>31</v>
      </c>
      <c r="FJ186">
        <v>37</v>
      </c>
      <c r="FK186" s="187">
        <v>7</v>
      </c>
      <c r="FL186">
        <v>3</v>
      </c>
      <c r="FM186">
        <v>36</v>
      </c>
      <c r="FN186">
        <v>12</v>
      </c>
    </row>
    <row r="187" spans="1:170" x14ac:dyDescent="0.35">
      <c r="A187" t="s">
        <v>762</v>
      </c>
      <c r="B187" t="s">
        <v>763</v>
      </c>
      <c r="C187" t="s">
        <v>414</v>
      </c>
      <c r="D187">
        <v>937</v>
      </c>
      <c r="E187">
        <v>788</v>
      </c>
      <c r="F187">
        <v>1</v>
      </c>
      <c r="G187">
        <v>1</v>
      </c>
      <c r="H187">
        <v>90</v>
      </c>
      <c r="I187">
        <v>58</v>
      </c>
      <c r="J187">
        <v>117</v>
      </c>
      <c r="K187">
        <v>95</v>
      </c>
      <c r="L187">
        <v>258</v>
      </c>
      <c r="M187">
        <v>12</v>
      </c>
      <c r="N187">
        <v>1403</v>
      </c>
      <c r="O187">
        <v>954</v>
      </c>
      <c r="P187">
        <v>1145</v>
      </c>
      <c r="Q187">
        <v>2</v>
      </c>
      <c r="R187">
        <v>5</v>
      </c>
      <c r="S187">
        <v>23</v>
      </c>
      <c r="T187">
        <v>189</v>
      </c>
      <c r="U187">
        <v>1214</v>
      </c>
      <c r="V187" s="498">
        <v>750</v>
      </c>
      <c r="W187">
        <v>2</v>
      </c>
      <c r="X187" s="498">
        <v>2</v>
      </c>
      <c r="Y187" s="498">
        <v>4</v>
      </c>
      <c r="Z187" s="498">
        <v>92.47</v>
      </c>
      <c r="AA187" s="498">
        <v>90.57</v>
      </c>
      <c r="AB187">
        <v>3.19</v>
      </c>
      <c r="AC187">
        <v>93.92</v>
      </c>
      <c r="AD187">
        <v>538</v>
      </c>
      <c r="AE187">
        <v>107.68</v>
      </c>
      <c r="AF187">
        <v>88.8</v>
      </c>
      <c r="AG187">
        <v>41.06</v>
      </c>
      <c r="AH187">
        <v>146.74</v>
      </c>
      <c r="AI187">
        <v>205</v>
      </c>
      <c r="AJ187">
        <v>106.28</v>
      </c>
      <c r="AK187">
        <v>375</v>
      </c>
      <c r="AL187">
        <v>0</v>
      </c>
      <c r="AM187">
        <v>0</v>
      </c>
      <c r="AN187">
        <v>68.400000000000006</v>
      </c>
      <c r="AO187" s="499">
        <v>68.400000000000006</v>
      </c>
      <c r="AP187" s="499">
        <v>0</v>
      </c>
      <c r="AQ187">
        <v>68.400000000000006</v>
      </c>
      <c r="AR187">
        <v>1</v>
      </c>
      <c r="AS187">
        <v>0</v>
      </c>
      <c r="AT187">
        <v>0</v>
      </c>
      <c r="AU187">
        <v>0</v>
      </c>
      <c r="AV187">
        <v>0</v>
      </c>
      <c r="AW187">
        <v>0</v>
      </c>
      <c r="AX187">
        <v>75.709999999999994</v>
      </c>
      <c r="AY187">
        <v>74.14</v>
      </c>
      <c r="AZ187">
        <v>2.89</v>
      </c>
      <c r="BA187">
        <v>78.5</v>
      </c>
      <c r="BB187">
        <v>122</v>
      </c>
      <c r="BC187">
        <v>92.85</v>
      </c>
      <c r="BD187">
        <v>91.49</v>
      </c>
      <c r="BE187">
        <v>3.95</v>
      </c>
      <c r="BF187">
        <v>94.27</v>
      </c>
      <c r="BG187">
        <v>277</v>
      </c>
      <c r="BH187">
        <v>105.73</v>
      </c>
      <c r="BI187">
        <v>102.72</v>
      </c>
      <c r="BJ187">
        <v>1.89</v>
      </c>
      <c r="BK187">
        <v>106.08</v>
      </c>
      <c r="BL187" s="214">
        <v>131</v>
      </c>
      <c r="BM187" s="214">
        <v>124.38</v>
      </c>
      <c r="BN187">
        <v>116.03</v>
      </c>
      <c r="BO187" s="187">
        <v>1.35</v>
      </c>
      <c r="BP187" s="214">
        <v>125.35</v>
      </c>
      <c r="BQ187" s="214">
        <v>7</v>
      </c>
      <c r="BR187">
        <v>0</v>
      </c>
      <c r="BS187" s="187">
        <v>0</v>
      </c>
      <c r="BT187" s="214">
        <v>0</v>
      </c>
      <c r="BU187" s="214">
        <v>0</v>
      </c>
      <c r="BV187">
        <v>0</v>
      </c>
      <c r="BW187">
        <v>0</v>
      </c>
      <c r="BX187" s="214">
        <v>0</v>
      </c>
      <c r="BY187" s="214">
        <v>0</v>
      </c>
      <c r="BZ187">
        <v>0</v>
      </c>
      <c r="CA187" s="187">
        <v>0</v>
      </c>
      <c r="CB187" s="214">
        <v>92.51</v>
      </c>
      <c r="CC187" s="214">
        <v>90.61</v>
      </c>
      <c r="CD187">
        <v>3.19</v>
      </c>
      <c r="CE187" s="187">
        <v>93.97</v>
      </c>
      <c r="CF187" s="214">
        <v>537</v>
      </c>
      <c r="CG187" s="214">
        <v>92.47</v>
      </c>
      <c r="CH187">
        <v>90.57</v>
      </c>
      <c r="CI187">
        <v>3.19</v>
      </c>
      <c r="CJ187">
        <v>93.92</v>
      </c>
      <c r="CK187">
        <v>538</v>
      </c>
      <c r="CL187">
        <v>126.76</v>
      </c>
      <c r="CM187">
        <v>48.95</v>
      </c>
      <c r="CN187" s="187">
        <v>32.22</v>
      </c>
      <c r="CO187">
        <v>157.12</v>
      </c>
      <c r="CP187">
        <v>52</v>
      </c>
      <c r="CQ187">
        <v>86.21</v>
      </c>
      <c r="CR187">
        <v>75.83</v>
      </c>
      <c r="CS187" s="187">
        <v>57.85</v>
      </c>
      <c r="CT187">
        <v>144.06</v>
      </c>
      <c r="CU187">
        <v>17</v>
      </c>
      <c r="CV187">
        <v>93.74</v>
      </c>
      <c r="CW187">
        <v>84.28</v>
      </c>
      <c r="CX187" s="187">
        <v>44.25</v>
      </c>
      <c r="CY187">
        <v>133.37</v>
      </c>
      <c r="CZ187">
        <v>67</v>
      </c>
      <c r="DA187">
        <v>112.14</v>
      </c>
      <c r="DB187">
        <v>107.24</v>
      </c>
      <c r="DC187" s="187">
        <v>40.42</v>
      </c>
      <c r="DD187">
        <v>152.56</v>
      </c>
      <c r="DE187">
        <v>69</v>
      </c>
      <c r="DF187">
        <v>0</v>
      </c>
      <c r="DG187">
        <v>0</v>
      </c>
      <c r="DH187" s="187">
        <v>0</v>
      </c>
      <c r="DI187">
        <v>0</v>
      </c>
      <c r="DJ187">
        <v>0</v>
      </c>
      <c r="DK187">
        <v>0</v>
      </c>
      <c r="DL187">
        <v>0</v>
      </c>
      <c r="DM187" s="187">
        <v>0</v>
      </c>
      <c r="DN187">
        <v>0</v>
      </c>
      <c r="DO187">
        <v>0</v>
      </c>
      <c r="DP187">
        <v>101.2</v>
      </c>
      <c r="DQ187">
        <v>96.5</v>
      </c>
      <c r="DR187" s="187">
        <v>44.02</v>
      </c>
      <c r="DS187">
        <v>143.21</v>
      </c>
      <c r="DT187">
        <v>153</v>
      </c>
      <c r="DU187">
        <v>107.68</v>
      </c>
      <c r="DV187">
        <v>88.8</v>
      </c>
      <c r="DW187" s="187">
        <v>41.06</v>
      </c>
      <c r="DX187">
        <v>146.74</v>
      </c>
      <c r="DY187">
        <v>205</v>
      </c>
      <c r="DZ187">
        <v>0</v>
      </c>
      <c r="EA187">
        <v>0</v>
      </c>
      <c r="EB187" s="187">
        <v>0</v>
      </c>
      <c r="EC187">
        <v>0</v>
      </c>
      <c r="ED187">
        <v>89.12</v>
      </c>
      <c r="EE187">
        <v>64</v>
      </c>
      <c r="EF187">
        <v>103.98</v>
      </c>
      <c r="EG187" s="187">
        <v>200</v>
      </c>
      <c r="EH187">
        <v>119.17</v>
      </c>
      <c r="EI187">
        <v>103</v>
      </c>
      <c r="EJ187">
        <v>135.21</v>
      </c>
      <c r="EK187">
        <v>8</v>
      </c>
      <c r="EL187" s="187">
        <v>0</v>
      </c>
      <c r="EM187">
        <v>0</v>
      </c>
      <c r="EN187">
        <v>0</v>
      </c>
      <c r="EO187">
        <v>0</v>
      </c>
      <c r="EP187">
        <v>106.28</v>
      </c>
      <c r="EQ187" s="187">
        <v>375</v>
      </c>
      <c r="ER187">
        <v>106.28</v>
      </c>
      <c r="ES187">
        <v>375</v>
      </c>
      <c r="ET187">
        <v>0</v>
      </c>
      <c r="EU187">
        <v>0</v>
      </c>
      <c r="EV187" s="187">
        <v>0</v>
      </c>
      <c r="EW187">
        <v>0</v>
      </c>
      <c r="EX187">
        <v>0</v>
      </c>
      <c r="EY187">
        <v>0</v>
      </c>
      <c r="EZ187">
        <v>0</v>
      </c>
      <c r="FA187" s="187">
        <v>0</v>
      </c>
      <c r="FB187">
        <v>0</v>
      </c>
      <c r="FC187">
        <v>0</v>
      </c>
      <c r="FD187">
        <v>0</v>
      </c>
      <c r="FE187">
        <v>0</v>
      </c>
      <c r="FF187" s="187">
        <v>0</v>
      </c>
      <c r="FG187">
        <v>0</v>
      </c>
      <c r="FH187">
        <v>0</v>
      </c>
      <c r="FI187">
        <v>0</v>
      </c>
      <c r="FJ187">
        <v>0</v>
      </c>
      <c r="FK187" s="187">
        <v>1</v>
      </c>
      <c r="FL187">
        <v>0</v>
      </c>
      <c r="FM187">
        <v>49</v>
      </c>
      <c r="FN187">
        <v>6</v>
      </c>
    </row>
    <row r="188" spans="1:170" x14ac:dyDescent="0.35">
      <c r="A188" t="s">
        <v>764</v>
      </c>
      <c r="B188" t="s">
        <v>765</v>
      </c>
      <c r="C188" t="s">
        <v>1048</v>
      </c>
      <c r="D188">
        <v>7924</v>
      </c>
      <c r="E188">
        <v>7922</v>
      </c>
      <c r="F188">
        <v>0</v>
      </c>
      <c r="G188">
        <v>0</v>
      </c>
      <c r="H188">
        <v>548</v>
      </c>
      <c r="I188">
        <v>339</v>
      </c>
      <c r="J188">
        <v>1096</v>
      </c>
      <c r="K188">
        <v>1090</v>
      </c>
      <c r="L188">
        <v>247</v>
      </c>
      <c r="M188">
        <v>10</v>
      </c>
      <c r="N188">
        <v>9815</v>
      </c>
      <c r="O188">
        <v>9361</v>
      </c>
      <c r="P188">
        <v>9568</v>
      </c>
      <c r="Q188">
        <v>73</v>
      </c>
      <c r="R188">
        <v>4</v>
      </c>
      <c r="S188">
        <v>16</v>
      </c>
      <c r="T188">
        <v>200</v>
      </c>
      <c r="U188">
        <v>9615</v>
      </c>
      <c r="V188" s="498">
        <v>7922</v>
      </c>
      <c r="W188">
        <v>61</v>
      </c>
      <c r="X188" s="498">
        <v>46</v>
      </c>
      <c r="Y188" s="498">
        <v>107</v>
      </c>
      <c r="Z188" s="498">
        <v>80.680000000000007</v>
      </c>
      <c r="AA188" s="498">
        <v>79.69</v>
      </c>
      <c r="AB188">
        <v>2.84</v>
      </c>
      <c r="AC188">
        <v>82.76</v>
      </c>
      <c r="AD188">
        <v>7841</v>
      </c>
      <c r="AE188">
        <v>98.5</v>
      </c>
      <c r="AF188">
        <v>69.75</v>
      </c>
      <c r="AG188">
        <v>37.770000000000003</v>
      </c>
      <c r="AH188">
        <v>131.41999999999999</v>
      </c>
      <c r="AI188">
        <v>1386</v>
      </c>
      <c r="AJ188">
        <v>95.6</v>
      </c>
      <c r="AK188">
        <v>61</v>
      </c>
      <c r="AL188">
        <v>281.77999999999997</v>
      </c>
      <c r="AM188">
        <v>60</v>
      </c>
      <c r="AN188">
        <v>0</v>
      </c>
      <c r="AO188" s="499">
        <v>0</v>
      </c>
      <c r="AP188" s="499">
        <v>0</v>
      </c>
      <c r="AQ188">
        <v>0</v>
      </c>
      <c r="AR188">
        <v>0</v>
      </c>
      <c r="AS188">
        <v>60.06</v>
      </c>
      <c r="AT188">
        <v>59.59</v>
      </c>
      <c r="AU188">
        <v>0.66</v>
      </c>
      <c r="AV188">
        <v>60.5</v>
      </c>
      <c r="AW188">
        <v>6</v>
      </c>
      <c r="AX188">
        <v>70.81</v>
      </c>
      <c r="AY188">
        <v>69.53</v>
      </c>
      <c r="AZ188">
        <v>4.46</v>
      </c>
      <c r="BA188">
        <v>74.61</v>
      </c>
      <c r="BB188">
        <v>2251</v>
      </c>
      <c r="BC188">
        <v>80.77</v>
      </c>
      <c r="BD188">
        <v>79.66</v>
      </c>
      <c r="BE188">
        <v>3.18</v>
      </c>
      <c r="BF188">
        <v>82.98</v>
      </c>
      <c r="BG188">
        <v>2231</v>
      </c>
      <c r="BH188">
        <v>86.76</v>
      </c>
      <c r="BI188">
        <v>86.04</v>
      </c>
      <c r="BJ188">
        <v>1.25</v>
      </c>
      <c r="BK188">
        <v>87.62</v>
      </c>
      <c r="BL188" s="214">
        <v>3173</v>
      </c>
      <c r="BM188" s="214">
        <v>95.27</v>
      </c>
      <c r="BN188">
        <v>94.85</v>
      </c>
      <c r="BO188" s="187">
        <v>1</v>
      </c>
      <c r="BP188" s="214">
        <v>95.89</v>
      </c>
      <c r="BQ188" s="214">
        <v>167</v>
      </c>
      <c r="BR188">
        <v>110.38</v>
      </c>
      <c r="BS188" s="187">
        <v>111.04</v>
      </c>
      <c r="BT188" s="214">
        <v>2.48</v>
      </c>
      <c r="BU188" s="214">
        <v>112.86</v>
      </c>
      <c r="BV188">
        <v>8</v>
      </c>
      <c r="BW188">
        <v>106.38</v>
      </c>
      <c r="BX188" s="214">
        <v>106.15</v>
      </c>
      <c r="BY188" s="214">
        <v>0.98</v>
      </c>
      <c r="BZ188">
        <v>106.97</v>
      </c>
      <c r="CA188" s="187">
        <v>5</v>
      </c>
      <c r="CB188" s="214">
        <v>80.680000000000007</v>
      </c>
      <c r="CC188" s="214">
        <v>79.69</v>
      </c>
      <c r="CD188">
        <v>2.84</v>
      </c>
      <c r="CE188" s="187">
        <v>82.76</v>
      </c>
      <c r="CF188" s="214">
        <v>7841</v>
      </c>
      <c r="CG188" s="214">
        <v>80.680000000000007</v>
      </c>
      <c r="CH188">
        <v>79.69</v>
      </c>
      <c r="CI188">
        <v>2.84</v>
      </c>
      <c r="CJ188">
        <v>82.76</v>
      </c>
      <c r="CK188">
        <v>7841</v>
      </c>
      <c r="CL188">
        <v>145.11000000000001</v>
      </c>
      <c r="CM188">
        <v>72.83</v>
      </c>
      <c r="CN188" s="187">
        <v>79.25</v>
      </c>
      <c r="CO188">
        <v>224.36</v>
      </c>
      <c r="CP188">
        <v>195</v>
      </c>
      <c r="CQ188">
        <v>62.24</v>
      </c>
      <c r="CR188">
        <v>59.75</v>
      </c>
      <c r="CS188" s="187">
        <v>17.54</v>
      </c>
      <c r="CT188">
        <v>77.849999999999994</v>
      </c>
      <c r="CU188">
        <v>127</v>
      </c>
      <c r="CV188">
        <v>93.29</v>
      </c>
      <c r="CW188">
        <v>69.900000000000006</v>
      </c>
      <c r="CX188" s="187">
        <v>30.47</v>
      </c>
      <c r="CY188">
        <v>119.61</v>
      </c>
      <c r="CZ188">
        <v>960</v>
      </c>
      <c r="DA188">
        <v>104.03</v>
      </c>
      <c r="DB188">
        <v>79.47</v>
      </c>
      <c r="DC188" s="187">
        <v>42.57</v>
      </c>
      <c r="DD188">
        <v>133.74</v>
      </c>
      <c r="DE188">
        <v>96</v>
      </c>
      <c r="DF188">
        <v>95.83</v>
      </c>
      <c r="DG188">
        <v>92.1</v>
      </c>
      <c r="DH188" s="187">
        <v>20.239999999999998</v>
      </c>
      <c r="DI188">
        <v>105.95</v>
      </c>
      <c r="DJ188">
        <v>8</v>
      </c>
      <c r="DK188">
        <v>0</v>
      </c>
      <c r="DL188">
        <v>0</v>
      </c>
      <c r="DM188" s="187">
        <v>0</v>
      </c>
      <c r="DN188">
        <v>0</v>
      </c>
      <c r="DO188">
        <v>0</v>
      </c>
      <c r="DP188">
        <v>90.87</v>
      </c>
      <c r="DQ188">
        <v>69.56</v>
      </c>
      <c r="DR188" s="187">
        <v>29.79</v>
      </c>
      <c r="DS188">
        <v>116.2</v>
      </c>
      <c r="DT188">
        <v>1191</v>
      </c>
      <c r="DU188">
        <v>98.5</v>
      </c>
      <c r="DV188">
        <v>69.75</v>
      </c>
      <c r="DW188" s="187">
        <v>37.770000000000003</v>
      </c>
      <c r="DX188">
        <v>131.41999999999999</v>
      </c>
      <c r="DY188">
        <v>1386</v>
      </c>
      <c r="DZ188">
        <v>0</v>
      </c>
      <c r="EA188">
        <v>0</v>
      </c>
      <c r="EB188" s="187">
        <v>0</v>
      </c>
      <c r="EC188">
        <v>0</v>
      </c>
      <c r="ED188">
        <v>79.209999999999994</v>
      </c>
      <c r="EE188">
        <v>2</v>
      </c>
      <c r="EF188">
        <v>93.86</v>
      </c>
      <c r="EG188" s="187">
        <v>44</v>
      </c>
      <c r="EH188">
        <v>101.06</v>
      </c>
      <c r="EI188">
        <v>14</v>
      </c>
      <c r="EJ188">
        <v>0</v>
      </c>
      <c r="EK188">
        <v>0</v>
      </c>
      <c r="EL188" s="187">
        <v>128.47999999999999</v>
      </c>
      <c r="EM188">
        <v>1</v>
      </c>
      <c r="EN188">
        <v>0</v>
      </c>
      <c r="EO188">
        <v>0</v>
      </c>
      <c r="EP188">
        <v>95.6</v>
      </c>
      <c r="EQ188" s="187">
        <v>61</v>
      </c>
      <c r="ER188">
        <v>95.6</v>
      </c>
      <c r="ES188">
        <v>61</v>
      </c>
      <c r="ET188">
        <v>0</v>
      </c>
      <c r="EU188">
        <v>0</v>
      </c>
      <c r="EV188" s="187">
        <v>0</v>
      </c>
      <c r="EW188">
        <v>0</v>
      </c>
      <c r="EX188">
        <v>278.33</v>
      </c>
      <c r="EY188">
        <v>54</v>
      </c>
      <c r="EZ188">
        <v>312.79000000000002</v>
      </c>
      <c r="FA188" s="187">
        <v>6</v>
      </c>
      <c r="FB188">
        <v>0</v>
      </c>
      <c r="FC188">
        <v>0</v>
      </c>
      <c r="FD188">
        <v>0</v>
      </c>
      <c r="FE188">
        <v>0</v>
      </c>
      <c r="FF188" s="187">
        <v>281.77999999999997</v>
      </c>
      <c r="FG188">
        <v>60</v>
      </c>
      <c r="FH188">
        <v>281.77999999999997</v>
      </c>
      <c r="FI188">
        <v>60</v>
      </c>
      <c r="FJ188">
        <v>0</v>
      </c>
      <c r="FK188" s="187">
        <v>18</v>
      </c>
      <c r="FL188">
        <v>1</v>
      </c>
      <c r="FM188">
        <v>3</v>
      </c>
      <c r="FN188">
        <v>5</v>
      </c>
    </row>
    <row r="189" spans="1:170" x14ac:dyDescent="0.35">
      <c r="A189" t="s">
        <v>766</v>
      </c>
      <c r="B189" t="s">
        <v>767</v>
      </c>
      <c r="C189" t="s">
        <v>415</v>
      </c>
      <c r="D189">
        <v>9491</v>
      </c>
      <c r="E189">
        <v>9489</v>
      </c>
      <c r="F189">
        <v>5</v>
      </c>
      <c r="G189">
        <v>0</v>
      </c>
      <c r="H189">
        <v>222</v>
      </c>
      <c r="I189">
        <v>207</v>
      </c>
      <c r="J189">
        <v>1024</v>
      </c>
      <c r="K189">
        <v>1024</v>
      </c>
      <c r="L189">
        <v>611</v>
      </c>
      <c r="M189">
        <v>4</v>
      </c>
      <c r="N189">
        <v>11353</v>
      </c>
      <c r="O189">
        <v>10724</v>
      </c>
      <c r="P189">
        <v>10742</v>
      </c>
      <c r="Q189">
        <v>1</v>
      </c>
      <c r="R189">
        <v>3</v>
      </c>
      <c r="S189">
        <v>30</v>
      </c>
      <c r="T189">
        <v>84</v>
      </c>
      <c r="U189">
        <v>11269</v>
      </c>
      <c r="V189" s="498">
        <v>9450</v>
      </c>
      <c r="W189">
        <v>66</v>
      </c>
      <c r="X189" s="498">
        <v>13</v>
      </c>
      <c r="Y189" s="498">
        <v>79</v>
      </c>
      <c r="Z189" s="498">
        <v>112.17</v>
      </c>
      <c r="AA189" s="498">
        <v>118.15</v>
      </c>
      <c r="AB189">
        <v>5.4</v>
      </c>
      <c r="AC189">
        <v>113.89</v>
      </c>
      <c r="AD189">
        <v>9066</v>
      </c>
      <c r="AE189">
        <v>101.4</v>
      </c>
      <c r="AF189">
        <v>100.14</v>
      </c>
      <c r="AG189">
        <v>27.15</v>
      </c>
      <c r="AH189">
        <v>128.32</v>
      </c>
      <c r="AI189">
        <v>1208</v>
      </c>
      <c r="AJ189">
        <v>152.4</v>
      </c>
      <c r="AK189">
        <v>363</v>
      </c>
      <c r="AL189">
        <v>0</v>
      </c>
      <c r="AM189">
        <v>0</v>
      </c>
      <c r="AN189">
        <v>0</v>
      </c>
      <c r="AO189" s="499">
        <v>0</v>
      </c>
      <c r="AP189" s="499">
        <v>0</v>
      </c>
      <c r="AQ189">
        <v>0</v>
      </c>
      <c r="AR189">
        <v>0</v>
      </c>
      <c r="AS189">
        <v>79.88</v>
      </c>
      <c r="AT189">
        <v>80.47</v>
      </c>
      <c r="AU189">
        <v>5.3</v>
      </c>
      <c r="AV189">
        <v>85.06</v>
      </c>
      <c r="AW189">
        <v>85</v>
      </c>
      <c r="AX189">
        <v>93.04</v>
      </c>
      <c r="AY189">
        <v>93.75</v>
      </c>
      <c r="AZ189">
        <v>6.22</v>
      </c>
      <c r="BA189">
        <v>97.9</v>
      </c>
      <c r="BB189">
        <v>1535</v>
      </c>
      <c r="BC189">
        <v>110.67</v>
      </c>
      <c r="BD189">
        <v>113.23</v>
      </c>
      <c r="BE189">
        <v>5.12</v>
      </c>
      <c r="BF189">
        <v>112.87</v>
      </c>
      <c r="BG189">
        <v>2681</v>
      </c>
      <c r="BH189">
        <v>119.08</v>
      </c>
      <c r="BI189">
        <v>128.59</v>
      </c>
      <c r="BJ189">
        <v>3.97</v>
      </c>
      <c r="BK189">
        <v>119.43</v>
      </c>
      <c r="BL189" s="214">
        <v>4552</v>
      </c>
      <c r="BM189" s="214">
        <v>133.47999999999999</v>
      </c>
      <c r="BN189">
        <v>147.35</v>
      </c>
      <c r="BO189" s="187">
        <v>3.71</v>
      </c>
      <c r="BP189" s="214">
        <v>134.21</v>
      </c>
      <c r="BQ189" s="214">
        <v>208</v>
      </c>
      <c r="BR189">
        <v>157.05000000000001</v>
      </c>
      <c r="BS189" s="187">
        <v>171.25</v>
      </c>
      <c r="BT189" s="214">
        <v>3.8</v>
      </c>
      <c r="BU189" s="214">
        <v>158.94999999999999</v>
      </c>
      <c r="BV189">
        <v>4</v>
      </c>
      <c r="BW189">
        <v>160.18</v>
      </c>
      <c r="BX189" s="214">
        <v>177.35</v>
      </c>
      <c r="BY189" s="214">
        <v>2.68</v>
      </c>
      <c r="BZ189">
        <v>162.86000000000001</v>
      </c>
      <c r="CA189" s="187">
        <v>1</v>
      </c>
      <c r="CB189" s="214">
        <v>112.17</v>
      </c>
      <c r="CC189" s="214">
        <v>118.15</v>
      </c>
      <c r="CD189">
        <v>5.4</v>
      </c>
      <c r="CE189" s="187">
        <v>113.89</v>
      </c>
      <c r="CF189" s="214">
        <v>9066</v>
      </c>
      <c r="CG189" s="214">
        <v>112.17</v>
      </c>
      <c r="CH189">
        <v>118.15</v>
      </c>
      <c r="CI189">
        <v>5.4</v>
      </c>
      <c r="CJ189">
        <v>113.89</v>
      </c>
      <c r="CK189">
        <v>9066</v>
      </c>
      <c r="CL189">
        <v>101.89</v>
      </c>
      <c r="CM189">
        <v>89.06</v>
      </c>
      <c r="CN189" s="187">
        <v>52.21</v>
      </c>
      <c r="CO189">
        <v>154.09</v>
      </c>
      <c r="CP189">
        <v>43</v>
      </c>
      <c r="CQ189">
        <v>84.59</v>
      </c>
      <c r="CR189">
        <v>81.11</v>
      </c>
      <c r="CS189" s="187">
        <v>81.010000000000005</v>
      </c>
      <c r="CT189">
        <v>165.6</v>
      </c>
      <c r="CU189">
        <v>64</v>
      </c>
      <c r="CV189">
        <v>96.68</v>
      </c>
      <c r="CW189">
        <v>98.37</v>
      </c>
      <c r="CX189" s="187">
        <v>22.92</v>
      </c>
      <c r="CY189">
        <v>119.49</v>
      </c>
      <c r="CZ189">
        <v>878</v>
      </c>
      <c r="DA189">
        <v>124.91</v>
      </c>
      <c r="DB189">
        <v>119.34</v>
      </c>
      <c r="DC189" s="187">
        <v>23.37</v>
      </c>
      <c r="DD189">
        <v>148.28</v>
      </c>
      <c r="DE189">
        <v>203</v>
      </c>
      <c r="DF189">
        <v>122.73</v>
      </c>
      <c r="DG189">
        <v>129.05000000000001</v>
      </c>
      <c r="DH189" s="187">
        <v>22.87</v>
      </c>
      <c r="DI189">
        <v>138.74</v>
      </c>
      <c r="DJ189">
        <v>20</v>
      </c>
      <c r="DK189">
        <v>0</v>
      </c>
      <c r="DL189">
        <v>0</v>
      </c>
      <c r="DM189" s="187">
        <v>0</v>
      </c>
      <c r="DN189">
        <v>0</v>
      </c>
      <c r="DO189">
        <v>0</v>
      </c>
      <c r="DP189">
        <v>101.38</v>
      </c>
      <c r="DQ189">
        <v>100.53</v>
      </c>
      <c r="DR189" s="187">
        <v>26.22</v>
      </c>
      <c r="DS189">
        <v>127.37</v>
      </c>
      <c r="DT189">
        <v>1165</v>
      </c>
      <c r="DU189">
        <v>101.4</v>
      </c>
      <c r="DV189">
        <v>100.14</v>
      </c>
      <c r="DW189" s="187">
        <v>27.15</v>
      </c>
      <c r="DX189">
        <v>128.32</v>
      </c>
      <c r="DY189">
        <v>1208</v>
      </c>
      <c r="DZ189">
        <v>0</v>
      </c>
      <c r="EA189">
        <v>0</v>
      </c>
      <c r="EB189" s="187">
        <v>0</v>
      </c>
      <c r="EC189">
        <v>0</v>
      </c>
      <c r="ED189">
        <v>127.8</v>
      </c>
      <c r="EE189">
        <v>135</v>
      </c>
      <c r="EF189">
        <v>159.63999999999999</v>
      </c>
      <c r="EG189" s="187">
        <v>165</v>
      </c>
      <c r="EH189">
        <v>187.79</v>
      </c>
      <c r="EI189">
        <v>59</v>
      </c>
      <c r="EJ189">
        <v>162.31</v>
      </c>
      <c r="EK189">
        <v>4</v>
      </c>
      <c r="EL189" s="187">
        <v>0</v>
      </c>
      <c r="EM189">
        <v>0</v>
      </c>
      <c r="EN189">
        <v>0</v>
      </c>
      <c r="EO189">
        <v>0</v>
      </c>
      <c r="EP189">
        <v>152.4</v>
      </c>
      <c r="EQ189" s="187">
        <v>363</v>
      </c>
      <c r="ER189">
        <v>152.4</v>
      </c>
      <c r="ES189">
        <v>363</v>
      </c>
      <c r="ET189">
        <v>0</v>
      </c>
      <c r="EU189">
        <v>0</v>
      </c>
      <c r="EV189" s="187">
        <v>0</v>
      </c>
      <c r="EW189">
        <v>0</v>
      </c>
      <c r="EX189">
        <v>0</v>
      </c>
      <c r="EY189">
        <v>0</v>
      </c>
      <c r="EZ189">
        <v>0</v>
      </c>
      <c r="FA189" s="187">
        <v>0</v>
      </c>
      <c r="FB189">
        <v>0</v>
      </c>
      <c r="FC189">
        <v>0</v>
      </c>
      <c r="FD189">
        <v>0</v>
      </c>
      <c r="FE189">
        <v>0</v>
      </c>
      <c r="FF189" s="187">
        <v>0</v>
      </c>
      <c r="FG189">
        <v>0</v>
      </c>
      <c r="FH189">
        <v>0</v>
      </c>
      <c r="FI189">
        <v>0</v>
      </c>
      <c r="FJ189">
        <v>0</v>
      </c>
      <c r="FK189" s="187">
        <v>19</v>
      </c>
      <c r="FL189">
        <v>3</v>
      </c>
      <c r="FM189">
        <v>25</v>
      </c>
      <c r="FN189">
        <v>15</v>
      </c>
    </row>
    <row r="190" spans="1:170" x14ac:dyDescent="0.35">
      <c r="A190" t="s">
        <v>768</v>
      </c>
      <c r="B190" t="s">
        <v>769</v>
      </c>
      <c r="C190" t="s">
        <v>414</v>
      </c>
      <c r="D190">
        <v>1225</v>
      </c>
      <c r="E190">
        <v>1117</v>
      </c>
      <c r="F190">
        <v>0</v>
      </c>
      <c r="G190">
        <v>0</v>
      </c>
      <c r="H190">
        <v>146</v>
      </c>
      <c r="I190">
        <v>133</v>
      </c>
      <c r="J190">
        <v>98</v>
      </c>
      <c r="K190">
        <v>98</v>
      </c>
      <c r="L190">
        <v>508</v>
      </c>
      <c r="M190">
        <v>0</v>
      </c>
      <c r="N190">
        <v>1977</v>
      </c>
      <c r="O190">
        <v>1348</v>
      </c>
      <c r="P190">
        <v>1469</v>
      </c>
      <c r="Q190">
        <v>4</v>
      </c>
      <c r="R190">
        <v>6</v>
      </c>
      <c r="S190">
        <v>20</v>
      </c>
      <c r="T190">
        <v>96</v>
      </c>
      <c r="U190">
        <v>1881</v>
      </c>
      <c r="V190" s="498">
        <v>1142</v>
      </c>
      <c r="W190">
        <v>6</v>
      </c>
      <c r="X190" s="498">
        <v>5</v>
      </c>
      <c r="Y190" s="498">
        <v>11</v>
      </c>
      <c r="Z190" s="498">
        <v>90.12</v>
      </c>
      <c r="AA190" s="498">
        <v>88.29</v>
      </c>
      <c r="AB190">
        <v>5.07</v>
      </c>
      <c r="AC190">
        <v>94.26</v>
      </c>
      <c r="AD190">
        <v>749</v>
      </c>
      <c r="AE190">
        <v>115.84</v>
      </c>
      <c r="AF190">
        <v>80.66</v>
      </c>
      <c r="AG190">
        <v>71.319999999999993</v>
      </c>
      <c r="AH190">
        <v>187.17</v>
      </c>
      <c r="AI190">
        <v>230</v>
      </c>
      <c r="AJ190">
        <v>106.49</v>
      </c>
      <c r="AK190">
        <v>351</v>
      </c>
      <c r="AL190">
        <v>119.09</v>
      </c>
      <c r="AM190">
        <v>1</v>
      </c>
      <c r="AN190">
        <v>0</v>
      </c>
      <c r="AO190" s="499">
        <v>0</v>
      </c>
      <c r="AP190" s="499">
        <v>0</v>
      </c>
      <c r="AQ190">
        <v>0</v>
      </c>
      <c r="AR190">
        <v>0</v>
      </c>
      <c r="AS190">
        <v>0</v>
      </c>
      <c r="AT190">
        <v>0</v>
      </c>
      <c r="AU190">
        <v>0</v>
      </c>
      <c r="AV190">
        <v>0</v>
      </c>
      <c r="AW190">
        <v>0</v>
      </c>
      <c r="AX190">
        <v>73.569999999999993</v>
      </c>
      <c r="AY190">
        <v>70.81</v>
      </c>
      <c r="AZ190">
        <v>12.2</v>
      </c>
      <c r="BA190">
        <v>84.91</v>
      </c>
      <c r="BB190">
        <v>85</v>
      </c>
      <c r="BC190">
        <v>88.35</v>
      </c>
      <c r="BD190">
        <v>86.39</v>
      </c>
      <c r="BE190">
        <v>4.9800000000000004</v>
      </c>
      <c r="BF190">
        <v>92.53</v>
      </c>
      <c r="BG190">
        <v>421</v>
      </c>
      <c r="BH190">
        <v>97.18</v>
      </c>
      <c r="BI190">
        <v>95.74</v>
      </c>
      <c r="BJ190">
        <v>2.14</v>
      </c>
      <c r="BK190">
        <v>98.78</v>
      </c>
      <c r="BL190" s="214">
        <v>224</v>
      </c>
      <c r="BM190" s="214">
        <v>112.74</v>
      </c>
      <c r="BN190">
        <v>113.64</v>
      </c>
      <c r="BO190" s="187">
        <v>1.38</v>
      </c>
      <c r="BP190" s="214">
        <v>113.82</v>
      </c>
      <c r="BQ190" s="214">
        <v>14</v>
      </c>
      <c r="BR190">
        <v>141.03</v>
      </c>
      <c r="BS190" s="187">
        <v>141.04</v>
      </c>
      <c r="BT190" s="214">
        <v>0</v>
      </c>
      <c r="BU190" s="214">
        <v>141.03</v>
      </c>
      <c r="BV190">
        <v>5</v>
      </c>
      <c r="BW190">
        <v>0</v>
      </c>
      <c r="BX190" s="214">
        <v>0</v>
      </c>
      <c r="BY190" s="214">
        <v>0</v>
      </c>
      <c r="BZ190">
        <v>0</v>
      </c>
      <c r="CA190" s="187">
        <v>0</v>
      </c>
      <c r="CB190" s="214">
        <v>90.12</v>
      </c>
      <c r="CC190" s="214">
        <v>88.29</v>
      </c>
      <c r="CD190">
        <v>5.07</v>
      </c>
      <c r="CE190" s="187">
        <v>94.26</v>
      </c>
      <c r="CF190" s="214">
        <v>749</v>
      </c>
      <c r="CG190" s="214">
        <v>90.12</v>
      </c>
      <c r="CH190">
        <v>88.29</v>
      </c>
      <c r="CI190">
        <v>5.07</v>
      </c>
      <c r="CJ190">
        <v>94.26</v>
      </c>
      <c r="CK190">
        <v>749</v>
      </c>
      <c r="CL190">
        <v>131.25</v>
      </c>
      <c r="CM190">
        <v>103.51</v>
      </c>
      <c r="CN190" s="187">
        <v>101.16</v>
      </c>
      <c r="CO190">
        <v>232.41</v>
      </c>
      <c r="CP190">
        <v>98</v>
      </c>
      <c r="CQ190">
        <v>77.41</v>
      </c>
      <c r="CR190">
        <v>70.489999999999995</v>
      </c>
      <c r="CS190" s="187">
        <v>28.73</v>
      </c>
      <c r="CT190">
        <v>106.14</v>
      </c>
      <c r="CU190">
        <v>22</v>
      </c>
      <c r="CV190">
        <v>109.91</v>
      </c>
      <c r="CW190">
        <v>75.64</v>
      </c>
      <c r="CX190" s="187">
        <v>52.67</v>
      </c>
      <c r="CY190">
        <v>162.58000000000001</v>
      </c>
      <c r="CZ190">
        <v>106</v>
      </c>
      <c r="DA190">
        <v>101.99</v>
      </c>
      <c r="DB190">
        <v>97.38</v>
      </c>
      <c r="DC190" s="187">
        <v>105.87</v>
      </c>
      <c r="DD190">
        <v>207.86</v>
      </c>
      <c r="DE190">
        <v>2</v>
      </c>
      <c r="DF190">
        <v>111.9</v>
      </c>
      <c r="DG190">
        <v>102.3</v>
      </c>
      <c r="DH190" s="187">
        <v>32.020000000000003</v>
      </c>
      <c r="DI190">
        <v>143.91999999999999</v>
      </c>
      <c r="DJ190">
        <v>2</v>
      </c>
      <c r="DK190">
        <v>0</v>
      </c>
      <c r="DL190">
        <v>0</v>
      </c>
      <c r="DM190" s="187">
        <v>0</v>
      </c>
      <c r="DN190">
        <v>0</v>
      </c>
      <c r="DO190">
        <v>0</v>
      </c>
      <c r="DP190">
        <v>104.41</v>
      </c>
      <c r="DQ190">
        <v>75.48</v>
      </c>
      <c r="DR190" s="187">
        <v>49.17</v>
      </c>
      <c r="DS190">
        <v>153.58000000000001</v>
      </c>
      <c r="DT190">
        <v>132</v>
      </c>
      <c r="DU190">
        <v>115.84</v>
      </c>
      <c r="DV190">
        <v>80.66</v>
      </c>
      <c r="DW190" s="187">
        <v>71.319999999999993</v>
      </c>
      <c r="DX190">
        <v>187.17</v>
      </c>
      <c r="DY190">
        <v>230</v>
      </c>
      <c r="DZ190">
        <v>0</v>
      </c>
      <c r="EA190">
        <v>0</v>
      </c>
      <c r="EB190" s="187">
        <v>0</v>
      </c>
      <c r="EC190">
        <v>0</v>
      </c>
      <c r="ED190">
        <v>88.07</v>
      </c>
      <c r="EE190">
        <v>52</v>
      </c>
      <c r="EF190">
        <v>106.58</v>
      </c>
      <c r="EG190" s="187">
        <v>228</v>
      </c>
      <c r="EH190">
        <v>118.68</v>
      </c>
      <c r="EI190">
        <v>66</v>
      </c>
      <c r="EJ190">
        <v>133.44</v>
      </c>
      <c r="EK190">
        <v>5</v>
      </c>
      <c r="EL190" s="187">
        <v>0</v>
      </c>
      <c r="EM190">
        <v>0</v>
      </c>
      <c r="EN190">
        <v>0</v>
      </c>
      <c r="EO190">
        <v>0</v>
      </c>
      <c r="EP190">
        <v>106.49</v>
      </c>
      <c r="EQ190" s="187">
        <v>351</v>
      </c>
      <c r="ER190">
        <v>106.49</v>
      </c>
      <c r="ES190">
        <v>351</v>
      </c>
      <c r="ET190">
        <v>0</v>
      </c>
      <c r="EU190">
        <v>0</v>
      </c>
      <c r="EV190" s="187">
        <v>0</v>
      </c>
      <c r="EW190">
        <v>0</v>
      </c>
      <c r="EX190">
        <v>0</v>
      </c>
      <c r="EY190">
        <v>0</v>
      </c>
      <c r="EZ190">
        <v>0</v>
      </c>
      <c r="FA190" s="187">
        <v>0</v>
      </c>
      <c r="FB190">
        <v>119.09</v>
      </c>
      <c r="FC190">
        <v>1</v>
      </c>
      <c r="FD190">
        <v>0</v>
      </c>
      <c r="FE190">
        <v>0</v>
      </c>
      <c r="FF190" s="187">
        <v>119.09</v>
      </c>
      <c r="FG190">
        <v>1</v>
      </c>
      <c r="FH190">
        <v>119.09</v>
      </c>
      <c r="FI190">
        <v>1</v>
      </c>
      <c r="FJ190">
        <v>14</v>
      </c>
      <c r="FK190" s="187">
        <v>1</v>
      </c>
      <c r="FL190">
        <v>0</v>
      </c>
      <c r="FM190">
        <v>36</v>
      </c>
      <c r="FN190">
        <v>5</v>
      </c>
    </row>
    <row r="191" spans="1:170" x14ac:dyDescent="0.35">
      <c r="A191" t="s">
        <v>770</v>
      </c>
      <c r="B191" t="s">
        <v>771</v>
      </c>
      <c r="C191" t="s">
        <v>1048</v>
      </c>
      <c r="D191">
        <v>11025</v>
      </c>
      <c r="E191">
        <v>10960</v>
      </c>
      <c r="F191">
        <v>2</v>
      </c>
      <c r="G191">
        <v>2</v>
      </c>
      <c r="H191">
        <v>274</v>
      </c>
      <c r="I191">
        <v>230</v>
      </c>
      <c r="J191">
        <v>308</v>
      </c>
      <c r="K191">
        <v>308</v>
      </c>
      <c r="L191">
        <v>80</v>
      </c>
      <c r="M191">
        <v>0</v>
      </c>
      <c r="N191">
        <v>11689</v>
      </c>
      <c r="O191">
        <v>11500</v>
      </c>
      <c r="P191">
        <v>11609</v>
      </c>
      <c r="Q191">
        <v>1</v>
      </c>
      <c r="R191">
        <v>2</v>
      </c>
      <c r="S191">
        <v>16</v>
      </c>
      <c r="T191">
        <v>67</v>
      </c>
      <c r="U191">
        <v>11622</v>
      </c>
      <c r="V191" s="498">
        <v>10986</v>
      </c>
      <c r="W191">
        <v>107</v>
      </c>
      <c r="X191" s="498">
        <v>18</v>
      </c>
      <c r="Y191" s="498">
        <v>125</v>
      </c>
      <c r="Z191" s="498">
        <v>81.61</v>
      </c>
      <c r="AA191" s="498">
        <v>81.38</v>
      </c>
      <c r="AB191">
        <v>3.48</v>
      </c>
      <c r="AC191">
        <v>83.52</v>
      </c>
      <c r="AD191">
        <v>10266</v>
      </c>
      <c r="AE191">
        <v>103.62</v>
      </c>
      <c r="AF191">
        <v>80.19</v>
      </c>
      <c r="AG191">
        <v>62.39</v>
      </c>
      <c r="AH191">
        <v>160.04</v>
      </c>
      <c r="AI191">
        <v>481</v>
      </c>
      <c r="AJ191">
        <v>102.51</v>
      </c>
      <c r="AK191">
        <v>677</v>
      </c>
      <c r="AL191">
        <v>210.26</v>
      </c>
      <c r="AM191">
        <v>73</v>
      </c>
      <c r="AN191">
        <v>76.52</v>
      </c>
      <c r="AO191" s="499">
        <v>76.52</v>
      </c>
      <c r="AP191" s="499">
        <v>43.52</v>
      </c>
      <c r="AQ191">
        <v>120.04</v>
      </c>
      <c r="AR191">
        <v>2</v>
      </c>
      <c r="AS191">
        <v>62.38</v>
      </c>
      <c r="AT191">
        <v>62.38</v>
      </c>
      <c r="AU191">
        <v>9.11</v>
      </c>
      <c r="AV191">
        <v>70.349999999999994</v>
      </c>
      <c r="AW191">
        <v>56</v>
      </c>
      <c r="AX191">
        <v>70.89</v>
      </c>
      <c r="AY191">
        <v>70.760000000000005</v>
      </c>
      <c r="AZ191">
        <v>5.67</v>
      </c>
      <c r="BA191">
        <v>74.760000000000005</v>
      </c>
      <c r="BB191">
        <v>2373</v>
      </c>
      <c r="BC191">
        <v>80.23</v>
      </c>
      <c r="BD191">
        <v>79.84</v>
      </c>
      <c r="BE191">
        <v>3.46</v>
      </c>
      <c r="BF191">
        <v>82.33</v>
      </c>
      <c r="BG191">
        <v>3687</v>
      </c>
      <c r="BH191">
        <v>88.9</v>
      </c>
      <c r="BI191">
        <v>88.77</v>
      </c>
      <c r="BJ191">
        <v>1.25</v>
      </c>
      <c r="BK191">
        <v>89.42</v>
      </c>
      <c r="BL191" s="214">
        <v>3954</v>
      </c>
      <c r="BM191" s="214">
        <v>95.75</v>
      </c>
      <c r="BN191">
        <v>95.58</v>
      </c>
      <c r="BO191" s="187">
        <v>1.1399999999999999</v>
      </c>
      <c r="BP191" s="214">
        <v>96.27</v>
      </c>
      <c r="BQ191" s="214">
        <v>190</v>
      </c>
      <c r="BR191">
        <v>103.7</v>
      </c>
      <c r="BS191" s="187">
        <v>103.04</v>
      </c>
      <c r="BT191" s="214">
        <v>0.94</v>
      </c>
      <c r="BU191" s="214">
        <v>104.4</v>
      </c>
      <c r="BV191">
        <v>4</v>
      </c>
      <c r="BW191">
        <v>0</v>
      </c>
      <c r="BX191" s="214">
        <v>0</v>
      </c>
      <c r="BY191" s="214">
        <v>0</v>
      </c>
      <c r="BZ191">
        <v>0</v>
      </c>
      <c r="CA191" s="187">
        <v>0</v>
      </c>
      <c r="CB191" s="214">
        <v>81.61</v>
      </c>
      <c r="CC191" s="214">
        <v>81.38</v>
      </c>
      <c r="CD191">
        <v>3.47</v>
      </c>
      <c r="CE191" s="187">
        <v>83.51</v>
      </c>
      <c r="CF191" s="214">
        <v>10264</v>
      </c>
      <c r="CG191" s="214">
        <v>81.61</v>
      </c>
      <c r="CH191">
        <v>81.38</v>
      </c>
      <c r="CI191">
        <v>3.48</v>
      </c>
      <c r="CJ191">
        <v>83.52</v>
      </c>
      <c r="CK191">
        <v>10266</v>
      </c>
      <c r="CL191">
        <v>150.24</v>
      </c>
      <c r="CM191">
        <v>77.400000000000006</v>
      </c>
      <c r="CN191" s="187">
        <v>71.61</v>
      </c>
      <c r="CO191">
        <v>221.84</v>
      </c>
      <c r="CP191">
        <v>75</v>
      </c>
      <c r="CQ191">
        <v>95.17</v>
      </c>
      <c r="CR191">
        <v>81.08</v>
      </c>
      <c r="CS191" s="187">
        <v>133.16999999999999</v>
      </c>
      <c r="CT191">
        <v>228.34</v>
      </c>
      <c r="CU191">
        <v>11</v>
      </c>
      <c r="CV191">
        <v>91.7</v>
      </c>
      <c r="CW191">
        <v>73.290000000000006</v>
      </c>
      <c r="CX191" s="187">
        <v>55.07</v>
      </c>
      <c r="CY191">
        <v>143.38</v>
      </c>
      <c r="CZ191">
        <v>292</v>
      </c>
      <c r="DA191">
        <v>104.55</v>
      </c>
      <c r="DB191">
        <v>97.71</v>
      </c>
      <c r="DC191" s="187">
        <v>70.19</v>
      </c>
      <c r="DD191">
        <v>157.01</v>
      </c>
      <c r="DE191">
        <v>99</v>
      </c>
      <c r="DF191">
        <v>95.83</v>
      </c>
      <c r="DG191">
        <v>95.15</v>
      </c>
      <c r="DH191" s="187">
        <v>21.98</v>
      </c>
      <c r="DI191">
        <v>103.16</v>
      </c>
      <c r="DJ191">
        <v>3</v>
      </c>
      <c r="DK191">
        <v>110.53</v>
      </c>
      <c r="DL191">
        <v>110.53</v>
      </c>
      <c r="DM191" s="187">
        <v>0</v>
      </c>
      <c r="DN191">
        <v>110.53</v>
      </c>
      <c r="DO191">
        <v>1</v>
      </c>
      <c r="DP191">
        <v>95.01</v>
      </c>
      <c r="DQ191">
        <v>80.28</v>
      </c>
      <c r="DR191" s="187">
        <v>60.47</v>
      </c>
      <c r="DS191">
        <v>148.63</v>
      </c>
      <c r="DT191">
        <v>406</v>
      </c>
      <c r="DU191">
        <v>103.62</v>
      </c>
      <c r="DV191">
        <v>80.19</v>
      </c>
      <c r="DW191" s="187">
        <v>62.39</v>
      </c>
      <c r="DX191">
        <v>160.04</v>
      </c>
      <c r="DY191">
        <v>481</v>
      </c>
      <c r="DZ191">
        <v>0</v>
      </c>
      <c r="EA191">
        <v>0</v>
      </c>
      <c r="EB191" s="187">
        <v>0</v>
      </c>
      <c r="EC191">
        <v>0</v>
      </c>
      <c r="ED191">
        <v>84.78</v>
      </c>
      <c r="EE191">
        <v>72</v>
      </c>
      <c r="EF191">
        <v>99.83</v>
      </c>
      <c r="EG191" s="187">
        <v>393</v>
      </c>
      <c r="EH191">
        <v>112.18</v>
      </c>
      <c r="EI191">
        <v>179</v>
      </c>
      <c r="EJ191">
        <v>120.66</v>
      </c>
      <c r="EK191">
        <v>33</v>
      </c>
      <c r="EL191" s="187">
        <v>0</v>
      </c>
      <c r="EM191">
        <v>0</v>
      </c>
      <c r="EN191">
        <v>0</v>
      </c>
      <c r="EO191">
        <v>0</v>
      </c>
      <c r="EP191">
        <v>102.51</v>
      </c>
      <c r="EQ191" s="187">
        <v>677</v>
      </c>
      <c r="ER191">
        <v>102.51</v>
      </c>
      <c r="ES191">
        <v>677</v>
      </c>
      <c r="ET191">
        <v>0</v>
      </c>
      <c r="EU191">
        <v>0</v>
      </c>
      <c r="EV191" s="187">
        <v>0</v>
      </c>
      <c r="EW191">
        <v>0</v>
      </c>
      <c r="EX191">
        <v>231.58</v>
      </c>
      <c r="EY191">
        <v>41</v>
      </c>
      <c r="EZ191">
        <v>188.12</v>
      </c>
      <c r="FA191" s="187">
        <v>29</v>
      </c>
      <c r="FB191">
        <v>129.55000000000001</v>
      </c>
      <c r="FC191">
        <v>2</v>
      </c>
      <c r="FD191">
        <v>139.34</v>
      </c>
      <c r="FE191">
        <v>1</v>
      </c>
      <c r="FF191" s="187">
        <v>210.26</v>
      </c>
      <c r="FG191">
        <v>73</v>
      </c>
      <c r="FH191">
        <v>210.26</v>
      </c>
      <c r="FI191">
        <v>73</v>
      </c>
      <c r="FJ191">
        <v>0</v>
      </c>
      <c r="FK191" s="187">
        <v>41</v>
      </c>
      <c r="FL191">
        <v>7</v>
      </c>
      <c r="FM191">
        <v>0</v>
      </c>
      <c r="FN191">
        <v>0</v>
      </c>
    </row>
    <row r="192" spans="1:170" x14ac:dyDescent="0.35">
      <c r="A192" t="s">
        <v>772</v>
      </c>
      <c r="B192" t="s">
        <v>773</v>
      </c>
      <c r="C192" t="s">
        <v>415</v>
      </c>
      <c r="D192">
        <v>5445</v>
      </c>
      <c r="E192">
        <v>5423</v>
      </c>
      <c r="F192">
        <v>0</v>
      </c>
      <c r="G192">
        <v>0</v>
      </c>
      <c r="H192">
        <v>139</v>
      </c>
      <c r="I192">
        <v>103</v>
      </c>
      <c r="J192">
        <v>675</v>
      </c>
      <c r="K192">
        <v>675</v>
      </c>
      <c r="L192">
        <v>299</v>
      </c>
      <c r="M192">
        <v>0</v>
      </c>
      <c r="N192">
        <v>6558</v>
      </c>
      <c r="O192">
        <v>6201</v>
      </c>
      <c r="P192">
        <v>6259</v>
      </c>
      <c r="Q192">
        <v>0</v>
      </c>
      <c r="R192">
        <v>3</v>
      </c>
      <c r="S192">
        <v>15</v>
      </c>
      <c r="T192">
        <v>35</v>
      </c>
      <c r="U192">
        <v>6523</v>
      </c>
      <c r="V192" s="498">
        <v>5423</v>
      </c>
      <c r="W192">
        <v>16</v>
      </c>
      <c r="X192" s="498">
        <v>35</v>
      </c>
      <c r="Y192" s="498">
        <v>51</v>
      </c>
      <c r="Z192" s="498">
        <v>90.38</v>
      </c>
      <c r="AA192" s="498">
        <v>89.41</v>
      </c>
      <c r="AB192">
        <v>2.75</v>
      </c>
      <c r="AC192">
        <v>92.39</v>
      </c>
      <c r="AD192">
        <v>4675</v>
      </c>
      <c r="AE192">
        <v>91.47</v>
      </c>
      <c r="AF192">
        <v>79.92</v>
      </c>
      <c r="AG192">
        <v>26.29</v>
      </c>
      <c r="AH192">
        <v>117.76</v>
      </c>
      <c r="AI192">
        <v>792</v>
      </c>
      <c r="AJ192">
        <v>110.63</v>
      </c>
      <c r="AK192">
        <v>742</v>
      </c>
      <c r="AL192">
        <v>96.89</v>
      </c>
      <c r="AM192">
        <v>9</v>
      </c>
      <c r="AN192">
        <v>0</v>
      </c>
      <c r="AO192" s="499">
        <v>0</v>
      </c>
      <c r="AP192" s="499">
        <v>0</v>
      </c>
      <c r="AQ192">
        <v>0</v>
      </c>
      <c r="AR192">
        <v>0</v>
      </c>
      <c r="AS192">
        <v>69.16</v>
      </c>
      <c r="AT192">
        <v>65.069999999999993</v>
      </c>
      <c r="AU192">
        <v>4.2300000000000004</v>
      </c>
      <c r="AV192">
        <v>73.39</v>
      </c>
      <c r="AW192">
        <v>4</v>
      </c>
      <c r="AX192">
        <v>75.66</v>
      </c>
      <c r="AY192">
        <v>73.64</v>
      </c>
      <c r="AZ192">
        <v>3.91</v>
      </c>
      <c r="BA192">
        <v>79.27</v>
      </c>
      <c r="BB192">
        <v>512</v>
      </c>
      <c r="BC192">
        <v>88.58</v>
      </c>
      <c r="BD192">
        <v>86.38</v>
      </c>
      <c r="BE192">
        <v>3.12</v>
      </c>
      <c r="BF192">
        <v>90.96</v>
      </c>
      <c r="BG192">
        <v>2184</v>
      </c>
      <c r="BH192">
        <v>95.75</v>
      </c>
      <c r="BI192">
        <v>96.45</v>
      </c>
      <c r="BJ192">
        <v>1.86</v>
      </c>
      <c r="BK192">
        <v>96.95</v>
      </c>
      <c r="BL192" s="214">
        <v>1898</v>
      </c>
      <c r="BM192" s="214">
        <v>104.74</v>
      </c>
      <c r="BN192">
        <v>105.01</v>
      </c>
      <c r="BO192" s="187">
        <v>1.34</v>
      </c>
      <c r="BP192" s="214">
        <v>105.66</v>
      </c>
      <c r="BQ192" s="214">
        <v>65</v>
      </c>
      <c r="BR192">
        <v>116.06</v>
      </c>
      <c r="BS192" s="187">
        <v>114.11</v>
      </c>
      <c r="BT192" s="214">
        <v>1.54</v>
      </c>
      <c r="BU192" s="214">
        <v>117.6</v>
      </c>
      <c r="BV192">
        <v>5</v>
      </c>
      <c r="BW192">
        <v>132.06</v>
      </c>
      <c r="BX192" s="214">
        <v>133.38999999999999</v>
      </c>
      <c r="BY192" s="214">
        <v>1.9</v>
      </c>
      <c r="BZ192">
        <v>132.87</v>
      </c>
      <c r="CA192" s="187">
        <v>7</v>
      </c>
      <c r="CB192" s="214">
        <v>90.38</v>
      </c>
      <c r="CC192" s="214">
        <v>89.41</v>
      </c>
      <c r="CD192">
        <v>2.75</v>
      </c>
      <c r="CE192" s="187">
        <v>92.39</v>
      </c>
      <c r="CF192" s="214">
        <v>4675</v>
      </c>
      <c r="CG192" s="214">
        <v>90.38</v>
      </c>
      <c r="CH192">
        <v>89.41</v>
      </c>
      <c r="CI192">
        <v>2.75</v>
      </c>
      <c r="CJ192">
        <v>92.39</v>
      </c>
      <c r="CK192">
        <v>4675</v>
      </c>
      <c r="CL192">
        <v>132.51</v>
      </c>
      <c r="CM192">
        <v>80.72</v>
      </c>
      <c r="CN192" s="187">
        <v>61.66</v>
      </c>
      <c r="CO192">
        <v>194.18</v>
      </c>
      <c r="CP192">
        <v>74</v>
      </c>
      <c r="CQ192">
        <v>83.73</v>
      </c>
      <c r="CR192">
        <v>68.069999999999993</v>
      </c>
      <c r="CS192" s="187">
        <v>23.43</v>
      </c>
      <c r="CT192">
        <v>107.16</v>
      </c>
      <c r="CU192">
        <v>17</v>
      </c>
      <c r="CV192">
        <v>85.46</v>
      </c>
      <c r="CW192">
        <v>78.209999999999994</v>
      </c>
      <c r="CX192" s="187">
        <v>24.89</v>
      </c>
      <c r="CY192">
        <v>110.35</v>
      </c>
      <c r="CZ192">
        <v>565</v>
      </c>
      <c r="DA192">
        <v>91.46</v>
      </c>
      <c r="DB192">
        <v>87.25</v>
      </c>
      <c r="DC192" s="187">
        <v>12.64</v>
      </c>
      <c r="DD192">
        <v>104.09</v>
      </c>
      <c r="DE192">
        <v>131</v>
      </c>
      <c r="DF192">
        <v>189.03</v>
      </c>
      <c r="DG192">
        <v>105.7</v>
      </c>
      <c r="DH192" s="187">
        <v>28.63</v>
      </c>
      <c r="DI192">
        <v>217.66</v>
      </c>
      <c r="DJ192">
        <v>5</v>
      </c>
      <c r="DK192">
        <v>0</v>
      </c>
      <c r="DL192">
        <v>0</v>
      </c>
      <c r="DM192" s="187">
        <v>0</v>
      </c>
      <c r="DN192">
        <v>0</v>
      </c>
      <c r="DO192">
        <v>0</v>
      </c>
      <c r="DP192">
        <v>87.24</v>
      </c>
      <c r="DQ192">
        <v>79.849999999999994</v>
      </c>
      <c r="DR192" s="187">
        <v>22.64</v>
      </c>
      <c r="DS192">
        <v>109.88</v>
      </c>
      <c r="DT192">
        <v>718</v>
      </c>
      <c r="DU192">
        <v>91.47</v>
      </c>
      <c r="DV192">
        <v>79.92</v>
      </c>
      <c r="DW192" s="187">
        <v>26.29</v>
      </c>
      <c r="DX192">
        <v>117.76</v>
      </c>
      <c r="DY192">
        <v>792</v>
      </c>
      <c r="DZ192">
        <v>0</v>
      </c>
      <c r="EA192">
        <v>0</v>
      </c>
      <c r="EB192" s="187">
        <v>0</v>
      </c>
      <c r="EC192">
        <v>0</v>
      </c>
      <c r="ED192">
        <v>95.56</v>
      </c>
      <c r="EE192">
        <v>232</v>
      </c>
      <c r="EF192">
        <v>111.57</v>
      </c>
      <c r="EG192" s="187">
        <v>386</v>
      </c>
      <c r="EH192">
        <v>128.56</v>
      </c>
      <c r="EI192">
        <v>98</v>
      </c>
      <c r="EJ192">
        <v>164.05</v>
      </c>
      <c r="EK192">
        <v>25</v>
      </c>
      <c r="EL192" s="187">
        <v>151.15</v>
      </c>
      <c r="EM192">
        <v>1</v>
      </c>
      <c r="EN192">
        <v>0</v>
      </c>
      <c r="EO192">
        <v>0</v>
      </c>
      <c r="EP192">
        <v>110.63</v>
      </c>
      <c r="EQ192" s="187">
        <v>742</v>
      </c>
      <c r="ER192">
        <v>110.63</v>
      </c>
      <c r="ES192">
        <v>742</v>
      </c>
      <c r="ET192">
        <v>0</v>
      </c>
      <c r="EU192">
        <v>0</v>
      </c>
      <c r="EV192" s="187">
        <v>0</v>
      </c>
      <c r="EW192">
        <v>0</v>
      </c>
      <c r="EX192">
        <v>94.15</v>
      </c>
      <c r="EY192">
        <v>8</v>
      </c>
      <c r="EZ192">
        <v>118.78</v>
      </c>
      <c r="FA192" s="187">
        <v>1</v>
      </c>
      <c r="FB192">
        <v>0</v>
      </c>
      <c r="FC192">
        <v>0</v>
      </c>
      <c r="FD192">
        <v>0</v>
      </c>
      <c r="FE192">
        <v>0</v>
      </c>
      <c r="FF192" s="187">
        <v>96.89</v>
      </c>
      <c r="FG192">
        <v>9</v>
      </c>
      <c r="FH192">
        <v>96.89</v>
      </c>
      <c r="FI192">
        <v>9</v>
      </c>
      <c r="FJ192">
        <v>1</v>
      </c>
      <c r="FK192" s="187">
        <v>19</v>
      </c>
      <c r="FL192">
        <v>46</v>
      </c>
      <c r="FM192">
        <v>81</v>
      </c>
      <c r="FN192">
        <v>7</v>
      </c>
    </row>
    <row r="193" spans="1:170" x14ac:dyDescent="0.35">
      <c r="A193" t="s">
        <v>14115</v>
      </c>
      <c r="B193" t="s">
        <v>14116</v>
      </c>
      <c r="C193" t="s">
        <v>414</v>
      </c>
      <c r="D193">
        <v>14190</v>
      </c>
      <c r="E193">
        <v>14016</v>
      </c>
      <c r="F193">
        <v>215</v>
      </c>
      <c r="G193">
        <v>215</v>
      </c>
      <c r="H193">
        <v>754</v>
      </c>
      <c r="I193">
        <v>535</v>
      </c>
      <c r="J193">
        <v>992</v>
      </c>
      <c r="K193">
        <v>932</v>
      </c>
      <c r="L193">
        <v>1639</v>
      </c>
      <c r="M193">
        <v>331</v>
      </c>
      <c r="N193">
        <v>17790</v>
      </c>
      <c r="O193">
        <v>16029</v>
      </c>
      <c r="P193">
        <v>16151</v>
      </c>
      <c r="Q193">
        <v>4</v>
      </c>
      <c r="R193">
        <v>13</v>
      </c>
      <c r="S193">
        <v>41</v>
      </c>
      <c r="T193">
        <v>193</v>
      </c>
      <c r="U193">
        <v>17597</v>
      </c>
      <c r="V193" s="498">
        <v>14101</v>
      </c>
      <c r="W193">
        <v>146</v>
      </c>
      <c r="X193" s="498">
        <v>82</v>
      </c>
      <c r="Y193" s="498">
        <v>228</v>
      </c>
      <c r="Z193" s="498">
        <v>92.91</v>
      </c>
      <c r="AA193" s="498">
        <v>91.2</v>
      </c>
      <c r="AB193">
        <v>6.97</v>
      </c>
      <c r="AC193">
        <v>96.17</v>
      </c>
      <c r="AD193">
        <v>11928</v>
      </c>
      <c r="AE193">
        <v>92.79</v>
      </c>
      <c r="AF193">
        <v>79.75</v>
      </c>
      <c r="AG193">
        <v>49.56</v>
      </c>
      <c r="AH193">
        <v>139.54</v>
      </c>
      <c r="AI193">
        <v>1635</v>
      </c>
      <c r="AJ193">
        <v>113.02</v>
      </c>
      <c r="AK193">
        <v>1852</v>
      </c>
      <c r="AL193">
        <v>161.02000000000001</v>
      </c>
      <c r="AM193">
        <v>7</v>
      </c>
      <c r="AN193">
        <v>85.17</v>
      </c>
      <c r="AO193" s="499">
        <v>85.18</v>
      </c>
      <c r="AP193" s="499">
        <v>130.13999999999999</v>
      </c>
      <c r="AQ193">
        <v>215.31</v>
      </c>
      <c r="AR193">
        <v>9</v>
      </c>
      <c r="AS193">
        <v>68.12</v>
      </c>
      <c r="AT193">
        <v>64.709999999999994</v>
      </c>
      <c r="AU193">
        <v>9.06</v>
      </c>
      <c r="AV193">
        <v>77.180000000000007</v>
      </c>
      <c r="AW193">
        <v>33</v>
      </c>
      <c r="AX193">
        <v>78.650000000000006</v>
      </c>
      <c r="AY193">
        <v>76.489999999999995</v>
      </c>
      <c r="AZ193">
        <v>8.36</v>
      </c>
      <c r="BA193">
        <v>85.39</v>
      </c>
      <c r="BB193">
        <v>2385</v>
      </c>
      <c r="BC193">
        <v>92.9</v>
      </c>
      <c r="BD193">
        <v>89.99</v>
      </c>
      <c r="BE193">
        <v>6.88</v>
      </c>
      <c r="BF193">
        <v>96.67</v>
      </c>
      <c r="BG193">
        <v>4473</v>
      </c>
      <c r="BH193">
        <v>99.34</v>
      </c>
      <c r="BI193">
        <v>98.94</v>
      </c>
      <c r="BJ193">
        <v>3.93</v>
      </c>
      <c r="BK193">
        <v>100.23</v>
      </c>
      <c r="BL193" s="214">
        <v>4774</v>
      </c>
      <c r="BM193" s="214">
        <v>109.38</v>
      </c>
      <c r="BN193">
        <v>108.64</v>
      </c>
      <c r="BO193" s="187">
        <v>2.93</v>
      </c>
      <c r="BP193" s="214">
        <v>110.35</v>
      </c>
      <c r="BQ193" s="214">
        <v>245</v>
      </c>
      <c r="BR193">
        <v>116.45</v>
      </c>
      <c r="BS193" s="187">
        <v>115.22</v>
      </c>
      <c r="BT193" s="214">
        <v>2.44</v>
      </c>
      <c r="BU193" s="214">
        <v>117.06</v>
      </c>
      <c r="BV193">
        <v>8</v>
      </c>
      <c r="BW193">
        <v>118.59</v>
      </c>
      <c r="BX193" s="214">
        <v>112.95</v>
      </c>
      <c r="BY193" s="214">
        <v>3.51</v>
      </c>
      <c r="BZ193">
        <v>122.1</v>
      </c>
      <c r="CA193" s="187">
        <v>1</v>
      </c>
      <c r="CB193" s="214">
        <v>92.91</v>
      </c>
      <c r="CC193" s="214">
        <v>91.21</v>
      </c>
      <c r="CD193">
        <v>6.77</v>
      </c>
      <c r="CE193" s="187">
        <v>96.08</v>
      </c>
      <c r="CF193" s="214">
        <v>11919</v>
      </c>
      <c r="CG193" s="214">
        <v>92.91</v>
      </c>
      <c r="CH193">
        <v>91.2</v>
      </c>
      <c r="CI193">
        <v>6.97</v>
      </c>
      <c r="CJ193">
        <v>96.17</v>
      </c>
      <c r="CK193">
        <v>11928</v>
      </c>
      <c r="CL193">
        <v>94.94</v>
      </c>
      <c r="CM193">
        <v>71.650000000000006</v>
      </c>
      <c r="CN193" s="187">
        <v>119.43</v>
      </c>
      <c r="CO193">
        <v>172.14</v>
      </c>
      <c r="CP193">
        <v>164</v>
      </c>
      <c r="CQ193">
        <v>72.7</v>
      </c>
      <c r="CR193">
        <v>67.11</v>
      </c>
      <c r="CS193" s="187">
        <v>54.89</v>
      </c>
      <c r="CT193">
        <v>122.47</v>
      </c>
      <c r="CU193">
        <v>182</v>
      </c>
      <c r="CV193">
        <v>94.29</v>
      </c>
      <c r="CW193">
        <v>80.28</v>
      </c>
      <c r="CX193" s="187">
        <v>42.86</v>
      </c>
      <c r="CY193">
        <v>136.47999999999999</v>
      </c>
      <c r="CZ193">
        <v>1090</v>
      </c>
      <c r="DA193">
        <v>99.15</v>
      </c>
      <c r="DB193">
        <v>91.29</v>
      </c>
      <c r="DC193" s="187">
        <v>45.34</v>
      </c>
      <c r="DD193">
        <v>144.24</v>
      </c>
      <c r="DE193">
        <v>183</v>
      </c>
      <c r="DF193">
        <v>124.57</v>
      </c>
      <c r="DG193">
        <v>109.26</v>
      </c>
      <c r="DH193" s="187">
        <v>29.13</v>
      </c>
      <c r="DI193">
        <v>153.69999999999999</v>
      </c>
      <c r="DJ193">
        <v>16</v>
      </c>
      <c r="DK193">
        <v>0</v>
      </c>
      <c r="DL193">
        <v>0</v>
      </c>
      <c r="DM193" s="187">
        <v>0</v>
      </c>
      <c r="DN193">
        <v>0</v>
      </c>
      <c r="DO193">
        <v>0</v>
      </c>
      <c r="DP193">
        <v>92.55</v>
      </c>
      <c r="DQ193">
        <v>80.25</v>
      </c>
      <c r="DR193" s="187">
        <v>44.4</v>
      </c>
      <c r="DS193">
        <v>135.9</v>
      </c>
      <c r="DT193">
        <v>1471</v>
      </c>
      <c r="DU193">
        <v>92.79</v>
      </c>
      <c r="DV193">
        <v>79.75</v>
      </c>
      <c r="DW193" s="187">
        <v>49.56</v>
      </c>
      <c r="DX193">
        <v>139.54</v>
      </c>
      <c r="DY193">
        <v>1635</v>
      </c>
      <c r="DZ193">
        <v>0</v>
      </c>
      <c r="EA193">
        <v>0</v>
      </c>
      <c r="EB193" s="187">
        <v>0</v>
      </c>
      <c r="EC193">
        <v>0</v>
      </c>
      <c r="ED193">
        <v>91.54</v>
      </c>
      <c r="EE193">
        <v>349</v>
      </c>
      <c r="EF193">
        <v>113.33</v>
      </c>
      <c r="EG193" s="187">
        <v>1063</v>
      </c>
      <c r="EH193">
        <v>125.96</v>
      </c>
      <c r="EI193">
        <v>397</v>
      </c>
      <c r="EJ193">
        <v>160.28</v>
      </c>
      <c r="EK193">
        <v>43</v>
      </c>
      <c r="EL193" s="187">
        <v>0</v>
      </c>
      <c r="EM193">
        <v>0</v>
      </c>
      <c r="EN193">
        <v>0</v>
      </c>
      <c r="EO193">
        <v>0</v>
      </c>
      <c r="EP193">
        <v>113.02</v>
      </c>
      <c r="EQ193" s="187">
        <v>1852</v>
      </c>
      <c r="ER193">
        <v>113.02</v>
      </c>
      <c r="ES193">
        <v>1852</v>
      </c>
      <c r="ET193">
        <v>0</v>
      </c>
      <c r="EU193">
        <v>0</v>
      </c>
      <c r="EV193" s="187">
        <v>0</v>
      </c>
      <c r="EW193">
        <v>0</v>
      </c>
      <c r="EX193">
        <v>170.18</v>
      </c>
      <c r="EY193">
        <v>3</v>
      </c>
      <c r="EZ193">
        <v>154.15</v>
      </c>
      <c r="FA193" s="187">
        <v>4</v>
      </c>
      <c r="FB193">
        <v>0</v>
      </c>
      <c r="FC193">
        <v>0</v>
      </c>
      <c r="FD193">
        <v>0</v>
      </c>
      <c r="FE193">
        <v>0</v>
      </c>
      <c r="FF193" s="187">
        <v>161.02000000000001</v>
      </c>
      <c r="FG193">
        <v>7</v>
      </c>
      <c r="FH193">
        <v>161.02000000000001</v>
      </c>
      <c r="FI193">
        <v>7</v>
      </c>
      <c r="FJ193">
        <v>1</v>
      </c>
      <c r="FK193" s="187">
        <v>34</v>
      </c>
      <c r="FL193">
        <v>6</v>
      </c>
      <c r="FM193">
        <v>70</v>
      </c>
      <c r="FN193">
        <v>45</v>
      </c>
    </row>
    <row r="194" spans="1:170" x14ac:dyDescent="0.35">
      <c r="A194" t="s">
        <v>774</v>
      </c>
      <c r="B194" t="s">
        <v>775</v>
      </c>
      <c r="C194" t="s">
        <v>419</v>
      </c>
      <c r="D194">
        <v>8544</v>
      </c>
      <c r="E194">
        <v>8417</v>
      </c>
      <c r="F194">
        <v>66</v>
      </c>
      <c r="G194">
        <v>66</v>
      </c>
      <c r="H194">
        <v>380</v>
      </c>
      <c r="I194">
        <v>255</v>
      </c>
      <c r="J194">
        <v>651</v>
      </c>
      <c r="K194">
        <v>575</v>
      </c>
      <c r="L194">
        <v>650</v>
      </c>
      <c r="M194">
        <v>5</v>
      </c>
      <c r="N194">
        <v>10291</v>
      </c>
      <c r="O194">
        <v>9318</v>
      </c>
      <c r="P194">
        <v>9641</v>
      </c>
      <c r="Q194">
        <v>67</v>
      </c>
      <c r="R194">
        <v>11</v>
      </c>
      <c r="S194">
        <v>28</v>
      </c>
      <c r="T194">
        <v>252</v>
      </c>
      <c r="U194">
        <v>10039</v>
      </c>
      <c r="V194" s="498">
        <v>8422</v>
      </c>
      <c r="W194">
        <v>40</v>
      </c>
      <c r="X194" s="498">
        <v>120</v>
      </c>
      <c r="Y194" s="498">
        <v>160</v>
      </c>
      <c r="Z194" s="498">
        <v>96.91</v>
      </c>
      <c r="AA194" s="498">
        <v>96.72</v>
      </c>
      <c r="AB194">
        <v>5.21</v>
      </c>
      <c r="AC194">
        <v>101.96</v>
      </c>
      <c r="AD194">
        <v>7487</v>
      </c>
      <c r="AE194">
        <v>109.23</v>
      </c>
      <c r="AF194">
        <v>92.44</v>
      </c>
      <c r="AG194">
        <v>74.55</v>
      </c>
      <c r="AH194">
        <v>181.7</v>
      </c>
      <c r="AI194">
        <v>861</v>
      </c>
      <c r="AJ194">
        <v>131.93</v>
      </c>
      <c r="AK194">
        <v>928</v>
      </c>
      <c r="AL194">
        <v>127.38</v>
      </c>
      <c r="AM194">
        <v>40</v>
      </c>
      <c r="AN194">
        <v>0</v>
      </c>
      <c r="AO194" s="499">
        <v>0</v>
      </c>
      <c r="AP194" s="499">
        <v>0</v>
      </c>
      <c r="AQ194">
        <v>0</v>
      </c>
      <c r="AR194">
        <v>0</v>
      </c>
      <c r="AS194">
        <v>68.84</v>
      </c>
      <c r="AT194">
        <v>68.84</v>
      </c>
      <c r="AU194">
        <v>9.17</v>
      </c>
      <c r="AV194">
        <v>78.02</v>
      </c>
      <c r="AW194">
        <v>145</v>
      </c>
      <c r="AX194">
        <v>83.61</v>
      </c>
      <c r="AY194">
        <v>83.38</v>
      </c>
      <c r="AZ194">
        <v>8.69</v>
      </c>
      <c r="BA194">
        <v>92.27</v>
      </c>
      <c r="BB194">
        <v>1891</v>
      </c>
      <c r="BC194">
        <v>96.11</v>
      </c>
      <c r="BD194">
        <v>95.55</v>
      </c>
      <c r="BE194">
        <v>5.29</v>
      </c>
      <c r="BF194">
        <v>101.27</v>
      </c>
      <c r="BG194">
        <v>3182</v>
      </c>
      <c r="BH194">
        <v>109.31</v>
      </c>
      <c r="BI194">
        <v>109.53</v>
      </c>
      <c r="BJ194">
        <v>1.68</v>
      </c>
      <c r="BK194">
        <v>110.9</v>
      </c>
      <c r="BL194" s="214">
        <v>2065</v>
      </c>
      <c r="BM194" s="214">
        <v>127.49</v>
      </c>
      <c r="BN194">
        <v>127.21</v>
      </c>
      <c r="BO194" s="187">
        <v>2.2799999999999998</v>
      </c>
      <c r="BP194" s="214">
        <v>129.57</v>
      </c>
      <c r="BQ194" s="214">
        <v>188</v>
      </c>
      <c r="BR194">
        <v>124.05</v>
      </c>
      <c r="BS194" s="187">
        <v>128.61000000000001</v>
      </c>
      <c r="BT194" s="214">
        <v>1.5</v>
      </c>
      <c r="BU194" s="214">
        <v>125.36</v>
      </c>
      <c r="BV194">
        <v>15</v>
      </c>
      <c r="BW194">
        <v>100.78</v>
      </c>
      <c r="BX194" s="214">
        <v>137.91</v>
      </c>
      <c r="BY194" s="214">
        <v>1.03</v>
      </c>
      <c r="BZ194">
        <v>101.81</v>
      </c>
      <c r="CA194" s="187">
        <v>1</v>
      </c>
      <c r="CB194" s="214">
        <v>96.91</v>
      </c>
      <c r="CC194" s="214">
        <v>96.72</v>
      </c>
      <c r="CD194">
        <v>5.21</v>
      </c>
      <c r="CE194" s="187">
        <v>101.96</v>
      </c>
      <c r="CF194" s="214">
        <v>7487</v>
      </c>
      <c r="CG194" s="214">
        <v>96.91</v>
      </c>
      <c r="CH194">
        <v>96.72</v>
      </c>
      <c r="CI194">
        <v>5.21</v>
      </c>
      <c r="CJ194">
        <v>101.96</v>
      </c>
      <c r="CK194">
        <v>7487</v>
      </c>
      <c r="CL194">
        <v>122.16</v>
      </c>
      <c r="CM194">
        <v>76.489999999999995</v>
      </c>
      <c r="CN194" s="187">
        <v>153.44</v>
      </c>
      <c r="CO194">
        <v>271.83</v>
      </c>
      <c r="CP194">
        <v>122</v>
      </c>
      <c r="CQ194">
        <v>75.94</v>
      </c>
      <c r="CR194">
        <v>69.099999999999994</v>
      </c>
      <c r="CS194" s="187">
        <v>34.47</v>
      </c>
      <c r="CT194">
        <v>110.4</v>
      </c>
      <c r="CU194">
        <v>98</v>
      </c>
      <c r="CV194">
        <v>106.85</v>
      </c>
      <c r="CW194">
        <v>92.82</v>
      </c>
      <c r="CX194" s="187">
        <v>73.62</v>
      </c>
      <c r="CY194">
        <v>177.39</v>
      </c>
      <c r="CZ194">
        <v>479</v>
      </c>
      <c r="DA194">
        <v>126.6</v>
      </c>
      <c r="DB194">
        <v>114.13</v>
      </c>
      <c r="DC194" s="187">
        <v>44.53</v>
      </c>
      <c r="DD194">
        <v>170.85</v>
      </c>
      <c r="DE194">
        <v>156</v>
      </c>
      <c r="DF194">
        <v>128.38999999999999</v>
      </c>
      <c r="DG194">
        <v>112.46</v>
      </c>
      <c r="DH194" s="187">
        <v>10.65</v>
      </c>
      <c r="DI194">
        <v>139.04</v>
      </c>
      <c r="DJ194">
        <v>6</v>
      </c>
      <c r="DK194">
        <v>0</v>
      </c>
      <c r="DL194">
        <v>0</v>
      </c>
      <c r="DM194" s="187">
        <v>0</v>
      </c>
      <c r="DN194">
        <v>0</v>
      </c>
      <c r="DO194">
        <v>0</v>
      </c>
      <c r="DP194">
        <v>107.1</v>
      </c>
      <c r="DQ194">
        <v>94.25</v>
      </c>
      <c r="DR194" s="187">
        <v>61.47</v>
      </c>
      <c r="DS194">
        <v>166.82</v>
      </c>
      <c r="DT194">
        <v>739</v>
      </c>
      <c r="DU194">
        <v>109.23</v>
      </c>
      <c r="DV194">
        <v>92.44</v>
      </c>
      <c r="DW194" s="187">
        <v>74.55</v>
      </c>
      <c r="DX194">
        <v>181.7</v>
      </c>
      <c r="DY194">
        <v>861</v>
      </c>
      <c r="DZ194">
        <v>0</v>
      </c>
      <c r="EA194">
        <v>0</v>
      </c>
      <c r="EB194" s="187">
        <v>93.98</v>
      </c>
      <c r="EC194">
        <v>1</v>
      </c>
      <c r="ED194">
        <v>107.2</v>
      </c>
      <c r="EE194">
        <v>90</v>
      </c>
      <c r="EF194">
        <v>125</v>
      </c>
      <c r="EG194" s="187">
        <v>455</v>
      </c>
      <c r="EH194">
        <v>143.55000000000001</v>
      </c>
      <c r="EI194">
        <v>329</v>
      </c>
      <c r="EJ194">
        <v>162.09</v>
      </c>
      <c r="EK194">
        <v>50</v>
      </c>
      <c r="EL194" s="187">
        <v>162.13999999999999</v>
      </c>
      <c r="EM194">
        <v>3</v>
      </c>
      <c r="EN194">
        <v>0</v>
      </c>
      <c r="EO194">
        <v>0</v>
      </c>
      <c r="EP194">
        <v>131.93</v>
      </c>
      <c r="EQ194" s="187">
        <v>928</v>
      </c>
      <c r="ER194">
        <v>131.93</v>
      </c>
      <c r="ES194">
        <v>928</v>
      </c>
      <c r="ET194">
        <v>0</v>
      </c>
      <c r="EU194">
        <v>0</v>
      </c>
      <c r="EV194" s="187">
        <v>0</v>
      </c>
      <c r="EW194">
        <v>0</v>
      </c>
      <c r="EX194">
        <v>122.8</v>
      </c>
      <c r="EY194">
        <v>32</v>
      </c>
      <c r="EZ194">
        <v>145.69999999999999</v>
      </c>
      <c r="FA194" s="187">
        <v>8</v>
      </c>
      <c r="FB194">
        <v>0</v>
      </c>
      <c r="FC194">
        <v>0</v>
      </c>
      <c r="FD194">
        <v>0</v>
      </c>
      <c r="FE194">
        <v>0</v>
      </c>
      <c r="FF194" s="187">
        <v>127.38</v>
      </c>
      <c r="FG194">
        <v>40</v>
      </c>
      <c r="FH194">
        <v>127.38</v>
      </c>
      <c r="FI194">
        <v>40</v>
      </c>
      <c r="FJ194">
        <v>0</v>
      </c>
      <c r="FK194" s="187">
        <v>11</v>
      </c>
      <c r="FL194">
        <v>12</v>
      </c>
      <c r="FM194">
        <v>70</v>
      </c>
      <c r="FN194">
        <v>17</v>
      </c>
    </row>
    <row r="195" spans="1:170" x14ac:dyDescent="0.35">
      <c r="A195" t="s">
        <v>776</v>
      </c>
      <c r="B195" t="s">
        <v>777</v>
      </c>
      <c r="C195" t="s">
        <v>417</v>
      </c>
      <c r="D195">
        <v>4354</v>
      </c>
      <c r="E195">
        <v>4238</v>
      </c>
      <c r="F195">
        <v>0</v>
      </c>
      <c r="G195">
        <v>0</v>
      </c>
      <c r="H195">
        <v>609</v>
      </c>
      <c r="I195">
        <v>418</v>
      </c>
      <c r="J195">
        <v>1385</v>
      </c>
      <c r="K195">
        <v>1399</v>
      </c>
      <c r="L195">
        <v>422</v>
      </c>
      <c r="M195">
        <v>0</v>
      </c>
      <c r="N195">
        <v>6770</v>
      </c>
      <c r="O195">
        <v>6055</v>
      </c>
      <c r="P195">
        <v>6348</v>
      </c>
      <c r="Q195">
        <v>0</v>
      </c>
      <c r="R195">
        <v>15</v>
      </c>
      <c r="S195">
        <v>22</v>
      </c>
      <c r="T195">
        <v>352</v>
      </c>
      <c r="U195">
        <v>6418</v>
      </c>
      <c r="V195" s="498">
        <v>4161</v>
      </c>
      <c r="W195">
        <v>44</v>
      </c>
      <c r="X195" s="498">
        <v>28</v>
      </c>
      <c r="Y195" s="498">
        <v>72</v>
      </c>
      <c r="Z195" s="498">
        <v>83.92</v>
      </c>
      <c r="AA195" s="498">
        <v>80.510000000000005</v>
      </c>
      <c r="AB195">
        <v>7.98</v>
      </c>
      <c r="AC195">
        <v>90.09</v>
      </c>
      <c r="AD195">
        <v>3166</v>
      </c>
      <c r="AE195">
        <v>95.85</v>
      </c>
      <c r="AF195">
        <v>78.14</v>
      </c>
      <c r="AG195">
        <v>55.49</v>
      </c>
      <c r="AH195">
        <v>150.80000000000001</v>
      </c>
      <c r="AI195">
        <v>1762</v>
      </c>
      <c r="AJ195">
        <v>104.69</v>
      </c>
      <c r="AK195">
        <v>975</v>
      </c>
      <c r="AL195">
        <v>145.1</v>
      </c>
      <c r="AM195">
        <v>73</v>
      </c>
      <c r="AN195">
        <v>0</v>
      </c>
      <c r="AO195" s="499">
        <v>0</v>
      </c>
      <c r="AP195" s="499">
        <v>0</v>
      </c>
      <c r="AQ195">
        <v>0</v>
      </c>
      <c r="AR195">
        <v>0</v>
      </c>
      <c r="AS195">
        <v>67.44</v>
      </c>
      <c r="AT195">
        <v>63.93</v>
      </c>
      <c r="AU195">
        <v>13.81</v>
      </c>
      <c r="AV195">
        <v>81.25</v>
      </c>
      <c r="AW195">
        <v>48</v>
      </c>
      <c r="AX195">
        <v>73.83</v>
      </c>
      <c r="AY195">
        <v>70.67</v>
      </c>
      <c r="AZ195">
        <v>10.15</v>
      </c>
      <c r="BA195">
        <v>82.92</v>
      </c>
      <c r="BB195">
        <v>887</v>
      </c>
      <c r="BC195">
        <v>84.73</v>
      </c>
      <c r="BD195">
        <v>81.19</v>
      </c>
      <c r="BE195">
        <v>7.46</v>
      </c>
      <c r="BF195">
        <v>90.4</v>
      </c>
      <c r="BG195">
        <v>1368</v>
      </c>
      <c r="BH195">
        <v>93.31</v>
      </c>
      <c r="BI195">
        <v>89.86</v>
      </c>
      <c r="BJ195">
        <v>5.47</v>
      </c>
      <c r="BK195">
        <v>96.93</v>
      </c>
      <c r="BL195" s="214">
        <v>814</v>
      </c>
      <c r="BM195" s="214">
        <v>101.91</v>
      </c>
      <c r="BN195">
        <v>98.42</v>
      </c>
      <c r="BO195" s="187">
        <v>4.1100000000000003</v>
      </c>
      <c r="BP195" s="214">
        <v>104.31</v>
      </c>
      <c r="BQ195" s="214">
        <v>41</v>
      </c>
      <c r="BR195">
        <v>109.71</v>
      </c>
      <c r="BS195" s="187">
        <v>105.78</v>
      </c>
      <c r="BT195" s="214">
        <v>0</v>
      </c>
      <c r="BU195" s="214">
        <v>109.71</v>
      </c>
      <c r="BV195">
        <v>7</v>
      </c>
      <c r="BW195">
        <v>145.72999999999999</v>
      </c>
      <c r="BX195" s="214">
        <v>138.80000000000001</v>
      </c>
      <c r="BY195" s="214">
        <v>0</v>
      </c>
      <c r="BZ195">
        <v>145.72999999999999</v>
      </c>
      <c r="CA195" s="187">
        <v>1</v>
      </c>
      <c r="CB195" s="214">
        <v>83.92</v>
      </c>
      <c r="CC195" s="214">
        <v>80.510000000000005</v>
      </c>
      <c r="CD195">
        <v>7.98</v>
      </c>
      <c r="CE195" s="187">
        <v>90.09</v>
      </c>
      <c r="CF195" s="214">
        <v>3166</v>
      </c>
      <c r="CG195" s="214">
        <v>83.92</v>
      </c>
      <c r="CH195">
        <v>80.510000000000005</v>
      </c>
      <c r="CI195">
        <v>7.98</v>
      </c>
      <c r="CJ195">
        <v>90.09</v>
      </c>
      <c r="CK195">
        <v>3166</v>
      </c>
      <c r="CL195">
        <v>130.87</v>
      </c>
      <c r="CM195">
        <v>71.92</v>
      </c>
      <c r="CN195" s="187">
        <v>72.77</v>
      </c>
      <c r="CO195">
        <v>202.35</v>
      </c>
      <c r="CP195">
        <v>169</v>
      </c>
      <c r="CQ195">
        <v>69.290000000000006</v>
      </c>
      <c r="CR195">
        <v>63.4</v>
      </c>
      <c r="CS195" s="187">
        <v>63.59</v>
      </c>
      <c r="CT195">
        <v>132.88</v>
      </c>
      <c r="CU195">
        <v>185</v>
      </c>
      <c r="CV195">
        <v>90.17</v>
      </c>
      <c r="CW195">
        <v>73.62</v>
      </c>
      <c r="CX195" s="187">
        <v>54.38</v>
      </c>
      <c r="CY195">
        <v>144.44</v>
      </c>
      <c r="CZ195">
        <v>994</v>
      </c>
      <c r="DA195">
        <v>104.25</v>
      </c>
      <c r="DB195">
        <v>96.71</v>
      </c>
      <c r="DC195" s="187">
        <v>46.58</v>
      </c>
      <c r="DD195">
        <v>149.93</v>
      </c>
      <c r="DE195">
        <v>363</v>
      </c>
      <c r="DF195">
        <v>127.79</v>
      </c>
      <c r="DG195">
        <v>98.11</v>
      </c>
      <c r="DH195" s="187">
        <v>50.29</v>
      </c>
      <c r="DI195">
        <v>173.05</v>
      </c>
      <c r="DJ195">
        <v>50</v>
      </c>
      <c r="DK195">
        <v>89.63</v>
      </c>
      <c r="DL195">
        <v>81.48</v>
      </c>
      <c r="DM195" s="187">
        <v>188.67</v>
      </c>
      <c r="DN195">
        <v>278.3</v>
      </c>
      <c r="DO195">
        <v>1</v>
      </c>
      <c r="DP195">
        <v>92.13</v>
      </c>
      <c r="DQ195">
        <v>78.48</v>
      </c>
      <c r="DR195" s="187">
        <v>53.67</v>
      </c>
      <c r="DS195">
        <v>145.33000000000001</v>
      </c>
      <c r="DT195">
        <v>1593</v>
      </c>
      <c r="DU195">
        <v>95.85</v>
      </c>
      <c r="DV195">
        <v>78.14</v>
      </c>
      <c r="DW195" s="187">
        <v>55.49</v>
      </c>
      <c r="DX195">
        <v>150.80000000000001</v>
      </c>
      <c r="DY195">
        <v>1762</v>
      </c>
      <c r="DZ195">
        <v>0</v>
      </c>
      <c r="EA195">
        <v>0</v>
      </c>
      <c r="EB195" s="187">
        <v>71.66</v>
      </c>
      <c r="EC195">
        <v>1</v>
      </c>
      <c r="ED195">
        <v>83.6</v>
      </c>
      <c r="EE195">
        <v>77</v>
      </c>
      <c r="EF195">
        <v>100.71</v>
      </c>
      <c r="EG195" s="187">
        <v>568</v>
      </c>
      <c r="EH195">
        <v>116.07</v>
      </c>
      <c r="EI195">
        <v>318</v>
      </c>
      <c r="EJ195">
        <v>131.79</v>
      </c>
      <c r="EK195">
        <v>11</v>
      </c>
      <c r="EL195" s="187">
        <v>0</v>
      </c>
      <c r="EM195">
        <v>0</v>
      </c>
      <c r="EN195">
        <v>0</v>
      </c>
      <c r="EO195">
        <v>0</v>
      </c>
      <c r="EP195">
        <v>104.69</v>
      </c>
      <c r="EQ195" s="187">
        <v>975</v>
      </c>
      <c r="ER195">
        <v>104.69</v>
      </c>
      <c r="ES195">
        <v>975</v>
      </c>
      <c r="ET195">
        <v>0</v>
      </c>
      <c r="EU195">
        <v>0</v>
      </c>
      <c r="EV195" s="187">
        <v>0</v>
      </c>
      <c r="EW195">
        <v>0</v>
      </c>
      <c r="EX195">
        <v>74.56</v>
      </c>
      <c r="EY195">
        <v>13</v>
      </c>
      <c r="EZ195">
        <v>160.38999999999999</v>
      </c>
      <c r="FA195" s="187">
        <v>60</v>
      </c>
      <c r="FB195">
        <v>0</v>
      </c>
      <c r="FC195">
        <v>0</v>
      </c>
      <c r="FD195">
        <v>0</v>
      </c>
      <c r="FE195">
        <v>0</v>
      </c>
      <c r="FF195" s="187">
        <v>145.1</v>
      </c>
      <c r="FG195">
        <v>73</v>
      </c>
      <c r="FH195">
        <v>145.1</v>
      </c>
      <c r="FI195">
        <v>73</v>
      </c>
      <c r="FJ195">
        <v>0</v>
      </c>
      <c r="FK195" s="187">
        <v>1</v>
      </c>
      <c r="FL195">
        <v>0</v>
      </c>
      <c r="FM195">
        <v>19</v>
      </c>
      <c r="FN195">
        <v>9</v>
      </c>
    </row>
    <row r="196" spans="1:170" x14ac:dyDescent="0.35">
      <c r="A196" t="s">
        <v>778</v>
      </c>
      <c r="B196" t="s">
        <v>779</v>
      </c>
      <c r="C196" t="s">
        <v>420</v>
      </c>
      <c r="D196">
        <v>1187</v>
      </c>
      <c r="E196">
        <v>1161</v>
      </c>
      <c r="F196">
        <v>0</v>
      </c>
      <c r="G196">
        <v>0</v>
      </c>
      <c r="H196">
        <v>9</v>
      </c>
      <c r="I196">
        <v>9</v>
      </c>
      <c r="J196">
        <v>47</v>
      </c>
      <c r="K196">
        <v>47</v>
      </c>
      <c r="L196">
        <v>301</v>
      </c>
      <c r="M196">
        <v>19</v>
      </c>
      <c r="N196">
        <v>1544</v>
      </c>
      <c r="O196">
        <v>1236</v>
      </c>
      <c r="P196">
        <v>1243</v>
      </c>
      <c r="Q196">
        <v>0</v>
      </c>
      <c r="R196">
        <v>3</v>
      </c>
      <c r="S196">
        <v>15</v>
      </c>
      <c r="T196">
        <v>5</v>
      </c>
      <c r="U196">
        <v>1539</v>
      </c>
      <c r="V196" s="498">
        <v>1185</v>
      </c>
      <c r="W196">
        <v>16</v>
      </c>
      <c r="X196" s="498">
        <v>0</v>
      </c>
      <c r="Y196" s="498">
        <v>16</v>
      </c>
      <c r="Z196" s="498">
        <v>100.13</v>
      </c>
      <c r="AA196" s="498">
        <v>98.02</v>
      </c>
      <c r="AB196">
        <v>4.8</v>
      </c>
      <c r="AC196">
        <v>103.56</v>
      </c>
      <c r="AD196">
        <v>845</v>
      </c>
      <c r="AE196">
        <v>88.84</v>
      </c>
      <c r="AF196">
        <v>84.37</v>
      </c>
      <c r="AG196">
        <v>26.04</v>
      </c>
      <c r="AH196">
        <v>114.89</v>
      </c>
      <c r="AI196">
        <v>53</v>
      </c>
      <c r="AJ196">
        <v>123.14</v>
      </c>
      <c r="AK196">
        <v>340</v>
      </c>
      <c r="AL196">
        <v>0</v>
      </c>
      <c r="AM196">
        <v>0</v>
      </c>
      <c r="AN196">
        <v>0</v>
      </c>
      <c r="AO196" s="499">
        <v>0</v>
      </c>
      <c r="AP196" s="499">
        <v>0</v>
      </c>
      <c r="AQ196">
        <v>0</v>
      </c>
      <c r="AR196">
        <v>0</v>
      </c>
      <c r="AS196">
        <v>0</v>
      </c>
      <c r="AT196">
        <v>0</v>
      </c>
      <c r="AU196">
        <v>0</v>
      </c>
      <c r="AV196">
        <v>0</v>
      </c>
      <c r="AW196">
        <v>0</v>
      </c>
      <c r="AX196">
        <v>82.63</v>
      </c>
      <c r="AY196">
        <v>80.86</v>
      </c>
      <c r="AZ196">
        <v>9.8800000000000008</v>
      </c>
      <c r="BA196">
        <v>92.25</v>
      </c>
      <c r="BB196">
        <v>116</v>
      </c>
      <c r="BC196">
        <v>98.17</v>
      </c>
      <c r="BD196">
        <v>96.16</v>
      </c>
      <c r="BE196">
        <v>4.45</v>
      </c>
      <c r="BF196">
        <v>101.67</v>
      </c>
      <c r="BG196">
        <v>359</v>
      </c>
      <c r="BH196">
        <v>106.69</v>
      </c>
      <c r="BI196">
        <v>104.33</v>
      </c>
      <c r="BJ196">
        <v>2.6</v>
      </c>
      <c r="BK196">
        <v>108.19</v>
      </c>
      <c r="BL196" s="214">
        <v>341</v>
      </c>
      <c r="BM196" s="214">
        <v>117.24</v>
      </c>
      <c r="BN196">
        <v>115.6</v>
      </c>
      <c r="BO196" s="187">
        <v>1.1399999999999999</v>
      </c>
      <c r="BP196" s="214">
        <v>117.67</v>
      </c>
      <c r="BQ196" s="214">
        <v>29</v>
      </c>
      <c r="BR196">
        <v>0</v>
      </c>
      <c r="BS196" s="187">
        <v>0</v>
      </c>
      <c r="BT196" s="214">
        <v>0</v>
      </c>
      <c r="BU196" s="214">
        <v>0</v>
      </c>
      <c r="BV196">
        <v>0</v>
      </c>
      <c r="BW196">
        <v>0</v>
      </c>
      <c r="BX196" s="214">
        <v>0</v>
      </c>
      <c r="BY196" s="214">
        <v>0</v>
      </c>
      <c r="BZ196">
        <v>0</v>
      </c>
      <c r="CA196" s="187">
        <v>0</v>
      </c>
      <c r="CB196" s="214">
        <v>100.13</v>
      </c>
      <c r="CC196" s="214">
        <v>98.02</v>
      </c>
      <c r="CD196">
        <v>4.8</v>
      </c>
      <c r="CE196" s="187">
        <v>103.56</v>
      </c>
      <c r="CF196" s="214">
        <v>845</v>
      </c>
      <c r="CG196" s="214">
        <v>100.13</v>
      </c>
      <c r="CH196">
        <v>98.02</v>
      </c>
      <c r="CI196">
        <v>4.8</v>
      </c>
      <c r="CJ196">
        <v>103.56</v>
      </c>
      <c r="CK196">
        <v>845</v>
      </c>
      <c r="CL196">
        <v>0</v>
      </c>
      <c r="CM196">
        <v>0</v>
      </c>
      <c r="CN196" s="187">
        <v>0</v>
      </c>
      <c r="CO196">
        <v>0</v>
      </c>
      <c r="CP196">
        <v>0</v>
      </c>
      <c r="CQ196">
        <v>77.34</v>
      </c>
      <c r="CR196">
        <v>75.5</v>
      </c>
      <c r="CS196" s="187">
        <v>29.19</v>
      </c>
      <c r="CT196">
        <v>106.53</v>
      </c>
      <c r="CU196">
        <v>18</v>
      </c>
      <c r="CV196">
        <v>92.48</v>
      </c>
      <c r="CW196">
        <v>88.71</v>
      </c>
      <c r="CX196" s="187">
        <v>26.93</v>
      </c>
      <c r="CY196">
        <v>119.41</v>
      </c>
      <c r="CZ196">
        <v>27</v>
      </c>
      <c r="DA196">
        <v>99.81</v>
      </c>
      <c r="DB196">
        <v>95.83</v>
      </c>
      <c r="DC196" s="187">
        <v>14.11</v>
      </c>
      <c r="DD196">
        <v>113.92</v>
      </c>
      <c r="DE196">
        <v>7</v>
      </c>
      <c r="DF196">
        <v>120.9</v>
      </c>
      <c r="DG196">
        <v>115.49</v>
      </c>
      <c r="DH196" s="187">
        <v>29.19</v>
      </c>
      <c r="DI196">
        <v>150.09</v>
      </c>
      <c r="DJ196">
        <v>1</v>
      </c>
      <c r="DK196">
        <v>0</v>
      </c>
      <c r="DL196">
        <v>0</v>
      </c>
      <c r="DM196" s="187">
        <v>0</v>
      </c>
      <c r="DN196">
        <v>0</v>
      </c>
      <c r="DO196">
        <v>0</v>
      </c>
      <c r="DP196">
        <v>88.84</v>
      </c>
      <c r="DQ196">
        <v>84.37</v>
      </c>
      <c r="DR196" s="187">
        <v>26.04</v>
      </c>
      <c r="DS196">
        <v>114.89</v>
      </c>
      <c r="DT196">
        <v>53</v>
      </c>
      <c r="DU196">
        <v>88.84</v>
      </c>
      <c r="DV196">
        <v>84.37</v>
      </c>
      <c r="DW196" s="187">
        <v>26.04</v>
      </c>
      <c r="DX196">
        <v>114.89</v>
      </c>
      <c r="DY196">
        <v>53</v>
      </c>
      <c r="DZ196">
        <v>0</v>
      </c>
      <c r="EA196">
        <v>0</v>
      </c>
      <c r="EB196" s="187">
        <v>0</v>
      </c>
      <c r="EC196">
        <v>0</v>
      </c>
      <c r="ED196">
        <v>100.94</v>
      </c>
      <c r="EE196">
        <v>27</v>
      </c>
      <c r="EF196">
        <v>117.77</v>
      </c>
      <c r="EG196" s="187">
        <v>191</v>
      </c>
      <c r="EH196">
        <v>131.53</v>
      </c>
      <c r="EI196">
        <v>105</v>
      </c>
      <c r="EJ196">
        <v>166.95</v>
      </c>
      <c r="EK196">
        <v>17</v>
      </c>
      <c r="EL196" s="187">
        <v>0</v>
      </c>
      <c r="EM196">
        <v>0</v>
      </c>
      <c r="EN196">
        <v>0</v>
      </c>
      <c r="EO196">
        <v>0</v>
      </c>
      <c r="EP196">
        <v>123.14</v>
      </c>
      <c r="EQ196" s="187">
        <v>340</v>
      </c>
      <c r="ER196">
        <v>123.14</v>
      </c>
      <c r="ES196">
        <v>340</v>
      </c>
      <c r="ET196">
        <v>0</v>
      </c>
      <c r="EU196">
        <v>0</v>
      </c>
      <c r="EV196" s="187">
        <v>0</v>
      </c>
      <c r="EW196">
        <v>0</v>
      </c>
      <c r="EX196">
        <v>0</v>
      </c>
      <c r="EY196">
        <v>0</v>
      </c>
      <c r="EZ196">
        <v>0</v>
      </c>
      <c r="FA196" s="187">
        <v>0</v>
      </c>
      <c r="FB196">
        <v>0</v>
      </c>
      <c r="FC196">
        <v>0</v>
      </c>
      <c r="FD196">
        <v>0</v>
      </c>
      <c r="FE196">
        <v>0</v>
      </c>
      <c r="FF196" s="187">
        <v>0</v>
      </c>
      <c r="FG196">
        <v>0</v>
      </c>
      <c r="FH196">
        <v>0</v>
      </c>
      <c r="FI196">
        <v>0</v>
      </c>
      <c r="FJ196">
        <v>63</v>
      </c>
      <c r="FK196" s="187">
        <v>1</v>
      </c>
      <c r="FL196">
        <v>0</v>
      </c>
      <c r="FM196">
        <v>58</v>
      </c>
      <c r="FN196">
        <v>4</v>
      </c>
    </row>
    <row r="197" spans="1:170" x14ac:dyDescent="0.35">
      <c r="A197" t="s">
        <v>780</v>
      </c>
      <c r="B197" t="s">
        <v>781</v>
      </c>
      <c r="C197" t="s">
        <v>414</v>
      </c>
      <c r="D197">
        <v>2202</v>
      </c>
      <c r="E197">
        <v>2159</v>
      </c>
      <c r="F197">
        <v>2</v>
      </c>
      <c r="G197">
        <v>0</v>
      </c>
      <c r="H197">
        <v>116</v>
      </c>
      <c r="I197">
        <v>9</v>
      </c>
      <c r="J197">
        <v>126</v>
      </c>
      <c r="K197">
        <v>116</v>
      </c>
      <c r="L197">
        <v>558</v>
      </c>
      <c r="M197">
        <v>6</v>
      </c>
      <c r="N197">
        <v>3004</v>
      </c>
      <c r="O197">
        <v>2290</v>
      </c>
      <c r="P197">
        <v>2446</v>
      </c>
      <c r="Q197">
        <v>0</v>
      </c>
      <c r="R197">
        <v>4</v>
      </c>
      <c r="S197">
        <v>21</v>
      </c>
      <c r="T197">
        <v>25</v>
      </c>
      <c r="U197">
        <v>2979</v>
      </c>
      <c r="V197" s="498">
        <v>2202</v>
      </c>
      <c r="W197">
        <v>17</v>
      </c>
      <c r="X197" s="498">
        <v>18</v>
      </c>
      <c r="Y197" s="498">
        <v>35</v>
      </c>
      <c r="Z197" s="498">
        <v>90.13</v>
      </c>
      <c r="AA197" s="498">
        <v>89.7</v>
      </c>
      <c r="AB197">
        <v>6.97</v>
      </c>
      <c r="AC197">
        <v>95.9</v>
      </c>
      <c r="AD197">
        <v>1408</v>
      </c>
      <c r="AE197">
        <v>93.49</v>
      </c>
      <c r="AF197">
        <v>92.98</v>
      </c>
      <c r="AG197">
        <v>55.54</v>
      </c>
      <c r="AH197">
        <v>134.43</v>
      </c>
      <c r="AI197">
        <v>213</v>
      </c>
      <c r="AJ197">
        <v>113.05</v>
      </c>
      <c r="AK197">
        <v>775</v>
      </c>
      <c r="AL197">
        <v>147.77000000000001</v>
      </c>
      <c r="AM197">
        <v>6</v>
      </c>
      <c r="AN197">
        <v>0</v>
      </c>
      <c r="AO197" s="499">
        <v>0</v>
      </c>
      <c r="AP197" s="499">
        <v>0</v>
      </c>
      <c r="AQ197">
        <v>0</v>
      </c>
      <c r="AR197">
        <v>0</v>
      </c>
      <c r="AS197">
        <v>63.19</v>
      </c>
      <c r="AT197">
        <v>63.19</v>
      </c>
      <c r="AU197">
        <v>11.48</v>
      </c>
      <c r="AV197">
        <v>74.67</v>
      </c>
      <c r="AW197">
        <v>12</v>
      </c>
      <c r="AX197">
        <v>76.06</v>
      </c>
      <c r="AY197">
        <v>75.430000000000007</v>
      </c>
      <c r="AZ197">
        <v>9.2899999999999991</v>
      </c>
      <c r="BA197">
        <v>84.87</v>
      </c>
      <c r="BB197">
        <v>306</v>
      </c>
      <c r="BC197">
        <v>89.66</v>
      </c>
      <c r="BD197">
        <v>88.99</v>
      </c>
      <c r="BE197">
        <v>6.39</v>
      </c>
      <c r="BF197">
        <v>94.9</v>
      </c>
      <c r="BG197">
        <v>588</v>
      </c>
      <c r="BH197">
        <v>99.39</v>
      </c>
      <c r="BI197">
        <v>99.21</v>
      </c>
      <c r="BJ197">
        <v>5.8</v>
      </c>
      <c r="BK197">
        <v>103.73</v>
      </c>
      <c r="BL197" s="214">
        <v>475</v>
      </c>
      <c r="BM197" s="214">
        <v>108.61</v>
      </c>
      <c r="BN197">
        <v>111.27</v>
      </c>
      <c r="BO197" s="187">
        <v>5.67</v>
      </c>
      <c r="BP197" s="214">
        <v>114.28</v>
      </c>
      <c r="BQ197" s="214">
        <v>27</v>
      </c>
      <c r="BR197">
        <v>0</v>
      </c>
      <c r="BS197" s="187">
        <v>0</v>
      </c>
      <c r="BT197" s="214">
        <v>0</v>
      </c>
      <c r="BU197" s="214">
        <v>0</v>
      </c>
      <c r="BV197">
        <v>0</v>
      </c>
      <c r="BW197">
        <v>0</v>
      </c>
      <c r="BX197" s="214">
        <v>0</v>
      </c>
      <c r="BY197" s="214">
        <v>0</v>
      </c>
      <c r="BZ197">
        <v>0</v>
      </c>
      <c r="CA197" s="187">
        <v>0</v>
      </c>
      <c r="CB197" s="214">
        <v>90.13</v>
      </c>
      <c r="CC197" s="214">
        <v>89.7</v>
      </c>
      <c r="CD197">
        <v>6.97</v>
      </c>
      <c r="CE197" s="187">
        <v>95.9</v>
      </c>
      <c r="CF197" s="214">
        <v>1408</v>
      </c>
      <c r="CG197" s="214">
        <v>90.13</v>
      </c>
      <c r="CH197">
        <v>89.7</v>
      </c>
      <c r="CI197">
        <v>6.97</v>
      </c>
      <c r="CJ197">
        <v>95.9</v>
      </c>
      <c r="CK197">
        <v>1408</v>
      </c>
      <c r="CL197">
        <v>125.35</v>
      </c>
      <c r="CM197">
        <v>0</v>
      </c>
      <c r="CN197" s="187">
        <v>118.5</v>
      </c>
      <c r="CO197">
        <v>243.85</v>
      </c>
      <c r="CP197">
        <v>2</v>
      </c>
      <c r="CQ197">
        <v>64.03</v>
      </c>
      <c r="CR197">
        <v>0</v>
      </c>
      <c r="CS197" s="187">
        <v>136.82</v>
      </c>
      <c r="CT197">
        <v>200.85</v>
      </c>
      <c r="CU197">
        <v>29</v>
      </c>
      <c r="CV197">
        <v>97.4</v>
      </c>
      <c r="CW197">
        <v>90.4</v>
      </c>
      <c r="CX197" s="187">
        <v>43.37</v>
      </c>
      <c r="CY197">
        <v>124.35</v>
      </c>
      <c r="CZ197">
        <v>132</v>
      </c>
      <c r="DA197">
        <v>98.97</v>
      </c>
      <c r="DB197">
        <v>96.98</v>
      </c>
      <c r="DC197" s="187">
        <v>21.84</v>
      </c>
      <c r="DD197">
        <v>118.13</v>
      </c>
      <c r="DE197">
        <v>49</v>
      </c>
      <c r="DF197">
        <v>98.23</v>
      </c>
      <c r="DG197">
        <v>98.25</v>
      </c>
      <c r="DH197" s="187">
        <v>19.850000000000001</v>
      </c>
      <c r="DI197">
        <v>118.08</v>
      </c>
      <c r="DJ197">
        <v>1</v>
      </c>
      <c r="DK197">
        <v>0</v>
      </c>
      <c r="DL197">
        <v>0</v>
      </c>
      <c r="DM197" s="187">
        <v>0</v>
      </c>
      <c r="DN197">
        <v>0</v>
      </c>
      <c r="DO197">
        <v>0</v>
      </c>
      <c r="DP197">
        <v>93.19</v>
      </c>
      <c r="DQ197">
        <v>92.98</v>
      </c>
      <c r="DR197" s="187">
        <v>54.73</v>
      </c>
      <c r="DS197">
        <v>133.38999999999999</v>
      </c>
      <c r="DT197">
        <v>211</v>
      </c>
      <c r="DU197">
        <v>93.49</v>
      </c>
      <c r="DV197">
        <v>92.98</v>
      </c>
      <c r="DW197" s="187">
        <v>55.54</v>
      </c>
      <c r="DX197">
        <v>134.43</v>
      </c>
      <c r="DY197">
        <v>213</v>
      </c>
      <c r="DZ197">
        <v>0</v>
      </c>
      <c r="EA197">
        <v>0</v>
      </c>
      <c r="EB197" s="187">
        <v>0</v>
      </c>
      <c r="EC197">
        <v>0</v>
      </c>
      <c r="ED197">
        <v>93.9</v>
      </c>
      <c r="EE197">
        <v>184</v>
      </c>
      <c r="EF197">
        <v>110.93</v>
      </c>
      <c r="EG197" s="187">
        <v>375</v>
      </c>
      <c r="EH197">
        <v>131.63999999999999</v>
      </c>
      <c r="EI197">
        <v>209</v>
      </c>
      <c r="EJ197">
        <v>175.51</v>
      </c>
      <c r="EK197">
        <v>7</v>
      </c>
      <c r="EL197" s="187">
        <v>0</v>
      </c>
      <c r="EM197">
        <v>0</v>
      </c>
      <c r="EN197">
        <v>0</v>
      </c>
      <c r="EO197">
        <v>0</v>
      </c>
      <c r="EP197">
        <v>113.05</v>
      </c>
      <c r="EQ197" s="187">
        <v>775</v>
      </c>
      <c r="ER197">
        <v>113.05</v>
      </c>
      <c r="ES197">
        <v>775</v>
      </c>
      <c r="ET197">
        <v>0</v>
      </c>
      <c r="EU197">
        <v>0</v>
      </c>
      <c r="EV197" s="187">
        <v>0</v>
      </c>
      <c r="EW197">
        <v>0</v>
      </c>
      <c r="EX197">
        <v>147.77000000000001</v>
      </c>
      <c r="EY197">
        <v>6</v>
      </c>
      <c r="EZ197">
        <v>0</v>
      </c>
      <c r="FA197" s="187">
        <v>0</v>
      </c>
      <c r="FB197">
        <v>0</v>
      </c>
      <c r="FC197">
        <v>0</v>
      </c>
      <c r="FD197">
        <v>0</v>
      </c>
      <c r="FE197">
        <v>0</v>
      </c>
      <c r="FF197" s="187">
        <v>147.77000000000001</v>
      </c>
      <c r="FG197">
        <v>6</v>
      </c>
      <c r="FH197">
        <v>147.77000000000001</v>
      </c>
      <c r="FI197">
        <v>6</v>
      </c>
      <c r="FJ197">
        <v>0</v>
      </c>
      <c r="FK197" s="187">
        <v>2</v>
      </c>
      <c r="FL197">
        <v>2</v>
      </c>
      <c r="FM197">
        <v>32</v>
      </c>
      <c r="FN197">
        <v>7</v>
      </c>
    </row>
    <row r="198" spans="1:170" x14ac:dyDescent="0.35">
      <c r="A198" t="s">
        <v>782</v>
      </c>
      <c r="B198" t="s">
        <v>783</v>
      </c>
      <c r="C198" t="s">
        <v>417</v>
      </c>
      <c r="D198">
        <v>14589</v>
      </c>
      <c r="E198">
        <v>14355</v>
      </c>
      <c r="F198">
        <v>0</v>
      </c>
      <c r="G198">
        <v>0</v>
      </c>
      <c r="H198">
        <v>489</v>
      </c>
      <c r="I198">
        <v>378</v>
      </c>
      <c r="J198">
        <v>2990</v>
      </c>
      <c r="K198">
        <v>2972</v>
      </c>
      <c r="L198">
        <v>699</v>
      </c>
      <c r="M198">
        <v>0</v>
      </c>
      <c r="N198">
        <v>18767</v>
      </c>
      <c r="O198">
        <v>17705</v>
      </c>
      <c r="P198">
        <v>18068</v>
      </c>
      <c r="Q198">
        <v>0</v>
      </c>
      <c r="R198">
        <v>15</v>
      </c>
      <c r="S198">
        <v>22</v>
      </c>
      <c r="T198">
        <v>343</v>
      </c>
      <c r="U198">
        <v>18424</v>
      </c>
      <c r="V198" s="498">
        <v>14350</v>
      </c>
      <c r="W198">
        <v>123</v>
      </c>
      <c r="X198" s="498">
        <v>73</v>
      </c>
      <c r="Y198" s="498">
        <v>196</v>
      </c>
      <c r="Z198" s="498">
        <v>77.209999999999994</v>
      </c>
      <c r="AA198" s="498">
        <v>74.459999999999994</v>
      </c>
      <c r="AB198">
        <v>2.1800000000000002</v>
      </c>
      <c r="AC198">
        <v>78.3</v>
      </c>
      <c r="AD198">
        <v>12849</v>
      </c>
      <c r="AE198">
        <v>79.45</v>
      </c>
      <c r="AF198">
        <v>68.27</v>
      </c>
      <c r="AG198">
        <v>31.27</v>
      </c>
      <c r="AH198">
        <v>107.45</v>
      </c>
      <c r="AI198">
        <v>3183</v>
      </c>
      <c r="AJ198">
        <v>102.18</v>
      </c>
      <c r="AK198">
        <v>1483</v>
      </c>
      <c r="AL198">
        <v>139.81</v>
      </c>
      <c r="AM198">
        <v>192</v>
      </c>
      <c r="AN198">
        <v>0</v>
      </c>
      <c r="AO198" s="499">
        <v>0</v>
      </c>
      <c r="AP198" s="499">
        <v>0</v>
      </c>
      <c r="AQ198">
        <v>0</v>
      </c>
      <c r="AR198">
        <v>0</v>
      </c>
      <c r="AS198">
        <v>59.21</v>
      </c>
      <c r="AT198">
        <v>57.41</v>
      </c>
      <c r="AU198">
        <v>3.14</v>
      </c>
      <c r="AV198">
        <v>61.57</v>
      </c>
      <c r="AW198">
        <v>16</v>
      </c>
      <c r="AX198">
        <v>67.489999999999995</v>
      </c>
      <c r="AY198">
        <v>64.58</v>
      </c>
      <c r="AZ198">
        <v>4.09</v>
      </c>
      <c r="BA198">
        <v>69.53</v>
      </c>
      <c r="BB198">
        <v>2867</v>
      </c>
      <c r="BC198">
        <v>76.28</v>
      </c>
      <c r="BD198">
        <v>73.459999999999994</v>
      </c>
      <c r="BE198">
        <v>2.08</v>
      </c>
      <c r="BF198">
        <v>77.2</v>
      </c>
      <c r="BG198">
        <v>5213</v>
      </c>
      <c r="BH198">
        <v>83.69</v>
      </c>
      <c r="BI198">
        <v>81.12</v>
      </c>
      <c r="BJ198">
        <v>1.22</v>
      </c>
      <c r="BK198">
        <v>84.38</v>
      </c>
      <c r="BL198" s="214">
        <v>4519</v>
      </c>
      <c r="BM198" s="214">
        <v>93.02</v>
      </c>
      <c r="BN198">
        <v>90.37</v>
      </c>
      <c r="BO198" s="187">
        <v>1.37</v>
      </c>
      <c r="BP198" s="214">
        <v>93.78</v>
      </c>
      <c r="BQ198" s="214">
        <v>227</v>
      </c>
      <c r="BR198">
        <v>99.69</v>
      </c>
      <c r="BS198" s="187">
        <v>98.55</v>
      </c>
      <c r="BT198" s="214">
        <v>0</v>
      </c>
      <c r="BU198" s="214">
        <v>99.69</v>
      </c>
      <c r="BV198">
        <v>7</v>
      </c>
      <c r="BW198">
        <v>0</v>
      </c>
      <c r="BX198" s="214">
        <v>0</v>
      </c>
      <c r="BY198" s="214">
        <v>0</v>
      </c>
      <c r="BZ198">
        <v>0</v>
      </c>
      <c r="CA198" s="187">
        <v>0</v>
      </c>
      <c r="CB198" s="214">
        <v>77.209999999999994</v>
      </c>
      <c r="CC198" s="214">
        <v>74.459999999999994</v>
      </c>
      <c r="CD198">
        <v>2.1800000000000002</v>
      </c>
      <c r="CE198" s="187">
        <v>78.3</v>
      </c>
      <c r="CF198" s="214">
        <v>12849</v>
      </c>
      <c r="CG198" s="214">
        <v>77.209999999999994</v>
      </c>
      <c r="CH198">
        <v>74.459999999999994</v>
      </c>
      <c r="CI198">
        <v>2.1800000000000002</v>
      </c>
      <c r="CJ198">
        <v>78.3</v>
      </c>
      <c r="CK198">
        <v>12849</v>
      </c>
      <c r="CL198">
        <v>126.04</v>
      </c>
      <c r="CM198">
        <v>71.650000000000006</v>
      </c>
      <c r="CN198" s="187">
        <v>104.78</v>
      </c>
      <c r="CO198">
        <v>211.68</v>
      </c>
      <c r="CP198">
        <v>219</v>
      </c>
      <c r="CQ198">
        <v>62.1</v>
      </c>
      <c r="CR198">
        <v>56.8</v>
      </c>
      <c r="CS198" s="187">
        <v>34.130000000000003</v>
      </c>
      <c r="CT198">
        <v>96.23</v>
      </c>
      <c r="CU198">
        <v>309</v>
      </c>
      <c r="CV198">
        <v>75.930000000000007</v>
      </c>
      <c r="CW198">
        <v>65.06</v>
      </c>
      <c r="CX198" s="187">
        <v>27.67</v>
      </c>
      <c r="CY198">
        <v>100.97</v>
      </c>
      <c r="CZ198">
        <v>1643</v>
      </c>
      <c r="DA198">
        <v>79.87</v>
      </c>
      <c r="DB198">
        <v>75.849999999999994</v>
      </c>
      <c r="DC198" s="187">
        <v>20.09</v>
      </c>
      <c r="DD198">
        <v>97.45</v>
      </c>
      <c r="DE198">
        <v>955</v>
      </c>
      <c r="DF198">
        <v>88.3</v>
      </c>
      <c r="DG198">
        <v>86.05</v>
      </c>
      <c r="DH198" s="187">
        <v>47.8</v>
      </c>
      <c r="DI198">
        <v>123.06</v>
      </c>
      <c r="DJ198">
        <v>55</v>
      </c>
      <c r="DK198">
        <v>102.09</v>
      </c>
      <c r="DL198">
        <v>102.07</v>
      </c>
      <c r="DM198" s="187">
        <v>0</v>
      </c>
      <c r="DN198">
        <v>102.09</v>
      </c>
      <c r="DO198">
        <v>2</v>
      </c>
      <c r="DP198">
        <v>76</v>
      </c>
      <c r="DQ198">
        <v>68.150000000000006</v>
      </c>
      <c r="DR198" s="187">
        <v>26.34</v>
      </c>
      <c r="DS198">
        <v>99.75</v>
      </c>
      <c r="DT198">
        <v>2964</v>
      </c>
      <c r="DU198">
        <v>79.45</v>
      </c>
      <c r="DV198">
        <v>68.27</v>
      </c>
      <c r="DW198" s="187">
        <v>31.27</v>
      </c>
      <c r="DX198">
        <v>107.45</v>
      </c>
      <c r="DY198">
        <v>3183</v>
      </c>
      <c r="DZ198">
        <v>0</v>
      </c>
      <c r="EA198">
        <v>0</v>
      </c>
      <c r="EB198" s="187">
        <v>0</v>
      </c>
      <c r="EC198">
        <v>0</v>
      </c>
      <c r="ED198">
        <v>85.23</v>
      </c>
      <c r="EE198">
        <v>147</v>
      </c>
      <c r="EF198">
        <v>100.75</v>
      </c>
      <c r="EG198" s="187">
        <v>893</v>
      </c>
      <c r="EH198">
        <v>110.28</v>
      </c>
      <c r="EI198">
        <v>423</v>
      </c>
      <c r="EJ198">
        <v>119.29</v>
      </c>
      <c r="EK198">
        <v>20</v>
      </c>
      <c r="EL198" s="187">
        <v>0</v>
      </c>
      <c r="EM198">
        <v>0</v>
      </c>
      <c r="EN198">
        <v>0</v>
      </c>
      <c r="EO198">
        <v>0</v>
      </c>
      <c r="EP198">
        <v>102.18</v>
      </c>
      <c r="EQ198" s="187">
        <v>1483</v>
      </c>
      <c r="ER198">
        <v>102.18</v>
      </c>
      <c r="ES198">
        <v>1483</v>
      </c>
      <c r="ET198">
        <v>112.85</v>
      </c>
      <c r="EU198">
        <v>4</v>
      </c>
      <c r="EV198" s="187">
        <v>0</v>
      </c>
      <c r="EW198">
        <v>0</v>
      </c>
      <c r="EX198">
        <v>155.83000000000001</v>
      </c>
      <c r="EY198">
        <v>33</v>
      </c>
      <c r="EZ198">
        <v>137.22999999999999</v>
      </c>
      <c r="FA198" s="187">
        <v>153</v>
      </c>
      <c r="FB198">
        <v>126.48</v>
      </c>
      <c r="FC198">
        <v>2</v>
      </c>
      <c r="FD198">
        <v>0</v>
      </c>
      <c r="FE198">
        <v>0</v>
      </c>
      <c r="FF198" s="187">
        <v>140.38</v>
      </c>
      <c r="FG198">
        <v>188</v>
      </c>
      <c r="FH198">
        <v>139.81</v>
      </c>
      <c r="FI198">
        <v>192</v>
      </c>
      <c r="FJ198">
        <v>12</v>
      </c>
      <c r="FK198" s="187">
        <v>59</v>
      </c>
      <c r="FL198">
        <v>0</v>
      </c>
      <c r="FM198">
        <v>38</v>
      </c>
      <c r="FN198">
        <v>5</v>
      </c>
    </row>
    <row r="199" spans="1:170" x14ac:dyDescent="0.35">
      <c r="A199" t="s">
        <v>784</v>
      </c>
      <c r="B199" t="s">
        <v>785</v>
      </c>
      <c r="C199" t="s">
        <v>415</v>
      </c>
      <c r="D199">
        <v>4143</v>
      </c>
      <c r="E199">
        <v>4178</v>
      </c>
      <c r="F199">
        <v>0</v>
      </c>
      <c r="G199">
        <v>0</v>
      </c>
      <c r="H199">
        <v>509</v>
      </c>
      <c r="I199">
        <v>292</v>
      </c>
      <c r="J199">
        <v>1173</v>
      </c>
      <c r="K199">
        <v>641</v>
      </c>
      <c r="L199">
        <v>304</v>
      </c>
      <c r="M199">
        <v>131</v>
      </c>
      <c r="N199">
        <v>6129</v>
      </c>
      <c r="O199">
        <v>5242</v>
      </c>
      <c r="P199">
        <v>5825</v>
      </c>
      <c r="Q199">
        <v>6</v>
      </c>
      <c r="R199">
        <v>8</v>
      </c>
      <c r="S199">
        <v>23</v>
      </c>
      <c r="T199">
        <v>691</v>
      </c>
      <c r="U199">
        <v>5438</v>
      </c>
      <c r="V199" s="498">
        <v>4127</v>
      </c>
      <c r="W199">
        <v>37</v>
      </c>
      <c r="X199" s="498">
        <v>9</v>
      </c>
      <c r="Y199" s="498">
        <v>46</v>
      </c>
      <c r="Z199" s="498">
        <v>90.76</v>
      </c>
      <c r="AA199" s="498">
        <v>89.44</v>
      </c>
      <c r="AB199">
        <v>6.53</v>
      </c>
      <c r="AC199">
        <v>96</v>
      </c>
      <c r="AD199">
        <v>3504</v>
      </c>
      <c r="AE199">
        <v>91.29</v>
      </c>
      <c r="AF199">
        <v>82.11</v>
      </c>
      <c r="AG199">
        <v>51.15</v>
      </c>
      <c r="AH199">
        <v>142.22999999999999</v>
      </c>
      <c r="AI199">
        <v>990</v>
      </c>
      <c r="AJ199">
        <v>117.21</v>
      </c>
      <c r="AK199">
        <v>547</v>
      </c>
      <c r="AL199">
        <v>123.97</v>
      </c>
      <c r="AM199">
        <v>19</v>
      </c>
      <c r="AN199">
        <v>0</v>
      </c>
      <c r="AO199" s="499">
        <v>0</v>
      </c>
      <c r="AP199" s="499">
        <v>0</v>
      </c>
      <c r="AQ199">
        <v>0</v>
      </c>
      <c r="AR199">
        <v>0</v>
      </c>
      <c r="AS199">
        <v>60.84</v>
      </c>
      <c r="AT199">
        <v>60.8</v>
      </c>
      <c r="AU199">
        <v>7.08</v>
      </c>
      <c r="AV199">
        <v>67.78</v>
      </c>
      <c r="AW199">
        <v>96</v>
      </c>
      <c r="AX199">
        <v>78.84</v>
      </c>
      <c r="AY199">
        <v>77.739999999999995</v>
      </c>
      <c r="AZ199">
        <v>8.6999999999999993</v>
      </c>
      <c r="BA199">
        <v>87.02</v>
      </c>
      <c r="BB199">
        <v>935</v>
      </c>
      <c r="BC199">
        <v>92.22</v>
      </c>
      <c r="BD199">
        <v>90.77</v>
      </c>
      <c r="BE199">
        <v>6.36</v>
      </c>
      <c r="BF199">
        <v>97.32</v>
      </c>
      <c r="BG199">
        <v>1596</v>
      </c>
      <c r="BH199">
        <v>101.78</v>
      </c>
      <c r="BI199">
        <v>100.4</v>
      </c>
      <c r="BJ199">
        <v>3.45</v>
      </c>
      <c r="BK199">
        <v>104.02</v>
      </c>
      <c r="BL199" s="214">
        <v>731</v>
      </c>
      <c r="BM199" s="214">
        <v>114.57</v>
      </c>
      <c r="BN199">
        <v>112.87</v>
      </c>
      <c r="BO199" s="187">
        <v>3.33</v>
      </c>
      <c r="BP199" s="214">
        <v>116.75</v>
      </c>
      <c r="BQ199" s="214">
        <v>130</v>
      </c>
      <c r="BR199">
        <v>123.79</v>
      </c>
      <c r="BS199" s="187">
        <v>120.76</v>
      </c>
      <c r="BT199" s="214">
        <v>2.4300000000000002</v>
      </c>
      <c r="BU199" s="214">
        <v>124.39</v>
      </c>
      <c r="BV199">
        <v>16</v>
      </c>
      <c r="BW199">
        <v>0</v>
      </c>
      <c r="BX199" s="214">
        <v>0</v>
      </c>
      <c r="BY199" s="214">
        <v>0</v>
      </c>
      <c r="BZ199">
        <v>0</v>
      </c>
      <c r="CA199" s="187">
        <v>0</v>
      </c>
      <c r="CB199" s="214">
        <v>90.76</v>
      </c>
      <c r="CC199" s="214">
        <v>89.44</v>
      </c>
      <c r="CD199">
        <v>6.53</v>
      </c>
      <c r="CE199" s="187">
        <v>96</v>
      </c>
      <c r="CF199" s="214">
        <v>3504</v>
      </c>
      <c r="CG199" s="214">
        <v>90.76</v>
      </c>
      <c r="CH199">
        <v>89.44</v>
      </c>
      <c r="CI199">
        <v>6.53</v>
      </c>
      <c r="CJ199">
        <v>96</v>
      </c>
      <c r="CK199">
        <v>3504</v>
      </c>
      <c r="CL199">
        <v>85.77</v>
      </c>
      <c r="CM199">
        <v>80.5</v>
      </c>
      <c r="CN199" s="187">
        <v>135.86000000000001</v>
      </c>
      <c r="CO199">
        <v>221.64</v>
      </c>
      <c r="CP199">
        <v>101</v>
      </c>
      <c r="CQ199">
        <v>91.88</v>
      </c>
      <c r="CR199">
        <v>75.36</v>
      </c>
      <c r="CS199" s="187">
        <v>93.21</v>
      </c>
      <c r="CT199">
        <v>185.09</v>
      </c>
      <c r="CU199">
        <v>68</v>
      </c>
      <c r="CV199">
        <v>91.13</v>
      </c>
      <c r="CW199">
        <v>81.28</v>
      </c>
      <c r="CX199" s="187">
        <v>37.43</v>
      </c>
      <c r="CY199">
        <v>128.41</v>
      </c>
      <c r="CZ199">
        <v>753</v>
      </c>
      <c r="DA199">
        <v>99.36</v>
      </c>
      <c r="DB199">
        <v>96.79</v>
      </c>
      <c r="DC199" s="187">
        <v>32.9</v>
      </c>
      <c r="DD199">
        <v>132.26</v>
      </c>
      <c r="DE199">
        <v>60</v>
      </c>
      <c r="DF199">
        <v>109.88</v>
      </c>
      <c r="DG199">
        <v>102.64</v>
      </c>
      <c r="DH199" s="187">
        <v>46.58</v>
      </c>
      <c r="DI199">
        <v>156.46</v>
      </c>
      <c r="DJ199">
        <v>7</v>
      </c>
      <c r="DK199">
        <v>113.25</v>
      </c>
      <c r="DL199">
        <v>113.25</v>
      </c>
      <c r="DM199" s="187">
        <v>0</v>
      </c>
      <c r="DN199">
        <v>113.25</v>
      </c>
      <c r="DO199">
        <v>1</v>
      </c>
      <c r="DP199">
        <v>91.92</v>
      </c>
      <c r="DQ199">
        <v>82.26</v>
      </c>
      <c r="DR199" s="187">
        <v>41.48</v>
      </c>
      <c r="DS199">
        <v>133.21</v>
      </c>
      <c r="DT199">
        <v>889</v>
      </c>
      <c r="DU199">
        <v>91.29</v>
      </c>
      <c r="DV199">
        <v>82.11</v>
      </c>
      <c r="DW199" s="187">
        <v>51.15</v>
      </c>
      <c r="DX199">
        <v>142.22999999999999</v>
      </c>
      <c r="DY199">
        <v>990</v>
      </c>
      <c r="DZ199">
        <v>0</v>
      </c>
      <c r="EA199">
        <v>0</v>
      </c>
      <c r="EB199" s="187">
        <v>0</v>
      </c>
      <c r="EC199">
        <v>0</v>
      </c>
      <c r="ED199">
        <v>102.72</v>
      </c>
      <c r="EE199">
        <v>198</v>
      </c>
      <c r="EF199">
        <v>124.49</v>
      </c>
      <c r="EG199" s="187">
        <v>292</v>
      </c>
      <c r="EH199">
        <v>127.87</v>
      </c>
      <c r="EI199">
        <v>53</v>
      </c>
      <c r="EJ199">
        <v>169.06</v>
      </c>
      <c r="EK199">
        <v>3</v>
      </c>
      <c r="EL199" s="187">
        <v>144.28</v>
      </c>
      <c r="EM199">
        <v>1</v>
      </c>
      <c r="EN199">
        <v>0</v>
      </c>
      <c r="EO199">
        <v>0</v>
      </c>
      <c r="EP199">
        <v>117.21</v>
      </c>
      <c r="EQ199" s="187">
        <v>547</v>
      </c>
      <c r="ER199">
        <v>117.21</v>
      </c>
      <c r="ES199">
        <v>547</v>
      </c>
      <c r="ET199">
        <v>242.76</v>
      </c>
      <c r="EU199">
        <v>2</v>
      </c>
      <c r="EV199" s="187">
        <v>0</v>
      </c>
      <c r="EW199">
        <v>0</v>
      </c>
      <c r="EX199">
        <v>110</v>
      </c>
      <c r="EY199">
        <v>17</v>
      </c>
      <c r="EZ199">
        <v>0</v>
      </c>
      <c r="FA199" s="187">
        <v>0</v>
      </c>
      <c r="FB199">
        <v>0</v>
      </c>
      <c r="FC199">
        <v>0</v>
      </c>
      <c r="FD199">
        <v>0</v>
      </c>
      <c r="FE199">
        <v>0</v>
      </c>
      <c r="FF199" s="187">
        <v>110</v>
      </c>
      <c r="FG199">
        <v>17</v>
      </c>
      <c r="FH199">
        <v>123.97</v>
      </c>
      <c r="FI199">
        <v>19</v>
      </c>
      <c r="FJ199">
        <v>2</v>
      </c>
      <c r="FK199" s="187">
        <v>2</v>
      </c>
      <c r="FL199">
        <v>0</v>
      </c>
      <c r="FM199">
        <v>28</v>
      </c>
      <c r="FN199">
        <v>9</v>
      </c>
    </row>
    <row r="200" spans="1:170" x14ac:dyDescent="0.35">
      <c r="A200" t="s">
        <v>786</v>
      </c>
      <c r="B200" t="s">
        <v>787</v>
      </c>
      <c r="C200" t="s">
        <v>414</v>
      </c>
      <c r="D200">
        <v>6664</v>
      </c>
      <c r="E200">
        <v>6595</v>
      </c>
      <c r="F200">
        <v>218</v>
      </c>
      <c r="G200">
        <v>218</v>
      </c>
      <c r="H200">
        <v>1411</v>
      </c>
      <c r="I200">
        <v>1012</v>
      </c>
      <c r="J200">
        <v>2122</v>
      </c>
      <c r="K200">
        <v>1928</v>
      </c>
      <c r="L200">
        <v>313</v>
      </c>
      <c r="M200">
        <v>3</v>
      </c>
      <c r="N200">
        <v>10728</v>
      </c>
      <c r="O200">
        <v>9756</v>
      </c>
      <c r="P200">
        <v>10415</v>
      </c>
      <c r="Q200">
        <v>33</v>
      </c>
      <c r="R200">
        <v>13</v>
      </c>
      <c r="S200">
        <v>30</v>
      </c>
      <c r="T200">
        <v>528</v>
      </c>
      <c r="U200">
        <v>10200</v>
      </c>
      <c r="V200" s="498">
        <v>6606</v>
      </c>
      <c r="W200">
        <v>36</v>
      </c>
      <c r="X200" s="498">
        <v>33</v>
      </c>
      <c r="Y200" s="498">
        <v>69</v>
      </c>
      <c r="Z200" s="498">
        <v>87.07</v>
      </c>
      <c r="AA200" s="498">
        <v>84.45</v>
      </c>
      <c r="AB200">
        <v>6.74</v>
      </c>
      <c r="AC200">
        <v>91.45</v>
      </c>
      <c r="AD200">
        <v>5711</v>
      </c>
      <c r="AE200">
        <v>87.06</v>
      </c>
      <c r="AF200">
        <v>78.040000000000006</v>
      </c>
      <c r="AG200">
        <v>82.49</v>
      </c>
      <c r="AH200">
        <v>166.86</v>
      </c>
      <c r="AI200">
        <v>2915</v>
      </c>
      <c r="AJ200">
        <v>105.15</v>
      </c>
      <c r="AK200">
        <v>513</v>
      </c>
      <c r="AL200">
        <v>204.42</v>
      </c>
      <c r="AM200">
        <v>167</v>
      </c>
      <c r="AN200">
        <v>0</v>
      </c>
      <c r="AO200" s="499">
        <v>0</v>
      </c>
      <c r="AP200" s="499">
        <v>0</v>
      </c>
      <c r="AQ200">
        <v>0</v>
      </c>
      <c r="AR200">
        <v>0</v>
      </c>
      <c r="AS200">
        <v>70.239999999999995</v>
      </c>
      <c r="AT200">
        <v>68.599999999999994</v>
      </c>
      <c r="AU200">
        <v>11.47</v>
      </c>
      <c r="AV200">
        <v>80.91</v>
      </c>
      <c r="AW200">
        <v>57</v>
      </c>
      <c r="AX200">
        <v>76.040000000000006</v>
      </c>
      <c r="AY200">
        <v>73.48</v>
      </c>
      <c r="AZ200">
        <v>9</v>
      </c>
      <c r="BA200">
        <v>84.73</v>
      </c>
      <c r="BB200">
        <v>1460</v>
      </c>
      <c r="BC200">
        <v>86.6</v>
      </c>
      <c r="BD200">
        <v>83.7</v>
      </c>
      <c r="BE200">
        <v>6.83</v>
      </c>
      <c r="BF200">
        <v>90.75</v>
      </c>
      <c r="BG200">
        <v>2299</v>
      </c>
      <c r="BH200">
        <v>95.28</v>
      </c>
      <c r="BI200">
        <v>92.97</v>
      </c>
      <c r="BJ200">
        <v>2.7</v>
      </c>
      <c r="BK200">
        <v>96.58</v>
      </c>
      <c r="BL200" s="214">
        <v>1648</v>
      </c>
      <c r="BM200" s="214">
        <v>105.4</v>
      </c>
      <c r="BN200">
        <v>103.42</v>
      </c>
      <c r="BO200" s="187">
        <v>1.27</v>
      </c>
      <c r="BP200" s="214">
        <v>105.71</v>
      </c>
      <c r="BQ200" s="214">
        <v>239</v>
      </c>
      <c r="BR200">
        <v>116.93</v>
      </c>
      <c r="BS200" s="187">
        <v>118.63</v>
      </c>
      <c r="BT200" s="214">
        <v>0.04</v>
      </c>
      <c r="BU200" s="214">
        <v>116.94</v>
      </c>
      <c r="BV200">
        <v>7</v>
      </c>
      <c r="BW200">
        <v>109.55</v>
      </c>
      <c r="BX200" s="214">
        <v>104.34</v>
      </c>
      <c r="BY200" s="214">
        <v>0</v>
      </c>
      <c r="BZ200">
        <v>109.55</v>
      </c>
      <c r="CA200" s="187">
        <v>1</v>
      </c>
      <c r="CB200" s="214">
        <v>87.07</v>
      </c>
      <c r="CC200" s="214">
        <v>84.45</v>
      </c>
      <c r="CD200">
        <v>6.74</v>
      </c>
      <c r="CE200" s="187">
        <v>91.45</v>
      </c>
      <c r="CF200" s="214">
        <v>5711</v>
      </c>
      <c r="CG200" s="214">
        <v>87.07</v>
      </c>
      <c r="CH200">
        <v>84.45</v>
      </c>
      <c r="CI200">
        <v>6.74</v>
      </c>
      <c r="CJ200">
        <v>91.45</v>
      </c>
      <c r="CK200">
        <v>5711</v>
      </c>
      <c r="CL200">
        <v>91.31</v>
      </c>
      <c r="CM200">
        <v>70.39</v>
      </c>
      <c r="CN200" s="187">
        <v>202.16</v>
      </c>
      <c r="CO200">
        <v>284.24</v>
      </c>
      <c r="CP200">
        <v>438</v>
      </c>
      <c r="CQ200">
        <v>79.17</v>
      </c>
      <c r="CR200">
        <v>72.430000000000007</v>
      </c>
      <c r="CS200" s="187">
        <v>182.5</v>
      </c>
      <c r="CT200">
        <v>226.58</v>
      </c>
      <c r="CU200">
        <v>130</v>
      </c>
      <c r="CV200">
        <v>85.2</v>
      </c>
      <c r="CW200">
        <v>76.239999999999995</v>
      </c>
      <c r="CX200" s="187">
        <v>62.45</v>
      </c>
      <c r="CY200">
        <v>146.31</v>
      </c>
      <c r="CZ200">
        <v>1958</v>
      </c>
      <c r="DA200">
        <v>93.85</v>
      </c>
      <c r="DB200">
        <v>91.93</v>
      </c>
      <c r="DC200" s="187">
        <v>23.53</v>
      </c>
      <c r="DD200">
        <v>116.93</v>
      </c>
      <c r="DE200">
        <v>372</v>
      </c>
      <c r="DF200">
        <v>102.76</v>
      </c>
      <c r="DG200">
        <v>99.62</v>
      </c>
      <c r="DH200" s="187">
        <v>45.67</v>
      </c>
      <c r="DI200">
        <v>145.74</v>
      </c>
      <c r="DJ200">
        <v>17</v>
      </c>
      <c r="DK200">
        <v>0</v>
      </c>
      <c r="DL200">
        <v>0</v>
      </c>
      <c r="DM200" s="187">
        <v>0</v>
      </c>
      <c r="DN200">
        <v>0</v>
      </c>
      <c r="DO200">
        <v>0</v>
      </c>
      <c r="DP200">
        <v>86.3</v>
      </c>
      <c r="DQ200">
        <v>78.790000000000006</v>
      </c>
      <c r="DR200" s="187">
        <v>61.67</v>
      </c>
      <c r="DS200">
        <v>146.11000000000001</v>
      </c>
      <c r="DT200">
        <v>2477</v>
      </c>
      <c r="DU200">
        <v>87.06</v>
      </c>
      <c r="DV200">
        <v>78.040000000000006</v>
      </c>
      <c r="DW200" s="187">
        <v>82.49</v>
      </c>
      <c r="DX200">
        <v>166.86</v>
      </c>
      <c r="DY200">
        <v>2915</v>
      </c>
      <c r="DZ200">
        <v>0</v>
      </c>
      <c r="EA200">
        <v>0</v>
      </c>
      <c r="EB200" s="187">
        <v>0</v>
      </c>
      <c r="EC200">
        <v>0</v>
      </c>
      <c r="ED200">
        <v>87.6</v>
      </c>
      <c r="EE200">
        <v>109</v>
      </c>
      <c r="EF200">
        <v>104.36</v>
      </c>
      <c r="EG200" s="187">
        <v>233</v>
      </c>
      <c r="EH200">
        <v>114.96</v>
      </c>
      <c r="EI200">
        <v>148</v>
      </c>
      <c r="EJ200">
        <v>132.05000000000001</v>
      </c>
      <c r="EK200">
        <v>22</v>
      </c>
      <c r="EL200" s="187">
        <v>159.68</v>
      </c>
      <c r="EM200">
        <v>1</v>
      </c>
      <c r="EN200">
        <v>0</v>
      </c>
      <c r="EO200">
        <v>0</v>
      </c>
      <c r="EP200">
        <v>105.15</v>
      </c>
      <c r="EQ200" s="187">
        <v>513</v>
      </c>
      <c r="ER200">
        <v>105.15</v>
      </c>
      <c r="ES200">
        <v>513</v>
      </c>
      <c r="ET200">
        <v>0</v>
      </c>
      <c r="EU200">
        <v>0</v>
      </c>
      <c r="EV200" s="187">
        <v>0</v>
      </c>
      <c r="EW200">
        <v>0</v>
      </c>
      <c r="EX200">
        <v>236.91</v>
      </c>
      <c r="EY200">
        <v>114</v>
      </c>
      <c r="EZ200">
        <v>100.16</v>
      </c>
      <c r="FA200" s="187">
        <v>41</v>
      </c>
      <c r="FB200">
        <v>251.99</v>
      </c>
      <c r="FC200">
        <v>12</v>
      </c>
      <c r="FD200">
        <v>0</v>
      </c>
      <c r="FE200">
        <v>0</v>
      </c>
      <c r="FF200" s="187">
        <v>204.42</v>
      </c>
      <c r="FG200">
        <v>167</v>
      </c>
      <c r="FH200">
        <v>204.42</v>
      </c>
      <c r="FI200">
        <v>167</v>
      </c>
      <c r="FJ200">
        <v>0</v>
      </c>
      <c r="FK200" s="187">
        <v>4</v>
      </c>
      <c r="FL200">
        <v>30</v>
      </c>
      <c r="FM200">
        <v>20</v>
      </c>
      <c r="FN200">
        <v>8</v>
      </c>
    </row>
    <row r="201" spans="1:170" x14ac:dyDescent="0.35">
      <c r="A201" t="s">
        <v>788</v>
      </c>
      <c r="B201" t="s">
        <v>789</v>
      </c>
      <c r="C201" t="s">
        <v>420</v>
      </c>
      <c r="D201">
        <v>2396</v>
      </c>
      <c r="E201">
        <v>2366</v>
      </c>
      <c r="F201">
        <v>0</v>
      </c>
      <c r="G201">
        <v>0</v>
      </c>
      <c r="H201">
        <v>270</v>
      </c>
      <c r="I201">
        <v>239</v>
      </c>
      <c r="J201">
        <v>360</v>
      </c>
      <c r="K201">
        <v>298</v>
      </c>
      <c r="L201">
        <v>534</v>
      </c>
      <c r="M201">
        <v>96</v>
      </c>
      <c r="N201">
        <v>3560</v>
      </c>
      <c r="O201">
        <v>2999</v>
      </c>
      <c r="P201">
        <v>3026</v>
      </c>
      <c r="Q201">
        <v>0</v>
      </c>
      <c r="R201">
        <v>8</v>
      </c>
      <c r="S201">
        <v>28</v>
      </c>
      <c r="T201">
        <v>94</v>
      </c>
      <c r="U201">
        <v>3466</v>
      </c>
      <c r="V201" s="498">
        <v>2396</v>
      </c>
      <c r="W201">
        <v>80</v>
      </c>
      <c r="X201" s="498">
        <v>4</v>
      </c>
      <c r="Y201" s="498">
        <v>84</v>
      </c>
      <c r="Z201" s="498">
        <v>98.09</v>
      </c>
      <c r="AA201" s="498">
        <v>94.3</v>
      </c>
      <c r="AB201">
        <v>6.99</v>
      </c>
      <c r="AC201">
        <v>104.19</v>
      </c>
      <c r="AD201">
        <v>1673</v>
      </c>
      <c r="AE201">
        <v>126.99</v>
      </c>
      <c r="AF201">
        <v>87.54</v>
      </c>
      <c r="AG201">
        <v>65.430000000000007</v>
      </c>
      <c r="AH201">
        <v>191.31</v>
      </c>
      <c r="AI201">
        <v>536</v>
      </c>
      <c r="AJ201">
        <v>120.33</v>
      </c>
      <c r="AK201">
        <v>706</v>
      </c>
      <c r="AL201">
        <v>0</v>
      </c>
      <c r="AM201">
        <v>0</v>
      </c>
      <c r="AN201">
        <v>0</v>
      </c>
      <c r="AO201" s="499">
        <v>0</v>
      </c>
      <c r="AP201" s="499">
        <v>0</v>
      </c>
      <c r="AQ201">
        <v>0</v>
      </c>
      <c r="AR201">
        <v>0</v>
      </c>
      <c r="AS201">
        <v>0</v>
      </c>
      <c r="AT201">
        <v>0</v>
      </c>
      <c r="AU201">
        <v>0</v>
      </c>
      <c r="AV201">
        <v>0</v>
      </c>
      <c r="AW201">
        <v>0</v>
      </c>
      <c r="AX201">
        <v>80.790000000000006</v>
      </c>
      <c r="AY201">
        <v>77.7</v>
      </c>
      <c r="AZ201">
        <v>11.2</v>
      </c>
      <c r="BA201">
        <v>91.72</v>
      </c>
      <c r="BB201">
        <v>372</v>
      </c>
      <c r="BC201">
        <v>97.05</v>
      </c>
      <c r="BD201">
        <v>93.11</v>
      </c>
      <c r="BE201">
        <v>7.05</v>
      </c>
      <c r="BF201">
        <v>103.31</v>
      </c>
      <c r="BG201">
        <v>684</v>
      </c>
      <c r="BH201">
        <v>108.39</v>
      </c>
      <c r="BI201">
        <v>104.26</v>
      </c>
      <c r="BJ201">
        <v>3.7</v>
      </c>
      <c r="BK201">
        <v>111.34</v>
      </c>
      <c r="BL201" s="214">
        <v>562</v>
      </c>
      <c r="BM201" s="214">
        <v>122.58</v>
      </c>
      <c r="BN201">
        <v>118.93</v>
      </c>
      <c r="BO201" s="187">
        <v>4.7300000000000004</v>
      </c>
      <c r="BP201" s="214">
        <v>126.09</v>
      </c>
      <c r="BQ201" s="214">
        <v>50</v>
      </c>
      <c r="BR201">
        <v>127.21</v>
      </c>
      <c r="BS201" s="187">
        <v>124.13</v>
      </c>
      <c r="BT201" s="214">
        <v>4.84</v>
      </c>
      <c r="BU201" s="214">
        <v>131.08000000000001</v>
      </c>
      <c r="BV201">
        <v>5</v>
      </c>
      <c r="BW201">
        <v>0</v>
      </c>
      <c r="BX201" s="214">
        <v>0</v>
      </c>
      <c r="BY201" s="214">
        <v>0</v>
      </c>
      <c r="BZ201">
        <v>0</v>
      </c>
      <c r="CA201" s="187">
        <v>0</v>
      </c>
      <c r="CB201" s="214">
        <v>98.09</v>
      </c>
      <c r="CC201" s="214">
        <v>94.3</v>
      </c>
      <c r="CD201">
        <v>6.99</v>
      </c>
      <c r="CE201" s="187">
        <v>104.19</v>
      </c>
      <c r="CF201" s="214">
        <v>1673</v>
      </c>
      <c r="CG201" s="214">
        <v>98.09</v>
      </c>
      <c r="CH201">
        <v>94.3</v>
      </c>
      <c r="CI201">
        <v>6.99</v>
      </c>
      <c r="CJ201">
        <v>104.19</v>
      </c>
      <c r="CK201">
        <v>1673</v>
      </c>
      <c r="CL201">
        <v>122.45</v>
      </c>
      <c r="CM201">
        <v>67.16</v>
      </c>
      <c r="CN201" s="187">
        <v>89.35</v>
      </c>
      <c r="CO201">
        <v>210.65</v>
      </c>
      <c r="CP201">
        <v>78</v>
      </c>
      <c r="CQ201">
        <v>80.08</v>
      </c>
      <c r="CR201">
        <v>73.180000000000007</v>
      </c>
      <c r="CS201" s="187">
        <v>36.14</v>
      </c>
      <c r="CT201">
        <v>116.22</v>
      </c>
      <c r="CU201">
        <v>38</v>
      </c>
      <c r="CV201">
        <v>137.13999999999999</v>
      </c>
      <c r="CW201">
        <v>85.12</v>
      </c>
      <c r="CX201" s="187">
        <v>72.81</v>
      </c>
      <c r="CY201">
        <v>209.95</v>
      </c>
      <c r="CZ201">
        <v>315</v>
      </c>
      <c r="DA201">
        <v>116.96</v>
      </c>
      <c r="DB201">
        <v>106.42</v>
      </c>
      <c r="DC201" s="187">
        <v>34.14</v>
      </c>
      <c r="DD201">
        <v>148.47</v>
      </c>
      <c r="DE201">
        <v>104</v>
      </c>
      <c r="DF201">
        <v>106.02</v>
      </c>
      <c r="DG201">
        <v>96.38</v>
      </c>
      <c r="DH201" s="187">
        <v>15.75</v>
      </c>
      <c r="DI201">
        <v>121.77</v>
      </c>
      <c r="DJ201">
        <v>1</v>
      </c>
      <c r="DK201">
        <v>0</v>
      </c>
      <c r="DL201">
        <v>0</v>
      </c>
      <c r="DM201" s="187">
        <v>0</v>
      </c>
      <c r="DN201">
        <v>0</v>
      </c>
      <c r="DO201">
        <v>0</v>
      </c>
      <c r="DP201">
        <v>127.76</v>
      </c>
      <c r="DQ201">
        <v>90.51</v>
      </c>
      <c r="DR201" s="187">
        <v>61.33</v>
      </c>
      <c r="DS201">
        <v>188.02</v>
      </c>
      <c r="DT201">
        <v>458</v>
      </c>
      <c r="DU201">
        <v>126.99</v>
      </c>
      <c r="DV201">
        <v>87.54</v>
      </c>
      <c r="DW201" s="187">
        <v>65.430000000000007</v>
      </c>
      <c r="DX201">
        <v>191.31</v>
      </c>
      <c r="DY201">
        <v>536</v>
      </c>
      <c r="DZ201">
        <v>0</v>
      </c>
      <c r="EA201">
        <v>0</v>
      </c>
      <c r="EB201" s="187">
        <v>0</v>
      </c>
      <c r="EC201">
        <v>0</v>
      </c>
      <c r="ED201">
        <v>97.88</v>
      </c>
      <c r="EE201">
        <v>119</v>
      </c>
      <c r="EF201">
        <v>118.33</v>
      </c>
      <c r="EG201" s="187">
        <v>324</v>
      </c>
      <c r="EH201">
        <v>130.1</v>
      </c>
      <c r="EI201">
        <v>244</v>
      </c>
      <c r="EJ201">
        <v>169.52</v>
      </c>
      <c r="EK201">
        <v>19</v>
      </c>
      <c r="EL201" s="187">
        <v>0</v>
      </c>
      <c r="EM201">
        <v>0</v>
      </c>
      <c r="EN201">
        <v>0</v>
      </c>
      <c r="EO201">
        <v>0</v>
      </c>
      <c r="EP201">
        <v>120.33</v>
      </c>
      <c r="EQ201" s="187">
        <v>706</v>
      </c>
      <c r="ER201">
        <v>120.33</v>
      </c>
      <c r="ES201">
        <v>706</v>
      </c>
      <c r="ET201">
        <v>0</v>
      </c>
      <c r="EU201">
        <v>0</v>
      </c>
      <c r="EV201" s="187">
        <v>0</v>
      </c>
      <c r="EW201">
        <v>0</v>
      </c>
      <c r="EX201">
        <v>0</v>
      </c>
      <c r="EY201">
        <v>0</v>
      </c>
      <c r="EZ201">
        <v>0</v>
      </c>
      <c r="FA201" s="187">
        <v>0</v>
      </c>
      <c r="FB201">
        <v>0</v>
      </c>
      <c r="FC201">
        <v>0</v>
      </c>
      <c r="FD201">
        <v>0</v>
      </c>
      <c r="FE201">
        <v>0</v>
      </c>
      <c r="FF201" s="187">
        <v>0</v>
      </c>
      <c r="FG201">
        <v>0</v>
      </c>
      <c r="FH201">
        <v>0</v>
      </c>
      <c r="FI201">
        <v>0</v>
      </c>
      <c r="FJ201">
        <v>29</v>
      </c>
      <c r="FK201" s="187">
        <v>3</v>
      </c>
      <c r="FL201">
        <v>1</v>
      </c>
      <c r="FM201">
        <v>65</v>
      </c>
      <c r="FN201">
        <v>12</v>
      </c>
    </row>
    <row r="202" spans="1:170" x14ac:dyDescent="0.35">
      <c r="A202" t="s">
        <v>790</v>
      </c>
      <c r="B202" t="s">
        <v>791</v>
      </c>
      <c r="C202" t="s">
        <v>414</v>
      </c>
      <c r="D202">
        <v>553</v>
      </c>
      <c r="E202">
        <v>518</v>
      </c>
      <c r="F202">
        <v>0</v>
      </c>
      <c r="G202">
        <v>0</v>
      </c>
      <c r="H202">
        <v>63</v>
      </c>
      <c r="I202">
        <v>35</v>
      </c>
      <c r="J202">
        <v>95</v>
      </c>
      <c r="K202">
        <v>95</v>
      </c>
      <c r="L202">
        <v>161</v>
      </c>
      <c r="M202">
        <v>9</v>
      </c>
      <c r="N202">
        <v>872</v>
      </c>
      <c r="O202">
        <v>657</v>
      </c>
      <c r="P202">
        <v>711</v>
      </c>
      <c r="Q202">
        <v>0</v>
      </c>
      <c r="R202">
        <v>5</v>
      </c>
      <c r="S202">
        <v>15</v>
      </c>
      <c r="T202">
        <v>66</v>
      </c>
      <c r="U202">
        <v>806</v>
      </c>
      <c r="V202" s="498">
        <v>505</v>
      </c>
      <c r="W202">
        <v>6</v>
      </c>
      <c r="X202" s="498">
        <v>1</v>
      </c>
      <c r="Y202" s="498">
        <v>7</v>
      </c>
      <c r="Z202" s="498">
        <v>94.02</v>
      </c>
      <c r="AA202" s="498">
        <v>91.69</v>
      </c>
      <c r="AB202">
        <v>6.37</v>
      </c>
      <c r="AC202">
        <v>97.58</v>
      </c>
      <c r="AD202">
        <v>279</v>
      </c>
      <c r="AE202">
        <v>111.92</v>
      </c>
      <c r="AF202">
        <v>73.89</v>
      </c>
      <c r="AG202">
        <v>48.77</v>
      </c>
      <c r="AH202">
        <v>157.19999999999999</v>
      </c>
      <c r="AI202">
        <v>140</v>
      </c>
      <c r="AJ202">
        <v>115.09</v>
      </c>
      <c r="AK202">
        <v>181</v>
      </c>
      <c r="AL202">
        <v>0</v>
      </c>
      <c r="AM202">
        <v>0</v>
      </c>
      <c r="AN202">
        <v>0</v>
      </c>
      <c r="AO202" s="499">
        <v>0</v>
      </c>
      <c r="AP202" s="499">
        <v>0</v>
      </c>
      <c r="AQ202">
        <v>0</v>
      </c>
      <c r="AR202">
        <v>0</v>
      </c>
      <c r="AS202">
        <v>0</v>
      </c>
      <c r="AT202">
        <v>0</v>
      </c>
      <c r="AU202">
        <v>0</v>
      </c>
      <c r="AV202">
        <v>0</v>
      </c>
      <c r="AW202">
        <v>0</v>
      </c>
      <c r="AX202">
        <v>77.239999999999995</v>
      </c>
      <c r="AY202">
        <v>75.37</v>
      </c>
      <c r="AZ202">
        <v>10.4</v>
      </c>
      <c r="BA202">
        <v>87.44</v>
      </c>
      <c r="BB202">
        <v>53</v>
      </c>
      <c r="BC202">
        <v>93.17</v>
      </c>
      <c r="BD202">
        <v>91.04</v>
      </c>
      <c r="BE202">
        <v>6.3</v>
      </c>
      <c r="BF202">
        <v>95.81</v>
      </c>
      <c r="BG202">
        <v>124</v>
      </c>
      <c r="BH202">
        <v>102.95</v>
      </c>
      <c r="BI202">
        <v>100.31</v>
      </c>
      <c r="BJ202">
        <v>2.44</v>
      </c>
      <c r="BK202">
        <v>104.15</v>
      </c>
      <c r="BL202" s="214">
        <v>94</v>
      </c>
      <c r="BM202" s="214">
        <v>113.31</v>
      </c>
      <c r="BN202">
        <v>108.68</v>
      </c>
      <c r="BO202" s="187">
        <v>2.02</v>
      </c>
      <c r="BP202" s="214">
        <v>114.76</v>
      </c>
      <c r="BQ202" s="214">
        <v>7</v>
      </c>
      <c r="BR202">
        <v>113.96</v>
      </c>
      <c r="BS202" s="187">
        <v>108.54</v>
      </c>
      <c r="BT202" s="214">
        <v>2.92</v>
      </c>
      <c r="BU202" s="214">
        <v>116.88</v>
      </c>
      <c r="BV202">
        <v>1</v>
      </c>
      <c r="BW202">
        <v>0</v>
      </c>
      <c r="BX202" s="214">
        <v>0</v>
      </c>
      <c r="BY202" s="214">
        <v>0</v>
      </c>
      <c r="BZ202">
        <v>0</v>
      </c>
      <c r="CA202" s="187">
        <v>0</v>
      </c>
      <c r="CB202" s="214">
        <v>94.02</v>
      </c>
      <c r="CC202" s="214">
        <v>91.69</v>
      </c>
      <c r="CD202">
        <v>6.37</v>
      </c>
      <c r="CE202" s="187">
        <v>97.58</v>
      </c>
      <c r="CF202" s="214">
        <v>279</v>
      </c>
      <c r="CG202" s="214">
        <v>94.02</v>
      </c>
      <c r="CH202">
        <v>91.69</v>
      </c>
      <c r="CI202">
        <v>6.37</v>
      </c>
      <c r="CJ202">
        <v>97.58</v>
      </c>
      <c r="CK202">
        <v>279</v>
      </c>
      <c r="CL202">
        <v>216.72</v>
      </c>
      <c r="CM202">
        <v>85.42</v>
      </c>
      <c r="CN202" s="187">
        <v>54.35</v>
      </c>
      <c r="CO202">
        <v>271.07</v>
      </c>
      <c r="CP202">
        <v>27</v>
      </c>
      <c r="CQ202">
        <v>73.06</v>
      </c>
      <c r="CR202">
        <v>66.44</v>
      </c>
      <c r="CS202" s="187">
        <v>36.07</v>
      </c>
      <c r="CT202">
        <v>109.14</v>
      </c>
      <c r="CU202">
        <v>55</v>
      </c>
      <c r="CV202">
        <v>99.2</v>
      </c>
      <c r="CW202">
        <v>77.48</v>
      </c>
      <c r="CX202" s="187">
        <v>68.739999999999995</v>
      </c>
      <c r="CY202">
        <v>152.66999999999999</v>
      </c>
      <c r="CZ202">
        <v>45</v>
      </c>
      <c r="DA202">
        <v>102.63</v>
      </c>
      <c r="DB202">
        <v>88.97</v>
      </c>
      <c r="DC202" s="187">
        <v>37.08</v>
      </c>
      <c r="DD202">
        <v>139.72</v>
      </c>
      <c r="DE202">
        <v>13</v>
      </c>
      <c r="DF202">
        <v>0</v>
      </c>
      <c r="DG202">
        <v>0</v>
      </c>
      <c r="DH202" s="187">
        <v>0</v>
      </c>
      <c r="DI202">
        <v>0</v>
      </c>
      <c r="DJ202">
        <v>0</v>
      </c>
      <c r="DK202">
        <v>0</v>
      </c>
      <c r="DL202">
        <v>0</v>
      </c>
      <c r="DM202" s="187">
        <v>0</v>
      </c>
      <c r="DN202">
        <v>0</v>
      </c>
      <c r="DO202">
        <v>0</v>
      </c>
      <c r="DP202">
        <v>86.87</v>
      </c>
      <c r="DQ202">
        <v>73.010000000000005</v>
      </c>
      <c r="DR202" s="187">
        <v>47.3</v>
      </c>
      <c r="DS202">
        <v>129.99</v>
      </c>
      <c r="DT202">
        <v>113</v>
      </c>
      <c r="DU202">
        <v>111.92</v>
      </c>
      <c r="DV202">
        <v>73.89</v>
      </c>
      <c r="DW202" s="187">
        <v>48.77</v>
      </c>
      <c r="DX202">
        <v>157.19999999999999</v>
      </c>
      <c r="DY202">
        <v>140</v>
      </c>
      <c r="DZ202">
        <v>0</v>
      </c>
      <c r="EA202">
        <v>0</v>
      </c>
      <c r="EB202" s="187">
        <v>0</v>
      </c>
      <c r="EC202">
        <v>0</v>
      </c>
      <c r="ED202">
        <v>87.71</v>
      </c>
      <c r="EE202">
        <v>27</v>
      </c>
      <c r="EF202">
        <v>113.45</v>
      </c>
      <c r="EG202" s="187">
        <v>108</v>
      </c>
      <c r="EH202">
        <v>132.44999999999999</v>
      </c>
      <c r="EI202">
        <v>39</v>
      </c>
      <c r="EJ202">
        <v>149.19</v>
      </c>
      <c r="EK202">
        <v>7</v>
      </c>
      <c r="EL202" s="187">
        <v>0</v>
      </c>
      <c r="EM202">
        <v>0</v>
      </c>
      <c r="EN202">
        <v>0</v>
      </c>
      <c r="EO202">
        <v>0</v>
      </c>
      <c r="EP202">
        <v>115.09</v>
      </c>
      <c r="EQ202" s="187">
        <v>181</v>
      </c>
      <c r="ER202">
        <v>115.09</v>
      </c>
      <c r="ES202">
        <v>181</v>
      </c>
      <c r="ET202">
        <v>0</v>
      </c>
      <c r="EU202">
        <v>0</v>
      </c>
      <c r="EV202" s="187">
        <v>0</v>
      </c>
      <c r="EW202">
        <v>0</v>
      </c>
      <c r="EX202">
        <v>0</v>
      </c>
      <c r="EY202">
        <v>0</v>
      </c>
      <c r="EZ202">
        <v>0</v>
      </c>
      <c r="FA202" s="187">
        <v>0</v>
      </c>
      <c r="FB202">
        <v>0</v>
      </c>
      <c r="FC202">
        <v>0</v>
      </c>
      <c r="FD202">
        <v>0</v>
      </c>
      <c r="FE202">
        <v>0</v>
      </c>
      <c r="FF202" s="187">
        <v>0</v>
      </c>
      <c r="FG202">
        <v>0</v>
      </c>
      <c r="FH202">
        <v>0</v>
      </c>
      <c r="FI202">
        <v>0</v>
      </c>
      <c r="FJ202">
        <v>13</v>
      </c>
      <c r="FK202" s="187">
        <v>0</v>
      </c>
      <c r="FL202">
        <v>0</v>
      </c>
      <c r="FM202">
        <v>39</v>
      </c>
      <c r="FN202">
        <v>8</v>
      </c>
    </row>
    <row r="203" spans="1:170" x14ac:dyDescent="0.35">
      <c r="A203" t="s">
        <v>792</v>
      </c>
      <c r="B203" t="s">
        <v>793</v>
      </c>
      <c r="C203" t="s">
        <v>418</v>
      </c>
      <c r="D203">
        <v>17120</v>
      </c>
      <c r="E203">
        <v>17770</v>
      </c>
      <c r="F203">
        <v>5</v>
      </c>
      <c r="G203">
        <v>4</v>
      </c>
      <c r="H203">
        <v>563</v>
      </c>
      <c r="I203">
        <v>374</v>
      </c>
      <c r="J203">
        <v>791</v>
      </c>
      <c r="K203">
        <v>2219</v>
      </c>
      <c r="L203">
        <v>351</v>
      </c>
      <c r="M203">
        <v>0</v>
      </c>
      <c r="N203">
        <v>18830</v>
      </c>
      <c r="O203">
        <v>20367</v>
      </c>
      <c r="P203">
        <v>18479</v>
      </c>
      <c r="Q203">
        <v>29</v>
      </c>
      <c r="R203">
        <v>7</v>
      </c>
      <c r="S203">
        <v>15</v>
      </c>
      <c r="T203">
        <v>49</v>
      </c>
      <c r="U203">
        <v>18781</v>
      </c>
      <c r="V203" s="498">
        <v>17118</v>
      </c>
      <c r="W203">
        <v>28</v>
      </c>
      <c r="X203" s="498">
        <v>102</v>
      </c>
      <c r="Y203" s="498">
        <v>130</v>
      </c>
      <c r="Z203" s="498">
        <v>79.66</v>
      </c>
      <c r="AA203" s="498">
        <v>79.599999999999994</v>
      </c>
      <c r="AB203">
        <v>4.71</v>
      </c>
      <c r="AC203">
        <v>82.12</v>
      </c>
      <c r="AD203">
        <v>15362</v>
      </c>
      <c r="AE203">
        <v>79.400000000000006</v>
      </c>
      <c r="AF203">
        <v>75.97</v>
      </c>
      <c r="AG203">
        <v>37.340000000000003</v>
      </c>
      <c r="AH203">
        <v>114.06</v>
      </c>
      <c r="AI203">
        <v>1307</v>
      </c>
      <c r="AJ203">
        <v>103.4</v>
      </c>
      <c r="AK203">
        <v>1583</v>
      </c>
      <c r="AL203">
        <v>0</v>
      </c>
      <c r="AM203">
        <v>0</v>
      </c>
      <c r="AN203">
        <v>62.22</v>
      </c>
      <c r="AO203" s="499">
        <v>62.22</v>
      </c>
      <c r="AP203" s="499">
        <v>0</v>
      </c>
      <c r="AQ203">
        <v>62.22</v>
      </c>
      <c r="AR203">
        <v>3</v>
      </c>
      <c r="AS203">
        <v>60.8</v>
      </c>
      <c r="AT203">
        <v>60.24</v>
      </c>
      <c r="AU203">
        <v>7.48</v>
      </c>
      <c r="AV203">
        <v>67.58</v>
      </c>
      <c r="AW203">
        <v>96</v>
      </c>
      <c r="AX203">
        <v>68.72</v>
      </c>
      <c r="AY203">
        <v>68.41</v>
      </c>
      <c r="AZ203">
        <v>5.33</v>
      </c>
      <c r="BA203">
        <v>73.58</v>
      </c>
      <c r="BB203">
        <v>3941</v>
      </c>
      <c r="BC203">
        <v>79.010000000000005</v>
      </c>
      <c r="BD203">
        <v>78.66</v>
      </c>
      <c r="BE203">
        <v>4.71</v>
      </c>
      <c r="BF203">
        <v>81.319999999999993</v>
      </c>
      <c r="BG203">
        <v>6485</v>
      </c>
      <c r="BH203">
        <v>87.71</v>
      </c>
      <c r="BI203">
        <v>88.52</v>
      </c>
      <c r="BJ203">
        <v>2.85</v>
      </c>
      <c r="BK203">
        <v>88.29</v>
      </c>
      <c r="BL203" s="214">
        <v>4110</v>
      </c>
      <c r="BM203" s="214">
        <v>99.9</v>
      </c>
      <c r="BN203">
        <v>98.79</v>
      </c>
      <c r="BO203" s="187">
        <v>1.84</v>
      </c>
      <c r="BP203" s="214">
        <v>100.74</v>
      </c>
      <c r="BQ203" s="214">
        <v>616</v>
      </c>
      <c r="BR203">
        <v>110.51</v>
      </c>
      <c r="BS203" s="187">
        <v>111.27</v>
      </c>
      <c r="BT203" s="214">
        <v>2.54</v>
      </c>
      <c r="BU203" s="214">
        <v>111.92</v>
      </c>
      <c r="BV203">
        <v>86</v>
      </c>
      <c r="BW203">
        <v>119.47</v>
      </c>
      <c r="BX203" s="214">
        <v>122.57</v>
      </c>
      <c r="BY203" s="214">
        <v>3.08</v>
      </c>
      <c r="BZ203">
        <v>121.57</v>
      </c>
      <c r="CA203" s="187">
        <v>25</v>
      </c>
      <c r="CB203" s="214">
        <v>79.66</v>
      </c>
      <c r="CC203" s="214">
        <v>79.599999999999994</v>
      </c>
      <c r="CD203">
        <v>4.71</v>
      </c>
      <c r="CE203" s="187">
        <v>82.13</v>
      </c>
      <c r="CF203" s="214">
        <v>15359</v>
      </c>
      <c r="CG203" s="214">
        <v>79.66</v>
      </c>
      <c r="CH203">
        <v>79.599999999999994</v>
      </c>
      <c r="CI203">
        <v>4.71</v>
      </c>
      <c r="CJ203">
        <v>82.12</v>
      </c>
      <c r="CK203">
        <v>15362</v>
      </c>
      <c r="CL203">
        <v>86.54</v>
      </c>
      <c r="CM203">
        <v>78.66</v>
      </c>
      <c r="CN203" s="187">
        <v>79.069999999999993</v>
      </c>
      <c r="CO203">
        <v>156.24</v>
      </c>
      <c r="CP203">
        <v>135</v>
      </c>
      <c r="CQ203">
        <v>79.62</v>
      </c>
      <c r="CR203">
        <v>79.97</v>
      </c>
      <c r="CS203" s="187">
        <v>79.95</v>
      </c>
      <c r="CT203">
        <v>145</v>
      </c>
      <c r="CU203">
        <v>247</v>
      </c>
      <c r="CV203">
        <v>77.400000000000006</v>
      </c>
      <c r="CW203">
        <v>73.599999999999994</v>
      </c>
      <c r="CX203" s="187">
        <v>22.71</v>
      </c>
      <c r="CY203">
        <v>99.28</v>
      </c>
      <c r="CZ203">
        <v>857</v>
      </c>
      <c r="DA203">
        <v>86.32</v>
      </c>
      <c r="DB203">
        <v>86.21</v>
      </c>
      <c r="DC203" s="187">
        <v>12.09</v>
      </c>
      <c r="DD203">
        <v>97.97</v>
      </c>
      <c r="DE203">
        <v>56</v>
      </c>
      <c r="DF203">
        <v>105.7</v>
      </c>
      <c r="DG203">
        <v>92.11</v>
      </c>
      <c r="DH203" s="187">
        <v>27.09</v>
      </c>
      <c r="DI203">
        <v>132.79</v>
      </c>
      <c r="DJ203">
        <v>12</v>
      </c>
      <c r="DK203">
        <v>0</v>
      </c>
      <c r="DL203">
        <v>0</v>
      </c>
      <c r="DM203" s="187">
        <v>0</v>
      </c>
      <c r="DN203">
        <v>0</v>
      </c>
      <c r="DO203">
        <v>0</v>
      </c>
      <c r="DP203">
        <v>78.58</v>
      </c>
      <c r="DQ203">
        <v>75.72</v>
      </c>
      <c r="DR203" s="187">
        <v>32.799999999999997</v>
      </c>
      <c r="DS203">
        <v>109.2</v>
      </c>
      <c r="DT203">
        <v>1172</v>
      </c>
      <c r="DU203">
        <v>79.400000000000006</v>
      </c>
      <c r="DV203">
        <v>75.97</v>
      </c>
      <c r="DW203" s="187">
        <v>37.340000000000003</v>
      </c>
      <c r="DX203">
        <v>114.06</v>
      </c>
      <c r="DY203">
        <v>1307</v>
      </c>
      <c r="DZ203">
        <v>0</v>
      </c>
      <c r="EA203">
        <v>0</v>
      </c>
      <c r="EB203" s="187">
        <v>82</v>
      </c>
      <c r="EC203">
        <v>1</v>
      </c>
      <c r="ED203">
        <v>80.58</v>
      </c>
      <c r="EE203">
        <v>320</v>
      </c>
      <c r="EF203">
        <v>94.79</v>
      </c>
      <c r="EG203" s="187">
        <v>482</v>
      </c>
      <c r="EH203">
        <v>114.83</v>
      </c>
      <c r="EI203">
        <v>603</v>
      </c>
      <c r="EJ203">
        <v>128.24</v>
      </c>
      <c r="EK203">
        <v>153</v>
      </c>
      <c r="EL203" s="187">
        <v>136.19999999999999</v>
      </c>
      <c r="EM203">
        <v>24</v>
      </c>
      <c r="EN203">
        <v>0</v>
      </c>
      <c r="EO203">
        <v>0</v>
      </c>
      <c r="EP203">
        <v>103.4</v>
      </c>
      <c r="EQ203" s="187">
        <v>1583</v>
      </c>
      <c r="ER203">
        <v>103.4</v>
      </c>
      <c r="ES203">
        <v>1583</v>
      </c>
      <c r="ET203">
        <v>0</v>
      </c>
      <c r="EU203">
        <v>0</v>
      </c>
      <c r="EV203" s="187">
        <v>0</v>
      </c>
      <c r="EW203">
        <v>0</v>
      </c>
      <c r="EX203">
        <v>0</v>
      </c>
      <c r="EY203">
        <v>0</v>
      </c>
      <c r="EZ203">
        <v>0</v>
      </c>
      <c r="FA203" s="187">
        <v>0</v>
      </c>
      <c r="FB203">
        <v>0</v>
      </c>
      <c r="FC203">
        <v>0</v>
      </c>
      <c r="FD203">
        <v>0</v>
      </c>
      <c r="FE203">
        <v>0</v>
      </c>
      <c r="FF203" s="187">
        <v>0</v>
      </c>
      <c r="FG203">
        <v>0</v>
      </c>
      <c r="FH203">
        <v>0</v>
      </c>
      <c r="FI203">
        <v>0</v>
      </c>
      <c r="FJ203">
        <v>0</v>
      </c>
      <c r="FK203" s="187">
        <v>116</v>
      </c>
      <c r="FL203">
        <v>1</v>
      </c>
      <c r="FM203">
        <v>80</v>
      </c>
      <c r="FN203">
        <v>9</v>
      </c>
    </row>
    <row r="204" spans="1:170" x14ac:dyDescent="0.35">
      <c r="A204" t="s">
        <v>794</v>
      </c>
      <c r="B204" t="s">
        <v>795</v>
      </c>
      <c r="C204" t="s">
        <v>2</v>
      </c>
      <c r="D204">
        <v>3111</v>
      </c>
      <c r="E204">
        <v>3096</v>
      </c>
      <c r="F204">
        <v>2</v>
      </c>
      <c r="G204">
        <v>2</v>
      </c>
      <c r="H204">
        <v>414</v>
      </c>
      <c r="I204">
        <v>250</v>
      </c>
      <c r="J204">
        <v>860</v>
      </c>
      <c r="K204">
        <v>811</v>
      </c>
      <c r="L204">
        <v>728</v>
      </c>
      <c r="M204">
        <v>5</v>
      </c>
      <c r="N204">
        <v>5115</v>
      </c>
      <c r="O204">
        <v>4164</v>
      </c>
      <c r="P204">
        <v>4387</v>
      </c>
      <c r="Q204">
        <v>0</v>
      </c>
      <c r="R204">
        <v>2</v>
      </c>
      <c r="S204">
        <v>24</v>
      </c>
      <c r="T204">
        <v>49</v>
      </c>
      <c r="U204">
        <v>5066</v>
      </c>
      <c r="V204" s="498">
        <v>3111</v>
      </c>
      <c r="W204">
        <v>29</v>
      </c>
      <c r="X204" s="498">
        <v>89</v>
      </c>
      <c r="Y204" s="498">
        <v>118</v>
      </c>
      <c r="Z204" s="498">
        <v>116.34</v>
      </c>
      <c r="AA204" s="498">
        <v>112.87</v>
      </c>
      <c r="AB204">
        <v>8.34</v>
      </c>
      <c r="AC204">
        <v>122.62</v>
      </c>
      <c r="AD204">
        <v>2920</v>
      </c>
      <c r="AE204">
        <v>106.87</v>
      </c>
      <c r="AF204">
        <v>97.95</v>
      </c>
      <c r="AG204">
        <v>50.54</v>
      </c>
      <c r="AH204">
        <v>156.79</v>
      </c>
      <c r="AI204">
        <v>1225</v>
      </c>
      <c r="AJ204">
        <v>178.6</v>
      </c>
      <c r="AK204">
        <v>89</v>
      </c>
      <c r="AL204">
        <v>0</v>
      </c>
      <c r="AM204">
        <v>0</v>
      </c>
      <c r="AN204">
        <v>87.19</v>
      </c>
      <c r="AO204" s="499">
        <v>83.04</v>
      </c>
      <c r="AP204" s="499">
        <v>9.15</v>
      </c>
      <c r="AQ204">
        <v>96.34</v>
      </c>
      <c r="AR204">
        <v>2</v>
      </c>
      <c r="AS204">
        <v>85.79</v>
      </c>
      <c r="AT204">
        <v>80.5</v>
      </c>
      <c r="AU204">
        <v>10.31</v>
      </c>
      <c r="AV204">
        <v>93.31</v>
      </c>
      <c r="AW204">
        <v>100</v>
      </c>
      <c r="AX204">
        <v>97.92</v>
      </c>
      <c r="AY204">
        <v>95.46</v>
      </c>
      <c r="AZ204">
        <v>11.56</v>
      </c>
      <c r="BA204">
        <v>108.68</v>
      </c>
      <c r="BB204">
        <v>760</v>
      </c>
      <c r="BC204">
        <v>116.86</v>
      </c>
      <c r="BD204">
        <v>112.79</v>
      </c>
      <c r="BE204">
        <v>8.4600000000000009</v>
      </c>
      <c r="BF204">
        <v>123.39</v>
      </c>
      <c r="BG204">
        <v>1048</v>
      </c>
      <c r="BH204">
        <v>129.99</v>
      </c>
      <c r="BI204">
        <v>126.27</v>
      </c>
      <c r="BJ204">
        <v>4.3899999999999997</v>
      </c>
      <c r="BK204">
        <v>132.62</v>
      </c>
      <c r="BL204" s="214">
        <v>828</v>
      </c>
      <c r="BM204" s="214">
        <v>143.25</v>
      </c>
      <c r="BN204">
        <v>140.6</v>
      </c>
      <c r="BO204" s="187">
        <v>3.61</v>
      </c>
      <c r="BP204" s="214">
        <v>145.35</v>
      </c>
      <c r="BQ204" s="214">
        <v>158</v>
      </c>
      <c r="BR204">
        <v>157.69</v>
      </c>
      <c r="BS204" s="187">
        <v>155.51</v>
      </c>
      <c r="BT204" s="214">
        <v>1.44</v>
      </c>
      <c r="BU204" s="214">
        <v>158.76</v>
      </c>
      <c r="BV204">
        <v>23</v>
      </c>
      <c r="BW204">
        <v>161.76</v>
      </c>
      <c r="BX204" s="214">
        <v>154.06</v>
      </c>
      <c r="BY204" s="214">
        <v>17.78</v>
      </c>
      <c r="BZ204">
        <v>179.54</v>
      </c>
      <c r="CA204" s="187">
        <v>1</v>
      </c>
      <c r="CB204" s="214">
        <v>116.36</v>
      </c>
      <c r="CC204" s="214">
        <v>112.89</v>
      </c>
      <c r="CD204">
        <v>8.34</v>
      </c>
      <c r="CE204" s="187">
        <v>122.63</v>
      </c>
      <c r="CF204" s="214">
        <v>2918</v>
      </c>
      <c r="CG204" s="214">
        <v>116.34</v>
      </c>
      <c r="CH204">
        <v>112.87</v>
      </c>
      <c r="CI204">
        <v>8.34</v>
      </c>
      <c r="CJ204">
        <v>122.62</v>
      </c>
      <c r="CK204">
        <v>2920</v>
      </c>
      <c r="CL204">
        <v>117.48</v>
      </c>
      <c r="CM204">
        <v>90.19</v>
      </c>
      <c r="CN204" s="187">
        <v>101.7</v>
      </c>
      <c r="CO204">
        <v>214.56</v>
      </c>
      <c r="CP204">
        <v>330</v>
      </c>
      <c r="CQ204">
        <v>84.27</v>
      </c>
      <c r="CR204">
        <v>79.489999999999995</v>
      </c>
      <c r="CS204" s="187">
        <v>31.03</v>
      </c>
      <c r="CT204">
        <v>115.3</v>
      </c>
      <c r="CU204">
        <v>171</v>
      </c>
      <c r="CV204">
        <v>103.69</v>
      </c>
      <c r="CW204">
        <v>100.9</v>
      </c>
      <c r="CX204" s="187">
        <v>34.79</v>
      </c>
      <c r="CY204">
        <v>138.47999999999999</v>
      </c>
      <c r="CZ204">
        <v>572</v>
      </c>
      <c r="DA204">
        <v>121.28</v>
      </c>
      <c r="DB204">
        <v>122.03</v>
      </c>
      <c r="DC204" s="187">
        <v>25.31</v>
      </c>
      <c r="DD204">
        <v>146.59</v>
      </c>
      <c r="DE204">
        <v>144</v>
      </c>
      <c r="DF204">
        <v>120.25</v>
      </c>
      <c r="DG204">
        <v>111.46</v>
      </c>
      <c r="DH204" s="187">
        <v>33.69</v>
      </c>
      <c r="DI204">
        <v>153.94</v>
      </c>
      <c r="DJ204">
        <v>8</v>
      </c>
      <c r="DK204">
        <v>0</v>
      </c>
      <c r="DL204">
        <v>0</v>
      </c>
      <c r="DM204" s="187">
        <v>0</v>
      </c>
      <c r="DN204">
        <v>0</v>
      </c>
      <c r="DO204">
        <v>0</v>
      </c>
      <c r="DP204">
        <v>102.96</v>
      </c>
      <c r="DQ204">
        <v>100.3</v>
      </c>
      <c r="DR204" s="187">
        <v>32.53</v>
      </c>
      <c r="DS204">
        <v>135.49</v>
      </c>
      <c r="DT204">
        <v>895</v>
      </c>
      <c r="DU204">
        <v>106.87</v>
      </c>
      <c r="DV204">
        <v>97.95</v>
      </c>
      <c r="DW204" s="187">
        <v>50.54</v>
      </c>
      <c r="DX204">
        <v>156.79</v>
      </c>
      <c r="DY204">
        <v>1225</v>
      </c>
      <c r="DZ204">
        <v>0</v>
      </c>
      <c r="EA204">
        <v>0</v>
      </c>
      <c r="EB204" s="187">
        <v>0</v>
      </c>
      <c r="EC204">
        <v>0</v>
      </c>
      <c r="ED204">
        <v>156.11000000000001</v>
      </c>
      <c r="EE204">
        <v>25</v>
      </c>
      <c r="EF204">
        <v>178.75</v>
      </c>
      <c r="EG204" s="187">
        <v>50</v>
      </c>
      <c r="EH204">
        <v>203.95</v>
      </c>
      <c r="EI204">
        <v>12</v>
      </c>
      <c r="EJ204">
        <v>303.7</v>
      </c>
      <c r="EK204">
        <v>2</v>
      </c>
      <c r="EL204" s="187">
        <v>0</v>
      </c>
      <c r="EM204">
        <v>0</v>
      </c>
      <c r="EN204">
        <v>0</v>
      </c>
      <c r="EO204">
        <v>0</v>
      </c>
      <c r="EP204">
        <v>178.6</v>
      </c>
      <c r="EQ204" s="187">
        <v>89</v>
      </c>
      <c r="ER204">
        <v>178.6</v>
      </c>
      <c r="ES204">
        <v>89</v>
      </c>
      <c r="ET204">
        <v>0</v>
      </c>
      <c r="EU204">
        <v>0</v>
      </c>
      <c r="EV204" s="187">
        <v>0</v>
      </c>
      <c r="EW204">
        <v>0</v>
      </c>
      <c r="EX204">
        <v>0</v>
      </c>
      <c r="EY204">
        <v>0</v>
      </c>
      <c r="EZ204">
        <v>0</v>
      </c>
      <c r="FA204" s="187">
        <v>0</v>
      </c>
      <c r="FB204">
        <v>0</v>
      </c>
      <c r="FC204">
        <v>0</v>
      </c>
      <c r="FD204">
        <v>0</v>
      </c>
      <c r="FE204">
        <v>0</v>
      </c>
      <c r="FF204" s="187">
        <v>0</v>
      </c>
      <c r="FG204">
        <v>0</v>
      </c>
      <c r="FH204">
        <v>0</v>
      </c>
      <c r="FI204">
        <v>0</v>
      </c>
      <c r="FJ204">
        <v>0</v>
      </c>
      <c r="FK204" s="187">
        <v>0</v>
      </c>
      <c r="FL204">
        <v>9</v>
      </c>
      <c r="FM204">
        <v>40</v>
      </c>
      <c r="FN204">
        <v>19</v>
      </c>
    </row>
    <row r="205" spans="1:170" x14ac:dyDescent="0.35">
      <c r="A205" t="s">
        <v>796</v>
      </c>
      <c r="B205" t="s">
        <v>797</v>
      </c>
      <c r="C205" t="s">
        <v>418</v>
      </c>
      <c r="D205">
        <v>4205</v>
      </c>
      <c r="E205">
        <v>4221</v>
      </c>
      <c r="F205">
        <v>0</v>
      </c>
      <c r="G205">
        <v>0</v>
      </c>
      <c r="H205">
        <v>289</v>
      </c>
      <c r="I205">
        <v>85</v>
      </c>
      <c r="J205">
        <v>198</v>
      </c>
      <c r="K205">
        <v>198</v>
      </c>
      <c r="L205">
        <v>16</v>
      </c>
      <c r="M205">
        <v>0</v>
      </c>
      <c r="N205">
        <v>4708</v>
      </c>
      <c r="O205">
        <v>4504</v>
      </c>
      <c r="P205">
        <v>4692</v>
      </c>
      <c r="Q205">
        <v>2</v>
      </c>
      <c r="R205">
        <v>4</v>
      </c>
      <c r="S205">
        <v>20</v>
      </c>
      <c r="T205">
        <v>133</v>
      </c>
      <c r="U205">
        <v>4575</v>
      </c>
      <c r="V205" s="498">
        <v>4204</v>
      </c>
      <c r="W205">
        <v>27</v>
      </c>
      <c r="X205" s="498">
        <v>17</v>
      </c>
      <c r="Y205" s="498">
        <v>44</v>
      </c>
      <c r="Z205" s="498">
        <v>75.209999999999994</v>
      </c>
      <c r="AA205" s="498">
        <v>72.010000000000005</v>
      </c>
      <c r="AB205">
        <v>1.78</v>
      </c>
      <c r="AC205">
        <v>76.84</v>
      </c>
      <c r="AD205">
        <v>3708</v>
      </c>
      <c r="AE205">
        <v>108.07</v>
      </c>
      <c r="AF205">
        <v>72.709999999999994</v>
      </c>
      <c r="AG205">
        <v>72.239999999999995</v>
      </c>
      <c r="AH205">
        <v>180.1</v>
      </c>
      <c r="AI205">
        <v>340</v>
      </c>
      <c r="AJ205">
        <v>97.71</v>
      </c>
      <c r="AK205">
        <v>486</v>
      </c>
      <c r="AL205">
        <v>170.39</v>
      </c>
      <c r="AM205">
        <v>39</v>
      </c>
      <c r="AN205">
        <v>0</v>
      </c>
      <c r="AO205" s="499">
        <v>0</v>
      </c>
      <c r="AP205" s="499">
        <v>0</v>
      </c>
      <c r="AQ205">
        <v>0</v>
      </c>
      <c r="AR205">
        <v>0</v>
      </c>
      <c r="AS205">
        <v>58.79</v>
      </c>
      <c r="AT205">
        <v>56.05</v>
      </c>
      <c r="AU205">
        <v>2.56</v>
      </c>
      <c r="AV205">
        <v>61.27</v>
      </c>
      <c r="AW205">
        <v>31</v>
      </c>
      <c r="AX205">
        <v>67.31</v>
      </c>
      <c r="AY205">
        <v>64.39</v>
      </c>
      <c r="AZ205">
        <v>2.14</v>
      </c>
      <c r="BA205">
        <v>69.430000000000007</v>
      </c>
      <c r="BB205">
        <v>1716</v>
      </c>
      <c r="BC205">
        <v>77.400000000000006</v>
      </c>
      <c r="BD205">
        <v>74.180000000000007</v>
      </c>
      <c r="BE205">
        <v>1.59</v>
      </c>
      <c r="BF205">
        <v>78.7</v>
      </c>
      <c r="BG205">
        <v>1074</v>
      </c>
      <c r="BH205">
        <v>87.66</v>
      </c>
      <c r="BI205">
        <v>83.93</v>
      </c>
      <c r="BJ205">
        <v>1.2</v>
      </c>
      <c r="BK205">
        <v>88.73</v>
      </c>
      <c r="BL205" s="214">
        <v>821</v>
      </c>
      <c r="BM205" s="214">
        <v>96.79</v>
      </c>
      <c r="BN205">
        <v>92.87</v>
      </c>
      <c r="BO205" s="187">
        <v>1.07</v>
      </c>
      <c r="BP205" s="214">
        <v>97.51</v>
      </c>
      <c r="BQ205" s="214">
        <v>61</v>
      </c>
      <c r="BR205">
        <v>109.79</v>
      </c>
      <c r="BS205" s="187">
        <v>105.65</v>
      </c>
      <c r="BT205" s="214">
        <v>1.02</v>
      </c>
      <c r="BU205" s="214">
        <v>110.3</v>
      </c>
      <c r="BV205">
        <v>4</v>
      </c>
      <c r="BW205">
        <v>110.46</v>
      </c>
      <c r="BX205" s="214">
        <v>105.23</v>
      </c>
      <c r="BY205" s="214">
        <v>1.1000000000000001</v>
      </c>
      <c r="BZ205">
        <v>111.56</v>
      </c>
      <c r="CA205" s="187">
        <v>1</v>
      </c>
      <c r="CB205" s="214">
        <v>75.209999999999994</v>
      </c>
      <c r="CC205" s="214">
        <v>72.010000000000005</v>
      </c>
      <c r="CD205">
        <v>1.78</v>
      </c>
      <c r="CE205" s="187">
        <v>76.84</v>
      </c>
      <c r="CF205" s="214">
        <v>3708</v>
      </c>
      <c r="CG205" s="214">
        <v>75.209999999999994</v>
      </c>
      <c r="CH205">
        <v>72.010000000000005</v>
      </c>
      <c r="CI205">
        <v>1.78</v>
      </c>
      <c r="CJ205">
        <v>76.84</v>
      </c>
      <c r="CK205">
        <v>3708</v>
      </c>
      <c r="CL205">
        <v>116.69</v>
      </c>
      <c r="CM205">
        <v>62.02</v>
      </c>
      <c r="CN205" s="187">
        <v>135.78</v>
      </c>
      <c r="CO205">
        <v>252.48</v>
      </c>
      <c r="CP205">
        <v>25</v>
      </c>
      <c r="CQ205">
        <v>69.040000000000006</v>
      </c>
      <c r="CR205">
        <v>63.26</v>
      </c>
      <c r="CS205" s="187">
        <v>34.520000000000003</v>
      </c>
      <c r="CT205">
        <v>103.56</v>
      </c>
      <c r="CU205">
        <v>58</v>
      </c>
      <c r="CV205">
        <v>116.17</v>
      </c>
      <c r="CW205">
        <v>75.569999999999993</v>
      </c>
      <c r="CX205" s="187">
        <v>67.8</v>
      </c>
      <c r="CY205">
        <v>183.97</v>
      </c>
      <c r="CZ205">
        <v>225</v>
      </c>
      <c r="DA205">
        <v>106.8</v>
      </c>
      <c r="DB205">
        <v>80.849999999999994</v>
      </c>
      <c r="DC205" s="187">
        <v>114.75</v>
      </c>
      <c r="DD205">
        <v>221.55</v>
      </c>
      <c r="DE205">
        <v>23</v>
      </c>
      <c r="DF205">
        <v>136.29</v>
      </c>
      <c r="DG205">
        <v>100.65</v>
      </c>
      <c r="DH205" s="187">
        <v>149.69</v>
      </c>
      <c r="DI205">
        <v>269.35000000000002</v>
      </c>
      <c r="DJ205">
        <v>9</v>
      </c>
      <c r="DK205">
        <v>0</v>
      </c>
      <c r="DL205">
        <v>0</v>
      </c>
      <c r="DM205" s="187">
        <v>0</v>
      </c>
      <c r="DN205">
        <v>0</v>
      </c>
      <c r="DO205">
        <v>0</v>
      </c>
      <c r="DP205">
        <v>107.39</v>
      </c>
      <c r="DQ205">
        <v>73.28</v>
      </c>
      <c r="DR205" s="187">
        <v>67.180000000000007</v>
      </c>
      <c r="DS205">
        <v>174.35</v>
      </c>
      <c r="DT205">
        <v>315</v>
      </c>
      <c r="DU205">
        <v>108.07</v>
      </c>
      <c r="DV205">
        <v>72.709999999999994</v>
      </c>
      <c r="DW205" s="187">
        <v>72.239999999999995</v>
      </c>
      <c r="DX205">
        <v>180.1</v>
      </c>
      <c r="DY205">
        <v>340</v>
      </c>
      <c r="DZ205">
        <v>0</v>
      </c>
      <c r="EA205">
        <v>0</v>
      </c>
      <c r="EB205" s="187">
        <v>0</v>
      </c>
      <c r="EC205">
        <v>0</v>
      </c>
      <c r="ED205">
        <v>80.89</v>
      </c>
      <c r="EE205">
        <v>13</v>
      </c>
      <c r="EF205">
        <v>89.49</v>
      </c>
      <c r="EG205" s="187">
        <v>195</v>
      </c>
      <c r="EH205">
        <v>101.72</v>
      </c>
      <c r="EI205">
        <v>247</v>
      </c>
      <c r="EJ205">
        <v>124.54</v>
      </c>
      <c r="EK205">
        <v>31</v>
      </c>
      <c r="EL205" s="187">
        <v>0</v>
      </c>
      <c r="EM205">
        <v>0</v>
      </c>
      <c r="EN205">
        <v>0</v>
      </c>
      <c r="EO205">
        <v>0</v>
      </c>
      <c r="EP205">
        <v>97.71</v>
      </c>
      <c r="EQ205" s="187">
        <v>486</v>
      </c>
      <c r="ER205">
        <v>97.71</v>
      </c>
      <c r="ES205">
        <v>486</v>
      </c>
      <c r="ET205">
        <v>269.41000000000003</v>
      </c>
      <c r="EU205">
        <v>6</v>
      </c>
      <c r="EV205" s="187">
        <v>0</v>
      </c>
      <c r="EW205">
        <v>0</v>
      </c>
      <c r="EX205">
        <v>96.3</v>
      </c>
      <c r="EY205">
        <v>21</v>
      </c>
      <c r="EZ205">
        <v>250.54</v>
      </c>
      <c r="FA205" s="187">
        <v>12</v>
      </c>
      <c r="FB205">
        <v>0</v>
      </c>
      <c r="FC205">
        <v>0</v>
      </c>
      <c r="FD205">
        <v>0</v>
      </c>
      <c r="FE205">
        <v>0</v>
      </c>
      <c r="FF205" s="187">
        <v>152.38999999999999</v>
      </c>
      <c r="FG205">
        <v>33</v>
      </c>
      <c r="FH205">
        <v>170.39</v>
      </c>
      <c r="FI205">
        <v>39</v>
      </c>
      <c r="FJ205">
        <v>4</v>
      </c>
      <c r="FK205" s="187">
        <v>15</v>
      </c>
      <c r="FL205">
        <v>3</v>
      </c>
      <c r="FM205">
        <v>1</v>
      </c>
      <c r="FN205">
        <v>0</v>
      </c>
    </row>
    <row r="206" spans="1:170" x14ac:dyDescent="0.35">
      <c r="A206" t="s">
        <v>798</v>
      </c>
      <c r="B206" t="s">
        <v>799</v>
      </c>
      <c r="C206" t="s">
        <v>415</v>
      </c>
      <c r="D206">
        <v>13149</v>
      </c>
      <c r="E206">
        <v>13307</v>
      </c>
      <c r="F206">
        <v>29</v>
      </c>
      <c r="G206">
        <v>29</v>
      </c>
      <c r="H206">
        <v>552</v>
      </c>
      <c r="I206">
        <v>320</v>
      </c>
      <c r="J206">
        <v>2308</v>
      </c>
      <c r="K206">
        <v>2308</v>
      </c>
      <c r="L206">
        <v>1121</v>
      </c>
      <c r="M206">
        <v>0</v>
      </c>
      <c r="N206">
        <v>17159</v>
      </c>
      <c r="O206">
        <v>15964</v>
      </c>
      <c r="P206">
        <v>16038</v>
      </c>
      <c r="Q206">
        <v>14</v>
      </c>
      <c r="R206">
        <v>9</v>
      </c>
      <c r="S206">
        <v>26</v>
      </c>
      <c r="T206">
        <v>207</v>
      </c>
      <c r="U206">
        <v>16952</v>
      </c>
      <c r="V206" s="498">
        <v>13148</v>
      </c>
      <c r="W206">
        <v>67</v>
      </c>
      <c r="X206" s="498">
        <v>31</v>
      </c>
      <c r="Y206" s="498">
        <v>98</v>
      </c>
      <c r="Z206" s="498">
        <v>88.54</v>
      </c>
      <c r="AA206" s="498">
        <v>87.88</v>
      </c>
      <c r="AB206">
        <v>6.79</v>
      </c>
      <c r="AC206">
        <v>91.99</v>
      </c>
      <c r="AD206">
        <v>11016</v>
      </c>
      <c r="AE206">
        <v>93.04</v>
      </c>
      <c r="AF206">
        <v>85.3</v>
      </c>
      <c r="AG206">
        <v>36.65</v>
      </c>
      <c r="AH206">
        <v>127.93</v>
      </c>
      <c r="AI206">
        <v>2567</v>
      </c>
      <c r="AJ206">
        <v>114.38</v>
      </c>
      <c r="AK206">
        <v>1839</v>
      </c>
      <c r="AL206">
        <v>208.09</v>
      </c>
      <c r="AM206">
        <v>87</v>
      </c>
      <c r="AN206">
        <v>79.63</v>
      </c>
      <c r="AO206" s="499">
        <v>79.63</v>
      </c>
      <c r="AP206" s="499">
        <v>79.47</v>
      </c>
      <c r="AQ206">
        <v>159.1</v>
      </c>
      <c r="AR206">
        <v>20</v>
      </c>
      <c r="AS206">
        <v>65.37</v>
      </c>
      <c r="AT206">
        <v>65.14</v>
      </c>
      <c r="AU206">
        <v>9.5299999999999994</v>
      </c>
      <c r="AV206">
        <v>74.819999999999993</v>
      </c>
      <c r="AW206">
        <v>246</v>
      </c>
      <c r="AX206">
        <v>76.06</v>
      </c>
      <c r="AY206">
        <v>75.510000000000005</v>
      </c>
      <c r="AZ206">
        <v>7.47</v>
      </c>
      <c r="BA206">
        <v>82.45</v>
      </c>
      <c r="BB206">
        <v>2724</v>
      </c>
      <c r="BC206">
        <v>89.47</v>
      </c>
      <c r="BD206">
        <v>88.63</v>
      </c>
      <c r="BE206">
        <v>6.87</v>
      </c>
      <c r="BF206">
        <v>92.96</v>
      </c>
      <c r="BG206">
        <v>3819</v>
      </c>
      <c r="BH206">
        <v>95.7</v>
      </c>
      <c r="BI206">
        <v>95.16</v>
      </c>
      <c r="BJ206">
        <v>3.27</v>
      </c>
      <c r="BK206">
        <v>96.5</v>
      </c>
      <c r="BL206" s="214">
        <v>3561</v>
      </c>
      <c r="BM206" s="214">
        <v>104.63</v>
      </c>
      <c r="BN206">
        <v>103.9</v>
      </c>
      <c r="BO206" s="187">
        <v>2.88</v>
      </c>
      <c r="BP206" s="214">
        <v>105.5</v>
      </c>
      <c r="BQ206" s="214">
        <v>574</v>
      </c>
      <c r="BR206">
        <v>109.37</v>
      </c>
      <c r="BS206" s="187">
        <v>107.82</v>
      </c>
      <c r="BT206" s="214">
        <v>1.35</v>
      </c>
      <c r="BU206" s="214">
        <v>109.83</v>
      </c>
      <c r="BV206">
        <v>67</v>
      </c>
      <c r="BW206">
        <v>116.94</v>
      </c>
      <c r="BX206" s="214">
        <v>115.71</v>
      </c>
      <c r="BY206" s="214">
        <v>0.99</v>
      </c>
      <c r="BZ206">
        <v>117.14</v>
      </c>
      <c r="CA206" s="187">
        <v>5</v>
      </c>
      <c r="CB206" s="214">
        <v>88.55</v>
      </c>
      <c r="CC206" s="214">
        <v>87.89</v>
      </c>
      <c r="CD206">
        <v>6.53</v>
      </c>
      <c r="CE206" s="187">
        <v>91.86</v>
      </c>
      <c r="CF206" s="214">
        <v>10996</v>
      </c>
      <c r="CG206" s="214">
        <v>88.54</v>
      </c>
      <c r="CH206">
        <v>87.88</v>
      </c>
      <c r="CI206">
        <v>6.79</v>
      </c>
      <c r="CJ206">
        <v>91.99</v>
      </c>
      <c r="CK206">
        <v>11016</v>
      </c>
      <c r="CL206">
        <v>126.98</v>
      </c>
      <c r="CM206">
        <v>77.11</v>
      </c>
      <c r="CN206" s="187">
        <v>102.25</v>
      </c>
      <c r="CO206">
        <v>188.24</v>
      </c>
      <c r="CP206">
        <v>227</v>
      </c>
      <c r="CQ206">
        <v>71.91</v>
      </c>
      <c r="CR206">
        <v>67.84</v>
      </c>
      <c r="CS206" s="187">
        <v>49.5</v>
      </c>
      <c r="CT206">
        <v>121.4</v>
      </c>
      <c r="CU206">
        <v>99</v>
      </c>
      <c r="CV206">
        <v>87.34</v>
      </c>
      <c r="CW206">
        <v>82.91</v>
      </c>
      <c r="CX206" s="187">
        <v>31.92</v>
      </c>
      <c r="CY206">
        <v>118.73</v>
      </c>
      <c r="CZ206">
        <v>1879</v>
      </c>
      <c r="DA206">
        <v>107.3</v>
      </c>
      <c r="DB206">
        <v>105.25</v>
      </c>
      <c r="DC206" s="187">
        <v>33.340000000000003</v>
      </c>
      <c r="DD206">
        <v>140.63999999999999</v>
      </c>
      <c r="DE206">
        <v>346</v>
      </c>
      <c r="DF206">
        <v>102.29</v>
      </c>
      <c r="DG206">
        <v>100.23</v>
      </c>
      <c r="DH206" s="187">
        <v>16.690000000000001</v>
      </c>
      <c r="DI206">
        <v>118.99</v>
      </c>
      <c r="DJ206">
        <v>14</v>
      </c>
      <c r="DK206">
        <v>108.77</v>
      </c>
      <c r="DL206">
        <v>110.11</v>
      </c>
      <c r="DM206" s="187">
        <v>4.96</v>
      </c>
      <c r="DN206">
        <v>111.25</v>
      </c>
      <c r="DO206">
        <v>2</v>
      </c>
      <c r="DP206">
        <v>89.74</v>
      </c>
      <c r="DQ206">
        <v>85.73</v>
      </c>
      <c r="DR206" s="187">
        <v>32.78</v>
      </c>
      <c r="DS206">
        <v>122.08</v>
      </c>
      <c r="DT206">
        <v>2340</v>
      </c>
      <c r="DU206">
        <v>93.04</v>
      </c>
      <c r="DV206">
        <v>85.3</v>
      </c>
      <c r="DW206" s="187">
        <v>36.65</v>
      </c>
      <c r="DX206">
        <v>127.93</v>
      </c>
      <c r="DY206">
        <v>2567</v>
      </c>
      <c r="DZ206">
        <v>107.43</v>
      </c>
      <c r="EA206">
        <v>6</v>
      </c>
      <c r="EB206" s="187">
        <v>86.23</v>
      </c>
      <c r="EC206">
        <v>1</v>
      </c>
      <c r="ED206">
        <v>94.72</v>
      </c>
      <c r="EE206">
        <v>458</v>
      </c>
      <c r="EF206">
        <v>115.46</v>
      </c>
      <c r="EG206" s="187">
        <v>816</v>
      </c>
      <c r="EH206">
        <v>125.74</v>
      </c>
      <c r="EI206">
        <v>480</v>
      </c>
      <c r="EJ206">
        <v>150.16</v>
      </c>
      <c r="EK206">
        <v>74</v>
      </c>
      <c r="EL206" s="187">
        <v>137.63999999999999</v>
      </c>
      <c r="EM206">
        <v>4</v>
      </c>
      <c r="EN206">
        <v>0</v>
      </c>
      <c r="EO206">
        <v>0</v>
      </c>
      <c r="EP206">
        <v>114.4</v>
      </c>
      <c r="EQ206" s="187">
        <v>1833</v>
      </c>
      <c r="ER206">
        <v>114.38</v>
      </c>
      <c r="ES206">
        <v>1839</v>
      </c>
      <c r="ET206">
        <v>0</v>
      </c>
      <c r="EU206">
        <v>0</v>
      </c>
      <c r="EV206" s="187">
        <v>0</v>
      </c>
      <c r="EW206">
        <v>0</v>
      </c>
      <c r="EX206">
        <v>187.03</v>
      </c>
      <c r="EY206">
        <v>37</v>
      </c>
      <c r="EZ206">
        <v>223.68</v>
      </c>
      <c r="FA206" s="187">
        <v>50</v>
      </c>
      <c r="FB206">
        <v>0</v>
      </c>
      <c r="FC206">
        <v>0</v>
      </c>
      <c r="FD206">
        <v>0</v>
      </c>
      <c r="FE206">
        <v>0</v>
      </c>
      <c r="FF206" s="187">
        <v>208.09</v>
      </c>
      <c r="FG206">
        <v>87</v>
      </c>
      <c r="FH206">
        <v>208.09</v>
      </c>
      <c r="FI206">
        <v>87</v>
      </c>
      <c r="FJ206">
        <v>35</v>
      </c>
      <c r="FK206" s="187">
        <v>52</v>
      </c>
      <c r="FL206">
        <v>1</v>
      </c>
      <c r="FM206">
        <v>30</v>
      </c>
      <c r="FN206">
        <v>23</v>
      </c>
    </row>
    <row r="207" spans="1:170" x14ac:dyDescent="0.35">
      <c r="A207" t="s">
        <v>800</v>
      </c>
      <c r="B207" t="s">
        <v>801</v>
      </c>
      <c r="C207" t="s">
        <v>419</v>
      </c>
      <c r="D207">
        <v>18845</v>
      </c>
      <c r="E207">
        <v>18353</v>
      </c>
      <c r="F207">
        <v>0</v>
      </c>
      <c r="G207">
        <v>0</v>
      </c>
      <c r="H207">
        <v>2411</v>
      </c>
      <c r="I207">
        <v>2337</v>
      </c>
      <c r="J207">
        <v>1062</v>
      </c>
      <c r="K207">
        <v>973</v>
      </c>
      <c r="L207">
        <v>1187</v>
      </c>
      <c r="M207">
        <v>0</v>
      </c>
      <c r="N207">
        <v>23505</v>
      </c>
      <c r="O207">
        <v>21663</v>
      </c>
      <c r="P207">
        <v>22318</v>
      </c>
      <c r="Q207">
        <v>90</v>
      </c>
      <c r="R207">
        <v>5</v>
      </c>
      <c r="S207">
        <v>22</v>
      </c>
      <c r="T207">
        <v>586</v>
      </c>
      <c r="U207">
        <v>22919</v>
      </c>
      <c r="V207" s="498">
        <v>18364</v>
      </c>
      <c r="W207">
        <v>95</v>
      </c>
      <c r="X207" s="498">
        <v>188</v>
      </c>
      <c r="Y207" s="498">
        <v>283</v>
      </c>
      <c r="Z207" s="498">
        <v>77.77</v>
      </c>
      <c r="AA207" s="498">
        <v>77.010000000000005</v>
      </c>
      <c r="AB207">
        <v>7.03</v>
      </c>
      <c r="AC207">
        <v>82.21</v>
      </c>
      <c r="AD207">
        <v>13688</v>
      </c>
      <c r="AE207">
        <v>74.209999999999994</v>
      </c>
      <c r="AF207">
        <v>71.650000000000006</v>
      </c>
      <c r="AG207">
        <v>31.27</v>
      </c>
      <c r="AH207">
        <v>103.29</v>
      </c>
      <c r="AI207">
        <v>2795</v>
      </c>
      <c r="AJ207">
        <v>103.45</v>
      </c>
      <c r="AK207">
        <v>4593</v>
      </c>
      <c r="AL207">
        <v>93.55</v>
      </c>
      <c r="AM207">
        <v>573</v>
      </c>
      <c r="AN207">
        <v>0</v>
      </c>
      <c r="AO207" s="499">
        <v>0</v>
      </c>
      <c r="AP207" s="499">
        <v>0</v>
      </c>
      <c r="AQ207">
        <v>0</v>
      </c>
      <c r="AR207">
        <v>0</v>
      </c>
      <c r="AS207">
        <v>56.45</v>
      </c>
      <c r="AT207">
        <v>56.35</v>
      </c>
      <c r="AU207">
        <v>12.21</v>
      </c>
      <c r="AV207">
        <v>68.48</v>
      </c>
      <c r="AW207">
        <v>202</v>
      </c>
      <c r="AX207">
        <v>65.040000000000006</v>
      </c>
      <c r="AY207">
        <v>65.17</v>
      </c>
      <c r="AZ207">
        <v>8.16</v>
      </c>
      <c r="BA207">
        <v>71.27</v>
      </c>
      <c r="BB207">
        <v>2878</v>
      </c>
      <c r="BC207">
        <v>76.760000000000005</v>
      </c>
      <c r="BD207">
        <v>76.06</v>
      </c>
      <c r="BE207">
        <v>7.86</v>
      </c>
      <c r="BF207">
        <v>81.89</v>
      </c>
      <c r="BG207">
        <v>5443</v>
      </c>
      <c r="BH207">
        <v>85.48</v>
      </c>
      <c r="BI207">
        <v>84.27</v>
      </c>
      <c r="BJ207">
        <v>4.74</v>
      </c>
      <c r="BK207">
        <v>87.95</v>
      </c>
      <c r="BL207" s="214">
        <v>4717</v>
      </c>
      <c r="BM207" s="214">
        <v>99.67</v>
      </c>
      <c r="BN207">
        <v>97.12</v>
      </c>
      <c r="BO207" s="187">
        <v>3.74</v>
      </c>
      <c r="BP207" s="214">
        <v>101.71</v>
      </c>
      <c r="BQ207" s="214">
        <v>425</v>
      </c>
      <c r="BR207">
        <v>111.5</v>
      </c>
      <c r="BS207" s="187">
        <v>107.36</v>
      </c>
      <c r="BT207" s="214">
        <v>3.57</v>
      </c>
      <c r="BU207" s="214">
        <v>112.55</v>
      </c>
      <c r="BV207">
        <v>17</v>
      </c>
      <c r="BW207">
        <v>113.04</v>
      </c>
      <c r="BX207" s="214">
        <v>109.7</v>
      </c>
      <c r="BY207" s="214">
        <v>7.37</v>
      </c>
      <c r="BZ207">
        <v>114.27</v>
      </c>
      <c r="CA207" s="187">
        <v>6</v>
      </c>
      <c r="CB207" s="214">
        <v>77.77</v>
      </c>
      <c r="CC207" s="214">
        <v>77.010000000000005</v>
      </c>
      <c r="CD207">
        <v>7.03</v>
      </c>
      <c r="CE207" s="187">
        <v>82.21</v>
      </c>
      <c r="CF207" s="214">
        <v>13688</v>
      </c>
      <c r="CG207" s="214">
        <v>77.77</v>
      </c>
      <c r="CH207">
        <v>77.010000000000005</v>
      </c>
      <c r="CI207">
        <v>7.03</v>
      </c>
      <c r="CJ207">
        <v>82.21</v>
      </c>
      <c r="CK207">
        <v>13688</v>
      </c>
      <c r="CL207">
        <v>76.959999999999994</v>
      </c>
      <c r="CM207">
        <v>69.33</v>
      </c>
      <c r="CN207" s="187">
        <v>124.88</v>
      </c>
      <c r="CO207">
        <v>186.98</v>
      </c>
      <c r="CP207">
        <v>311</v>
      </c>
      <c r="CQ207">
        <v>65.67</v>
      </c>
      <c r="CR207">
        <v>60.44</v>
      </c>
      <c r="CS207" s="187">
        <v>32.89</v>
      </c>
      <c r="CT207">
        <v>94.32</v>
      </c>
      <c r="CU207">
        <v>93</v>
      </c>
      <c r="CV207">
        <v>71.64</v>
      </c>
      <c r="CW207">
        <v>70</v>
      </c>
      <c r="CX207" s="187">
        <v>18.28</v>
      </c>
      <c r="CY207">
        <v>88.85</v>
      </c>
      <c r="CZ207">
        <v>2001</v>
      </c>
      <c r="DA207">
        <v>86.65</v>
      </c>
      <c r="DB207">
        <v>84.04</v>
      </c>
      <c r="DC207" s="187">
        <v>27.81</v>
      </c>
      <c r="DD207">
        <v>112.83</v>
      </c>
      <c r="DE207">
        <v>376</v>
      </c>
      <c r="DF207">
        <v>95.86</v>
      </c>
      <c r="DG207">
        <v>87.84</v>
      </c>
      <c r="DH207" s="187">
        <v>20.98</v>
      </c>
      <c r="DI207">
        <v>103.93</v>
      </c>
      <c r="DJ207">
        <v>13</v>
      </c>
      <c r="DK207">
        <v>195.62</v>
      </c>
      <c r="DL207">
        <v>0</v>
      </c>
      <c r="DM207" s="187">
        <v>0</v>
      </c>
      <c r="DN207">
        <v>195.62</v>
      </c>
      <c r="DO207">
        <v>1</v>
      </c>
      <c r="DP207">
        <v>73.86</v>
      </c>
      <c r="DQ207">
        <v>71.87</v>
      </c>
      <c r="DR207" s="187">
        <v>20.239999999999998</v>
      </c>
      <c r="DS207">
        <v>92.81</v>
      </c>
      <c r="DT207">
        <v>2484</v>
      </c>
      <c r="DU207">
        <v>74.209999999999994</v>
      </c>
      <c r="DV207">
        <v>71.650000000000006</v>
      </c>
      <c r="DW207" s="187">
        <v>31.27</v>
      </c>
      <c r="DX207">
        <v>103.29</v>
      </c>
      <c r="DY207">
        <v>2795</v>
      </c>
      <c r="DZ207">
        <v>0</v>
      </c>
      <c r="EA207">
        <v>0</v>
      </c>
      <c r="EB207" s="187">
        <v>72.38</v>
      </c>
      <c r="EC207">
        <v>36</v>
      </c>
      <c r="ED207">
        <v>83.91</v>
      </c>
      <c r="EE207">
        <v>1178</v>
      </c>
      <c r="EF207">
        <v>103.43</v>
      </c>
      <c r="EG207" s="187">
        <v>2139</v>
      </c>
      <c r="EH207">
        <v>121.19</v>
      </c>
      <c r="EI207">
        <v>1142</v>
      </c>
      <c r="EJ207">
        <v>143.54</v>
      </c>
      <c r="EK207">
        <v>96</v>
      </c>
      <c r="EL207" s="187">
        <v>132.1</v>
      </c>
      <c r="EM207">
        <v>2</v>
      </c>
      <c r="EN207">
        <v>0</v>
      </c>
      <c r="EO207">
        <v>0</v>
      </c>
      <c r="EP207">
        <v>103.45</v>
      </c>
      <c r="EQ207" s="187">
        <v>4593</v>
      </c>
      <c r="ER207">
        <v>103.45</v>
      </c>
      <c r="ES207">
        <v>4593</v>
      </c>
      <c r="ET207">
        <v>151.47999999999999</v>
      </c>
      <c r="EU207">
        <v>22</v>
      </c>
      <c r="EV207" s="187">
        <v>0</v>
      </c>
      <c r="EW207">
        <v>0</v>
      </c>
      <c r="EX207">
        <v>89.91</v>
      </c>
      <c r="EY207">
        <v>507</v>
      </c>
      <c r="EZ207">
        <v>106.58</v>
      </c>
      <c r="FA207" s="187">
        <v>44</v>
      </c>
      <c r="FB207">
        <v>0</v>
      </c>
      <c r="FC207">
        <v>0</v>
      </c>
      <c r="FD207">
        <v>0</v>
      </c>
      <c r="FE207">
        <v>0</v>
      </c>
      <c r="FF207" s="187">
        <v>91.24</v>
      </c>
      <c r="FG207">
        <v>551</v>
      </c>
      <c r="FH207">
        <v>93.55</v>
      </c>
      <c r="FI207">
        <v>573</v>
      </c>
      <c r="FJ207">
        <v>78</v>
      </c>
      <c r="FK207" s="187">
        <v>60</v>
      </c>
      <c r="FL207">
        <v>98</v>
      </c>
      <c r="FM207">
        <v>23</v>
      </c>
      <c r="FN207">
        <v>36</v>
      </c>
    </row>
    <row r="208" spans="1:170" x14ac:dyDescent="0.35">
      <c r="A208" t="s">
        <v>802</v>
      </c>
      <c r="B208" t="s">
        <v>803</v>
      </c>
      <c r="C208" t="s">
        <v>2</v>
      </c>
      <c r="D208">
        <v>4819</v>
      </c>
      <c r="E208">
        <v>4738</v>
      </c>
      <c r="F208">
        <v>27</v>
      </c>
      <c r="G208">
        <v>0</v>
      </c>
      <c r="H208">
        <v>499</v>
      </c>
      <c r="I208">
        <v>107</v>
      </c>
      <c r="J208">
        <v>1066</v>
      </c>
      <c r="K208">
        <v>615</v>
      </c>
      <c r="L208">
        <v>684</v>
      </c>
      <c r="M208">
        <v>0</v>
      </c>
      <c r="N208">
        <v>7095</v>
      </c>
      <c r="O208">
        <v>5460</v>
      </c>
      <c r="P208">
        <v>6411</v>
      </c>
      <c r="Q208">
        <v>18</v>
      </c>
      <c r="R208">
        <v>12</v>
      </c>
      <c r="S208">
        <v>23</v>
      </c>
      <c r="T208">
        <v>930</v>
      </c>
      <c r="U208">
        <v>6165</v>
      </c>
      <c r="V208" s="498">
        <v>4738</v>
      </c>
      <c r="W208">
        <v>20</v>
      </c>
      <c r="X208" s="498">
        <v>12</v>
      </c>
      <c r="Y208" s="498">
        <v>32</v>
      </c>
      <c r="Z208" s="498">
        <v>101.45</v>
      </c>
      <c r="AA208" s="498">
        <v>98.05</v>
      </c>
      <c r="AB208">
        <v>8.9499999999999993</v>
      </c>
      <c r="AC208">
        <v>108.51</v>
      </c>
      <c r="AD208">
        <v>3723</v>
      </c>
      <c r="AE208">
        <v>97.34</v>
      </c>
      <c r="AF208">
        <v>89.51</v>
      </c>
      <c r="AG208">
        <v>31.97</v>
      </c>
      <c r="AH208">
        <v>128.61000000000001</v>
      </c>
      <c r="AI208">
        <v>735</v>
      </c>
      <c r="AJ208">
        <v>135.03</v>
      </c>
      <c r="AK208">
        <v>837</v>
      </c>
      <c r="AL208">
        <v>185.7</v>
      </c>
      <c r="AM208">
        <v>83</v>
      </c>
      <c r="AN208">
        <v>0</v>
      </c>
      <c r="AO208" s="499">
        <v>0</v>
      </c>
      <c r="AP208" s="499">
        <v>0</v>
      </c>
      <c r="AQ208">
        <v>0</v>
      </c>
      <c r="AR208">
        <v>0</v>
      </c>
      <c r="AS208">
        <v>67.930000000000007</v>
      </c>
      <c r="AT208">
        <v>64.92</v>
      </c>
      <c r="AU208">
        <v>9.75</v>
      </c>
      <c r="AV208">
        <v>77.680000000000007</v>
      </c>
      <c r="AW208">
        <v>101</v>
      </c>
      <c r="AX208">
        <v>85.99</v>
      </c>
      <c r="AY208">
        <v>82.65</v>
      </c>
      <c r="AZ208">
        <v>10.74</v>
      </c>
      <c r="BA208">
        <v>96.32</v>
      </c>
      <c r="BB208">
        <v>999</v>
      </c>
      <c r="BC208">
        <v>101.16</v>
      </c>
      <c r="BD208">
        <v>97.72</v>
      </c>
      <c r="BE208">
        <v>10.45</v>
      </c>
      <c r="BF208">
        <v>109.69</v>
      </c>
      <c r="BG208">
        <v>1498</v>
      </c>
      <c r="BH208">
        <v>116.31</v>
      </c>
      <c r="BI208">
        <v>112.79</v>
      </c>
      <c r="BJ208">
        <v>3.57</v>
      </c>
      <c r="BK208">
        <v>118.36</v>
      </c>
      <c r="BL208" s="214">
        <v>956</v>
      </c>
      <c r="BM208" s="214">
        <v>129.83000000000001</v>
      </c>
      <c r="BN208">
        <v>126.76</v>
      </c>
      <c r="BO208" s="187">
        <v>2.44</v>
      </c>
      <c r="BP208" s="214">
        <v>131.38999999999999</v>
      </c>
      <c r="BQ208" s="214">
        <v>161</v>
      </c>
      <c r="BR208">
        <v>146.71</v>
      </c>
      <c r="BS208" s="187">
        <v>140.66999999999999</v>
      </c>
      <c r="BT208" s="214">
        <v>2.23</v>
      </c>
      <c r="BU208" s="214">
        <v>147.27000000000001</v>
      </c>
      <c r="BV208">
        <v>4</v>
      </c>
      <c r="BW208">
        <v>175.19</v>
      </c>
      <c r="BX208" s="214">
        <v>180.9</v>
      </c>
      <c r="BY208" s="214">
        <v>0</v>
      </c>
      <c r="BZ208">
        <v>175.19</v>
      </c>
      <c r="CA208" s="187">
        <v>4</v>
      </c>
      <c r="CB208" s="214">
        <v>101.45</v>
      </c>
      <c r="CC208" s="214">
        <v>98.05</v>
      </c>
      <c r="CD208">
        <v>8.9499999999999993</v>
      </c>
      <c r="CE208" s="187">
        <v>108.51</v>
      </c>
      <c r="CF208" s="214">
        <v>3723</v>
      </c>
      <c r="CG208" s="214">
        <v>101.45</v>
      </c>
      <c r="CH208">
        <v>98.05</v>
      </c>
      <c r="CI208">
        <v>8.9499999999999993</v>
      </c>
      <c r="CJ208">
        <v>108.51</v>
      </c>
      <c r="CK208">
        <v>3723</v>
      </c>
      <c r="CL208">
        <v>85.93</v>
      </c>
      <c r="CM208">
        <v>75.34</v>
      </c>
      <c r="CN208" s="187">
        <v>38.72</v>
      </c>
      <c r="CO208">
        <v>115.76</v>
      </c>
      <c r="CP208">
        <v>61</v>
      </c>
      <c r="CQ208">
        <v>71.12</v>
      </c>
      <c r="CR208">
        <v>65.69</v>
      </c>
      <c r="CS208" s="187">
        <v>22.72</v>
      </c>
      <c r="CT208">
        <v>93.85</v>
      </c>
      <c r="CU208">
        <v>162</v>
      </c>
      <c r="CV208">
        <v>103.19</v>
      </c>
      <c r="CW208">
        <v>92.13</v>
      </c>
      <c r="CX208" s="187">
        <v>34.56</v>
      </c>
      <c r="CY208">
        <v>137.58000000000001</v>
      </c>
      <c r="CZ208">
        <v>419</v>
      </c>
      <c r="DA208">
        <v>124.13</v>
      </c>
      <c r="DB208">
        <v>116.13</v>
      </c>
      <c r="DC208" s="187">
        <v>33.75</v>
      </c>
      <c r="DD208">
        <v>157.87</v>
      </c>
      <c r="DE208">
        <v>88</v>
      </c>
      <c r="DF208">
        <v>118.49</v>
      </c>
      <c r="DG208">
        <v>115</v>
      </c>
      <c r="DH208" s="187">
        <v>16.61</v>
      </c>
      <c r="DI208">
        <v>135.1</v>
      </c>
      <c r="DJ208">
        <v>3</v>
      </c>
      <c r="DK208">
        <v>133.83000000000001</v>
      </c>
      <c r="DL208">
        <v>128.5</v>
      </c>
      <c r="DM208" s="187">
        <v>26.12</v>
      </c>
      <c r="DN208">
        <v>159.94999999999999</v>
      </c>
      <c r="DO208">
        <v>2</v>
      </c>
      <c r="DP208">
        <v>98.37</v>
      </c>
      <c r="DQ208">
        <v>90.04</v>
      </c>
      <c r="DR208" s="187">
        <v>31.49</v>
      </c>
      <c r="DS208">
        <v>129.77000000000001</v>
      </c>
      <c r="DT208">
        <v>674</v>
      </c>
      <c r="DU208">
        <v>97.34</v>
      </c>
      <c r="DV208">
        <v>89.51</v>
      </c>
      <c r="DW208" s="187">
        <v>31.97</v>
      </c>
      <c r="DX208">
        <v>128.61000000000001</v>
      </c>
      <c r="DY208">
        <v>735</v>
      </c>
      <c r="DZ208">
        <v>0</v>
      </c>
      <c r="EA208">
        <v>0</v>
      </c>
      <c r="EB208" s="187">
        <v>110.77</v>
      </c>
      <c r="EC208">
        <v>1</v>
      </c>
      <c r="ED208">
        <v>112.41</v>
      </c>
      <c r="EE208">
        <v>300</v>
      </c>
      <c r="EF208">
        <v>139.55000000000001</v>
      </c>
      <c r="EG208" s="187">
        <v>377</v>
      </c>
      <c r="EH208">
        <v>161.79</v>
      </c>
      <c r="EI208">
        <v>141</v>
      </c>
      <c r="EJ208">
        <v>209.15</v>
      </c>
      <c r="EK208">
        <v>18</v>
      </c>
      <c r="EL208" s="187">
        <v>0</v>
      </c>
      <c r="EM208">
        <v>0</v>
      </c>
      <c r="EN208">
        <v>0</v>
      </c>
      <c r="EO208">
        <v>0</v>
      </c>
      <c r="EP208">
        <v>135.03</v>
      </c>
      <c r="EQ208" s="187">
        <v>837</v>
      </c>
      <c r="ER208">
        <v>135.03</v>
      </c>
      <c r="ES208">
        <v>837</v>
      </c>
      <c r="ET208">
        <v>0</v>
      </c>
      <c r="EU208">
        <v>0</v>
      </c>
      <c r="EV208" s="187">
        <v>194.06</v>
      </c>
      <c r="EW208">
        <v>75</v>
      </c>
      <c r="EX208">
        <v>105.58</v>
      </c>
      <c r="EY208">
        <v>7</v>
      </c>
      <c r="EZ208">
        <v>119.39</v>
      </c>
      <c r="FA208" s="187">
        <v>1</v>
      </c>
      <c r="FB208">
        <v>0</v>
      </c>
      <c r="FC208">
        <v>0</v>
      </c>
      <c r="FD208">
        <v>0</v>
      </c>
      <c r="FE208">
        <v>0</v>
      </c>
      <c r="FF208" s="187">
        <v>185.7</v>
      </c>
      <c r="FG208">
        <v>83</v>
      </c>
      <c r="FH208">
        <v>185.7</v>
      </c>
      <c r="FI208">
        <v>83</v>
      </c>
      <c r="FJ208">
        <v>0</v>
      </c>
      <c r="FK208" s="187">
        <v>2</v>
      </c>
      <c r="FL208">
        <v>2</v>
      </c>
      <c r="FM208">
        <v>14</v>
      </c>
      <c r="FN208">
        <v>28</v>
      </c>
    </row>
    <row r="209" spans="1:170" x14ac:dyDescent="0.35">
      <c r="A209" t="s">
        <v>804</v>
      </c>
      <c r="B209" t="s">
        <v>805</v>
      </c>
      <c r="C209" t="s">
        <v>418</v>
      </c>
      <c r="D209">
        <v>10235</v>
      </c>
      <c r="E209">
        <v>10278</v>
      </c>
      <c r="F209">
        <v>0</v>
      </c>
      <c r="G209">
        <v>0</v>
      </c>
      <c r="H209">
        <v>679</v>
      </c>
      <c r="I209">
        <v>408</v>
      </c>
      <c r="J209">
        <v>1104</v>
      </c>
      <c r="K209">
        <v>1104</v>
      </c>
      <c r="L209">
        <v>677</v>
      </c>
      <c r="M209">
        <v>11</v>
      </c>
      <c r="N209">
        <v>12695</v>
      </c>
      <c r="O209">
        <v>11801</v>
      </c>
      <c r="P209">
        <v>12018</v>
      </c>
      <c r="Q209">
        <v>1</v>
      </c>
      <c r="R209">
        <v>11</v>
      </c>
      <c r="S209">
        <v>23</v>
      </c>
      <c r="T209">
        <v>108</v>
      </c>
      <c r="U209">
        <v>12587</v>
      </c>
      <c r="V209" s="498">
        <v>10213</v>
      </c>
      <c r="W209">
        <v>76</v>
      </c>
      <c r="X209" s="498">
        <v>141</v>
      </c>
      <c r="Y209" s="498">
        <v>217</v>
      </c>
      <c r="Z209" s="498">
        <v>80.72</v>
      </c>
      <c r="AA209" s="498">
        <v>79.790000000000006</v>
      </c>
      <c r="AB209">
        <v>5.71</v>
      </c>
      <c r="AC209">
        <v>83.9</v>
      </c>
      <c r="AD209">
        <v>8756</v>
      </c>
      <c r="AE209">
        <v>82.62</v>
      </c>
      <c r="AF209">
        <v>72.11</v>
      </c>
      <c r="AG209">
        <v>52.04</v>
      </c>
      <c r="AH209">
        <v>130.30000000000001</v>
      </c>
      <c r="AI209">
        <v>1599</v>
      </c>
      <c r="AJ209">
        <v>108.31</v>
      </c>
      <c r="AK209">
        <v>1448</v>
      </c>
      <c r="AL209">
        <v>252.96</v>
      </c>
      <c r="AM209">
        <v>98</v>
      </c>
      <c r="AN209">
        <v>0</v>
      </c>
      <c r="AO209" s="499">
        <v>0</v>
      </c>
      <c r="AP209" s="499">
        <v>0</v>
      </c>
      <c r="AQ209">
        <v>0</v>
      </c>
      <c r="AR209">
        <v>0</v>
      </c>
      <c r="AS209">
        <v>61.87</v>
      </c>
      <c r="AT209">
        <v>59.64</v>
      </c>
      <c r="AU209">
        <v>10.58</v>
      </c>
      <c r="AV209">
        <v>72.11</v>
      </c>
      <c r="AW209">
        <v>62</v>
      </c>
      <c r="AX209">
        <v>68.849999999999994</v>
      </c>
      <c r="AY209">
        <v>68.010000000000005</v>
      </c>
      <c r="AZ209">
        <v>6.72</v>
      </c>
      <c r="BA209">
        <v>74.02</v>
      </c>
      <c r="BB209">
        <v>2644</v>
      </c>
      <c r="BC209">
        <v>80.739999999999995</v>
      </c>
      <c r="BD209">
        <v>79.599999999999994</v>
      </c>
      <c r="BE209">
        <v>6.16</v>
      </c>
      <c r="BF209">
        <v>84.23</v>
      </c>
      <c r="BG209">
        <v>2605</v>
      </c>
      <c r="BH209">
        <v>89.36</v>
      </c>
      <c r="BI209">
        <v>88.67</v>
      </c>
      <c r="BJ209">
        <v>3.39</v>
      </c>
      <c r="BK209">
        <v>90.6</v>
      </c>
      <c r="BL209" s="214">
        <v>3227</v>
      </c>
      <c r="BM209" s="214">
        <v>101.08</v>
      </c>
      <c r="BN209">
        <v>98.51</v>
      </c>
      <c r="BO209" s="187">
        <v>3.64</v>
      </c>
      <c r="BP209" s="214">
        <v>103.16</v>
      </c>
      <c r="BQ209" s="214">
        <v>203</v>
      </c>
      <c r="BR209">
        <v>111.32</v>
      </c>
      <c r="BS209" s="187">
        <v>106.32</v>
      </c>
      <c r="BT209" s="214">
        <v>3.22</v>
      </c>
      <c r="BU209" s="214">
        <v>113.74</v>
      </c>
      <c r="BV209">
        <v>12</v>
      </c>
      <c r="BW209">
        <v>125.08</v>
      </c>
      <c r="BX209" s="214">
        <v>125.48</v>
      </c>
      <c r="BY209" s="214">
        <v>0</v>
      </c>
      <c r="BZ209">
        <v>125.08</v>
      </c>
      <c r="CA209" s="187">
        <v>3</v>
      </c>
      <c r="CB209" s="214">
        <v>80.72</v>
      </c>
      <c r="CC209" s="214">
        <v>79.790000000000006</v>
      </c>
      <c r="CD209">
        <v>5.71</v>
      </c>
      <c r="CE209" s="187">
        <v>83.9</v>
      </c>
      <c r="CF209" s="214">
        <v>8756</v>
      </c>
      <c r="CG209" s="214">
        <v>80.72</v>
      </c>
      <c r="CH209">
        <v>79.790000000000006</v>
      </c>
      <c r="CI209">
        <v>5.71</v>
      </c>
      <c r="CJ209">
        <v>83.9</v>
      </c>
      <c r="CK209">
        <v>8756</v>
      </c>
      <c r="CL209">
        <v>101.9</v>
      </c>
      <c r="CM209">
        <v>65.55</v>
      </c>
      <c r="CN209" s="187">
        <v>100.82</v>
      </c>
      <c r="CO209">
        <v>163.51</v>
      </c>
      <c r="CP209">
        <v>162</v>
      </c>
      <c r="CQ209">
        <v>71.650000000000006</v>
      </c>
      <c r="CR209">
        <v>62.85</v>
      </c>
      <c r="CS209" s="187">
        <v>31.45</v>
      </c>
      <c r="CT209">
        <v>103.1</v>
      </c>
      <c r="CU209">
        <v>148</v>
      </c>
      <c r="CV209">
        <v>79.17</v>
      </c>
      <c r="CW209">
        <v>72.33</v>
      </c>
      <c r="CX209" s="187">
        <v>47.02</v>
      </c>
      <c r="CY209">
        <v>124.16</v>
      </c>
      <c r="CZ209">
        <v>1134</v>
      </c>
      <c r="DA209">
        <v>97.61</v>
      </c>
      <c r="DB209">
        <v>84.45</v>
      </c>
      <c r="DC209" s="187">
        <v>79.77</v>
      </c>
      <c r="DD209">
        <v>165.12</v>
      </c>
      <c r="DE209">
        <v>117</v>
      </c>
      <c r="DF209">
        <v>100.82</v>
      </c>
      <c r="DG209">
        <v>92.28</v>
      </c>
      <c r="DH209" s="187">
        <v>82.54</v>
      </c>
      <c r="DI209">
        <v>173.93</v>
      </c>
      <c r="DJ209">
        <v>35</v>
      </c>
      <c r="DK209">
        <v>93.15</v>
      </c>
      <c r="DL209">
        <v>84.67</v>
      </c>
      <c r="DM209" s="187">
        <v>40.340000000000003</v>
      </c>
      <c r="DN209">
        <v>133.49</v>
      </c>
      <c r="DO209">
        <v>3</v>
      </c>
      <c r="DP209">
        <v>80.45</v>
      </c>
      <c r="DQ209">
        <v>72.55</v>
      </c>
      <c r="DR209" s="187">
        <v>48.5</v>
      </c>
      <c r="DS209">
        <v>126.56</v>
      </c>
      <c r="DT209">
        <v>1437</v>
      </c>
      <c r="DU209">
        <v>82.62</v>
      </c>
      <c r="DV209">
        <v>72.11</v>
      </c>
      <c r="DW209" s="187">
        <v>52.04</v>
      </c>
      <c r="DX209">
        <v>130.30000000000001</v>
      </c>
      <c r="DY209">
        <v>1599</v>
      </c>
      <c r="DZ209">
        <v>0</v>
      </c>
      <c r="EA209">
        <v>0</v>
      </c>
      <c r="EB209" s="187">
        <v>0</v>
      </c>
      <c r="EC209">
        <v>0</v>
      </c>
      <c r="ED209">
        <v>87.01</v>
      </c>
      <c r="EE209">
        <v>150</v>
      </c>
      <c r="EF209">
        <v>105.71</v>
      </c>
      <c r="EG209" s="187">
        <v>806</v>
      </c>
      <c r="EH209">
        <v>117.35</v>
      </c>
      <c r="EI209">
        <v>448</v>
      </c>
      <c r="EJ209">
        <v>136.71</v>
      </c>
      <c r="EK209">
        <v>43</v>
      </c>
      <c r="EL209" s="187">
        <v>122.48</v>
      </c>
      <c r="EM209">
        <v>1</v>
      </c>
      <c r="EN209">
        <v>0</v>
      </c>
      <c r="EO209">
        <v>0</v>
      </c>
      <c r="EP209">
        <v>108.31</v>
      </c>
      <c r="EQ209" s="187">
        <v>1448</v>
      </c>
      <c r="ER209">
        <v>108.31</v>
      </c>
      <c r="ES209">
        <v>1448</v>
      </c>
      <c r="ET209">
        <v>269.85000000000002</v>
      </c>
      <c r="EU209">
        <v>8</v>
      </c>
      <c r="EV209" s="187">
        <v>423.08</v>
      </c>
      <c r="EW209">
        <v>14</v>
      </c>
      <c r="EX209">
        <v>265.95999999999998</v>
      </c>
      <c r="EY209">
        <v>32</v>
      </c>
      <c r="EZ209">
        <v>185.29</v>
      </c>
      <c r="FA209" s="187">
        <v>43</v>
      </c>
      <c r="FB209">
        <v>229.55</v>
      </c>
      <c r="FC209">
        <v>1</v>
      </c>
      <c r="FD209">
        <v>0</v>
      </c>
      <c r="FE209">
        <v>0</v>
      </c>
      <c r="FF209" s="187">
        <v>251.45</v>
      </c>
      <c r="FG209">
        <v>90</v>
      </c>
      <c r="FH209">
        <v>252.96</v>
      </c>
      <c r="FI209">
        <v>98</v>
      </c>
      <c r="FJ209">
        <v>5</v>
      </c>
      <c r="FK209" s="187">
        <v>52</v>
      </c>
      <c r="FL209">
        <v>9</v>
      </c>
      <c r="FM209">
        <v>99</v>
      </c>
      <c r="FN209">
        <v>11</v>
      </c>
    </row>
    <row r="210" spans="1:170" x14ac:dyDescent="0.35">
      <c r="A210" t="s">
        <v>806</v>
      </c>
      <c r="B210" t="s">
        <v>807</v>
      </c>
      <c r="C210" t="s">
        <v>2</v>
      </c>
      <c r="D210">
        <v>3755</v>
      </c>
      <c r="E210">
        <v>3580</v>
      </c>
      <c r="F210">
        <v>16</v>
      </c>
      <c r="G210">
        <v>0</v>
      </c>
      <c r="H210">
        <v>307</v>
      </c>
      <c r="I210">
        <v>123</v>
      </c>
      <c r="J210">
        <v>561</v>
      </c>
      <c r="K210">
        <v>561</v>
      </c>
      <c r="L210">
        <v>956</v>
      </c>
      <c r="M210">
        <v>291</v>
      </c>
      <c r="N210">
        <v>5595</v>
      </c>
      <c r="O210">
        <v>4555</v>
      </c>
      <c r="P210">
        <v>4639</v>
      </c>
      <c r="Q210">
        <v>3</v>
      </c>
      <c r="R210">
        <v>10</v>
      </c>
      <c r="S210">
        <v>30</v>
      </c>
      <c r="T210">
        <v>303</v>
      </c>
      <c r="U210">
        <v>5292</v>
      </c>
      <c r="V210" s="498">
        <v>3600</v>
      </c>
      <c r="W210">
        <v>46</v>
      </c>
      <c r="X210" s="498">
        <v>7</v>
      </c>
      <c r="Y210" s="498">
        <v>53</v>
      </c>
      <c r="Z210" s="498">
        <v>121.35</v>
      </c>
      <c r="AA210" s="498">
        <v>118.15</v>
      </c>
      <c r="AB210">
        <v>9.58</v>
      </c>
      <c r="AC210">
        <v>130.18</v>
      </c>
      <c r="AD210">
        <v>2865</v>
      </c>
      <c r="AE210">
        <v>107.72</v>
      </c>
      <c r="AF210">
        <v>100.63</v>
      </c>
      <c r="AG210">
        <v>79.7</v>
      </c>
      <c r="AH210">
        <v>185.15</v>
      </c>
      <c r="AI210">
        <v>632</v>
      </c>
      <c r="AJ210">
        <v>174.31</v>
      </c>
      <c r="AK210">
        <v>515</v>
      </c>
      <c r="AL210">
        <v>263.85000000000002</v>
      </c>
      <c r="AM210">
        <v>104</v>
      </c>
      <c r="AN210">
        <v>0</v>
      </c>
      <c r="AO210" s="499">
        <v>0</v>
      </c>
      <c r="AP210" s="499">
        <v>0</v>
      </c>
      <c r="AQ210">
        <v>0</v>
      </c>
      <c r="AR210">
        <v>0</v>
      </c>
      <c r="AS210">
        <v>80.03</v>
      </c>
      <c r="AT210">
        <v>76.22</v>
      </c>
      <c r="AU210">
        <v>9.5500000000000007</v>
      </c>
      <c r="AV210">
        <v>89.59</v>
      </c>
      <c r="AW210">
        <v>27</v>
      </c>
      <c r="AX210">
        <v>98.97</v>
      </c>
      <c r="AY210">
        <v>95.92</v>
      </c>
      <c r="AZ210">
        <v>13.52</v>
      </c>
      <c r="BA210">
        <v>112.3</v>
      </c>
      <c r="BB210">
        <v>502</v>
      </c>
      <c r="BC210">
        <v>117.68</v>
      </c>
      <c r="BD210">
        <v>114.43</v>
      </c>
      <c r="BE210">
        <v>10.59</v>
      </c>
      <c r="BF210">
        <v>127.74</v>
      </c>
      <c r="BG210">
        <v>1307</v>
      </c>
      <c r="BH210">
        <v>136.01</v>
      </c>
      <c r="BI210">
        <v>132.72</v>
      </c>
      <c r="BJ210">
        <v>6.05</v>
      </c>
      <c r="BK210">
        <v>141.21</v>
      </c>
      <c r="BL210" s="214">
        <v>904</v>
      </c>
      <c r="BM210" s="214">
        <v>151.82</v>
      </c>
      <c r="BN210">
        <v>148.76</v>
      </c>
      <c r="BO210" s="187">
        <v>5.19</v>
      </c>
      <c r="BP210" s="214">
        <v>156.08000000000001</v>
      </c>
      <c r="BQ210" s="214">
        <v>112</v>
      </c>
      <c r="BR210">
        <v>151.86000000000001</v>
      </c>
      <c r="BS210" s="187">
        <v>151.19</v>
      </c>
      <c r="BT210" s="214">
        <v>3.54</v>
      </c>
      <c r="BU210" s="214">
        <v>154.62</v>
      </c>
      <c r="BV210">
        <v>9</v>
      </c>
      <c r="BW210">
        <v>171.08</v>
      </c>
      <c r="BX210" s="214">
        <v>185.09</v>
      </c>
      <c r="BY210" s="214">
        <v>0</v>
      </c>
      <c r="BZ210">
        <v>171.08</v>
      </c>
      <c r="CA210" s="187">
        <v>4</v>
      </c>
      <c r="CB210" s="214">
        <v>121.35</v>
      </c>
      <c r="CC210" s="214">
        <v>118.15</v>
      </c>
      <c r="CD210">
        <v>9.58</v>
      </c>
      <c r="CE210" s="187">
        <v>130.18</v>
      </c>
      <c r="CF210" s="214">
        <v>2865</v>
      </c>
      <c r="CG210" s="214">
        <v>121.35</v>
      </c>
      <c r="CH210">
        <v>118.15</v>
      </c>
      <c r="CI210">
        <v>9.58</v>
      </c>
      <c r="CJ210">
        <v>130.18</v>
      </c>
      <c r="CK210">
        <v>2865</v>
      </c>
      <c r="CL210">
        <v>96.35</v>
      </c>
      <c r="CM210">
        <v>83.23</v>
      </c>
      <c r="CN210" s="187">
        <v>166.72</v>
      </c>
      <c r="CO210">
        <v>240.13</v>
      </c>
      <c r="CP210">
        <v>109</v>
      </c>
      <c r="CQ210">
        <v>84.33</v>
      </c>
      <c r="CR210">
        <v>83.27</v>
      </c>
      <c r="CS210" s="187">
        <v>50.59</v>
      </c>
      <c r="CT210">
        <v>134.36000000000001</v>
      </c>
      <c r="CU210">
        <v>91</v>
      </c>
      <c r="CV210">
        <v>113.52</v>
      </c>
      <c r="CW210">
        <v>106.72</v>
      </c>
      <c r="CX210" s="187">
        <v>69.739999999999995</v>
      </c>
      <c r="CY210">
        <v>183.07</v>
      </c>
      <c r="CZ210">
        <v>367</v>
      </c>
      <c r="DA210">
        <v>125.17</v>
      </c>
      <c r="DB210">
        <v>116.54</v>
      </c>
      <c r="DC210" s="187">
        <v>44.41</v>
      </c>
      <c r="DD210">
        <v>169.59</v>
      </c>
      <c r="DE210">
        <v>60</v>
      </c>
      <c r="DF210">
        <v>146.49</v>
      </c>
      <c r="DG210">
        <v>105.27</v>
      </c>
      <c r="DH210" s="187">
        <v>130.52000000000001</v>
      </c>
      <c r="DI210">
        <v>277.01</v>
      </c>
      <c r="DJ210">
        <v>4</v>
      </c>
      <c r="DK210">
        <v>146.72</v>
      </c>
      <c r="DL210">
        <v>146.72</v>
      </c>
      <c r="DM210" s="187">
        <v>0</v>
      </c>
      <c r="DN210">
        <v>146.72</v>
      </c>
      <c r="DO210">
        <v>1</v>
      </c>
      <c r="DP210">
        <v>110.09</v>
      </c>
      <c r="DQ210">
        <v>103.83</v>
      </c>
      <c r="DR210" s="187">
        <v>63.97</v>
      </c>
      <c r="DS210">
        <v>173.7</v>
      </c>
      <c r="DT210">
        <v>523</v>
      </c>
      <c r="DU210">
        <v>107.72</v>
      </c>
      <c r="DV210">
        <v>100.63</v>
      </c>
      <c r="DW210" s="187">
        <v>79.7</v>
      </c>
      <c r="DX210">
        <v>185.15</v>
      </c>
      <c r="DY210">
        <v>632</v>
      </c>
      <c r="DZ210">
        <v>0</v>
      </c>
      <c r="EA210">
        <v>0</v>
      </c>
      <c r="EB210" s="187">
        <v>128.97999999999999</v>
      </c>
      <c r="EC210">
        <v>2</v>
      </c>
      <c r="ED210">
        <v>158.29</v>
      </c>
      <c r="EE210">
        <v>192</v>
      </c>
      <c r="EF210">
        <v>180.32</v>
      </c>
      <c r="EG210" s="187">
        <v>264</v>
      </c>
      <c r="EH210">
        <v>197.59</v>
      </c>
      <c r="EI210">
        <v>53</v>
      </c>
      <c r="EJ210">
        <v>261.22000000000003</v>
      </c>
      <c r="EK210">
        <v>4</v>
      </c>
      <c r="EL210" s="187">
        <v>0</v>
      </c>
      <c r="EM210">
        <v>0</v>
      </c>
      <c r="EN210">
        <v>0</v>
      </c>
      <c r="EO210">
        <v>0</v>
      </c>
      <c r="EP210">
        <v>174.31</v>
      </c>
      <c r="EQ210" s="187">
        <v>515</v>
      </c>
      <c r="ER210">
        <v>174.31</v>
      </c>
      <c r="ES210">
        <v>515</v>
      </c>
      <c r="ET210">
        <v>0</v>
      </c>
      <c r="EU210">
        <v>0</v>
      </c>
      <c r="EV210" s="187">
        <v>0</v>
      </c>
      <c r="EW210">
        <v>0</v>
      </c>
      <c r="EX210">
        <v>245.48</v>
      </c>
      <c r="EY210">
        <v>76</v>
      </c>
      <c r="EZ210">
        <v>313.68</v>
      </c>
      <c r="FA210" s="187">
        <v>28</v>
      </c>
      <c r="FB210">
        <v>0</v>
      </c>
      <c r="FC210">
        <v>0</v>
      </c>
      <c r="FD210">
        <v>0</v>
      </c>
      <c r="FE210">
        <v>0</v>
      </c>
      <c r="FF210" s="187">
        <v>263.85000000000002</v>
      </c>
      <c r="FG210">
        <v>104</v>
      </c>
      <c r="FH210">
        <v>263.85000000000002</v>
      </c>
      <c r="FI210">
        <v>104</v>
      </c>
      <c r="FJ210">
        <v>20</v>
      </c>
      <c r="FK210" s="187">
        <v>3</v>
      </c>
      <c r="FL210">
        <v>3</v>
      </c>
      <c r="FM210">
        <v>44</v>
      </c>
      <c r="FN210">
        <v>41</v>
      </c>
    </row>
    <row r="211" spans="1:170" x14ac:dyDescent="0.35">
      <c r="A211" t="s">
        <v>808</v>
      </c>
      <c r="B211" t="s">
        <v>809</v>
      </c>
      <c r="C211" t="s">
        <v>416</v>
      </c>
      <c r="D211">
        <v>3515</v>
      </c>
      <c r="E211">
        <v>3385</v>
      </c>
      <c r="F211">
        <v>0</v>
      </c>
      <c r="G211">
        <v>0</v>
      </c>
      <c r="H211">
        <v>309</v>
      </c>
      <c r="I211">
        <v>197</v>
      </c>
      <c r="J211">
        <v>1094</v>
      </c>
      <c r="K211">
        <v>950</v>
      </c>
      <c r="L211">
        <v>790</v>
      </c>
      <c r="M211">
        <v>194</v>
      </c>
      <c r="N211">
        <v>5708</v>
      </c>
      <c r="O211">
        <v>4726</v>
      </c>
      <c r="P211">
        <v>4918</v>
      </c>
      <c r="Q211">
        <v>36</v>
      </c>
      <c r="R211">
        <v>5</v>
      </c>
      <c r="S211">
        <v>31</v>
      </c>
      <c r="T211">
        <v>305</v>
      </c>
      <c r="U211">
        <v>5403</v>
      </c>
      <c r="V211" s="498">
        <v>3384</v>
      </c>
      <c r="W211">
        <v>58</v>
      </c>
      <c r="X211" s="498">
        <v>9</v>
      </c>
      <c r="Y211" s="498">
        <v>67</v>
      </c>
      <c r="Z211" s="498">
        <v>126.82</v>
      </c>
      <c r="AA211" s="498">
        <v>126.14</v>
      </c>
      <c r="AB211">
        <v>12.46</v>
      </c>
      <c r="AC211">
        <v>134.44999999999999</v>
      </c>
      <c r="AD211">
        <v>2846</v>
      </c>
      <c r="AE211">
        <v>106.16</v>
      </c>
      <c r="AF211">
        <v>97.94</v>
      </c>
      <c r="AG211">
        <v>57.25</v>
      </c>
      <c r="AH211">
        <v>163.04</v>
      </c>
      <c r="AI211">
        <v>1229</v>
      </c>
      <c r="AJ211">
        <v>194.77</v>
      </c>
      <c r="AK211">
        <v>389</v>
      </c>
      <c r="AL211">
        <v>139.74</v>
      </c>
      <c r="AM211">
        <v>53</v>
      </c>
      <c r="AN211">
        <v>0</v>
      </c>
      <c r="AO211" s="499">
        <v>0</v>
      </c>
      <c r="AP211" s="499">
        <v>0</v>
      </c>
      <c r="AQ211">
        <v>0</v>
      </c>
      <c r="AR211">
        <v>0</v>
      </c>
      <c r="AS211">
        <v>91.51</v>
      </c>
      <c r="AT211">
        <v>86.71</v>
      </c>
      <c r="AU211">
        <v>5.21</v>
      </c>
      <c r="AV211">
        <v>95.98</v>
      </c>
      <c r="AW211">
        <v>28</v>
      </c>
      <c r="AX211">
        <v>102.88</v>
      </c>
      <c r="AY211">
        <v>101.17</v>
      </c>
      <c r="AZ211">
        <v>15.59</v>
      </c>
      <c r="BA211">
        <v>116.13</v>
      </c>
      <c r="BB211">
        <v>380</v>
      </c>
      <c r="BC211">
        <v>121.85</v>
      </c>
      <c r="BD211">
        <v>120.78</v>
      </c>
      <c r="BE211">
        <v>13.29</v>
      </c>
      <c r="BF211">
        <v>130.72</v>
      </c>
      <c r="BG211">
        <v>1328</v>
      </c>
      <c r="BH211">
        <v>138.80000000000001</v>
      </c>
      <c r="BI211">
        <v>137.97</v>
      </c>
      <c r="BJ211">
        <v>9.48</v>
      </c>
      <c r="BK211">
        <v>143.01</v>
      </c>
      <c r="BL211" s="214">
        <v>924</v>
      </c>
      <c r="BM211" s="214">
        <v>156.76</v>
      </c>
      <c r="BN211">
        <v>161.51</v>
      </c>
      <c r="BO211" s="187">
        <v>9.1199999999999992</v>
      </c>
      <c r="BP211" s="214">
        <v>161.76</v>
      </c>
      <c r="BQ211" s="214">
        <v>168</v>
      </c>
      <c r="BR211">
        <v>160.24</v>
      </c>
      <c r="BS211" s="187">
        <v>172.37</v>
      </c>
      <c r="BT211" s="214">
        <v>4.32</v>
      </c>
      <c r="BU211" s="214">
        <v>161.91999999999999</v>
      </c>
      <c r="BV211">
        <v>18</v>
      </c>
      <c r="BW211">
        <v>0</v>
      </c>
      <c r="BX211" s="214">
        <v>0</v>
      </c>
      <c r="BY211" s="214">
        <v>0</v>
      </c>
      <c r="BZ211">
        <v>0</v>
      </c>
      <c r="CA211" s="187">
        <v>0</v>
      </c>
      <c r="CB211" s="214">
        <v>126.82</v>
      </c>
      <c r="CC211" s="214">
        <v>126.14</v>
      </c>
      <c r="CD211">
        <v>12.46</v>
      </c>
      <c r="CE211" s="187">
        <v>134.44999999999999</v>
      </c>
      <c r="CF211" s="214">
        <v>2846</v>
      </c>
      <c r="CG211" s="214">
        <v>126.82</v>
      </c>
      <c r="CH211">
        <v>126.14</v>
      </c>
      <c r="CI211">
        <v>12.46</v>
      </c>
      <c r="CJ211">
        <v>134.44999999999999</v>
      </c>
      <c r="CK211">
        <v>2846</v>
      </c>
      <c r="CL211">
        <v>122.57</v>
      </c>
      <c r="CM211">
        <v>94.43</v>
      </c>
      <c r="CN211" s="187">
        <v>60.39</v>
      </c>
      <c r="CO211">
        <v>182.96</v>
      </c>
      <c r="CP211">
        <v>97</v>
      </c>
      <c r="CQ211">
        <v>88.69</v>
      </c>
      <c r="CR211">
        <v>83.64</v>
      </c>
      <c r="CS211" s="187">
        <v>101.11</v>
      </c>
      <c r="CT211">
        <v>186.54</v>
      </c>
      <c r="CU211">
        <v>93</v>
      </c>
      <c r="CV211">
        <v>104.59</v>
      </c>
      <c r="CW211">
        <v>97.87</v>
      </c>
      <c r="CX211" s="187">
        <v>53.58</v>
      </c>
      <c r="CY211">
        <v>157.94</v>
      </c>
      <c r="CZ211">
        <v>959</v>
      </c>
      <c r="DA211">
        <v>124.34</v>
      </c>
      <c r="DB211">
        <v>116.3</v>
      </c>
      <c r="DC211" s="187">
        <v>50.63</v>
      </c>
      <c r="DD211">
        <v>174.97</v>
      </c>
      <c r="DE211">
        <v>69</v>
      </c>
      <c r="DF211">
        <v>131.63999999999999</v>
      </c>
      <c r="DG211">
        <v>137.74</v>
      </c>
      <c r="DH211" s="187">
        <v>31.07</v>
      </c>
      <c r="DI211">
        <v>162.71</v>
      </c>
      <c r="DJ211">
        <v>9</v>
      </c>
      <c r="DK211">
        <v>136.97999999999999</v>
      </c>
      <c r="DL211">
        <v>128.28</v>
      </c>
      <c r="DM211" s="187">
        <v>3.17</v>
      </c>
      <c r="DN211">
        <v>138.56</v>
      </c>
      <c r="DO211">
        <v>2</v>
      </c>
      <c r="DP211">
        <v>104.76</v>
      </c>
      <c r="DQ211">
        <v>98.19</v>
      </c>
      <c r="DR211" s="187">
        <v>56.98</v>
      </c>
      <c r="DS211">
        <v>161.34</v>
      </c>
      <c r="DT211">
        <v>1132</v>
      </c>
      <c r="DU211">
        <v>106.16</v>
      </c>
      <c r="DV211">
        <v>97.94</v>
      </c>
      <c r="DW211" s="187">
        <v>57.25</v>
      </c>
      <c r="DX211">
        <v>163.04</v>
      </c>
      <c r="DY211">
        <v>1229</v>
      </c>
      <c r="DZ211">
        <v>0</v>
      </c>
      <c r="EA211">
        <v>0</v>
      </c>
      <c r="EB211" s="187">
        <v>158.94</v>
      </c>
      <c r="EC211">
        <v>2</v>
      </c>
      <c r="ED211">
        <v>156.04</v>
      </c>
      <c r="EE211">
        <v>88</v>
      </c>
      <c r="EF211">
        <v>187.83</v>
      </c>
      <c r="EG211" s="187">
        <v>190</v>
      </c>
      <c r="EH211">
        <v>236.95</v>
      </c>
      <c r="EI211">
        <v>99</v>
      </c>
      <c r="EJ211">
        <v>257.01</v>
      </c>
      <c r="EK211">
        <v>10</v>
      </c>
      <c r="EL211" s="187">
        <v>0</v>
      </c>
      <c r="EM211">
        <v>0</v>
      </c>
      <c r="EN211">
        <v>0</v>
      </c>
      <c r="EO211">
        <v>0</v>
      </c>
      <c r="EP211">
        <v>194.77</v>
      </c>
      <c r="EQ211" s="187">
        <v>389</v>
      </c>
      <c r="ER211">
        <v>194.77</v>
      </c>
      <c r="ES211">
        <v>389</v>
      </c>
      <c r="ET211">
        <v>0</v>
      </c>
      <c r="EU211">
        <v>0</v>
      </c>
      <c r="EV211" s="187">
        <v>0</v>
      </c>
      <c r="EW211">
        <v>0</v>
      </c>
      <c r="EX211">
        <v>139.74</v>
      </c>
      <c r="EY211">
        <v>53</v>
      </c>
      <c r="EZ211">
        <v>0</v>
      </c>
      <c r="FA211" s="187">
        <v>0</v>
      </c>
      <c r="FB211">
        <v>0</v>
      </c>
      <c r="FC211">
        <v>0</v>
      </c>
      <c r="FD211">
        <v>0</v>
      </c>
      <c r="FE211">
        <v>0</v>
      </c>
      <c r="FF211" s="187">
        <v>139.74</v>
      </c>
      <c r="FG211">
        <v>53</v>
      </c>
      <c r="FH211">
        <v>139.74</v>
      </c>
      <c r="FI211">
        <v>53</v>
      </c>
      <c r="FJ211">
        <v>0</v>
      </c>
      <c r="FK211" s="187">
        <v>2</v>
      </c>
      <c r="FL211">
        <v>0</v>
      </c>
      <c r="FM211">
        <v>39</v>
      </c>
      <c r="FN211">
        <v>33</v>
      </c>
    </row>
    <row r="212" spans="1:170" x14ac:dyDescent="0.35">
      <c r="A212" t="s">
        <v>810</v>
      </c>
      <c r="B212" t="s">
        <v>811</v>
      </c>
      <c r="C212" t="s">
        <v>417</v>
      </c>
      <c r="D212">
        <v>11452</v>
      </c>
      <c r="E212">
        <v>11512</v>
      </c>
      <c r="F212">
        <v>0</v>
      </c>
      <c r="G212">
        <v>0</v>
      </c>
      <c r="H212">
        <v>289</v>
      </c>
      <c r="I212">
        <v>198</v>
      </c>
      <c r="J212">
        <v>635</v>
      </c>
      <c r="K212">
        <v>610</v>
      </c>
      <c r="L212">
        <v>316</v>
      </c>
      <c r="M212">
        <v>0</v>
      </c>
      <c r="N212">
        <v>12692</v>
      </c>
      <c r="O212">
        <v>12320</v>
      </c>
      <c r="P212">
        <v>12376</v>
      </c>
      <c r="Q212">
        <v>2</v>
      </c>
      <c r="R212">
        <v>6</v>
      </c>
      <c r="S212">
        <v>18</v>
      </c>
      <c r="T212">
        <v>101</v>
      </c>
      <c r="U212">
        <v>12591</v>
      </c>
      <c r="V212" s="498">
        <v>11452</v>
      </c>
      <c r="W212">
        <v>66</v>
      </c>
      <c r="X212" s="498">
        <v>112</v>
      </c>
      <c r="Y212" s="498">
        <v>178</v>
      </c>
      <c r="Z212" s="498">
        <v>89.47</v>
      </c>
      <c r="AA212" s="498">
        <v>89.64</v>
      </c>
      <c r="AB212">
        <v>4.82</v>
      </c>
      <c r="AC212">
        <v>91.92</v>
      </c>
      <c r="AD212">
        <v>10751</v>
      </c>
      <c r="AE212">
        <v>87.32</v>
      </c>
      <c r="AF212">
        <v>77.27</v>
      </c>
      <c r="AG212">
        <v>53.15</v>
      </c>
      <c r="AH212">
        <v>139.80000000000001</v>
      </c>
      <c r="AI212">
        <v>635</v>
      </c>
      <c r="AJ212">
        <v>109.91</v>
      </c>
      <c r="AK212">
        <v>614</v>
      </c>
      <c r="AL212">
        <v>135.78</v>
      </c>
      <c r="AM212">
        <v>188</v>
      </c>
      <c r="AN212">
        <v>0</v>
      </c>
      <c r="AO212" s="499">
        <v>0</v>
      </c>
      <c r="AP212" s="499">
        <v>0</v>
      </c>
      <c r="AQ212">
        <v>0</v>
      </c>
      <c r="AR212">
        <v>0</v>
      </c>
      <c r="AS212">
        <v>66.040000000000006</v>
      </c>
      <c r="AT212">
        <v>66.040000000000006</v>
      </c>
      <c r="AU212">
        <v>5.73</v>
      </c>
      <c r="AV212">
        <v>71.77</v>
      </c>
      <c r="AW212">
        <v>30</v>
      </c>
      <c r="AX212">
        <v>79.23</v>
      </c>
      <c r="AY212">
        <v>79.180000000000007</v>
      </c>
      <c r="AZ212">
        <v>5.22</v>
      </c>
      <c r="BA212">
        <v>84.3</v>
      </c>
      <c r="BB212">
        <v>2669</v>
      </c>
      <c r="BC212">
        <v>88.16</v>
      </c>
      <c r="BD212">
        <v>88.11</v>
      </c>
      <c r="BE212">
        <v>4.29</v>
      </c>
      <c r="BF212">
        <v>90.57</v>
      </c>
      <c r="BG212">
        <v>4132</v>
      </c>
      <c r="BH212">
        <v>97.45</v>
      </c>
      <c r="BI212">
        <v>97.95</v>
      </c>
      <c r="BJ212">
        <v>5.0999999999999996</v>
      </c>
      <c r="BK212">
        <v>98.11</v>
      </c>
      <c r="BL212" s="214">
        <v>3723</v>
      </c>
      <c r="BM212" s="214">
        <v>107.86</v>
      </c>
      <c r="BN212">
        <v>109.11</v>
      </c>
      <c r="BO212" s="187">
        <v>5.2</v>
      </c>
      <c r="BP212" s="214">
        <v>108.81</v>
      </c>
      <c r="BQ212" s="214">
        <v>176</v>
      </c>
      <c r="BR212">
        <v>113.54</v>
      </c>
      <c r="BS212" s="187">
        <v>117.22</v>
      </c>
      <c r="BT212" s="214">
        <v>0</v>
      </c>
      <c r="BU212" s="214">
        <v>113.54</v>
      </c>
      <c r="BV212">
        <v>20</v>
      </c>
      <c r="BW212">
        <v>129.38999999999999</v>
      </c>
      <c r="BX212" s="214">
        <v>129.38999999999999</v>
      </c>
      <c r="BY212" s="214">
        <v>0</v>
      </c>
      <c r="BZ212">
        <v>129.38999999999999</v>
      </c>
      <c r="CA212" s="187">
        <v>1</v>
      </c>
      <c r="CB212" s="214">
        <v>89.47</v>
      </c>
      <c r="CC212" s="214">
        <v>89.64</v>
      </c>
      <c r="CD212">
        <v>4.82</v>
      </c>
      <c r="CE212" s="187">
        <v>91.92</v>
      </c>
      <c r="CF212" s="214">
        <v>10751</v>
      </c>
      <c r="CG212" s="214">
        <v>89.47</v>
      </c>
      <c r="CH212">
        <v>89.64</v>
      </c>
      <c r="CI212">
        <v>4.82</v>
      </c>
      <c r="CJ212">
        <v>91.92</v>
      </c>
      <c r="CK212">
        <v>10751</v>
      </c>
      <c r="CL212">
        <v>121</v>
      </c>
      <c r="CM212">
        <v>81.98</v>
      </c>
      <c r="CN212" s="187">
        <v>137.57</v>
      </c>
      <c r="CO212">
        <v>258.57</v>
      </c>
      <c r="CP212">
        <v>61</v>
      </c>
      <c r="CQ212">
        <v>71.25</v>
      </c>
      <c r="CR212">
        <v>64.78</v>
      </c>
      <c r="CS212" s="187">
        <v>36.520000000000003</v>
      </c>
      <c r="CT212">
        <v>107.77</v>
      </c>
      <c r="CU212">
        <v>77</v>
      </c>
      <c r="CV212">
        <v>81.48</v>
      </c>
      <c r="CW212">
        <v>75.81</v>
      </c>
      <c r="CX212" s="187">
        <v>37.159999999999997</v>
      </c>
      <c r="CY212">
        <v>117.9</v>
      </c>
      <c r="CZ212">
        <v>355</v>
      </c>
      <c r="DA212">
        <v>94.87</v>
      </c>
      <c r="DB212">
        <v>87.18</v>
      </c>
      <c r="DC212" s="187">
        <v>63.2</v>
      </c>
      <c r="DD212">
        <v>157.61000000000001</v>
      </c>
      <c r="DE212">
        <v>137</v>
      </c>
      <c r="DF212">
        <v>131.76</v>
      </c>
      <c r="DG212">
        <v>92.1</v>
      </c>
      <c r="DH212" s="187">
        <v>119.34</v>
      </c>
      <c r="DI212">
        <v>251.1</v>
      </c>
      <c r="DJ212">
        <v>5</v>
      </c>
      <c r="DK212">
        <v>0</v>
      </c>
      <c r="DL212">
        <v>0</v>
      </c>
      <c r="DM212" s="187">
        <v>0</v>
      </c>
      <c r="DN212">
        <v>0</v>
      </c>
      <c r="DO212">
        <v>0</v>
      </c>
      <c r="DP212">
        <v>83.74</v>
      </c>
      <c r="DQ212">
        <v>76.989999999999995</v>
      </c>
      <c r="DR212" s="187">
        <v>44.06</v>
      </c>
      <c r="DS212">
        <v>127.18</v>
      </c>
      <c r="DT212">
        <v>574</v>
      </c>
      <c r="DU212">
        <v>87.32</v>
      </c>
      <c r="DV212">
        <v>77.27</v>
      </c>
      <c r="DW212" s="187">
        <v>53.15</v>
      </c>
      <c r="DX212">
        <v>139.80000000000001</v>
      </c>
      <c r="DY212">
        <v>635</v>
      </c>
      <c r="DZ212">
        <v>0</v>
      </c>
      <c r="EA212">
        <v>0</v>
      </c>
      <c r="EB212" s="187">
        <v>0</v>
      </c>
      <c r="EC212">
        <v>0</v>
      </c>
      <c r="ED212">
        <v>90.25</v>
      </c>
      <c r="EE212">
        <v>51</v>
      </c>
      <c r="EF212">
        <v>106.68</v>
      </c>
      <c r="EG212" s="187">
        <v>337</v>
      </c>
      <c r="EH212">
        <v>118.61</v>
      </c>
      <c r="EI212">
        <v>213</v>
      </c>
      <c r="EJ212">
        <v>128.47999999999999</v>
      </c>
      <c r="EK212">
        <v>13</v>
      </c>
      <c r="EL212" s="187">
        <v>0</v>
      </c>
      <c r="EM212">
        <v>0</v>
      </c>
      <c r="EN212">
        <v>0</v>
      </c>
      <c r="EO212">
        <v>0</v>
      </c>
      <c r="EP212">
        <v>109.91</v>
      </c>
      <c r="EQ212" s="187">
        <v>614</v>
      </c>
      <c r="ER212">
        <v>109.91</v>
      </c>
      <c r="ES212">
        <v>614</v>
      </c>
      <c r="ET212">
        <v>0</v>
      </c>
      <c r="EU212">
        <v>0</v>
      </c>
      <c r="EV212" s="187">
        <v>0</v>
      </c>
      <c r="EW212">
        <v>0</v>
      </c>
      <c r="EX212">
        <v>143.94</v>
      </c>
      <c r="EY212">
        <v>83</v>
      </c>
      <c r="EZ212">
        <v>130.1</v>
      </c>
      <c r="FA212" s="187">
        <v>97</v>
      </c>
      <c r="FB212">
        <v>120.05</v>
      </c>
      <c r="FC212">
        <v>8</v>
      </c>
      <c r="FD212">
        <v>0</v>
      </c>
      <c r="FE212">
        <v>0</v>
      </c>
      <c r="FF212" s="187">
        <v>135.78</v>
      </c>
      <c r="FG212">
        <v>188</v>
      </c>
      <c r="FH212">
        <v>135.78</v>
      </c>
      <c r="FI212">
        <v>188</v>
      </c>
      <c r="FJ212">
        <v>0</v>
      </c>
      <c r="FK212" s="187">
        <v>42</v>
      </c>
      <c r="FL212">
        <v>5</v>
      </c>
      <c r="FM212">
        <v>23</v>
      </c>
      <c r="FN212">
        <v>8</v>
      </c>
    </row>
    <row r="213" spans="1:170" x14ac:dyDescent="0.35">
      <c r="A213" t="s">
        <v>812</v>
      </c>
      <c r="B213" t="s">
        <v>813</v>
      </c>
      <c r="C213" t="s">
        <v>420</v>
      </c>
      <c r="D213">
        <v>1944</v>
      </c>
      <c r="E213">
        <v>1783</v>
      </c>
      <c r="F213">
        <v>0</v>
      </c>
      <c r="G213">
        <v>0</v>
      </c>
      <c r="H213">
        <v>181</v>
      </c>
      <c r="I213">
        <v>80</v>
      </c>
      <c r="J213">
        <v>180</v>
      </c>
      <c r="K213">
        <v>180</v>
      </c>
      <c r="L213">
        <v>270</v>
      </c>
      <c r="M213">
        <v>11</v>
      </c>
      <c r="N213">
        <v>2575</v>
      </c>
      <c r="O213">
        <v>2054</v>
      </c>
      <c r="P213">
        <v>2305</v>
      </c>
      <c r="Q213">
        <v>0</v>
      </c>
      <c r="R213">
        <v>4</v>
      </c>
      <c r="S213">
        <v>18</v>
      </c>
      <c r="T213">
        <v>225</v>
      </c>
      <c r="U213">
        <v>2350</v>
      </c>
      <c r="V213" s="498">
        <v>1779</v>
      </c>
      <c r="W213">
        <v>13</v>
      </c>
      <c r="X213" s="498">
        <v>2</v>
      </c>
      <c r="Y213" s="498">
        <v>15</v>
      </c>
      <c r="Z213" s="498">
        <v>93.65</v>
      </c>
      <c r="AA213" s="498">
        <v>92.2</v>
      </c>
      <c r="AB213">
        <v>4.76</v>
      </c>
      <c r="AC213">
        <v>97.77</v>
      </c>
      <c r="AD213">
        <v>1532</v>
      </c>
      <c r="AE213">
        <v>115.68</v>
      </c>
      <c r="AF213">
        <v>92.3</v>
      </c>
      <c r="AG213">
        <v>66.66</v>
      </c>
      <c r="AH213">
        <v>177.7</v>
      </c>
      <c r="AI213">
        <v>259</v>
      </c>
      <c r="AJ213">
        <v>123.09</v>
      </c>
      <c r="AK213">
        <v>202</v>
      </c>
      <c r="AL213">
        <v>230.4</v>
      </c>
      <c r="AM213">
        <v>44</v>
      </c>
      <c r="AN213">
        <v>0</v>
      </c>
      <c r="AO213" s="499">
        <v>0</v>
      </c>
      <c r="AP213" s="499">
        <v>0</v>
      </c>
      <c r="AQ213">
        <v>0</v>
      </c>
      <c r="AR213">
        <v>0</v>
      </c>
      <c r="AS213">
        <v>0</v>
      </c>
      <c r="AT213">
        <v>0</v>
      </c>
      <c r="AU213">
        <v>0</v>
      </c>
      <c r="AV213">
        <v>0</v>
      </c>
      <c r="AW213">
        <v>0</v>
      </c>
      <c r="AX213">
        <v>78.61</v>
      </c>
      <c r="AY213">
        <v>77.03</v>
      </c>
      <c r="AZ213">
        <v>5.16</v>
      </c>
      <c r="BA213">
        <v>83.51</v>
      </c>
      <c r="BB213">
        <v>416</v>
      </c>
      <c r="BC213">
        <v>94.13</v>
      </c>
      <c r="BD213">
        <v>92.61</v>
      </c>
      <c r="BE213">
        <v>4.95</v>
      </c>
      <c r="BF213">
        <v>98.63</v>
      </c>
      <c r="BG213">
        <v>767</v>
      </c>
      <c r="BH213">
        <v>106.83</v>
      </c>
      <c r="BI213">
        <v>105.66</v>
      </c>
      <c r="BJ213">
        <v>3.53</v>
      </c>
      <c r="BK213">
        <v>109.28</v>
      </c>
      <c r="BL213" s="214">
        <v>279</v>
      </c>
      <c r="BM213" s="214">
        <v>124.7</v>
      </c>
      <c r="BN213">
        <v>123.53</v>
      </c>
      <c r="BO213" s="187">
        <v>3.39</v>
      </c>
      <c r="BP213" s="214">
        <v>126.69</v>
      </c>
      <c r="BQ213" s="214">
        <v>68</v>
      </c>
      <c r="BR213">
        <v>142.26</v>
      </c>
      <c r="BS213" s="187">
        <v>139.4</v>
      </c>
      <c r="BT213" s="214">
        <v>0</v>
      </c>
      <c r="BU213" s="214">
        <v>142.26</v>
      </c>
      <c r="BV213">
        <v>2</v>
      </c>
      <c r="BW213">
        <v>0</v>
      </c>
      <c r="BX213" s="214">
        <v>0</v>
      </c>
      <c r="BY213" s="214">
        <v>0</v>
      </c>
      <c r="BZ213">
        <v>0</v>
      </c>
      <c r="CA213" s="187">
        <v>0</v>
      </c>
      <c r="CB213" s="214">
        <v>93.65</v>
      </c>
      <c r="CC213" s="214">
        <v>92.2</v>
      </c>
      <c r="CD213">
        <v>4.76</v>
      </c>
      <c r="CE213" s="187">
        <v>97.77</v>
      </c>
      <c r="CF213" s="214">
        <v>1532</v>
      </c>
      <c r="CG213" s="214">
        <v>93.65</v>
      </c>
      <c r="CH213">
        <v>92.2</v>
      </c>
      <c r="CI213">
        <v>4.76</v>
      </c>
      <c r="CJ213">
        <v>97.77</v>
      </c>
      <c r="CK213">
        <v>1532</v>
      </c>
      <c r="CL213">
        <v>77.430000000000007</v>
      </c>
      <c r="CM213">
        <v>67.900000000000006</v>
      </c>
      <c r="CN213" s="187">
        <v>117.26</v>
      </c>
      <c r="CO213">
        <v>190.65</v>
      </c>
      <c r="CP213">
        <v>29</v>
      </c>
      <c r="CQ213">
        <v>83.12</v>
      </c>
      <c r="CR213">
        <v>75.62</v>
      </c>
      <c r="CS213" s="187">
        <v>38.1</v>
      </c>
      <c r="CT213">
        <v>121.22</v>
      </c>
      <c r="CU213">
        <v>14</v>
      </c>
      <c r="CV213">
        <v>125.04</v>
      </c>
      <c r="CW213">
        <v>97.69</v>
      </c>
      <c r="CX213" s="187">
        <v>63.04</v>
      </c>
      <c r="CY213">
        <v>186.19</v>
      </c>
      <c r="CZ213">
        <v>200</v>
      </c>
      <c r="DA213">
        <v>89.78</v>
      </c>
      <c r="DB213">
        <v>83.99</v>
      </c>
      <c r="DC213" s="187">
        <v>3.65</v>
      </c>
      <c r="DD213">
        <v>90.99</v>
      </c>
      <c r="DE213">
        <v>15</v>
      </c>
      <c r="DF213">
        <v>0</v>
      </c>
      <c r="DG213">
        <v>0</v>
      </c>
      <c r="DH213" s="187">
        <v>0</v>
      </c>
      <c r="DI213">
        <v>0</v>
      </c>
      <c r="DJ213">
        <v>0</v>
      </c>
      <c r="DK213">
        <v>195.62</v>
      </c>
      <c r="DL213">
        <v>195.62</v>
      </c>
      <c r="DM213" s="187">
        <v>0</v>
      </c>
      <c r="DN213">
        <v>195.62</v>
      </c>
      <c r="DO213">
        <v>1</v>
      </c>
      <c r="DP213">
        <v>120.5</v>
      </c>
      <c r="DQ213">
        <v>95.45</v>
      </c>
      <c r="DR213" s="187">
        <v>60</v>
      </c>
      <c r="DS213">
        <v>176.07</v>
      </c>
      <c r="DT213">
        <v>230</v>
      </c>
      <c r="DU213">
        <v>115.68</v>
      </c>
      <c r="DV213">
        <v>92.3</v>
      </c>
      <c r="DW213" s="187">
        <v>66.66</v>
      </c>
      <c r="DX213">
        <v>177.7</v>
      </c>
      <c r="DY213">
        <v>259</v>
      </c>
      <c r="DZ213">
        <v>0</v>
      </c>
      <c r="EA213">
        <v>0</v>
      </c>
      <c r="EB213" s="187">
        <v>0</v>
      </c>
      <c r="EC213">
        <v>0</v>
      </c>
      <c r="ED213">
        <v>102.04</v>
      </c>
      <c r="EE213">
        <v>37</v>
      </c>
      <c r="EF213">
        <v>121.6</v>
      </c>
      <c r="EG213" s="187">
        <v>117</v>
      </c>
      <c r="EH213">
        <v>141.4</v>
      </c>
      <c r="EI213">
        <v>41</v>
      </c>
      <c r="EJ213">
        <v>152.01</v>
      </c>
      <c r="EK213">
        <v>7</v>
      </c>
      <c r="EL213" s="187">
        <v>0</v>
      </c>
      <c r="EM213">
        <v>0</v>
      </c>
      <c r="EN213">
        <v>0</v>
      </c>
      <c r="EO213">
        <v>0</v>
      </c>
      <c r="EP213">
        <v>123.09</v>
      </c>
      <c r="EQ213" s="187">
        <v>202</v>
      </c>
      <c r="ER213">
        <v>123.09</v>
      </c>
      <c r="ES213">
        <v>202</v>
      </c>
      <c r="ET213">
        <v>224.31</v>
      </c>
      <c r="EU213">
        <v>2</v>
      </c>
      <c r="EV213" s="187">
        <v>0</v>
      </c>
      <c r="EW213">
        <v>0</v>
      </c>
      <c r="EX213">
        <v>221.82</v>
      </c>
      <c r="EY213">
        <v>21</v>
      </c>
      <c r="EZ213">
        <v>239.57</v>
      </c>
      <c r="FA213" s="187">
        <v>21</v>
      </c>
      <c r="FB213">
        <v>0</v>
      </c>
      <c r="FC213">
        <v>0</v>
      </c>
      <c r="FD213">
        <v>0</v>
      </c>
      <c r="FE213">
        <v>0</v>
      </c>
      <c r="FF213" s="187">
        <v>230.7</v>
      </c>
      <c r="FG213">
        <v>42</v>
      </c>
      <c r="FH213">
        <v>230.4</v>
      </c>
      <c r="FI213">
        <v>44</v>
      </c>
      <c r="FJ213">
        <v>5</v>
      </c>
      <c r="FK213" s="187">
        <v>0</v>
      </c>
      <c r="FL213">
        <v>0</v>
      </c>
      <c r="FM213">
        <v>19</v>
      </c>
      <c r="FN213">
        <v>3</v>
      </c>
    </row>
    <row r="214" spans="1:170" x14ac:dyDescent="0.35">
      <c r="A214" t="s">
        <v>814</v>
      </c>
      <c r="B214" t="s">
        <v>815</v>
      </c>
      <c r="C214" t="s">
        <v>2</v>
      </c>
      <c r="D214">
        <v>6254</v>
      </c>
      <c r="E214">
        <v>6236</v>
      </c>
      <c r="F214">
        <v>0</v>
      </c>
      <c r="G214">
        <v>0</v>
      </c>
      <c r="H214">
        <v>436</v>
      </c>
      <c r="I214">
        <v>97</v>
      </c>
      <c r="J214">
        <v>549</v>
      </c>
      <c r="K214">
        <v>542</v>
      </c>
      <c r="L214">
        <v>974</v>
      </c>
      <c r="M214">
        <v>325</v>
      </c>
      <c r="N214">
        <v>8213</v>
      </c>
      <c r="O214">
        <v>7200</v>
      </c>
      <c r="P214">
        <v>7239</v>
      </c>
      <c r="Q214">
        <v>4</v>
      </c>
      <c r="R214">
        <v>7</v>
      </c>
      <c r="S214">
        <v>27</v>
      </c>
      <c r="T214">
        <v>298</v>
      </c>
      <c r="U214">
        <v>7915</v>
      </c>
      <c r="V214" s="498">
        <v>6243</v>
      </c>
      <c r="W214">
        <v>16</v>
      </c>
      <c r="X214" s="498">
        <v>52</v>
      </c>
      <c r="Y214" s="498">
        <v>68</v>
      </c>
      <c r="Z214" s="498">
        <v>121.32</v>
      </c>
      <c r="AA214" s="498">
        <v>125.26</v>
      </c>
      <c r="AB214">
        <v>4.9400000000000004</v>
      </c>
      <c r="AC214">
        <v>126</v>
      </c>
      <c r="AD214">
        <v>5189</v>
      </c>
      <c r="AE214">
        <v>123.07</v>
      </c>
      <c r="AF214">
        <v>105.89</v>
      </c>
      <c r="AG214">
        <v>36.61</v>
      </c>
      <c r="AH214">
        <v>155.47999999999999</v>
      </c>
      <c r="AI214">
        <v>680</v>
      </c>
      <c r="AJ214">
        <v>157.24</v>
      </c>
      <c r="AK214">
        <v>948</v>
      </c>
      <c r="AL214">
        <v>176.85</v>
      </c>
      <c r="AM214">
        <v>18</v>
      </c>
      <c r="AN214">
        <v>0</v>
      </c>
      <c r="AO214" s="499">
        <v>0</v>
      </c>
      <c r="AP214" s="499">
        <v>0</v>
      </c>
      <c r="AQ214">
        <v>0</v>
      </c>
      <c r="AR214">
        <v>0</v>
      </c>
      <c r="AS214">
        <v>91.84</v>
      </c>
      <c r="AT214">
        <v>98.1</v>
      </c>
      <c r="AU214">
        <v>10.98</v>
      </c>
      <c r="AV214">
        <v>102.81</v>
      </c>
      <c r="AW214">
        <v>116</v>
      </c>
      <c r="AX214">
        <v>101.37</v>
      </c>
      <c r="AY214">
        <v>103.38</v>
      </c>
      <c r="AZ214">
        <v>7.02</v>
      </c>
      <c r="BA214">
        <v>108.38</v>
      </c>
      <c r="BB214">
        <v>1051</v>
      </c>
      <c r="BC214">
        <v>117.44</v>
      </c>
      <c r="BD214">
        <v>120.58</v>
      </c>
      <c r="BE214">
        <v>5.66</v>
      </c>
      <c r="BF214">
        <v>122.92</v>
      </c>
      <c r="BG214">
        <v>1806</v>
      </c>
      <c r="BH214">
        <v>134.35</v>
      </c>
      <c r="BI214">
        <v>138.91999999999999</v>
      </c>
      <c r="BJ214">
        <v>2.82</v>
      </c>
      <c r="BK214">
        <v>136.94</v>
      </c>
      <c r="BL214" s="214">
        <v>2023</v>
      </c>
      <c r="BM214" s="214">
        <v>146.59</v>
      </c>
      <c r="BN214">
        <v>152.46</v>
      </c>
      <c r="BO214" s="187">
        <v>3.51</v>
      </c>
      <c r="BP214" s="214">
        <v>149.18</v>
      </c>
      <c r="BQ214" s="214">
        <v>177</v>
      </c>
      <c r="BR214">
        <v>156.5</v>
      </c>
      <c r="BS214" s="187">
        <v>151.63999999999999</v>
      </c>
      <c r="BT214" s="214">
        <v>1.97</v>
      </c>
      <c r="BU214" s="214">
        <v>158.33000000000001</v>
      </c>
      <c r="BV214">
        <v>14</v>
      </c>
      <c r="BW214">
        <v>166.94</v>
      </c>
      <c r="BX214" s="214">
        <v>169.42</v>
      </c>
      <c r="BY214" s="214">
        <v>1.65</v>
      </c>
      <c r="BZ214">
        <v>168.59</v>
      </c>
      <c r="CA214" s="187">
        <v>2</v>
      </c>
      <c r="CB214" s="214">
        <v>121.32</v>
      </c>
      <c r="CC214" s="214">
        <v>125.26</v>
      </c>
      <c r="CD214">
        <v>4.9400000000000004</v>
      </c>
      <c r="CE214" s="187">
        <v>126</v>
      </c>
      <c r="CF214" s="214">
        <v>5189</v>
      </c>
      <c r="CG214" s="214">
        <v>121.32</v>
      </c>
      <c r="CH214">
        <v>125.26</v>
      </c>
      <c r="CI214">
        <v>4.9400000000000004</v>
      </c>
      <c r="CJ214">
        <v>126</v>
      </c>
      <c r="CK214">
        <v>5189</v>
      </c>
      <c r="CL214">
        <v>142.13</v>
      </c>
      <c r="CM214">
        <v>84.54</v>
      </c>
      <c r="CN214" s="187">
        <v>54.47</v>
      </c>
      <c r="CO214">
        <v>180.53</v>
      </c>
      <c r="CP214">
        <v>122</v>
      </c>
      <c r="CQ214">
        <v>92.9</v>
      </c>
      <c r="CR214">
        <v>98.35</v>
      </c>
      <c r="CS214" s="187">
        <v>20.99</v>
      </c>
      <c r="CT214">
        <v>113.89</v>
      </c>
      <c r="CU214">
        <v>30</v>
      </c>
      <c r="CV214">
        <v>119.79</v>
      </c>
      <c r="CW214">
        <v>106.83</v>
      </c>
      <c r="CX214" s="187">
        <v>35.07</v>
      </c>
      <c r="CY214">
        <v>151.59</v>
      </c>
      <c r="CZ214">
        <v>407</v>
      </c>
      <c r="DA214">
        <v>122.33</v>
      </c>
      <c r="DB214">
        <v>119.46</v>
      </c>
      <c r="DC214" s="187">
        <v>32.35</v>
      </c>
      <c r="DD214">
        <v>153.62</v>
      </c>
      <c r="DE214">
        <v>121</v>
      </c>
      <c r="DF214">
        <v>0</v>
      </c>
      <c r="DG214">
        <v>0</v>
      </c>
      <c r="DH214" s="187">
        <v>0</v>
      </c>
      <c r="DI214">
        <v>0</v>
      </c>
      <c r="DJ214">
        <v>0</v>
      </c>
      <c r="DK214">
        <v>0</v>
      </c>
      <c r="DL214">
        <v>0</v>
      </c>
      <c r="DM214" s="187">
        <v>0</v>
      </c>
      <c r="DN214">
        <v>0</v>
      </c>
      <c r="DO214">
        <v>0</v>
      </c>
      <c r="DP214">
        <v>118.9</v>
      </c>
      <c r="DQ214">
        <v>109.23</v>
      </c>
      <c r="DR214" s="187">
        <v>33.64</v>
      </c>
      <c r="DS214">
        <v>150</v>
      </c>
      <c r="DT214">
        <v>558</v>
      </c>
      <c r="DU214">
        <v>123.07</v>
      </c>
      <c r="DV214">
        <v>105.89</v>
      </c>
      <c r="DW214" s="187">
        <v>36.61</v>
      </c>
      <c r="DX214">
        <v>155.47999999999999</v>
      </c>
      <c r="DY214">
        <v>680</v>
      </c>
      <c r="DZ214">
        <v>0</v>
      </c>
      <c r="EA214">
        <v>0</v>
      </c>
      <c r="EB214" s="187">
        <v>139.88</v>
      </c>
      <c r="EC214">
        <v>5</v>
      </c>
      <c r="ED214">
        <v>130.87</v>
      </c>
      <c r="EE214">
        <v>292</v>
      </c>
      <c r="EF214">
        <v>160.13</v>
      </c>
      <c r="EG214" s="187">
        <v>541</v>
      </c>
      <c r="EH214">
        <v>205.52</v>
      </c>
      <c r="EI214">
        <v>102</v>
      </c>
      <c r="EJ214">
        <v>320.07</v>
      </c>
      <c r="EK214">
        <v>8</v>
      </c>
      <c r="EL214" s="187">
        <v>0</v>
      </c>
      <c r="EM214">
        <v>0</v>
      </c>
      <c r="EN214">
        <v>0</v>
      </c>
      <c r="EO214">
        <v>0</v>
      </c>
      <c r="EP214">
        <v>157.24</v>
      </c>
      <c r="EQ214" s="187">
        <v>948</v>
      </c>
      <c r="ER214">
        <v>157.24</v>
      </c>
      <c r="ES214">
        <v>948</v>
      </c>
      <c r="ET214">
        <v>0</v>
      </c>
      <c r="EU214">
        <v>0</v>
      </c>
      <c r="EV214" s="187">
        <v>0</v>
      </c>
      <c r="EW214">
        <v>0</v>
      </c>
      <c r="EX214">
        <v>160.63999999999999</v>
      </c>
      <c r="EY214">
        <v>7</v>
      </c>
      <c r="EZ214">
        <v>187.16</v>
      </c>
      <c r="FA214" s="187">
        <v>11</v>
      </c>
      <c r="FB214">
        <v>0</v>
      </c>
      <c r="FC214">
        <v>0</v>
      </c>
      <c r="FD214">
        <v>0</v>
      </c>
      <c r="FE214">
        <v>0</v>
      </c>
      <c r="FF214" s="187">
        <v>176.85</v>
      </c>
      <c r="FG214">
        <v>18</v>
      </c>
      <c r="FH214">
        <v>176.85</v>
      </c>
      <c r="FI214">
        <v>18</v>
      </c>
      <c r="FJ214">
        <v>1</v>
      </c>
      <c r="FK214" s="187">
        <v>14</v>
      </c>
      <c r="FL214">
        <v>2</v>
      </c>
      <c r="FM214">
        <v>61</v>
      </c>
      <c r="FN214">
        <v>31</v>
      </c>
    </row>
    <row r="215" spans="1:170" x14ac:dyDescent="0.35">
      <c r="A215" t="s">
        <v>816</v>
      </c>
      <c r="B215" t="s">
        <v>817</v>
      </c>
      <c r="C215" t="s">
        <v>418</v>
      </c>
      <c r="D215">
        <v>1382</v>
      </c>
      <c r="E215">
        <v>1398</v>
      </c>
      <c r="F215">
        <v>0</v>
      </c>
      <c r="G215">
        <v>0</v>
      </c>
      <c r="H215">
        <v>85</v>
      </c>
      <c r="I215">
        <v>48</v>
      </c>
      <c r="J215">
        <v>749</v>
      </c>
      <c r="K215">
        <v>715</v>
      </c>
      <c r="L215">
        <v>520</v>
      </c>
      <c r="M215">
        <v>0</v>
      </c>
      <c r="N215">
        <v>2736</v>
      </c>
      <c r="O215">
        <v>2161</v>
      </c>
      <c r="P215">
        <v>2216</v>
      </c>
      <c r="Q215">
        <v>76</v>
      </c>
      <c r="R215">
        <v>4</v>
      </c>
      <c r="S215">
        <v>19</v>
      </c>
      <c r="T215">
        <v>47</v>
      </c>
      <c r="U215">
        <v>2689</v>
      </c>
      <c r="V215" s="498">
        <v>1382</v>
      </c>
      <c r="W215">
        <v>15</v>
      </c>
      <c r="X215" s="498">
        <v>6</v>
      </c>
      <c r="Y215" s="498">
        <v>21</v>
      </c>
      <c r="Z215" s="498">
        <v>87.54</v>
      </c>
      <c r="AA215" s="498">
        <v>86.74</v>
      </c>
      <c r="AB215">
        <v>4.08</v>
      </c>
      <c r="AC215">
        <v>90.47</v>
      </c>
      <c r="AD215">
        <v>955</v>
      </c>
      <c r="AE215">
        <v>75.66</v>
      </c>
      <c r="AF215">
        <v>71.53</v>
      </c>
      <c r="AG215">
        <v>21.67</v>
      </c>
      <c r="AH215">
        <v>96.38</v>
      </c>
      <c r="AI215">
        <v>775</v>
      </c>
      <c r="AJ215">
        <v>105.81</v>
      </c>
      <c r="AK215">
        <v>425</v>
      </c>
      <c r="AL215">
        <v>137.79</v>
      </c>
      <c r="AM215">
        <v>12</v>
      </c>
      <c r="AN215">
        <v>0</v>
      </c>
      <c r="AO215" s="499">
        <v>0</v>
      </c>
      <c r="AP215" s="499">
        <v>0</v>
      </c>
      <c r="AQ215">
        <v>0</v>
      </c>
      <c r="AR215">
        <v>0</v>
      </c>
      <c r="AS215">
        <v>50.25</v>
      </c>
      <c r="AT215">
        <v>52.38</v>
      </c>
      <c r="AU215">
        <v>9.9700000000000006</v>
      </c>
      <c r="AV215">
        <v>60.22</v>
      </c>
      <c r="AW215">
        <v>2</v>
      </c>
      <c r="AX215">
        <v>73.989999999999995</v>
      </c>
      <c r="AY215">
        <v>73</v>
      </c>
      <c r="AZ215">
        <v>6.51</v>
      </c>
      <c r="BA215">
        <v>80.010000000000005</v>
      </c>
      <c r="BB215">
        <v>197</v>
      </c>
      <c r="BC215">
        <v>87.51</v>
      </c>
      <c r="BD215">
        <v>86.19</v>
      </c>
      <c r="BE215">
        <v>4.2300000000000004</v>
      </c>
      <c r="BF215">
        <v>90.63</v>
      </c>
      <c r="BG215">
        <v>400</v>
      </c>
      <c r="BH215">
        <v>94.61</v>
      </c>
      <c r="BI215">
        <v>94.46</v>
      </c>
      <c r="BJ215">
        <v>1.64</v>
      </c>
      <c r="BK215">
        <v>95.53</v>
      </c>
      <c r="BL215" s="214">
        <v>338</v>
      </c>
      <c r="BM215" s="214">
        <v>108.05</v>
      </c>
      <c r="BN215">
        <v>108.45</v>
      </c>
      <c r="BO215" s="187">
        <v>2.1</v>
      </c>
      <c r="BP215" s="214">
        <v>109.8</v>
      </c>
      <c r="BQ215" s="214">
        <v>18</v>
      </c>
      <c r="BR215">
        <v>0</v>
      </c>
      <c r="BS215" s="187">
        <v>0</v>
      </c>
      <c r="BT215" s="214">
        <v>0</v>
      </c>
      <c r="BU215" s="214">
        <v>0</v>
      </c>
      <c r="BV215">
        <v>0</v>
      </c>
      <c r="BW215">
        <v>0</v>
      </c>
      <c r="BX215" s="214">
        <v>0</v>
      </c>
      <c r="BY215" s="214">
        <v>0</v>
      </c>
      <c r="BZ215">
        <v>0</v>
      </c>
      <c r="CA215" s="187">
        <v>0</v>
      </c>
      <c r="CB215" s="214">
        <v>87.54</v>
      </c>
      <c r="CC215" s="214">
        <v>86.74</v>
      </c>
      <c r="CD215">
        <v>4.08</v>
      </c>
      <c r="CE215" s="187">
        <v>90.47</v>
      </c>
      <c r="CF215" s="214">
        <v>955</v>
      </c>
      <c r="CG215" s="214">
        <v>87.54</v>
      </c>
      <c r="CH215">
        <v>86.74</v>
      </c>
      <c r="CI215">
        <v>4.08</v>
      </c>
      <c r="CJ215">
        <v>90.47</v>
      </c>
      <c r="CK215">
        <v>955</v>
      </c>
      <c r="CL215">
        <v>153.66</v>
      </c>
      <c r="CM215">
        <v>77.430000000000007</v>
      </c>
      <c r="CN215" s="187">
        <v>27.58</v>
      </c>
      <c r="CO215">
        <v>179.27</v>
      </c>
      <c r="CP215">
        <v>28</v>
      </c>
      <c r="CQ215">
        <v>60.24</v>
      </c>
      <c r="CR215">
        <v>59.38</v>
      </c>
      <c r="CS215" s="187">
        <v>29.67</v>
      </c>
      <c r="CT215">
        <v>85.53</v>
      </c>
      <c r="CU215">
        <v>88</v>
      </c>
      <c r="CV215">
        <v>73.28</v>
      </c>
      <c r="CW215">
        <v>71.959999999999994</v>
      </c>
      <c r="CX215" s="187">
        <v>21.32</v>
      </c>
      <c r="CY215">
        <v>93.9</v>
      </c>
      <c r="CZ215">
        <v>575</v>
      </c>
      <c r="DA215">
        <v>81.99</v>
      </c>
      <c r="DB215">
        <v>81.12</v>
      </c>
      <c r="DC215" s="187">
        <v>14.95</v>
      </c>
      <c r="DD215">
        <v>96.95</v>
      </c>
      <c r="DE215">
        <v>83</v>
      </c>
      <c r="DF215">
        <v>90.89</v>
      </c>
      <c r="DG215">
        <v>83.44</v>
      </c>
      <c r="DH215" s="187">
        <v>24.73</v>
      </c>
      <c r="DI215">
        <v>115.62</v>
      </c>
      <c r="DJ215">
        <v>1</v>
      </c>
      <c r="DK215">
        <v>0</v>
      </c>
      <c r="DL215">
        <v>0</v>
      </c>
      <c r="DM215" s="187">
        <v>0</v>
      </c>
      <c r="DN215">
        <v>0</v>
      </c>
      <c r="DO215">
        <v>0</v>
      </c>
      <c r="DP215">
        <v>72.739999999999995</v>
      </c>
      <c r="DQ215">
        <v>71.5</v>
      </c>
      <c r="DR215" s="187">
        <v>21.46</v>
      </c>
      <c r="DS215">
        <v>93.28</v>
      </c>
      <c r="DT215">
        <v>747</v>
      </c>
      <c r="DU215">
        <v>75.66</v>
      </c>
      <c r="DV215">
        <v>71.53</v>
      </c>
      <c r="DW215" s="187">
        <v>21.67</v>
      </c>
      <c r="DX215">
        <v>96.38</v>
      </c>
      <c r="DY215">
        <v>775</v>
      </c>
      <c r="DZ215">
        <v>0</v>
      </c>
      <c r="EA215">
        <v>0</v>
      </c>
      <c r="EB215" s="187">
        <v>0</v>
      </c>
      <c r="EC215">
        <v>0</v>
      </c>
      <c r="ED215">
        <v>89.72</v>
      </c>
      <c r="EE215">
        <v>78</v>
      </c>
      <c r="EF215">
        <v>103.16</v>
      </c>
      <c r="EG215" s="187">
        <v>231</v>
      </c>
      <c r="EH215">
        <v>119.68</v>
      </c>
      <c r="EI215">
        <v>102</v>
      </c>
      <c r="EJ215">
        <v>137.35</v>
      </c>
      <c r="EK215">
        <v>13</v>
      </c>
      <c r="EL215" s="187">
        <v>147.35</v>
      </c>
      <c r="EM215">
        <v>1</v>
      </c>
      <c r="EN215">
        <v>0</v>
      </c>
      <c r="EO215">
        <v>0</v>
      </c>
      <c r="EP215">
        <v>105.81</v>
      </c>
      <c r="EQ215" s="187">
        <v>425</v>
      </c>
      <c r="ER215">
        <v>105.81</v>
      </c>
      <c r="ES215">
        <v>425</v>
      </c>
      <c r="ET215">
        <v>0</v>
      </c>
      <c r="EU215">
        <v>0</v>
      </c>
      <c r="EV215" s="187">
        <v>0</v>
      </c>
      <c r="EW215">
        <v>0</v>
      </c>
      <c r="EX215">
        <v>137.79</v>
      </c>
      <c r="EY215">
        <v>12</v>
      </c>
      <c r="EZ215">
        <v>0</v>
      </c>
      <c r="FA215" s="187">
        <v>0</v>
      </c>
      <c r="FB215">
        <v>0</v>
      </c>
      <c r="FC215">
        <v>0</v>
      </c>
      <c r="FD215">
        <v>0</v>
      </c>
      <c r="FE215">
        <v>0</v>
      </c>
      <c r="FF215" s="187">
        <v>137.79</v>
      </c>
      <c r="FG215">
        <v>12</v>
      </c>
      <c r="FH215">
        <v>137.79</v>
      </c>
      <c r="FI215">
        <v>12</v>
      </c>
      <c r="FJ215">
        <v>16</v>
      </c>
      <c r="FK215" s="187">
        <v>4</v>
      </c>
      <c r="FL215">
        <v>1</v>
      </c>
      <c r="FM215">
        <v>102</v>
      </c>
      <c r="FN215">
        <v>20</v>
      </c>
    </row>
    <row r="216" spans="1:170" x14ac:dyDescent="0.35">
      <c r="A216" t="s">
        <v>818</v>
      </c>
      <c r="B216" t="s">
        <v>819</v>
      </c>
      <c r="C216" t="s">
        <v>416</v>
      </c>
      <c r="D216">
        <v>8812</v>
      </c>
      <c r="E216">
        <v>8786</v>
      </c>
      <c r="F216">
        <v>6</v>
      </c>
      <c r="G216">
        <v>0</v>
      </c>
      <c r="H216">
        <v>270</v>
      </c>
      <c r="I216">
        <v>161</v>
      </c>
      <c r="J216">
        <v>810</v>
      </c>
      <c r="K216">
        <v>765</v>
      </c>
      <c r="L216">
        <v>453</v>
      </c>
      <c r="M216">
        <v>159</v>
      </c>
      <c r="N216">
        <v>10351</v>
      </c>
      <c r="O216">
        <v>9871</v>
      </c>
      <c r="P216">
        <v>9898</v>
      </c>
      <c r="Q216">
        <v>18</v>
      </c>
      <c r="R216">
        <v>6</v>
      </c>
      <c r="S216">
        <v>24</v>
      </c>
      <c r="T216">
        <v>128</v>
      </c>
      <c r="U216">
        <v>10223</v>
      </c>
      <c r="V216" s="498">
        <v>8766</v>
      </c>
      <c r="W216">
        <v>49</v>
      </c>
      <c r="X216" s="498">
        <v>90</v>
      </c>
      <c r="Y216" s="498">
        <v>139</v>
      </c>
      <c r="Z216" s="498">
        <v>125.94</v>
      </c>
      <c r="AA216" s="498">
        <v>139.74</v>
      </c>
      <c r="AB216">
        <v>10.98</v>
      </c>
      <c r="AC216">
        <v>133.63999999999999</v>
      </c>
      <c r="AD216">
        <v>7836</v>
      </c>
      <c r="AE216">
        <v>124.34</v>
      </c>
      <c r="AF216">
        <v>120.62</v>
      </c>
      <c r="AG216">
        <v>47.1</v>
      </c>
      <c r="AH216">
        <v>168.48</v>
      </c>
      <c r="AI216">
        <v>1000</v>
      </c>
      <c r="AJ216">
        <v>205.81</v>
      </c>
      <c r="AK216">
        <v>840</v>
      </c>
      <c r="AL216">
        <v>257.47000000000003</v>
      </c>
      <c r="AM216">
        <v>4</v>
      </c>
      <c r="AN216">
        <v>0</v>
      </c>
      <c r="AO216" s="499">
        <v>0</v>
      </c>
      <c r="AP216" s="499">
        <v>0</v>
      </c>
      <c r="AQ216">
        <v>0</v>
      </c>
      <c r="AR216">
        <v>0</v>
      </c>
      <c r="AS216">
        <v>109.11</v>
      </c>
      <c r="AT216">
        <v>116.06</v>
      </c>
      <c r="AU216">
        <v>12.05</v>
      </c>
      <c r="AV216">
        <v>121.08</v>
      </c>
      <c r="AW216">
        <v>137</v>
      </c>
      <c r="AX216">
        <v>113.64</v>
      </c>
      <c r="AY216">
        <v>121.02</v>
      </c>
      <c r="AZ216">
        <v>11.17</v>
      </c>
      <c r="BA216">
        <v>123.91</v>
      </c>
      <c r="BB216">
        <v>2602</v>
      </c>
      <c r="BC216">
        <v>127.68</v>
      </c>
      <c r="BD216">
        <v>141.59</v>
      </c>
      <c r="BE216">
        <v>12.01</v>
      </c>
      <c r="BF216">
        <v>136.32</v>
      </c>
      <c r="BG216">
        <v>2623</v>
      </c>
      <c r="BH216">
        <v>136.36000000000001</v>
      </c>
      <c r="BI216">
        <v>157.93</v>
      </c>
      <c r="BJ216">
        <v>8.9</v>
      </c>
      <c r="BK216">
        <v>140.21</v>
      </c>
      <c r="BL216" s="214">
        <v>2173</v>
      </c>
      <c r="BM216" s="214">
        <v>149.02000000000001</v>
      </c>
      <c r="BN216">
        <v>167.01</v>
      </c>
      <c r="BO216" s="187">
        <v>6.86</v>
      </c>
      <c r="BP216" s="214">
        <v>152.33000000000001</v>
      </c>
      <c r="BQ216" s="214">
        <v>290</v>
      </c>
      <c r="BR216">
        <v>159.04</v>
      </c>
      <c r="BS216" s="187">
        <v>183.89</v>
      </c>
      <c r="BT216" s="214">
        <v>0</v>
      </c>
      <c r="BU216" s="214">
        <v>159.04</v>
      </c>
      <c r="BV216">
        <v>10</v>
      </c>
      <c r="BW216">
        <v>182.37</v>
      </c>
      <c r="BX216" s="214">
        <v>192.63</v>
      </c>
      <c r="BY216" s="214">
        <v>0</v>
      </c>
      <c r="BZ216">
        <v>182.37</v>
      </c>
      <c r="CA216" s="187">
        <v>1</v>
      </c>
      <c r="CB216" s="214">
        <v>125.94</v>
      </c>
      <c r="CC216" s="214">
        <v>139.74</v>
      </c>
      <c r="CD216">
        <v>10.98</v>
      </c>
      <c r="CE216" s="187">
        <v>133.63999999999999</v>
      </c>
      <c r="CF216" s="214">
        <v>7836</v>
      </c>
      <c r="CG216" s="214">
        <v>125.94</v>
      </c>
      <c r="CH216">
        <v>139.74</v>
      </c>
      <c r="CI216">
        <v>10.98</v>
      </c>
      <c r="CJ216">
        <v>133.63999999999999</v>
      </c>
      <c r="CK216">
        <v>7836</v>
      </c>
      <c r="CL216">
        <v>124.86</v>
      </c>
      <c r="CM216">
        <v>99.91</v>
      </c>
      <c r="CN216" s="187">
        <v>96.43</v>
      </c>
      <c r="CO216">
        <v>193.61</v>
      </c>
      <c r="CP216">
        <v>108</v>
      </c>
      <c r="CQ216">
        <v>121.67</v>
      </c>
      <c r="CR216">
        <v>117.41</v>
      </c>
      <c r="CS216" s="187">
        <v>38.130000000000003</v>
      </c>
      <c r="CT216">
        <v>159.34</v>
      </c>
      <c r="CU216">
        <v>84</v>
      </c>
      <c r="CV216">
        <v>123.2</v>
      </c>
      <c r="CW216">
        <v>121.81</v>
      </c>
      <c r="CX216" s="187">
        <v>43.64</v>
      </c>
      <c r="CY216">
        <v>165.1</v>
      </c>
      <c r="CZ216">
        <v>753</v>
      </c>
      <c r="DA216">
        <v>143.04</v>
      </c>
      <c r="DB216">
        <v>144.06</v>
      </c>
      <c r="DC216" s="187">
        <v>37.07</v>
      </c>
      <c r="DD216">
        <v>179.41</v>
      </c>
      <c r="DE216">
        <v>53</v>
      </c>
      <c r="DF216">
        <v>142.33000000000001</v>
      </c>
      <c r="DG216">
        <v>140.97999999999999</v>
      </c>
      <c r="DH216" s="187">
        <v>33.799999999999997</v>
      </c>
      <c r="DI216">
        <v>176.13</v>
      </c>
      <c r="DJ216">
        <v>2</v>
      </c>
      <c r="DK216">
        <v>0</v>
      </c>
      <c r="DL216">
        <v>0</v>
      </c>
      <c r="DM216" s="187">
        <v>0</v>
      </c>
      <c r="DN216">
        <v>0</v>
      </c>
      <c r="DO216">
        <v>0</v>
      </c>
      <c r="DP216">
        <v>124.28</v>
      </c>
      <c r="DQ216">
        <v>122.76</v>
      </c>
      <c r="DR216" s="187">
        <v>42.68</v>
      </c>
      <c r="DS216">
        <v>165.43</v>
      </c>
      <c r="DT216">
        <v>892</v>
      </c>
      <c r="DU216">
        <v>124.34</v>
      </c>
      <c r="DV216">
        <v>120.62</v>
      </c>
      <c r="DW216" s="187">
        <v>47.1</v>
      </c>
      <c r="DX216">
        <v>168.48</v>
      </c>
      <c r="DY216">
        <v>1000</v>
      </c>
      <c r="DZ216">
        <v>0</v>
      </c>
      <c r="EA216">
        <v>0</v>
      </c>
      <c r="EB216" s="187">
        <v>158.54</v>
      </c>
      <c r="EC216">
        <v>10</v>
      </c>
      <c r="ED216">
        <v>187.07</v>
      </c>
      <c r="EE216">
        <v>360</v>
      </c>
      <c r="EF216">
        <v>224.25</v>
      </c>
      <c r="EG216" s="187">
        <v>388</v>
      </c>
      <c r="EH216">
        <v>207.82</v>
      </c>
      <c r="EI216">
        <v>64</v>
      </c>
      <c r="EJ216">
        <v>205.64</v>
      </c>
      <c r="EK216">
        <v>16</v>
      </c>
      <c r="EL216" s="187">
        <v>175.2</v>
      </c>
      <c r="EM216">
        <v>2</v>
      </c>
      <c r="EN216">
        <v>0</v>
      </c>
      <c r="EO216">
        <v>0</v>
      </c>
      <c r="EP216">
        <v>205.81</v>
      </c>
      <c r="EQ216" s="187">
        <v>840</v>
      </c>
      <c r="ER216">
        <v>205.81</v>
      </c>
      <c r="ES216">
        <v>840</v>
      </c>
      <c r="ET216">
        <v>0</v>
      </c>
      <c r="EU216">
        <v>0</v>
      </c>
      <c r="EV216" s="187">
        <v>0</v>
      </c>
      <c r="EW216">
        <v>0</v>
      </c>
      <c r="EX216">
        <v>241.64</v>
      </c>
      <c r="EY216">
        <v>2</v>
      </c>
      <c r="EZ216">
        <v>273.29000000000002</v>
      </c>
      <c r="FA216" s="187">
        <v>2</v>
      </c>
      <c r="FB216">
        <v>0</v>
      </c>
      <c r="FC216">
        <v>0</v>
      </c>
      <c r="FD216">
        <v>0</v>
      </c>
      <c r="FE216">
        <v>0</v>
      </c>
      <c r="FF216" s="187">
        <v>257.47000000000003</v>
      </c>
      <c r="FG216">
        <v>4</v>
      </c>
      <c r="FH216">
        <v>257.47000000000003</v>
      </c>
      <c r="FI216">
        <v>4</v>
      </c>
      <c r="FJ216">
        <v>0</v>
      </c>
      <c r="FK216" s="187">
        <v>16</v>
      </c>
      <c r="FL216">
        <v>9</v>
      </c>
      <c r="FM216">
        <v>0</v>
      </c>
      <c r="FN216">
        <v>18</v>
      </c>
    </row>
    <row r="217" spans="1:170" x14ac:dyDescent="0.35">
      <c r="A217" t="s">
        <v>820</v>
      </c>
      <c r="B217" t="s">
        <v>821</v>
      </c>
      <c r="C217" t="s">
        <v>1048</v>
      </c>
      <c r="D217">
        <v>728</v>
      </c>
      <c r="E217">
        <v>728</v>
      </c>
      <c r="F217">
        <v>0</v>
      </c>
      <c r="G217">
        <v>0</v>
      </c>
      <c r="H217">
        <v>118</v>
      </c>
      <c r="I217">
        <v>91</v>
      </c>
      <c r="J217">
        <v>96</v>
      </c>
      <c r="K217">
        <v>96</v>
      </c>
      <c r="L217">
        <v>65</v>
      </c>
      <c r="M217">
        <v>0</v>
      </c>
      <c r="N217">
        <v>1007</v>
      </c>
      <c r="O217">
        <v>915</v>
      </c>
      <c r="P217">
        <v>942</v>
      </c>
      <c r="Q217">
        <v>1</v>
      </c>
      <c r="R217">
        <v>1</v>
      </c>
      <c r="S217">
        <v>12</v>
      </c>
      <c r="T217">
        <v>10</v>
      </c>
      <c r="U217">
        <v>997</v>
      </c>
      <c r="V217" s="498">
        <v>728</v>
      </c>
      <c r="W217">
        <v>2</v>
      </c>
      <c r="X217" s="498">
        <v>6</v>
      </c>
      <c r="Y217" s="498">
        <v>8</v>
      </c>
      <c r="Z217" s="498">
        <v>93.7</v>
      </c>
      <c r="AA217" s="498">
        <v>90.29</v>
      </c>
      <c r="AB217">
        <v>3.47</v>
      </c>
      <c r="AC217">
        <v>96.31</v>
      </c>
      <c r="AD217">
        <v>531</v>
      </c>
      <c r="AE217">
        <v>109.28</v>
      </c>
      <c r="AF217">
        <v>101.27</v>
      </c>
      <c r="AG217">
        <v>83.06</v>
      </c>
      <c r="AH217">
        <v>185.2</v>
      </c>
      <c r="AI217">
        <v>151</v>
      </c>
      <c r="AJ217">
        <v>108.75</v>
      </c>
      <c r="AK217">
        <v>179</v>
      </c>
      <c r="AL217">
        <v>319.12</v>
      </c>
      <c r="AM217">
        <v>53</v>
      </c>
      <c r="AN217">
        <v>0</v>
      </c>
      <c r="AO217" s="499">
        <v>0</v>
      </c>
      <c r="AP217" s="499">
        <v>0</v>
      </c>
      <c r="AQ217">
        <v>0</v>
      </c>
      <c r="AR217">
        <v>0</v>
      </c>
      <c r="AS217">
        <v>0</v>
      </c>
      <c r="AT217">
        <v>0</v>
      </c>
      <c r="AU217">
        <v>0</v>
      </c>
      <c r="AV217">
        <v>0</v>
      </c>
      <c r="AW217">
        <v>0</v>
      </c>
      <c r="AX217">
        <v>78.95</v>
      </c>
      <c r="AY217">
        <v>76.56</v>
      </c>
      <c r="AZ217">
        <v>8.0399999999999991</v>
      </c>
      <c r="BA217">
        <v>87</v>
      </c>
      <c r="BB217">
        <v>64</v>
      </c>
      <c r="BC217">
        <v>91.58</v>
      </c>
      <c r="BD217">
        <v>88.43</v>
      </c>
      <c r="BE217">
        <v>3.37</v>
      </c>
      <c r="BF217">
        <v>94.1</v>
      </c>
      <c r="BG217">
        <v>265</v>
      </c>
      <c r="BH217">
        <v>100.93</v>
      </c>
      <c r="BI217">
        <v>96.89</v>
      </c>
      <c r="BJ217">
        <v>1.46</v>
      </c>
      <c r="BK217">
        <v>101.93</v>
      </c>
      <c r="BL217" s="214">
        <v>199</v>
      </c>
      <c r="BM217" s="214">
        <v>115.92</v>
      </c>
      <c r="BN217">
        <v>110.39</v>
      </c>
      <c r="BO217" s="187">
        <v>2.9</v>
      </c>
      <c r="BP217" s="214">
        <v>116.89</v>
      </c>
      <c r="BQ217" s="214">
        <v>3</v>
      </c>
      <c r="BR217">
        <v>0</v>
      </c>
      <c r="BS217" s="187">
        <v>0</v>
      </c>
      <c r="BT217" s="214">
        <v>0</v>
      </c>
      <c r="BU217" s="214">
        <v>0</v>
      </c>
      <c r="BV217">
        <v>0</v>
      </c>
      <c r="BW217">
        <v>0</v>
      </c>
      <c r="BX217" s="214">
        <v>0</v>
      </c>
      <c r="BY217" s="214">
        <v>0</v>
      </c>
      <c r="BZ217">
        <v>0</v>
      </c>
      <c r="CA217" s="187">
        <v>0</v>
      </c>
      <c r="CB217" s="214">
        <v>93.7</v>
      </c>
      <c r="CC217" s="214">
        <v>90.29</v>
      </c>
      <c r="CD217">
        <v>3.47</v>
      </c>
      <c r="CE217" s="187">
        <v>96.31</v>
      </c>
      <c r="CF217" s="214">
        <v>531</v>
      </c>
      <c r="CG217" s="214">
        <v>93.7</v>
      </c>
      <c r="CH217">
        <v>90.29</v>
      </c>
      <c r="CI217">
        <v>3.47</v>
      </c>
      <c r="CJ217">
        <v>96.31</v>
      </c>
      <c r="CK217">
        <v>531</v>
      </c>
      <c r="CL217">
        <v>0</v>
      </c>
      <c r="CM217">
        <v>0</v>
      </c>
      <c r="CN217" s="187">
        <v>0</v>
      </c>
      <c r="CO217">
        <v>0</v>
      </c>
      <c r="CP217">
        <v>0</v>
      </c>
      <c r="CQ217">
        <v>68.069999999999993</v>
      </c>
      <c r="CR217">
        <v>61.89</v>
      </c>
      <c r="CS217" s="187">
        <v>0</v>
      </c>
      <c r="CT217">
        <v>68.069999999999993</v>
      </c>
      <c r="CU217">
        <v>13</v>
      </c>
      <c r="CV217">
        <v>107.78</v>
      </c>
      <c r="CW217">
        <v>100.22</v>
      </c>
      <c r="CX217" s="187">
        <v>97.76</v>
      </c>
      <c r="CY217">
        <v>205.55</v>
      </c>
      <c r="CZ217">
        <v>98</v>
      </c>
      <c r="DA217">
        <v>126.92</v>
      </c>
      <c r="DB217">
        <v>117.21</v>
      </c>
      <c r="DC217" s="187">
        <v>46.97</v>
      </c>
      <c r="DD217">
        <v>173.89</v>
      </c>
      <c r="DE217">
        <v>39</v>
      </c>
      <c r="DF217">
        <v>104.36</v>
      </c>
      <c r="DG217">
        <v>94.87</v>
      </c>
      <c r="DH217" s="187">
        <v>50.17</v>
      </c>
      <c r="DI217">
        <v>154.53</v>
      </c>
      <c r="DJ217">
        <v>1</v>
      </c>
      <c r="DK217">
        <v>0</v>
      </c>
      <c r="DL217">
        <v>0</v>
      </c>
      <c r="DM217" s="187">
        <v>0</v>
      </c>
      <c r="DN217">
        <v>0</v>
      </c>
      <c r="DO217">
        <v>0</v>
      </c>
      <c r="DP217">
        <v>109.28</v>
      </c>
      <c r="DQ217">
        <v>101.27</v>
      </c>
      <c r="DR217" s="187">
        <v>83.06</v>
      </c>
      <c r="DS217">
        <v>185.2</v>
      </c>
      <c r="DT217">
        <v>151</v>
      </c>
      <c r="DU217">
        <v>109.28</v>
      </c>
      <c r="DV217">
        <v>101.27</v>
      </c>
      <c r="DW217" s="187">
        <v>83.06</v>
      </c>
      <c r="DX217">
        <v>185.2</v>
      </c>
      <c r="DY217">
        <v>151</v>
      </c>
      <c r="DZ217">
        <v>0</v>
      </c>
      <c r="EA217">
        <v>0</v>
      </c>
      <c r="EB217" s="187">
        <v>0</v>
      </c>
      <c r="EC217">
        <v>0</v>
      </c>
      <c r="ED217">
        <v>95.23</v>
      </c>
      <c r="EE217">
        <v>10</v>
      </c>
      <c r="EF217">
        <v>108.35</v>
      </c>
      <c r="EG217" s="187">
        <v>102</v>
      </c>
      <c r="EH217">
        <v>111.36</v>
      </c>
      <c r="EI217">
        <v>65</v>
      </c>
      <c r="EJ217">
        <v>112.42</v>
      </c>
      <c r="EK217">
        <v>2</v>
      </c>
      <c r="EL217" s="187">
        <v>0</v>
      </c>
      <c r="EM217">
        <v>0</v>
      </c>
      <c r="EN217">
        <v>0</v>
      </c>
      <c r="EO217">
        <v>0</v>
      </c>
      <c r="EP217">
        <v>108.75</v>
      </c>
      <c r="EQ217" s="187">
        <v>179</v>
      </c>
      <c r="ER217">
        <v>108.75</v>
      </c>
      <c r="ES217">
        <v>179</v>
      </c>
      <c r="ET217">
        <v>0</v>
      </c>
      <c r="EU217">
        <v>0</v>
      </c>
      <c r="EV217" s="187">
        <v>0</v>
      </c>
      <c r="EW217">
        <v>0</v>
      </c>
      <c r="EX217">
        <v>315.26</v>
      </c>
      <c r="EY217">
        <v>20</v>
      </c>
      <c r="EZ217">
        <v>321.45999999999998</v>
      </c>
      <c r="FA217" s="187">
        <v>33</v>
      </c>
      <c r="FB217">
        <v>0</v>
      </c>
      <c r="FC217">
        <v>0</v>
      </c>
      <c r="FD217">
        <v>0</v>
      </c>
      <c r="FE217">
        <v>0</v>
      </c>
      <c r="FF217" s="187">
        <v>319.12</v>
      </c>
      <c r="FG217">
        <v>53</v>
      </c>
      <c r="FH217">
        <v>319.12</v>
      </c>
      <c r="FI217">
        <v>53</v>
      </c>
      <c r="FJ217">
        <v>0</v>
      </c>
      <c r="FK217" s="187">
        <v>0</v>
      </c>
      <c r="FL217">
        <v>4</v>
      </c>
      <c r="FM217">
        <v>4</v>
      </c>
      <c r="FN217">
        <v>0</v>
      </c>
    </row>
    <row r="218" spans="1:170" x14ac:dyDescent="0.35">
      <c r="A218" t="s">
        <v>822</v>
      </c>
      <c r="B218" t="s">
        <v>823</v>
      </c>
      <c r="C218" t="s">
        <v>418</v>
      </c>
      <c r="D218">
        <v>18042</v>
      </c>
      <c r="E218">
        <v>17552</v>
      </c>
      <c r="F218">
        <v>0</v>
      </c>
      <c r="G218">
        <v>0</v>
      </c>
      <c r="H218">
        <v>677</v>
      </c>
      <c r="I218">
        <v>276</v>
      </c>
      <c r="J218">
        <v>2016</v>
      </c>
      <c r="K218">
        <v>2016</v>
      </c>
      <c r="L218">
        <v>288</v>
      </c>
      <c r="M218">
        <v>0</v>
      </c>
      <c r="N218">
        <v>21023</v>
      </c>
      <c r="O218">
        <v>19844</v>
      </c>
      <c r="P218">
        <v>20735</v>
      </c>
      <c r="Q218">
        <v>12</v>
      </c>
      <c r="R218">
        <v>11</v>
      </c>
      <c r="S218">
        <v>22</v>
      </c>
      <c r="T218">
        <v>412</v>
      </c>
      <c r="U218">
        <v>20611</v>
      </c>
      <c r="V218" s="498">
        <v>17855</v>
      </c>
      <c r="W218">
        <v>77</v>
      </c>
      <c r="X218" s="498">
        <v>250</v>
      </c>
      <c r="Y218" s="498">
        <v>327</v>
      </c>
      <c r="Z218" s="498">
        <v>78.13</v>
      </c>
      <c r="AA218" s="498">
        <v>77.58</v>
      </c>
      <c r="AB218">
        <v>4.8600000000000003</v>
      </c>
      <c r="AC218">
        <v>82.47</v>
      </c>
      <c r="AD218">
        <v>15830</v>
      </c>
      <c r="AE218">
        <v>78.42</v>
      </c>
      <c r="AF218">
        <v>72.34</v>
      </c>
      <c r="AG218">
        <v>44.43</v>
      </c>
      <c r="AH218">
        <v>120.35</v>
      </c>
      <c r="AI218">
        <v>2468</v>
      </c>
      <c r="AJ218">
        <v>99.76</v>
      </c>
      <c r="AK218">
        <v>2123</v>
      </c>
      <c r="AL218">
        <v>258.27999999999997</v>
      </c>
      <c r="AM218">
        <v>37</v>
      </c>
      <c r="AN218">
        <v>0</v>
      </c>
      <c r="AO218" s="499">
        <v>0</v>
      </c>
      <c r="AP218" s="499">
        <v>0</v>
      </c>
      <c r="AQ218">
        <v>0</v>
      </c>
      <c r="AR218">
        <v>0</v>
      </c>
      <c r="AS218">
        <v>55.11</v>
      </c>
      <c r="AT218">
        <v>57.81</v>
      </c>
      <c r="AU218">
        <v>15.52</v>
      </c>
      <c r="AV218">
        <v>70.44</v>
      </c>
      <c r="AW218">
        <v>322</v>
      </c>
      <c r="AX218">
        <v>67.400000000000006</v>
      </c>
      <c r="AY218">
        <v>67.849999999999994</v>
      </c>
      <c r="AZ218">
        <v>5.42</v>
      </c>
      <c r="BA218">
        <v>72.739999999999995</v>
      </c>
      <c r="BB218">
        <v>4876</v>
      </c>
      <c r="BC218">
        <v>78.489999999999995</v>
      </c>
      <c r="BD218">
        <v>77.86</v>
      </c>
      <c r="BE218">
        <v>4.7300000000000004</v>
      </c>
      <c r="BF218">
        <v>82.61</v>
      </c>
      <c r="BG218">
        <v>5367</v>
      </c>
      <c r="BH218">
        <v>87.75</v>
      </c>
      <c r="BI218">
        <v>86.35</v>
      </c>
      <c r="BJ218">
        <v>3.62</v>
      </c>
      <c r="BK218">
        <v>90.8</v>
      </c>
      <c r="BL218" s="214">
        <v>4774</v>
      </c>
      <c r="BM218" s="214">
        <v>101.48</v>
      </c>
      <c r="BN218">
        <v>99.08</v>
      </c>
      <c r="BO218" s="187">
        <v>3.35</v>
      </c>
      <c r="BP218" s="214">
        <v>103.8</v>
      </c>
      <c r="BQ218" s="214">
        <v>443</v>
      </c>
      <c r="BR218">
        <v>106.51</v>
      </c>
      <c r="BS218" s="187">
        <v>109.13</v>
      </c>
      <c r="BT218" s="214">
        <v>3.42</v>
      </c>
      <c r="BU218" s="214">
        <v>109.19</v>
      </c>
      <c r="BV218">
        <v>37</v>
      </c>
      <c r="BW218">
        <v>113.97</v>
      </c>
      <c r="BX218" s="214">
        <v>118.98</v>
      </c>
      <c r="BY218" s="214">
        <v>2.99</v>
      </c>
      <c r="BZ218">
        <v>116.69</v>
      </c>
      <c r="CA218" s="187">
        <v>11</v>
      </c>
      <c r="CB218" s="214">
        <v>78.13</v>
      </c>
      <c r="CC218" s="214">
        <v>77.58</v>
      </c>
      <c r="CD218">
        <v>4.8600000000000003</v>
      </c>
      <c r="CE218" s="187">
        <v>82.47</v>
      </c>
      <c r="CF218" s="214">
        <v>15830</v>
      </c>
      <c r="CG218" s="214">
        <v>78.13</v>
      </c>
      <c r="CH218">
        <v>77.58</v>
      </c>
      <c r="CI218">
        <v>4.8600000000000003</v>
      </c>
      <c r="CJ218">
        <v>82.47</v>
      </c>
      <c r="CK218">
        <v>15830</v>
      </c>
      <c r="CL218">
        <v>116.24</v>
      </c>
      <c r="CM218">
        <v>72.83</v>
      </c>
      <c r="CN218" s="187">
        <v>48.41</v>
      </c>
      <c r="CO218">
        <v>158.94</v>
      </c>
      <c r="CP218">
        <v>195</v>
      </c>
      <c r="CQ218">
        <v>69.77</v>
      </c>
      <c r="CR218">
        <v>69.66</v>
      </c>
      <c r="CS218" s="187">
        <v>57.31</v>
      </c>
      <c r="CT218">
        <v>120.93</v>
      </c>
      <c r="CU218">
        <v>261</v>
      </c>
      <c r="CV218">
        <v>74.31</v>
      </c>
      <c r="CW218">
        <v>70.89</v>
      </c>
      <c r="CX218" s="187">
        <v>44.79</v>
      </c>
      <c r="CY218">
        <v>117.14</v>
      </c>
      <c r="CZ218">
        <v>1802</v>
      </c>
      <c r="DA218">
        <v>88.96</v>
      </c>
      <c r="DB218">
        <v>87.51</v>
      </c>
      <c r="DC218" s="187">
        <v>22.58</v>
      </c>
      <c r="DD218">
        <v>110.52</v>
      </c>
      <c r="DE218">
        <v>200</v>
      </c>
      <c r="DF218">
        <v>96.27</v>
      </c>
      <c r="DG218">
        <v>92.48</v>
      </c>
      <c r="DH218" s="187">
        <v>31.75</v>
      </c>
      <c r="DI218">
        <v>128.02000000000001</v>
      </c>
      <c r="DJ218">
        <v>10</v>
      </c>
      <c r="DK218">
        <v>0</v>
      </c>
      <c r="DL218">
        <v>0</v>
      </c>
      <c r="DM218" s="187">
        <v>0</v>
      </c>
      <c r="DN218">
        <v>0</v>
      </c>
      <c r="DO218">
        <v>0</v>
      </c>
      <c r="DP218">
        <v>75.180000000000007</v>
      </c>
      <c r="DQ218">
        <v>72.319999999999993</v>
      </c>
      <c r="DR218" s="187">
        <v>44.11</v>
      </c>
      <c r="DS218">
        <v>117.04</v>
      </c>
      <c r="DT218">
        <v>2273</v>
      </c>
      <c r="DU218">
        <v>78.42</v>
      </c>
      <c r="DV218">
        <v>72.34</v>
      </c>
      <c r="DW218" s="187">
        <v>44.43</v>
      </c>
      <c r="DX218">
        <v>120.35</v>
      </c>
      <c r="DY218">
        <v>2468</v>
      </c>
      <c r="DZ218">
        <v>0</v>
      </c>
      <c r="EA218">
        <v>0</v>
      </c>
      <c r="EB218" s="187">
        <v>0</v>
      </c>
      <c r="EC218">
        <v>0</v>
      </c>
      <c r="ED218">
        <v>77.98</v>
      </c>
      <c r="EE218">
        <v>280</v>
      </c>
      <c r="EF218">
        <v>96.01</v>
      </c>
      <c r="EG218" s="187">
        <v>920</v>
      </c>
      <c r="EH218">
        <v>107.23</v>
      </c>
      <c r="EI218">
        <v>808</v>
      </c>
      <c r="EJ218">
        <v>129.78</v>
      </c>
      <c r="EK218">
        <v>108</v>
      </c>
      <c r="EL218" s="187">
        <v>131.46</v>
      </c>
      <c r="EM218">
        <v>5</v>
      </c>
      <c r="EN218">
        <v>153.44</v>
      </c>
      <c r="EO218">
        <v>2</v>
      </c>
      <c r="EP218">
        <v>99.76</v>
      </c>
      <c r="EQ218" s="187">
        <v>2123</v>
      </c>
      <c r="ER218">
        <v>99.76</v>
      </c>
      <c r="ES218">
        <v>2123</v>
      </c>
      <c r="ET218">
        <v>0</v>
      </c>
      <c r="EU218">
        <v>0</v>
      </c>
      <c r="EV218" s="187">
        <v>0</v>
      </c>
      <c r="EW218">
        <v>0</v>
      </c>
      <c r="EX218">
        <v>258.27999999999997</v>
      </c>
      <c r="EY218">
        <v>37</v>
      </c>
      <c r="EZ218">
        <v>0</v>
      </c>
      <c r="FA218" s="187">
        <v>0</v>
      </c>
      <c r="FB218">
        <v>0</v>
      </c>
      <c r="FC218">
        <v>0</v>
      </c>
      <c r="FD218">
        <v>0</v>
      </c>
      <c r="FE218">
        <v>0</v>
      </c>
      <c r="FF218" s="187">
        <v>258.27999999999997</v>
      </c>
      <c r="FG218">
        <v>37</v>
      </c>
      <c r="FH218">
        <v>258.27999999999997</v>
      </c>
      <c r="FI218">
        <v>37</v>
      </c>
      <c r="FJ218">
        <v>0</v>
      </c>
      <c r="FK218" s="187">
        <v>142</v>
      </c>
      <c r="FL218">
        <v>6</v>
      </c>
      <c r="FM218">
        <v>32</v>
      </c>
      <c r="FN218">
        <v>5</v>
      </c>
    </row>
    <row r="219" spans="1:170" x14ac:dyDescent="0.35">
      <c r="A219" t="s">
        <v>824</v>
      </c>
      <c r="B219" t="s">
        <v>825</v>
      </c>
      <c r="C219" t="s">
        <v>415</v>
      </c>
      <c r="D219">
        <v>2433</v>
      </c>
      <c r="E219">
        <v>2433</v>
      </c>
      <c r="F219">
        <v>0</v>
      </c>
      <c r="G219">
        <v>0</v>
      </c>
      <c r="H219">
        <v>63</v>
      </c>
      <c r="I219">
        <v>46</v>
      </c>
      <c r="J219">
        <v>695</v>
      </c>
      <c r="K219">
        <v>695</v>
      </c>
      <c r="L219">
        <v>327</v>
      </c>
      <c r="M219">
        <v>101</v>
      </c>
      <c r="N219">
        <v>3518</v>
      </c>
      <c r="O219">
        <v>3275</v>
      </c>
      <c r="P219">
        <v>3191</v>
      </c>
      <c r="Q219">
        <v>4</v>
      </c>
      <c r="R219">
        <v>2</v>
      </c>
      <c r="S219">
        <v>16</v>
      </c>
      <c r="T219">
        <v>6</v>
      </c>
      <c r="U219">
        <v>3512</v>
      </c>
      <c r="V219" s="498">
        <v>2433</v>
      </c>
      <c r="W219">
        <v>12</v>
      </c>
      <c r="X219" s="498">
        <v>14</v>
      </c>
      <c r="Y219" s="498">
        <v>26</v>
      </c>
      <c r="Z219" s="498">
        <v>102.2</v>
      </c>
      <c r="AA219" s="498">
        <v>102.31</v>
      </c>
      <c r="AB219">
        <v>8.24</v>
      </c>
      <c r="AC219">
        <v>106.64</v>
      </c>
      <c r="AD219">
        <v>1760</v>
      </c>
      <c r="AE219">
        <v>90.73</v>
      </c>
      <c r="AF219">
        <v>87</v>
      </c>
      <c r="AG219">
        <v>45.09</v>
      </c>
      <c r="AH219">
        <v>135.63999999999999</v>
      </c>
      <c r="AI219">
        <v>752</v>
      </c>
      <c r="AJ219">
        <v>153.57</v>
      </c>
      <c r="AK219">
        <v>671</v>
      </c>
      <c r="AL219">
        <v>0</v>
      </c>
      <c r="AM219">
        <v>0</v>
      </c>
      <c r="AN219">
        <v>0</v>
      </c>
      <c r="AO219" s="499">
        <v>0</v>
      </c>
      <c r="AP219" s="499">
        <v>0</v>
      </c>
      <c r="AQ219">
        <v>0</v>
      </c>
      <c r="AR219">
        <v>0</v>
      </c>
      <c r="AS219">
        <v>73.5</v>
      </c>
      <c r="AT219">
        <v>73.97</v>
      </c>
      <c r="AU219">
        <v>13.8</v>
      </c>
      <c r="AV219">
        <v>87.3</v>
      </c>
      <c r="AW219">
        <v>7</v>
      </c>
      <c r="AX219">
        <v>87.57</v>
      </c>
      <c r="AY219">
        <v>87.02</v>
      </c>
      <c r="AZ219">
        <v>9.9700000000000006</v>
      </c>
      <c r="BA219">
        <v>95.22</v>
      </c>
      <c r="BB219">
        <v>576</v>
      </c>
      <c r="BC219">
        <v>100.98</v>
      </c>
      <c r="BD219">
        <v>100.92</v>
      </c>
      <c r="BE219">
        <v>8.69</v>
      </c>
      <c r="BF219">
        <v>106.05</v>
      </c>
      <c r="BG219">
        <v>514</v>
      </c>
      <c r="BH219">
        <v>116.14</v>
      </c>
      <c r="BI219">
        <v>116.56</v>
      </c>
      <c r="BJ219">
        <v>3.52</v>
      </c>
      <c r="BK219">
        <v>117.21</v>
      </c>
      <c r="BL219" s="214">
        <v>645</v>
      </c>
      <c r="BM219" s="214">
        <v>120.17</v>
      </c>
      <c r="BN219">
        <v>128.31</v>
      </c>
      <c r="BO219" s="187">
        <v>5.28</v>
      </c>
      <c r="BP219" s="214">
        <v>121.39</v>
      </c>
      <c r="BQ219" s="214">
        <v>13</v>
      </c>
      <c r="BR219">
        <v>108.8</v>
      </c>
      <c r="BS219" s="187">
        <v>140.32</v>
      </c>
      <c r="BT219" s="214">
        <v>0.51</v>
      </c>
      <c r="BU219" s="214">
        <v>108.9</v>
      </c>
      <c r="BV219">
        <v>5</v>
      </c>
      <c r="BW219">
        <v>0</v>
      </c>
      <c r="BX219" s="214">
        <v>0</v>
      </c>
      <c r="BY219" s="214">
        <v>0</v>
      </c>
      <c r="BZ219">
        <v>0</v>
      </c>
      <c r="CA219" s="187">
        <v>0</v>
      </c>
      <c r="CB219" s="214">
        <v>102.2</v>
      </c>
      <c r="CC219" s="214">
        <v>102.31</v>
      </c>
      <c r="CD219">
        <v>8.24</v>
      </c>
      <c r="CE219" s="187">
        <v>106.64</v>
      </c>
      <c r="CF219" s="214">
        <v>1760</v>
      </c>
      <c r="CG219" s="214">
        <v>102.2</v>
      </c>
      <c r="CH219">
        <v>102.31</v>
      </c>
      <c r="CI219">
        <v>8.24</v>
      </c>
      <c r="CJ219">
        <v>106.64</v>
      </c>
      <c r="CK219">
        <v>1760</v>
      </c>
      <c r="CL219">
        <v>92.01</v>
      </c>
      <c r="CM219">
        <v>90.77</v>
      </c>
      <c r="CN219" s="187">
        <v>62.33</v>
      </c>
      <c r="CO219">
        <v>148.91999999999999</v>
      </c>
      <c r="CP219">
        <v>23</v>
      </c>
      <c r="CQ219">
        <v>84.21</v>
      </c>
      <c r="CR219">
        <v>76.180000000000007</v>
      </c>
      <c r="CS219" s="187">
        <v>104.48</v>
      </c>
      <c r="CT219">
        <v>188.68</v>
      </c>
      <c r="CU219">
        <v>85</v>
      </c>
      <c r="CV219">
        <v>90.55</v>
      </c>
      <c r="CW219">
        <v>87.38</v>
      </c>
      <c r="CX219" s="187">
        <v>37.03</v>
      </c>
      <c r="CY219">
        <v>127.57</v>
      </c>
      <c r="CZ219">
        <v>598</v>
      </c>
      <c r="DA219">
        <v>101.47</v>
      </c>
      <c r="DB219">
        <v>98.26</v>
      </c>
      <c r="DC219" s="187">
        <v>31.37</v>
      </c>
      <c r="DD219">
        <v>132.03</v>
      </c>
      <c r="DE219">
        <v>39</v>
      </c>
      <c r="DF219">
        <v>122.12</v>
      </c>
      <c r="DG219">
        <v>116.24</v>
      </c>
      <c r="DH219" s="187">
        <v>35.64</v>
      </c>
      <c r="DI219">
        <v>157.75</v>
      </c>
      <c r="DJ219">
        <v>7</v>
      </c>
      <c r="DK219">
        <v>0</v>
      </c>
      <c r="DL219">
        <v>0</v>
      </c>
      <c r="DM219" s="187">
        <v>0</v>
      </c>
      <c r="DN219">
        <v>0</v>
      </c>
      <c r="DO219">
        <v>0</v>
      </c>
      <c r="DP219">
        <v>90.69</v>
      </c>
      <c r="DQ219">
        <v>86.93</v>
      </c>
      <c r="DR219" s="187">
        <v>44.59</v>
      </c>
      <c r="DS219">
        <v>135.22999999999999</v>
      </c>
      <c r="DT219">
        <v>729</v>
      </c>
      <c r="DU219">
        <v>90.73</v>
      </c>
      <c r="DV219">
        <v>87</v>
      </c>
      <c r="DW219" s="187">
        <v>45.09</v>
      </c>
      <c r="DX219">
        <v>135.63999999999999</v>
      </c>
      <c r="DY219">
        <v>752</v>
      </c>
      <c r="DZ219">
        <v>0</v>
      </c>
      <c r="EA219">
        <v>0</v>
      </c>
      <c r="EB219" s="187">
        <v>0</v>
      </c>
      <c r="EC219">
        <v>0</v>
      </c>
      <c r="ED219">
        <v>124.76</v>
      </c>
      <c r="EE219">
        <v>229</v>
      </c>
      <c r="EF219">
        <v>156.13</v>
      </c>
      <c r="EG219" s="187">
        <v>276</v>
      </c>
      <c r="EH219">
        <v>183.05</v>
      </c>
      <c r="EI219">
        <v>146</v>
      </c>
      <c r="EJ219">
        <v>232.92</v>
      </c>
      <c r="EK219">
        <v>20</v>
      </c>
      <c r="EL219" s="187">
        <v>0</v>
      </c>
      <c r="EM219">
        <v>0</v>
      </c>
      <c r="EN219">
        <v>0</v>
      </c>
      <c r="EO219">
        <v>0</v>
      </c>
      <c r="EP219">
        <v>153.57</v>
      </c>
      <c r="EQ219" s="187">
        <v>671</v>
      </c>
      <c r="ER219">
        <v>153.57</v>
      </c>
      <c r="ES219">
        <v>671</v>
      </c>
      <c r="ET219">
        <v>0</v>
      </c>
      <c r="EU219">
        <v>0</v>
      </c>
      <c r="EV219" s="187">
        <v>0</v>
      </c>
      <c r="EW219">
        <v>0</v>
      </c>
      <c r="EX219">
        <v>0</v>
      </c>
      <c r="EY219">
        <v>0</v>
      </c>
      <c r="EZ219">
        <v>0</v>
      </c>
      <c r="FA219" s="187">
        <v>0</v>
      </c>
      <c r="FB219">
        <v>0</v>
      </c>
      <c r="FC219">
        <v>0</v>
      </c>
      <c r="FD219">
        <v>0</v>
      </c>
      <c r="FE219">
        <v>0</v>
      </c>
      <c r="FF219" s="187">
        <v>0</v>
      </c>
      <c r="FG219">
        <v>0</v>
      </c>
      <c r="FH219">
        <v>0</v>
      </c>
      <c r="FI219">
        <v>0</v>
      </c>
      <c r="FJ219">
        <v>0</v>
      </c>
      <c r="FK219" s="187">
        <v>2</v>
      </c>
      <c r="FL219">
        <v>1</v>
      </c>
      <c r="FM219">
        <v>42</v>
      </c>
      <c r="FN219">
        <v>5</v>
      </c>
    </row>
    <row r="220" spans="1:170" x14ac:dyDescent="0.35">
      <c r="A220" t="s">
        <v>826</v>
      </c>
      <c r="B220" t="s">
        <v>827</v>
      </c>
      <c r="C220" t="s">
        <v>418</v>
      </c>
      <c r="D220">
        <v>4166</v>
      </c>
      <c r="E220">
        <v>4168</v>
      </c>
      <c r="F220">
        <v>0</v>
      </c>
      <c r="G220">
        <v>0</v>
      </c>
      <c r="H220">
        <v>93</v>
      </c>
      <c r="I220">
        <v>26</v>
      </c>
      <c r="J220">
        <v>378</v>
      </c>
      <c r="K220">
        <v>378</v>
      </c>
      <c r="L220">
        <v>33</v>
      </c>
      <c r="M220">
        <v>0</v>
      </c>
      <c r="N220">
        <v>4670</v>
      </c>
      <c r="O220">
        <v>4572</v>
      </c>
      <c r="P220">
        <v>4637</v>
      </c>
      <c r="Q220">
        <v>4</v>
      </c>
      <c r="R220">
        <v>7</v>
      </c>
      <c r="S220">
        <v>15</v>
      </c>
      <c r="T220">
        <v>46</v>
      </c>
      <c r="U220">
        <v>4624</v>
      </c>
      <c r="V220" s="498">
        <v>4161</v>
      </c>
      <c r="W220">
        <v>18</v>
      </c>
      <c r="X220" s="498">
        <v>12</v>
      </c>
      <c r="Y220" s="498">
        <v>30</v>
      </c>
      <c r="Z220" s="498">
        <v>75.63</v>
      </c>
      <c r="AA220" s="498">
        <v>73.19</v>
      </c>
      <c r="AB220">
        <v>5.8</v>
      </c>
      <c r="AC220">
        <v>76.25</v>
      </c>
      <c r="AD220">
        <v>3607</v>
      </c>
      <c r="AE220">
        <v>89.83</v>
      </c>
      <c r="AF220">
        <v>79.45</v>
      </c>
      <c r="AG220">
        <v>42.77</v>
      </c>
      <c r="AH220">
        <v>129.81</v>
      </c>
      <c r="AI220">
        <v>430</v>
      </c>
      <c r="AJ220">
        <v>94.87</v>
      </c>
      <c r="AK220">
        <v>549</v>
      </c>
      <c r="AL220">
        <v>0</v>
      </c>
      <c r="AM220">
        <v>0</v>
      </c>
      <c r="AN220">
        <v>0</v>
      </c>
      <c r="AO220" s="499">
        <v>0</v>
      </c>
      <c r="AP220" s="499">
        <v>0</v>
      </c>
      <c r="AQ220">
        <v>0</v>
      </c>
      <c r="AR220">
        <v>0</v>
      </c>
      <c r="AS220">
        <v>64.569999999999993</v>
      </c>
      <c r="AT220">
        <v>64.040000000000006</v>
      </c>
      <c r="AU220">
        <v>0</v>
      </c>
      <c r="AV220">
        <v>64.569999999999993</v>
      </c>
      <c r="AW220">
        <v>29</v>
      </c>
      <c r="AX220">
        <v>68.47</v>
      </c>
      <c r="AY220">
        <v>65.900000000000006</v>
      </c>
      <c r="AZ220">
        <v>5.14</v>
      </c>
      <c r="BA220">
        <v>68.790000000000006</v>
      </c>
      <c r="BB220">
        <v>1608</v>
      </c>
      <c r="BC220">
        <v>78.209999999999994</v>
      </c>
      <c r="BD220">
        <v>75.790000000000006</v>
      </c>
      <c r="BE220">
        <v>7.82</v>
      </c>
      <c r="BF220">
        <v>79.33</v>
      </c>
      <c r="BG220">
        <v>1301</v>
      </c>
      <c r="BH220">
        <v>87.55</v>
      </c>
      <c r="BI220">
        <v>85.22</v>
      </c>
      <c r="BJ220">
        <v>2.63</v>
      </c>
      <c r="BK220">
        <v>87.88</v>
      </c>
      <c r="BL220" s="214">
        <v>614</v>
      </c>
      <c r="BM220" s="214">
        <v>96.29</v>
      </c>
      <c r="BN220">
        <v>94.65</v>
      </c>
      <c r="BO220" s="187">
        <v>2.9</v>
      </c>
      <c r="BP220" s="214">
        <v>97.47</v>
      </c>
      <c r="BQ220" s="214">
        <v>54</v>
      </c>
      <c r="BR220">
        <v>0</v>
      </c>
      <c r="BS220" s="187">
        <v>0</v>
      </c>
      <c r="BT220" s="214">
        <v>0</v>
      </c>
      <c r="BU220" s="214">
        <v>0</v>
      </c>
      <c r="BV220">
        <v>0</v>
      </c>
      <c r="BW220">
        <v>114.95</v>
      </c>
      <c r="BX220" s="214">
        <v>112.89</v>
      </c>
      <c r="BY220" s="214">
        <v>0</v>
      </c>
      <c r="BZ220">
        <v>114.95</v>
      </c>
      <c r="CA220" s="187">
        <v>1</v>
      </c>
      <c r="CB220" s="214">
        <v>75.63</v>
      </c>
      <c r="CC220" s="214">
        <v>73.19</v>
      </c>
      <c r="CD220">
        <v>5.8</v>
      </c>
      <c r="CE220" s="187">
        <v>76.25</v>
      </c>
      <c r="CF220" s="214">
        <v>3607</v>
      </c>
      <c r="CG220" s="214">
        <v>75.63</v>
      </c>
      <c r="CH220">
        <v>73.19</v>
      </c>
      <c r="CI220">
        <v>5.8</v>
      </c>
      <c r="CJ220">
        <v>76.25</v>
      </c>
      <c r="CK220">
        <v>3607</v>
      </c>
      <c r="CL220">
        <v>205.89</v>
      </c>
      <c r="CM220">
        <v>75.290000000000006</v>
      </c>
      <c r="CN220" s="187">
        <v>39.6</v>
      </c>
      <c r="CO220">
        <v>227.49</v>
      </c>
      <c r="CP220">
        <v>11</v>
      </c>
      <c r="CQ220">
        <v>74.650000000000006</v>
      </c>
      <c r="CR220">
        <v>70.13</v>
      </c>
      <c r="CS220" s="187">
        <v>34.07</v>
      </c>
      <c r="CT220">
        <v>100.94</v>
      </c>
      <c r="CU220">
        <v>70</v>
      </c>
      <c r="CV220">
        <v>85.99</v>
      </c>
      <c r="CW220">
        <v>77.91</v>
      </c>
      <c r="CX220" s="187">
        <v>44.23</v>
      </c>
      <c r="CY220">
        <v>129.13</v>
      </c>
      <c r="CZ220">
        <v>284</v>
      </c>
      <c r="DA220">
        <v>100.66</v>
      </c>
      <c r="DB220">
        <v>95.5</v>
      </c>
      <c r="DC220" s="187">
        <v>39.76</v>
      </c>
      <c r="DD220">
        <v>140.41999999999999</v>
      </c>
      <c r="DE220">
        <v>57</v>
      </c>
      <c r="DF220">
        <v>121.99</v>
      </c>
      <c r="DG220">
        <v>113.03</v>
      </c>
      <c r="DH220" s="187">
        <v>74.5</v>
      </c>
      <c r="DI220">
        <v>196.49</v>
      </c>
      <c r="DJ220">
        <v>8</v>
      </c>
      <c r="DK220">
        <v>0</v>
      </c>
      <c r="DL220">
        <v>0</v>
      </c>
      <c r="DM220" s="187">
        <v>0</v>
      </c>
      <c r="DN220">
        <v>0</v>
      </c>
      <c r="DO220">
        <v>0</v>
      </c>
      <c r="DP220">
        <v>86.78</v>
      </c>
      <c r="DQ220">
        <v>79.5</v>
      </c>
      <c r="DR220" s="187">
        <v>42.82</v>
      </c>
      <c r="DS220">
        <v>127.25</v>
      </c>
      <c r="DT220">
        <v>419</v>
      </c>
      <c r="DU220">
        <v>89.83</v>
      </c>
      <c r="DV220">
        <v>79.45</v>
      </c>
      <c r="DW220" s="187">
        <v>42.77</v>
      </c>
      <c r="DX220">
        <v>129.81</v>
      </c>
      <c r="DY220">
        <v>430</v>
      </c>
      <c r="DZ220">
        <v>0</v>
      </c>
      <c r="EA220">
        <v>0</v>
      </c>
      <c r="EB220" s="187">
        <v>0</v>
      </c>
      <c r="EC220">
        <v>0</v>
      </c>
      <c r="ED220">
        <v>75.02</v>
      </c>
      <c r="EE220">
        <v>47</v>
      </c>
      <c r="EF220">
        <v>88.9</v>
      </c>
      <c r="EG220" s="187">
        <v>279</v>
      </c>
      <c r="EH220">
        <v>105.4</v>
      </c>
      <c r="EI220">
        <v>215</v>
      </c>
      <c r="EJ220">
        <v>136.6</v>
      </c>
      <c r="EK220">
        <v>8</v>
      </c>
      <c r="EL220" s="187">
        <v>0</v>
      </c>
      <c r="EM220">
        <v>0</v>
      </c>
      <c r="EN220">
        <v>0</v>
      </c>
      <c r="EO220">
        <v>0</v>
      </c>
      <c r="EP220">
        <v>94.87</v>
      </c>
      <c r="EQ220" s="187">
        <v>549</v>
      </c>
      <c r="ER220">
        <v>94.87</v>
      </c>
      <c r="ES220">
        <v>549</v>
      </c>
      <c r="ET220">
        <v>0</v>
      </c>
      <c r="EU220">
        <v>0</v>
      </c>
      <c r="EV220" s="187">
        <v>0</v>
      </c>
      <c r="EW220">
        <v>0</v>
      </c>
      <c r="EX220">
        <v>0</v>
      </c>
      <c r="EY220">
        <v>0</v>
      </c>
      <c r="EZ220">
        <v>0</v>
      </c>
      <c r="FA220" s="187">
        <v>0</v>
      </c>
      <c r="FB220">
        <v>0</v>
      </c>
      <c r="FC220">
        <v>0</v>
      </c>
      <c r="FD220">
        <v>0</v>
      </c>
      <c r="FE220">
        <v>0</v>
      </c>
      <c r="FF220" s="187">
        <v>0</v>
      </c>
      <c r="FG220">
        <v>0</v>
      </c>
      <c r="FH220">
        <v>0</v>
      </c>
      <c r="FI220">
        <v>0</v>
      </c>
      <c r="FJ220">
        <v>0</v>
      </c>
      <c r="FK220" s="187">
        <v>21</v>
      </c>
      <c r="FL220">
        <v>1</v>
      </c>
      <c r="FM220">
        <v>0</v>
      </c>
      <c r="FN220">
        <v>7</v>
      </c>
    </row>
    <row r="221" spans="1:170" x14ac:dyDescent="0.35">
      <c r="A221" t="s">
        <v>828</v>
      </c>
      <c r="B221" t="s">
        <v>829</v>
      </c>
      <c r="C221" t="s">
        <v>2</v>
      </c>
      <c r="D221">
        <v>3773</v>
      </c>
      <c r="E221">
        <v>3813</v>
      </c>
      <c r="F221">
        <v>0</v>
      </c>
      <c r="G221">
        <v>0</v>
      </c>
      <c r="H221">
        <v>72</v>
      </c>
      <c r="I221">
        <v>64</v>
      </c>
      <c r="J221">
        <v>685</v>
      </c>
      <c r="K221">
        <v>568</v>
      </c>
      <c r="L221">
        <v>416</v>
      </c>
      <c r="M221">
        <v>100</v>
      </c>
      <c r="N221">
        <v>4946</v>
      </c>
      <c r="O221">
        <v>4545</v>
      </c>
      <c r="P221">
        <v>4530</v>
      </c>
      <c r="Q221">
        <v>6</v>
      </c>
      <c r="R221">
        <v>3</v>
      </c>
      <c r="S221">
        <v>20</v>
      </c>
      <c r="T221">
        <v>130</v>
      </c>
      <c r="U221">
        <v>4816</v>
      </c>
      <c r="V221" s="498">
        <v>3773</v>
      </c>
      <c r="W221">
        <v>17</v>
      </c>
      <c r="X221" s="498">
        <v>12</v>
      </c>
      <c r="Y221" s="498">
        <v>29</v>
      </c>
      <c r="Z221" s="498">
        <v>98.15</v>
      </c>
      <c r="AA221" s="498">
        <v>96.9</v>
      </c>
      <c r="AB221">
        <v>3.21</v>
      </c>
      <c r="AC221">
        <v>100.78</v>
      </c>
      <c r="AD221">
        <v>3134</v>
      </c>
      <c r="AE221">
        <v>86.86</v>
      </c>
      <c r="AF221">
        <v>80.88</v>
      </c>
      <c r="AG221">
        <v>45.42</v>
      </c>
      <c r="AH221">
        <v>131.69</v>
      </c>
      <c r="AI221">
        <v>621</v>
      </c>
      <c r="AJ221">
        <v>128.09</v>
      </c>
      <c r="AK221">
        <v>635</v>
      </c>
      <c r="AL221">
        <v>99.64</v>
      </c>
      <c r="AM221">
        <v>6</v>
      </c>
      <c r="AN221">
        <v>0</v>
      </c>
      <c r="AO221" s="499">
        <v>0</v>
      </c>
      <c r="AP221" s="499">
        <v>0</v>
      </c>
      <c r="AQ221">
        <v>0</v>
      </c>
      <c r="AR221">
        <v>0</v>
      </c>
      <c r="AS221">
        <v>71.84</v>
      </c>
      <c r="AT221">
        <v>69.790000000000006</v>
      </c>
      <c r="AU221">
        <v>10.39</v>
      </c>
      <c r="AV221">
        <v>81.760000000000005</v>
      </c>
      <c r="AW221">
        <v>22</v>
      </c>
      <c r="AX221">
        <v>81.38</v>
      </c>
      <c r="AY221">
        <v>79.31</v>
      </c>
      <c r="AZ221">
        <v>4.72</v>
      </c>
      <c r="BA221">
        <v>85.88</v>
      </c>
      <c r="BB221">
        <v>635</v>
      </c>
      <c r="BC221">
        <v>95.39</v>
      </c>
      <c r="BD221">
        <v>93.65</v>
      </c>
      <c r="BE221">
        <v>3.54</v>
      </c>
      <c r="BF221">
        <v>98.29</v>
      </c>
      <c r="BG221">
        <v>1211</v>
      </c>
      <c r="BH221">
        <v>108.59</v>
      </c>
      <c r="BI221">
        <v>108.31</v>
      </c>
      <c r="BJ221">
        <v>1.78</v>
      </c>
      <c r="BK221">
        <v>109.95</v>
      </c>
      <c r="BL221" s="214">
        <v>1169</v>
      </c>
      <c r="BM221" s="214">
        <v>121.32</v>
      </c>
      <c r="BN221">
        <v>119.81</v>
      </c>
      <c r="BO221" s="187">
        <v>1.42</v>
      </c>
      <c r="BP221" s="214">
        <v>122.2</v>
      </c>
      <c r="BQ221" s="214">
        <v>92</v>
      </c>
      <c r="BR221">
        <v>143.57</v>
      </c>
      <c r="BS221" s="187">
        <v>146.21</v>
      </c>
      <c r="BT221" s="214">
        <v>7.0000000000000007E-2</v>
      </c>
      <c r="BU221" s="214">
        <v>143.62</v>
      </c>
      <c r="BV221">
        <v>5</v>
      </c>
      <c r="BW221">
        <v>0</v>
      </c>
      <c r="BX221" s="214">
        <v>0</v>
      </c>
      <c r="BY221" s="214">
        <v>0</v>
      </c>
      <c r="BZ221">
        <v>0</v>
      </c>
      <c r="CA221" s="187">
        <v>0</v>
      </c>
      <c r="CB221" s="214">
        <v>98.15</v>
      </c>
      <c r="CC221" s="214">
        <v>96.9</v>
      </c>
      <c r="CD221">
        <v>3.21</v>
      </c>
      <c r="CE221" s="187">
        <v>100.78</v>
      </c>
      <c r="CF221" s="214">
        <v>3134</v>
      </c>
      <c r="CG221" s="214">
        <v>98.15</v>
      </c>
      <c r="CH221">
        <v>96.9</v>
      </c>
      <c r="CI221">
        <v>3.21</v>
      </c>
      <c r="CJ221">
        <v>100.78</v>
      </c>
      <c r="CK221">
        <v>3134</v>
      </c>
      <c r="CL221">
        <v>95.4</v>
      </c>
      <c r="CM221">
        <v>75.849999999999994</v>
      </c>
      <c r="CN221" s="187">
        <v>109.58</v>
      </c>
      <c r="CO221">
        <v>204.99</v>
      </c>
      <c r="CP221">
        <v>54</v>
      </c>
      <c r="CQ221">
        <v>61.56</v>
      </c>
      <c r="CR221">
        <v>58.19</v>
      </c>
      <c r="CS221" s="187">
        <v>14.17</v>
      </c>
      <c r="CT221">
        <v>75.73</v>
      </c>
      <c r="CU221">
        <v>44</v>
      </c>
      <c r="CV221">
        <v>87.15</v>
      </c>
      <c r="CW221">
        <v>82.15</v>
      </c>
      <c r="CX221" s="187">
        <v>40.909999999999997</v>
      </c>
      <c r="CY221">
        <v>127.47</v>
      </c>
      <c r="CZ221">
        <v>487</v>
      </c>
      <c r="DA221">
        <v>100.16</v>
      </c>
      <c r="DB221">
        <v>94.14</v>
      </c>
      <c r="DC221" s="187">
        <v>44.57</v>
      </c>
      <c r="DD221">
        <v>143.41999999999999</v>
      </c>
      <c r="DE221">
        <v>34</v>
      </c>
      <c r="DF221">
        <v>104.49</v>
      </c>
      <c r="DG221">
        <v>118.61</v>
      </c>
      <c r="DH221" s="187">
        <v>35.51</v>
      </c>
      <c r="DI221">
        <v>140</v>
      </c>
      <c r="DJ221">
        <v>1</v>
      </c>
      <c r="DK221">
        <v>127.83</v>
      </c>
      <c r="DL221">
        <v>127.83</v>
      </c>
      <c r="DM221" s="187">
        <v>158.16999999999999</v>
      </c>
      <c r="DN221">
        <v>286</v>
      </c>
      <c r="DO221">
        <v>1</v>
      </c>
      <c r="DP221">
        <v>86.04</v>
      </c>
      <c r="DQ221">
        <v>81.150000000000006</v>
      </c>
      <c r="DR221" s="187">
        <v>39.22</v>
      </c>
      <c r="DS221">
        <v>124.71</v>
      </c>
      <c r="DT221">
        <v>567</v>
      </c>
      <c r="DU221">
        <v>86.86</v>
      </c>
      <c r="DV221">
        <v>80.88</v>
      </c>
      <c r="DW221" s="187">
        <v>45.42</v>
      </c>
      <c r="DX221">
        <v>131.69</v>
      </c>
      <c r="DY221">
        <v>621</v>
      </c>
      <c r="DZ221">
        <v>0</v>
      </c>
      <c r="EA221">
        <v>0</v>
      </c>
      <c r="EB221" s="187">
        <v>92.06</v>
      </c>
      <c r="EC221">
        <v>1</v>
      </c>
      <c r="ED221">
        <v>101.61</v>
      </c>
      <c r="EE221">
        <v>177</v>
      </c>
      <c r="EF221">
        <v>125.33</v>
      </c>
      <c r="EG221" s="187">
        <v>285</v>
      </c>
      <c r="EH221">
        <v>155.13</v>
      </c>
      <c r="EI221">
        <v>151</v>
      </c>
      <c r="EJ221">
        <v>198.06</v>
      </c>
      <c r="EK221">
        <v>20</v>
      </c>
      <c r="EL221" s="187">
        <v>151.83000000000001</v>
      </c>
      <c r="EM221">
        <v>1</v>
      </c>
      <c r="EN221">
        <v>0</v>
      </c>
      <c r="EO221">
        <v>0</v>
      </c>
      <c r="EP221">
        <v>128.09</v>
      </c>
      <c r="EQ221" s="187">
        <v>635</v>
      </c>
      <c r="ER221">
        <v>128.09</v>
      </c>
      <c r="ES221">
        <v>635</v>
      </c>
      <c r="ET221">
        <v>0</v>
      </c>
      <c r="EU221">
        <v>0</v>
      </c>
      <c r="EV221" s="187">
        <v>0</v>
      </c>
      <c r="EW221">
        <v>0</v>
      </c>
      <c r="EX221">
        <v>99.64</v>
      </c>
      <c r="EY221">
        <v>6</v>
      </c>
      <c r="EZ221">
        <v>0</v>
      </c>
      <c r="FA221" s="187">
        <v>0</v>
      </c>
      <c r="FB221">
        <v>0</v>
      </c>
      <c r="FC221">
        <v>0</v>
      </c>
      <c r="FD221">
        <v>0</v>
      </c>
      <c r="FE221">
        <v>0</v>
      </c>
      <c r="FF221" s="187">
        <v>99.64</v>
      </c>
      <c r="FG221">
        <v>6</v>
      </c>
      <c r="FH221">
        <v>99.64</v>
      </c>
      <c r="FI221">
        <v>6</v>
      </c>
      <c r="FJ221">
        <v>0</v>
      </c>
      <c r="FK221" s="187">
        <v>6</v>
      </c>
      <c r="FL221">
        <v>7</v>
      </c>
      <c r="FM221">
        <v>83</v>
      </c>
      <c r="FN221">
        <v>11</v>
      </c>
    </row>
    <row r="222" spans="1:170" x14ac:dyDescent="0.35">
      <c r="A222" t="s">
        <v>830</v>
      </c>
      <c r="B222" t="s">
        <v>831</v>
      </c>
      <c r="C222" t="s">
        <v>1048</v>
      </c>
      <c r="D222">
        <v>3487</v>
      </c>
      <c r="E222">
        <v>3431</v>
      </c>
      <c r="F222">
        <v>0</v>
      </c>
      <c r="G222">
        <v>0</v>
      </c>
      <c r="H222">
        <v>492</v>
      </c>
      <c r="I222">
        <v>386</v>
      </c>
      <c r="J222">
        <v>858</v>
      </c>
      <c r="K222">
        <v>880</v>
      </c>
      <c r="L222">
        <v>344</v>
      </c>
      <c r="M222">
        <v>0</v>
      </c>
      <c r="N222">
        <v>5181</v>
      </c>
      <c r="O222">
        <v>4697</v>
      </c>
      <c r="P222">
        <v>4837</v>
      </c>
      <c r="Q222">
        <v>1</v>
      </c>
      <c r="R222">
        <v>5</v>
      </c>
      <c r="S222">
        <v>24</v>
      </c>
      <c r="T222">
        <v>111</v>
      </c>
      <c r="U222">
        <v>5070</v>
      </c>
      <c r="V222" s="498">
        <v>3431</v>
      </c>
      <c r="W222">
        <v>41</v>
      </c>
      <c r="X222" s="498">
        <v>18</v>
      </c>
      <c r="Y222" s="498">
        <v>59</v>
      </c>
      <c r="Z222" s="498">
        <v>83.92</v>
      </c>
      <c r="AA222" s="498">
        <v>81.069999999999993</v>
      </c>
      <c r="AB222">
        <v>7.73</v>
      </c>
      <c r="AC222">
        <v>88.08</v>
      </c>
      <c r="AD222">
        <v>2782</v>
      </c>
      <c r="AE222">
        <v>93.93</v>
      </c>
      <c r="AF222">
        <v>74.739999999999995</v>
      </c>
      <c r="AG222">
        <v>45.16</v>
      </c>
      <c r="AH222">
        <v>135.34</v>
      </c>
      <c r="AI222">
        <v>1275</v>
      </c>
      <c r="AJ222">
        <v>103.61</v>
      </c>
      <c r="AK222">
        <v>604</v>
      </c>
      <c r="AL222">
        <v>168.35</v>
      </c>
      <c r="AM222">
        <v>42</v>
      </c>
      <c r="AN222">
        <v>0</v>
      </c>
      <c r="AO222" s="499">
        <v>0</v>
      </c>
      <c r="AP222" s="499">
        <v>0</v>
      </c>
      <c r="AQ222">
        <v>0</v>
      </c>
      <c r="AR222">
        <v>0</v>
      </c>
      <c r="AS222">
        <v>60.33</v>
      </c>
      <c r="AT222">
        <v>57.48</v>
      </c>
      <c r="AU222">
        <v>6.36</v>
      </c>
      <c r="AV222">
        <v>66.69</v>
      </c>
      <c r="AW222">
        <v>1</v>
      </c>
      <c r="AX222">
        <v>71.069999999999993</v>
      </c>
      <c r="AY222">
        <v>69.09</v>
      </c>
      <c r="AZ222">
        <v>8.52</v>
      </c>
      <c r="BA222">
        <v>78.959999999999994</v>
      </c>
      <c r="BB222">
        <v>690</v>
      </c>
      <c r="BC222">
        <v>83.58</v>
      </c>
      <c r="BD222">
        <v>80.790000000000006</v>
      </c>
      <c r="BE222">
        <v>8.42</v>
      </c>
      <c r="BF222">
        <v>88.09</v>
      </c>
      <c r="BG222">
        <v>1215</v>
      </c>
      <c r="BH222">
        <v>93.37</v>
      </c>
      <c r="BI222">
        <v>89.9</v>
      </c>
      <c r="BJ222">
        <v>3.26</v>
      </c>
      <c r="BK222">
        <v>94.09</v>
      </c>
      <c r="BL222" s="214">
        <v>788</v>
      </c>
      <c r="BM222" s="214">
        <v>104.74</v>
      </c>
      <c r="BN222">
        <v>101.24</v>
      </c>
      <c r="BO222" s="187">
        <v>2.09</v>
      </c>
      <c r="BP222" s="214">
        <v>105.5</v>
      </c>
      <c r="BQ222" s="214">
        <v>82</v>
      </c>
      <c r="BR222">
        <v>108.95</v>
      </c>
      <c r="BS222" s="187">
        <v>111.94</v>
      </c>
      <c r="BT222" s="214">
        <v>0</v>
      </c>
      <c r="BU222" s="214">
        <v>108.95</v>
      </c>
      <c r="BV222">
        <v>6</v>
      </c>
      <c r="BW222">
        <v>0</v>
      </c>
      <c r="BX222" s="214">
        <v>0</v>
      </c>
      <c r="BY222" s="214">
        <v>0</v>
      </c>
      <c r="BZ222">
        <v>0</v>
      </c>
      <c r="CA222" s="187">
        <v>0</v>
      </c>
      <c r="CB222" s="214">
        <v>83.92</v>
      </c>
      <c r="CC222" s="214">
        <v>81.069999999999993</v>
      </c>
      <c r="CD222">
        <v>7.73</v>
      </c>
      <c r="CE222" s="187">
        <v>88.08</v>
      </c>
      <c r="CF222" s="214">
        <v>2782</v>
      </c>
      <c r="CG222" s="214">
        <v>83.92</v>
      </c>
      <c r="CH222">
        <v>81.069999999999993</v>
      </c>
      <c r="CI222">
        <v>7.73</v>
      </c>
      <c r="CJ222">
        <v>88.08</v>
      </c>
      <c r="CK222">
        <v>2782</v>
      </c>
      <c r="CL222">
        <v>138.16999999999999</v>
      </c>
      <c r="CM222">
        <v>66.31</v>
      </c>
      <c r="CN222" s="187">
        <v>19.11</v>
      </c>
      <c r="CO222">
        <v>156.01</v>
      </c>
      <c r="CP222">
        <v>196</v>
      </c>
      <c r="CQ222">
        <v>70.680000000000007</v>
      </c>
      <c r="CR222">
        <v>64.45</v>
      </c>
      <c r="CS222" s="187">
        <v>107.37</v>
      </c>
      <c r="CT222">
        <v>178.05</v>
      </c>
      <c r="CU222">
        <v>76</v>
      </c>
      <c r="CV222">
        <v>83.91</v>
      </c>
      <c r="CW222">
        <v>73.75</v>
      </c>
      <c r="CX222" s="187">
        <v>42.67</v>
      </c>
      <c r="CY222">
        <v>125.23</v>
      </c>
      <c r="CZ222">
        <v>628</v>
      </c>
      <c r="DA222">
        <v>90</v>
      </c>
      <c r="DB222">
        <v>80.599999999999994</v>
      </c>
      <c r="DC222" s="187">
        <v>47.78</v>
      </c>
      <c r="DD222">
        <v>128.22999999999999</v>
      </c>
      <c r="DE222">
        <v>350</v>
      </c>
      <c r="DF222">
        <v>122.51</v>
      </c>
      <c r="DG222">
        <v>94.07</v>
      </c>
      <c r="DH222" s="187">
        <v>81.069999999999993</v>
      </c>
      <c r="DI222">
        <v>193.45</v>
      </c>
      <c r="DJ222">
        <v>24</v>
      </c>
      <c r="DK222">
        <v>173.45</v>
      </c>
      <c r="DL222">
        <v>0</v>
      </c>
      <c r="DM222" s="187">
        <v>104.22</v>
      </c>
      <c r="DN222">
        <v>277.67</v>
      </c>
      <c r="DO222">
        <v>1</v>
      </c>
      <c r="DP222">
        <v>85.9</v>
      </c>
      <c r="DQ222">
        <v>75.42</v>
      </c>
      <c r="DR222" s="187">
        <v>49.99</v>
      </c>
      <c r="DS222">
        <v>131.58000000000001</v>
      </c>
      <c r="DT222">
        <v>1079</v>
      </c>
      <c r="DU222">
        <v>93.93</v>
      </c>
      <c r="DV222">
        <v>74.739999999999995</v>
      </c>
      <c r="DW222" s="187">
        <v>45.16</v>
      </c>
      <c r="DX222">
        <v>135.34</v>
      </c>
      <c r="DY222">
        <v>1275</v>
      </c>
      <c r="DZ222">
        <v>0</v>
      </c>
      <c r="EA222">
        <v>0</v>
      </c>
      <c r="EB222" s="187">
        <v>0</v>
      </c>
      <c r="EC222">
        <v>0</v>
      </c>
      <c r="ED222">
        <v>87.06</v>
      </c>
      <c r="EE222">
        <v>75</v>
      </c>
      <c r="EF222">
        <v>101.75</v>
      </c>
      <c r="EG222" s="187">
        <v>365</v>
      </c>
      <c r="EH222">
        <v>113</v>
      </c>
      <c r="EI222">
        <v>146</v>
      </c>
      <c r="EJ222">
        <v>134.18</v>
      </c>
      <c r="EK222">
        <v>18</v>
      </c>
      <c r="EL222" s="187">
        <v>0</v>
      </c>
      <c r="EM222">
        <v>0</v>
      </c>
      <c r="EN222">
        <v>0</v>
      </c>
      <c r="EO222">
        <v>0</v>
      </c>
      <c r="EP222">
        <v>103.61</v>
      </c>
      <c r="EQ222" s="187">
        <v>604</v>
      </c>
      <c r="ER222">
        <v>103.61</v>
      </c>
      <c r="ES222">
        <v>604</v>
      </c>
      <c r="ET222">
        <v>189.66</v>
      </c>
      <c r="EU222">
        <v>17</v>
      </c>
      <c r="EV222" s="187">
        <v>0</v>
      </c>
      <c r="EW222">
        <v>0</v>
      </c>
      <c r="EX222">
        <v>187.9</v>
      </c>
      <c r="EY222">
        <v>5</v>
      </c>
      <c r="EZ222">
        <v>145.34</v>
      </c>
      <c r="FA222" s="187">
        <v>20</v>
      </c>
      <c r="FB222">
        <v>0</v>
      </c>
      <c r="FC222">
        <v>0</v>
      </c>
      <c r="FD222">
        <v>0</v>
      </c>
      <c r="FE222">
        <v>0</v>
      </c>
      <c r="FF222" s="187">
        <v>153.85</v>
      </c>
      <c r="FG222">
        <v>25</v>
      </c>
      <c r="FH222">
        <v>168.35</v>
      </c>
      <c r="FI222">
        <v>42</v>
      </c>
      <c r="FJ222">
        <v>0</v>
      </c>
      <c r="FK222" s="187">
        <v>0</v>
      </c>
      <c r="FL222">
        <v>5</v>
      </c>
      <c r="FM222">
        <v>7</v>
      </c>
      <c r="FN222">
        <v>5</v>
      </c>
    </row>
    <row r="223" spans="1:170" x14ac:dyDescent="0.35">
      <c r="A223" t="s">
        <v>832</v>
      </c>
      <c r="B223" t="s">
        <v>833</v>
      </c>
      <c r="C223" t="s">
        <v>420</v>
      </c>
      <c r="D223">
        <v>2675</v>
      </c>
      <c r="E223">
        <v>2663</v>
      </c>
      <c r="F223">
        <v>0</v>
      </c>
      <c r="G223">
        <v>0</v>
      </c>
      <c r="H223">
        <v>35</v>
      </c>
      <c r="I223">
        <v>14</v>
      </c>
      <c r="J223">
        <v>239</v>
      </c>
      <c r="K223">
        <v>213</v>
      </c>
      <c r="L223">
        <v>745</v>
      </c>
      <c r="M223">
        <v>233</v>
      </c>
      <c r="N223">
        <v>3694</v>
      </c>
      <c r="O223">
        <v>3123</v>
      </c>
      <c r="P223">
        <v>2949</v>
      </c>
      <c r="Q223">
        <v>1</v>
      </c>
      <c r="R223">
        <v>5</v>
      </c>
      <c r="S223">
        <v>23</v>
      </c>
      <c r="T223">
        <v>92</v>
      </c>
      <c r="U223">
        <v>3602</v>
      </c>
      <c r="V223" s="498">
        <v>2626</v>
      </c>
      <c r="W223">
        <v>34</v>
      </c>
      <c r="X223" s="498">
        <v>40</v>
      </c>
      <c r="Y223" s="498">
        <v>74</v>
      </c>
      <c r="Z223" s="498">
        <v>102.4</v>
      </c>
      <c r="AA223" s="498">
        <v>100.1</v>
      </c>
      <c r="AB223">
        <v>6.04</v>
      </c>
      <c r="AC223">
        <v>106.93</v>
      </c>
      <c r="AD223">
        <v>2261</v>
      </c>
      <c r="AE223">
        <v>102.31</v>
      </c>
      <c r="AF223">
        <v>92.66</v>
      </c>
      <c r="AG223">
        <v>45.62</v>
      </c>
      <c r="AH223">
        <v>147.13999999999999</v>
      </c>
      <c r="AI223">
        <v>231</v>
      </c>
      <c r="AJ223">
        <v>131.5</v>
      </c>
      <c r="AK223">
        <v>363</v>
      </c>
      <c r="AL223">
        <v>0</v>
      </c>
      <c r="AM223">
        <v>0</v>
      </c>
      <c r="AN223">
        <v>0</v>
      </c>
      <c r="AO223" s="499">
        <v>0</v>
      </c>
      <c r="AP223" s="499">
        <v>0</v>
      </c>
      <c r="AQ223">
        <v>0</v>
      </c>
      <c r="AR223">
        <v>0</v>
      </c>
      <c r="AS223">
        <v>68.55</v>
      </c>
      <c r="AT223">
        <v>66.569999999999993</v>
      </c>
      <c r="AU223">
        <v>11.07</v>
      </c>
      <c r="AV223">
        <v>79.62</v>
      </c>
      <c r="AW223">
        <v>44</v>
      </c>
      <c r="AX223">
        <v>84.35</v>
      </c>
      <c r="AY223">
        <v>81.81</v>
      </c>
      <c r="AZ223">
        <v>9.75</v>
      </c>
      <c r="BA223">
        <v>93.69</v>
      </c>
      <c r="BB223">
        <v>284</v>
      </c>
      <c r="BC223">
        <v>100.62</v>
      </c>
      <c r="BD223">
        <v>97.58</v>
      </c>
      <c r="BE223">
        <v>6.71</v>
      </c>
      <c r="BF223">
        <v>105.69</v>
      </c>
      <c r="BG223">
        <v>980</v>
      </c>
      <c r="BH223">
        <v>109.95</v>
      </c>
      <c r="BI223">
        <v>108.58</v>
      </c>
      <c r="BJ223">
        <v>3.32</v>
      </c>
      <c r="BK223">
        <v>112.16</v>
      </c>
      <c r="BL223" s="214">
        <v>889</v>
      </c>
      <c r="BM223" s="214">
        <v>127.96</v>
      </c>
      <c r="BN223">
        <v>124.35</v>
      </c>
      <c r="BO223" s="187">
        <v>3.23</v>
      </c>
      <c r="BP223" s="214">
        <v>130.12</v>
      </c>
      <c r="BQ223" s="214">
        <v>63</v>
      </c>
      <c r="BR223">
        <v>156.16</v>
      </c>
      <c r="BS223" s="187">
        <v>148.72999999999999</v>
      </c>
      <c r="BT223" s="214">
        <v>7.59</v>
      </c>
      <c r="BU223" s="214">
        <v>163.75</v>
      </c>
      <c r="BV223">
        <v>1</v>
      </c>
      <c r="BW223">
        <v>0</v>
      </c>
      <c r="BX223" s="214">
        <v>0</v>
      </c>
      <c r="BY223" s="214">
        <v>0</v>
      </c>
      <c r="BZ223">
        <v>0</v>
      </c>
      <c r="CA223" s="187">
        <v>0</v>
      </c>
      <c r="CB223" s="214">
        <v>102.4</v>
      </c>
      <c r="CC223" s="214">
        <v>100.1</v>
      </c>
      <c r="CD223">
        <v>6.04</v>
      </c>
      <c r="CE223" s="187">
        <v>106.93</v>
      </c>
      <c r="CF223" s="214">
        <v>2261</v>
      </c>
      <c r="CG223" s="214">
        <v>102.4</v>
      </c>
      <c r="CH223">
        <v>100.1</v>
      </c>
      <c r="CI223">
        <v>6.04</v>
      </c>
      <c r="CJ223">
        <v>106.93</v>
      </c>
      <c r="CK223">
        <v>2261</v>
      </c>
      <c r="CL223">
        <v>91.55</v>
      </c>
      <c r="CM223">
        <v>57.42</v>
      </c>
      <c r="CN223" s="187">
        <v>97.81</v>
      </c>
      <c r="CO223">
        <v>180.47</v>
      </c>
      <c r="CP223">
        <v>11</v>
      </c>
      <c r="CQ223">
        <v>71.72</v>
      </c>
      <c r="CR223">
        <v>65.61</v>
      </c>
      <c r="CS223" s="187">
        <v>42.83</v>
      </c>
      <c r="CT223">
        <v>104.67</v>
      </c>
      <c r="CU223">
        <v>13</v>
      </c>
      <c r="CV223">
        <v>88.1</v>
      </c>
      <c r="CW223">
        <v>79.45</v>
      </c>
      <c r="CX223" s="187">
        <v>38.04</v>
      </c>
      <c r="CY223">
        <v>126.14</v>
      </c>
      <c r="CZ223">
        <v>113</v>
      </c>
      <c r="DA223">
        <v>124.87</v>
      </c>
      <c r="DB223">
        <v>114.61</v>
      </c>
      <c r="DC223" s="187">
        <v>49.48</v>
      </c>
      <c r="DD223">
        <v>174.35</v>
      </c>
      <c r="DE223">
        <v>94</v>
      </c>
      <c r="DF223">
        <v>0</v>
      </c>
      <c r="DG223">
        <v>0</v>
      </c>
      <c r="DH223" s="187">
        <v>0</v>
      </c>
      <c r="DI223">
        <v>0</v>
      </c>
      <c r="DJ223">
        <v>0</v>
      </c>
      <c r="DK223">
        <v>0</v>
      </c>
      <c r="DL223">
        <v>0</v>
      </c>
      <c r="DM223" s="187">
        <v>0</v>
      </c>
      <c r="DN223">
        <v>0</v>
      </c>
      <c r="DO223">
        <v>0</v>
      </c>
      <c r="DP223">
        <v>102.85</v>
      </c>
      <c r="DQ223">
        <v>93.79</v>
      </c>
      <c r="DR223" s="187">
        <v>43.21</v>
      </c>
      <c r="DS223">
        <v>145.47</v>
      </c>
      <c r="DT223">
        <v>220</v>
      </c>
      <c r="DU223">
        <v>102.31</v>
      </c>
      <c r="DV223">
        <v>92.66</v>
      </c>
      <c r="DW223" s="187">
        <v>45.62</v>
      </c>
      <c r="DX223">
        <v>147.13999999999999</v>
      </c>
      <c r="DY223">
        <v>231</v>
      </c>
      <c r="DZ223">
        <v>0</v>
      </c>
      <c r="EA223">
        <v>0</v>
      </c>
      <c r="EB223" s="187">
        <v>93.89</v>
      </c>
      <c r="EC223">
        <v>1</v>
      </c>
      <c r="ED223">
        <v>100.34</v>
      </c>
      <c r="EE223">
        <v>35</v>
      </c>
      <c r="EF223">
        <v>126.5</v>
      </c>
      <c r="EG223" s="187">
        <v>212</v>
      </c>
      <c r="EH223">
        <v>148.55000000000001</v>
      </c>
      <c r="EI223">
        <v>110</v>
      </c>
      <c r="EJ223">
        <v>193.98</v>
      </c>
      <c r="EK223">
        <v>5</v>
      </c>
      <c r="EL223" s="187">
        <v>0</v>
      </c>
      <c r="EM223">
        <v>0</v>
      </c>
      <c r="EN223">
        <v>0</v>
      </c>
      <c r="EO223">
        <v>0</v>
      </c>
      <c r="EP223">
        <v>131.5</v>
      </c>
      <c r="EQ223" s="187">
        <v>363</v>
      </c>
      <c r="ER223">
        <v>131.5</v>
      </c>
      <c r="ES223">
        <v>363</v>
      </c>
      <c r="ET223">
        <v>0</v>
      </c>
      <c r="EU223">
        <v>0</v>
      </c>
      <c r="EV223" s="187">
        <v>0</v>
      </c>
      <c r="EW223">
        <v>0</v>
      </c>
      <c r="EX223">
        <v>0</v>
      </c>
      <c r="EY223">
        <v>0</v>
      </c>
      <c r="EZ223">
        <v>0</v>
      </c>
      <c r="FA223" s="187">
        <v>0</v>
      </c>
      <c r="FB223">
        <v>0</v>
      </c>
      <c r="FC223">
        <v>0</v>
      </c>
      <c r="FD223">
        <v>0</v>
      </c>
      <c r="FE223">
        <v>0</v>
      </c>
      <c r="FF223" s="187">
        <v>0</v>
      </c>
      <c r="FG223">
        <v>0</v>
      </c>
      <c r="FH223">
        <v>0</v>
      </c>
      <c r="FI223">
        <v>0</v>
      </c>
      <c r="FJ223">
        <v>0</v>
      </c>
      <c r="FK223" s="187">
        <v>2</v>
      </c>
      <c r="FL223">
        <v>0</v>
      </c>
      <c r="FM223">
        <v>71</v>
      </c>
      <c r="FN223">
        <v>17</v>
      </c>
    </row>
    <row r="224" spans="1:170" x14ac:dyDescent="0.35">
      <c r="A224" t="s">
        <v>834</v>
      </c>
      <c r="B224" t="s">
        <v>835</v>
      </c>
      <c r="C224" t="s">
        <v>2</v>
      </c>
      <c r="D224">
        <v>1374</v>
      </c>
      <c r="E224">
        <v>1359</v>
      </c>
      <c r="F224">
        <v>282</v>
      </c>
      <c r="G224">
        <v>282</v>
      </c>
      <c r="H224">
        <v>91</v>
      </c>
      <c r="I224">
        <v>28</v>
      </c>
      <c r="J224">
        <v>286</v>
      </c>
      <c r="K224">
        <v>286</v>
      </c>
      <c r="L224">
        <v>399</v>
      </c>
      <c r="M224">
        <v>190</v>
      </c>
      <c r="N224">
        <v>2432</v>
      </c>
      <c r="O224">
        <v>2145</v>
      </c>
      <c r="P224">
        <v>2033</v>
      </c>
      <c r="Q224">
        <v>8</v>
      </c>
      <c r="R224">
        <v>5</v>
      </c>
      <c r="S224">
        <v>19</v>
      </c>
      <c r="T224">
        <v>116</v>
      </c>
      <c r="U224">
        <v>2316</v>
      </c>
      <c r="V224" s="498">
        <v>1314</v>
      </c>
      <c r="W224">
        <v>15</v>
      </c>
      <c r="X224" s="498">
        <v>38</v>
      </c>
      <c r="Y224" s="498">
        <v>53</v>
      </c>
      <c r="Z224" s="498">
        <v>123.5</v>
      </c>
      <c r="AA224" s="498">
        <v>120.7</v>
      </c>
      <c r="AB224">
        <v>10.78</v>
      </c>
      <c r="AC224">
        <v>132.63999999999999</v>
      </c>
      <c r="AD224">
        <v>858</v>
      </c>
      <c r="AE224">
        <v>116.42</v>
      </c>
      <c r="AF224">
        <v>107.36</v>
      </c>
      <c r="AG224">
        <v>25.46</v>
      </c>
      <c r="AH224">
        <v>141.07</v>
      </c>
      <c r="AI224">
        <v>311</v>
      </c>
      <c r="AJ224">
        <v>212.03</v>
      </c>
      <c r="AK224">
        <v>314</v>
      </c>
      <c r="AL224">
        <v>169.12</v>
      </c>
      <c r="AM224">
        <v>39</v>
      </c>
      <c r="AN224">
        <v>0</v>
      </c>
      <c r="AO224" s="499">
        <v>0</v>
      </c>
      <c r="AP224" s="499">
        <v>0</v>
      </c>
      <c r="AQ224">
        <v>0</v>
      </c>
      <c r="AR224">
        <v>0</v>
      </c>
      <c r="AS224">
        <v>84.51</v>
      </c>
      <c r="AT224">
        <v>81.2</v>
      </c>
      <c r="AU224">
        <v>7.23</v>
      </c>
      <c r="AV224">
        <v>91.74</v>
      </c>
      <c r="AW224">
        <v>8</v>
      </c>
      <c r="AX224">
        <v>104.83</v>
      </c>
      <c r="AY224">
        <v>101.2</v>
      </c>
      <c r="AZ224">
        <v>11.59</v>
      </c>
      <c r="BA224">
        <v>116.04</v>
      </c>
      <c r="BB224">
        <v>243</v>
      </c>
      <c r="BC224">
        <v>125.69</v>
      </c>
      <c r="BD224">
        <v>122.87</v>
      </c>
      <c r="BE224">
        <v>12.79</v>
      </c>
      <c r="BF224">
        <v>136.54</v>
      </c>
      <c r="BG224">
        <v>390</v>
      </c>
      <c r="BH224">
        <v>141.43</v>
      </c>
      <c r="BI224">
        <v>139.68</v>
      </c>
      <c r="BJ224">
        <v>5.34</v>
      </c>
      <c r="BK224">
        <v>145.16999999999999</v>
      </c>
      <c r="BL224" s="214">
        <v>204</v>
      </c>
      <c r="BM224" s="214">
        <v>149.41999999999999</v>
      </c>
      <c r="BN224">
        <v>146.68</v>
      </c>
      <c r="BO224" s="187">
        <v>6</v>
      </c>
      <c r="BP224" s="214">
        <v>154.03</v>
      </c>
      <c r="BQ224" s="214">
        <v>13</v>
      </c>
      <c r="BR224">
        <v>0</v>
      </c>
      <c r="BS224" s="187">
        <v>0</v>
      </c>
      <c r="BT224" s="214">
        <v>0</v>
      </c>
      <c r="BU224" s="214">
        <v>0</v>
      </c>
      <c r="BV224">
        <v>0</v>
      </c>
      <c r="BW224">
        <v>0</v>
      </c>
      <c r="BX224" s="214">
        <v>0</v>
      </c>
      <c r="BY224" s="214">
        <v>0</v>
      </c>
      <c r="BZ224">
        <v>0</v>
      </c>
      <c r="CA224" s="187">
        <v>0</v>
      </c>
      <c r="CB224" s="214">
        <v>123.5</v>
      </c>
      <c r="CC224" s="214">
        <v>120.7</v>
      </c>
      <c r="CD224">
        <v>10.78</v>
      </c>
      <c r="CE224" s="187">
        <v>132.63999999999999</v>
      </c>
      <c r="CF224" s="214">
        <v>858</v>
      </c>
      <c r="CG224" s="214">
        <v>123.5</v>
      </c>
      <c r="CH224">
        <v>120.7</v>
      </c>
      <c r="CI224">
        <v>10.78</v>
      </c>
      <c r="CJ224">
        <v>132.63999999999999</v>
      </c>
      <c r="CK224">
        <v>858</v>
      </c>
      <c r="CL224">
        <v>95.86</v>
      </c>
      <c r="CM224">
        <v>74.23</v>
      </c>
      <c r="CN224" s="187">
        <v>65.260000000000005</v>
      </c>
      <c r="CO224">
        <v>161.12</v>
      </c>
      <c r="CP224">
        <v>10</v>
      </c>
      <c r="CQ224">
        <v>96.34</v>
      </c>
      <c r="CR224">
        <v>94.17</v>
      </c>
      <c r="CS224" s="187">
        <v>17.809999999999999</v>
      </c>
      <c r="CT224">
        <v>109.7</v>
      </c>
      <c r="CU224">
        <v>28</v>
      </c>
      <c r="CV224">
        <v>118.67</v>
      </c>
      <c r="CW224">
        <v>109.15</v>
      </c>
      <c r="CX224" s="187">
        <v>24.79</v>
      </c>
      <c r="CY224">
        <v>143.27000000000001</v>
      </c>
      <c r="CZ224">
        <v>255</v>
      </c>
      <c r="DA224">
        <v>127.18</v>
      </c>
      <c r="DB224">
        <v>117.39</v>
      </c>
      <c r="DC224" s="187">
        <v>21.52</v>
      </c>
      <c r="DD224">
        <v>147.51</v>
      </c>
      <c r="DE224">
        <v>18</v>
      </c>
      <c r="DF224">
        <v>0</v>
      </c>
      <c r="DG224">
        <v>0</v>
      </c>
      <c r="DH224" s="187">
        <v>0</v>
      </c>
      <c r="DI224">
        <v>0</v>
      </c>
      <c r="DJ224">
        <v>0</v>
      </c>
      <c r="DK224">
        <v>0</v>
      </c>
      <c r="DL224">
        <v>0</v>
      </c>
      <c r="DM224" s="187">
        <v>0</v>
      </c>
      <c r="DN224">
        <v>0</v>
      </c>
      <c r="DO224">
        <v>0</v>
      </c>
      <c r="DP224">
        <v>117.11</v>
      </c>
      <c r="DQ224">
        <v>108.25</v>
      </c>
      <c r="DR224" s="187">
        <v>24.1</v>
      </c>
      <c r="DS224">
        <v>140.4</v>
      </c>
      <c r="DT224">
        <v>301</v>
      </c>
      <c r="DU224">
        <v>116.42</v>
      </c>
      <c r="DV224">
        <v>107.36</v>
      </c>
      <c r="DW224" s="187">
        <v>25.46</v>
      </c>
      <c r="DX224">
        <v>141.07</v>
      </c>
      <c r="DY224">
        <v>311</v>
      </c>
      <c r="DZ224">
        <v>0</v>
      </c>
      <c r="EA224">
        <v>0</v>
      </c>
      <c r="EB224" s="187">
        <v>0</v>
      </c>
      <c r="EC224">
        <v>0</v>
      </c>
      <c r="ED224">
        <v>170.06</v>
      </c>
      <c r="EE224">
        <v>69</v>
      </c>
      <c r="EF224">
        <v>219.48</v>
      </c>
      <c r="EG224" s="187">
        <v>201</v>
      </c>
      <c r="EH224">
        <v>237.02</v>
      </c>
      <c r="EI224">
        <v>36</v>
      </c>
      <c r="EJ224">
        <v>274.45</v>
      </c>
      <c r="EK224">
        <v>8</v>
      </c>
      <c r="EL224" s="187">
        <v>0</v>
      </c>
      <c r="EM224">
        <v>0</v>
      </c>
      <c r="EN224">
        <v>0</v>
      </c>
      <c r="EO224">
        <v>0</v>
      </c>
      <c r="EP224">
        <v>212.03</v>
      </c>
      <c r="EQ224" s="187">
        <v>314</v>
      </c>
      <c r="ER224">
        <v>212.03</v>
      </c>
      <c r="ES224">
        <v>314</v>
      </c>
      <c r="ET224">
        <v>0</v>
      </c>
      <c r="EU224">
        <v>0</v>
      </c>
      <c r="EV224" s="187">
        <v>0</v>
      </c>
      <c r="EW224">
        <v>0</v>
      </c>
      <c r="EX224">
        <v>166.21</v>
      </c>
      <c r="EY224">
        <v>37</v>
      </c>
      <c r="EZ224">
        <v>222.97</v>
      </c>
      <c r="FA224" s="187">
        <v>2</v>
      </c>
      <c r="FB224">
        <v>0</v>
      </c>
      <c r="FC224">
        <v>0</v>
      </c>
      <c r="FD224">
        <v>0</v>
      </c>
      <c r="FE224">
        <v>0</v>
      </c>
      <c r="FF224" s="187">
        <v>169.12</v>
      </c>
      <c r="FG224">
        <v>39</v>
      </c>
      <c r="FH224">
        <v>169.12</v>
      </c>
      <c r="FI224">
        <v>39</v>
      </c>
      <c r="FJ224">
        <v>0</v>
      </c>
      <c r="FK224" s="187">
        <v>0</v>
      </c>
      <c r="FL224">
        <v>3</v>
      </c>
      <c r="FM224">
        <v>7</v>
      </c>
      <c r="FN224">
        <v>15</v>
      </c>
    </row>
    <row r="225" spans="1:170" x14ac:dyDescent="0.35">
      <c r="A225" t="s">
        <v>836</v>
      </c>
      <c r="B225" t="s">
        <v>837</v>
      </c>
      <c r="C225" t="s">
        <v>414</v>
      </c>
      <c r="D225">
        <v>3102</v>
      </c>
      <c r="E225">
        <v>3060</v>
      </c>
      <c r="F225">
        <v>0</v>
      </c>
      <c r="G225">
        <v>0</v>
      </c>
      <c r="H225">
        <v>100</v>
      </c>
      <c r="I225">
        <v>94</v>
      </c>
      <c r="J225">
        <v>1398</v>
      </c>
      <c r="K225">
        <v>1386</v>
      </c>
      <c r="L225">
        <v>567</v>
      </c>
      <c r="M225">
        <v>0</v>
      </c>
      <c r="N225">
        <v>5167</v>
      </c>
      <c r="O225">
        <v>4540</v>
      </c>
      <c r="P225">
        <v>4600</v>
      </c>
      <c r="Q225">
        <v>4</v>
      </c>
      <c r="R225">
        <v>3</v>
      </c>
      <c r="S225">
        <v>26</v>
      </c>
      <c r="T225">
        <v>15</v>
      </c>
      <c r="U225">
        <v>5152</v>
      </c>
      <c r="V225" s="498">
        <v>3102</v>
      </c>
      <c r="W225">
        <v>43</v>
      </c>
      <c r="X225" s="498">
        <v>26</v>
      </c>
      <c r="Y225" s="498">
        <v>69</v>
      </c>
      <c r="Z225" s="498">
        <v>98.35</v>
      </c>
      <c r="AA225" s="498">
        <v>98.07</v>
      </c>
      <c r="AB225">
        <v>5.14</v>
      </c>
      <c r="AC225">
        <v>100.42</v>
      </c>
      <c r="AD225">
        <v>2698</v>
      </c>
      <c r="AE225">
        <v>97.17</v>
      </c>
      <c r="AF225">
        <v>93.4</v>
      </c>
      <c r="AG225">
        <v>21.88</v>
      </c>
      <c r="AH225">
        <v>118.74</v>
      </c>
      <c r="AI225">
        <v>1472</v>
      </c>
      <c r="AJ225">
        <v>117.6</v>
      </c>
      <c r="AK225">
        <v>396</v>
      </c>
      <c r="AL225">
        <v>124.08</v>
      </c>
      <c r="AM225">
        <v>11</v>
      </c>
      <c r="AN225">
        <v>0</v>
      </c>
      <c r="AO225" s="499">
        <v>0</v>
      </c>
      <c r="AP225" s="499">
        <v>0</v>
      </c>
      <c r="AQ225">
        <v>0</v>
      </c>
      <c r="AR225">
        <v>0</v>
      </c>
      <c r="AS225">
        <v>73.63</v>
      </c>
      <c r="AT225">
        <v>72.19</v>
      </c>
      <c r="AU225">
        <v>13.25</v>
      </c>
      <c r="AV225">
        <v>78.930000000000007</v>
      </c>
      <c r="AW225">
        <v>5</v>
      </c>
      <c r="AX225">
        <v>79.38</v>
      </c>
      <c r="AY225">
        <v>78.78</v>
      </c>
      <c r="AZ225">
        <v>5.76</v>
      </c>
      <c r="BA225">
        <v>84.87</v>
      </c>
      <c r="BB225">
        <v>256</v>
      </c>
      <c r="BC225">
        <v>93.41</v>
      </c>
      <c r="BD225">
        <v>93.01</v>
      </c>
      <c r="BE225">
        <v>6.33</v>
      </c>
      <c r="BF225">
        <v>96.94</v>
      </c>
      <c r="BG225">
        <v>1036</v>
      </c>
      <c r="BH225">
        <v>104.9</v>
      </c>
      <c r="BI225">
        <v>104.77</v>
      </c>
      <c r="BJ225">
        <v>1.77</v>
      </c>
      <c r="BK225">
        <v>105.23</v>
      </c>
      <c r="BL225" s="214">
        <v>1303</v>
      </c>
      <c r="BM225" s="214">
        <v>113.92</v>
      </c>
      <c r="BN225">
        <v>113.96</v>
      </c>
      <c r="BO225" s="187">
        <v>3.06</v>
      </c>
      <c r="BP225" s="214">
        <v>114.58</v>
      </c>
      <c r="BQ225" s="214">
        <v>97</v>
      </c>
      <c r="BR225">
        <v>147.87</v>
      </c>
      <c r="BS225" s="187">
        <v>147.87</v>
      </c>
      <c r="BT225" s="214">
        <v>0</v>
      </c>
      <c r="BU225" s="214">
        <v>147.87</v>
      </c>
      <c r="BV225">
        <v>1</v>
      </c>
      <c r="BW225">
        <v>0</v>
      </c>
      <c r="BX225" s="214">
        <v>0</v>
      </c>
      <c r="BY225" s="214">
        <v>0</v>
      </c>
      <c r="BZ225">
        <v>0</v>
      </c>
      <c r="CA225" s="187">
        <v>0</v>
      </c>
      <c r="CB225" s="214">
        <v>98.35</v>
      </c>
      <c r="CC225" s="214">
        <v>98.07</v>
      </c>
      <c r="CD225">
        <v>5.14</v>
      </c>
      <c r="CE225" s="187">
        <v>100.42</v>
      </c>
      <c r="CF225" s="214">
        <v>2698</v>
      </c>
      <c r="CG225" s="214">
        <v>98.35</v>
      </c>
      <c r="CH225">
        <v>98.07</v>
      </c>
      <c r="CI225">
        <v>5.14</v>
      </c>
      <c r="CJ225">
        <v>100.42</v>
      </c>
      <c r="CK225">
        <v>2698</v>
      </c>
      <c r="CL225">
        <v>151.86000000000001</v>
      </c>
      <c r="CM225">
        <v>68.52</v>
      </c>
      <c r="CN225" s="187">
        <v>79.61</v>
      </c>
      <c r="CO225">
        <v>228.72</v>
      </c>
      <c r="CP225">
        <v>58</v>
      </c>
      <c r="CQ225">
        <v>67.930000000000007</v>
      </c>
      <c r="CR225">
        <v>62.53</v>
      </c>
      <c r="CS225" s="187">
        <v>35.619999999999997</v>
      </c>
      <c r="CT225">
        <v>103.56</v>
      </c>
      <c r="CU225">
        <v>44</v>
      </c>
      <c r="CV225">
        <v>89.17</v>
      </c>
      <c r="CW225">
        <v>86.74</v>
      </c>
      <c r="CX225" s="187">
        <v>23.33</v>
      </c>
      <c r="CY225">
        <v>112.41</v>
      </c>
      <c r="CZ225">
        <v>684</v>
      </c>
      <c r="DA225">
        <v>102.34</v>
      </c>
      <c r="DB225">
        <v>102.34</v>
      </c>
      <c r="DC225" s="187">
        <v>14.59</v>
      </c>
      <c r="DD225">
        <v>116.59</v>
      </c>
      <c r="DE225">
        <v>683</v>
      </c>
      <c r="DF225">
        <v>114.55</v>
      </c>
      <c r="DG225">
        <v>114.55</v>
      </c>
      <c r="DH225" s="187">
        <v>34.97</v>
      </c>
      <c r="DI225">
        <v>149.52000000000001</v>
      </c>
      <c r="DJ225">
        <v>3</v>
      </c>
      <c r="DK225">
        <v>0</v>
      </c>
      <c r="DL225">
        <v>0</v>
      </c>
      <c r="DM225" s="187">
        <v>0</v>
      </c>
      <c r="DN225">
        <v>0</v>
      </c>
      <c r="DO225">
        <v>0</v>
      </c>
      <c r="DP225">
        <v>94.93</v>
      </c>
      <c r="DQ225">
        <v>93.65</v>
      </c>
      <c r="DR225" s="187">
        <v>19.559999999999999</v>
      </c>
      <c r="DS225">
        <v>114.23</v>
      </c>
      <c r="DT225">
        <v>1414</v>
      </c>
      <c r="DU225">
        <v>97.17</v>
      </c>
      <c r="DV225">
        <v>93.4</v>
      </c>
      <c r="DW225" s="187">
        <v>21.88</v>
      </c>
      <c r="DX225">
        <v>118.74</v>
      </c>
      <c r="DY225">
        <v>1472</v>
      </c>
      <c r="DZ225">
        <v>0</v>
      </c>
      <c r="EA225">
        <v>0</v>
      </c>
      <c r="EB225" s="187">
        <v>0</v>
      </c>
      <c r="EC225">
        <v>0</v>
      </c>
      <c r="ED225">
        <v>97.4</v>
      </c>
      <c r="EE225">
        <v>78</v>
      </c>
      <c r="EF225">
        <v>114.68</v>
      </c>
      <c r="EG225" s="187">
        <v>195</v>
      </c>
      <c r="EH225">
        <v>132.66999999999999</v>
      </c>
      <c r="EI225">
        <v>113</v>
      </c>
      <c r="EJ225">
        <v>161.79</v>
      </c>
      <c r="EK225">
        <v>10</v>
      </c>
      <c r="EL225" s="187">
        <v>0</v>
      </c>
      <c r="EM225">
        <v>0</v>
      </c>
      <c r="EN225">
        <v>0</v>
      </c>
      <c r="EO225">
        <v>0</v>
      </c>
      <c r="EP225">
        <v>117.6</v>
      </c>
      <c r="EQ225" s="187">
        <v>396</v>
      </c>
      <c r="ER225">
        <v>117.6</v>
      </c>
      <c r="ES225">
        <v>396</v>
      </c>
      <c r="ET225">
        <v>0</v>
      </c>
      <c r="EU225">
        <v>0</v>
      </c>
      <c r="EV225" s="187">
        <v>0</v>
      </c>
      <c r="EW225">
        <v>0</v>
      </c>
      <c r="EX225">
        <v>125.25</v>
      </c>
      <c r="EY225">
        <v>9</v>
      </c>
      <c r="EZ225">
        <v>113.1</v>
      </c>
      <c r="FA225" s="187">
        <v>1</v>
      </c>
      <c r="FB225">
        <v>124.48</v>
      </c>
      <c r="FC225">
        <v>1</v>
      </c>
      <c r="FD225">
        <v>0</v>
      </c>
      <c r="FE225">
        <v>0</v>
      </c>
      <c r="FF225" s="187">
        <v>124.08</v>
      </c>
      <c r="FG225">
        <v>11</v>
      </c>
      <c r="FH225">
        <v>124.08</v>
      </c>
      <c r="FI225">
        <v>11</v>
      </c>
      <c r="FJ225">
        <v>21</v>
      </c>
      <c r="FK225" s="187">
        <v>9</v>
      </c>
      <c r="FL225">
        <v>0</v>
      </c>
      <c r="FM225">
        <v>72</v>
      </c>
      <c r="FN225">
        <v>27</v>
      </c>
    </row>
    <row r="226" spans="1:170" x14ac:dyDescent="0.35">
      <c r="A226" t="s">
        <v>838</v>
      </c>
      <c r="B226" t="s">
        <v>839</v>
      </c>
      <c r="C226" t="s">
        <v>2</v>
      </c>
      <c r="D226">
        <v>5810</v>
      </c>
      <c r="E226">
        <v>5473</v>
      </c>
      <c r="F226">
        <v>11</v>
      </c>
      <c r="G226">
        <v>0</v>
      </c>
      <c r="H226">
        <v>231</v>
      </c>
      <c r="I226">
        <v>144</v>
      </c>
      <c r="J226">
        <v>648</v>
      </c>
      <c r="K226">
        <v>648</v>
      </c>
      <c r="L226">
        <v>606</v>
      </c>
      <c r="M226">
        <v>124</v>
      </c>
      <c r="N226">
        <v>7306</v>
      </c>
      <c r="O226">
        <v>6389</v>
      </c>
      <c r="P226">
        <v>6700</v>
      </c>
      <c r="Q226">
        <v>8</v>
      </c>
      <c r="R226">
        <v>6</v>
      </c>
      <c r="S226">
        <v>23</v>
      </c>
      <c r="T226">
        <v>391</v>
      </c>
      <c r="U226">
        <v>6915</v>
      </c>
      <c r="V226" s="498">
        <v>5473</v>
      </c>
      <c r="W226">
        <v>30</v>
      </c>
      <c r="X226" s="498">
        <v>44</v>
      </c>
      <c r="Y226" s="498">
        <v>74</v>
      </c>
      <c r="Z226" s="498">
        <v>113.91</v>
      </c>
      <c r="AA226" s="498">
        <v>110.11</v>
      </c>
      <c r="AB226">
        <v>9.86</v>
      </c>
      <c r="AC226">
        <v>119.26</v>
      </c>
      <c r="AD226">
        <v>4485</v>
      </c>
      <c r="AE226">
        <v>98.58</v>
      </c>
      <c r="AF226">
        <v>90.82</v>
      </c>
      <c r="AG226">
        <v>47.21</v>
      </c>
      <c r="AH226">
        <v>145.62</v>
      </c>
      <c r="AI226">
        <v>832</v>
      </c>
      <c r="AJ226">
        <v>163.11000000000001</v>
      </c>
      <c r="AK226">
        <v>1172</v>
      </c>
      <c r="AL226">
        <v>161.66</v>
      </c>
      <c r="AM226">
        <v>38</v>
      </c>
      <c r="AN226">
        <v>0</v>
      </c>
      <c r="AO226" s="499">
        <v>0</v>
      </c>
      <c r="AP226" s="499">
        <v>0</v>
      </c>
      <c r="AQ226">
        <v>0</v>
      </c>
      <c r="AR226">
        <v>0</v>
      </c>
      <c r="AS226">
        <v>79.790000000000006</v>
      </c>
      <c r="AT226">
        <v>76.239999999999995</v>
      </c>
      <c r="AU226">
        <v>27.23</v>
      </c>
      <c r="AV226">
        <v>107.02</v>
      </c>
      <c r="AW226">
        <v>14</v>
      </c>
      <c r="AX226">
        <v>93.45</v>
      </c>
      <c r="AY226">
        <v>90.12</v>
      </c>
      <c r="AZ226">
        <v>9.4700000000000006</v>
      </c>
      <c r="BA226">
        <v>101.82</v>
      </c>
      <c r="BB226">
        <v>996</v>
      </c>
      <c r="BC226">
        <v>112.05</v>
      </c>
      <c r="BD226">
        <v>108.48</v>
      </c>
      <c r="BE226">
        <v>10.51</v>
      </c>
      <c r="BF226">
        <v>118.02</v>
      </c>
      <c r="BG226">
        <v>1788</v>
      </c>
      <c r="BH226">
        <v>126.48</v>
      </c>
      <c r="BI226">
        <v>122.19</v>
      </c>
      <c r="BJ226">
        <v>9.3000000000000007</v>
      </c>
      <c r="BK226">
        <v>129.37</v>
      </c>
      <c r="BL226" s="214">
        <v>1493</v>
      </c>
      <c r="BM226" s="214">
        <v>140.32</v>
      </c>
      <c r="BN226">
        <v>135.68</v>
      </c>
      <c r="BO226" s="187">
        <v>4.88</v>
      </c>
      <c r="BP226" s="214">
        <v>141.88999999999999</v>
      </c>
      <c r="BQ226" s="214">
        <v>183</v>
      </c>
      <c r="BR226">
        <v>166.71</v>
      </c>
      <c r="BS226" s="187">
        <v>163.63999999999999</v>
      </c>
      <c r="BT226" s="214">
        <v>5.92</v>
      </c>
      <c r="BU226" s="214">
        <v>167.3</v>
      </c>
      <c r="BV226">
        <v>10</v>
      </c>
      <c r="BW226">
        <v>170.52</v>
      </c>
      <c r="BX226" s="214">
        <v>175.18</v>
      </c>
      <c r="BY226" s="214">
        <v>0</v>
      </c>
      <c r="BZ226">
        <v>170.52</v>
      </c>
      <c r="CA226" s="187">
        <v>1</v>
      </c>
      <c r="CB226" s="214">
        <v>113.91</v>
      </c>
      <c r="CC226" s="214">
        <v>110.11</v>
      </c>
      <c r="CD226">
        <v>9.86</v>
      </c>
      <c r="CE226" s="187">
        <v>119.26</v>
      </c>
      <c r="CF226" s="214">
        <v>4485</v>
      </c>
      <c r="CG226" s="214">
        <v>113.91</v>
      </c>
      <c r="CH226">
        <v>110.11</v>
      </c>
      <c r="CI226">
        <v>9.86</v>
      </c>
      <c r="CJ226">
        <v>119.26</v>
      </c>
      <c r="CK226">
        <v>4485</v>
      </c>
      <c r="CL226">
        <v>102.75</v>
      </c>
      <c r="CM226">
        <v>85.62</v>
      </c>
      <c r="CN226" s="187">
        <v>68.400000000000006</v>
      </c>
      <c r="CO226">
        <v>171.15</v>
      </c>
      <c r="CP226">
        <v>92</v>
      </c>
      <c r="CQ226">
        <v>87.55</v>
      </c>
      <c r="CR226">
        <v>83.29</v>
      </c>
      <c r="CS226" s="187">
        <v>31.89</v>
      </c>
      <c r="CT226">
        <v>119.43</v>
      </c>
      <c r="CU226">
        <v>176</v>
      </c>
      <c r="CV226">
        <v>99.7</v>
      </c>
      <c r="CW226">
        <v>91.87</v>
      </c>
      <c r="CX226" s="187">
        <v>50.32</v>
      </c>
      <c r="CY226">
        <v>149.71</v>
      </c>
      <c r="CZ226">
        <v>488</v>
      </c>
      <c r="DA226">
        <v>110.12</v>
      </c>
      <c r="DB226">
        <v>104.15</v>
      </c>
      <c r="DC226" s="187">
        <v>37.090000000000003</v>
      </c>
      <c r="DD226">
        <v>147.21</v>
      </c>
      <c r="DE226">
        <v>69</v>
      </c>
      <c r="DF226">
        <v>129.72</v>
      </c>
      <c r="DG226">
        <v>127.92</v>
      </c>
      <c r="DH226" s="187">
        <v>37.56</v>
      </c>
      <c r="DI226">
        <v>167.28</v>
      </c>
      <c r="DJ226">
        <v>7</v>
      </c>
      <c r="DK226">
        <v>0</v>
      </c>
      <c r="DL226">
        <v>0</v>
      </c>
      <c r="DM226" s="187">
        <v>0</v>
      </c>
      <c r="DN226">
        <v>0</v>
      </c>
      <c r="DO226">
        <v>0</v>
      </c>
      <c r="DP226">
        <v>98.06</v>
      </c>
      <c r="DQ226">
        <v>91.12</v>
      </c>
      <c r="DR226" s="187">
        <v>44.56</v>
      </c>
      <c r="DS226">
        <v>142.44</v>
      </c>
      <c r="DT226">
        <v>740</v>
      </c>
      <c r="DU226">
        <v>98.58</v>
      </c>
      <c r="DV226">
        <v>90.82</v>
      </c>
      <c r="DW226" s="187">
        <v>47.21</v>
      </c>
      <c r="DX226">
        <v>145.62</v>
      </c>
      <c r="DY226">
        <v>832</v>
      </c>
      <c r="DZ226">
        <v>0</v>
      </c>
      <c r="EA226">
        <v>0</v>
      </c>
      <c r="EB226" s="187">
        <v>0</v>
      </c>
      <c r="EC226">
        <v>0</v>
      </c>
      <c r="ED226">
        <v>132.19999999999999</v>
      </c>
      <c r="EE226">
        <v>341</v>
      </c>
      <c r="EF226">
        <v>162.37</v>
      </c>
      <c r="EG226" s="187">
        <v>574</v>
      </c>
      <c r="EH226">
        <v>195.4</v>
      </c>
      <c r="EI226">
        <v>207</v>
      </c>
      <c r="EJ226">
        <v>248.64</v>
      </c>
      <c r="EK226">
        <v>50</v>
      </c>
      <c r="EL226" s="187">
        <v>0</v>
      </c>
      <c r="EM226">
        <v>0</v>
      </c>
      <c r="EN226">
        <v>0</v>
      </c>
      <c r="EO226">
        <v>0</v>
      </c>
      <c r="EP226">
        <v>163.11000000000001</v>
      </c>
      <c r="EQ226" s="187">
        <v>1172</v>
      </c>
      <c r="ER226">
        <v>163.11000000000001</v>
      </c>
      <c r="ES226">
        <v>1172</v>
      </c>
      <c r="ET226">
        <v>0</v>
      </c>
      <c r="EU226">
        <v>0</v>
      </c>
      <c r="EV226" s="187">
        <v>0</v>
      </c>
      <c r="EW226">
        <v>0</v>
      </c>
      <c r="EX226">
        <v>157.91</v>
      </c>
      <c r="EY226">
        <v>32</v>
      </c>
      <c r="EZ226">
        <v>179.49</v>
      </c>
      <c r="FA226" s="187">
        <v>4</v>
      </c>
      <c r="FB226">
        <v>185.95</v>
      </c>
      <c r="FC226">
        <v>2</v>
      </c>
      <c r="FD226">
        <v>0</v>
      </c>
      <c r="FE226">
        <v>0</v>
      </c>
      <c r="FF226" s="187">
        <v>161.66</v>
      </c>
      <c r="FG226">
        <v>38</v>
      </c>
      <c r="FH226">
        <v>161.66</v>
      </c>
      <c r="FI226">
        <v>38</v>
      </c>
      <c r="FJ226">
        <v>0</v>
      </c>
      <c r="FK226" s="187">
        <v>5</v>
      </c>
      <c r="FL226">
        <v>6</v>
      </c>
      <c r="FM226">
        <v>43</v>
      </c>
      <c r="FN226">
        <v>20</v>
      </c>
    </row>
    <row r="227" spans="1:170" x14ac:dyDescent="0.35">
      <c r="A227" t="s">
        <v>840</v>
      </c>
      <c r="B227" t="s">
        <v>841</v>
      </c>
      <c r="C227" t="s">
        <v>414</v>
      </c>
      <c r="D227">
        <v>1508</v>
      </c>
      <c r="E227">
        <v>1496</v>
      </c>
      <c r="F227">
        <v>0</v>
      </c>
      <c r="G227">
        <v>0</v>
      </c>
      <c r="H227">
        <v>40</v>
      </c>
      <c r="I227">
        <v>30</v>
      </c>
      <c r="J227">
        <v>288</v>
      </c>
      <c r="K227">
        <v>185</v>
      </c>
      <c r="L227">
        <v>210</v>
      </c>
      <c r="M227">
        <v>0</v>
      </c>
      <c r="N227">
        <v>2046</v>
      </c>
      <c r="O227">
        <v>1711</v>
      </c>
      <c r="P227">
        <v>1836</v>
      </c>
      <c r="Q227">
        <v>7</v>
      </c>
      <c r="R227">
        <v>2</v>
      </c>
      <c r="S227">
        <v>12</v>
      </c>
      <c r="T227">
        <v>116</v>
      </c>
      <c r="U227">
        <v>1930</v>
      </c>
      <c r="V227" s="498">
        <v>1495</v>
      </c>
      <c r="W227">
        <v>2</v>
      </c>
      <c r="X227" s="498">
        <v>14</v>
      </c>
      <c r="Y227" s="498">
        <v>16</v>
      </c>
      <c r="Z227" s="498">
        <v>92.67</v>
      </c>
      <c r="AA227" s="498">
        <v>95.46</v>
      </c>
      <c r="AB227">
        <v>6.59</v>
      </c>
      <c r="AC227">
        <v>95.45</v>
      </c>
      <c r="AD227">
        <v>1244</v>
      </c>
      <c r="AE227">
        <v>90.42</v>
      </c>
      <c r="AF227">
        <v>82.75</v>
      </c>
      <c r="AG227">
        <v>40.1</v>
      </c>
      <c r="AH227">
        <v>124.46</v>
      </c>
      <c r="AI227">
        <v>225</v>
      </c>
      <c r="AJ227">
        <v>117.17</v>
      </c>
      <c r="AK227">
        <v>233</v>
      </c>
      <c r="AL227">
        <v>0</v>
      </c>
      <c r="AM227">
        <v>0</v>
      </c>
      <c r="AN227">
        <v>0</v>
      </c>
      <c r="AO227" s="499">
        <v>0</v>
      </c>
      <c r="AP227" s="499">
        <v>0</v>
      </c>
      <c r="AQ227">
        <v>0</v>
      </c>
      <c r="AR227">
        <v>0</v>
      </c>
      <c r="AS227">
        <v>69.34</v>
      </c>
      <c r="AT227">
        <v>63.72</v>
      </c>
      <c r="AU227">
        <v>6.71</v>
      </c>
      <c r="AV227">
        <v>73.989999999999995</v>
      </c>
      <c r="AW227">
        <v>13</v>
      </c>
      <c r="AX227">
        <v>81.790000000000006</v>
      </c>
      <c r="AY227">
        <v>82.06</v>
      </c>
      <c r="AZ227">
        <v>5.88</v>
      </c>
      <c r="BA227">
        <v>84.55</v>
      </c>
      <c r="BB227">
        <v>266</v>
      </c>
      <c r="BC227">
        <v>92.78</v>
      </c>
      <c r="BD227">
        <v>91.65</v>
      </c>
      <c r="BE227">
        <v>7.56</v>
      </c>
      <c r="BF227">
        <v>97.62</v>
      </c>
      <c r="BG227">
        <v>457</v>
      </c>
      <c r="BH227">
        <v>97.87</v>
      </c>
      <c r="BI227">
        <v>105.71</v>
      </c>
      <c r="BJ227">
        <v>4.88</v>
      </c>
      <c r="BK227">
        <v>98.73</v>
      </c>
      <c r="BL227" s="214">
        <v>483</v>
      </c>
      <c r="BM227" s="214">
        <v>116.1</v>
      </c>
      <c r="BN227">
        <v>122.57</v>
      </c>
      <c r="BO227" s="187">
        <v>2.75</v>
      </c>
      <c r="BP227" s="214">
        <v>117.77</v>
      </c>
      <c r="BQ227" s="214">
        <v>23</v>
      </c>
      <c r="BR227">
        <v>0</v>
      </c>
      <c r="BS227" s="187">
        <v>0</v>
      </c>
      <c r="BT227" s="214">
        <v>0</v>
      </c>
      <c r="BU227" s="214">
        <v>0</v>
      </c>
      <c r="BV227">
        <v>0</v>
      </c>
      <c r="BW227">
        <v>140.63</v>
      </c>
      <c r="BX227" s="214">
        <v>164.58</v>
      </c>
      <c r="BY227" s="214">
        <v>0</v>
      </c>
      <c r="BZ227">
        <v>140.63</v>
      </c>
      <c r="CA227" s="187">
        <v>2</v>
      </c>
      <c r="CB227" s="214">
        <v>92.67</v>
      </c>
      <c r="CC227" s="214">
        <v>95.46</v>
      </c>
      <c r="CD227">
        <v>6.59</v>
      </c>
      <c r="CE227" s="187">
        <v>95.45</v>
      </c>
      <c r="CF227" s="214">
        <v>1244</v>
      </c>
      <c r="CG227" s="214">
        <v>92.67</v>
      </c>
      <c r="CH227">
        <v>95.46</v>
      </c>
      <c r="CI227">
        <v>6.59</v>
      </c>
      <c r="CJ227">
        <v>95.45</v>
      </c>
      <c r="CK227">
        <v>1244</v>
      </c>
      <c r="CL227">
        <v>133.41999999999999</v>
      </c>
      <c r="CM227">
        <v>74.44</v>
      </c>
      <c r="CN227" s="187">
        <v>63.24</v>
      </c>
      <c r="CO227">
        <v>196.66</v>
      </c>
      <c r="CP227">
        <v>21</v>
      </c>
      <c r="CQ227">
        <v>0</v>
      </c>
      <c r="CR227">
        <v>0</v>
      </c>
      <c r="CS227" s="187">
        <v>0</v>
      </c>
      <c r="CT227">
        <v>0</v>
      </c>
      <c r="CU227">
        <v>0</v>
      </c>
      <c r="CV227">
        <v>84.08</v>
      </c>
      <c r="CW227">
        <v>81.55</v>
      </c>
      <c r="CX227" s="187">
        <v>29.35</v>
      </c>
      <c r="CY227">
        <v>109.31</v>
      </c>
      <c r="CZ227">
        <v>157</v>
      </c>
      <c r="DA227">
        <v>92.14</v>
      </c>
      <c r="DB227">
        <v>88.69</v>
      </c>
      <c r="DC227" s="187">
        <v>69.59</v>
      </c>
      <c r="DD227">
        <v>143.16999999999999</v>
      </c>
      <c r="DE227">
        <v>45</v>
      </c>
      <c r="DF227">
        <v>98.72</v>
      </c>
      <c r="DG227">
        <v>92.53</v>
      </c>
      <c r="DH227" s="187">
        <v>36</v>
      </c>
      <c r="DI227">
        <v>134.72</v>
      </c>
      <c r="DJ227">
        <v>2</v>
      </c>
      <c r="DK227">
        <v>0</v>
      </c>
      <c r="DL227">
        <v>0</v>
      </c>
      <c r="DM227" s="187">
        <v>0</v>
      </c>
      <c r="DN227">
        <v>0</v>
      </c>
      <c r="DO227">
        <v>0</v>
      </c>
      <c r="DP227">
        <v>86</v>
      </c>
      <c r="DQ227">
        <v>83.23</v>
      </c>
      <c r="DR227" s="187">
        <v>37.24</v>
      </c>
      <c r="DS227">
        <v>117.03</v>
      </c>
      <c r="DT227">
        <v>204</v>
      </c>
      <c r="DU227">
        <v>90.42</v>
      </c>
      <c r="DV227">
        <v>82.75</v>
      </c>
      <c r="DW227" s="187">
        <v>40.1</v>
      </c>
      <c r="DX227">
        <v>124.46</v>
      </c>
      <c r="DY227">
        <v>225</v>
      </c>
      <c r="DZ227">
        <v>0</v>
      </c>
      <c r="EA227">
        <v>0</v>
      </c>
      <c r="EB227" s="187">
        <v>0</v>
      </c>
      <c r="EC227">
        <v>0</v>
      </c>
      <c r="ED227">
        <v>88.11</v>
      </c>
      <c r="EE227">
        <v>32</v>
      </c>
      <c r="EF227">
        <v>112.19</v>
      </c>
      <c r="EG227" s="187">
        <v>96</v>
      </c>
      <c r="EH227">
        <v>129.13999999999999</v>
      </c>
      <c r="EI227">
        <v>97</v>
      </c>
      <c r="EJ227">
        <v>148.04</v>
      </c>
      <c r="EK227">
        <v>8</v>
      </c>
      <c r="EL227" s="187">
        <v>0</v>
      </c>
      <c r="EM227">
        <v>0</v>
      </c>
      <c r="EN227">
        <v>0</v>
      </c>
      <c r="EO227">
        <v>0</v>
      </c>
      <c r="EP227">
        <v>117.17</v>
      </c>
      <c r="EQ227" s="187">
        <v>233</v>
      </c>
      <c r="ER227">
        <v>117.17</v>
      </c>
      <c r="ES227">
        <v>233</v>
      </c>
      <c r="ET227">
        <v>0</v>
      </c>
      <c r="EU227">
        <v>0</v>
      </c>
      <c r="EV227" s="187">
        <v>0</v>
      </c>
      <c r="EW227">
        <v>0</v>
      </c>
      <c r="EX227">
        <v>0</v>
      </c>
      <c r="EY227">
        <v>0</v>
      </c>
      <c r="EZ227">
        <v>0</v>
      </c>
      <c r="FA227" s="187">
        <v>0</v>
      </c>
      <c r="FB227">
        <v>0</v>
      </c>
      <c r="FC227">
        <v>0</v>
      </c>
      <c r="FD227">
        <v>0</v>
      </c>
      <c r="FE227">
        <v>0</v>
      </c>
      <c r="FF227" s="187">
        <v>0</v>
      </c>
      <c r="FG227">
        <v>0</v>
      </c>
      <c r="FH227">
        <v>0</v>
      </c>
      <c r="FI227">
        <v>0</v>
      </c>
      <c r="FJ227">
        <v>0</v>
      </c>
      <c r="FK227" s="187">
        <v>7</v>
      </c>
      <c r="FL227">
        <v>5</v>
      </c>
      <c r="FM227">
        <v>2</v>
      </c>
      <c r="FN227">
        <v>9</v>
      </c>
    </row>
    <row r="228" spans="1:170" x14ac:dyDescent="0.35">
      <c r="A228" t="s">
        <v>842</v>
      </c>
      <c r="B228" t="s">
        <v>843</v>
      </c>
      <c r="C228" t="s">
        <v>1048</v>
      </c>
      <c r="D228">
        <v>3216</v>
      </c>
      <c r="E228">
        <v>3124</v>
      </c>
      <c r="F228">
        <v>8</v>
      </c>
      <c r="G228">
        <v>1</v>
      </c>
      <c r="H228">
        <v>30</v>
      </c>
      <c r="I228">
        <v>3</v>
      </c>
      <c r="J228">
        <v>145</v>
      </c>
      <c r="K228">
        <v>145</v>
      </c>
      <c r="L228">
        <v>142</v>
      </c>
      <c r="M228">
        <v>0</v>
      </c>
      <c r="N228">
        <v>3541</v>
      </c>
      <c r="O228">
        <v>3273</v>
      </c>
      <c r="P228">
        <v>3399</v>
      </c>
      <c r="Q228">
        <v>2</v>
      </c>
      <c r="R228">
        <v>3</v>
      </c>
      <c r="S228">
        <v>14</v>
      </c>
      <c r="T228">
        <v>41</v>
      </c>
      <c r="U228">
        <v>3500</v>
      </c>
      <c r="V228" s="498">
        <v>3191</v>
      </c>
      <c r="W228">
        <v>47</v>
      </c>
      <c r="X228" s="498">
        <v>10</v>
      </c>
      <c r="Y228" s="498">
        <v>57</v>
      </c>
      <c r="Z228" s="498">
        <v>92.2</v>
      </c>
      <c r="AA228" s="498">
        <v>88.42</v>
      </c>
      <c r="AB228">
        <v>4</v>
      </c>
      <c r="AC228">
        <v>93.8</v>
      </c>
      <c r="AD228">
        <v>2040</v>
      </c>
      <c r="AE228">
        <v>84.46</v>
      </c>
      <c r="AF228">
        <v>81.2</v>
      </c>
      <c r="AG228">
        <v>54.75</v>
      </c>
      <c r="AH228">
        <v>138.52000000000001</v>
      </c>
      <c r="AI228">
        <v>159</v>
      </c>
      <c r="AJ228">
        <v>102.95</v>
      </c>
      <c r="AK228">
        <v>1116</v>
      </c>
      <c r="AL228">
        <v>0</v>
      </c>
      <c r="AM228">
        <v>0</v>
      </c>
      <c r="AN228">
        <v>76</v>
      </c>
      <c r="AO228" s="499">
        <v>73.47</v>
      </c>
      <c r="AP228" s="499">
        <v>0</v>
      </c>
      <c r="AQ228">
        <v>76</v>
      </c>
      <c r="AR228">
        <v>7</v>
      </c>
      <c r="AS228">
        <v>70.11</v>
      </c>
      <c r="AT228">
        <v>68.33</v>
      </c>
      <c r="AU228">
        <v>16.43</v>
      </c>
      <c r="AV228">
        <v>86.54</v>
      </c>
      <c r="AW228">
        <v>1</v>
      </c>
      <c r="AX228">
        <v>79.7</v>
      </c>
      <c r="AY228">
        <v>76.77</v>
      </c>
      <c r="AZ228">
        <v>4.3600000000000003</v>
      </c>
      <c r="BA228">
        <v>83.17</v>
      </c>
      <c r="BB228">
        <v>371</v>
      </c>
      <c r="BC228">
        <v>90.43</v>
      </c>
      <c r="BD228">
        <v>86.85</v>
      </c>
      <c r="BE228">
        <v>4.2699999999999996</v>
      </c>
      <c r="BF228">
        <v>92.46</v>
      </c>
      <c r="BG228">
        <v>824</v>
      </c>
      <c r="BH228">
        <v>99.4</v>
      </c>
      <c r="BI228">
        <v>94.98</v>
      </c>
      <c r="BJ228">
        <v>2.27</v>
      </c>
      <c r="BK228">
        <v>99.75</v>
      </c>
      <c r="BL228" s="214">
        <v>809</v>
      </c>
      <c r="BM228" s="214">
        <v>105.75</v>
      </c>
      <c r="BN228">
        <v>102.24</v>
      </c>
      <c r="BO228" s="187">
        <v>1.41</v>
      </c>
      <c r="BP228" s="214">
        <v>105.86</v>
      </c>
      <c r="BQ228" s="214">
        <v>27</v>
      </c>
      <c r="BR228">
        <v>0</v>
      </c>
      <c r="BS228" s="187">
        <v>0</v>
      </c>
      <c r="BT228" s="214">
        <v>0</v>
      </c>
      <c r="BU228" s="214">
        <v>0</v>
      </c>
      <c r="BV228">
        <v>0</v>
      </c>
      <c r="BW228">
        <v>136.41999999999999</v>
      </c>
      <c r="BX228" s="214">
        <v>125.57</v>
      </c>
      <c r="BY228" s="214">
        <v>0</v>
      </c>
      <c r="BZ228">
        <v>136.41999999999999</v>
      </c>
      <c r="CA228" s="187">
        <v>1</v>
      </c>
      <c r="CB228" s="214">
        <v>92.25</v>
      </c>
      <c r="CC228" s="214">
        <v>88.48</v>
      </c>
      <c r="CD228">
        <v>4</v>
      </c>
      <c r="CE228" s="187">
        <v>93.86</v>
      </c>
      <c r="CF228" s="214">
        <v>2033</v>
      </c>
      <c r="CG228" s="214">
        <v>92.2</v>
      </c>
      <c r="CH228">
        <v>88.42</v>
      </c>
      <c r="CI228">
        <v>4</v>
      </c>
      <c r="CJ228">
        <v>93.8</v>
      </c>
      <c r="CK228">
        <v>2040</v>
      </c>
      <c r="CL228">
        <v>53.98</v>
      </c>
      <c r="CM228">
        <v>61.27</v>
      </c>
      <c r="CN228" s="187">
        <v>19.760000000000002</v>
      </c>
      <c r="CO228">
        <v>73.739999999999995</v>
      </c>
      <c r="CP228">
        <v>11</v>
      </c>
      <c r="CQ228">
        <v>0</v>
      </c>
      <c r="CR228">
        <v>0</v>
      </c>
      <c r="CS228" s="187">
        <v>0</v>
      </c>
      <c r="CT228">
        <v>0</v>
      </c>
      <c r="CU228">
        <v>0</v>
      </c>
      <c r="CV228">
        <v>83.3</v>
      </c>
      <c r="CW228">
        <v>79.97</v>
      </c>
      <c r="CX228" s="187">
        <v>47.19</v>
      </c>
      <c r="CY228">
        <v>130.49</v>
      </c>
      <c r="CZ228">
        <v>110</v>
      </c>
      <c r="DA228">
        <v>96.62</v>
      </c>
      <c r="DB228">
        <v>90.54</v>
      </c>
      <c r="DC228" s="187">
        <v>88.55</v>
      </c>
      <c r="DD228">
        <v>180.5</v>
      </c>
      <c r="DE228">
        <v>38</v>
      </c>
      <c r="DF228">
        <v>0</v>
      </c>
      <c r="DG228">
        <v>0</v>
      </c>
      <c r="DH228" s="187">
        <v>0</v>
      </c>
      <c r="DI228">
        <v>0</v>
      </c>
      <c r="DJ228">
        <v>0</v>
      </c>
      <c r="DK228">
        <v>0</v>
      </c>
      <c r="DL228">
        <v>0</v>
      </c>
      <c r="DM228" s="187">
        <v>0</v>
      </c>
      <c r="DN228">
        <v>0</v>
      </c>
      <c r="DO228">
        <v>0</v>
      </c>
      <c r="DP228">
        <v>86.72</v>
      </c>
      <c r="DQ228">
        <v>82.68</v>
      </c>
      <c r="DR228" s="187">
        <v>57.39</v>
      </c>
      <c r="DS228">
        <v>143.33000000000001</v>
      </c>
      <c r="DT228">
        <v>148</v>
      </c>
      <c r="DU228">
        <v>84.46</v>
      </c>
      <c r="DV228">
        <v>81.2</v>
      </c>
      <c r="DW228" s="187">
        <v>54.75</v>
      </c>
      <c r="DX228">
        <v>138.52000000000001</v>
      </c>
      <c r="DY228">
        <v>159</v>
      </c>
      <c r="DZ228">
        <v>0</v>
      </c>
      <c r="EA228">
        <v>0</v>
      </c>
      <c r="EB228" s="187">
        <v>94.13</v>
      </c>
      <c r="EC228">
        <v>3</v>
      </c>
      <c r="ED228">
        <v>86.92</v>
      </c>
      <c r="EE228">
        <v>237</v>
      </c>
      <c r="EF228">
        <v>102.98</v>
      </c>
      <c r="EG228" s="187">
        <v>544</v>
      </c>
      <c r="EH228">
        <v>113.59</v>
      </c>
      <c r="EI228">
        <v>312</v>
      </c>
      <c r="EJ228">
        <v>127.72</v>
      </c>
      <c r="EK228">
        <v>20</v>
      </c>
      <c r="EL228" s="187">
        <v>0</v>
      </c>
      <c r="EM228">
        <v>0</v>
      </c>
      <c r="EN228">
        <v>0</v>
      </c>
      <c r="EO228">
        <v>0</v>
      </c>
      <c r="EP228">
        <v>102.95</v>
      </c>
      <c r="EQ228" s="187">
        <v>1116</v>
      </c>
      <c r="ER228">
        <v>102.95</v>
      </c>
      <c r="ES228">
        <v>1116</v>
      </c>
      <c r="ET228">
        <v>0</v>
      </c>
      <c r="EU228">
        <v>0</v>
      </c>
      <c r="EV228" s="187">
        <v>0</v>
      </c>
      <c r="EW228">
        <v>0</v>
      </c>
      <c r="EX228">
        <v>0</v>
      </c>
      <c r="EY228">
        <v>0</v>
      </c>
      <c r="EZ228">
        <v>0</v>
      </c>
      <c r="FA228" s="187">
        <v>0</v>
      </c>
      <c r="FB228">
        <v>0</v>
      </c>
      <c r="FC228">
        <v>0</v>
      </c>
      <c r="FD228">
        <v>0</v>
      </c>
      <c r="FE228">
        <v>0</v>
      </c>
      <c r="FF228" s="187">
        <v>0</v>
      </c>
      <c r="FG228">
        <v>0</v>
      </c>
      <c r="FH228">
        <v>0</v>
      </c>
      <c r="FI228">
        <v>0</v>
      </c>
      <c r="FJ228">
        <v>0</v>
      </c>
      <c r="FK228" s="187">
        <v>1</v>
      </c>
      <c r="FL228">
        <v>6</v>
      </c>
      <c r="FM228">
        <v>11</v>
      </c>
      <c r="FN228">
        <v>0</v>
      </c>
    </row>
    <row r="229" spans="1:170" x14ac:dyDescent="0.35">
      <c r="A229" t="s">
        <v>844</v>
      </c>
      <c r="B229" t="s">
        <v>845</v>
      </c>
      <c r="C229" t="s">
        <v>418</v>
      </c>
      <c r="D229">
        <v>26903</v>
      </c>
      <c r="E229">
        <v>27706</v>
      </c>
      <c r="F229">
        <v>14</v>
      </c>
      <c r="G229">
        <v>14</v>
      </c>
      <c r="H229">
        <v>1598</v>
      </c>
      <c r="I229">
        <v>1346</v>
      </c>
      <c r="J229">
        <v>1357</v>
      </c>
      <c r="K229">
        <v>1243</v>
      </c>
      <c r="L229">
        <v>397</v>
      </c>
      <c r="M229">
        <v>0</v>
      </c>
      <c r="N229">
        <v>30269</v>
      </c>
      <c r="O229">
        <v>30309</v>
      </c>
      <c r="P229">
        <v>29872</v>
      </c>
      <c r="Q229">
        <v>3</v>
      </c>
      <c r="R229">
        <v>11</v>
      </c>
      <c r="S229">
        <v>25</v>
      </c>
      <c r="T229">
        <v>333</v>
      </c>
      <c r="U229">
        <v>29936</v>
      </c>
      <c r="V229" s="498">
        <v>26799</v>
      </c>
      <c r="W229">
        <v>78</v>
      </c>
      <c r="X229" s="498">
        <v>164</v>
      </c>
      <c r="Y229" s="498">
        <v>242</v>
      </c>
      <c r="Z229" s="498">
        <v>80.180000000000007</v>
      </c>
      <c r="AA229" s="498">
        <v>80.150000000000006</v>
      </c>
      <c r="AB229">
        <v>8.94</v>
      </c>
      <c r="AC229">
        <v>84.34</v>
      </c>
      <c r="AD229">
        <v>24214</v>
      </c>
      <c r="AE229">
        <v>82.66</v>
      </c>
      <c r="AF229">
        <v>75.28</v>
      </c>
      <c r="AG229">
        <v>39.06</v>
      </c>
      <c r="AH229">
        <v>120.67</v>
      </c>
      <c r="AI229">
        <v>2661</v>
      </c>
      <c r="AJ229">
        <v>113.38</v>
      </c>
      <c r="AK229">
        <v>2366</v>
      </c>
      <c r="AL229">
        <v>167.42</v>
      </c>
      <c r="AM229">
        <v>65</v>
      </c>
      <c r="AN229">
        <v>69.010000000000005</v>
      </c>
      <c r="AO229" s="499">
        <v>0</v>
      </c>
      <c r="AP229" s="499">
        <v>0</v>
      </c>
      <c r="AQ229">
        <v>69.010000000000005</v>
      </c>
      <c r="AR229">
        <v>14</v>
      </c>
      <c r="AS229">
        <v>64.53</v>
      </c>
      <c r="AT229">
        <v>62.79</v>
      </c>
      <c r="AU229">
        <v>15.91</v>
      </c>
      <c r="AV229">
        <v>80</v>
      </c>
      <c r="AW229">
        <v>36</v>
      </c>
      <c r="AX229">
        <v>70.36</v>
      </c>
      <c r="AY229">
        <v>70.25</v>
      </c>
      <c r="AZ229">
        <v>9.43</v>
      </c>
      <c r="BA229">
        <v>78.22</v>
      </c>
      <c r="BB229">
        <v>5692</v>
      </c>
      <c r="BC229">
        <v>78.3</v>
      </c>
      <c r="BD229">
        <v>78.260000000000005</v>
      </c>
      <c r="BE229">
        <v>10.78</v>
      </c>
      <c r="BF229">
        <v>83.61</v>
      </c>
      <c r="BG229">
        <v>9675</v>
      </c>
      <c r="BH229">
        <v>87.74</v>
      </c>
      <c r="BI229">
        <v>87.7</v>
      </c>
      <c r="BJ229">
        <v>2.21</v>
      </c>
      <c r="BK229">
        <v>88.17</v>
      </c>
      <c r="BL229" s="214">
        <v>7803</v>
      </c>
      <c r="BM229" s="214">
        <v>96</v>
      </c>
      <c r="BN229">
        <v>96.43</v>
      </c>
      <c r="BO229" s="187">
        <v>2.87</v>
      </c>
      <c r="BP229" s="214">
        <v>96.5</v>
      </c>
      <c r="BQ229" s="214">
        <v>975</v>
      </c>
      <c r="BR229">
        <v>108.96</v>
      </c>
      <c r="BS229" s="187">
        <v>108.06</v>
      </c>
      <c r="BT229" s="214">
        <v>3.83</v>
      </c>
      <c r="BU229" s="214">
        <v>110.14</v>
      </c>
      <c r="BV229">
        <v>13</v>
      </c>
      <c r="BW229">
        <v>107.87</v>
      </c>
      <c r="BX229" s="214">
        <v>113.51</v>
      </c>
      <c r="BY229" s="214">
        <v>0</v>
      </c>
      <c r="BZ229">
        <v>107.87</v>
      </c>
      <c r="CA229" s="187">
        <v>6</v>
      </c>
      <c r="CB229" s="214">
        <v>80.19</v>
      </c>
      <c r="CC229" s="214">
        <v>80.150000000000006</v>
      </c>
      <c r="CD229">
        <v>8.94</v>
      </c>
      <c r="CE229" s="187">
        <v>84.35</v>
      </c>
      <c r="CF229" s="214">
        <v>24200</v>
      </c>
      <c r="CG229" s="214">
        <v>80.180000000000007</v>
      </c>
      <c r="CH229">
        <v>80.150000000000006</v>
      </c>
      <c r="CI229">
        <v>8.94</v>
      </c>
      <c r="CJ229">
        <v>84.34</v>
      </c>
      <c r="CK229">
        <v>24214</v>
      </c>
      <c r="CL229">
        <v>121.46</v>
      </c>
      <c r="CM229">
        <v>82.39</v>
      </c>
      <c r="CN229" s="187">
        <v>84.66</v>
      </c>
      <c r="CO229">
        <v>201.25</v>
      </c>
      <c r="CP229">
        <v>295</v>
      </c>
      <c r="CQ229">
        <v>68.12</v>
      </c>
      <c r="CR229">
        <v>62.76</v>
      </c>
      <c r="CS229" s="187">
        <v>36.409999999999997</v>
      </c>
      <c r="CT229">
        <v>104.2</v>
      </c>
      <c r="CU229">
        <v>221</v>
      </c>
      <c r="CV229">
        <v>77.2</v>
      </c>
      <c r="CW229">
        <v>74.38</v>
      </c>
      <c r="CX229" s="187">
        <v>33.39</v>
      </c>
      <c r="CY229">
        <v>110.31</v>
      </c>
      <c r="CZ229">
        <v>1874</v>
      </c>
      <c r="DA229">
        <v>90.62</v>
      </c>
      <c r="DB229">
        <v>89.91</v>
      </c>
      <c r="DC229" s="187">
        <v>32.409999999999997</v>
      </c>
      <c r="DD229">
        <v>121.83</v>
      </c>
      <c r="DE229">
        <v>216</v>
      </c>
      <c r="DF229">
        <v>87.62</v>
      </c>
      <c r="DG229">
        <v>89.8</v>
      </c>
      <c r="DH229" s="187">
        <v>32.619999999999997</v>
      </c>
      <c r="DI229">
        <v>103.04</v>
      </c>
      <c r="DJ229">
        <v>55</v>
      </c>
      <c r="DK229">
        <v>0</v>
      </c>
      <c r="DL229">
        <v>0</v>
      </c>
      <c r="DM229" s="187">
        <v>0</v>
      </c>
      <c r="DN229">
        <v>0</v>
      </c>
      <c r="DO229">
        <v>0</v>
      </c>
      <c r="DP229">
        <v>77.819999999999993</v>
      </c>
      <c r="DQ229">
        <v>74.77</v>
      </c>
      <c r="DR229" s="187">
        <v>33.58</v>
      </c>
      <c r="DS229">
        <v>110.62</v>
      </c>
      <c r="DT229">
        <v>2366</v>
      </c>
      <c r="DU229">
        <v>82.66</v>
      </c>
      <c r="DV229">
        <v>75.28</v>
      </c>
      <c r="DW229" s="187">
        <v>39.06</v>
      </c>
      <c r="DX229">
        <v>120.67</v>
      </c>
      <c r="DY229">
        <v>2661</v>
      </c>
      <c r="DZ229">
        <v>0</v>
      </c>
      <c r="EA229">
        <v>0</v>
      </c>
      <c r="EB229" s="187">
        <v>0</v>
      </c>
      <c r="EC229">
        <v>0</v>
      </c>
      <c r="ED229">
        <v>100.74</v>
      </c>
      <c r="EE229">
        <v>351</v>
      </c>
      <c r="EF229">
        <v>109.82</v>
      </c>
      <c r="EG229" s="187">
        <v>1070</v>
      </c>
      <c r="EH229">
        <v>118.96</v>
      </c>
      <c r="EI229">
        <v>818</v>
      </c>
      <c r="EJ229">
        <v>137.33000000000001</v>
      </c>
      <c r="EK229">
        <v>119</v>
      </c>
      <c r="EL229" s="187">
        <v>139.16</v>
      </c>
      <c r="EM229">
        <v>2</v>
      </c>
      <c r="EN229">
        <v>242.11</v>
      </c>
      <c r="EO229">
        <v>6</v>
      </c>
      <c r="EP229">
        <v>113.38</v>
      </c>
      <c r="EQ229" s="187">
        <v>2366</v>
      </c>
      <c r="ER229">
        <v>113.38</v>
      </c>
      <c r="ES229">
        <v>2366</v>
      </c>
      <c r="ET229">
        <v>0</v>
      </c>
      <c r="EU229">
        <v>0</v>
      </c>
      <c r="EV229" s="187">
        <v>0</v>
      </c>
      <c r="EW229">
        <v>0</v>
      </c>
      <c r="EX229">
        <v>169.45</v>
      </c>
      <c r="EY229">
        <v>46</v>
      </c>
      <c r="EZ229">
        <v>162.51</v>
      </c>
      <c r="FA229" s="187">
        <v>19</v>
      </c>
      <c r="FB229">
        <v>0</v>
      </c>
      <c r="FC229">
        <v>0</v>
      </c>
      <c r="FD229">
        <v>0</v>
      </c>
      <c r="FE229">
        <v>0</v>
      </c>
      <c r="FF229" s="187">
        <v>167.42</v>
      </c>
      <c r="FG229">
        <v>65</v>
      </c>
      <c r="FH229">
        <v>167.42</v>
      </c>
      <c r="FI229">
        <v>65</v>
      </c>
      <c r="FJ229">
        <v>0</v>
      </c>
      <c r="FK229" s="187">
        <v>143</v>
      </c>
      <c r="FL229">
        <v>29</v>
      </c>
      <c r="FM229">
        <v>11</v>
      </c>
      <c r="FN229">
        <v>23</v>
      </c>
    </row>
    <row r="230" spans="1:170" x14ac:dyDescent="0.35">
      <c r="A230" t="s">
        <v>846</v>
      </c>
      <c r="B230" t="s">
        <v>847</v>
      </c>
      <c r="C230" t="s">
        <v>420</v>
      </c>
      <c r="D230">
        <v>5983</v>
      </c>
      <c r="E230">
        <v>6739</v>
      </c>
      <c r="F230">
        <v>11</v>
      </c>
      <c r="G230">
        <v>0</v>
      </c>
      <c r="H230">
        <v>481</v>
      </c>
      <c r="I230">
        <v>231</v>
      </c>
      <c r="J230">
        <v>1039</v>
      </c>
      <c r="K230">
        <v>978</v>
      </c>
      <c r="L230">
        <v>582</v>
      </c>
      <c r="M230">
        <v>2</v>
      </c>
      <c r="N230">
        <v>8096</v>
      </c>
      <c r="O230">
        <v>7950</v>
      </c>
      <c r="P230">
        <v>7514</v>
      </c>
      <c r="Q230">
        <v>1</v>
      </c>
      <c r="R230">
        <v>8</v>
      </c>
      <c r="S230">
        <v>25</v>
      </c>
      <c r="T230">
        <v>499</v>
      </c>
      <c r="U230">
        <v>7597</v>
      </c>
      <c r="V230" s="498">
        <v>5754</v>
      </c>
      <c r="W230">
        <v>27</v>
      </c>
      <c r="X230" s="498">
        <v>23</v>
      </c>
      <c r="Y230" s="498">
        <v>50</v>
      </c>
      <c r="Z230" s="498">
        <v>91.46</v>
      </c>
      <c r="AA230" s="498">
        <v>89.41</v>
      </c>
      <c r="AB230">
        <v>7.76</v>
      </c>
      <c r="AC230">
        <v>97.55</v>
      </c>
      <c r="AD230">
        <v>4483</v>
      </c>
      <c r="AE230">
        <v>99.79</v>
      </c>
      <c r="AF230">
        <v>87.99</v>
      </c>
      <c r="AG230">
        <v>50.82</v>
      </c>
      <c r="AH230">
        <v>148.63</v>
      </c>
      <c r="AI230">
        <v>1260</v>
      </c>
      <c r="AJ230">
        <v>116</v>
      </c>
      <c r="AK230">
        <v>997</v>
      </c>
      <c r="AL230">
        <v>246.45</v>
      </c>
      <c r="AM230">
        <v>97</v>
      </c>
      <c r="AN230">
        <v>0</v>
      </c>
      <c r="AO230" s="499">
        <v>0</v>
      </c>
      <c r="AP230" s="499">
        <v>0</v>
      </c>
      <c r="AQ230">
        <v>0</v>
      </c>
      <c r="AR230">
        <v>0</v>
      </c>
      <c r="AS230">
        <v>63.86</v>
      </c>
      <c r="AT230">
        <v>61.19</v>
      </c>
      <c r="AU230">
        <v>11.17</v>
      </c>
      <c r="AV230">
        <v>75.03</v>
      </c>
      <c r="AW230">
        <v>30</v>
      </c>
      <c r="AX230">
        <v>78.11</v>
      </c>
      <c r="AY230">
        <v>75.47</v>
      </c>
      <c r="AZ230">
        <v>11.35</v>
      </c>
      <c r="BA230">
        <v>89.41</v>
      </c>
      <c r="BB230">
        <v>1298</v>
      </c>
      <c r="BC230">
        <v>90.8</v>
      </c>
      <c r="BD230">
        <v>88.28</v>
      </c>
      <c r="BE230">
        <v>7.59</v>
      </c>
      <c r="BF230">
        <v>97.05</v>
      </c>
      <c r="BG230">
        <v>1608</v>
      </c>
      <c r="BH230">
        <v>101.49</v>
      </c>
      <c r="BI230">
        <v>100.23</v>
      </c>
      <c r="BJ230">
        <v>2.59</v>
      </c>
      <c r="BK230">
        <v>102.95</v>
      </c>
      <c r="BL230" s="214">
        <v>1319</v>
      </c>
      <c r="BM230" s="214">
        <v>116.2</v>
      </c>
      <c r="BN230">
        <v>115.78</v>
      </c>
      <c r="BO230" s="187">
        <v>2.4</v>
      </c>
      <c r="BP230" s="214">
        <v>117.54</v>
      </c>
      <c r="BQ230" s="214">
        <v>199</v>
      </c>
      <c r="BR230">
        <v>123.88</v>
      </c>
      <c r="BS230" s="187">
        <v>121.5</v>
      </c>
      <c r="BT230" s="214">
        <v>1.06</v>
      </c>
      <c r="BU230" s="214">
        <v>124.48</v>
      </c>
      <c r="BV230">
        <v>18</v>
      </c>
      <c r="BW230">
        <v>137.08000000000001</v>
      </c>
      <c r="BX230" s="214">
        <v>158.66</v>
      </c>
      <c r="BY230" s="214">
        <v>3.28</v>
      </c>
      <c r="BZ230">
        <v>137.97</v>
      </c>
      <c r="CA230" s="187">
        <v>11</v>
      </c>
      <c r="CB230" s="214">
        <v>91.46</v>
      </c>
      <c r="CC230" s="214">
        <v>89.41</v>
      </c>
      <c r="CD230">
        <v>7.76</v>
      </c>
      <c r="CE230" s="187">
        <v>97.55</v>
      </c>
      <c r="CF230" s="214">
        <v>4483</v>
      </c>
      <c r="CG230" s="214">
        <v>91.46</v>
      </c>
      <c r="CH230">
        <v>89.41</v>
      </c>
      <c r="CI230">
        <v>7.76</v>
      </c>
      <c r="CJ230">
        <v>97.55</v>
      </c>
      <c r="CK230">
        <v>4483</v>
      </c>
      <c r="CL230">
        <v>147.34</v>
      </c>
      <c r="CM230">
        <v>72.16</v>
      </c>
      <c r="CN230" s="187">
        <v>74.349999999999994</v>
      </c>
      <c r="CO230">
        <v>185</v>
      </c>
      <c r="CP230">
        <v>77</v>
      </c>
      <c r="CQ230">
        <v>70.86</v>
      </c>
      <c r="CR230">
        <v>67.05</v>
      </c>
      <c r="CS230" s="187">
        <v>32.979999999999997</v>
      </c>
      <c r="CT230">
        <v>103.84</v>
      </c>
      <c r="CU230">
        <v>42</v>
      </c>
      <c r="CV230">
        <v>92.85</v>
      </c>
      <c r="CW230">
        <v>83.63</v>
      </c>
      <c r="CX230" s="187">
        <v>54.25</v>
      </c>
      <c r="CY230">
        <v>147.1</v>
      </c>
      <c r="CZ230">
        <v>828</v>
      </c>
      <c r="DA230">
        <v>110.42</v>
      </c>
      <c r="DB230">
        <v>103.13</v>
      </c>
      <c r="DC230" s="187">
        <v>41.01</v>
      </c>
      <c r="DD230">
        <v>150.09</v>
      </c>
      <c r="DE230">
        <v>308</v>
      </c>
      <c r="DF230">
        <v>106.32</v>
      </c>
      <c r="DG230">
        <v>101.16</v>
      </c>
      <c r="DH230" s="187">
        <v>27.34</v>
      </c>
      <c r="DI230">
        <v>128.19</v>
      </c>
      <c r="DJ230">
        <v>5</v>
      </c>
      <c r="DK230">
        <v>0</v>
      </c>
      <c r="DL230">
        <v>0</v>
      </c>
      <c r="DM230" s="187">
        <v>0</v>
      </c>
      <c r="DN230">
        <v>0</v>
      </c>
      <c r="DO230">
        <v>0</v>
      </c>
      <c r="DP230">
        <v>96.7</v>
      </c>
      <c r="DQ230">
        <v>88.42</v>
      </c>
      <c r="DR230" s="187">
        <v>50.03</v>
      </c>
      <c r="DS230">
        <v>146.26</v>
      </c>
      <c r="DT230">
        <v>1183</v>
      </c>
      <c r="DU230">
        <v>99.79</v>
      </c>
      <c r="DV230">
        <v>87.99</v>
      </c>
      <c r="DW230" s="187">
        <v>50.82</v>
      </c>
      <c r="DX230">
        <v>148.63</v>
      </c>
      <c r="DY230">
        <v>1260</v>
      </c>
      <c r="DZ230">
        <v>0</v>
      </c>
      <c r="EA230">
        <v>0</v>
      </c>
      <c r="EB230" s="187">
        <v>0</v>
      </c>
      <c r="EC230">
        <v>0</v>
      </c>
      <c r="ED230">
        <v>94.63</v>
      </c>
      <c r="EE230">
        <v>79</v>
      </c>
      <c r="EF230">
        <v>110.38</v>
      </c>
      <c r="EG230" s="187">
        <v>550</v>
      </c>
      <c r="EH230">
        <v>125.11</v>
      </c>
      <c r="EI230">
        <v>287</v>
      </c>
      <c r="EJ230">
        <v>140.68</v>
      </c>
      <c r="EK230">
        <v>77</v>
      </c>
      <c r="EL230" s="187">
        <v>171.46</v>
      </c>
      <c r="EM230">
        <v>1</v>
      </c>
      <c r="EN230">
        <v>185.76</v>
      </c>
      <c r="EO230">
        <v>3</v>
      </c>
      <c r="EP230">
        <v>116</v>
      </c>
      <c r="EQ230" s="187">
        <v>997</v>
      </c>
      <c r="ER230">
        <v>116</v>
      </c>
      <c r="ES230">
        <v>997</v>
      </c>
      <c r="ET230">
        <v>252.64</v>
      </c>
      <c r="EU230">
        <v>18</v>
      </c>
      <c r="EV230" s="187">
        <v>0</v>
      </c>
      <c r="EW230">
        <v>0</v>
      </c>
      <c r="EX230">
        <v>245.04</v>
      </c>
      <c r="EY230">
        <v>79</v>
      </c>
      <c r="EZ230">
        <v>0</v>
      </c>
      <c r="FA230" s="187">
        <v>0</v>
      </c>
      <c r="FB230">
        <v>0</v>
      </c>
      <c r="FC230">
        <v>0</v>
      </c>
      <c r="FD230">
        <v>0</v>
      </c>
      <c r="FE230">
        <v>0</v>
      </c>
      <c r="FF230" s="187">
        <v>245.04</v>
      </c>
      <c r="FG230">
        <v>79</v>
      </c>
      <c r="FH230">
        <v>246.45</v>
      </c>
      <c r="FI230">
        <v>97</v>
      </c>
      <c r="FJ230">
        <v>0</v>
      </c>
      <c r="FK230" s="187">
        <v>5</v>
      </c>
      <c r="FL230">
        <v>9</v>
      </c>
      <c r="FM230">
        <v>0</v>
      </c>
      <c r="FN230">
        <v>15</v>
      </c>
    </row>
    <row r="231" spans="1:170" x14ac:dyDescent="0.35">
      <c r="A231" t="s">
        <v>848</v>
      </c>
      <c r="B231" t="s">
        <v>849</v>
      </c>
      <c r="C231" t="s">
        <v>1048</v>
      </c>
      <c r="D231">
        <v>6245</v>
      </c>
      <c r="E231">
        <v>6190</v>
      </c>
      <c r="F231">
        <v>0</v>
      </c>
      <c r="G231">
        <v>0</v>
      </c>
      <c r="H231">
        <v>214</v>
      </c>
      <c r="I231">
        <v>102</v>
      </c>
      <c r="J231">
        <v>670</v>
      </c>
      <c r="K231">
        <v>650</v>
      </c>
      <c r="L231">
        <v>525</v>
      </c>
      <c r="M231">
        <v>3</v>
      </c>
      <c r="N231">
        <v>7654</v>
      </c>
      <c r="O231">
        <v>6945</v>
      </c>
      <c r="P231">
        <v>7129</v>
      </c>
      <c r="Q231">
        <v>1</v>
      </c>
      <c r="R231">
        <v>7</v>
      </c>
      <c r="S231">
        <v>23</v>
      </c>
      <c r="T231">
        <v>154</v>
      </c>
      <c r="U231">
        <v>7500</v>
      </c>
      <c r="V231" s="498">
        <v>6190</v>
      </c>
      <c r="W231">
        <v>48</v>
      </c>
      <c r="X231" s="498">
        <v>37</v>
      </c>
      <c r="Y231" s="498">
        <v>85</v>
      </c>
      <c r="Z231" s="498">
        <v>86.09</v>
      </c>
      <c r="AA231" s="498">
        <v>85.46</v>
      </c>
      <c r="AB231">
        <v>3.94</v>
      </c>
      <c r="AC231">
        <v>87.74</v>
      </c>
      <c r="AD231">
        <v>5383</v>
      </c>
      <c r="AE231">
        <v>91.51</v>
      </c>
      <c r="AF231">
        <v>85.78</v>
      </c>
      <c r="AG231">
        <v>39.340000000000003</v>
      </c>
      <c r="AH231">
        <v>130.24</v>
      </c>
      <c r="AI231">
        <v>647</v>
      </c>
      <c r="AJ231">
        <v>106.99</v>
      </c>
      <c r="AK231">
        <v>837</v>
      </c>
      <c r="AL231">
        <v>151.32</v>
      </c>
      <c r="AM231">
        <v>150</v>
      </c>
      <c r="AN231">
        <v>0</v>
      </c>
      <c r="AO231" s="499">
        <v>0</v>
      </c>
      <c r="AP231" s="499">
        <v>0</v>
      </c>
      <c r="AQ231">
        <v>0</v>
      </c>
      <c r="AR231">
        <v>0</v>
      </c>
      <c r="AS231">
        <v>68.569999999999993</v>
      </c>
      <c r="AT231">
        <v>68.489999999999995</v>
      </c>
      <c r="AU231">
        <v>2.88</v>
      </c>
      <c r="AV231">
        <v>70.67</v>
      </c>
      <c r="AW231">
        <v>143</v>
      </c>
      <c r="AX231">
        <v>74.36</v>
      </c>
      <c r="AY231">
        <v>74.02</v>
      </c>
      <c r="AZ231">
        <v>3.9</v>
      </c>
      <c r="BA231">
        <v>77.73</v>
      </c>
      <c r="BB231">
        <v>1234</v>
      </c>
      <c r="BC231">
        <v>86.6</v>
      </c>
      <c r="BD231">
        <v>85.63</v>
      </c>
      <c r="BE231">
        <v>4.6500000000000004</v>
      </c>
      <c r="BF231">
        <v>88.56</v>
      </c>
      <c r="BG231">
        <v>1824</v>
      </c>
      <c r="BH231">
        <v>93.09</v>
      </c>
      <c r="BI231">
        <v>92.53</v>
      </c>
      <c r="BJ231">
        <v>2.71</v>
      </c>
      <c r="BK231">
        <v>93.47</v>
      </c>
      <c r="BL231" s="214">
        <v>2082</v>
      </c>
      <c r="BM231" s="214">
        <v>100.93</v>
      </c>
      <c r="BN231">
        <v>100.52</v>
      </c>
      <c r="BO231" s="187">
        <v>1.19</v>
      </c>
      <c r="BP231" s="214">
        <v>101.03</v>
      </c>
      <c r="BQ231" s="214">
        <v>97</v>
      </c>
      <c r="BR231">
        <v>106.33</v>
      </c>
      <c r="BS231" s="187">
        <v>106.61</v>
      </c>
      <c r="BT231" s="214">
        <v>0</v>
      </c>
      <c r="BU231" s="214">
        <v>106.33</v>
      </c>
      <c r="BV231">
        <v>2</v>
      </c>
      <c r="BW231">
        <v>108.73</v>
      </c>
      <c r="BX231" s="214">
        <v>108.73</v>
      </c>
      <c r="BY231" s="214">
        <v>0</v>
      </c>
      <c r="BZ231">
        <v>108.73</v>
      </c>
      <c r="CA231" s="187">
        <v>1</v>
      </c>
      <c r="CB231" s="214">
        <v>86.09</v>
      </c>
      <c r="CC231" s="214">
        <v>85.46</v>
      </c>
      <c r="CD231">
        <v>3.94</v>
      </c>
      <c r="CE231" s="187">
        <v>87.74</v>
      </c>
      <c r="CF231" s="214">
        <v>5383</v>
      </c>
      <c r="CG231" s="214">
        <v>86.09</v>
      </c>
      <c r="CH231">
        <v>85.46</v>
      </c>
      <c r="CI231">
        <v>3.94</v>
      </c>
      <c r="CJ231">
        <v>87.74</v>
      </c>
      <c r="CK231">
        <v>5383</v>
      </c>
      <c r="CL231">
        <v>82.33</v>
      </c>
      <c r="CM231">
        <v>72.84</v>
      </c>
      <c r="CN231" s="187">
        <v>105.79</v>
      </c>
      <c r="CO231">
        <v>135.22999999999999</v>
      </c>
      <c r="CP231">
        <v>12</v>
      </c>
      <c r="CQ231">
        <v>81.02</v>
      </c>
      <c r="CR231">
        <v>81.02</v>
      </c>
      <c r="CS231" s="187">
        <v>109.46</v>
      </c>
      <c r="CT231">
        <v>190.48</v>
      </c>
      <c r="CU231">
        <v>12</v>
      </c>
      <c r="CV231">
        <v>89.23</v>
      </c>
      <c r="CW231">
        <v>82.18</v>
      </c>
      <c r="CX231" s="187">
        <v>48.28</v>
      </c>
      <c r="CY231">
        <v>137.51</v>
      </c>
      <c r="CZ231">
        <v>356</v>
      </c>
      <c r="DA231">
        <v>94.77</v>
      </c>
      <c r="DB231">
        <v>91.01</v>
      </c>
      <c r="DC231" s="187">
        <v>21.49</v>
      </c>
      <c r="DD231">
        <v>116.01</v>
      </c>
      <c r="DE231">
        <v>260</v>
      </c>
      <c r="DF231">
        <v>120.33</v>
      </c>
      <c r="DG231">
        <v>99.47</v>
      </c>
      <c r="DH231" s="187">
        <v>66.97</v>
      </c>
      <c r="DI231">
        <v>177.73</v>
      </c>
      <c r="DJ231">
        <v>7</v>
      </c>
      <c r="DK231">
        <v>0</v>
      </c>
      <c r="DL231">
        <v>0</v>
      </c>
      <c r="DM231" s="187">
        <v>0</v>
      </c>
      <c r="DN231">
        <v>0</v>
      </c>
      <c r="DO231">
        <v>0</v>
      </c>
      <c r="DP231">
        <v>91.68</v>
      </c>
      <c r="DQ231">
        <v>85.87</v>
      </c>
      <c r="DR231" s="187">
        <v>38.71</v>
      </c>
      <c r="DS231">
        <v>130.15</v>
      </c>
      <c r="DT231">
        <v>635</v>
      </c>
      <c r="DU231">
        <v>91.51</v>
      </c>
      <c r="DV231">
        <v>85.78</v>
      </c>
      <c r="DW231" s="187">
        <v>39.340000000000003</v>
      </c>
      <c r="DX231">
        <v>130.24</v>
      </c>
      <c r="DY231">
        <v>647</v>
      </c>
      <c r="DZ231">
        <v>0</v>
      </c>
      <c r="EA231">
        <v>0</v>
      </c>
      <c r="EB231" s="187">
        <v>83.96</v>
      </c>
      <c r="EC231">
        <v>1</v>
      </c>
      <c r="ED231">
        <v>92.25</v>
      </c>
      <c r="EE231">
        <v>136</v>
      </c>
      <c r="EF231">
        <v>104.06</v>
      </c>
      <c r="EG231" s="187">
        <v>410</v>
      </c>
      <c r="EH231">
        <v>117.48</v>
      </c>
      <c r="EI231">
        <v>277</v>
      </c>
      <c r="EJ231">
        <v>134</v>
      </c>
      <c r="EK231">
        <v>12</v>
      </c>
      <c r="EL231" s="187">
        <v>103.89</v>
      </c>
      <c r="EM231">
        <v>1</v>
      </c>
      <c r="EN231">
        <v>0</v>
      </c>
      <c r="EO231">
        <v>0</v>
      </c>
      <c r="EP231">
        <v>106.99</v>
      </c>
      <c r="EQ231" s="187">
        <v>837</v>
      </c>
      <c r="ER231">
        <v>106.99</v>
      </c>
      <c r="ES231">
        <v>837</v>
      </c>
      <c r="ET231">
        <v>0</v>
      </c>
      <c r="EU231">
        <v>0</v>
      </c>
      <c r="EV231" s="187">
        <v>0</v>
      </c>
      <c r="EW231">
        <v>0</v>
      </c>
      <c r="EX231">
        <v>127.68</v>
      </c>
      <c r="EY231">
        <v>69</v>
      </c>
      <c r="EZ231">
        <v>171.46</v>
      </c>
      <c r="FA231" s="187">
        <v>81</v>
      </c>
      <c r="FB231">
        <v>0</v>
      </c>
      <c r="FC231">
        <v>0</v>
      </c>
      <c r="FD231">
        <v>0</v>
      </c>
      <c r="FE231">
        <v>0</v>
      </c>
      <c r="FF231" s="187">
        <v>151.32</v>
      </c>
      <c r="FG231">
        <v>150</v>
      </c>
      <c r="FH231">
        <v>151.32</v>
      </c>
      <c r="FI231">
        <v>150</v>
      </c>
      <c r="FJ231">
        <v>0</v>
      </c>
      <c r="FK231" s="187">
        <v>19</v>
      </c>
      <c r="FL231">
        <v>0</v>
      </c>
      <c r="FM231">
        <v>62</v>
      </c>
      <c r="FN231">
        <v>9</v>
      </c>
    </row>
    <row r="232" spans="1:170" x14ac:dyDescent="0.35">
      <c r="A232" t="s">
        <v>850</v>
      </c>
      <c r="B232" t="s">
        <v>851</v>
      </c>
      <c r="C232" t="s">
        <v>419</v>
      </c>
      <c r="D232">
        <v>3014</v>
      </c>
      <c r="E232">
        <v>2126</v>
      </c>
      <c r="F232">
        <v>0</v>
      </c>
      <c r="G232">
        <v>0</v>
      </c>
      <c r="H232">
        <v>279</v>
      </c>
      <c r="I232">
        <v>121</v>
      </c>
      <c r="J232">
        <v>97</v>
      </c>
      <c r="K232">
        <v>77</v>
      </c>
      <c r="L232">
        <v>369</v>
      </c>
      <c r="M232">
        <v>7</v>
      </c>
      <c r="N232">
        <v>3759</v>
      </c>
      <c r="O232">
        <v>2331</v>
      </c>
      <c r="P232">
        <v>3390</v>
      </c>
      <c r="Q232">
        <v>0</v>
      </c>
      <c r="R232">
        <v>10</v>
      </c>
      <c r="S232">
        <v>21</v>
      </c>
      <c r="T232">
        <v>1054</v>
      </c>
      <c r="U232">
        <v>2705</v>
      </c>
      <c r="V232" s="498">
        <v>2126</v>
      </c>
      <c r="W232">
        <v>5</v>
      </c>
      <c r="X232" s="498">
        <v>3</v>
      </c>
      <c r="Y232" s="498">
        <v>8</v>
      </c>
      <c r="Z232" s="498">
        <v>94.23</v>
      </c>
      <c r="AA232" s="498">
        <v>91.2</v>
      </c>
      <c r="AB232">
        <v>4.75</v>
      </c>
      <c r="AC232">
        <v>98.36</v>
      </c>
      <c r="AD232">
        <v>1531</v>
      </c>
      <c r="AE232">
        <v>93.58</v>
      </c>
      <c r="AF232">
        <v>78.040000000000006</v>
      </c>
      <c r="AG232">
        <v>53.99</v>
      </c>
      <c r="AH232">
        <v>147.57</v>
      </c>
      <c r="AI232">
        <v>210</v>
      </c>
      <c r="AJ232">
        <v>121.47</v>
      </c>
      <c r="AK232">
        <v>711</v>
      </c>
      <c r="AL232">
        <v>0</v>
      </c>
      <c r="AM232">
        <v>0</v>
      </c>
      <c r="AN232">
        <v>0</v>
      </c>
      <c r="AO232" s="499">
        <v>0</v>
      </c>
      <c r="AP232" s="499">
        <v>0</v>
      </c>
      <c r="AQ232">
        <v>0</v>
      </c>
      <c r="AR232">
        <v>0</v>
      </c>
      <c r="AS232">
        <v>0</v>
      </c>
      <c r="AT232">
        <v>0</v>
      </c>
      <c r="AU232">
        <v>0</v>
      </c>
      <c r="AV232">
        <v>0</v>
      </c>
      <c r="AW232">
        <v>0</v>
      </c>
      <c r="AX232">
        <v>76.7</v>
      </c>
      <c r="AY232">
        <v>74.77</v>
      </c>
      <c r="AZ232">
        <v>7.28</v>
      </c>
      <c r="BA232">
        <v>83.78</v>
      </c>
      <c r="BB232">
        <v>264</v>
      </c>
      <c r="BC232">
        <v>92.69</v>
      </c>
      <c r="BD232">
        <v>89.51</v>
      </c>
      <c r="BE232">
        <v>5.24</v>
      </c>
      <c r="BF232">
        <v>97.2</v>
      </c>
      <c r="BG232">
        <v>815</v>
      </c>
      <c r="BH232">
        <v>105.94</v>
      </c>
      <c r="BI232">
        <v>102.62</v>
      </c>
      <c r="BJ232">
        <v>1.97</v>
      </c>
      <c r="BK232">
        <v>107.56</v>
      </c>
      <c r="BL232" s="214">
        <v>418</v>
      </c>
      <c r="BM232" s="214">
        <v>123.53</v>
      </c>
      <c r="BN232">
        <v>118.94</v>
      </c>
      <c r="BO232" s="187">
        <v>3.53</v>
      </c>
      <c r="BP232" s="214">
        <v>126.33</v>
      </c>
      <c r="BQ232" s="214">
        <v>34</v>
      </c>
      <c r="BR232">
        <v>0</v>
      </c>
      <c r="BS232" s="187">
        <v>0</v>
      </c>
      <c r="BT232" s="214">
        <v>0</v>
      </c>
      <c r="BU232" s="214">
        <v>0</v>
      </c>
      <c r="BV232">
        <v>0</v>
      </c>
      <c r="BW232">
        <v>0</v>
      </c>
      <c r="BX232" s="214">
        <v>0</v>
      </c>
      <c r="BY232" s="214">
        <v>0</v>
      </c>
      <c r="BZ232">
        <v>0</v>
      </c>
      <c r="CA232" s="187">
        <v>0</v>
      </c>
      <c r="CB232" s="214">
        <v>94.23</v>
      </c>
      <c r="CC232" s="214">
        <v>91.2</v>
      </c>
      <c r="CD232">
        <v>4.75</v>
      </c>
      <c r="CE232" s="187">
        <v>98.36</v>
      </c>
      <c r="CF232" s="214">
        <v>1531</v>
      </c>
      <c r="CG232" s="214">
        <v>94.23</v>
      </c>
      <c r="CH232">
        <v>91.2</v>
      </c>
      <c r="CI232">
        <v>4.75</v>
      </c>
      <c r="CJ232">
        <v>98.36</v>
      </c>
      <c r="CK232">
        <v>1531</v>
      </c>
      <c r="CL232">
        <v>77.290000000000006</v>
      </c>
      <c r="CM232">
        <v>75.81</v>
      </c>
      <c r="CN232" s="187">
        <v>80.150000000000006</v>
      </c>
      <c r="CO232">
        <v>157.44</v>
      </c>
      <c r="CP232">
        <v>82</v>
      </c>
      <c r="CQ232">
        <v>70.349999999999994</v>
      </c>
      <c r="CR232">
        <v>63.96</v>
      </c>
      <c r="CS232" s="187">
        <v>42.11</v>
      </c>
      <c r="CT232">
        <v>112.46</v>
      </c>
      <c r="CU232">
        <v>17</v>
      </c>
      <c r="CV232">
        <v>109.91</v>
      </c>
      <c r="CW232">
        <v>81.349999999999994</v>
      </c>
      <c r="CX232" s="187">
        <v>38.020000000000003</v>
      </c>
      <c r="CY232">
        <v>147.93</v>
      </c>
      <c r="CZ232">
        <v>96</v>
      </c>
      <c r="DA232">
        <v>104.79</v>
      </c>
      <c r="DB232">
        <v>85.24</v>
      </c>
      <c r="DC232" s="187">
        <v>25.51</v>
      </c>
      <c r="DD232">
        <v>130.30000000000001</v>
      </c>
      <c r="DE232">
        <v>14</v>
      </c>
      <c r="DF232">
        <v>100.38</v>
      </c>
      <c r="DG232">
        <v>91.25</v>
      </c>
      <c r="DH232" s="187">
        <v>42.11</v>
      </c>
      <c r="DI232">
        <v>142.49</v>
      </c>
      <c r="DJ232">
        <v>1</v>
      </c>
      <c r="DK232">
        <v>0</v>
      </c>
      <c r="DL232">
        <v>0</v>
      </c>
      <c r="DM232" s="187">
        <v>0</v>
      </c>
      <c r="DN232">
        <v>0</v>
      </c>
      <c r="DO232">
        <v>0</v>
      </c>
      <c r="DP232">
        <v>104.02</v>
      </c>
      <c r="DQ232">
        <v>78.739999999999995</v>
      </c>
      <c r="DR232" s="187">
        <v>37.229999999999997</v>
      </c>
      <c r="DS232">
        <v>141.25</v>
      </c>
      <c r="DT232">
        <v>128</v>
      </c>
      <c r="DU232">
        <v>93.58</v>
      </c>
      <c r="DV232">
        <v>78.040000000000006</v>
      </c>
      <c r="DW232" s="187">
        <v>53.99</v>
      </c>
      <c r="DX232">
        <v>147.57</v>
      </c>
      <c r="DY232">
        <v>210</v>
      </c>
      <c r="DZ232">
        <v>0</v>
      </c>
      <c r="EA232">
        <v>0</v>
      </c>
      <c r="EB232" s="187">
        <v>0</v>
      </c>
      <c r="EC232">
        <v>0</v>
      </c>
      <c r="ED232">
        <v>95.56</v>
      </c>
      <c r="EE232">
        <v>71</v>
      </c>
      <c r="EF232">
        <v>113.29</v>
      </c>
      <c r="EG232" s="187">
        <v>363</v>
      </c>
      <c r="EH232">
        <v>136.52000000000001</v>
      </c>
      <c r="EI232">
        <v>259</v>
      </c>
      <c r="EJ232">
        <v>172.07</v>
      </c>
      <c r="EK232">
        <v>18</v>
      </c>
      <c r="EL232" s="187">
        <v>0</v>
      </c>
      <c r="EM232">
        <v>0</v>
      </c>
      <c r="EN232">
        <v>0</v>
      </c>
      <c r="EO232">
        <v>0</v>
      </c>
      <c r="EP232">
        <v>121.47</v>
      </c>
      <c r="EQ232" s="187">
        <v>711</v>
      </c>
      <c r="ER232">
        <v>121.47</v>
      </c>
      <c r="ES232">
        <v>711</v>
      </c>
      <c r="ET232">
        <v>0</v>
      </c>
      <c r="EU232">
        <v>0</v>
      </c>
      <c r="EV232" s="187">
        <v>0</v>
      </c>
      <c r="EW232">
        <v>0</v>
      </c>
      <c r="EX232">
        <v>0</v>
      </c>
      <c r="EY232">
        <v>0</v>
      </c>
      <c r="EZ232">
        <v>0</v>
      </c>
      <c r="FA232" s="187">
        <v>0</v>
      </c>
      <c r="FB232">
        <v>0</v>
      </c>
      <c r="FC232">
        <v>0</v>
      </c>
      <c r="FD232">
        <v>0</v>
      </c>
      <c r="FE232">
        <v>0</v>
      </c>
      <c r="FF232" s="187">
        <v>0</v>
      </c>
      <c r="FG232">
        <v>0</v>
      </c>
      <c r="FH232">
        <v>0</v>
      </c>
      <c r="FI232">
        <v>0</v>
      </c>
      <c r="FJ232">
        <v>7</v>
      </c>
      <c r="FK232" s="187">
        <v>0</v>
      </c>
      <c r="FL232">
        <v>2</v>
      </c>
      <c r="FM232">
        <v>50</v>
      </c>
      <c r="FN232">
        <v>10</v>
      </c>
    </row>
    <row r="233" spans="1:170" x14ac:dyDescent="0.35">
      <c r="A233" t="s">
        <v>852</v>
      </c>
      <c r="B233" t="s">
        <v>853</v>
      </c>
      <c r="C233" t="s">
        <v>418</v>
      </c>
      <c r="D233">
        <v>15474</v>
      </c>
      <c r="E233">
        <v>15103</v>
      </c>
      <c r="F233">
        <v>0</v>
      </c>
      <c r="G233">
        <v>0</v>
      </c>
      <c r="H233">
        <v>1706</v>
      </c>
      <c r="I233">
        <v>1194</v>
      </c>
      <c r="J233">
        <v>1619</v>
      </c>
      <c r="K233">
        <v>1619</v>
      </c>
      <c r="L233">
        <v>791</v>
      </c>
      <c r="M233">
        <v>0</v>
      </c>
      <c r="N233">
        <v>19590</v>
      </c>
      <c r="O233">
        <v>17916</v>
      </c>
      <c r="P233">
        <v>18799</v>
      </c>
      <c r="Q233">
        <v>19</v>
      </c>
      <c r="R233">
        <v>12</v>
      </c>
      <c r="S233">
        <v>19</v>
      </c>
      <c r="T233">
        <v>736</v>
      </c>
      <c r="U233">
        <v>18854</v>
      </c>
      <c r="V233" s="498">
        <v>15066</v>
      </c>
      <c r="W233">
        <v>55</v>
      </c>
      <c r="X233" s="498">
        <v>31</v>
      </c>
      <c r="Y233" s="498">
        <v>86</v>
      </c>
      <c r="Z233" s="498">
        <v>88.62</v>
      </c>
      <c r="AA233" s="498">
        <v>86.07</v>
      </c>
      <c r="AB233">
        <v>11.77</v>
      </c>
      <c r="AC233">
        <v>92.86</v>
      </c>
      <c r="AD233">
        <v>13547</v>
      </c>
      <c r="AE233">
        <v>82.67</v>
      </c>
      <c r="AF233">
        <v>77.03</v>
      </c>
      <c r="AG233">
        <v>37.94</v>
      </c>
      <c r="AH233">
        <v>119.09</v>
      </c>
      <c r="AI233">
        <v>2979</v>
      </c>
      <c r="AJ233">
        <v>107.13</v>
      </c>
      <c r="AK233">
        <v>1341</v>
      </c>
      <c r="AL233">
        <v>129.52000000000001</v>
      </c>
      <c r="AM233">
        <v>18</v>
      </c>
      <c r="AN233">
        <v>0</v>
      </c>
      <c r="AO233" s="499">
        <v>0</v>
      </c>
      <c r="AP233" s="499">
        <v>0</v>
      </c>
      <c r="AQ233">
        <v>0</v>
      </c>
      <c r="AR233">
        <v>0</v>
      </c>
      <c r="AS233">
        <v>69.38</v>
      </c>
      <c r="AT233">
        <v>71.12</v>
      </c>
      <c r="AU233">
        <v>16.14</v>
      </c>
      <c r="AV233">
        <v>85.52</v>
      </c>
      <c r="AW233">
        <v>28</v>
      </c>
      <c r="AX233">
        <v>76.239999999999995</v>
      </c>
      <c r="AY233">
        <v>73.849999999999994</v>
      </c>
      <c r="AZ233">
        <v>11.47</v>
      </c>
      <c r="BA233">
        <v>83.55</v>
      </c>
      <c r="BB233">
        <v>2570</v>
      </c>
      <c r="BC233">
        <v>83.9</v>
      </c>
      <c r="BD233">
        <v>81.900000000000006</v>
      </c>
      <c r="BE233">
        <v>13.9</v>
      </c>
      <c r="BF233">
        <v>91.69</v>
      </c>
      <c r="BG233">
        <v>4537</v>
      </c>
      <c r="BH233">
        <v>96.35</v>
      </c>
      <c r="BI233">
        <v>93.25</v>
      </c>
      <c r="BJ233">
        <v>4.62</v>
      </c>
      <c r="BK233">
        <v>96.84</v>
      </c>
      <c r="BL233" s="214">
        <v>5867</v>
      </c>
      <c r="BM233" s="214">
        <v>103.54</v>
      </c>
      <c r="BN233">
        <v>100.62</v>
      </c>
      <c r="BO233" s="187">
        <v>1.65</v>
      </c>
      <c r="BP233" s="214">
        <v>103.73</v>
      </c>
      <c r="BQ233" s="214">
        <v>514</v>
      </c>
      <c r="BR233">
        <v>107.07</v>
      </c>
      <c r="BS233" s="187">
        <v>106.83</v>
      </c>
      <c r="BT233" s="214">
        <v>0</v>
      </c>
      <c r="BU233" s="214">
        <v>107.07</v>
      </c>
      <c r="BV233">
        <v>25</v>
      </c>
      <c r="BW233">
        <v>120.36</v>
      </c>
      <c r="BX233" s="214">
        <v>125.61</v>
      </c>
      <c r="BY233" s="214">
        <v>0</v>
      </c>
      <c r="BZ233">
        <v>120.36</v>
      </c>
      <c r="CA233" s="187">
        <v>6</v>
      </c>
      <c r="CB233" s="214">
        <v>88.62</v>
      </c>
      <c r="CC233" s="214">
        <v>86.07</v>
      </c>
      <c r="CD233">
        <v>11.77</v>
      </c>
      <c r="CE233" s="187">
        <v>92.86</v>
      </c>
      <c r="CF233" s="214">
        <v>13547</v>
      </c>
      <c r="CG233" s="214">
        <v>88.62</v>
      </c>
      <c r="CH233">
        <v>86.07</v>
      </c>
      <c r="CI233">
        <v>11.77</v>
      </c>
      <c r="CJ233">
        <v>92.86</v>
      </c>
      <c r="CK233">
        <v>13547</v>
      </c>
      <c r="CL233">
        <v>84.98</v>
      </c>
      <c r="CM233">
        <v>72.63</v>
      </c>
      <c r="CN233" s="187">
        <v>58.62</v>
      </c>
      <c r="CO233">
        <v>131.26</v>
      </c>
      <c r="CP233">
        <v>309</v>
      </c>
      <c r="CQ233">
        <v>72.67</v>
      </c>
      <c r="CR233">
        <v>67.31</v>
      </c>
      <c r="CS233" s="187">
        <v>36.14</v>
      </c>
      <c r="CT233">
        <v>108.55</v>
      </c>
      <c r="CU233">
        <v>280</v>
      </c>
      <c r="CV233">
        <v>81.52</v>
      </c>
      <c r="CW233">
        <v>76.790000000000006</v>
      </c>
      <c r="CX233" s="187">
        <v>36.229999999999997</v>
      </c>
      <c r="CY233">
        <v>117.14</v>
      </c>
      <c r="CZ233">
        <v>2066</v>
      </c>
      <c r="DA233">
        <v>94.69</v>
      </c>
      <c r="DB233">
        <v>87.72</v>
      </c>
      <c r="DC233" s="187">
        <v>35.67</v>
      </c>
      <c r="DD233">
        <v>128.9</v>
      </c>
      <c r="DE233">
        <v>269</v>
      </c>
      <c r="DF233">
        <v>99.81</v>
      </c>
      <c r="DG233">
        <v>94.31</v>
      </c>
      <c r="DH233" s="187">
        <v>24.93</v>
      </c>
      <c r="DI233">
        <v>122.67</v>
      </c>
      <c r="DJ233">
        <v>48</v>
      </c>
      <c r="DK233">
        <v>140.88999999999999</v>
      </c>
      <c r="DL233">
        <v>145.4</v>
      </c>
      <c r="DM233" s="187">
        <v>55.5</v>
      </c>
      <c r="DN233">
        <v>180.53</v>
      </c>
      <c r="DO233">
        <v>7</v>
      </c>
      <c r="DP233">
        <v>82.4</v>
      </c>
      <c r="DQ233">
        <v>77.349999999999994</v>
      </c>
      <c r="DR233" s="187">
        <v>36.020000000000003</v>
      </c>
      <c r="DS233">
        <v>117.69</v>
      </c>
      <c r="DT233">
        <v>2670</v>
      </c>
      <c r="DU233">
        <v>82.67</v>
      </c>
      <c r="DV233">
        <v>77.03</v>
      </c>
      <c r="DW233" s="187">
        <v>37.94</v>
      </c>
      <c r="DX233">
        <v>119.09</v>
      </c>
      <c r="DY233">
        <v>2979</v>
      </c>
      <c r="DZ233">
        <v>0</v>
      </c>
      <c r="EA233">
        <v>0</v>
      </c>
      <c r="EB233" s="187">
        <v>0</v>
      </c>
      <c r="EC233">
        <v>0</v>
      </c>
      <c r="ED233">
        <v>91.54</v>
      </c>
      <c r="EE233">
        <v>185</v>
      </c>
      <c r="EF233">
        <v>101.66</v>
      </c>
      <c r="EG233" s="187">
        <v>658</v>
      </c>
      <c r="EH233">
        <v>119.77</v>
      </c>
      <c r="EI233">
        <v>462</v>
      </c>
      <c r="EJ233">
        <v>125.18</v>
      </c>
      <c r="EK233">
        <v>36</v>
      </c>
      <c r="EL233" s="187">
        <v>0</v>
      </c>
      <c r="EM233">
        <v>0</v>
      </c>
      <c r="EN233">
        <v>0</v>
      </c>
      <c r="EO233">
        <v>0</v>
      </c>
      <c r="EP233">
        <v>107.13</v>
      </c>
      <c r="EQ233" s="187">
        <v>1341</v>
      </c>
      <c r="ER233">
        <v>107.13</v>
      </c>
      <c r="ES233">
        <v>1341</v>
      </c>
      <c r="ET233">
        <v>0</v>
      </c>
      <c r="EU233">
        <v>0</v>
      </c>
      <c r="EV233" s="187">
        <v>0</v>
      </c>
      <c r="EW233">
        <v>0</v>
      </c>
      <c r="EX233">
        <v>124.26</v>
      </c>
      <c r="EY233">
        <v>10</v>
      </c>
      <c r="EZ233">
        <v>136.09</v>
      </c>
      <c r="FA233" s="187">
        <v>8</v>
      </c>
      <c r="FB233">
        <v>0</v>
      </c>
      <c r="FC233">
        <v>0</v>
      </c>
      <c r="FD233">
        <v>0</v>
      </c>
      <c r="FE233">
        <v>0</v>
      </c>
      <c r="FF233" s="187">
        <v>129.52000000000001</v>
      </c>
      <c r="FG233">
        <v>18</v>
      </c>
      <c r="FH233">
        <v>129.52000000000001</v>
      </c>
      <c r="FI233">
        <v>18</v>
      </c>
      <c r="FJ233">
        <v>0</v>
      </c>
      <c r="FK233" s="187">
        <v>71</v>
      </c>
      <c r="FL233">
        <v>4</v>
      </c>
      <c r="FM233">
        <v>28</v>
      </c>
      <c r="FN233">
        <v>8</v>
      </c>
    </row>
    <row r="234" spans="1:170" x14ac:dyDescent="0.35">
      <c r="A234" t="s">
        <v>854</v>
      </c>
      <c r="B234" t="s">
        <v>855</v>
      </c>
      <c r="C234" t="s">
        <v>1048</v>
      </c>
      <c r="D234">
        <v>1892</v>
      </c>
      <c r="E234">
        <v>1815</v>
      </c>
      <c r="F234">
        <v>0</v>
      </c>
      <c r="G234">
        <v>0</v>
      </c>
      <c r="H234">
        <v>38</v>
      </c>
      <c r="I234">
        <v>25</v>
      </c>
      <c r="J234">
        <v>195</v>
      </c>
      <c r="K234">
        <v>195</v>
      </c>
      <c r="L234">
        <v>477</v>
      </c>
      <c r="M234">
        <v>0</v>
      </c>
      <c r="N234">
        <v>2602</v>
      </c>
      <c r="O234">
        <v>2035</v>
      </c>
      <c r="P234">
        <v>2125</v>
      </c>
      <c r="Q234">
        <v>0</v>
      </c>
      <c r="R234">
        <v>2</v>
      </c>
      <c r="S234">
        <v>23</v>
      </c>
      <c r="T234">
        <v>40</v>
      </c>
      <c r="U234">
        <v>2562</v>
      </c>
      <c r="V234" s="498">
        <v>1852</v>
      </c>
      <c r="W234">
        <v>13</v>
      </c>
      <c r="X234" s="498">
        <v>4</v>
      </c>
      <c r="Y234" s="498">
        <v>17</v>
      </c>
      <c r="Z234" s="498">
        <v>94.48</v>
      </c>
      <c r="AA234" s="498">
        <v>87.43</v>
      </c>
      <c r="AB234">
        <v>5.68</v>
      </c>
      <c r="AC234">
        <v>98.32</v>
      </c>
      <c r="AD234">
        <v>1104</v>
      </c>
      <c r="AE234">
        <v>106.4</v>
      </c>
      <c r="AF234">
        <v>95.15</v>
      </c>
      <c r="AG234">
        <v>59.96</v>
      </c>
      <c r="AH234">
        <v>165.84</v>
      </c>
      <c r="AI234">
        <v>233</v>
      </c>
      <c r="AJ234">
        <v>116.21</v>
      </c>
      <c r="AK234">
        <v>588</v>
      </c>
      <c r="AL234">
        <v>0</v>
      </c>
      <c r="AM234">
        <v>0</v>
      </c>
      <c r="AN234">
        <v>0</v>
      </c>
      <c r="AO234" s="499">
        <v>0</v>
      </c>
      <c r="AP234" s="499">
        <v>0</v>
      </c>
      <c r="AQ234">
        <v>0</v>
      </c>
      <c r="AR234">
        <v>0</v>
      </c>
      <c r="AS234">
        <v>72.040000000000006</v>
      </c>
      <c r="AT234">
        <v>68.66</v>
      </c>
      <c r="AU234">
        <v>9.5</v>
      </c>
      <c r="AV234">
        <v>81.540000000000006</v>
      </c>
      <c r="AW234">
        <v>2</v>
      </c>
      <c r="AX234">
        <v>77.53</v>
      </c>
      <c r="AY234">
        <v>74.47</v>
      </c>
      <c r="AZ234">
        <v>8.4</v>
      </c>
      <c r="BA234">
        <v>85.77</v>
      </c>
      <c r="BB234">
        <v>217</v>
      </c>
      <c r="BC234">
        <v>97.33</v>
      </c>
      <c r="BD234">
        <v>87.45</v>
      </c>
      <c r="BE234">
        <v>6</v>
      </c>
      <c r="BF234">
        <v>101.04</v>
      </c>
      <c r="BG234">
        <v>478</v>
      </c>
      <c r="BH234">
        <v>100.01</v>
      </c>
      <c r="BI234">
        <v>94.39</v>
      </c>
      <c r="BJ234">
        <v>2.76</v>
      </c>
      <c r="BK234">
        <v>101.56</v>
      </c>
      <c r="BL234" s="214">
        <v>380</v>
      </c>
      <c r="BM234" s="214">
        <v>104.02</v>
      </c>
      <c r="BN234">
        <v>100.37</v>
      </c>
      <c r="BO234" s="187">
        <v>3.09</v>
      </c>
      <c r="BP234" s="214">
        <v>106.54</v>
      </c>
      <c r="BQ234" s="214">
        <v>27</v>
      </c>
      <c r="BR234">
        <v>0</v>
      </c>
      <c r="BS234" s="187">
        <v>0</v>
      </c>
      <c r="BT234" s="214">
        <v>0</v>
      </c>
      <c r="BU234" s="214">
        <v>0</v>
      </c>
      <c r="BV234">
        <v>0</v>
      </c>
      <c r="BW234">
        <v>0</v>
      </c>
      <c r="BX234" s="214">
        <v>0</v>
      </c>
      <c r="BY234" s="214">
        <v>0</v>
      </c>
      <c r="BZ234">
        <v>0</v>
      </c>
      <c r="CA234" s="187">
        <v>0</v>
      </c>
      <c r="CB234" s="214">
        <v>94.48</v>
      </c>
      <c r="CC234" s="214">
        <v>87.43</v>
      </c>
      <c r="CD234">
        <v>5.68</v>
      </c>
      <c r="CE234" s="187">
        <v>98.32</v>
      </c>
      <c r="CF234" s="214">
        <v>1104</v>
      </c>
      <c r="CG234" s="214">
        <v>94.48</v>
      </c>
      <c r="CH234">
        <v>87.43</v>
      </c>
      <c r="CI234">
        <v>5.68</v>
      </c>
      <c r="CJ234">
        <v>98.32</v>
      </c>
      <c r="CK234">
        <v>1104</v>
      </c>
      <c r="CL234">
        <v>92.64</v>
      </c>
      <c r="CM234">
        <v>89.04</v>
      </c>
      <c r="CN234" s="187">
        <v>46.82</v>
      </c>
      <c r="CO234">
        <v>139.47</v>
      </c>
      <c r="CP234">
        <v>34</v>
      </c>
      <c r="CQ234">
        <v>65.430000000000007</v>
      </c>
      <c r="CR234">
        <v>59.48</v>
      </c>
      <c r="CS234" s="187">
        <v>34.31</v>
      </c>
      <c r="CT234">
        <v>99.74</v>
      </c>
      <c r="CU234">
        <v>28</v>
      </c>
      <c r="CV234">
        <v>108.76</v>
      </c>
      <c r="CW234">
        <v>87.44</v>
      </c>
      <c r="CX234" s="187">
        <v>53.9</v>
      </c>
      <c r="CY234">
        <v>162.65</v>
      </c>
      <c r="CZ234">
        <v>59</v>
      </c>
      <c r="DA234">
        <v>119.58</v>
      </c>
      <c r="DB234">
        <v>109.17</v>
      </c>
      <c r="DC234" s="187">
        <v>73.790000000000006</v>
      </c>
      <c r="DD234">
        <v>192.05</v>
      </c>
      <c r="DE234">
        <v>112</v>
      </c>
      <c r="DF234">
        <v>0</v>
      </c>
      <c r="DG234">
        <v>0</v>
      </c>
      <c r="DH234" s="187">
        <v>0</v>
      </c>
      <c r="DI234">
        <v>0</v>
      </c>
      <c r="DJ234">
        <v>0</v>
      </c>
      <c r="DK234">
        <v>0</v>
      </c>
      <c r="DL234">
        <v>0</v>
      </c>
      <c r="DM234" s="187">
        <v>0</v>
      </c>
      <c r="DN234">
        <v>0</v>
      </c>
      <c r="DO234">
        <v>0</v>
      </c>
      <c r="DP234">
        <v>108.75</v>
      </c>
      <c r="DQ234">
        <v>95.91</v>
      </c>
      <c r="DR234" s="187">
        <v>62.22</v>
      </c>
      <c r="DS234">
        <v>170.35</v>
      </c>
      <c r="DT234">
        <v>199</v>
      </c>
      <c r="DU234">
        <v>106.4</v>
      </c>
      <c r="DV234">
        <v>95.15</v>
      </c>
      <c r="DW234" s="187">
        <v>59.96</v>
      </c>
      <c r="DX234">
        <v>165.84</v>
      </c>
      <c r="DY234">
        <v>233</v>
      </c>
      <c r="DZ234">
        <v>0</v>
      </c>
      <c r="EA234">
        <v>0</v>
      </c>
      <c r="EB234" s="187">
        <v>87.79</v>
      </c>
      <c r="EC234">
        <v>2</v>
      </c>
      <c r="ED234">
        <v>91.4</v>
      </c>
      <c r="EE234">
        <v>63</v>
      </c>
      <c r="EF234">
        <v>112.02</v>
      </c>
      <c r="EG234" s="187">
        <v>327</v>
      </c>
      <c r="EH234">
        <v>130.04</v>
      </c>
      <c r="EI234">
        <v>189</v>
      </c>
      <c r="EJ234">
        <v>169.76</v>
      </c>
      <c r="EK234">
        <v>7</v>
      </c>
      <c r="EL234" s="187">
        <v>0</v>
      </c>
      <c r="EM234">
        <v>0</v>
      </c>
      <c r="EN234">
        <v>0</v>
      </c>
      <c r="EO234">
        <v>0</v>
      </c>
      <c r="EP234">
        <v>116.21</v>
      </c>
      <c r="EQ234" s="187">
        <v>588</v>
      </c>
      <c r="ER234">
        <v>116.21</v>
      </c>
      <c r="ES234">
        <v>588</v>
      </c>
      <c r="ET234">
        <v>0</v>
      </c>
      <c r="EU234">
        <v>0</v>
      </c>
      <c r="EV234" s="187">
        <v>0</v>
      </c>
      <c r="EW234">
        <v>0</v>
      </c>
      <c r="EX234">
        <v>0</v>
      </c>
      <c r="EY234">
        <v>0</v>
      </c>
      <c r="EZ234">
        <v>0</v>
      </c>
      <c r="FA234" s="187">
        <v>0</v>
      </c>
      <c r="FB234">
        <v>0</v>
      </c>
      <c r="FC234">
        <v>0</v>
      </c>
      <c r="FD234">
        <v>0</v>
      </c>
      <c r="FE234">
        <v>0</v>
      </c>
      <c r="FF234" s="187">
        <v>0</v>
      </c>
      <c r="FG234">
        <v>0</v>
      </c>
      <c r="FH234">
        <v>0</v>
      </c>
      <c r="FI234">
        <v>0</v>
      </c>
      <c r="FJ234">
        <v>2</v>
      </c>
      <c r="FK234" s="187">
        <v>0</v>
      </c>
      <c r="FL234">
        <v>3</v>
      </c>
      <c r="FM234">
        <v>65</v>
      </c>
      <c r="FN234">
        <v>12</v>
      </c>
    </row>
    <row r="235" spans="1:170" x14ac:dyDescent="0.35">
      <c r="A235" t="s">
        <v>856</v>
      </c>
      <c r="B235" t="s">
        <v>857</v>
      </c>
      <c r="C235" t="s">
        <v>2</v>
      </c>
      <c r="D235">
        <v>5532</v>
      </c>
      <c r="E235">
        <v>5520</v>
      </c>
      <c r="F235">
        <v>0</v>
      </c>
      <c r="G235">
        <v>0</v>
      </c>
      <c r="H235">
        <v>84</v>
      </c>
      <c r="I235">
        <v>54</v>
      </c>
      <c r="J235">
        <v>1072</v>
      </c>
      <c r="K235">
        <v>944</v>
      </c>
      <c r="L235">
        <v>893</v>
      </c>
      <c r="M235">
        <v>111</v>
      </c>
      <c r="N235">
        <v>7581</v>
      </c>
      <c r="O235">
        <v>6629</v>
      </c>
      <c r="P235">
        <v>6688</v>
      </c>
      <c r="Q235">
        <v>207</v>
      </c>
      <c r="R235">
        <v>6</v>
      </c>
      <c r="S235">
        <v>19</v>
      </c>
      <c r="T235">
        <v>163</v>
      </c>
      <c r="U235">
        <v>7418</v>
      </c>
      <c r="V235" s="498">
        <v>5520</v>
      </c>
      <c r="W235">
        <v>23</v>
      </c>
      <c r="X235" s="498">
        <v>13</v>
      </c>
      <c r="Y235" s="498">
        <v>36</v>
      </c>
      <c r="Z235" s="498">
        <v>109.66</v>
      </c>
      <c r="AA235" s="498">
        <v>106.1</v>
      </c>
      <c r="AB235">
        <v>4.33</v>
      </c>
      <c r="AC235">
        <v>112.41</v>
      </c>
      <c r="AD235">
        <v>5180</v>
      </c>
      <c r="AE235">
        <v>94.71</v>
      </c>
      <c r="AF235">
        <v>89.97</v>
      </c>
      <c r="AG235">
        <v>23.65</v>
      </c>
      <c r="AH235">
        <v>117.91</v>
      </c>
      <c r="AI235">
        <v>903</v>
      </c>
      <c r="AJ235">
        <v>166.2</v>
      </c>
      <c r="AK235">
        <v>318</v>
      </c>
      <c r="AL235">
        <v>144.11000000000001</v>
      </c>
      <c r="AM235">
        <v>102</v>
      </c>
      <c r="AN235">
        <v>0</v>
      </c>
      <c r="AO235" s="499">
        <v>0</v>
      </c>
      <c r="AP235" s="499">
        <v>0</v>
      </c>
      <c r="AQ235">
        <v>0</v>
      </c>
      <c r="AR235">
        <v>0</v>
      </c>
      <c r="AS235">
        <v>84.92</v>
      </c>
      <c r="AT235">
        <v>79.48</v>
      </c>
      <c r="AU235">
        <v>2.29</v>
      </c>
      <c r="AV235">
        <v>87.21</v>
      </c>
      <c r="AW235">
        <v>4</v>
      </c>
      <c r="AX235">
        <v>90.45</v>
      </c>
      <c r="AY235">
        <v>87.61</v>
      </c>
      <c r="AZ235">
        <v>5.78</v>
      </c>
      <c r="BA235">
        <v>95.36</v>
      </c>
      <c r="BB235">
        <v>1006</v>
      </c>
      <c r="BC235">
        <v>107.93</v>
      </c>
      <c r="BD235">
        <v>103.94</v>
      </c>
      <c r="BE235">
        <v>4.34</v>
      </c>
      <c r="BF235">
        <v>110.64</v>
      </c>
      <c r="BG235">
        <v>1882</v>
      </c>
      <c r="BH235">
        <v>118.69</v>
      </c>
      <c r="BI235">
        <v>114.82</v>
      </c>
      <c r="BJ235">
        <v>3.31</v>
      </c>
      <c r="BK235">
        <v>120.53</v>
      </c>
      <c r="BL235" s="214">
        <v>2159</v>
      </c>
      <c r="BM235" s="214">
        <v>132.69</v>
      </c>
      <c r="BN235">
        <v>130.76</v>
      </c>
      <c r="BO235" s="187">
        <v>4.01</v>
      </c>
      <c r="BP235" s="214">
        <v>134.55000000000001</v>
      </c>
      <c r="BQ235" s="214">
        <v>121</v>
      </c>
      <c r="BR235">
        <v>149.79</v>
      </c>
      <c r="BS235" s="187">
        <v>140.41999999999999</v>
      </c>
      <c r="BT235" s="214">
        <v>7.06</v>
      </c>
      <c r="BU235" s="214">
        <v>152.61000000000001</v>
      </c>
      <c r="BV235">
        <v>5</v>
      </c>
      <c r="BW235">
        <v>171.82</v>
      </c>
      <c r="BX235" s="214">
        <v>176.95</v>
      </c>
      <c r="BY235" s="214">
        <v>2.29</v>
      </c>
      <c r="BZ235">
        <v>174.11</v>
      </c>
      <c r="CA235" s="187">
        <v>3</v>
      </c>
      <c r="CB235" s="214">
        <v>109.66</v>
      </c>
      <c r="CC235" s="214">
        <v>106.1</v>
      </c>
      <c r="CD235">
        <v>4.33</v>
      </c>
      <c r="CE235" s="187">
        <v>112.41</v>
      </c>
      <c r="CF235" s="214">
        <v>5180</v>
      </c>
      <c r="CG235" s="214">
        <v>109.66</v>
      </c>
      <c r="CH235">
        <v>106.1</v>
      </c>
      <c r="CI235">
        <v>4.33</v>
      </c>
      <c r="CJ235">
        <v>112.41</v>
      </c>
      <c r="CK235">
        <v>5180</v>
      </c>
      <c r="CL235">
        <v>118.09</v>
      </c>
      <c r="CM235">
        <v>106.32</v>
      </c>
      <c r="CN235" s="187">
        <v>10.45</v>
      </c>
      <c r="CO235">
        <v>124.36</v>
      </c>
      <c r="CP235">
        <v>30</v>
      </c>
      <c r="CQ235">
        <v>82.09</v>
      </c>
      <c r="CR235">
        <v>76.11</v>
      </c>
      <c r="CS235" s="187">
        <v>27.38</v>
      </c>
      <c r="CT235">
        <v>108.98</v>
      </c>
      <c r="CU235">
        <v>56</v>
      </c>
      <c r="CV235">
        <v>93.93</v>
      </c>
      <c r="CW235">
        <v>90.22</v>
      </c>
      <c r="CX235" s="187">
        <v>23.71</v>
      </c>
      <c r="CY235">
        <v>117.51</v>
      </c>
      <c r="CZ235">
        <v>771</v>
      </c>
      <c r="DA235">
        <v>107.67</v>
      </c>
      <c r="DB235">
        <v>101.87</v>
      </c>
      <c r="DC235" s="187">
        <v>23.54</v>
      </c>
      <c r="DD235">
        <v>131.21</v>
      </c>
      <c r="DE235">
        <v>43</v>
      </c>
      <c r="DF235">
        <v>110.88</v>
      </c>
      <c r="DG235">
        <v>104.05</v>
      </c>
      <c r="DH235" s="187">
        <v>21.36</v>
      </c>
      <c r="DI235">
        <v>132.22999999999999</v>
      </c>
      <c r="DJ235">
        <v>3</v>
      </c>
      <c r="DK235">
        <v>0</v>
      </c>
      <c r="DL235">
        <v>0</v>
      </c>
      <c r="DM235" s="187">
        <v>0</v>
      </c>
      <c r="DN235">
        <v>0</v>
      </c>
      <c r="DO235">
        <v>0</v>
      </c>
      <c r="DP235">
        <v>93.9</v>
      </c>
      <c r="DQ235">
        <v>89.94</v>
      </c>
      <c r="DR235" s="187">
        <v>23.93</v>
      </c>
      <c r="DS235">
        <v>117.69</v>
      </c>
      <c r="DT235">
        <v>873</v>
      </c>
      <c r="DU235">
        <v>94.71</v>
      </c>
      <c r="DV235">
        <v>89.97</v>
      </c>
      <c r="DW235" s="187">
        <v>23.65</v>
      </c>
      <c r="DX235">
        <v>117.91</v>
      </c>
      <c r="DY235">
        <v>903</v>
      </c>
      <c r="DZ235">
        <v>0</v>
      </c>
      <c r="EA235">
        <v>0</v>
      </c>
      <c r="EB235" s="187">
        <v>0</v>
      </c>
      <c r="EC235">
        <v>0</v>
      </c>
      <c r="ED235">
        <v>133.01</v>
      </c>
      <c r="EE235">
        <v>89</v>
      </c>
      <c r="EF235">
        <v>172.23</v>
      </c>
      <c r="EG235" s="187">
        <v>160</v>
      </c>
      <c r="EH235">
        <v>186.21</v>
      </c>
      <c r="EI235">
        <v>61</v>
      </c>
      <c r="EJ235">
        <v>262.14</v>
      </c>
      <c r="EK235">
        <v>8</v>
      </c>
      <c r="EL235" s="187">
        <v>0</v>
      </c>
      <c r="EM235">
        <v>0</v>
      </c>
      <c r="EN235">
        <v>0</v>
      </c>
      <c r="EO235">
        <v>0</v>
      </c>
      <c r="EP235">
        <v>166.2</v>
      </c>
      <c r="EQ235" s="187">
        <v>318</v>
      </c>
      <c r="ER235">
        <v>166.2</v>
      </c>
      <c r="ES235">
        <v>318</v>
      </c>
      <c r="ET235">
        <v>0</v>
      </c>
      <c r="EU235">
        <v>0</v>
      </c>
      <c r="EV235" s="187">
        <v>0</v>
      </c>
      <c r="EW235">
        <v>0</v>
      </c>
      <c r="EX235">
        <v>131.99</v>
      </c>
      <c r="EY235">
        <v>67</v>
      </c>
      <c r="EZ235">
        <v>167.31</v>
      </c>
      <c r="FA235" s="187">
        <v>35</v>
      </c>
      <c r="FB235">
        <v>0</v>
      </c>
      <c r="FC235">
        <v>0</v>
      </c>
      <c r="FD235">
        <v>0</v>
      </c>
      <c r="FE235">
        <v>0</v>
      </c>
      <c r="FF235" s="187">
        <v>144.11000000000001</v>
      </c>
      <c r="FG235">
        <v>102</v>
      </c>
      <c r="FH235">
        <v>144.11000000000001</v>
      </c>
      <c r="FI235">
        <v>102</v>
      </c>
      <c r="FJ235">
        <v>0</v>
      </c>
      <c r="FK235" s="187">
        <v>2</v>
      </c>
      <c r="FL235">
        <v>0</v>
      </c>
      <c r="FM235">
        <v>14</v>
      </c>
      <c r="FN235">
        <v>17</v>
      </c>
    </row>
    <row r="236" spans="1:170" x14ac:dyDescent="0.35">
      <c r="A236" t="s">
        <v>858</v>
      </c>
      <c r="B236" t="s">
        <v>859</v>
      </c>
      <c r="C236" t="s">
        <v>1048</v>
      </c>
      <c r="D236">
        <v>15420</v>
      </c>
      <c r="E236">
        <v>15306</v>
      </c>
      <c r="F236">
        <v>2</v>
      </c>
      <c r="G236">
        <v>2</v>
      </c>
      <c r="H236">
        <v>1375</v>
      </c>
      <c r="I236">
        <v>1091</v>
      </c>
      <c r="J236">
        <v>1123</v>
      </c>
      <c r="K236">
        <v>1045</v>
      </c>
      <c r="L236">
        <v>477</v>
      </c>
      <c r="M236">
        <v>4</v>
      </c>
      <c r="N236">
        <v>18397</v>
      </c>
      <c r="O236">
        <v>17448</v>
      </c>
      <c r="P236">
        <v>17920</v>
      </c>
      <c r="Q236">
        <v>2</v>
      </c>
      <c r="R236">
        <v>14</v>
      </c>
      <c r="S236">
        <v>29</v>
      </c>
      <c r="T236">
        <v>403</v>
      </c>
      <c r="U236">
        <v>17994</v>
      </c>
      <c r="V236" s="498">
        <v>15314</v>
      </c>
      <c r="W236">
        <v>104</v>
      </c>
      <c r="X236" s="498">
        <v>87</v>
      </c>
      <c r="Y236" s="498">
        <v>191</v>
      </c>
      <c r="Z236" s="498">
        <v>82.08</v>
      </c>
      <c r="AA236" s="498">
        <v>80.52</v>
      </c>
      <c r="AB236">
        <v>8.3800000000000008</v>
      </c>
      <c r="AC236">
        <v>84.85</v>
      </c>
      <c r="AD236">
        <v>12824</v>
      </c>
      <c r="AE236">
        <v>88.01</v>
      </c>
      <c r="AF236">
        <v>77.72</v>
      </c>
      <c r="AG236">
        <v>55.2</v>
      </c>
      <c r="AH236">
        <v>142.25</v>
      </c>
      <c r="AI236">
        <v>2188</v>
      </c>
      <c r="AJ236">
        <v>101.2</v>
      </c>
      <c r="AK236">
        <v>2327</v>
      </c>
      <c r="AL236">
        <v>140.41999999999999</v>
      </c>
      <c r="AM236">
        <v>13</v>
      </c>
      <c r="AN236">
        <v>91.46</v>
      </c>
      <c r="AO236" s="499">
        <v>91.45</v>
      </c>
      <c r="AP236" s="499">
        <v>0</v>
      </c>
      <c r="AQ236">
        <v>91.46</v>
      </c>
      <c r="AR236">
        <v>1</v>
      </c>
      <c r="AS236">
        <v>61.89</v>
      </c>
      <c r="AT236">
        <v>62.5</v>
      </c>
      <c r="AU236">
        <v>10.43</v>
      </c>
      <c r="AV236">
        <v>72.23</v>
      </c>
      <c r="AW236">
        <v>121</v>
      </c>
      <c r="AX236">
        <v>72.12</v>
      </c>
      <c r="AY236">
        <v>69.58</v>
      </c>
      <c r="AZ236">
        <v>11.1</v>
      </c>
      <c r="BA236">
        <v>78.5</v>
      </c>
      <c r="BB236">
        <v>2841</v>
      </c>
      <c r="BC236">
        <v>80.260000000000005</v>
      </c>
      <c r="BD236">
        <v>78.900000000000006</v>
      </c>
      <c r="BE236">
        <v>8.65</v>
      </c>
      <c r="BF236">
        <v>82.88</v>
      </c>
      <c r="BG236">
        <v>4870</v>
      </c>
      <c r="BH236">
        <v>88.27</v>
      </c>
      <c r="BI236">
        <v>87.37</v>
      </c>
      <c r="BJ236">
        <v>3.46</v>
      </c>
      <c r="BK236">
        <v>88.95</v>
      </c>
      <c r="BL236" s="214">
        <v>4507</v>
      </c>
      <c r="BM236" s="214">
        <v>105.35</v>
      </c>
      <c r="BN236">
        <v>101.2</v>
      </c>
      <c r="BO236" s="187">
        <v>3.02</v>
      </c>
      <c r="BP236" s="214">
        <v>106.28</v>
      </c>
      <c r="BQ236" s="214">
        <v>442</v>
      </c>
      <c r="BR236">
        <v>112.21</v>
      </c>
      <c r="BS236" s="187">
        <v>107.54</v>
      </c>
      <c r="BT236" s="214">
        <v>3.06</v>
      </c>
      <c r="BU236" s="214">
        <v>112.95</v>
      </c>
      <c r="BV236">
        <v>33</v>
      </c>
      <c r="BW236">
        <v>123.46</v>
      </c>
      <c r="BX236" s="214">
        <v>118.35</v>
      </c>
      <c r="BY236" s="214">
        <v>0.13</v>
      </c>
      <c r="BZ236">
        <v>123.49</v>
      </c>
      <c r="CA236" s="187">
        <v>9</v>
      </c>
      <c r="CB236" s="214">
        <v>82.08</v>
      </c>
      <c r="CC236" s="214">
        <v>80.52</v>
      </c>
      <c r="CD236">
        <v>8.3800000000000008</v>
      </c>
      <c r="CE236" s="187">
        <v>84.85</v>
      </c>
      <c r="CF236" s="214">
        <v>12823</v>
      </c>
      <c r="CG236" s="214">
        <v>82.08</v>
      </c>
      <c r="CH236">
        <v>80.52</v>
      </c>
      <c r="CI236">
        <v>8.3800000000000008</v>
      </c>
      <c r="CJ236">
        <v>84.85</v>
      </c>
      <c r="CK236">
        <v>12824</v>
      </c>
      <c r="CL236">
        <v>90.66</v>
      </c>
      <c r="CM236">
        <v>69.94</v>
      </c>
      <c r="CN236" s="187">
        <v>58</v>
      </c>
      <c r="CO236">
        <v>147.37</v>
      </c>
      <c r="CP236">
        <v>540</v>
      </c>
      <c r="CQ236">
        <v>65.290000000000006</v>
      </c>
      <c r="CR236">
        <v>60.58</v>
      </c>
      <c r="CS236" s="187">
        <v>56.28</v>
      </c>
      <c r="CT236">
        <v>121.08</v>
      </c>
      <c r="CU236">
        <v>233</v>
      </c>
      <c r="CV236">
        <v>84.79</v>
      </c>
      <c r="CW236">
        <v>77.680000000000007</v>
      </c>
      <c r="CX236" s="187">
        <v>45.44</v>
      </c>
      <c r="CY236">
        <v>129.44999999999999</v>
      </c>
      <c r="CZ236">
        <v>932</v>
      </c>
      <c r="DA236">
        <v>101.66</v>
      </c>
      <c r="DB236">
        <v>95.6</v>
      </c>
      <c r="DC236" s="187">
        <v>62.9</v>
      </c>
      <c r="DD236">
        <v>163.54</v>
      </c>
      <c r="DE236">
        <v>428</v>
      </c>
      <c r="DF236">
        <v>106.4</v>
      </c>
      <c r="DG236">
        <v>93.79</v>
      </c>
      <c r="DH236" s="187">
        <v>129.97</v>
      </c>
      <c r="DI236">
        <v>233.96</v>
      </c>
      <c r="DJ236">
        <v>54</v>
      </c>
      <c r="DK236">
        <v>117.9</v>
      </c>
      <c r="DL236">
        <v>117.9</v>
      </c>
      <c r="DM236" s="187">
        <v>72.680000000000007</v>
      </c>
      <c r="DN236">
        <v>190.58</v>
      </c>
      <c r="DO236">
        <v>1</v>
      </c>
      <c r="DP236">
        <v>87.14</v>
      </c>
      <c r="DQ236">
        <v>80.12</v>
      </c>
      <c r="DR236" s="187">
        <v>54.29</v>
      </c>
      <c r="DS236">
        <v>140.58000000000001</v>
      </c>
      <c r="DT236">
        <v>1648</v>
      </c>
      <c r="DU236">
        <v>88.01</v>
      </c>
      <c r="DV236">
        <v>77.72</v>
      </c>
      <c r="DW236" s="187">
        <v>55.2</v>
      </c>
      <c r="DX236">
        <v>142.25</v>
      </c>
      <c r="DY236">
        <v>2188</v>
      </c>
      <c r="DZ236">
        <v>0</v>
      </c>
      <c r="EA236">
        <v>0</v>
      </c>
      <c r="EB236" s="187">
        <v>69.709999999999994</v>
      </c>
      <c r="EC236">
        <v>1</v>
      </c>
      <c r="ED236">
        <v>87.04</v>
      </c>
      <c r="EE236">
        <v>387</v>
      </c>
      <c r="EF236">
        <v>99.71</v>
      </c>
      <c r="EG236" s="187">
        <v>1151</v>
      </c>
      <c r="EH236">
        <v>109.38</v>
      </c>
      <c r="EI236">
        <v>721</v>
      </c>
      <c r="EJ236">
        <v>121.49</v>
      </c>
      <c r="EK236">
        <v>61</v>
      </c>
      <c r="EL236" s="187">
        <v>115.68</v>
      </c>
      <c r="EM236">
        <v>6</v>
      </c>
      <c r="EN236">
        <v>0</v>
      </c>
      <c r="EO236">
        <v>0</v>
      </c>
      <c r="EP236">
        <v>101.2</v>
      </c>
      <c r="EQ236" s="187">
        <v>2327</v>
      </c>
      <c r="ER236">
        <v>101.2</v>
      </c>
      <c r="ES236">
        <v>2327</v>
      </c>
      <c r="ET236">
        <v>0</v>
      </c>
      <c r="EU236">
        <v>0</v>
      </c>
      <c r="EV236" s="187">
        <v>0</v>
      </c>
      <c r="EW236">
        <v>0</v>
      </c>
      <c r="EX236">
        <v>0</v>
      </c>
      <c r="EY236">
        <v>0</v>
      </c>
      <c r="EZ236">
        <v>140.41999999999999</v>
      </c>
      <c r="FA236" s="187">
        <v>13</v>
      </c>
      <c r="FB236">
        <v>0</v>
      </c>
      <c r="FC236">
        <v>0</v>
      </c>
      <c r="FD236">
        <v>0</v>
      </c>
      <c r="FE236">
        <v>0</v>
      </c>
      <c r="FF236" s="187">
        <v>140.41999999999999</v>
      </c>
      <c r="FG236">
        <v>13</v>
      </c>
      <c r="FH236">
        <v>140.41999999999999</v>
      </c>
      <c r="FI236">
        <v>13</v>
      </c>
      <c r="FJ236">
        <v>0</v>
      </c>
      <c r="FK236" s="187">
        <v>41</v>
      </c>
      <c r="FL236">
        <v>12</v>
      </c>
      <c r="FM236">
        <v>33</v>
      </c>
      <c r="FN236">
        <v>4</v>
      </c>
    </row>
    <row r="237" spans="1:170" x14ac:dyDescent="0.35">
      <c r="A237" t="s">
        <v>860</v>
      </c>
      <c r="B237" t="s">
        <v>861</v>
      </c>
      <c r="C237" t="s">
        <v>420</v>
      </c>
      <c r="D237">
        <v>12755</v>
      </c>
      <c r="E237">
        <v>13347</v>
      </c>
      <c r="F237">
        <v>24</v>
      </c>
      <c r="G237">
        <v>24</v>
      </c>
      <c r="H237">
        <v>401</v>
      </c>
      <c r="I237">
        <v>152</v>
      </c>
      <c r="J237">
        <v>1742</v>
      </c>
      <c r="K237">
        <v>1606</v>
      </c>
      <c r="L237">
        <v>1103</v>
      </c>
      <c r="M237">
        <v>12</v>
      </c>
      <c r="N237">
        <v>16025</v>
      </c>
      <c r="O237">
        <v>15141</v>
      </c>
      <c r="P237">
        <v>14922</v>
      </c>
      <c r="Q237">
        <v>0</v>
      </c>
      <c r="R237">
        <v>9</v>
      </c>
      <c r="S237">
        <v>25</v>
      </c>
      <c r="T237">
        <v>447</v>
      </c>
      <c r="U237">
        <v>15578</v>
      </c>
      <c r="V237" s="498">
        <v>12463</v>
      </c>
      <c r="W237">
        <v>62</v>
      </c>
      <c r="X237" s="498">
        <v>162</v>
      </c>
      <c r="Y237" s="498">
        <v>224</v>
      </c>
      <c r="Z237" s="498">
        <v>90.36</v>
      </c>
      <c r="AA237" s="498">
        <v>88.29</v>
      </c>
      <c r="AB237">
        <v>3.52</v>
      </c>
      <c r="AC237">
        <v>92.26</v>
      </c>
      <c r="AD237">
        <v>9959</v>
      </c>
      <c r="AE237">
        <v>87.5</v>
      </c>
      <c r="AF237">
        <v>80.89</v>
      </c>
      <c r="AG237">
        <v>25.43</v>
      </c>
      <c r="AH237">
        <v>112.73</v>
      </c>
      <c r="AI237">
        <v>1628</v>
      </c>
      <c r="AJ237">
        <v>110.56</v>
      </c>
      <c r="AK237">
        <v>1994</v>
      </c>
      <c r="AL237">
        <v>199.33</v>
      </c>
      <c r="AM237">
        <v>411</v>
      </c>
      <c r="AN237">
        <v>0</v>
      </c>
      <c r="AO237" s="499">
        <v>0</v>
      </c>
      <c r="AP237" s="499">
        <v>0</v>
      </c>
      <c r="AQ237">
        <v>0</v>
      </c>
      <c r="AR237">
        <v>0</v>
      </c>
      <c r="AS237">
        <v>64</v>
      </c>
      <c r="AT237">
        <v>61.36</v>
      </c>
      <c r="AU237">
        <v>6.68</v>
      </c>
      <c r="AV237">
        <v>69.650000000000006</v>
      </c>
      <c r="AW237">
        <v>26</v>
      </c>
      <c r="AX237">
        <v>76.75</v>
      </c>
      <c r="AY237">
        <v>74.22</v>
      </c>
      <c r="AZ237">
        <v>5.53</v>
      </c>
      <c r="BA237">
        <v>79.69</v>
      </c>
      <c r="BB237">
        <v>2023</v>
      </c>
      <c r="BC237">
        <v>88.91</v>
      </c>
      <c r="BD237">
        <v>86.66</v>
      </c>
      <c r="BE237">
        <v>3.86</v>
      </c>
      <c r="BF237">
        <v>91.32</v>
      </c>
      <c r="BG237">
        <v>3431</v>
      </c>
      <c r="BH237">
        <v>97.34</v>
      </c>
      <c r="BI237">
        <v>95.61</v>
      </c>
      <c r="BJ237">
        <v>2.14</v>
      </c>
      <c r="BK237">
        <v>98.37</v>
      </c>
      <c r="BL237" s="214">
        <v>4238</v>
      </c>
      <c r="BM237" s="214">
        <v>103.54</v>
      </c>
      <c r="BN237">
        <v>102.04</v>
      </c>
      <c r="BO237" s="187">
        <v>2.2400000000000002</v>
      </c>
      <c r="BP237" s="214">
        <v>104.6</v>
      </c>
      <c r="BQ237" s="214">
        <v>218</v>
      </c>
      <c r="BR237">
        <v>114.78</v>
      </c>
      <c r="BS237" s="187">
        <v>112.29</v>
      </c>
      <c r="BT237" s="214">
        <v>3.46</v>
      </c>
      <c r="BU237" s="214">
        <v>116.12</v>
      </c>
      <c r="BV237">
        <v>18</v>
      </c>
      <c r="BW237">
        <v>149.71</v>
      </c>
      <c r="BX237" s="214">
        <v>143.88999999999999</v>
      </c>
      <c r="BY237" s="214">
        <v>1.82</v>
      </c>
      <c r="BZ237">
        <v>150.80000000000001</v>
      </c>
      <c r="CA237" s="187">
        <v>5</v>
      </c>
      <c r="CB237" s="214">
        <v>90.36</v>
      </c>
      <c r="CC237" s="214">
        <v>88.29</v>
      </c>
      <c r="CD237">
        <v>3.52</v>
      </c>
      <c r="CE237" s="187">
        <v>92.26</v>
      </c>
      <c r="CF237" s="214">
        <v>9959</v>
      </c>
      <c r="CG237" s="214">
        <v>90.36</v>
      </c>
      <c r="CH237">
        <v>88.29</v>
      </c>
      <c r="CI237">
        <v>3.52</v>
      </c>
      <c r="CJ237">
        <v>92.26</v>
      </c>
      <c r="CK237">
        <v>9959</v>
      </c>
      <c r="CL237">
        <v>141.41</v>
      </c>
      <c r="CM237">
        <v>70.73</v>
      </c>
      <c r="CN237" s="187">
        <v>100.98</v>
      </c>
      <c r="CO237">
        <v>240.96</v>
      </c>
      <c r="CP237">
        <v>71</v>
      </c>
      <c r="CQ237">
        <v>70.55</v>
      </c>
      <c r="CR237">
        <v>65.27</v>
      </c>
      <c r="CS237" s="187">
        <v>29.48</v>
      </c>
      <c r="CT237">
        <v>99.54</v>
      </c>
      <c r="CU237">
        <v>119</v>
      </c>
      <c r="CV237">
        <v>83.91</v>
      </c>
      <c r="CW237">
        <v>79.5</v>
      </c>
      <c r="CX237" s="187">
        <v>22.28</v>
      </c>
      <c r="CY237">
        <v>106.07</v>
      </c>
      <c r="CZ237">
        <v>1101</v>
      </c>
      <c r="DA237">
        <v>93.49</v>
      </c>
      <c r="DB237">
        <v>91.23</v>
      </c>
      <c r="DC237" s="187">
        <v>18.68</v>
      </c>
      <c r="DD237">
        <v>111.94</v>
      </c>
      <c r="DE237">
        <v>329</v>
      </c>
      <c r="DF237">
        <v>108.27</v>
      </c>
      <c r="DG237">
        <v>107.23</v>
      </c>
      <c r="DH237" s="187">
        <v>14.1</v>
      </c>
      <c r="DI237">
        <v>122.37</v>
      </c>
      <c r="DJ237">
        <v>6</v>
      </c>
      <c r="DK237">
        <v>106.03</v>
      </c>
      <c r="DL237">
        <v>106.03</v>
      </c>
      <c r="DM237" s="187">
        <v>5.44</v>
      </c>
      <c r="DN237">
        <v>111.47</v>
      </c>
      <c r="DO237">
        <v>2</v>
      </c>
      <c r="DP237">
        <v>85.04</v>
      </c>
      <c r="DQ237">
        <v>81.03</v>
      </c>
      <c r="DR237" s="187">
        <v>22.01</v>
      </c>
      <c r="DS237">
        <v>106.88</v>
      </c>
      <c r="DT237">
        <v>1557</v>
      </c>
      <c r="DU237">
        <v>87.5</v>
      </c>
      <c r="DV237">
        <v>80.89</v>
      </c>
      <c r="DW237" s="187">
        <v>25.43</v>
      </c>
      <c r="DX237">
        <v>112.73</v>
      </c>
      <c r="DY237">
        <v>1628</v>
      </c>
      <c r="DZ237">
        <v>0</v>
      </c>
      <c r="EA237">
        <v>0</v>
      </c>
      <c r="EB237" s="187">
        <v>0</v>
      </c>
      <c r="EC237">
        <v>0</v>
      </c>
      <c r="ED237">
        <v>85.63</v>
      </c>
      <c r="EE237">
        <v>199</v>
      </c>
      <c r="EF237">
        <v>106.52</v>
      </c>
      <c r="EG237" s="187">
        <v>1027</v>
      </c>
      <c r="EH237">
        <v>121.69</v>
      </c>
      <c r="EI237">
        <v>737</v>
      </c>
      <c r="EJ237">
        <v>138.62</v>
      </c>
      <c r="EK237">
        <v>29</v>
      </c>
      <c r="EL237" s="187">
        <v>149.75</v>
      </c>
      <c r="EM237">
        <v>2</v>
      </c>
      <c r="EN237">
        <v>0</v>
      </c>
      <c r="EO237">
        <v>0</v>
      </c>
      <c r="EP237">
        <v>110.56</v>
      </c>
      <c r="EQ237" s="187">
        <v>1994</v>
      </c>
      <c r="ER237">
        <v>110.56</v>
      </c>
      <c r="ES237">
        <v>1994</v>
      </c>
      <c r="ET237">
        <v>176.04</v>
      </c>
      <c r="EU237">
        <v>16</v>
      </c>
      <c r="EV237" s="187">
        <v>86.54</v>
      </c>
      <c r="EW237">
        <v>16</v>
      </c>
      <c r="EX237">
        <v>178.8</v>
      </c>
      <c r="EY237">
        <v>142</v>
      </c>
      <c r="EZ237">
        <v>220.82</v>
      </c>
      <c r="FA237" s="187">
        <v>237</v>
      </c>
      <c r="FB237">
        <v>0</v>
      </c>
      <c r="FC237">
        <v>0</v>
      </c>
      <c r="FD237">
        <v>0</v>
      </c>
      <c r="FE237">
        <v>0</v>
      </c>
      <c r="FF237" s="187">
        <v>200.28</v>
      </c>
      <c r="FG237">
        <v>395</v>
      </c>
      <c r="FH237">
        <v>199.33</v>
      </c>
      <c r="FI237">
        <v>411</v>
      </c>
      <c r="FJ237">
        <v>0</v>
      </c>
      <c r="FK237" s="187">
        <v>25</v>
      </c>
      <c r="FL237">
        <v>12</v>
      </c>
      <c r="FM237">
        <v>73</v>
      </c>
      <c r="FN237">
        <v>13</v>
      </c>
    </row>
    <row r="238" spans="1:170" x14ac:dyDescent="0.35">
      <c r="A238" t="s">
        <v>862</v>
      </c>
      <c r="B238" t="s">
        <v>863</v>
      </c>
      <c r="C238" t="s">
        <v>2</v>
      </c>
      <c r="D238">
        <v>3562</v>
      </c>
      <c r="E238">
        <v>3415</v>
      </c>
      <c r="F238">
        <v>24</v>
      </c>
      <c r="G238">
        <v>24</v>
      </c>
      <c r="H238">
        <v>363</v>
      </c>
      <c r="I238">
        <v>128</v>
      </c>
      <c r="J238">
        <v>230</v>
      </c>
      <c r="K238">
        <v>230</v>
      </c>
      <c r="L238">
        <v>442</v>
      </c>
      <c r="M238">
        <v>62</v>
      </c>
      <c r="N238">
        <v>4621</v>
      </c>
      <c r="O238">
        <v>3859</v>
      </c>
      <c r="P238">
        <v>4179</v>
      </c>
      <c r="Q238">
        <v>9</v>
      </c>
      <c r="R238">
        <v>6</v>
      </c>
      <c r="S238">
        <v>25</v>
      </c>
      <c r="T238">
        <v>259</v>
      </c>
      <c r="U238">
        <v>4362</v>
      </c>
      <c r="V238" s="498">
        <v>3414</v>
      </c>
      <c r="W238">
        <v>20</v>
      </c>
      <c r="X238" s="498">
        <v>22</v>
      </c>
      <c r="Y238" s="498">
        <v>42</v>
      </c>
      <c r="Z238" s="498">
        <v>123.47</v>
      </c>
      <c r="AA238" s="498">
        <v>122.15</v>
      </c>
      <c r="AB238">
        <v>8.4700000000000006</v>
      </c>
      <c r="AC238">
        <v>130.72</v>
      </c>
      <c r="AD238">
        <v>3191</v>
      </c>
      <c r="AE238">
        <v>111.37</v>
      </c>
      <c r="AF238">
        <v>100.71</v>
      </c>
      <c r="AG238">
        <v>59.9</v>
      </c>
      <c r="AH238">
        <v>159.1</v>
      </c>
      <c r="AI238">
        <v>482</v>
      </c>
      <c r="AJ238">
        <v>152.87</v>
      </c>
      <c r="AK238">
        <v>177</v>
      </c>
      <c r="AL238">
        <v>0</v>
      </c>
      <c r="AM238">
        <v>0</v>
      </c>
      <c r="AN238">
        <v>75.349999999999994</v>
      </c>
      <c r="AO238" s="499">
        <v>72.75</v>
      </c>
      <c r="AP238" s="499">
        <v>14.8</v>
      </c>
      <c r="AQ238">
        <v>90.15</v>
      </c>
      <c r="AR238">
        <v>24</v>
      </c>
      <c r="AS238">
        <v>87.06</v>
      </c>
      <c r="AT238">
        <v>82.92</v>
      </c>
      <c r="AU238">
        <v>6.03</v>
      </c>
      <c r="AV238">
        <v>93.09</v>
      </c>
      <c r="AW238">
        <v>8</v>
      </c>
      <c r="AX238">
        <v>99.65</v>
      </c>
      <c r="AY238">
        <v>98.14</v>
      </c>
      <c r="AZ238">
        <v>11.87</v>
      </c>
      <c r="BA238">
        <v>111.2</v>
      </c>
      <c r="BB238">
        <v>673</v>
      </c>
      <c r="BC238">
        <v>119.6</v>
      </c>
      <c r="BD238">
        <v>117.86</v>
      </c>
      <c r="BE238">
        <v>9.1999999999999993</v>
      </c>
      <c r="BF238">
        <v>127.56</v>
      </c>
      <c r="BG238">
        <v>1341</v>
      </c>
      <c r="BH238">
        <v>138.31</v>
      </c>
      <c r="BI238">
        <v>136.68</v>
      </c>
      <c r="BJ238">
        <v>5.03</v>
      </c>
      <c r="BK238">
        <v>142.06</v>
      </c>
      <c r="BL238" s="214">
        <v>821</v>
      </c>
      <c r="BM238" s="214">
        <v>153.1</v>
      </c>
      <c r="BN238">
        <v>154.24</v>
      </c>
      <c r="BO238" s="187">
        <v>4.43</v>
      </c>
      <c r="BP238" s="214">
        <v>156.85</v>
      </c>
      <c r="BQ238" s="214">
        <v>267</v>
      </c>
      <c r="BR238">
        <v>168.64</v>
      </c>
      <c r="BS238" s="187">
        <v>173.2</v>
      </c>
      <c r="BT238" s="214">
        <v>4.47</v>
      </c>
      <c r="BU238" s="214">
        <v>172.54</v>
      </c>
      <c r="BV238">
        <v>55</v>
      </c>
      <c r="BW238">
        <v>166.5</v>
      </c>
      <c r="BX238" s="214">
        <v>163.38999999999999</v>
      </c>
      <c r="BY238" s="214">
        <v>0</v>
      </c>
      <c r="BZ238">
        <v>166.5</v>
      </c>
      <c r="CA238" s="187">
        <v>2</v>
      </c>
      <c r="CB238" s="214">
        <v>123.83</v>
      </c>
      <c r="CC238" s="214">
        <v>122.52</v>
      </c>
      <c r="CD238">
        <v>8.41</v>
      </c>
      <c r="CE238" s="187">
        <v>131.03</v>
      </c>
      <c r="CF238" s="214">
        <v>3167</v>
      </c>
      <c r="CG238" s="214">
        <v>123.47</v>
      </c>
      <c r="CH238">
        <v>122.15</v>
      </c>
      <c r="CI238">
        <v>8.4700000000000006</v>
      </c>
      <c r="CJ238">
        <v>130.72</v>
      </c>
      <c r="CK238">
        <v>3191</v>
      </c>
      <c r="CL238">
        <v>94.88</v>
      </c>
      <c r="CM238">
        <v>85.06</v>
      </c>
      <c r="CN238" s="187">
        <v>120.43</v>
      </c>
      <c r="CO238">
        <v>156.91999999999999</v>
      </c>
      <c r="CP238">
        <v>132</v>
      </c>
      <c r="CQ238">
        <v>92.5</v>
      </c>
      <c r="CR238">
        <v>92.49</v>
      </c>
      <c r="CS238" s="187">
        <v>31.05</v>
      </c>
      <c r="CT238">
        <v>123.55</v>
      </c>
      <c r="CU238">
        <v>33</v>
      </c>
      <c r="CV238">
        <v>118.72</v>
      </c>
      <c r="CW238">
        <v>105.62</v>
      </c>
      <c r="CX238" s="187">
        <v>49.32</v>
      </c>
      <c r="CY238">
        <v>164.16</v>
      </c>
      <c r="CZ238">
        <v>280</v>
      </c>
      <c r="DA238">
        <v>131.44999999999999</v>
      </c>
      <c r="DB238">
        <v>115.81</v>
      </c>
      <c r="DC238" s="187">
        <v>33.43</v>
      </c>
      <c r="DD238">
        <v>153.08000000000001</v>
      </c>
      <c r="DE238">
        <v>34</v>
      </c>
      <c r="DF238">
        <v>116.01</v>
      </c>
      <c r="DG238">
        <v>105.46</v>
      </c>
      <c r="DH238" s="187">
        <v>34.869999999999997</v>
      </c>
      <c r="DI238">
        <v>150.88</v>
      </c>
      <c r="DJ238">
        <v>1</v>
      </c>
      <c r="DK238">
        <v>139.9</v>
      </c>
      <c r="DL238">
        <v>139.36000000000001</v>
      </c>
      <c r="DM238" s="187">
        <v>146.88</v>
      </c>
      <c r="DN238">
        <v>286.77999999999997</v>
      </c>
      <c r="DO238">
        <v>2</v>
      </c>
      <c r="DP238">
        <v>117.59</v>
      </c>
      <c r="DQ238">
        <v>105.56</v>
      </c>
      <c r="DR238" s="187">
        <v>46.88</v>
      </c>
      <c r="DS238">
        <v>159.91999999999999</v>
      </c>
      <c r="DT238">
        <v>350</v>
      </c>
      <c r="DU238">
        <v>111.37</v>
      </c>
      <c r="DV238">
        <v>100.71</v>
      </c>
      <c r="DW238" s="187">
        <v>59.9</v>
      </c>
      <c r="DX238">
        <v>159.1</v>
      </c>
      <c r="DY238">
        <v>482</v>
      </c>
      <c r="DZ238">
        <v>0</v>
      </c>
      <c r="EA238">
        <v>0</v>
      </c>
      <c r="EB238" s="187">
        <v>0</v>
      </c>
      <c r="EC238">
        <v>0</v>
      </c>
      <c r="ED238">
        <v>128.66</v>
      </c>
      <c r="EE238">
        <v>68</v>
      </c>
      <c r="EF238">
        <v>161.71</v>
      </c>
      <c r="EG238" s="187">
        <v>90</v>
      </c>
      <c r="EH238">
        <v>176.06</v>
      </c>
      <c r="EI238">
        <v>13</v>
      </c>
      <c r="EJ238">
        <v>244.41</v>
      </c>
      <c r="EK238">
        <v>6</v>
      </c>
      <c r="EL238" s="187">
        <v>0</v>
      </c>
      <c r="EM238">
        <v>0</v>
      </c>
      <c r="EN238">
        <v>0</v>
      </c>
      <c r="EO238">
        <v>0</v>
      </c>
      <c r="EP238">
        <v>152.87</v>
      </c>
      <c r="EQ238" s="187">
        <v>177</v>
      </c>
      <c r="ER238">
        <v>152.87</v>
      </c>
      <c r="ES238">
        <v>177</v>
      </c>
      <c r="ET238">
        <v>0</v>
      </c>
      <c r="EU238">
        <v>0</v>
      </c>
      <c r="EV238" s="187">
        <v>0</v>
      </c>
      <c r="EW238">
        <v>0</v>
      </c>
      <c r="EX238">
        <v>0</v>
      </c>
      <c r="EY238">
        <v>0</v>
      </c>
      <c r="EZ238">
        <v>0</v>
      </c>
      <c r="FA238" s="187">
        <v>0</v>
      </c>
      <c r="FB238">
        <v>0</v>
      </c>
      <c r="FC238">
        <v>0</v>
      </c>
      <c r="FD238">
        <v>0</v>
      </c>
      <c r="FE238">
        <v>0</v>
      </c>
      <c r="FF238" s="187">
        <v>0</v>
      </c>
      <c r="FG238">
        <v>0</v>
      </c>
      <c r="FH238">
        <v>0</v>
      </c>
      <c r="FI238">
        <v>0</v>
      </c>
      <c r="FJ238">
        <v>282</v>
      </c>
      <c r="FK238" s="187">
        <v>5</v>
      </c>
      <c r="FL238">
        <v>0</v>
      </c>
      <c r="FM238">
        <v>0</v>
      </c>
      <c r="FN238">
        <v>18</v>
      </c>
    </row>
    <row r="239" spans="1:170" x14ac:dyDescent="0.35">
      <c r="A239" t="s">
        <v>864</v>
      </c>
      <c r="B239" t="s">
        <v>865</v>
      </c>
      <c r="C239" t="s">
        <v>420</v>
      </c>
      <c r="D239">
        <v>2719</v>
      </c>
      <c r="E239">
        <v>1799</v>
      </c>
      <c r="F239">
        <v>0</v>
      </c>
      <c r="G239">
        <v>0</v>
      </c>
      <c r="H239">
        <v>238</v>
      </c>
      <c r="I239">
        <v>130</v>
      </c>
      <c r="J239">
        <v>607</v>
      </c>
      <c r="K239">
        <v>307</v>
      </c>
      <c r="L239">
        <v>615</v>
      </c>
      <c r="M239">
        <v>6</v>
      </c>
      <c r="N239">
        <v>4179</v>
      </c>
      <c r="O239">
        <v>2242</v>
      </c>
      <c r="P239">
        <v>3564</v>
      </c>
      <c r="Q239">
        <v>1</v>
      </c>
      <c r="R239">
        <v>12</v>
      </c>
      <c r="S239">
        <v>21</v>
      </c>
      <c r="T239">
        <v>411</v>
      </c>
      <c r="U239">
        <v>3768</v>
      </c>
      <c r="V239" s="498">
        <v>2682</v>
      </c>
      <c r="W239">
        <v>11</v>
      </c>
      <c r="X239" s="498">
        <v>1</v>
      </c>
      <c r="Y239" s="498">
        <v>12</v>
      </c>
      <c r="Z239" s="498">
        <v>106.55</v>
      </c>
      <c r="AA239" s="498">
        <v>105</v>
      </c>
      <c r="AB239">
        <v>5.63</v>
      </c>
      <c r="AC239">
        <v>111.04</v>
      </c>
      <c r="AD239">
        <v>2082</v>
      </c>
      <c r="AE239">
        <v>94.87</v>
      </c>
      <c r="AF239">
        <v>86.64</v>
      </c>
      <c r="AG239">
        <v>60.12</v>
      </c>
      <c r="AH239">
        <v>152.57</v>
      </c>
      <c r="AI239">
        <v>471</v>
      </c>
      <c r="AJ239">
        <v>117.04</v>
      </c>
      <c r="AK239">
        <v>601</v>
      </c>
      <c r="AL239">
        <v>228.23</v>
      </c>
      <c r="AM239">
        <v>38</v>
      </c>
      <c r="AN239">
        <v>0</v>
      </c>
      <c r="AO239" s="499">
        <v>0</v>
      </c>
      <c r="AP239" s="499">
        <v>0</v>
      </c>
      <c r="AQ239">
        <v>0</v>
      </c>
      <c r="AR239">
        <v>0</v>
      </c>
      <c r="AS239">
        <v>66.27</v>
      </c>
      <c r="AT239">
        <v>67.86</v>
      </c>
      <c r="AU239">
        <v>6.22</v>
      </c>
      <c r="AV239">
        <v>72.489999999999995</v>
      </c>
      <c r="AW239">
        <v>18</v>
      </c>
      <c r="AX239">
        <v>89.2</v>
      </c>
      <c r="AY239">
        <v>88.15</v>
      </c>
      <c r="AZ239">
        <v>8.16</v>
      </c>
      <c r="BA239">
        <v>97.07</v>
      </c>
      <c r="BB239">
        <v>284</v>
      </c>
      <c r="BC239">
        <v>102.58</v>
      </c>
      <c r="BD239">
        <v>101.29</v>
      </c>
      <c r="BE239">
        <v>6.49</v>
      </c>
      <c r="BF239">
        <v>108.21</v>
      </c>
      <c r="BG239">
        <v>995</v>
      </c>
      <c r="BH239">
        <v>115.95</v>
      </c>
      <c r="BI239">
        <v>113.89</v>
      </c>
      <c r="BJ239">
        <v>2.8</v>
      </c>
      <c r="BK239">
        <v>117.74</v>
      </c>
      <c r="BL239" s="214">
        <v>687</v>
      </c>
      <c r="BM239" s="214">
        <v>138.59</v>
      </c>
      <c r="BN239">
        <v>136.41</v>
      </c>
      <c r="BO239" s="187">
        <v>2.52</v>
      </c>
      <c r="BP239" s="214">
        <v>140.32</v>
      </c>
      <c r="BQ239" s="214">
        <v>98</v>
      </c>
      <c r="BR239">
        <v>0</v>
      </c>
      <c r="BS239" s="187">
        <v>0</v>
      </c>
      <c r="BT239" s="214">
        <v>0</v>
      </c>
      <c r="BU239" s="214">
        <v>0</v>
      </c>
      <c r="BV239">
        <v>0</v>
      </c>
      <c r="BW239">
        <v>0</v>
      </c>
      <c r="BX239" s="214">
        <v>0</v>
      </c>
      <c r="BY239" s="214">
        <v>0</v>
      </c>
      <c r="BZ239">
        <v>0</v>
      </c>
      <c r="CA239" s="187">
        <v>0</v>
      </c>
      <c r="CB239" s="214">
        <v>106.55</v>
      </c>
      <c r="CC239" s="214">
        <v>105</v>
      </c>
      <c r="CD239">
        <v>5.63</v>
      </c>
      <c r="CE239" s="187">
        <v>111.04</v>
      </c>
      <c r="CF239" s="214">
        <v>2082</v>
      </c>
      <c r="CG239" s="214">
        <v>106.55</v>
      </c>
      <c r="CH239">
        <v>105</v>
      </c>
      <c r="CI239">
        <v>5.63</v>
      </c>
      <c r="CJ239">
        <v>111.04</v>
      </c>
      <c r="CK239">
        <v>2082</v>
      </c>
      <c r="CL239">
        <v>90.04</v>
      </c>
      <c r="CM239">
        <v>76.400000000000006</v>
      </c>
      <c r="CN239" s="187">
        <v>110.03</v>
      </c>
      <c r="CO239">
        <v>167.41</v>
      </c>
      <c r="CP239">
        <v>64</v>
      </c>
      <c r="CQ239">
        <v>84.75</v>
      </c>
      <c r="CR239">
        <v>76.66</v>
      </c>
      <c r="CS239" s="187">
        <v>50.16</v>
      </c>
      <c r="CT239">
        <v>134.91999999999999</v>
      </c>
      <c r="CU239">
        <v>31</v>
      </c>
      <c r="CV239">
        <v>94.69</v>
      </c>
      <c r="CW239">
        <v>87.52</v>
      </c>
      <c r="CX239" s="187">
        <v>55.02</v>
      </c>
      <c r="CY239">
        <v>149.71</v>
      </c>
      <c r="CZ239">
        <v>326</v>
      </c>
      <c r="DA239">
        <v>108.54</v>
      </c>
      <c r="DB239">
        <v>100.24</v>
      </c>
      <c r="DC239" s="187">
        <v>54.63</v>
      </c>
      <c r="DD239">
        <v>163.16</v>
      </c>
      <c r="DE239">
        <v>50</v>
      </c>
      <c r="DF239">
        <v>0</v>
      </c>
      <c r="DG239">
        <v>0</v>
      </c>
      <c r="DH239" s="187">
        <v>0</v>
      </c>
      <c r="DI239">
        <v>0</v>
      </c>
      <c r="DJ239">
        <v>0</v>
      </c>
      <c r="DK239">
        <v>0</v>
      </c>
      <c r="DL239">
        <v>0</v>
      </c>
      <c r="DM239" s="187">
        <v>0</v>
      </c>
      <c r="DN239">
        <v>0</v>
      </c>
      <c r="DO239">
        <v>0</v>
      </c>
      <c r="DP239">
        <v>95.63</v>
      </c>
      <c r="DQ239">
        <v>88.27</v>
      </c>
      <c r="DR239" s="187">
        <v>54.6</v>
      </c>
      <c r="DS239">
        <v>150.22999999999999</v>
      </c>
      <c r="DT239">
        <v>407</v>
      </c>
      <c r="DU239">
        <v>94.87</v>
      </c>
      <c r="DV239">
        <v>86.64</v>
      </c>
      <c r="DW239" s="187">
        <v>60.12</v>
      </c>
      <c r="DX239">
        <v>152.57</v>
      </c>
      <c r="DY239">
        <v>471</v>
      </c>
      <c r="DZ239">
        <v>0</v>
      </c>
      <c r="EA239">
        <v>0</v>
      </c>
      <c r="EB239" s="187">
        <v>71.22</v>
      </c>
      <c r="EC239">
        <v>5</v>
      </c>
      <c r="ED239">
        <v>100.83</v>
      </c>
      <c r="EE239">
        <v>175</v>
      </c>
      <c r="EF239">
        <v>119.66</v>
      </c>
      <c r="EG239" s="187">
        <v>282</v>
      </c>
      <c r="EH239">
        <v>132.57</v>
      </c>
      <c r="EI239">
        <v>134</v>
      </c>
      <c r="EJ239">
        <v>166.01</v>
      </c>
      <c r="EK239">
        <v>5</v>
      </c>
      <c r="EL239" s="187">
        <v>0</v>
      </c>
      <c r="EM239">
        <v>0</v>
      </c>
      <c r="EN239">
        <v>0</v>
      </c>
      <c r="EO239">
        <v>0</v>
      </c>
      <c r="EP239">
        <v>117.04</v>
      </c>
      <c r="EQ239" s="187">
        <v>601</v>
      </c>
      <c r="ER239">
        <v>117.04</v>
      </c>
      <c r="ES239">
        <v>601</v>
      </c>
      <c r="ET239">
        <v>0</v>
      </c>
      <c r="EU239">
        <v>0</v>
      </c>
      <c r="EV239" s="187">
        <v>0</v>
      </c>
      <c r="EW239">
        <v>0</v>
      </c>
      <c r="EX239">
        <v>224.86</v>
      </c>
      <c r="EY239">
        <v>33</v>
      </c>
      <c r="EZ239">
        <v>250.45</v>
      </c>
      <c r="FA239" s="187">
        <v>5</v>
      </c>
      <c r="FB239">
        <v>0</v>
      </c>
      <c r="FC239">
        <v>0</v>
      </c>
      <c r="FD239">
        <v>0</v>
      </c>
      <c r="FE239">
        <v>0</v>
      </c>
      <c r="FF239" s="187">
        <v>228.23</v>
      </c>
      <c r="FG239">
        <v>38</v>
      </c>
      <c r="FH239">
        <v>228.23</v>
      </c>
      <c r="FI239">
        <v>38</v>
      </c>
      <c r="FJ239">
        <v>0</v>
      </c>
      <c r="FK239" s="187">
        <v>2</v>
      </c>
      <c r="FL239">
        <v>10</v>
      </c>
      <c r="FM239">
        <v>46</v>
      </c>
      <c r="FN239">
        <v>20</v>
      </c>
    </row>
    <row r="240" spans="1:170" x14ac:dyDescent="0.35">
      <c r="A240" t="s">
        <v>866</v>
      </c>
      <c r="B240" t="s">
        <v>867</v>
      </c>
      <c r="C240" t="s">
        <v>419</v>
      </c>
      <c r="D240">
        <v>4175</v>
      </c>
      <c r="E240">
        <v>3775</v>
      </c>
      <c r="F240">
        <v>0</v>
      </c>
      <c r="G240">
        <v>0</v>
      </c>
      <c r="H240">
        <v>410</v>
      </c>
      <c r="I240">
        <v>255</v>
      </c>
      <c r="J240">
        <v>883</v>
      </c>
      <c r="K240">
        <v>809</v>
      </c>
      <c r="L240">
        <v>666</v>
      </c>
      <c r="M240">
        <v>52</v>
      </c>
      <c r="N240">
        <v>6134</v>
      </c>
      <c r="O240">
        <v>4891</v>
      </c>
      <c r="P240">
        <v>5468</v>
      </c>
      <c r="Q240">
        <v>1</v>
      </c>
      <c r="R240">
        <v>11</v>
      </c>
      <c r="S240">
        <v>29</v>
      </c>
      <c r="T240">
        <v>600</v>
      </c>
      <c r="U240">
        <v>5534</v>
      </c>
      <c r="V240" s="498">
        <v>3775</v>
      </c>
      <c r="W240">
        <v>8</v>
      </c>
      <c r="X240" s="498">
        <v>10</v>
      </c>
      <c r="Y240" s="498">
        <v>18</v>
      </c>
      <c r="Z240" s="498">
        <v>98.41</v>
      </c>
      <c r="AA240" s="498">
        <v>96.74</v>
      </c>
      <c r="AB240">
        <v>4.8</v>
      </c>
      <c r="AC240">
        <v>102.4</v>
      </c>
      <c r="AD240">
        <v>3374</v>
      </c>
      <c r="AE240">
        <v>93.73</v>
      </c>
      <c r="AF240">
        <v>89.81</v>
      </c>
      <c r="AG240">
        <v>40.56</v>
      </c>
      <c r="AH240">
        <v>133.61000000000001</v>
      </c>
      <c r="AI240">
        <v>1015</v>
      </c>
      <c r="AJ240">
        <v>117.46</v>
      </c>
      <c r="AK240">
        <v>395</v>
      </c>
      <c r="AL240">
        <v>181.19</v>
      </c>
      <c r="AM240">
        <v>96</v>
      </c>
      <c r="AN240">
        <v>0</v>
      </c>
      <c r="AO240" s="499">
        <v>0</v>
      </c>
      <c r="AP240" s="499">
        <v>0</v>
      </c>
      <c r="AQ240">
        <v>0</v>
      </c>
      <c r="AR240">
        <v>0</v>
      </c>
      <c r="AS240">
        <v>74.66</v>
      </c>
      <c r="AT240">
        <v>71.59</v>
      </c>
      <c r="AU240">
        <v>7.92</v>
      </c>
      <c r="AV240">
        <v>82.57</v>
      </c>
      <c r="AW240">
        <v>12</v>
      </c>
      <c r="AX240">
        <v>80.88</v>
      </c>
      <c r="AY240">
        <v>79.53</v>
      </c>
      <c r="AZ240">
        <v>8.41</v>
      </c>
      <c r="BA240">
        <v>88.87</v>
      </c>
      <c r="BB240">
        <v>578</v>
      </c>
      <c r="BC240">
        <v>95.87</v>
      </c>
      <c r="BD240">
        <v>93.82</v>
      </c>
      <c r="BE240">
        <v>5.35</v>
      </c>
      <c r="BF240">
        <v>100.52</v>
      </c>
      <c r="BG240">
        <v>1508</v>
      </c>
      <c r="BH240">
        <v>107.9</v>
      </c>
      <c r="BI240">
        <v>106.67</v>
      </c>
      <c r="BJ240">
        <v>1.82</v>
      </c>
      <c r="BK240">
        <v>109.22</v>
      </c>
      <c r="BL240" s="214">
        <v>1139</v>
      </c>
      <c r="BM240" s="214">
        <v>122.26</v>
      </c>
      <c r="BN240">
        <v>119.78</v>
      </c>
      <c r="BO240" s="187">
        <v>2.31</v>
      </c>
      <c r="BP240" s="214">
        <v>123.99</v>
      </c>
      <c r="BQ240" s="214">
        <v>108</v>
      </c>
      <c r="BR240">
        <v>127.36</v>
      </c>
      <c r="BS240" s="187">
        <v>125.26</v>
      </c>
      <c r="BT240" s="214">
        <v>1.68</v>
      </c>
      <c r="BU240" s="214">
        <v>128.52000000000001</v>
      </c>
      <c r="BV240">
        <v>26</v>
      </c>
      <c r="BW240">
        <v>132.65</v>
      </c>
      <c r="BX240" s="214">
        <v>132.66</v>
      </c>
      <c r="BY240" s="214">
        <v>0.85</v>
      </c>
      <c r="BZ240">
        <v>133.22</v>
      </c>
      <c r="CA240" s="187">
        <v>3</v>
      </c>
      <c r="CB240" s="214">
        <v>98.41</v>
      </c>
      <c r="CC240" s="214">
        <v>96.74</v>
      </c>
      <c r="CD240">
        <v>4.8</v>
      </c>
      <c r="CE240" s="187">
        <v>102.4</v>
      </c>
      <c r="CF240" s="214">
        <v>3374</v>
      </c>
      <c r="CG240" s="214">
        <v>98.41</v>
      </c>
      <c r="CH240">
        <v>96.74</v>
      </c>
      <c r="CI240">
        <v>4.8</v>
      </c>
      <c r="CJ240">
        <v>102.4</v>
      </c>
      <c r="CK240">
        <v>3374</v>
      </c>
      <c r="CL240">
        <v>94.48</v>
      </c>
      <c r="CM240">
        <v>69.760000000000005</v>
      </c>
      <c r="CN240" s="187">
        <v>118.75</v>
      </c>
      <c r="CO240">
        <v>205.22</v>
      </c>
      <c r="CP240">
        <v>89</v>
      </c>
      <c r="CQ240">
        <v>75.59</v>
      </c>
      <c r="CR240">
        <v>71.11</v>
      </c>
      <c r="CS240" s="187">
        <v>59.1</v>
      </c>
      <c r="CT240">
        <v>133.94</v>
      </c>
      <c r="CU240">
        <v>79</v>
      </c>
      <c r="CV240">
        <v>91.23</v>
      </c>
      <c r="CW240">
        <v>86.99</v>
      </c>
      <c r="CX240" s="187">
        <v>37.090000000000003</v>
      </c>
      <c r="CY240">
        <v>128</v>
      </c>
      <c r="CZ240">
        <v>577</v>
      </c>
      <c r="DA240">
        <v>103.33</v>
      </c>
      <c r="DB240">
        <v>101.76</v>
      </c>
      <c r="DC240" s="187">
        <v>17.63</v>
      </c>
      <c r="DD240">
        <v>120.63</v>
      </c>
      <c r="DE240">
        <v>261</v>
      </c>
      <c r="DF240">
        <v>128.13</v>
      </c>
      <c r="DG240">
        <v>114.27</v>
      </c>
      <c r="DH240" s="187">
        <v>30.32</v>
      </c>
      <c r="DI240">
        <v>158.44999999999999</v>
      </c>
      <c r="DJ240">
        <v>8</v>
      </c>
      <c r="DK240">
        <v>118.36</v>
      </c>
      <c r="DL240">
        <v>118.36</v>
      </c>
      <c r="DM240" s="187">
        <v>37.51</v>
      </c>
      <c r="DN240">
        <v>155.87</v>
      </c>
      <c r="DO240">
        <v>1</v>
      </c>
      <c r="DP240">
        <v>93.66</v>
      </c>
      <c r="DQ240">
        <v>90.14</v>
      </c>
      <c r="DR240" s="187">
        <v>33.47</v>
      </c>
      <c r="DS240">
        <v>126.72</v>
      </c>
      <c r="DT240">
        <v>926</v>
      </c>
      <c r="DU240">
        <v>93.73</v>
      </c>
      <c r="DV240">
        <v>89.81</v>
      </c>
      <c r="DW240" s="187">
        <v>40.56</v>
      </c>
      <c r="DX240">
        <v>133.61000000000001</v>
      </c>
      <c r="DY240">
        <v>1015</v>
      </c>
      <c r="DZ240">
        <v>0</v>
      </c>
      <c r="EA240">
        <v>0</v>
      </c>
      <c r="EB240" s="187">
        <v>0</v>
      </c>
      <c r="EC240">
        <v>0</v>
      </c>
      <c r="ED240">
        <v>94.54</v>
      </c>
      <c r="EE240">
        <v>63</v>
      </c>
      <c r="EF240">
        <v>114.33</v>
      </c>
      <c r="EG240" s="187">
        <v>210</v>
      </c>
      <c r="EH240">
        <v>133.13999999999999</v>
      </c>
      <c r="EI240">
        <v>110</v>
      </c>
      <c r="EJ240">
        <v>148.74</v>
      </c>
      <c r="EK240">
        <v>12</v>
      </c>
      <c r="EL240" s="187">
        <v>0</v>
      </c>
      <c r="EM240">
        <v>0</v>
      </c>
      <c r="EN240">
        <v>0</v>
      </c>
      <c r="EO240">
        <v>0</v>
      </c>
      <c r="EP240">
        <v>117.46</v>
      </c>
      <c r="EQ240" s="187">
        <v>395</v>
      </c>
      <c r="ER240">
        <v>117.46</v>
      </c>
      <c r="ES240">
        <v>395</v>
      </c>
      <c r="ET240">
        <v>288.79000000000002</v>
      </c>
      <c r="EU240">
        <v>8</v>
      </c>
      <c r="EV240" s="187">
        <v>309.99</v>
      </c>
      <c r="EW240">
        <v>10</v>
      </c>
      <c r="EX240">
        <v>147.13</v>
      </c>
      <c r="EY240">
        <v>64</v>
      </c>
      <c r="EZ240">
        <v>183.39</v>
      </c>
      <c r="FA240" s="187">
        <v>14</v>
      </c>
      <c r="FB240">
        <v>0</v>
      </c>
      <c r="FC240">
        <v>0</v>
      </c>
      <c r="FD240">
        <v>0</v>
      </c>
      <c r="FE240">
        <v>0</v>
      </c>
      <c r="FF240" s="187">
        <v>171.41</v>
      </c>
      <c r="FG240">
        <v>88</v>
      </c>
      <c r="FH240">
        <v>181.19</v>
      </c>
      <c r="FI240">
        <v>96</v>
      </c>
      <c r="FJ240">
        <v>0</v>
      </c>
      <c r="FK240" s="187">
        <v>4</v>
      </c>
      <c r="FL240">
        <v>12</v>
      </c>
      <c r="FM240">
        <v>53</v>
      </c>
      <c r="FN240">
        <v>15</v>
      </c>
    </row>
    <row r="241" spans="1:170" x14ac:dyDescent="0.35">
      <c r="A241" t="s">
        <v>868</v>
      </c>
      <c r="B241" t="s">
        <v>869</v>
      </c>
      <c r="C241" t="s">
        <v>415</v>
      </c>
      <c r="D241">
        <v>3805</v>
      </c>
      <c r="E241">
        <v>3692</v>
      </c>
      <c r="F241">
        <v>0</v>
      </c>
      <c r="G241">
        <v>4</v>
      </c>
      <c r="H241">
        <v>357</v>
      </c>
      <c r="I241">
        <v>91</v>
      </c>
      <c r="J241">
        <v>206</v>
      </c>
      <c r="K241">
        <v>206</v>
      </c>
      <c r="L241">
        <v>1389</v>
      </c>
      <c r="M241">
        <v>29</v>
      </c>
      <c r="N241">
        <v>5757</v>
      </c>
      <c r="O241">
        <v>4022</v>
      </c>
      <c r="P241">
        <v>4368</v>
      </c>
      <c r="Q241">
        <v>13</v>
      </c>
      <c r="R241">
        <v>2</v>
      </c>
      <c r="S241">
        <v>32</v>
      </c>
      <c r="T241">
        <v>482</v>
      </c>
      <c r="U241">
        <v>5275</v>
      </c>
      <c r="V241" s="498">
        <v>3578</v>
      </c>
      <c r="W241">
        <v>79</v>
      </c>
      <c r="X241" s="498">
        <v>9</v>
      </c>
      <c r="Y241" s="498">
        <v>88</v>
      </c>
      <c r="Z241" s="498">
        <v>114.42</v>
      </c>
      <c r="AA241" s="498">
        <v>113.73</v>
      </c>
      <c r="AB241">
        <v>3.62</v>
      </c>
      <c r="AC241">
        <v>117.58</v>
      </c>
      <c r="AD241">
        <v>2385</v>
      </c>
      <c r="AE241">
        <v>106.89</v>
      </c>
      <c r="AF241">
        <v>102.03</v>
      </c>
      <c r="AG241">
        <v>50.9</v>
      </c>
      <c r="AH241">
        <v>157.79</v>
      </c>
      <c r="AI241">
        <v>261</v>
      </c>
      <c r="AJ241">
        <v>162.31</v>
      </c>
      <c r="AK241">
        <v>1050</v>
      </c>
      <c r="AL241">
        <v>187.27</v>
      </c>
      <c r="AM241">
        <v>79</v>
      </c>
      <c r="AN241">
        <v>0</v>
      </c>
      <c r="AO241" s="499">
        <v>0</v>
      </c>
      <c r="AP241" s="499">
        <v>0</v>
      </c>
      <c r="AQ241">
        <v>0</v>
      </c>
      <c r="AR241">
        <v>0</v>
      </c>
      <c r="AS241">
        <v>0</v>
      </c>
      <c r="AT241">
        <v>0</v>
      </c>
      <c r="AU241">
        <v>0</v>
      </c>
      <c r="AV241">
        <v>0</v>
      </c>
      <c r="AW241">
        <v>0</v>
      </c>
      <c r="AX241">
        <v>94.4</v>
      </c>
      <c r="AY241">
        <v>93.14</v>
      </c>
      <c r="AZ241">
        <v>5.0599999999999996</v>
      </c>
      <c r="BA241">
        <v>99.25</v>
      </c>
      <c r="BB241">
        <v>351</v>
      </c>
      <c r="BC241">
        <v>110.11</v>
      </c>
      <c r="BD241">
        <v>109.06</v>
      </c>
      <c r="BE241">
        <v>4.37</v>
      </c>
      <c r="BF241">
        <v>113.95</v>
      </c>
      <c r="BG241">
        <v>1117</v>
      </c>
      <c r="BH241">
        <v>125.41</v>
      </c>
      <c r="BI241">
        <v>124.85</v>
      </c>
      <c r="BJ241">
        <v>1.95</v>
      </c>
      <c r="BK241">
        <v>127.03</v>
      </c>
      <c r="BL241" s="214">
        <v>783</v>
      </c>
      <c r="BM241" s="214">
        <v>137.46</v>
      </c>
      <c r="BN241">
        <v>139.58000000000001</v>
      </c>
      <c r="BO241" s="187">
        <v>2.29</v>
      </c>
      <c r="BP241" s="214">
        <v>139.41</v>
      </c>
      <c r="BQ241" s="214">
        <v>115</v>
      </c>
      <c r="BR241">
        <v>140.62</v>
      </c>
      <c r="BS241" s="187">
        <v>152.44999999999999</v>
      </c>
      <c r="BT241" s="214">
        <v>3.04</v>
      </c>
      <c r="BU241" s="214">
        <v>143.47</v>
      </c>
      <c r="BV241">
        <v>16</v>
      </c>
      <c r="BW241">
        <v>166.3</v>
      </c>
      <c r="BX241" s="214">
        <v>166.3</v>
      </c>
      <c r="BY241" s="214">
        <v>3.41</v>
      </c>
      <c r="BZ241">
        <v>169.71</v>
      </c>
      <c r="CA241" s="187">
        <v>3</v>
      </c>
      <c r="CB241" s="214">
        <v>114.42</v>
      </c>
      <c r="CC241" s="214">
        <v>113.73</v>
      </c>
      <c r="CD241">
        <v>3.62</v>
      </c>
      <c r="CE241" s="187">
        <v>117.58</v>
      </c>
      <c r="CF241" s="214">
        <v>2385</v>
      </c>
      <c r="CG241" s="214">
        <v>114.42</v>
      </c>
      <c r="CH241">
        <v>113.73</v>
      </c>
      <c r="CI241">
        <v>3.62</v>
      </c>
      <c r="CJ241">
        <v>117.58</v>
      </c>
      <c r="CK241">
        <v>2385</v>
      </c>
      <c r="CL241">
        <v>81.34</v>
      </c>
      <c r="CM241">
        <v>77.14</v>
      </c>
      <c r="CN241" s="187">
        <v>59.35</v>
      </c>
      <c r="CO241">
        <v>140.69</v>
      </c>
      <c r="CP241">
        <v>38</v>
      </c>
      <c r="CQ241">
        <v>0</v>
      </c>
      <c r="CR241">
        <v>0</v>
      </c>
      <c r="CS241" s="187">
        <v>0</v>
      </c>
      <c r="CT241">
        <v>0</v>
      </c>
      <c r="CU241">
        <v>0</v>
      </c>
      <c r="CV241">
        <v>110.63</v>
      </c>
      <c r="CW241">
        <v>104.83</v>
      </c>
      <c r="CX241" s="187">
        <v>51.44</v>
      </c>
      <c r="CY241">
        <v>162.07</v>
      </c>
      <c r="CZ241">
        <v>176</v>
      </c>
      <c r="DA241">
        <v>113.58</v>
      </c>
      <c r="DB241">
        <v>111.68</v>
      </c>
      <c r="DC241" s="187">
        <v>42.01</v>
      </c>
      <c r="DD241">
        <v>155.59</v>
      </c>
      <c r="DE241">
        <v>47</v>
      </c>
      <c r="DF241">
        <v>0</v>
      </c>
      <c r="DG241">
        <v>0</v>
      </c>
      <c r="DH241" s="187">
        <v>0</v>
      </c>
      <c r="DI241">
        <v>0</v>
      </c>
      <c r="DJ241">
        <v>0</v>
      </c>
      <c r="DK241">
        <v>0</v>
      </c>
      <c r="DL241">
        <v>0</v>
      </c>
      <c r="DM241" s="187">
        <v>0</v>
      </c>
      <c r="DN241">
        <v>0</v>
      </c>
      <c r="DO241">
        <v>0</v>
      </c>
      <c r="DP241">
        <v>111.25</v>
      </c>
      <c r="DQ241">
        <v>106.28</v>
      </c>
      <c r="DR241" s="187">
        <v>49.46</v>
      </c>
      <c r="DS241">
        <v>160.69999999999999</v>
      </c>
      <c r="DT241">
        <v>223</v>
      </c>
      <c r="DU241">
        <v>106.89</v>
      </c>
      <c r="DV241">
        <v>102.03</v>
      </c>
      <c r="DW241" s="187">
        <v>50.9</v>
      </c>
      <c r="DX241">
        <v>157.79</v>
      </c>
      <c r="DY241">
        <v>261</v>
      </c>
      <c r="DZ241">
        <v>0</v>
      </c>
      <c r="EA241">
        <v>0</v>
      </c>
      <c r="EB241" s="187">
        <v>0</v>
      </c>
      <c r="EC241">
        <v>0</v>
      </c>
      <c r="ED241">
        <v>134.63</v>
      </c>
      <c r="EE241">
        <v>261</v>
      </c>
      <c r="EF241">
        <v>160.19999999999999</v>
      </c>
      <c r="EG241" s="187">
        <v>521</v>
      </c>
      <c r="EH241">
        <v>183.19</v>
      </c>
      <c r="EI241">
        <v>201</v>
      </c>
      <c r="EJ241">
        <v>223.92</v>
      </c>
      <c r="EK241">
        <v>65</v>
      </c>
      <c r="EL241" s="187">
        <v>224.01</v>
      </c>
      <c r="EM241">
        <v>2</v>
      </c>
      <c r="EN241">
        <v>0</v>
      </c>
      <c r="EO241">
        <v>0</v>
      </c>
      <c r="EP241">
        <v>162.31</v>
      </c>
      <c r="EQ241" s="187">
        <v>1050</v>
      </c>
      <c r="ER241">
        <v>162.31</v>
      </c>
      <c r="ES241">
        <v>1050</v>
      </c>
      <c r="ET241">
        <v>0</v>
      </c>
      <c r="EU241">
        <v>0</v>
      </c>
      <c r="EV241" s="187">
        <v>0</v>
      </c>
      <c r="EW241">
        <v>0</v>
      </c>
      <c r="EX241">
        <v>186.96</v>
      </c>
      <c r="EY241">
        <v>62</v>
      </c>
      <c r="EZ241">
        <v>188.38</v>
      </c>
      <c r="FA241" s="187">
        <v>17</v>
      </c>
      <c r="FB241">
        <v>0</v>
      </c>
      <c r="FC241">
        <v>0</v>
      </c>
      <c r="FD241">
        <v>0</v>
      </c>
      <c r="FE241">
        <v>0</v>
      </c>
      <c r="FF241" s="187">
        <v>187.27</v>
      </c>
      <c r="FG241">
        <v>79</v>
      </c>
      <c r="FH241">
        <v>187.27</v>
      </c>
      <c r="FI241">
        <v>79</v>
      </c>
      <c r="FJ241">
        <v>10</v>
      </c>
      <c r="FK241" s="187">
        <v>2</v>
      </c>
      <c r="FL241">
        <v>1</v>
      </c>
      <c r="FM241">
        <v>110</v>
      </c>
      <c r="FN241">
        <v>33</v>
      </c>
    </row>
    <row r="242" spans="1:170" x14ac:dyDescent="0.35">
      <c r="A242" t="s">
        <v>870</v>
      </c>
      <c r="B242" t="s">
        <v>871</v>
      </c>
      <c r="C242" t="s">
        <v>414</v>
      </c>
      <c r="D242">
        <v>1859</v>
      </c>
      <c r="E242">
        <v>1837</v>
      </c>
      <c r="F242">
        <v>0</v>
      </c>
      <c r="G242">
        <v>0</v>
      </c>
      <c r="H242">
        <v>93</v>
      </c>
      <c r="I242">
        <v>68</v>
      </c>
      <c r="J242">
        <v>116</v>
      </c>
      <c r="K242">
        <v>116</v>
      </c>
      <c r="L242">
        <v>427</v>
      </c>
      <c r="M242">
        <v>0</v>
      </c>
      <c r="N242">
        <v>2495</v>
      </c>
      <c r="O242">
        <v>2021</v>
      </c>
      <c r="P242">
        <v>2068</v>
      </c>
      <c r="Q242">
        <v>0</v>
      </c>
      <c r="R242">
        <v>5</v>
      </c>
      <c r="S242">
        <v>21</v>
      </c>
      <c r="T242">
        <v>41</v>
      </c>
      <c r="U242">
        <v>2454</v>
      </c>
      <c r="V242" s="498">
        <v>1843</v>
      </c>
      <c r="W242">
        <v>20</v>
      </c>
      <c r="X242" s="498">
        <v>4</v>
      </c>
      <c r="Y242" s="498">
        <v>24</v>
      </c>
      <c r="Z242" s="498">
        <v>96.12</v>
      </c>
      <c r="AA242" s="498">
        <v>95.08</v>
      </c>
      <c r="AB242">
        <v>4.41</v>
      </c>
      <c r="AC242">
        <v>99.28</v>
      </c>
      <c r="AD242">
        <v>1352</v>
      </c>
      <c r="AE242">
        <v>110.53</v>
      </c>
      <c r="AF242">
        <v>94.39</v>
      </c>
      <c r="AG242">
        <v>75.09</v>
      </c>
      <c r="AH242">
        <v>184.75</v>
      </c>
      <c r="AI242">
        <v>173</v>
      </c>
      <c r="AJ242">
        <v>112.86</v>
      </c>
      <c r="AK242">
        <v>498</v>
      </c>
      <c r="AL242">
        <v>273.45999999999998</v>
      </c>
      <c r="AM242">
        <v>11</v>
      </c>
      <c r="AN242">
        <v>0</v>
      </c>
      <c r="AO242" s="499">
        <v>0</v>
      </c>
      <c r="AP242" s="499">
        <v>0</v>
      </c>
      <c r="AQ242">
        <v>0</v>
      </c>
      <c r="AR242">
        <v>0</v>
      </c>
      <c r="AS242">
        <v>111.88</v>
      </c>
      <c r="AT242">
        <v>117.46</v>
      </c>
      <c r="AU242">
        <v>8.16</v>
      </c>
      <c r="AV242">
        <v>120.04</v>
      </c>
      <c r="AW242">
        <v>6</v>
      </c>
      <c r="AX242">
        <v>77.150000000000006</v>
      </c>
      <c r="AY242">
        <v>76.400000000000006</v>
      </c>
      <c r="AZ242">
        <v>7.39</v>
      </c>
      <c r="BA242">
        <v>84.47</v>
      </c>
      <c r="BB242">
        <v>203</v>
      </c>
      <c r="BC242">
        <v>93.82</v>
      </c>
      <c r="BD242">
        <v>92.7</v>
      </c>
      <c r="BE242">
        <v>4.08</v>
      </c>
      <c r="BF242">
        <v>96.88</v>
      </c>
      <c r="BG242">
        <v>639</v>
      </c>
      <c r="BH242">
        <v>105.28</v>
      </c>
      <c r="BI242">
        <v>104.19</v>
      </c>
      <c r="BJ242">
        <v>2.8</v>
      </c>
      <c r="BK242">
        <v>106.8</v>
      </c>
      <c r="BL242" s="214">
        <v>464</v>
      </c>
      <c r="BM242" s="214">
        <v>120.47</v>
      </c>
      <c r="BN242">
        <v>118.66</v>
      </c>
      <c r="BO242" s="187">
        <v>2.65</v>
      </c>
      <c r="BP242" s="214">
        <v>122.59</v>
      </c>
      <c r="BQ242" s="214">
        <v>40</v>
      </c>
      <c r="BR242">
        <v>0</v>
      </c>
      <c r="BS242" s="187">
        <v>0</v>
      </c>
      <c r="BT242" s="214">
        <v>0</v>
      </c>
      <c r="BU242" s="214">
        <v>0</v>
      </c>
      <c r="BV242">
        <v>0</v>
      </c>
      <c r="BW242">
        <v>0</v>
      </c>
      <c r="BX242" s="214">
        <v>0</v>
      </c>
      <c r="BY242" s="214">
        <v>0</v>
      </c>
      <c r="BZ242">
        <v>0</v>
      </c>
      <c r="CA242" s="187">
        <v>0</v>
      </c>
      <c r="CB242" s="214">
        <v>96.12</v>
      </c>
      <c r="CC242" s="214">
        <v>95.08</v>
      </c>
      <c r="CD242">
        <v>4.41</v>
      </c>
      <c r="CE242" s="187">
        <v>99.28</v>
      </c>
      <c r="CF242" s="214">
        <v>1352</v>
      </c>
      <c r="CG242" s="214">
        <v>96.12</v>
      </c>
      <c r="CH242">
        <v>95.08</v>
      </c>
      <c r="CI242">
        <v>4.41</v>
      </c>
      <c r="CJ242">
        <v>99.28</v>
      </c>
      <c r="CK242">
        <v>1352</v>
      </c>
      <c r="CL242">
        <v>78.94</v>
      </c>
      <c r="CM242">
        <v>78.040000000000006</v>
      </c>
      <c r="CN242" s="187">
        <v>159.63</v>
      </c>
      <c r="CO242">
        <v>233.58</v>
      </c>
      <c r="CP242">
        <v>32</v>
      </c>
      <c r="CQ242">
        <v>0</v>
      </c>
      <c r="CR242">
        <v>0</v>
      </c>
      <c r="CS242" s="187">
        <v>0</v>
      </c>
      <c r="CT242">
        <v>0</v>
      </c>
      <c r="CU242">
        <v>0</v>
      </c>
      <c r="CV242">
        <v>107.18</v>
      </c>
      <c r="CW242">
        <v>91.13</v>
      </c>
      <c r="CX242" s="187">
        <v>57.02</v>
      </c>
      <c r="CY242">
        <v>164.21</v>
      </c>
      <c r="CZ242">
        <v>52</v>
      </c>
      <c r="DA242">
        <v>125.04</v>
      </c>
      <c r="DB242">
        <v>111.2</v>
      </c>
      <c r="DC242" s="187">
        <v>57.22</v>
      </c>
      <c r="DD242">
        <v>182.27</v>
      </c>
      <c r="DE242">
        <v>84</v>
      </c>
      <c r="DF242">
        <v>103.54</v>
      </c>
      <c r="DG242">
        <v>0</v>
      </c>
      <c r="DH242" s="187">
        <v>29.99</v>
      </c>
      <c r="DI242">
        <v>127.53</v>
      </c>
      <c r="DJ242">
        <v>5</v>
      </c>
      <c r="DK242">
        <v>0</v>
      </c>
      <c r="DL242">
        <v>0</v>
      </c>
      <c r="DM242" s="187">
        <v>0</v>
      </c>
      <c r="DN242">
        <v>0</v>
      </c>
      <c r="DO242">
        <v>0</v>
      </c>
      <c r="DP242">
        <v>117.69</v>
      </c>
      <c r="DQ242">
        <v>101.79</v>
      </c>
      <c r="DR242" s="187">
        <v>56.37</v>
      </c>
      <c r="DS242">
        <v>173.67</v>
      </c>
      <c r="DT242">
        <v>141</v>
      </c>
      <c r="DU242">
        <v>110.53</v>
      </c>
      <c r="DV242">
        <v>94.39</v>
      </c>
      <c r="DW242" s="187">
        <v>75.09</v>
      </c>
      <c r="DX242">
        <v>184.75</v>
      </c>
      <c r="DY242">
        <v>173</v>
      </c>
      <c r="DZ242">
        <v>0</v>
      </c>
      <c r="EA242">
        <v>0</v>
      </c>
      <c r="EB242" s="187">
        <v>112.86</v>
      </c>
      <c r="EC242">
        <v>3</v>
      </c>
      <c r="ED242">
        <v>90.09</v>
      </c>
      <c r="EE242">
        <v>91</v>
      </c>
      <c r="EF242">
        <v>110.28</v>
      </c>
      <c r="EG242" s="187">
        <v>261</v>
      </c>
      <c r="EH242">
        <v>128.65</v>
      </c>
      <c r="EI242">
        <v>129</v>
      </c>
      <c r="EJ242">
        <v>163.49</v>
      </c>
      <c r="EK242">
        <v>14</v>
      </c>
      <c r="EL242" s="187">
        <v>0</v>
      </c>
      <c r="EM242">
        <v>0</v>
      </c>
      <c r="EN242">
        <v>0</v>
      </c>
      <c r="EO242">
        <v>0</v>
      </c>
      <c r="EP242">
        <v>112.86</v>
      </c>
      <c r="EQ242" s="187">
        <v>498</v>
      </c>
      <c r="ER242">
        <v>112.86</v>
      </c>
      <c r="ES242">
        <v>498</v>
      </c>
      <c r="ET242">
        <v>0</v>
      </c>
      <c r="EU242">
        <v>0</v>
      </c>
      <c r="EV242" s="187">
        <v>0</v>
      </c>
      <c r="EW242">
        <v>0</v>
      </c>
      <c r="EX242">
        <v>273.45999999999998</v>
      </c>
      <c r="EY242">
        <v>11</v>
      </c>
      <c r="EZ242">
        <v>0</v>
      </c>
      <c r="FA242" s="187">
        <v>0</v>
      </c>
      <c r="FB242">
        <v>0</v>
      </c>
      <c r="FC242">
        <v>0</v>
      </c>
      <c r="FD242">
        <v>0</v>
      </c>
      <c r="FE242">
        <v>0</v>
      </c>
      <c r="FF242" s="187">
        <v>273.45999999999998</v>
      </c>
      <c r="FG242">
        <v>11</v>
      </c>
      <c r="FH242">
        <v>273.45999999999998</v>
      </c>
      <c r="FI242">
        <v>11</v>
      </c>
      <c r="FJ242">
        <v>21</v>
      </c>
      <c r="FK242" s="187">
        <v>0</v>
      </c>
      <c r="FL242">
        <v>0</v>
      </c>
      <c r="FM242">
        <v>32</v>
      </c>
      <c r="FN242">
        <v>4</v>
      </c>
    </row>
    <row r="243" spans="1:170" x14ac:dyDescent="0.35">
      <c r="A243" t="s">
        <v>872</v>
      </c>
      <c r="B243" t="s">
        <v>873</v>
      </c>
      <c r="C243" t="s">
        <v>419</v>
      </c>
      <c r="D243">
        <v>11517</v>
      </c>
      <c r="E243">
        <v>11283</v>
      </c>
      <c r="F243">
        <v>0</v>
      </c>
      <c r="G243">
        <v>0</v>
      </c>
      <c r="H243">
        <v>339</v>
      </c>
      <c r="I243">
        <v>193</v>
      </c>
      <c r="J243">
        <v>1825</v>
      </c>
      <c r="K243">
        <v>1735</v>
      </c>
      <c r="L243">
        <v>1248</v>
      </c>
      <c r="M243">
        <v>0</v>
      </c>
      <c r="N243">
        <v>14929</v>
      </c>
      <c r="O243">
        <v>13211</v>
      </c>
      <c r="P243">
        <v>13681</v>
      </c>
      <c r="Q243">
        <v>2</v>
      </c>
      <c r="R243">
        <v>13</v>
      </c>
      <c r="S243">
        <v>24</v>
      </c>
      <c r="T243">
        <v>475</v>
      </c>
      <c r="U243">
        <v>14454</v>
      </c>
      <c r="V243" s="498">
        <v>11198</v>
      </c>
      <c r="W243">
        <v>98</v>
      </c>
      <c r="X243" s="498">
        <v>54</v>
      </c>
      <c r="Y243" s="498">
        <v>152</v>
      </c>
      <c r="Z243" s="498">
        <v>102.78</v>
      </c>
      <c r="AA243" s="498">
        <v>103.03</v>
      </c>
      <c r="AB243">
        <v>5.9</v>
      </c>
      <c r="AC243">
        <v>106.39</v>
      </c>
      <c r="AD243">
        <v>10456</v>
      </c>
      <c r="AE243">
        <v>95.23</v>
      </c>
      <c r="AF243">
        <v>88.57</v>
      </c>
      <c r="AG243">
        <v>37.32</v>
      </c>
      <c r="AH243">
        <v>131.9</v>
      </c>
      <c r="AI243">
        <v>2007</v>
      </c>
      <c r="AJ243">
        <v>146.97999999999999</v>
      </c>
      <c r="AK243">
        <v>698</v>
      </c>
      <c r="AL243">
        <v>109.83</v>
      </c>
      <c r="AM243">
        <v>1</v>
      </c>
      <c r="AN243">
        <v>0</v>
      </c>
      <c r="AO243" s="499">
        <v>0</v>
      </c>
      <c r="AP243" s="499">
        <v>0</v>
      </c>
      <c r="AQ243">
        <v>0</v>
      </c>
      <c r="AR243">
        <v>0</v>
      </c>
      <c r="AS243">
        <v>73.48</v>
      </c>
      <c r="AT243">
        <v>70.930000000000007</v>
      </c>
      <c r="AU243">
        <v>26.74</v>
      </c>
      <c r="AV243">
        <v>100.23</v>
      </c>
      <c r="AW243">
        <v>51</v>
      </c>
      <c r="AX243">
        <v>85.76</v>
      </c>
      <c r="AY243">
        <v>84.64</v>
      </c>
      <c r="AZ243">
        <v>7.46</v>
      </c>
      <c r="BA243">
        <v>92.02</v>
      </c>
      <c r="BB243">
        <v>2156</v>
      </c>
      <c r="BC243">
        <v>101.18</v>
      </c>
      <c r="BD243">
        <v>100.62</v>
      </c>
      <c r="BE243">
        <v>6.02</v>
      </c>
      <c r="BF243">
        <v>105.42</v>
      </c>
      <c r="BG243">
        <v>4167</v>
      </c>
      <c r="BH243">
        <v>110.77</v>
      </c>
      <c r="BI243">
        <v>112.92</v>
      </c>
      <c r="BJ243">
        <v>3.36</v>
      </c>
      <c r="BK243">
        <v>111.97</v>
      </c>
      <c r="BL243" s="214">
        <v>3639</v>
      </c>
      <c r="BM243" s="214">
        <v>137.55000000000001</v>
      </c>
      <c r="BN243">
        <v>136.72</v>
      </c>
      <c r="BO243" s="187">
        <v>2.88</v>
      </c>
      <c r="BP243" s="214">
        <v>139.56</v>
      </c>
      <c r="BQ243" s="214">
        <v>422</v>
      </c>
      <c r="BR243">
        <v>156.11000000000001</v>
      </c>
      <c r="BS243" s="187">
        <v>157.63999999999999</v>
      </c>
      <c r="BT243" s="214">
        <v>3.42</v>
      </c>
      <c r="BU243" s="214">
        <v>158.33000000000001</v>
      </c>
      <c r="BV243">
        <v>20</v>
      </c>
      <c r="BW243">
        <v>134.6</v>
      </c>
      <c r="BX243" s="214">
        <v>137.30000000000001</v>
      </c>
      <c r="BY243" s="214">
        <v>0</v>
      </c>
      <c r="BZ243">
        <v>134.6</v>
      </c>
      <c r="CA243" s="187">
        <v>1</v>
      </c>
      <c r="CB243" s="214">
        <v>102.78</v>
      </c>
      <c r="CC243" s="214">
        <v>103.03</v>
      </c>
      <c r="CD243">
        <v>5.9</v>
      </c>
      <c r="CE243" s="187">
        <v>106.39</v>
      </c>
      <c r="CF243" s="214">
        <v>10456</v>
      </c>
      <c r="CG243" s="214">
        <v>102.78</v>
      </c>
      <c r="CH243">
        <v>103.03</v>
      </c>
      <c r="CI243">
        <v>5.9</v>
      </c>
      <c r="CJ243">
        <v>106.39</v>
      </c>
      <c r="CK243">
        <v>10456</v>
      </c>
      <c r="CL243">
        <v>92.9</v>
      </c>
      <c r="CM243">
        <v>79.040000000000006</v>
      </c>
      <c r="CN243" s="187">
        <v>127.56</v>
      </c>
      <c r="CO243">
        <v>196.04</v>
      </c>
      <c r="CP243">
        <v>94</v>
      </c>
      <c r="CQ243">
        <v>83.58</v>
      </c>
      <c r="CR243">
        <v>69.930000000000007</v>
      </c>
      <c r="CS243" s="187">
        <v>35.93</v>
      </c>
      <c r="CT243">
        <v>119.51</v>
      </c>
      <c r="CU243">
        <v>158</v>
      </c>
      <c r="CV243">
        <v>91.83</v>
      </c>
      <c r="CW243">
        <v>85.98</v>
      </c>
      <c r="CX243" s="187">
        <v>32.89</v>
      </c>
      <c r="CY243">
        <v>124.38</v>
      </c>
      <c r="CZ243">
        <v>1428</v>
      </c>
      <c r="DA243">
        <v>116.44</v>
      </c>
      <c r="DB243">
        <v>109.85</v>
      </c>
      <c r="DC243" s="187">
        <v>36.47</v>
      </c>
      <c r="DD243">
        <v>152.78</v>
      </c>
      <c r="DE243">
        <v>313</v>
      </c>
      <c r="DF243">
        <v>104.24</v>
      </c>
      <c r="DG243">
        <v>105.02</v>
      </c>
      <c r="DH243" s="187">
        <v>27.78</v>
      </c>
      <c r="DI243">
        <v>128.55000000000001</v>
      </c>
      <c r="DJ243">
        <v>8</v>
      </c>
      <c r="DK243">
        <v>130.21</v>
      </c>
      <c r="DL243">
        <v>118.38</v>
      </c>
      <c r="DM243" s="187">
        <v>28.76</v>
      </c>
      <c r="DN243">
        <v>158.97</v>
      </c>
      <c r="DO243">
        <v>6</v>
      </c>
      <c r="DP243">
        <v>95.35</v>
      </c>
      <c r="DQ243">
        <v>88.94</v>
      </c>
      <c r="DR243" s="187">
        <v>33.700000000000003</v>
      </c>
      <c r="DS243">
        <v>128.75</v>
      </c>
      <c r="DT243">
        <v>1913</v>
      </c>
      <c r="DU243">
        <v>95.23</v>
      </c>
      <c r="DV243">
        <v>88.57</v>
      </c>
      <c r="DW243" s="187">
        <v>37.32</v>
      </c>
      <c r="DX243">
        <v>131.9</v>
      </c>
      <c r="DY243">
        <v>2007</v>
      </c>
      <c r="DZ243">
        <v>0</v>
      </c>
      <c r="EA243">
        <v>0</v>
      </c>
      <c r="EB243" s="187">
        <v>0</v>
      </c>
      <c r="EC243">
        <v>0</v>
      </c>
      <c r="ED243">
        <v>120.88</v>
      </c>
      <c r="EE243">
        <v>133</v>
      </c>
      <c r="EF243">
        <v>143.18</v>
      </c>
      <c r="EG243" s="187">
        <v>365</v>
      </c>
      <c r="EH243">
        <v>170.87</v>
      </c>
      <c r="EI243">
        <v>195</v>
      </c>
      <c r="EJ243">
        <v>187.31</v>
      </c>
      <c r="EK243">
        <v>5</v>
      </c>
      <c r="EL243" s="187">
        <v>0</v>
      </c>
      <c r="EM243">
        <v>0</v>
      </c>
      <c r="EN243">
        <v>0</v>
      </c>
      <c r="EO243">
        <v>0</v>
      </c>
      <c r="EP243">
        <v>146.97999999999999</v>
      </c>
      <c r="EQ243" s="187">
        <v>698</v>
      </c>
      <c r="ER243">
        <v>146.97999999999999</v>
      </c>
      <c r="ES243">
        <v>698</v>
      </c>
      <c r="ET243">
        <v>0</v>
      </c>
      <c r="EU243">
        <v>0</v>
      </c>
      <c r="EV243" s="187">
        <v>0</v>
      </c>
      <c r="EW243">
        <v>0</v>
      </c>
      <c r="EX243">
        <v>109.83</v>
      </c>
      <c r="EY243">
        <v>1</v>
      </c>
      <c r="EZ243">
        <v>0</v>
      </c>
      <c r="FA243" s="187">
        <v>0</v>
      </c>
      <c r="FB243">
        <v>0</v>
      </c>
      <c r="FC243">
        <v>0</v>
      </c>
      <c r="FD243">
        <v>0</v>
      </c>
      <c r="FE243">
        <v>0</v>
      </c>
      <c r="FF243" s="187">
        <v>109.83</v>
      </c>
      <c r="FG243">
        <v>1</v>
      </c>
      <c r="FH243">
        <v>109.83</v>
      </c>
      <c r="FI243">
        <v>1</v>
      </c>
      <c r="FJ243">
        <v>0</v>
      </c>
      <c r="FK243" s="187">
        <v>23</v>
      </c>
      <c r="FL243">
        <v>16</v>
      </c>
      <c r="FM243">
        <v>125</v>
      </c>
      <c r="FN243">
        <v>20</v>
      </c>
    </row>
    <row r="244" spans="1:170" x14ac:dyDescent="0.35">
      <c r="A244" t="s">
        <v>874</v>
      </c>
      <c r="B244" t="s">
        <v>875</v>
      </c>
      <c r="C244" t="s">
        <v>419</v>
      </c>
      <c r="D244">
        <v>4033</v>
      </c>
      <c r="E244">
        <v>3763</v>
      </c>
      <c r="F244">
        <v>0</v>
      </c>
      <c r="G244">
        <v>0</v>
      </c>
      <c r="H244">
        <v>98</v>
      </c>
      <c r="I244">
        <v>69</v>
      </c>
      <c r="J244">
        <v>596</v>
      </c>
      <c r="K244">
        <v>506</v>
      </c>
      <c r="L244">
        <v>621</v>
      </c>
      <c r="M244">
        <v>7</v>
      </c>
      <c r="N244">
        <v>5348</v>
      </c>
      <c r="O244">
        <v>4345</v>
      </c>
      <c r="P244">
        <v>4727</v>
      </c>
      <c r="Q244">
        <v>0</v>
      </c>
      <c r="R244">
        <v>6</v>
      </c>
      <c r="S244">
        <v>20</v>
      </c>
      <c r="T244">
        <v>376</v>
      </c>
      <c r="U244">
        <v>4972</v>
      </c>
      <c r="V244" s="498">
        <v>3762</v>
      </c>
      <c r="W244">
        <v>10</v>
      </c>
      <c r="X244" s="498">
        <v>12</v>
      </c>
      <c r="Y244" s="498">
        <v>22</v>
      </c>
      <c r="Z244" s="498">
        <v>96.11</v>
      </c>
      <c r="AA244" s="498">
        <v>92.53</v>
      </c>
      <c r="AB244">
        <v>2.31</v>
      </c>
      <c r="AC244">
        <v>98.29</v>
      </c>
      <c r="AD244">
        <v>3283</v>
      </c>
      <c r="AE244">
        <v>84.97</v>
      </c>
      <c r="AF244">
        <v>75.55</v>
      </c>
      <c r="AG244">
        <v>38.020000000000003</v>
      </c>
      <c r="AH244">
        <v>122.51</v>
      </c>
      <c r="AI244">
        <v>555</v>
      </c>
      <c r="AJ244">
        <v>130.18</v>
      </c>
      <c r="AK244">
        <v>418</v>
      </c>
      <c r="AL244">
        <v>182.48</v>
      </c>
      <c r="AM244">
        <v>52</v>
      </c>
      <c r="AN244">
        <v>0</v>
      </c>
      <c r="AO244" s="499">
        <v>0</v>
      </c>
      <c r="AP244" s="499">
        <v>0</v>
      </c>
      <c r="AQ244">
        <v>0</v>
      </c>
      <c r="AR244">
        <v>0</v>
      </c>
      <c r="AS244">
        <v>70.34</v>
      </c>
      <c r="AT244">
        <v>66.61</v>
      </c>
      <c r="AU244">
        <v>4.72</v>
      </c>
      <c r="AV244">
        <v>75.06</v>
      </c>
      <c r="AW244">
        <v>3</v>
      </c>
      <c r="AX244">
        <v>84.29</v>
      </c>
      <c r="AY244">
        <v>81.010000000000005</v>
      </c>
      <c r="AZ244">
        <v>3.72</v>
      </c>
      <c r="BA244">
        <v>87.92</v>
      </c>
      <c r="BB244">
        <v>786</v>
      </c>
      <c r="BC244">
        <v>93.97</v>
      </c>
      <c r="BD244">
        <v>90.36</v>
      </c>
      <c r="BE244">
        <v>2.19</v>
      </c>
      <c r="BF244">
        <v>96.02</v>
      </c>
      <c r="BG244">
        <v>1259</v>
      </c>
      <c r="BH244">
        <v>105.05</v>
      </c>
      <c r="BI244">
        <v>101.27</v>
      </c>
      <c r="BJ244">
        <v>1.46</v>
      </c>
      <c r="BK244">
        <v>106.41</v>
      </c>
      <c r="BL244" s="214">
        <v>1146</v>
      </c>
      <c r="BM244" s="214">
        <v>115.9</v>
      </c>
      <c r="BN244">
        <v>112.63</v>
      </c>
      <c r="BO244" s="187">
        <v>1.68</v>
      </c>
      <c r="BP244" s="214">
        <v>117.5</v>
      </c>
      <c r="BQ244" s="214">
        <v>85</v>
      </c>
      <c r="BR244">
        <v>131.22</v>
      </c>
      <c r="BS244" s="187">
        <v>129.43</v>
      </c>
      <c r="BT244" s="214">
        <v>1.03</v>
      </c>
      <c r="BU244" s="214">
        <v>131.99</v>
      </c>
      <c r="BV244">
        <v>4</v>
      </c>
      <c r="BW244">
        <v>0</v>
      </c>
      <c r="BX244" s="214">
        <v>0</v>
      </c>
      <c r="BY244" s="214">
        <v>0</v>
      </c>
      <c r="BZ244">
        <v>0</v>
      </c>
      <c r="CA244" s="187">
        <v>0</v>
      </c>
      <c r="CB244" s="214">
        <v>96.11</v>
      </c>
      <c r="CC244" s="214">
        <v>92.53</v>
      </c>
      <c r="CD244">
        <v>2.31</v>
      </c>
      <c r="CE244" s="187">
        <v>98.29</v>
      </c>
      <c r="CF244" s="214">
        <v>3283</v>
      </c>
      <c r="CG244" s="214">
        <v>96.11</v>
      </c>
      <c r="CH244">
        <v>92.53</v>
      </c>
      <c r="CI244">
        <v>2.31</v>
      </c>
      <c r="CJ244">
        <v>98.29</v>
      </c>
      <c r="CK244">
        <v>3283</v>
      </c>
      <c r="CL244">
        <v>109.98</v>
      </c>
      <c r="CM244">
        <v>66.06</v>
      </c>
      <c r="CN244" s="187">
        <v>108.54</v>
      </c>
      <c r="CO244">
        <v>208.65</v>
      </c>
      <c r="CP244">
        <v>55</v>
      </c>
      <c r="CQ244">
        <v>73.33</v>
      </c>
      <c r="CR244">
        <v>66.67</v>
      </c>
      <c r="CS244" s="187">
        <v>24.96</v>
      </c>
      <c r="CT244">
        <v>98.29</v>
      </c>
      <c r="CU244">
        <v>2</v>
      </c>
      <c r="CV244">
        <v>81.48</v>
      </c>
      <c r="CW244">
        <v>75.58</v>
      </c>
      <c r="CX244" s="187">
        <v>31.03</v>
      </c>
      <c r="CY244">
        <v>112.39</v>
      </c>
      <c r="CZ244">
        <v>474</v>
      </c>
      <c r="DA244">
        <v>94.56</v>
      </c>
      <c r="DB244">
        <v>88.33</v>
      </c>
      <c r="DC244" s="187">
        <v>31.67</v>
      </c>
      <c r="DD244">
        <v>126.23</v>
      </c>
      <c r="DE244">
        <v>18</v>
      </c>
      <c r="DF244">
        <v>106.18</v>
      </c>
      <c r="DG244">
        <v>97.9</v>
      </c>
      <c r="DH244" s="187">
        <v>23.65</v>
      </c>
      <c r="DI244">
        <v>129.83000000000001</v>
      </c>
      <c r="DJ244">
        <v>6</v>
      </c>
      <c r="DK244">
        <v>0</v>
      </c>
      <c r="DL244">
        <v>0</v>
      </c>
      <c r="DM244" s="187">
        <v>0</v>
      </c>
      <c r="DN244">
        <v>0</v>
      </c>
      <c r="DO244">
        <v>0</v>
      </c>
      <c r="DP244">
        <v>82.22</v>
      </c>
      <c r="DQ244">
        <v>76.28</v>
      </c>
      <c r="DR244" s="187">
        <v>30.94</v>
      </c>
      <c r="DS244">
        <v>113.04</v>
      </c>
      <c r="DT244">
        <v>500</v>
      </c>
      <c r="DU244">
        <v>84.97</v>
      </c>
      <c r="DV244">
        <v>75.55</v>
      </c>
      <c r="DW244" s="187">
        <v>38.020000000000003</v>
      </c>
      <c r="DX244">
        <v>122.51</v>
      </c>
      <c r="DY244">
        <v>555</v>
      </c>
      <c r="DZ244">
        <v>0</v>
      </c>
      <c r="EA244">
        <v>0</v>
      </c>
      <c r="EB244" s="187">
        <v>0</v>
      </c>
      <c r="EC244">
        <v>0</v>
      </c>
      <c r="ED244">
        <v>98.45</v>
      </c>
      <c r="EE244">
        <v>77</v>
      </c>
      <c r="EF244">
        <v>125.31</v>
      </c>
      <c r="EG244" s="187">
        <v>196</v>
      </c>
      <c r="EH244">
        <v>148.63</v>
      </c>
      <c r="EI244">
        <v>123</v>
      </c>
      <c r="EJ244">
        <v>181.5</v>
      </c>
      <c r="EK244">
        <v>22</v>
      </c>
      <c r="EL244" s="187">
        <v>0</v>
      </c>
      <c r="EM244">
        <v>0</v>
      </c>
      <c r="EN244">
        <v>0</v>
      </c>
      <c r="EO244">
        <v>0</v>
      </c>
      <c r="EP244">
        <v>130.18</v>
      </c>
      <c r="EQ244" s="187">
        <v>418</v>
      </c>
      <c r="ER244">
        <v>130.18</v>
      </c>
      <c r="ES244">
        <v>418</v>
      </c>
      <c r="ET244">
        <v>0</v>
      </c>
      <c r="EU244">
        <v>0</v>
      </c>
      <c r="EV244" s="187">
        <v>0</v>
      </c>
      <c r="EW244">
        <v>0</v>
      </c>
      <c r="EX244">
        <v>189.49</v>
      </c>
      <c r="EY244">
        <v>33</v>
      </c>
      <c r="EZ244">
        <v>170.31</v>
      </c>
      <c r="FA244" s="187">
        <v>19</v>
      </c>
      <c r="FB244">
        <v>0</v>
      </c>
      <c r="FC244">
        <v>0</v>
      </c>
      <c r="FD244">
        <v>0</v>
      </c>
      <c r="FE244">
        <v>0</v>
      </c>
      <c r="FF244" s="187">
        <v>182.48</v>
      </c>
      <c r="FG244">
        <v>52</v>
      </c>
      <c r="FH244">
        <v>182.48</v>
      </c>
      <c r="FI244">
        <v>52</v>
      </c>
      <c r="FJ244">
        <v>0</v>
      </c>
      <c r="FK244" s="187">
        <v>12</v>
      </c>
      <c r="FL244">
        <v>1</v>
      </c>
      <c r="FM244">
        <v>56</v>
      </c>
      <c r="FN244">
        <v>21</v>
      </c>
    </row>
    <row r="245" spans="1:170" x14ac:dyDescent="0.35">
      <c r="A245" t="s">
        <v>876</v>
      </c>
      <c r="B245" t="s">
        <v>877</v>
      </c>
      <c r="C245" t="s">
        <v>414</v>
      </c>
      <c r="D245">
        <v>1213</v>
      </c>
      <c r="E245">
        <v>1148</v>
      </c>
      <c r="F245">
        <v>0</v>
      </c>
      <c r="G245">
        <v>0</v>
      </c>
      <c r="H245">
        <v>107</v>
      </c>
      <c r="I245">
        <v>87</v>
      </c>
      <c r="J245">
        <v>0</v>
      </c>
      <c r="K245">
        <v>0</v>
      </c>
      <c r="L245">
        <v>483</v>
      </c>
      <c r="M245">
        <v>0</v>
      </c>
      <c r="N245">
        <v>1803</v>
      </c>
      <c r="O245">
        <v>1235</v>
      </c>
      <c r="P245">
        <v>1320</v>
      </c>
      <c r="Q245">
        <v>6</v>
      </c>
      <c r="R245">
        <v>3</v>
      </c>
      <c r="S245">
        <v>18</v>
      </c>
      <c r="T245">
        <v>74</v>
      </c>
      <c r="U245">
        <v>1729</v>
      </c>
      <c r="V245" s="498">
        <v>1148</v>
      </c>
      <c r="W245">
        <v>2</v>
      </c>
      <c r="X245" s="498">
        <v>4</v>
      </c>
      <c r="Y245" s="498">
        <v>6</v>
      </c>
      <c r="Z245" s="498">
        <v>87.62</v>
      </c>
      <c r="AA245" s="498">
        <v>85.73</v>
      </c>
      <c r="AB245">
        <v>4.9800000000000004</v>
      </c>
      <c r="AC245">
        <v>91.64</v>
      </c>
      <c r="AD245">
        <v>749</v>
      </c>
      <c r="AE245">
        <v>134.57</v>
      </c>
      <c r="AF245">
        <v>70.760000000000005</v>
      </c>
      <c r="AG245">
        <v>99.16</v>
      </c>
      <c r="AH245">
        <v>233.73</v>
      </c>
      <c r="AI245">
        <v>98</v>
      </c>
      <c r="AJ245">
        <v>116.39</v>
      </c>
      <c r="AK245">
        <v>345</v>
      </c>
      <c r="AL245">
        <v>0</v>
      </c>
      <c r="AM245">
        <v>0</v>
      </c>
      <c r="AN245">
        <v>0</v>
      </c>
      <c r="AO245" s="499">
        <v>0</v>
      </c>
      <c r="AP245" s="499">
        <v>0</v>
      </c>
      <c r="AQ245">
        <v>0</v>
      </c>
      <c r="AR245">
        <v>0</v>
      </c>
      <c r="AS245">
        <v>61.4</v>
      </c>
      <c r="AT245">
        <v>64.36</v>
      </c>
      <c r="AU245">
        <v>17.22</v>
      </c>
      <c r="AV245">
        <v>78.62</v>
      </c>
      <c r="AW245">
        <v>1</v>
      </c>
      <c r="AX245">
        <v>72.61</v>
      </c>
      <c r="AY245">
        <v>69.37</v>
      </c>
      <c r="AZ245">
        <v>15.12</v>
      </c>
      <c r="BA245">
        <v>87.14</v>
      </c>
      <c r="BB245">
        <v>78</v>
      </c>
      <c r="BC245">
        <v>86.33</v>
      </c>
      <c r="BD245">
        <v>84.15</v>
      </c>
      <c r="BE245">
        <v>4.09</v>
      </c>
      <c r="BF245">
        <v>89.65</v>
      </c>
      <c r="BG245">
        <v>448</v>
      </c>
      <c r="BH245">
        <v>95.05</v>
      </c>
      <c r="BI245">
        <v>94.02</v>
      </c>
      <c r="BJ245">
        <v>2.21</v>
      </c>
      <c r="BK245">
        <v>96.67</v>
      </c>
      <c r="BL245" s="214">
        <v>206</v>
      </c>
      <c r="BM245" s="214">
        <v>103.61</v>
      </c>
      <c r="BN245">
        <v>104.12</v>
      </c>
      <c r="BO245" s="187">
        <v>2.77</v>
      </c>
      <c r="BP245" s="214">
        <v>106</v>
      </c>
      <c r="BQ245" s="214">
        <v>15</v>
      </c>
      <c r="BR245">
        <v>93.4</v>
      </c>
      <c r="BS245" s="187">
        <v>107</v>
      </c>
      <c r="BT245" s="214">
        <v>0</v>
      </c>
      <c r="BU245" s="214">
        <v>93.4</v>
      </c>
      <c r="BV245">
        <v>1</v>
      </c>
      <c r="BW245">
        <v>0</v>
      </c>
      <c r="BX245" s="214">
        <v>0</v>
      </c>
      <c r="BY245" s="214">
        <v>0</v>
      </c>
      <c r="BZ245">
        <v>0</v>
      </c>
      <c r="CA245" s="187">
        <v>0</v>
      </c>
      <c r="CB245" s="214">
        <v>87.62</v>
      </c>
      <c r="CC245" s="214">
        <v>85.73</v>
      </c>
      <c r="CD245">
        <v>4.9800000000000004</v>
      </c>
      <c r="CE245" s="187">
        <v>91.64</v>
      </c>
      <c r="CF245" s="214">
        <v>749</v>
      </c>
      <c r="CG245" s="214">
        <v>87.62</v>
      </c>
      <c r="CH245">
        <v>85.73</v>
      </c>
      <c r="CI245">
        <v>4.9800000000000004</v>
      </c>
      <c r="CJ245">
        <v>91.64</v>
      </c>
      <c r="CK245">
        <v>749</v>
      </c>
      <c r="CL245">
        <v>147.85</v>
      </c>
      <c r="CM245">
        <v>66.95</v>
      </c>
      <c r="CN245" s="187">
        <v>75.47</v>
      </c>
      <c r="CO245">
        <v>223.32</v>
      </c>
      <c r="CP245">
        <v>60</v>
      </c>
      <c r="CQ245">
        <v>74.56</v>
      </c>
      <c r="CR245">
        <v>74.56</v>
      </c>
      <c r="CS245" s="187">
        <v>87.39</v>
      </c>
      <c r="CT245">
        <v>161.94999999999999</v>
      </c>
      <c r="CU245">
        <v>4</v>
      </c>
      <c r="CV245">
        <v>118.23</v>
      </c>
      <c r="CW245">
        <v>70.709999999999994</v>
      </c>
      <c r="CX245" s="187">
        <v>139.94999999999999</v>
      </c>
      <c r="CY245">
        <v>258.17</v>
      </c>
      <c r="CZ245">
        <v>33</v>
      </c>
      <c r="DA245">
        <v>0</v>
      </c>
      <c r="DB245">
        <v>0</v>
      </c>
      <c r="DC245" s="187">
        <v>0</v>
      </c>
      <c r="DD245">
        <v>0</v>
      </c>
      <c r="DE245">
        <v>0</v>
      </c>
      <c r="DF245">
        <v>117.66</v>
      </c>
      <c r="DG245">
        <v>117.66</v>
      </c>
      <c r="DH245" s="187">
        <v>221.34</v>
      </c>
      <c r="DI245">
        <v>339</v>
      </c>
      <c r="DJ245">
        <v>1</v>
      </c>
      <c r="DK245">
        <v>0</v>
      </c>
      <c r="DL245">
        <v>0</v>
      </c>
      <c r="DM245" s="187">
        <v>0</v>
      </c>
      <c r="DN245">
        <v>0</v>
      </c>
      <c r="DO245">
        <v>0</v>
      </c>
      <c r="DP245">
        <v>113.62</v>
      </c>
      <c r="DQ245">
        <v>73.3</v>
      </c>
      <c r="DR245" s="187">
        <v>136.56</v>
      </c>
      <c r="DS245">
        <v>250.17</v>
      </c>
      <c r="DT245">
        <v>38</v>
      </c>
      <c r="DU245">
        <v>134.57</v>
      </c>
      <c r="DV245">
        <v>70.760000000000005</v>
      </c>
      <c r="DW245" s="187">
        <v>99.16</v>
      </c>
      <c r="DX245">
        <v>233.73</v>
      </c>
      <c r="DY245">
        <v>98</v>
      </c>
      <c r="DZ245">
        <v>0</v>
      </c>
      <c r="EA245">
        <v>0</v>
      </c>
      <c r="EB245" s="187">
        <v>0</v>
      </c>
      <c r="EC245">
        <v>0</v>
      </c>
      <c r="ED245">
        <v>90.74</v>
      </c>
      <c r="EE245">
        <v>79</v>
      </c>
      <c r="EF245">
        <v>120.05</v>
      </c>
      <c r="EG245" s="187">
        <v>179</v>
      </c>
      <c r="EH245">
        <v>131.49</v>
      </c>
      <c r="EI245">
        <v>81</v>
      </c>
      <c r="EJ245">
        <v>140.88</v>
      </c>
      <c r="EK245">
        <v>6</v>
      </c>
      <c r="EL245" s="187">
        <v>0</v>
      </c>
      <c r="EM245">
        <v>0</v>
      </c>
      <c r="EN245">
        <v>0</v>
      </c>
      <c r="EO245">
        <v>0</v>
      </c>
      <c r="EP245">
        <v>116.39</v>
      </c>
      <c r="EQ245" s="187">
        <v>345</v>
      </c>
      <c r="ER245">
        <v>116.39</v>
      </c>
      <c r="ES245">
        <v>345</v>
      </c>
      <c r="ET245">
        <v>0</v>
      </c>
      <c r="EU245">
        <v>0</v>
      </c>
      <c r="EV245" s="187">
        <v>0</v>
      </c>
      <c r="EW245">
        <v>0</v>
      </c>
      <c r="EX245">
        <v>0</v>
      </c>
      <c r="EY245">
        <v>0</v>
      </c>
      <c r="EZ245">
        <v>0</v>
      </c>
      <c r="FA245" s="187">
        <v>0</v>
      </c>
      <c r="FB245">
        <v>0</v>
      </c>
      <c r="FC245">
        <v>0</v>
      </c>
      <c r="FD245">
        <v>0</v>
      </c>
      <c r="FE245">
        <v>0</v>
      </c>
      <c r="FF245" s="187">
        <v>0</v>
      </c>
      <c r="FG245">
        <v>0</v>
      </c>
      <c r="FH245">
        <v>0</v>
      </c>
      <c r="FI245">
        <v>0</v>
      </c>
      <c r="FJ245">
        <v>0</v>
      </c>
      <c r="FK245" s="187">
        <v>1</v>
      </c>
      <c r="FL245">
        <v>0</v>
      </c>
      <c r="FM245">
        <v>116</v>
      </c>
      <c r="FN245">
        <v>4</v>
      </c>
    </row>
    <row r="246" spans="1:170" x14ac:dyDescent="0.35">
      <c r="A246" t="s">
        <v>878</v>
      </c>
      <c r="B246" t="s">
        <v>879</v>
      </c>
      <c r="C246" t="s">
        <v>414</v>
      </c>
      <c r="D246">
        <v>1858</v>
      </c>
      <c r="E246">
        <v>1811</v>
      </c>
      <c r="F246">
        <v>0</v>
      </c>
      <c r="G246">
        <v>0</v>
      </c>
      <c r="H246">
        <v>141</v>
      </c>
      <c r="I246">
        <v>67</v>
      </c>
      <c r="J246">
        <v>268</v>
      </c>
      <c r="K246">
        <v>194</v>
      </c>
      <c r="L246">
        <v>568</v>
      </c>
      <c r="M246">
        <v>9</v>
      </c>
      <c r="N246">
        <v>2835</v>
      </c>
      <c r="O246">
        <v>2081</v>
      </c>
      <c r="P246">
        <v>2267</v>
      </c>
      <c r="Q246">
        <v>1</v>
      </c>
      <c r="R246">
        <v>6</v>
      </c>
      <c r="S246">
        <v>27</v>
      </c>
      <c r="T246">
        <v>223</v>
      </c>
      <c r="U246">
        <v>2612</v>
      </c>
      <c r="V246" s="498">
        <v>1768</v>
      </c>
      <c r="W246">
        <v>8</v>
      </c>
      <c r="X246" s="498">
        <v>17</v>
      </c>
      <c r="Y246" s="498">
        <v>25</v>
      </c>
      <c r="Z246" s="498">
        <v>90.96</v>
      </c>
      <c r="AA246" s="498">
        <v>88.9</v>
      </c>
      <c r="AB246">
        <v>5.81</v>
      </c>
      <c r="AC246">
        <v>96.01</v>
      </c>
      <c r="AD246">
        <v>1244</v>
      </c>
      <c r="AE246">
        <v>98.09</v>
      </c>
      <c r="AF246">
        <v>72.599999999999994</v>
      </c>
      <c r="AG246">
        <v>49.21</v>
      </c>
      <c r="AH246">
        <v>147.31</v>
      </c>
      <c r="AI246">
        <v>276</v>
      </c>
      <c r="AJ246">
        <v>112.14</v>
      </c>
      <c r="AK246">
        <v>317</v>
      </c>
      <c r="AL246">
        <v>0</v>
      </c>
      <c r="AM246">
        <v>0</v>
      </c>
      <c r="AN246">
        <v>0</v>
      </c>
      <c r="AO246" s="499">
        <v>0</v>
      </c>
      <c r="AP246" s="499">
        <v>0</v>
      </c>
      <c r="AQ246">
        <v>0</v>
      </c>
      <c r="AR246">
        <v>0</v>
      </c>
      <c r="AS246">
        <v>71.62</v>
      </c>
      <c r="AT246">
        <v>68.2</v>
      </c>
      <c r="AU246">
        <v>7.85</v>
      </c>
      <c r="AV246">
        <v>79.47</v>
      </c>
      <c r="AW246">
        <v>2</v>
      </c>
      <c r="AX246">
        <v>77.39</v>
      </c>
      <c r="AY246">
        <v>75.27</v>
      </c>
      <c r="AZ246">
        <v>8.4700000000000006</v>
      </c>
      <c r="BA246">
        <v>85.75</v>
      </c>
      <c r="BB246">
        <v>155</v>
      </c>
      <c r="BC246">
        <v>89.06</v>
      </c>
      <c r="BD246">
        <v>86.77</v>
      </c>
      <c r="BE246">
        <v>6.79</v>
      </c>
      <c r="BF246">
        <v>95.06</v>
      </c>
      <c r="BG246">
        <v>657</v>
      </c>
      <c r="BH246">
        <v>97.73</v>
      </c>
      <c r="BI246">
        <v>96.03</v>
      </c>
      <c r="BJ246">
        <v>2.86</v>
      </c>
      <c r="BK246">
        <v>100</v>
      </c>
      <c r="BL246" s="214">
        <v>380</v>
      </c>
      <c r="BM246" s="214">
        <v>107.22</v>
      </c>
      <c r="BN246">
        <v>105.77</v>
      </c>
      <c r="BO246" s="187">
        <v>3.75</v>
      </c>
      <c r="BP246" s="214">
        <v>110.59</v>
      </c>
      <c r="BQ246" s="214">
        <v>50</v>
      </c>
      <c r="BR246">
        <v>0</v>
      </c>
      <c r="BS246" s="187">
        <v>0</v>
      </c>
      <c r="BT246" s="214">
        <v>0</v>
      </c>
      <c r="BU246" s="214">
        <v>0</v>
      </c>
      <c r="BV246">
        <v>0</v>
      </c>
      <c r="BW246">
        <v>0</v>
      </c>
      <c r="BX246" s="214">
        <v>0</v>
      </c>
      <c r="BY246" s="214">
        <v>0</v>
      </c>
      <c r="BZ246">
        <v>0</v>
      </c>
      <c r="CA246" s="187">
        <v>0</v>
      </c>
      <c r="CB246" s="214">
        <v>90.96</v>
      </c>
      <c r="CC246" s="214">
        <v>88.9</v>
      </c>
      <c r="CD246">
        <v>5.81</v>
      </c>
      <c r="CE246" s="187">
        <v>96.01</v>
      </c>
      <c r="CF246" s="214">
        <v>1244</v>
      </c>
      <c r="CG246" s="214">
        <v>90.96</v>
      </c>
      <c r="CH246">
        <v>88.9</v>
      </c>
      <c r="CI246">
        <v>5.81</v>
      </c>
      <c r="CJ246">
        <v>96.01</v>
      </c>
      <c r="CK246">
        <v>1244</v>
      </c>
      <c r="CL246">
        <v>169.66</v>
      </c>
      <c r="CM246">
        <v>71.36</v>
      </c>
      <c r="CN246" s="187">
        <v>35.770000000000003</v>
      </c>
      <c r="CO246">
        <v>205.43</v>
      </c>
      <c r="CP246">
        <v>56</v>
      </c>
      <c r="CQ246">
        <v>77.02</v>
      </c>
      <c r="CR246">
        <v>70.06</v>
      </c>
      <c r="CS246" s="187">
        <v>39.4</v>
      </c>
      <c r="CT246">
        <v>116.42</v>
      </c>
      <c r="CU246">
        <v>20</v>
      </c>
      <c r="CV246">
        <v>79.45</v>
      </c>
      <c r="CW246">
        <v>71.91</v>
      </c>
      <c r="CX246" s="187">
        <v>56.71</v>
      </c>
      <c r="CY246">
        <v>136.16999999999999</v>
      </c>
      <c r="CZ246">
        <v>187</v>
      </c>
      <c r="DA246">
        <v>90.37</v>
      </c>
      <c r="DB246">
        <v>87.29</v>
      </c>
      <c r="DC246" s="187">
        <v>14.37</v>
      </c>
      <c r="DD246">
        <v>104.75</v>
      </c>
      <c r="DE246">
        <v>13</v>
      </c>
      <c r="DF246">
        <v>0</v>
      </c>
      <c r="DG246">
        <v>0</v>
      </c>
      <c r="DH246" s="187">
        <v>0</v>
      </c>
      <c r="DI246">
        <v>0</v>
      </c>
      <c r="DJ246">
        <v>0</v>
      </c>
      <c r="DK246">
        <v>0</v>
      </c>
      <c r="DL246">
        <v>0</v>
      </c>
      <c r="DM246" s="187">
        <v>0</v>
      </c>
      <c r="DN246">
        <v>0</v>
      </c>
      <c r="DO246">
        <v>0</v>
      </c>
      <c r="DP246">
        <v>79.88</v>
      </c>
      <c r="DQ246">
        <v>72.680000000000007</v>
      </c>
      <c r="DR246" s="187">
        <v>52.64</v>
      </c>
      <c r="DS246">
        <v>132.51</v>
      </c>
      <c r="DT246">
        <v>220</v>
      </c>
      <c r="DU246">
        <v>98.09</v>
      </c>
      <c r="DV246">
        <v>72.599999999999994</v>
      </c>
      <c r="DW246" s="187">
        <v>49.21</v>
      </c>
      <c r="DX246">
        <v>147.31</v>
      </c>
      <c r="DY246">
        <v>276</v>
      </c>
      <c r="DZ246">
        <v>0</v>
      </c>
      <c r="EA246">
        <v>0</v>
      </c>
      <c r="EB246" s="187">
        <v>0</v>
      </c>
      <c r="EC246">
        <v>0</v>
      </c>
      <c r="ED246">
        <v>90.98</v>
      </c>
      <c r="EE246">
        <v>45</v>
      </c>
      <c r="EF246">
        <v>110.56</v>
      </c>
      <c r="EG246" s="187">
        <v>192</v>
      </c>
      <c r="EH246">
        <v>123.73</v>
      </c>
      <c r="EI246">
        <v>68</v>
      </c>
      <c r="EJ246">
        <v>151.87</v>
      </c>
      <c r="EK246">
        <v>11</v>
      </c>
      <c r="EL246" s="187">
        <v>141.22</v>
      </c>
      <c r="EM246">
        <v>1</v>
      </c>
      <c r="EN246">
        <v>0</v>
      </c>
      <c r="EO246">
        <v>0</v>
      </c>
      <c r="EP246">
        <v>112.14</v>
      </c>
      <c r="EQ246" s="187">
        <v>317</v>
      </c>
      <c r="ER246">
        <v>112.14</v>
      </c>
      <c r="ES246">
        <v>317</v>
      </c>
      <c r="ET246">
        <v>0</v>
      </c>
      <c r="EU246">
        <v>0</v>
      </c>
      <c r="EV246" s="187">
        <v>0</v>
      </c>
      <c r="EW246">
        <v>0</v>
      </c>
      <c r="EX246">
        <v>0</v>
      </c>
      <c r="EY246">
        <v>0</v>
      </c>
      <c r="EZ246">
        <v>0</v>
      </c>
      <c r="FA246" s="187">
        <v>0</v>
      </c>
      <c r="FB246">
        <v>0</v>
      </c>
      <c r="FC246">
        <v>0</v>
      </c>
      <c r="FD246">
        <v>0</v>
      </c>
      <c r="FE246">
        <v>0</v>
      </c>
      <c r="FF246" s="187">
        <v>0</v>
      </c>
      <c r="FG246">
        <v>0</v>
      </c>
      <c r="FH246">
        <v>0</v>
      </c>
      <c r="FI246">
        <v>0</v>
      </c>
      <c r="FJ246">
        <v>55</v>
      </c>
      <c r="FK246" s="187">
        <v>1</v>
      </c>
      <c r="FL246">
        <v>2</v>
      </c>
      <c r="FM246">
        <v>49</v>
      </c>
      <c r="FN246">
        <v>12</v>
      </c>
    </row>
    <row r="247" spans="1:170" x14ac:dyDescent="0.35">
      <c r="A247" t="s">
        <v>880</v>
      </c>
      <c r="B247" t="s">
        <v>881</v>
      </c>
      <c r="C247" t="s">
        <v>418</v>
      </c>
      <c r="D247">
        <v>4109</v>
      </c>
      <c r="E247">
        <v>4072</v>
      </c>
      <c r="F247">
        <v>0</v>
      </c>
      <c r="G247">
        <v>0</v>
      </c>
      <c r="H247">
        <v>212</v>
      </c>
      <c r="I247">
        <v>95</v>
      </c>
      <c r="J247">
        <v>536</v>
      </c>
      <c r="K247">
        <v>536</v>
      </c>
      <c r="L247">
        <v>239</v>
      </c>
      <c r="M247">
        <v>0</v>
      </c>
      <c r="N247">
        <v>5096</v>
      </c>
      <c r="O247">
        <v>4703</v>
      </c>
      <c r="P247">
        <v>4857</v>
      </c>
      <c r="Q247">
        <v>7</v>
      </c>
      <c r="R247">
        <v>7</v>
      </c>
      <c r="S247">
        <v>11</v>
      </c>
      <c r="T247">
        <v>176</v>
      </c>
      <c r="U247">
        <v>4920</v>
      </c>
      <c r="V247" s="498">
        <v>4023</v>
      </c>
      <c r="W247">
        <v>20</v>
      </c>
      <c r="X247" s="498">
        <v>9</v>
      </c>
      <c r="Y247" s="498">
        <v>29</v>
      </c>
      <c r="Z247" s="498">
        <v>94.68</v>
      </c>
      <c r="AA247" s="498">
        <v>94.14</v>
      </c>
      <c r="AB247">
        <v>4.3099999999999996</v>
      </c>
      <c r="AC247">
        <v>95.96</v>
      </c>
      <c r="AD247">
        <v>3510</v>
      </c>
      <c r="AE247">
        <v>87.5</v>
      </c>
      <c r="AF247">
        <v>83.68</v>
      </c>
      <c r="AG247">
        <v>41.9</v>
      </c>
      <c r="AH247">
        <v>128.83000000000001</v>
      </c>
      <c r="AI247">
        <v>658</v>
      </c>
      <c r="AJ247">
        <v>116.47</v>
      </c>
      <c r="AK247">
        <v>493</v>
      </c>
      <c r="AL247">
        <v>210</v>
      </c>
      <c r="AM247">
        <v>24</v>
      </c>
      <c r="AN247">
        <v>0</v>
      </c>
      <c r="AO247" s="499">
        <v>0</v>
      </c>
      <c r="AP247" s="499">
        <v>0</v>
      </c>
      <c r="AQ247">
        <v>0</v>
      </c>
      <c r="AR247">
        <v>0</v>
      </c>
      <c r="AS247">
        <v>68.95</v>
      </c>
      <c r="AT247">
        <v>68.72</v>
      </c>
      <c r="AU247">
        <v>3.45</v>
      </c>
      <c r="AV247">
        <v>69.97</v>
      </c>
      <c r="AW247">
        <v>27</v>
      </c>
      <c r="AX247">
        <v>81.73</v>
      </c>
      <c r="AY247">
        <v>80.34</v>
      </c>
      <c r="AZ247">
        <v>7.87</v>
      </c>
      <c r="BA247">
        <v>84.58</v>
      </c>
      <c r="BB247">
        <v>546</v>
      </c>
      <c r="BC247">
        <v>93.35</v>
      </c>
      <c r="BD247">
        <v>92.05</v>
      </c>
      <c r="BE247">
        <v>3.97</v>
      </c>
      <c r="BF247">
        <v>94.82</v>
      </c>
      <c r="BG247">
        <v>1548</v>
      </c>
      <c r="BH247">
        <v>101.35</v>
      </c>
      <c r="BI247">
        <v>101.86</v>
      </c>
      <c r="BJ247">
        <v>2.4900000000000002</v>
      </c>
      <c r="BK247">
        <v>101.85</v>
      </c>
      <c r="BL247" s="214">
        <v>1309</v>
      </c>
      <c r="BM247" s="214">
        <v>107.84</v>
      </c>
      <c r="BN247">
        <v>110.69</v>
      </c>
      <c r="BO247" s="187">
        <v>1.63</v>
      </c>
      <c r="BP247" s="214">
        <v>108.09</v>
      </c>
      <c r="BQ247" s="214">
        <v>78</v>
      </c>
      <c r="BR247">
        <v>119.23</v>
      </c>
      <c r="BS247" s="187">
        <v>116.56</v>
      </c>
      <c r="BT247" s="214">
        <v>0</v>
      </c>
      <c r="BU247" s="214">
        <v>119.23</v>
      </c>
      <c r="BV247">
        <v>2</v>
      </c>
      <c r="BW247">
        <v>0</v>
      </c>
      <c r="BX247" s="214">
        <v>0</v>
      </c>
      <c r="BY247" s="214">
        <v>0</v>
      </c>
      <c r="BZ247">
        <v>0</v>
      </c>
      <c r="CA247" s="187">
        <v>0</v>
      </c>
      <c r="CB247" s="214">
        <v>94.68</v>
      </c>
      <c r="CC247" s="214">
        <v>94.14</v>
      </c>
      <c r="CD247">
        <v>4.3099999999999996</v>
      </c>
      <c r="CE247" s="187">
        <v>95.96</v>
      </c>
      <c r="CF247" s="214">
        <v>3510</v>
      </c>
      <c r="CG247" s="214">
        <v>94.68</v>
      </c>
      <c r="CH247">
        <v>94.14</v>
      </c>
      <c r="CI247">
        <v>4.3099999999999996</v>
      </c>
      <c r="CJ247">
        <v>95.96</v>
      </c>
      <c r="CK247">
        <v>3510</v>
      </c>
      <c r="CL247">
        <v>98.29</v>
      </c>
      <c r="CM247">
        <v>72.19</v>
      </c>
      <c r="CN247" s="187">
        <v>84.73</v>
      </c>
      <c r="CO247">
        <v>181.68</v>
      </c>
      <c r="CP247">
        <v>63</v>
      </c>
      <c r="CQ247">
        <v>78.72</v>
      </c>
      <c r="CR247">
        <v>75.150000000000006</v>
      </c>
      <c r="CS247" s="187">
        <v>89.91</v>
      </c>
      <c r="CT247">
        <v>168.63</v>
      </c>
      <c r="CU247">
        <v>44</v>
      </c>
      <c r="CV247">
        <v>84.1</v>
      </c>
      <c r="CW247">
        <v>83.27</v>
      </c>
      <c r="CX247" s="187">
        <v>33.9</v>
      </c>
      <c r="CY247">
        <v>117.52</v>
      </c>
      <c r="CZ247">
        <v>430</v>
      </c>
      <c r="DA247">
        <v>96.89</v>
      </c>
      <c r="DB247">
        <v>91.88</v>
      </c>
      <c r="DC247" s="187">
        <v>30.37</v>
      </c>
      <c r="DD247">
        <v>127.01</v>
      </c>
      <c r="DE247">
        <v>119</v>
      </c>
      <c r="DF247">
        <v>114.69</v>
      </c>
      <c r="DG247">
        <v>97.02</v>
      </c>
      <c r="DH247" s="187">
        <v>27.28</v>
      </c>
      <c r="DI247">
        <v>128.33000000000001</v>
      </c>
      <c r="DJ247">
        <v>2</v>
      </c>
      <c r="DK247">
        <v>0</v>
      </c>
      <c r="DL247">
        <v>0</v>
      </c>
      <c r="DM247" s="187">
        <v>0</v>
      </c>
      <c r="DN247">
        <v>0</v>
      </c>
      <c r="DO247">
        <v>0</v>
      </c>
      <c r="DP247">
        <v>86.36</v>
      </c>
      <c r="DQ247">
        <v>84.3</v>
      </c>
      <c r="DR247" s="187">
        <v>37.380000000000003</v>
      </c>
      <c r="DS247">
        <v>123.24</v>
      </c>
      <c r="DT247">
        <v>595</v>
      </c>
      <c r="DU247">
        <v>87.5</v>
      </c>
      <c r="DV247">
        <v>83.68</v>
      </c>
      <c r="DW247" s="187">
        <v>41.9</v>
      </c>
      <c r="DX247">
        <v>128.83000000000001</v>
      </c>
      <c r="DY247">
        <v>658</v>
      </c>
      <c r="DZ247">
        <v>0</v>
      </c>
      <c r="EA247">
        <v>0</v>
      </c>
      <c r="EB247" s="187">
        <v>0</v>
      </c>
      <c r="EC247">
        <v>0</v>
      </c>
      <c r="ED247">
        <v>97.61</v>
      </c>
      <c r="EE247">
        <v>98</v>
      </c>
      <c r="EF247">
        <v>116.89</v>
      </c>
      <c r="EG247" s="187">
        <v>265</v>
      </c>
      <c r="EH247">
        <v>129.79</v>
      </c>
      <c r="EI247">
        <v>125</v>
      </c>
      <c r="EJ247">
        <v>130.76</v>
      </c>
      <c r="EK247">
        <v>5</v>
      </c>
      <c r="EL247" s="187">
        <v>0</v>
      </c>
      <c r="EM247">
        <v>0</v>
      </c>
      <c r="EN247">
        <v>0</v>
      </c>
      <c r="EO247">
        <v>0</v>
      </c>
      <c r="EP247">
        <v>116.47</v>
      </c>
      <c r="EQ247" s="187">
        <v>493</v>
      </c>
      <c r="ER247">
        <v>116.47</v>
      </c>
      <c r="ES247">
        <v>493</v>
      </c>
      <c r="ET247">
        <v>183.55</v>
      </c>
      <c r="EU247">
        <v>2</v>
      </c>
      <c r="EV247" s="187">
        <v>0</v>
      </c>
      <c r="EW247">
        <v>0</v>
      </c>
      <c r="EX247">
        <v>211.09</v>
      </c>
      <c r="EY247">
        <v>20</v>
      </c>
      <c r="EZ247">
        <v>225.57</v>
      </c>
      <c r="FA247" s="187">
        <v>2</v>
      </c>
      <c r="FB247">
        <v>0</v>
      </c>
      <c r="FC247">
        <v>0</v>
      </c>
      <c r="FD247">
        <v>0</v>
      </c>
      <c r="FE247">
        <v>0</v>
      </c>
      <c r="FF247" s="187">
        <v>212.41</v>
      </c>
      <c r="FG247">
        <v>22</v>
      </c>
      <c r="FH247">
        <v>210</v>
      </c>
      <c r="FI247">
        <v>24</v>
      </c>
      <c r="FJ247">
        <v>0</v>
      </c>
      <c r="FK247" s="187">
        <v>20</v>
      </c>
      <c r="FL247">
        <v>0</v>
      </c>
      <c r="FM247">
        <v>11</v>
      </c>
      <c r="FN247">
        <v>3</v>
      </c>
    </row>
    <row r="248" spans="1:170" x14ac:dyDescent="0.35">
      <c r="A248" t="s">
        <v>882</v>
      </c>
      <c r="B248" t="s">
        <v>883</v>
      </c>
      <c r="C248" t="s">
        <v>415</v>
      </c>
      <c r="D248">
        <v>6716</v>
      </c>
      <c r="E248">
        <v>6751</v>
      </c>
      <c r="F248">
        <v>0</v>
      </c>
      <c r="G248">
        <v>0</v>
      </c>
      <c r="H248">
        <v>215</v>
      </c>
      <c r="I248">
        <v>166</v>
      </c>
      <c r="J248">
        <v>819</v>
      </c>
      <c r="K248">
        <v>819</v>
      </c>
      <c r="L248">
        <v>721</v>
      </c>
      <c r="M248">
        <v>172</v>
      </c>
      <c r="N248">
        <v>8471</v>
      </c>
      <c r="O248">
        <v>7908</v>
      </c>
      <c r="P248">
        <v>7750</v>
      </c>
      <c r="Q248">
        <v>3</v>
      </c>
      <c r="R248">
        <v>2</v>
      </c>
      <c r="S248">
        <v>22</v>
      </c>
      <c r="T248">
        <v>53</v>
      </c>
      <c r="U248">
        <v>8418</v>
      </c>
      <c r="V248" s="498">
        <v>6710</v>
      </c>
      <c r="W248">
        <v>57</v>
      </c>
      <c r="X248" s="498">
        <v>12</v>
      </c>
      <c r="Y248" s="498">
        <v>69</v>
      </c>
      <c r="Z248" s="498">
        <v>90.71</v>
      </c>
      <c r="AA248" s="498">
        <v>89.97</v>
      </c>
      <c r="AB248">
        <v>5.19</v>
      </c>
      <c r="AC248">
        <v>92.29</v>
      </c>
      <c r="AD248">
        <v>4465</v>
      </c>
      <c r="AE248">
        <v>91.92</v>
      </c>
      <c r="AF248">
        <v>82.68</v>
      </c>
      <c r="AG248">
        <v>43.94</v>
      </c>
      <c r="AH248">
        <v>135.86000000000001</v>
      </c>
      <c r="AI248">
        <v>987</v>
      </c>
      <c r="AJ248">
        <v>118.76</v>
      </c>
      <c r="AK248">
        <v>2033</v>
      </c>
      <c r="AL248">
        <v>0</v>
      </c>
      <c r="AM248">
        <v>0</v>
      </c>
      <c r="AN248">
        <v>0</v>
      </c>
      <c r="AO248" s="499">
        <v>0</v>
      </c>
      <c r="AP248" s="499">
        <v>0</v>
      </c>
      <c r="AQ248">
        <v>0</v>
      </c>
      <c r="AR248">
        <v>0</v>
      </c>
      <c r="AS248">
        <v>68.48</v>
      </c>
      <c r="AT248">
        <v>69.8</v>
      </c>
      <c r="AU248">
        <v>19.309999999999999</v>
      </c>
      <c r="AV248">
        <v>78.14</v>
      </c>
      <c r="AW248">
        <v>12</v>
      </c>
      <c r="AX248">
        <v>77.75</v>
      </c>
      <c r="AY248">
        <v>77.08</v>
      </c>
      <c r="AZ248">
        <v>7.47</v>
      </c>
      <c r="BA248">
        <v>81.08</v>
      </c>
      <c r="BB248">
        <v>723</v>
      </c>
      <c r="BC248">
        <v>88.08</v>
      </c>
      <c r="BD248">
        <v>87.25</v>
      </c>
      <c r="BE248">
        <v>5.2</v>
      </c>
      <c r="BF248">
        <v>89.82</v>
      </c>
      <c r="BG248">
        <v>1996</v>
      </c>
      <c r="BH248">
        <v>98.48</v>
      </c>
      <c r="BI248">
        <v>97.88</v>
      </c>
      <c r="BJ248">
        <v>2.83</v>
      </c>
      <c r="BK248">
        <v>99.05</v>
      </c>
      <c r="BL248" s="214">
        <v>1645</v>
      </c>
      <c r="BM248" s="214">
        <v>114.38</v>
      </c>
      <c r="BN248">
        <v>112.79</v>
      </c>
      <c r="BO248" s="187">
        <v>3.93</v>
      </c>
      <c r="BP248" s="214">
        <v>115.65</v>
      </c>
      <c r="BQ248" s="214">
        <v>87</v>
      </c>
      <c r="BR248">
        <v>121.63</v>
      </c>
      <c r="BS248" s="187">
        <v>127.19</v>
      </c>
      <c r="BT248" s="214">
        <v>1.44</v>
      </c>
      <c r="BU248" s="214">
        <v>122.35</v>
      </c>
      <c r="BV248">
        <v>2</v>
      </c>
      <c r="BW248">
        <v>0</v>
      </c>
      <c r="BX248" s="214">
        <v>0</v>
      </c>
      <c r="BY248" s="214">
        <v>0</v>
      </c>
      <c r="BZ248">
        <v>0</v>
      </c>
      <c r="CA248" s="187">
        <v>0</v>
      </c>
      <c r="CB248" s="214">
        <v>90.71</v>
      </c>
      <c r="CC248" s="214">
        <v>89.97</v>
      </c>
      <c r="CD248">
        <v>5.19</v>
      </c>
      <c r="CE248" s="187">
        <v>92.29</v>
      </c>
      <c r="CF248" s="214">
        <v>4465</v>
      </c>
      <c r="CG248" s="214">
        <v>90.71</v>
      </c>
      <c r="CH248">
        <v>89.97</v>
      </c>
      <c r="CI248">
        <v>5.19</v>
      </c>
      <c r="CJ248">
        <v>92.29</v>
      </c>
      <c r="CK248">
        <v>4465</v>
      </c>
      <c r="CL248">
        <v>133.12</v>
      </c>
      <c r="CM248">
        <v>83.79</v>
      </c>
      <c r="CN248" s="187">
        <v>97.68</v>
      </c>
      <c r="CO248">
        <v>230.8</v>
      </c>
      <c r="CP248">
        <v>94</v>
      </c>
      <c r="CQ248">
        <v>97.67</v>
      </c>
      <c r="CR248">
        <v>67.34</v>
      </c>
      <c r="CS248" s="187">
        <v>45.33</v>
      </c>
      <c r="CT248">
        <v>142.99</v>
      </c>
      <c r="CU248">
        <v>12</v>
      </c>
      <c r="CV248">
        <v>86.95</v>
      </c>
      <c r="CW248">
        <v>81.63</v>
      </c>
      <c r="CX248" s="187">
        <v>39.21</v>
      </c>
      <c r="CY248">
        <v>126.15</v>
      </c>
      <c r="CZ248">
        <v>757</v>
      </c>
      <c r="DA248">
        <v>90.2</v>
      </c>
      <c r="DB248">
        <v>88.84</v>
      </c>
      <c r="DC248" s="187">
        <v>31.96</v>
      </c>
      <c r="DD248">
        <v>122.15</v>
      </c>
      <c r="DE248">
        <v>122</v>
      </c>
      <c r="DF248">
        <v>109.56</v>
      </c>
      <c r="DG248">
        <v>104.19</v>
      </c>
      <c r="DH248" s="187">
        <v>30.84</v>
      </c>
      <c r="DI248">
        <v>140.4</v>
      </c>
      <c r="DJ248">
        <v>2</v>
      </c>
      <c r="DK248">
        <v>0</v>
      </c>
      <c r="DL248">
        <v>0</v>
      </c>
      <c r="DM248" s="187">
        <v>0</v>
      </c>
      <c r="DN248">
        <v>0</v>
      </c>
      <c r="DO248">
        <v>0</v>
      </c>
      <c r="DP248">
        <v>87.59</v>
      </c>
      <c r="DQ248">
        <v>82.6</v>
      </c>
      <c r="DR248" s="187">
        <v>38.28</v>
      </c>
      <c r="DS248">
        <v>125.87</v>
      </c>
      <c r="DT248">
        <v>893</v>
      </c>
      <c r="DU248">
        <v>91.92</v>
      </c>
      <c r="DV248">
        <v>82.68</v>
      </c>
      <c r="DW248" s="187">
        <v>43.94</v>
      </c>
      <c r="DX248">
        <v>135.86000000000001</v>
      </c>
      <c r="DY248">
        <v>987</v>
      </c>
      <c r="DZ248">
        <v>0</v>
      </c>
      <c r="EA248">
        <v>0</v>
      </c>
      <c r="EB248" s="187">
        <v>0</v>
      </c>
      <c r="EC248">
        <v>0</v>
      </c>
      <c r="ED248">
        <v>100.24</v>
      </c>
      <c r="EE248">
        <v>472</v>
      </c>
      <c r="EF248">
        <v>118</v>
      </c>
      <c r="EG248" s="187">
        <v>1081</v>
      </c>
      <c r="EH248">
        <v>137.03</v>
      </c>
      <c r="EI248">
        <v>454</v>
      </c>
      <c r="EJ248">
        <v>167.1</v>
      </c>
      <c r="EK248">
        <v>25</v>
      </c>
      <c r="EL248" s="187">
        <v>188.1</v>
      </c>
      <c r="EM248">
        <v>1</v>
      </c>
      <c r="EN248">
        <v>0</v>
      </c>
      <c r="EO248">
        <v>0</v>
      </c>
      <c r="EP248">
        <v>118.76</v>
      </c>
      <c r="EQ248" s="187">
        <v>2033</v>
      </c>
      <c r="ER248">
        <v>118.76</v>
      </c>
      <c r="ES248">
        <v>2033</v>
      </c>
      <c r="ET248">
        <v>0</v>
      </c>
      <c r="EU248">
        <v>0</v>
      </c>
      <c r="EV248" s="187">
        <v>0</v>
      </c>
      <c r="EW248">
        <v>0</v>
      </c>
      <c r="EX248">
        <v>0</v>
      </c>
      <c r="EY248">
        <v>0</v>
      </c>
      <c r="EZ248">
        <v>0</v>
      </c>
      <c r="FA248" s="187">
        <v>0</v>
      </c>
      <c r="FB248">
        <v>0</v>
      </c>
      <c r="FC248">
        <v>0</v>
      </c>
      <c r="FD248">
        <v>0</v>
      </c>
      <c r="FE248">
        <v>0</v>
      </c>
      <c r="FF248" s="187">
        <v>0</v>
      </c>
      <c r="FG248">
        <v>0</v>
      </c>
      <c r="FH248">
        <v>0</v>
      </c>
      <c r="FI248">
        <v>0</v>
      </c>
      <c r="FJ248">
        <v>6</v>
      </c>
      <c r="FK248" s="187">
        <v>8</v>
      </c>
      <c r="FL248">
        <v>22</v>
      </c>
      <c r="FM248">
        <v>30</v>
      </c>
      <c r="FN248">
        <v>12</v>
      </c>
    </row>
    <row r="249" spans="1:170" x14ac:dyDescent="0.35">
      <c r="A249" t="s">
        <v>884</v>
      </c>
      <c r="B249" t="s">
        <v>885</v>
      </c>
      <c r="C249" t="s">
        <v>2</v>
      </c>
      <c r="D249">
        <v>6733</v>
      </c>
      <c r="E249">
        <v>6659</v>
      </c>
      <c r="F249">
        <v>2</v>
      </c>
      <c r="G249">
        <v>0</v>
      </c>
      <c r="H249">
        <v>244</v>
      </c>
      <c r="I249">
        <v>154</v>
      </c>
      <c r="J249">
        <v>787</v>
      </c>
      <c r="K249">
        <v>709</v>
      </c>
      <c r="L249">
        <v>1099</v>
      </c>
      <c r="M249">
        <v>15</v>
      </c>
      <c r="N249">
        <v>8865</v>
      </c>
      <c r="O249">
        <v>7537</v>
      </c>
      <c r="P249">
        <v>7766</v>
      </c>
      <c r="Q249">
        <v>0</v>
      </c>
      <c r="R249">
        <v>9</v>
      </c>
      <c r="S249">
        <v>30</v>
      </c>
      <c r="T249">
        <v>212</v>
      </c>
      <c r="U249">
        <v>8653</v>
      </c>
      <c r="V249" s="498">
        <v>6654</v>
      </c>
      <c r="W249">
        <v>34</v>
      </c>
      <c r="X249" s="498">
        <v>25</v>
      </c>
      <c r="Y249" s="498">
        <v>59</v>
      </c>
      <c r="Z249" s="498">
        <v>114.9</v>
      </c>
      <c r="AA249" s="498">
        <v>113.13</v>
      </c>
      <c r="AB249">
        <v>5.51</v>
      </c>
      <c r="AC249">
        <v>117.02</v>
      </c>
      <c r="AD249">
        <v>5370</v>
      </c>
      <c r="AE249">
        <v>98.15</v>
      </c>
      <c r="AF249">
        <v>94.11</v>
      </c>
      <c r="AG249">
        <v>30.17</v>
      </c>
      <c r="AH249">
        <v>126.52</v>
      </c>
      <c r="AI249">
        <v>824</v>
      </c>
      <c r="AJ249">
        <v>184.95</v>
      </c>
      <c r="AK249">
        <v>1255</v>
      </c>
      <c r="AL249">
        <v>168.09</v>
      </c>
      <c r="AM249">
        <v>76</v>
      </c>
      <c r="AN249">
        <v>0</v>
      </c>
      <c r="AO249" s="499">
        <v>0</v>
      </c>
      <c r="AP249" s="499">
        <v>0</v>
      </c>
      <c r="AQ249">
        <v>0</v>
      </c>
      <c r="AR249">
        <v>0</v>
      </c>
      <c r="AS249">
        <v>77.05</v>
      </c>
      <c r="AT249">
        <v>75</v>
      </c>
      <c r="AU249">
        <v>6.56</v>
      </c>
      <c r="AV249">
        <v>83.01</v>
      </c>
      <c r="AW249">
        <v>11</v>
      </c>
      <c r="AX249">
        <v>95.04</v>
      </c>
      <c r="AY249">
        <v>92.96</v>
      </c>
      <c r="AZ249">
        <v>7.76</v>
      </c>
      <c r="BA249">
        <v>100.2</v>
      </c>
      <c r="BB249">
        <v>955</v>
      </c>
      <c r="BC249">
        <v>111.12</v>
      </c>
      <c r="BD249">
        <v>108.92</v>
      </c>
      <c r="BE249">
        <v>5.34</v>
      </c>
      <c r="BF249">
        <v>113.68</v>
      </c>
      <c r="BG249">
        <v>2050</v>
      </c>
      <c r="BH249">
        <v>125.24</v>
      </c>
      <c r="BI249">
        <v>124.08</v>
      </c>
      <c r="BJ249">
        <v>2.48</v>
      </c>
      <c r="BK249">
        <v>125.68</v>
      </c>
      <c r="BL249" s="214">
        <v>2187</v>
      </c>
      <c r="BM249" s="214">
        <v>141.91999999999999</v>
      </c>
      <c r="BN249">
        <v>139.01</v>
      </c>
      <c r="BO249" s="187">
        <v>3.22</v>
      </c>
      <c r="BP249" s="214">
        <v>142.9</v>
      </c>
      <c r="BQ249" s="214">
        <v>164</v>
      </c>
      <c r="BR249">
        <v>0</v>
      </c>
      <c r="BS249" s="187">
        <v>0</v>
      </c>
      <c r="BT249" s="214">
        <v>0</v>
      </c>
      <c r="BU249" s="214">
        <v>0</v>
      </c>
      <c r="BV249">
        <v>0</v>
      </c>
      <c r="BW249">
        <v>145.75</v>
      </c>
      <c r="BX249" s="214">
        <v>156.19</v>
      </c>
      <c r="BY249" s="214">
        <v>0</v>
      </c>
      <c r="BZ249">
        <v>145.75</v>
      </c>
      <c r="CA249" s="187">
        <v>3</v>
      </c>
      <c r="CB249" s="214">
        <v>114.9</v>
      </c>
      <c r="CC249" s="214">
        <v>113.13</v>
      </c>
      <c r="CD249">
        <v>5.51</v>
      </c>
      <c r="CE249" s="187">
        <v>117.02</v>
      </c>
      <c r="CF249" s="214">
        <v>5370</v>
      </c>
      <c r="CG249" s="214">
        <v>114.9</v>
      </c>
      <c r="CH249">
        <v>113.13</v>
      </c>
      <c r="CI249">
        <v>5.51</v>
      </c>
      <c r="CJ249">
        <v>117.02</v>
      </c>
      <c r="CK249">
        <v>5370</v>
      </c>
      <c r="CL249">
        <v>105.58</v>
      </c>
      <c r="CM249">
        <v>91.84</v>
      </c>
      <c r="CN249" s="187">
        <v>75.489999999999995</v>
      </c>
      <c r="CO249">
        <v>168.33</v>
      </c>
      <c r="CP249">
        <v>77</v>
      </c>
      <c r="CQ249">
        <v>79.400000000000006</v>
      </c>
      <c r="CR249">
        <v>76.239999999999995</v>
      </c>
      <c r="CS249" s="187">
        <v>18.97</v>
      </c>
      <c r="CT249">
        <v>93.94</v>
      </c>
      <c r="CU249">
        <v>30</v>
      </c>
      <c r="CV249">
        <v>95.48</v>
      </c>
      <c r="CW249">
        <v>92.41</v>
      </c>
      <c r="CX249" s="187">
        <v>27.53</v>
      </c>
      <c r="CY249">
        <v>121.62</v>
      </c>
      <c r="CZ249">
        <v>536</v>
      </c>
      <c r="DA249">
        <v>105.79</v>
      </c>
      <c r="DB249">
        <v>102.75</v>
      </c>
      <c r="DC249" s="187">
        <v>22.44</v>
      </c>
      <c r="DD249">
        <v>127.98</v>
      </c>
      <c r="DE249">
        <v>180</v>
      </c>
      <c r="DF249">
        <v>0</v>
      </c>
      <c r="DG249">
        <v>0</v>
      </c>
      <c r="DH249" s="187">
        <v>0</v>
      </c>
      <c r="DI249">
        <v>0</v>
      </c>
      <c r="DJ249">
        <v>0</v>
      </c>
      <c r="DK249">
        <v>143.5</v>
      </c>
      <c r="DL249">
        <v>130.46</v>
      </c>
      <c r="DM249" s="187">
        <v>103.02</v>
      </c>
      <c r="DN249">
        <v>246.52</v>
      </c>
      <c r="DO249">
        <v>1</v>
      </c>
      <c r="DP249">
        <v>97.38</v>
      </c>
      <c r="DQ249">
        <v>94.31</v>
      </c>
      <c r="DR249" s="187">
        <v>26.09</v>
      </c>
      <c r="DS249">
        <v>122.21</v>
      </c>
      <c r="DT249">
        <v>747</v>
      </c>
      <c r="DU249">
        <v>98.15</v>
      </c>
      <c r="DV249">
        <v>94.11</v>
      </c>
      <c r="DW249" s="187">
        <v>30.17</v>
      </c>
      <c r="DX249">
        <v>126.52</v>
      </c>
      <c r="DY249">
        <v>824</v>
      </c>
      <c r="DZ249">
        <v>0</v>
      </c>
      <c r="EA249">
        <v>0</v>
      </c>
      <c r="EB249" s="187">
        <v>130.81</v>
      </c>
      <c r="EC249">
        <v>1</v>
      </c>
      <c r="ED249">
        <v>144.57</v>
      </c>
      <c r="EE249">
        <v>231</v>
      </c>
      <c r="EF249">
        <v>176.72</v>
      </c>
      <c r="EG249" s="187">
        <v>674</v>
      </c>
      <c r="EH249">
        <v>219.41</v>
      </c>
      <c r="EI249">
        <v>287</v>
      </c>
      <c r="EJ249">
        <v>266.27999999999997</v>
      </c>
      <c r="EK249">
        <v>62</v>
      </c>
      <c r="EL249" s="187">
        <v>0</v>
      </c>
      <c r="EM249">
        <v>0</v>
      </c>
      <c r="EN249">
        <v>0</v>
      </c>
      <c r="EO249">
        <v>0</v>
      </c>
      <c r="EP249">
        <v>184.95</v>
      </c>
      <c r="EQ249" s="187">
        <v>1255</v>
      </c>
      <c r="ER249">
        <v>184.95</v>
      </c>
      <c r="ES249">
        <v>1255</v>
      </c>
      <c r="ET249">
        <v>0</v>
      </c>
      <c r="EU249">
        <v>0</v>
      </c>
      <c r="EV249" s="187">
        <v>0</v>
      </c>
      <c r="EW249">
        <v>0</v>
      </c>
      <c r="EX249">
        <v>161.35</v>
      </c>
      <c r="EY249">
        <v>44</v>
      </c>
      <c r="EZ249">
        <v>177.34</v>
      </c>
      <c r="FA249" s="187">
        <v>32</v>
      </c>
      <c r="FB249">
        <v>0</v>
      </c>
      <c r="FC249">
        <v>0</v>
      </c>
      <c r="FD249">
        <v>0</v>
      </c>
      <c r="FE249">
        <v>0</v>
      </c>
      <c r="FF249" s="187">
        <v>168.09</v>
      </c>
      <c r="FG249">
        <v>76</v>
      </c>
      <c r="FH249">
        <v>168.09</v>
      </c>
      <c r="FI249">
        <v>76</v>
      </c>
      <c r="FJ249">
        <v>3</v>
      </c>
      <c r="FK249" s="187">
        <v>5</v>
      </c>
      <c r="FL249">
        <v>1</v>
      </c>
      <c r="FM249">
        <v>109</v>
      </c>
      <c r="FN249">
        <v>29</v>
      </c>
    </row>
    <row r="250" spans="1:170" x14ac:dyDescent="0.35">
      <c r="A250" t="s">
        <v>886</v>
      </c>
      <c r="B250" t="s">
        <v>887</v>
      </c>
      <c r="C250" t="s">
        <v>418</v>
      </c>
      <c r="D250">
        <v>4034</v>
      </c>
      <c r="E250">
        <v>4032</v>
      </c>
      <c r="F250">
        <v>3</v>
      </c>
      <c r="G250">
        <v>3</v>
      </c>
      <c r="H250">
        <v>267</v>
      </c>
      <c r="I250">
        <v>143</v>
      </c>
      <c r="J250">
        <v>1048</v>
      </c>
      <c r="K250">
        <v>1048</v>
      </c>
      <c r="L250">
        <v>277</v>
      </c>
      <c r="M250">
        <v>0</v>
      </c>
      <c r="N250">
        <v>5629</v>
      </c>
      <c r="O250">
        <v>5226</v>
      </c>
      <c r="P250">
        <v>5352</v>
      </c>
      <c r="Q250">
        <v>4</v>
      </c>
      <c r="R250">
        <v>8</v>
      </c>
      <c r="S250">
        <v>18</v>
      </c>
      <c r="T250">
        <v>86</v>
      </c>
      <c r="U250">
        <v>5543</v>
      </c>
      <c r="V250" s="498">
        <v>4032</v>
      </c>
      <c r="W250">
        <v>10</v>
      </c>
      <c r="X250" s="498">
        <v>4</v>
      </c>
      <c r="Y250" s="498">
        <v>14</v>
      </c>
      <c r="Z250" s="498">
        <v>89.42</v>
      </c>
      <c r="AA250" s="498">
        <v>85.7</v>
      </c>
      <c r="AB250">
        <v>2.64</v>
      </c>
      <c r="AC250">
        <v>91.97</v>
      </c>
      <c r="AD250">
        <v>3564</v>
      </c>
      <c r="AE250">
        <v>91.9</v>
      </c>
      <c r="AF250">
        <v>82.59</v>
      </c>
      <c r="AG250">
        <v>26.18</v>
      </c>
      <c r="AH250">
        <v>117.61</v>
      </c>
      <c r="AI250">
        <v>1231</v>
      </c>
      <c r="AJ250">
        <v>107.56</v>
      </c>
      <c r="AK250">
        <v>456</v>
      </c>
      <c r="AL250">
        <v>0</v>
      </c>
      <c r="AM250">
        <v>0</v>
      </c>
      <c r="AN250">
        <v>42</v>
      </c>
      <c r="AO250" s="499">
        <v>42</v>
      </c>
      <c r="AP250" s="499">
        <v>12.91</v>
      </c>
      <c r="AQ250">
        <v>54.91</v>
      </c>
      <c r="AR250">
        <v>3</v>
      </c>
      <c r="AS250">
        <v>77.55</v>
      </c>
      <c r="AT250">
        <v>79.959999999999994</v>
      </c>
      <c r="AU250">
        <v>3.32</v>
      </c>
      <c r="AV250">
        <v>80.87</v>
      </c>
      <c r="AW250">
        <v>1</v>
      </c>
      <c r="AX250">
        <v>74.8</v>
      </c>
      <c r="AY250">
        <v>71.680000000000007</v>
      </c>
      <c r="AZ250">
        <v>3.26</v>
      </c>
      <c r="BA250">
        <v>78.05</v>
      </c>
      <c r="BB250">
        <v>627</v>
      </c>
      <c r="BC250">
        <v>86.4</v>
      </c>
      <c r="BD250">
        <v>82.77</v>
      </c>
      <c r="BE250">
        <v>3.06</v>
      </c>
      <c r="BF250">
        <v>89.36</v>
      </c>
      <c r="BG250">
        <v>1376</v>
      </c>
      <c r="BH250">
        <v>97.73</v>
      </c>
      <c r="BI250">
        <v>93.53</v>
      </c>
      <c r="BJ250">
        <v>1.97</v>
      </c>
      <c r="BK250">
        <v>99.61</v>
      </c>
      <c r="BL250" s="214">
        <v>1500</v>
      </c>
      <c r="BM250" s="214">
        <v>106.35</v>
      </c>
      <c r="BN250">
        <v>102.38</v>
      </c>
      <c r="BO250" s="187">
        <v>2.2799999999999998</v>
      </c>
      <c r="BP250" s="214">
        <v>108.59</v>
      </c>
      <c r="BQ250" s="214">
        <v>56</v>
      </c>
      <c r="BR250">
        <v>0</v>
      </c>
      <c r="BS250" s="187">
        <v>0</v>
      </c>
      <c r="BT250" s="214">
        <v>0</v>
      </c>
      <c r="BU250" s="214">
        <v>0</v>
      </c>
      <c r="BV250">
        <v>0</v>
      </c>
      <c r="BW250">
        <v>144.36000000000001</v>
      </c>
      <c r="BX250" s="214">
        <v>137.78</v>
      </c>
      <c r="BY250" s="214">
        <v>2.29</v>
      </c>
      <c r="BZ250">
        <v>146.65</v>
      </c>
      <c r="CA250" s="187">
        <v>1</v>
      </c>
      <c r="CB250" s="214">
        <v>89.46</v>
      </c>
      <c r="CC250" s="214">
        <v>85.74</v>
      </c>
      <c r="CD250">
        <v>2.63</v>
      </c>
      <c r="CE250" s="187">
        <v>92</v>
      </c>
      <c r="CF250" s="214">
        <v>3561</v>
      </c>
      <c r="CG250" s="214">
        <v>89.42</v>
      </c>
      <c r="CH250">
        <v>85.7</v>
      </c>
      <c r="CI250">
        <v>2.64</v>
      </c>
      <c r="CJ250">
        <v>91.97</v>
      </c>
      <c r="CK250">
        <v>3564</v>
      </c>
      <c r="CL250">
        <v>160.19999999999999</v>
      </c>
      <c r="CM250">
        <v>86.93</v>
      </c>
      <c r="CN250" s="187">
        <v>37.67</v>
      </c>
      <c r="CO250">
        <v>194.45</v>
      </c>
      <c r="CP250">
        <v>110</v>
      </c>
      <c r="CQ250">
        <v>74.97</v>
      </c>
      <c r="CR250">
        <v>70.14</v>
      </c>
      <c r="CS250" s="187">
        <v>27.93</v>
      </c>
      <c r="CT250">
        <v>102.9</v>
      </c>
      <c r="CU250">
        <v>32</v>
      </c>
      <c r="CV250">
        <v>83.01</v>
      </c>
      <c r="CW250">
        <v>81.260000000000005</v>
      </c>
      <c r="CX250" s="187">
        <v>23.82</v>
      </c>
      <c r="CY250">
        <v>106.55</v>
      </c>
      <c r="CZ250">
        <v>935</v>
      </c>
      <c r="DA250">
        <v>98.22</v>
      </c>
      <c r="DB250">
        <v>92.86</v>
      </c>
      <c r="DC250" s="187">
        <v>33.28</v>
      </c>
      <c r="DD250">
        <v>131.5</v>
      </c>
      <c r="DE250">
        <v>144</v>
      </c>
      <c r="DF250">
        <v>136.18</v>
      </c>
      <c r="DG250">
        <v>99.98</v>
      </c>
      <c r="DH250" s="187">
        <v>20.6</v>
      </c>
      <c r="DI250">
        <v>154.49</v>
      </c>
      <c r="DJ250">
        <v>9</v>
      </c>
      <c r="DK250">
        <v>117.92</v>
      </c>
      <c r="DL250">
        <v>113.22</v>
      </c>
      <c r="DM250" s="187">
        <v>23.52</v>
      </c>
      <c r="DN250">
        <v>141.44</v>
      </c>
      <c r="DO250">
        <v>1</v>
      </c>
      <c r="DP250">
        <v>85.2</v>
      </c>
      <c r="DQ250">
        <v>82.49</v>
      </c>
      <c r="DR250" s="187">
        <v>25.14</v>
      </c>
      <c r="DS250">
        <v>110.07</v>
      </c>
      <c r="DT250">
        <v>1121</v>
      </c>
      <c r="DU250">
        <v>91.9</v>
      </c>
      <c r="DV250">
        <v>82.59</v>
      </c>
      <c r="DW250" s="187">
        <v>26.18</v>
      </c>
      <c r="DX250">
        <v>117.61</v>
      </c>
      <c r="DY250">
        <v>1231</v>
      </c>
      <c r="DZ250">
        <v>0</v>
      </c>
      <c r="EA250">
        <v>0</v>
      </c>
      <c r="EB250" s="187">
        <v>0</v>
      </c>
      <c r="EC250">
        <v>0</v>
      </c>
      <c r="ED250">
        <v>85.99</v>
      </c>
      <c r="EE250">
        <v>62</v>
      </c>
      <c r="EF250">
        <v>106.02</v>
      </c>
      <c r="EG250" s="187">
        <v>245</v>
      </c>
      <c r="EH250">
        <v>119</v>
      </c>
      <c r="EI250">
        <v>147</v>
      </c>
      <c r="EJ250">
        <v>123.56</v>
      </c>
      <c r="EK250">
        <v>2</v>
      </c>
      <c r="EL250" s="187">
        <v>0</v>
      </c>
      <c r="EM250">
        <v>0</v>
      </c>
      <c r="EN250">
        <v>0</v>
      </c>
      <c r="EO250">
        <v>0</v>
      </c>
      <c r="EP250">
        <v>107.56</v>
      </c>
      <c r="EQ250" s="187">
        <v>456</v>
      </c>
      <c r="ER250">
        <v>107.56</v>
      </c>
      <c r="ES250">
        <v>456</v>
      </c>
      <c r="ET250">
        <v>0</v>
      </c>
      <c r="EU250">
        <v>0</v>
      </c>
      <c r="EV250" s="187">
        <v>0</v>
      </c>
      <c r="EW250">
        <v>0</v>
      </c>
      <c r="EX250">
        <v>0</v>
      </c>
      <c r="EY250">
        <v>0</v>
      </c>
      <c r="EZ250">
        <v>0</v>
      </c>
      <c r="FA250" s="187">
        <v>0</v>
      </c>
      <c r="FB250">
        <v>0</v>
      </c>
      <c r="FC250">
        <v>0</v>
      </c>
      <c r="FD250">
        <v>0</v>
      </c>
      <c r="FE250">
        <v>0</v>
      </c>
      <c r="FF250" s="187">
        <v>0</v>
      </c>
      <c r="FG250">
        <v>0</v>
      </c>
      <c r="FH250">
        <v>0</v>
      </c>
      <c r="FI250">
        <v>0</v>
      </c>
      <c r="FJ250">
        <v>0</v>
      </c>
      <c r="FK250" s="187">
        <v>6</v>
      </c>
      <c r="FL250">
        <v>1</v>
      </c>
      <c r="FM250">
        <v>30</v>
      </c>
      <c r="FN250">
        <v>4</v>
      </c>
    </row>
    <row r="251" spans="1:170" x14ac:dyDescent="0.35">
      <c r="A251" t="s">
        <v>888</v>
      </c>
      <c r="B251" t="s">
        <v>889</v>
      </c>
      <c r="C251" t="s">
        <v>419</v>
      </c>
      <c r="D251">
        <v>9399</v>
      </c>
      <c r="E251">
        <v>9319</v>
      </c>
      <c r="F251">
        <v>63</v>
      </c>
      <c r="G251">
        <v>63</v>
      </c>
      <c r="H251">
        <v>319</v>
      </c>
      <c r="I251">
        <v>231</v>
      </c>
      <c r="J251">
        <v>1698</v>
      </c>
      <c r="K251">
        <v>1690</v>
      </c>
      <c r="L251">
        <v>810</v>
      </c>
      <c r="M251">
        <v>13</v>
      </c>
      <c r="N251">
        <v>12289</v>
      </c>
      <c r="O251">
        <v>11316</v>
      </c>
      <c r="P251">
        <v>11479</v>
      </c>
      <c r="Q251">
        <v>9</v>
      </c>
      <c r="R251">
        <v>8</v>
      </c>
      <c r="S251">
        <v>27</v>
      </c>
      <c r="T251">
        <v>140</v>
      </c>
      <c r="U251">
        <v>12149</v>
      </c>
      <c r="V251" s="498">
        <v>9298</v>
      </c>
      <c r="W251">
        <v>39</v>
      </c>
      <c r="X251" s="498">
        <v>105</v>
      </c>
      <c r="Y251" s="498">
        <v>144</v>
      </c>
      <c r="Z251" s="498">
        <v>94.69</v>
      </c>
      <c r="AA251" s="498">
        <v>90.86</v>
      </c>
      <c r="AB251">
        <v>4.07</v>
      </c>
      <c r="AC251">
        <v>96.02</v>
      </c>
      <c r="AD251">
        <v>8362</v>
      </c>
      <c r="AE251">
        <v>89.66</v>
      </c>
      <c r="AF251">
        <v>80.06</v>
      </c>
      <c r="AG251">
        <v>29.82</v>
      </c>
      <c r="AH251">
        <v>119.41</v>
      </c>
      <c r="AI251">
        <v>1964</v>
      </c>
      <c r="AJ251">
        <v>123.55</v>
      </c>
      <c r="AK251">
        <v>738</v>
      </c>
      <c r="AL251">
        <v>156.99</v>
      </c>
      <c r="AM251">
        <v>14</v>
      </c>
      <c r="AN251">
        <v>0</v>
      </c>
      <c r="AO251" s="499">
        <v>0</v>
      </c>
      <c r="AP251" s="499">
        <v>0</v>
      </c>
      <c r="AQ251">
        <v>0</v>
      </c>
      <c r="AR251">
        <v>0</v>
      </c>
      <c r="AS251">
        <v>67.77</v>
      </c>
      <c r="AT251">
        <v>63.11</v>
      </c>
      <c r="AU251">
        <v>3.88</v>
      </c>
      <c r="AV251">
        <v>71.12</v>
      </c>
      <c r="AW251">
        <v>58</v>
      </c>
      <c r="AX251">
        <v>79.239999999999995</v>
      </c>
      <c r="AY251">
        <v>76.05</v>
      </c>
      <c r="AZ251">
        <v>5.23</v>
      </c>
      <c r="BA251">
        <v>83.38</v>
      </c>
      <c r="BB251">
        <v>1304</v>
      </c>
      <c r="BC251">
        <v>92.66</v>
      </c>
      <c r="BD251">
        <v>88.84</v>
      </c>
      <c r="BE251">
        <v>3.82</v>
      </c>
      <c r="BF251">
        <v>93.88</v>
      </c>
      <c r="BG251">
        <v>3550</v>
      </c>
      <c r="BH251">
        <v>102.23</v>
      </c>
      <c r="BI251">
        <v>98.17</v>
      </c>
      <c r="BJ251">
        <v>2.31</v>
      </c>
      <c r="BK251">
        <v>102.55</v>
      </c>
      <c r="BL251" s="214">
        <v>3255</v>
      </c>
      <c r="BM251" s="214">
        <v>115.77</v>
      </c>
      <c r="BN251">
        <v>111.65</v>
      </c>
      <c r="BO251" s="187">
        <v>2.16</v>
      </c>
      <c r="BP251" s="214">
        <v>116.49</v>
      </c>
      <c r="BQ251" s="214">
        <v>184</v>
      </c>
      <c r="BR251">
        <v>145.68</v>
      </c>
      <c r="BS251" s="187">
        <v>135.25</v>
      </c>
      <c r="BT251" s="214">
        <v>3.11</v>
      </c>
      <c r="BU251" s="214">
        <v>148.01</v>
      </c>
      <c r="BV251">
        <v>8</v>
      </c>
      <c r="BW251">
        <v>140.05000000000001</v>
      </c>
      <c r="BX251" s="214">
        <v>137.91</v>
      </c>
      <c r="BY251" s="214">
        <v>0</v>
      </c>
      <c r="BZ251">
        <v>140.05000000000001</v>
      </c>
      <c r="CA251" s="187">
        <v>3</v>
      </c>
      <c r="CB251" s="214">
        <v>94.69</v>
      </c>
      <c r="CC251" s="214">
        <v>90.86</v>
      </c>
      <c r="CD251">
        <v>4.07</v>
      </c>
      <c r="CE251" s="187">
        <v>96.02</v>
      </c>
      <c r="CF251" s="214">
        <v>8362</v>
      </c>
      <c r="CG251" s="214">
        <v>94.69</v>
      </c>
      <c r="CH251">
        <v>90.86</v>
      </c>
      <c r="CI251">
        <v>4.07</v>
      </c>
      <c r="CJ251">
        <v>96.02</v>
      </c>
      <c r="CK251">
        <v>8362</v>
      </c>
      <c r="CL251">
        <v>91.5</v>
      </c>
      <c r="CM251">
        <v>70.09</v>
      </c>
      <c r="CN251" s="187">
        <v>118.64</v>
      </c>
      <c r="CO251">
        <v>210.13</v>
      </c>
      <c r="CP251">
        <v>198</v>
      </c>
      <c r="CQ251">
        <v>71.09</v>
      </c>
      <c r="CR251">
        <v>64.88</v>
      </c>
      <c r="CS251" s="187">
        <v>23.01</v>
      </c>
      <c r="CT251">
        <v>94.1</v>
      </c>
      <c r="CU251">
        <v>1</v>
      </c>
      <c r="CV251">
        <v>87.12</v>
      </c>
      <c r="CW251">
        <v>78.52</v>
      </c>
      <c r="CX251" s="187">
        <v>21.38</v>
      </c>
      <c r="CY251">
        <v>108.47</v>
      </c>
      <c r="CZ251">
        <v>1437</v>
      </c>
      <c r="DA251">
        <v>99.14</v>
      </c>
      <c r="DB251">
        <v>90.59</v>
      </c>
      <c r="DC251" s="187">
        <v>12.44</v>
      </c>
      <c r="DD251">
        <v>111.5</v>
      </c>
      <c r="DE251">
        <v>320</v>
      </c>
      <c r="DF251">
        <v>123.23</v>
      </c>
      <c r="DG251">
        <v>100.33</v>
      </c>
      <c r="DH251" s="187">
        <v>36.049999999999997</v>
      </c>
      <c r="DI251">
        <v>159.28</v>
      </c>
      <c r="DJ251">
        <v>8</v>
      </c>
      <c r="DK251">
        <v>0</v>
      </c>
      <c r="DL251">
        <v>0</v>
      </c>
      <c r="DM251" s="187">
        <v>0</v>
      </c>
      <c r="DN251">
        <v>0</v>
      </c>
      <c r="DO251">
        <v>0</v>
      </c>
      <c r="DP251">
        <v>89.45</v>
      </c>
      <c r="DQ251">
        <v>80.790000000000006</v>
      </c>
      <c r="DR251" s="187">
        <v>19.84</v>
      </c>
      <c r="DS251">
        <v>109.24</v>
      </c>
      <c r="DT251">
        <v>1766</v>
      </c>
      <c r="DU251">
        <v>89.66</v>
      </c>
      <c r="DV251">
        <v>80.06</v>
      </c>
      <c r="DW251" s="187">
        <v>29.82</v>
      </c>
      <c r="DX251">
        <v>119.41</v>
      </c>
      <c r="DY251">
        <v>1964</v>
      </c>
      <c r="DZ251">
        <v>0</v>
      </c>
      <c r="EA251">
        <v>0</v>
      </c>
      <c r="EB251" s="187">
        <v>0</v>
      </c>
      <c r="EC251">
        <v>0</v>
      </c>
      <c r="ED251">
        <v>94.05</v>
      </c>
      <c r="EE251">
        <v>119</v>
      </c>
      <c r="EF251">
        <v>117.29</v>
      </c>
      <c r="EG251" s="187">
        <v>361</v>
      </c>
      <c r="EH251">
        <v>141.66</v>
      </c>
      <c r="EI251">
        <v>228</v>
      </c>
      <c r="EJ251">
        <v>177.17</v>
      </c>
      <c r="EK251">
        <v>28</v>
      </c>
      <c r="EL251" s="187">
        <v>192.31</v>
      </c>
      <c r="EM251">
        <v>2</v>
      </c>
      <c r="EN251">
        <v>0</v>
      </c>
      <c r="EO251">
        <v>0</v>
      </c>
      <c r="EP251">
        <v>123.55</v>
      </c>
      <c r="EQ251" s="187">
        <v>738</v>
      </c>
      <c r="ER251">
        <v>123.55</v>
      </c>
      <c r="ES251">
        <v>738</v>
      </c>
      <c r="ET251">
        <v>178.36</v>
      </c>
      <c r="EU251">
        <v>9</v>
      </c>
      <c r="EV251" s="187">
        <v>0</v>
      </c>
      <c r="EW251">
        <v>0</v>
      </c>
      <c r="EX251">
        <v>118.52</v>
      </c>
      <c r="EY251">
        <v>5</v>
      </c>
      <c r="EZ251">
        <v>0</v>
      </c>
      <c r="FA251" s="187">
        <v>0</v>
      </c>
      <c r="FB251">
        <v>0</v>
      </c>
      <c r="FC251">
        <v>0</v>
      </c>
      <c r="FD251">
        <v>0</v>
      </c>
      <c r="FE251">
        <v>0</v>
      </c>
      <c r="FF251" s="187">
        <v>118.52</v>
      </c>
      <c r="FG251">
        <v>5</v>
      </c>
      <c r="FH251">
        <v>156.99</v>
      </c>
      <c r="FI251">
        <v>14</v>
      </c>
      <c r="FJ251">
        <v>15</v>
      </c>
      <c r="FK251" s="187">
        <v>44</v>
      </c>
      <c r="FL251">
        <v>6</v>
      </c>
      <c r="FM251">
        <v>98</v>
      </c>
      <c r="FN251">
        <v>25</v>
      </c>
    </row>
    <row r="252" spans="1:170" x14ac:dyDescent="0.35">
      <c r="A252" t="s">
        <v>890</v>
      </c>
      <c r="B252" t="s">
        <v>891</v>
      </c>
      <c r="C252" t="s">
        <v>420</v>
      </c>
      <c r="D252">
        <v>5847</v>
      </c>
      <c r="E252">
        <v>5823</v>
      </c>
      <c r="F252">
        <v>0</v>
      </c>
      <c r="G252">
        <v>0</v>
      </c>
      <c r="H252">
        <v>279</v>
      </c>
      <c r="I252">
        <v>216</v>
      </c>
      <c r="J252">
        <v>664</v>
      </c>
      <c r="K252">
        <v>664</v>
      </c>
      <c r="L252">
        <v>498</v>
      </c>
      <c r="M252">
        <v>0</v>
      </c>
      <c r="N252">
        <v>7288</v>
      </c>
      <c r="O252">
        <v>6703</v>
      </c>
      <c r="P252">
        <v>6790</v>
      </c>
      <c r="Q252">
        <v>0</v>
      </c>
      <c r="R252">
        <v>2</v>
      </c>
      <c r="S252">
        <v>14</v>
      </c>
      <c r="T252">
        <v>11</v>
      </c>
      <c r="U252">
        <v>7277</v>
      </c>
      <c r="V252" s="498">
        <v>5847</v>
      </c>
      <c r="W252">
        <v>27</v>
      </c>
      <c r="X252" s="498">
        <v>36</v>
      </c>
      <c r="Y252" s="498">
        <v>63</v>
      </c>
      <c r="Z252" s="498">
        <v>90.59</v>
      </c>
      <c r="AA252" s="498">
        <v>87.06</v>
      </c>
      <c r="AB252">
        <v>5.54</v>
      </c>
      <c r="AC252">
        <v>92.26</v>
      </c>
      <c r="AD252">
        <v>5689</v>
      </c>
      <c r="AE252">
        <v>85.77</v>
      </c>
      <c r="AF252">
        <v>78.31</v>
      </c>
      <c r="AG252">
        <v>42.7</v>
      </c>
      <c r="AH252">
        <v>127.08</v>
      </c>
      <c r="AI252">
        <v>793</v>
      </c>
      <c r="AJ252">
        <v>107.94</v>
      </c>
      <c r="AK252">
        <v>121</v>
      </c>
      <c r="AL252">
        <v>187.12</v>
      </c>
      <c r="AM252">
        <v>139</v>
      </c>
      <c r="AN252">
        <v>0</v>
      </c>
      <c r="AO252" s="499">
        <v>0</v>
      </c>
      <c r="AP252" s="499">
        <v>0</v>
      </c>
      <c r="AQ252">
        <v>0</v>
      </c>
      <c r="AR252">
        <v>0</v>
      </c>
      <c r="AS252">
        <v>69.27</v>
      </c>
      <c r="AT252">
        <v>64.17</v>
      </c>
      <c r="AU252">
        <v>11.73</v>
      </c>
      <c r="AV252">
        <v>81</v>
      </c>
      <c r="AW252">
        <v>1</v>
      </c>
      <c r="AX252">
        <v>79.53</v>
      </c>
      <c r="AY252">
        <v>76.37</v>
      </c>
      <c r="AZ252">
        <v>7.16</v>
      </c>
      <c r="BA252">
        <v>82.65</v>
      </c>
      <c r="BB252">
        <v>1015</v>
      </c>
      <c r="BC252">
        <v>88.78</v>
      </c>
      <c r="BD252">
        <v>85.38</v>
      </c>
      <c r="BE252">
        <v>5.43</v>
      </c>
      <c r="BF252">
        <v>90.81</v>
      </c>
      <c r="BG252">
        <v>2731</v>
      </c>
      <c r="BH252">
        <v>98.41</v>
      </c>
      <c r="BI252">
        <v>94.49</v>
      </c>
      <c r="BJ252">
        <v>3.08</v>
      </c>
      <c r="BK252">
        <v>98.79</v>
      </c>
      <c r="BL252" s="214">
        <v>1845</v>
      </c>
      <c r="BM252" s="214">
        <v>108.7</v>
      </c>
      <c r="BN252">
        <v>104.92</v>
      </c>
      <c r="BO252" s="187">
        <v>3</v>
      </c>
      <c r="BP252" s="214">
        <v>109.19</v>
      </c>
      <c r="BQ252" s="214">
        <v>97</v>
      </c>
      <c r="BR252">
        <v>0</v>
      </c>
      <c r="BS252" s="187">
        <v>0</v>
      </c>
      <c r="BT252" s="214">
        <v>0</v>
      </c>
      <c r="BU252" s="214">
        <v>0</v>
      </c>
      <c r="BV252">
        <v>0</v>
      </c>
      <c r="BW252">
        <v>0</v>
      </c>
      <c r="BX252" s="214">
        <v>0</v>
      </c>
      <c r="BY252" s="214">
        <v>0</v>
      </c>
      <c r="BZ252">
        <v>0</v>
      </c>
      <c r="CA252" s="187">
        <v>0</v>
      </c>
      <c r="CB252" s="214">
        <v>90.59</v>
      </c>
      <c r="CC252" s="214">
        <v>87.06</v>
      </c>
      <c r="CD252">
        <v>5.54</v>
      </c>
      <c r="CE252" s="187">
        <v>92.26</v>
      </c>
      <c r="CF252" s="214">
        <v>5689</v>
      </c>
      <c r="CG252" s="214">
        <v>90.59</v>
      </c>
      <c r="CH252">
        <v>87.06</v>
      </c>
      <c r="CI252">
        <v>5.54</v>
      </c>
      <c r="CJ252">
        <v>92.26</v>
      </c>
      <c r="CK252">
        <v>5689</v>
      </c>
      <c r="CL252">
        <v>104.34</v>
      </c>
      <c r="CM252">
        <v>82.79</v>
      </c>
      <c r="CN252" s="187">
        <v>101.42</v>
      </c>
      <c r="CO252">
        <v>200.12</v>
      </c>
      <c r="CP252">
        <v>18</v>
      </c>
      <c r="CQ252">
        <v>69.75</v>
      </c>
      <c r="CR252">
        <v>64.11</v>
      </c>
      <c r="CS252" s="187">
        <v>36.619999999999997</v>
      </c>
      <c r="CT252">
        <v>103.01</v>
      </c>
      <c r="CU252">
        <v>218</v>
      </c>
      <c r="CV252">
        <v>89.6</v>
      </c>
      <c r="CW252">
        <v>80.44</v>
      </c>
      <c r="CX252" s="187">
        <v>53.41</v>
      </c>
      <c r="CY252">
        <v>142.25</v>
      </c>
      <c r="CZ252">
        <v>282</v>
      </c>
      <c r="DA252">
        <v>93.27</v>
      </c>
      <c r="DB252">
        <v>87.2</v>
      </c>
      <c r="DC252" s="187">
        <v>32.630000000000003</v>
      </c>
      <c r="DD252">
        <v>125.78</v>
      </c>
      <c r="DE252">
        <v>274</v>
      </c>
      <c r="DF252">
        <v>0</v>
      </c>
      <c r="DG252">
        <v>0</v>
      </c>
      <c r="DH252" s="187">
        <v>0</v>
      </c>
      <c r="DI252">
        <v>0</v>
      </c>
      <c r="DJ252">
        <v>0</v>
      </c>
      <c r="DK252">
        <v>112.07</v>
      </c>
      <c r="DL252">
        <v>103.81</v>
      </c>
      <c r="DM252" s="187">
        <v>20.7</v>
      </c>
      <c r="DN252">
        <v>132.77000000000001</v>
      </c>
      <c r="DO252">
        <v>1</v>
      </c>
      <c r="DP252">
        <v>85.34</v>
      </c>
      <c r="DQ252">
        <v>78.25</v>
      </c>
      <c r="DR252" s="187">
        <v>41.37</v>
      </c>
      <c r="DS252">
        <v>125.38</v>
      </c>
      <c r="DT252">
        <v>775</v>
      </c>
      <c r="DU252">
        <v>85.77</v>
      </c>
      <c r="DV252">
        <v>78.31</v>
      </c>
      <c r="DW252" s="187">
        <v>42.7</v>
      </c>
      <c r="DX252">
        <v>127.08</v>
      </c>
      <c r="DY252">
        <v>793</v>
      </c>
      <c r="DZ252">
        <v>0</v>
      </c>
      <c r="EA252">
        <v>0</v>
      </c>
      <c r="EB252" s="187">
        <v>0</v>
      </c>
      <c r="EC252">
        <v>0</v>
      </c>
      <c r="ED252">
        <v>93.14</v>
      </c>
      <c r="EE252">
        <v>11</v>
      </c>
      <c r="EF252">
        <v>106.18</v>
      </c>
      <c r="EG252" s="187">
        <v>85</v>
      </c>
      <c r="EH252">
        <v>120.4</v>
      </c>
      <c r="EI252">
        <v>25</v>
      </c>
      <c r="EJ252">
        <v>0</v>
      </c>
      <c r="EK252">
        <v>0</v>
      </c>
      <c r="EL252" s="187">
        <v>0</v>
      </c>
      <c r="EM252">
        <v>0</v>
      </c>
      <c r="EN252">
        <v>0</v>
      </c>
      <c r="EO252">
        <v>0</v>
      </c>
      <c r="EP252">
        <v>107.94</v>
      </c>
      <c r="EQ252" s="187">
        <v>121</v>
      </c>
      <c r="ER252">
        <v>107.94</v>
      </c>
      <c r="ES252">
        <v>121</v>
      </c>
      <c r="ET252">
        <v>0</v>
      </c>
      <c r="EU252">
        <v>0</v>
      </c>
      <c r="EV252" s="187">
        <v>0</v>
      </c>
      <c r="EW252">
        <v>0</v>
      </c>
      <c r="EX252">
        <v>168.33</v>
      </c>
      <c r="EY252">
        <v>67</v>
      </c>
      <c r="EZ252">
        <v>204.6</v>
      </c>
      <c r="FA252" s="187">
        <v>72</v>
      </c>
      <c r="FB252">
        <v>0</v>
      </c>
      <c r="FC252">
        <v>0</v>
      </c>
      <c r="FD252">
        <v>0</v>
      </c>
      <c r="FE252">
        <v>0</v>
      </c>
      <c r="FF252" s="187">
        <v>187.12</v>
      </c>
      <c r="FG252">
        <v>139</v>
      </c>
      <c r="FH252">
        <v>187.12</v>
      </c>
      <c r="FI252">
        <v>139</v>
      </c>
      <c r="FJ252">
        <v>6</v>
      </c>
      <c r="FK252" s="187">
        <v>6</v>
      </c>
      <c r="FL252">
        <v>0</v>
      </c>
      <c r="FM252">
        <v>75</v>
      </c>
      <c r="FN252">
        <v>4</v>
      </c>
    </row>
    <row r="253" spans="1:170" x14ac:dyDescent="0.35">
      <c r="A253" t="s">
        <v>892</v>
      </c>
      <c r="B253" t="s">
        <v>893</v>
      </c>
      <c r="C253" t="s">
        <v>417</v>
      </c>
      <c r="D253">
        <v>3879</v>
      </c>
      <c r="E253">
        <v>3678</v>
      </c>
      <c r="F253">
        <v>0</v>
      </c>
      <c r="G253">
        <v>0</v>
      </c>
      <c r="H253">
        <v>438</v>
      </c>
      <c r="I253">
        <v>271</v>
      </c>
      <c r="J253">
        <v>1002</v>
      </c>
      <c r="K253">
        <v>729</v>
      </c>
      <c r="L253">
        <v>227</v>
      </c>
      <c r="M253">
        <v>2</v>
      </c>
      <c r="N253">
        <v>5546</v>
      </c>
      <c r="O253">
        <v>4680</v>
      </c>
      <c r="P253">
        <v>5319</v>
      </c>
      <c r="Q253">
        <v>14</v>
      </c>
      <c r="R253">
        <v>9</v>
      </c>
      <c r="S253">
        <v>17</v>
      </c>
      <c r="T253">
        <v>660</v>
      </c>
      <c r="U253">
        <v>4886</v>
      </c>
      <c r="V253" s="498">
        <v>3678</v>
      </c>
      <c r="W253">
        <v>50</v>
      </c>
      <c r="X253" s="498">
        <v>66</v>
      </c>
      <c r="Y253" s="498">
        <v>116</v>
      </c>
      <c r="Z253" s="498">
        <v>82.14</v>
      </c>
      <c r="AA253" s="498">
        <v>79.09</v>
      </c>
      <c r="AB253">
        <v>3.17</v>
      </c>
      <c r="AC253">
        <v>84.27</v>
      </c>
      <c r="AD253">
        <v>3133</v>
      </c>
      <c r="AE253">
        <v>86.38</v>
      </c>
      <c r="AF253">
        <v>76.62</v>
      </c>
      <c r="AG253">
        <v>65.94</v>
      </c>
      <c r="AH253">
        <v>151.82</v>
      </c>
      <c r="AI253">
        <v>943</v>
      </c>
      <c r="AJ253">
        <v>99.58</v>
      </c>
      <c r="AK253">
        <v>660</v>
      </c>
      <c r="AL253">
        <v>125.21</v>
      </c>
      <c r="AM253">
        <v>322</v>
      </c>
      <c r="AN253">
        <v>0</v>
      </c>
      <c r="AO253" s="499">
        <v>0</v>
      </c>
      <c r="AP253" s="499">
        <v>0</v>
      </c>
      <c r="AQ253">
        <v>0</v>
      </c>
      <c r="AR253">
        <v>0</v>
      </c>
      <c r="AS253">
        <v>61.73</v>
      </c>
      <c r="AT253">
        <v>58.79</v>
      </c>
      <c r="AU253">
        <v>65.17</v>
      </c>
      <c r="AV253">
        <v>126.9</v>
      </c>
      <c r="AW253">
        <v>2</v>
      </c>
      <c r="AX253">
        <v>72.11</v>
      </c>
      <c r="AY253">
        <v>70.010000000000005</v>
      </c>
      <c r="AZ253">
        <v>7.34</v>
      </c>
      <c r="BA253">
        <v>77.03</v>
      </c>
      <c r="BB253">
        <v>772</v>
      </c>
      <c r="BC253">
        <v>81.48</v>
      </c>
      <c r="BD253">
        <v>78.25</v>
      </c>
      <c r="BE253">
        <v>2.4</v>
      </c>
      <c r="BF253">
        <v>82.98</v>
      </c>
      <c r="BG253">
        <v>1248</v>
      </c>
      <c r="BH253">
        <v>89.38</v>
      </c>
      <c r="BI253">
        <v>85.91</v>
      </c>
      <c r="BJ253">
        <v>1.1100000000000001</v>
      </c>
      <c r="BK253">
        <v>90.21</v>
      </c>
      <c r="BL253" s="214">
        <v>1039</v>
      </c>
      <c r="BM253" s="214">
        <v>97.28</v>
      </c>
      <c r="BN253">
        <v>93.26</v>
      </c>
      <c r="BO253" s="187">
        <v>0.72</v>
      </c>
      <c r="BP253" s="214">
        <v>97.67</v>
      </c>
      <c r="BQ253" s="214">
        <v>72</v>
      </c>
      <c r="BR253">
        <v>0</v>
      </c>
      <c r="BS253" s="187">
        <v>0</v>
      </c>
      <c r="BT253" s="214">
        <v>0</v>
      </c>
      <c r="BU253" s="214">
        <v>0</v>
      </c>
      <c r="BV253">
        <v>0</v>
      </c>
      <c r="BW253">
        <v>0</v>
      </c>
      <c r="BX253" s="214">
        <v>0</v>
      </c>
      <c r="BY253" s="214">
        <v>0</v>
      </c>
      <c r="BZ253">
        <v>0</v>
      </c>
      <c r="CA253" s="187">
        <v>0</v>
      </c>
      <c r="CB253" s="214">
        <v>82.14</v>
      </c>
      <c r="CC253" s="214">
        <v>79.09</v>
      </c>
      <c r="CD253">
        <v>3.17</v>
      </c>
      <c r="CE253" s="187">
        <v>84.27</v>
      </c>
      <c r="CF253" s="214">
        <v>3133</v>
      </c>
      <c r="CG253" s="214">
        <v>82.14</v>
      </c>
      <c r="CH253">
        <v>79.09</v>
      </c>
      <c r="CI253">
        <v>3.17</v>
      </c>
      <c r="CJ253">
        <v>84.27</v>
      </c>
      <c r="CK253">
        <v>3133</v>
      </c>
      <c r="CL253">
        <v>112.89</v>
      </c>
      <c r="CM253">
        <v>74.31</v>
      </c>
      <c r="CN253" s="187">
        <v>138.32</v>
      </c>
      <c r="CO253">
        <v>249.76</v>
      </c>
      <c r="CP253">
        <v>96</v>
      </c>
      <c r="CQ253">
        <v>67.16</v>
      </c>
      <c r="CR253">
        <v>61.06</v>
      </c>
      <c r="CS253" s="187">
        <v>38.11</v>
      </c>
      <c r="CT253">
        <v>105.27</v>
      </c>
      <c r="CU253">
        <v>104</v>
      </c>
      <c r="CV253">
        <v>77.510000000000005</v>
      </c>
      <c r="CW253">
        <v>71.3</v>
      </c>
      <c r="CX253" s="187">
        <v>44.84</v>
      </c>
      <c r="CY253">
        <v>121.83</v>
      </c>
      <c r="CZ253">
        <v>509</v>
      </c>
      <c r="DA253">
        <v>103.29</v>
      </c>
      <c r="DB253">
        <v>96.12</v>
      </c>
      <c r="DC253" s="187">
        <v>87.94</v>
      </c>
      <c r="DD253">
        <v>191.23</v>
      </c>
      <c r="DE253">
        <v>213</v>
      </c>
      <c r="DF253">
        <v>103.6</v>
      </c>
      <c r="DG253">
        <v>91.17</v>
      </c>
      <c r="DH253" s="187">
        <v>158.34</v>
      </c>
      <c r="DI253">
        <v>261.94</v>
      </c>
      <c r="DJ253">
        <v>21</v>
      </c>
      <c r="DK253">
        <v>0</v>
      </c>
      <c r="DL253">
        <v>0</v>
      </c>
      <c r="DM253" s="187">
        <v>0</v>
      </c>
      <c r="DN253">
        <v>0</v>
      </c>
      <c r="DO253">
        <v>0</v>
      </c>
      <c r="DP253">
        <v>83.37</v>
      </c>
      <c r="DQ253">
        <v>76.75</v>
      </c>
      <c r="DR253" s="187">
        <v>57.76</v>
      </c>
      <c r="DS253">
        <v>140.72</v>
      </c>
      <c r="DT253">
        <v>847</v>
      </c>
      <c r="DU253">
        <v>86.38</v>
      </c>
      <c r="DV253">
        <v>76.62</v>
      </c>
      <c r="DW253" s="187">
        <v>65.94</v>
      </c>
      <c r="DX253">
        <v>151.82</v>
      </c>
      <c r="DY253">
        <v>943</v>
      </c>
      <c r="DZ253">
        <v>0</v>
      </c>
      <c r="EA253">
        <v>0</v>
      </c>
      <c r="EB253" s="187">
        <v>0</v>
      </c>
      <c r="EC253">
        <v>0</v>
      </c>
      <c r="ED253">
        <v>74.56</v>
      </c>
      <c r="EE253">
        <v>70</v>
      </c>
      <c r="EF253">
        <v>99.61</v>
      </c>
      <c r="EG253" s="187">
        <v>367</v>
      </c>
      <c r="EH253">
        <v>107</v>
      </c>
      <c r="EI253">
        <v>213</v>
      </c>
      <c r="EJ253">
        <v>115.81</v>
      </c>
      <c r="EK253">
        <v>10</v>
      </c>
      <c r="EL253" s="187">
        <v>0</v>
      </c>
      <c r="EM253">
        <v>0</v>
      </c>
      <c r="EN253">
        <v>0</v>
      </c>
      <c r="EO253">
        <v>0</v>
      </c>
      <c r="EP253">
        <v>99.58</v>
      </c>
      <c r="EQ253" s="187">
        <v>660</v>
      </c>
      <c r="ER253">
        <v>99.58</v>
      </c>
      <c r="ES253">
        <v>660</v>
      </c>
      <c r="ET253">
        <v>0</v>
      </c>
      <c r="EU253">
        <v>0</v>
      </c>
      <c r="EV253" s="187">
        <v>0</v>
      </c>
      <c r="EW253">
        <v>0</v>
      </c>
      <c r="EX253">
        <v>143.31</v>
      </c>
      <c r="EY253">
        <v>62</v>
      </c>
      <c r="EZ253">
        <v>121.08</v>
      </c>
      <c r="FA253" s="187">
        <v>250</v>
      </c>
      <c r="FB253">
        <v>116.34</v>
      </c>
      <c r="FC253">
        <v>10</v>
      </c>
      <c r="FD253">
        <v>0</v>
      </c>
      <c r="FE253">
        <v>0</v>
      </c>
      <c r="FF253" s="187">
        <v>125.21</v>
      </c>
      <c r="FG253">
        <v>322</v>
      </c>
      <c r="FH253">
        <v>125.21</v>
      </c>
      <c r="FI253">
        <v>322</v>
      </c>
      <c r="FJ253">
        <v>0</v>
      </c>
      <c r="FK253" s="187">
        <v>3</v>
      </c>
      <c r="FL253">
        <v>0</v>
      </c>
      <c r="FM253">
        <v>4</v>
      </c>
      <c r="FN253">
        <v>6</v>
      </c>
    </row>
    <row r="254" spans="1:170" x14ac:dyDescent="0.35">
      <c r="A254" t="s">
        <v>894</v>
      </c>
      <c r="B254" t="s">
        <v>895</v>
      </c>
      <c r="C254" t="s">
        <v>2</v>
      </c>
      <c r="D254">
        <v>5882</v>
      </c>
      <c r="E254">
        <v>5743</v>
      </c>
      <c r="F254">
        <v>102</v>
      </c>
      <c r="G254">
        <v>0</v>
      </c>
      <c r="H254">
        <v>830</v>
      </c>
      <c r="I254">
        <v>404</v>
      </c>
      <c r="J254">
        <v>1087</v>
      </c>
      <c r="K254">
        <v>989</v>
      </c>
      <c r="L254">
        <v>990</v>
      </c>
      <c r="M254">
        <v>0</v>
      </c>
      <c r="N254">
        <v>8891</v>
      </c>
      <c r="O254">
        <v>7136</v>
      </c>
      <c r="P254">
        <v>7901</v>
      </c>
      <c r="Q254">
        <v>4</v>
      </c>
      <c r="R254">
        <v>8</v>
      </c>
      <c r="S254">
        <v>30</v>
      </c>
      <c r="T254">
        <v>679</v>
      </c>
      <c r="U254">
        <v>8212</v>
      </c>
      <c r="V254" s="498">
        <v>5743</v>
      </c>
      <c r="W254">
        <v>21</v>
      </c>
      <c r="X254" s="498">
        <v>24</v>
      </c>
      <c r="Y254" s="498">
        <v>45</v>
      </c>
      <c r="Z254" s="498">
        <v>107.45</v>
      </c>
      <c r="AA254" s="498">
        <v>104.88</v>
      </c>
      <c r="AB254">
        <v>7.06</v>
      </c>
      <c r="AC254">
        <v>113.59</v>
      </c>
      <c r="AD254">
        <v>4665</v>
      </c>
      <c r="AE254">
        <v>96.77</v>
      </c>
      <c r="AF254">
        <v>87.48</v>
      </c>
      <c r="AG254">
        <v>40.520000000000003</v>
      </c>
      <c r="AH254">
        <v>137.07</v>
      </c>
      <c r="AI254">
        <v>1455</v>
      </c>
      <c r="AJ254">
        <v>146.07</v>
      </c>
      <c r="AK254">
        <v>816</v>
      </c>
      <c r="AL254">
        <v>149.88999999999999</v>
      </c>
      <c r="AM254">
        <v>24</v>
      </c>
      <c r="AN254">
        <v>0</v>
      </c>
      <c r="AO254" s="499">
        <v>0</v>
      </c>
      <c r="AP254" s="499">
        <v>0</v>
      </c>
      <c r="AQ254">
        <v>0</v>
      </c>
      <c r="AR254">
        <v>0</v>
      </c>
      <c r="AS254">
        <v>90.06</v>
      </c>
      <c r="AT254">
        <v>98.74</v>
      </c>
      <c r="AU254">
        <v>5.18</v>
      </c>
      <c r="AV254">
        <v>95.12</v>
      </c>
      <c r="AW254">
        <v>44</v>
      </c>
      <c r="AX254">
        <v>93.52</v>
      </c>
      <c r="AY254">
        <v>91.76</v>
      </c>
      <c r="AZ254">
        <v>9.86</v>
      </c>
      <c r="BA254">
        <v>102.93</v>
      </c>
      <c r="BB254">
        <v>1438</v>
      </c>
      <c r="BC254">
        <v>106.17</v>
      </c>
      <c r="BD254">
        <v>103.22</v>
      </c>
      <c r="BE254">
        <v>7.86</v>
      </c>
      <c r="BF254">
        <v>113.54</v>
      </c>
      <c r="BG254">
        <v>1690</v>
      </c>
      <c r="BH254">
        <v>120.03</v>
      </c>
      <c r="BI254">
        <v>116.61</v>
      </c>
      <c r="BJ254">
        <v>2.3199999999999998</v>
      </c>
      <c r="BK254">
        <v>121.67</v>
      </c>
      <c r="BL254" s="214">
        <v>1241</v>
      </c>
      <c r="BM254" s="214">
        <v>136.13</v>
      </c>
      <c r="BN254">
        <v>133.12</v>
      </c>
      <c r="BO254" s="187">
        <v>2.23</v>
      </c>
      <c r="BP254" s="214">
        <v>137.75</v>
      </c>
      <c r="BQ254" s="214">
        <v>244</v>
      </c>
      <c r="BR254">
        <v>145.37</v>
      </c>
      <c r="BS254" s="187">
        <v>155.22</v>
      </c>
      <c r="BT254" s="214">
        <v>3.24</v>
      </c>
      <c r="BU254" s="214">
        <v>147.69</v>
      </c>
      <c r="BV254">
        <v>7</v>
      </c>
      <c r="BW254">
        <v>182.33</v>
      </c>
      <c r="BX254" s="214">
        <v>218.59</v>
      </c>
      <c r="BY254" s="214">
        <v>6.76</v>
      </c>
      <c r="BZ254">
        <v>189.09</v>
      </c>
      <c r="CA254" s="187">
        <v>1</v>
      </c>
      <c r="CB254" s="214">
        <v>107.45</v>
      </c>
      <c r="CC254" s="214">
        <v>104.88</v>
      </c>
      <c r="CD254">
        <v>7.06</v>
      </c>
      <c r="CE254" s="187">
        <v>113.59</v>
      </c>
      <c r="CF254" s="214">
        <v>4665</v>
      </c>
      <c r="CG254" s="214">
        <v>107.45</v>
      </c>
      <c r="CH254">
        <v>104.88</v>
      </c>
      <c r="CI254">
        <v>7.06</v>
      </c>
      <c r="CJ254">
        <v>113.59</v>
      </c>
      <c r="CK254">
        <v>4665</v>
      </c>
      <c r="CL254">
        <v>99.71</v>
      </c>
      <c r="CM254">
        <v>78.510000000000005</v>
      </c>
      <c r="CN254" s="187">
        <v>71.260000000000005</v>
      </c>
      <c r="CO254">
        <v>170.96</v>
      </c>
      <c r="CP254">
        <v>190</v>
      </c>
      <c r="CQ254">
        <v>79.25</v>
      </c>
      <c r="CR254">
        <v>73.599999999999994</v>
      </c>
      <c r="CS254" s="187">
        <v>34.229999999999997</v>
      </c>
      <c r="CT254">
        <v>113.48</v>
      </c>
      <c r="CU254">
        <v>138</v>
      </c>
      <c r="CV254">
        <v>96.94</v>
      </c>
      <c r="CW254">
        <v>88.67</v>
      </c>
      <c r="CX254" s="187">
        <v>37.29</v>
      </c>
      <c r="CY254">
        <v>134.04</v>
      </c>
      <c r="CZ254">
        <v>1000</v>
      </c>
      <c r="DA254">
        <v>108.53</v>
      </c>
      <c r="DB254">
        <v>101.96</v>
      </c>
      <c r="DC254" s="187">
        <v>26.04</v>
      </c>
      <c r="DD254">
        <v>134.57</v>
      </c>
      <c r="DE254">
        <v>110</v>
      </c>
      <c r="DF254">
        <v>120.31</v>
      </c>
      <c r="DG254">
        <v>115.79</v>
      </c>
      <c r="DH254" s="187">
        <v>28.52</v>
      </c>
      <c r="DI254">
        <v>143.79</v>
      </c>
      <c r="DJ254">
        <v>17</v>
      </c>
      <c r="DK254">
        <v>0</v>
      </c>
      <c r="DL254">
        <v>0</v>
      </c>
      <c r="DM254" s="187">
        <v>0</v>
      </c>
      <c r="DN254">
        <v>0</v>
      </c>
      <c r="DO254">
        <v>0</v>
      </c>
      <c r="DP254">
        <v>96.33</v>
      </c>
      <c r="DQ254">
        <v>88.5</v>
      </c>
      <c r="DR254" s="187">
        <v>35.869999999999997</v>
      </c>
      <c r="DS254">
        <v>131.97999999999999</v>
      </c>
      <c r="DT254">
        <v>1265</v>
      </c>
      <c r="DU254">
        <v>96.77</v>
      </c>
      <c r="DV254">
        <v>87.48</v>
      </c>
      <c r="DW254" s="187">
        <v>40.520000000000003</v>
      </c>
      <c r="DX254">
        <v>137.07</v>
      </c>
      <c r="DY254">
        <v>1455</v>
      </c>
      <c r="DZ254">
        <v>0</v>
      </c>
      <c r="EA254">
        <v>0</v>
      </c>
      <c r="EB254" s="187">
        <v>0</v>
      </c>
      <c r="EC254">
        <v>0</v>
      </c>
      <c r="ED254">
        <v>115.06</v>
      </c>
      <c r="EE254">
        <v>133</v>
      </c>
      <c r="EF254">
        <v>138.97</v>
      </c>
      <c r="EG254" s="187">
        <v>413</v>
      </c>
      <c r="EH254">
        <v>164.64</v>
      </c>
      <c r="EI254">
        <v>221</v>
      </c>
      <c r="EJ254">
        <v>206.23</v>
      </c>
      <c r="EK254">
        <v>49</v>
      </c>
      <c r="EL254" s="187">
        <v>0</v>
      </c>
      <c r="EM254">
        <v>0</v>
      </c>
      <c r="EN254">
        <v>0</v>
      </c>
      <c r="EO254">
        <v>0</v>
      </c>
      <c r="EP254">
        <v>146.07</v>
      </c>
      <c r="EQ254" s="187">
        <v>816</v>
      </c>
      <c r="ER254">
        <v>146.07</v>
      </c>
      <c r="ES254">
        <v>816</v>
      </c>
      <c r="ET254">
        <v>124.69</v>
      </c>
      <c r="EU254">
        <v>2</v>
      </c>
      <c r="EV254" s="187">
        <v>0</v>
      </c>
      <c r="EW254">
        <v>0</v>
      </c>
      <c r="EX254">
        <v>0</v>
      </c>
      <c r="EY254">
        <v>0</v>
      </c>
      <c r="EZ254">
        <v>152.19</v>
      </c>
      <c r="FA254" s="187">
        <v>22</v>
      </c>
      <c r="FB254">
        <v>0</v>
      </c>
      <c r="FC254">
        <v>0</v>
      </c>
      <c r="FD254">
        <v>0</v>
      </c>
      <c r="FE254">
        <v>0</v>
      </c>
      <c r="FF254" s="187">
        <v>152.19</v>
      </c>
      <c r="FG254">
        <v>22</v>
      </c>
      <c r="FH254">
        <v>149.88999999999999</v>
      </c>
      <c r="FI254">
        <v>24</v>
      </c>
      <c r="FJ254">
        <v>62</v>
      </c>
      <c r="FK254" s="187">
        <v>1</v>
      </c>
      <c r="FL254">
        <v>12</v>
      </c>
      <c r="FM254">
        <v>36</v>
      </c>
      <c r="FN254">
        <v>32</v>
      </c>
    </row>
    <row r="255" spans="1:170" x14ac:dyDescent="0.35">
      <c r="A255" t="s">
        <v>896</v>
      </c>
      <c r="B255" t="s">
        <v>897</v>
      </c>
      <c r="C255" t="s">
        <v>415</v>
      </c>
      <c r="D255">
        <v>2850</v>
      </c>
      <c r="E255">
        <v>2822</v>
      </c>
      <c r="F255">
        <v>0</v>
      </c>
      <c r="G255">
        <v>0</v>
      </c>
      <c r="H255">
        <v>559</v>
      </c>
      <c r="I255">
        <v>225</v>
      </c>
      <c r="J255">
        <v>318</v>
      </c>
      <c r="K255">
        <v>271</v>
      </c>
      <c r="L255">
        <v>451</v>
      </c>
      <c r="M255">
        <v>54</v>
      </c>
      <c r="N255">
        <v>4178</v>
      </c>
      <c r="O255">
        <v>3372</v>
      </c>
      <c r="P255">
        <v>3727</v>
      </c>
      <c r="Q255">
        <v>32</v>
      </c>
      <c r="R255">
        <v>9</v>
      </c>
      <c r="S255">
        <v>27</v>
      </c>
      <c r="T255">
        <v>369</v>
      </c>
      <c r="U255">
        <v>3809</v>
      </c>
      <c r="V255" s="498">
        <v>2850</v>
      </c>
      <c r="W255">
        <v>15</v>
      </c>
      <c r="X255" s="498">
        <v>2</v>
      </c>
      <c r="Y255" s="498">
        <v>17</v>
      </c>
      <c r="Z255" s="498">
        <v>99.79</v>
      </c>
      <c r="AA255" s="498">
        <v>98.09</v>
      </c>
      <c r="AB255">
        <v>14.28</v>
      </c>
      <c r="AC255">
        <v>111.01</v>
      </c>
      <c r="AD255">
        <v>2443</v>
      </c>
      <c r="AE255">
        <v>92.27</v>
      </c>
      <c r="AF255">
        <v>84.61</v>
      </c>
      <c r="AG255">
        <v>64.19</v>
      </c>
      <c r="AH255">
        <v>154.69</v>
      </c>
      <c r="AI255">
        <v>508</v>
      </c>
      <c r="AJ255">
        <v>152.27000000000001</v>
      </c>
      <c r="AK255">
        <v>366</v>
      </c>
      <c r="AL255">
        <v>329.58</v>
      </c>
      <c r="AM255">
        <v>115</v>
      </c>
      <c r="AN255">
        <v>0</v>
      </c>
      <c r="AO255" s="499">
        <v>0</v>
      </c>
      <c r="AP255" s="499">
        <v>0</v>
      </c>
      <c r="AQ255">
        <v>0</v>
      </c>
      <c r="AR255">
        <v>0</v>
      </c>
      <c r="AS255">
        <v>67.88</v>
      </c>
      <c r="AT255">
        <v>66.819999999999993</v>
      </c>
      <c r="AU255">
        <v>19.329999999999998</v>
      </c>
      <c r="AV255">
        <v>87.21</v>
      </c>
      <c r="AW255">
        <v>86</v>
      </c>
      <c r="AX255">
        <v>83.87</v>
      </c>
      <c r="AY255">
        <v>82.03</v>
      </c>
      <c r="AZ255">
        <v>16.440000000000001</v>
      </c>
      <c r="BA255">
        <v>99.78</v>
      </c>
      <c r="BB255">
        <v>624</v>
      </c>
      <c r="BC255">
        <v>95.92</v>
      </c>
      <c r="BD255">
        <v>94.23</v>
      </c>
      <c r="BE255">
        <v>16.22</v>
      </c>
      <c r="BF255">
        <v>111.15</v>
      </c>
      <c r="BG255">
        <v>799</v>
      </c>
      <c r="BH255">
        <v>114.28</v>
      </c>
      <c r="BI255">
        <v>112.71</v>
      </c>
      <c r="BJ255">
        <v>7.3</v>
      </c>
      <c r="BK255">
        <v>117.97</v>
      </c>
      <c r="BL255" s="214">
        <v>755</v>
      </c>
      <c r="BM255" s="214">
        <v>125.96</v>
      </c>
      <c r="BN255">
        <v>123.99</v>
      </c>
      <c r="BO255" s="187">
        <v>8.94</v>
      </c>
      <c r="BP255" s="214">
        <v>131.05000000000001</v>
      </c>
      <c r="BQ255" s="214">
        <v>172</v>
      </c>
      <c r="BR255">
        <v>145.59</v>
      </c>
      <c r="BS255" s="187">
        <v>146.81</v>
      </c>
      <c r="BT255" s="214">
        <v>0</v>
      </c>
      <c r="BU255" s="214">
        <v>145.59</v>
      </c>
      <c r="BV255">
        <v>7</v>
      </c>
      <c r="BW255">
        <v>0</v>
      </c>
      <c r="BX255" s="214">
        <v>0</v>
      </c>
      <c r="BY255" s="214">
        <v>0</v>
      </c>
      <c r="BZ255">
        <v>0</v>
      </c>
      <c r="CA255" s="187">
        <v>0</v>
      </c>
      <c r="CB255" s="214">
        <v>99.79</v>
      </c>
      <c r="CC255" s="214">
        <v>98.09</v>
      </c>
      <c r="CD255">
        <v>14.28</v>
      </c>
      <c r="CE255" s="187">
        <v>111.01</v>
      </c>
      <c r="CF255" s="214">
        <v>2443</v>
      </c>
      <c r="CG255" s="214">
        <v>99.79</v>
      </c>
      <c r="CH255">
        <v>98.09</v>
      </c>
      <c r="CI255">
        <v>14.28</v>
      </c>
      <c r="CJ255">
        <v>111.01</v>
      </c>
      <c r="CK255">
        <v>2443</v>
      </c>
      <c r="CL255">
        <v>87.7</v>
      </c>
      <c r="CM255">
        <v>84.49</v>
      </c>
      <c r="CN255" s="187">
        <v>94.19</v>
      </c>
      <c r="CO255">
        <v>171</v>
      </c>
      <c r="CP255">
        <v>121</v>
      </c>
      <c r="CQ255">
        <v>84.64</v>
      </c>
      <c r="CR255">
        <v>69.849999999999994</v>
      </c>
      <c r="CS255" s="187">
        <v>45.63</v>
      </c>
      <c r="CT255">
        <v>130.26</v>
      </c>
      <c r="CU255">
        <v>90</v>
      </c>
      <c r="CV255">
        <v>95.19</v>
      </c>
      <c r="CW255">
        <v>86.94</v>
      </c>
      <c r="CX255" s="187">
        <v>60.09</v>
      </c>
      <c r="CY255">
        <v>155.28</v>
      </c>
      <c r="CZ255">
        <v>269</v>
      </c>
      <c r="DA255">
        <v>102.85</v>
      </c>
      <c r="DB255">
        <v>94.81</v>
      </c>
      <c r="DC255" s="187">
        <v>63.19</v>
      </c>
      <c r="DD255">
        <v>166.04</v>
      </c>
      <c r="DE255">
        <v>19</v>
      </c>
      <c r="DF255">
        <v>120.24</v>
      </c>
      <c r="DG255">
        <v>115.92</v>
      </c>
      <c r="DH255" s="187">
        <v>17.670000000000002</v>
      </c>
      <c r="DI255">
        <v>137.91</v>
      </c>
      <c r="DJ255">
        <v>9</v>
      </c>
      <c r="DK255">
        <v>0</v>
      </c>
      <c r="DL255">
        <v>0</v>
      </c>
      <c r="DM255" s="187">
        <v>0</v>
      </c>
      <c r="DN255">
        <v>0</v>
      </c>
      <c r="DO255">
        <v>0</v>
      </c>
      <c r="DP255">
        <v>93.7</v>
      </c>
      <c r="DQ255">
        <v>84.65</v>
      </c>
      <c r="DR255" s="187">
        <v>55.89</v>
      </c>
      <c r="DS255">
        <v>149.59</v>
      </c>
      <c r="DT255">
        <v>387</v>
      </c>
      <c r="DU255">
        <v>92.27</v>
      </c>
      <c r="DV255">
        <v>84.61</v>
      </c>
      <c r="DW255" s="187">
        <v>64.19</v>
      </c>
      <c r="DX255">
        <v>154.69</v>
      </c>
      <c r="DY255">
        <v>508</v>
      </c>
      <c r="DZ255">
        <v>0</v>
      </c>
      <c r="EA255">
        <v>0</v>
      </c>
      <c r="EB255" s="187">
        <v>0</v>
      </c>
      <c r="EC255">
        <v>0</v>
      </c>
      <c r="ED255">
        <v>115.06</v>
      </c>
      <c r="EE255">
        <v>51</v>
      </c>
      <c r="EF255">
        <v>147.61000000000001</v>
      </c>
      <c r="EG255" s="187">
        <v>190</v>
      </c>
      <c r="EH255">
        <v>174.72</v>
      </c>
      <c r="EI255">
        <v>118</v>
      </c>
      <c r="EJ255">
        <v>171.54</v>
      </c>
      <c r="EK255">
        <v>7</v>
      </c>
      <c r="EL255" s="187">
        <v>0</v>
      </c>
      <c r="EM255">
        <v>0</v>
      </c>
      <c r="EN255">
        <v>0</v>
      </c>
      <c r="EO255">
        <v>0</v>
      </c>
      <c r="EP255">
        <v>152.27000000000001</v>
      </c>
      <c r="EQ255" s="187">
        <v>366</v>
      </c>
      <c r="ER255">
        <v>152.27000000000001</v>
      </c>
      <c r="ES255">
        <v>366</v>
      </c>
      <c r="ET255">
        <v>329.58</v>
      </c>
      <c r="EU255">
        <v>111</v>
      </c>
      <c r="EV255" s="187">
        <v>0</v>
      </c>
      <c r="EW255">
        <v>0</v>
      </c>
      <c r="EX255">
        <v>329.58</v>
      </c>
      <c r="EY255">
        <v>4</v>
      </c>
      <c r="EZ255">
        <v>0</v>
      </c>
      <c r="FA255" s="187">
        <v>0</v>
      </c>
      <c r="FB255">
        <v>0</v>
      </c>
      <c r="FC255">
        <v>0</v>
      </c>
      <c r="FD255">
        <v>0</v>
      </c>
      <c r="FE255">
        <v>0</v>
      </c>
      <c r="FF255" s="187">
        <v>329.58</v>
      </c>
      <c r="FG255">
        <v>4</v>
      </c>
      <c r="FH255">
        <v>329.58</v>
      </c>
      <c r="FI255">
        <v>115</v>
      </c>
      <c r="FJ255">
        <v>0</v>
      </c>
      <c r="FK255" s="187">
        <v>0</v>
      </c>
      <c r="FL255">
        <v>1</v>
      </c>
      <c r="FM255">
        <v>11</v>
      </c>
      <c r="FN255">
        <v>7</v>
      </c>
    </row>
    <row r="256" spans="1:170" x14ac:dyDescent="0.35">
      <c r="A256" t="s">
        <v>898</v>
      </c>
      <c r="B256" t="s">
        <v>899</v>
      </c>
      <c r="C256" t="s">
        <v>416</v>
      </c>
      <c r="D256">
        <v>14832</v>
      </c>
      <c r="E256">
        <v>14087</v>
      </c>
      <c r="F256">
        <v>447</v>
      </c>
      <c r="G256">
        <v>269</v>
      </c>
      <c r="H256">
        <v>1461</v>
      </c>
      <c r="I256">
        <v>1158</v>
      </c>
      <c r="J256">
        <v>715</v>
      </c>
      <c r="K256">
        <v>688</v>
      </c>
      <c r="L256">
        <v>3070</v>
      </c>
      <c r="M256">
        <v>110</v>
      </c>
      <c r="N256">
        <v>20525</v>
      </c>
      <c r="O256">
        <v>16312</v>
      </c>
      <c r="P256">
        <v>17455</v>
      </c>
      <c r="Q256">
        <v>164</v>
      </c>
      <c r="R256">
        <v>31</v>
      </c>
      <c r="S256">
        <v>31</v>
      </c>
      <c r="T256">
        <v>1060</v>
      </c>
      <c r="U256">
        <v>19465</v>
      </c>
      <c r="V256" s="498">
        <v>14134</v>
      </c>
      <c r="W256">
        <v>155</v>
      </c>
      <c r="X256" s="498">
        <v>88</v>
      </c>
      <c r="Y256" s="498">
        <v>243</v>
      </c>
      <c r="Z256" s="498">
        <v>125.52</v>
      </c>
      <c r="AA256" s="498">
        <v>127.27</v>
      </c>
      <c r="AB256">
        <v>15.11</v>
      </c>
      <c r="AC256">
        <v>137.57</v>
      </c>
      <c r="AD256">
        <v>12175</v>
      </c>
      <c r="AE256">
        <v>110.59</v>
      </c>
      <c r="AF256">
        <v>104.36</v>
      </c>
      <c r="AG256">
        <v>58.07</v>
      </c>
      <c r="AH256">
        <v>165.01</v>
      </c>
      <c r="AI256">
        <v>1830</v>
      </c>
      <c r="AJ256">
        <v>206.08</v>
      </c>
      <c r="AK256">
        <v>1206</v>
      </c>
      <c r="AL256">
        <v>213.93</v>
      </c>
      <c r="AM256">
        <v>24</v>
      </c>
      <c r="AN256">
        <v>86.92</v>
      </c>
      <c r="AO256" s="499">
        <v>87.27</v>
      </c>
      <c r="AP256" s="499">
        <v>22.48</v>
      </c>
      <c r="AQ256">
        <v>109.4</v>
      </c>
      <c r="AR256">
        <v>10</v>
      </c>
      <c r="AS256">
        <v>96.89</v>
      </c>
      <c r="AT256">
        <v>92.37</v>
      </c>
      <c r="AU256">
        <v>14.83</v>
      </c>
      <c r="AV256">
        <v>110.41</v>
      </c>
      <c r="AW256">
        <v>125</v>
      </c>
      <c r="AX256">
        <v>106.97</v>
      </c>
      <c r="AY256">
        <v>106.78</v>
      </c>
      <c r="AZ256">
        <v>14</v>
      </c>
      <c r="BA256">
        <v>118.89</v>
      </c>
      <c r="BB256">
        <v>3665</v>
      </c>
      <c r="BC256">
        <v>124.01</v>
      </c>
      <c r="BD256">
        <v>125.44</v>
      </c>
      <c r="BE256">
        <v>15.86</v>
      </c>
      <c r="BF256">
        <v>137.22999999999999</v>
      </c>
      <c r="BG256">
        <v>4384</v>
      </c>
      <c r="BH256">
        <v>141.28</v>
      </c>
      <c r="BI256">
        <v>145.03</v>
      </c>
      <c r="BJ256">
        <v>16.78</v>
      </c>
      <c r="BK256">
        <v>153.56</v>
      </c>
      <c r="BL256" s="214">
        <v>3071</v>
      </c>
      <c r="BM256" s="214">
        <v>157.1</v>
      </c>
      <c r="BN256">
        <v>161.72999999999999</v>
      </c>
      <c r="BO256" s="187">
        <v>9.6</v>
      </c>
      <c r="BP256" s="214">
        <v>163.32</v>
      </c>
      <c r="BQ256" s="214">
        <v>795</v>
      </c>
      <c r="BR256">
        <v>165.53</v>
      </c>
      <c r="BS256" s="187">
        <v>172.97</v>
      </c>
      <c r="BT256" s="214">
        <v>11.58</v>
      </c>
      <c r="BU256" s="214">
        <v>169.98</v>
      </c>
      <c r="BV256">
        <v>112</v>
      </c>
      <c r="BW256">
        <v>168.83</v>
      </c>
      <c r="BX256" s="214">
        <v>183.08</v>
      </c>
      <c r="BY256" s="214">
        <v>3.89</v>
      </c>
      <c r="BZ256">
        <v>170.93</v>
      </c>
      <c r="CA256" s="187">
        <v>13</v>
      </c>
      <c r="CB256" s="214">
        <v>125.55</v>
      </c>
      <c r="CC256" s="214">
        <v>127.3</v>
      </c>
      <c r="CD256">
        <v>15.1</v>
      </c>
      <c r="CE256" s="187">
        <v>137.6</v>
      </c>
      <c r="CF256" s="214">
        <v>12165</v>
      </c>
      <c r="CG256" s="214">
        <v>125.52</v>
      </c>
      <c r="CH256">
        <v>127.27</v>
      </c>
      <c r="CI256">
        <v>15.11</v>
      </c>
      <c r="CJ256">
        <v>137.57</v>
      </c>
      <c r="CK256">
        <v>12175</v>
      </c>
      <c r="CL256">
        <v>109.91</v>
      </c>
      <c r="CM256">
        <v>96.8</v>
      </c>
      <c r="CN256" s="187">
        <v>81.63</v>
      </c>
      <c r="CO256">
        <v>185.34</v>
      </c>
      <c r="CP256">
        <v>461</v>
      </c>
      <c r="CQ256">
        <v>91.08</v>
      </c>
      <c r="CR256">
        <v>91.15</v>
      </c>
      <c r="CS256" s="187">
        <v>99.62</v>
      </c>
      <c r="CT256">
        <v>182.28</v>
      </c>
      <c r="CU256">
        <v>225</v>
      </c>
      <c r="CV256">
        <v>112.71</v>
      </c>
      <c r="CW256">
        <v>107.74</v>
      </c>
      <c r="CX256" s="187">
        <v>41.8</v>
      </c>
      <c r="CY256">
        <v>152.74</v>
      </c>
      <c r="CZ256">
        <v>1008</v>
      </c>
      <c r="DA256">
        <v>128.22999999999999</v>
      </c>
      <c r="DB256">
        <v>122.99</v>
      </c>
      <c r="DC256" s="187">
        <v>36.76</v>
      </c>
      <c r="DD256">
        <v>160.19</v>
      </c>
      <c r="DE256">
        <v>115</v>
      </c>
      <c r="DF256">
        <v>133.19</v>
      </c>
      <c r="DG256">
        <v>138.65</v>
      </c>
      <c r="DH256" s="187">
        <v>15.57</v>
      </c>
      <c r="DI256">
        <v>147.94</v>
      </c>
      <c r="DJ256">
        <v>19</v>
      </c>
      <c r="DK256">
        <v>161.09</v>
      </c>
      <c r="DL256">
        <v>168.11</v>
      </c>
      <c r="DM256" s="187">
        <v>0</v>
      </c>
      <c r="DN256">
        <v>161.09</v>
      </c>
      <c r="DO256">
        <v>2</v>
      </c>
      <c r="DP256">
        <v>110.82</v>
      </c>
      <c r="DQ256">
        <v>106.77</v>
      </c>
      <c r="DR256" s="187">
        <v>50.29</v>
      </c>
      <c r="DS256">
        <v>158.16</v>
      </c>
      <c r="DT256">
        <v>1369</v>
      </c>
      <c r="DU256">
        <v>110.59</v>
      </c>
      <c r="DV256">
        <v>104.36</v>
      </c>
      <c r="DW256" s="187">
        <v>58.07</v>
      </c>
      <c r="DX256">
        <v>165.01</v>
      </c>
      <c r="DY256">
        <v>1830</v>
      </c>
      <c r="DZ256">
        <v>168.25</v>
      </c>
      <c r="EA256">
        <v>2</v>
      </c>
      <c r="EB256" s="187">
        <v>180.58</v>
      </c>
      <c r="EC256">
        <v>25</v>
      </c>
      <c r="ED256">
        <v>184.06</v>
      </c>
      <c r="EE256">
        <v>487</v>
      </c>
      <c r="EF256">
        <v>227.21</v>
      </c>
      <c r="EG256" s="187">
        <v>542</v>
      </c>
      <c r="EH256">
        <v>201.52</v>
      </c>
      <c r="EI256">
        <v>127</v>
      </c>
      <c r="EJ256">
        <v>233.09</v>
      </c>
      <c r="EK256">
        <v>20</v>
      </c>
      <c r="EL256" s="187">
        <v>0</v>
      </c>
      <c r="EM256">
        <v>0</v>
      </c>
      <c r="EN256">
        <v>213.67</v>
      </c>
      <c r="EO256">
        <v>3</v>
      </c>
      <c r="EP256">
        <v>206.14</v>
      </c>
      <c r="EQ256" s="187">
        <v>1204</v>
      </c>
      <c r="ER256">
        <v>206.08</v>
      </c>
      <c r="ES256">
        <v>1206</v>
      </c>
      <c r="ET256">
        <v>0</v>
      </c>
      <c r="EU256">
        <v>0</v>
      </c>
      <c r="EV256" s="187">
        <v>0</v>
      </c>
      <c r="EW256">
        <v>0</v>
      </c>
      <c r="EX256">
        <v>213.93</v>
      </c>
      <c r="EY256">
        <v>24</v>
      </c>
      <c r="EZ256">
        <v>0</v>
      </c>
      <c r="FA256" s="187">
        <v>0</v>
      </c>
      <c r="FB256">
        <v>0</v>
      </c>
      <c r="FC256">
        <v>0</v>
      </c>
      <c r="FD256">
        <v>0</v>
      </c>
      <c r="FE256">
        <v>0</v>
      </c>
      <c r="FF256" s="187">
        <v>213.93</v>
      </c>
      <c r="FG256">
        <v>24</v>
      </c>
      <c r="FH256">
        <v>213.93</v>
      </c>
      <c r="FI256">
        <v>24</v>
      </c>
      <c r="FJ256">
        <v>0</v>
      </c>
      <c r="FK256" s="187">
        <v>3</v>
      </c>
      <c r="FL256">
        <v>26</v>
      </c>
      <c r="FM256">
        <v>102</v>
      </c>
      <c r="FN256">
        <v>126</v>
      </c>
    </row>
    <row r="257" spans="1:170" x14ac:dyDescent="0.35">
      <c r="A257" t="s">
        <v>900</v>
      </c>
      <c r="B257" t="s">
        <v>901</v>
      </c>
      <c r="C257" t="s">
        <v>2</v>
      </c>
      <c r="D257">
        <v>4919</v>
      </c>
      <c r="E257">
        <v>4918</v>
      </c>
      <c r="F257">
        <v>3</v>
      </c>
      <c r="G257">
        <v>0</v>
      </c>
      <c r="H257">
        <v>112</v>
      </c>
      <c r="I257">
        <v>63</v>
      </c>
      <c r="J257">
        <v>338</v>
      </c>
      <c r="K257">
        <v>313</v>
      </c>
      <c r="L257">
        <v>483</v>
      </c>
      <c r="M257">
        <v>64</v>
      </c>
      <c r="N257">
        <v>5855</v>
      </c>
      <c r="O257">
        <v>5358</v>
      </c>
      <c r="P257">
        <v>5372</v>
      </c>
      <c r="Q257">
        <v>9</v>
      </c>
      <c r="R257">
        <v>4</v>
      </c>
      <c r="S257">
        <v>12</v>
      </c>
      <c r="T257">
        <v>107</v>
      </c>
      <c r="U257">
        <v>5748</v>
      </c>
      <c r="V257" s="498">
        <v>4919</v>
      </c>
      <c r="W257">
        <v>42</v>
      </c>
      <c r="X257" s="498">
        <v>7</v>
      </c>
      <c r="Y257" s="498">
        <v>49</v>
      </c>
      <c r="Z257" s="498">
        <v>119.3</v>
      </c>
      <c r="AA257" s="498">
        <v>113.95</v>
      </c>
      <c r="AB257">
        <v>6</v>
      </c>
      <c r="AC257">
        <v>124.66</v>
      </c>
      <c r="AD257">
        <v>4716</v>
      </c>
      <c r="AE257">
        <v>112.46</v>
      </c>
      <c r="AF257">
        <v>104.83</v>
      </c>
      <c r="AG257">
        <v>77.099999999999994</v>
      </c>
      <c r="AH257">
        <v>189.11</v>
      </c>
      <c r="AI257">
        <v>346</v>
      </c>
      <c r="AJ257">
        <v>219.45</v>
      </c>
      <c r="AK257">
        <v>185</v>
      </c>
      <c r="AL257">
        <v>152.51</v>
      </c>
      <c r="AM257">
        <v>11</v>
      </c>
      <c r="AN257">
        <v>0</v>
      </c>
      <c r="AO257" s="499">
        <v>0</v>
      </c>
      <c r="AP257" s="499">
        <v>0</v>
      </c>
      <c r="AQ257">
        <v>0</v>
      </c>
      <c r="AR257">
        <v>0</v>
      </c>
      <c r="AS257">
        <v>86.37</v>
      </c>
      <c r="AT257">
        <v>82.47</v>
      </c>
      <c r="AU257">
        <v>7.51</v>
      </c>
      <c r="AV257">
        <v>93.88</v>
      </c>
      <c r="AW257">
        <v>182</v>
      </c>
      <c r="AX257">
        <v>101.63</v>
      </c>
      <c r="AY257">
        <v>96.9</v>
      </c>
      <c r="AZ257">
        <v>7.29</v>
      </c>
      <c r="BA257">
        <v>108.83</v>
      </c>
      <c r="BB257">
        <v>1450</v>
      </c>
      <c r="BC257">
        <v>120.25</v>
      </c>
      <c r="BD257">
        <v>114.82</v>
      </c>
      <c r="BE257">
        <v>7.02</v>
      </c>
      <c r="BF257">
        <v>126.6</v>
      </c>
      <c r="BG257">
        <v>1315</v>
      </c>
      <c r="BH257">
        <v>135.41999999999999</v>
      </c>
      <c r="BI257">
        <v>129.54</v>
      </c>
      <c r="BJ257">
        <v>3.76</v>
      </c>
      <c r="BK257">
        <v>138.4</v>
      </c>
      <c r="BL257" s="214">
        <v>1633</v>
      </c>
      <c r="BM257" s="214">
        <v>148.16</v>
      </c>
      <c r="BN257">
        <v>145.32</v>
      </c>
      <c r="BO257" s="187">
        <v>2.21</v>
      </c>
      <c r="BP257" s="214">
        <v>150.02000000000001</v>
      </c>
      <c r="BQ257" s="214">
        <v>131</v>
      </c>
      <c r="BR257">
        <v>162.11000000000001</v>
      </c>
      <c r="BS257" s="187">
        <v>159.81</v>
      </c>
      <c r="BT257" s="214">
        <v>3.26</v>
      </c>
      <c r="BU257" s="214">
        <v>165.37</v>
      </c>
      <c r="BV257">
        <v>4</v>
      </c>
      <c r="BW257">
        <v>191.57</v>
      </c>
      <c r="BX257" s="214">
        <v>162.69999999999999</v>
      </c>
      <c r="BY257" s="214">
        <v>0</v>
      </c>
      <c r="BZ257">
        <v>191.57</v>
      </c>
      <c r="CA257" s="187">
        <v>1</v>
      </c>
      <c r="CB257" s="214">
        <v>119.3</v>
      </c>
      <c r="CC257" s="214">
        <v>113.95</v>
      </c>
      <c r="CD257">
        <v>6</v>
      </c>
      <c r="CE257" s="187">
        <v>124.66</v>
      </c>
      <c r="CF257" s="214">
        <v>4716</v>
      </c>
      <c r="CG257" s="214">
        <v>119.3</v>
      </c>
      <c r="CH257">
        <v>113.95</v>
      </c>
      <c r="CI257">
        <v>6</v>
      </c>
      <c r="CJ257">
        <v>124.66</v>
      </c>
      <c r="CK257">
        <v>4716</v>
      </c>
      <c r="CL257">
        <v>107.77</v>
      </c>
      <c r="CM257">
        <v>69.760000000000005</v>
      </c>
      <c r="CN257" s="187">
        <v>56.96</v>
      </c>
      <c r="CO257">
        <v>164.72</v>
      </c>
      <c r="CP257">
        <v>11</v>
      </c>
      <c r="CQ257">
        <v>101.6</v>
      </c>
      <c r="CR257">
        <v>94.23</v>
      </c>
      <c r="CS257" s="187">
        <v>48.53</v>
      </c>
      <c r="CT257">
        <v>150.13</v>
      </c>
      <c r="CU257">
        <v>7</v>
      </c>
      <c r="CV257">
        <v>110.9</v>
      </c>
      <c r="CW257">
        <v>104.22</v>
      </c>
      <c r="CX257" s="187">
        <v>74.040000000000006</v>
      </c>
      <c r="CY257">
        <v>184.95</v>
      </c>
      <c r="CZ257">
        <v>291</v>
      </c>
      <c r="DA257">
        <v>128.71</v>
      </c>
      <c r="DB257">
        <v>120.72</v>
      </c>
      <c r="DC257" s="187">
        <v>119.52</v>
      </c>
      <c r="DD257">
        <v>244.71</v>
      </c>
      <c r="DE257">
        <v>34</v>
      </c>
      <c r="DF257">
        <v>152.41999999999999</v>
      </c>
      <c r="DG257">
        <v>145.16999999999999</v>
      </c>
      <c r="DH257" s="187">
        <v>30.46</v>
      </c>
      <c r="DI257">
        <v>182.88</v>
      </c>
      <c r="DJ257">
        <v>1</v>
      </c>
      <c r="DK257">
        <v>105.55</v>
      </c>
      <c r="DL257">
        <v>95.81</v>
      </c>
      <c r="DM257" s="187">
        <v>35.17</v>
      </c>
      <c r="DN257">
        <v>123.14</v>
      </c>
      <c r="DO257">
        <v>2</v>
      </c>
      <c r="DP257">
        <v>112.61</v>
      </c>
      <c r="DQ257">
        <v>105.79</v>
      </c>
      <c r="DR257" s="187">
        <v>77.77</v>
      </c>
      <c r="DS257">
        <v>189.91</v>
      </c>
      <c r="DT257">
        <v>335</v>
      </c>
      <c r="DU257">
        <v>112.46</v>
      </c>
      <c r="DV257">
        <v>104.83</v>
      </c>
      <c r="DW257" s="187">
        <v>77.099999999999994</v>
      </c>
      <c r="DX257">
        <v>189.11</v>
      </c>
      <c r="DY257">
        <v>346</v>
      </c>
      <c r="DZ257">
        <v>0</v>
      </c>
      <c r="EA257">
        <v>0</v>
      </c>
      <c r="EB257" s="187">
        <v>0</v>
      </c>
      <c r="EC257">
        <v>0</v>
      </c>
      <c r="ED257">
        <v>162.38</v>
      </c>
      <c r="EE257">
        <v>23</v>
      </c>
      <c r="EF257">
        <v>216.01</v>
      </c>
      <c r="EG257" s="187">
        <v>128</v>
      </c>
      <c r="EH257">
        <v>267.27</v>
      </c>
      <c r="EI257">
        <v>30</v>
      </c>
      <c r="EJ257">
        <v>299.08</v>
      </c>
      <c r="EK257">
        <v>4</v>
      </c>
      <c r="EL257" s="187">
        <v>0</v>
      </c>
      <c r="EM257">
        <v>0</v>
      </c>
      <c r="EN257">
        <v>0</v>
      </c>
      <c r="EO257">
        <v>0</v>
      </c>
      <c r="EP257">
        <v>219.45</v>
      </c>
      <c r="EQ257" s="187">
        <v>185</v>
      </c>
      <c r="ER257">
        <v>219.45</v>
      </c>
      <c r="ES257">
        <v>185</v>
      </c>
      <c r="ET257">
        <v>0</v>
      </c>
      <c r="EU257">
        <v>0</v>
      </c>
      <c r="EV257" s="187">
        <v>0</v>
      </c>
      <c r="EW257">
        <v>0</v>
      </c>
      <c r="EX257">
        <v>152.51</v>
      </c>
      <c r="EY257">
        <v>11</v>
      </c>
      <c r="EZ257">
        <v>0</v>
      </c>
      <c r="FA257" s="187">
        <v>0</v>
      </c>
      <c r="FB257">
        <v>0</v>
      </c>
      <c r="FC257">
        <v>0</v>
      </c>
      <c r="FD257">
        <v>0</v>
      </c>
      <c r="FE257">
        <v>0</v>
      </c>
      <c r="FF257" s="187">
        <v>152.51</v>
      </c>
      <c r="FG257">
        <v>11</v>
      </c>
      <c r="FH257">
        <v>152.51</v>
      </c>
      <c r="FI257">
        <v>11</v>
      </c>
      <c r="FJ257">
        <v>0</v>
      </c>
      <c r="FK257" s="187">
        <v>2</v>
      </c>
      <c r="FL257">
        <v>0</v>
      </c>
      <c r="FM257">
        <v>34</v>
      </c>
      <c r="FN257">
        <v>14</v>
      </c>
    </row>
    <row r="258" spans="1:170" x14ac:dyDescent="0.35">
      <c r="A258" t="s">
        <v>902</v>
      </c>
      <c r="B258" t="s">
        <v>903</v>
      </c>
      <c r="C258" t="s">
        <v>415</v>
      </c>
      <c r="D258">
        <v>2244</v>
      </c>
      <c r="E258">
        <v>2225</v>
      </c>
      <c r="F258">
        <v>0</v>
      </c>
      <c r="G258">
        <v>0</v>
      </c>
      <c r="H258">
        <v>276</v>
      </c>
      <c r="I258">
        <v>262</v>
      </c>
      <c r="J258">
        <v>206</v>
      </c>
      <c r="K258">
        <v>206</v>
      </c>
      <c r="L258">
        <v>289</v>
      </c>
      <c r="M258">
        <v>0</v>
      </c>
      <c r="N258">
        <v>3015</v>
      </c>
      <c r="O258">
        <v>2693</v>
      </c>
      <c r="P258">
        <v>2726</v>
      </c>
      <c r="Q258">
        <v>3</v>
      </c>
      <c r="R258">
        <v>4</v>
      </c>
      <c r="S258">
        <v>23</v>
      </c>
      <c r="T258">
        <v>59</v>
      </c>
      <c r="U258">
        <v>2956</v>
      </c>
      <c r="V258" s="498">
        <v>2232</v>
      </c>
      <c r="W258">
        <v>27</v>
      </c>
      <c r="X258" s="498">
        <v>7</v>
      </c>
      <c r="Y258" s="498">
        <v>34</v>
      </c>
      <c r="Z258" s="498">
        <v>124.92</v>
      </c>
      <c r="AA258" s="498">
        <v>121.18</v>
      </c>
      <c r="AB258">
        <v>7.95</v>
      </c>
      <c r="AC258">
        <v>131.32</v>
      </c>
      <c r="AD258">
        <v>1618</v>
      </c>
      <c r="AE258">
        <v>123.95</v>
      </c>
      <c r="AF258">
        <v>107.27</v>
      </c>
      <c r="AG258">
        <v>40.01</v>
      </c>
      <c r="AH258">
        <v>162.99</v>
      </c>
      <c r="AI258">
        <v>415</v>
      </c>
      <c r="AJ258">
        <v>204.96</v>
      </c>
      <c r="AK258">
        <v>386</v>
      </c>
      <c r="AL258">
        <v>193.06</v>
      </c>
      <c r="AM258">
        <v>16</v>
      </c>
      <c r="AN258">
        <v>0</v>
      </c>
      <c r="AO258" s="499">
        <v>0</v>
      </c>
      <c r="AP258" s="499">
        <v>0</v>
      </c>
      <c r="AQ258">
        <v>0</v>
      </c>
      <c r="AR258">
        <v>0</v>
      </c>
      <c r="AS258">
        <v>83.57</v>
      </c>
      <c r="AT258">
        <v>84.15</v>
      </c>
      <c r="AU258">
        <v>12.42</v>
      </c>
      <c r="AV258">
        <v>95.11</v>
      </c>
      <c r="AW258">
        <v>14</v>
      </c>
      <c r="AX258">
        <v>104.66</v>
      </c>
      <c r="AY258">
        <v>100.98</v>
      </c>
      <c r="AZ258">
        <v>11.17</v>
      </c>
      <c r="BA258">
        <v>115</v>
      </c>
      <c r="BB258">
        <v>486</v>
      </c>
      <c r="BC258">
        <v>126.21</v>
      </c>
      <c r="BD258">
        <v>121.72</v>
      </c>
      <c r="BE258">
        <v>7.7</v>
      </c>
      <c r="BF258">
        <v>132.43</v>
      </c>
      <c r="BG258">
        <v>655</v>
      </c>
      <c r="BH258">
        <v>143.74</v>
      </c>
      <c r="BI258">
        <v>140.78</v>
      </c>
      <c r="BJ258">
        <v>3.61</v>
      </c>
      <c r="BK258">
        <v>146.13999999999999</v>
      </c>
      <c r="BL258" s="214">
        <v>410</v>
      </c>
      <c r="BM258" s="214">
        <v>159.93</v>
      </c>
      <c r="BN258">
        <v>157.04</v>
      </c>
      <c r="BO258" s="187">
        <v>3.01</v>
      </c>
      <c r="BP258" s="214">
        <v>162.13999999999999</v>
      </c>
      <c r="BQ258" s="214">
        <v>53</v>
      </c>
      <c r="BR258">
        <v>0</v>
      </c>
      <c r="BS258" s="187">
        <v>0</v>
      </c>
      <c r="BT258" s="214">
        <v>0</v>
      </c>
      <c r="BU258" s="214">
        <v>0</v>
      </c>
      <c r="BV258">
        <v>0</v>
      </c>
      <c r="BW258">
        <v>0</v>
      </c>
      <c r="BX258" s="214">
        <v>0</v>
      </c>
      <c r="BY258" s="214">
        <v>0</v>
      </c>
      <c r="BZ258">
        <v>0</v>
      </c>
      <c r="CA258" s="187">
        <v>0</v>
      </c>
      <c r="CB258" s="214">
        <v>124.92</v>
      </c>
      <c r="CC258" s="214">
        <v>121.18</v>
      </c>
      <c r="CD258">
        <v>7.95</v>
      </c>
      <c r="CE258" s="187">
        <v>131.32</v>
      </c>
      <c r="CF258" s="214">
        <v>1618</v>
      </c>
      <c r="CG258" s="214">
        <v>124.92</v>
      </c>
      <c r="CH258">
        <v>121.18</v>
      </c>
      <c r="CI258">
        <v>7.95</v>
      </c>
      <c r="CJ258">
        <v>131.32</v>
      </c>
      <c r="CK258">
        <v>1618</v>
      </c>
      <c r="CL258">
        <v>99.19</v>
      </c>
      <c r="CM258">
        <v>90.37</v>
      </c>
      <c r="CN258" s="187">
        <v>69.97</v>
      </c>
      <c r="CO258">
        <v>169.17</v>
      </c>
      <c r="CP258">
        <v>55</v>
      </c>
      <c r="CQ258">
        <v>93.24</v>
      </c>
      <c r="CR258">
        <v>84.82</v>
      </c>
      <c r="CS258" s="187">
        <v>48.4</v>
      </c>
      <c r="CT258">
        <v>141.65</v>
      </c>
      <c r="CU258">
        <v>40</v>
      </c>
      <c r="CV258">
        <v>130.31</v>
      </c>
      <c r="CW258">
        <v>112.5</v>
      </c>
      <c r="CX258" s="187">
        <v>33.67</v>
      </c>
      <c r="CY258">
        <v>162.85</v>
      </c>
      <c r="CZ258">
        <v>300</v>
      </c>
      <c r="DA258">
        <v>159.61000000000001</v>
      </c>
      <c r="DB258">
        <v>138.05000000000001</v>
      </c>
      <c r="DC258" s="187">
        <v>32.799999999999997</v>
      </c>
      <c r="DD258">
        <v>192.41</v>
      </c>
      <c r="DE258">
        <v>19</v>
      </c>
      <c r="DF258">
        <v>127.95</v>
      </c>
      <c r="DG258">
        <v>116.32</v>
      </c>
      <c r="DH258" s="187">
        <v>31.97</v>
      </c>
      <c r="DI258">
        <v>159.91999999999999</v>
      </c>
      <c r="DJ258">
        <v>1</v>
      </c>
      <c r="DK258">
        <v>0</v>
      </c>
      <c r="DL258">
        <v>0</v>
      </c>
      <c r="DM258" s="187">
        <v>0</v>
      </c>
      <c r="DN258">
        <v>0</v>
      </c>
      <c r="DO258">
        <v>0</v>
      </c>
      <c r="DP258">
        <v>127.73</v>
      </c>
      <c r="DQ258">
        <v>109.69</v>
      </c>
      <c r="DR258" s="187">
        <v>35.299999999999997</v>
      </c>
      <c r="DS258">
        <v>162.05000000000001</v>
      </c>
      <c r="DT258">
        <v>360</v>
      </c>
      <c r="DU258">
        <v>123.95</v>
      </c>
      <c r="DV258">
        <v>107.27</v>
      </c>
      <c r="DW258" s="187">
        <v>40.01</v>
      </c>
      <c r="DX258">
        <v>162.99</v>
      </c>
      <c r="DY258">
        <v>415</v>
      </c>
      <c r="DZ258">
        <v>0</v>
      </c>
      <c r="EA258">
        <v>0</v>
      </c>
      <c r="EB258" s="187">
        <v>145.63999999999999</v>
      </c>
      <c r="EC258">
        <v>1</v>
      </c>
      <c r="ED258">
        <v>164.04</v>
      </c>
      <c r="EE258">
        <v>114</v>
      </c>
      <c r="EF258">
        <v>211.59</v>
      </c>
      <c r="EG258" s="187">
        <v>211</v>
      </c>
      <c r="EH258">
        <v>261.37</v>
      </c>
      <c r="EI258">
        <v>53</v>
      </c>
      <c r="EJ258">
        <v>252.93</v>
      </c>
      <c r="EK258">
        <v>7</v>
      </c>
      <c r="EL258" s="187">
        <v>0</v>
      </c>
      <c r="EM258">
        <v>0</v>
      </c>
      <c r="EN258">
        <v>0</v>
      </c>
      <c r="EO258">
        <v>0</v>
      </c>
      <c r="EP258">
        <v>204.96</v>
      </c>
      <c r="EQ258" s="187">
        <v>386</v>
      </c>
      <c r="ER258">
        <v>204.96</v>
      </c>
      <c r="ES258">
        <v>386</v>
      </c>
      <c r="ET258">
        <v>0</v>
      </c>
      <c r="EU258">
        <v>0</v>
      </c>
      <c r="EV258" s="187">
        <v>0</v>
      </c>
      <c r="EW258">
        <v>0</v>
      </c>
      <c r="EX258">
        <v>186.15</v>
      </c>
      <c r="EY258">
        <v>14</v>
      </c>
      <c r="EZ258">
        <v>241.47</v>
      </c>
      <c r="FA258" s="187">
        <v>2</v>
      </c>
      <c r="FB258">
        <v>0</v>
      </c>
      <c r="FC258">
        <v>0</v>
      </c>
      <c r="FD258">
        <v>0</v>
      </c>
      <c r="FE258">
        <v>0</v>
      </c>
      <c r="FF258" s="187">
        <v>193.06</v>
      </c>
      <c r="FG258">
        <v>16</v>
      </c>
      <c r="FH258">
        <v>193.06</v>
      </c>
      <c r="FI258">
        <v>16</v>
      </c>
      <c r="FJ258">
        <v>52</v>
      </c>
      <c r="FK258" s="187">
        <v>0</v>
      </c>
      <c r="FL258">
        <v>4</v>
      </c>
      <c r="FM258">
        <v>35</v>
      </c>
      <c r="FN258">
        <v>10</v>
      </c>
    </row>
    <row r="259" spans="1:170" x14ac:dyDescent="0.35">
      <c r="A259" t="s">
        <v>904</v>
      </c>
      <c r="B259" t="s">
        <v>905</v>
      </c>
      <c r="C259" t="s">
        <v>418</v>
      </c>
      <c r="D259">
        <v>14543</v>
      </c>
      <c r="E259">
        <v>14499</v>
      </c>
      <c r="F259">
        <v>0</v>
      </c>
      <c r="G259">
        <v>0</v>
      </c>
      <c r="H259">
        <v>623</v>
      </c>
      <c r="I259">
        <v>356</v>
      </c>
      <c r="J259">
        <v>2094</v>
      </c>
      <c r="K259">
        <v>2034</v>
      </c>
      <c r="L259">
        <v>591</v>
      </c>
      <c r="M259">
        <v>1</v>
      </c>
      <c r="N259">
        <v>17851</v>
      </c>
      <c r="O259">
        <v>16890</v>
      </c>
      <c r="P259">
        <v>17260</v>
      </c>
      <c r="Q259">
        <v>10</v>
      </c>
      <c r="R259">
        <v>4</v>
      </c>
      <c r="S259">
        <v>28</v>
      </c>
      <c r="T259">
        <v>216</v>
      </c>
      <c r="U259">
        <v>17635</v>
      </c>
      <c r="V259" s="498">
        <v>14499</v>
      </c>
      <c r="W259">
        <v>145</v>
      </c>
      <c r="X259" s="498">
        <v>93</v>
      </c>
      <c r="Y259" s="498">
        <v>238</v>
      </c>
      <c r="Z259" s="498">
        <v>90.72</v>
      </c>
      <c r="AA259" s="498">
        <v>87.3</v>
      </c>
      <c r="AB259">
        <v>2</v>
      </c>
      <c r="AC259">
        <v>92.52</v>
      </c>
      <c r="AD259">
        <v>13048</v>
      </c>
      <c r="AE259">
        <v>95.57</v>
      </c>
      <c r="AF259">
        <v>80.48</v>
      </c>
      <c r="AG259">
        <v>44.8</v>
      </c>
      <c r="AH259">
        <v>139.58000000000001</v>
      </c>
      <c r="AI259">
        <v>2326</v>
      </c>
      <c r="AJ259">
        <v>102.94</v>
      </c>
      <c r="AK259">
        <v>1405</v>
      </c>
      <c r="AL259">
        <v>149.15</v>
      </c>
      <c r="AM259">
        <v>219</v>
      </c>
      <c r="AN259">
        <v>0</v>
      </c>
      <c r="AO259" s="499">
        <v>0</v>
      </c>
      <c r="AP259" s="499">
        <v>0</v>
      </c>
      <c r="AQ259">
        <v>0</v>
      </c>
      <c r="AR259">
        <v>0</v>
      </c>
      <c r="AS259">
        <v>65.94</v>
      </c>
      <c r="AT259">
        <v>63.22</v>
      </c>
      <c r="AU259">
        <v>14.55</v>
      </c>
      <c r="AV259">
        <v>80.489999999999995</v>
      </c>
      <c r="AW259">
        <v>32</v>
      </c>
      <c r="AX259">
        <v>76.09</v>
      </c>
      <c r="AY259">
        <v>73.069999999999993</v>
      </c>
      <c r="AZ259">
        <v>5.79</v>
      </c>
      <c r="BA259">
        <v>81.650000000000006</v>
      </c>
      <c r="BB259">
        <v>1847</v>
      </c>
      <c r="BC259">
        <v>86.68</v>
      </c>
      <c r="BD259">
        <v>83.4</v>
      </c>
      <c r="BE259">
        <v>2.4500000000000002</v>
      </c>
      <c r="BF259">
        <v>88.75</v>
      </c>
      <c r="BG259">
        <v>3774</v>
      </c>
      <c r="BH259">
        <v>96.23</v>
      </c>
      <c r="BI259">
        <v>92.6</v>
      </c>
      <c r="BJ259">
        <v>0.75</v>
      </c>
      <c r="BK259">
        <v>96.92</v>
      </c>
      <c r="BL259" s="214">
        <v>7113</v>
      </c>
      <c r="BM259" s="214">
        <v>103.43</v>
      </c>
      <c r="BN259">
        <v>100.72</v>
      </c>
      <c r="BO259" s="187">
        <v>0.59</v>
      </c>
      <c r="BP259" s="214">
        <v>103.95</v>
      </c>
      <c r="BQ259" s="214">
        <v>263</v>
      </c>
      <c r="BR259">
        <v>110.3</v>
      </c>
      <c r="BS259" s="187">
        <v>108.79</v>
      </c>
      <c r="BT259" s="214">
        <v>0.64</v>
      </c>
      <c r="BU259" s="214">
        <v>110.89</v>
      </c>
      <c r="BV259">
        <v>12</v>
      </c>
      <c r="BW259">
        <v>124.44</v>
      </c>
      <c r="BX259" s="214">
        <v>119.27</v>
      </c>
      <c r="BY259" s="214">
        <v>0.94</v>
      </c>
      <c r="BZ259">
        <v>125.38</v>
      </c>
      <c r="CA259" s="187">
        <v>7</v>
      </c>
      <c r="CB259" s="214">
        <v>90.72</v>
      </c>
      <c r="CC259" s="214">
        <v>87.3</v>
      </c>
      <c r="CD259">
        <v>2</v>
      </c>
      <c r="CE259" s="187">
        <v>92.52</v>
      </c>
      <c r="CF259" s="214">
        <v>13048</v>
      </c>
      <c r="CG259" s="214">
        <v>90.72</v>
      </c>
      <c r="CH259">
        <v>87.3</v>
      </c>
      <c r="CI259">
        <v>2</v>
      </c>
      <c r="CJ259">
        <v>92.52</v>
      </c>
      <c r="CK259">
        <v>13048</v>
      </c>
      <c r="CL259">
        <v>120.71</v>
      </c>
      <c r="CM259">
        <v>74.72</v>
      </c>
      <c r="CN259" s="187">
        <v>124.17</v>
      </c>
      <c r="CO259">
        <v>240.01</v>
      </c>
      <c r="CP259">
        <v>204</v>
      </c>
      <c r="CQ259">
        <v>83.47</v>
      </c>
      <c r="CR259">
        <v>78.67</v>
      </c>
      <c r="CS259" s="187">
        <v>76.16</v>
      </c>
      <c r="CT259">
        <v>156.52000000000001</v>
      </c>
      <c r="CU259">
        <v>49</v>
      </c>
      <c r="CV259">
        <v>91.41</v>
      </c>
      <c r="CW259">
        <v>78.260000000000005</v>
      </c>
      <c r="CX259" s="187">
        <v>34.22</v>
      </c>
      <c r="CY259">
        <v>125.43</v>
      </c>
      <c r="CZ259">
        <v>1771</v>
      </c>
      <c r="DA259">
        <v>105.87</v>
      </c>
      <c r="DB259">
        <v>97.11</v>
      </c>
      <c r="DC259" s="187">
        <v>48.12</v>
      </c>
      <c r="DD259">
        <v>151.11000000000001</v>
      </c>
      <c r="DE259">
        <v>268</v>
      </c>
      <c r="DF259">
        <v>97.29</v>
      </c>
      <c r="DG259">
        <v>94.3</v>
      </c>
      <c r="DH259" s="187">
        <v>60.69</v>
      </c>
      <c r="DI259">
        <v>147.52000000000001</v>
      </c>
      <c r="DJ259">
        <v>29</v>
      </c>
      <c r="DK259">
        <v>101.26</v>
      </c>
      <c r="DL259">
        <v>101.84</v>
      </c>
      <c r="DM259" s="187">
        <v>123.53</v>
      </c>
      <c r="DN259">
        <v>224.78</v>
      </c>
      <c r="DO259">
        <v>5</v>
      </c>
      <c r="DP259">
        <v>93.15</v>
      </c>
      <c r="DQ259">
        <v>80.75</v>
      </c>
      <c r="DR259" s="187">
        <v>37.36</v>
      </c>
      <c r="DS259">
        <v>129.93</v>
      </c>
      <c r="DT259">
        <v>2122</v>
      </c>
      <c r="DU259">
        <v>95.57</v>
      </c>
      <c r="DV259">
        <v>80.48</v>
      </c>
      <c r="DW259" s="187">
        <v>44.8</v>
      </c>
      <c r="DX259">
        <v>139.58000000000001</v>
      </c>
      <c r="DY259">
        <v>2326</v>
      </c>
      <c r="DZ259">
        <v>0</v>
      </c>
      <c r="EA259">
        <v>0</v>
      </c>
      <c r="EB259" s="187">
        <v>0</v>
      </c>
      <c r="EC259">
        <v>0</v>
      </c>
      <c r="ED259">
        <v>87.18</v>
      </c>
      <c r="EE259">
        <v>221</v>
      </c>
      <c r="EF259">
        <v>101.7</v>
      </c>
      <c r="EG259" s="187">
        <v>640</v>
      </c>
      <c r="EH259">
        <v>109.6</v>
      </c>
      <c r="EI259">
        <v>523</v>
      </c>
      <c r="EJ259">
        <v>140.82</v>
      </c>
      <c r="EK259">
        <v>21</v>
      </c>
      <c r="EL259" s="187">
        <v>0</v>
      </c>
      <c r="EM259">
        <v>0</v>
      </c>
      <c r="EN259">
        <v>0</v>
      </c>
      <c r="EO259">
        <v>0</v>
      </c>
      <c r="EP259">
        <v>102.94</v>
      </c>
      <c r="EQ259" s="187">
        <v>1405</v>
      </c>
      <c r="ER259">
        <v>102.94</v>
      </c>
      <c r="ES259">
        <v>1405</v>
      </c>
      <c r="ET259">
        <v>0</v>
      </c>
      <c r="EU259">
        <v>0</v>
      </c>
      <c r="EV259" s="187">
        <v>0</v>
      </c>
      <c r="EW259">
        <v>0</v>
      </c>
      <c r="EX259">
        <v>153.38</v>
      </c>
      <c r="EY259">
        <v>168</v>
      </c>
      <c r="EZ259">
        <v>135.21</v>
      </c>
      <c r="FA259" s="187">
        <v>51</v>
      </c>
      <c r="FB259">
        <v>0</v>
      </c>
      <c r="FC259">
        <v>0</v>
      </c>
      <c r="FD259">
        <v>0</v>
      </c>
      <c r="FE259">
        <v>0</v>
      </c>
      <c r="FF259" s="187">
        <v>149.15</v>
      </c>
      <c r="FG259">
        <v>219</v>
      </c>
      <c r="FH259">
        <v>149.15</v>
      </c>
      <c r="FI259">
        <v>219</v>
      </c>
      <c r="FJ259">
        <v>0</v>
      </c>
      <c r="FK259" s="187">
        <v>58</v>
      </c>
      <c r="FL259">
        <v>1</v>
      </c>
      <c r="FM259">
        <v>22</v>
      </c>
      <c r="FN259">
        <v>16</v>
      </c>
    </row>
    <row r="260" spans="1:170" x14ac:dyDescent="0.35">
      <c r="A260" t="s">
        <v>906</v>
      </c>
      <c r="B260" t="s">
        <v>907</v>
      </c>
      <c r="C260" t="s">
        <v>420</v>
      </c>
      <c r="D260">
        <v>7221</v>
      </c>
      <c r="E260">
        <v>7230</v>
      </c>
      <c r="F260">
        <v>0</v>
      </c>
      <c r="G260">
        <v>0</v>
      </c>
      <c r="H260">
        <v>264</v>
      </c>
      <c r="I260">
        <v>165</v>
      </c>
      <c r="J260">
        <v>1094</v>
      </c>
      <c r="K260">
        <v>1106</v>
      </c>
      <c r="L260">
        <v>518</v>
      </c>
      <c r="M260">
        <v>0</v>
      </c>
      <c r="N260">
        <v>9097</v>
      </c>
      <c r="O260">
        <v>8501</v>
      </c>
      <c r="P260">
        <v>8579</v>
      </c>
      <c r="Q260">
        <v>0</v>
      </c>
      <c r="R260">
        <v>2</v>
      </c>
      <c r="S260">
        <v>19</v>
      </c>
      <c r="T260">
        <v>4</v>
      </c>
      <c r="U260">
        <v>9093</v>
      </c>
      <c r="V260" s="498">
        <v>7221</v>
      </c>
      <c r="W260">
        <v>31</v>
      </c>
      <c r="X260" s="498">
        <v>42</v>
      </c>
      <c r="Y260" s="498">
        <v>73</v>
      </c>
      <c r="Z260" s="498">
        <v>84.84</v>
      </c>
      <c r="AA260" s="498">
        <v>84.57</v>
      </c>
      <c r="AB260">
        <v>4.59</v>
      </c>
      <c r="AC260">
        <v>87.77</v>
      </c>
      <c r="AD260">
        <v>6388</v>
      </c>
      <c r="AE260">
        <v>87.09</v>
      </c>
      <c r="AF260">
        <v>78.58</v>
      </c>
      <c r="AG260">
        <v>27.11</v>
      </c>
      <c r="AH260">
        <v>114.17</v>
      </c>
      <c r="AI260">
        <v>1185</v>
      </c>
      <c r="AJ260">
        <v>110.66</v>
      </c>
      <c r="AK260">
        <v>797</v>
      </c>
      <c r="AL260">
        <v>187.51</v>
      </c>
      <c r="AM260">
        <v>169</v>
      </c>
      <c r="AN260">
        <v>0</v>
      </c>
      <c r="AO260" s="499">
        <v>0</v>
      </c>
      <c r="AP260" s="499">
        <v>0</v>
      </c>
      <c r="AQ260">
        <v>0</v>
      </c>
      <c r="AR260">
        <v>0</v>
      </c>
      <c r="AS260">
        <v>66.260000000000005</v>
      </c>
      <c r="AT260">
        <v>65.84</v>
      </c>
      <c r="AU260">
        <v>7.58</v>
      </c>
      <c r="AV260">
        <v>73.53</v>
      </c>
      <c r="AW260">
        <v>49</v>
      </c>
      <c r="AX260">
        <v>73.53</v>
      </c>
      <c r="AY260">
        <v>72.95</v>
      </c>
      <c r="AZ260">
        <v>4.68</v>
      </c>
      <c r="BA260">
        <v>77.91</v>
      </c>
      <c r="BB260">
        <v>1365</v>
      </c>
      <c r="BC260">
        <v>84.19</v>
      </c>
      <c r="BD260">
        <v>83.15</v>
      </c>
      <c r="BE260">
        <v>6</v>
      </c>
      <c r="BF260">
        <v>88.54</v>
      </c>
      <c r="BG260">
        <v>2501</v>
      </c>
      <c r="BH260">
        <v>91.76</v>
      </c>
      <c r="BI260">
        <v>92.45</v>
      </c>
      <c r="BJ260">
        <v>1.64</v>
      </c>
      <c r="BK260">
        <v>92.39</v>
      </c>
      <c r="BL260" s="214">
        <v>2354</v>
      </c>
      <c r="BM260" s="214">
        <v>98.77</v>
      </c>
      <c r="BN260">
        <v>99.72</v>
      </c>
      <c r="BO260" s="187">
        <v>0.9</v>
      </c>
      <c r="BP260" s="214">
        <v>99.07</v>
      </c>
      <c r="BQ260" s="214">
        <v>119</v>
      </c>
      <c r="BR260">
        <v>0</v>
      </c>
      <c r="BS260" s="187">
        <v>0</v>
      </c>
      <c r="BT260" s="214">
        <v>0</v>
      </c>
      <c r="BU260" s="214">
        <v>0</v>
      </c>
      <c r="BV260">
        <v>0</v>
      </c>
      <c r="BW260">
        <v>0</v>
      </c>
      <c r="BX260" s="214">
        <v>0</v>
      </c>
      <c r="BY260" s="214">
        <v>0</v>
      </c>
      <c r="BZ260">
        <v>0</v>
      </c>
      <c r="CA260" s="187">
        <v>0</v>
      </c>
      <c r="CB260" s="214">
        <v>84.84</v>
      </c>
      <c r="CC260" s="214">
        <v>84.57</v>
      </c>
      <c r="CD260">
        <v>4.59</v>
      </c>
      <c r="CE260" s="187">
        <v>87.77</v>
      </c>
      <c r="CF260" s="214">
        <v>6388</v>
      </c>
      <c r="CG260" s="214">
        <v>84.84</v>
      </c>
      <c r="CH260">
        <v>84.57</v>
      </c>
      <c r="CI260">
        <v>4.59</v>
      </c>
      <c r="CJ260">
        <v>87.77</v>
      </c>
      <c r="CK260">
        <v>6388</v>
      </c>
      <c r="CL260">
        <v>108.88</v>
      </c>
      <c r="CM260">
        <v>73.97</v>
      </c>
      <c r="CN260" s="187">
        <v>56.67</v>
      </c>
      <c r="CO260">
        <v>165.55</v>
      </c>
      <c r="CP260">
        <v>20</v>
      </c>
      <c r="CQ260">
        <v>70.25</v>
      </c>
      <c r="CR260">
        <v>66.13</v>
      </c>
      <c r="CS260" s="187">
        <v>26.12</v>
      </c>
      <c r="CT260">
        <v>96.37</v>
      </c>
      <c r="CU260">
        <v>23</v>
      </c>
      <c r="CV260">
        <v>86.3</v>
      </c>
      <c r="CW260">
        <v>77.459999999999994</v>
      </c>
      <c r="CX260" s="187">
        <v>27.97</v>
      </c>
      <c r="CY260">
        <v>114.25</v>
      </c>
      <c r="CZ260">
        <v>1007</v>
      </c>
      <c r="DA260">
        <v>92.35</v>
      </c>
      <c r="DB260">
        <v>90</v>
      </c>
      <c r="DC260" s="187">
        <v>16.38</v>
      </c>
      <c r="DD260">
        <v>108.73</v>
      </c>
      <c r="DE260">
        <v>134</v>
      </c>
      <c r="DF260">
        <v>121.36</v>
      </c>
      <c r="DG260">
        <v>135.31</v>
      </c>
      <c r="DH260" s="187">
        <v>21.6</v>
      </c>
      <c r="DI260">
        <v>142.96</v>
      </c>
      <c r="DJ260">
        <v>1</v>
      </c>
      <c r="DK260">
        <v>0</v>
      </c>
      <c r="DL260">
        <v>0</v>
      </c>
      <c r="DM260" s="187">
        <v>0</v>
      </c>
      <c r="DN260">
        <v>0</v>
      </c>
      <c r="DO260">
        <v>0</v>
      </c>
      <c r="DP260">
        <v>86.71</v>
      </c>
      <c r="DQ260">
        <v>78.650000000000006</v>
      </c>
      <c r="DR260" s="187">
        <v>26.6</v>
      </c>
      <c r="DS260">
        <v>113.29</v>
      </c>
      <c r="DT260">
        <v>1165</v>
      </c>
      <c r="DU260">
        <v>87.09</v>
      </c>
      <c r="DV260">
        <v>78.58</v>
      </c>
      <c r="DW260" s="187">
        <v>27.11</v>
      </c>
      <c r="DX260">
        <v>114.17</v>
      </c>
      <c r="DY260">
        <v>1185</v>
      </c>
      <c r="DZ260">
        <v>0</v>
      </c>
      <c r="EA260">
        <v>0</v>
      </c>
      <c r="EB260" s="187">
        <v>68.23</v>
      </c>
      <c r="EC260">
        <v>1</v>
      </c>
      <c r="ED260">
        <v>90.03</v>
      </c>
      <c r="EE260">
        <v>131</v>
      </c>
      <c r="EF260">
        <v>109.27</v>
      </c>
      <c r="EG260" s="187">
        <v>486</v>
      </c>
      <c r="EH260">
        <v>128.35</v>
      </c>
      <c r="EI260">
        <v>163</v>
      </c>
      <c r="EJ260">
        <v>144.41</v>
      </c>
      <c r="EK260">
        <v>16</v>
      </c>
      <c r="EL260" s="187">
        <v>0</v>
      </c>
      <c r="EM260">
        <v>0</v>
      </c>
      <c r="EN260">
        <v>0</v>
      </c>
      <c r="EO260">
        <v>0</v>
      </c>
      <c r="EP260">
        <v>110.66</v>
      </c>
      <c r="EQ260" s="187">
        <v>797</v>
      </c>
      <c r="ER260">
        <v>110.66</v>
      </c>
      <c r="ES260">
        <v>797</v>
      </c>
      <c r="ET260">
        <v>0</v>
      </c>
      <c r="EU260">
        <v>0</v>
      </c>
      <c r="EV260" s="187">
        <v>0</v>
      </c>
      <c r="EW260">
        <v>0</v>
      </c>
      <c r="EX260">
        <v>173.14</v>
      </c>
      <c r="EY260">
        <v>92</v>
      </c>
      <c r="EZ260">
        <v>204.68</v>
      </c>
      <c r="FA260" s="187">
        <v>77</v>
      </c>
      <c r="FB260">
        <v>0</v>
      </c>
      <c r="FC260">
        <v>0</v>
      </c>
      <c r="FD260">
        <v>0</v>
      </c>
      <c r="FE260">
        <v>0</v>
      </c>
      <c r="FF260" s="187">
        <v>187.51</v>
      </c>
      <c r="FG260">
        <v>169</v>
      </c>
      <c r="FH260">
        <v>187.51</v>
      </c>
      <c r="FI260">
        <v>169</v>
      </c>
      <c r="FJ260">
        <v>56</v>
      </c>
      <c r="FK260" s="187">
        <v>15</v>
      </c>
      <c r="FL260">
        <v>17</v>
      </c>
      <c r="FM260">
        <v>63</v>
      </c>
      <c r="FN260">
        <v>8</v>
      </c>
    </row>
    <row r="261" spans="1:170" x14ac:dyDescent="0.35">
      <c r="A261" t="s">
        <v>908</v>
      </c>
      <c r="B261" t="s">
        <v>909</v>
      </c>
      <c r="C261" t="s">
        <v>420</v>
      </c>
      <c r="D261">
        <v>3409</v>
      </c>
      <c r="E261">
        <v>3296</v>
      </c>
      <c r="F261">
        <v>5</v>
      </c>
      <c r="G261">
        <v>5</v>
      </c>
      <c r="H261">
        <v>133</v>
      </c>
      <c r="I261">
        <v>93</v>
      </c>
      <c r="J261">
        <v>279</v>
      </c>
      <c r="K261">
        <v>279</v>
      </c>
      <c r="L261">
        <v>104</v>
      </c>
      <c r="M261">
        <v>0</v>
      </c>
      <c r="N261">
        <v>3930</v>
      </c>
      <c r="O261">
        <v>3673</v>
      </c>
      <c r="P261">
        <v>3826</v>
      </c>
      <c r="Q261">
        <v>1</v>
      </c>
      <c r="R261">
        <v>5</v>
      </c>
      <c r="S261">
        <v>18</v>
      </c>
      <c r="T261">
        <v>80</v>
      </c>
      <c r="U261">
        <v>3850</v>
      </c>
      <c r="V261" s="498">
        <v>3339</v>
      </c>
      <c r="W261">
        <v>30</v>
      </c>
      <c r="X261" s="498">
        <v>4</v>
      </c>
      <c r="Y261" s="498">
        <v>34</v>
      </c>
      <c r="Z261" s="498">
        <v>87.23</v>
      </c>
      <c r="AA261" s="498">
        <v>83.92</v>
      </c>
      <c r="AB261">
        <v>4.71</v>
      </c>
      <c r="AC261">
        <v>89.23</v>
      </c>
      <c r="AD261">
        <v>3041</v>
      </c>
      <c r="AE261">
        <v>84.21</v>
      </c>
      <c r="AF261">
        <v>77.180000000000007</v>
      </c>
      <c r="AG261">
        <v>74.19</v>
      </c>
      <c r="AH261">
        <v>158.18</v>
      </c>
      <c r="AI261">
        <v>330</v>
      </c>
      <c r="AJ261">
        <v>100.73</v>
      </c>
      <c r="AK261">
        <v>269</v>
      </c>
      <c r="AL261">
        <v>151.76</v>
      </c>
      <c r="AM261">
        <v>72</v>
      </c>
      <c r="AN261">
        <v>0</v>
      </c>
      <c r="AO261" s="499">
        <v>0</v>
      </c>
      <c r="AP261" s="499">
        <v>0</v>
      </c>
      <c r="AQ261">
        <v>0</v>
      </c>
      <c r="AR261">
        <v>0</v>
      </c>
      <c r="AS261">
        <v>66.489999999999995</v>
      </c>
      <c r="AT261">
        <v>65.89</v>
      </c>
      <c r="AU261">
        <v>5.82</v>
      </c>
      <c r="AV261">
        <v>72.3</v>
      </c>
      <c r="AW261">
        <v>12</v>
      </c>
      <c r="AX261">
        <v>80.84</v>
      </c>
      <c r="AY261">
        <v>76.41</v>
      </c>
      <c r="AZ261">
        <v>4.74</v>
      </c>
      <c r="BA261">
        <v>85.45</v>
      </c>
      <c r="BB261">
        <v>959</v>
      </c>
      <c r="BC261">
        <v>85.96</v>
      </c>
      <c r="BD261">
        <v>83.19</v>
      </c>
      <c r="BE261">
        <v>3.9</v>
      </c>
      <c r="BF261">
        <v>87.12</v>
      </c>
      <c r="BG261">
        <v>913</v>
      </c>
      <c r="BH261">
        <v>93.6</v>
      </c>
      <c r="BI261">
        <v>90.76</v>
      </c>
      <c r="BJ261">
        <v>7.22</v>
      </c>
      <c r="BK261">
        <v>94.06</v>
      </c>
      <c r="BL261" s="214">
        <v>1128</v>
      </c>
      <c r="BM261" s="214">
        <v>99.49</v>
      </c>
      <c r="BN261">
        <v>96.91</v>
      </c>
      <c r="BO261" s="187">
        <v>3.66</v>
      </c>
      <c r="BP261" s="214">
        <v>99.74</v>
      </c>
      <c r="BQ261" s="214">
        <v>29</v>
      </c>
      <c r="BR261">
        <v>0</v>
      </c>
      <c r="BS261" s="187">
        <v>0</v>
      </c>
      <c r="BT261" s="214">
        <v>0</v>
      </c>
      <c r="BU261" s="214">
        <v>0</v>
      </c>
      <c r="BV261">
        <v>0</v>
      </c>
      <c r="BW261">
        <v>0</v>
      </c>
      <c r="BX261" s="214">
        <v>0</v>
      </c>
      <c r="BY261" s="214">
        <v>0</v>
      </c>
      <c r="BZ261">
        <v>0</v>
      </c>
      <c r="CA261" s="187">
        <v>0</v>
      </c>
      <c r="CB261" s="214">
        <v>87.23</v>
      </c>
      <c r="CC261" s="214">
        <v>83.92</v>
      </c>
      <c r="CD261">
        <v>4.71</v>
      </c>
      <c r="CE261" s="187">
        <v>89.23</v>
      </c>
      <c r="CF261" s="214">
        <v>3041</v>
      </c>
      <c r="CG261" s="214">
        <v>87.23</v>
      </c>
      <c r="CH261">
        <v>83.92</v>
      </c>
      <c r="CI261">
        <v>4.71</v>
      </c>
      <c r="CJ261">
        <v>89.23</v>
      </c>
      <c r="CK261">
        <v>3041</v>
      </c>
      <c r="CL261">
        <v>95.32</v>
      </c>
      <c r="CM261">
        <v>87.68</v>
      </c>
      <c r="CN261" s="187">
        <v>151.02000000000001</v>
      </c>
      <c r="CO261">
        <v>243.13</v>
      </c>
      <c r="CP261">
        <v>47</v>
      </c>
      <c r="CQ261">
        <v>73.209999999999994</v>
      </c>
      <c r="CR261">
        <v>69.33</v>
      </c>
      <c r="CS261" s="187">
        <v>91.8</v>
      </c>
      <c r="CT261">
        <v>165.01</v>
      </c>
      <c r="CU261">
        <v>29</v>
      </c>
      <c r="CV261">
        <v>83.5</v>
      </c>
      <c r="CW261">
        <v>76.08</v>
      </c>
      <c r="CX261" s="187">
        <v>56.72</v>
      </c>
      <c r="CY261">
        <v>140.21</v>
      </c>
      <c r="CZ261">
        <v>248</v>
      </c>
      <c r="DA261">
        <v>79.91</v>
      </c>
      <c r="DB261">
        <v>80.900000000000006</v>
      </c>
      <c r="DC261" s="187">
        <v>122.39</v>
      </c>
      <c r="DD261">
        <v>202.3</v>
      </c>
      <c r="DE261">
        <v>6</v>
      </c>
      <c r="DF261">
        <v>0</v>
      </c>
      <c r="DG261">
        <v>0</v>
      </c>
      <c r="DH261" s="187">
        <v>0</v>
      </c>
      <c r="DI261">
        <v>0</v>
      </c>
      <c r="DJ261">
        <v>0</v>
      </c>
      <c r="DK261">
        <v>0</v>
      </c>
      <c r="DL261">
        <v>0</v>
      </c>
      <c r="DM261" s="187">
        <v>0</v>
      </c>
      <c r="DN261">
        <v>0</v>
      </c>
      <c r="DO261">
        <v>0</v>
      </c>
      <c r="DP261">
        <v>82.37</v>
      </c>
      <c r="DQ261">
        <v>75.42</v>
      </c>
      <c r="DR261" s="187">
        <v>61.7</v>
      </c>
      <c r="DS261">
        <v>144.07</v>
      </c>
      <c r="DT261">
        <v>283</v>
      </c>
      <c r="DU261">
        <v>84.21</v>
      </c>
      <c r="DV261">
        <v>77.180000000000007</v>
      </c>
      <c r="DW261" s="187">
        <v>74.19</v>
      </c>
      <c r="DX261">
        <v>158.18</v>
      </c>
      <c r="DY261">
        <v>330</v>
      </c>
      <c r="DZ261">
        <v>0</v>
      </c>
      <c r="EA261">
        <v>0</v>
      </c>
      <c r="EB261" s="187">
        <v>0</v>
      </c>
      <c r="EC261">
        <v>0</v>
      </c>
      <c r="ED261">
        <v>87.38</v>
      </c>
      <c r="EE261">
        <v>45</v>
      </c>
      <c r="EF261">
        <v>97.29</v>
      </c>
      <c r="EG261" s="187">
        <v>101</v>
      </c>
      <c r="EH261">
        <v>107.69</v>
      </c>
      <c r="EI261">
        <v>118</v>
      </c>
      <c r="EJ261">
        <v>126.08</v>
      </c>
      <c r="EK261">
        <v>5</v>
      </c>
      <c r="EL261" s="187">
        <v>0</v>
      </c>
      <c r="EM261">
        <v>0</v>
      </c>
      <c r="EN261">
        <v>0</v>
      </c>
      <c r="EO261">
        <v>0</v>
      </c>
      <c r="EP261">
        <v>100.73</v>
      </c>
      <c r="EQ261" s="187">
        <v>269</v>
      </c>
      <c r="ER261">
        <v>100.73</v>
      </c>
      <c r="ES261">
        <v>269</v>
      </c>
      <c r="ET261">
        <v>0</v>
      </c>
      <c r="EU261">
        <v>0</v>
      </c>
      <c r="EV261" s="187">
        <v>0</v>
      </c>
      <c r="EW261">
        <v>0</v>
      </c>
      <c r="EX261">
        <v>148.44</v>
      </c>
      <c r="EY261">
        <v>49</v>
      </c>
      <c r="EZ261">
        <v>158.83000000000001</v>
      </c>
      <c r="FA261" s="187">
        <v>23</v>
      </c>
      <c r="FB261">
        <v>0</v>
      </c>
      <c r="FC261">
        <v>0</v>
      </c>
      <c r="FD261">
        <v>0</v>
      </c>
      <c r="FE261">
        <v>0</v>
      </c>
      <c r="FF261" s="187">
        <v>151.76</v>
      </c>
      <c r="FG261">
        <v>72</v>
      </c>
      <c r="FH261">
        <v>151.76</v>
      </c>
      <c r="FI261">
        <v>72</v>
      </c>
      <c r="FJ261">
        <v>6</v>
      </c>
      <c r="FK261" s="187">
        <v>15</v>
      </c>
      <c r="FL261">
        <v>3</v>
      </c>
      <c r="FM261">
        <v>4</v>
      </c>
      <c r="FN261">
        <v>2</v>
      </c>
    </row>
    <row r="262" spans="1:170" x14ac:dyDescent="0.35">
      <c r="A262" t="s">
        <v>910</v>
      </c>
      <c r="B262" t="s">
        <v>911</v>
      </c>
      <c r="C262" t="s">
        <v>415</v>
      </c>
      <c r="D262">
        <v>1722</v>
      </c>
      <c r="E262">
        <v>1609</v>
      </c>
      <c r="F262">
        <v>14</v>
      </c>
      <c r="G262">
        <v>0</v>
      </c>
      <c r="H262">
        <v>171</v>
      </c>
      <c r="I262">
        <v>161</v>
      </c>
      <c r="J262">
        <v>311</v>
      </c>
      <c r="K262">
        <v>311</v>
      </c>
      <c r="L262">
        <v>598</v>
      </c>
      <c r="M262">
        <v>0</v>
      </c>
      <c r="N262">
        <v>2816</v>
      </c>
      <c r="O262">
        <v>2081</v>
      </c>
      <c r="P262">
        <v>2218</v>
      </c>
      <c r="Q262">
        <v>3</v>
      </c>
      <c r="R262">
        <v>7</v>
      </c>
      <c r="S262">
        <v>26</v>
      </c>
      <c r="T262">
        <v>199</v>
      </c>
      <c r="U262">
        <v>2617</v>
      </c>
      <c r="V262" s="498">
        <v>1608</v>
      </c>
      <c r="W262">
        <v>8</v>
      </c>
      <c r="X262" s="498">
        <v>3</v>
      </c>
      <c r="Y262" s="498">
        <v>11</v>
      </c>
      <c r="Z262" s="498">
        <v>116</v>
      </c>
      <c r="AA262" s="498">
        <v>111.86</v>
      </c>
      <c r="AB262">
        <v>7.19</v>
      </c>
      <c r="AC262">
        <v>122.42</v>
      </c>
      <c r="AD262">
        <v>1425</v>
      </c>
      <c r="AE262">
        <v>108.35</v>
      </c>
      <c r="AF262">
        <v>89.75</v>
      </c>
      <c r="AG262">
        <v>37.69</v>
      </c>
      <c r="AH262">
        <v>145.13</v>
      </c>
      <c r="AI262">
        <v>415</v>
      </c>
      <c r="AJ262">
        <v>146.91</v>
      </c>
      <c r="AK262">
        <v>164</v>
      </c>
      <c r="AL262">
        <v>0</v>
      </c>
      <c r="AM262">
        <v>0</v>
      </c>
      <c r="AN262">
        <v>0</v>
      </c>
      <c r="AO262" s="499">
        <v>0</v>
      </c>
      <c r="AP262" s="499">
        <v>0</v>
      </c>
      <c r="AQ262">
        <v>0</v>
      </c>
      <c r="AR262">
        <v>0</v>
      </c>
      <c r="AS262">
        <v>78.319999999999993</v>
      </c>
      <c r="AT262">
        <v>75.44</v>
      </c>
      <c r="AU262">
        <v>14.6</v>
      </c>
      <c r="AV262">
        <v>92.92</v>
      </c>
      <c r="AW262">
        <v>23</v>
      </c>
      <c r="AX262">
        <v>91.66</v>
      </c>
      <c r="AY262">
        <v>89.3</v>
      </c>
      <c r="AZ262">
        <v>9.65</v>
      </c>
      <c r="BA262">
        <v>101.15</v>
      </c>
      <c r="BB262">
        <v>302</v>
      </c>
      <c r="BC262">
        <v>113.83</v>
      </c>
      <c r="BD262">
        <v>109.32</v>
      </c>
      <c r="BE262">
        <v>8.93</v>
      </c>
      <c r="BF262">
        <v>121.96</v>
      </c>
      <c r="BG262">
        <v>611</v>
      </c>
      <c r="BH262">
        <v>132.66999999999999</v>
      </c>
      <c r="BI262">
        <v>127.01</v>
      </c>
      <c r="BJ262">
        <v>2.52</v>
      </c>
      <c r="BK262">
        <v>134.71</v>
      </c>
      <c r="BL262" s="214">
        <v>412</v>
      </c>
      <c r="BM262" s="214">
        <v>150.82</v>
      </c>
      <c r="BN262">
        <v>148.02000000000001</v>
      </c>
      <c r="BO262" s="187">
        <v>2.25</v>
      </c>
      <c r="BP262" s="214">
        <v>152.65</v>
      </c>
      <c r="BQ262" s="214">
        <v>75</v>
      </c>
      <c r="BR262">
        <v>148.97999999999999</v>
      </c>
      <c r="BS262" s="187">
        <v>175.22</v>
      </c>
      <c r="BT262" s="214">
        <v>0.68</v>
      </c>
      <c r="BU262" s="214">
        <v>149.66</v>
      </c>
      <c r="BV262">
        <v>2</v>
      </c>
      <c r="BW262">
        <v>0</v>
      </c>
      <c r="BX262" s="214">
        <v>0</v>
      </c>
      <c r="BY262" s="214">
        <v>0</v>
      </c>
      <c r="BZ262">
        <v>0</v>
      </c>
      <c r="CA262" s="187">
        <v>0</v>
      </c>
      <c r="CB262" s="214">
        <v>116</v>
      </c>
      <c r="CC262" s="214">
        <v>111.86</v>
      </c>
      <c r="CD262">
        <v>7.19</v>
      </c>
      <c r="CE262" s="187">
        <v>122.42</v>
      </c>
      <c r="CF262" s="214">
        <v>1425</v>
      </c>
      <c r="CG262" s="214">
        <v>116</v>
      </c>
      <c r="CH262">
        <v>111.86</v>
      </c>
      <c r="CI262">
        <v>7.19</v>
      </c>
      <c r="CJ262">
        <v>122.42</v>
      </c>
      <c r="CK262">
        <v>1425</v>
      </c>
      <c r="CL262">
        <v>138.55000000000001</v>
      </c>
      <c r="CM262">
        <v>80.430000000000007</v>
      </c>
      <c r="CN262" s="187">
        <v>92.01</v>
      </c>
      <c r="CO262">
        <v>230.55</v>
      </c>
      <c r="CP262">
        <v>41</v>
      </c>
      <c r="CQ262">
        <v>81.900000000000006</v>
      </c>
      <c r="CR262">
        <v>75.17</v>
      </c>
      <c r="CS262" s="187">
        <v>42.94</v>
      </c>
      <c r="CT262">
        <v>124.85</v>
      </c>
      <c r="CU262">
        <v>65</v>
      </c>
      <c r="CV262">
        <v>107.88</v>
      </c>
      <c r="CW262">
        <v>90.23</v>
      </c>
      <c r="CX262" s="187">
        <v>30.33</v>
      </c>
      <c r="CY262">
        <v>137.22</v>
      </c>
      <c r="CZ262">
        <v>276</v>
      </c>
      <c r="DA262">
        <v>125.97</v>
      </c>
      <c r="DB262">
        <v>117.39</v>
      </c>
      <c r="DC262" s="187">
        <v>18.010000000000002</v>
      </c>
      <c r="DD262">
        <v>143.38</v>
      </c>
      <c r="DE262">
        <v>30</v>
      </c>
      <c r="DF262">
        <v>135.66999999999999</v>
      </c>
      <c r="DG262">
        <v>125.06</v>
      </c>
      <c r="DH262" s="187">
        <v>26.67</v>
      </c>
      <c r="DI262">
        <v>162.33000000000001</v>
      </c>
      <c r="DJ262">
        <v>3</v>
      </c>
      <c r="DK262">
        <v>0</v>
      </c>
      <c r="DL262">
        <v>0</v>
      </c>
      <c r="DM262" s="187">
        <v>0</v>
      </c>
      <c r="DN262">
        <v>0</v>
      </c>
      <c r="DO262">
        <v>0</v>
      </c>
      <c r="DP262">
        <v>105.04</v>
      </c>
      <c r="DQ262">
        <v>90.41</v>
      </c>
      <c r="DR262" s="187">
        <v>31.57</v>
      </c>
      <c r="DS262">
        <v>135.77000000000001</v>
      </c>
      <c r="DT262">
        <v>374</v>
      </c>
      <c r="DU262">
        <v>108.35</v>
      </c>
      <c r="DV262">
        <v>89.75</v>
      </c>
      <c r="DW262" s="187">
        <v>37.69</v>
      </c>
      <c r="DX262">
        <v>145.13</v>
      </c>
      <c r="DY262">
        <v>415</v>
      </c>
      <c r="DZ262">
        <v>0</v>
      </c>
      <c r="EA262">
        <v>0</v>
      </c>
      <c r="EB262" s="187">
        <v>103</v>
      </c>
      <c r="EC262">
        <v>12</v>
      </c>
      <c r="ED262">
        <v>118.89</v>
      </c>
      <c r="EE262">
        <v>38</v>
      </c>
      <c r="EF262">
        <v>151.87</v>
      </c>
      <c r="EG262" s="187">
        <v>72</v>
      </c>
      <c r="EH262">
        <v>176.6</v>
      </c>
      <c r="EI262">
        <v>40</v>
      </c>
      <c r="EJ262">
        <v>170.7</v>
      </c>
      <c r="EK262">
        <v>2</v>
      </c>
      <c r="EL262" s="187">
        <v>0</v>
      </c>
      <c r="EM262">
        <v>0</v>
      </c>
      <c r="EN262">
        <v>0</v>
      </c>
      <c r="EO262">
        <v>0</v>
      </c>
      <c r="EP262">
        <v>146.91</v>
      </c>
      <c r="EQ262" s="187">
        <v>164</v>
      </c>
      <c r="ER262">
        <v>146.91</v>
      </c>
      <c r="ES262">
        <v>164</v>
      </c>
      <c r="ET262">
        <v>0</v>
      </c>
      <c r="EU262">
        <v>0</v>
      </c>
      <c r="EV262" s="187">
        <v>0</v>
      </c>
      <c r="EW262">
        <v>0</v>
      </c>
      <c r="EX262">
        <v>0</v>
      </c>
      <c r="EY262">
        <v>0</v>
      </c>
      <c r="EZ262">
        <v>0</v>
      </c>
      <c r="FA262" s="187">
        <v>0</v>
      </c>
      <c r="FB262">
        <v>0</v>
      </c>
      <c r="FC262">
        <v>0</v>
      </c>
      <c r="FD262">
        <v>0</v>
      </c>
      <c r="FE262">
        <v>0</v>
      </c>
      <c r="FF262" s="187">
        <v>0</v>
      </c>
      <c r="FG262">
        <v>0</v>
      </c>
      <c r="FH262">
        <v>0</v>
      </c>
      <c r="FI262">
        <v>0</v>
      </c>
      <c r="FJ262">
        <v>0</v>
      </c>
      <c r="FK262" s="187">
        <v>0</v>
      </c>
      <c r="FL262">
        <v>1</v>
      </c>
      <c r="FM262">
        <v>37</v>
      </c>
      <c r="FN262">
        <v>8</v>
      </c>
    </row>
    <row r="263" spans="1:170" x14ac:dyDescent="0.35">
      <c r="A263" t="s">
        <v>912</v>
      </c>
      <c r="B263" t="s">
        <v>913</v>
      </c>
      <c r="C263" t="s">
        <v>418</v>
      </c>
      <c r="D263">
        <v>4751</v>
      </c>
      <c r="E263">
        <v>4288</v>
      </c>
      <c r="F263">
        <v>0</v>
      </c>
      <c r="G263">
        <v>0</v>
      </c>
      <c r="H263">
        <v>581</v>
      </c>
      <c r="I263">
        <v>319</v>
      </c>
      <c r="J263">
        <v>1241</v>
      </c>
      <c r="K263">
        <v>1242</v>
      </c>
      <c r="L263">
        <v>1286</v>
      </c>
      <c r="M263">
        <v>0</v>
      </c>
      <c r="N263">
        <v>7859</v>
      </c>
      <c r="O263">
        <v>5849</v>
      </c>
      <c r="P263">
        <v>6573</v>
      </c>
      <c r="Q263">
        <v>4</v>
      </c>
      <c r="R263">
        <v>8</v>
      </c>
      <c r="S263">
        <v>25</v>
      </c>
      <c r="T263">
        <v>648</v>
      </c>
      <c r="U263">
        <v>7211</v>
      </c>
      <c r="V263" s="498">
        <v>4275</v>
      </c>
      <c r="W263">
        <v>27</v>
      </c>
      <c r="X263" s="498">
        <v>7</v>
      </c>
      <c r="Y263" s="498">
        <v>34</v>
      </c>
      <c r="Z263" s="498">
        <v>85.28</v>
      </c>
      <c r="AA263" s="498">
        <v>83.75</v>
      </c>
      <c r="AB263">
        <v>7.16</v>
      </c>
      <c r="AC263">
        <v>89.4</v>
      </c>
      <c r="AD263">
        <v>3845</v>
      </c>
      <c r="AE263">
        <v>87.12</v>
      </c>
      <c r="AF263">
        <v>79.69</v>
      </c>
      <c r="AG263">
        <v>31.96</v>
      </c>
      <c r="AH263">
        <v>118.42</v>
      </c>
      <c r="AI263">
        <v>1619</v>
      </c>
      <c r="AJ263">
        <v>117.97</v>
      </c>
      <c r="AK263">
        <v>661</v>
      </c>
      <c r="AL263">
        <v>180.97</v>
      </c>
      <c r="AM263">
        <v>52</v>
      </c>
      <c r="AN263">
        <v>0</v>
      </c>
      <c r="AO263" s="499">
        <v>0</v>
      </c>
      <c r="AP263" s="499">
        <v>0</v>
      </c>
      <c r="AQ263">
        <v>0</v>
      </c>
      <c r="AR263">
        <v>0</v>
      </c>
      <c r="AS263">
        <v>67</v>
      </c>
      <c r="AT263">
        <v>67.63</v>
      </c>
      <c r="AU263">
        <v>8.3000000000000007</v>
      </c>
      <c r="AV263">
        <v>72.8</v>
      </c>
      <c r="AW263">
        <v>60</v>
      </c>
      <c r="AX263">
        <v>78.150000000000006</v>
      </c>
      <c r="AY263">
        <v>76.27</v>
      </c>
      <c r="AZ263">
        <v>8.7899999999999991</v>
      </c>
      <c r="BA263">
        <v>85.4</v>
      </c>
      <c r="BB263">
        <v>1297</v>
      </c>
      <c r="BC263">
        <v>86.45</v>
      </c>
      <c r="BD263">
        <v>84.84</v>
      </c>
      <c r="BE263">
        <v>6.77</v>
      </c>
      <c r="BF263">
        <v>89.8</v>
      </c>
      <c r="BG263">
        <v>1651</v>
      </c>
      <c r="BH263">
        <v>94.34</v>
      </c>
      <c r="BI263">
        <v>93.75</v>
      </c>
      <c r="BJ263">
        <v>2.02</v>
      </c>
      <c r="BK263">
        <v>95</v>
      </c>
      <c r="BL263" s="214">
        <v>776</v>
      </c>
      <c r="BM263" s="214">
        <v>107.83</v>
      </c>
      <c r="BN263">
        <v>106.17</v>
      </c>
      <c r="BO263" s="187">
        <v>1.79</v>
      </c>
      <c r="BP263" s="214">
        <v>108.78</v>
      </c>
      <c r="BQ263" s="214">
        <v>58</v>
      </c>
      <c r="BR263">
        <v>112.92</v>
      </c>
      <c r="BS263" s="187">
        <v>114.61</v>
      </c>
      <c r="BT263" s="214">
        <v>5</v>
      </c>
      <c r="BU263" s="214">
        <v>115.42</v>
      </c>
      <c r="BV263">
        <v>2</v>
      </c>
      <c r="BW263">
        <v>111.43</v>
      </c>
      <c r="BX263" s="214">
        <v>111.43</v>
      </c>
      <c r="BY263" s="214">
        <v>0</v>
      </c>
      <c r="BZ263">
        <v>111.43</v>
      </c>
      <c r="CA263" s="187">
        <v>1</v>
      </c>
      <c r="CB263" s="214">
        <v>85.28</v>
      </c>
      <c r="CC263" s="214">
        <v>83.75</v>
      </c>
      <c r="CD263">
        <v>7.16</v>
      </c>
      <c r="CE263" s="187">
        <v>89.4</v>
      </c>
      <c r="CF263" s="214">
        <v>3845</v>
      </c>
      <c r="CG263" s="214">
        <v>85.28</v>
      </c>
      <c r="CH263">
        <v>83.75</v>
      </c>
      <c r="CI263">
        <v>7.16</v>
      </c>
      <c r="CJ263">
        <v>89.4</v>
      </c>
      <c r="CK263">
        <v>3845</v>
      </c>
      <c r="CL263">
        <v>104.31</v>
      </c>
      <c r="CM263">
        <v>82.85</v>
      </c>
      <c r="CN263" s="187">
        <v>46.66</v>
      </c>
      <c r="CO263">
        <v>148.75</v>
      </c>
      <c r="CP263">
        <v>232</v>
      </c>
      <c r="CQ263">
        <v>73.78</v>
      </c>
      <c r="CR263">
        <v>72.64</v>
      </c>
      <c r="CS263" s="187">
        <v>35.450000000000003</v>
      </c>
      <c r="CT263">
        <v>109.23</v>
      </c>
      <c r="CU263">
        <v>197</v>
      </c>
      <c r="CV263">
        <v>85.27</v>
      </c>
      <c r="CW263">
        <v>79.760000000000005</v>
      </c>
      <c r="CX263" s="187">
        <v>29.51</v>
      </c>
      <c r="CY263">
        <v>114.29</v>
      </c>
      <c r="CZ263">
        <v>1092</v>
      </c>
      <c r="DA263">
        <v>93.56</v>
      </c>
      <c r="DB263">
        <v>89.31</v>
      </c>
      <c r="DC263" s="187">
        <v>17.05</v>
      </c>
      <c r="DD263">
        <v>110.03</v>
      </c>
      <c r="DE263">
        <v>87</v>
      </c>
      <c r="DF263">
        <v>92.95</v>
      </c>
      <c r="DG263">
        <v>92.3</v>
      </c>
      <c r="DH263" s="187">
        <v>27.36</v>
      </c>
      <c r="DI263">
        <v>117.58</v>
      </c>
      <c r="DJ263">
        <v>10</v>
      </c>
      <c r="DK263">
        <v>127.08</v>
      </c>
      <c r="DL263">
        <v>136.84</v>
      </c>
      <c r="DM263" s="187">
        <v>21.13</v>
      </c>
      <c r="DN263">
        <v>148.21</v>
      </c>
      <c r="DO263">
        <v>1</v>
      </c>
      <c r="DP263">
        <v>84.24</v>
      </c>
      <c r="DQ263">
        <v>79.459999999999994</v>
      </c>
      <c r="DR263" s="187">
        <v>29.58</v>
      </c>
      <c r="DS263">
        <v>113.35</v>
      </c>
      <c r="DT263">
        <v>1387</v>
      </c>
      <c r="DU263">
        <v>87.12</v>
      </c>
      <c r="DV263">
        <v>79.69</v>
      </c>
      <c r="DW263" s="187">
        <v>31.96</v>
      </c>
      <c r="DX263">
        <v>118.42</v>
      </c>
      <c r="DY263">
        <v>1619</v>
      </c>
      <c r="DZ263">
        <v>0</v>
      </c>
      <c r="EA263">
        <v>0</v>
      </c>
      <c r="EB263" s="187">
        <v>0</v>
      </c>
      <c r="EC263">
        <v>0</v>
      </c>
      <c r="ED263">
        <v>100.52</v>
      </c>
      <c r="EE263">
        <v>131</v>
      </c>
      <c r="EF263">
        <v>120.49</v>
      </c>
      <c r="EG263" s="187">
        <v>421</v>
      </c>
      <c r="EH263">
        <v>127.96</v>
      </c>
      <c r="EI263">
        <v>104</v>
      </c>
      <c r="EJ263">
        <v>158.08000000000001</v>
      </c>
      <c r="EK263">
        <v>4</v>
      </c>
      <c r="EL263" s="187">
        <v>141.38999999999999</v>
      </c>
      <c r="EM263">
        <v>1</v>
      </c>
      <c r="EN263">
        <v>0</v>
      </c>
      <c r="EO263">
        <v>0</v>
      </c>
      <c r="EP263">
        <v>117.97</v>
      </c>
      <c r="EQ263" s="187">
        <v>661</v>
      </c>
      <c r="ER263">
        <v>117.97</v>
      </c>
      <c r="ES263">
        <v>661</v>
      </c>
      <c r="ET263">
        <v>44.44</v>
      </c>
      <c r="EU263">
        <v>4</v>
      </c>
      <c r="EV263" s="187">
        <v>0</v>
      </c>
      <c r="EW263">
        <v>0</v>
      </c>
      <c r="EX263">
        <v>192.34</v>
      </c>
      <c r="EY263">
        <v>48</v>
      </c>
      <c r="EZ263">
        <v>0</v>
      </c>
      <c r="FA263" s="187">
        <v>0</v>
      </c>
      <c r="FB263">
        <v>0</v>
      </c>
      <c r="FC263">
        <v>0</v>
      </c>
      <c r="FD263">
        <v>0</v>
      </c>
      <c r="FE263">
        <v>0</v>
      </c>
      <c r="FF263" s="187">
        <v>192.34</v>
      </c>
      <c r="FG263">
        <v>48</v>
      </c>
      <c r="FH263">
        <v>180.97</v>
      </c>
      <c r="FI263">
        <v>52</v>
      </c>
      <c r="FJ263">
        <v>6</v>
      </c>
      <c r="FK263" s="187">
        <v>14</v>
      </c>
      <c r="FL263">
        <v>12</v>
      </c>
      <c r="FM263">
        <v>18</v>
      </c>
      <c r="FN263">
        <v>23</v>
      </c>
    </row>
    <row r="264" spans="1:170" x14ac:dyDescent="0.35">
      <c r="A264" t="s">
        <v>914</v>
      </c>
      <c r="B264" t="s">
        <v>915</v>
      </c>
      <c r="C264" t="s">
        <v>417</v>
      </c>
      <c r="D264">
        <v>12863</v>
      </c>
      <c r="E264">
        <v>12745</v>
      </c>
      <c r="F264">
        <v>0</v>
      </c>
      <c r="G264">
        <v>0</v>
      </c>
      <c r="H264">
        <v>372</v>
      </c>
      <c r="I264">
        <v>285</v>
      </c>
      <c r="J264">
        <v>827</v>
      </c>
      <c r="K264">
        <v>807</v>
      </c>
      <c r="L264">
        <v>322</v>
      </c>
      <c r="M264">
        <v>0</v>
      </c>
      <c r="N264">
        <v>14384</v>
      </c>
      <c r="O264">
        <v>13837</v>
      </c>
      <c r="P264">
        <v>14062</v>
      </c>
      <c r="Q264">
        <v>2</v>
      </c>
      <c r="R264">
        <v>6</v>
      </c>
      <c r="S264">
        <v>18</v>
      </c>
      <c r="T264">
        <v>241</v>
      </c>
      <c r="U264">
        <v>14143</v>
      </c>
      <c r="V264" s="498">
        <v>12707</v>
      </c>
      <c r="W264">
        <v>90</v>
      </c>
      <c r="X264" s="498">
        <v>72</v>
      </c>
      <c r="Y264" s="498">
        <v>162</v>
      </c>
      <c r="Z264" s="498">
        <v>83.92</v>
      </c>
      <c r="AA264" s="498">
        <v>86.85</v>
      </c>
      <c r="AB264">
        <v>12.26</v>
      </c>
      <c r="AC264">
        <v>87.32</v>
      </c>
      <c r="AD264">
        <v>10658</v>
      </c>
      <c r="AE264">
        <v>89.61</v>
      </c>
      <c r="AF264">
        <v>80.88</v>
      </c>
      <c r="AG264">
        <v>56.84</v>
      </c>
      <c r="AH264">
        <v>145.75</v>
      </c>
      <c r="AI264">
        <v>1054</v>
      </c>
      <c r="AJ264">
        <v>102.81</v>
      </c>
      <c r="AK264">
        <v>2034</v>
      </c>
      <c r="AL264">
        <v>165.24</v>
      </c>
      <c r="AM264">
        <v>60</v>
      </c>
      <c r="AN264">
        <v>0</v>
      </c>
      <c r="AO264" s="499">
        <v>0</v>
      </c>
      <c r="AP264" s="499">
        <v>0</v>
      </c>
      <c r="AQ264">
        <v>0</v>
      </c>
      <c r="AR264">
        <v>0</v>
      </c>
      <c r="AS264">
        <v>63.95</v>
      </c>
      <c r="AT264">
        <v>62.78</v>
      </c>
      <c r="AU264">
        <v>4.63</v>
      </c>
      <c r="AV264">
        <v>67.53</v>
      </c>
      <c r="AW264">
        <v>97</v>
      </c>
      <c r="AX264">
        <v>74.400000000000006</v>
      </c>
      <c r="AY264">
        <v>76.97</v>
      </c>
      <c r="AZ264">
        <v>13.53</v>
      </c>
      <c r="BA264">
        <v>79.180000000000007</v>
      </c>
      <c r="BB264">
        <v>3156</v>
      </c>
      <c r="BC264">
        <v>84.02</v>
      </c>
      <c r="BD264">
        <v>85.98</v>
      </c>
      <c r="BE264">
        <v>13.19</v>
      </c>
      <c r="BF264">
        <v>89.04</v>
      </c>
      <c r="BG264">
        <v>3568</v>
      </c>
      <c r="BH264">
        <v>91.62</v>
      </c>
      <c r="BI264">
        <v>95.88</v>
      </c>
      <c r="BJ264">
        <v>7.38</v>
      </c>
      <c r="BK264">
        <v>92.37</v>
      </c>
      <c r="BL264" s="214">
        <v>3572</v>
      </c>
      <c r="BM264" s="214">
        <v>99.06</v>
      </c>
      <c r="BN264">
        <v>103.34</v>
      </c>
      <c r="BO264" s="187">
        <v>3.48</v>
      </c>
      <c r="BP264" s="214">
        <v>99.56</v>
      </c>
      <c r="BQ264" s="214">
        <v>246</v>
      </c>
      <c r="BR264">
        <v>105.83</v>
      </c>
      <c r="BS264" s="187">
        <v>110.21</v>
      </c>
      <c r="BT264" s="214">
        <v>3.03</v>
      </c>
      <c r="BU264" s="214">
        <v>105.99</v>
      </c>
      <c r="BV264">
        <v>19</v>
      </c>
      <c r="BW264">
        <v>0</v>
      </c>
      <c r="BX264" s="214">
        <v>0</v>
      </c>
      <c r="BY264" s="214">
        <v>0</v>
      </c>
      <c r="BZ264">
        <v>0</v>
      </c>
      <c r="CA264" s="187">
        <v>0</v>
      </c>
      <c r="CB264" s="214">
        <v>83.92</v>
      </c>
      <c r="CC264" s="214">
        <v>86.85</v>
      </c>
      <c r="CD264">
        <v>12.26</v>
      </c>
      <c r="CE264" s="187">
        <v>87.32</v>
      </c>
      <c r="CF264" s="214">
        <v>10658</v>
      </c>
      <c r="CG264" s="214">
        <v>83.92</v>
      </c>
      <c r="CH264">
        <v>86.85</v>
      </c>
      <c r="CI264">
        <v>12.26</v>
      </c>
      <c r="CJ264">
        <v>87.32</v>
      </c>
      <c r="CK264">
        <v>10658</v>
      </c>
      <c r="CL264">
        <v>97.61</v>
      </c>
      <c r="CM264">
        <v>85.18</v>
      </c>
      <c r="CN264" s="187">
        <v>56.46</v>
      </c>
      <c r="CO264">
        <v>152.62</v>
      </c>
      <c r="CP264">
        <v>39</v>
      </c>
      <c r="CQ264">
        <v>71.23</v>
      </c>
      <c r="CR264">
        <v>65.88</v>
      </c>
      <c r="CS264" s="187">
        <v>44.91</v>
      </c>
      <c r="CT264">
        <v>116.14</v>
      </c>
      <c r="CU264">
        <v>101</v>
      </c>
      <c r="CV264">
        <v>84.66</v>
      </c>
      <c r="CW264">
        <v>76.959999999999994</v>
      </c>
      <c r="CX264" s="187">
        <v>47.21</v>
      </c>
      <c r="CY264">
        <v>131.38</v>
      </c>
      <c r="CZ264">
        <v>573</v>
      </c>
      <c r="DA264">
        <v>100.6</v>
      </c>
      <c r="DB264">
        <v>91.78</v>
      </c>
      <c r="DC264" s="187">
        <v>74.56</v>
      </c>
      <c r="DD264">
        <v>174.69</v>
      </c>
      <c r="DE264">
        <v>318</v>
      </c>
      <c r="DF264">
        <v>128.28</v>
      </c>
      <c r="DG264">
        <v>100.73</v>
      </c>
      <c r="DH264" s="187">
        <v>113.39</v>
      </c>
      <c r="DI264">
        <v>221.94</v>
      </c>
      <c r="DJ264">
        <v>23</v>
      </c>
      <c r="DK264">
        <v>0</v>
      </c>
      <c r="DL264">
        <v>0</v>
      </c>
      <c r="DM264" s="187">
        <v>0</v>
      </c>
      <c r="DN264">
        <v>0</v>
      </c>
      <c r="DO264">
        <v>0</v>
      </c>
      <c r="DP264">
        <v>89.3</v>
      </c>
      <c r="DQ264">
        <v>80.77</v>
      </c>
      <c r="DR264" s="187">
        <v>56.85</v>
      </c>
      <c r="DS264">
        <v>145.47999999999999</v>
      </c>
      <c r="DT264">
        <v>1015</v>
      </c>
      <c r="DU264">
        <v>89.61</v>
      </c>
      <c r="DV264">
        <v>80.88</v>
      </c>
      <c r="DW264" s="187">
        <v>56.84</v>
      </c>
      <c r="DX264">
        <v>145.75</v>
      </c>
      <c r="DY264">
        <v>1054</v>
      </c>
      <c r="DZ264">
        <v>0</v>
      </c>
      <c r="EA264">
        <v>0</v>
      </c>
      <c r="EB264" s="187">
        <v>0</v>
      </c>
      <c r="EC264">
        <v>0</v>
      </c>
      <c r="ED264">
        <v>93.12</v>
      </c>
      <c r="EE264">
        <v>46</v>
      </c>
      <c r="EF264">
        <v>100.75</v>
      </c>
      <c r="EG264" s="187">
        <v>1109</v>
      </c>
      <c r="EH264">
        <v>105.23</v>
      </c>
      <c r="EI264">
        <v>828</v>
      </c>
      <c r="EJ264">
        <v>116.53</v>
      </c>
      <c r="EK264">
        <v>48</v>
      </c>
      <c r="EL264" s="187">
        <v>129.01</v>
      </c>
      <c r="EM264">
        <v>3</v>
      </c>
      <c r="EN264">
        <v>0</v>
      </c>
      <c r="EO264">
        <v>0</v>
      </c>
      <c r="EP264">
        <v>102.81</v>
      </c>
      <c r="EQ264" s="187">
        <v>2034</v>
      </c>
      <c r="ER264">
        <v>102.81</v>
      </c>
      <c r="ES264">
        <v>2034</v>
      </c>
      <c r="ET264">
        <v>107.94</v>
      </c>
      <c r="EU264">
        <v>2</v>
      </c>
      <c r="EV264" s="187">
        <v>0</v>
      </c>
      <c r="EW264">
        <v>0</v>
      </c>
      <c r="EX264">
        <v>147.35</v>
      </c>
      <c r="EY264">
        <v>31</v>
      </c>
      <c r="EZ264">
        <v>190.02</v>
      </c>
      <c r="FA264" s="187">
        <v>27</v>
      </c>
      <c r="FB264">
        <v>0</v>
      </c>
      <c r="FC264">
        <v>0</v>
      </c>
      <c r="FD264">
        <v>0</v>
      </c>
      <c r="FE264">
        <v>0</v>
      </c>
      <c r="FF264" s="187">
        <v>167.21</v>
      </c>
      <c r="FG264">
        <v>58</v>
      </c>
      <c r="FH264">
        <v>165.24</v>
      </c>
      <c r="FI264">
        <v>60</v>
      </c>
      <c r="FJ264">
        <v>1</v>
      </c>
      <c r="FK264" s="187">
        <v>47</v>
      </c>
      <c r="FL264">
        <v>0</v>
      </c>
      <c r="FM264">
        <v>11</v>
      </c>
      <c r="FN264">
        <v>10</v>
      </c>
    </row>
    <row r="265" spans="1:170" x14ac:dyDescent="0.35">
      <c r="A265" t="s">
        <v>916</v>
      </c>
      <c r="B265" t="s">
        <v>917</v>
      </c>
      <c r="C265" t="s">
        <v>420</v>
      </c>
      <c r="D265">
        <v>6082</v>
      </c>
      <c r="E265">
        <v>5491</v>
      </c>
      <c r="F265">
        <v>4</v>
      </c>
      <c r="G265">
        <v>4</v>
      </c>
      <c r="H265">
        <v>827</v>
      </c>
      <c r="I265">
        <v>239</v>
      </c>
      <c r="J265">
        <v>1524</v>
      </c>
      <c r="K265">
        <v>1047</v>
      </c>
      <c r="L265">
        <v>249</v>
      </c>
      <c r="M265">
        <v>9</v>
      </c>
      <c r="N265">
        <v>8686</v>
      </c>
      <c r="O265">
        <v>6790</v>
      </c>
      <c r="P265">
        <v>8437</v>
      </c>
      <c r="Q265">
        <v>90</v>
      </c>
      <c r="R265">
        <v>11</v>
      </c>
      <c r="S265">
        <v>18</v>
      </c>
      <c r="T265">
        <v>1069</v>
      </c>
      <c r="U265">
        <v>7617</v>
      </c>
      <c r="V265" s="498">
        <v>5485</v>
      </c>
      <c r="W265">
        <v>60</v>
      </c>
      <c r="X265" s="498">
        <v>56</v>
      </c>
      <c r="Y265" s="498">
        <v>116</v>
      </c>
      <c r="Z265" s="498">
        <v>78.27</v>
      </c>
      <c r="AA265" s="498">
        <v>77.569999999999993</v>
      </c>
      <c r="AB265">
        <v>4.78</v>
      </c>
      <c r="AC265">
        <v>81.64</v>
      </c>
      <c r="AD265">
        <v>4854</v>
      </c>
      <c r="AE265">
        <v>98.26</v>
      </c>
      <c r="AF265">
        <v>86.53</v>
      </c>
      <c r="AG265">
        <v>69.95</v>
      </c>
      <c r="AH265">
        <v>167.94</v>
      </c>
      <c r="AI265">
        <v>1790</v>
      </c>
      <c r="AJ265">
        <v>101.84</v>
      </c>
      <c r="AK265">
        <v>760</v>
      </c>
      <c r="AL265">
        <v>231.51</v>
      </c>
      <c r="AM265">
        <v>143</v>
      </c>
      <c r="AN265">
        <v>81.510000000000005</v>
      </c>
      <c r="AO265" s="499">
        <v>81.81</v>
      </c>
      <c r="AP265" s="499">
        <v>11.04</v>
      </c>
      <c r="AQ265">
        <v>92.55</v>
      </c>
      <c r="AR265">
        <v>4</v>
      </c>
      <c r="AS265">
        <v>63.95</v>
      </c>
      <c r="AT265">
        <v>62.05</v>
      </c>
      <c r="AU265">
        <v>11.1</v>
      </c>
      <c r="AV265">
        <v>73.34</v>
      </c>
      <c r="AW265">
        <v>13</v>
      </c>
      <c r="AX265">
        <v>70.56</v>
      </c>
      <c r="AY265">
        <v>69.930000000000007</v>
      </c>
      <c r="AZ265">
        <v>7.77</v>
      </c>
      <c r="BA265">
        <v>78.150000000000006</v>
      </c>
      <c r="BB265">
        <v>1304</v>
      </c>
      <c r="BC265">
        <v>76.819999999999993</v>
      </c>
      <c r="BD265">
        <v>76.290000000000006</v>
      </c>
      <c r="BE265">
        <v>3.44</v>
      </c>
      <c r="BF265">
        <v>79.03</v>
      </c>
      <c r="BG265">
        <v>2391</v>
      </c>
      <c r="BH265">
        <v>89.03</v>
      </c>
      <c r="BI265">
        <v>87.99</v>
      </c>
      <c r="BJ265">
        <v>1.58</v>
      </c>
      <c r="BK265">
        <v>89.88</v>
      </c>
      <c r="BL265" s="214">
        <v>1054</v>
      </c>
      <c r="BM265" s="214">
        <v>104.02</v>
      </c>
      <c r="BN265">
        <v>101.91</v>
      </c>
      <c r="BO265" s="187">
        <v>3.85</v>
      </c>
      <c r="BP265" s="214">
        <v>105.6</v>
      </c>
      <c r="BQ265" s="214">
        <v>85</v>
      </c>
      <c r="BR265">
        <v>0</v>
      </c>
      <c r="BS265" s="187">
        <v>0</v>
      </c>
      <c r="BT265" s="214">
        <v>0</v>
      </c>
      <c r="BU265" s="214">
        <v>0</v>
      </c>
      <c r="BV265">
        <v>0</v>
      </c>
      <c r="BW265">
        <v>126.67</v>
      </c>
      <c r="BX265" s="214">
        <v>124.5</v>
      </c>
      <c r="BY265" s="214">
        <v>4.46</v>
      </c>
      <c r="BZ265">
        <v>129.63999999999999</v>
      </c>
      <c r="CA265" s="187">
        <v>3</v>
      </c>
      <c r="CB265" s="214">
        <v>78.260000000000005</v>
      </c>
      <c r="CC265" s="214">
        <v>77.56</v>
      </c>
      <c r="CD265">
        <v>4.7699999999999996</v>
      </c>
      <c r="CE265" s="187">
        <v>81.63</v>
      </c>
      <c r="CF265" s="214">
        <v>4850</v>
      </c>
      <c r="CG265" s="214">
        <v>78.27</v>
      </c>
      <c r="CH265">
        <v>77.569999999999993</v>
      </c>
      <c r="CI265">
        <v>4.78</v>
      </c>
      <c r="CJ265">
        <v>81.64</v>
      </c>
      <c r="CK265">
        <v>4854</v>
      </c>
      <c r="CL265">
        <v>75.760000000000005</v>
      </c>
      <c r="CM265">
        <v>66.760000000000005</v>
      </c>
      <c r="CN265" s="187">
        <v>180.89</v>
      </c>
      <c r="CO265">
        <v>255.58</v>
      </c>
      <c r="CP265">
        <v>170</v>
      </c>
      <c r="CQ265">
        <v>66.489999999999995</v>
      </c>
      <c r="CR265">
        <v>63.38</v>
      </c>
      <c r="CS265" s="187">
        <v>80.569999999999993</v>
      </c>
      <c r="CT265">
        <v>147.07</v>
      </c>
      <c r="CU265">
        <v>40</v>
      </c>
      <c r="CV265">
        <v>102.01</v>
      </c>
      <c r="CW265">
        <v>90.92</v>
      </c>
      <c r="CX265" s="187">
        <v>65.28</v>
      </c>
      <c r="CY265">
        <v>167.22</v>
      </c>
      <c r="CZ265">
        <v>975</v>
      </c>
      <c r="DA265">
        <v>100.46</v>
      </c>
      <c r="DB265">
        <v>87.46</v>
      </c>
      <c r="DC265" s="187">
        <v>44.12</v>
      </c>
      <c r="DD265">
        <v>144.21</v>
      </c>
      <c r="DE265">
        <v>596</v>
      </c>
      <c r="DF265">
        <v>112.97</v>
      </c>
      <c r="DG265">
        <v>109.9</v>
      </c>
      <c r="DH265" s="187">
        <v>141.58000000000001</v>
      </c>
      <c r="DI265">
        <v>254.55</v>
      </c>
      <c r="DJ265">
        <v>9</v>
      </c>
      <c r="DK265">
        <v>0</v>
      </c>
      <c r="DL265">
        <v>0</v>
      </c>
      <c r="DM265" s="187">
        <v>0</v>
      </c>
      <c r="DN265">
        <v>0</v>
      </c>
      <c r="DO265">
        <v>0</v>
      </c>
      <c r="DP265">
        <v>100.62</v>
      </c>
      <c r="DQ265">
        <v>89.16</v>
      </c>
      <c r="DR265" s="187">
        <v>58.34</v>
      </c>
      <c r="DS265">
        <v>158.74</v>
      </c>
      <c r="DT265">
        <v>1620</v>
      </c>
      <c r="DU265">
        <v>98.26</v>
      </c>
      <c r="DV265">
        <v>86.53</v>
      </c>
      <c r="DW265" s="187">
        <v>69.95</v>
      </c>
      <c r="DX265">
        <v>167.94</v>
      </c>
      <c r="DY265">
        <v>1790</v>
      </c>
      <c r="DZ265">
        <v>0</v>
      </c>
      <c r="EA265">
        <v>0</v>
      </c>
      <c r="EB265" s="187">
        <v>0</v>
      </c>
      <c r="EC265">
        <v>0</v>
      </c>
      <c r="ED265">
        <v>85.65</v>
      </c>
      <c r="EE265">
        <v>83</v>
      </c>
      <c r="EF265">
        <v>99.15</v>
      </c>
      <c r="EG265" s="187">
        <v>388</v>
      </c>
      <c r="EH265">
        <v>108.38</v>
      </c>
      <c r="EI265">
        <v>262</v>
      </c>
      <c r="EJ265">
        <v>127.63</v>
      </c>
      <c r="EK265">
        <v>25</v>
      </c>
      <c r="EL265" s="187">
        <v>118.89</v>
      </c>
      <c r="EM265">
        <v>2</v>
      </c>
      <c r="EN265">
        <v>0</v>
      </c>
      <c r="EO265">
        <v>0</v>
      </c>
      <c r="EP265">
        <v>101.84</v>
      </c>
      <c r="EQ265" s="187">
        <v>760</v>
      </c>
      <c r="ER265">
        <v>101.84</v>
      </c>
      <c r="ES265">
        <v>760</v>
      </c>
      <c r="ET265">
        <v>0</v>
      </c>
      <c r="EU265">
        <v>0</v>
      </c>
      <c r="EV265" s="187">
        <v>0</v>
      </c>
      <c r="EW265">
        <v>0</v>
      </c>
      <c r="EX265">
        <v>240.96</v>
      </c>
      <c r="EY265">
        <v>73</v>
      </c>
      <c r="EZ265">
        <v>221.67</v>
      </c>
      <c r="FA265" s="187">
        <v>70</v>
      </c>
      <c r="FB265">
        <v>0</v>
      </c>
      <c r="FC265">
        <v>0</v>
      </c>
      <c r="FD265">
        <v>0</v>
      </c>
      <c r="FE265">
        <v>0</v>
      </c>
      <c r="FF265" s="187">
        <v>231.51</v>
      </c>
      <c r="FG265">
        <v>143</v>
      </c>
      <c r="FH265">
        <v>231.51</v>
      </c>
      <c r="FI265">
        <v>143</v>
      </c>
      <c r="FJ265">
        <v>163</v>
      </c>
      <c r="FK265" s="187">
        <v>6</v>
      </c>
      <c r="FL265">
        <v>7</v>
      </c>
      <c r="FM265">
        <v>0</v>
      </c>
      <c r="FN265">
        <v>10</v>
      </c>
    </row>
    <row r="266" spans="1:170" x14ac:dyDescent="0.35">
      <c r="A266" t="s">
        <v>918</v>
      </c>
      <c r="B266" t="s">
        <v>919</v>
      </c>
      <c r="C266" t="s">
        <v>420</v>
      </c>
      <c r="D266">
        <v>7517</v>
      </c>
      <c r="E266">
        <v>7053</v>
      </c>
      <c r="F266">
        <v>2</v>
      </c>
      <c r="G266">
        <v>2</v>
      </c>
      <c r="H266">
        <v>97</v>
      </c>
      <c r="I266">
        <v>50</v>
      </c>
      <c r="J266">
        <v>834</v>
      </c>
      <c r="K266">
        <v>788</v>
      </c>
      <c r="L266">
        <v>1115</v>
      </c>
      <c r="M266">
        <v>484</v>
      </c>
      <c r="N266">
        <v>9565</v>
      </c>
      <c r="O266">
        <v>8377</v>
      </c>
      <c r="P266">
        <v>8450</v>
      </c>
      <c r="Q266">
        <v>4</v>
      </c>
      <c r="R266">
        <v>8</v>
      </c>
      <c r="S266">
        <v>20</v>
      </c>
      <c r="T266">
        <v>499</v>
      </c>
      <c r="U266">
        <v>9066</v>
      </c>
      <c r="V266" s="498">
        <v>7087</v>
      </c>
      <c r="W266">
        <v>125</v>
      </c>
      <c r="X266" s="498">
        <v>38</v>
      </c>
      <c r="Y266" s="498">
        <v>163</v>
      </c>
      <c r="Z266" s="498">
        <v>109.11</v>
      </c>
      <c r="AA266" s="498">
        <v>106.24</v>
      </c>
      <c r="AB266">
        <v>5.95</v>
      </c>
      <c r="AC266">
        <v>112.1</v>
      </c>
      <c r="AD266">
        <v>6748</v>
      </c>
      <c r="AE266">
        <v>102.69</v>
      </c>
      <c r="AF266">
        <v>95.5</v>
      </c>
      <c r="AG266">
        <v>44.9</v>
      </c>
      <c r="AH266">
        <v>146.83000000000001</v>
      </c>
      <c r="AI266">
        <v>771</v>
      </c>
      <c r="AJ266">
        <v>146.04</v>
      </c>
      <c r="AK266">
        <v>412</v>
      </c>
      <c r="AL266">
        <v>178.98</v>
      </c>
      <c r="AM266">
        <v>91</v>
      </c>
      <c r="AN266">
        <v>0</v>
      </c>
      <c r="AO266" s="499">
        <v>0</v>
      </c>
      <c r="AP266" s="499">
        <v>0</v>
      </c>
      <c r="AQ266">
        <v>0</v>
      </c>
      <c r="AR266">
        <v>0</v>
      </c>
      <c r="AS266">
        <v>82.03</v>
      </c>
      <c r="AT266">
        <v>78.12</v>
      </c>
      <c r="AU266">
        <v>7.99</v>
      </c>
      <c r="AV266">
        <v>90.02</v>
      </c>
      <c r="AW266">
        <v>1</v>
      </c>
      <c r="AX266">
        <v>90.95</v>
      </c>
      <c r="AY266">
        <v>87.76</v>
      </c>
      <c r="AZ266">
        <v>8.4600000000000009</v>
      </c>
      <c r="BA266">
        <v>97.13</v>
      </c>
      <c r="BB266">
        <v>948</v>
      </c>
      <c r="BC266">
        <v>105.61</v>
      </c>
      <c r="BD266">
        <v>102.07</v>
      </c>
      <c r="BE266">
        <v>6.04</v>
      </c>
      <c r="BF266">
        <v>108.86</v>
      </c>
      <c r="BG266">
        <v>3102</v>
      </c>
      <c r="BH266">
        <v>116.08</v>
      </c>
      <c r="BI266">
        <v>114.2</v>
      </c>
      <c r="BJ266">
        <v>4.2699999999999996</v>
      </c>
      <c r="BK266">
        <v>117.52</v>
      </c>
      <c r="BL266" s="214">
        <v>2367</v>
      </c>
      <c r="BM266" s="214">
        <v>144.38999999999999</v>
      </c>
      <c r="BN266">
        <v>141.63</v>
      </c>
      <c r="BO266" s="187">
        <v>3.54</v>
      </c>
      <c r="BP266" s="214">
        <v>146.84</v>
      </c>
      <c r="BQ266" s="214">
        <v>326</v>
      </c>
      <c r="BR266">
        <v>139.74</v>
      </c>
      <c r="BS266" s="187">
        <v>137.78</v>
      </c>
      <c r="BT266" s="214">
        <v>0</v>
      </c>
      <c r="BU266" s="214">
        <v>139.74</v>
      </c>
      <c r="BV266">
        <v>4</v>
      </c>
      <c r="BW266">
        <v>0</v>
      </c>
      <c r="BX266" s="214">
        <v>0</v>
      </c>
      <c r="BY266" s="214">
        <v>0</v>
      </c>
      <c r="BZ266">
        <v>0</v>
      </c>
      <c r="CA266" s="187">
        <v>0</v>
      </c>
      <c r="CB266" s="214">
        <v>109.11</v>
      </c>
      <c r="CC266" s="214">
        <v>106.24</v>
      </c>
      <c r="CD266">
        <v>5.95</v>
      </c>
      <c r="CE266" s="187">
        <v>112.1</v>
      </c>
      <c r="CF266" s="214">
        <v>6748</v>
      </c>
      <c r="CG266" s="214">
        <v>109.11</v>
      </c>
      <c r="CH266">
        <v>106.24</v>
      </c>
      <c r="CI266">
        <v>5.95</v>
      </c>
      <c r="CJ266">
        <v>112.1</v>
      </c>
      <c r="CK266">
        <v>6748</v>
      </c>
      <c r="CL266">
        <v>116.41</v>
      </c>
      <c r="CM266">
        <v>78.13</v>
      </c>
      <c r="CN266" s="187">
        <v>118.62</v>
      </c>
      <c r="CO266">
        <v>207.65</v>
      </c>
      <c r="CP266">
        <v>39</v>
      </c>
      <c r="CQ266">
        <v>80.569999999999993</v>
      </c>
      <c r="CR266">
        <v>75.45</v>
      </c>
      <c r="CS266" s="187">
        <v>32.39</v>
      </c>
      <c r="CT266">
        <v>112.96</v>
      </c>
      <c r="CU266">
        <v>13</v>
      </c>
      <c r="CV266">
        <v>94.95</v>
      </c>
      <c r="CW266">
        <v>89.31</v>
      </c>
      <c r="CX266" s="187">
        <v>43.04</v>
      </c>
      <c r="CY266">
        <v>137.66</v>
      </c>
      <c r="CZ266">
        <v>518</v>
      </c>
      <c r="DA266">
        <v>121.99</v>
      </c>
      <c r="DB266">
        <v>115.25</v>
      </c>
      <c r="DC266" s="187">
        <v>39.79</v>
      </c>
      <c r="DD266">
        <v>161.78</v>
      </c>
      <c r="DE266">
        <v>193</v>
      </c>
      <c r="DF266">
        <v>106.82</v>
      </c>
      <c r="DG266">
        <v>111.04</v>
      </c>
      <c r="DH266" s="187">
        <v>31.77</v>
      </c>
      <c r="DI266">
        <v>138.59</v>
      </c>
      <c r="DJ266">
        <v>8</v>
      </c>
      <c r="DK266">
        <v>0</v>
      </c>
      <c r="DL266">
        <v>0</v>
      </c>
      <c r="DM266" s="187">
        <v>0</v>
      </c>
      <c r="DN266">
        <v>0</v>
      </c>
      <c r="DO266">
        <v>0</v>
      </c>
      <c r="DP266">
        <v>101.96</v>
      </c>
      <c r="DQ266">
        <v>96.19</v>
      </c>
      <c r="DR266" s="187">
        <v>41.86</v>
      </c>
      <c r="DS266">
        <v>143.59</v>
      </c>
      <c r="DT266">
        <v>732</v>
      </c>
      <c r="DU266">
        <v>102.69</v>
      </c>
      <c r="DV266">
        <v>95.5</v>
      </c>
      <c r="DW266" s="187">
        <v>44.9</v>
      </c>
      <c r="DX266">
        <v>146.83000000000001</v>
      </c>
      <c r="DY266">
        <v>771</v>
      </c>
      <c r="DZ266">
        <v>71.12</v>
      </c>
      <c r="EA266">
        <v>2</v>
      </c>
      <c r="EB266" s="187">
        <v>0</v>
      </c>
      <c r="EC266">
        <v>0</v>
      </c>
      <c r="ED266">
        <v>119.23</v>
      </c>
      <c r="EE266">
        <v>56</v>
      </c>
      <c r="EF266">
        <v>143.19</v>
      </c>
      <c r="EG266" s="187">
        <v>232</v>
      </c>
      <c r="EH266">
        <v>161.96</v>
      </c>
      <c r="EI266">
        <v>110</v>
      </c>
      <c r="EJ266">
        <v>192.71</v>
      </c>
      <c r="EK266">
        <v>12</v>
      </c>
      <c r="EL266" s="187">
        <v>0</v>
      </c>
      <c r="EM266">
        <v>0</v>
      </c>
      <c r="EN266">
        <v>0</v>
      </c>
      <c r="EO266">
        <v>0</v>
      </c>
      <c r="EP266">
        <v>146.41</v>
      </c>
      <c r="EQ266" s="187">
        <v>410</v>
      </c>
      <c r="ER266">
        <v>146.04</v>
      </c>
      <c r="ES266">
        <v>412</v>
      </c>
      <c r="ET266">
        <v>0</v>
      </c>
      <c r="EU266">
        <v>0</v>
      </c>
      <c r="EV266" s="187">
        <v>0</v>
      </c>
      <c r="EW266">
        <v>0</v>
      </c>
      <c r="EX266">
        <v>170.44</v>
      </c>
      <c r="EY266">
        <v>38</v>
      </c>
      <c r="EZ266">
        <v>185.1</v>
      </c>
      <c r="FA266" s="187">
        <v>53</v>
      </c>
      <c r="FB266">
        <v>0</v>
      </c>
      <c r="FC266">
        <v>0</v>
      </c>
      <c r="FD266">
        <v>0</v>
      </c>
      <c r="FE266">
        <v>0</v>
      </c>
      <c r="FF266" s="187">
        <v>178.98</v>
      </c>
      <c r="FG266">
        <v>91</v>
      </c>
      <c r="FH266">
        <v>178.98</v>
      </c>
      <c r="FI266">
        <v>91</v>
      </c>
      <c r="FJ266">
        <v>26</v>
      </c>
      <c r="FK266" s="187">
        <v>4</v>
      </c>
      <c r="FL266">
        <v>3</v>
      </c>
      <c r="FM266">
        <v>147</v>
      </c>
      <c r="FN266">
        <v>22</v>
      </c>
    </row>
    <row r="267" spans="1:170" x14ac:dyDescent="0.35">
      <c r="A267" t="s">
        <v>920</v>
      </c>
      <c r="B267" t="s">
        <v>921</v>
      </c>
      <c r="C267" t="s">
        <v>419</v>
      </c>
      <c r="D267">
        <v>1809</v>
      </c>
      <c r="E267">
        <v>1768</v>
      </c>
      <c r="F267">
        <v>12</v>
      </c>
      <c r="G267">
        <v>4</v>
      </c>
      <c r="H267">
        <v>155</v>
      </c>
      <c r="I267">
        <v>47</v>
      </c>
      <c r="J267">
        <v>139</v>
      </c>
      <c r="K267">
        <v>139</v>
      </c>
      <c r="L267">
        <v>675</v>
      </c>
      <c r="M267">
        <v>27</v>
      </c>
      <c r="N267">
        <v>2790</v>
      </c>
      <c r="O267">
        <v>1985</v>
      </c>
      <c r="P267">
        <v>2115</v>
      </c>
      <c r="Q267">
        <v>1</v>
      </c>
      <c r="R267">
        <v>15</v>
      </c>
      <c r="S267">
        <v>29</v>
      </c>
      <c r="T267">
        <v>164</v>
      </c>
      <c r="U267">
        <v>2626</v>
      </c>
      <c r="V267" s="498">
        <v>1729</v>
      </c>
      <c r="W267">
        <v>23</v>
      </c>
      <c r="X267" s="498">
        <v>11</v>
      </c>
      <c r="Y267" s="498">
        <v>34</v>
      </c>
      <c r="Z267" s="498">
        <v>101.49</v>
      </c>
      <c r="AA267" s="498">
        <v>98.75</v>
      </c>
      <c r="AB267">
        <v>5.87</v>
      </c>
      <c r="AC267">
        <v>105.98</v>
      </c>
      <c r="AD267">
        <v>1093</v>
      </c>
      <c r="AE267">
        <v>89.46</v>
      </c>
      <c r="AF267">
        <v>83.18</v>
      </c>
      <c r="AG267">
        <v>53.85</v>
      </c>
      <c r="AH267">
        <v>142.07</v>
      </c>
      <c r="AI267">
        <v>218</v>
      </c>
      <c r="AJ267">
        <v>130.31</v>
      </c>
      <c r="AK267">
        <v>626</v>
      </c>
      <c r="AL267">
        <v>0</v>
      </c>
      <c r="AM267">
        <v>0</v>
      </c>
      <c r="AN267">
        <v>70.36</v>
      </c>
      <c r="AO267" s="499">
        <v>67.010000000000005</v>
      </c>
      <c r="AP267" s="499">
        <v>27.84</v>
      </c>
      <c r="AQ267">
        <v>84.28</v>
      </c>
      <c r="AR267">
        <v>4</v>
      </c>
      <c r="AS267">
        <v>0</v>
      </c>
      <c r="AT267">
        <v>0</v>
      </c>
      <c r="AU267">
        <v>0</v>
      </c>
      <c r="AV267">
        <v>0</v>
      </c>
      <c r="AW267">
        <v>0</v>
      </c>
      <c r="AX267">
        <v>83.08</v>
      </c>
      <c r="AY267">
        <v>80.41</v>
      </c>
      <c r="AZ267">
        <v>8.31</v>
      </c>
      <c r="BA267">
        <v>90.25</v>
      </c>
      <c r="BB267">
        <v>146</v>
      </c>
      <c r="BC267">
        <v>97.93</v>
      </c>
      <c r="BD267">
        <v>95.19</v>
      </c>
      <c r="BE267">
        <v>6.64</v>
      </c>
      <c r="BF267">
        <v>103.3</v>
      </c>
      <c r="BG267">
        <v>577</v>
      </c>
      <c r="BH267">
        <v>112.17</v>
      </c>
      <c r="BI267">
        <v>109.28</v>
      </c>
      <c r="BJ267">
        <v>2.93</v>
      </c>
      <c r="BK267">
        <v>114.14</v>
      </c>
      <c r="BL267" s="214">
        <v>304</v>
      </c>
      <c r="BM267" s="214">
        <v>127.26</v>
      </c>
      <c r="BN267">
        <v>125.11</v>
      </c>
      <c r="BO267" s="187">
        <v>2.99</v>
      </c>
      <c r="BP267" s="214">
        <v>129.13</v>
      </c>
      <c r="BQ267" s="214">
        <v>59</v>
      </c>
      <c r="BR267">
        <v>133.61000000000001</v>
      </c>
      <c r="BS267" s="187">
        <v>133.88999999999999</v>
      </c>
      <c r="BT267" s="214">
        <v>3.39</v>
      </c>
      <c r="BU267" s="214">
        <v>134.74</v>
      </c>
      <c r="BV267">
        <v>3</v>
      </c>
      <c r="BW267">
        <v>0</v>
      </c>
      <c r="BX267" s="214">
        <v>0</v>
      </c>
      <c r="BY267" s="214">
        <v>0</v>
      </c>
      <c r="BZ267">
        <v>0</v>
      </c>
      <c r="CA267" s="187">
        <v>0</v>
      </c>
      <c r="CB267" s="214">
        <v>101.6</v>
      </c>
      <c r="CC267" s="214">
        <v>98.87</v>
      </c>
      <c r="CD267">
        <v>5.82</v>
      </c>
      <c r="CE267" s="187">
        <v>106.06</v>
      </c>
      <c r="CF267" s="214">
        <v>1089</v>
      </c>
      <c r="CG267" s="214">
        <v>101.49</v>
      </c>
      <c r="CH267">
        <v>98.75</v>
      </c>
      <c r="CI267">
        <v>5.87</v>
      </c>
      <c r="CJ267">
        <v>105.98</v>
      </c>
      <c r="CK267">
        <v>1093</v>
      </c>
      <c r="CL267">
        <v>80.400000000000006</v>
      </c>
      <c r="CM267">
        <v>73.819999999999993</v>
      </c>
      <c r="CN267" s="187">
        <v>106.11</v>
      </c>
      <c r="CO267">
        <v>177.47</v>
      </c>
      <c r="CP267">
        <v>47</v>
      </c>
      <c r="CQ267">
        <v>0</v>
      </c>
      <c r="CR267">
        <v>0</v>
      </c>
      <c r="CS267" s="187">
        <v>0</v>
      </c>
      <c r="CT267">
        <v>0</v>
      </c>
      <c r="CU267">
        <v>0</v>
      </c>
      <c r="CV267">
        <v>90.73</v>
      </c>
      <c r="CW267">
        <v>83.86</v>
      </c>
      <c r="CX267" s="187">
        <v>36.31</v>
      </c>
      <c r="CY267">
        <v>127.04</v>
      </c>
      <c r="CZ267">
        <v>150</v>
      </c>
      <c r="DA267">
        <v>96.77</v>
      </c>
      <c r="DB267">
        <v>89.13</v>
      </c>
      <c r="DC267" s="187">
        <v>69.010000000000005</v>
      </c>
      <c r="DD267">
        <v>162.15</v>
      </c>
      <c r="DE267">
        <v>19</v>
      </c>
      <c r="DF267">
        <v>137.21</v>
      </c>
      <c r="DG267">
        <v>148.80000000000001</v>
      </c>
      <c r="DH267" s="187">
        <v>108.93</v>
      </c>
      <c r="DI267">
        <v>246.14</v>
      </c>
      <c r="DJ267">
        <v>2</v>
      </c>
      <c r="DK267">
        <v>0</v>
      </c>
      <c r="DL267">
        <v>0</v>
      </c>
      <c r="DM267" s="187">
        <v>0</v>
      </c>
      <c r="DN267">
        <v>0</v>
      </c>
      <c r="DO267">
        <v>0</v>
      </c>
      <c r="DP267">
        <v>91.95</v>
      </c>
      <c r="DQ267">
        <v>85.2</v>
      </c>
      <c r="DR267" s="187">
        <v>40.630000000000003</v>
      </c>
      <c r="DS267">
        <v>132.34</v>
      </c>
      <c r="DT267">
        <v>171</v>
      </c>
      <c r="DU267">
        <v>89.46</v>
      </c>
      <c r="DV267">
        <v>83.18</v>
      </c>
      <c r="DW267" s="187">
        <v>53.85</v>
      </c>
      <c r="DX267">
        <v>142.07</v>
      </c>
      <c r="DY267">
        <v>218</v>
      </c>
      <c r="DZ267">
        <v>0</v>
      </c>
      <c r="EA267">
        <v>0</v>
      </c>
      <c r="EB267" s="187">
        <v>0</v>
      </c>
      <c r="EC267">
        <v>0</v>
      </c>
      <c r="ED267">
        <v>97.9</v>
      </c>
      <c r="EE267">
        <v>157</v>
      </c>
      <c r="EF267">
        <v>128.26</v>
      </c>
      <c r="EG267" s="187">
        <v>287</v>
      </c>
      <c r="EH267">
        <v>153.35</v>
      </c>
      <c r="EI267">
        <v>135</v>
      </c>
      <c r="EJ267">
        <v>184.83</v>
      </c>
      <c r="EK267">
        <v>47</v>
      </c>
      <c r="EL267" s="187">
        <v>0</v>
      </c>
      <c r="EM267">
        <v>0</v>
      </c>
      <c r="EN267">
        <v>0</v>
      </c>
      <c r="EO267">
        <v>0</v>
      </c>
      <c r="EP267">
        <v>130.31</v>
      </c>
      <c r="EQ267" s="187">
        <v>626</v>
      </c>
      <c r="ER267">
        <v>130.31</v>
      </c>
      <c r="ES267">
        <v>626</v>
      </c>
      <c r="ET267">
        <v>0</v>
      </c>
      <c r="EU267">
        <v>0</v>
      </c>
      <c r="EV267" s="187">
        <v>0</v>
      </c>
      <c r="EW267">
        <v>0</v>
      </c>
      <c r="EX267">
        <v>0</v>
      </c>
      <c r="EY267">
        <v>0</v>
      </c>
      <c r="EZ267">
        <v>0</v>
      </c>
      <c r="FA267" s="187">
        <v>0</v>
      </c>
      <c r="FB267">
        <v>0</v>
      </c>
      <c r="FC267">
        <v>0</v>
      </c>
      <c r="FD267">
        <v>0</v>
      </c>
      <c r="FE267">
        <v>0</v>
      </c>
      <c r="FF267" s="187">
        <v>0</v>
      </c>
      <c r="FG267">
        <v>0</v>
      </c>
      <c r="FH267">
        <v>0</v>
      </c>
      <c r="FI267">
        <v>0</v>
      </c>
      <c r="FJ267">
        <v>6</v>
      </c>
      <c r="FK267" s="187">
        <v>1</v>
      </c>
      <c r="FL267">
        <v>1</v>
      </c>
      <c r="FM267">
        <v>103</v>
      </c>
      <c r="FN267">
        <v>8</v>
      </c>
    </row>
    <row r="268" spans="1:170" x14ac:dyDescent="0.35">
      <c r="A268" t="s">
        <v>922</v>
      </c>
      <c r="B268" t="s">
        <v>923</v>
      </c>
      <c r="C268" t="s">
        <v>417</v>
      </c>
      <c r="D268">
        <v>31704</v>
      </c>
      <c r="E268">
        <v>31414</v>
      </c>
      <c r="F268">
        <v>2</v>
      </c>
      <c r="G268">
        <v>0</v>
      </c>
      <c r="H268">
        <v>745</v>
      </c>
      <c r="I268">
        <v>413</v>
      </c>
      <c r="J268">
        <v>2060</v>
      </c>
      <c r="K268">
        <v>2052</v>
      </c>
      <c r="L268">
        <v>411</v>
      </c>
      <c r="M268">
        <v>0</v>
      </c>
      <c r="N268">
        <v>34922</v>
      </c>
      <c r="O268">
        <v>33879</v>
      </c>
      <c r="P268">
        <v>34511</v>
      </c>
      <c r="Q268">
        <v>5</v>
      </c>
      <c r="R268">
        <v>11</v>
      </c>
      <c r="S268">
        <v>25</v>
      </c>
      <c r="T268">
        <v>377</v>
      </c>
      <c r="U268">
        <v>34545</v>
      </c>
      <c r="V268" s="498">
        <v>31409</v>
      </c>
      <c r="W268">
        <v>252</v>
      </c>
      <c r="X268" s="498">
        <v>64</v>
      </c>
      <c r="Y268" s="498">
        <v>316</v>
      </c>
      <c r="Z268" s="498">
        <v>81.31</v>
      </c>
      <c r="AA268" s="498">
        <v>81.040000000000006</v>
      </c>
      <c r="AB268">
        <v>7.47</v>
      </c>
      <c r="AC268">
        <v>82.79</v>
      </c>
      <c r="AD268">
        <v>28959</v>
      </c>
      <c r="AE268">
        <v>93.64</v>
      </c>
      <c r="AF268">
        <v>80.75</v>
      </c>
      <c r="AG268">
        <v>48.53</v>
      </c>
      <c r="AH268">
        <v>140.94</v>
      </c>
      <c r="AI268">
        <v>2507</v>
      </c>
      <c r="AJ268">
        <v>99.64</v>
      </c>
      <c r="AK268">
        <v>2376</v>
      </c>
      <c r="AL268">
        <v>222.9</v>
      </c>
      <c r="AM268">
        <v>218</v>
      </c>
      <c r="AN268">
        <v>0</v>
      </c>
      <c r="AO268" s="499">
        <v>0</v>
      </c>
      <c r="AP268" s="499">
        <v>0</v>
      </c>
      <c r="AQ268">
        <v>0</v>
      </c>
      <c r="AR268">
        <v>0</v>
      </c>
      <c r="AS268">
        <v>63.78</v>
      </c>
      <c r="AT268">
        <v>61.34</v>
      </c>
      <c r="AU268">
        <v>13.16</v>
      </c>
      <c r="AV268">
        <v>76.94</v>
      </c>
      <c r="AW268">
        <v>10</v>
      </c>
      <c r="AX268">
        <v>70.790000000000006</v>
      </c>
      <c r="AY268">
        <v>70.66</v>
      </c>
      <c r="AZ268">
        <v>7.69</v>
      </c>
      <c r="BA268">
        <v>73.62</v>
      </c>
      <c r="BB268">
        <v>6341</v>
      </c>
      <c r="BC268">
        <v>80.040000000000006</v>
      </c>
      <c r="BD268">
        <v>79.680000000000007</v>
      </c>
      <c r="BE268">
        <v>8.11</v>
      </c>
      <c r="BF268">
        <v>81.849999999999994</v>
      </c>
      <c r="BG268">
        <v>12061</v>
      </c>
      <c r="BH268">
        <v>88.3</v>
      </c>
      <c r="BI268">
        <v>88.02</v>
      </c>
      <c r="BJ268">
        <v>3.99</v>
      </c>
      <c r="BK268">
        <v>88.56</v>
      </c>
      <c r="BL268" s="214">
        <v>9609</v>
      </c>
      <c r="BM268" s="214">
        <v>96.77</v>
      </c>
      <c r="BN268">
        <v>96.55</v>
      </c>
      <c r="BO268" s="187">
        <v>4.26</v>
      </c>
      <c r="BP268" s="214">
        <v>97</v>
      </c>
      <c r="BQ268" s="214">
        <v>850</v>
      </c>
      <c r="BR268">
        <v>103.36</v>
      </c>
      <c r="BS268" s="187">
        <v>104.03</v>
      </c>
      <c r="BT268" s="214">
        <v>0</v>
      </c>
      <c r="BU268" s="214">
        <v>103.36</v>
      </c>
      <c r="BV268">
        <v>84</v>
      </c>
      <c r="BW268">
        <v>122.74</v>
      </c>
      <c r="BX268" s="214">
        <v>125.48</v>
      </c>
      <c r="BY268" s="214">
        <v>0</v>
      </c>
      <c r="BZ268">
        <v>122.74</v>
      </c>
      <c r="CA268" s="187">
        <v>4</v>
      </c>
      <c r="CB268" s="214">
        <v>81.31</v>
      </c>
      <c r="CC268" s="214">
        <v>81.040000000000006</v>
      </c>
      <c r="CD268">
        <v>7.47</v>
      </c>
      <c r="CE268" s="187">
        <v>82.79</v>
      </c>
      <c r="CF268" s="214">
        <v>28959</v>
      </c>
      <c r="CG268" s="214">
        <v>81.31</v>
      </c>
      <c r="CH268">
        <v>81.040000000000006</v>
      </c>
      <c r="CI268">
        <v>7.47</v>
      </c>
      <c r="CJ268">
        <v>82.79</v>
      </c>
      <c r="CK268">
        <v>28959</v>
      </c>
      <c r="CL268">
        <v>100.78</v>
      </c>
      <c r="CM268">
        <v>71.83</v>
      </c>
      <c r="CN268" s="187">
        <v>81.040000000000006</v>
      </c>
      <c r="CO268">
        <v>178.67</v>
      </c>
      <c r="CP268">
        <v>309</v>
      </c>
      <c r="CQ268">
        <v>65.67</v>
      </c>
      <c r="CR268">
        <v>59.7</v>
      </c>
      <c r="CS268" s="187">
        <v>34.36</v>
      </c>
      <c r="CT268">
        <v>100.03</v>
      </c>
      <c r="CU268">
        <v>273</v>
      </c>
      <c r="CV268">
        <v>88.07</v>
      </c>
      <c r="CW268">
        <v>74.52</v>
      </c>
      <c r="CX268" s="187">
        <v>45.6</v>
      </c>
      <c r="CY268">
        <v>132.46</v>
      </c>
      <c r="CZ268">
        <v>1245</v>
      </c>
      <c r="DA268">
        <v>111.42</v>
      </c>
      <c r="DB268">
        <v>103.48</v>
      </c>
      <c r="DC268" s="187">
        <v>44.52</v>
      </c>
      <c r="DD268">
        <v>154.88999999999999</v>
      </c>
      <c r="DE268">
        <v>635</v>
      </c>
      <c r="DF268">
        <v>118.11</v>
      </c>
      <c r="DG268">
        <v>97.26</v>
      </c>
      <c r="DH268" s="187">
        <v>54.82</v>
      </c>
      <c r="DI268">
        <v>169.19</v>
      </c>
      <c r="DJ268">
        <v>44</v>
      </c>
      <c r="DK268">
        <v>96.94</v>
      </c>
      <c r="DL268">
        <v>96.95</v>
      </c>
      <c r="DM268" s="187">
        <v>0</v>
      </c>
      <c r="DN268">
        <v>96.94</v>
      </c>
      <c r="DO268">
        <v>1</v>
      </c>
      <c r="DP268">
        <v>92.64</v>
      </c>
      <c r="DQ268">
        <v>81.64</v>
      </c>
      <c r="DR268" s="187">
        <v>44.03</v>
      </c>
      <c r="DS268">
        <v>135.63</v>
      </c>
      <c r="DT268">
        <v>2198</v>
      </c>
      <c r="DU268">
        <v>93.64</v>
      </c>
      <c r="DV268">
        <v>80.75</v>
      </c>
      <c r="DW268" s="187">
        <v>48.53</v>
      </c>
      <c r="DX268">
        <v>140.94</v>
      </c>
      <c r="DY268">
        <v>2507</v>
      </c>
      <c r="DZ268">
        <v>42.85</v>
      </c>
      <c r="EA268">
        <v>2</v>
      </c>
      <c r="EB268" s="187">
        <v>85.95</v>
      </c>
      <c r="EC268">
        <v>1</v>
      </c>
      <c r="ED268">
        <v>81.59</v>
      </c>
      <c r="EE268">
        <v>151</v>
      </c>
      <c r="EF268">
        <v>99.11</v>
      </c>
      <c r="EG268" s="187">
        <v>1370</v>
      </c>
      <c r="EH268">
        <v>102.21</v>
      </c>
      <c r="EI268">
        <v>777</v>
      </c>
      <c r="EJ268">
        <v>120.81</v>
      </c>
      <c r="EK268">
        <v>75</v>
      </c>
      <c r="EL268" s="187">
        <v>0</v>
      </c>
      <c r="EM268">
        <v>0</v>
      </c>
      <c r="EN268">
        <v>0</v>
      </c>
      <c r="EO268">
        <v>0</v>
      </c>
      <c r="EP268">
        <v>99.69</v>
      </c>
      <c r="EQ268" s="187">
        <v>2374</v>
      </c>
      <c r="ER268">
        <v>99.64</v>
      </c>
      <c r="ES268">
        <v>2376</v>
      </c>
      <c r="ET268">
        <v>0</v>
      </c>
      <c r="EU268">
        <v>0</v>
      </c>
      <c r="EV268" s="187">
        <v>0</v>
      </c>
      <c r="EW268">
        <v>0</v>
      </c>
      <c r="EX268">
        <v>234.21</v>
      </c>
      <c r="EY268">
        <v>74</v>
      </c>
      <c r="EZ268">
        <v>219.86</v>
      </c>
      <c r="FA268" s="187">
        <v>140</v>
      </c>
      <c r="FB268">
        <v>120</v>
      </c>
      <c r="FC268">
        <v>4</v>
      </c>
      <c r="FD268">
        <v>0</v>
      </c>
      <c r="FE268">
        <v>0</v>
      </c>
      <c r="FF268" s="187">
        <v>222.9</v>
      </c>
      <c r="FG268">
        <v>218</v>
      </c>
      <c r="FH268">
        <v>222.9</v>
      </c>
      <c r="FI268">
        <v>218</v>
      </c>
      <c r="FJ268">
        <v>0</v>
      </c>
      <c r="FK268" s="187">
        <v>119</v>
      </c>
      <c r="FL268">
        <v>14</v>
      </c>
      <c r="FM268">
        <v>18</v>
      </c>
      <c r="FN268">
        <v>3</v>
      </c>
    </row>
    <row r="269" spans="1:170" x14ac:dyDescent="0.35">
      <c r="A269" t="s">
        <v>924</v>
      </c>
      <c r="B269" t="s">
        <v>925</v>
      </c>
      <c r="C269" t="s">
        <v>2</v>
      </c>
      <c r="D269">
        <v>3232</v>
      </c>
      <c r="E269">
        <v>3232</v>
      </c>
      <c r="F269">
        <v>44</v>
      </c>
      <c r="G269">
        <v>44</v>
      </c>
      <c r="H269">
        <v>104</v>
      </c>
      <c r="I269">
        <v>44</v>
      </c>
      <c r="J269">
        <v>302</v>
      </c>
      <c r="K269">
        <v>302</v>
      </c>
      <c r="L269">
        <v>382</v>
      </c>
      <c r="M269">
        <v>138</v>
      </c>
      <c r="N269">
        <v>4064</v>
      </c>
      <c r="O269">
        <v>3760</v>
      </c>
      <c r="P269">
        <v>3682</v>
      </c>
      <c r="Q269">
        <v>14</v>
      </c>
      <c r="R269">
        <v>7</v>
      </c>
      <c r="S269">
        <v>17</v>
      </c>
      <c r="T269">
        <v>63</v>
      </c>
      <c r="U269">
        <v>4001</v>
      </c>
      <c r="V269" s="498">
        <v>3229</v>
      </c>
      <c r="W269">
        <v>36</v>
      </c>
      <c r="X269" s="498">
        <v>9</v>
      </c>
      <c r="Y269" s="498">
        <v>45</v>
      </c>
      <c r="Z269" s="498">
        <v>114.17</v>
      </c>
      <c r="AA269" s="498">
        <v>111.55</v>
      </c>
      <c r="AB269">
        <v>7.57</v>
      </c>
      <c r="AC269">
        <v>118.55</v>
      </c>
      <c r="AD269">
        <v>2943</v>
      </c>
      <c r="AE269">
        <v>111.91</v>
      </c>
      <c r="AF269">
        <v>92.03</v>
      </c>
      <c r="AG269">
        <v>35.700000000000003</v>
      </c>
      <c r="AH269">
        <v>147.5</v>
      </c>
      <c r="AI269">
        <v>346</v>
      </c>
      <c r="AJ269">
        <v>211.54</v>
      </c>
      <c r="AK269">
        <v>238</v>
      </c>
      <c r="AL269">
        <v>0</v>
      </c>
      <c r="AM269">
        <v>0</v>
      </c>
      <c r="AN269">
        <v>100.52</v>
      </c>
      <c r="AO269" s="499">
        <v>0</v>
      </c>
      <c r="AP269" s="499">
        <v>44.76</v>
      </c>
      <c r="AQ269">
        <v>145.28</v>
      </c>
      <c r="AR269">
        <v>44</v>
      </c>
      <c r="AS269">
        <v>82.55</v>
      </c>
      <c r="AT269">
        <v>78.510000000000005</v>
      </c>
      <c r="AU269">
        <v>4.43</v>
      </c>
      <c r="AV269">
        <v>84.63</v>
      </c>
      <c r="AW269">
        <v>17</v>
      </c>
      <c r="AX269">
        <v>96.46</v>
      </c>
      <c r="AY269">
        <v>92.08</v>
      </c>
      <c r="AZ269">
        <v>5.13</v>
      </c>
      <c r="BA269">
        <v>100.85</v>
      </c>
      <c r="BB269">
        <v>715</v>
      </c>
      <c r="BC269">
        <v>111.9</v>
      </c>
      <c r="BD269">
        <v>107.57</v>
      </c>
      <c r="BE269">
        <v>8.7799999999999994</v>
      </c>
      <c r="BF269">
        <v>117.73</v>
      </c>
      <c r="BG269">
        <v>936</v>
      </c>
      <c r="BH269">
        <v>126.66</v>
      </c>
      <c r="BI269">
        <v>125.88</v>
      </c>
      <c r="BJ269">
        <v>5.58</v>
      </c>
      <c r="BK269">
        <v>128.55000000000001</v>
      </c>
      <c r="BL269" s="214">
        <v>1187</v>
      </c>
      <c r="BM269" s="214">
        <v>139.52000000000001</v>
      </c>
      <c r="BN269">
        <v>138.9</v>
      </c>
      <c r="BO269" s="187">
        <v>2.9</v>
      </c>
      <c r="BP269" s="214">
        <v>140.38</v>
      </c>
      <c r="BQ269" s="214">
        <v>44</v>
      </c>
      <c r="BR269">
        <v>0</v>
      </c>
      <c r="BS269" s="187">
        <v>0</v>
      </c>
      <c r="BT269" s="214">
        <v>0</v>
      </c>
      <c r="BU269" s="214">
        <v>0</v>
      </c>
      <c r="BV269">
        <v>0</v>
      </c>
      <c r="BW269">
        <v>0</v>
      </c>
      <c r="BX269" s="214">
        <v>0</v>
      </c>
      <c r="BY269" s="214">
        <v>0</v>
      </c>
      <c r="BZ269">
        <v>0</v>
      </c>
      <c r="CA269" s="187">
        <v>0</v>
      </c>
      <c r="CB269" s="214">
        <v>114.38</v>
      </c>
      <c r="CC269" s="214">
        <v>111.55</v>
      </c>
      <c r="CD269">
        <v>6.59</v>
      </c>
      <c r="CE269" s="187">
        <v>118.15</v>
      </c>
      <c r="CF269" s="214">
        <v>2899</v>
      </c>
      <c r="CG269" s="214">
        <v>114.17</v>
      </c>
      <c r="CH269">
        <v>111.55</v>
      </c>
      <c r="CI269">
        <v>7.57</v>
      </c>
      <c r="CJ269">
        <v>118.55</v>
      </c>
      <c r="CK269">
        <v>2943</v>
      </c>
      <c r="CL269">
        <v>198.18</v>
      </c>
      <c r="CM269">
        <v>91.5</v>
      </c>
      <c r="CN269" s="187">
        <v>77.319999999999993</v>
      </c>
      <c r="CO269">
        <v>275.5</v>
      </c>
      <c r="CP269">
        <v>38</v>
      </c>
      <c r="CQ269">
        <v>85.25</v>
      </c>
      <c r="CR269">
        <v>78.89</v>
      </c>
      <c r="CS269" s="187">
        <v>32.92</v>
      </c>
      <c r="CT269">
        <v>118.16</v>
      </c>
      <c r="CU269">
        <v>86</v>
      </c>
      <c r="CV269">
        <v>106.56</v>
      </c>
      <c r="CW269">
        <v>96.36</v>
      </c>
      <c r="CX269" s="187">
        <v>28.95</v>
      </c>
      <c r="CY269">
        <v>135.37</v>
      </c>
      <c r="CZ269">
        <v>208</v>
      </c>
      <c r="DA269">
        <v>119.59</v>
      </c>
      <c r="DB269">
        <v>109.89</v>
      </c>
      <c r="DC269" s="187">
        <v>41.07</v>
      </c>
      <c r="DD269">
        <v>160.66</v>
      </c>
      <c r="DE269">
        <v>13</v>
      </c>
      <c r="DF269">
        <v>139.84</v>
      </c>
      <c r="DG269">
        <v>127.13</v>
      </c>
      <c r="DH269" s="187">
        <v>20.350000000000001</v>
      </c>
      <c r="DI269">
        <v>160.19</v>
      </c>
      <c r="DJ269">
        <v>1</v>
      </c>
      <c r="DK269">
        <v>0</v>
      </c>
      <c r="DL269">
        <v>0</v>
      </c>
      <c r="DM269" s="187">
        <v>0</v>
      </c>
      <c r="DN269">
        <v>0</v>
      </c>
      <c r="DO269">
        <v>0</v>
      </c>
      <c r="DP269">
        <v>101.26</v>
      </c>
      <c r="DQ269">
        <v>92.05</v>
      </c>
      <c r="DR269" s="187">
        <v>30.55</v>
      </c>
      <c r="DS269">
        <v>131.71</v>
      </c>
      <c r="DT269">
        <v>308</v>
      </c>
      <c r="DU269">
        <v>111.91</v>
      </c>
      <c r="DV269">
        <v>92.03</v>
      </c>
      <c r="DW269" s="187">
        <v>35.700000000000003</v>
      </c>
      <c r="DX269">
        <v>147.5</v>
      </c>
      <c r="DY269">
        <v>346</v>
      </c>
      <c r="DZ269">
        <v>0</v>
      </c>
      <c r="EA269">
        <v>0</v>
      </c>
      <c r="EB269" s="187">
        <v>0</v>
      </c>
      <c r="EC269">
        <v>0</v>
      </c>
      <c r="ED269">
        <v>162.41</v>
      </c>
      <c r="EE269">
        <v>79</v>
      </c>
      <c r="EF269">
        <v>210.47</v>
      </c>
      <c r="EG269" s="187">
        <v>91</v>
      </c>
      <c r="EH269">
        <v>259.52</v>
      </c>
      <c r="EI269">
        <v>56</v>
      </c>
      <c r="EJ269">
        <v>319.45999999999998</v>
      </c>
      <c r="EK269">
        <v>11</v>
      </c>
      <c r="EL269" s="187">
        <v>0</v>
      </c>
      <c r="EM269">
        <v>0</v>
      </c>
      <c r="EN269">
        <v>316.68</v>
      </c>
      <c r="EO269">
        <v>1</v>
      </c>
      <c r="EP269">
        <v>211.54</v>
      </c>
      <c r="EQ269" s="187">
        <v>238</v>
      </c>
      <c r="ER269">
        <v>211.54</v>
      </c>
      <c r="ES269">
        <v>238</v>
      </c>
      <c r="ET269">
        <v>0</v>
      </c>
      <c r="EU269">
        <v>0</v>
      </c>
      <c r="EV269" s="187">
        <v>0</v>
      </c>
      <c r="EW269">
        <v>0</v>
      </c>
      <c r="EX269">
        <v>0</v>
      </c>
      <c r="EY269">
        <v>0</v>
      </c>
      <c r="EZ269">
        <v>0</v>
      </c>
      <c r="FA269" s="187">
        <v>0</v>
      </c>
      <c r="FB269">
        <v>0</v>
      </c>
      <c r="FC269">
        <v>0</v>
      </c>
      <c r="FD269">
        <v>0</v>
      </c>
      <c r="FE269">
        <v>0</v>
      </c>
      <c r="FF269" s="187">
        <v>0</v>
      </c>
      <c r="FG269">
        <v>0</v>
      </c>
      <c r="FH269">
        <v>0</v>
      </c>
      <c r="FI269">
        <v>0</v>
      </c>
      <c r="FJ269">
        <v>0</v>
      </c>
      <c r="FK269" s="187">
        <v>1</v>
      </c>
      <c r="FL269">
        <v>0</v>
      </c>
      <c r="FM269">
        <v>31</v>
      </c>
      <c r="FN269">
        <v>8</v>
      </c>
    </row>
    <row r="270" spans="1:170" x14ac:dyDescent="0.35">
      <c r="A270" t="s">
        <v>926</v>
      </c>
      <c r="B270" t="s">
        <v>927</v>
      </c>
      <c r="C270" t="s">
        <v>416</v>
      </c>
      <c r="D270">
        <v>4618</v>
      </c>
      <c r="E270">
        <v>4402</v>
      </c>
      <c r="F270">
        <v>8</v>
      </c>
      <c r="G270">
        <v>0</v>
      </c>
      <c r="H270">
        <v>391</v>
      </c>
      <c r="I270">
        <v>240</v>
      </c>
      <c r="J270">
        <v>951</v>
      </c>
      <c r="K270">
        <v>562</v>
      </c>
      <c r="L270">
        <v>984</v>
      </c>
      <c r="M270">
        <v>103</v>
      </c>
      <c r="N270">
        <v>6952</v>
      </c>
      <c r="O270">
        <v>5307</v>
      </c>
      <c r="P270">
        <v>5968</v>
      </c>
      <c r="Q270">
        <v>11</v>
      </c>
      <c r="R270">
        <v>10</v>
      </c>
      <c r="S270">
        <v>30</v>
      </c>
      <c r="T270">
        <v>694</v>
      </c>
      <c r="U270">
        <v>6258</v>
      </c>
      <c r="V270" s="498">
        <v>4453</v>
      </c>
      <c r="W270">
        <v>46</v>
      </c>
      <c r="X270" s="498">
        <v>21</v>
      </c>
      <c r="Y270" s="498">
        <v>67</v>
      </c>
      <c r="Z270" s="498">
        <v>120.72</v>
      </c>
      <c r="AA270" s="498">
        <v>119.34</v>
      </c>
      <c r="AB270">
        <v>8.6999999999999993</v>
      </c>
      <c r="AC270">
        <v>128.88999999999999</v>
      </c>
      <c r="AD270">
        <v>4022</v>
      </c>
      <c r="AE270">
        <v>121.38</v>
      </c>
      <c r="AF270">
        <v>108.57</v>
      </c>
      <c r="AG270">
        <v>44.57</v>
      </c>
      <c r="AH270">
        <v>163.93</v>
      </c>
      <c r="AI270">
        <v>819</v>
      </c>
      <c r="AJ270">
        <v>188.94</v>
      </c>
      <c r="AK270">
        <v>372</v>
      </c>
      <c r="AL270">
        <v>177.71</v>
      </c>
      <c r="AM270">
        <v>18</v>
      </c>
      <c r="AN270">
        <v>0</v>
      </c>
      <c r="AO270" s="499">
        <v>0</v>
      </c>
      <c r="AP270" s="499">
        <v>0</v>
      </c>
      <c r="AQ270">
        <v>0</v>
      </c>
      <c r="AR270">
        <v>0</v>
      </c>
      <c r="AS270">
        <v>77.87</v>
      </c>
      <c r="AT270">
        <v>77.78</v>
      </c>
      <c r="AU270">
        <v>9.86</v>
      </c>
      <c r="AV270">
        <v>87.72</v>
      </c>
      <c r="AW270">
        <v>48</v>
      </c>
      <c r="AX270">
        <v>100.83</v>
      </c>
      <c r="AY270">
        <v>99.38</v>
      </c>
      <c r="AZ270">
        <v>10</v>
      </c>
      <c r="BA270">
        <v>110.62</v>
      </c>
      <c r="BB270">
        <v>965</v>
      </c>
      <c r="BC270">
        <v>120.02</v>
      </c>
      <c r="BD270">
        <v>118.21</v>
      </c>
      <c r="BE270">
        <v>9.5500000000000007</v>
      </c>
      <c r="BF270">
        <v>128.84</v>
      </c>
      <c r="BG270">
        <v>1825</v>
      </c>
      <c r="BH270">
        <v>138.26</v>
      </c>
      <c r="BI270">
        <v>137.26</v>
      </c>
      <c r="BJ270">
        <v>6.39</v>
      </c>
      <c r="BK270">
        <v>144.16</v>
      </c>
      <c r="BL270" s="214">
        <v>1030</v>
      </c>
      <c r="BM270" s="214">
        <v>149.71</v>
      </c>
      <c r="BN270">
        <v>150.04</v>
      </c>
      <c r="BO270" s="187">
        <v>5.19</v>
      </c>
      <c r="BP270" s="214">
        <v>154.63999999999999</v>
      </c>
      <c r="BQ270" s="214">
        <v>153</v>
      </c>
      <c r="BR270">
        <v>0</v>
      </c>
      <c r="BS270" s="187">
        <v>0</v>
      </c>
      <c r="BT270" s="214">
        <v>0</v>
      </c>
      <c r="BU270" s="214">
        <v>0</v>
      </c>
      <c r="BV270">
        <v>0</v>
      </c>
      <c r="BW270">
        <v>157.63</v>
      </c>
      <c r="BX270" s="214">
        <v>157.61000000000001</v>
      </c>
      <c r="BY270" s="214">
        <v>0</v>
      </c>
      <c r="BZ270">
        <v>157.63</v>
      </c>
      <c r="CA270" s="187">
        <v>1</v>
      </c>
      <c r="CB270" s="214">
        <v>120.72</v>
      </c>
      <c r="CC270" s="214">
        <v>119.34</v>
      </c>
      <c r="CD270">
        <v>8.6999999999999993</v>
      </c>
      <c r="CE270" s="187">
        <v>128.88999999999999</v>
      </c>
      <c r="CF270" s="214">
        <v>4022</v>
      </c>
      <c r="CG270" s="214">
        <v>120.72</v>
      </c>
      <c r="CH270">
        <v>119.34</v>
      </c>
      <c r="CI270">
        <v>8.6999999999999993</v>
      </c>
      <c r="CJ270">
        <v>128.88999999999999</v>
      </c>
      <c r="CK270">
        <v>4022</v>
      </c>
      <c r="CL270">
        <v>134.06</v>
      </c>
      <c r="CM270">
        <v>100.36</v>
      </c>
      <c r="CN270" s="187">
        <v>106.53</v>
      </c>
      <c r="CO270">
        <v>206.51</v>
      </c>
      <c r="CP270">
        <v>75</v>
      </c>
      <c r="CQ270">
        <v>97.48</v>
      </c>
      <c r="CR270">
        <v>94.98</v>
      </c>
      <c r="CS270" s="187">
        <v>81.83</v>
      </c>
      <c r="CT270">
        <v>179.31</v>
      </c>
      <c r="CU270">
        <v>71</v>
      </c>
      <c r="CV270">
        <v>121.15</v>
      </c>
      <c r="CW270">
        <v>109.26</v>
      </c>
      <c r="CX270" s="187">
        <v>35.83</v>
      </c>
      <c r="CY270">
        <v>156.29</v>
      </c>
      <c r="CZ270">
        <v>626</v>
      </c>
      <c r="DA270">
        <v>138.82</v>
      </c>
      <c r="DB270">
        <v>128.37</v>
      </c>
      <c r="DC270" s="187">
        <v>35.42</v>
      </c>
      <c r="DD270">
        <v>174.24</v>
      </c>
      <c r="DE270">
        <v>42</v>
      </c>
      <c r="DF270">
        <v>148.25</v>
      </c>
      <c r="DG270">
        <v>136.49</v>
      </c>
      <c r="DH270" s="187">
        <v>31.87</v>
      </c>
      <c r="DI270">
        <v>180.12</v>
      </c>
      <c r="DJ270">
        <v>4</v>
      </c>
      <c r="DK270">
        <v>165.66</v>
      </c>
      <c r="DL270">
        <v>165.66</v>
      </c>
      <c r="DM270" s="187">
        <v>0</v>
      </c>
      <c r="DN270">
        <v>165.66</v>
      </c>
      <c r="DO270">
        <v>1</v>
      </c>
      <c r="DP270">
        <v>120.1</v>
      </c>
      <c r="DQ270">
        <v>109.19</v>
      </c>
      <c r="DR270" s="187">
        <v>40.25</v>
      </c>
      <c r="DS270">
        <v>159.63999999999999</v>
      </c>
      <c r="DT270">
        <v>744</v>
      </c>
      <c r="DU270">
        <v>121.38</v>
      </c>
      <c r="DV270">
        <v>108.57</v>
      </c>
      <c r="DW270" s="187">
        <v>44.57</v>
      </c>
      <c r="DX270">
        <v>163.93</v>
      </c>
      <c r="DY270">
        <v>819</v>
      </c>
      <c r="DZ270">
        <v>0</v>
      </c>
      <c r="EA270">
        <v>0</v>
      </c>
      <c r="EB270" s="187">
        <v>0</v>
      </c>
      <c r="EC270">
        <v>0</v>
      </c>
      <c r="ED270">
        <v>154.31</v>
      </c>
      <c r="EE270">
        <v>106</v>
      </c>
      <c r="EF270">
        <v>187.89</v>
      </c>
      <c r="EG270" s="187">
        <v>168</v>
      </c>
      <c r="EH270">
        <v>225.12</v>
      </c>
      <c r="EI270">
        <v>80</v>
      </c>
      <c r="EJ270">
        <v>241.87</v>
      </c>
      <c r="EK270">
        <v>18</v>
      </c>
      <c r="EL270" s="187">
        <v>0</v>
      </c>
      <c r="EM270">
        <v>0</v>
      </c>
      <c r="EN270">
        <v>0</v>
      </c>
      <c r="EO270">
        <v>0</v>
      </c>
      <c r="EP270">
        <v>188.94</v>
      </c>
      <c r="EQ270" s="187">
        <v>372</v>
      </c>
      <c r="ER270">
        <v>188.94</v>
      </c>
      <c r="ES270">
        <v>372</v>
      </c>
      <c r="ET270">
        <v>0</v>
      </c>
      <c r="EU270">
        <v>0</v>
      </c>
      <c r="EV270" s="187">
        <v>0</v>
      </c>
      <c r="EW270">
        <v>0</v>
      </c>
      <c r="EX270">
        <v>177.71</v>
      </c>
      <c r="EY270">
        <v>18</v>
      </c>
      <c r="EZ270">
        <v>0</v>
      </c>
      <c r="FA270" s="187">
        <v>0</v>
      </c>
      <c r="FB270">
        <v>0</v>
      </c>
      <c r="FC270">
        <v>0</v>
      </c>
      <c r="FD270">
        <v>0</v>
      </c>
      <c r="FE270">
        <v>0</v>
      </c>
      <c r="FF270" s="187">
        <v>177.71</v>
      </c>
      <c r="FG270">
        <v>18</v>
      </c>
      <c r="FH270">
        <v>177.71</v>
      </c>
      <c r="FI270">
        <v>18</v>
      </c>
      <c r="FJ270">
        <v>7</v>
      </c>
      <c r="FK270" s="187">
        <v>3</v>
      </c>
      <c r="FL270">
        <v>1</v>
      </c>
      <c r="FM270">
        <v>15</v>
      </c>
      <c r="FN270">
        <v>33</v>
      </c>
    </row>
    <row r="271" spans="1:170" x14ac:dyDescent="0.35">
      <c r="A271" t="s">
        <v>928</v>
      </c>
      <c r="B271" t="s">
        <v>929</v>
      </c>
      <c r="C271" t="s">
        <v>2</v>
      </c>
      <c r="D271">
        <v>7961</v>
      </c>
      <c r="E271">
        <v>7882</v>
      </c>
      <c r="F271">
        <v>0</v>
      </c>
      <c r="G271">
        <v>0</v>
      </c>
      <c r="H271">
        <v>238</v>
      </c>
      <c r="I271">
        <v>245</v>
      </c>
      <c r="J271">
        <v>438</v>
      </c>
      <c r="K271">
        <v>369</v>
      </c>
      <c r="L271">
        <v>829</v>
      </c>
      <c r="M271">
        <v>97</v>
      </c>
      <c r="N271">
        <v>9466</v>
      </c>
      <c r="O271">
        <v>8593</v>
      </c>
      <c r="P271">
        <v>8637</v>
      </c>
      <c r="Q271">
        <v>25</v>
      </c>
      <c r="R271">
        <v>7</v>
      </c>
      <c r="S271">
        <v>23</v>
      </c>
      <c r="T271">
        <v>166</v>
      </c>
      <c r="U271">
        <v>9300</v>
      </c>
      <c r="V271" s="498">
        <v>7866</v>
      </c>
      <c r="W271">
        <v>66</v>
      </c>
      <c r="X271" s="498">
        <v>47</v>
      </c>
      <c r="Y271" s="498">
        <v>113</v>
      </c>
      <c r="Z271" s="498">
        <v>100.38</v>
      </c>
      <c r="AA271" s="498">
        <v>99.94</v>
      </c>
      <c r="AB271">
        <v>7</v>
      </c>
      <c r="AC271">
        <v>103.61</v>
      </c>
      <c r="AD271">
        <v>6564</v>
      </c>
      <c r="AE271">
        <v>95.5</v>
      </c>
      <c r="AF271">
        <v>83.91</v>
      </c>
      <c r="AG271">
        <v>55.07</v>
      </c>
      <c r="AH271">
        <v>146.01</v>
      </c>
      <c r="AI271">
        <v>605</v>
      </c>
      <c r="AJ271">
        <v>141.04</v>
      </c>
      <c r="AK271">
        <v>1282</v>
      </c>
      <c r="AL271">
        <v>0</v>
      </c>
      <c r="AM271">
        <v>0</v>
      </c>
      <c r="AN271">
        <v>0</v>
      </c>
      <c r="AO271" s="499">
        <v>0</v>
      </c>
      <c r="AP271" s="499">
        <v>0</v>
      </c>
      <c r="AQ271">
        <v>0</v>
      </c>
      <c r="AR271">
        <v>0</v>
      </c>
      <c r="AS271">
        <v>78.45</v>
      </c>
      <c r="AT271">
        <v>78.650000000000006</v>
      </c>
      <c r="AU271">
        <v>6.73</v>
      </c>
      <c r="AV271">
        <v>85.18</v>
      </c>
      <c r="AW271">
        <v>31</v>
      </c>
      <c r="AX271">
        <v>84.98</v>
      </c>
      <c r="AY271">
        <v>84.89</v>
      </c>
      <c r="AZ271">
        <v>9.35</v>
      </c>
      <c r="BA271">
        <v>92.6</v>
      </c>
      <c r="BB271">
        <v>1532</v>
      </c>
      <c r="BC271">
        <v>98.1</v>
      </c>
      <c r="BD271">
        <v>97.41</v>
      </c>
      <c r="BE271">
        <v>6.03</v>
      </c>
      <c r="BF271">
        <v>100.99</v>
      </c>
      <c r="BG271">
        <v>2059</v>
      </c>
      <c r="BH271">
        <v>109.33</v>
      </c>
      <c r="BI271">
        <v>108.96</v>
      </c>
      <c r="BJ271">
        <v>4.34</v>
      </c>
      <c r="BK271">
        <v>110.42</v>
      </c>
      <c r="BL271" s="214">
        <v>2763</v>
      </c>
      <c r="BM271" s="214">
        <v>123.47</v>
      </c>
      <c r="BN271">
        <v>121.86</v>
      </c>
      <c r="BO271" s="187">
        <v>4.8099999999999996</v>
      </c>
      <c r="BP271" s="214">
        <v>125.28</v>
      </c>
      <c r="BQ271" s="214">
        <v>167</v>
      </c>
      <c r="BR271">
        <v>132.35</v>
      </c>
      <c r="BS271" s="187">
        <v>132.03</v>
      </c>
      <c r="BT271" s="214">
        <v>9.7100000000000009</v>
      </c>
      <c r="BU271" s="214">
        <v>135.59</v>
      </c>
      <c r="BV271">
        <v>9</v>
      </c>
      <c r="BW271">
        <v>137.43</v>
      </c>
      <c r="BX271" s="214">
        <v>142.88</v>
      </c>
      <c r="BY271" s="214">
        <v>2.99</v>
      </c>
      <c r="BZ271">
        <v>138.43</v>
      </c>
      <c r="CA271" s="187">
        <v>3</v>
      </c>
      <c r="CB271" s="214">
        <v>100.38</v>
      </c>
      <c r="CC271" s="214">
        <v>99.94</v>
      </c>
      <c r="CD271">
        <v>7</v>
      </c>
      <c r="CE271" s="187">
        <v>103.61</v>
      </c>
      <c r="CF271" s="214">
        <v>6564</v>
      </c>
      <c r="CG271" s="214">
        <v>100.38</v>
      </c>
      <c r="CH271">
        <v>99.94</v>
      </c>
      <c r="CI271">
        <v>7</v>
      </c>
      <c r="CJ271">
        <v>103.61</v>
      </c>
      <c r="CK271">
        <v>6564</v>
      </c>
      <c r="CL271">
        <v>122.39</v>
      </c>
      <c r="CM271">
        <v>78.36</v>
      </c>
      <c r="CN271" s="187">
        <v>78.709999999999994</v>
      </c>
      <c r="CO271">
        <v>201.1</v>
      </c>
      <c r="CP271">
        <v>128</v>
      </c>
      <c r="CQ271">
        <v>76.040000000000006</v>
      </c>
      <c r="CR271">
        <v>75.11</v>
      </c>
      <c r="CS271" s="187">
        <v>53.16</v>
      </c>
      <c r="CT271">
        <v>125.21</v>
      </c>
      <c r="CU271">
        <v>40</v>
      </c>
      <c r="CV271">
        <v>87.14</v>
      </c>
      <c r="CW271">
        <v>83.78</v>
      </c>
      <c r="CX271" s="187">
        <v>47.91</v>
      </c>
      <c r="CY271">
        <v>129.25</v>
      </c>
      <c r="CZ271">
        <v>388</v>
      </c>
      <c r="DA271">
        <v>107.2</v>
      </c>
      <c r="DB271">
        <v>103.01</v>
      </c>
      <c r="DC271" s="187">
        <v>44.74</v>
      </c>
      <c r="DD271">
        <v>151.94</v>
      </c>
      <c r="DE271">
        <v>48</v>
      </c>
      <c r="DF271">
        <v>114.68</v>
      </c>
      <c r="DG271">
        <v>104.25</v>
      </c>
      <c r="DH271" s="187">
        <v>33.22</v>
      </c>
      <c r="DI271">
        <v>147.9</v>
      </c>
      <c r="DJ271">
        <v>1</v>
      </c>
      <c r="DK271">
        <v>0</v>
      </c>
      <c r="DL271">
        <v>0</v>
      </c>
      <c r="DM271" s="187">
        <v>0</v>
      </c>
      <c r="DN271">
        <v>0</v>
      </c>
      <c r="DO271">
        <v>0</v>
      </c>
      <c r="DP271">
        <v>88.28</v>
      </c>
      <c r="DQ271">
        <v>85.03</v>
      </c>
      <c r="DR271" s="187">
        <v>47.98</v>
      </c>
      <c r="DS271">
        <v>131.22999999999999</v>
      </c>
      <c r="DT271">
        <v>477</v>
      </c>
      <c r="DU271">
        <v>95.5</v>
      </c>
      <c r="DV271">
        <v>83.91</v>
      </c>
      <c r="DW271" s="187">
        <v>55.07</v>
      </c>
      <c r="DX271">
        <v>146.01</v>
      </c>
      <c r="DY271">
        <v>605</v>
      </c>
      <c r="DZ271">
        <v>0</v>
      </c>
      <c r="EA271">
        <v>0</v>
      </c>
      <c r="EB271" s="187">
        <v>93.46</v>
      </c>
      <c r="EC271">
        <v>2</v>
      </c>
      <c r="ED271">
        <v>105.45</v>
      </c>
      <c r="EE271">
        <v>193</v>
      </c>
      <c r="EF271">
        <v>135.43</v>
      </c>
      <c r="EG271" s="187">
        <v>542</v>
      </c>
      <c r="EH271">
        <v>153.05000000000001</v>
      </c>
      <c r="EI271">
        <v>494</v>
      </c>
      <c r="EJ271">
        <v>220.91</v>
      </c>
      <c r="EK271">
        <v>51</v>
      </c>
      <c r="EL271" s="187">
        <v>0</v>
      </c>
      <c r="EM271">
        <v>0</v>
      </c>
      <c r="EN271">
        <v>0</v>
      </c>
      <c r="EO271">
        <v>0</v>
      </c>
      <c r="EP271">
        <v>141.04</v>
      </c>
      <c r="EQ271" s="187">
        <v>1282</v>
      </c>
      <c r="ER271">
        <v>141.04</v>
      </c>
      <c r="ES271">
        <v>1282</v>
      </c>
      <c r="ET271">
        <v>0</v>
      </c>
      <c r="EU271">
        <v>0</v>
      </c>
      <c r="EV271" s="187">
        <v>0</v>
      </c>
      <c r="EW271">
        <v>0</v>
      </c>
      <c r="EX271">
        <v>0</v>
      </c>
      <c r="EY271">
        <v>0</v>
      </c>
      <c r="EZ271">
        <v>0</v>
      </c>
      <c r="FA271" s="187">
        <v>0</v>
      </c>
      <c r="FB271">
        <v>0</v>
      </c>
      <c r="FC271">
        <v>0</v>
      </c>
      <c r="FD271">
        <v>0</v>
      </c>
      <c r="FE271">
        <v>0</v>
      </c>
      <c r="FF271" s="187">
        <v>0</v>
      </c>
      <c r="FG271">
        <v>0</v>
      </c>
      <c r="FH271">
        <v>0</v>
      </c>
      <c r="FI271">
        <v>0</v>
      </c>
      <c r="FJ271">
        <v>6</v>
      </c>
      <c r="FK271" s="187">
        <v>2</v>
      </c>
      <c r="FL271">
        <v>16</v>
      </c>
      <c r="FM271">
        <v>138</v>
      </c>
      <c r="FN271">
        <v>18</v>
      </c>
    </row>
    <row r="272" spans="1:170" x14ac:dyDescent="0.35">
      <c r="A272" t="s">
        <v>930</v>
      </c>
      <c r="B272" t="s">
        <v>931</v>
      </c>
      <c r="C272" t="s">
        <v>419</v>
      </c>
      <c r="D272">
        <v>4191</v>
      </c>
      <c r="E272">
        <v>4135</v>
      </c>
      <c r="F272">
        <v>0</v>
      </c>
      <c r="G272">
        <v>0</v>
      </c>
      <c r="H272">
        <v>560</v>
      </c>
      <c r="I272">
        <v>372</v>
      </c>
      <c r="J272">
        <v>923</v>
      </c>
      <c r="K272">
        <v>898</v>
      </c>
      <c r="L272">
        <v>1129</v>
      </c>
      <c r="M272">
        <v>24</v>
      </c>
      <c r="N272">
        <v>6803</v>
      </c>
      <c r="O272">
        <v>5429</v>
      </c>
      <c r="P272">
        <v>5674</v>
      </c>
      <c r="Q272">
        <v>2</v>
      </c>
      <c r="R272">
        <v>3</v>
      </c>
      <c r="S272">
        <v>29</v>
      </c>
      <c r="T272">
        <v>105</v>
      </c>
      <c r="U272">
        <v>6698</v>
      </c>
      <c r="V272" s="498">
        <v>4135</v>
      </c>
      <c r="W272">
        <v>23</v>
      </c>
      <c r="X272" s="498">
        <v>11</v>
      </c>
      <c r="Y272" s="498">
        <v>34</v>
      </c>
      <c r="Z272" s="498">
        <v>100.41</v>
      </c>
      <c r="AA272" s="498">
        <v>97.88</v>
      </c>
      <c r="AB272">
        <v>6.82</v>
      </c>
      <c r="AC272">
        <v>105.74</v>
      </c>
      <c r="AD272">
        <v>3086</v>
      </c>
      <c r="AE272">
        <v>88.59</v>
      </c>
      <c r="AF272">
        <v>85.97</v>
      </c>
      <c r="AG272">
        <v>53.17</v>
      </c>
      <c r="AH272">
        <v>139.72</v>
      </c>
      <c r="AI272">
        <v>1433</v>
      </c>
      <c r="AJ272">
        <v>139.68</v>
      </c>
      <c r="AK272">
        <v>921</v>
      </c>
      <c r="AL272">
        <v>124.19</v>
      </c>
      <c r="AM272">
        <v>1</v>
      </c>
      <c r="AN272">
        <v>0</v>
      </c>
      <c r="AO272" s="499">
        <v>0</v>
      </c>
      <c r="AP272" s="499">
        <v>0</v>
      </c>
      <c r="AQ272">
        <v>0</v>
      </c>
      <c r="AR272">
        <v>0</v>
      </c>
      <c r="AS272">
        <v>69.989999999999995</v>
      </c>
      <c r="AT272">
        <v>67.099999999999994</v>
      </c>
      <c r="AU272">
        <v>17.52</v>
      </c>
      <c r="AV272">
        <v>87.51</v>
      </c>
      <c r="AW272">
        <v>15</v>
      </c>
      <c r="AX272">
        <v>83.94</v>
      </c>
      <c r="AY272">
        <v>82.01</v>
      </c>
      <c r="AZ272">
        <v>9.11</v>
      </c>
      <c r="BA272">
        <v>92.66</v>
      </c>
      <c r="BB272">
        <v>859</v>
      </c>
      <c r="BC272">
        <v>99.92</v>
      </c>
      <c r="BD272">
        <v>97.47</v>
      </c>
      <c r="BE272">
        <v>6.68</v>
      </c>
      <c r="BF272">
        <v>105.36</v>
      </c>
      <c r="BG272">
        <v>1290</v>
      </c>
      <c r="BH272">
        <v>114.43</v>
      </c>
      <c r="BI272">
        <v>111.44</v>
      </c>
      <c r="BJ272">
        <v>3.26</v>
      </c>
      <c r="BK272">
        <v>116.29</v>
      </c>
      <c r="BL272" s="214">
        <v>796</v>
      </c>
      <c r="BM272" s="214">
        <v>132.56</v>
      </c>
      <c r="BN272">
        <v>128.80000000000001</v>
      </c>
      <c r="BO272" s="187">
        <v>2.66</v>
      </c>
      <c r="BP272" s="214">
        <v>134.04</v>
      </c>
      <c r="BQ272" s="214">
        <v>120</v>
      </c>
      <c r="BR272">
        <v>141.16</v>
      </c>
      <c r="BS272" s="187">
        <v>137.13</v>
      </c>
      <c r="BT272" s="214">
        <v>2.69</v>
      </c>
      <c r="BU272" s="214">
        <v>142.22999999999999</v>
      </c>
      <c r="BV272">
        <v>5</v>
      </c>
      <c r="BW272">
        <v>125.61</v>
      </c>
      <c r="BX272" s="214">
        <v>131.03</v>
      </c>
      <c r="BY272" s="214">
        <v>0</v>
      </c>
      <c r="BZ272">
        <v>125.61</v>
      </c>
      <c r="CA272" s="187">
        <v>1</v>
      </c>
      <c r="CB272" s="214">
        <v>100.41</v>
      </c>
      <c r="CC272" s="214">
        <v>97.88</v>
      </c>
      <c r="CD272">
        <v>6.82</v>
      </c>
      <c r="CE272" s="187">
        <v>105.74</v>
      </c>
      <c r="CF272" s="214">
        <v>3086</v>
      </c>
      <c r="CG272" s="214">
        <v>100.41</v>
      </c>
      <c r="CH272">
        <v>97.88</v>
      </c>
      <c r="CI272">
        <v>6.82</v>
      </c>
      <c r="CJ272">
        <v>105.74</v>
      </c>
      <c r="CK272">
        <v>3086</v>
      </c>
      <c r="CL272">
        <v>71.959999999999994</v>
      </c>
      <c r="CM272">
        <v>72.34</v>
      </c>
      <c r="CN272" s="187">
        <v>125.3</v>
      </c>
      <c r="CO272">
        <v>194.11</v>
      </c>
      <c r="CP272">
        <v>239</v>
      </c>
      <c r="CQ272">
        <v>73.069999999999993</v>
      </c>
      <c r="CR272">
        <v>70.56</v>
      </c>
      <c r="CS272" s="187">
        <v>23.32</v>
      </c>
      <c r="CT272">
        <v>96.4</v>
      </c>
      <c r="CU272">
        <v>69</v>
      </c>
      <c r="CV272">
        <v>88.44</v>
      </c>
      <c r="CW272">
        <v>85</v>
      </c>
      <c r="CX272" s="187">
        <v>36.590000000000003</v>
      </c>
      <c r="CY272">
        <v>123.84</v>
      </c>
      <c r="CZ272">
        <v>925</v>
      </c>
      <c r="DA272">
        <v>110.72</v>
      </c>
      <c r="DB272">
        <v>104.66</v>
      </c>
      <c r="DC272" s="187">
        <v>50.89</v>
      </c>
      <c r="DD272">
        <v>156.38</v>
      </c>
      <c r="DE272">
        <v>185</v>
      </c>
      <c r="DF272">
        <v>161.63999999999999</v>
      </c>
      <c r="DG272">
        <v>115.06</v>
      </c>
      <c r="DH272" s="187">
        <v>84.39</v>
      </c>
      <c r="DI272">
        <v>246.03</v>
      </c>
      <c r="DJ272">
        <v>15</v>
      </c>
      <c r="DK272">
        <v>0</v>
      </c>
      <c r="DL272">
        <v>0</v>
      </c>
      <c r="DM272" s="187">
        <v>0</v>
      </c>
      <c r="DN272">
        <v>0</v>
      </c>
      <c r="DO272">
        <v>0</v>
      </c>
      <c r="DP272">
        <v>91.92</v>
      </c>
      <c r="DQ272">
        <v>87.69</v>
      </c>
      <c r="DR272" s="187">
        <v>38.49</v>
      </c>
      <c r="DS272">
        <v>128.83000000000001</v>
      </c>
      <c r="DT272">
        <v>1194</v>
      </c>
      <c r="DU272">
        <v>88.59</v>
      </c>
      <c r="DV272">
        <v>85.97</v>
      </c>
      <c r="DW272" s="187">
        <v>53.17</v>
      </c>
      <c r="DX272">
        <v>139.72</v>
      </c>
      <c r="DY272">
        <v>1433</v>
      </c>
      <c r="DZ272">
        <v>0</v>
      </c>
      <c r="EA272">
        <v>0</v>
      </c>
      <c r="EB272" s="187">
        <v>0</v>
      </c>
      <c r="EC272">
        <v>0</v>
      </c>
      <c r="ED272">
        <v>110.38</v>
      </c>
      <c r="EE272">
        <v>259</v>
      </c>
      <c r="EF272">
        <v>133.78</v>
      </c>
      <c r="EG272" s="187">
        <v>369</v>
      </c>
      <c r="EH272">
        <v>163.5</v>
      </c>
      <c r="EI272">
        <v>226</v>
      </c>
      <c r="EJ272">
        <v>205.07</v>
      </c>
      <c r="EK272">
        <v>67</v>
      </c>
      <c r="EL272" s="187">
        <v>0</v>
      </c>
      <c r="EM272">
        <v>0</v>
      </c>
      <c r="EN272">
        <v>0</v>
      </c>
      <c r="EO272">
        <v>0</v>
      </c>
      <c r="EP272">
        <v>139.68</v>
      </c>
      <c r="EQ272" s="187">
        <v>921</v>
      </c>
      <c r="ER272">
        <v>139.68</v>
      </c>
      <c r="ES272">
        <v>921</v>
      </c>
      <c r="ET272">
        <v>0</v>
      </c>
      <c r="EU272">
        <v>0</v>
      </c>
      <c r="EV272" s="187">
        <v>0</v>
      </c>
      <c r="EW272">
        <v>0</v>
      </c>
      <c r="EX272">
        <v>0</v>
      </c>
      <c r="EY272">
        <v>0</v>
      </c>
      <c r="EZ272">
        <v>124.19</v>
      </c>
      <c r="FA272" s="187">
        <v>1</v>
      </c>
      <c r="FB272">
        <v>0</v>
      </c>
      <c r="FC272">
        <v>0</v>
      </c>
      <c r="FD272">
        <v>0</v>
      </c>
      <c r="FE272">
        <v>0</v>
      </c>
      <c r="FF272" s="187">
        <v>124.19</v>
      </c>
      <c r="FG272">
        <v>1</v>
      </c>
      <c r="FH272">
        <v>124.19</v>
      </c>
      <c r="FI272">
        <v>1</v>
      </c>
      <c r="FJ272">
        <v>0</v>
      </c>
      <c r="FK272" s="187">
        <v>0</v>
      </c>
      <c r="FL272">
        <v>1</v>
      </c>
      <c r="FM272">
        <v>58</v>
      </c>
      <c r="FN272">
        <v>34</v>
      </c>
    </row>
    <row r="273" spans="1:170" x14ac:dyDescent="0.35">
      <c r="A273" t="s">
        <v>932</v>
      </c>
      <c r="B273" t="s">
        <v>933</v>
      </c>
      <c r="C273" t="s">
        <v>418</v>
      </c>
      <c r="D273">
        <v>20186</v>
      </c>
      <c r="E273">
        <v>19231</v>
      </c>
      <c r="F273">
        <v>0</v>
      </c>
      <c r="G273">
        <v>0</v>
      </c>
      <c r="H273">
        <v>655</v>
      </c>
      <c r="I273">
        <v>275</v>
      </c>
      <c r="J273">
        <v>1373</v>
      </c>
      <c r="K273">
        <v>1373</v>
      </c>
      <c r="L273">
        <v>225</v>
      </c>
      <c r="M273">
        <v>0</v>
      </c>
      <c r="N273">
        <v>22439</v>
      </c>
      <c r="O273">
        <v>20879</v>
      </c>
      <c r="P273">
        <v>22214</v>
      </c>
      <c r="Q273">
        <v>15</v>
      </c>
      <c r="R273">
        <v>9</v>
      </c>
      <c r="S273">
        <v>21</v>
      </c>
      <c r="T273">
        <v>1110</v>
      </c>
      <c r="U273">
        <v>21329</v>
      </c>
      <c r="V273" s="498">
        <v>19211</v>
      </c>
      <c r="W273">
        <v>173</v>
      </c>
      <c r="X273" s="498">
        <v>34</v>
      </c>
      <c r="Y273" s="498">
        <v>207</v>
      </c>
      <c r="Z273" s="498">
        <v>83.75</v>
      </c>
      <c r="AA273" s="498">
        <v>80.78</v>
      </c>
      <c r="AB273">
        <v>3.8</v>
      </c>
      <c r="AC273">
        <v>87.2</v>
      </c>
      <c r="AD273">
        <v>16664</v>
      </c>
      <c r="AE273">
        <v>84.1</v>
      </c>
      <c r="AF273">
        <v>74.349999999999994</v>
      </c>
      <c r="AG273">
        <v>40.229999999999997</v>
      </c>
      <c r="AH273">
        <v>122.12</v>
      </c>
      <c r="AI273">
        <v>1841</v>
      </c>
      <c r="AJ273">
        <v>108.21</v>
      </c>
      <c r="AK273">
        <v>2528</v>
      </c>
      <c r="AL273">
        <v>133.37</v>
      </c>
      <c r="AM273">
        <v>52</v>
      </c>
      <c r="AN273">
        <v>0</v>
      </c>
      <c r="AO273" s="499">
        <v>0</v>
      </c>
      <c r="AP273" s="499">
        <v>0</v>
      </c>
      <c r="AQ273">
        <v>0</v>
      </c>
      <c r="AR273">
        <v>0</v>
      </c>
      <c r="AS273">
        <v>60.98</v>
      </c>
      <c r="AT273">
        <v>58.34</v>
      </c>
      <c r="AU273">
        <v>7.83</v>
      </c>
      <c r="AV273">
        <v>68.81</v>
      </c>
      <c r="AW273">
        <v>77</v>
      </c>
      <c r="AX273">
        <v>73.25</v>
      </c>
      <c r="AY273">
        <v>70.260000000000005</v>
      </c>
      <c r="AZ273">
        <v>5.05</v>
      </c>
      <c r="BA273">
        <v>78.25</v>
      </c>
      <c r="BB273">
        <v>5673</v>
      </c>
      <c r="BC273">
        <v>84.04</v>
      </c>
      <c r="BD273">
        <v>81.22</v>
      </c>
      <c r="BE273">
        <v>3.97</v>
      </c>
      <c r="BF273">
        <v>87.51</v>
      </c>
      <c r="BG273">
        <v>6029</v>
      </c>
      <c r="BH273">
        <v>95.37</v>
      </c>
      <c r="BI273">
        <v>92.25</v>
      </c>
      <c r="BJ273">
        <v>1.79</v>
      </c>
      <c r="BK273">
        <v>96.9</v>
      </c>
      <c r="BL273" s="214">
        <v>4581</v>
      </c>
      <c r="BM273" s="214">
        <v>103.59</v>
      </c>
      <c r="BN273">
        <v>101.49</v>
      </c>
      <c r="BO273" s="187">
        <v>2.17</v>
      </c>
      <c r="BP273" s="214">
        <v>105.09</v>
      </c>
      <c r="BQ273" s="214">
        <v>259</v>
      </c>
      <c r="BR273">
        <v>111.59</v>
      </c>
      <c r="BS273" s="187">
        <v>108.63</v>
      </c>
      <c r="BT273" s="214">
        <v>2.39</v>
      </c>
      <c r="BU273" s="214">
        <v>113.26</v>
      </c>
      <c r="BV273">
        <v>43</v>
      </c>
      <c r="BW273">
        <v>125.84</v>
      </c>
      <c r="BX273" s="214">
        <v>122.56</v>
      </c>
      <c r="BY273" s="214">
        <v>1.32</v>
      </c>
      <c r="BZ273">
        <v>127.15</v>
      </c>
      <c r="CA273" s="187">
        <v>2</v>
      </c>
      <c r="CB273" s="214">
        <v>83.75</v>
      </c>
      <c r="CC273" s="214">
        <v>80.78</v>
      </c>
      <c r="CD273">
        <v>3.8</v>
      </c>
      <c r="CE273" s="187">
        <v>87.2</v>
      </c>
      <c r="CF273" s="214">
        <v>16664</v>
      </c>
      <c r="CG273" s="214">
        <v>83.75</v>
      </c>
      <c r="CH273">
        <v>80.78</v>
      </c>
      <c r="CI273">
        <v>3.8</v>
      </c>
      <c r="CJ273">
        <v>87.2</v>
      </c>
      <c r="CK273">
        <v>16664</v>
      </c>
      <c r="CL273">
        <v>104.37</v>
      </c>
      <c r="CM273">
        <v>69.63</v>
      </c>
      <c r="CN273" s="187">
        <v>45.84</v>
      </c>
      <c r="CO273">
        <v>145.94999999999999</v>
      </c>
      <c r="CP273">
        <v>118</v>
      </c>
      <c r="CQ273">
        <v>70.91</v>
      </c>
      <c r="CR273">
        <v>70.150000000000006</v>
      </c>
      <c r="CS273" s="187">
        <v>36.92</v>
      </c>
      <c r="CT273">
        <v>100.27</v>
      </c>
      <c r="CU273">
        <v>371</v>
      </c>
      <c r="CV273">
        <v>85.08</v>
      </c>
      <c r="CW273">
        <v>74.88</v>
      </c>
      <c r="CX273" s="187">
        <v>39.700000000000003</v>
      </c>
      <c r="CY273">
        <v>124.33</v>
      </c>
      <c r="CZ273">
        <v>1140</v>
      </c>
      <c r="DA273">
        <v>89.64</v>
      </c>
      <c r="DB273">
        <v>82.46</v>
      </c>
      <c r="DC273" s="187">
        <v>37.54</v>
      </c>
      <c r="DD273">
        <v>126.99</v>
      </c>
      <c r="DE273">
        <v>194</v>
      </c>
      <c r="DF273">
        <v>98.37</v>
      </c>
      <c r="DG273">
        <v>88.02</v>
      </c>
      <c r="DH273" s="187">
        <v>75.150000000000006</v>
      </c>
      <c r="DI273">
        <v>173.51</v>
      </c>
      <c r="DJ273">
        <v>13</v>
      </c>
      <c r="DK273">
        <v>109.2</v>
      </c>
      <c r="DL273">
        <v>0</v>
      </c>
      <c r="DM273" s="187">
        <v>245.74</v>
      </c>
      <c r="DN273">
        <v>354.94</v>
      </c>
      <c r="DO273">
        <v>5</v>
      </c>
      <c r="DP273">
        <v>82.71</v>
      </c>
      <c r="DQ273">
        <v>74.599999999999994</v>
      </c>
      <c r="DR273" s="187">
        <v>39.86</v>
      </c>
      <c r="DS273">
        <v>120.49</v>
      </c>
      <c r="DT273">
        <v>1723</v>
      </c>
      <c r="DU273">
        <v>84.1</v>
      </c>
      <c r="DV273">
        <v>74.349999999999994</v>
      </c>
      <c r="DW273" s="187">
        <v>40.229999999999997</v>
      </c>
      <c r="DX273">
        <v>122.12</v>
      </c>
      <c r="DY273">
        <v>1841</v>
      </c>
      <c r="DZ273">
        <v>0</v>
      </c>
      <c r="EA273">
        <v>0</v>
      </c>
      <c r="EB273" s="187">
        <v>0</v>
      </c>
      <c r="EC273">
        <v>0</v>
      </c>
      <c r="ED273">
        <v>93.33</v>
      </c>
      <c r="EE273">
        <v>257</v>
      </c>
      <c r="EF273">
        <v>104.33</v>
      </c>
      <c r="EG273" s="187">
        <v>1263</v>
      </c>
      <c r="EH273">
        <v>114.63</v>
      </c>
      <c r="EI273">
        <v>925</v>
      </c>
      <c r="EJ273">
        <v>141.79</v>
      </c>
      <c r="EK273">
        <v>77</v>
      </c>
      <c r="EL273" s="187">
        <v>139.06</v>
      </c>
      <c r="EM273">
        <v>6</v>
      </c>
      <c r="EN273">
        <v>0</v>
      </c>
      <c r="EO273">
        <v>0</v>
      </c>
      <c r="EP273">
        <v>108.21</v>
      </c>
      <c r="EQ273" s="187">
        <v>2528</v>
      </c>
      <c r="ER273">
        <v>108.21</v>
      </c>
      <c r="ES273">
        <v>2528</v>
      </c>
      <c r="ET273">
        <v>0</v>
      </c>
      <c r="EU273">
        <v>0</v>
      </c>
      <c r="EV273" s="187">
        <v>0</v>
      </c>
      <c r="EW273">
        <v>0</v>
      </c>
      <c r="EX273">
        <v>107.76</v>
      </c>
      <c r="EY273">
        <v>20</v>
      </c>
      <c r="EZ273">
        <v>149.37</v>
      </c>
      <c r="FA273" s="187">
        <v>32</v>
      </c>
      <c r="FB273">
        <v>0</v>
      </c>
      <c r="FC273">
        <v>0</v>
      </c>
      <c r="FD273">
        <v>0</v>
      </c>
      <c r="FE273">
        <v>0</v>
      </c>
      <c r="FF273" s="187">
        <v>133.37</v>
      </c>
      <c r="FG273">
        <v>52</v>
      </c>
      <c r="FH273">
        <v>133.37</v>
      </c>
      <c r="FI273">
        <v>52</v>
      </c>
      <c r="FJ273">
        <v>0</v>
      </c>
      <c r="FK273" s="187">
        <v>74</v>
      </c>
      <c r="FL273">
        <v>0</v>
      </c>
      <c r="FM273">
        <v>1</v>
      </c>
      <c r="FN273">
        <v>4</v>
      </c>
    </row>
    <row r="274" spans="1:170" x14ac:dyDescent="0.35">
      <c r="A274" t="s">
        <v>934</v>
      </c>
      <c r="B274" t="s">
        <v>935</v>
      </c>
      <c r="C274" t="s">
        <v>420</v>
      </c>
      <c r="D274">
        <v>1670</v>
      </c>
      <c r="E274">
        <v>1718</v>
      </c>
      <c r="F274">
        <v>0</v>
      </c>
      <c r="G274">
        <v>0</v>
      </c>
      <c r="H274">
        <v>130</v>
      </c>
      <c r="I274">
        <v>80</v>
      </c>
      <c r="J274">
        <v>110</v>
      </c>
      <c r="K274">
        <v>110</v>
      </c>
      <c r="L274">
        <v>246</v>
      </c>
      <c r="M274">
        <v>40</v>
      </c>
      <c r="N274">
        <v>2156</v>
      </c>
      <c r="O274">
        <v>1948</v>
      </c>
      <c r="P274">
        <v>1910</v>
      </c>
      <c r="Q274">
        <v>0</v>
      </c>
      <c r="R274">
        <v>2</v>
      </c>
      <c r="S274">
        <v>18</v>
      </c>
      <c r="T274">
        <v>50</v>
      </c>
      <c r="U274">
        <v>2106</v>
      </c>
      <c r="V274" s="498">
        <v>1670</v>
      </c>
      <c r="W274">
        <v>17</v>
      </c>
      <c r="X274" s="498">
        <v>2</v>
      </c>
      <c r="Y274" s="498">
        <v>19</v>
      </c>
      <c r="Z274" s="498">
        <v>90.38</v>
      </c>
      <c r="AA274" s="498">
        <v>86.94</v>
      </c>
      <c r="AB274">
        <v>5.67</v>
      </c>
      <c r="AC274">
        <v>95.23</v>
      </c>
      <c r="AD274">
        <v>1241</v>
      </c>
      <c r="AE274">
        <v>84.55</v>
      </c>
      <c r="AF274">
        <v>79.34</v>
      </c>
      <c r="AG274">
        <v>39.24</v>
      </c>
      <c r="AH274">
        <v>123.78</v>
      </c>
      <c r="AI274">
        <v>190</v>
      </c>
      <c r="AJ274">
        <v>118.24</v>
      </c>
      <c r="AK274">
        <v>415</v>
      </c>
      <c r="AL274">
        <v>0</v>
      </c>
      <c r="AM274">
        <v>0</v>
      </c>
      <c r="AN274">
        <v>0</v>
      </c>
      <c r="AO274" s="499">
        <v>0</v>
      </c>
      <c r="AP274" s="499">
        <v>0</v>
      </c>
      <c r="AQ274">
        <v>0</v>
      </c>
      <c r="AR274">
        <v>0</v>
      </c>
      <c r="AS274">
        <v>0</v>
      </c>
      <c r="AT274">
        <v>0</v>
      </c>
      <c r="AU274">
        <v>0</v>
      </c>
      <c r="AV274">
        <v>0</v>
      </c>
      <c r="AW274">
        <v>0</v>
      </c>
      <c r="AX274">
        <v>74.12</v>
      </c>
      <c r="AY274">
        <v>70.83</v>
      </c>
      <c r="AZ274">
        <v>6.72</v>
      </c>
      <c r="BA274">
        <v>80.84</v>
      </c>
      <c r="BB274">
        <v>267</v>
      </c>
      <c r="BC274">
        <v>90.44</v>
      </c>
      <c r="BD274">
        <v>87.18</v>
      </c>
      <c r="BE274">
        <v>7.11</v>
      </c>
      <c r="BF274">
        <v>96.4</v>
      </c>
      <c r="BG274">
        <v>536</v>
      </c>
      <c r="BH274">
        <v>98.99</v>
      </c>
      <c r="BI274">
        <v>95.1</v>
      </c>
      <c r="BJ274">
        <v>2.94</v>
      </c>
      <c r="BK274">
        <v>101.31</v>
      </c>
      <c r="BL274" s="214">
        <v>390</v>
      </c>
      <c r="BM274" s="214">
        <v>110.04</v>
      </c>
      <c r="BN274">
        <v>107.2</v>
      </c>
      <c r="BO274" s="187">
        <v>3.22</v>
      </c>
      <c r="BP274" s="214">
        <v>112.64</v>
      </c>
      <c r="BQ274" s="214">
        <v>46</v>
      </c>
      <c r="BR274">
        <v>101.59</v>
      </c>
      <c r="BS274" s="187">
        <v>103.55</v>
      </c>
      <c r="BT274" s="214">
        <v>0</v>
      </c>
      <c r="BU274" s="214">
        <v>101.59</v>
      </c>
      <c r="BV274">
        <v>1</v>
      </c>
      <c r="BW274">
        <v>129.88</v>
      </c>
      <c r="BX274" s="214">
        <v>129.87</v>
      </c>
      <c r="BY274" s="214">
        <v>0</v>
      </c>
      <c r="BZ274">
        <v>129.88</v>
      </c>
      <c r="CA274" s="187">
        <v>1</v>
      </c>
      <c r="CB274" s="214">
        <v>90.38</v>
      </c>
      <c r="CC274" s="214">
        <v>86.94</v>
      </c>
      <c r="CD274">
        <v>5.67</v>
      </c>
      <c r="CE274" s="187">
        <v>95.23</v>
      </c>
      <c r="CF274" s="214">
        <v>1241</v>
      </c>
      <c r="CG274" s="214">
        <v>90.38</v>
      </c>
      <c r="CH274">
        <v>86.94</v>
      </c>
      <c r="CI274">
        <v>5.67</v>
      </c>
      <c r="CJ274">
        <v>95.23</v>
      </c>
      <c r="CK274">
        <v>1241</v>
      </c>
      <c r="CL274">
        <v>123.64</v>
      </c>
      <c r="CM274">
        <v>0</v>
      </c>
      <c r="CN274" s="187">
        <v>11.22</v>
      </c>
      <c r="CO274">
        <v>134.86000000000001</v>
      </c>
      <c r="CP274">
        <v>3</v>
      </c>
      <c r="CQ274">
        <v>0</v>
      </c>
      <c r="CR274">
        <v>0</v>
      </c>
      <c r="CS274" s="187">
        <v>0</v>
      </c>
      <c r="CT274">
        <v>0</v>
      </c>
      <c r="CU274">
        <v>0</v>
      </c>
      <c r="CV274">
        <v>82.79</v>
      </c>
      <c r="CW274">
        <v>78.319999999999993</v>
      </c>
      <c r="CX274" s="187">
        <v>39.700000000000003</v>
      </c>
      <c r="CY274">
        <v>122.48</v>
      </c>
      <c r="CZ274">
        <v>167</v>
      </c>
      <c r="DA274">
        <v>92.91</v>
      </c>
      <c r="DB274">
        <v>87.49</v>
      </c>
      <c r="DC274" s="187">
        <v>39.1</v>
      </c>
      <c r="DD274">
        <v>132.01</v>
      </c>
      <c r="DE274">
        <v>19</v>
      </c>
      <c r="DF274">
        <v>102.22</v>
      </c>
      <c r="DG274">
        <v>93.82</v>
      </c>
      <c r="DH274" s="187">
        <v>49.23</v>
      </c>
      <c r="DI274">
        <v>151.44999999999999</v>
      </c>
      <c r="DJ274">
        <v>1</v>
      </c>
      <c r="DK274">
        <v>0</v>
      </c>
      <c r="DL274">
        <v>0</v>
      </c>
      <c r="DM274" s="187">
        <v>0</v>
      </c>
      <c r="DN274">
        <v>0</v>
      </c>
      <c r="DO274">
        <v>0</v>
      </c>
      <c r="DP274">
        <v>83.92</v>
      </c>
      <c r="DQ274">
        <v>79.34</v>
      </c>
      <c r="DR274" s="187">
        <v>39.69</v>
      </c>
      <c r="DS274">
        <v>123.61</v>
      </c>
      <c r="DT274">
        <v>187</v>
      </c>
      <c r="DU274">
        <v>84.55</v>
      </c>
      <c r="DV274">
        <v>79.34</v>
      </c>
      <c r="DW274" s="187">
        <v>39.24</v>
      </c>
      <c r="DX274">
        <v>123.78</v>
      </c>
      <c r="DY274">
        <v>190</v>
      </c>
      <c r="DZ274">
        <v>0</v>
      </c>
      <c r="EA274">
        <v>0</v>
      </c>
      <c r="EB274" s="187">
        <v>0</v>
      </c>
      <c r="EC274">
        <v>0</v>
      </c>
      <c r="ED274">
        <v>94.86</v>
      </c>
      <c r="EE274">
        <v>75</v>
      </c>
      <c r="EF274">
        <v>118.93</v>
      </c>
      <c r="EG274" s="187">
        <v>249</v>
      </c>
      <c r="EH274">
        <v>132.66999999999999</v>
      </c>
      <c r="EI274">
        <v>84</v>
      </c>
      <c r="EJ274">
        <v>171.11</v>
      </c>
      <c r="EK274">
        <v>7</v>
      </c>
      <c r="EL274" s="187">
        <v>0</v>
      </c>
      <c r="EM274">
        <v>0</v>
      </c>
      <c r="EN274">
        <v>0</v>
      </c>
      <c r="EO274">
        <v>0</v>
      </c>
      <c r="EP274">
        <v>118.24</v>
      </c>
      <c r="EQ274" s="187">
        <v>415</v>
      </c>
      <c r="ER274">
        <v>118.24</v>
      </c>
      <c r="ES274">
        <v>415</v>
      </c>
      <c r="ET274">
        <v>0</v>
      </c>
      <c r="EU274">
        <v>0</v>
      </c>
      <c r="EV274" s="187">
        <v>0</v>
      </c>
      <c r="EW274">
        <v>0</v>
      </c>
      <c r="EX274">
        <v>0</v>
      </c>
      <c r="EY274">
        <v>0</v>
      </c>
      <c r="EZ274">
        <v>0</v>
      </c>
      <c r="FA274" s="187">
        <v>0</v>
      </c>
      <c r="FB274">
        <v>0</v>
      </c>
      <c r="FC274">
        <v>0</v>
      </c>
      <c r="FD274">
        <v>0</v>
      </c>
      <c r="FE274">
        <v>0</v>
      </c>
      <c r="FF274" s="187">
        <v>0</v>
      </c>
      <c r="FG274">
        <v>0</v>
      </c>
      <c r="FH274">
        <v>0</v>
      </c>
      <c r="FI274">
        <v>0</v>
      </c>
      <c r="FJ274">
        <v>15</v>
      </c>
      <c r="FK274" s="187">
        <v>0</v>
      </c>
      <c r="FL274">
        <v>0</v>
      </c>
      <c r="FM274">
        <v>44</v>
      </c>
      <c r="FN274">
        <v>4</v>
      </c>
    </row>
    <row r="275" spans="1:170" x14ac:dyDescent="0.35">
      <c r="A275" t="s">
        <v>936</v>
      </c>
      <c r="B275" t="s">
        <v>937</v>
      </c>
      <c r="C275" t="s">
        <v>2</v>
      </c>
      <c r="D275">
        <v>1192</v>
      </c>
      <c r="E275">
        <v>1157</v>
      </c>
      <c r="F275">
        <v>0</v>
      </c>
      <c r="G275">
        <v>0</v>
      </c>
      <c r="H275">
        <v>128</v>
      </c>
      <c r="I275">
        <v>35</v>
      </c>
      <c r="J275">
        <v>75</v>
      </c>
      <c r="K275">
        <v>27</v>
      </c>
      <c r="L275">
        <v>367</v>
      </c>
      <c r="M275">
        <v>6</v>
      </c>
      <c r="N275">
        <v>1762</v>
      </c>
      <c r="O275">
        <v>1225</v>
      </c>
      <c r="P275">
        <v>1395</v>
      </c>
      <c r="Q275">
        <v>1</v>
      </c>
      <c r="R275">
        <v>8</v>
      </c>
      <c r="S275">
        <v>21</v>
      </c>
      <c r="T275">
        <v>153</v>
      </c>
      <c r="U275">
        <v>1609</v>
      </c>
      <c r="V275" s="498">
        <v>1150</v>
      </c>
      <c r="W275">
        <v>9</v>
      </c>
      <c r="X275" s="498">
        <v>0</v>
      </c>
      <c r="Y275" s="498">
        <v>9</v>
      </c>
      <c r="Z275" s="498">
        <v>127.27</v>
      </c>
      <c r="AA275" s="498">
        <v>125.16</v>
      </c>
      <c r="AB275">
        <v>8.32</v>
      </c>
      <c r="AC275">
        <v>135.21</v>
      </c>
      <c r="AD275">
        <v>721</v>
      </c>
      <c r="AE275">
        <v>153.46</v>
      </c>
      <c r="AF275">
        <v>97.45</v>
      </c>
      <c r="AG275">
        <v>51.26</v>
      </c>
      <c r="AH275">
        <v>201.94</v>
      </c>
      <c r="AI275">
        <v>92</v>
      </c>
      <c r="AJ275">
        <v>188.35</v>
      </c>
      <c r="AK275">
        <v>366</v>
      </c>
      <c r="AL275">
        <v>147.69999999999999</v>
      </c>
      <c r="AM275">
        <v>8</v>
      </c>
      <c r="AN275">
        <v>0</v>
      </c>
      <c r="AO275" s="499">
        <v>0</v>
      </c>
      <c r="AP275" s="499">
        <v>0</v>
      </c>
      <c r="AQ275">
        <v>0</v>
      </c>
      <c r="AR275">
        <v>0</v>
      </c>
      <c r="AS275">
        <v>0</v>
      </c>
      <c r="AT275">
        <v>0</v>
      </c>
      <c r="AU275">
        <v>0</v>
      </c>
      <c r="AV275">
        <v>0</v>
      </c>
      <c r="AW275">
        <v>0</v>
      </c>
      <c r="AX275">
        <v>103.4</v>
      </c>
      <c r="AY275">
        <v>102.53</v>
      </c>
      <c r="AZ275">
        <v>11.96</v>
      </c>
      <c r="BA275">
        <v>115.28</v>
      </c>
      <c r="BB275">
        <v>147</v>
      </c>
      <c r="BC275">
        <v>124.59</v>
      </c>
      <c r="BD275">
        <v>121.93</v>
      </c>
      <c r="BE275">
        <v>8.31</v>
      </c>
      <c r="BF275">
        <v>132.77000000000001</v>
      </c>
      <c r="BG275">
        <v>333</v>
      </c>
      <c r="BH275">
        <v>144.41999999999999</v>
      </c>
      <c r="BI275">
        <v>142.16</v>
      </c>
      <c r="BJ275">
        <v>5.93</v>
      </c>
      <c r="BK275">
        <v>149.65</v>
      </c>
      <c r="BL275" s="214">
        <v>223</v>
      </c>
      <c r="BM275" s="214">
        <v>159.19999999999999</v>
      </c>
      <c r="BN275">
        <v>164.86</v>
      </c>
      <c r="BO275" s="187">
        <v>5.0999999999999996</v>
      </c>
      <c r="BP275" s="214">
        <v>164.01</v>
      </c>
      <c r="BQ275" s="214">
        <v>18</v>
      </c>
      <c r="BR275">
        <v>0</v>
      </c>
      <c r="BS275" s="187">
        <v>0</v>
      </c>
      <c r="BT275" s="214">
        <v>0</v>
      </c>
      <c r="BU275" s="214">
        <v>0</v>
      </c>
      <c r="BV275">
        <v>0</v>
      </c>
      <c r="BW275">
        <v>0</v>
      </c>
      <c r="BX275" s="214">
        <v>0</v>
      </c>
      <c r="BY275" s="214">
        <v>0</v>
      </c>
      <c r="BZ275">
        <v>0</v>
      </c>
      <c r="CA275" s="187">
        <v>0</v>
      </c>
      <c r="CB275" s="214">
        <v>127.27</v>
      </c>
      <c r="CC275" s="214">
        <v>125.16</v>
      </c>
      <c r="CD275">
        <v>8.32</v>
      </c>
      <c r="CE275" s="187">
        <v>135.21</v>
      </c>
      <c r="CF275" s="214">
        <v>721</v>
      </c>
      <c r="CG275" s="214">
        <v>127.27</v>
      </c>
      <c r="CH275">
        <v>125.16</v>
      </c>
      <c r="CI275">
        <v>8.32</v>
      </c>
      <c r="CJ275">
        <v>135.21</v>
      </c>
      <c r="CK275">
        <v>721</v>
      </c>
      <c r="CL275">
        <v>205.91</v>
      </c>
      <c r="CM275">
        <v>100.48</v>
      </c>
      <c r="CN275" s="187">
        <v>59.88</v>
      </c>
      <c r="CO275">
        <v>258.99</v>
      </c>
      <c r="CP275">
        <v>44</v>
      </c>
      <c r="CQ275">
        <v>103.58</v>
      </c>
      <c r="CR275">
        <v>93.88</v>
      </c>
      <c r="CS275" s="187">
        <v>112.57</v>
      </c>
      <c r="CT275">
        <v>216.15</v>
      </c>
      <c r="CU275">
        <v>5</v>
      </c>
      <c r="CV275">
        <v>102.79</v>
      </c>
      <c r="CW275">
        <v>92.08</v>
      </c>
      <c r="CX275" s="187">
        <v>40.03</v>
      </c>
      <c r="CY275">
        <v>142.82</v>
      </c>
      <c r="CZ275">
        <v>35</v>
      </c>
      <c r="DA275">
        <v>108.19</v>
      </c>
      <c r="DB275">
        <v>106.21</v>
      </c>
      <c r="DC275" s="187">
        <v>21.64</v>
      </c>
      <c r="DD275">
        <v>129.83000000000001</v>
      </c>
      <c r="DE275">
        <v>6</v>
      </c>
      <c r="DF275">
        <v>146.78</v>
      </c>
      <c r="DG275">
        <v>145.55000000000001</v>
      </c>
      <c r="DH275" s="187">
        <v>15.32</v>
      </c>
      <c r="DI275">
        <v>162.1</v>
      </c>
      <c r="DJ275">
        <v>2</v>
      </c>
      <c r="DK275">
        <v>0</v>
      </c>
      <c r="DL275">
        <v>0</v>
      </c>
      <c r="DM275" s="187">
        <v>0</v>
      </c>
      <c r="DN275">
        <v>0</v>
      </c>
      <c r="DO275">
        <v>0</v>
      </c>
      <c r="DP275">
        <v>105.38</v>
      </c>
      <c r="DQ275">
        <v>96.35</v>
      </c>
      <c r="DR275" s="187">
        <v>44.26</v>
      </c>
      <c r="DS275">
        <v>149.63999999999999</v>
      </c>
      <c r="DT275">
        <v>48</v>
      </c>
      <c r="DU275">
        <v>153.46</v>
      </c>
      <c r="DV275">
        <v>97.45</v>
      </c>
      <c r="DW275" s="187">
        <v>51.26</v>
      </c>
      <c r="DX275">
        <v>201.94</v>
      </c>
      <c r="DY275">
        <v>92</v>
      </c>
      <c r="DZ275">
        <v>0</v>
      </c>
      <c r="EA275">
        <v>0</v>
      </c>
      <c r="EB275" s="187">
        <v>0</v>
      </c>
      <c r="EC275">
        <v>0</v>
      </c>
      <c r="ED275">
        <v>150.59</v>
      </c>
      <c r="EE275">
        <v>95</v>
      </c>
      <c r="EF275">
        <v>193.88</v>
      </c>
      <c r="EG275" s="187">
        <v>198</v>
      </c>
      <c r="EH275">
        <v>220.75</v>
      </c>
      <c r="EI275">
        <v>69</v>
      </c>
      <c r="EJ275">
        <v>252.21</v>
      </c>
      <c r="EK275">
        <v>4</v>
      </c>
      <c r="EL275" s="187">
        <v>0</v>
      </c>
      <c r="EM275">
        <v>0</v>
      </c>
      <c r="EN275">
        <v>0</v>
      </c>
      <c r="EO275">
        <v>0</v>
      </c>
      <c r="EP275">
        <v>188.35</v>
      </c>
      <c r="EQ275" s="187">
        <v>366</v>
      </c>
      <c r="ER275">
        <v>188.35</v>
      </c>
      <c r="ES275">
        <v>366</v>
      </c>
      <c r="ET275">
        <v>0</v>
      </c>
      <c r="EU275">
        <v>0</v>
      </c>
      <c r="EV275" s="187">
        <v>0</v>
      </c>
      <c r="EW275">
        <v>0</v>
      </c>
      <c r="EX275">
        <v>147.69999999999999</v>
      </c>
      <c r="EY275">
        <v>8</v>
      </c>
      <c r="EZ275">
        <v>0</v>
      </c>
      <c r="FA275" s="187">
        <v>0</v>
      </c>
      <c r="FB275">
        <v>0</v>
      </c>
      <c r="FC275">
        <v>0</v>
      </c>
      <c r="FD275">
        <v>0</v>
      </c>
      <c r="FE275">
        <v>0</v>
      </c>
      <c r="FF275" s="187">
        <v>147.69999999999999</v>
      </c>
      <c r="FG275">
        <v>8</v>
      </c>
      <c r="FH275">
        <v>147.69999999999999</v>
      </c>
      <c r="FI275">
        <v>8</v>
      </c>
      <c r="FJ275">
        <v>0</v>
      </c>
      <c r="FK275" s="187">
        <v>0</v>
      </c>
      <c r="FL275">
        <v>0</v>
      </c>
      <c r="FM275">
        <v>26</v>
      </c>
      <c r="FN275">
        <v>7</v>
      </c>
    </row>
    <row r="276" spans="1:170" x14ac:dyDescent="0.35">
      <c r="A276" t="s">
        <v>938</v>
      </c>
      <c r="B276" t="s">
        <v>939</v>
      </c>
      <c r="C276" t="s">
        <v>419</v>
      </c>
      <c r="D276">
        <v>4310</v>
      </c>
      <c r="E276">
        <v>4380</v>
      </c>
      <c r="F276">
        <v>0</v>
      </c>
      <c r="G276">
        <v>0</v>
      </c>
      <c r="H276">
        <v>218</v>
      </c>
      <c r="I276">
        <v>133</v>
      </c>
      <c r="J276">
        <v>1383</v>
      </c>
      <c r="K276">
        <v>1357</v>
      </c>
      <c r="L276">
        <v>700</v>
      </c>
      <c r="M276">
        <v>14</v>
      </c>
      <c r="N276">
        <v>6611</v>
      </c>
      <c r="O276">
        <v>5884</v>
      </c>
      <c r="P276">
        <v>5911</v>
      </c>
      <c r="Q276">
        <v>0</v>
      </c>
      <c r="R276">
        <v>8</v>
      </c>
      <c r="S276">
        <v>20</v>
      </c>
      <c r="T276">
        <v>348</v>
      </c>
      <c r="U276">
        <v>6263</v>
      </c>
      <c r="V276" s="498">
        <v>4290</v>
      </c>
      <c r="W276">
        <v>6</v>
      </c>
      <c r="X276" s="498">
        <v>13</v>
      </c>
      <c r="Y276" s="498">
        <v>19</v>
      </c>
      <c r="Z276" s="498">
        <v>88.62</v>
      </c>
      <c r="AA276" s="498">
        <v>88</v>
      </c>
      <c r="AB276">
        <v>4.0999999999999996</v>
      </c>
      <c r="AC276">
        <v>92.53</v>
      </c>
      <c r="AD276">
        <v>3388</v>
      </c>
      <c r="AE276">
        <v>86.27</v>
      </c>
      <c r="AF276">
        <v>81.98</v>
      </c>
      <c r="AG276">
        <v>15.47</v>
      </c>
      <c r="AH276">
        <v>101.61</v>
      </c>
      <c r="AI276">
        <v>1273</v>
      </c>
      <c r="AJ276">
        <v>131.38999999999999</v>
      </c>
      <c r="AK276">
        <v>843</v>
      </c>
      <c r="AL276">
        <v>100.53</v>
      </c>
      <c r="AM276">
        <v>10</v>
      </c>
      <c r="AN276">
        <v>0</v>
      </c>
      <c r="AO276" s="499">
        <v>0</v>
      </c>
      <c r="AP276" s="499">
        <v>0</v>
      </c>
      <c r="AQ276">
        <v>0</v>
      </c>
      <c r="AR276">
        <v>0</v>
      </c>
      <c r="AS276">
        <v>0</v>
      </c>
      <c r="AT276">
        <v>0</v>
      </c>
      <c r="AU276">
        <v>0</v>
      </c>
      <c r="AV276">
        <v>0</v>
      </c>
      <c r="AW276">
        <v>0</v>
      </c>
      <c r="AX276">
        <v>74.459999999999994</v>
      </c>
      <c r="AY276">
        <v>73.900000000000006</v>
      </c>
      <c r="AZ276">
        <v>8.69</v>
      </c>
      <c r="BA276">
        <v>83.04</v>
      </c>
      <c r="BB276">
        <v>410</v>
      </c>
      <c r="BC276">
        <v>84.58</v>
      </c>
      <c r="BD276">
        <v>83.78</v>
      </c>
      <c r="BE276">
        <v>5.93</v>
      </c>
      <c r="BF276">
        <v>90.17</v>
      </c>
      <c r="BG276">
        <v>1279</v>
      </c>
      <c r="BH276">
        <v>94.62</v>
      </c>
      <c r="BI276">
        <v>94.07</v>
      </c>
      <c r="BJ276">
        <v>1.58</v>
      </c>
      <c r="BK276">
        <v>96.12</v>
      </c>
      <c r="BL276" s="214">
        <v>1630</v>
      </c>
      <c r="BM276" s="214">
        <v>106.41</v>
      </c>
      <c r="BN276">
        <v>107.1</v>
      </c>
      <c r="BO276" s="187">
        <v>2.06</v>
      </c>
      <c r="BP276" s="214">
        <v>108.32</v>
      </c>
      <c r="BQ276" s="214">
        <v>66</v>
      </c>
      <c r="BR276">
        <v>94.78</v>
      </c>
      <c r="BS276" s="187">
        <v>96.41</v>
      </c>
      <c r="BT276" s="214">
        <v>0.84</v>
      </c>
      <c r="BU276" s="214">
        <v>95.62</v>
      </c>
      <c r="BV276">
        <v>3</v>
      </c>
      <c r="BW276">
        <v>0</v>
      </c>
      <c r="BX276" s="214">
        <v>0</v>
      </c>
      <c r="BY276" s="214">
        <v>0</v>
      </c>
      <c r="BZ276">
        <v>0</v>
      </c>
      <c r="CA276" s="187">
        <v>0</v>
      </c>
      <c r="CB276" s="214">
        <v>88.62</v>
      </c>
      <c r="CC276" s="214">
        <v>88</v>
      </c>
      <c r="CD276">
        <v>4.0999999999999996</v>
      </c>
      <c r="CE276" s="187">
        <v>92.53</v>
      </c>
      <c r="CF276" s="214">
        <v>3388</v>
      </c>
      <c r="CG276" s="214">
        <v>88.62</v>
      </c>
      <c r="CH276">
        <v>88</v>
      </c>
      <c r="CI276">
        <v>4.0999999999999996</v>
      </c>
      <c r="CJ276">
        <v>92.53</v>
      </c>
      <c r="CK276">
        <v>3388</v>
      </c>
      <c r="CL276">
        <v>126.8</v>
      </c>
      <c r="CM276">
        <v>62.44</v>
      </c>
      <c r="CN276" s="187">
        <v>41.11</v>
      </c>
      <c r="CO276">
        <v>162.94999999999999</v>
      </c>
      <c r="CP276">
        <v>83</v>
      </c>
      <c r="CQ276">
        <v>0</v>
      </c>
      <c r="CR276">
        <v>0</v>
      </c>
      <c r="CS276" s="187">
        <v>0</v>
      </c>
      <c r="CT276">
        <v>0</v>
      </c>
      <c r="CU276">
        <v>0</v>
      </c>
      <c r="CV276">
        <v>78.95</v>
      </c>
      <c r="CW276">
        <v>77.69</v>
      </c>
      <c r="CX276" s="187">
        <v>14.93</v>
      </c>
      <c r="CY276">
        <v>93.85</v>
      </c>
      <c r="CZ276">
        <v>674</v>
      </c>
      <c r="DA276">
        <v>89.17</v>
      </c>
      <c r="DB276">
        <v>88.88</v>
      </c>
      <c r="DC276" s="187">
        <v>12.53</v>
      </c>
      <c r="DD276">
        <v>101.7</v>
      </c>
      <c r="DE276">
        <v>506</v>
      </c>
      <c r="DF276">
        <v>96.67</v>
      </c>
      <c r="DG276">
        <v>96.68</v>
      </c>
      <c r="DH276" s="187">
        <v>13.91</v>
      </c>
      <c r="DI276">
        <v>110.58</v>
      </c>
      <c r="DJ276">
        <v>10</v>
      </c>
      <c r="DK276">
        <v>0</v>
      </c>
      <c r="DL276">
        <v>0</v>
      </c>
      <c r="DM276" s="187">
        <v>0</v>
      </c>
      <c r="DN276">
        <v>0</v>
      </c>
      <c r="DO276">
        <v>0</v>
      </c>
      <c r="DP276">
        <v>83.44</v>
      </c>
      <c r="DQ276">
        <v>82.64</v>
      </c>
      <c r="DR276" s="187">
        <v>13.9</v>
      </c>
      <c r="DS276">
        <v>97.33</v>
      </c>
      <c r="DT276">
        <v>1190</v>
      </c>
      <c r="DU276">
        <v>86.27</v>
      </c>
      <c r="DV276">
        <v>81.98</v>
      </c>
      <c r="DW276" s="187">
        <v>15.47</v>
      </c>
      <c r="DX276">
        <v>101.61</v>
      </c>
      <c r="DY276">
        <v>1273</v>
      </c>
      <c r="DZ276">
        <v>0</v>
      </c>
      <c r="EA276">
        <v>0</v>
      </c>
      <c r="EB276" s="187">
        <v>0</v>
      </c>
      <c r="EC276">
        <v>0</v>
      </c>
      <c r="ED276">
        <v>100.47</v>
      </c>
      <c r="EE276">
        <v>146</v>
      </c>
      <c r="EF276">
        <v>127.04</v>
      </c>
      <c r="EG276" s="187">
        <v>424</v>
      </c>
      <c r="EH276">
        <v>149.24</v>
      </c>
      <c r="EI276">
        <v>226</v>
      </c>
      <c r="EJ276">
        <v>181</v>
      </c>
      <c r="EK276">
        <v>46</v>
      </c>
      <c r="EL276" s="187">
        <v>174.91</v>
      </c>
      <c r="EM276">
        <v>1</v>
      </c>
      <c r="EN276">
        <v>0</v>
      </c>
      <c r="EO276">
        <v>0</v>
      </c>
      <c r="EP276">
        <v>131.38999999999999</v>
      </c>
      <c r="EQ276" s="187">
        <v>843</v>
      </c>
      <c r="ER276">
        <v>131.38999999999999</v>
      </c>
      <c r="ES276">
        <v>843</v>
      </c>
      <c r="ET276">
        <v>0</v>
      </c>
      <c r="EU276">
        <v>0</v>
      </c>
      <c r="EV276" s="187">
        <v>0</v>
      </c>
      <c r="EW276">
        <v>0</v>
      </c>
      <c r="EX276">
        <v>96.22</v>
      </c>
      <c r="EY276">
        <v>6</v>
      </c>
      <c r="EZ276">
        <v>106.99</v>
      </c>
      <c r="FA276" s="187">
        <v>4</v>
      </c>
      <c r="FB276">
        <v>0</v>
      </c>
      <c r="FC276">
        <v>0</v>
      </c>
      <c r="FD276">
        <v>0</v>
      </c>
      <c r="FE276">
        <v>0</v>
      </c>
      <c r="FF276" s="187">
        <v>100.53</v>
      </c>
      <c r="FG276">
        <v>10</v>
      </c>
      <c r="FH276">
        <v>100.53</v>
      </c>
      <c r="FI276">
        <v>10</v>
      </c>
      <c r="FJ276">
        <v>6</v>
      </c>
      <c r="FK276" s="187">
        <v>12</v>
      </c>
      <c r="FL276">
        <v>7</v>
      </c>
      <c r="FM276">
        <v>19</v>
      </c>
      <c r="FN276">
        <v>21</v>
      </c>
    </row>
    <row r="277" spans="1:170" x14ac:dyDescent="0.35">
      <c r="A277" t="s">
        <v>940</v>
      </c>
      <c r="B277" t="s">
        <v>941</v>
      </c>
      <c r="C277" t="s">
        <v>420</v>
      </c>
      <c r="D277">
        <v>11531</v>
      </c>
      <c r="E277">
        <v>11524</v>
      </c>
      <c r="F277">
        <v>0</v>
      </c>
      <c r="G277">
        <v>0</v>
      </c>
      <c r="H277">
        <v>361</v>
      </c>
      <c r="I277">
        <v>201</v>
      </c>
      <c r="J277">
        <v>1958</v>
      </c>
      <c r="K277">
        <v>1847</v>
      </c>
      <c r="L277">
        <v>621</v>
      </c>
      <c r="M277">
        <v>40</v>
      </c>
      <c r="N277">
        <v>14471</v>
      </c>
      <c r="O277">
        <v>13612</v>
      </c>
      <c r="P277">
        <v>13850</v>
      </c>
      <c r="Q277">
        <v>129</v>
      </c>
      <c r="R277">
        <v>9</v>
      </c>
      <c r="S277">
        <v>20</v>
      </c>
      <c r="T277">
        <v>152</v>
      </c>
      <c r="U277">
        <v>14319</v>
      </c>
      <c r="V277" s="498">
        <v>11527</v>
      </c>
      <c r="W277">
        <v>259</v>
      </c>
      <c r="X277" s="498">
        <v>60</v>
      </c>
      <c r="Y277" s="498">
        <v>319</v>
      </c>
      <c r="Z277" s="498">
        <v>92.03</v>
      </c>
      <c r="AA277" s="498">
        <v>89.13</v>
      </c>
      <c r="AB277">
        <v>6.18</v>
      </c>
      <c r="AC277">
        <v>94.54</v>
      </c>
      <c r="AD277">
        <v>9575</v>
      </c>
      <c r="AE277">
        <v>91.53</v>
      </c>
      <c r="AF277">
        <v>88.18</v>
      </c>
      <c r="AG277">
        <v>42.28</v>
      </c>
      <c r="AH277">
        <v>133.77000000000001</v>
      </c>
      <c r="AI277">
        <v>1909</v>
      </c>
      <c r="AJ277">
        <v>118.47</v>
      </c>
      <c r="AK277">
        <v>1576</v>
      </c>
      <c r="AL277">
        <v>205.71</v>
      </c>
      <c r="AM277">
        <v>263</v>
      </c>
      <c r="AN277">
        <v>0</v>
      </c>
      <c r="AO277" s="499">
        <v>0</v>
      </c>
      <c r="AP277" s="499">
        <v>0</v>
      </c>
      <c r="AQ277">
        <v>0</v>
      </c>
      <c r="AR277">
        <v>0</v>
      </c>
      <c r="AS277">
        <v>61.68</v>
      </c>
      <c r="AT277">
        <v>58.09</v>
      </c>
      <c r="AU277">
        <v>7.11</v>
      </c>
      <c r="AV277">
        <v>68.790000000000006</v>
      </c>
      <c r="AW277">
        <v>19</v>
      </c>
      <c r="AX277">
        <v>75.36</v>
      </c>
      <c r="AY277">
        <v>73.05</v>
      </c>
      <c r="AZ277">
        <v>6.31</v>
      </c>
      <c r="BA277">
        <v>79.89</v>
      </c>
      <c r="BB277">
        <v>1334</v>
      </c>
      <c r="BC277">
        <v>88.29</v>
      </c>
      <c r="BD277">
        <v>85.45</v>
      </c>
      <c r="BE277">
        <v>6.84</v>
      </c>
      <c r="BF277">
        <v>91.54</v>
      </c>
      <c r="BG277">
        <v>3676</v>
      </c>
      <c r="BH277">
        <v>98.46</v>
      </c>
      <c r="BI277">
        <v>95.37</v>
      </c>
      <c r="BJ277">
        <v>4.79</v>
      </c>
      <c r="BK277">
        <v>99.59</v>
      </c>
      <c r="BL277" s="214">
        <v>4042</v>
      </c>
      <c r="BM277" s="214">
        <v>112.26</v>
      </c>
      <c r="BN277">
        <v>109.04</v>
      </c>
      <c r="BO277" s="187">
        <v>6.22</v>
      </c>
      <c r="BP277" s="214">
        <v>114.85</v>
      </c>
      <c r="BQ277" s="214">
        <v>465</v>
      </c>
      <c r="BR277">
        <v>121.12</v>
      </c>
      <c r="BS277" s="187">
        <v>118.4</v>
      </c>
      <c r="BT277" s="214">
        <v>7.95</v>
      </c>
      <c r="BU277" s="214">
        <v>124.89</v>
      </c>
      <c r="BV277">
        <v>38</v>
      </c>
      <c r="BW277">
        <v>135.61000000000001</v>
      </c>
      <c r="BX277" s="214">
        <v>129.16999999999999</v>
      </c>
      <c r="BY277" s="214">
        <v>0</v>
      </c>
      <c r="BZ277">
        <v>135.61000000000001</v>
      </c>
      <c r="CA277" s="187">
        <v>1</v>
      </c>
      <c r="CB277" s="214">
        <v>92.03</v>
      </c>
      <c r="CC277" s="214">
        <v>89.13</v>
      </c>
      <c r="CD277">
        <v>6.18</v>
      </c>
      <c r="CE277" s="187">
        <v>94.54</v>
      </c>
      <c r="CF277" s="214">
        <v>9575</v>
      </c>
      <c r="CG277" s="214">
        <v>92.03</v>
      </c>
      <c r="CH277">
        <v>89.13</v>
      </c>
      <c r="CI277">
        <v>6.18</v>
      </c>
      <c r="CJ277">
        <v>94.54</v>
      </c>
      <c r="CK277">
        <v>9575</v>
      </c>
      <c r="CL277">
        <v>100.22</v>
      </c>
      <c r="CM277">
        <v>65.75</v>
      </c>
      <c r="CN277" s="187">
        <v>119.84</v>
      </c>
      <c r="CO277">
        <v>215.45</v>
      </c>
      <c r="CP277">
        <v>26</v>
      </c>
      <c r="CQ277">
        <v>0</v>
      </c>
      <c r="CR277">
        <v>0</v>
      </c>
      <c r="CS277" s="187">
        <v>0</v>
      </c>
      <c r="CT277">
        <v>0</v>
      </c>
      <c r="CU277">
        <v>0</v>
      </c>
      <c r="CV277">
        <v>85.96</v>
      </c>
      <c r="CW277">
        <v>81.58</v>
      </c>
      <c r="CX277" s="187">
        <v>37.43</v>
      </c>
      <c r="CY277">
        <v>123.39</v>
      </c>
      <c r="CZ277">
        <v>1266</v>
      </c>
      <c r="DA277">
        <v>102.79</v>
      </c>
      <c r="DB277">
        <v>102.09</v>
      </c>
      <c r="DC277" s="187">
        <v>50.04</v>
      </c>
      <c r="DD277">
        <v>152.83000000000001</v>
      </c>
      <c r="DE277">
        <v>586</v>
      </c>
      <c r="DF277">
        <v>98.74</v>
      </c>
      <c r="DG277">
        <v>101.14</v>
      </c>
      <c r="DH277" s="187">
        <v>30.83</v>
      </c>
      <c r="DI277">
        <v>128.57</v>
      </c>
      <c r="DJ277">
        <v>31</v>
      </c>
      <c r="DK277">
        <v>0</v>
      </c>
      <c r="DL277">
        <v>0</v>
      </c>
      <c r="DM277" s="187">
        <v>0</v>
      </c>
      <c r="DN277">
        <v>0</v>
      </c>
      <c r="DO277">
        <v>0</v>
      </c>
      <c r="DP277">
        <v>91.41</v>
      </c>
      <c r="DQ277">
        <v>88.42</v>
      </c>
      <c r="DR277" s="187">
        <v>41.25</v>
      </c>
      <c r="DS277">
        <v>132.63999999999999</v>
      </c>
      <c r="DT277">
        <v>1883</v>
      </c>
      <c r="DU277">
        <v>91.53</v>
      </c>
      <c r="DV277">
        <v>88.18</v>
      </c>
      <c r="DW277" s="187">
        <v>42.28</v>
      </c>
      <c r="DX277">
        <v>133.77000000000001</v>
      </c>
      <c r="DY277">
        <v>1909</v>
      </c>
      <c r="DZ277">
        <v>0</v>
      </c>
      <c r="EA277">
        <v>0</v>
      </c>
      <c r="EB277" s="187">
        <v>0</v>
      </c>
      <c r="EC277">
        <v>0</v>
      </c>
      <c r="ED277">
        <v>93.23</v>
      </c>
      <c r="EE277">
        <v>169</v>
      </c>
      <c r="EF277">
        <v>115.93</v>
      </c>
      <c r="EG277" s="187">
        <v>883</v>
      </c>
      <c r="EH277">
        <v>129.44</v>
      </c>
      <c r="EI277">
        <v>473</v>
      </c>
      <c r="EJ277">
        <v>144.41999999999999</v>
      </c>
      <c r="EK277">
        <v>51</v>
      </c>
      <c r="EL277" s="187">
        <v>0</v>
      </c>
      <c r="EM277">
        <v>0</v>
      </c>
      <c r="EN277">
        <v>0</v>
      </c>
      <c r="EO277">
        <v>0</v>
      </c>
      <c r="EP277">
        <v>118.47</v>
      </c>
      <c r="EQ277" s="187">
        <v>1576</v>
      </c>
      <c r="ER277">
        <v>118.47</v>
      </c>
      <c r="ES277">
        <v>1576</v>
      </c>
      <c r="ET277">
        <v>180.79</v>
      </c>
      <c r="EU277">
        <v>1</v>
      </c>
      <c r="EV277" s="187">
        <v>0</v>
      </c>
      <c r="EW277">
        <v>0</v>
      </c>
      <c r="EX277">
        <v>200.63</v>
      </c>
      <c r="EY277">
        <v>109</v>
      </c>
      <c r="EZ277">
        <v>209.49</v>
      </c>
      <c r="FA277" s="187">
        <v>153</v>
      </c>
      <c r="FB277">
        <v>0</v>
      </c>
      <c r="FC277">
        <v>0</v>
      </c>
      <c r="FD277">
        <v>0</v>
      </c>
      <c r="FE277">
        <v>0</v>
      </c>
      <c r="FF277" s="187">
        <v>205.8</v>
      </c>
      <c r="FG277">
        <v>262</v>
      </c>
      <c r="FH277">
        <v>205.71</v>
      </c>
      <c r="FI277">
        <v>263</v>
      </c>
      <c r="FJ277">
        <v>0</v>
      </c>
      <c r="FK277" s="187">
        <v>50</v>
      </c>
      <c r="FL277">
        <v>72</v>
      </c>
      <c r="FM277">
        <v>68</v>
      </c>
      <c r="FN277">
        <v>9</v>
      </c>
    </row>
    <row r="278" spans="1:170" x14ac:dyDescent="0.35">
      <c r="A278" t="s">
        <v>942</v>
      </c>
      <c r="B278" t="s">
        <v>943</v>
      </c>
      <c r="C278" t="s">
        <v>415</v>
      </c>
      <c r="D278">
        <v>2131</v>
      </c>
      <c r="E278">
        <v>2142</v>
      </c>
      <c r="F278">
        <v>0</v>
      </c>
      <c r="G278">
        <v>0</v>
      </c>
      <c r="H278">
        <v>246</v>
      </c>
      <c r="I278">
        <v>181</v>
      </c>
      <c r="J278">
        <v>553</v>
      </c>
      <c r="K278">
        <v>553</v>
      </c>
      <c r="L278">
        <v>198</v>
      </c>
      <c r="M278">
        <v>35</v>
      </c>
      <c r="N278">
        <v>3128</v>
      </c>
      <c r="O278">
        <v>2911</v>
      </c>
      <c r="P278">
        <v>2930</v>
      </c>
      <c r="Q278">
        <v>4</v>
      </c>
      <c r="R278">
        <v>5</v>
      </c>
      <c r="S278">
        <v>32</v>
      </c>
      <c r="T278">
        <v>37</v>
      </c>
      <c r="U278">
        <v>3091</v>
      </c>
      <c r="V278" s="498">
        <v>2131</v>
      </c>
      <c r="W278">
        <v>15</v>
      </c>
      <c r="X278" s="498">
        <v>12</v>
      </c>
      <c r="Y278" s="498">
        <v>27</v>
      </c>
      <c r="Z278" s="498">
        <v>102.03</v>
      </c>
      <c r="AA278" s="498">
        <v>99.93</v>
      </c>
      <c r="AB278">
        <v>4.53</v>
      </c>
      <c r="AC278">
        <v>105.82</v>
      </c>
      <c r="AD278">
        <v>1723</v>
      </c>
      <c r="AE278">
        <v>92.02</v>
      </c>
      <c r="AF278">
        <v>84.61</v>
      </c>
      <c r="AG278">
        <v>38.880000000000003</v>
      </c>
      <c r="AH278">
        <v>129.21</v>
      </c>
      <c r="AI278">
        <v>762</v>
      </c>
      <c r="AJ278">
        <v>135.33000000000001</v>
      </c>
      <c r="AK278">
        <v>359</v>
      </c>
      <c r="AL278">
        <v>0</v>
      </c>
      <c r="AM278">
        <v>0</v>
      </c>
      <c r="AN278">
        <v>0</v>
      </c>
      <c r="AO278" s="499">
        <v>0</v>
      </c>
      <c r="AP278" s="499">
        <v>0</v>
      </c>
      <c r="AQ278">
        <v>0</v>
      </c>
      <c r="AR278">
        <v>0</v>
      </c>
      <c r="AS278">
        <v>0</v>
      </c>
      <c r="AT278">
        <v>0</v>
      </c>
      <c r="AU278">
        <v>0</v>
      </c>
      <c r="AV278">
        <v>0</v>
      </c>
      <c r="AW278">
        <v>0</v>
      </c>
      <c r="AX278">
        <v>84.9</v>
      </c>
      <c r="AY278">
        <v>83.11</v>
      </c>
      <c r="AZ278">
        <v>6.75</v>
      </c>
      <c r="BA278">
        <v>91.47</v>
      </c>
      <c r="BB278">
        <v>184</v>
      </c>
      <c r="BC278">
        <v>96.73</v>
      </c>
      <c r="BD278">
        <v>93.94</v>
      </c>
      <c r="BE278">
        <v>5.08</v>
      </c>
      <c r="BF278">
        <v>101.45</v>
      </c>
      <c r="BG278">
        <v>895</v>
      </c>
      <c r="BH278">
        <v>112.64</v>
      </c>
      <c r="BI278">
        <v>110.9</v>
      </c>
      <c r="BJ278">
        <v>2.61</v>
      </c>
      <c r="BK278">
        <v>114.4</v>
      </c>
      <c r="BL278" s="214">
        <v>578</v>
      </c>
      <c r="BM278" s="214">
        <v>128.24</v>
      </c>
      <c r="BN278">
        <v>131.31</v>
      </c>
      <c r="BO278" s="187">
        <v>1.96</v>
      </c>
      <c r="BP278" s="214">
        <v>129.53</v>
      </c>
      <c r="BQ278" s="214">
        <v>61</v>
      </c>
      <c r="BR278">
        <v>131.75</v>
      </c>
      <c r="BS278" s="187">
        <v>137.58000000000001</v>
      </c>
      <c r="BT278" s="214">
        <v>1.33</v>
      </c>
      <c r="BU278" s="214">
        <v>132.41999999999999</v>
      </c>
      <c r="BV278">
        <v>4</v>
      </c>
      <c r="BW278">
        <v>148.47</v>
      </c>
      <c r="BX278" s="214">
        <v>148.47</v>
      </c>
      <c r="BY278" s="214">
        <v>0</v>
      </c>
      <c r="BZ278">
        <v>148.47</v>
      </c>
      <c r="CA278" s="187">
        <v>1</v>
      </c>
      <c r="CB278" s="214">
        <v>102.03</v>
      </c>
      <c r="CC278" s="214">
        <v>99.93</v>
      </c>
      <c r="CD278">
        <v>4.53</v>
      </c>
      <c r="CE278" s="187">
        <v>105.82</v>
      </c>
      <c r="CF278" s="214">
        <v>1723</v>
      </c>
      <c r="CG278" s="214">
        <v>102.03</v>
      </c>
      <c r="CH278">
        <v>99.93</v>
      </c>
      <c r="CI278">
        <v>4.53</v>
      </c>
      <c r="CJ278">
        <v>105.82</v>
      </c>
      <c r="CK278">
        <v>1723</v>
      </c>
      <c r="CL278">
        <v>72.7</v>
      </c>
      <c r="CM278">
        <v>84.4</v>
      </c>
      <c r="CN278" s="187">
        <v>57.52</v>
      </c>
      <c r="CO278">
        <v>120.25</v>
      </c>
      <c r="CP278">
        <v>150</v>
      </c>
      <c r="CQ278">
        <v>80.37</v>
      </c>
      <c r="CR278">
        <v>73.209999999999994</v>
      </c>
      <c r="CS278" s="187">
        <v>32.880000000000003</v>
      </c>
      <c r="CT278">
        <v>113.25</v>
      </c>
      <c r="CU278">
        <v>188</v>
      </c>
      <c r="CV278">
        <v>103.79</v>
      </c>
      <c r="CW278">
        <v>88.9</v>
      </c>
      <c r="CX278" s="187">
        <v>35.85</v>
      </c>
      <c r="CY278">
        <v>139.02000000000001</v>
      </c>
      <c r="CZ278">
        <v>403</v>
      </c>
      <c r="DA278">
        <v>102.31</v>
      </c>
      <c r="DB278">
        <v>105.04</v>
      </c>
      <c r="DC278" s="187">
        <v>44.46</v>
      </c>
      <c r="DD278">
        <v>146.77000000000001</v>
      </c>
      <c r="DE278">
        <v>13</v>
      </c>
      <c r="DF278">
        <v>118.21</v>
      </c>
      <c r="DG278">
        <v>113.38</v>
      </c>
      <c r="DH278" s="187">
        <v>31.81</v>
      </c>
      <c r="DI278">
        <v>150.02000000000001</v>
      </c>
      <c r="DJ278">
        <v>8</v>
      </c>
      <c r="DK278">
        <v>0</v>
      </c>
      <c r="DL278">
        <v>0</v>
      </c>
      <c r="DM278" s="187">
        <v>0</v>
      </c>
      <c r="DN278">
        <v>0</v>
      </c>
      <c r="DO278">
        <v>0</v>
      </c>
      <c r="DP278">
        <v>96.76</v>
      </c>
      <c r="DQ278">
        <v>84.66</v>
      </c>
      <c r="DR278" s="187">
        <v>35.06</v>
      </c>
      <c r="DS278">
        <v>131.41</v>
      </c>
      <c r="DT278">
        <v>612</v>
      </c>
      <c r="DU278">
        <v>92.02</v>
      </c>
      <c r="DV278">
        <v>84.61</v>
      </c>
      <c r="DW278" s="187">
        <v>38.880000000000003</v>
      </c>
      <c r="DX278">
        <v>129.21</v>
      </c>
      <c r="DY278">
        <v>762</v>
      </c>
      <c r="DZ278">
        <v>0</v>
      </c>
      <c r="EA278">
        <v>0</v>
      </c>
      <c r="EB278" s="187">
        <v>0</v>
      </c>
      <c r="EC278">
        <v>0</v>
      </c>
      <c r="ED278">
        <v>106.49</v>
      </c>
      <c r="EE278">
        <v>92</v>
      </c>
      <c r="EF278">
        <v>133.85</v>
      </c>
      <c r="EG278" s="187">
        <v>150</v>
      </c>
      <c r="EH278">
        <v>156.65</v>
      </c>
      <c r="EI278">
        <v>111</v>
      </c>
      <c r="EJ278">
        <v>220.19</v>
      </c>
      <c r="EK278">
        <v>6</v>
      </c>
      <c r="EL278" s="187">
        <v>0</v>
      </c>
      <c r="EM278">
        <v>0</v>
      </c>
      <c r="EN278">
        <v>0</v>
      </c>
      <c r="EO278">
        <v>0</v>
      </c>
      <c r="EP278">
        <v>135.33000000000001</v>
      </c>
      <c r="EQ278" s="187">
        <v>359</v>
      </c>
      <c r="ER278">
        <v>135.33000000000001</v>
      </c>
      <c r="ES278">
        <v>359</v>
      </c>
      <c r="ET278">
        <v>0</v>
      </c>
      <c r="EU278">
        <v>0</v>
      </c>
      <c r="EV278" s="187">
        <v>0</v>
      </c>
      <c r="EW278">
        <v>0</v>
      </c>
      <c r="EX278">
        <v>0</v>
      </c>
      <c r="EY278">
        <v>0</v>
      </c>
      <c r="EZ278">
        <v>0</v>
      </c>
      <c r="FA278" s="187">
        <v>0</v>
      </c>
      <c r="FB278">
        <v>0</v>
      </c>
      <c r="FC278">
        <v>0</v>
      </c>
      <c r="FD278">
        <v>0</v>
      </c>
      <c r="FE278">
        <v>0</v>
      </c>
      <c r="FF278" s="187">
        <v>0</v>
      </c>
      <c r="FG278">
        <v>0</v>
      </c>
      <c r="FH278">
        <v>0</v>
      </c>
      <c r="FI278">
        <v>0</v>
      </c>
      <c r="FJ278">
        <v>12</v>
      </c>
      <c r="FK278" s="187">
        <v>0</v>
      </c>
      <c r="FL278">
        <v>2</v>
      </c>
      <c r="FM278">
        <v>13</v>
      </c>
      <c r="FN278">
        <v>2</v>
      </c>
    </row>
    <row r="279" spans="1:170" x14ac:dyDescent="0.35">
      <c r="A279" t="s">
        <v>944</v>
      </c>
      <c r="B279" t="s">
        <v>945</v>
      </c>
      <c r="C279" t="s">
        <v>2</v>
      </c>
      <c r="D279">
        <v>7707</v>
      </c>
      <c r="E279">
        <v>7562</v>
      </c>
      <c r="F279">
        <v>0</v>
      </c>
      <c r="G279">
        <v>0</v>
      </c>
      <c r="H279">
        <v>363</v>
      </c>
      <c r="I279">
        <v>218</v>
      </c>
      <c r="J279">
        <v>347</v>
      </c>
      <c r="K279">
        <v>335</v>
      </c>
      <c r="L279">
        <v>1118</v>
      </c>
      <c r="M279">
        <v>17</v>
      </c>
      <c r="N279">
        <v>9535</v>
      </c>
      <c r="O279">
        <v>8132</v>
      </c>
      <c r="P279">
        <v>8417</v>
      </c>
      <c r="Q279">
        <v>4</v>
      </c>
      <c r="R279">
        <v>6</v>
      </c>
      <c r="S279">
        <v>23</v>
      </c>
      <c r="T279">
        <v>291</v>
      </c>
      <c r="U279">
        <v>9244</v>
      </c>
      <c r="V279" s="498">
        <v>7547</v>
      </c>
      <c r="W279">
        <v>57</v>
      </c>
      <c r="X279" s="498">
        <v>34</v>
      </c>
      <c r="Y279" s="498">
        <v>91</v>
      </c>
      <c r="Z279" s="498">
        <v>110.47</v>
      </c>
      <c r="AA279" s="498">
        <v>108.31</v>
      </c>
      <c r="AB279">
        <v>4.8099999999999996</v>
      </c>
      <c r="AC279">
        <v>114.48</v>
      </c>
      <c r="AD279">
        <v>6273</v>
      </c>
      <c r="AE279">
        <v>97.13</v>
      </c>
      <c r="AF279">
        <v>92.7</v>
      </c>
      <c r="AG279">
        <v>39.619999999999997</v>
      </c>
      <c r="AH279">
        <v>135.79</v>
      </c>
      <c r="AI279">
        <v>539</v>
      </c>
      <c r="AJ279">
        <v>156.32</v>
      </c>
      <c r="AK279">
        <v>1194</v>
      </c>
      <c r="AL279">
        <v>270.05</v>
      </c>
      <c r="AM279">
        <v>40</v>
      </c>
      <c r="AN279">
        <v>0</v>
      </c>
      <c r="AO279" s="499">
        <v>0</v>
      </c>
      <c r="AP279" s="499">
        <v>0</v>
      </c>
      <c r="AQ279">
        <v>0</v>
      </c>
      <c r="AR279">
        <v>0</v>
      </c>
      <c r="AS279">
        <v>83.16</v>
      </c>
      <c r="AT279">
        <v>78.290000000000006</v>
      </c>
      <c r="AU279">
        <v>16.7</v>
      </c>
      <c r="AV279">
        <v>98.35</v>
      </c>
      <c r="AW279">
        <v>44</v>
      </c>
      <c r="AX279">
        <v>94.06</v>
      </c>
      <c r="AY279">
        <v>92.48</v>
      </c>
      <c r="AZ279">
        <v>7.49</v>
      </c>
      <c r="BA279">
        <v>100.91</v>
      </c>
      <c r="BB279">
        <v>1619</v>
      </c>
      <c r="BC279">
        <v>109.94</v>
      </c>
      <c r="BD279">
        <v>107.9</v>
      </c>
      <c r="BE279">
        <v>4.62</v>
      </c>
      <c r="BF279">
        <v>113.79</v>
      </c>
      <c r="BG279">
        <v>2255</v>
      </c>
      <c r="BH279">
        <v>121.57</v>
      </c>
      <c r="BI279">
        <v>118.72</v>
      </c>
      <c r="BJ279">
        <v>2.56</v>
      </c>
      <c r="BK279">
        <v>123.57</v>
      </c>
      <c r="BL279" s="214">
        <v>2088</v>
      </c>
      <c r="BM279" s="214">
        <v>131.84</v>
      </c>
      <c r="BN279">
        <v>130.6</v>
      </c>
      <c r="BO279" s="187">
        <v>2.75</v>
      </c>
      <c r="BP279" s="214">
        <v>134.06</v>
      </c>
      <c r="BQ279" s="214">
        <v>263</v>
      </c>
      <c r="BR279">
        <v>136.94</v>
      </c>
      <c r="BS279" s="187">
        <v>139.09</v>
      </c>
      <c r="BT279" s="214">
        <v>4.7699999999999996</v>
      </c>
      <c r="BU279" s="214">
        <v>138.53</v>
      </c>
      <c r="BV279">
        <v>3</v>
      </c>
      <c r="BW279">
        <v>151.37</v>
      </c>
      <c r="BX279" s="214">
        <v>151.37</v>
      </c>
      <c r="BY279" s="214">
        <v>0.38</v>
      </c>
      <c r="BZ279">
        <v>151.75</v>
      </c>
      <c r="CA279" s="187">
        <v>1</v>
      </c>
      <c r="CB279" s="214">
        <v>110.47</v>
      </c>
      <c r="CC279" s="214">
        <v>108.31</v>
      </c>
      <c r="CD279">
        <v>4.8099999999999996</v>
      </c>
      <c r="CE279" s="187">
        <v>114.48</v>
      </c>
      <c r="CF279" s="214">
        <v>6273</v>
      </c>
      <c r="CG279" s="214">
        <v>110.47</v>
      </c>
      <c r="CH279">
        <v>108.31</v>
      </c>
      <c r="CI279">
        <v>4.8099999999999996</v>
      </c>
      <c r="CJ279">
        <v>114.48</v>
      </c>
      <c r="CK279">
        <v>6273</v>
      </c>
      <c r="CL279">
        <v>79.67</v>
      </c>
      <c r="CM279">
        <v>76.98</v>
      </c>
      <c r="CN279" s="187">
        <v>65.349999999999994</v>
      </c>
      <c r="CO279">
        <v>145.02000000000001</v>
      </c>
      <c r="CP279">
        <v>65</v>
      </c>
      <c r="CQ279">
        <v>101.45</v>
      </c>
      <c r="CR279">
        <v>82.19</v>
      </c>
      <c r="CS279" s="187">
        <v>83.32</v>
      </c>
      <c r="CT279">
        <v>184.76</v>
      </c>
      <c r="CU279">
        <v>42</v>
      </c>
      <c r="CV279">
        <v>97.18</v>
      </c>
      <c r="CW279">
        <v>92.59</v>
      </c>
      <c r="CX279" s="187">
        <v>30.75</v>
      </c>
      <c r="CY279">
        <v>126.9</v>
      </c>
      <c r="CZ279">
        <v>388</v>
      </c>
      <c r="DA279">
        <v>117.95</v>
      </c>
      <c r="DB279">
        <v>117.34</v>
      </c>
      <c r="DC279" s="187">
        <v>35.67</v>
      </c>
      <c r="DD279">
        <v>153.62</v>
      </c>
      <c r="DE279">
        <v>43</v>
      </c>
      <c r="DF279">
        <v>133.77000000000001</v>
      </c>
      <c r="DG279">
        <v>136.34</v>
      </c>
      <c r="DH279" s="187">
        <v>28.17</v>
      </c>
      <c r="DI279">
        <v>161.94</v>
      </c>
      <c r="DJ279">
        <v>1</v>
      </c>
      <c r="DK279">
        <v>0</v>
      </c>
      <c r="DL279">
        <v>0</v>
      </c>
      <c r="DM279" s="187">
        <v>0</v>
      </c>
      <c r="DN279">
        <v>0</v>
      </c>
      <c r="DO279">
        <v>0</v>
      </c>
      <c r="DP279">
        <v>99.52</v>
      </c>
      <c r="DQ279">
        <v>94.53</v>
      </c>
      <c r="DR279" s="187">
        <v>35.99</v>
      </c>
      <c r="DS279">
        <v>134.53</v>
      </c>
      <c r="DT279">
        <v>474</v>
      </c>
      <c r="DU279">
        <v>97.13</v>
      </c>
      <c r="DV279">
        <v>92.7</v>
      </c>
      <c r="DW279" s="187">
        <v>39.619999999999997</v>
      </c>
      <c r="DX279">
        <v>135.79</v>
      </c>
      <c r="DY279">
        <v>539</v>
      </c>
      <c r="DZ279">
        <v>0</v>
      </c>
      <c r="EA279">
        <v>0</v>
      </c>
      <c r="EB279" s="187">
        <v>0</v>
      </c>
      <c r="EC279">
        <v>0</v>
      </c>
      <c r="ED279">
        <v>121.43</v>
      </c>
      <c r="EE279">
        <v>248</v>
      </c>
      <c r="EF279">
        <v>156.26</v>
      </c>
      <c r="EG279" s="187">
        <v>638</v>
      </c>
      <c r="EH279">
        <v>180.39</v>
      </c>
      <c r="EI279">
        <v>271</v>
      </c>
      <c r="EJ279">
        <v>214.9</v>
      </c>
      <c r="EK279">
        <v>37</v>
      </c>
      <c r="EL279" s="187">
        <v>0</v>
      </c>
      <c r="EM279">
        <v>0</v>
      </c>
      <c r="EN279">
        <v>0</v>
      </c>
      <c r="EO279">
        <v>0</v>
      </c>
      <c r="EP279">
        <v>156.32</v>
      </c>
      <c r="EQ279" s="187">
        <v>1194</v>
      </c>
      <c r="ER279">
        <v>156.32</v>
      </c>
      <c r="ES279">
        <v>1194</v>
      </c>
      <c r="ET279">
        <v>0</v>
      </c>
      <c r="EU279">
        <v>0</v>
      </c>
      <c r="EV279" s="187">
        <v>0</v>
      </c>
      <c r="EW279">
        <v>0</v>
      </c>
      <c r="EX279">
        <v>243.92</v>
      </c>
      <c r="EY279">
        <v>20</v>
      </c>
      <c r="EZ279">
        <v>296.17</v>
      </c>
      <c r="FA279" s="187">
        <v>20</v>
      </c>
      <c r="FB279">
        <v>0</v>
      </c>
      <c r="FC279">
        <v>0</v>
      </c>
      <c r="FD279">
        <v>0</v>
      </c>
      <c r="FE279">
        <v>0</v>
      </c>
      <c r="FF279" s="187">
        <v>270.05</v>
      </c>
      <c r="FG279">
        <v>40</v>
      </c>
      <c r="FH279">
        <v>270.05</v>
      </c>
      <c r="FI279">
        <v>40</v>
      </c>
      <c r="FJ279">
        <v>68</v>
      </c>
      <c r="FK279" s="187">
        <v>14</v>
      </c>
      <c r="FL279">
        <v>12</v>
      </c>
      <c r="FM279">
        <v>146</v>
      </c>
      <c r="FN279">
        <v>36</v>
      </c>
    </row>
    <row r="280" spans="1:170" x14ac:dyDescent="0.35">
      <c r="A280" t="s">
        <v>946</v>
      </c>
      <c r="B280" t="s">
        <v>947</v>
      </c>
      <c r="C280" t="s">
        <v>419</v>
      </c>
      <c r="D280">
        <v>4813</v>
      </c>
      <c r="E280">
        <v>4810</v>
      </c>
      <c r="F280">
        <v>0</v>
      </c>
      <c r="G280">
        <v>0</v>
      </c>
      <c r="H280">
        <v>78</v>
      </c>
      <c r="I280">
        <v>70</v>
      </c>
      <c r="J280">
        <v>571</v>
      </c>
      <c r="K280">
        <v>571</v>
      </c>
      <c r="L280">
        <v>974</v>
      </c>
      <c r="M280">
        <v>0</v>
      </c>
      <c r="N280">
        <v>6436</v>
      </c>
      <c r="O280">
        <v>5451</v>
      </c>
      <c r="P280">
        <v>5462</v>
      </c>
      <c r="Q280">
        <v>0</v>
      </c>
      <c r="R280">
        <v>3</v>
      </c>
      <c r="S280">
        <v>24</v>
      </c>
      <c r="T280">
        <v>14</v>
      </c>
      <c r="U280">
        <v>6422</v>
      </c>
      <c r="V280" s="498">
        <v>4807</v>
      </c>
      <c r="W280">
        <v>93</v>
      </c>
      <c r="X280" s="498">
        <v>5</v>
      </c>
      <c r="Y280" s="498">
        <v>98</v>
      </c>
      <c r="Z280" s="498">
        <v>97.86</v>
      </c>
      <c r="AA280" s="498">
        <v>94.14</v>
      </c>
      <c r="AB280">
        <v>5.88</v>
      </c>
      <c r="AC280">
        <v>100.98</v>
      </c>
      <c r="AD280">
        <v>3849</v>
      </c>
      <c r="AE280">
        <v>90.45</v>
      </c>
      <c r="AF280">
        <v>83.4</v>
      </c>
      <c r="AG280">
        <v>42.24</v>
      </c>
      <c r="AH280">
        <v>132.56</v>
      </c>
      <c r="AI280">
        <v>624</v>
      </c>
      <c r="AJ280">
        <v>138.71</v>
      </c>
      <c r="AK280">
        <v>954</v>
      </c>
      <c r="AL280">
        <v>124.85</v>
      </c>
      <c r="AM280">
        <v>17</v>
      </c>
      <c r="AN280">
        <v>0</v>
      </c>
      <c r="AO280" s="499">
        <v>0</v>
      </c>
      <c r="AP280" s="499">
        <v>0</v>
      </c>
      <c r="AQ280">
        <v>0</v>
      </c>
      <c r="AR280">
        <v>0</v>
      </c>
      <c r="AS280">
        <v>67.489999999999995</v>
      </c>
      <c r="AT280">
        <v>64.5</v>
      </c>
      <c r="AU280">
        <v>8.08</v>
      </c>
      <c r="AV280">
        <v>74.900000000000006</v>
      </c>
      <c r="AW280">
        <v>12</v>
      </c>
      <c r="AX280">
        <v>81.77</v>
      </c>
      <c r="AY280">
        <v>78.7</v>
      </c>
      <c r="AZ280">
        <v>6.99</v>
      </c>
      <c r="BA280">
        <v>86.96</v>
      </c>
      <c r="BB280">
        <v>607</v>
      </c>
      <c r="BC280">
        <v>93.9</v>
      </c>
      <c r="BD280">
        <v>89.98</v>
      </c>
      <c r="BE280">
        <v>6.92</v>
      </c>
      <c r="BF280">
        <v>98.61</v>
      </c>
      <c r="BG280">
        <v>1619</v>
      </c>
      <c r="BH280">
        <v>106.08</v>
      </c>
      <c r="BI280">
        <v>102.36</v>
      </c>
      <c r="BJ280">
        <v>2.33</v>
      </c>
      <c r="BK280">
        <v>106.76</v>
      </c>
      <c r="BL280" s="214">
        <v>1444</v>
      </c>
      <c r="BM280" s="214">
        <v>124.64</v>
      </c>
      <c r="BN280">
        <v>120.53</v>
      </c>
      <c r="BO280" s="187">
        <v>2.86</v>
      </c>
      <c r="BP280" s="214">
        <v>125.59</v>
      </c>
      <c r="BQ280" s="214">
        <v>157</v>
      </c>
      <c r="BR280">
        <v>140.82</v>
      </c>
      <c r="BS280" s="187">
        <v>134.12</v>
      </c>
      <c r="BT280" s="214">
        <v>0.56000000000000005</v>
      </c>
      <c r="BU280" s="214">
        <v>141.06</v>
      </c>
      <c r="BV280">
        <v>7</v>
      </c>
      <c r="BW280">
        <v>153.63</v>
      </c>
      <c r="BX280" s="214">
        <v>147.58000000000001</v>
      </c>
      <c r="BY280" s="214">
        <v>6.58</v>
      </c>
      <c r="BZ280">
        <v>158.01</v>
      </c>
      <c r="CA280" s="187">
        <v>3</v>
      </c>
      <c r="CB280" s="214">
        <v>97.86</v>
      </c>
      <c r="CC280" s="214">
        <v>94.14</v>
      </c>
      <c r="CD280">
        <v>5.88</v>
      </c>
      <c r="CE280" s="187">
        <v>100.98</v>
      </c>
      <c r="CF280" s="214">
        <v>3849</v>
      </c>
      <c r="CG280" s="214">
        <v>97.86</v>
      </c>
      <c r="CH280">
        <v>94.14</v>
      </c>
      <c r="CI280">
        <v>5.88</v>
      </c>
      <c r="CJ280">
        <v>100.98</v>
      </c>
      <c r="CK280">
        <v>3849</v>
      </c>
      <c r="CL280">
        <v>87.63</v>
      </c>
      <c r="CM280">
        <v>83.19</v>
      </c>
      <c r="CN280" s="187">
        <v>88.15</v>
      </c>
      <c r="CO280">
        <v>173.83</v>
      </c>
      <c r="CP280">
        <v>45</v>
      </c>
      <c r="CQ280">
        <v>92.93</v>
      </c>
      <c r="CR280">
        <v>84.55</v>
      </c>
      <c r="CS280" s="187">
        <v>48.51</v>
      </c>
      <c r="CT280">
        <v>141.44</v>
      </c>
      <c r="CU280">
        <v>10</v>
      </c>
      <c r="CV280">
        <v>86.17</v>
      </c>
      <c r="CW280">
        <v>79.05</v>
      </c>
      <c r="CX280" s="187">
        <v>37.17</v>
      </c>
      <c r="CY280">
        <v>123.34</v>
      </c>
      <c r="CZ280">
        <v>495</v>
      </c>
      <c r="DA280">
        <v>120.46</v>
      </c>
      <c r="DB280">
        <v>111.98</v>
      </c>
      <c r="DC280" s="187">
        <v>48.13</v>
      </c>
      <c r="DD280">
        <v>167.95</v>
      </c>
      <c r="DE280">
        <v>74</v>
      </c>
      <c r="DF280">
        <v>0</v>
      </c>
      <c r="DG280">
        <v>0</v>
      </c>
      <c r="DH280" s="187">
        <v>0</v>
      </c>
      <c r="DI280">
        <v>0</v>
      </c>
      <c r="DJ280">
        <v>0</v>
      </c>
      <c r="DK280">
        <v>0</v>
      </c>
      <c r="DL280">
        <v>0</v>
      </c>
      <c r="DM280" s="187">
        <v>0</v>
      </c>
      <c r="DN280">
        <v>0</v>
      </c>
      <c r="DO280">
        <v>0</v>
      </c>
      <c r="DP280">
        <v>90.67</v>
      </c>
      <c r="DQ280">
        <v>83.41</v>
      </c>
      <c r="DR280" s="187">
        <v>38.75</v>
      </c>
      <c r="DS280">
        <v>129.35</v>
      </c>
      <c r="DT280">
        <v>579</v>
      </c>
      <c r="DU280">
        <v>90.45</v>
      </c>
      <c r="DV280">
        <v>83.4</v>
      </c>
      <c r="DW280" s="187">
        <v>42.24</v>
      </c>
      <c r="DX280">
        <v>132.56</v>
      </c>
      <c r="DY280">
        <v>624</v>
      </c>
      <c r="DZ280">
        <v>0</v>
      </c>
      <c r="EA280">
        <v>0</v>
      </c>
      <c r="EB280" s="187">
        <v>0</v>
      </c>
      <c r="EC280">
        <v>0</v>
      </c>
      <c r="ED280">
        <v>104.31</v>
      </c>
      <c r="EE280">
        <v>224</v>
      </c>
      <c r="EF280">
        <v>136.57</v>
      </c>
      <c r="EG280" s="187">
        <v>431</v>
      </c>
      <c r="EH280">
        <v>163.36000000000001</v>
      </c>
      <c r="EI280">
        <v>239</v>
      </c>
      <c r="EJ280">
        <v>184.11</v>
      </c>
      <c r="EK280">
        <v>58</v>
      </c>
      <c r="EL280" s="187">
        <v>185.55</v>
      </c>
      <c r="EM280">
        <v>1</v>
      </c>
      <c r="EN280">
        <v>192.13</v>
      </c>
      <c r="EO280">
        <v>1</v>
      </c>
      <c r="EP280">
        <v>138.71</v>
      </c>
      <c r="EQ280" s="187">
        <v>954</v>
      </c>
      <c r="ER280">
        <v>138.71</v>
      </c>
      <c r="ES280">
        <v>954</v>
      </c>
      <c r="ET280">
        <v>0</v>
      </c>
      <c r="EU280">
        <v>0</v>
      </c>
      <c r="EV280" s="187">
        <v>194.61</v>
      </c>
      <c r="EW280">
        <v>3</v>
      </c>
      <c r="EX280">
        <v>106.54</v>
      </c>
      <c r="EY280">
        <v>12</v>
      </c>
      <c r="EZ280">
        <v>130.09</v>
      </c>
      <c r="FA280" s="187">
        <v>2</v>
      </c>
      <c r="FB280">
        <v>0</v>
      </c>
      <c r="FC280">
        <v>0</v>
      </c>
      <c r="FD280">
        <v>0</v>
      </c>
      <c r="FE280">
        <v>0</v>
      </c>
      <c r="FF280" s="187">
        <v>124.85</v>
      </c>
      <c r="FG280">
        <v>17</v>
      </c>
      <c r="FH280">
        <v>124.85</v>
      </c>
      <c r="FI280">
        <v>17</v>
      </c>
      <c r="FJ280">
        <v>0</v>
      </c>
      <c r="FK280" s="187">
        <v>7</v>
      </c>
      <c r="FL280">
        <v>6</v>
      </c>
      <c r="FM280">
        <v>116</v>
      </c>
      <c r="FN280">
        <v>29</v>
      </c>
    </row>
    <row r="281" spans="1:170" x14ac:dyDescent="0.35">
      <c r="A281" t="s">
        <v>948</v>
      </c>
      <c r="B281" t="s">
        <v>949</v>
      </c>
      <c r="C281" t="s">
        <v>2</v>
      </c>
      <c r="D281">
        <v>3877</v>
      </c>
      <c r="E281">
        <v>3876</v>
      </c>
      <c r="F281">
        <v>0</v>
      </c>
      <c r="G281">
        <v>0</v>
      </c>
      <c r="H281">
        <v>96</v>
      </c>
      <c r="I281">
        <v>71</v>
      </c>
      <c r="J281">
        <v>691</v>
      </c>
      <c r="K281">
        <v>716</v>
      </c>
      <c r="L281">
        <v>230</v>
      </c>
      <c r="M281">
        <v>106</v>
      </c>
      <c r="N281">
        <v>4894</v>
      </c>
      <c r="O281">
        <v>4769</v>
      </c>
      <c r="P281">
        <v>4664</v>
      </c>
      <c r="Q281">
        <v>26</v>
      </c>
      <c r="R281">
        <v>5</v>
      </c>
      <c r="S281">
        <v>21</v>
      </c>
      <c r="T281">
        <v>23</v>
      </c>
      <c r="U281">
        <v>4871</v>
      </c>
      <c r="V281" s="498">
        <v>3876</v>
      </c>
      <c r="W281">
        <v>48</v>
      </c>
      <c r="X281" s="498">
        <v>16</v>
      </c>
      <c r="Y281" s="498">
        <v>64</v>
      </c>
      <c r="Z281" s="498">
        <v>94.32</v>
      </c>
      <c r="AA281" s="498">
        <v>91.36</v>
      </c>
      <c r="AB281">
        <v>8.7200000000000006</v>
      </c>
      <c r="AC281">
        <v>100.56</v>
      </c>
      <c r="AD281">
        <v>3511</v>
      </c>
      <c r="AE281">
        <v>97.63</v>
      </c>
      <c r="AF281">
        <v>80.45</v>
      </c>
      <c r="AG281">
        <v>60.09</v>
      </c>
      <c r="AH281">
        <v>154.74</v>
      </c>
      <c r="AI281">
        <v>765</v>
      </c>
      <c r="AJ281">
        <v>123.51</v>
      </c>
      <c r="AK281">
        <v>329</v>
      </c>
      <c r="AL281">
        <v>0</v>
      </c>
      <c r="AM281">
        <v>0</v>
      </c>
      <c r="AN281">
        <v>0</v>
      </c>
      <c r="AO281" s="499">
        <v>0</v>
      </c>
      <c r="AP281" s="499">
        <v>0</v>
      </c>
      <c r="AQ281">
        <v>0</v>
      </c>
      <c r="AR281">
        <v>0</v>
      </c>
      <c r="AS281">
        <v>74.739999999999995</v>
      </c>
      <c r="AT281">
        <v>71.72</v>
      </c>
      <c r="AU281">
        <v>9.69</v>
      </c>
      <c r="AV281">
        <v>84.43</v>
      </c>
      <c r="AW281">
        <v>29</v>
      </c>
      <c r="AX281">
        <v>83.13</v>
      </c>
      <c r="AY281">
        <v>79.959999999999994</v>
      </c>
      <c r="AZ281">
        <v>10.54</v>
      </c>
      <c r="BA281">
        <v>93</v>
      </c>
      <c r="BB281">
        <v>1313</v>
      </c>
      <c r="BC281">
        <v>96.04</v>
      </c>
      <c r="BD281">
        <v>93.06</v>
      </c>
      <c r="BE281">
        <v>8.36</v>
      </c>
      <c r="BF281">
        <v>101.89</v>
      </c>
      <c r="BG281">
        <v>1242</v>
      </c>
      <c r="BH281">
        <v>107.45</v>
      </c>
      <c r="BI281">
        <v>104.79</v>
      </c>
      <c r="BJ281">
        <v>3.71</v>
      </c>
      <c r="BK281">
        <v>108.9</v>
      </c>
      <c r="BL281" s="214">
        <v>854</v>
      </c>
      <c r="BM281" s="214">
        <v>120.56</v>
      </c>
      <c r="BN281">
        <v>117.91</v>
      </c>
      <c r="BO281" s="187">
        <v>3.19</v>
      </c>
      <c r="BP281" s="214">
        <v>122.75</v>
      </c>
      <c r="BQ281" s="214">
        <v>70</v>
      </c>
      <c r="BR281">
        <v>125.54</v>
      </c>
      <c r="BS281" s="187">
        <v>122.05</v>
      </c>
      <c r="BT281" s="214">
        <v>2.54</v>
      </c>
      <c r="BU281" s="214">
        <v>127.23</v>
      </c>
      <c r="BV281">
        <v>3</v>
      </c>
      <c r="BW281">
        <v>0</v>
      </c>
      <c r="BX281" s="214">
        <v>0</v>
      </c>
      <c r="BY281" s="214">
        <v>0</v>
      </c>
      <c r="BZ281">
        <v>0</v>
      </c>
      <c r="CA281" s="187">
        <v>0</v>
      </c>
      <c r="CB281" s="214">
        <v>94.32</v>
      </c>
      <c r="CC281" s="214">
        <v>91.36</v>
      </c>
      <c r="CD281">
        <v>8.7200000000000006</v>
      </c>
      <c r="CE281" s="187">
        <v>100.56</v>
      </c>
      <c r="CF281" s="214">
        <v>3511</v>
      </c>
      <c r="CG281" s="214">
        <v>94.32</v>
      </c>
      <c r="CH281">
        <v>91.36</v>
      </c>
      <c r="CI281">
        <v>8.7200000000000006</v>
      </c>
      <c r="CJ281">
        <v>100.56</v>
      </c>
      <c r="CK281">
        <v>3511</v>
      </c>
      <c r="CL281">
        <v>95.4</v>
      </c>
      <c r="CM281">
        <v>84.97</v>
      </c>
      <c r="CN281" s="187">
        <v>308.06</v>
      </c>
      <c r="CO281">
        <v>287.31</v>
      </c>
      <c r="CP281">
        <v>61</v>
      </c>
      <c r="CQ281">
        <v>76.260000000000005</v>
      </c>
      <c r="CR281">
        <v>69.599999999999994</v>
      </c>
      <c r="CS281" s="187">
        <v>47.93</v>
      </c>
      <c r="CT281">
        <v>124.19</v>
      </c>
      <c r="CU281">
        <v>171</v>
      </c>
      <c r="CV281">
        <v>97.33</v>
      </c>
      <c r="CW281">
        <v>82.49</v>
      </c>
      <c r="CX281" s="187">
        <v>47.26</v>
      </c>
      <c r="CY281">
        <v>143.21</v>
      </c>
      <c r="CZ281">
        <v>446</v>
      </c>
      <c r="DA281">
        <v>143.96</v>
      </c>
      <c r="DB281">
        <v>92.05</v>
      </c>
      <c r="DC281" s="187">
        <v>39.29</v>
      </c>
      <c r="DD281">
        <v>182.31</v>
      </c>
      <c r="DE281">
        <v>84</v>
      </c>
      <c r="DF281">
        <v>108.39</v>
      </c>
      <c r="DG281">
        <v>110.82</v>
      </c>
      <c r="DH281" s="187">
        <v>32.94</v>
      </c>
      <c r="DI281">
        <v>141.33000000000001</v>
      </c>
      <c r="DJ281">
        <v>3</v>
      </c>
      <c r="DK281">
        <v>0</v>
      </c>
      <c r="DL281">
        <v>0</v>
      </c>
      <c r="DM281" s="187">
        <v>0</v>
      </c>
      <c r="DN281">
        <v>0</v>
      </c>
      <c r="DO281">
        <v>0</v>
      </c>
      <c r="DP281">
        <v>97.82</v>
      </c>
      <c r="DQ281">
        <v>80.06</v>
      </c>
      <c r="DR281" s="187">
        <v>46.42</v>
      </c>
      <c r="DS281">
        <v>143.25</v>
      </c>
      <c r="DT281">
        <v>704</v>
      </c>
      <c r="DU281">
        <v>97.63</v>
      </c>
      <c r="DV281">
        <v>80.45</v>
      </c>
      <c r="DW281" s="187">
        <v>60.09</v>
      </c>
      <c r="DX281">
        <v>154.74</v>
      </c>
      <c r="DY281">
        <v>765</v>
      </c>
      <c r="DZ281">
        <v>0</v>
      </c>
      <c r="EA281">
        <v>0</v>
      </c>
      <c r="EB281" s="187">
        <v>0</v>
      </c>
      <c r="EC281">
        <v>0</v>
      </c>
      <c r="ED281">
        <v>83.91</v>
      </c>
      <c r="EE281">
        <v>39</v>
      </c>
      <c r="EF281">
        <v>115.67</v>
      </c>
      <c r="EG281" s="187">
        <v>163</v>
      </c>
      <c r="EH281">
        <v>139.72999999999999</v>
      </c>
      <c r="EI281">
        <v>97</v>
      </c>
      <c r="EJ281">
        <v>165.11</v>
      </c>
      <c r="EK281">
        <v>30</v>
      </c>
      <c r="EL281" s="187">
        <v>0</v>
      </c>
      <c r="EM281">
        <v>0</v>
      </c>
      <c r="EN281">
        <v>0</v>
      </c>
      <c r="EO281">
        <v>0</v>
      </c>
      <c r="EP281">
        <v>123.51</v>
      </c>
      <c r="EQ281" s="187">
        <v>329</v>
      </c>
      <c r="ER281">
        <v>123.51</v>
      </c>
      <c r="ES281">
        <v>329</v>
      </c>
      <c r="ET281">
        <v>0</v>
      </c>
      <c r="EU281">
        <v>0</v>
      </c>
      <c r="EV281" s="187">
        <v>0</v>
      </c>
      <c r="EW281">
        <v>0</v>
      </c>
      <c r="EX281">
        <v>0</v>
      </c>
      <c r="EY281">
        <v>0</v>
      </c>
      <c r="EZ281">
        <v>0</v>
      </c>
      <c r="FA281" s="187">
        <v>0</v>
      </c>
      <c r="FB281">
        <v>0</v>
      </c>
      <c r="FC281">
        <v>0</v>
      </c>
      <c r="FD281">
        <v>0</v>
      </c>
      <c r="FE281">
        <v>0</v>
      </c>
      <c r="FF281" s="187">
        <v>0</v>
      </c>
      <c r="FG281">
        <v>0</v>
      </c>
      <c r="FH281">
        <v>0</v>
      </c>
      <c r="FI281">
        <v>0</v>
      </c>
      <c r="FJ281">
        <v>0</v>
      </c>
      <c r="FK281" s="187">
        <v>0</v>
      </c>
      <c r="FL281">
        <v>30</v>
      </c>
      <c r="FM281">
        <v>46</v>
      </c>
      <c r="FN281">
        <v>6</v>
      </c>
    </row>
    <row r="282" spans="1:170" x14ac:dyDescent="0.35">
      <c r="A282" t="s">
        <v>950</v>
      </c>
      <c r="B282" t="s">
        <v>951</v>
      </c>
      <c r="C282" t="s">
        <v>415</v>
      </c>
      <c r="D282">
        <v>4617</v>
      </c>
      <c r="E282">
        <v>4718</v>
      </c>
      <c r="F282">
        <v>21</v>
      </c>
      <c r="G282">
        <v>21</v>
      </c>
      <c r="H282">
        <v>61</v>
      </c>
      <c r="I282">
        <v>75</v>
      </c>
      <c r="J282">
        <v>856</v>
      </c>
      <c r="K282">
        <v>817</v>
      </c>
      <c r="L282">
        <v>340</v>
      </c>
      <c r="M282">
        <v>48</v>
      </c>
      <c r="N282">
        <v>5895</v>
      </c>
      <c r="O282">
        <v>5679</v>
      </c>
      <c r="P282">
        <v>5555</v>
      </c>
      <c r="Q282">
        <v>19</v>
      </c>
      <c r="R282">
        <v>3</v>
      </c>
      <c r="S282">
        <v>23</v>
      </c>
      <c r="T282">
        <v>44</v>
      </c>
      <c r="U282">
        <v>5851</v>
      </c>
      <c r="V282" s="498">
        <v>4617</v>
      </c>
      <c r="W282">
        <v>70</v>
      </c>
      <c r="X282" s="498">
        <v>8</v>
      </c>
      <c r="Y282" s="498">
        <v>78</v>
      </c>
      <c r="Z282" s="498">
        <v>116.4</v>
      </c>
      <c r="AA282" s="498">
        <v>122.93</v>
      </c>
      <c r="AB282">
        <v>6.9</v>
      </c>
      <c r="AC282">
        <v>119.46</v>
      </c>
      <c r="AD282">
        <v>4302</v>
      </c>
      <c r="AE282">
        <v>103.82</v>
      </c>
      <c r="AF282">
        <v>99.15</v>
      </c>
      <c r="AG282">
        <v>20.86</v>
      </c>
      <c r="AH282">
        <v>122.71</v>
      </c>
      <c r="AI282">
        <v>869</v>
      </c>
      <c r="AJ282">
        <v>172.73</v>
      </c>
      <c r="AK282">
        <v>227</v>
      </c>
      <c r="AL282">
        <v>188.31</v>
      </c>
      <c r="AM282">
        <v>4</v>
      </c>
      <c r="AN282">
        <v>0</v>
      </c>
      <c r="AO282" s="499">
        <v>0</v>
      </c>
      <c r="AP282" s="499">
        <v>0</v>
      </c>
      <c r="AQ282">
        <v>0</v>
      </c>
      <c r="AR282">
        <v>0</v>
      </c>
      <c r="AS282">
        <v>84.64</v>
      </c>
      <c r="AT282">
        <v>83.21</v>
      </c>
      <c r="AU282">
        <v>8.1300000000000008</v>
      </c>
      <c r="AV282">
        <v>89.15</v>
      </c>
      <c r="AW282">
        <v>202</v>
      </c>
      <c r="AX282">
        <v>95.88</v>
      </c>
      <c r="AY282">
        <v>97.4</v>
      </c>
      <c r="AZ282">
        <v>7.35</v>
      </c>
      <c r="BA282">
        <v>102.31</v>
      </c>
      <c r="BB282">
        <v>916</v>
      </c>
      <c r="BC282">
        <v>115.97</v>
      </c>
      <c r="BD282">
        <v>120.65</v>
      </c>
      <c r="BE282">
        <v>7.72</v>
      </c>
      <c r="BF282">
        <v>119.76</v>
      </c>
      <c r="BG282">
        <v>1423</v>
      </c>
      <c r="BH282">
        <v>130.53</v>
      </c>
      <c r="BI282">
        <v>142.02000000000001</v>
      </c>
      <c r="BJ282">
        <v>3.38</v>
      </c>
      <c r="BK282">
        <v>131.1</v>
      </c>
      <c r="BL282" s="214">
        <v>1695</v>
      </c>
      <c r="BM282" s="214">
        <v>143.76</v>
      </c>
      <c r="BN282">
        <v>156.16999999999999</v>
      </c>
      <c r="BO282" s="187">
        <v>3.27</v>
      </c>
      <c r="BP282" s="214">
        <v>144.54</v>
      </c>
      <c r="BQ282" s="214">
        <v>63</v>
      </c>
      <c r="BR282">
        <v>156.53</v>
      </c>
      <c r="BS282" s="187">
        <v>156.53</v>
      </c>
      <c r="BT282" s="214">
        <v>1.1499999999999999</v>
      </c>
      <c r="BU282" s="214">
        <v>157.68</v>
      </c>
      <c r="BV282">
        <v>3</v>
      </c>
      <c r="BW282">
        <v>0</v>
      </c>
      <c r="BX282" s="214">
        <v>0</v>
      </c>
      <c r="BY282" s="214">
        <v>0</v>
      </c>
      <c r="BZ282">
        <v>0</v>
      </c>
      <c r="CA282" s="187">
        <v>0</v>
      </c>
      <c r="CB282" s="214">
        <v>116.4</v>
      </c>
      <c r="CC282" s="214">
        <v>122.93</v>
      </c>
      <c r="CD282">
        <v>6.9</v>
      </c>
      <c r="CE282" s="187">
        <v>119.46</v>
      </c>
      <c r="CF282" s="214">
        <v>4302</v>
      </c>
      <c r="CG282" s="214">
        <v>116.4</v>
      </c>
      <c r="CH282">
        <v>122.93</v>
      </c>
      <c r="CI282">
        <v>6.9</v>
      </c>
      <c r="CJ282">
        <v>119.46</v>
      </c>
      <c r="CK282">
        <v>4302</v>
      </c>
      <c r="CL282">
        <v>92.27</v>
      </c>
      <c r="CM282">
        <v>86.14</v>
      </c>
      <c r="CN282" s="187">
        <v>76.95</v>
      </c>
      <c r="CO282">
        <v>169.22</v>
      </c>
      <c r="CP282">
        <v>8</v>
      </c>
      <c r="CQ282">
        <v>91.74</v>
      </c>
      <c r="CR282">
        <v>78.680000000000007</v>
      </c>
      <c r="CS282" s="187">
        <v>18.29</v>
      </c>
      <c r="CT282">
        <v>108.06</v>
      </c>
      <c r="CU282">
        <v>120</v>
      </c>
      <c r="CV282">
        <v>104.19</v>
      </c>
      <c r="CW282">
        <v>100.82</v>
      </c>
      <c r="CX282" s="187">
        <v>21.4</v>
      </c>
      <c r="CY282">
        <v>123.99</v>
      </c>
      <c r="CZ282">
        <v>682</v>
      </c>
      <c r="DA282">
        <v>124.49</v>
      </c>
      <c r="DB282">
        <v>122.44</v>
      </c>
      <c r="DC282" s="187">
        <v>6.64</v>
      </c>
      <c r="DD282">
        <v>128.96</v>
      </c>
      <c r="DE282">
        <v>55</v>
      </c>
      <c r="DF282">
        <v>142.22</v>
      </c>
      <c r="DG282">
        <v>138.32</v>
      </c>
      <c r="DH282" s="187">
        <v>23.58</v>
      </c>
      <c r="DI282">
        <v>165.8</v>
      </c>
      <c r="DJ282">
        <v>4</v>
      </c>
      <c r="DK282">
        <v>0</v>
      </c>
      <c r="DL282">
        <v>0</v>
      </c>
      <c r="DM282" s="187">
        <v>0</v>
      </c>
      <c r="DN282">
        <v>0</v>
      </c>
      <c r="DO282">
        <v>0</v>
      </c>
      <c r="DP282">
        <v>103.93</v>
      </c>
      <c r="DQ282">
        <v>99.27</v>
      </c>
      <c r="DR282" s="187">
        <v>20.29</v>
      </c>
      <c r="DS282">
        <v>122.28</v>
      </c>
      <c r="DT282">
        <v>861</v>
      </c>
      <c r="DU282">
        <v>103.82</v>
      </c>
      <c r="DV282">
        <v>99.15</v>
      </c>
      <c r="DW282" s="187">
        <v>20.86</v>
      </c>
      <c r="DX282">
        <v>122.71</v>
      </c>
      <c r="DY282">
        <v>869</v>
      </c>
      <c r="DZ282">
        <v>0</v>
      </c>
      <c r="EA282">
        <v>0</v>
      </c>
      <c r="EB282" s="187">
        <v>145.02000000000001</v>
      </c>
      <c r="EC282">
        <v>4</v>
      </c>
      <c r="ED282">
        <v>141.51</v>
      </c>
      <c r="EE282">
        <v>50</v>
      </c>
      <c r="EF282">
        <v>173.84</v>
      </c>
      <c r="EG282" s="187">
        <v>111</v>
      </c>
      <c r="EH282">
        <v>196.12</v>
      </c>
      <c r="EI282">
        <v>59</v>
      </c>
      <c r="EJ282">
        <v>228.48</v>
      </c>
      <c r="EK282">
        <v>3</v>
      </c>
      <c r="EL282" s="187">
        <v>0</v>
      </c>
      <c r="EM282">
        <v>0</v>
      </c>
      <c r="EN282">
        <v>0</v>
      </c>
      <c r="EO282">
        <v>0</v>
      </c>
      <c r="EP282">
        <v>172.73</v>
      </c>
      <c r="EQ282" s="187">
        <v>227</v>
      </c>
      <c r="ER282">
        <v>172.73</v>
      </c>
      <c r="ES282">
        <v>227</v>
      </c>
      <c r="ET282">
        <v>0</v>
      </c>
      <c r="EU282">
        <v>0</v>
      </c>
      <c r="EV282" s="187">
        <v>0</v>
      </c>
      <c r="EW282">
        <v>0</v>
      </c>
      <c r="EX282">
        <v>188.31</v>
      </c>
      <c r="EY282">
        <v>4</v>
      </c>
      <c r="EZ282">
        <v>0</v>
      </c>
      <c r="FA282" s="187">
        <v>0</v>
      </c>
      <c r="FB282">
        <v>0</v>
      </c>
      <c r="FC282">
        <v>0</v>
      </c>
      <c r="FD282">
        <v>0</v>
      </c>
      <c r="FE282">
        <v>0</v>
      </c>
      <c r="FF282" s="187">
        <v>188.31</v>
      </c>
      <c r="FG282">
        <v>4</v>
      </c>
      <c r="FH282">
        <v>188.31</v>
      </c>
      <c r="FI282">
        <v>4</v>
      </c>
      <c r="FJ282">
        <v>35</v>
      </c>
      <c r="FK282" s="187">
        <v>2</v>
      </c>
      <c r="FL282">
        <v>28</v>
      </c>
      <c r="FM282">
        <v>40</v>
      </c>
      <c r="FN282">
        <v>4</v>
      </c>
    </row>
    <row r="283" spans="1:170" x14ac:dyDescent="0.35">
      <c r="A283" t="s">
        <v>952</v>
      </c>
      <c r="B283" t="s">
        <v>953</v>
      </c>
      <c r="C283" t="s">
        <v>415</v>
      </c>
      <c r="D283">
        <v>1926</v>
      </c>
      <c r="E283">
        <v>1851</v>
      </c>
      <c r="F283">
        <v>0</v>
      </c>
      <c r="G283">
        <v>0</v>
      </c>
      <c r="H283">
        <v>137</v>
      </c>
      <c r="I283">
        <v>116</v>
      </c>
      <c r="J283">
        <v>93</v>
      </c>
      <c r="K283">
        <v>63</v>
      </c>
      <c r="L283">
        <v>459</v>
      </c>
      <c r="M283">
        <v>84</v>
      </c>
      <c r="N283">
        <v>2615</v>
      </c>
      <c r="O283">
        <v>2114</v>
      </c>
      <c r="P283">
        <v>2156</v>
      </c>
      <c r="Q283">
        <v>23</v>
      </c>
      <c r="R283">
        <v>3</v>
      </c>
      <c r="S283">
        <v>19</v>
      </c>
      <c r="T283">
        <v>55</v>
      </c>
      <c r="U283">
        <v>2560</v>
      </c>
      <c r="V283" s="498">
        <v>1907</v>
      </c>
      <c r="W283">
        <v>39</v>
      </c>
      <c r="X283" s="498">
        <v>3</v>
      </c>
      <c r="Y283" s="498">
        <v>42</v>
      </c>
      <c r="Z283" s="498">
        <v>105.18</v>
      </c>
      <c r="AA283" s="498">
        <v>106.32</v>
      </c>
      <c r="AB283">
        <v>9.35</v>
      </c>
      <c r="AC283">
        <v>111.72</v>
      </c>
      <c r="AD283">
        <v>1189</v>
      </c>
      <c r="AE283">
        <v>125.24</v>
      </c>
      <c r="AF283">
        <v>106.38</v>
      </c>
      <c r="AG283">
        <v>87.96</v>
      </c>
      <c r="AH283">
        <v>210.47</v>
      </c>
      <c r="AI283">
        <v>194</v>
      </c>
      <c r="AJ283">
        <v>164.53</v>
      </c>
      <c r="AK283">
        <v>585</v>
      </c>
      <c r="AL283">
        <v>165.01</v>
      </c>
      <c r="AM283">
        <v>4</v>
      </c>
      <c r="AN283">
        <v>0</v>
      </c>
      <c r="AO283" s="499">
        <v>0</v>
      </c>
      <c r="AP283" s="499">
        <v>0</v>
      </c>
      <c r="AQ283">
        <v>0</v>
      </c>
      <c r="AR283">
        <v>0</v>
      </c>
      <c r="AS283">
        <v>81.12</v>
      </c>
      <c r="AT283">
        <v>81.12</v>
      </c>
      <c r="AU283">
        <v>6.92</v>
      </c>
      <c r="AV283">
        <v>88.04</v>
      </c>
      <c r="AW283">
        <v>2</v>
      </c>
      <c r="AX283">
        <v>90.37</v>
      </c>
      <c r="AY283">
        <v>92.29</v>
      </c>
      <c r="AZ283">
        <v>12.08</v>
      </c>
      <c r="BA283">
        <v>101.39</v>
      </c>
      <c r="BB283">
        <v>274</v>
      </c>
      <c r="BC283">
        <v>103.11</v>
      </c>
      <c r="BD283">
        <v>103.52</v>
      </c>
      <c r="BE283">
        <v>10.57</v>
      </c>
      <c r="BF283">
        <v>111.4</v>
      </c>
      <c r="BG283">
        <v>500</v>
      </c>
      <c r="BH283">
        <v>115.33</v>
      </c>
      <c r="BI283">
        <v>116.58</v>
      </c>
      <c r="BJ283">
        <v>2.73</v>
      </c>
      <c r="BK283">
        <v>116.46</v>
      </c>
      <c r="BL283" s="214">
        <v>365</v>
      </c>
      <c r="BM283" s="214">
        <v>134.69</v>
      </c>
      <c r="BN283">
        <v>138.13</v>
      </c>
      <c r="BO283" s="187">
        <v>5.0199999999999996</v>
      </c>
      <c r="BP283" s="214">
        <v>138.41</v>
      </c>
      <c r="BQ283" s="214">
        <v>46</v>
      </c>
      <c r="BR283">
        <v>144.59</v>
      </c>
      <c r="BS283" s="187">
        <v>147.08000000000001</v>
      </c>
      <c r="BT283" s="214">
        <v>5.14</v>
      </c>
      <c r="BU283" s="214">
        <v>149.72999999999999</v>
      </c>
      <c r="BV283">
        <v>2</v>
      </c>
      <c r="BW283">
        <v>0</v>
      </c>
      <c r="BX283" s="214">
        <v>0</v>
      </c>
      <c r="BY283" s="214">
        <v>0</v>
      </c>
      <c r="BZ283">
        <v>0</v>
      </c>
      <c r="CA283" s="187">
        <v>0</v>
      </c>
      <c r="CB283" s="214">
        <v>105.18</v>
      </c>
      <c r="CC283" s="214">
        <v>106.32</v>
      </c>
      <c r="CD283">
        <v>9.35</v>
      </c>
      <c r="CE283" s="187">
        <v>111.72</v>
      </c>
      <c r="CF283" s="214">
        <v>1189</v>
      </c>
      <c r="CG283" s="214">
        <v>105.18</v>
      </c>
      <c r="CH283">
        <v>106.32</v>
      </c>
      <c r="CI283">
        <v>9.35</v>
      </c>
      <c r="CJ283">
        <v>111.72</v>
      </c>
      <c r="CK283">
        <v>1189</v>
      </c>
      <c r="CL283">
        <v>104.28</v>
      </c>
      <c r="CM283">
        <v>98.7</v>
      </c>
      <c r="CN283" s="187">
        <v>142.25</v>
      </c>
      <c r="CO283">
        <v>235.3</v>
      </c>
      <c r="CP283">
        <v>76</v>
      </c>
      <c r="CQ283">
        <v>272.02999999999997</v>
      </c>
      <c r="CR283">
        <v>0</v>
      </c>
      <c r="CS283" s="187">
        <v>15.7</v>
      </c>
      <c r="CT283">
        <v>287.73</v>
      </c>
      <c r="CU283">
        <v>15</v>
      </c>
      <c r="CV283">
        <v>113.55</v>
      </c>
      <c r="CW283">
        <v>107.21</v>
      </c>
      <c r="CX283" s="187">
        <v>48.67</v>
      </c>
      <c r="CY283">
        <v>162.22</v>
      </c>
      <c r="CZ283">
        <v>71</v>
      </c>
      <c r="DA283">
        <v>132.13</v>
      </c>
      <c r="DB283">
        <v>120.36</v>
      </c>
      <c r="DC283" s="187">
        <v>90.23</v>
      </c>
      <c r="DD283">
        <v>222.36</v>
      </c>
      <c r="DE283">
        <v>32</v>
      </c>
      <c r="DF283">
        <v>0</v>
      </c>
      <c r="DG283">
        <v>0</v>
      </c>
      <c r="DH283" s="187">
        <v>0</v>
      </c>
      <c r="DI283">
        <v>0</v>
      </c>
      <c r="DJ283">
        <v>0</v>
      </c>
      <c r="DK283">
        <v>0</v>
      </c>
      <c r="DL283">
        <v>0</v>
      </c>
      <c r="DM283" s="187">
        <v>0</v>
      </c>
      <c r="DN283">
        <v>0</v>
      </c>
      <c r="DO283">
        <v>0</v>
      </c>
      <c r="DP283">
        <v>138.72999999999999</v>
      </c>
      <c r="DQ283">
        <v>111.29</v>
      </c>
      <c r="DR283" s="187">
        <v>55.75</v>
      </c>
      <c r="DS283">
        <v>194.48</v>
      </c>
      <c r="DT283">
        <v>118</v>
      </c>
      <c r="DU283">
        <v>125.24</v>
      </c>
      <c r="DV283">
        <v>106.38</v>
      </c>
      <c r="DW283" s="187">
        <v>87.96</v>
      </c>
      <c r="DX283">
        <v>210.47</v>
      </c>
      <c r="DY283">
        <v>194</v>
      </c>
      <c r="DZ283">
        <v>0</v>
      </c>
      <c r="EA283">
        <v>0</v>
      </c>
      <c r="EB283" s="187">
        <v>136.25</v>
      </c>
      <c r="EC283">
        <v>1</v>
      </c>
      <c r="ED283">
        <v>139.01</v>
      </c>
      <c r="EE283">
        <v>86</v>
      </c>
      <c r="EF283">
        <v>158.72</v>
      </c>
      <c r="EG283" s="187">
        <v>331</v>
      </c>
      <c r="EH283">
        <v>184.35</v>
      </c>
      <c r="EI283">
        <v>137</v>
      </c>
      <c r="EJ283">
        <v>212.13</v>
      </c>
      <c r="EK283">
        <v>30</v>
      </c>
      <c r="EL283" s="187">
        <v>0</v>
      </c>
      <c r="EM283">
        <v>0</v>
      </c>
      <c r="EN283">
        <v>0</v>
      </c>
      <c r="EO283">
        <v>0</v>
      </c>
      <c r="EP283">
        <v>164.53</v>
      </c>
      <c r="EQ283" s="187">
        <v>585</v>
      </c>
      <c r="ER283">
        <v>164.53</v>
      </c>
      <c r="ES283">
        <v>585</v>
      </c>
      <c r="ET283">
        <v>0</v>
      </c>
      <c r="EU283">
        <v>0</v>
      </c>
      <c r="EV283" s="187">
        <v>0</v>
      </c>
      <c r="EW283">
        <v>0</v>
      </c>
      <c r="EX283">
        <v>153.74</v>
      </c>
      <c r="EY283">
        <v>2</v>
      </c>
      <c r="EZ283">
        <v>176.28</v>
      </c>
      <c r="FA283" s="187">
        <v>2</v>
      </c>
      <c r="FB283">
        <v>0</v>
      </c>
      <c r="FC283">
        <v>0</v>
      </c>
      <c r="FD283">
        <v>0</v>
      </c>
      <c r="FE283">
        <v>0</v>
      </c>
      <c r="FF283" s="187">
        <v>165.01</v>
      </c>
      <c r="FG283">
        <v>4</v>
      </c>
      <c r="FH283">
        <v>165.01</v>
      </c>
      <c r="FI283">
        <v>4</v>
      </c>
      <c r="FJ283">
        <v>0</v>
      </c>
      <c r="FK283" s="187">
        <v>0</v>
      </c>
      <c r="FL283">
        <v>0</v>
      </c>
      <c r="FM283">
        <v>22</v>
      </c>
      <c r="FN283">
        <v>12</v>
      </c>
    </row>
    <row r="284" spans="1:170" x14ac:dyDescent="0.35">
      <c r="A284" t="s">
        <v>954</v>
      </c>
      <c r="B284" t="s">
        <v>955</v>
      </c>
      <c r="C284" t="s">
        <v>2</v>
      </c>
      <c r="D284">
        <v>7769</v>
      </c>
      <c r="E284">
        <v>7764</v>
      </c>
      <c r="F284">
        <v>1</v>
      </c>
      <c r="G284">
        <v>1</v>
      </c>
      <c r="H284">
        <v>147</v>
      </c>
      <c r="I284">
        <v>76</v>
      </c>
      <c r="J284">
        <v>640</v>
      </c>
      <c r="K284">
        <v>493</v>
      </c>
      <c r="L284">
        <v>1121</v>
      </c>
      <c r="M284">
        <v>106</v>
      </c>
      <c r="N284">
        <v>9678</v>
      </c>
      <c r="O284">
        <v>8440</v>
      </c>
      <c r="P284">
        <v>8557</v>
      </c>
      <c r="Q284">
        <v>4</v>
      </c>
      <c r="R284">
        <v>9</v>
      </c>
      <c r="S284">
        <v>23</v>
      </c>
      <c r="T284">
        <v>234</v>
      </c>
      <c r="U284">
        <v>9444</v>
      </c>
      <c r="V284" s="498">
        <v>7762</v>
      </c>
      <c r="W284">
        <v>137</v>
      </c>
      <c r="X284" s="498">
        <v>4</v>
      </c>
      <c r="Y284" s="498">
        <v>141</v>
      </c>
      <c r="Z284" s="498">
        <v>116.74</v>
      </c>
      <c r="AA284" s="498">
        <v>116.64</v>
      </c>
      <c r="AB284">
        <v>5.65</v>
      </c>
      <c r="AC284">
        <v>117.8</v>
      </c>
      <c r="AD284">
        <v>6493</v>
      </c>
      <c r="AE284">
        <v>101.39</v>
      </c>
      <c r="AF284">
        <v>92.74</v>
      </c>
      <c r="AG284">
        <v>43.09</v>
      </c>
      <c r="AH284">
        <v>141.41</v>
      </c>
      <c r="AI284">
        <v>560</v>
      </c>
      <c r="AJ284">
        <v>152.59</v>
      </c>
      <c r="AK284">
        <v>1212</v>
      </c>
      <c r="AL284">
        <v>243.94</v>
      </c>
      <c r="AM284">
        <v>131</v>
      </c>
      <c r="AN284">
        <v>55.93</v>
      </c>
      <c r="AO284" s="499">
        <v>98.41</v>
      </c>
      <c r="AP284" s="499">
        <v>11.49</v>
      </c>
      <c r="AQ284">
        <v>67.42</v>
      </c>
      <c r="AR284">
        <v>1</v>
      </c>
      <c r="AS284">
        <v>81.319999999999993</v>
      </c>
      <c r="AT284">
        <v>92.07</v>
      </c>
      <c r="AU284">
        <v>18.670000000000002</v>
      </c>
      <c r="AV284">
        <v>99.99</v>
      </c>
      <c r="AW284">
        <v>3</v>
      </c>
      <c r="AX284">
        <v>96.82</v>
      </c>
      <c r="AY284">
        <v>95.54</v>
      </c>
      <c r="AZ284">
        <v>5.16</v>
      </c>
      <c r="BA284">
        <v>98.03</v>
      </c>
      <c r="BB284">
        <v>1396</v>
      </c>
      <c r="BC284">
        <v>112.95</v>
      </c>
      <c r="BD284">
        <v>111.61</v>
      </c>
      <c r="BE284">
        <v>8.15</v>
      </c>
      <c r="BF284">
        <v>114.88</v>
      </c>
      <c r="BG284">
        <v>1896</v>
      </c>
      <c r="BH284">
        <v>126.82</v>
      </c>
      <c r="BI284">
        <v>128.1</v>
      </c>
      <c r="BJ284">
        <v>3.2</v>
      </c>
      <c r="BK284">
        <v>127.24</v>
      </c>
      <c r="BL284" s="214">
        <v>3020</v>
      </c>
      <c r="BM284" s="214">
        <v>142.36000000000001</v>
      </c>
      <c r="BN284">
        <v>142.58000000000001</v>
      </c>
      <c r="BO284" s="187">
        <v>4.57</v>
      </c>
      <c r="BP284" s="214">
        <v>143.46</v>
      </c>
      <c r="BQ284" s="214">
        <v>171</v>
      </c>
      <c r="BR284">
        <v>158.4</v>
      </c>
      <c r="BS284" s="187">
        <v>151.59</v>
      </c>
      <c r="BT284" s="214">
        <v>0</v>
      </c>
      <c r="BU284" s="214">
        <v>158.4</v>
      </c>
      <c r="BV284">
        <v>3</v>
      </c>
      <c r="BW284">
        <v>184.73</v>
      </c>
      <c r="BX284" s="214">
        <v>173.18</v>
      </c>
      <c r="BY284" s="214">
        <v>0</v>
      </c>
      <c r="BZ284">
        <v>184.73</v>
      </c>
      <c r="CA284" s="187">
        <v>3</v>
      </c>
      <c r="CB284" s="214">
        <v>116.75</v>
      </c>
      <c r="CC284" s="214">
        <v>116.65</v>
      </c>
      <c r="CD284">
        <v>5.65</v>
      </c>
      <c r="CE284" s="187">
        <v>117.81</v>
      </c>
      <c r="CF284" s="214">
        <v>6492</v>
      </c>
      <c r="CG284" s="214">
        <v>116.74</v>
      </c>
      <c r="CH284">
        <v>116.64</v>
      </c>
      <c r="CI284">
        <v>5.65</v>
      </c>
      <c r="CJ284">
        <v>117.8</v>
      </c>
      <c r="CK284">
        <v>6493</v>
      </c>
      <c r="CL284">
        <v>124.57</v>
      </c>
      <c r="CM284">
        <v>87.04</v>
      </c>
      <c r="CN284" s="187">
        <v>56.55</v>
      </c>
      <c r="CO284">
        <v>162.82</v>
      </c>
      <c r="CP284">
        <v>34</v>
      </c>
      <c r="CQ284">
        <v>87.11</v>
      </c>
      <c r="CR284">
        <v>84.16</v>
      </c>
      <c r="CS284" s="187">
        <v>35.340000000000003</v>
      </c>
      <c r="CT284">
        <v>115.74</v>
      </c>
      <c r="CU284">
        <v>79</v>
      </c>
      <c r="CV284">
        <v>99.93</v>
      </c>
      <c r="CW284">
        <v>92.76</v>
      </c>
      <c r="CX284" s="187">
        <v>44.02</v>
      </c>
      <c r="CY284">
        <v>142.43</v>
      </c>
      <c r="CZ284">
        <v>406</v>
      </c>
      <c r="DA284">
        <v>115.07</v>
      </c>
      <c r="DB284">
        <v>108.55</v>
      </c>
      <c r="DC284" s="187">
        <v>38.200000000000003</v>
      </c>
      <c r="DD284">
        <v>153.27000000000001</v>
      </c>
      <c r="DE284">
        <v>34</v>
      </c>
      <c r="DF284">
        <v>168.59</v>
      </c>
      <c r="DG284">
        <v>126.44</v>
      </c>
      <c r="DH284" s="187">
        <v>41.68</v>
      </c>
      <c r="DI284">
        <v>210.27</v>
      </c>
      <c r="DJ284">
        <v>7</v>
      </c>
      <c r="DK284">
        <v>0</v>
      </c>
      <c r="DL284">
        <v>0</v>
      </c>
      <c r="DM284" s="187">
        <v>0</v>
      </c>
      <c r="DN284">
        <v>0</v>
      </c>
      <c r="DO284">
        <v>0</v>
      </c>
      <c r="DP284">
        <v>99.89</v>
      </c>
      <c r="DQ284">
        <v>92.87</v>
      </c>
      <c r="DR284" s="187">
        <v>42.47</v>
      </c>
      <c r="DS284">
        <v>140.02000000000001</v>
      </c>
      <c r="DT284">
        <v>526</v>
      </c>
      <c r="DU284">
        <v>101.39</v>
      </c>
      <c r="DV284">
        <v>92.74</v>
      </c>
      <c r="DW284" s="187">
        <v>43.09</v>
      </c>
      <c r="DX284">
        <v>141.41</v>
      </c>
      <c r="DY284">
        <v>560</v>
      </c>
      <c r="DZ284">
        <v>0</v>
      </c>
      <c r="EA284">
        <v>0</v>
      </c>
      <c r="EB284" s="187">
        <v>0</v>
      </c>
      <c r="EC284">
        <v>0</v>
      </c>
      <c r="ED284">
        <v>119.52</v>
      </c>
      <c r="EE284">
        <v>344</v>
      </c>
      <c r="EF284">
        <v>156.80000000000001</v>
      </c>
      <c r="EG284" s="187">
        <v>525</v>
      </c>
      <c r="EH284">
        <v>174.93</v>
      </c>
      <c r="EI284">
        <v>323</v>
      </c>
      <c r="EJ284">
        <v>250.15</v>
      </c>
      <c r="EK284">
        <v>20</v>
      </c>
      <c r="EL284" s="187">
        <v>0</v>
      </c>
      <c r="EM284">
        <v>0</v>
      </c>
      <c r="EN284">
        <v>0</v>
      </c>
      <c r="EO284">
        <v>0</v>
      </c>
      <c r="EP284">
        <v>152.59</v>
      </c>
      <c r="EQ284" s="187">
        <v>1212</v>
      </c>
      <c r="ER284">
        <v>152.59</v>
      </c>
      <c r="ES284">
        <v>1212</v>
      </c>
      <c r="ET284">
        <v>0</v>
      </c>
      <c r="EU284">
        <v>0</v>
      </c>
      <c r="EV284" s="187">
        <v>0</v>
      </c>
      <c r="EW284">
        <v>0</v>
      </c>
      <c r="EX284">
        <v>235.59</v>
      </c>
      <c r="EY284">
        <v>93</v>
      </c>
      <c r="EZ284">
        <v>264.39</v>
      </c>
      <c r="FA284" s="187">
        <v>38</v>
      </c>
      <c r="FB284">
        <v>0</v>
      </c>
      <c r="FC284">
        <v>0</v>
      </c>
      <c r="FD284">
        <v>0</v>
      </c>
      <c r="FE284">
        <v>0</v>
      </c>
      <c r="FF284" s="187">
        <v>243.94</v>
      </c>
      <c r="FG284">
        <v>131</v>
      </c>
      <c r="FH284">
        <v>243.94</v>
      </c>
      <c r="FI284">
        <v>131</v>
      </c>
      <c r="FJ284">
        <v>0</v>
      </c>
      <c r="FK284" s="187">
        <v>2</v>
      </c>
      <c r="FL284">
        <v>0</v>
      </c>
      <c r="FM284">
        <v>46</v>
      </c>
      <c r="FN284">
        <v>16</v>
      </c>
    </row>
    <row r="285" spans="1:170" x14ac:dyDescent="0.35">
      <c r="A285" t="s">
        <v>956</v>
      </c>
      <c r="B285" t="s">
        <v>957</v>
      </c>
      <c r="C285" t="s">
        <v>419</v>
      </c>
      <c r="D285">
        <v>4251</v>
      </c>
      <c r="E285">
        <v>4220</v>
      </c>
      <c r="F285">
        <v>11</v>
      </c>
      <c r="G285">
        <v>11</v>
      </c>
      <c r="H285">
        <v>290</v>
      </c>
      <c r="I285">
        <v>201</v>
      </c>
      <c r="J285">
        <v>879</v>
      </c>
      <c r="K285">
        <v>795</v>
      </c>
      <c r="L285">
        <v>542</v>
      </c>
      <c r="M285">
        <v>0</v>
      </c>
      <c r="N285">
        <v>5973</v>
      </c>
      <c r="O285">
        <v>5227</v>
      </c>
      <c r="P285">
        <v>5431</v>
      </c>
      <c r="Q285">
        <v>4</v>
      </c>
      <c r="R285">
        <v>8</v>
      </c>
      <c r="S285">
        <v>22</v>
      </c>
      <c r="T285">
        <v>348</v>
      </c>
      <c r="U285">
        <v>5625</v>
      </c>
      <c r="V285" s="498">
        <v>4173</v>
      </c>
      <c r="W285">
        <v>12</v>
      </c>
      <c r="X285" s="498">
        <v>22</v>
      </c>
      <c r="Y285" s="498">
        <v>34</v>
      </c>
      <c r="Z285" s="498">
        <v>90.09</v>
      </c>
      <c r="AA285" s="498">
        <v>89.2</v>
      </c>
      <c r="AB285">
        <v>6.43</v>
      </c>
      <c r="AC285">
        <v>95.62</v>
      </c>
      <c r="AD285">
        <v>3684</v>
      </c>
      <c r="AE285">
        <v>90.69</v>
      </c>
      <c r="AF285">
        <v>83.69</v>
      </c>
      <c r="AG285">
        <v>41.82</v>
      </c>
      <c r="AH285">
        <v>131.82</v>
      </c>
      <c r="AI285">
        <v>896</v>
      </c>
      <c r="AJ285">
        <v>123.03</v>
      </c>
      <c r="AK285">
        <v>473</v>
      </c>
      <c r="AL285">
        <v>111.27</v>
      </c>
      <c r="AM285">
        <v>17</v>
      </c>
      <c r="AN285">
        <v>65.19</v>
      </c>
      <c r="AO285" s="499">
        <v>61.18</v>
      </c>
      <c r="AP285" s="499">
        <v>33.33</v>
      </c>
      <c r="AQ285">
        <v>98.52</v>
      </c>
      <c r="AR285">
        <v>11</v>
      </c>
      <c r="AS285">
        <v>67.180000000000007</v>
      </c>
      <c r="AT285">
        <v>67.260000000000005</v>
      </c>
      <c r="AU285">
        <v>8.84</v>
      </c>
      <c r="AV285">
        <v>76.02</v>
      </c>
      <c r="AW285">
        <v>38</v>
      </c>
      <c r="AX285">
        <v>76.27</v>
      </c>
      <c r="AY285">
        <v>75.22</v>
      </c>
      <c r="AZ285">
        <v>10.88</v>
      </c>
      <c r="BA285">
        <v>86.91</v>
      </c>
      <c r="BB285">
        <v>899</v>
      </c>
      <c r="BC285">
        <v>87.94</v>
      </c>
      <c r="BD285">
        <v>87.03</v>
      </c>
      <c r="BE285">
        <v>7.02</v>
      </c>
      <c r="BF285">
        <v>94.38</v>
      </c>
      <c r="BG285">
        <v>1211</v>
      </c>
      <c r="BH285">
        <v>99.29</v>
      </c>
      <c r="BI285">
        <v>98.62</v>
      </c>
      <c r="BJ285">
        <v>1.95</v>
      </c>
      <c r="BK285">
        <v>100.73</v>
      </c>
      <c r="BL285" s="214">
        <v>1364</v>
      </c>
      <c r="BM285" s="214">
        <v>111.22</v>
      </c>
      <c r="BN285">
        <v>109.41</v>
      </c>
      <c r="BO285" s="187">
        <v>2.89</v>
      </c>
      <c r="BP285" s="214">
        <v>113.54</v>
      </c>
      <c r="BQ285" s="214">
        <v>145</v>
      </c>
      <c r="BR285">
        <v>121.63</v>
      </c>
      <c r="BS285" s="187">
        <v>122.2</v>
      </c>
      <c r="BT285" s="214">
        <v>2.84</v>
      </c>
      <c r="BU285" s="214">
        <v>122.2</v>
      </c>
      <c r="BV285">
        <v>10</v>
      </c>
      <c r="BW285">
        <v>131.38</v>
      </c>
      <c r="BX285" s="214">
        <v>128.08000000000001</v>
      </c>
      <c r="BY285" s="214">
        <v>2.97</v>
      </c>
      <c r="BZ285">
        <v>132.87</v>
      </c>
      <c r="CA285" s="187">
        <v>6</v>
      </c>
      <c r="CB285" s="214">
        <v>90.17</v>
      </c>
      <c r="CC285" s="214">
        <v>89.29</v>
      </c>
      <c r="CD285">
        <v>6.33</v>
      </c>
      <c r="CE285" s="187">
        <v>95.61</v>
      </c>
      <c r="CF285" s="214">
        <v>3673</v>
      </c>
      <c r="CG285" s="214">
        <v>90.09</v>
      </c>
      <c r="CH285">
        <v>89.2</v>
      </c>
      <c r="CI285">
        <v>6.43</v>
      </c>
      <c r="CJ285">
        <v>95.62</v>
      </c>
      <c r="CK285">
        <v>3684</v>
      </c>
      <c r="CL285">
        <v>113.24</v>
      </c>
      <c r="CM285">
        <v>63.25</v>
      </c>
      <c r="CN285" s="187">
        <v>87.96</v>
      </c>
      <c r="CO285">
        <v>189.13</v>
      </c>
      <c r="CP285">
        <v>102</v>
      </c>
      <c r="CQ285">
        <v>74.89</v>
      </c>
      <c r="CR285">
        <v>68.95</v>
      </c>
      <c r="CS285" s="187">
        <v>38.31</v>
      </c>
      <c r="CT285">
        <v>113.2</v>
      </c>
      <c r="CU285">
        <v>16</v>
      </c>
      <c r="CV285">
        <v>85.55</v>
      </c>
      <c r="CW285">
        <v>81.510000000000005</v>
      </c>
      <c r="CX285" s="187">
        <v>36.46</v>
      </c>
      <c r="CY285">
        <v>122.01</v>
      </c>
      <c r="CZ285">
        <v>618</v>
      </c>
      <c r="DA285">
        <v>97.28</v>
      </c>
      <c r="DB285">
        <v>99.52</v>
      </c>
      <c r="DC285" s="187">
        <v>35.909999999999997</v>
      </c>
      <c r="DD285">
        <v>133.19</v>
      </c>
      <c r="DE285">
        <v>154</v>
      </c>
      <c r="DF285">
        <v>109.51</v>
      </c>
      <c r="DG285">
        <v>109.51</v>
      </c>
      <c r="DH285" s="187">
        <v>85.26</v>
      </c>
      <c r="DI285">
        <v>194.77</v>
      </c>
      <c r="DJ285">
        <v>5</v>
      </c>
      <c r="DK285">
        <v>115.07</v>
      </c>
      <c r="DL285">
        <v>115.07</v>
      </c>
      <c r="DM285" s="187">
        <v>0</v>
      </c>
      <c r="DN285">
        <v>115.07</v>
      </c>
      <c r="DO285">
        <v>1</v>
      </c>
      <c r="DP285">
        <v>87.8</v>
      </c>
      <c r="DQ285">
        <v>85.03</v>
      </c>
      <c r="DR285" s="187">
        <v>36.700000000000003</v>
      </c>
      <c r="DS285">
        <v>124.45</v>
      </c>
      <c r="DT285">
        <v>794</v>
      </c>
      <c r="DU285">
        <v>90.69</v>
      </c>
      <c r="DV285">
        <v>83.69</v>
      </c>
      <c r="DW285" s="187">
        <v>41.82</v>
      </c>
      <c r="DX285">
        <v>131.82</v>
      </c>
      <c r="DY285">
        <v>896</v>
      </c>
      <c r="DZ285">
        <v>0</v>
      </c>
      <c r="EA285">
        <v>0</v>
      </c>
      <c r="EB285" s="187">
        <v>0</v>
      </c>
      <c r="EC285">
        <v>0</v>
      </c>
      <c r="ED285">
        <v>90.12</v>
      </c>
      <c r="EE285">
        <v>25</v>
      </c>
      <c r="EF285">
        <v>115.73</v>
      </c>
      <c r="EG285" s="187">
        <v>330</v>
      </c>
      <c r="EH285">
        <v>143.91</v>
      </c>
      <c r="EI285">
        <v>97</v>
      </c>
      <c r="EJ285">
        <v>177.36</v>
      </c>
      <c r="EK285">
        <v>13</v>
      </c>
      <c r="EL285" s="187">
        <v>185.71</v>
      </c>
      <c r="EM285">
        <v>8</v>
      </c>
      <c r="EN285">
        <v>0</v>
      </c>
      <c r="EO285">
        <v>0</v>
      </c>
      <c r="EP285">
        <v>123.03</v>
      </c>
      <c r="EQ285" s="187">
        <v>473</v>
      </c>
      <c r="ER285">
        <v>123.03</v>
      </c>
      <c r="ES285">
        <v>473</v>
      </c>
      <c r="ET285">
        <v>64</v>
      </c>
      <c r="EU285">
        <v>4</v>
      </c>
      <c r="EV285" s="187">
        <v>0</v>
      </c>
      <c r="EW285">
        <v>0</v>
      </c>
      <c r="EX285">
        <v>102.02</v>
      </c>
      <c r="EY285">
        <v>10</v>
      </c>
      <c r="EZ285">
        <v>205.12</v>
      </c>
      <c r="FA285" s="187">
        <v>3</v>
      </c>
      <c r="FB285">
        <v>0</v>
      </c>
      <c r="FC285">
        <v>0</v>
      </c>
      <c r="FD285">
        <v>0</v>
      </c>
      <c r="FE285">
        <v>0</v>
      </c>
      <c r="FF285" s="187">
        <v>125.81</v>
      </c>
      <c r="FG285">
        <v>13</v>
      </c>
      <c r="FH285">
        <v>111.27</v>
      </c>
      <c r="FI285">
        <v>17</v>
      </c>
      <c r="FJ285">
        <v>0</v>
      </c>
      <c r="FK285" s="187">
        <v>5</v>
      </c>
      <c r="FL285">
        <v>20</v>
      </c>
      <c r="FM285">
        <v>2</v>
      </c>
      <c r="FN285">
        <v>14</v>
      </c>
    </row>
    <row r="286" spans="1:170" x14ac:dyDescent="0.35">
      <c r="A286" t="s">
        <v>958</v>
      </c>
      <c r="B286" t="s">
        <v>959</v>
      </c>
      <c r="C286" t="s">
        <v>419</v>
      </c>
      <c r="D286">
        <v>2422</v>
      </c>
      <c r="E286">
        <v>2408</v>
      </c>
      <c r="F286">
        <v>0</v>
      </c>
      <c r="G286">
        <v>0</v>
      </c>
      <c r="H286">
        <v>32</v>
      </c>
      <c r="I286">
        <v>20</v>
      </c>
      <c r="J286">
        <v>386</v>
      </c>
      <c r="K286">
        <v>365</v>
      </c>
      <c r="L286">
        <v>203</v>
      </c>
      <c r="M286">
        <v>21</v>
      </c>
      <c r="N286">
        <v>3043</v>
      </c>
      <c r="O286">
        <v>2814</v>
      </c>
      <c r="P286">
        <v>2840</v>
      </c>
      <c r="Q286">
        <v>0</v>
      </c>
      <c r="R286">
        <v>7</v>
      </c>
      <c r="S286">
        <v>13</v>
      </c>
      <c r="T286">
        <v>49</v>
      </c>
      <c r="U286">
        <v>2994</v>
      </c>
      <c r="V286" s="498">
        <v>2406</v>
      </c>
      <c r="W286">
        <v>2</v>
      </c>
      <c r="X286" s="498">
        <v>2</v>
      </c>
      <c r="Y286" s="498">
        <v>4</v>
      </c>
      <c r="Z286" s="498">
        <v>85.58</v>
      </c>
      <c r="AA286" s="498">
        <v>84.94</v>
      </c>
      <c r="AB286">
        <v>3.52</v>
      </c>
      <c r="AC286">
        <v>87.75</v>
      </c>
      <c r="AD286">
        <v>2274</v>
      </c>
      <c r="AE286">
        <v>73.77</v>
      </c>
      <c r="AF286">
        <v>71.17</v>
      </c>
      <c r="AG286">
        <v>31.17</v>
      </c>
      <c r="AH286">
        <v>100.86</v>
      </c>
      <c r="AI286">
        <v>344</v>
      </c>
      <c r="AJ286">
        <v>111.82</v>
      </c>
      <c r="AK286">
        <v>144</v>
      </c>
      <c r="AL286">
        <v>213.16</v>
      </c>
      <c r="AM286">
        <v>41</v>
      </c>
      <c r="AN286">
        <v>0</v>
      </c>
      <c r="AO286" s="499">
        <v>0</v>
      </c>
      <c r="AP286" s="499">
        <v>0</v>
      </c>
      <c r="AQ286">
        <v>0</v>
      </c>
      <c r="AR286">
        <v>0</v>
      </c>
      <c r="AS286">
        <v>0</v>
      </c>
      <c r="AT286">
        <v>0</v>
      </c>
      <c r="AU286">
        <v>0</v>
      </c>
      <c r="AV286">
        <v>0</v>
      </c>
      <c r="AW286">
        <v>0</v>
      </c>
      <c r="AX286">
        <v>72.2</v>
      </c>
      <c r="AY286">
        <v>71.28</v>
      </c>
      <c r="AZ286">
        <v>7.38</v>
      </c>
      <c r="BA286">
        <v>78.05</v>
      </c>
      <c r="BB286">
        <v>298</v>
      </c>
      <c r="BC286">
        <v>81.88</v>
      </c>
      <c r="BD286">
        <v>81.27</v>
      </c>
      <c r="BE286">
        <v>3.21</v>
      </c>
      <c r="BF286">
        <v>83.93</v>
      </c>
      <c r="BG286">
        <v>1069</v>
      </c>
      <c r="BH286">
        <v>92.7</v>
      </c>
      <c r="BI286">
        <v>92.3</v>
      </c>
      <c r="BJ286">
        <v>2.09</v>
      </c>
      <c r="BK286">
        <v>93.78</v>
      </c>
      <c r="BL286" s="214">
        <v>815</v>
      </c>
      <c r="BM286" s="214">
        <v>107.4</v>
      </c>
      <c r="BN286">
        <v>105.81</v>
      </c>
      <c r="BO286" s="187">
        <v>1.87</v>
      </c>
      <c r="BP286" s="214">
        <v>108.71</v>
      </c>
      <c r="BQ286" s="214">
        <v>88</v>
      </c>
      <c r="BR286">
        <v>122.68</v>
      </c>
      <c r="BS286" s="187">
        <v>119.34</v>
      </c>
      <c r="BT286" s="214">
        <v>1.48</v>
      </c>
      <c r="BU286" s="214">
        <v>124.16</v>
      </c>
      <c r="BV286">
        <v>2</v>
      </c>
      <c r="BW286">
        <v>152.06</v>
      </c>
      <c r="BX286" s="214">
        <v>127.06</v>
      </c>
      <c r="BY286" s="214">
        <v>2.91</v>
      </c>
      <c r="BZ286">
        <v>153.52000000000001</v>
      </c>
      <c r="CA286" s="187">
        <v>2</v>
      </c>
      <c r="CB286" s="214">
        <v>85.58</v>
      </c>
      <c r="CC286" s="214">
        <v>84.94</v>
      </c>
      <c r="CD286">
        <v>3.52</v>
      </c>
      <c r="CE286" s="187">
        <v>87.75</v>
      </c>
      <c r="CF286" s="214">
        <v>2274</v>
      </c>
      <c r="CG286" s="214">
        <v>85.58</v>
      </c>
      <c r="CH286">
        <v>84.94</v>
      </c>
      <c r="CI286">
        <v>3.52</v>
      </c>
      <c r="CJ286">
        <v>87.75</v>
      </c>
      <c r="CK286">
        <v>2274</v>
      </c>
      <c r="CL286">
        <v>95.31</v>
      </c>
      <c r="CM286">
        <v>65.05</v>
      </c>
      <c r="CN286" s="187">
        <v>89.32</v>
      </c>
      <c r="CO286">
        <v>184.62</v>
      </c>
      <c r="CP286">
        <v>17</v>
      </c>
      <c r="CQ286">
        <v>0</v>
      </c>
      <c r="CR286">
        <v>0</v>
      </c>
      <c r="CS286" s="187">
        <v>0</v>
      </c>
      <c r="CT286">
        <v>0</v>
      </c>
      <c r="CU286">
        <v>0</v>
      </c>
      <c r="CV286">
        <v>70.98</v>
      </c>
      <c r="CW286">
        <v>69.89</v>
      </c>
      <c r="CX286" s="187">
        <v>28.24</v>
      </c>
      <c r="CY286">
        <v>95.45</v>
      </c>
      <c r="CZ286">
        <v>284</v>
      </c>
      <c r="DA286">
        <v>83.63</v>
      </c>
      <c r="DB286">
        <v>81.06</v>
      </c>
      <c r="DC286" s="187">
        <v>23.72</v>
      </c>
      <c r="DD286">
        <v>103.48</v>
      </c>
      <c r="DE286">
        <v>43</v>
      </c>
      <c r="DF286">
        <v>0</v>
      </c>
      <c r="DG286">
        <v>0</v>
      </c>
      <c r="DH286" s="187">
        <v>0</v>
      </c>
      <c r="DI286">
        <v>0</v>
      </c>
      <c r="DJ286">
        <v>0</v>
      </c>
      <c r="DK286">
        <v>0</v>
      </c>
      <c r="DL286">
        <v>0</v>
      </c>
      <c r="DM286" s="187">
        <v>0</v>
      </c>
      <c r="DN286">
        <v>0</v>
      </c>
      <c r="DO286">
        <v>0</v>
      </c>
      <c r="DP286">
        <v>72.650000000000006</v>
      </c>
      <c r="DQ286">
        <v>71.36</v>
      </c>
      <c r="DR286" s="187">
        <v>27.67</v>
      </c>
      <c r="DS286">
        <v>96.51</v>
      </c>
      <c r="DT286">
        <v>327</v>
      </c>
      <c r="DU286">
        <v>73.77</v>
      </c>
      <c r="DV286">
        <v>71.17</v>
      </c>
      <c r="DW286" s="187">
        <v>31.17</v>
      </c>
      <c r="DX286">
        <v>100.86</v>
      </c>
      <c r="DY286">
        <v>344</v>
      </c>
      <c r="DZ286">
        <v>0</v>
      </c>
      <c r="EA286">
        <v>0</v>
      </c>
      <c r="EB286" s="187">
        <v>0</v>
      </c>
      <c r="EC286">
        <v>0</v>
      </c>
      <c r="ED286">
        <v>93.87</v>
      </c>
      <c r="EE286">
        <v>25</v>
      </c>
      <c r="EF286">
        <v>108.63</v>
      </c>
      <c r="EG286" s="187">
        <v>90</v>
      </c>
      <c r="EH286">
        <v>135.97</v>
      </c>
      <c r="EI286">
        <v>27</v>
      </c>
      <c r="EJ286">
        <v>153.66999999999999</v>
      </c>
      <c r="EK286">
        <v>2</v>
      </c>
      <c r="EL286" s="187">
        <v>0</v>
      </c>
      <c r="EM286">
        <v>0</v>
      </c>
      <c r="EN286">
        <v>0</v>
      </c>
      <c r="EO286">
        <v>0</v>
      </c>
      <c r="EP286">
        <v>111.82</v>
      </c>
      <c r="EQ286" s="187">
        <v>144</v>
      </c>
      <c r="ER286">
        <v>111.82</v>
      </c>
      <c r="ES286">
        <v>144</v>
      </c>
      <c r="ET286">
        <v>0</v>
      </c>
      <c r="EU286">
        <v>0</v>
      </c>
      <c r="EV286" s="187">
        <v>0</v>
      </c>
      <c r="EW286">
        <v>0</v>
      </c>
      <c r="EX286">
        <v>211.34</v>
      </c>
      <c r="EY286">
        <v>35</v>
      </c>
      <c r="EZ286">
        <v>223.75</v>
      </c>
      <c r="FA286" s="187">
        <v>6</v>
      </c>
      <c r="FB286">
        <v>0</v>
      </c>
      <c r="FC286">
        <v>0</v>
      </c>
      <c r="FD286">
        <v>0</v>
      </c>
      <c r="FE286">
        <v>0</v>
      </c>
      <c r="FF286" s="187">
        <v>213.16</v>
      </c>
      <c r="FG286">
        <v>41</v>
      </c>
      <c r="FH286">
        <v>213.16</v>
      </c>
      <c r="FI286">
        <v>41</v>
      </c>
      <c r="FJ286">
        <v>0</v>
      </c>
      <c r="FK286" s="187">
        <v>5</v>
      </c>
      <c r="FL286">
        <v>2</v>
      </c>
      <c r="FM286">
        <v>11</v>
      </c>
      <c r="FN286">
        <v>8</v>
      </c>
    </row>
    <row r="287" spans="1:170" x14ac:dyDescent="0.35">
      <c r="A287" t="s">
        <v>960</v>
      </c>
      <c r="B287" t="s">
        <v>961</v>
      </c>
      <c r="C287" t="s">
        <v>416</v>
      </c>
      <c r="D287">
        <v>30278</v>
      </c>
      <c r="E287">
        <v>28443</v>
      </c>
      <c r="F287">
        <v>86</v>
      </c>
      <c r="G287">
        <v>6</v>
      </c>
      <c r="H287">
        <v>1466</v>
      </c>
      <c r="I287">
        <v>793</v>
      </c>
      <c r="J287">
        <v>904</v>
      </c>
      <c r="K287">
        <v>856</v>
      </c>
      <c r="L287">
        <v>3754</v>
      </c>
      <c r="M287">
        <v>139</v>
      </c>
      <c r="N287">
        <v>36488</v>
      </c>
      <c r="O287">
        <v>30237</v>
      </c>
      <c r="P287">
        <v>32734</v>
      </c>
      <c r="Q287">
        <v>312</v>
      </c>
      <c r="R287">
        <v>16</v>
      </c>
      <c r="S287">
        <v>33</v>
      </c>
      <c r="T287">
        <v>1635</v>
      </c>
      <c r="U287">
        <v>34853</v>
      </c>
      <c r="V287" s="498">
        <v>29111</v>
      </c>
      <c r="W287">
        <v>230</v>
      </c>
      <c r="X287" s="498">
        <v>399</v>
      </c>
      <c r="Y287" s="498">
        <v>629</v>
      </c>
      <c r="Z287" s="498">
        <v>128.69999999999999</v>
      </c>
      <c r="AA287" s="498">
        <v>132.58000000000001</v>
      </c>
      <c r="AB287">
        <v>18.36</v>
      </c>
      <c r="AC287">
        <v>145.54</v>
      </c>
      <c r="AD287">
        <v>25372</v>
      </c>
      <c r="AE287">
        <v>117.91</v>
      </c>
      <c r="AF287">
        <v>112.18</v>
      </c>
      <c r="AG287">
        <v>77.56</v>
      </c>
      <c r="AH287">
        <v>194.27</v>
      </c>
      <c r="AI287">
        <v>1819</v>
      </c>
      <c r="AJ287">
        <v>221.81</v>
      </c>
      <c r="AK287">
        <v>3174</v>
      </c>
      <c r="AL287">
        <v>233.91</v>
      </c>
      <c r="AM287">
        <v>214</v>
      </c>
      <c r="AN287">
        <v>102.1</v>
      </c>
      <c r="AO287" s="499">
        <v>90.34</v>
      </c>
      <c r="AP287" s="499">
        <v>8.85</v>
      </c>
      <c r="AQ287">
        <v>110.46</v>
      </c>
      <c r="AR287">
        <v>18</v>
      </c>
      <c r="AS287">
        <v>90.76</v>
      </c>
      <c r="AT287">
        <v>89.45</v>
      </c>
      <c r="AU287">
        <v>11.28</v>
      </c>
      <c r="AV287">
        <v>100.65</v>
      </c>
      <c r="AW287">
        <v>325</v>
      </c>
      <c r="AX287">
        <v>110.28</v>
      </c>
      <c r="AY287">
        <v>111.77</v>
      </c>
      <c r="AZ287">
        <v>16.37</v>
      </c>
      <c r="BA287">
        <v>125.99</v>
      </c>
      <c r="BB287">
        <v>6281</v>
      </c>
      <c r="BC287">
        <v>124.73</v>
      </c>
      <c r="BD287">
        <v>127.68</v>
      </c>
      <c r="BE287">
        <v>18.54</v>
      </c>
      <c r="BF287">
        <v>142.22</v>
      </c>
      <c r="BG287">
        <v>9233</v>
      </c>
      <c r="BH287">
        <v>140.88</v>
      </c>
      <c r="BI287">
        <v>145.57</v>
      </c>
      <c r="BJ287">
        <v>19.79</v>
      </c>
      <c r="BK287">
        <v>158.41</v>
      </c>
      <c r="BL287" s="214">
        <v>6689</v>
      </c>
      <c r="BM287" s="214">
        <v>154.85</v>
      </c>
      <c r="BN287">
        <v>164.11</v>
      </c>
      <c r="BO287" s="187">
        <v>21.22</v>
      </c>
      <c r="BP287" s="214">
        <v>172.38</v>
      </c>
      <c r="BQ287" s="214">
        <v>2061</v>
      </c>
      <c r="BR287">
        <v>165.67</v>
      </c>
      <c r="BS287" s="187">
        <v>181.07</v>
      </c>
      <c r="BT287" s="214">
        <v>19.36</v>
      </c>
      <c r="BU287" s="214">
        <v>180.93</v>
      </c>
      <c r="BV287">
        <v>580</v>
      </c>
      <c r="BW287">
        <v>173.85</v>
      </c>
      <c r="BX287" s="214">
        <v>189.69</v>
      </c>
      <c r="BY287" s="214">
        <v>10.11</v>
      </c>
      <c r="BZ287">
        <v>181.88</v>
      </c>
      <c r="CA287" s="187">
        <v>185</v>
      </c>
      <c r="CB287" s="214">
        <v>128.72</v>
      </c>
      <c r="CC287" s="214">
        <v>132.61000000000001</v>
      </c>
      <c r="CD287">
        <v>18.36</v>
      </c>
      <c r="CE287" s="187">
        <v>145.56</v>
      </c>
      <c r="CF287" s="214">
        <v>25354</v>
      </c>
      <c r="CG287" s="214">
        <v>128.69999999999999</v>
      </c>
      <c r="CH287">
        <v>132.58000000000001</v>
      </c>
      <c r="CI287">
        <v>18.36</v>
      </c>
      <c r="CJ287">
        <v>145.54</v>
      </c>
      <c r="CK287">
        <v>25372</v>
      </c>
      <c r="CL287">
        <v>102.56</v>
      </c>
      <c r="CM287">
        <v>95.39</v>
      </c>
      <c r="CN287" s="187">
        <v>129.76</v>
      </c>
      <c r="CO287">
        <v>226</v>
      </c>
      <c r="CP287">
        <v>226</v>
      </c>
      <c r="CQ287">
        <v>106.32</v>
      </c>
      <c r="CR287">
        <v>95.07</v>
      </c>
      <c r="CS287" s="187">
        <v>107.43</v>
      </c>
      <c r="CT287">
        <v>212.12</v>
      </c>
      <c r="CU287">
        <v>66</v>
      </c>
      <c r="CV287">
        <v>119.05</v>
      </c>
      <c r="CW287">
        <v>114.69</v>
      </c>
      <c r="CX287" s="187">
        <v>69.67</v>
      </c>
      <c r="CY287">
        <v>188.43</v>
      </c>
      <c r="CZ287">
        <v>1449</v>
      </c>
      <c r="DA287">
        <v>150.63999999999999</v>
      </c>
      <c r="DB287">
        <v>131.88999999999999</v>
      </c>
      <c r="DC287" s="187">
        <v>53.39</v>
      </c>
      <c r="DD287">
        <v>198.61</v>
      </c>
      <c r="DE287">
        <v>69</v>
      </c>
      <c r="DF287">
        <v>148.58000000000001</v>
      </c>
      <c r="DG287">
        <v>151.15</v>
      </c>
      <c r="DH287" s="187">
        <v>44.64</v>
      </c>
      <c r="DI287">
        <v>170.9</v>
      </c>
      <c r="DJ287">
        <v>4</v>
      </c>
      <c r="DK287">
        <v>155.97999999999999</v>
      </c>
      <c r="DL287">
        <v>157.61000000000001</v>
      </c>
      <c r="DM287" s="187">
        <v>23.1</v>
      </c>
      <c r="DN287">
        <v>174.46</v>
      </c>
      <c r="DO287">
        <v>5</v>
      </c>
      <c r="DP287">
        <v>120.08</v>
      </c>
      <c r="DQ287">
        <v>114.81</v>
      </c>
      <c r="DR287" s="187">
        <v>70.44</v>
      </c>
      <c r="DS287">
        <v>189.77</v>
      </c>
      <c r="DT287">
        <v>1593</v>
      </c>
      <c r="DU287">
        <v>117.91</v>
      </c>
      <c r="DV287">
        <v>112.18</v>
      </c>
      <c r="DW287" s="187">
        <v>77.56</v>
      </c>
      <c r="DX287">
        <v>194.27</v>
      </c>
      <c r="DY287">
        <v>1819</v>
      </c>
      <c r="DZ287">
        <v>162.76</v>
      </c>
      <c r="EA287">
        <v>2</v>
      </c>
      <c r="EB287" s="187">
        <v>158.83000000000001</v>
      </c>
      <c r="EC287">
        <v>12</v>
      </c>
      <c r="ED287">
        <v>198.4</v>
      </c>
      <c r="EE287">
        <v>1048</v>
      </c>
      <c r="EF287">
        <v>223.79</v>
      </c>
      <c r="EG287" s="187">
        <v>1097</v>
      </c>
      <c r="EH287">
        <v>243.9</v>
      </c>
      <c r="EI287">
        <v>779</v>
      </c>
      <c r="EJ287">
        <v>248.46</v>
      </c>
      <c r="EK287">
        <v>205</v>
      </c>
      <c r="EL287" s="187">
        <v>240.44</v>
      </c>
      <c r="EM287">
        <v>31</v>
      </c>
      <c r="EN287">
        <v>0</v>
      </c>
      <c r="EO287">
        <v>0</v>
      </c>
      <c r="EP287">
        <v>221.85</v>
      </c>
      <c r="EQ287" s="187">
        <v>3172</v>
      </c>
      <c r="ER287">
        <v>221.81</v>
      </c>
      <c r="ES287">
        <v>3174</v>
      </c>
      <c r="ET287">
        <v>0</v>
      </c>
      <c r="EU287">
        <v>0</v>
      </c>
      <c r="EV287" s="187">
        <v>245.02</v>
      </c>
      <c r="EW287">
        <v>98</v>
      </c>
      <c r="EX287">
        <v>225.23</v>
      </c>
      <c r="EY287">
        <v>113</v>
      </c>
      <c r="EZ287">
        <v>197.89</v>
      </c>
      <c r="FA287" s="187">
        <v>3</v>
      </c>
      <c r="FB287">
        <v>0</v>
      </c>
      <c r="FC287">
        <v>0</v>
      </c>
      <c r="FD287">
        <v>0</v>
      </c>
      <c r="FE287">
        <v>0</v>
      </c>
      <c r="FF287" s="187">
        <v>233.91</v>
      </c>
      <c r="FG287">
        <v>214</v>
      </c>
      <c r="FH287">
        <v>233.91</v>
      </c>
      <c r="FI287">
        <v>214</v>
      </c>
      <c r="FJ287">
        <v>32</v>
      </c>
      <c r="FK287" s="187">
        <v>10</v>
      </c>
      <c r="FL287">
        <v>111</v>
      </c>
      <c r="FM287">
        <v>324</v>
      </c>
      <c r="FN287">
        <v>124</v>
      </c>
    </row>
    <row r="288" spans="1:170" x14ac:dyDescent="0.35">
      <c r="A288" t="s">
        <v>962</v>
      </c>
      <c r="B288" t="s">
        <v>963</v>
      </c>
      <c r="C288" t="s">
        <v>418</v>
      </c>
      <c r="D288">
        <v>11814</v>
      </c>
      <c r="E288">
        <v>11716</v>
      </c>
      <c r="F288">
        <v>0</v>
      </c>
      <c r="G288">
        <v>0</v>
      </c>
      <c r="H288">
        <v>504</v>
      </c>
      <c r="I288">
        <v>414</v>
      </c>
      <c r="J288">
        <v>3251</v>
      </c>
      <c r="K288">
        <v>3251</v>
      </c>
      <c r="L288">
        <v>600</v>
      </c>
      <c r="M288">
        <v>8</v>
      </c>
      <c r="N288">
        <v>16169</v>
      </c>
      <c r="O288">
        <v>15389</v>
      </c>
      <c r="P288">
        <v>15569</v>
      </c>
      <c r="Q288">
        <v>0</v>
      </c>
      <c r="R288">
        <v>7</v>
      </c>
      <c r="S288">
        <v>27</v>
      </c>
      <c r="T288">
        <v>119</v>
      </c>
      <c r="U288">
        <v>16050</v>
      </c>
      <c r="V288" s="498">
        <v>11763</v>
      </c>
      <c r="W288">
        <v>62</v>
      </c>
      <c r="X288" s="498">
        <v>121</v>
      </c>
      <c r="Y288" s="498">
        <v>183</v>
      </c>
      <c r="Z288" s="498">
        <v>90.1</v>
      </c>
      <c r="AA288" s="498">
        <v>89.96</v>
      </c>
      <c r="AB288">
        <v>5.35</v>
      </c>
      <c r="AC288">
        <v>94.08</v>
      </c>
      <c r="AD288">
        <v>9805</v>
      </c>
      <c r="AE288">
        <v>92.49</v>
      </c>
      <c r="AF288">
        <v>88.19</v>
      </c>
      <c r="AG288">
        <v>27.82</v>
      </c>
      <c r="AH288">
        <v>120.25</v>
      </c>
      <c r="AI288">
        <v>3570</v>
      </c>
      <c r="AJ288">
        <v>124.47</v>
      </c>
      <c r="AK288">
        <v>1901</v>
      </c>
      <c r="AL288">
        <v>168.91</v>
      </c>
      <c r="AM288">
        <v>117</v>
      </c>
      <c r="AN288">
        <v>0</v>
      </c>
      <c r="AO288" s="499">
        <v>0</v>
      </c>
      <c r="AP288" s="499">
        <v>0</v>
      </c>
      <c r="AQ288">
        <v>0</v>
      </c>
      <c r="AR288">
        <v>0</v>
      </c>
      <c r="AS288">
        <v>64.010000000000005</v>
      </c>
      <c r="AT288">
        <v>63.33</v>
      </c>
      <c r="AU288">
        <v>12.13</v>
      </c>
      <c r="AV288">
        <v>73.930000000000007</v>
      </c>
      <c r="AW288">
        <v>33</v>
      </c>
      <c r="AX288">
        <v>77.45</v>
      </c>
      <c r="AY288">
        <v>76.06</v>
      </c>
      <c r="AZ288">
        <v>7.98</v>
      </c>
      <c r="BA288">
        <v>85.14</v>
      </c>
      <c r="BB288">
        <v>2070</v>
      </c>
      <c r="BC288">
        <v>87.69</v>
      </c>
      <c r="BD288">
        <v>87.34</v>
      </c>
      <c r="BE288">
        <v>6.73</v>
      </c>
      <c r="BF288">
        <v>93.2</v>
      </c>
      <c r="BG288">
        <v>3764</v>
      </c>
      <c r="BH288">
        <v>98.57</v>
      </c>
      <c r="BI288">
        <v>99.42</v>
      </c>
      <c r="BJ288">
        <v>0.93</v>
      </c>
      <c r="BK288">
        <v>99.09</v>
      </c>
      <c r="BL288" s="214">
        <v>3568</v>
      </c>
      <c r="BM288" s="214">
        <v>104.07</v>
      </c>
      <c r="BN288">
        <v>103.35</v>
      </c>
      <c r="BO288" s="187">
        <v>1.01</v>
      </c>
      <c r="BP288" s="214">
        <v>104.72</v>
      </c>
      <c r="BQ288" s="214">
        <v>295</v>
      </c>
      <c r="BR288">
        <v>111.98</v>
      </c>
      <c r="BS288" s="187">
        <v>112.12</v>
      </c>
      <c r="BT288" s="214">
        <v>0.88</v>
      </c>
      <c r="BU288" s="214">
        <v>112.03</v>
      </c>
      <c r="BV288">
        <v>53</v>
      </c>
      <c r="BW288">
        <v>117.84</v>
      </c>
      <c r="BX288" s="214">
        <v>118.15</v>
      </c>
      <c r="BY288" s="214">
        <v>1.27</v>
      </c>
      <c r="BZ288">
        <v>118.59</v>
      </c>
      <c r="CA288" s="187">
        <v>22</v>
      </c>
      <c r="CB288" s="214">
        <v>90.1</v>
      </c>
      <c r="CC288" s="214">
        <v>89.96</v>
      </c>
      <c r="CD288">
        <v>5.35</v>
      </c>
      <c r="CE288" s="187">
        <v>94.08</v>
      </c>
      <c r="CF288" s="214">
        <v>9805</v>
      </c>
      <c r="CG288" s="214">
        <v>90.1</v>
      </c>
      <c r="CH288">
        <v>89.96</v>
      </c>
      <c r="CI288">
        <v>5.35</v>
      </c>
      <c r="CJ288">
        <v>94.08</v>
      </c>
      <c r="CK288">
        <v>9805</v>
      </c>
      <c r="CL288">
        <v>152.62</v>
      </c>
      <c r="CM288">
        <v>82.14</v>
      </c>
      <c r="CN288" s="187">
        <v>68.98</v>
      </c>
      <c r="CO288">
        <v>220.79</v>
      </c>
      <c r="CP288">
        <v>169</v>
      </c>
      <c r="CQ288">
        <v>70.97</v>
      </c>
      <c r="CR288">
        <v>67.08</v>
      </c>
      <c r="CS288" s="187">
        <v>45.78</v>
      </c>
      <c r="CT288">
        <v>116.49</v>
      </c>
      <c r="CU288">
        <v>171</v>
      </c>
      <c r="CV288">
        <v>88.54</v>
      </c>
      <c r="CW288">
        <v>87.15</v>
      </c>
      <c r="CX288" s="187">
        <v>25.9</v>
      </c>
      <c r="CY288">
        <v>114.4</v>
      </c>
      <c r="CZ288">
        <v>2649</v>
      </c>
      <c r="DA288">
        <v>98.23</v>
      </c>
      <c r="DB288">
        <v>99.58</v>
      </c>
      <c r="DC288" s="187">
        <v>18.96</v>
      </c>
      <c r="DD288">
        <v>117.16</v>
      </c>
      <c r="DE288">
        <v>564</v>
      </c>
      <c r="DF288">
        <v>136.22</v>
      </c>
      <c r="DG288">
        <v>104.42</v>
      </c>
      <c r="DH288" s="187">
        <v>35.9</v>
      </c>
      <c r="DI288">
        <v>172.11</v>
      </c>
      <c r="DJ288">
        <v>17</v>
      </c>
      <c r="DK288">
        <v>0</v>
      </c>
      <c r="DL288">
        <v>0</v>
      </c>
      <c r="DM288" s="187">
        <v>0</v>
      </c>
      <c r="DN288">
        <v>0</v>
      </c>
      <c r="DO288">
        <v>0</v>
      </c>
      <c r="DP288">
        <v>89.5</v>
      </c>
      <c r="DQ288">
        <v>88.28</v>
      </c>
      <c r="DR288" s="187">
        <v>25.79</v>
      </c>
      <c r="DS288">
        <v>115.25</v>
      </c>
      <c r="DT288">
        <v>3401</v>
      </c>
      <c r="DU288">
        <v>92.49</v>
      </c>
      <c r="DV288">
        <v>88.19</v>
      </c>
      <c r="DW288" s="187">
        <v>27.82</v>
      </c>
      <c r="DX288">
        <v>120.25</v>
      </c>
      <c r="DY288">
        <v>3570</v>
      </c>
      <c r="DZ288">
        <v>0</v>
      </c>
      <c r="EA288">
        <v>0</v>
      </c>
      <c r="EB288" s="187">
        <v>0</v>
      </c>
      <c r="EC288">
        <v>0</v>
      </c>
      <c r="ED288">
        <v>104.03</v>
      </c>
      <c r="EE288">
        <v>304</v>
      </c>
      <c r="EF288">
        <v>121.33</v>
      </c>
      <c r="EG288" s="187">
        <v>933</v>
      </c>
      <c r="EH288">
        <v>137.37</v>
      </c>
      <c r="EI288">
        <v>622</v>
      </c>
      <c r="EJ288">
        <v>149.86000000000001</v>
      </c>
      <c r="EK288">
        <v>34</v>
      </c>
      <c r="EL288" s="187">
        <v>156.36000000000001</v>
      </c>
      <c r="EM288">
        <v>8</v>
      </c>
      <c r="EN288">
        <v>0</v>
      </c>
      <c r="EO288">
        <v>0</v>
      </c>
      <c r="EP288">
        <v>124.47</v>
      </c>
      <c r="EQ288" s="187">
        <v>1901</v>
      </c>
      <c r="ER288">
        <v>124.47</v>
      </c>
      <c r="ES288">
        <v>1901</v>
      </c>
      <c r="ET288">
        <v>0</v>
      </c>
      <c r="EU288">
        <v>0</v>
      </c>
      <c r="EV288" s="187">
        <v>0</v>
      </c>
      <c r="EW288">
        <v>0</v>
      </c>
      <c r="EX288">
        <v>147.1</v>
      </c>
      <c r="EY288">
        <v>30</v>
      </c>
      <c r="EZ288">
        <v>176.43</v>
      </c>
      <c r="FA288" s="187">
        <v>87</v>
      </c>
      <c r="FB288">
        <v>0</v>
      </c>
      <c r="FC288">
        <v>0</v>
      </c>
      <c r="FD288">
        <v>0</v>
      </c>
      <c r="FE288">
        <v>0</v>
      </c>
      <c r="FF288" s="187">
        <v>168.91</v>
      </c>
      <c r="FG288">
        <v>117</v>
      </c>
      <c r="FH288">
        <v>168.91</v>
      </c>
      <c r="FI288">
        <v>117</v>
      </c>
      <c r="FJ288">
        <v>0</v>
      </c>
      <c r="FK288" s="187">
        <v>28</v>
      </c>
      <c r="FL288">
        <v>5</v>
      </c>
      <c r="FM288">
        <v>24</v>
      </c>
      <c r="FN288">
        <v>22</v>
      </c>
    </row>
    <row r="289" spans="1:170" x14ac:dyDescent="0.35">
      <c r="A289" t="s">
        <v>964</v>
      </c>
      <c r="B289" t="s">
        <v>965</v>
      </c>
      <c r="C289" t="s">
        <v>2</v>
      </c>
      <c r="D289">
        <v>6416</v>
      </c>
      <c r="E289">
        <v>6257</v>
      </c>
      <c r="F289">
        <v>0</v>
      </c>
      <c r="G289">
        <v>0</v>
      </c>
      <c r="H289">
        <v>178</v>
      </c>
      <c r="I289">
        <v>132</v>
      </c>
      <c r="J289">
        <v>789</v>
      </c>
      <c r="K289">
        <v>679</v>
      </c>
      <c r="L289">
        <v>556</v>
      </c>
      <c r="M289">
        <v>12</v>
      </c>
      <c r="N289">
        <v>7939</v>
      </c>
      <c r="O289">
        <v>7080</v>
      </c>
      <c r="P289">
        <v>7383</v>
      </c>
      <c r="Q289">
        <v>6</v>
      </c>
      <c r="R289">
        <v>11</v>
      </c>
      <c r="S289">
        <v>23</v>
      </c>
      <c r="T289">
        <v>321</v>
      </c>
      <c r="U289">
        <v>7618</v>
      </c>
      <c r="V289" s="498">
        <v>6251</v>
      </c>
      <c r="W289">
        <v>62</v>
      </c>
      <c r="X289" s="498">
        <v>61</v>
      </c>
      <c r="Y289" s="498">
        <v>123</v>
      </c>
      <c r="Z289" s="498">
        <v>113.43</v>
      </c>
      <c r="AA289" s="498">
        <v>108.44</v>
      </c>
      <c r="AB289">
        <v>4.54</v>
      </c>
      <c r="AC289">
        <v>117.2</v>
      </c>
      <c r="AD289">
        <v>5452</v>
      </c>
      <c r="AE289">
        <v>104.89</v>
      </c>
      <c r="AF289">
        <v>87.87</v>
      </c>
      <c r="AG289">
        <v>35.54</v>
      </c>
      <c r="AH289">
        <v>138.91999999999999</v>
      </c>
      <c r="AI289">
        <v>682</v>
      </c>
      <c r="AJ289">
        <v>164.15</v>
      </c>
      <c r="AK289">
        <v>743</v>
      </c>
      <c r="AL289">
        <v>135.49</v>
      </c>
      <c r="AM289">
        <v>131</v>
      </c>
      <c r="AN289">
        <v>0</v>
      </c>
      <c r="AO289" s="499">
        <v>0</v>
      </c>
      <c r="AP289" s="499">
        <v>0</v>
      </c>
      <c r="AQ289">
        <v>0</v>
      </c>
      <c r="AR289">
        <v>0</v>
      </c>
      <c r="AS289">
        <v>79.63</v>
      </c>
      <c r="AT289">
        <v>76.150000000000006</v>
      </c>
      <c r="AU289">
        <v>8.9499999999999993</v>
      </c>
      <c r="AV289">
        <v>88.58</v>
      </c>
      <c r="AW289">
        <v>122</v>
      </c>
      <c r="AX289">
        <v>94.08</v>
      </c>
      <c r="AY289">
        <v>89.83</v>
      </c>
      <c r="AZ289">
        <v>6.86</v>
      </c>
      <c r="BA289">
        <v>100.45</v>
      </c>
      <c r="BB289">
        <v>1311</v>
      </c>
      <c r="BC289">
        <v>111.41</v>
      </c>
      <c r="BD289">
        <v>106.49</v>
      </c>
      <c r="BE289">
        <v>4.68</v>
      </c>
      <c r="BF289">
        <v>115.2</v>
      </c>
      <c r="BG289">
        <v>2020</v>
      </c>
      <c r="BH289">
        <v>129.25</v>
      </c>
      <c r="BI289">
        <v>123.63</v>
      </c>
      <c r="BJ289">
        <v>2.2200000000000002</v>
      </c>
      <c r="BK289">
        <v>130.99</v>
      </c>
      <c r="BL289" s="214">
        <v>1871</v>
      </c>
      <c r="BM289" s="214">
        <v>143.9</v>
      </c>
      <c r="BN289">
        <v>138.19999999999999</v>
      </c>
      <c r="BO289" s="187">
        <v>2.0499999999999998</v>
      </c>
      <c r="BP289" s="214">
        <v>145.12</v>
      </c>
      <c r="BQ289" s="214">
        <v>123</v>
      </c>
      <c r="BR289">
        <v>157.27000000000001</v>
      </c>
      <c r="BS289" s="187">
        <v>150.41999999999999</v>
      </c>
      <c r="BT289" s="214">
        <v>1.53</v>
      </c>
      <c r="BU289" s="214">
        <v>158.04</v>
      </c>
      <c r="BV289">
        <v>4</v>
      </c>
      <c r="BW289">
        <v>174.51</v>
      </c>
      <c r="BX289" s="214">
        <v>166.2</v>
      </c>
      <c r="BY289" s="214">
        <v>4.99</v>
      </c>
      <c r="BZ289">
        <v>179.5</v>
      </c>
      <c r="CA289" s="187">
        <v>1</v>
      </c>
      <c r="CB289" s="214">
        <v>113.43</v>
      </c>
      <c r="CC289" s="214">
        <v>108.44</v>
      </c>
      <c r="CD289">
        <v>4.54</v>
      </c>
      <c r="CE289" s="187">
        <v>117.2</v>
      </c>
      <c r="CF289" s="214">
        <v>5452</v>
      </c>
      <c r="CG289" s="214">
        <v>113.43</v>
      </c>
      <c r="CH289">
        <v>108.44</v>
      </c>
      <c r="CI289">
        <v>4.54</v>
      </c>
      <c r="CJ289">
        <v>117.2</v>
      </c>
      <c r="CK289">
        <v>5452</v>
      </c>
      <c r="CL289">
        <v>94.55</v>
      </c>
      <c r="CM289">
        <v>74.12</v>
      </c>
      <c r="CN289" s="187">
        <v>176.66</v>
      </c>
      <c r="CO289">
        <v>187.88</v>
      </c>
      <c r="CP289">
        <v>53</v>
      </c>
      <c r="CQ289">
        <v>84.41</v>
      </c>
      <c r="CR289">
        <v>77.83</v>
      </c>
      <c r="CS289" s="187">
        <v>30.88</v>
      </c>
      <c r="CT289">
        <v>115.29</v>
      </c>
      <c r="CU289">
        <v>68</v>
      </c>
      <c r="CV289">
        <v>102.55</v>
      </c>
      <c r="CW289">
        <v>87.18</v>
      </c>
      <c r="CX289" s="187">
        <v>28.57</v>
      </c>
      <c r="CY289">
        <v>131</v>
      </c>
      <c r="CZ289">
        <v>480</v>
      </c>
      <c r="DA289">
        <v>145.32</v>
      </c>
      <c r="DB289">
        <v>110.77</v>
      </c>
      <c r="DC289" s="187">
        <v>32.56</v>
      </c>
      <c r="DD289">
        <v>177.42</v>
      </c>
      <c r="DE289">
        <v>71</v>
      </c>
      <c r="DF289">
        <v>124.51</v>
      </c>
      <c r="DG289">
        <v>120.57</v>
      </c>
      <c r="DH289" s="187">
        <v>25.11</v>
      </c>
      <c r="DI289">
        <v>147.12</v>
      </c>
      <c r="DJ289">
        <v>10</v>
      </c>
      <c r="DK289">
        <v>0</v>
      </c>
      <c r="DL289">
        <v>0</v>
      </c>
      <c r="DM289" s="187">
        <v>0</v>
      </c>
      <c r="DN289">
        <v>0</v>
      </c>
      <c r="DO289">
        <v>0</v>
      </c>
      <c r="DP289">
        <v>105.76</v>
      </c>
      <c r="DQ289">
        <v>88.86</v>
      </c>
      <c r="DR289" s="187">
        <v>29.22</v>
      </c>
      <c r="DS289">
        <v>134.80000000000001</v>
      </c>
      <c r="DT289">
        <v>629</v>
      </c>
      <c r="DU289">
        <v>104.89</v>
      </c>
      <c r="DV289">
        <v>87.87</v>
      </c>
      <c r="DW289" s="187">
        <v>35.54</v>
      </c>
      <c r="DX289">
        <v>138.91999999999999</v>
      </c>
      <c r="DY289">
        <v>682</v>
      </c>
      <c r="DZ289">
        <v>0</v>
      </c>
      <c r="EA289">
        <v>0</v>
      </c>
      <c r="EB289" s="187">
        <v>98.03</v>
      </c>
      <c r="EC289">
        <v>1</v>
      </c>
      <c r="ED289">
        <v>131.07</v>
      </c>
      <c r="EE289">
        <v>231</v>
      </c>
      <c r="EF289">
        <v>165.41</v>
      </c>
      <c r="EG289" s="187">
        <v>343</v>
      </c>
      <c r="EH289">
        <v>199.88</v>
      </c>
      <c r="EI289">
        <v>143</v>
      </c>
      <c r="EJ289">
        <v>250.73</v>
      </c>
      <c r="EK289">
        <v>25</v>
      </c>
      <c r="EL289" s="187">
        <v>0</v>
      </c>
      <c r="EM289">
        <v>0</v>
      </c>
      <c r="EN289">
        <v>0</v>
      </c>
      <c r="EO289">
        <v>0</v>
      </c>
      <c r="EP289">
        <v>164.15</v>
      </c>
      <c r="EQ289" s="187">
        <v>743</v>
      </c>
      <c r="ER289">
        <v>164.15</v>
      </c>
      <c r="ES289">
        <v>743</v>
      </c>
      <c r="ET289">
        <v>0</v>
      </c>
      <c r="EU289">
        <v>0</v>
      </c>
      <c r="EV289" s="187">
        <v>0</v>
      </c>
      <c r="EW289">
        <v>0</v>
      </c>
      <c r="EX289">
        <v>126.73</v>
      </c>
      <c r="EY289">
        <v>95</v>
      </c>
      <c r="EZ289">
        <v>158.63</v>
      </c>
      <c r="FA289" s="187">
        <v>36</v>
      </c>
      <c r="FB289">
        <v>0</v>
      </c>
      <c r="FC289">
        <v>0</v>
      </c>
      <c r="FD289">
        <v>0</v>
      </c>
      <c r="FE289">
        <v>0</v>
      </c>
      <c r="FF289" s="187">
        <v>135.49</v>
      </c>
      <c r="FG289">
        <v>131</v>
      </c>
      <c r="FH289">
        <v>135.49</v>
      </c>
      <c r="FI289">
        <v>131</v>
      </c>
      <c r="FJ289">
        <v>27</v>
      </c>
      <c r="FK289" s="187">
        <v>2</v>
      </c>
      <c r="FL289">
        <v>18</v>
      </c>
      <c r="FM289">
        <v>45</v>
      </c>
      <c r="FN289">
        <v>5</v>
      </c>
    </row>
    <row r="290" spans="1:170" x14ac:dyDescent="0.35">
      <c r="A290" t="s">
        <v>966</v>
      </c>
      <c r="B290" t="s">
        <v>967</v>
      </c>
      <c r="C290" t="s">
        <v>415</v>
      </c>
      <c r="D290">
        <v>1914</v>
      </c>
      <c r="E290">
        <v>1914</v>
      </c>
      <c r="F290">
        <v>0</v>
      </c>
      <c r="G290">
        <v>0</v>
      </c>
      <c r="H290">
        <v>86</v>
      </c>
      <c r="I290">
        <v>85</v>
      </c>
      <c r="J290">
        <v>260</v>
      </c>
      <c r="K290">
        <v>260</v>
      </c>
      <c r="L290">
        <v>588</v>
      </c>
      <c r="M290">
        <v>32</v>
      </c>
      <c r="N290">
        <v>2848</v>
      </c>
      <c r="O290">
        <v>2291</v>
      </c>
      <c r="P290">
        <v>2260</v>
      </c>
      <c r="Q290">
        <v>1</v>
      </c>
      <c r="R290">
        <v>2</v>
      </c>
      <c r="S290">
        <v>27</v>
      </c>
      <c r="T290">
        <v>2</v>
      </c>
      <c r="U290">
        <v>2846</v>
      </c>
      <c r="V290" s="498">
        <v>1913</v>
      </c>
      <c r="W290">
        <v>9</v>
      </c>
      <c r="X290" s="498">
        <v>10</v>
      </c>
      <c r="Y290" s="498">
        <v>19</v>
      </c>
      <c r="Z290" s="498">
        <v>111.07</v>
      </c>
      <c r="AA290" s="498">
        <v>109.98</v>
      </c>
      <c r="AB290">
        <v>6.5</v>
      </c>
      <c r="AC290">
        <v>115.65</v>
      </c>
      <c r="AD290">
        <v>995</v>
      </c>
      <c r="AE290">
        <v>108.92</v>
      </c>
      <c r="AF290">
        <v>96.87</v>
      </c>
      <c r="AG290">
        <v>64.73</v>
      </c>
      <c r="AH290">
        <v>172.67</v>
      </c>
      <c r="AI290">
        <v>266</v>
      </c>
      <c r="AJ290">
        <v>165.3</v>
      </c>
      <c r="AK290">
        <v>899</v>
      </c>
      <c r="AL290">
        <v>178.78</v>
      </c>
      <c r="AM290">
        <v>79</v>
      </c>
      <c r="AN290">
        <v>0</v>
      </c>
      <c r="AO290" s="499">
        <v>0</v>
      </c>
      <c r="AP290" s="499">
        <v>0</v>
      </c>
      <c r="AQ290">
        <v>0</v>
      </c>
      <c r="AR290">
        <v>0</v>
      </c>
      <c r="AS290">
        <v>0</v>
      </c>
      <c r="AT290">
        <v>0</v>
      </c>
      <c r="AU290">
        <v>0</v>
      </c>
      <c r="AV290">
        <v>0</v>
      </c>
      <c r="AW290">
        <v>0</v>
      </c>
      <c r="AX290">
        <v>93.19</v>
      </c>
      <c r="AY290">
        <v>92.03</v>
      </c>
      <c r="AZ290">
        <v>9.14</v>
      </c>
      <c r="BA290">
        <v>102.09</v>
      </c>
      <c r="BB290">
        <v>223</v>
      </c>
      <c r="BC290">
        <v>109.4</v>
      </c>
      <c r="BD290">
        <v>108.2</v>
      </c>
      <c r="BE290">
        <v>6.54</v>
      </c>
      <c r="BF290">
        <v>114.23</v>
      </c>
      <c r="BG290">
        <v>427</v>
      </c>
      <c r="BH290">
        <v>123.53</v>
      </c>
      <c r="BI290">
        <v>122.66</v>
      </c>
      <c r="BJ290">
        <v>2.95</v>
      </c>
      <c r="BK290">
        <v>124.94</v>
      </c>
      <c r="BL290" s="214">
        <v>325</v>
      </c>
      <c r="BM290" s="214">
        <v>143.43</v>
      </c>
      <c r="BN290">
        <v>143.47999999999999</v>
      </c>
      <c r="BO290" s="187">
        <v>3.84</v>
      </c>
      <c r="BP290" s="214">
        <v>146.11000000000001</v>
      </c>
      <c r="BQ290" s="214">
        <v>20</v>
      </c>
      <c r="BR290">
        <v>0</v>
      </c>
      <c r="BS290" s="187">
        <v>0</v>
      </c>
      <c r="BT290" s="214">
        <v>0</v>
      </c>
      <c r="BU290" s="214">
        <v>0</v>
      </c>
      <c r="BV290">
        <v>0</v>
      </c>
      <c r="BW290">
        <v>0</v>
      </c>
      <c r="BX290" s="214">
        <v>0</v>
      </c>
      <c r="BY290" s="214">
        <v>0</v>
      </c>
      <c r="BZ290">
        <v>0</v>
      </c>
      <c r="CA290" s="187">
        <v>0</v>
      </c>
      <c r="CB290" s="214">
        <v>111.07</v>
      </c>
      <c r="CC290" s="214">
        <v>109.98</v>
      </c>
      <c r="CD290">
        <v>6.5</v>
      </c>
      <c r="CE290" s="187">
        <v>115.65</v>
      </c>
      <c r="CF290" s="214">
        <v>995</v>
      </c>
      <c r="CG290" s="214">
        <v>111.07</v>
      </c>
      <c r="CH290">
        <v>109.98</v>
      </c>
      <c r="CI290">
        <v>6.5</v>
      </c>
      <c r="CJ290">
        <v>115.65</v>
      </c>
      <c r="CK290">
        <v>995</v>
      </c>
      <c r="CL290">
        <v>116.78</v>
      </c>
      <c r="CM290">
        <v>96.54</v>
      </c>
      <c r="CN290" s="187">
        <v>92.4</v>
      </c>
      <c r="CO290">
        <v>202.81</v>
      </c>
      <c r="CP290">
        <v>58</v>
      </c>
      <c r="CQ290">
        <v>79.45</v>
      </c>
      <c r="CR290">
        <v>77.849999999999994</v>
      </c>
      <c r="CS290" s="187">
        <v>154.15</v>
      </c>
      <c r="CT290">
        <v>233.6</v>
      </c>
      <c r="CU290">
        <v>27</v>
      </c>
      <c r="CV290">
        <v>108.69</v>
      </c>
      <c r="CW290">
        <v>96.57</v>
      </c>
      <c r="CX290" s="187">
        <v>45.97</v>
      </c>
      <c r="CY290">
        <v>154.66999999999999</v>
      </c>
      <c r="CZ290">
        <v>151</v>
      </c>
      <c r="DA290">
        <v>118.66</v>
      </c>
      <c r="DB290">
        <v>113.09</v>
      </c>
      <c r="DC290" s="187">
        <v>29.09</v>
      </c>
      <c r="DD290">
        <v>147.76</v>
      </c>
      <c r="DE290">
        <v>26</v>
      </c>
      <c r="DF290">
        <v>138.86000000000001</v>
      </c>
      <c r="DG290">
        <v>134.28</v>
      </c>
      <c r="DH290" s="187">
        <v>27.31</v>
      </c>
      <c r="DI290">
        <v>166.17</v>
      </c>
      <c r="DJ290">
        <v>4</v>
      </c>
      <c r="DK290">
        <v>0</v>
      </c>
      <c r="DL290">
        <v>0</v>
      </c>
      <c r="DM290" s="187">
        <v>0</v>
      </c>
      <c r="DN290">
        <v>0</v>
      </c>
      <c r="DO290">
        <v>0</v>
      </c>
      <c r="DP290">
        <v>106.72</v>
      </c>
      <c r="DQ290">
        <v>96.94</v>
      </c>
      <c r="DR290" s="187">
        <v>57.55</v>
      </c>
      <c r="DS290">
        <v>164.27</v>
      </c>
      <c r="DT290">
        <v>208</v>
      </c>
      <c r="DU290">
        <v>108.92</v>
      </c>
      <c r="DV290">
        <v>96.87</v>
      </c>
      <c r="DW290" s="187">
        <v>64.73</v>
      </c>
      <c r="DX290">
        <v>172.67</v>
      </c>
      <c r="DY290">
        <v>266</v>
      </c>
      <c r="DZ290">
        <v>0</v>
      </c>
      <c r="EA290">
        <v>0</v>
      </c>
      <c r="EB290" s="187">
        <v>0</v>
      </c>
      <c r="EC290">
        <v>0</v>
      </c>
      <c r="ED290">
        <v>133.57</v>
      </c>
      <c r="EE290">
        <v>239</v>
      </c>
      <c r="EF290">
        <v>165.43</v>
      </c>
      <c r="EG290" s="187">
        <v>433</v>
      </c>
      <c r="EH290">
        <v>193.47</v>
      </c>
      <c r="EI290">
        <v>204</v>
      </c>
      <c r="EJ290">
        <v>242.77</v>
      </c>
      <c r="EK290">
        <v>23</v>
      </c>
      <c r="EL290" s="187">
        <v>0</v>
      </c>
      <c r="EM290">
        <v>0</v>
      </c>
      <c r="EN290">
        <v>0</v>
      </c>
      <c r="EO290">
        <v>0</v>
      </c>
      <c r="EP290">
        <v>165.3</v>
      </c>
      <c r="EQ290" s="187">
        <v>899</v>
      </c>
      <c r="ER290">
        <v>165.3</v>
      </c>
      <c r="ES290">
        <v>899</v>
      </c>
      <c r="ET290">
        <v>0</v>
      </c>
      <c r="EU290">
        <v>0</v>
      </c>
      <c r="EV290" s="187">
        <v>0</v>
      </c>
      <c r="EW290">
        <v>0</v>
      </c>
      <c r="EX290">
        <v>168.91</v>
      </c>
      <c r="EY290">
        <v>55</v>
      </c>
      <c r="EZ290">
        <v>201.41</v>
      </c>
      <c r="FA290" s="187">
        <v>24</v>
      </c>
      <c r="FB290">
        <v>0</v>
      </c>
      <c r="FC290">
        <v>0</v>
      </c>
      <c r="FD290">
        <v>0</v>
      </c>
      <c r="FE290">
        <v>0</v>
      </c>
      <c r="FF290" s="187">
        <v>178.78</v>
      </c>
      <c r="FG290">
        <v>79</v>
      </c>
      <c r="FH290">
        <v>178.78</v>
      </c>
      <c r="FI290">
        <v>79</v>
      </c>
      <c r="FJ290">
        <v>1</v>
      </c>
      <c r="FK290" s="187">
        <v>0</v>
      </c>
      <c r="FL290">
        <v>0</v>
      </c>
      <c r="FM290">
        <v>19</v>
      </c>
      <c r="FN290">
        <v>15</v>
      </c>
    </row>
    <row r="291" spans="1:170" x14ac:dyDescent="0.35">
      <c r="A291" t="s">
        <v>968</v>
      </c>
      <c r="B291" t="s">
        <v>969</v>
      </c>
      <c r="C291" t="s">
        <v>2</v>
      </c>
      <c r="D291">
        <v>7725</v>
      </c>
      <c r="E291">
        <v>7702</v>
      </c>
      <c r="F291">
        <v>0</v>
      </c>
      <c r="G291">
        <v>0</v>
      </c>
      <c r="H291">
        <v>253</v>
      </c>
      <c r="I291">
        <v>175</v>
      </c>
      <c r="J291">
        <v>433</v>
      </c>
      <c r="K291">
        <v>433</v>
      </c>
      <c r="L291">
        <v>1078</v>
      </c>
      <c r="M291">
        <v>136</v>
      </c>
      <c r="N291">
        <v>9489</v>
      </c>
      <c r="O291">
        <v>8446</v>
      </c>
      <c r="P291">
        <v>8411</v>
      </c>
      <c r="Q291">
        <v>1</v>
      </c>
      <c r="R291">
        <v>7</v>
      </c>
      <c r="S291">
        <v>24</v>
      </c>
      <c r="T291">
        <v>113</v>
      </c>
      <c r="U291">
        <v>9376</v>
      </c>
      <c r="V291" s="498">
        <v>7676</v>
      </c>
      <c r="W291">
        <v>86</v>
      </c>
      <c r="X291" s="498">
        <v>7</v>
      </c>
      <c r="Y291" s="498">
        <v>93</v>
      </c>
      <c r="Z291" s="498">
        <v>110.04</v>
      </c>
      <c r="AA291" s="498">
        <v>107.05</v>
      </c>
      <c r="AB291">
        <v>6.19</v>
      </c>
      <c r="AC291">
        <v>111.29</v>
      </c>
      <c r="AD291">
        <v>5543</v>
      </c>
      <c r="AE291">
        <v>101.29</v>
      </c>
      <c r="AF291">
        <v>93.99</v>
      </c>
      <c r="AG291">
        <v>28.57</v>
      </c>
      <c r="AH291">
        <v>127.46</v>
      </c>
      <c r="AI291">
        <v>595</v>
      </c>
      <c r="AJ291">
        <v>176.1</v>
      </c>
      <c r="AK291">
        <v>2175</v>
      </c>
      <c r="AL291">
        <v>190.51</v>
      </c>
      <c r="AM291">
        <v>27</v>
      </c>
      <c r="AN291">
        <v>0</v>
      </c>
      <c r="AO291" s="499">
        <v>0</v>
      </c>
      <c r="AP291" s="499">
        <v>0</v>
      </c>
      <c r="AQ291">
        <v>0</v>
      </c>
      <c r="AR291">
        <v>0</v>
      </c>
      <c r="AS291">
        <v>74.34</v>
      </c>
      <c r="AT291">
        <v>70.040000000000006</v>
      </c>
      <c r="AU291">
        <v>4.0599999999999996</v>
      </c>
      <c r="AV291">
        <v>76.400000000000006</v>
      </c>
      <c r="AW291">
        <v>63</v>
      </c>
      <c r="AX291">
        <v>92.48</v>
      </c>
      <c r="AY291">
        <v>88.08</v>
      </c>
      <c r="AZ291">
        <v>7.51</v>
      </c>
      <c r="BA291">
        <v>95.73</v>
      </c>
      <c r="BB291">
        <v>991</v>
      </c>
      <c r="BC291">
        <v>105.59</v>
      </c>
      <c r="BD291">
        <v>101.47</v>
      </c>
      <c r="BE291">
        <v>6.02</v>
      </c>
      <c r="BF291">
        <v>107.07</v>
      </c>
      <c r="BG291">
        <v>2032</v>
      </c>
      <c r="BH291">
        <v>120.91</v>
      </c>
      <c r="BI291">
        <v>119.52</v>
      </c>
      <c r="BJ291">
        <v>3.51</v>
      </c>
      <c r="BK291">
        <v>121.13</v>
      </c>
      <c r="BL291" s="214">
        <v>2317</v>
      </c>
      <c r="BM291" s="214">
        <v>135.5</v>
      </c>
      <c r="BN291">
        <v>132.43</v>
      </c>
      <c r="BO291" s="187">
        <v>3.74</v>
      </c>
      <c r="BP291" s="214">
        <v>135.9</v>
      </c>
      <c r="BQ291" s="214">
        <v>131</v>
      </c>
      <c r="BR291">
        <v>129.94</v>
      </c>
      <c r="BS291" s="187">
        <v>136.5</v>
      </c>
      <c r="BT291" s="214">
        <v>0</v>
      </c>
      <c r="BU291" s="214">
        <v>129.94</v>
      </c>
      <c r="BV291">
        <v>9</v>
      </c>
      <c r="BW291">
        <v>0</v>
      </c>
      <c r="BX291" s="214">
        <v>0</v>
      </c>
      <c r="BY291" s="214">
        <v>0</v>
      </c>
      <c r="BZ291">
        <v>0</v>
      </c>
      <c r="CA291" s="187">
        <v>0</v>
      </c>
      <c r="CB291" s="214">
        <v>110.04</v>
      </c>
      <c r="CC291" s="214">
        <v>107.05</v>
      </c>
      <c r="CD291">
        <v>6.19</v>
      </c>
      <c r="CE291" s="187">
        <v>111.29</v>
      </c>
      <c r="CF291" s="214">
        <v>5543</v>
      </c>
      <c r="CG291" s="214">
        <v>110.04</v>
      </c>
      <c r="CH291">
        <v>107.05</v>
      </c>
      <c r="CI291">
        <v>6.19</v>
      </c>
      <c r="CJ291">
        <v>111.29</v>
      </c>
      <c r="CK291">
        <v>5543</v>
      </c>
      <c r="CL291">
        <v>93.91</v>
      </c>
      <c r="CM291">
        <v>92.29</v>
      </c>
      <c r="CN291" s="187">
        <v>63.55</v>
      </c>
      <c r="CO291">
        <v>156.19</v>
      </c>
      <c r="CP291">
        <v>50</v>
      </c>
      <c r="CQ291">
        <v>84.89</v>
      </c>
      <c r="CR291">
        <v>76.010000000000005</v>
      </c>
      <c r="CS291" s="187">
        <v>27.86</v>
      </c>
      <c r="CT291">
        <v>112.45</v>
      </c>
      <c r="CU291">
        <v>92</v>
      </c>
      <c r="CV291">
        <v>104.95</v>
      </c>
      <c r="CW291">
        <v>97.33</v>
      </c>
      <c r="CX291" s="187">
        <v>25.23</v>
      </c>
      <c r="CY291">
        <v>128.21</v>
      </c>
      <c r="CZ291">
        <v>411</v>
      </c>
      <c r="DA291">
        <v>109.67</v>
      </c>
      <c r="DB291">
        <v>101.8</v>
      </c>
      <c r="DC291" s="187">
        <v>12.93</v>
      </c>
      <c r="DD291">
        <v>117.29</v>
      </c>
      <c r="DE291">
        <v>39</v>
      </c>
      <c r="DF291">
        <v>117.22</v>
      </c>
      <c r="DG291">
        <v>108.38</v>
      </c>
      <c r="DH291" s="187">
        <v>20.56</v>
      </c>
      <c r="DI291">
        <v>137.78</v>
      </c>
      <c r="DJ291">
        <v>3</v>
      </c>
      <c r="DK291">
        <v>0</v>
      </c>
      <c r="DL291">
        <v>0</v>
      </c>
      <c r="DM291" s="187">
        <v>0</v>
      </c>
      <c r="DN291">
        <v>0</v>
      </c>
      <c r="DO291">
        <v>0</v>
      </c>
      <c r="DP291">
        <v>101.97</v>
      </c>
      <c r="DQ291">
        <v>94.1</v>
      </c>
      <c r="DR291" s="187">
        <v>25.11</v>
      </c>
      <c r="DS291">
        <v>124.82</v>
      </c>
      <c r="DT291">
        <v>545</v>
      </c>
      <c r="DU291">
        <v>101.29</v>
      </c>
      <c r="DV291">
        <v>93.99</v>
      </c>
      <c r="DW291" s="187">
        <v>28.57</v>
      </c>
      <c r="DX291">
        <v>127.46</v>
      </c>
      <c r="DY291">
        <v>595</v>
      </c>
      <c r="DZ291">
        <v>0</v>
      </c>
      <c r="EA291">
        <v>0</v>
      </c>
      <c r="EB291" s="187">
        <v>0</v>
      </c>
      <c r="EC291">
        <v>0</v>
      </c>
      <c r="ED291">
        <v>134.75</v>
      </c>
      <c r="EE291">
        <v>392</v>
      </c>
      <c r="EF291">
        <v>171.11</v>
      </c>
      <c r="EG291" s="187">
        <v>1097</v>
      </c>
      <c r="EH291">
        <v>200.84</v>
      </c>
      <c r="EI291">
        <v>539</v>
      </c>
      <c r="EJ291">
        <v>232.92</v>
      </c>
      <c r="EK291">
        <v>147</v>
      </c>
      <c r="EL291" s="187">
        <v>0</v>
      </c>
      <c r="EM291">
        <v>0</v>
      </c>
      <c r="EN291">
        <v>0</v>
      </c>
      <c r="EO291">
        <v>0</v>
      </c>
      <c r="EP291">
        <v>176.1</v>
      </c>
      <c r="EQ291" s="187">
        <v>2175</v>
      </c>
      <c r="ER291">
        <v>176.1</v>
      </c>
      <c r="ES291">
        <v>2175</v>
      </c>
      <c r="ET291">
        <v>0</v>
      </c>
      <c r="EU291">
        <v>0</v>
      </c>
      <c r="EV291" s="187">
        <v>0</v>
      </c>
      <c r="EW291">
        <v>0</v>
      </c>
      <c r="EX291">
        <v>173.27</v>
      </c>
      <c r="EY291">
        <v>11</v>
      </c>
      <c r="EZ291">
        <v>202.36</v>
      </c>
      <c r="FA291" s="187">
        <v>16</v>
      </c>
      <c r="FB291">
        <v>0</v>
      </c>
      <c r="FC291">
        <v>0</v>
      </c>
      <c r="FD291">
        <v>0</v>
      </c>
      <c r="FE291">
        <v>0</v>
      </c>
      <c r="FF291" s="187">
        <v>190.51</v>
      </c>
      <c r="FG291">
        <v>27</v>
      </c>
      <c r="FH291">
        <v>190.51</v>
      </c>
      <c r="FI291">
        <v>27</v>
      </c>
      <c r="FJ291">
        <v>46</v>
      </c>
      <c r="FK291" s="187">
        <v>2</v>
      </c>
      <c r="FL291">
        <v>12</v>
      </c>
      <c r="FM291">
        <v>85</v>
      </c>
      <c r="FN291">
        <v>25</v>
      </c>
    </row>
    <row r="292" spans="1:170" x14ac:dyDescent="0.35">
      <c r="A292" t="s">
        <v>970</v>
      </c>
      <c r="B292" t="s">
        <v>971</v>
      </c>
      <c r="C292" t="s">
        <v>1048</v>
      </c>
      <c r="D292">
        <v>32452</v>
      </c>
      <c r="E292">
        <v>32418</v>
      </c>
      <c r="F292">
        <v>1</v>
      </c>
      <c r="G292">
        <v>0</v>
      </c>
      <c r="H292">
        <v>2106</v>
      </c>
      <c r="I292">
        <v>1908</v>
      </c>
      <c r="J292">
        <v>655</v>
      </c>
      <c r="K292">
        <v>624</v>
      </c>
      <c r="L292">
        <v>1167</v>
      </c>
      <c r="M292">
        <v>0</v>
      </c>
      <c r="N292">
        <v>36381</v>
      </c>
      <c r="O292">
        <v>34950</v>
      </c>
      <c r="P292">
        <v>35214</v>
      </c>
      <c r="Q292">
        <v>0</v>
      </c>
      <c r="R292">
        <v>11</v>
      </c>
      <c r="S292">
        <v>28</v>
      </c>
      <c r="T292">
        <v>253</v>
      </c>
      <c r="U292">
        <v>36128</v>
      </c>
      <c r="V292" s="498">
        <v>32428</v>
      </c>
      <c r="W292">
        <v>190</v>
      </c>
      <c r="X292" s="498">
        <v>186</v>
      </c>
      <c r="Y292" s="498">
        <v>376</v>
      </c>
      <c r="Z292" s="498">
        <v>84.79</v>
      </c>
      <c r="AA292" s="498">
        <v>85.07</v>
      </c>
      <c r="AB292">
        <v>4.47</v>
      </c>
      <c r="AC292">
        <v>85.59</v>
      </c>
      <c r="AD292">
        <v>29698</v>
      </c>
      <c r="AE292">
        <v>85.21</v>
      </c>
      <c r="AF292">
        <v>79.2</v>
      </c>
      <c r="AG292">
        <v>40.29</v>
      </c>
      <c r="AH292">
        <v>125.25</v>
      </c>
      <c r="AI292">
        <v>2507</v>
      </c>
      <c r="AJ292">
        <v>101.86</v>
      </c>
      <c r="AK292">
        <v>2436</v>
      </c>
      <c r="AL292">
        <v>149.22999999999999</v>
      </c>
      <c r="AM292">
        <v>26</v>
      </c>
      <c r="AN292">
        <v>0</v>
      </c>
      <c r="AO292" s="499">
        <v>0</v>
      </c>
      <c r="AP292" s="499">
        <v>0</v>
      </c>
      <c r="AQ292">
        <v>0</v>
      </c>
      <c r="AR292">
        <v>0</v>
      </c>
      <c r="AS292">
        <v>62.99</v>
      </c>
      <c r="AT292">
        <v>63.1</v>
      </c>
      <c r="AU292">
        <v>6.62</v>
      </c>
      <c r="AV292">
        <v>67.78</v>
      </c>
      <c r="AW292">
        <v>98</v>
      </c>
      <c r="AX292">
        <v>73.540000000000006</v>
      </c>
      <c r="AY292">
        <v>73.150000000000006</v>
      </c>
      <c r="AZ292">
        <v>4.46</v>
      </c>
      <c r="BA292">
        <v>75.010000000000005</v>
      </c>
      <c r="BB292">
        <v>5651</v>
      </c>
      <c r="BC292">
        <v>82.8</v>
      </c>
      <c r="BD292">
        <v>82.65</v>
      </c>
      <c r="BE292">
        <v>4.78</v>
      </c>
      <c r="BF292">
        <v>83.86</v>
      </c>
      <c r="BG292">
        <v>12206</v>
      </c>
      <c r="BH292">
        <v>92.09</v>
      </c>
      <c r="BI292">
        <v>93.11</v>
      </c>
      <c r="BJ292">
        <v>3.07</v>
      </c>
      <c r="BK292">
        <v>92.25</v>
      </c>
      <c r="BL292" s="214">
        <v>11233</v>
      </c>
      <c r="BM292" s="214">
        <v>100.06</v>
      </c>
      <c r="BN292">
        <v>101.25</v>
      </c>
      <c r="BO292" s="187">
        <v>1.87</v>
      </c>
      <c r="BP292" s="214">
        <v>100.21</v>
      </c>
      <c r="BQ292" s="214">
        <v>491</v>
      </c>
      <c r="BR292">
        <v>117</v>
      </c>
      <c r="BS292" s="187">
        <v>117.23</v>
      </c>
      <c r="BT292" s="214">
        <v>1.1299999999999999</v>
      </c>
      <c r="BU292" s="214">
        <v>117.07</v>
      </c>
      <c r="BV292">
        <v>17</v>
      </c>
      <c r="BW292">
        <v>111.47</v>
      </c>
      <c r="BX292" s="214">
        <v>118.25</v>
      </c>
      <c r="BY292" s="214">
        <v>0</v>
      </c>
      <c r="BZ292">
        <v>111.47</v>
      </c>
      <c r="CA292" s="187">
        <v>2</v>
      </c>
      <c r="CB292" s="214">
        <v>84.79</v>
      </c>
      <c r="CC292" s="214">
        <v>85.07</v>
      </c>
      <c r="CD292">
        <v>4.47</v>
      </c>
      <c r="CE292" s="187">
        <v>85.59</v>
      </c>
      <c r="CF292" s="214">
        <v>29698</v>
      </c>
      <c r="CG292" s="214">
        <v>84.79</v>
      </c>
      <c r="CH292">
        <v>85.07</v>
      </c>
      <c r="CI292">
        <v>4.47</v>
      </c>
      <c r="CJ292">
        <v>85.59</v>
      </c>
      <c r="CK292">
        <v>29698</v>
      </c>
      <c r="CL292">
        <v>101.39</v>
      </c>
      <c r="CM292">
        <v>77.52</v>
      </c>
      <c r="CN292" s="187">
        <v>48.26</v>
      </c>
      <c r="CO292">
        <v>149.65</v>
      </c>
      <c r="CP292">
        <v>152</v>
      </c>
      <c r="CQ292">
        <v>70.05</v>
      </c>
      <c r="CR292">
        <v>65.41</v>
      </c>
      <c r="CS292" s="187">
        <v>45.76</v>
      </c>
      <c r="CT292">
        <v>115.81</v>
      </c>
      <c r="CU292">
        <v>89</v>
      </c>
      <c r="CV292">
        <v>80.89</v>
      </c>
      <c r="CW292">
        <v>75.59</v>
      </c>
      <c r="CX292" s="187">
        <v>40.76</v>
      </c>
      <c r="CY292">
        <v>121.65</v>
      </c>
      <c r="CZ292">
        <v>1520</v>
      </c>
      <c r="DA292">
        <v>92.47</v>
      </c>
      <c r="DB292">
        <v>88.34</v>
      </c>
      <c r="DC292" s="187">
        <v>37.35</v>
      </c>
      <c r="DD292">
        <v>129.05000000000001</v>
      </c>
      <c r="DE292">
        <v>732</v>
      </c>
      <c r="DF292">
        <v>92.05</v>
      </c>
      <c r="DG292">
        <v>97.07</v>
      </c>
      <c r="DH292" s="187">
        <v>15.1</v>
      </c>
      <c r="DI292">
        <v>105.47</v>
      </c>
      <c r="DJ292">
        <v>9</v>
      </c>
      <c r="DK292">
        <v>102.43</v>
      </c>
      <c r="DL292">
        <v>98.12</v>
      </c>
      <c r="DM292" s="187">
        <v>21.06</v>
      </c>
      <c r="DN292">
        <v>123.5</v>
      </c>
      <c r="DO292">
        <v>5</v>
      </c>
      <c r="DP292">
        <v>84.17</v>
      </c>
      <c r="DQ292">
        <v>79.260000000000005</v>
      </c>
      <c r="DR292" s="187">
        <v>39.78</v>
      </c>
      <c r="DS292">
        <v>123.67</v>
      </c>
      <c r="DT292">
        <v>2355</v>
      </c>
      <c r="DU292">
        <v>85.21</v>
      </c>
      <c r="DV292">
        <v>79.2</v>
      </c>
      <c r="DW292" s="187">
        <v>40.29</v>
      </c>
      <c r="DX292">
        <v>125.25</v>
      </c>
      <c r="DY292">
        <v>2507</v>
      </c>
      <c r="DZ292">
        <v>0</v>
      </c>
      <c r="EA292">
        <v>0</v>
      </c>
      <c r="EB292" s="187">
        <v>73.849999999999994</v>
      </c>
      <c r="EC292">
        <v>1</v>
      </c>
      <c r="ED292">
        <v>84.44</v>
      </c>
      <c r="EE292">
        <v>132</v>
      </c>
      <c r="EF292">
        <v>98.22</v>
      </c>
      <c r="EG292" s="187">
        <v>1251</v>
      </c>
      <c r="EH292">
        <v>107.53</v>
      </c>
      <c r="EI292">
        <v>1001</v>
      </c>
      <c r="EJ292">
        <v>124.42</v>
      </c>
      <c r="EK292">
        <v>48</v>
      </c>
      <c r="EL292" s="187">
        <v>142.07</v>
      </c>
      <c r="EM292">
        <v>3</v>
      </c>
      <c r="EN292">
        <v>0</v>
      </c>
      <c r="EO292">
        <v>0</v>
      </c>
      <c r="EP292">
        <v>101.86</v>
      </c>
      <c r="EQ292" s="187">
        <v>2436</v>
      </c>
      <c r="ER292">
        <v>101.86</v>
      </c>
      <c r="ES292">
        <v>2436</v>
      </c>
      <c r="ET292">
        <v>0</v>
      </c>
      <c r="EU292">
        <v>0</v>
      </c>
      <c r="EV292" s="187">
        <v>0</v>
      </c>
      <c r="EW292">
        <v>0</v>
      </c>
      <c r="EX292">
        <v>0</v>
      </c>
      <c r="EY292">
        <v>0</v>
      </c>
      <c r="EZ292">
        <v>149.22999999999999</v>
      </c>
      <c r="FA292" s="187">
        <v>26</v>
      </c>
      <c r="FB292">
        <v>0</v>
      </c>
      <c r="FC292">
        <v>0</v>
      </c>
      <c r="FD292">
        <v>0</v>
      </c>
      <c r="FE292">
        <v>0</v>
      </c>
      <c r="FF292" s="187">
        <v>149.22999999999999</v>
      </c>
      <c r="FG292">
        <v>26</v>
      </c>
      <c r="FH292">
        <v>149.22999999999999</v>
      </c>
      <c r="FI292">
        <v>26</v>
      </c>
      <c r="FJ292">
        <v>9</v>
      </c>
      <c r="FK292" s="187">
        <v>176</v>
      </c>
      <c r="FL292">
        <v>7</v>
      </c>
      <c r="FM292">
        <v>125</v>
      </c>
      <c r="FN292">
        <v>31</v>
      </c>
    </row>
    <row r="293" spans="1:170" x14ac:dyDescent="0.35">
      <c r="A293" t="s">
        <v>972</v>
      </c>
      <c r="B293" t="s">
        <v>973</v>
      </c>
      <c r="C293" t="s">
        <v>420</v>
      </c>
      <c r="D293">
        <v>26485</v>
      </c>
      <c r="E293">
        <v>26722</v>
      </c>
      <c r="F293">
        <v>7</v>
      </c>
      <c r="G293">
        <v>7</v>
      </c>
      <c r="H293">
        <v>495</v>
      </c>
      <c r="I293">
        <v>418</v>
      </c>
      <c r="J293">
        <v>792</v>
      </c>
      <c r="K293">
        <v>792</v>
      </c>
      <c r="L293">
        <v>512</v>
      </c>
      <c r="M293">
        <v>1</v>
      </c>
      <c r="N293">
        <v>28291</v>
      </c>
      <c r="O293">
        <v>27940</v>
      </c>
      <c r="P293">
        <v>27779</v>
      </c>
      <c r="Q293">
        <v>17</v>
      </c>
      <c r="R293">
        <v>11</v>
      </c>
      <c r="S293">
        <v>22</v>
      </c>
      <c r="T293">
        <v>128</v>
      </c>
      <c r="U293">
        <v>28163</v>
      </c>
      <c r="V293" s="498">
        <v>26428</v>
      </c>
      <c r="W293">
        <v>252</v>
      </c>
      <c r="X293" s="498">
        <v>43</v>
      </c>
      <c r="Y293" s="498">
        <v>295</v>
      </c>
      <c r="Z293" s="498">
        <v>87.3</v>
      </c>
      <c r="AA293" s="498">
        <v>87.29</v>
      </c>
      <c r="AB293">
        <v>10.35</v>
      </c>
      <c r="AC293">
        <v>92.57</v>
      </c>
      <c r="AD293">
        <v>23930</v>
      </c>
      <c r="AE293">
        <v>102.02</v>
      </c>
      <c r="AF293">
        <v>90.79</v>
      </c>
      <c r="AG293">
        <v>51.82</v>
      </c>
      <c r="AH293">
        <v>151.9</v>
      </c>
      <c r="AI293">
        <v>1015</v>
      </c>
      <c r="AJ293">
        <v>113.75</v>
      </c>
      <c r="AK293">
        <v>2324</v>
      </c>
      <c r="AL293">
        <v>146.74</v>
      </c>
      <c r="AM293">
        <v>201</v>
      </c>
      <c r="AN293">
        <v>58.54</v>
      </c>
      <c r="AO293" s="499">
        <v>68.099999999999994</v>
      </c>
      <c r="AP293" s="499">
        <v>38.47</v>
      </c>
      <c r="AQ293">
        <v>97.01</v>
      </c>
      <c r="AR293">
        <v>7</v>
      </c>
      <c r="AS293">
        <v>69.31</v>
      </c>
      <c r="AT293">
        <v>67.069999999999993</v>
      </c>
      <c r="AU293">
        <v>15.01</v>
      </c>
      <c r="AV293">
        <v>82.82</v>
      </c>
      <c r="AW293">
        <v>110</v>
      </c>
      <c r="AX293">
        <v>77.86</v>
      </c>
      <c r="AY293">
        <v>76.88</v>
      </c>
      <c r="AZ293">
        <v>8.7899999999999991</v>
      </c>
      <c r="BA293">
        <v>85.65</v>
      </c>
      <c r="BB293">
        <v>5167</v>
      </c>
      <c r="BC293">
        <v>84.59</v>
      </c>
      <c r="BD293">
        <v>84.04</v>
      </c>
      <c r="BE293">
        <v>12.59</v>
      </c>
      <c r="BF293">
        <v>93.36</v>
      </c>
      <c r="BG293">
        <v>9220</v>
      </c>
      <c r="BH293">
        <v>94.86</v>
      </c>
      <c r="BI293">
        <v>95.9</v>
      </c>
      <c r="BJ293">
        <v>3.07</v>
      </c>
      <c r="BK293">
        <v>95.2</v>
      </c>
      <c r="BL293" s="214">
        <v>8992</v>
      </c>
      <c r="BM293" s="214">
        <v>103.36</v>
      </c>
      <c r="BN293">
        <v>105.6</v>
      </c>
      <c r="BO293" s="187">
        <v>2.8</v>
      </c>
      <c r="BP293" s="214">
        <v>103.91</v>
      </c>
      <c r="BQ293" s="214">
        <v>373</v>
      </c>
      <c r="BR293">
        <v>114.13</v>
      </c>
      <c r="BS293" s="187">
        <v>111.23</v>
      </c>
      <c r="BT293" s="214">
        <v>3.8</v>
      </c>
      <c r="BU293" s="214">
        <v>115.32</v>
      </c>
      <c r="BV293">
        <v>48</v>
      </c>
      <c r="BW293">
        <v>134.66</v>
      </c>
      <c r="BX293" s="214">
        <v>129.81</v>
      </c>
      <c r="BY293" s="214">
        <v>1.81</v>
      </c>
      <c r="BZ293">
        <v>135.63999999999999</v>
      </c>
      <c r="CA293" s="187">
        <v>13</v>
      </c>
      <c r="CB293" s="214">
        <v>87.3</v>
      </c>
      <c r="CC293" s="214">
        <v>87.29</v>
      </c>
      <c r="CD293">
        <v>10.33</v>
      </c>
      <c r="CE293" s="187">
        <v>92.57</v>
      </c>
      <c r="CF293" s="214">
        <v>23923</v>
      </c>
      <c r="CG293" s="214">
        <v>87.3</v>
      </c>
      <c r="CH293">
        <v>87.29</v>
      </c>
      <c r="CI293">
        <v>10.35</v>
      </c>
      <c r="CJ293">
        <v>92.57</v>
      </c>
      <c r="CK293">
        <v>23930</v>
      </c>
      <c r="CL293">
        <v>104.39</v>
      </c>
      <c r="CM293">
        <v>101.37</v>
      </c>
      <c r="CN293" s="187">
        <v>39.47</v>
      </c>
      <c r="CO293">
        <v>137.79</v>
      </c>
      <c r="CP293">
        <v>78</v>
      </c>
      <c r="CQ293">
        <v>91.2</v>
      </c>
      <c r="CR293">
        <v>85.47</v>
      </c>
      <c r="CS293" s="187">
        <v>11.3</v>
      </c>
      <c r="CT293">
        <v>97.98</v>
      </c>
      <c r="CU293">
        <v>20</v>
      </c>
      <c r="CV293">
        <v>99.26</v>
      </c>
      <c r="CW293">
        <v>86.48</v>
      </c>
      <c r="CX293" s="187">
        <v>57.14</v>
      </c>
      <c r="CY293">
        <v>155.07</v>
      </c>
      <c r="CZ293">
        <v>691</v>
      </c>
      <c r="DA293">
        <v>110.87</v>
      </c>
      <c r="DB293">
        <v>102.25</v>
      </c>
      <c r="DC293" s="187">
        <v>41.7</v>
      </c>
      <c r="DD293">
        <v>152.57</v>
      </c>
      <c r="DE293">
        <v>222</v>
      </c>
      <c r="DF293">
        <v>96.45</v>
      </c>
      <c r="DG293">
        <v>95.03</v>
      </c>
      <c r="DH293" s="187">
        <v>28.76</v>
      </c>
      <c r="DI293">
        <v>110.83</v>
      </c>
      <c r="DJ293">
        <v>4</v>
      </c>
      <c r="DK293">
        <v>0</v>
      </c>
      <c r="DL293">
        <v>0</v>
      </c>
      <c r="DM293" s="187">
        <v>0</v>
      </c>
      <c r="DN293">
        <v>0</v>
      </c>
      <c r="DO293">
        <v>0</v>
      </c>
      <c r="DP293">
        <v>101.83</v>
      </c>
      <c r="DQ293">
        <v>90.4</v>
      </c>
      <c r="DR293" s="187">
        <v>52.71</v>
      </c>
      <c r="DS293">
        <v>153.07</v>
      </c>
      <c r="DT293">
        <v>937</v>
      </c>
      <c r="DU293">
        <v>102.02</v>
      </c>
      <c r="DV293">
        <v>90.79</v>
      </c>
      <c r="DW293" s="187">
        <v>51.82</v>
      </c>
      <c r="DX293">
        <v>151.9</v>
      </c>
      <c r="DY293">
        <v>1015</v>
      </c>
      <c r="DZ293">
        <v>0</v>
      </c>
      <c r="EA293">
        <v>0</v>
      </c>
      <c r="EB293" s="187">
        <v>0</v>
      </c>
      <c r="EC293">
        <v>0</v>
      </c>
      <c r="ED293">
        <v>91.92</v>
      </c>
      <c r="EE293">
        <v>186</v>
      </c>
      <c r="EF293">
        <v>110.83</v>
      </c>
      <c r="EG293" s="187">
        <v>1073</v>
      </c>
      <c r="EH293">
        <v>118.54</v>
      </c>
      <c r="EI293">
        <v>939</v>
      </c>
      <c r="EJ293">
        <v>133.25</v>
      </c>
      <c r="EK293">
        <v>114</v>
      </c>
      <c r="EL293" s="187">
        <v>149.32</v>
      </c>
      <c r="EM293">
        <v>10</v>
      </c>
      <c r="EN293">
        <v>168.08</v>
      </c>
      <c r="EO293">
        <v>2</v>
      </c>
      <c r="EP293">
        <v>113.75</v>
      </c>
      <c r="EQ293" s="187">
        <v>2324</v>
      </c>
      <c r="ER293">
        <v>113.75</v>
      </c>
      <c r="ES293">
        <v>2324</v>
      </c>
      <c r="ET293">
        <v>90.81</v>
      </c>
      <c r="EU293">
        <v>3</v>
      </c>
      <c r="EV293" s="187">
        <v>0</v>
      </c>
      <c r="EW293">
        <v>0</v>
      </c>
      <c r="EX293">
        <v>135.51</v>
      </c>
      <c r="EY293">
        <v>92</v>
      </c>
      <c r="EZ293">
        <v>158.06</v>
      </c>
      <c r="FA293" s="187">
        <v>106</v>
      </c>
      <c r="FB293">
        <v>0</v>
      </c>
      <c r="FC293">
        <v>0</v>
      </c>
      <c r="FD293">
        <v>0</v>
      </c>
      <c r="FE293">
        <v>0</v>
      </c>
      <c r="FF293" s="187">
        <v>147.58000000000001</v>
      </c>
      <c r="FG293">
        <v>198</v>
      </c>
      <c r="FH293">
        <v>146.74</v>
      </c>
      <c r="FI293">
        <v>201</v>
      </c>
      <c r="FJ293">
        <v>0</v>
      </c>
      <c r="FK293" s="187">
        <v>104</v>
      </c>
      <c r="FL293">
        <v>8</v>
      </c>
      <c r="FM293">
        <v>4</v>
      </c>
      <c r="FN293">
        <v>16</v>
      </c>
    </row>
    <row r="294" spans="1:170" x14ac:dyDescent="0.35">
      <c r="A294" t="s">
        <v>974</v>
      </c>
      <c r="B294" t="s">
        <v>975</v>
      </c>
      <c r="C294" t="s">
        <v>416</v>
      </c>
      <c r="D294">
        <v>10965</v>
      </c>
      <c r="E294">
        <v>10663</v>
      </c>
      <c r="F294">
        <v>13</v>
      </c>
      <c r="G294">
        <v>7</v>
      </c>
      <c r="H294">
        <v>1001</v>
      </c>
      <c r="I294">
        <v>418</v>
      </c>
      <c r="J294">
        <v>861</v>
      </c>
      <c r="K294">
        <v>701</v>
      </c>
      <c r="L294">
        <v>1722</v>
      </c>
      <c r="M294">
        <v>176</v>
      </c>
      <c r="N294">
        <v>14562</v>
      </c>
      <c r="O294">
        <v>11965</v>
      </c>
      <c r="P294">
        <v>12840</v>
      </c>
      <c r="Q294">
        <v>61</v>
      </c>
      <c r="R294">
        <v>14</v>
      </c>
      <c r="S294">
        <v>31</v>
      </c>
      <c r="T294">
        <v>799</v>
      </c>
      <c r="U294">
        <v>13763</v>
      </c>
      <c r="V294" s="498">
        <v>10709</v>
      </c>
      <c r="W294">
        <v>135</v>
      </c>
      <c r="X294" s="498">
        <v>56</v>
      </c>
      <c r="Y294" s="498">
        <v>191</v>
      </c>
      <c r="Z294" s="498">
        <v>119.66</v>
      </c>
      <c r="AA294" s="498">
        <v>118.18</v>
      </c>
      <c r="AB294">
        <v>12.42</v>
      </c>
      <c r="AC294">
        <v>126.61</v>
      </c>
      <c r="AD294">
        <v>8762</v>
      </c>
      <c r="AE294">
        <v>104.47</v>
      </c>
      <c r="AF294">
        <v>97.67</v>
      </c>
      <c r="AG294">
        <v>44.75</v>
      </c>
      <c r="AH294">
        <v>148.68</v>
      </c>
      <c r="AI294">
        <v>1178</v>
      </c>
      <c r="AJ294">
        <v>190.36</v>
      </c>
      <c r="AK294">
        <v>1727</v>
      </c>
      <c r="AL294">
        <v>229.99</v>
      </c>
      <c r="AM294">
        <v>82</v>
      </c>
      <c r="AN294">
        <v>73.209999999999994</v>
      </c>
      <c r="AO294" s="499">
        <v>0</v>
      </c>
      <c r="AP294" s="499">
        <v>14.3</v>
      </c>
      <c r="AQ294">
        <v>87.51</v>
      </c>
      <c r="AR294">
        <v>7</v>
      </c>
      <c r="AS294">
        <v>88.1</v>
      </c>
      <c r="AT294">
        <v>81.95</v>
      </c>
      <c r="AU294">
        <v>12.89</v>
      </c>
      <c r="AV294">
        <v>100.87</v>
      </c>
      <c r="AW294">
        <v>112</v>
      </c>
      <c r="AX294">
        <v>99.16</v>
      </c>
      <c r="AY294">
        <v>96.57</v>
      </c>
      <c r="AZ294">
        <v>12.6</v>
      </c>
      <c r="BA294">
        <v>107.6</v>
      </c>
      <c r="BB294">
        <v>1845</v>
      </c>
      <c r="BC294">
        <v>115.38</v>
      </c>
      <c r="BD294">
        <v>113.89</v>
      </c>
      <c r="BE294">
        <v>13.37</v>
      </c>
      <c r="BF294">
        <v>124.37</v>
      </c>
      <c r="BG294">
        <v>3309</v>
      </c>
      <c r="BH294">
        <v>132.88</v>
      </c>
      <c r="BI294">
        <v>131.27000000000001</v>
      </c>
      <c r="BJ294">
        <v>11.16</v>
      </c>
      <c r="BK294">
        <v>137</v>
      </c>
      <c r="BL294" s="214">
        <v>2891</v>
      </c>
      <c r="BM294" s="214">
        <v>146.09</v>
      </c>
      <c r="BN294">
        <v>147.74</v>
      </c>
      <c r="BO294" s="187">
        <v>9.19</v>
      </c>
      <c r="BP294" s="214">
        <v>150.28</v>
      </c>
      <c r="BQ294" s="214">
        <v>492</v>
      </c>
      <c r="BR294">
        <v>161.09</v>
      </c>
      <c r="BS294" s="187">
        <v>160.15</v>
      </c>
      <c r="BT294" s="214">
        <v>2.52</v>
      </c>
      <c r="BU294" s="214">
        <v>162.03</v>
      </c>
      <c r="BV294">
        <v>91</v>
      </c>
      <c r="BW294">
        <v>172.55</v>
      </c>
      <c r="BX294" s="214">
        <v>179.96</v>
      </c>
      <c r="BY294" s="214">
        <v>0</v>
      </c>
      <c r="BZ294">
        <v>172.55</v>
      </c>
      <c r="CA294" s="187">
        <v>15</v>
      </c>
      <c r="CB294" s="214">
        <v>119.69</v>
      </c>
      <c r="CC294" s="214">
        <v>118.18</v>
      </c>
      <c r="CD294">
        <v>12.42</v>
      </c>
      <c r="CE294" s="187">
        <v>126.64</v>
      </c>
      <c r="CF294" s="214">
        <v>8755</v>
      </c>
      <c r="CG294" s="214">
        <v>119.66</v>
      </c>
      <c r="CH294">
        <v>118.18</v>
      </c>
      <c r="CI294">
        <v>12.42</v>
      </c>
      <c r="CJ294">
        <v>126.61</v>
      </c>
      <c r="CK294">
        <v>8762</v>
      </c>
      <c r="CL294">
        <v>96.58</v>
      </c>
      <c r="CM294">
        <v>89.67</v>
      </c>
      <c r="CN294" s="187">
        <v>47.15</v>
      </c>
      <c r="CO294">
        <v>142.83000000000001</v>
      </c>
      <c r="CP294">
        <v>209</v>
      </c>
      <c r="CQ294">
        <v>89.24</v>
      </c>
      <c r="CR294">
        <v>85.11</v>
      </c>
      <c r="CS294" s="187">
        <v>96.13</v>
      </c>
      <c r="CT294">
        <v>185.37</v>
      </c>
      <c r="CU294">
        <v>84</v>
      </c>
      <c r="CV294">
        <v>106.26</v>
      </c>
      <c r="CW294">
        <v>98.83</v>
      </c>
      <c r="CX294" s="187">
        <v>39.32</v>
      </c>
      <c r="CY294">
        <v>145.24</v>
      </c>
      <c r="CZ294">
        <v>817</v>
      </c>
      <c r="DA294">
        <v>121.97</v>
      </c>
      <c r="DB294">
        <v>119.67</v>
      </c>
      <c r="DC294" s="187">
        <v>41.54</v>
      </c>
      <c r="DD294">
        <v>162.75</v>
      </c>
      <c r="DE294">
        <v>55</v>
      </c>
      <c r="DF294">
        <v>142.44</v>
      </c>
      <c r="DG294">
        <v>135.44999999999999</v>
      </c>
      <c r="DH294" s="187">
        <v>22.84</v>
      </c>
      <c r="DI294">
        <v>161.47</v>
      </c>
      <c r="DJ294">
        <v>12</v>
      </c>
      <c r="DK294">
        <v>152.47</v>
      </c>
      <c r="DL294">
        <v>152.46</v>
      </c>
      <c r="DM294" s="187">
        <v>23.17</v>
      </c>
      <c r="DN294">
        <v>175.64</v>
      </c>
      <c r="DO294">
        <v>1</v>
      </c>
      <c r="DP294">
        <v>106.17</v>
      </c>
      <c r="DQ294">
        <v>99.22</v>
      </c>
      <c r="DR294" s="187">
        <v>44.23</v>
      </c>
      <c r="DS294">
        <v>149.94999999999999</v>
      </c>
      <c r="DT294">
        <v>969</v>
      </c>
      <c r="DU294">
        <v>104.47</v>
      </c>
      <c r="DV294">
        <v>97.67</v>
      </c>
      <c r="DW294" s="187">
        <v>44.75</v>
      </c>
      <c r="DX294">
        <v>148.68</v>
      </c>
      <c r="DY294">
        <v>1178</v>
      </c>
      <c r="DZ294">
        <v>0</v>
      </c>
      <c r="EA294">
        <v>0</v>
      </c>
      <c r="EB294" s="187">
        <v>114.35</v>
      </c>
      <c r="EC294">
        <v>13</v>
      </c>
      <c r="ED294">
        <v>159.59</v>
      </c>
      <c r="EE294">
        <v>322</v>
      </c>
      <c r="EF294">
        <v>188.76</v>
      </c>
      <c r="EG294" s="187">
        <v>889</v>
      </c>
      <c r="EH294">
        <v>214.2</v>
      </c>
      <c r="EI294">
        <v>371</v>
      </c>
      <c r="EJ294">
        <v>215.08</v>
      </c>
      <c r="EK294">
        <v>128</v>
      </c>
      <c r="EL294" s="187">
        <v>266.64</v>
      </c>
      <c r="EM294">
        <v>4</v>
      </c>
      <c r="EN294">
        <v>0</v>
      </c>
      <c r="EO294">
        <v>0</v>
      </c>
      <c r="EP294">
        <v>190.36</v>
      </c>
      <c r="EQ294" s="187">
        <v>1727</v>
      </c>
      <c r="ER294">
        <v>190.36</v>
      </c>
      <c r="ES294">
        <v>1727</v>
      </c>
      <c r="ET294">
        <v>0</v>
      </c>
      <c r="EU294">
        <v>0</v>
      </c>
      <c r="EV294" s="187">
        <v>0</v>
      </c>
      <c r="EW294">
        <v>0</v>
      </c>
      <c r="EX294">
        <v>225.19</v>
      </c>
      <c r="EY294">
        <v>73</v>
      </c>
      <c r="EZ294">
        <v>268.92</v>
      </c>
      <c r="FA294" s="187">
        <v>9</v>
      </c>
      <c r="FB294">
        <v>0</v>
      </c>
      <c r="FC294">
        <v>0</v>
      </c>
      <c r="FD294">
        <v>0</v>
      </c>
      <c r="FE294">
        <v>0</v>
      </c>
      <c r="FF294" s="187">
        <v>229.99</v>
      </c>
      <c r="FG294">
        <v>82</v>
      </c>
      <c r="FH294">
        <v>229.99</v>
      </c>
      <c r="FI294">
        <v>82</v>
      </c>
      <c r="FJ294">
        <v>76</v>
      </c>
      <c r="FK294" s="187">
        <v>8</v>
      </c>
      <c r="FL294">
        <v>6</v>
      </c>
      <c r="FM294">
        <v>135</v>
      </c>
      <c r="FN294">
        <v>70</v>
      </c>
    </row>
    <row r="295" spans="1:170" x14ac:dyDescent="0.35">
      <c r="A295" t="s">
        <v>976</v>
      </c>
      <c r="B295" t="s">
        <v>977</v>
      </c>
      <c r="C295" t="s">
        <v>416</v>
      </c>
      <c r="D295">
        <v>9020</v>
      </c>
      <c r="E295">
        <v>8610</v>
      </c>
      <c r="F295">
        <v>6</v>
      </c>
      <c r="G295">
        <v>0</v>
      </c>
      <c r="H295">
        <v>1112</v>
      </c>
      <c r="I295">
        <v>722</v>
      </c>
      <c r="J295">
        <v>981</v>
      </c>
      <c r="K295">
        <v>877</v>
      </c>
      <c r="L295">
        <v>2559</v>
      </c>
      <c r="M295">
        <v>179</v>
      </c>
      <c r="N295">
        <v>13678</v>
      </c>
      <c r="O295">
        <v>10388</v>
      </c>
      <c r="P295">
        <v>11119</v>
      </c>
      <c r="Q295">
        <v>102</v>
      </c>
      <c r="R295">
        <v>15</v>
      </c>
      <c r="S295">
        <v>26</v>
      </c>
      <c r="T295">
        <v>506</v>
      </c>
      <c r="U295">
        <v>13172</v>
      </c>
      <c r="V295" s="498">
        <v>8653</v>
      </c>
      <c r="W295">
        <v>187</v>
      </c>
      <c r="X295" s="498">
        <v>107</v>
      </c>
      <c r="Y295" s="498">
        <v>294</v>
      </c>
      <c r="Z295" s="498">
        <v>132.52000000000001</v>
      </c>
      <c r="AA295" s="498">
        <v>141.71</v>
      </c>
      <c r="AB295">
        <v>10.8</v>
      </c>
      <c r="AC295">
        <v>139.51</v>
      </c>
      <c r="AD295">
        <v>6790</v>
      </c>
      <c r="AE295">
        <v>122.9</v>
      </c>
      <c r="AF295">
        <v>119.52</v>
      </c>
      <c r="AG295">
        <v>42.54</v>
      </c>
      <c r="AH295">
        <v>162.02000000000001</v>
      </c>
      <c r="AI295">
        <v>1879</v>
      </c>
      <c r="AJ295">
        <v>211.68</v>
      </c>
      <c r="AK295">
        <v>929</v>
      </c>
      <c r="AL295">
        <v>237.24</v>
      </c>
      <c r="AM295">
        <v>37</v>
      </c>
      <c r="AN295">
        <v>0</v>
      </c>
      <c r="AO295" s="499">
        <v>0</v>
      </c>
      <c r="AP295" s="499">
        <v>0</v>
      </c>
      <c r="AQ295">
        <v>0</v>
      </c>
      <c r="AR295">
        <v>0</v>
      </c>
      <c r="AS295">
        <v>101.92</v>
      </c>
      <c r="AT295">
        <v>101.72</v>
      </c>
      <c r="AU295">
        <v>9.8000000000000007</v>
      </c>
      <c r="AV295">
        <v>111.27</v>
      </c>
      <c r="AW295">
        <v>149</v>
      </c>
      <c r="AX295">
        <v>119.06</v>
      </c>
      <c r="AY295">
        <v>123.44</v>
      </c>
      <c r="AZ295">
        <v>10.7</v>
      </c>
      <c r="BA295">
        <v>127.14</v>
      </c>
      <c r="BB295">
        <v>2528</v>
      </c>
      <c r="BC295">
        <v>135.55000000000001</v>
      </c>
      <c r="BD295">
        <v>145.86000000000001</v>
      </c>
      <c r="BE295">
        <v>11.89</v>
      </c>
      <c r="BF295">
        <v>143.24</v>
      </c>
      <c r="BG295">
        <v>2236</v>
      </c>
      <c r="BH295">
        <v>147.76</v>
      </c>
      <c r="BI295">
        <v>161.65</v>
      </c>
      <c r="BJ295">
        <v>10.16</v>
      </c>
      <c r="BK295">
        <v>152.5</v>
      </c>
      <c r="BL295" s="214">
        <v>1552</v>
      </c>
      <c r="BM295" s="214">
        <v>156</v>
      </c>
      <c r="BN295">
        <v>177.15</v>
      </c>
      <c r="BO295" s="187">
        <v>6.38</v>
      </c>
      <c r="BP295" s="214">
        <v>159.58000000000001</v>
      </c>
      <c r="BQ295" s="214">
        <v>274</v>
      </c>
      <c r="BR295">
        <v>163.72999999999999</v>
      </c>
      <c r="BS295" s="187">
        <v>182.96</v>
      </c>
      <c r="BT295" s="214">
        <v>5.24</v>
      </c>
      <c r="BU295" s="214">
        <v>165.12</v>
      </c>
      <c r="BV295">
        <v>34</v>
      </c>
      <c r="BW295">
        <v>172.74</v>
      </c>
      <c r="BX295" s="214">
        <v>189.97</v>
      </c>
      <c r="BY295" s="214">
        <v>5.89</v>
      </c>
      <c r="BZ295">
        <v>175.16</v>
      </c>
      <c r="CA295" s="187">
        <v>17</v>
      </c>
      <c r="CB295" s="214">
        <v>132.52000000000001</v>
      </c>
      <c r="CC295" s="214">
        <v>141.71</v>
      </c>
      <c r="CD295">
        <v>10.8</v>
      </c>
      <c r="CE295" s="187">
        <v>139.51</v>
      </c>
      <c r="CF295" s="214">
        <v>6790</v>
      </c>
      <c r="CG295" s="214">
        <v>132.52000000000001</v>
      </c>
      <c r="CH295">
        <v>141.71</v>
      </c>
      <c r="CI295">
        <v>10.8</v>
      </c>
      <c r="CJ295">
        <v>139.51</v>
      </c>
      <c r="CK295">
        <v>6790</v>
      </c>
      <c r="CL295">
        <v>108.41</v>
      </c>
      <c r="CM295">
        <v>102.39</v>
      </c>
      <c r="CN295" s="187">
        <v>81.84</v>
      </c>
      <c r="CO295">
        <v>166.1</v>
      </c>
      <c r="CP295">
        <v>393</v>
      </c>
      <c r="CQ295">
        <v>104.92</v>
      </c>
      <c r="CR295">
        <v>103.39</v>
      </c>
      <c r="CS295" s="187">
        <v>63.79</v>
      </c>
      <c r="CT295">
        <v>167.19</v>
      </c>
      <c r="CU295">
        <v>84</v>
      </c>
      <c r="CV295">
        <v>126.92</v>
      </c>
      <c r="CW295">
        <v>123.89</v>
      </c>
      <c r="CX295" s="187">
        <v>33.21</v>
      </c>
      <c r="CY295">
        <v>159.27000000000001</v>
      </c>
      <c r="CZ295">
        <v>1283</v>
      </c>
      <c r="DA295">
        <v>137.27000000000001</v>
      </c>
      <c r="DB295">
        <v>134.26</v>
      </c>
      <c r="DC295" s="187">
        <v>36.43</v>
      </c>
      <c r="DD295">
        <v>173.7</v>
      </c>
      <c r="DE295">
        <v>99</v>
      </c>
      <c r="DF295">
        <v>153.68</v>
      </c>
      <c r="DG295">
        <v>158.88999999999999</v>
      </c>
      <c r="DH295" s="187">
        <v>24.93</v>
      </c>
      <c r="DI295">
        <v>178.61</v>
      </c>
      <c r="DJ295">
        <v>18</v>
      </c>
      <c r="DK295">
        <v>164.01</v>
      </c>
      <c r="DL295">
        <v>175.12</v>
      </c>
      <c r="DM295" s="187">
        <v>16.12</v>
      </c>
      <c r="DN295">
        <v>180.13</v>
      </c>
      <c r="DO295">
        <v>2</v>
      </c>
      <c r="DP295">
        <v>126.74</v>
      </c>
      <c r="DQ295">
        <v>123.92</v>
      </c>
      <c r="DR295" s="187">
        <v>35.03</v>
      </c>
      <c r="DS295">
        <v>160.94999999999999</v>
      </c>
      <c r="DT295">
        <v>1486</v>
      </c>
      <c r="DU295">
        <v>122.9</v>
      </c>
      <c r="DV295">
        <v>119.52</v>
      </c>
      <c r="DW295" s="187">
        <v>42.54</v>
      </c>
      <c r="DX295">
        <v>162.02000000000001</v>
      </c>
      <c r="DY295">
        <v>1879</v>
      </c>
      <c r="DZ295">
        <v>0</v>
      </c>
      <c r="EA295">
        <v>0</v>
      </c>
      <c r="EB295" s="187">
        <v>151.31</v>
      </c>
      <c r="EC295">
        <v>20</v>
      </c>
      <c r="ED295">
        <v>195.36</v>
      </c>
      <c r="EE295">
        <v>342</v>
      </c>
      <c r="EF295">
        <v>218.53</v>
      </c>
      <c r="EG295" s="187">
        <v>367</v>
      </c>
      <c r="EH295">
        <v>230.93</v>
      </c>
      <c r="EI295">
        <v>157</v>
      </c>
      <c r="EJ295">
        <v>240.76</v>
      </c>
      <c r="EK295">
        <v>43</v>
      </c>
      <c r="EL295" s="187">
        <v>0</v>
      </c>
      <c r="EM295">
        <v>0</v>
      </c>
      <c r="EN295">
        <v>0</v>
      </c>
      <c r="EO295">
        <v>0</v>
      </c>
      <c r="EP295">
        <v>211.68</v>
      </c>
      <c r="EQ295" s="187">
        <v>929</v>
      </c>
      <c r="ER295">
        <v>211.68</v>
      </c>
      <c r="ES295">
        <v>929</v>
      </c>
      <c r="ET295">
        <v>0</v>
      </c>
      <c r="EU295">
        <v>0</v>
      </c>
      <c r="EV295" s="187">
        <v>0</v>
      </c>
      <c r="EW295">
        <v>0</v>
      </c>
      <c r="EX295">
        <v>237.24</v>
      </c>
      <c r="EY295">
        <v>37</v>
      </c>
      <c r="EZ295">
        <v>0</v>
      </c>
      <c r="FA295" s="187">
        <v>0</v>
      </c>
      <c r="FB295">
        <v>0</v>
      </c>
      <c r="FC295">
        <v>0</v>
      </c>
      <c r="FD295">
        <v>0</v>
      </c>
      <c r="FE295">
        <v>0</v>
      </c>
      <c r="FF295" s="187">
        <v>237.24</v>
      </c>
      <c r="FG295">
        <v>37</v>
      </c>
      <c r="FH295">
        <v>237.24</v>
      </c>
      <c r="FI295">
        <v>37</v>
      </c>
      <c r="FJ295">
        <v>0</v>
      </c>
      <c r="FK295" s="187">
        <v>8</v>
      </c>
      <c r="FL295">
        <v>18</v>
      </c>
      <c r="FM295">
        <v>116</v>
      </c>
      <c r="FN295">
        <v>123</v>
      </c>
    </row>
    <row r="296" spans="1:170" x14ac:dyDescent="0.35">
      <c r="A296" t="s">
        <v>978</v>
      </c>
      <c r="B296" t="s">
        <v>979</v>
      </c>
      <c r="C296" t="s">
        <v>418</v>
      </c>
      <c r="D296">
        <v>11904</v>
      </c>
      <c r="E296">
        <v>11913</v>
      </c>
      <c r="F296">
        <v>0</v>
      </c>
      <c r="G296">
        <v>0</v>
      </c>
      <c r="H296">
        <v>585</v>
      </c>
      <c r="I296">
        <v>309</v>
      </c>
      <c r="J296">
        <v>2166</v>
      </c>
      <c r="K296">
        <v>2220</v>
      </c>
      <c r="L296">
        <v>698</v>
      </c>
      <c r="M296">
        <v>11</v>
      </c>
      <c r="N296">
        <v>15353</v>
      </c>
      <c r="O296">
        <v>14453</v>
      </c>
      <c r="P296">
        <v>14655</v>
      </c>
      <c r="Q296">
        <v>0</v>
      </c>
      <c r="R296">
        <v>6</v>
      </c>
      <c r="S296">
        <v>28</v>
      </c>
      <c r="T296">
        <v>112</v>
      </c>
      <c r="U296">
        <v>15241</v>
      </c>
      <c r="V296" s="498">
        <v>11904</v>
      </c>
      <c r="W296">
        <v>82</v>
      </c>
      <c r="X296" s="498">
        <v>56</v>
      </c>
      <c r="Y296" s="498">
        <v>138</v>
      </c>
      <c r="Z296" s="498">
        <v>86.45</v>
      </c>
      <c r="AA296" s="498">
        <v>87.04</v>
      </c>
      <c r="AB296">
        <v>4.67</v>
      </c>
      <c r="AC296">
        <v>87.95</v>
      </c>
      <c r="AD296">
        <v>10965</v>
      </c>
      <c r="AE296">
        <v>89.62</v>
      </c>
      <c r="AF296">
        <v>80.16</v>
      </c>
      <c r="AG296">
        <v>39.44</v>
      </c>
      <c r="AH296">
        <v>125.33</v>
      </c>
      <c r="AI296">
        <v>2591</v>
      </c>
      <c r="AJ296">
        <v>109.39</v>
      </c>
      <c r="AK296">
        <v>848</v>
      </c>
      <c r="AL296">
        <v>168.34</v>
      </c>
      <c r="AM296">
        <v>48</v>
      </c>
      <c r="AN296">
        <v>0</v>
      </c>
      <c r="AO296" s="499">
        <v>0</v>
      </c>
      <c r="AP296" s="499">
        <v>0</v>
      </c>
      <c r="AQ296">
        <v>0</v>
      </c>
      <c r="AR296">
        <v>0</v>
      </c>
      <c r="AS296">
        <v>68.59</v>
      </c>
      <c r="AT296">
        <v>68.67</v>
      </c>
      <c r="AU296">
        <v>7.53</v>
      </c>
      <c r="AV296">
        <v>74.62</v>
      </c>
      <c r="AW296">
        <v>30</v>
      </c>
      <c r="AX296">
        <v>74.28</v>
      </c>
      <c r="AY296">
        <v>73.62</v>
      </c>
      <c r="AZ296">
        <v>4.6399999999999997</v>
      </c>
      <c r="BA296">
        <v>76.48</v>
      </c>
      <c r="BB296">
        <v>3353</v>
      </c>
      <c r="BC296">
        <v>86.11</v>
      </c>
      <c r="BD296">
        <v>86.92</v>
      </c>
      <c r="BE296">
        <v>6.98</v>
      </c>
      <c r="BF296">
        <v>88.59</v>
      </c>
      <c r="BG296">
        <v>2834</v>
      </c>
      <c r="BH296">
        <v>94.65</v>
      </c>
      <c r="BI296">
        <v>96.21</v>
      </c>
      <c r="BJ296">
        <v>2.0499999999999998</v>
      </c>
      <c r="BK296">
        <v>95.04</v>
      </c>
      <c r="BL296" s="214">
        <v>4354</v>
      </c>
      <c r="BM296" s="214">
        <v>102.71</v>
      </c>
      <c r="BN296">
        <v>103.37</v>
      </c>
      <c r="BO296" s="187">
        <v>2.29</v>
      </c>
      <c r="BP296" s="214">
        <v>103.15</v>
      </c>
      <c r="BQ296" s="214">
        <v>381</v>
      </c>
      <c r="BR296">
        <v>120.77</v>
      </c>
      <c r="BS296" s="187">
        <v>128.83000000000001</v>
      </c>
      <c r="BT296" s="214">
        <v>0</v>
      </c>
      <c r="BU296" s="214">
        <v>120.77</v>
      </c>
      <c r="BV296">
        <v>12</v>
      </c>
      <c r="BW296">
        <v>125.93</v>
      </c>
      <c r="BX296" s="214">
        <v>119.93</v>
      </c>
      <c r="BY296" s="214">
        <v>0</v>
      </c>
      <c r="BZ296">
        <v>125.93</v>
      </c>
      <c r="CA296" s="187">
        <v>1</v>
      </c>
      <c r="CB296" s="214">
        <v>86.45</v>
      </c>
      <c r="CC296" s="214">
        <v>87.04</v>
      </c>
      <c r="CD296">
        <v>4.67</v>
      </c>
      <c r="CE296" s="187">
        <v>87.95</v>
      </c>
      <c r="CF296" s="214">
        <v>10965</v>
      </c>
      <c r="CG296" s="214">
        <v>86.45</v>
      </c>
      <c r="CH296">
        <v>87.04</v>
      </c>
      <c r="CI296">
        <v>4.67</v>
      </c>
      <c r="CJ296">
        <v>87.95</v>
      </c>
      <c r="CK296">
        <v>10965</v>
      </c>
      <c r="CL296">
        <v>92.19</v>
      </c>
      <c r="CM296">
        <v>69.33</v>
      </c>
      <c r="CN296" s="187">
        <v>135.30000000000001</v>
      </c>
      <c r="CO296">
        <v>226.08</v>
      </c>
      <c r="CP296">
        <v>96</v>
      </c>
      <c r="CQ296">
        <v>67.69</v>
      </c>
      <c r="CR296">
        <v>65.36</v>
      </c>
      <c r="CS296" s="187">
        <v>36.99</v>
      </c>
      <c r="CT296">
        <v>104.35</v>
      </c>
      <c r="CU296">
        <v>112</v>
      </c>
      <c r="CV296">
        <v>88.37</v>
      </c>
      <c r="CW296">
        <v>78.180000000000007</v>
      </c>
      <c r="CX296" s="187">
        <v>33.619999999999997</v>
      </c>
      <c r="CY296">
        <v>118.78</v>
      </c>
      <c r="CZ296">
        <v>1835</v>
      </c>
      <c r="DA296">
        <v>95.15</v>
      </c>
      <c r="DB296">
        <v>90.16</v>
      </c>
      <c r="DC296" s="187">
        <v>36.71</v>
      </c>
      <c r="DD296">
        <v>127.31</v>
      </c>
      <c r="DE296">
        <v>516</v>
      </c>
      <c r="DF296">
        <v>137.38999999999999</v>
      </c>
      <c r="DG296">
        <v>124.06</v>
      </c>
      <c r="DH296" s="187">
        <v>108.85</v>
      </c>
      <c r="DI296">
        <v>231.23</v>
      </c>
      <c r="DJ296">
        <v>29</v>
      </c>
      <c r="DK296">
        <v>178.07</v>
      </c>
      <c r="DL296">
        <v>0</v>
      </c>
      <c r="DM296" s="187">
        <v>145.54</v>
      </c>
      <c r="DN296">
        <v>323.61</v>
      </c>
      <c r="DO296">
        <v>3</v>
      </c>
      <c r="DP296">
        <v>89.52</v>
      </c>
      <c r="DQ296">
        <v>80.25</v>
      </c>
      <c r="DR296" s="187">
        <v>35.39</v>
      </c>
      <c r="DS296">
        <v>121.45</v>
      </c>
      <c r="DT296">
        <v>2495</v>
      </c>
      <c r="DU296">
        <v>89.62</v>
      </c>
      <c r="DV296">
        <v>80.16</v>
      </c>
      <c r="DW296" s="187">
        <v>39.44</v>
      </c>
      <c r="DX296">
        <v>125.33</v>
      </c>
      <c r="DY296">
        <v>2591</v>
      </c>
      <c r="DZ296">
        <v>0</v>
      </c>
      <c r="EA296">
        <v>0</v>
      </c>
      <c r="EB296" s="187">
        <v>70.86</v>
      </c>
      <c r="EC296">
        <v>1</v>
      </c>
      <c r="ED296">
        <v>86.55</v>
      </c>
      <c r="EE296">
        <v>107</v>
      </c>
      <c r="EF296">
        <v>106.72</v>
      </c>
      <c r="EG296" s="187">
        <v>494</v>
      </c>
      <c r="EH296">
        <v>124.12</v>
      </c>
      <c r="EI296">
        <v>232</v>
      </c>
      <c r="EJ296">
        <v>136.31</v>
      </c>
      <c r="EK296">
        <v>13</v>
      </c>
      <c r="EL296" s="187">
        <v>144.68</v>
      </c>
      <c r="EM296">
        <v>1</v>
      </c>
      <c r="EN296">
        <v>0</v>
      </c>
      <c r="EO296">
        <v>0</v>
      </c>
      <c r="EP296">
        <v>109.39</v>
      </c>
      <c r="EQ296" s="187">
        <v>848</v>
      </c>
      <c r="ER296">
        <v>109.39</v>
      </c>
      <c r="ES296">
        <v>848</v>
      </c>
      <c r="ET296">
        <v>0</v>
      </c>
      <c r="EU296">
        <v>0</v>
      </c>
      <c r="EV296" s="187">
        <v>0</v>
      </c>
      <c r="EW296">
        <v>0</v>
      </c>
      <c r="EX296">
        <v>164.12</v>
      </c>
      <c r="EY296">
        <v>30</v>
      </c>
      <c r="EZ296">
        <v>175.37</v>
      </c>
      <c r="FA296" s="187">
        <v>18</v>
      </c>
      <c r="FB296">
        <v>0</v>
      </c>
      <c r="FC296">
        <v>0</v>
      </c>
      <c r="FD296">
        <v>0</v>
      </c>
      <c r="FE296">
        <v>0</v>
      </c>
      <c r="FF296" s="187">
        <v>168.34</v>
      </c>
      <c r="FG296">
        <v>48</v>
      </c>
      <c r="FH296">
        <v>168.34</v>
      </c>
      <c r="FI296">
        <v>48</v>
      </c>
      <c r="FJ296">
        <v>8</v>
      </c>
      <c r="FK296" s="187">
        <v>73</v>
      </c>
      <c r="FL296">
        <v>0</v>
      </c>
      <c r="FM296">
        <v>58</v>
      </c>
      <c r="FN296">
        <v>26</v>
      </c>
    </row>
    <row r="297" spans="1:170" x14ac:dyDescent="0.35">
      <c r="A297" t="s">
        <v>980</v>
      </c>
      <c r="B297" t="s">
        <v>981</v>
      </c>
      <c r="C297" t="s">
        <v>420</v>
      </c>
      <c r="D297">
        <v>3424</v>
      </c>
      <c r="E297">
        <v>3227</v>
      </c>
      <c r="F297">
        <v>0</v>
      </c>
      <c r="G297">
        <v>0</v>
      </c>
      <c r="H297">
        <v>158</v>
      </c>
      <c r="I297">
        <v>61</v>
      </c>
      <c r="J297">
        <v>629</v>
      </c>
      <c r="K297">
        <v>567</v>
      </c>
      <c r="L297">
        <v>1178</v>
      </c>
      <c r="M297">
        <v>356</v>
      </c>
      <c r="N297">
        <v>5389</v>
      </c>
      <c r="O297">
        <v>4211</v>
      </c>
      <c r="P297">
        <v>4211</v>
      </c>
      <c r="Q297">
        <v>6</v>
      </c>
      <c r="R297">
        <v>8</v>
      </c>
      <c r="S297">
        <v>25</v>
      </c>
      <c r="T297">
        <v>169</v>
      </c>
      <c r="U297">
        <v>5220</v>
      </c>
      <c r="V297" s="498">
        <v>3360</v>
      </c>
      <c r="W297">
        <v>50</v>
      </c>
      <c r="X297" s="498">
        <v>67</v>
      </c>
      <c r="Y297" s="498">
        <v>117</v>
      </c>
      <c r="Z297" s="498">
        <v>109.52</v>
      </c>
      <c r="AA297" s="498">
        <v>107.07</v>
      </c>
      <c r="AB297">
        <v>7.25</v>
      </c>
      <c r="AC297">
        <v>115.64</v>
      </c>
      <c r="AD297">
        <v>2540</v>
      </c>
      <c r="AE297">
        <v>107.36</v>
      </c>
      <c r="AF297">
        <v>93.03</v>
      </c>
      <c r="AG297">
        <v>55.18</v>
      </c>
      <c r="AH297">
        <v>162.46</v>
      </c>
      <c r="AI297">
        <v>657</v>
      </c>
      <c r="AJ297">
        <v>151.66999999999999</v>
      </c>
      <c r="AK297">
        <v>797</v>
      </c>
      <c r="AL297">
        <v>166.11</v>
      </c>
      <c r="AM297">
        <v>25</v>
      </c>
      <c r="AN297">
        <v>0</v>
      </c>
      <c r="AO297" s="499">
        <v>0</v>
      </c>
      <c r="AP297" s="499">
        <v>0</v>
      </c>
      <c r="AQ297">
        <v>0</v>
      </c>
      <c r="AR297">
        <v>0</v>
      </c>
      <c r="AS297">
        <v>74.510000000000005</v>
      </c>
      <c r="AT297">
        <v>72.22</v>
      </c>
      <c r="AU297">
        <v>14.36</v>
      </c>
      <c r="AV297">
        <v>88.88</v>
      </c>
      <c r="AW297">
        <v>39</v>
      </c>
      <c r="AX297">
        <v>91.05</v>
      </c>
      <c r="AY297">
        <v>88.46</v>
      </c>
      <c r="AZ297">
        <v>10.08</v>
      </c>
      <c r="BA297">
        <v>100.64</v>
      </c>
      <c r="BB297">
        <v>619</v>
      </c>
      <c r="BC297">
        <v>109.9</v>
      </c>
      <c r="BD297">
        <v>107.4</v>
      </c>
      <c r="BE297">
        <v>7.12</v>
      </c>
      <c r="BF297">
        <v>115.62</v>
      </c>
      <c r="BG297">
        <v>1181</v>
      </c>
      <c r="BH297">
        <v>124.78</v>
      </c>
      <c r="BI297">
        <v>122.46</v>
      </c>
      <c r="BJ297">
        <v>4.1399999999999997</v>
      </c>
      <c r="BK297">
        <v>128.16</v>
      </c>
      <c r="BL297" s="214">
        <v>616</v>
      </c>
      <c r="BM297" s="214">
        <v>144.33000000000001</v>
      </c>
      <c r="BN297">
        <v>142.6</v>
      </c>
      <c r="BO297" s="187">
        <v>3.31</v>
      </c>
      <c r="BP297" s="214">
        <v>146.84</v>
      </c>
      <c r="BQ297" s="214">
        <v>83</v>
      </c>
      <c r="BR297">
        <v>136.02000000000001</v>
      </c>
      <c r="BS297" s="187">
        <v>133.52000000000001</v>
      </c>
      <c r="BT297" s="214">
        <v>4.1100000000000003</v>
      </c>
      <c r="BU297" s="214">
        <v>140.13</v>
      </c>
      <c r="BV297">
        <v>2</v>
      </c>
      <c r="BW297">
        <v>0</v>
      </c>
      <c r="BX297" s="214">
        <v>0</v>
      </c>
      <c r="BY297" s="214">
        <v>0</v>
      </c>
      <c r="BZ297">
        <v>0</v>
      </c>
      <c r="CA297" s="187">
        <v>0</v>
      </c>
      <c r="CB297" s="214">
        <v>109.52</v>
      </c>
      <c r="CC297" s="214">
        <v>107.07</v>
      </c>
      <c r="CD297">
        <v>7.25</v>
      </c>
      <c r="CE297" s="187">
        <v>115.64</v>
      </c>
      <c r="CF297" s="214">
        <v>2540</v>
      </c>
      <c r="CG297" s="214">
        <v>109.52</v>
      </c>
      <c r="CH297">
        <v>107.07</v>
      </c>
      <c r="CI297">
        <v>7.25</v>
      </c>
      <c r="CJ297">
        <v>115.64</v>
      </c>
      <c r="CK297">
        <v>2540</v>
      </c>
      <c r="CL297">
        <v>85.37</v>
      </c>
      <c r="CM297">
        <v>70.709999999999994</v>
      </c>
      <c r="CN297" s="187">
        <v>132.72</v>
      </c>
      <c r="CO297">
        <v>216.55</v>
      </c>
      <c r="CP297">
        <v>86</v>
      </c>
      <c r="CQ297">
        <v>85.91</v>
      </c>
      <c r="CR297">
        <v>78.86</v>
      </c>
      <c r="CS297" s="187">
        <v>32.17</v>
      </c>
      <c r="CT297">
        <v>118.07</v>
      </c>
      <c r="CU297">
        <v>41</v>
      </c>
      <c r="CV297">
        <v>106.86</v>
      </c>
      <c r="CW297">
        <v>89.78</v>
      </c>
      <c r="CX297" s="187">
        <v>45.11</v>
      </c>
      <c r="CY297">
        <v>151.96</v>
      </c>
      <c r="CZ297">
        <v>378</v>
      </c>
      <c r="DA297">
        <v>126.9</v>
      </c>
      <c r="DB297">
        <v>116.44</v>
      </c>
      <c r="DC297" s="187">
        <v>43.08</v>
      </c>
      <c r="DD297">
        <v>169.97</v>
      </c>
      <c r="DE297">
        <v>151</v>
      </c>
      <c r="DF297">
        <v>116.13</v>
      </c>
      <c r="DG297">
        <v>105.57</v>
      </c>
      <c r="DH297" s="187">
        <v>46.26</v>
      </c>
      <c r="DI297">
        <v>162.38999999999999</v>
      </c>
      <c r="DJ297">
        <v>1</v>
      </c>
      <c r="DK297">
        <v>0</v>
      </c>
      <c r="DL297">
        <v>0</v>
      </c>
      <c r="DM297" s="187">
        <v>0</v>
      </c>
      <c r="DN297">
        <v>0</v>
      </c>
      <c r="DO297">
        <v>0</v>
      </c>
      <c r="DP297">
        <v>110.67</v>
      </c>
      <c r="DQ297">
        <v>96.33</v>
      </c>
      <c r="DR297" s="187">
        <v>43.64</v>
      </c>
      <c r="DS297">
        <v>154.31</v>
      </c>
      <c r="DT297">
        <v>571</v>
      </c>
      <c r="DU297">
        <v>107.36</v>
      </c>
      <c r="DV297">
        <v>93.03</v>
      </c>
      <c r="DW297" s="187">
        <v>55.18</v>
      </c>
      <c r="DX297">
        <v>162.46</v>
      </c>
      <c r="DY297">
        <v>657</v>
      </c>
      <c r="DZ297">
        <v>0</v>
      </c>
      <c r="EA297">
        <v>0</v>
      </c>
      <c r="EB297" s="187">
        <v>78.489999999999995</v>
      </c>
      <c r="EC297">
        <v>4</v>
      </c>
      <c r="ED297">
        <v>123.38</v>
      </c>
      <c r="EE297">
        <v>148</v>
      </c>
      <c r="EF297">
        <v>150.19999999999999</v>
      </c>
      <c r="EG297" s="187">
        <v>442</v>
      </c>
      <c r="EH297">
        <v>171.57</v>
      </c>
      <c r="EI297">
        <v>174</v>
      </c>
      <c r="EJ297">
        <v>209.09</v>
      </c>
      <c r="EK297">
        <v>29</v>
      </c>
      <c r="EL297" s="187">
        <v>0</v>
      </c>
      <c r="EM297">
        <v>0</v>
      </c>
      <c r="EN297">
        <v>0</v>
      </c>
      <c r="EO297">
        <v>0</v>
      </c>
      <c r="EP297">
        <v>151.66999999999999</v>
      </c>
      <c r="EQ297" s="187">
        <v>797</v>
      </c>
      <c r="ER297">
        <v>151.66999999999999</v>
      </c>
      <c r="ES297">
        <v>797</v>
      </c>
      <c r="ET297">
        <v>0</v>
      </c>
      <c r="EU297">
        <v>0</v>
      </c>
      <c r="EV297" s="187">
        <v>0</v>
      </c>
      <c r="EW297">
        <v>0</v>
      </c>
      <c r="EX297">
        <v>150.36000000000001</v>
      </c>
      <c r="EY297">
        <v>3</v>
      </c>
      <c r="EZ297">
        <v>168.26</v>
      </c>
      <c r="FA297" s="187">
        <v>22</v>
      </c>
      <c r="FB297">
        <v>0</v>
      </c>
      <c r="FC297">
        <v>0</v>
      </c>
      <c r="FD297">
        <v>0</v>
      </c>
      <c r="FE297">
        <v>0</v>
      </c>
      <c r="FF297" s="187">
        <v>166.11</v>
      </c>
      <c r="FG297">
        <v>25</v>
      </c>
      <c r="FH297">
        <v>166.11</v>
      </c>
      <c r="FI297">
        <v>25</v>
      </c>
      <c r="FJ297">
        <v>132</v>
      </c>
      <c r="FK297" s="187">
        <v>1</v>
      </c>
      <c r="FL297">
        <v>2</v>
      </c>
      <c r="FM297">
        <v>110</v>
      </c>
      <c r="FN297">
        <v>9</v>
      </c>
    </row>
    <row r="298" spans="1:170" x14ac:dyDescent="0.35">
      <c r="A298" t="s">
        <v>982</v>
      </c>
      <c r="B298" t="s">
        <v>983</v>
      </c>
      <c r="C298" t="s">
        <v>415</v>
      </c>
      <c r="D298">
        <v>5689</v>
      </c>
      <c r="E298">
        <v>5755</v>
      </c>
      <c r="F298">
        <v>156</v>
      </c>
      <c r="G298">
        <v>156</v>
      </c>
      <c r="H298">
        <v>371</v>
      </c>
      <c r="I298">
        <v>114</v>
      </c>
      <c r="J298">
        <v>589</v>
      </c>
      <c r="K298">
        <v>595</v>
      </c>
      <c r="L298">
        <v>340</v>
      </c>
      <c r="M298">
        <v>31</v>
      </c>
      <c r="N298">
        <v>7145</v>
      </c>
      <c r="O298">
        <v>6651</v>
      </c>
      <c r="P298">
        <v>6805</v>
      </c>
      <c r="Q298">
        <v>105</v>
      </c>
      <c r="R298">
        <v>7</v>
      </c>
      <c r="S298">
        <v>23</v>
      </c>
      <c r="T298">
        <v>271</v>
      </c>
      <c r="U298">
        <v>6874</v>
      </c>
      <c r="V298" s="498">
        <v>5676</v>
      </c>
      <c r="W298">
        <v>58</v>
      </c>
      <c r="X298" s="498">
        <v>34</v>
      </c>
      <c r="Y298" s="498">
        <v>92</v>
      </c>
      <c r="Z298" s="498">
        <v>116.88</v>
      </c>
      <c r="AA298" s="498">
        <v>126.39</v>
      </c>
      <c r="AB298">
        <v>9.98</v>
      </c>
      <c r="AC298">
        <v>121.45</v>
      </c>
      <c r="AD298">
        <v>4974</v>
      </c>
      <c r="AE298">
        <v>94.7</v>
      </c>
      <c r="AF298">
        <v>93.58</v>
      </c>
      <c r="AG298">
        <v>29.27</v>
      </c>
      <c r="AH298">
        <v>122.51</v>
      </c>
      <c r="AI298">
        <v>700</v>
      </c>
      <c r="AJ298">
        <v>192.8</v>
      </c>
      <c r="AK298">
        <v>607</v>
      </c>
      <c r="AL298">
        <v>167.5</v>
      </c>
      <c r="AM298">
        <v>2</v>
      </c>
      <c r="AN298">
        <v>0</v>
      </c>
      <c r="AO298" s="499">
        <v>0</v>
      </c>
      <c r="AP298" s="499">
        <v>0</v>
      </c>
      <c r="AQ298">
        <v>0</v>
      </c>
      <c r="AR298">
        <v>0</v>
      </c>
      <c r="AS298">
        <v>92.43</v>
      </c>
      <c r="AT298">
        <v>89.41</v>
      </c>
      <c r="AU298">
        <v>9.39</v>
      </c>
      <c r="AV298">
        <v>100.98</v>
      </c>
      <c r="AW298">
        <v>89</v>
      </c>
      <c r="AX298">
        <v>100.71</v>
      </c>
      <c r="AY298">
        <v>102.6</v>
      </c>
      <c r="AZ298">
        <v>11.12</v>
      </c>
      <c r="BA298">
        <v>109.78</v>
      </c>
      <c r="BB298">
        <v>1016</v>
      </c>
      <c r="BC298">
        <v>114.42</v>
      </c>
      <c r="BD298">
        <v>120.34</v>
      </c>
      <c r="BE298">
        <v>10.55</v>
      </c>
      <c r="BF298">
        <v>121.01</v>
      </c>
      <c r="BG298">
        <v>1664</v>
      </c>
      <c r="BH298">
        <v>125.93</v>
      </c>
      <c r="BI298">
        <v>141.72999999999999</v>
      </c>
      <c r="BJ298">
        <v>5.82</v>
      </c>
      <c r="BK298">
        <v>126.74</v>
      </c>
      <c r="BL298" s="214">
        <v>2028</v>
      </c>
      <c r="BM298" s="214">
        <v>140.72999999999999</v>
      </c>
      <c r="BN298">
        <v>157.61000000000001</v>
      </c>
      <c r="BO298" s="187">
        <v>3.14</v>
      </c>
      <c r="BP298" s="214">
        <v>141.56</v>
      </c>
      <c r="BQ298" s="214">
        <v>172</v>
      </c>
      <c r="BR298">
        <v>160.37</v>
      </c>
      <c r="BS298" s="187">
        <v>168.23</v>
      </c>
      <c r="BT298" s="214">
        <v>11.9</v>
      </c>
      <c r="BU298" s="214">
        <v>166.32</v>
      </c>
      <c r="BV298">
        <v>4</v>
      </c>
      <c r="BW298">
        <v>169.11</v>
      </c>
      <c r="BX298" s="214">
        <v>182.92</v>
      </c>
      <c r="BY298" s="214">
        <v>1.29</v>
      </c>
      <c r="BZ298">
        <v>170.4</v>
      </c>
      <c r="CA298" s="187">
        <v>1</v>
      </c>
      <c r="CB298" s="214">
        <v>116.88</v>
      </c>
      <c r="CC298" s="214">
        <v>126.39</v>
      </c>
      <c r="CD298">
        <v>9.98</v>
      </c>
      <c r="CE298" s="187">
        <v>121.45</v>
      </c>
      <c r="CF298" s="214">
        <v>4974</v>
      </c>
      <c r="CG298" s="214">
        <v>116.88</v>
      </c>
      <c r="CH298">
        <v>126.39</v>
      </c>
      <c r="CI298">
        <v>9.98</v>
      </c>
      <c r="CJ298">
        <v>121.45</v>
      </c>
      <c r="CK298">
        <v>4974</v>
      </c>
      <c r="CL298">
        <v>116.18</v>
      </c>
      <c r="CM298">
        <v>80</v>
      </c>
      <c r="CN298" s="187">
        <v>86.08</v>
      </c>
      <c r="CO298">
        <v>154.91999999999999</v>
      </c>
      <c r="CP298">
        <v>40</v>
      </c>
      <c r="CQ298">
        <v>81.05</v>
      </c>
      <c r="CR298">
        <v>83.9</v>
      </c>
      <c r="CS298" s="187">
        <v>24.69</v>
      </c>
      <c r="CT298">
        <v>105.74</v>
      </c>
      <c r="CU298">
        <v>298</v>
      </c>
      <c r="CV298">
        <v>103.19</v>
      </c>
      <c r="CW298">
        <v>102.09</v>
      </c>
      <c r="CX298" s="187">
        <v>30.33</v>
      </c>
      <c r="CY298">
        <v>132.38</v>
      </c>
      <c r="CZ298">
        <v>344</v>
      </c>
      <c r="DA298">
        <v>109.86</v>
      </c>
      <c r="DB298">
        <v>117.49</v>
      </c>
      <c r="DC298" s="187">
        <v>28.88</v>
      </c>
      <c r="DD298">
        <v>138.74</v>
      </c>
      <c r="DE298">
        <v>16</v>
      </c>
      <c r="DF298">
        <v>117.92</v>
      </c>
      <c r="DG298">
        <v>120.93</v>
      </c>
      <c r="DH298" s="187">
        <v>27.77</v>
      </c>
      <c r="DI298">
        <v>145.69</v>
      </c>
      <c r="DJ298">
        <v>2</v>
      </c>
      <c r="DK298">
        <v>0</v>
      </c>
      <c r="DL298">
        <v>0</v>
      </c>
      <c r="DM298" s="187">
        <v>0</v>
      </c>
      <c r="DN298">
        <v>0</v>
      </c>
      <c r="DO298">
        <v>0</v>
      </c>
      <c r="DP298">
        <v>93.4</v>
      </c>
      <c r="DQ298">
        <v>94.01</v>
      </c>
      <c r="DR298" s="187">
        <v>27.69</v>
      </c>
      <c r="DS298">
        <v>120.54</v>
      </c>
      <c r="DT298">
        <v>660</v>
      </c>
      <c r="DU298">
        <v>94.7</v>
      </c>
      <c r="DV298">
        <v>93.58</v>
      </c>
      <c r="DW298" s="187">
        <v>29.27</v>
      </c>
      <c r="DX298">
        <v>122.51</v>
      </c>
      <c r="DY298">
        <v>700</v>
      </c>
      <c r="DZ298">
        <v>0</v>
      </c>
      <c r="EA298">
        <v>0</v>
      </c>
      <c r="EB298" s="187">
        <v>87.3</v>
      </c>
      <c r="EC298">
        <v>2</v>
      </c>
      <c r="ED298">
        <v>161.26</v>
      </c>
      <c r="EE298">
        <v>173</v>
      </c>
      <c r="EF298">
        <v>203.03</v>
      </c>
      <c r="EG298" s="187">
        <v>397</v>
      </c>
      <c r="EH298">
        <v>230.44</v>
      </c>
      <c r="EI298">
        <v>23</v>
      </c>
      <c r="EJ298">
        <v>254.38</v>
      </c>
      <c r="EK298">
        <v>12</v>
      </c>
      <c r="EL298" s="187">
        <v>0</v>
      </c>
      <c r="EM298">
        <v>0</v>
      </c>
      <c r="EN298">
        <v>0</v>
      </c>
      <c r="EO298">
        <v>0</v>
      </c>
      <c r="EP298">
        <v>192.8</v>
      </c>
      <c r="EQ298" s="187">
        <v>607</v>
      </c>
      <c r="ER298">
        <v>192.8</v>
      </c>
      <c r="ES298">
        <v>607</v>
      </c>
      <c r="ET298">
        <v>0</v>
      </c>
      <c r="EU298">
        <v>0</v>
      </c>
      <c r="EV298" s="187">
        <v>0</v>
      </c>
      <c r="EW298">
        <v>0</v>
      </c>
      <c r="EX298">
        <v>167.5</v>
      </c>
      <c r="EY298">
        <v>2</v>
      </c>
      <c r="EZ298">
        <v>0</v>
      </c>
      <c r="FA298" s="187">
        <v>0</v>
      </c>
      <c r="FB298">
        <v>0</v>
      </c>
      <c r="FC298">
        <v>0</v>
      </c>
      <c r="FD298">
        <v>0</v>
      </c>
      <c r="FE298">
        <v>0</v>
      </c>
      <c r="FF298" s="187">
        <v>167.5</v>
      </c>
      <c r="FG298">
        <v>2</v>
      </c>
      <c r="FH298">
        <v>167.5</v>
      </c>
      <c r="FI298">
        <v>2</v>
      </c>
      <c r="FJ298">
        <v>80</v>
      </c>
      <c r="FK298" s="187">
        <v>10</v>
      </c>
      <c r="FL298">
        <v>2</v>
      </c>
      <c r="FM298">
        <v>37</v>
      </c>
      <c r="FN298">
        <v>14</v>
      </c>
    </row>
    <row r="299" spans="1:170" x14ac:dyDescent="0.35">
      <c r="A299" t="s">
        <v>984</v>
      </c>
      <c r="B299" t="s">
        <v>985</v>
      </c>
      <c r="C299" t="s">
        <v>2</v>
      </c>
      <c r="D299">
        <v>1473</v>
      </c>
      <c r="E299">
        <v>1416</v>
      </c>
      <c r="F299">
        <v>0</v>
      </c>
      <c r="G299">
        <v>0</v>
      </c>
      <c r="H299">
        <v>146</v>
      </c>
      <c r="I299">
        <v>27</v>
      </c>
      <c r="J299">
        <v>164</v>
      </c>
      <c r="K299">
        <v>157</v>
      </c>
      <c r="L299">
        <v>596</v>
      </c>
      <c r="M299">
        <v>195</v>
      </c>
      <c r="N299">
        <v>2379</v>
      </c>
      <c r="O299">
        <v>1795</v>
      </c>
      <c r="P299">
        <v>1783</v>
      </c>
      <c r="Q299">
        <v>13</v>
      </c>
      <c r="R299">
        <v>9</v>
      </c>
      <c r="S299">
        <v>22</v>
      </c>
      <c r="T299">
        <v>267</v>
      </c>
      <c r="U299">
        <v>2112</v>
      </c>
      <c r="V299" s="498">
        <v>1381</v>
      </c>
      <c r="W299">
        <v>24</v>
      </c>
      <c r="X299" s="498">
        <v>2</v>
      </c>
      <c r="Y299" s="498">
        <v>26</v>
      </c>
      <c r="Z299" s="498">
        <v>120.72</v>
      </c>
      <c r="AA299" s="498">
        <v>117.13</v>
      </c>
      <c r="AB299">
        <v>5.39</v>
      </c>
      <c r="AC299">
        <v>125.68</v>
      </c>
      <c r="AD299">
        <v>910</v>
      </c>
      <c r="AE299">
        <v>109.4</v>
      </c>
      <c r="AF299">
        <v>97.63</v>
      </c>
      <c r="AG299">
        <v>41.19</v>
      </c>
      <c r="AH299">
        <v>139.31</v>
      </c>
      <c r="AI299">
        <v>135</v>
      </c>
      <c r="AJ299">
        <v>200</v>
      </c>
      <c r="AK299">
        <v>511</v>
      </c>
      <c r="AL299">
        <v>141.81</v>
      </c>
      <c r="AM299">
        <v>12</v>
      </c>
      <c r="AN299">
        <v>0</v>
      </c>
      <c r="AO299" s="499">
        <v>0</v>
      </c>
      <c r="AP299" s="499">
        <v>0</v>
      </c>
      <c r="AQ299">
        <v>0</v>
      </c>
      <c r="AR299">
        <v>0</v>
      </c>
      <c r="AS299">
        <v>0</v>
      </c>
      <c r="AT299">
        <v>0</v>
      </c>
      <c r="AU299">
        <v>0</v>
      </c>
      <c r="AV299">
        <v>0</v>
      </c>
      <c r="AW299">
        <v>0</v>
      </c>
      <c r="AX299">
        <v>102.51</v>
      </c>
      <c r="AY299">
        <v>99.19</v>
      </c>
      <c r="AZ299">
        <v>8.25</v>
      </c>
      <c r="BA299">
        <v>110.6</v>
      </c>
      <c r="BB299">
        <v>159</v>
      </c>
      <c r="BC299">
        <v>120.49</v>
      </c>
      <c r="BD299">
        <v>117</v>
      </c>
      <c r="BE299">
        <v>5.81</v>
      </c>
      <c r="BF299">
        <v>125.82</v>
      </c>
      <c r="BG299">
        <v>435</v>
      </c>
      <c r="BH299">
        <v>129.1</v>
      </c>
      <c r="BI299">
        <v>125.24</v>
      </c>
      <c r="BJ299">
        <v>3.07</v>
      </c>
      <c r="BK299">
        <v>131.83000000000001</v>
      </c>
      <c r="BL299" s="214">
        <v>301</v>
      </c>
      <c r="BM299" s="214">
        <v>152.44999999999999</v>
      </c>
      <c r="BN299">
        <v>148.27000000000001</v>
      </c>
      <c r="BO299" s="187">
        <v>5.7</v>
      </c>
      <c r="BP299" s="214">
        <v>158.15</v>
      </c>
      <c r="BQ299" s="214">
        <v>15</v>
      </c>
      <c r="BR299">
        <v>0</v>
      </c>
      <c r="BS299" s="187">
        <v>0</v>
      </c>
      <c r="BT299" s="214">
        <v>0</v>
      </c>
      <c r="BU299" s="214">
        <v>0</v>
      </c>
      <c r="BV299">
        <v>0</v>
      </c>
      <c r="BW299">
        <v>0</v>
      </c>
      <c r="BX299" s="214">
        <v>0</v>
      </c>
      <c r="BY299" s="214">
        <v>0</v>
      </c>
      <c r="BZ299">
        <v>0</v>
      </c>
      <c r="CA299" s="187">
        <v>0</v>
      </c>
      <c r="CB299" s="214">
        <v>120.72</v>
      </c>
      <c r="CC299" s="214">
        <v>117.13</v>
      </c>
      <c r="CD299">
        <v>5.39</v>
      </c>
      <c r="CE299" s="187">
        <v>125.68</v>
      </c>
      <c r="CF299" s="214">
        <v>910</v>
      </c>
      <c r="CG299" s="214">
        <v>120.72</v>
      </c>
      <c r="CH299">
        <v>117.13</v>
      </c>
      <c r="CI299">
        <v>5.39</v>
      </c>
      <c r="CJ299">
        <v>125.68</v>
      </c>
      <c r="CK299">
        <v>910</v>
      </c>
      <c r="CL299">
        <v>168.96</v>
      </c>
      <c r="CM299">
        <v>90.69</v>
      </c>
      <c r="CN299" s="187">
        <v>67.209999999999994</v>
      </c>
      <c r="CO299">
        <v>236.18</v>
      </c>
      <c r="CP299">
        <v>15</v>
      </c>
      <c r="CQ299">
        <v>95.27</v>
      </c>
      <c r="CR299">
        <v>94.74</v>
      </c>
      <c r="CS299" s="187">
        <v>0</v>
      </c>
      <c r="CT299">
        <v>95.27</v>
      </c>
      <c r="CU299">
        <v>7</v>
      </c>
      <c r="CV299">
        <v>99.93</v>
      </c>
      <c r="CW299">
        <v>95.67</v>
      </c>
      <c r="CX299" s="187">
        <v>36.159999999999997</v>
      </c>
      <c r="CY299">
        <v>126.53</v>
      </c>
      <c r="CZ299">
        <v>106</v>
      </c>
      <c r="DA299">
        <v>140.27000000000001</v>
      </c>
      <c r="DB299">
        <v>136.22</v>
      </c>
      <c r="DC299" s="187">
        <v>41.72</v>
      </c>
      <c r="DD299">
        <v>175.04</v>
      </c>
      <c r="DE299">
        <v>6</v>
      </c>
      <c r="DF299">
        <v>134.31</v>
      </c>
      <c r="DG299">
        <v>141.97</v>
      </c>
      <c r="DH299" s="187">
        <v>0</v>
      </c>
      <c r="DI299">
        <v>134.31</v>
      </c>
      <c r="DJ299">
        <v>1</v>
      </c>
      <c r="DK299">
        <v>0</v>
      </c>
      <c r="DL299">
        <v>0</v>
      </c>
      <c r="DM299" s="187">
        <v>0</v>
      </c>
      <c r="DN299">
        <v>0</v>
      </c>
      <c r="DO299">
        <v>0</v>
      </c>
      <c r="DP299">
        <v>101.96</v>
      </c>
      <c r="DQ299">
        <v>98.11</v>
      </c>
      <c r="DR299" s="187">
        <v>36.49</v>
      </c>
      <c r="DS299">
        <v>127.2</v>
      </c>
      <c r="DT299">
        <v>120</v>
      </c>
      <c r="DU299">
        <v>109.4</v>
      </c>
      <c r="DV299">
        <v>97.63</v>
      </c>
      <c r="DW299" s="187">
        <v>41.19</v>
      </c>
      <c r="DX299">
        <v>139.31</v>
      </c>
      <c r="DY299">
        <v>135</v>
      </c>
      <c r="DZ299">
        <v>0</v>
      </c>
      <c r="EA299">
        <v>0</v>
      </c>
      <c r="EB299" s="187">
        <v>0</v>
      </c>
      <c r="EC299">
        <v>0</v>
      </c>
      <c r="ED299">
        <v>156.63</v>
      </c>
      <c r="EE299">
        <v>178</v>
      </c>
      <c r="EF299">
        <v>208.32</v>
      </c>
      <c r="EG299" s="187">
        <v>206</v>
      </c>
      <c r="EH299">
        <v>244.22</v>
      </c>
      <c r="EI299">
        <v>121</v>
      </c>
      <c r="EJ299">
        <v>309.58999999999997</v>
      </c>
      <c r="EK299">
        <v>6</v>
      </c>
      <c r="EL299" s="187">
        <v>0</v>
      </c>
      <c r="EM299">
        <v>0</v>
      </c>
      <c r="EN299">
        <v>0</v>
      </c>
      <c r="EO299">
        <v>0</v>
      </c>
      <c r="EP299">
        <v>200</v>
      </c>
      <c r="EQ299" s="187">
        <v>511</v>
      </c>
      <c r="ER299">
        <v>200</v>
      </c>
      <c r="ES299">
        <v>511</v>
      </c>
      <c r="ET299">
        <v>0</v>
      </c>
      <c r="EU299">
        <v>0</v>
      </c>
      <c r="EV299" s="187">
        <v>0</v>
      </c>
      <c r="EW299">
        <v>0</v>
      </c>
      <c r="EX299">
        <v>141.81</v>
      </c>
      <c r="EY299">
        <v>12</v>
      </c>
      <c r="EZ299">
        <v>0</v>
      </c>
      <c r="FA299" s="187">
        <v>0</v>
      </c>
      <c r="FB299">
        <v>0</v>
      </c>
      <c r="FC299">
        <v>0</v>
      </c>
      <c r="FD299">
        <v>0</v>
      </c>
      <c r="FE299">
        <v>0</v>
      </c>
      <c r="FF299" s="187">
        <v>141.81</v>
      </c>
      <c r="FG299">
        <v>12</v>
      </c>
      <c r="FH299">
        <v>141.81</v>
      </c>
      <c r="FI299">
        <v>12</v>
      </c>
      <c r="FJ299">
        <v>3</v>
      </c>
      <c r="FK299" s="187">
        <v>0</v>
      </c>
      <c r="FL299">
        <v>0</v>
      </c>
      <c r="FM299">
        <v>55</v>
      </c>
      <c r="FN299">
        <v>21</v>
      </c>
    </row>
    <row r="300" spans="1:170" x14ac:dyDescent="0.35">
      <c r="A300" t="s">
        <v>986</v>
      </c>
      <c r="B300" t="s">
        <v>987</v>
      </c>
      <c r="C300" t="s">
        <v>2</v>
      </c>
      <c r="D300">
        <v>2627</v>
      </c>
      <c r="E300">
        <v>2603</v>
      </c>
      <c r="F300">
        <v>0</v>
      </c>
      <c r="G300">
        <v>0</v>
      </c>
      <c r="H300">
        <v>95</v>
      </c>
      <c r="I300">
        <v>50</v>
      </c>
      <c r="J300">
        <v>325</v>
      </c>
      <c r="K300">
        <v>225</v>
      </c>
      <c r="L300">
        <v>771</v>
      </c>
      <c r="M300">
        <v>169</v>
      </c>
      <c r="N300">
        <v>3818</v>
      </c>
      <c r="O300">
        <v>3047</v>
      </c>
      <c r="P300">
        <v>3047</v>
      </c>
      <c r="Q300">
        <v>2</v>
      </c>
      <c r="R300">
        <v>5</v>
      </c>
      <c r="S300">
        <v>22</v>
      </c>
      <c r="T300">
        <v>144</v>
      </c>
      <c r="U300">
        <v>3674</v>
      </c>
      <c r="V300" s="498">
        <v>2621</v>
      </c>
      <c r="W300">
        <v>30</v>
      </c>
      <c r="X300" s="498">
        <v>2</v>
      </c>
      <c r="Y300" s="498">
        <v>32</v>
      </c>
      <c r="Z300" s="498">
        <v>105.51</v>
      </c>
      <c r="AA300" s="498">
        <v>101.15</v>
      </c>
      <c r="AB300">
        <v>6.37</v>
      </c>
      <c r="AC300">
        <v>110.48</v>
      </c>
      <c r="AD300">
        <v>1417</v>
      </c>
      <c r="AE300">
        <v>82.97</v>
      </c>
      <c r="AF300">
        <v>78.19</v>
      </c>
      <c r="AG300">
        <v>43.32</v>
      </c>
      <c r="AH300">
        <v>124.38</v>
      </c>
      <c r="AI300">
        <v>227</v>
      </c>
      <c r="AJ300">
        <v>156.41999999999999</v>
      </c>
      <c r="AK300">
        <v>1183</v>
      </c>
      <c r="AL300">
        <v>201.44</v>
      </c>
      <c r="AM300">
        <v>55</v>
      </c>
      <c r="AN300">
        <v>0</v>
      </c>
      <c r="AO300" s="499">
        <v>0</v>
      </c>
      <c r="AP300" s="499">
        <v>0</v>
      </c>
      <c r="AQ300">
        <v>0</v>
      </c>
      <c r="AR300">
        <v>0</v>
      </c>
      <c r="AS300">
        <v>69.650000000000006</v>
      </c>
      <c r="AT300">
        <v>66.27</v>
      </c>
      <c r="AU300">
        <v>4.9000000000000004</v>
      </c>
      <c r="AV300">
        <v>74.55</v>
      </c>
      <c r="AW300">
        <v>9</v>
      </c>
      <c r="AX300">
        <v>83.88</v>
      </c>
      <c r="AY300">
        <v>80.25</v>
      </c>
      <c r="AZ300">
        <v>8.93</v>
      </c>
      <c r="BA300">
        <v>92.76</v>
      </c>
      <c r="BB300">
        <v>157</v>
      </c>
      <c r="BC300">
        <v>100.76</v>
      </c>
      <c r="BD300">
        <v>96.46</v>
      </c>
      <c r="BE300">
        <v>7.07</v>
      </c>
      <c r="BF300">
        <v>106.46</v>
      </c>
      <c r="BG300">
        <v>626</v>
      </c>
      <c r="BH300">
        <v>114.17</v>
      </c>
      <c r="BI300">
        <v>109.51</v>
      </c>
      <c r="BJ300">
        <v>4.3899999999999997</v>
      </c>
      <c r="BK300">
        <v>117.2</v>
      </c>
      <c r="BL300" s="214">
        <v>568</v>
      </c>
      <c r="BM300" s="214">
        <v>136.02000000000001</v>
      </c>
      <c r="BN300">
        <v>131.76</v>
      </c>
      <c r="BO300" s="187">
        <v>7.24</v>
      </c>
      <c r="BP300" s="214">
        <v>141.71</v>
      </c>
      <c r="BQ300" s="214">
        <v>56</v>
      </c>
      <c r="BR300">
        <v>171.59</v>
      </c>
      <c r="BS300" s="187">
        <v>163.43</v>
      </c>
      <c r="BT300" s="214">
        <v>0</v>
      </c>
      <c r="BU300" s="214">
        <v>171.59</v>
      </c>
      <c r="BV300">
        <v>1</v>
      </c>
      <c r="BW300">
        <v>0</v>
      </c>
      <c r="BX300" s="214">
        <v>0</v>
      </c>
      <c r="BY300" s="214">
        <v>0</v>
      </c>
      <c r="BZ300">
        <v>0</v>
      </c>
      <c r="CA300" s="187">
        <v>0</v>
      </c>
      <c r="CB300" s="214">
        <v>105.51</v>
      </c>
      <c r="CC300" s="214">
        <v>101.15</v>
      </c>
      <c r="CD300">
        <v>6.37</v>
      </c>
      <c r="CE300" s="187">
        <v>110.48</v>
      </c>
      <c r="CF300" s="214">
        <v>1417</v>
      </c>
      <c r="CG300" s="214">
        <v>105.51</v>
      </c>
      <c r="CH300">
        <v>101.15</v>
      </c>
      <c r="CI300">
        <v>6.37</v>
      </c>
      <c r="CJ300">
        <v>110.48</v>
      </c>
      <c r="CK300">
        <v>1417</v>
      </c>
      <c r="CL300">
        <v>0</v>
      </c>
      <c r="CM300">
        <v>0</v>
      </c>
      <c r="CN300" s="187">
        <v>0</v>
      </c>
      <c r="CO300">
        <v>0</v>
      </c>
      <c r="CP300">
        <v>0</v>
      </c>
      <c r="CQ300">
        <v>67.739999999999995</v>
      </c>
      <c r="CR300">
        <v>61.58</v>
      </c>
      <c r="CS300" s="187">
        <v>34.909999999999997</v>
      </c>
      <c r="CT300">
        <v>102.65</v>
      </c>
      <c r="CU300">
        <v>37</v>
      </c>
      <c r="CV300">
        <v>81.59</v>
      </c>
      <c r="CW300">
        <v>77.63</v>
      </c>
      <c r="CX300" s="187">
        <v>45.3</v>
      </c>
      <c r="CY300">
        <v>123.95</v>
      </c>
      <c r="CZ300">
        <v>154</v>
      </c>
      <c r="DA300">
        <v>103.62</v>
      </c>
      <c r="DB300">
        <v>96.16</v>
      </c>
      <c r="DC300" s="187">
        <v>46.04</v>
      </c>
      <c r="DD300">
        <v>149.66999999999999</v>
      </c>
      <c r="DE300">
        <v>31</v>
      </c>
      <c r="DF300">
        <v>110.05</v>
      </c>
      <c r="DG300">
        <v>104.32</v>
      </c>
      <c r="DH300" s="187">
        <v>31.72</v>
      </c>
      <c r="DI300">
        <v>141.77000000000001</v>
      </c>
      <c r="DJ300">
        <v>5</v>
      </c>
      <c r="DK300">
        <v>0</v>
      </c>
      <c r="DL300">
        <v>0</v>
      </c>
      <c r="DM300" s="187">
        <v>0</v>
      </c>
      <c r="DN300">
        <v>0</v>
      </c>
      <c r="DO300">
        <v>0</v>
      </c>
      <c r="DP300">
        <v>82.97</v>
      </c>
      <c r="DQ300">
        <v>78.19</v>
      </c>
      <c r="DR300" s="187">
        <v>43.32</v>
      </c>
      <c r="DS300">
        <v>124.38</v>
      </c>
      <c r="DT300">
        <v>227</v>
      </c>
      <c r="DU300">
        <v>82.97</v>
      </c>
      <c r="DV300">
        <v>78.19</v>
      </c>
      <c r="DW300" s="187">
        <v>43.32</v>
      </c>
      <c r="DX300">
        <v>124.38</v>
      </c>
      <c r="DY300">
        <v>227</v>
      </c>
      <c r="DZ300">
        <v>0</v>
      </c>
      <c r="EA300">
        <v>0</v>
      </c>
      <c r="EB300" s="187">
        <v>0</v>
      </c>
      <c r="EC300">
        <v>0</v>
      </c>
      <c r="ED300">
        <v>121.63</v>
      </c>
      <c r="EE300">
        <v>230</v>
      </c>
      <c r="EF300">
        <v>151.26</v>
      </c>
      <c r="EG300" s="187">
        <v>562</v>
      </c>
      <c r="EH300">
        <v>179.42</v>
      </c>
      <c r="EI300">
        <v>345</v>
      </c>
      <c r="EJ300">
        <v>221.09</v>
      </c>
      <c r="EK300">
        <v>46</v>
      </c>
      <c r="EL300" s="187">
        <v>0</v>
      </c>
      <c r="EM300">
        <v>0</v>
      </c>
      <c r="EN300">
        <v>0</v>
      </c>
      <c r="EO300">
        <v>0</v>
      </c>
      <c r="EP300">
        <v>156.41999999999999</v>
      </c>
      <c r="EQ300" s="187">
        <v>1183</v>
      </c>
      <c r="ER300">
        <v>156.41999999999999</v>
      </c>
      <c r="ES300">
        <v>1183</v>
      </c>
      <c r="ET300">
        <v>0</v>
      </c>
      <c r="EU300">
        <v>0</v>
      </c>
      <c r="EV300" s="187">
        <v>0</v>
      </c>
      <c r="EW300">
        <v>0</v>
      </c>
      <c r="EX300">
        <v>182.67</v>
      </c>
      <c r="EY300">
        <v>38</v>
      </c>
      <c r="EZ300">
        <v>243.4</v>
      </c>
      <c r="FA300" s="187">
        <v>17</v>
      </c>
      <c r="FB300">
        <v>0</v>
      </c>
      <c r="FC300">
        <v>0</v>
      </c>
      <c r="FD300">
        <v>0</v>
      </c>
      <c r="FE300">
        <v>0</v>
      </c>
      <c r="FF300" s="187">
        <v>201.44</v>
      </c>
      <c r="FG300">
        <v>55</v>
      </c>
      <c r="FH300">
        <v>201.44</v>
      </c>
      <c r="FI300">
        <v>55</v>
      </c>
      <c r="FJ300">
        <v>30</v>
      </c>
      <c r="FK300" s="187">
        <v>1</v>
      </c>
      <c r="FL300">
        <v>0</v>
      </c>
      <c r="FM300">
        <v>77</v>
      </c>
      <c r="FN300">
        <v>9</v>
      </c>
    </row>
    <row r="301" spans="1:170" x14ac:dyDescent="0.35">
      <c r="A301" t="s">
        <v>988</v>
      </c>
      <c r="B301" t="s">
        <v>989</v>
      </c>
      <c r="C301" t="s">
        <v>415</v>
      </c>
      <c r="D301">
        <v>2932</v>
      </c>
      <c r="E301">
        <v>2905</v>
      </c>
      <c r="F301">
        <v>0</v>
      </c>
      <c r="G301">
        <v>0</v>
      </c>
      <c r="H301">
        <v>374</v>
      </c>
      <c r="I301">
        <v>156</v>
      </c>
      <c r="J301">
        <v>320</v>
      </c>
      <c r="K301">
        <v>320</v>
      </c>
      <c r="L301">
        <v>763</v>
      </c>
      <c r="M301">
        <v>0</v>
      </c>
      <c r="N301">
        <v>4389</v>
      </c>
      <c r="O301">
        <v>3381</v>
      </c>
      <c r="P301">
        <v>3626</v>
      </c>
      <c r="Q301">
        <v>130</v>
      </c>
      <c r="R301">
        <v>3</v>
      </c>
      <c r="S301">
        <v>25</v>
      </c>
      <c r="T301">
        <v>234</v>
      </c>
      <c r="U301">
        <v>4155</v>
      </c>
      <c r="V301" s="498">
        <v>2889</v>
      </c>
      <c r="W301">
        <v>25</v>
      </c>
      <c r="X301" s="498">
        <v>7</v>
      </c>
      <c r="Y301" s="498">
        <v>32</v>
      </c>
      <c r="Z301" s="498">
        <v>114.04</v>
      </c>
      <c r="AA301" s="498">
        <v>112.26</v>
      </c>
      <c r="AB301">
        <v>8.34</v>
      </c>
      <c r="AC301">
        <v>121.15</v>
      </c>
      <c r="AD301">
        <v>2280</v>
      </c>
      <c r="AE301">
        <v>110.32</v>
      </c>
      <c r="AF301">
        <v>100.02</v>
      </c>
      <c r="AG301">
        <v>46.48</v>
      </c>
      <c r="AH301">
        <v>156.71</v>
      </c>
      <c r="AI301">
        <v>503</v>
      </c>
      <c r="AJ301">
        <v>154.66999999999999</v>
      </c>
      <c r="AK301">
        <v>584</v>
      </c>
      <c r="AL301">
        <v>0</v>
      </c>
      <c r="AM301">
        <v>0</v>
      </c>
      <c r="AN301">
        <v>0</v>
      </c>
      <c r="AO301" s="499">
        <v>0</v>
      </c>
      <c r="AP301" s="499">
        <v>0</v>
      </c>
      <c r="AQ301">
        <v>0</v>
      </c>
      <c r="AR301">
        <v>0</v>
      </c>
      <c r="AS301">
        <v>82.57</v>
      </c>
      <c r="AT301">
        <v>80.41</v>
      </c>
      <c r="AU301">
        <v>17.47</v>
      </c>
      <c r="AV301">
        <v>100.04</v>
      </c>
      <c r="AW301">
        <v>64</v>
      </c>
      <c r="AX301">
        <v>98.46</v>
      </c>
      <c r="AY301">
        <v>96.38</v>
      </c>
      <c r="AZ301">
        <v>11.52</v>
      </c>
      <c r="BA301">
        <v>109.87</v>
      </c>
      <c r="BB301">
        <v>756</v>
      </c>
      <c r="BC301">
        <v>116.1</v>
      </c>
      <c r="BD301">
        <v>114.39</v>
      </c>
      <c r="BE301">
        <v>7.77</v>
      </c>
      <c r="BF301">
        <v>122.72</v>
      </c>
      <c r="BG301">
        <v>812</v>
      </c>
      <c r="BH301">
        <v>131.13999999999999</v>
      </c>
      <c r="BI301">
        <v>129.76</v>
      </c>
      <c r="BJ301">
        <v>2.5</v>
      </c>
      <c r="BK301">
        <v>132.80000000000001</v>
      </c>
      <c r="BL301" s="214">
        <v>585</v>
      </c>
      <c r="BM301" s="214">
        <v>146.97</v>
      </c>
      <c r="BN301">
        <v>147.41</v>
      </c>
      <c r="BO301" s="187">
        <v>2.66</v>
      </c>
      <c r="BP301" s="214">
        <v>149.09</v>
      </c>
      <c r="BQ301" s="214">
        <v>59</v>
      </c>
      <c r="BR301">
        <v>157.16</v>
      </c>
      <c r="BS301" s="187">
        <v>157.16</v>
      </c>
      <c r="BT301" s="214">
        <v>1.54</v>
      </c>
      <c r="BU301" s="214">
        <v>158.69999999999999</v>
      </c>
      <c r="BV301">
        <v>4</v>
      </c>
      <c r="BW301">
        <v>0</v>
      </c>
      <c r="BX301" s="214">
        <v>0</v>
      </c>
      <c r="BY301" s="214">
        <v>0</v>
      </c>
      <c r="BZ301">
        <v>0</v>
      </c>
      <c r="CA301" s="187">
        <v>0</v>
      </c>
      <c r="CB301" s="214">
        <v>114.04</v>
      </c>
      <c r="CC301" s="214">
        <v>112.26</v>
      </c>
      <c r="CD301">
        <v>8.34</v>
      </c>
      <c r="CE301" s="187">
        <v>121.15</v>
      </c>
      <c r="CF301" s="214">
        <v>2280</v>
      </c>
      <c r="CG301" s="214">
        <v>114.04</v>
      </c>
      <c r="CH301">
        <v>112.26</v>
      </c>
      <c r="CI301">
        <v>8.34</v>
      </c>
      <c r="CJ301">
        <v>121.15</v>
      </c>
      <c r="CK301">
        <v>2280</v>
      </c>
      <c r="CL301">
        <v>156.84</v>
      </c>
      <c r="CM301">
        <v>70.260000000000005</v>
      </c>
      <c r="CN301" s="187">
        <v>73.61</v>
      </c>
      <c r="CO301">
        <v>230.45</v>
      </c>
      <c r="CP301">
        <v>21</v>
      </c>
      <c r="CQ301">
        <v>84.52</v>
      </c>
      <c r="CR301">
        <v>83.8</v>
      </c>
      <c r="CS301" s="187">
        <v>66.05</v>
      </c>
      <c r="CT301">
        <v>150.57</v>
      </c>
      <c r="CU301">
        <v>74</v>
      </c>
      <c r="CV301">
        <v>108.36</v>
      </c>
      <c r="CW301">
        <v>99.52</v>
      </c>
      <c r="CX301" s="187">
        <v>42.71</v>
      </c>
      <c r="CY301">
        <v>151.06</v>
      </c>
      <c r="CZ301">
        <v>320</v>
      </c>
      <c r="DA301">
        <v>128.07</v>
      </c>
      <c r="DB301">
        <v>119.37</v>
      </c>
      <c r="DC301" s="187">
        <v>37.130000000000003</v>
      </c>
      <c r="DD301">
        <v>164.78</v>
      </c>
      <c r="DE301">
        <v>88</v>
      </c>
      <c r="DF301">
        <v>0</v>
      </c>
      <c r="DG301">
        <v>0</v>
      </c>
      <c r="DH301" s="187">
        <v>0</v>
      </c>
      <c r="DI301">
        <v>0</v>
      </c>
      <c r="DJ301">
        <v>0</v>
      </c>
      <c r="DK301">
        <v>0</v>
      </c>
      <c r="DL301">
        <v>0</v>
      </c>
      <c r="DM301" s="187">
        <v>0</v>
      </c>
      <c r="DN301">
        <v>0</v>
      </c>
      <c r="DO301">
        <v>0</v>
      </c>
      <c r="DP301">
        <v>108.3</v>
      </c>
      <c r="DQ301">
        <v>100.71</v>
      </c>
      <c r="DR301" s="187">
        <v>45.29</v>
      </c>
      <c r="DS301">
        <v>153.49</v>
      </c>
      <c r="DT301">
        <v>482</v>
      </c>
      <c r="DU301">
        <v>110.32</v>
      </c>
      <c r="DV301">
        <v>100.02</v>
      </c>
      <c r="DW301" s="187">
        <v>46.48</v>
      </c>
      <c r="DX301">
        <v>156.71</v>
      </c>
      <c r="DY301">
        <v>503</v>
      </c>
      <c r="DZ301">
        <v>0</v>
      </c>
      <c r="EA301">
        <v>0</v>
      </c>
      <c r="EB301" s="187">
        <v>137.24</v>
      </c>
      <c r="EC301">
        <v>1</v>
      </c>
      <c r="ED301">
        <v>133.13</v>
      </c>
      <c r="EE301">
        <v>248</v>
      </c>
      <c r="EF301">
        <v>166.62</v>
      </c>
      <c r="EG301" s="187">
        <v>270</v>
      </c>
      <c r="EH301">
        <v>189.31</v>
      </c>
      <c r="EI301">
        <v>61</v>
      </c>
      <c r="EJ301">
        <v>160.21</v>
      </c>
      <c r="EK301">
        <v>4</v>
      </c>
      <c r="EL301" s="187">
        <v>0</v>
      </c>
      <c r="EM301">
        <v>0</v>
      </c>
      <c r="EN301">
        <v>0</v>
      </c>
      <c r="EO301">
        <v>0</v>
      </c>
      <c r="EP301">
        <v>154.66999999999999</v>
      </c>
      <c r="EQ301" s="187">
        <v>584</v>
      </c>
      <c r="ER301">
        <v>154.66999999999999</v>
      </c>
      <c r="ES301">
        <v>584</v>
      </c>
      <c r="ET301">
        <v>0</v>
      </c>
      <c r="EU301">
        <v>0</v>
      </c>
      <c r="EV301" s="187">
        <v>0</v>
      </c>
      <c r="EW301">
        <v>0</v>
      </c>
      <c r="EX301">
        <v>0</v>
      </c>
      <c r="EY301">
        <v>0</v>
      </c>
      <c r="EZ301">
        <v>0</v>
      </c>
      <c r="FA301" s="187">
        <v>0</v>
      </c>
      <c r="FB301">
        <v>0</v>
      </c>
      <c r="FC301">
        <v>0</v>
      </c>
      <c r="FD301">
        <v>0</v>
      </c>
      <c r="FE301">
        <v>0</v>
      </c>
      <c r="FF301" s="187">
        <v>0</v>
      </c>
      <c r="FG301">
        <v>0</v>
      </c>
      <c r="FH301">
        <v>0</v>
      </c>
      <c r="FI301">
        <v>0</v>
      </c>
      <c r="FJ301">
        <v>0</v>
      </c>
      <c r="FK301" s="187">
        <v>0</v>
      </c>
      <c r="FL301">
        <v>0</v>
      </c>
      <c r="FM301">
        <v>100</v>
      </c>
      <c r="FN301">
        <v>14</v>
      </c>
    </row>
    <row r="302" spans="1:170" x14ac:dyDescent="0.35">
      <c r="A302" t="s">
        <v>990</v>
      </c>
      <c r="B302" t="s">
        <v>991</v>
      </c>
      <c r="C302" t="s">
        <v>2</v>
      </c>
      <c r="D302">
        <v>8098</v>
      </c>
      <c r="E302">
        <v>8136</v>
      </c>
      <c r="F302">
        <v>0</v>
      </c>
      <c r="G302">
        <v>0</v>
      </c>
      <c r="H302">
        <v>372</v>
      </c>
      <c r="I302">
        <v>235</v>
      </c>
      <c r="J302">
        <v>882</v>
      </c>
      <c r="K302">
        <v>882</v>
      </c>
      <c r="L302">
        <v>810</v>
      </c>
      <c r="M302">
        <v>32</v>
      </c>
      <c r="N302">
        <v>10162</v>
      </c>
      <c r="O302">
        <v>9285</v>
      </c>
      <c r="P302">
        <v>9352</v>
      </c>
      <c r="Q302">
        <v>7</v>
      </c>
      <c r="R302">
        <v>4</v>
      </c>
      <c r="S302">
        <v>32</v>
      </c>
      <c r="T302">
        <v>134</v>
      </c>
      <c r="U302">
        <v>10028</v>
      </c>
      <c r="V302" s="498">
        <v>8082</v>
      </c>
      <c r="W302">
        <v>44</v>
      </c>
      <c r="X302" s="498">
        <v>42</v>
      </c>
      <c r="Y302" s="498">
        <v>86</v>
      </c>
      <c r="Z302" s="498">
        <v>121.15</v>
      </c>
      <c r="AA302" s="498">
        <v>119.43</v>
      </c>
      <c r="AB302">
        <v>5.64</v>
      </c>
      <c r="AC302">
        <v>124.11</v>
      </c>
      <c r="AD302">
        <v>7680</v>
      </c>
      <c r="AE302">
        <v>110.27</v>
      </c>
      <c r="AF302">
        <v>102.76</v>
      </c>
      <c r="AG302">
        <v>35.28</v>
      </c>
      <c r="AH302">
        <v>144.75</v>
      </c>
      <c r="AI302">
        <v>1104</v>
      </c>
      <c r="AJ302">
        <v>156.83000000000001</v>
      </c>
      <c r="AK302">
        <v>409</v>
      </c>
      <c r="AL302">
        <v>157.31</v>
      </c>
      <c r="AM302">
        <v>42</v>
      </c>
      <c r="AN302">
        <v>0</v>
      </c>
      <c r="AO302" s="499">
        <v>0</v>
      </c>
      <c r="AP302" s="499">
        <v>0</v>
      </c>
      <c r="AQ302">
        <v>0</v>
      </c>
      <c r="AR302">
        <v>0</v>
      </c>
      <c r="AS302">
        <v>81.25</v>
      </c>
      <c r="AT302">
        <v>77.52</v>
      </c>
      <c r="AU302">
        <v>7.66</v>
      </c>
      <c r="AV302">
        <v>88.63</v>
      </c>
      <c r="AW302">
        <v>109</v>
      </c>
      <c r="AX302">
        <v>99.51</v>
      </c>
      <c r="AY302">
        <v>95.24</v>
      </c>
      <c r="AZ302">
        <v>7.62</v>
      </c>
      <c r="BA302">
        <v>105.87</v>
      </c>
      <c r="BB302">
        <v>1560</v>
      </c>
      <c r="BC302">
        <v>120.75</v>
      </c>
      <c r="BD302">
        <v>116.94</v>
      </c>
      <c r="BE302">
        <v>5.77</v>
      </c>
      <c r="BF302">
        <v>124.34</v>
      </c>
      <c r="BG302">
        <v>2691</v>
      </c>
      <c r="BH302">
        <v>131.71</v>
      </c>
      <c r="BI302">
        <v>132.87</v>
      </c>
      <c r="BJ302">
        <v>2.4500000000000002</v>
      </c>
      <c r="BK302">
        <v>132.38999999999999</v>
      </c>
      <c r="BL302" s="214">
        <v>3067</v>
      </c>
      <c r="BM302" s="214">
        <v>147.36000000000001</v>
      </c>
      <c r="BN302">
        <v>149.44</v>
      </c>
      <c r="BO302" s="187">
        <v>2.52</v>
      </c>
      <c r="BP302" s="214">
        <v>148.32</v>
      </c>
      <c r="BQ302" s="214">
        <v>240</v>
      </c>
      <c r="BR302">
        <v>161.1</v>
      </c>
      <c r="BS302" s="187">
        <v>162.72</v>
      </c>
      <c r="BT302" s="214">
        <v>2.59</v>
      </c>
      <c r="BU302" s="214">
        <v>161.75</v>
      </c>
      <c r="BV302">
        <v>12</v>
      </c>
      <c r="BW302">
        <v>164.14</v>
      </c>
      <c r="BX302" s="214">
        <v>162.65</v>
      </c>
      <c r="BY302" s="214">
        <v>0</v>
      </c>
      <c r="BZ302">
        <v>164.14</v>
      </c>
      <c r="CA302" s="187">
        <v>1</v>
      </c>
      <c r="CB302" s="214">
        <v>121.15</v>
      </c>
      <c r="CC302" s="214">
        <v>119.43</v>
      </c>
      <c r="CD302">
        <v>5.64</v>
      </c>
      <c r="CE302" s="187">
        <v>124.11</v>
      </c>
      <c r="CF302" s="214">
        <v>7680</v>
      </c>
      <c r="CG302" s="214">
        <v>121.15</v>
      </c>
      <c r="CH302">
        <v>119.43</v>
      </c>
      <c r="CI302">
        <v>5.64</v>
      </c>
      <c r="CJ302">
        <v>124.11</v>
      </c>
      <c r="CK302">
        <v>7680</v>
      </c>
      <c r="CL302">
        <v>98.67</v>
      </c>
      <c r="CM302">
        <v>83.8</v>
      </c>
      <c r="CN302" s="187">
        <v>77.89</v>
      </c>
      <c r="CO302">
        <v>174.2</v>
      </c>
      <c r="CP302">
        <v>66</v>
      </c>
      <c r="CQ302">
        <v>82.17</v>
      </c>
      <c r="CR302">
        <v>76.86</v>
      </c>
      <c r="CS302" s="187">
        <v>22.76</v>
      </c>
      <c r="CT302">
        <v>104.77</v>
      </c>
      <c r="CU302">
        <v>136</v>
      </c>
      <c r="CV302">
        <v>108.62</v>
      </c>
      <c r="CW302">
        <v>101.35</v>
      </c>
      <c r="CX302" s="187">
        <v>36.619999999999997</v>
      </c>
      <c r="CY302">
        <v>144.19</v>
      </c>
      <c r="CZ302">
        <v>665</v>
      </c>
      <c r="DA302">
        <v>133.96</v>
      </c>
      <c r="DB302">
        <v>126.09</v>
      </c>
      <c r="DC302" s="187">
        <v>27.25</v>
      </c>
      <c r="DD302">
        <v>160.97999999999999</v>
      </c>
      <c r="DE302">
        <v>231</v>
      </c>
      <c r="DF302">
        <v>146.03</v>
      </c>
      <c r="DG302">
        <v>137.33000000000001</v>
      </c>
      <c r="DH302" s="187">
        <v>22.11</v>
      </c>
      <c r="DI302">
        <v>164.45</v>
      </c>
      <c r="DJ302">
        <v>6</v>
      </c>
      <c r="DK302">
        <v>0</v>
      </c>
      <c r="DL302">
        <v>0</v>
      </c>
      <c r="DM302" s="187">
        <v>0</v>
      </c>
      <c r="DN302">
        <v>0</v>
      </c>
      <c r="DO302">
        <v>0</v>
      </c>
      <c r="DP302">
        <v>111.01</v>
      </c>
      <c r="DQ302">
        <v>103.86</v>
      </c>
      <c r="DR302" s="187">
        <v>32.590000000000003</v>
      </c>
      <c r="DS302">
        <v>142.87</v>
      </c>
      <c r="DT302">
        <v>1038</v>
      </c>
      <c r="DU302">
        <v>110.27</v>
      </c>
      <c r="DV302">
        <v>102.76</v>
      </c>
      <c r="DW302" s="187">
        <v>35.28</v>
      </c>
      <c r="DX302">
        <v>144.75</v>
      </c>
      <c r="DY302">
        <v>1104</v>
      </c>
      <c r="DZ302">
        <v>0</v>
      </c>
      <c r="EA302">
        <v>0</v>
      </c>
      <c r="EB302" s="187">
        <v>0</v>
      </c>
      <c r="EC302">
        <v>0</v>
      </c>
      <c r="ED302">
        <v>128.41999999999999</v>
      </c>
      <c r="EE302">
        <v>110</v>
      </c>
      <c r="EF302">
        <v>157.08000000000001</v>
      </c>
      <c r="EG302" s="187">
        <v>191</v>
      </c>
      <c r="EH302">
        <v>183.66</v>
      </c>
      <c r="EI302">
        <v>97</v>
      </c>
      <c r="EJ302">
        <v>199.87</v>
      </c>
      <c r="EK302">
        <v>11</v>
      </c>
      <c r="EL302" s="187">
        <v>0</v>
      </c>
      <c r="EM302">
        <v>0</v>
      </c>
      <c r="EN302">
        <v>0</v>
      </c>
      <c r="EO302">
        <v>0</v>
      </c>
      <c r="EP302">
        <v>156.83000000000001</v>
      </c>
      <c r="EQ302" s="187">
        <v>409</v>
      </c>
      <c r="ER302">
        <v>156.83000000000001</v>
      </c>
      <c r="ES302">
        <v>409</v>
      </c>
      <c r="ET302">
        <v>0</v>
      </c>
      <c r="EU302">
        <v>0</v>
      </c>
      <c r="EV302" s="187">
        <v>0</v>
      </c>
      <c r="EW302">
        <v>0</v>
      </c>
      <c r="EX302">
        <v>140</v>
      </c>
      <c r="EY302">
        <v>21</v>
      </c>
      <c r="EZ302">
        <v>174.62</v>
      </c>
      <c r="FA302" s="187">
        <v>21</v>
      </c>
      <c r="FB302">
        <v>0</v>
      </c>
      <c r="FC302">
        <v>0</v>
      </c>
      <c r="FD302">
        <v>0</v>
      </c>
      <c r="FE302">
        <v>0</v>
      </c>
      <c r="FF302" s="187">
        <v>157.31</v>
      </c>
      <c r="FG302">
        <v>42</v>
      </c>
      <c r="FH302">
        <v>157.31</v>
      </c>
      <c r="FI302">
        <v>42</v>
      </c>
      <c r="FJ302">
        <v>8</v>
      </c>
      <c r="FK302" s="187">
        <v>0</v>
      </c>
      <c r="FL302">
        <v>9</v>
      </c>
      <c r="FM302">
        <v>70</v>
      </c>
      <c r="FN302">
        <v>21</v>
      </c>
    </row>
    <row r="303" spans="1:170" x14ac:dyDescent="0.35">
      <c r="A303" t="s">
        <v>992</v>
      </c>
      <c r="B303" t="s">
        <v>993</v>
      </c>
      <c r="C303" t="s">
        <v>419</v>
      </c>
      <c r="D303">
        <v>2203</v>
      </c>
      <c r="E303">
        <v>2108</v>
      </c>
      <c r="F303">
        <v>2</v>
      </c>
      <c r="G303">
        <v>2</v>
      </c>
      <c r="H303">
        <v>21</v>
      </c>
      <c r="I303">
        <v>16</v>
      </c>
      <c r="J303">
        <v>319</v>
      </c>
      <c r="K303">
        <v>270</v>
      </c>
      <c r="L303">
        <v>150</v>
      </c>
      <c r="M303">
        <v>0</v>
      </c>
      <c r="N303">
        <v>2695</v>
      </c>
      <c r="O303">
        <v>2396</v>
      </c>
      <c r="P303">
        <v>2545</v>
      </c>
      <c r="Q303">
        <v>0</v>
      </c>
      <c r="R303">
        <v>7</v>
      </c>
      <c r="S303">
        <v>12</v>
      </c>
      <c r="T303">
        <v>163</v>
      </c>
      <c r="U303">
        <v>2532</v>
      </c>
      <c r="V303" s="498">
        <v>2108</v>
      </c>
      <c r="W303">
        <v>11</v>
      </c>
      <c r="X303" s="498">
        <v>4</v>
      </c>
      <c r="Y303" s="498">
        <v>15</v>
      </c>
      <c r="Z303" s="498">
        <v>88.4</v>
      </c>
      <c r="AA303" s="498">
        <v>85.05</v>
      </c>
      <c r="AB303">
        <v>3.31</v>
      </c>
      <c r="AC303">
        <v>90.69</v>
      </c>
      <c r="AD303">
        <v>1920</v>
      </c>
      <c r="AE303">
        <v>82.63</v>
      </c>
      <c r="AF303">
        <v>76.510000000000005</v>
      </c>
      <c r="AG303">
        <v>21.6</v>
      </c>
      <c r="AH303">
        <v>103.99</v>
      </c>
      <c r="AI303">
        <v>272</v>
      </c>
      <c r="AJ303">
        <v>122.38</v>
      </c>
      <c r="AK303">
        <v>204</v>
      </c>
      <c r="AL303">
        <v>100.11</v>
      </c>
      <c r="AM303">
        <v>4</v>
      </c>
      <c r="AN303">
        <v>63.97</v>
      </c>
      <c r="AO303" s="499">
        <v>60.32</v>
      </c>
      <c r="AP303" s="499">
        <v>2.2999999999999998</v>
      </c>
      <c r="AQ303">
        <v>66.27</v>
      </c>
      <c r="AR303">
        <v>2</v>
      </c>
      <c r="AS303">
        <v>0</v>
      </c>
      <c r="AT303">
        <v>0</v>
      </c>
      <c r="AU303">
        <v>0</v>
      </c>
      <c r="AV303">
        <v>0</v>
      </c>
      <c r="AW303">
        <v>0</v>
      </c>
      <c r="AX303">
        <v>74.069999999999993</v>
      </c>
      <c r="AY303">
        <v>70.91</v>
      </c>
      <c r="AZ303">
        <v>4.5199999999999996</v>
      </c>
      <c r="BA303">
        <v>78.05</v>
      </c>
      <c r="BB303">
        <v>497</v>
      </c>
      <c r="BC303">
        <v>87.8</v>
      </c>
      <c r="BD303">
        <v>84.48</v>
      </c>
      <c r="BE303">
        <v>2.95</v>
      </c>
      <c r="BF303">
        <v>89.92</v>
      </c>
      <c r="BG303">
        <v>748</v>
      </c>
      <c r="BH303">
        <v>98.66</v>
      </c>
      <c r="BI303">
        <v>95.07</v>
      </c>
      <c r="BJ303">
        <v>2.38</v>
      </c>
      <c r="BK303">
        <v>99.88</v>
      </c>
      <c r="BL303" s="214">
        <v>636</v>
      </c>
      <c r="BM303" s="214">
        <v>116.56</v>
      </c>
      <c r="BN303">
        <v>113.24</v>
      </c>
      <c r="BO303" s="187">
        <v>2.06</v>
      </c>
      <c r="BP303" s="214">
        <v>117.68</v>
      </c>
      <c r="BQ303" s="214">
        <v>33</v>
      </c>
      <c r="BR303">
        <v>130.9</v>
      </c>
      <c r="BS303" s="187">
        <v>126.64</v>
      </c>
      <c r="BT303" s="214">
        <v>1.05</v>
      </c>
      <c r="BU303" s="214">
        <v>131.6</v>
      </c>
      <c r="BV303">
        <v>3</v>
      </c>
      <c r="BW303">
        <v>136.43</v>
      </c>
      <c r="BX303" s="214">
        <v>160.86000000000001</v>
      </c>
      <c r="BY303" s="214">
        <v>0</v>
      </c>
      <c r="BZ303">
        <v>136.43</v>
      </c>
      <c r="CA303" s="187">
        <v>1</v>
      </c>
      <c r="CB303" s="214">
        <v>88.43</v>
      </c>
      <c r="CC303" s="214">
        <v>85.07</v>
      </c>
      <c r="CD303">
        <v>3.31</v>
      </c>
      <c r="CE303" s="187">
        <v>90.71</v>
      </c>
      <c r="CF303" s="214">
        <v>1918</v>
      </c>
      <c r="CG303" s="214">
        <v>88.4</v>
      </c>
      <c r="CH303">
        <v>85.05</v>
      </c>
      <c r="CI303">
        <v>3.31</v>
      </c>
      <c r="CJ303">
        <v>90.69</v>
      </c>
      <c r="CK303">
        <v>1920</v>
      </c>
      <c r="CL303">
        <v>105.04</v>
      </c>
      <c r="CM303">
        <v>61.47</v>
      </c>
      <c r="CN303" s="187">
        <v>20.72</v>
      </c>
      <c r="CO303">
        <v>125.76</v>
      </c>
      <c r="CP303">
        <v>8</v>
      </c>
      <c r="CQ303">
        <v>67.2</v>
      </c>
      <c r="CR303">
        <v>61.47</v>
      </c>
      <c r="CS303" s="187">
        <v>10.38</v>
      </c>
      <c r="CT303">
        <v>77.58</v>
      </c>
      <c r="CU303">
        <v>5</v>
      </c>
      <c r="CV303">
        <v>79.23</v>
      </c>
      <c r="CW303">
        <v>74.61</v>
      </c>
      <c r="CX303" s="187">
        <v>20.54</v>
      </c>
      <c r="CY303">
        <v>99.57</v>
      </c>
      <c r="CZ303">
        <v>211</v>
      </c>
      <c r="DA303">
        <v>95.48</v>
      </c>
      <c r="DB303">
        <v>88.29</v>
      </c>
      <c r="DC303" s="187">
        <v>27.68</v>
      </c>
      <c r="DD303">
        <v>122.58</v>
      </c>
      <c r="DE303">
        <v>48</v>
      </c>
      <c r="DF303">
        <v>0</v>
      </c>
      <c r="DG303">
        <v>0</v>
      </c>
      <c r="DH303" s="187">
        <v>0</v>
      </c>
      <c r="DI303">
        <v>0</v>
      </c>
      <c r="DJ303">
        <v>0</v>
      </c>
      <c r="DK303">
        <v>0</v>
      </c>
      <c r="DL303">
        <v>0</v>
      </c>
      <c r="DM303" s="187">
        <v>0</v>
      </c>
      <c r="DN303">
        <v>0</v>
      </c>
      <c r="DO303">
        <v>0</v>
      </c>
      <c r="DP303">
        <v>81.95</v>
      </c>
      <c r="DQ303">
        <v>76.849999999999994</v>
      </c>
      <c r="DR303" s="187">
        <v>21.63</v>
      </c>
      <c r="DS303">
        <v>103.34</v>
      </c>
      <c r="DT303">
        <v>264</v>
      </c>
      <c r="DU303">
        <v>82.63</v>
      </c>
      <c r="DV303">
        <v>76.510000000000005</v>
      </c>
      <c r="DW303" s="187">
        <v>21.6</v>
      </c>
      <c r="DX303">
        <v>103.99</v>
      </c>
      <c r="DY303">
        <v>272</v>
      </c>
      <c r="DZ303">
        <v>0</v>
      </c>
      <c r="EA303">
        <v>0</v>
      </c>
      <c r="EB303" s="187">
        <v>0</v>
      </c>
      <c r="EC303">
        <v>0</v>
      </c>
      <c r="ED303">
        <v>102.05</v>
      </c>
      <c r="EE303">
        <v>40</v>
      </c>
      <c r="EF303">
        <v>117.26</v>
      </c>
      <c r="EG303" s="187">
        <v>95</v>
      </c>
      <c r="EH303">
        <v>139.88999999999999</v>
      </c>
      <c r="EI303">
        <v>66</v>
      </c>
      <c r="EJ303">
        <v>170.35</v>
      </c>
      <c r="EK303">
        <v>3</v>
      </c>
      <c r="EL303" s="187">
        <v>0</v>
      </c>
      <c r="EM303">
        <v>0</v>
      </c>
      <c r="EN303">
        <v>0</v>
      </c>
      <c r="EO303">
        <v>0</v>
      </c>
      <c r="EP303">
        <v>122.38</v>
      </c>
      <c r="EQ303" s="187">
        <v>204</v>
      </c>
      <c r="ER303">
        <v>122.38</v>
      </c>
      <c r="ES303">
        <v>204</v>
      </c>
      <c r="ET303">
        <v>0</v>
      </c>
      <c r="EU303">
        <v>0</v>
      </c>
      <c r="EV303" s="187">
        <v>0</v>
      </c>
      <c r="EW303">
        <v>0</v>
      </c>
      <c r="EX303">
        <v>100.11</v>
      </c>
      <c r="EY303">
        <v>4</v>
      </c>
      <c r="EZ303">
        <v>0</v>
      </c>
      <c r="FA303" s="187">
        <v>0</v>
      </c>
      <c r="FB303">
        <v>0</v>
      </c>
      <c r="FC303">
        <v>0</v>
      </c>
      <c r="FD303">
        <v>0</v>
      </c>
      <c r="FE303">
        <v>0</v>
      </c>
      <c r="FF303" s="187">
        <v>100.11</v>
      </c>
      <c r="FG303">
        <v>4</v>
      </c>
      <c r="FH303">
        <v>100.11</v>
      </c>
      <c r="FI303">
        <v>4</v>
      </c>
      <c r="FJ303">
        <v>0</v>
      </c>
      <c r="FK303" s="187">
        <v>2</v>
      </c>
      <c r="FL303">
        <v>7</v>
      </c>
      <c r="FM303">
        <v>25</v>
      </c>
      <c r="FN303">
        <v>7</v>
      </c>
    </row>
    <row r="304" spans="1:170" x14ac:dyDescent="0.35">
      <c r="A304" t="s">
        <v>994</v>
      </c>
      <c r="B304" t="s">
        <v>995</v>
      </c>
      <c r="C304" t="s">
        <v>418</v>
      </c>
      <c r="D304">
        <v>1011</v>
      </c>
      <c r="E304">
        <v>946</v>
      </c>
      <c r="F304">
        <v>0</v>
      </c>
      <c r="G304">
        <v>0</v>
      </c>
      <c r="H304">
        <v>203</v>
      </c>
      <c r="I304">
        <v>96</v>
      </c>
      <c r="J304">
        <v>371</v>
      </c>
      <c r="K304">
        <v>365</v>
      </c>
      <c r="L304">
        <v>440</v>
      </c>
      <c r="M304">
        <v>0</v>
      </c>
      <c r="N304">
        <v>2025</v>
      </c>
      <c r="O304">
        <v>1407</v>
      </c>
      <c r="P304">
        <v>1585</v>
      </c>
      <c r="Q304">
        <v>3</v>
      </c>
      <c r="R304">
        <v>10</v>
      </c>
      <c r="S304">
        <v>23</v>
      </c>
      <c r="T304">
        <v>129</v>
      </c>
      <c r="U304">
        <v>1896</v>
      </c>
      <c r="V304" s="498">
        <v>976</v>
      </c>
      <c r="W304">
        <v>10</v>
      </c>
      <c r="X304" s="498">
        <v>0</v>
      </c>
      <c r="Y304" s="498">
        <v>10</v>
      </c>
      <c r="Z304" s="498">
        <v>94.5</v>
      </c>
      <c r="AA304" s="498">
        <v>92.95</v>
      </c>
      <c r="AB304">
        <v>5.59</v>
      </c>
      <c r="AC304">
        <v>98.14</v>
      </c>
      <c r="AD304">
        <v>551</v>
      </c>
      <c r="AE304">
        <v>104.46</v>
      </c>
      <c r="AF304">
        <v>84.28</v>
      </c>
      <c r="AG304">
        <v>43.72</v>
      </c>
      <c r="AH304">
        <v>147.63</v>
      </c>
      <c r="AI304">
        <v>480</v>
      </c>
      <c r="AJ304">
        <v>112.85</v>
      </c>
      <c r="AK304">
        <v>389</v>
      </c>
      <c r="AL304">
        <v>0</v>
      </c>
      <c r="AM304">
        <v>0</v>
      </c>
      <c r="AN304">
        <v>0</v>
      </c>
      <c r="AO304" s="499">
        <v>0</v>
      </c>
      <c r="AP304" s="499">
        <v>0</v>
      </c>
      <c r="AQ304">
        <v>0</v>
      </c>
      <c r="AR304">
        <v>0</v>
      </c>
      <c r="AS304">
        <v>69.44</v>
      </c>
      <c r="AT304">
        <v>72.3</v>
      </c>
      <c r="AU304">
        <v>9.91</v>
      </c>
      <c r="AV304">
        <v>79.349999999999994</v>
      </c>
      <c r="AW304">
        <v>2</v>
      </c>
      <c r="AX304">
        <v>76.94</v>
      </c>
      <c r="AY304">
        <v>77.67</v>
      </c>
      <c r="AZ304">
        <v>11.96</v>
      </c>
      <c r="BA304">
        <v>86.83</v>
      </c>
      <c r="BB304">
        <v>110</v>
      </c>
      <c r="BC304">
        <v>96.17</v>
      </c>
      <c r="BD304">
        <v>94.2</v>
      </c>
      <c r="BE304">
        <v>3.98</v>
      </c>
      <c r="BF304">
        <v>99.05</v>
      </c>
      <c r="BG304">
        <v>228</v>
      </c>
      <c r="BH304">
        <v>102.09</v>
      </c>
      <c r="BI304">
        <v>99.88</v>
      </c>
      <c r="BJ304">
        <v>2.39</v>
      </c>
      <c r="BK304">
        <v>103.31</v>
      </c>
      <c r="BL304" s="214">
        <v>193</v>
      </c>
      <c r="BM304" s="214">
        <v>101.94</v>
      </c>
      <c r="BN304">
        <v>98.5</v>
      </c>
      <c r="BO304" s="187">
        <v>2.4700000000000002</v>
      </c>
      <c r="BP304" s="214">
        <v>102.22</v>
      </c>
      <c r="BQ304" s="214">
        <v>18</v>
      </c>
      <c r="BR304">
        <v>0</v>
      </c>
      <c r="BS304" s="187">
        <v>0</v>
      </c>
      <c r="BT304" s="214">
        <v>0</v>
      </c>
      <c r="BU304" s="214">
        <v>0</v>
      </c>
      <c r="BV304">
        <v>0</v>
      </c>
      <c r="BW304">
        <v>0</v>
      </c>
      <c r="BX304" s="214">
        <v>0</v>
      </c>
      <c r="BY304" s="214">
        <v>0</v>
      </c>
      <c r="BZ304">
        <v>0</v>
      </c>
      <c r="CA304" s="187">
        <v>0</v>
      </c>
      <c r="CB304" s="214">
        <v>94.5</v>
      </c>
      <c r="CC304" s="214">
        <v>92.95</v>
      </c>
      <c r="CD304">
        <v>5.59</v>
      </c>
      <c r="CE304" s="187">
        <v>98.14</v>
      </c>
      <c r="CF304" s="214">
        <v>551</v>
      </c>
      <c r="CG304" s="214">
        <v>94.5</v>
      </c>
      <c r="CH304">
        <v>92.95</v>
      </c>
      <c r="CI304">
        <v>5.59</v>
      </c>
      <c r="CJ304">
        <v>98.14</v>
      </c>
      <c r="CK304">
        <v>551</v>
      </c>
      <c r="CL304">
        <v>155.87</v>
      </c>
      <c r="CM304">
        <v>76.56</v>
      </c>
      <c r="CN304" s="187">
        <v>63.08</v>
      </c>
      <c r="CO304">
        <v>217.55</v>
      </c>
      <c r="CP304">
        <v>90</v>
      </c>
      <c r="CQ304">
        <v>78.989999999999995</v>
      </c>
      <c r="CR304">
        <v>73.11</v>
      </c>
      <c r="CS304" s="187">
        <v>43.81</v>
      </c>
      <c r="CT304">
        <v>122.8</v>
      </c>
      <c r="CU304">
        <v>41</v>
      </c>
      <c r="CV304">
        <v>88.65</v>
      </c>
      <c r="CW304">
        <v>81.45</v>
      </c>
      <c r="CX304" s="187">
        <v>36.46</v>
      </c>
      <c r="CY304">
        <v>124.5</v>
      </c>
      <c r="CZ304">
        <v>242</v>
      </c>
      <c r="DA304">
        <v>105.65</v>
      </c>
      <c r="DB304">
        <v>95.79</v>
      </c>
      <c r="DC304" s="187">
        <v>44.55</v>
      </c>
      <c r="DD304">
        <v>150.19999999999999</v>
      </c>
      <c r="DE304">
        <v>102</v>
      </c>
      <c r="DF304">
        <v>129.59</v>
      </c>
      <c r="DG304">
        <v>118.83</v>
      </c>
      <c r="DH304" s="187">
        <v>30.36</v>
      </c>
      <c r="DI304">
        <v>159.96</v>
      </c>
      <c r="DJ304">
        <v>5</v>
      </c>
      <c r="DK304">
        <v>0</v>
      </c>
      <c r="DL304">
        <v>0</v>
      </c>
      <c r="DM304" s="187">
        <v>0</v>
      </c>
      <c r="DN304">
        <v>0</v>
      </c>
      <c r="DO304">
        <v>0</v>
      </c>
      <c r="DP304">
        <v>92.6</v>
      </c>
      <c r="DQ304">
        <v>84.72</v>
      </c>
      <c r="DR304" s="187">
        <v>39.299999999999997</v>
      </c>
      <c r="DS304">
        <v>131.5</v>
      </c>
      <c r="DT304">
        <v>390</v>
      </c>
      <c r="DU304">
        <v>104.46</v>
      </c>
      <c r="DV304">
        <v>84.28</v>
      </c>
      <c r="DW304" s="187">
        <v>43.72</v>
      </c>
      <c r="DX304">
        <v>147.63</v>
      </c>
      <c r="DY304">
        <v>480</v>
      </c>
      <c r="DZ304">
        <v>0</v>
      </c>
      <c r="EA304">
        <v>0</v>
      </c>
      <c r="EB304" s="187">
        <v>0</v>
      </c>
      <c r="EC304">
        <v>0</v>
      </c>
      <c r="ED304">
        <v>93.29</v>
      </c>
      <c r="EE304">
        <v>50</v>
      </c>
      <c r="EF304">
        <v>111.56</v>
      </c>
      <c r="EG304" s="187">
        <v>233</v>
      </c>
      <c r="EH304">
        <v>124.89</v>
      </c>
      <c r="EI304">
        <v>106</v>
      </c>
      <c r="EJ304">
        <v>0</v>
      </c>
      <c r="EK304">
        <v>0</v>
      </c>
      <c r="EL304" s="187">
        <v>0</v>
      </c>
      <c r="EM304">
        <v>0</v>
      </c>
      <c r="EN304">
        <v>0</v>
      </c>
      <c r="EO304">
        <v>0</v>
      </c>
      <c r="EP304">
        <v>112.85</v>
      </c>
      <c r="EQ304" s="187">
        <v>389</v>
      </c>
      <c r="ER304">
        <v>112.85</v>
      </c>
      <c r="ES304">
        <v>389</v>
      </c>
      <c r="ET304">
        <v>0</v>
      </c>
      <c r="EU304">
        <v>0</v>
      </c>
      <c r="EV304" s="187">
        <v>0</v>
      </c>
      <c r="EW304">
        <v>0</v>
      </c>
      <c r="EX304">
        <v>0</v>
      </c>
      <c r="EY304">
        <v>0</v>
      </c>
      <c r="EZ304">
        <v>0</v>
      </c>
      <c r="FA304" s="187">
        <v>0</v>
      </c>
      <c r="FB304">
        <v>0</v>
      </c>
      <c r="FC304">
        <v>0</v>
      </c>
      <c r="FD304">
        <v>0</v>
      </c>
      <c r="FE304">
        <v>0</v>
      </c>
      <c r="FF304" s="187">
        <v>0</v>
      </c>
      <c r="FG304">
        <v>0</v>
      </c>
      <c r="FH304">
        <v>0</v>
      </c>
      <c r="FI304">
        <v>0</v>
      </c>
      <c r="FJ304">
        <v>32</v>
      </c>
      <c r="FK304" s="187">
        <v>2</v>
      </c>
      <c r="FL304">
        <v>0</v>
      </c>
      <c r="FM304">
        <v>3</v>
      </c>
      <c r="FN304">
        <v>6</v>
      </c>
    </row>
    <row r="305" spans="1:170" x14ac:dyDescent="0.35">
      <c r="A305" t="s">
        <v>996</v>
      </c>
      <c r="B305" t="s">
        <v>997</v>
      </c>
      <c r="C305" t="s">
        <v>414</v>
      </c>
      <c r="D305">
        <v>4314</v>
      </c>
      <c r="E305">
        <v>4261</v>
      </c>
      <c r="F305">
        <v>0</v>
      </c>
      <c r="G305">
        <v>0</v>
      </c>
      <c r="H305">
        <v>128</v>
      </c>
      <c r="I305">
        <v>89</v>
      </c>
      <c r="J305">
        <v>422</v>
      </c>
      <c r="K305">
        <v>422</v>
      </c>
      <c r="L305">
        <v>360</v>
      </c>
      <c r="M305">
        <v>0</v>
      </c>
      <c r="N305">
        <v>5224</v>
      </c>
      <c r="O305">
        <v>4772</v>
      </c>
      <c r="P305">
        <v>4864</v>
      </c>
      <c r="Q305">
        <v>0</v>
      </c>
      <c r="R305">
        <v>4</v>
      </c>
      <c r="S305">
        <v>16</v>
      </c>
      <c r="T305">
        <v>88</v>
      </c>
      <c r="U305">
        <v>5136</v>
      </c>
      <c r="V305" s="498">
        <v>4261</v>
      </c>
      <c r="W305">
        <v>18</v>
      </c>
      <c r="X305" s="498">
        <v>18</v>
      </c>
      <c r="Y305" s="498">
        <v>36</v>
      </c>
      <c r="Z305" s="498">
        <v>81.38</v>
      </c>
      <c r="AA305" s="498">
        <v>81.22</v>
      </c>
      <c r="AB305">
        <v>4.17</v>
      </c>
      <c r="AC305">
        <v>82.72</v>
      </c>
      <c r="AD305">
        <v>3770</v>
      </c>
      <c r="AE305">
        <v>81.05</v>
      </c>
      <c r="AF305">
        <v>74.430000000000007</v>
      </c>
      <c r="AG305">
        <v>37.47</v>
      </c>
      <c r="AH305">
        <v>118.53</v>
      </c>
      <c r="AI305">
        <v>491</v>
      </c>
      <c r="AJ305">
        <v>104.6</v>
      </c>
      <c r="AK305">
        <v>519</v>
      </c>
      <c r="AL305">
        <v>122.16</v>
      </c>
      <c r="AM305">
        <v>36</v>
      </c>
      <c r="AN305">
        <v>0</v>
      </c>
      <c r="AO305" s="499">
        <v>0</v>
      </c>
      <c r="AP305" s="499">
        <v>0</v>
      </c>
      <c r="AQ305">
        <v>0</v>
      </c>
      <c r="AR305">
        <v>0</v>
      </c>
      <c r="AS305">
        <v>57.79</v>
      </c>
      <c r="AT305">
        <v>57.79</v>
      </c>
      <c r="AU305">
        <v>0</v>
      </c>
      <c r="AV305">
        <v>57.79</v>
      </c>
      <c r="AW305">
        <v>2</v>
      </c>
      <c r="AX305">
        <v>65.89</v>
      </c>
      <c r="AY305">
        <v>65.94</v>
      </c>
      <c r="AZ305">
        <v>3.9</v>
      </c>
      <c r="BA305">
        <v>68.58</v>
      </c>
      <c r="BB305">
        <v>589</v>
      </c>
      <c r="BC305">
        <v>81.05</v>
      </c>
      <c r="BD305">
        <v>80.69</v>
      </c>
      <c r="BE305">
        <v>4.79</v>
      </c>
      <c r="BF305">
        <v>82.75</v>
      </c>
      <c r="BG305">
        <v>1692</v>
      </c>
      <c r="BH305">
        <v>87.46</v>
      </c>
      <c r="BI305">
        <v>87.46</v>
      </c>
      <c r="BJ305">
        <v>3.01</v>
      </c>
      <c r="BK305">
        <v>87.89</v>
      </c>
      <c r="BL305" s="214">
        <v>1404</v>
      </c>
      <c r="BM305" s="214">
        <v>95.69</v>
      </c>
      <c r="BN305">
        <v>95.62</v>
      </c>
      <c r="BO305" s="187">
        <v>1.32</v>
      </c>
      <c r="BP305" s="214">
        <v>95.84</v>
      </c>
      <c r="BQ305" s="214">
        <v>82</v>
      </c>
      <c r="BR305">
        <v>94.77</v>
      </c>
      <c r="BS305" s="187">
        <v>94.77</v>
      </c>
      <c r="BT305" s="214">
        <v>0</v>
      </c>
      <c r="BU305" s="214">
        <v>94.77</v>
      </c>
      <c r="BV305">
        <v>1</v>
      </c>
      <c r="BW305">
        <v>0</v>
      </c>
      <c r="BX305" s="214">
        <v>0</v>
      </c>
      <c r="BY305" s="214">
        <v>0</v>
      </c>
      <c r="BZ305">
        <v>0</v>
      </c>
      <c r="CA305" s="187">
        <v>0</v>
      </c>
      <c r="CB305" s="214">
        <v>81.38</v>
      </c>
      <c r="CC305" s="214">
        <v>81.22</v>
      </c>
      <c r="CD305">
        <v>4.17</v>
      </c>
      <c r="CE305" s="187">
        <v>82.72</v>
      </c>
      <c r="CF305" s="214">
        <v>3770</v>
      </c>
      <c r="CG305" s="214">
        <v>81.38</v>
      </c>
      <c r="CH305">
        <v>81.22</v>
      </c>
      <c r="CI305">
        <v>4.17</v>
      </c>
      <c r="CJ305">
        <v>82.72</v>
      </c>
      <c r="CK305">
        <v>3770</v>
      </c>
      <c r="CL305">
        <v>113.2</v>
      </c>
      <c r="CM305">
        <v>72.989999999999995</v>
      </c>
      <c r="CN305" s="187">
        <v>118.15</v>
      </c>
      <c r="CO305">
        <v>231.35</v>
      </c>
      <c r="CP305">
        <v>46</v>
      </c>
      <c r="CQ305">
        <v>69.099999999999994</v>
      </c>
      <c r="CR305">
        <v>69.099999999999994</v>
      </c>
      <c r="CS305" s="187">
        <v>35.08</v>
      </c>
      <c r="CT305">
        <v>104.18</v>
      </c>
      <c r="CU305">
        <v>1</v>
      </c>
      <c r="CV305">
        <v>71.02</v>
      </c>
      <c r="CW305">
        <v>67.97</v>
      </c>
      <c r="CX305" s="187">
        <v>35.159999999999997</v>
      </c>
      <c r="CY305">
        <v>106.18</v>
      </c>
      <c r="CZ305">
        <v>290</v>
      </c>
      <c r="DA305">
        <v>90.36</v>
      </c>
      <c r="DB305">
        <v>87.15</v>
      </c>
      <c r="DC305" s="187">
        <v>16.77</v>
      </c>
      <c r="DD305">
        <v>107.13</v>
      </c>
      <c r="DE305">
        <v>148</v>
      </c>
      <c r="DF305">
        <v>92.02</v>
      </c>
      <c r="DG305">
        <v>81.8</v>
      </c>
      <c r="DH305" s="187">
        <v>41.67</v>
      </c>
      <c r="DI305">
        <v>133.68</v>
      </c>
      <c r="DJ305">
        <v>6</v>
      </c>
      <c r="DK305">
        <v>0</v>
      </c>
      <c r="DL305">
        <v>0</v>
      </c>
      <c r="DM305" s="187">
        <v>0</v>
      </c>
      <c r="DN305">
        <v>0</v>
      </c>
      <c r="DO305">
        <v>0</v>
      </c>
      <c r="DP305">
        <v>77.73</v>
      </c>
      <c r="DQ305">
        <v>74.540000000000006</v>
      </c>
      <c r="DR305" s="187">
        <v>29.13</v>
      </c>
      <c r="DS305">
        <v>106.86</v>
      </c>
      <c r="DT305">
        <v>445</v>
      </c>
      <c r="DU305">
        <v>81.05</v>
      </c>
      <c r="DV305">
        <v>74.430000000000007</v>
      </c>
      <c r="DW305" s="187">
        <v>37.47</v>
      </c>
      <c r="DX305">
        <v>118.53</v>
      </c>
      <c r="DY305">
        <v>491</v>
      </c>
      <c r="DZ305">
        <v>0</v>
      </c>
      <c r="EA305">
        <v>0</v>
      </c>
      <c r="EB305" s="187">
        <v>70.27</v>
      </c>
      <c r="EC305">
        <v>2</v>
      </c>
      <c r="ED305">
        <v>91.9</v>
      </c>
      <c r="EE305">
        <v>109</v>
      </c>
      <c r="EF305">
        <v>105.24</v>
      </c>
      <c r="EG305" s="187">
        <v>287</v>
      </c>
      <c r="EH305">
        <v>113.72</v>
      </c>
      <c r="EI305">
        <v>114</v>
      </c>
      <c r="EJ305">
        <v>137.62</v>
      </c>
      <c r="EK305">
        <v>7</v>
      </c>
      <c r="EL305" s="187">
        <v>0</v>
      </c>
      <c r="EM305">
        <v>0</v>
      </c>
      <c r="EN305">
        <v>0</v>
      </c>
      <c r="EO305">
        <v>0</v>
      </c>
      <c r="EP305">
        <v>104.6</v>
      </c>
      <c r="EQ305" s="187">
        <v>519</v>
      </c>
      <c r="ER305">
        <v>104.6</v>
      </c>
      <c r="ES305">
        <v>519</v>
      </c>
      <c r="ET305">
        <v>0</v>
      </c>
      <c r="EU305">
        <v>0</v>
      </c>
      <c r="EV305" s="187">
        <v>0</v>
      </c>
      <c r="EW305">
        <v>0</v>
      </c>
      <c r="EX305">
        <v>122.63</v>
      </c>
      <c r="EY305">
        <v>24</v>
      </c>
      <c r="EZ305">
        <v>121.23</v>
      </c>
      <c r="FA305" s="187">
        <v>12</v>
      </c>
      <c r="FB305">
        <v>0</v>
      </c>
      <c r="FC305">
        <v>0</v>
      </c>
      <c r="FD305">
        <v>0</v>
      </c>
      <c r="FE305">
        <v>0</v>
      </c>
      <c r="FF305" s="187">
        <v>122.16</v>
      </c>
      <c r="FG305">
        <v>36</v>
      </c>
      <c r="FH305">
        <v>122.16</v>
      </c>
      <c r="FI305">
        <v>36</v>
      </c>
      <c r="FJ305">
        <v>0</v>
      </c>
      <c r="FK305" s="187">
        <v>10</v>
      </c>
      <c r="FL305">
        <v>1</v>
      </c>
      <c r="FM305">
        <v>8</v>
      </c>
      <c r="FN305">
        <v>5</v>
      </c>
    </row>
    <row r="306" spans="1:170" x14ac:dyDescent="0.35">
      <c r="A306" t="s">
        <v>14117</v>
      </c>
      <c r="B306" t="s">
        <v>14118</v>
      </c>
      <c r="C306" t="s">
        <v>414</v>
      </c>
      <c r="D306">
        <v>11804</v>
      </c>
      <c r="E306">
        <v>11523</v>
      </c>
      <c r="F306">
        <v>9</v>
      </c>
      <c r="G306">
        <v>9</v>
      </c>
      <c r="H306">
        <v>472</v>
      </c>
      <c r="I306">
        <v>255</v>
      </c>
      <c r="J306">
        <v>2259</v>
      </c>
      <c r="K306">
        <v>2259</v>
      </c>
      <c r="L306">
        <v>2627</v>
      </c>
      <c r="M306">
        <v>333</v>
      </c>
      <c r="N306">
        <v>17171</v>
      </c>
      <c r="O306">
        <v>14379</v>
      </c>
      <c r="P306">
        <v>14544</v>
      </c>
      <c r="Q306">
        <v>1</v>
      </c>
      <c r="R306">
        <v>5</v>
      </c>
      <c r="S306">
        <v>42</v>
      </c>
      <c r="T306">
        <v>302</v>
      </c>
      <c r="U306">
        <v>16869</v>
      </c>
      <c r="V306" s="498">
        <v>11537</v>
      </c>
      <c r="W306">
        <v>126</v>
      </c>
      <c r="X306" s="498">
        <v>41</v>
      </c>
      <c r="Y306" s="498">
        <v>167</v>
      </c>
      <c r="Z306" s="498">
        <v>99.82</v>
      </c>
      <c r="AA306" s="498">
        <v>99.42</v>
      </c>
      <c r="AB306">
        <v>6.11</v>
      </c>
      <c r="AC306">
        <v>103.65</v>
      </c>
      <c r="AD306">
        <v>9196</v>
      </c>
      <c r="AE306">
        <v>99.52</v>
      </c>
      <c r="AF306">
        <v>91.56</v>
      </c>
      <c r="AG306">
        <v>37.61</v>
      </c>
      <c r="AH306">
        <v>128.53</v>
      </c>
      <c r="AI306">
        <v>2693</v>
      </c>
      <c r="AJ306">
        <v>133.04</v>
      </c>
      <c r="AK306">
        <v>2157</v>
      </c>
      <c r="AL306">
        <v>116.51</v>
      </c>
      <c r="AM306">
        <v>2</v>
      </c>
      <c r="AN306">
        <v>88.6</v>
      </c>
      <c r="AO306" s="499">
        <v>88.6</v>
      </c>
      <c r="AP306" s="499">
        <v>139.94999999999999</v>
      </c>
      <c r="AQ306">
        <v>228.55</v>
      </c>
      <c r="AR306">
        <v>9</v>
      </c>
      <c r="AS306">
        <v>69.099999999999994</v>
      </c>
      <c r="AT306">
        <v>68.569999999999993</v>
      </c>
      <c r="AU306">
        <v>14.73</v>
      </c>
      <c r="AV306">
        <v>83.83</v>
      </c>
      <c r="AW306">
        <v>75</v>
      </c>
      <c r="AX306">
        <v>84.08</v>
      </c>
      <c r="AY306">
        <v>82.61</v>
      </c>
      <c r="AZ306">
        <v>9.58</v>
      </c>
      <c r="BA306">
        <v>92.74</v>
      </c>
      <c r="BB306">
        <v>1465</v>
      </c>
      <c r="BC306">
        <v>97.3</v>
      </c>
      <c r="BD306">
        <v>95.7</v>
      </c>
      <c r="BE306">
        <v>6.95</v>
      </c>
      <c r="BF306">
        <v>101.42</v>
      </c>
      <c r="BG306">
        <v>3593</v>
      </c>
      <c r="BH306">
        <v>107.09</v>
      </c>
      <c r="BI306">
        <v>107.99</v>
      </c>
      <c r="BJ306">
        <v>2.25</v>
      </c>
      <c r="BK306">
        <v>108.31</v>
      </c>
      <c r="BL306" s="214">
        <v>3635</v>
      </c>
      <c r="BM306" s="214">
        <v>118.74</v>
      </c>
      <c r="BN306">
        <v>121.16</v>
      </c>
      <c r="BO306" s="187">
        <v>3.64</v>
      </c>
      <c r="BP306" s="214">
        <v>120.94</v>
      </c>
      <c r="BQ306" s="214">
        <v>410</v>
      </c>
      <c r="BR306">
        <v>132.5</v>
      </c>
      <c r="BS306" s="187">
        <v>139.04</v>
      </c>
      <c r="BT306" s="214">
        <v>4.51</v>
      </c>
      <c r="BU306" s="214">
        <v>134.75</v>
      </c>
      <c r="BV306">
        <v>8</v>
      </c>
      <c r="BW306">
        <v>164.3</v>
      </c>
      <c r="BX306" s="214">
        <v>164.33</v>
      </c>
      <c r="BY306" s="214">
        <v>5.05</v>
      </c>
      <c r="BZ306">
        <v>169.35</v>
      </c>
      <c r="CA306" s="187">
        <v>1</v>
      </c>
      <c r="CB306" s="214">
        <v>99.83</v>
      </c>
      <c r="CC306" s="214">
        <v>99.43</v>
      </c>
      <c r="CD306">
        <v>5.9</v>
      </c>
      <c r="CE306" s="187">
        <v>103.53</v>
      </c>
      <c r="CF306" s="214">
        <v>9187</v>
      </c>
      <c r="CG306" s="214">
        <v>99.82</v>
      </c>
      <c r="CH306">
        <v>99.42</v>
      </c>
      <c r="CI306">
        <v>6.11</v>
      </c>
      <c r="CJ306">
        <v>103.65</v>
      </c>
      <c r="CK306">
        <v>9196</v>
      </c>
      <c r="CL306">
        <v>95.73</v>
      </c>
      <c r="CM306">
        <v>68.989999999999995</v>
      </c>
      <c r="CN306" s="187">
        <v>98.51</v>
      </c>
      <c r="CO306">
        <v>167.05</v>
      </c>
      <c r="CP306">
        <v>192</v>
      </c>
      <c r="CQ306">
        <v>84.27</v>
      </c>
      <c r="CR306">
        <v>64.849999999999994</v>
      </c>
      <c r="CS306" s="187">
        <v>67.989999999999995</v>
      </c>
      <c r="CT306">
        <v>138.93</v>
      </c>
      <c r="CU306">
        <v>102</v>
      </c>
      <c r="CV306">
        <v>95.39</v>
      </c>
      <c r="CW306">
        <v>87.87</v>
      </c>
      <c r="CX306" s="187">
        <v>45.79</v>
      </c>
      <c r="CY306">
        <v>135.09</v>
      </c>
      <c r="CZ306">
        <v>1209</v>
      </c>
      <c r="DA306">
        <v>105.43</v>
      </c>
      <c r="DB306">
        <v>99.14</v>
      </c>
      <c r="DC306" s="187">
        <v>13.31</v>
      </c>
      <c r="DD306">
        <v>114.47</v>
      </c>
      <c r="DE306">
        <v>1171</v>
      </c>
      <c r="DF306">
        <v>115.18</v>
      </c>
      <c r="DG306">
        <v>109.64</v>
      </c>
      <c r="DH306" s="187">
        <v>21.48</v>
      </c>
      <c r="DI306">
        <v>131.29</v>
      </c>
      <c r="DJ306">
        <v>16</v>
      </c>
      <c r="DK306">
        <v>129.54</v>
      </c>
      <c r="DL306">
        <v>122.51</v>
      </c>
      <c r="DM306" s="187">
        <v>25.25</v>
      </c>
      <c r="DN306">
        <v>137.96</v>
      </c>
      <c r="DO306">
        <v>3</v>
      </c>
      <c r="DP306">
        <v>99.81</v>
      </c>
      <c r="DQ306">
        <v>92.54</v>
      </c>
      <c r="DR306" s="187">
        <v>33.25</v>
      </c>
      <c r="DS306">
        <v>125.57</v>
      </c>
      <c r="DT306">
        <v>2501</v>
      </c>
      <c r="DU306">
        <v>99.52</v>
      </c>
      <c r="DV306">
        <v>91.56</v>
      </c>
      <c r="DW306" s="187">
        <v>37.61</v>
      </c>
      <c r="DX306">
        <v>128.53</v>
      </c>
      <c r="DY306">
        <v>2693</v>
      </c>
      <c r="DZ306">
        <v>0</v>
      </c>
      <c r="EA306">
        <v>0</v>
      </c>
      <c r="EB306" s="187">
        <v>0</v>
      </c>
      <c r="EC306">
        <v>0</v>
      </c>
      <c r="ED306">
        <v>110.29</v>
      </c>
      <c r="EE306">
        <v>403</v>
      </c>
      <c r="EF306">
        <v>132.52000000000001</v>
      </c>
      <c r="EG306" s="187">
        <v>1149</v>
      </c>
      <c r="EH306">
        <v>145.44999999999999</v>
      </c>
      <c r="EI306">
        <v>540</v>
      </c>
      <c r="EJ306">
        <v>180.06</v>
      </c>
      <c r="EK306">
        <v>65</v>
      </c>
      <c r="EL306" s="187">
        <v>0</v>
      </c>
      <c r="EM306">
        <v>0</v>
      </c>
      <c r="EN306">
        <v>0</v>
      </c>
      <c r="EO306">
        <v>0</v>
      </c>
      <c r="EP306">
        <v>133.04</v>
      </c>
      <c r="EQ306" s="187">
        <v>2157</v>
      </c>
      <c r="ER306">
        <v>133.04</v>
      </c>
      <c r="ES306">
        <v>2157</v>
      </c>
      <c r="ET306">
        <v>0</v>
      </c>
      <c r="EU306">
        <v>0</v>
      </c>
      <c r="EV306" s="187">
        <v>116.51</v>
      </c>
      <c r="EW306">
        <v>2</v>
      </c>
      <c r="EX306">
        <v>0</v>
      </c>
      <c r="EY306">
        <v>0</v>
      </c>
      <c r="EZ306">
        <v>0</v>
      </c>
      <c r="FA306" s="187">
        <v>0</v>
      </c>
      <c r="FB306">
        <v>0</v>
      </c>
      <c r="FC306">
        <v>0</v>
      </c>
      <c r="FD306">
        <v>0</v>
      </c>
      <c r="FE306">
        <v>0</v>
      </c>
      <c r="FF306" s="187">
        <v>116.51</v>
      </c>
      <c r="FG306">
        <v>2</v>
      </c>
      <c r="FH306">
        <v>116.51</v>
      </c>
      <c r="FI306">
        <v>2</v>
      </c>
      <c r="FJ306">
        <v>12</v>
      </c>
      <c r="FK306" s="187">
        <v>21</v>
      </c>
      <c r="FL306">
        <v>1</v>
      </c>
      <c r="FM306">
        <v>205</v>
      </c>
      <c r="FN306">
        <v>43</v>
      </c>
    </row>
    <row r="307" spans="1:170" x14ac:dyDescent="0.35">
      <c r="A307" t="s">
        <v>998</v>
      </c>
      <c r="B307" t="s">
        <v>999</v>
      </c>
      <c r="C307" t="s">
        <v>2</v>
      </c>
      <c r="D307">
        <v>6314</v>
      </c>
      <c r="E307">
        <v>6260</v>
      </c>
      <c r="F307">
        <v>2</v>
      </c>
      <c r="G307">
        <v>2</v>
      </c>
      <c r="H307">
        <v>132</v>
      </c>
      <c r="I307">
        <v>109</v>
      </c>
      <c r="J307">
        <v>219</v>
      </c>
      <c r="K307">
        <v>219</v>
      </c>
      <c r="L307">
        <v>1032</v>
      </c>
      <c r="M307">
        <v>16</v>
      </c>
      <c r="N307">
        <v>7699</v>
      </c>
      <c r="O307">
        <v>6606</v>
      </c>
      <c r="P307">
        <v>6667</v>
      </c>
      <c r="Q307">
        <v>2</v>
      </c>
      <c r="R307">
        <v>1</v>
      </c>
      <c r="S307">
        <v>23</v>
      </c>
      <c r="T307">
        <v>32</v>
      </c>
      <c r="U307">
        <v>7667</v>
      </c>
      <c r="V307" s="498">
        <v>6282</v>
      </c>
      <c r="W307">
        <v>79</v>
      </c>
      <c r="X307" s="498">
        <v>63</v>
      </c>
      <c r="Y307" s="498">
        <v>142</v>
      </c>
      <c r="Z307" s="498">
        <v>113.01</v>
      </c>
      <c r="AA307" s="498">
        <v>115.15</v>
      </c>
      <c r="AB307">
        <v>4.24</v>
      </c>
      <c r="AC307">
        <v>114.88</v>
      </c>
      <c r="AD307">
        <v>5001</v>
      </c>
      <c r="AE307">
        <v>105.15</v>
      </c>
      <c r="AF307">
        <v>98.41</v>
      </c>
      <c r="AG307">
        <v>56.22</v>
      </c>
      <c r="AH307">
        <v>157.83000000000001</v>
      </c>
      <c r="AI307">
        <v>349</v>
      </c>
      <c r="AJ307">
        <v>177.15</v>
      </c>
      <c r="AK307">
        <v>1315</v>
      </c>
      <c r="AL307">
        <v>154.74</v>
      </c>
      <c r="AM307">
        <v>2</v>
      </c>
      <c r="AN307">
        <v>81.66</v>
      </c>
      <c r="AO307" s="499">
        <v>83.45</v>
      </c>
      <c r="AP307" s="499">
        <v>1.22</v>
      </c>
      <c r="AQ307">
        <v>82.88</v>
      </c>
      <c r="AR307">
        <v>2</v>
      </c>
      <c r="AS307">
        <v>83.37</v>
      </c>
      <c r="AT307">
        <v>84</v>
      </c>
      <c r="AU307">
        <v>15.78</v>
      </c>
      <c r="AV307">
        <v>95.47</v>
      </c>
      <c r="AW307">
        <v>30</v>
      </c>
      <c r="AX307">
        <v>94.94</v>
      </c>
      <c r="AY307">
        <v>97.48</v>
      </c>
      <c r="AZ307">
        <v>7.95</v>
      </c>
      <c r="BA307">
        <v>100.34</v>
      </c>
      <c r="BB307">
        <v>707</v>
      </c>
      <c r="BC307">
        <v>111.15</v>
      </c>
      <c r="BD307">
        <v>112.39</v>
      </c>
      <c r="BE307">
        <v>4.12</v>
      </c>
      <c r="BF307">
        <v>112.97</v>
      </c>
      <c r="BG307">
        <v>2193</v>
      </c>
      <c r="BH307">
        <v>120.87</v>
      </c>
      <c r="BI307">
        <v>123.83</v>
      </c>
      <c r="BJ307">
        <v>1.58</v>
      </c>
      <c r="BK307">
        <v>121.44</v>
      </c>
      <c r="BL307" s="214">
        <v>1948</v>
      </c>
      <c r="BM307" s="214">
        <v>133.16999999999999</v>
      </c>
      <c r="BN307">
        <v>136.49</v>
      </c>
      <c r="BO307" s="187">
        <v>2.31</v>
      </c>
      <c r="BP307" s="214">
        <v>133.88</v>
      </c>
      <c r="BQ307" s="214">
        <v>117</v>
      </c>
      <c r="BR307">
        <v>147.06</v>
      </c>
      <c r="BS307" s="187">
        <v>149.5</v>
      </c>
      <c r="BT307" s="214">
        <v>1.1000000000000001</v>
      </c>
      <c r="BU307" s="214">
        <v>147.33000000000001</v>
      </c>
      <c r="BV307">
        <v>4</v>
      </c>
      <c r="BW307">
        <v>0</v>
      </c>
      <c r="BX307" s="214">
        <v>0</v>
      </c>
      <c r="BY307" s="214">
        <v>0</v>
      </c>
      <c r="BZ307">
        <v>0</v>
      </c>
      <c r="CA307" s="187">
        <v>0</v>
      </c>
      <c r="CB307" s="214">
        <v>113.02</v>
      </c>
      <c r="CC307" s="214">
        <v>115.16</v>
      </c>
      <c r="CD307">
        <v>4.24</v>
      </c>
      <c r="CE307" s="187">
        <v>114.9</v>
      </c>
      <c r="CF307" s="214">
        <v>4999</v>
      </c>
      <c r="CG307" s="214">
        <v>113.01</v>
      </c>
      <c r="CH307">
        <v>115.15</v>
      </c>
      <c r="CI307">
        <v>4.24</v>
      </c>
      <c r="CJ307">
        <v>114.88</v>
      </c>
      <c r="CK307">
        <v>5001</v>
      </c>
      <c r="CL307">
        <v>85.84</v>
      </c>
      <c r="CM307">
        <v>86.59</v>
      </c>
      <c r="CN307" s="187">
        <v>85.13</v>
      </c>
      <c r="CO307">
        <v>156.79</v>
      </c>
      <c r="CP307">
        <v>120</v>
      </c>
      <c r="CQ307">
        <v>86.53</v>
      </c>
      <c r="CR307">
        <v>81.38</v>
      </c>
      <c r="CS307" s="187">
        <v>39.14</v>
      </c>
      <c r="CT307">
        <v>125.67</v>
      </c>
      <c r="CU307">
        <v>19</v>
      </c>
      <c r="CV307">
        <v>111.04</v>
      </c>
      <c r="CW307">
        <v>102.23</v>
      </c>
      <c r="CX307" s="187">
        <v>37.520000000000003</v>
      </c>
      <c r="CY307">
        <v>148.28</v>
      </c>
      <c r="CZ307">
        <v>134</v>
      </c>
      <c r="DA307">
        <v>130.30000000000001</v>
      </c>
      <c r="DB307">
        <v>114.63</v>
      </c>
      <c r="DC307" s="187">
        <v>56.04</v>
      </c>
      <c r="DD307">
        <v>186.35</v>
      </c>
      <c r="DE307">
        <v>73</v>
      </c>
      <c r="DF307">
        <v>120.39</v>
      </c>
      <c r="DG307">
        <v>116.92</v>
      </c>
      <c r="DH307" s="187">
        <v>22.99</v>
      </c>
      <c r="DI307">
        <v>135.72</v>
      </c>
      <c r="DJ307">
        <v>3</v>
      </c>
      <c r="DK307">
        <v>0</v>
      </c>
      <c r="DL307">
        <v>0</v>
      </c>
      <c r="DM307" s="187">
        <v>0</v>
      </c>
      <c r="DN307">
        <v>0</v>
      </c>
      <c r="DO307">
        <v>0</v>
      </c>
      <c r="DP307">
        <v>115.27</v>
      </c>
      <c r="DQ307">
        <v>104.53</v>
      </c>
      <c r="DR307" s="187">
        <v>43.48</v>
      </c>
      <c r="DS307">
        <v>158.38</v>
      </c>
      <c r="DT307">
        <v>229</v>
      </c>
      <c r="DU307">
        <v>105.15</v>
      </c>
      <c r="DV307">
        <v>98.41</v>
      </c>
      <c r="DW307" s="187">
        <v>56.22</v>
      </c>
      <c r="DX307">
        <v>157.83000000000001</v>
      </c>
      <c r="DY307">
        <v>349</v>
      </c>
      <c r="DZ307">
        <v>0</v>
      </c>
      <c r="EA307">
        <v>0</v>
      </c>
      <c r="EB307" s="187">
        <v>122.64</v>
      </c>
      <c r="EC307">
        <v>1</v>
      </c>
      <c r="ED307">
        <v>137.59</v>
      </c>
      <c r="EE307">
        <v>202</v>
      </c>
      <c r="EF307">
        <v>172.68</v>
      </c>
      <c r="EG307" s="187">
        <v>695</v>
      </c>
      <c r="EH307">
        <v>200.07</v>
      </c>
      <c r="EI307">
        <v>387</v>
      </c>
      <c r="EJ307">
        <v>253.12</v>
      </c>
      <c r="EK307">
        <v>30</v>
      </c>
      <c r="EL307" s="187">
        <v>0</v>
      </c>
      <c r="EM307">
        <v>0</v>
      </c>
      <c r="EN307">
        <v>0</v>
      </c>
      <c r="EO307">
        <v>0</v>
      </c>
      <c r="EP307">
        <v>177.15</v>
      </c>
      <c r="EQ307" s="187">
        <v>1315</v>
      </c>
      <c r="ER307">
        <v>177.15</v>
      </c>
      <c r="ES307">
        <v>1315</v>
      </c>
      <c r="ET307">
        <v>0</v>
      </c>
      <c r="EU307">
        <v>0</v>
      </c>
      <c r="EV307" s="187">
        <v>0</v>
      </c>
      <c r="EW307">
        <v>0</v>
      </c>
      <c r="EX307">
        <v>0</v>
      </c>
      <c r="EY307">
        <v>0</v>
      </c>
      <c r="EZ307">
        <v>154.74</v>
      </c>
      <c r="FA307" s="187">
        <v>2</v>
      </c>
      <c r="FB307">
        <v>0</v>
      </c>
      <c r="FC307">
        <v>0</v>
      </c>
      <c r="FD307">
        <v>0</v>
      </c>
      <c r="FE307">
        <v>0</v>
      </c>
      <c r="FF307" s="187">
        <v>154.74</v>
      </c>
      <c r="FG307">
        <v>2</v>
      </c>
      <c r="FH307">
        <v>154.74</v>
      </c>
      <c r="FI307">
        <v>2</v>
      </c>
      <c r="FJ307">
        <v>79</v>
      </c>
      <c r="FK307" s="187">
        <v>4</v>
      </c>
      <c r="FL307">
        <v>9</v>
      </c>
      <c r="FM307">
        <v>102</v>
      </c>
      <c r="FN307">
        <v>19</v>
      </c>
    </row>
    <row r="308" spans="1:170" x14ac:dyDescent="0.35">
      <c r="A308" t="s">
        <v>1000</v>
      </c>
      <c r="B308" t="s">
        <v>1001</v>
      </c>
      <c r="C308" t="s">
        <v>415</v>
      </c>
      <c r="D308">
        <v>11169</v>
      </c>
      <c r="E308">
        <v>11195</v>
      </c>
      <c r="F308">
        <v>0</v>
      </c>
      <c r="G308">
        <v>0</v>
      </c>
      <c r="H308">
        <v>428</v>
      </c>
      <c r="I308">
        <v>400</v>
      </c>
      <c r="J308">
        <v>1098</v>
      </c>
      <c r="K308">
        <v>1165</v>
      </c>
      <c r="L308">
        <v>934</v>
      </c>
      <c r="M308">
        <v>99</v>
      </c>
      <c r="N308">
        <v>13629</v>
      </c>
      <c r="O308">
        <v>12859</v>
      </c>
      <c r="P308">
        <v>12695</v>
      </c>
      <c r="Q308">
        <v>0</v>
      </c>
      <c r="R308">
        <v>5</v>
      </c>
      <c r="S308">
        <v>31</v>
      </c>
      <c r="T308">
        <v>62</v>
      </c>
      <c r="U308">
        <v>13567</v>
      </c>
      <c r="V308" s="498">
        <v>11120</v>
      </c>
      <c r="W308">
        <v>86</v>
      </c>
      <c r="X308" s="498">
        <v>84</v>
      </c>
      <c r="Y308" s="498">
        <v>170</v>
      </c>
      <c r="Z308" s="498">
        <v>93.13</v>
      </c>
      <c r="AA308" s="498">
        <v>92.11</v>
      </c>
      <c r="AB308">
        <v>5.16</v>
      </c>
      <c r="AC308">
        <v>94.75</v>
      </c>
      <c r="AD308">
        <v>8933</v>
      </c>
      <c r="AE308">
        <v>89.6</v>
      </c>
      <c r="AF308">
        <v>84.52</v>
      </c>
      <c r="AG308">
        <v>44.59</v>
      </c>
      <c r="AH308">
        <v>132.16999999999999</v>
      </c>
      <c r="AI308">
        <v>1498</v>
      </c>
      <c r="AJ308">
        <v>135.75</v>
      </c>
      <c r="AK308">
        <v>1991</v>
      </c>
      <c r="AL308">
        <v>108.46</v>
      </c>
      <c r="AM308">
        <v>15</v>
      </c>
      <c r="AN308">
        <v>0</v>
      </c>
      <c r="AO308" s="499">
        <v>0</v>
      </c>
      <c r="AP308" s="499">
        <v>0</v>
      </c>
      <c r="AQ308">
        <v>0</v>
      </c>
      <c r="AR308">
        <v>0</v>
      </c>
      <c r="AS308">
        <v>68.290000000000006</v>
      </c>
      <c r="AT308">
        <v>68.73</v>
      </c>
      <c r="AU308">
        <v>5.38</v>
      </c>
      <c r="AV308">
        <v>71.459999999999994</v>
      </c>
      <c r="AW308">
        <v>134</v>
      </c>
      <c r="AX308">
        <v>79.69</v>
      </c>
      <c r="AY308">
        <v>78.75</v>
      </c>
      <c r="AZ308">
        <v>6.74</v>
      </c>
      <c r="BA308">
        <v>83.55</v>
      </c>
      <c r="BB308">
        <v>1927</v>
      </c>
      <c r="BC308">
        <v>92.14</v>
      </c>
      <c r="BD308">
        <v>90.87</v>
      </c>
      <c r="BE308">
        <v>4.4800000000000004</v>
      </c>
      <c r="BF308">
        <v>93.65</v>
      </c>
      <c r="BG308">
        <v>3458</v>
      </c>
      <c r="BH308">
        <v>101.74</v>
      </c>
      <c r="BI308">
        <v>100.93</v>
      </c>
      <c r="BJ308">
        <v>3.06</v>
      </c>
      <c r="BK308">
        <v>102.14</v>
      </c>
      <c r="BL308" s="214">
        <v>3136</v>
      </c>
      <c r="BM308" s="214">
        <v>113.08</v>
      </c>
      <c r="BN308">
        <v>111.82</v>
      </c>
      <c r="BO308" s="187">
        <v>3.09</v>
      </c>
      <c r="BP308" s="214">
        <v>113.7</v>
      </c>
      <c r="BQ308" s="214">
        <v>268</v>
      </c>
      <c r="BR308">
        <v>122.92</v>
      </c>
      <c r="BS308" s="187">
        <v>121.25</v>
      </c>
      <c r="BT308" s="214">
        <v>3.16</v>
      </c>
      <c r="BU308" s="214">
        <v>124.11</v>
      </c>
      <c r="BV308">
        <v>8</v>
      </c>
      <c r="BW308">
        <v>111.04</v>
      </c>
      <c r="BX308" s="214">
        <v>114.94</v>
      </c>
      <c r="BY308" s="214">
        <v>0</v>
      </c>
      <c r="BZ308">
        <v>111.04</v>
      </c>
      <c r="CA308" s="187">
        <v>2</v>
      </c>
      <c r="CB308" s="214">
        <v>93.13</v>
      </c>
      <c r="CC308" s="214">
        <v>92.11</v>
      </c>
      <c r="CD308">
        <v>5.16</v>
      </c>
      <c r="CE308" s="187">
        <v>94.75</v>
      </c>
      <c r="CF308" s="214">
        <v>8933</v>
      </c>
      <c r="CG308" s="214">
        <v>93.13</v>
      </c>
      <c r="CH308">
        <v>92.11</v>
      </c>
      <c r="CI308">
        <v>5.16</v>
      </c>
      <c r="CJ308">
        <v>94.75</v>
      </c>
      <c r="CK308">
        <v>8933</v>
      </c>
      <c r="CL308">
        <v>81.89</v>
      </c>
      <c r="CM308">
        <v>74.22</v>
      </c>
      <c r="CN308" s="187">
        <v>97.81</v>
      </c>
      <c r="CO308">
        <v>156.88999999999999</v>
      </c>
      <c r="CP308">
        <v>253</v>
      </c>
      <c r="CQ308">
        <v>75.63</v>
      </c>
      <c r="CR308">
        <v>72.959999999999994</v>
      </c>
      <c r="CS308" s="187">
        <v>47.41</v>
      </c>
      <c r="CT308">
        <v>121.57</v>
      </c>
      <c r="CU308">
        <v>65</v>
      </c>
      <c r="CV308">
        <v>90.32</v>
      </c>
      <c r="CW308">
        <v>85.18</v>
      </c>
      <c r="CX308" s="187">
        <v>36.17</v>
      </c>
      <c r="CY308">
        <v>126.41</v>
      </c>
      <c r="CZ308">
        <v>994</v>
      </c>
      <c r="DA308">
        <v>101.13</v>
      </c>
      <c r="DB308">
        <v>98.95</v>
      </c>
      <c r="DC308" s="187">
        <v>32.979999999999997</v>
      </c>
      <c r="DD308">
        <v>133.38</v>
      </c>
      <c r="DE308">
        <v>183</v>
      </c>
      <c r="DF308">
        <v>100.7</v>
      </c>
      <c r="DG308">
        <v>96.32</v>
      </c>
      <c r="DH308" s="187">
        <v>10.96</v>
      </c>
      <c r="DI308">
        <v>108.01</v>
      </c>
      <c r="DJ308">
        <v>3</v>
      </c>
      <c r="DK308">
        <v>0</v>
      </c>
      <c r="DL308">
        <v>0</v>
      </c>
      <c r="DM308" s="187">
        <v>0</v>
      </c>
      <c r="DN308">
        <v>0</v>
      </c>
      <c r="DO308">
        <v>0</v>
      </c>
      <c r="DP308">
        <v>91.17</v>
      </c>
      <c r="DQ308">
        <v>86.5</v>
      </c>
      <c r="DR308" s="187">
        <v>36.24</v>
      </c>
      <c r="DS308">
        <v>127.14</v>
      </c>
      <c r="DT308">
        <v>1245</v>
      </c>
      <c r="DU308">
        <v>89.6</v>
      </c>
      <c r="DV308">
        <v>84.52</v>
      </c>
      <c r="DW308" s="187">
        <v>44.59</v>
      </c>
      <c r="DX308">
        <v>132.16999999999999</v>
      </c>
      <c r="DY308">
        <v>1498</v>
      </c>
      <c r="DZ308">
        <v>0</v>
      </c>
      <c r="EA308">
        <v>0</v>
      </c>
      <c r="EB308" s="187">
        <v>104.54</v>
      </c>
      <c r="EC308">
        <v>4</v>
      </c>
      <c r="ED308">
        <v>113.55</v>
      </c>
      <c r="EE308">
        <v>495</v>
      </c>
      <c r="EF308">
        <v>134.31</v>
      </c>
      <c r="EG308" s="187">
        <v>895</v>
      </c>
      <c r="EH308">
        <v>149.79</v>
      </c>
      <c r="EI308">
        <v>520</v>
      </c>
      <c r="EJ308">
        <v>199.59</v>
      </c>
      <c r="EK308">
        <v>74</v>
      </c>
      <c r="EL308" s="187">
        <v>259.37</v>
      </c>
      <c r="EM308">
        <v>3</v>
      </c>
      <c r="EN308">
        <v>0</v>
      </c>
      <c r="EO308">
        <v>0</v>
      </c>
      <c r="EP308">
        <v>135.75</v>
      </c>
      <c r="EQ308" s="187">
        <v>1991</v>
      </c>
      <c r="ER308">
        <v>135.75</v>
      </c>
      <c r="ES308">
        <v>1991</v>
      </c>
      <c r="ET308">
        <v>0</v>
      </c>
      <c r="EU308">
        <v>0</v>
      </c>
      <c r="EV308" s="187">
        <v>0</v>
      </c>
      <c r="EW308">
        <v>0</v>
      </c>
      <c r="EX308">
        <v>100.59</v>
      </c>
      <c r="EY308">
        <v>9</v>
      </c>
      <c r="EZ308">
        <v>120.27</v>
      </c>
      <c r="FA308" s="187">
        <v>6</v>
      </c>
      <c r="FB308">
        <v>0</v>
      </c>
      <c r="FC308">
        <v>0</v>
      </c>
      <c r="FD308">
        <v>0</v>
      </c>
      <c r="FE308">
        <v>0</v>
      </c>
      <c r="FF308" s="187">
        <v>108.46</v>
      </c>
      <c r="FG308">
        <v>15</v>
      </c>
      <c r="FH308">
        <v>108.46</v>
      </c>
      <c r="FI308">
        <v>15</v>
      </c>
      <c r="FJ308">
        <v>80</v>
      </c>
      <c r="FK308" s="187">
        <v>23</v>
      </c>
      <c r="FL308">
        <v>10</v>
      </c>
      <c r="FM308">
        <v>106</v>
      </c>
      <c r="FN308">
        <v>18</v>
      </c>
    </row>
    <row r="309" spans="1:170" x14ac:dyDescent="0.35">
      <c r="A309" t="s">
        <v>1002</v>
      </c>
      <c r="B309" t="s">
        <v>1003</v>
      </c>
      <c r="C309" t="s">
        <v>416</v>
      </c>
      <c r="D309">
        <v>12362</v>
      </c>
      <c r="E309">
        <v>10900</v>
      </c>
      <c r="F309">
        <v>821</v>
      </c>
      <c r="G309">
        <v>821</v>
      </c>
      <c r="H309">
        <v>1347</v>
      </c>
      <c r="I309">
        <v>877</v>
      </c>
      <c r="J309">
        <v>759</v>
      </c>
      <c r="K309">
        <v>710</v>
      </c>
      <c r="L309">
        <v>566</v>
      </c>
      <c r="M309">
        <v>0</v>
      </c>
      <c r="N309">
        <v>15855</v>
      </c>
      <c r="O309">
        <v>13308</v>
      </c>
      <c r="P309">
        <v>15289</v>
      </c>
      <c r="Q309">
        <v>55</v>
      </c>
      <c r="R309">
        <v>20</v>
      </c>
      <c r="S309">
        <v>22</v>
      </c>
      <c r="T309">
        <v>1997</v>
      </c>
      <c r="U309">
        <v>13858</v>
      </c>
      <c r="V309" s="498">
        <v>10555</v>
      </c>
      <c r="W309">
        <v>72</v>
      </c>
      <c r="X309" s="498">
        <v>66</v>
      </c>
      <c r="Y309" s="498">
        <v>138</v>
      </c>
      <c r="Z309" s="498">
        <v>134.88</v>
      </c>
      <c r="AA309" s="498">
        <v>148.31</v>
      </c>
      <c r="AB309">
        <v>12.93</v>
      </c>
      <c r="AC309">
        <v>145.38999999999999</v>
      </c>
      <c r="AD309">
        <v>9517</v>
      </c>
      <c r="AE309">
        <v>115.01</v>
      </c>
      <c r="AF309">
        <v>119.82</v>
      </c>
      <c r="AG309">
        <v>79.900000000000006</v>
      </c>
      <c r="AH309">
        <v>184.81</v>
      </c>
      <c r="AI309">
        <v>1866</v>
      </c>
      <c r="AJ309">
        <v>208.25</v>
      </c>
      <c r="AK309">
        <v>807</v>
      </c>
      <c r="AL309">
        <v>177.44</v>
      </c>
      <c r="AM309">
        <v>2</v>
      </c>
      <c r="AN309">
        <v>138.13</v>
      </c>
      <c r="AO309" s="499">
        <v>175.12</v>
      </c>
      <c r="AP309" s="499">
        <v>0.38</v>
      </c>
      <c r="AQ309">
        <v>138.51</v>
      </c>
      <c r="AR309">
        <v>3</v>
      </c>
      <c r="AS309">
        <v>108.14</v>
      </c>
      <c r="AT309">
        <v>112.18</v>
      </c>
      <c r="AU309">
        <v>9.83</v>
      </c>
      <c r="AV309">
        <v>117.11</v>
      </c>
      <c r="AW309">
        <v>298</v>
      </c>
      <c r="AX309">
        <v>124.87</v>
      </c>
      <c r="AY309">
        <v>133.19</v>
      </c>
      <c r="AZ309">
        <v>9.65</v>
      </c>
      <c r="BA309">
        <v>132.76</v>
      </c>
      <c r="BB309">
        <v>3879</v>
      </c>
      <c r="BC309">
        <v>139.38</v>
      </c>
      <c r="BD309">
        <v>154.43</v>
      </c>
      <c r="BE309">
        <v>14.65</v>
      </c>
      <c r="BF309">
        <v>151.52000000000001</v>
      </c>
      <c r="BG309">
        <v>3407</v>
      </c>
      <c r="BH309">
        <v>149.79</v>
      </c>
      <c r="BI309">
        <v>172.07</v>
      </c>
      <c r="BJ309">
        <v>18.09</v>
      </c>
      <c r="BK309">
        <v>164.07</v>
      </c>
      <c r="BL309" s="214">
        <v>1655</v>
      </c>
      <c r="BM309" s="214">
        <v>158.88</v>
      </c>
      <c r="BN309">
        <v>181.07</v>
      </c>
      <c r="BO309" s="187">
        <v>10.71</v>
      </c>
      <c r="BP309" s="214">
        <v>165.13</v>
      </c>
      <c r="BQ309" s="214">
        <v>250</v>
      </c>
      <c r="BR309">
        <v>165.5</v>
      </c>
      <c r="BS309" s="187">
        <v>186.84</v>
      </c>
      <c r="BT309" s="214">
        <v>13.64</v>
      </c>
      <c r="BU309" s="214">
        <v>172.32</v>
      </c>
      <c r="BV309">
        <v>22</v>
      </c>
      <c r="BW309">
        <v>178.15</v>
      </c>
      <c r="BX309" s="214">
        <v>192.64</v>
      </c>
      <c r="BY309" s="214">
        <v>23.56</v>
      </c>
      <c r="BZ309">
        <v>186</v>
      </c>
      <c r="CA309" s="187">
        <v>3</v>
      </c>
      <c r="CB309" s="214">
        <v>134.88</v>
      </c>
      <c r="CC309" s="214">
        <v>148.30000000000001</v>
      </c>
      <c r="CD309">
        <v>12.94</v>
      </c>
      <c r="CE309" s="187">
        <v>145.38999999999999</v>
      </c>
      <c r="CF309" s="214">
        <v>9514</v>
      </c>
      <c r="CG309" s="214">
        <v>134.88</v>
      </c>
      <c r="CH309">
        <v>148.31</v>
      </c>
      <c r="CI309">
        <v>12.93</v>
      </c>
      <c r="CJ309">
        <v>145.38999999999999</v>
      </c>
      <c r="CK309">
        <v>9517</v>
      </c>
      <c r="CL309">
        <v>98.79</v>
      </c>
      <c r="CM309">
        <v>106.87</v>
      </c>
      <c r="CN309" s="187">
        <v>109.01</v>
      </c>
      <c r="CO309">
        <v>182.04</v>
      </c>
      <c r="CP309">
        <v>622</v>
      </c>
      <c r="CQ309">
        <v>110.76</v>
      </c>
      <c r="CR309">
        <v>113.59</v>
      </c>
      <c r="CS309" s="187">
        <v>64.489999999999995</v>
      </c>
      <c r="CT309">
        <v>169.82</v>
      </c>
      <c r="CU309">
        <v>440</v>
      </c>
      <c r="CV309">
        <v>129.22999999999999</v>
      </c>
      <c r="CW309">
        <v>133.12</v>
      </c>
      <c r="CX309" s="187">
        <v>70.7</v>
      </c>
      <c r="CY309">
        <v>195.98</v>
      </c>
      <c r="CZ309">
        <v>752</v>
      </c>
      <c r="DA309">
        <v>137.44</v>
      </c>
      <c r="DB309">
        <v>145.22999999999999</v>
      </c>
      <c r="DC309" s="187">
        <v>54.69</v>
      </c>
      <c r="DD309">
        <v>183.19</v>
      </c>
      <c r="DE309">
        <v>49</v>
      </c>
      <c r="DF309">
        <v>166.38</v>
      </c>
      <c r="DG309">
        <v>166.38</v>
      </c>
      <c r="DH309" s="187">
        <v>31.73</v>
      </c>
      <c r="DI309">
        <v>198.11</v>
      </c>
      <c r="DJ309">
        <v>1</v>
      </c>
      <c r="DK309">
        <v>175.12</v>
      </c>
      <c r="DL309">
        <v>175.12</v>
      </c>
      <c r="DM309" s="187">
        <v>0</v>
      </c>
      <c r="DN309">
        <v>175.12</v>
      </c>
      <c r="DO309">
        <v>2</v>
      </c>
      <c r="DP309">
        <v>123.13</v>
      </c>
      <c r="DQ309">
        <v>126.43</v>
      </c>
      <c r="DR309" s="187">
        <v>67.930000000000007</v>
      </c>
      <c r="DS309">
        <v>186.19</v>
      </c>
      <c r="DT309">
        <v>1244</v>
      </c>
      <c r="DU309">
        <v>115.01</v>
      </c>
      <c r="DV309">
        <v>119.82</v>
      </c>
      <c r="DW309" s="187">
        <v>79.900000000000006</v>
      </c>
      <c r="DX309">
        <v>184.81</v>
      </c>
      <c r="DY309">
        <v>1866</v>
      </c>
      <c r="DZ309">
        <v>174.67</v>
      </c>
      <c r="EA309">
        <v>1</v>
      </c>
      <c r="EB309" s="187">
        <v>181.36</v>
      </c>
      <c r="EC309">
        <v>38</v>
      </c>
      <c r="ED309">
        <v>210.51</v>
      </c>
      <c r="EE309">
        <v>345</v>
      </c>
      <c r="EF309">
        <v>215.26</v>
      </c>
      <c r="EG309" s="187">
        <v>285</v>
      </c>
      <c r="EH309">
        <v>194.45</v>
      </c>
      <c r="EI309">
        <v>122</v>
      </c>
      <c r="EJ309">
        <v>205.79</v>
      </c>
      <c r="EK309">
        <v>16</v>
      </c>
      <c r="EL309" s="187">
        <v>0</v>
      </c>
      <c r="EM309">
        <v>0</v>
      </c>
      <c r="EN309">
        <v>0</v>
      </c>
      <c r="EO309">
        <v>0</v>
      </c>
      <c r="EP309">
        <v>208.29</v>
      </c>
      <c r="EQ309" s="187">
        <v>806</v>
      </c>
      <c r="ER309">
        <v>208.25</v>
      </c>
      <c r="ES309">
        <v>807</v>
      </c>
      <c r="ET309">
        <v>0</v>
      </c>
      <c r="EU309">
        <v>0</v>
      </c>
      <c r="EV309" s="187">
        <v>0</v>
      </c>
      <c r="EW309">
        <v>0</v>
      </c>
      <c r="EX309">
        <v>159.11000000000001</v>
      </c>
      <c r="EY309">
        <v>1</v>
      </c>
      <c r="EZ309">
        <v>195.76</v>
      </c>
      <c r="FA309" s="187">
        <v>1</v>
      </c>
      <c r="FB309">
        <v>0</v>
      </c>
      <c r="FC309">
        <v>0</v>
      </c>
      <c r="FD309">
        <v>0</v>
      </c>
      <c r="FE309">
        <v>0</v>
      </c>
      <c r="FF309" s="187">
        <v>177.44</v>
      </c>
      <c r="FG309">
        <v>2</v>
      </c>
      <c r="FH309">
        <v>177.44</v>
      </c>
      <c r="FI309">
        <v>2</v>
      </c>
      <c r="FJ309">
        <v>0</v>
      </c>
      <c r="FK309" s="187">
        <v>1</v>
      </c>
      <c r="FL309">
        <v>21</v>
      </c>
      <c r="FM309">
        <v>0</v>
      </c>
      <c r="FN309">
        <v>15</v>
      </c>
    </row>
    <row r="310" spans="1:170" x14ac:dyDescent="0.35">
      <c r="A310" t="s">
        <v>1004</v>
      </c>
      <c r="B310" t="s">
        <v>1005</v>
      </c>
      <c r="C310" t="s">
        <v>418</v>
      </c>
      <c r="D310">
        <v>2641</v>
      </c>
      <c r="E310">
        <v>2616</v>
      </c>
      <c r="F310">
        <v>0</v>
      </c>
      <c r="G310">
        <v>0</v>
      </c>
      <c r="H310">
        <v>932</v>
      </c>
      <c r="I310">
        <v>632</v>
      </c>
      <c r="J310">
        <v>831</v>
      </c>
      <c r="K310">
        <v>831</v>
      </c>
      <c r="L310">
        <v>649</v>
      </c>
      <c r="M310">
        <v>30</v>
      </c>
      <c r="N310">
        <v>5053</v>
      </c>
      <c r="O310">
        <v>4109</v>
      </c>
      <c r="P310">
        <v>4404</v>
      </c>
      <c r="Q310">
        <v>2</v>
      </c>
      <c r="R310">
        <v>9</v>
      </c>
      <c r="S310">
        <v>20</v>
      </c>
      <c r="T310">
        <v>201</v>
      </c>
      <c r="U310">
        <v>4852</v>
      </c>
      <c r="V310" s="498">
        <v>2617</v>
      </c>
      <c r="W310">
        <v>33</v>
      </c>
      <c r="X310" s="498">
        <v>13</v>
      </c>
      <c r="Y310" s="498">
        <v>46</v>
      </c>
      <c r="Z310" s="498">
        <v>81.3</v>
      </c>
      <c r="AA310" s="498">
        <v>77.88</v>
      </c>
      <c r="AB310">
        <v>7.8</v>
      </c>
      <c r="AC310">
        <v>85.76</v>
      </c>
      <c r="AD310">
        <v>1735</v>
      </c>
      <c r="AE310">
        <v>96.46</v>
      </c>
      <c r="AF310">
        <v>70.42</v>
      </c>
      <c r="AG310">
        <v>84.17</v>
      </c>
      <c r="AH310">
        <v>180.42</v>
      </c>
      <c r="AI310">
        <v>1584</v>
      </c>
      <c r="AJ310">
        <v>102.68</v>
      </c>
      <c r="AK310">
        <v>814</v>
      </c>
      <c r="AL310">
        <v>206.52</v>
      </c>
      <c r="AM310">
        <v>2</v>
      </c>
      <c r="AN310">
        <v>0</v>
      </c>
      <c r="AO310" s="499">
        <v>0</v>
      </c>
      <c r="AP310" s="499">
        <v>0</v>
      </c>
      <c r="AQ310">
        <v>0</v>
      </c>
      <c r="AR310">
        <v>0</v>
      </c>
      <c r="AS310">
        <v>70.569999999999993</v>
      </c>
      <c r="AT310">
        <v>68.739999999999995</v>
      </c>
      <c r="AU310">
        <v>14.6</v>
      </c>
      <c r="AV310">
        <v>85.17</v>
      </c>
      <c r="AW310">
        <v>2</v>
      </c>
      <c r="AX310">
        <v>71.19</v>
      </c>
      <c r="AY310">
        <v>68.010000000000005</v>
      </c>
      <c r="AZ310">
        <v>10.36</v>
      </c>
      <c r="BA310">
        <v>80.97</v>
      </c>
      <c r="BB310">
        <v>660</v>
      </c>
      <c r="BC310">
        <v>83.73</v>
      </c>
      <c r="BD310">
        <v>80.260000000000005</v>
      </c>
      <c r="BE310">
        <v>4.12</v>
      </c>
      <c r="BF310">
        <v>85.31</v>
      </c>
      <c r="BG310">
        <v>645</v>
      </c>
      <c r="BH310">
        <v>92.63</v>
      </c>
      <c r="BI310">
        <v>88.97</v>
      </c>
      <c r="BJ310">
        <v>1.99</v>
      </c>
      <c r="BK310">
        <v>93.2</v>
      </c>
      <c r="BL310" s="214">
        <v>408</v>
      </c>
      <c r="BM310" s="214">
        <v>104.98</v>
      </c>
      <c r="BN310">
        <v>102.46</v>
      </c>
      <c r="BO310" s="187">
        <v>1.85</v>
      </c>
      <c r="BP310" s="214">
        <v>105.32</v>
      </c>
      <c r="BQ310" s="214">
        <v>16</v>
      </c>
      <c r="BR310">
        <v>110.31</v>
      </c>
      <c r="BS310" s="187">
        <v>105.55</v>
      </c>
      <c r="BT310" s="214">
        <v>0</v>
      </c>
      <c r="BU310" s="214">
        <v>110.31</v>
      </c>
      <c r="BV310">
        <v>3</v>
      </c>
      <c r="BW310">
        <v>113.88</v>
      </c>
      <c r="BX310" s="214">
        <v>108.45</v>
      </c>
      <c r="BY310" s="214">
        <v>0</v>
      </c>
      <c r="BZ310">
        <v>113.88</v>
      </c>
      <c r="CA310" s="187">
        <v>1</v>
      </c>
      <c r="CB310" s="214">
        <v>81.3</v>
      </c>
      <c r="CC310" s="214">
        <v>77.88</v>
      </c>
      <c r="CD310">
        <v>7.8</v>
      </c>
      <c r="CE310" s="187">
        <v>85.76</v>
      </c>
      <c r="CF310" s="214">
        <v>1735</v>
      </c>
      <c r="CG310" s="214">
        <v>81.3</v>
      </c>
      <c r="CH310">
        <v>77.88</v>
      </c>
      <c r="CI310">
        <v>7.8</v>
      </c>
      <c r="CJ310">
        <v>85.76</v>
      </c>
      <c r="CK310">
        <v>1735</v>
      </c>
      <c r="CL310">
        <v>87.33</v>
      </c>
      <c r="CM310">
        <v>66.3</v>
      </c>
      <c r="CN310" s="187">
        <v>79.67</v>
      </c>
      <c r="CO310">
        <v>167</v>
      </c>
      <c r="CP310">
        <v>237</v>
      </c>
      <c r="CQ310">
        <v>70.5</v>
      </c>
      <c r="CR310">
        <v>64.33</v>
      </c>
      <c r="CS310" s="187">
        <v>43.79</v>
      </c>
      <c r="CT310">
        <v>114.3</v>
      </c>
      <c r="CU310">
        <v>110</v>
      </c>
      <c r="CV310">
        <v>98.47</v>
      </c>
      <c r="CW310">
        <v>70.650000000000006</v>
      </c>
      <c r="CX310" s="187">
        <v>77.5</v>
      </c>
      <c r="CY310">
        <v>175.81</v>
      </c>
      <c r="CZ310">
        <v>1020</v>
      </c>
      <c r="DA310">
        <v>107.13</v>
      </c>
      <c r="DB310">
        <v>79.52</v>
      </c>
      <c r="DC310" s="187">
        <v>142.99</v>
      </c>
      <c r="DD310">
        <v>250.12</v>
      </c>
      <c r="DE310">
        <v>179</v>
      </c>
      <c r="DF310">
        <v>119.88</v>
      </c>
      <c r="DG310">
        <v>85.81</v>
      </c>
      <c r="DH310" s="187">
        <v>133.16999999999999</v>
      </c>
      <c r="DI310">
        <v>245.65</v>
      </c>
      <c r="DJ310">
        <v>36</v>
      </c>
      <c r="DK310">
        <v>208.28</v>
      </c>
      <c r="DL310">
        <v>0</v>
      </c>
      <c r="DM310" s="187">
        <v>137.86000000000001</v>
      </c>
      <c r="DN310">
        <v>346.14</v>
      </c>
      <c r="DO310">
        <v>2</v>
      </c>
      <c r="DP310">
        <v>98.07</v>
      </c>
      <c r="DQ310">
        <v>70.900000000000006</v>
      </c>
      <c r="DR310" s="187">
        <v>84.97</v>
      </c>
      <c r="DS310">
        <v>182.78</v>
      </c>
      <c r="DT310">
        <v>1347</v>
      </c>
      <c r="DU310">
        <v>96.46</v>
      </c>
      <c r="DV310">
        <v>70.42</v>
      </c>
      <c r="DW310" s="187">
        <v>84.17</v>
      </c>
      <c r="DX310">
        <v>180.42</v>
      </c>
      <c r="DY310">
        <v>1584</v>
      </c>
      <c r="DZ310">
        <v>0</v>
      </c>
      <c r="EA310">
        <v>0</v>
      </c>
      <c r="EB310" s="187">
        <v>0</v>
      </c>
      <c r="EC310">
        <v>0</v>
      </c>
      <c r="ED310">
        <v>82.12</v>
      </c>
      <c r="EE310">
        <v>98</v>
      </c>
      <c r="EF310">
        <v>99.78</v>
      </c>
      <c r="EG310" s="187">
        <v>451</v>
      </c>
      <c r="EH310">
        <v>114.01</v>
      </c>
      <c r="EI310">
        <v>248</v>
      </c>
      <c r="EJ310">
        <v>132.63999999999999</v>
      </c>
      <c r="EK310">
        <v>16</v>
      </c>
      <c r="EL310" s="187">
        <v>134.63999999999999</v>
      </c>
      <c r="EM310">
        <v>1</v>
      </c>
      <c r="EN310">
        <v>0</v>
      </c>
      <c r="EO310">
        <v>0</v>
      </c>
      <c r="EP310">
        <v>102.68</v>
      </c>
      <c r="EQ310" s="187">
        <v>814</v>
      </c>
      <c r="ER310">
        <v>102.68</v>
      </c>
      <c r="ES310">
        <v>814</v>
      </c>
      <c r="ET310">
        <v>0</v>
      </c>
      <c r="EU310">
        <v>0</v>
      </c>
      <c r="EV310" s="187">
        <v>0</v>
      </c>
      <c r="EW310">
        <v>0</v>
      </c>
      <c r="EX310">
        <v>0</v>
      </c>
      <c r="EY310">
        <v>0</v>
      </c>
      <c r="EZ310">
        <v>0</v>
      </c>
      <c r="FA310" s="187">
        <v>0</v>
      </c>
      <c r="FB310">
        <v>206.52</v>
      </c>
      <c r="FC310">
        <v>2</v>
      </c>
      <c r="FD310">
        <v>0</v>
      </c>
      <c r="FE310">
        <v>0</v>
      </c>
      <c r="FF310" s="187">
        <v>206.52</v>
      </c>
      <c r="FG310">
        <v>2</v>
      </c>
      <c r="FH310">
        <v>206.52</v>
      </c>
      <c r="FI310">
        <v>2</v>
      </c>
      <c r="FJ310">
        <v>6</v>
      </c>
      <c r="FK310" s="187">
        <v>1</v>
      </c>
      <c r="FL310">
        <v>11</v>
      </c>
      <c r="FM310">
        <v>96</v>
      </c>
      <c r="FN310">
        <v>19</v>
      </c>
    </row>
    <row r="311" spans="1:170" x14ac:dyDescent="0.35">
      <c r="A311" t="s">
        <v>1006</v>
      </c>
      <c r="B311" t="s">
        <v>1007</v>
      </c>
      <c r="C311" t="s">
        <v>419</v>
      </c>
      <c r="D311">
        <v>22797</v>
      </c>
      <c r="E311">
        <v>22693</v>
      </c>
      <c r="F311">
        <v>0</v>
      </c>
      <c r="G311">
        <v>0</v>
      </c>
      <c r="H311">
        <v>627</v>
      </c>
      <c r="I311">
        <v>397</v>
      </c>
      <c r="J311">
        <v>2961</v>
      </c>
      <c r="K311">
        <v>2689</v>
      </c>
      <c r="L311">
        <v>2427</v>
      </c>
      <c r="M311">
        <v>150</v>
      </c>
      <c r="N311">
        <v>28812</v>
      </c>
      <c r="O311">
        <v>25929</v>
      </c>
      <c r="P311">
        <v>26385</v>
      </c>
      <c r="Q311">
        <v>21</v>
      </c>
      <c r="R311">
        <v>15</v>
      </c>
      <c r="S311">
        <v>46</v>
      </c>
      <c r="T311">
        <v>740</v>
      </c>
      <c r="U311">
        <v>28072</v>
      </c>
      <c r="V311" s="498">
        <v>22404</v>
      </c>
      <c r="W311">
        <v>134</v>
      </c>
      <c r="X311" s="498">
        <v>153</v>
      </c>
      <c r="Y311" s="498">
        <v>287</v>
      </c>
      <c r="Z311" s="498">
        <v>102.16</v>
      </c>
      <c r="AA311" s="498">
        <v>101.38</v>
      </c>
      <c r="AB311">
        <v>4.03</v>
      </c>
      <c r="AC311">
        <v>104.59</v>
      </c>
      <c r="AD311">
        <v>18858</v>
      </c>
      <c r="AE311">
        <v>96.53</v>
      </c>
      <c r="AF311">
        <v>90.5</v>
      </c>
      <c r="AG311">
        <v>28.31</v>
      </c>
      <c r="AH311">
        <v>123.9</v>
      </c>
      <c r="AI311">
        <v>3163</v>
      </c>
      <c r="AJ311">
        <v>137</v>
      </c>
      <c r="AK311">
        <v>3527</v>
      </c>
      <c r="AL311">
        <v>173.81</v>
      </c>
      <c r="AM311">
        <v>74</v>
      </c>
      <c r="AN311">
        <v>0</v>
      </c>
      <c r="AO311" s="499">
        <v>0</v>
      </c>
      <c r="AP311" s="499">
        <v>0</v>
      </c>
      <c r="AQ311">
        <v>0</v>
      </c>
      <c r="AR311">
        <v>0</v>
      </c>
      <c r="AS311">
        <v>67.930000000000007</v>
      </c>
      <c r="AT311">
        <v>66.069999999999993</v>
      </c>
      <c r="AU311">
        <v>9.85</v>
      </c>
      <c r="AV311">
        <v>75.75</v>
      </c>
      <c r="AW311">
        <v>131</v>
      </c>
      <c r="AX311">
        <v>84.79</v>
      </c>
      <c r="AY311">
        <v>84.06</v>
      </c>
      <c r="AZ311">
        <v>6.59</v>
      </c>
      <c r="BA311">
        <v>89.85</v>
      </c>
      <c r="BB311">
        <v>2924</v>
      </c>
      <c r="BC311">
        <v>98.92</v>
      </c>
      <c r="BD311">
        <v>97.92</v>
      </c>
      <c r="BE311">
        <v>4.4000000000000004</v>
      </c>
      <c r="BF311">
        <v>101.91</v>
      </c>
      <c r="BG311">
        <v>8063</v>
      </c>
      <c r="BH311">
        <v>111.68</v>
      </c>
      <c r="BI311">
        <v>111.16</v>
      </c>
      <c r="BJ311">
        <v>1.67</v>
      </c>
      <c r="BK311">
        <v>112.44</v>
      </c>
      <c r="BL311" s="214">
        <v>7143</v>
      </c>
      <c r="BM311" s="214">
        <v>124.23</v>
      </c>
      <c r="BN311">
        <v>123.22</v>
      </c>
      <c r="BO311" s="187">
        <v>1.62</v>
      </c>
      <c r="BP311" s="214">
        <v>125.06</v>
      </c>
      <c r="BQ311" s="214">
        <v>567</v>
      </c>
      <c r="BR311">
        <v>128.66</v>
      </c>
      <c r="BS311" s="187">
        <v>125.29</v>
      </c>
      <c r="BT311" s="214">
        <v>1.18</v>
      </c>
      <c r="BU311" s="214">
        <v>128.94</v>
      </c>
      <c r="BV311">
        <v>21</v>
      </c>
      <c r="BW311">
        <v>142.77000000000001</v>
      </c>
      <c r="BX311" s="214">
        <v>142.38999999999999</v>
      </c>
      <c r="BY311" s="214">
        <v>1.06</v>
      </c>
      <c r="BZ311">
        <v>143.12</v>
      </c>
      <c r="CA311" s="187">
        <v>9</v>
      </c>
      <c r="CB311" s="214">
        <v>102.16</v>
      </c>
      <c r="CC311" s="214">
        <v>101.38</v>
      </c>
      <c r="CD311">
        <v>4.03</v>
      </c>
      <c r="CE311" s="187">
        <v>104.59</v>
      </c>
      <c r="CF311" s="214">
        <v>18858</v>
      </c>
      <c r="CG311" s="214">
        <v>102.16</v>
      </c>
      <c r="CH311">
        <v>101.38</v>
      </c>
      <c r="CI311">
        <v>4.03</v>
      </c>
      <c r="CJ311">
        <v>104.59</v>
      </c>
      <c r="CK311">
        <v>18858</v>
      </c>
      <c r="CL311">
        <v>95.3</v>
      </c>
      <c r="CM311">
        <v>78.25</v>
      </c>
      <c r="CN311" s="187">
        <v>86.32</v>
      </c>
      <c r="CO311">
        <v>168.16</v>
      </c>
      <c r="CP311">
        <v>340</v>
      </c>
      <c r="CQ311">
        <v>76.36</v>
      </c>
      <c r="CR311">
        <v>72.14</v>
      </c>
      <c r="CS311" s="187">
        <v>28.82</v>
      </c>
      <c r="CT311">
        <v>104.68</v>
      </c>
      <c r="CU311">
        <v>231</v>
      </c>
      <c r="CV311">
        <v>91.22</v>
      </c>
      <c r="CW311">
        <v>86.59</v>
      </c>
      <c r="CX311" s="187">
        <v>30.33</v>
      </c>
      <c r="CY311">
        <v>120.98</v>
      </c>
      <c r="CZ311">
        <v>1427</v>
      </c>
      <c r="DA311">
        <v>107.28</v>
      </c>
      <c r="DB311">
        <v>101.19</v>
      </c>
      <c r="DC311" s="187">
        <v>11.06</v>
      </c>
      <c r="DD311">
        <v>118.17</v>
      </c>
      <c r="DE311">
        <v>1146</v>
      </c>
      <c r="DF311">
        <v>112.12</v>
      </c>
      <c r="DG311">
        <v>107.89</v>
      </c>
      <c r="DH311" s="187">
        <v>21.83</v>
      </c>
      <c r="DI311">
        <v>131.38999999999999</v>
      </c>
      <c r="DJ311">
        <v>17</v>
      </c>
      <c r="DK311">
        <v>124.54</v>
      </c>
      <c r="DL311">
        <v>113.22</v>
      </c>
      <c r="DM311" s="187">
        <v>8.82</v>
      </c>
      <c r="DN311">
        <v>133.36000000000001</v>
      </c>
      <c r="DO311">
        <v>2</v>
      </c>
      <c r="DP311">
        <v>96.67</v>
      </c>
      <c r="DQ311">
        <v>91.56</v>
      </c>
      <c r="DR311" s="187">
        <v>22.3</v>
      </c>
      <c r="DS311">
        <v>118.58</v>
      </c>
      <c r="DT311">
        <v>2823</v>
      </c>
      <c r="DU311">
        <v>96.53</v>
      </c>
      <c r="DV311">
        <v>90.5</v>
      </c>
      <c r="DW311" s="187">
        <v>28.31</v>
      </c>
      <c r="DX311">
        <v>123.9</v>
      </c>
      <c r="DY311">
        <v>3163</v>
      </c>
      <c r="DZ311">
        <v>0</v>
      </c>
      <c r="EA311">
        <v>0</v>
      </c>
      <c r="EB311" s="187">
        <v>0</v>
      </c>
      <c r="EC311">
        <v>0</v>
      </c>
      <c r="ED311">
        <v>110.73</v>
      </c>
      <c r="EE311">
        <v>842</v>
      </c>
      <c r="EF311">
        <v>132.5</v>
      </c>
      <c r="EG311" s="187">
        <v>1585</v>
      </c>
      <c r="EH311">
        <v>158.63</v>
      </c>
      <c r="EI311">
        <v>934</v>
      </c>
      <c r="EJ311">
        <v>191.19</v>
      </c>
      <c r="EK311">
        <v>163</v>
      </c>
      <c r="EL311" s="187">
        <v>211.5</v>
      </c>
      <c r="EM311">
        <v>2</v>
      </c>
      <c r="EN311">
        <v>192.04</v>
      </c>
      <c r="EO311">
        <v>1</v>
      </c>
      <c r="EP311">
        <v>137</v>
      </c>
      <c r="EQ311" s="187">
        <v>3527</v>
      </c>
      <c r="ER311">
        <v>137</v>
      </c>
      <c r="ES311">
        <v>3527</v>
      </c>
      <c r="ET311">
        <v>0</v>
      </c>
      <c r="EU311">
        <v>0</v>
      </c>
      <c r="EV311" s="187">
        <v>0</v>
      </c>
      <c r="EW311">
        <v>0</v>
      </c>
      <c r="EX311">
        <v>149.51</v>
      </c>
      <c r="EY311">
        <v>15</v>
      </c>
      <c r="EZ311">
        <v>179.98</v>
      </c>
      <c r="FA311" s="187">
        <v>59</v>
      </c>
      <c r="FB311">
        <v>0</v>
      </c>
      <c r="FC311">
        <v>0</v>
      </c>
      <c r="FD311">
        <v>0</v>
      </c>
      <c r="FE311">
        <v>0</v>
      </c>
      <c r="FF311" s="187">
        <v>173.81</v>
      </c>
      <c r="FG311">
        <v>74</v>
      </c>
      <c r="FH311">
        <v>173.81</v>
      </c>
      <c r="FI311">
        <v>74</v>
      </c>
      <c r="FJ311">
        <v>18</v>
      </c>
      <c r="FK311" s="187">
        <v>56</v>
      </c>
      <c r="FL311">
        <v>45</v>
      </c>
      <c r="FM311">
        <v>254</v>
      </c>
      <c r="FN311">
        <v>50</v>
      </c>
    </row>
    <row r="312" spans="1:170" x14ac:dyDescent="0.35">
      <c r="A312" t="s">
        <v>1008</v>
      </c>
      <c r="B312" t="s">
        <v>1009</v>
      </c>
      <c r="C312" t="s">
        <v>2</v>
      </c>
      <c r="D312">
        <v>2774</v>
      </c>
      <c r="E312">
        <v>2545</v>
      </c>
      <c r="F312">
        <v>8</v>
      </c>
      <c r="G312">
        <v>0</v>
      </c>
      <c r="H312">
        <v>240</v>
      </c>
      <c r="I312">
        <v>103</v>
      </c>
      <c r="J312">
        <v>244</v>
      </c>
      <c r="K312">
        <v>234</v>
      </c>
      <c r="L312">
        <v>697</v>
      </c>
      <c r="M312">
        <v>54</v>
      </c>
      <c r="N312">
        <v>3963</v>
      </c>
      <c r="O312">
        <v>2936</v>
      </c>
      <c r="P312">
        <v>3266</v>
      </c>
      <c r="Q312">
        <v>1</v>
      </c>
      <c r="R312">
        <v>7</v>
      </c>
      <c r="S312">
        <v>24</v>
      </c>
      <c r="T312">
        <v>290</v>
      </c>
      <c r="U312">
        <v>3673</v>
      </c>
      <c r="V312" s="498">
        <v>2545</v>
      </c>
      <c r="W312">
        <v>12</v>
      </c>
      <c r="X312" s="498">
        <v>11</v>
      </c>
      <c r="Y312" s="498">
        <v>23</v>
      </c>
      <c r="Z312" s="498">
        <v>116.41</v>
      </c>
      <c r="AA312" s="498">
        <v>112.58</v>
      </c>
      <c r="AB312">
        <v>7.98</v>
      </c>
      <c r="AC312">
        <v>123.86</v>
      </c>
      <c r="AD312">
        <v>1838</v>
      </c>
      <c r="AE312">
        <v>103.59</v>
      </c>
      <c r="AF312">
        <v>92.14</v>
      </c>
      <c r="AG312">
        <v>53.88</v>
      </c>
      <c r="AH312">
        <v>153.97</v>
      </c>
      <c r="AI312">
        <v>431</v>
      </c>
      <c r="AJ312">
        <v>173.46</v>
      </c>
      <c r="AK312">
        <v>788</v>
      </c>
      <c r="AL312">
        <v>0</v>
      </c>
      <c r="AM312">
        <v>0</v>
      </c>
      <c r="AN312">
        <v>0</v>
      </c>
      <c r="AO312" s="499">
        <v>0</v>
      </c>
      <c r="AP312" s="499">
        <v>0</v>
      </c>
      <c r="AQ312">
        <v>0</v>
      </c>
      <c r="AR312">
        <v>0</v>
      </c>
      <c r="AS312">
        <v>84.58</v>
      </c>
      <c r="AT312">
        <v>80.55</v>
      </c>
      <c r="AU312">
        <v>4.59</v>
      </c>
      <c r="AV312">
        <v>89.17</v>
      </c>
      <c r="AW312">
        <v>3</v>
      </c>
      <c r="AX312">
        <v>99.78</v>
      </c>
      <c r="AY312">
        <v>96.37</v>
      </c>
      <c r="AZ312">
        <v>9.8699999999999992</v>
      </c>
      <c r="BA312">
        <v>109.46</v>
      </c>
      <c r="BB312">
        <v>622</v>
      </c>
      <c r="BC312">
        <v>117</v>
      </c>
      <c r="BD312">
        <v>113.16</v>
      </c>
      <c r="BE312">
        <v>8.19</v>
      </c>
      <c r="BF312">
        <v>124.56</v>
      </c>
      <c r="BG312">
        <v>708</v>
      </c>
      <c r="BH312">
        <v>135.13999999999999</v>
      </c>
      <c r="BI312">
        <v>130.72999999999999</v>
      </c>
      <c r="BJ312">
        <v>5.19</v>
      </c>
      <c r="BK312">
        <v>139.79</v>
      </c>
      <c r="BL312" s="214">
        <v>463</v>
      </c>
      <c r="BM312" s="214">
        <v>148.76</v>
      </c>
      <c r="BN312">
        <v>144.81</v>
      </c>
      <c r="BO312" s="187">
        <v>4.4800000000000004</v>
      </c>
      <c r="BP312" s="214">
        <v>152.16999999999999</v>
      </c>
      <c r="BQ312" s="214">
        <v>42</v>
      </c>
      <c r="BR312">
        <v>0</v>
      </c>
      <c r="BS312" s="187">
        <v>0</v>
      </c>
      <c r="BT312" s="214">
        <v>0</v>
      </c>
      <c r="BU312" s="214">
        <v>0</v>
      </c>
      <c r="BV312">
        <v>0</v>
      </c>
      <c r="BW312">
        <v>0</v>
      </c>
      <c r="BX312" s="214">
        <v>0</v>
      </c>
      <c r="BY312" s="214">
        <v>0</v>
      </c>
      <c r="BZ312">
        <v>0</v>
      </c>
      <c r="CA312" s="187">
        <v>0</v>
      </c>
      <c r="CB312" s="214">
        <v>116.41</v>
      </c>
      <c r="CC312" s="214">
        <v>112.58</v>
      </c>
      <c r="CD312">
        <v>7.98</v>
      </c>
      <c r="CE312" s="187">
        <v>123.86</v>
      </c>
      <c r="CF312" s="214">
        <v>1838</v>
      </c>
      <c r="CG312" s="214">
        <v>116.41</v>
      </c>
      <c r="CH312">
        <v>112.58</v>
      </c>
      <c r="CI312">
        <v>7.98</v>
      </c>
      <c r="CJ312">
        <v>123.86</v>
      </c>
      <c r="CK312">
        <v>1838</v>
      </c>
      <c r="CL312">
        <v>89.34</v>
      </c>
      <c r="CM312">
        <v>74.209999999999994</v>
      </c>
      <c r="CN312" s="187">
        <v>88.59</v>
      </c>
      <c r="CO312">
        <v>168.6</v>
      </c>
      <c r="CP312">
        <v>152</v>
      </c>
      <c r="CQ312">
        <v>89.21</v>
      </c>
      <c r="CR312">
        <v>82.34</v>
      </c>
      <c r="CS312" s="187">
        <v>39.86</v>
      </c>
      <c r="CT312">
        <v>129.07</v>
      </c>
      <c r="CU312">
        <v>60</v>
      </c>
      <c r="CV312">
        <v>112.83</v>
      </c>
      <c r="CW312">
        <v>103.09</v>
      </c>
      <c r="CX312" s="187">
        <v>36.58</v>
      </c>
      <c r="CY312">
        <v>149.02000000000001</v>
      </c>
      <c r="CZ312">
        <v>185</v>
      </c>
      <c r="DA312">
        <v>143.03</v>
      </c>
      <c r="DB312">
        <v>125.14</v>
      </c>
      <c r="DC312" s="187">
        <v>22.65</v>
      </c>
      <c r="DD312">
        <v>158.38</v>
      </c>
      <c r="DE312">
        <v>31</v>
      </c>
      <c r="DF312">
        <v>135.55000000000001</v>
      </c>
      <c r="DG312">
        <v>134.38</v>
      </c>
      <c r="DH312" s="187">
        <v>34.32</v>
      </c>
      <c r="DI312">
        <v>169.87</v>
      </c>
      <c r="DJ312">
        <v>3</v>
      </c>
      <c r="DK312">
        <v>0</v>
      </c>
      <c r="DL312">
        <v>0</v>
      </c>
      <c r="DM312" s="187">
        <v>0</v>
      </c>
      <c r="DN312">
        <v>0</v>
      </c>
      <c r="DO312">
        <v>0</v>
      </c>
      <c r="DP312">
        <v>111.35</v>
      </c>
      <c r="DQ312">
        <v>101.4</v>
      </c>
      <c r="DR312" s="187">
        <v>36.19</v>
      </c>
      <c r="DS312">
        <v>145.99</v>
      </c>
      <c r="DT312">
        <v>279</v>
      </c>
      <c r="DU312">
        <v>103.59</v>
      </c>
      <c r="DV312">
        <v>92.14</v>
      </c>
      <c r="DW312" s="187">
        <v>53.88</v>
      </c>
      <c r="DX312">
        <v>153.97</v>
      </c>
      <c r="DY312">
        <v>431</v>
      </c>
      <c r="DZ312">
        <v>0</v>
      </c>
      <c r="EA312">
        <v>0</v>
      </c>
      <c r="EB312" s="187">
        <v>0</v>
      </c>
      <c r="EC312">
        <v>0</v>
      </c>
      <c r="ED312">
        <v>136.84</v>
      </c>
      <c r="EE312">
        <v>212</v>
      </c>
      <c r="EF312">
        <v>169.55</v>
      </c>
      <c r="EG312" s="187">
        <v>356</v>
      </c>
      <c r="EH312">
        <v>203.91</v>
      </c>
      <c r="EI312">
        <v>184</v>
      </c>
      <c r="EJ312">
        <v>272.17</v>
      </c>
      <c r="EK312">
        <v>36</v>
      </c>
      <c r="EL312" s="187">
        <v>0</v>
      </c>
      <c r="EM312">
        <v>0</v>
      </c>
      <c r="EN312">
        <v>0</v>
      </c>
      <c r="EO312">
        <v>0</v>
      </c>
      <c r="EP312">
        <v>173.46</v>
      </c>
      <c r="EQ312" s="187">
        <v>788</v>
      </c>
      <c r="ER312">
        <v>173.46</v>
      </c>
      <c r="ES312">
        <v>788</v>
      </c>
      <c r="ET312">
        <v>0</v>
      </c>
      <c r="EU312">
        <v>0</v>
      </c>
      <c r="EV312" s="187">
        <v>0</v>
      </c>
      <c r="EW312">
        <v>0</v>
      </c>
      <c r="EX312">
        <v>0</v>
      </c>
      <c r="EY312">
        <v>0</v>
      </c>
      <c r="EZ312">
        <v>0</v>
      </c>
      <c r="FA312" s="187">
        <v>0</v>
      </c>
      <c r="FB312">
        <v>0</v>
      </c>
      <c r="FC312">
        <v>0</v>
      </c>
      <c r="FD312">
        <v>0</v>
      </c>
      <c r="FE312">
        <v>0</v>
      </c>
      <c r="FF312" s="187">
        <v>0</v>
      </c>
      <c r="FG312">
        <v>0</v>
      </c>
      <c r="FH312">
        <v>0</v>
      </c>
      <c r="FI312">
        <v>0</v>
      </c>
      <c r="FJ312">
        <v>0</v>
      </c>
      <c r="FK312" s="187">
        <v>2</v>
      </c>
      <c r="FL312">
        <v>1</v>
      </c>
      <c r="FM312">
        <v>151</v>
      </c>
      <c r="FN312">
        <v>18</v>
      </c>
    </row>
    <row r="313" spans="1:170" x14ac:dyDescent="0.35">
      <c r="A313" t="s">
        <v>1010</v>
      </c>
      <c r="B313" t="s">
        <v>1011</v>
      </c>
      <c r="C313" t="s">
        <v>2</v>
      </c>
      <c r="D313">
        <v>6797</v>
      </c>
      <c r="E313">
        <v>6792</v>
      </c>
      <c r="F313">
        <v>16</v>
      </c>
      <c r="G313">
        <v>16</v>
      </c>
      <c r="H313">
        <v>187</v>
      </c>
      <c r="I313">
        <v>234</v>
      </c>
      <c r="J313">
        <v>860</v>
      </c>
      <c r="K313">
        <v>860</v>
      </c>
      <c r="L313">
        <v>388</v>
      </c>
      <c r="M313">
        <v>106</v>
      </c>
      <c r="N313">
        <v>8248</v>
      </c>
      <c r="O313">
        <v>8008</v>
      </c>
      <c r="P313">
        <v>7860</v>
      </c>
      <c r="Q313">
        <v>0</v>
      </c>
      <c r="R313">
        <v>4</v>
      </c>
      <c r="S313">
        <v>19</v>
      </c>
      <c r="T313">
        <v>10</v>
      </c>
      <c r="U313">
        <v>8238</v>
      </c>
      <c r="V313" s="498">
        <v>6790</v>
      </c>
      <c r="W313">
        <v>22</v>
      </c>
      <c r="X313" s="498">
        <v>37</v>
      </c>
      <c r="Y313" s="498">
        <v>59</v>
      </c>
      <c r="Z313" s="498">
        <v>124.64</v>
      </c>
      <c r="AA313" s="498">
        <v>126.34</v>
      </c>
      <c r="AB313">
        <v>5.5</v>
      </c>
      <c r="AC313">
        <v>128.94999999999999</v>
      </c>
      <c r="AD313">
        <v>6227</v>
      </c>
      <c r="AE313">
        <v>111.86</v>
      </c>
      <c r="AF313">
        <v>108.62</v>
      </c>
      <c r="AG313">
        <v>30.09</v>
      </c>
      <c r="AH313">
        <v>141.6</v>
      </c>
      <c r="AI313">
        <v>1043</v>
      </c>
      <c r="AJ313">
        <v>188.14</v>
      </c>
      <c r="AK313">
        <v>349</v>
      </c>
      <c r="AL313">
        <v>148.41</v>
      </c>
      <c r="AM313">
        <v>1</v>
      </c>
      <c r="AN313">
        <v>0</v>
      </c>
      <c r="AO313" s="499">
        <v>0</v>
      </c>
      <c r="AP313" s="499">
        <v>0</v>
      </c>
      <c r="AQ313">
        <v>0</v>
      </c>
      <c r="AR313">
        <v>0</v>
      </c>
      <c r="AS313">
        <v>98.9</v>
      </c>
      <c r="AT313">
        <v>96.54</v>
      </c>
      <c r="AU313">
        <v>15.36</v>
      </c>
      <c r="AV313">
        <v>112.55</v>
      </c>
      <c r="AW313">
        <v>9</v>
      </c>
      <c r="AX313">
        <v>105.52</v>
      </c>
      <c r="AY313">
        <v>106.01</v>
      </c>
      <c r="AZ313">
        <v>6.99</v>
      </c>
      <c r="BA313">
        <v>111.87</v>
      </c>
      <c r="BB313">
        <v>1809</v>
      </c>
      <c r="BC313">
        <v>121.85</v>
      </c>
      <c r="BD313">
        <v>123.08</v>
      </c>
      <c r="BE313">
        <v>7.27</v>
      </c>
      <c r="BF313">
        <v>128.05000000000001</v>
      </c>
      <c r="BG313">
        <v>1912</v>
      </c>
      <c r="BH313">
        <v>139.77000000000001</v>
      </c>
      <c r="BI313">
        <v>142.54</v>
      </c>
      <c r="BJ313">
        <v>2.14</v>
      </c>
      <c r="BK313">
        <v>141.13999999999999</v>
      </c>
      <c r="BL313" s="214">
        <v>2364</v>
      </c>
      <c r="BM313" s="214">
        <v>157.04</v>
      </c>
      <c r="BN313">
        <v>164.25</v>
      </c>
      <c r="BO313" s="187">
        <v>1.57</v>
      </c>
      <c r="BP313" s="214">
        <v>158.11000000000001</v>
      </c>
      <c r="BQ313" s="214">
        <v>125</v>
      </c>
      <c r="BR313">
        <v>164.2</v>
      </c>
      <c r="BS313" s="187">
        <v>165.02</v>
      </c>
      <c r="BT313" s="214">
        <v>0</v>
      </c>
      <c r="BU313" s="214">
        <v>164.2</v>
      </c>
      <c r="BV313">
        <v>6</v>
      </c>
      <c r="BW313">
        <v>172.53</v>
      </c>
      <c r="BX313" s="214">
        <v>177.38</v>
      </c>
      <c r="BY313" s="214">
        <v>0</v>
      </c>
      <c r="BZ313">
        <v>172.53</v>
      </c>
      <c r="CA313" s="187">
        <v>2</v>
      </c>
      <c r="CB313" s="214">
        <v>124.64</v>
      </c>
      <c r="CC313" s="214">
        <v>126.34</v>
      </c>
      <c r="CD313">
        <v>5.5</v>
      </c>
      <c r="CE313" s="187">
        <v>128.94999999999999</v>
      </c>
      <c r="CF313" s="214">
        <v>6227</v>
      </c>
      <c r="CG313" s="214">
        <v>124.64</v>
      </c>
      <c r="CH313">
        <v>126.34</v>
      </c>
      <c r="CI313">
        <v>5.5</v>
      </c>
      <c r="CJ313">
        <v>128.94999999999999</v>
      </c>
      <c r="CK313">
        <v>6227</v>
      </c>
      <c r="CL313">
        <v>109.28</v>
      </c>
      <c r="CM313">
        <v>98.58</v>
      </c>
      <c r="CN313" s="187">
        <v>59.55</v>
      </c>
      <c r="CO313">
        <v>168.83</v>
      </c>
      <c r="CP313">
        <v>42</v>
      </c>
      <c r="CQ313">
        <v>95.02</v>
      </c>
      <c r="CR313">
        <v>89.24</v>
      </c>
      <c r="CS313" s="187">
        <v>25.6</v>
      </c>
      <c r="CT313">
        <v>120.33</v>
      </c>
      <c r="CU313">
        <v>88</v>
      </c>
      <c r="CV313">
        <v>112.36</v>
      </c>
      <c r="CW313">
        <v>109.56</v>
      </c>
      <c r="CX313" s="187">
        <v>27.47</v>
      </c>
      <c r="CY313">
        <v>139.54</v>
      </c>
      <c r="CZ313">
        <v>855</v>
      </c>
      <c r="DA313">
        <v>132.68</v>
      </c>
      <c r="DB313">
        <v>129.93</v>
      </c>
      <c r="DC313" s="187">
        <v>54.46</v>
      </c>
      <c r="DD313">
        <v>187.14</v>
      </c>
      <c r="DE313">
        <v>54</v>
      </c>
      <c r="DF313">
        <v>121.69</v>
      </c>
      <c r="DG313">
        <v>122</v>
      </c>
      <c r="DH313" s="187">
        <v>55.24</v>
      </c>
      <c r="DI313">
        <v>149.31</v>
      </c>
      <c r="DJ313">
        <v>4</v>
      </c>
      <c r="DK313">
        <v>0</v>
      </c>
      <c r="DL313">
        <v>0</v>
      </c>
      <c r="DM313" s="187">
        <v>0</v>
      </c>
      <c r="DN313">
        <v>0</v>
      </c>
      <c r="DO313">
        <v>0</v>
      </c>
      <c r="DP313">
        <v>111.97</v>
      </c>
      <c r="DQ313">
        <v>108.96</v>
      </c>
      <c r="DR313" s="187">
        <v>28.84</v>
      </c>
      <c r="DS313">
        <v>140.46</v>
      </c>
      <c r="DT313">
        <v>1001</v>
      </c>
      <c r="DU313">
        <v>111.86</v>
      </c>
      <c r="DV313">
        <v>108.62</v>
      </c>
      <c r="DW313" s="187">
        <v>30.09</v>
      </c>
      <c r="DX313">
        <v>141.6</v>
      </c>
      <c r="DY313">
        <v>1043</v>
      </c>
      <c r="DZ313">
        <v>0</v>
      </c>
      <c r="EA313">
        <v>0</v>
      </c>
      <c r="EB313" s="187">
        <v>0</v>
      </c>
      <c r="EC313">
        <v>0</v>
      </c>
      <c r="ED313">
        <v>151.87</v>
      </c>
      <c r="EE313">
        <v>127</v>
      </c>
      <c r="EF313">
        <v>193.54</v>
      </c>
      <c r="EG313" s="187">
        <v>146</v>
      </c>
      <c r="EH313">
        <v>230.29</v>
      </c>
      <c r="EI313">
        <v>64</v>
      </c>
      <c r="EJ313">
        <v>281.42</v>
      </c>
      <c r="EK313">
        <v>12</v>
      </c>
      <c r="EL313" s="187">
        <v>0</v>
      </c>
      <c r="EM313">
        <v>0</v>
      </c>
      <c r="EN313">
        <v>0</v>
      </c>
      <c r="EO313">
        <v>0</v>
      </c>
      <c r="EP313">
        <v>188.14</v>
      </c>
      <c r="EQ313" s="187">
        <v>349</v>
      </c>
      <c r="ER313">
        <v>188.14</v>
      </c>
      <c r="ES313">
        <v>349</v>
      </c>
      <c r="ET313">
        <v>0</v>
      </c>
      <c r="EU313">
        <v>0</v>
      </c>
      <c r="EV313" s="187">
        <v>0</v>
      </c>
      <c r="EW313">
        <v>0</v>
      </c>
      <c r="EX313">
        <v>148.41</v>
      </c>
      <c r="EY313">
        <v>1</v>
      </c>
      <c r="EZ313">
        <v>0</v>
      </c>
      <c r="FA313" s="187">
        <v>0</v>
      </c>
      <c r="FB313">
        <v>0</v>
      </c>
      <c r="FC313">
        <v>0</v>
      </c>
      <c r="FD313">
        <v>0</v>
      </c>
      <c r="FE313">
        <v>0</v>
      </c>
      <c r="FF313" s="187">
        <v>148.41</v>
      </c>
      <c r="FG313">
        <v>1</v>
      </c>
      <c r="FH313">
        <v>148.41</v>
      </c>
      <c r="FI313">
        <v>1</v>
      </c>
      <c r="FJ313">
        <v>0</v>
      </c>
      <c r="FK313" s="187">
        <v>8</v>
      </c>
      <c r="FL313">
        <v>2</v>
      </c>
      <c r="FM313">
        <v>65</v>
      </c>
      <c r="FN313">
        <v>11</v>
      </c>
    </row>
    <row r="314" spans="1:170" x14ac:dyDescent="0.35">
      <c r="A314" t="s">
        <v>1012</v>
      </c>
      <c r="B314" t="s">
        <v>1013</v>
      </c>
      <c r="C314" t="s">
        <v>418</v>
      </c>
      <c r="D314">
        <v>18058</v>
      </c>
      <c r="E314">
        <v>16059</v>
      </c>
      <c r="F314">
        <v>0</v>
      </c>
      <c r="G314">
        <v>0</v>
      </c>
      <c r="H314">
        <v>1351</v>
      </c>
      <c r="I314">
        <v>758</v>
      </c>
      <c r="J314">
        <v>3835</v>
      </c>
      <c r="K314">
        <v>3072</v>
      </c>
      <c r="L314">
        <v>610</v>
      </c>
      <c r="M314">
        <v>0</v>
      </c>
      <c r="N314">
        <v>23854</v>
      </c>
      <c r="O314">
        <v>19889</v>
      </c>
      <c r="P314">
        <v>23244</v>
      </c>
      <c r="Q314">
        <v>19</v>
      </c>
      <c r="R314">
        <v>17</v>
      </c>
      <c r="S314">
        <v>20</v>
      </c>
      <c r="T314">
        <v>3305</v>
      </c>
      <c r="U314">
        <v>20549</v>
      </c>
      <c r="V314" s="498">
        <v>16026</v>
      </c>
      <c r="W314">
        <v>68</v>
      </c>
      <c r="X314" s="498">
        <v>126</v>
      </c>
      <c r="Y314" s="498">
        <v>194</v>
      </c>
      <c r="Z314" s="498">
        <v>87.94</v>
      </c>
      <c r="AA314" s="498">
        <v>85.61</v>
      </c>
      <c r="AB314">
        <v>9.19</v>
      </c>
      <c r="AC314">
        <v>91.23</v>
      </c>
      <c r="AD314">
        <v>13717</v>
      </c>
      <c r="AE314">
        <v>89.43</v>
      </c>
      <c r="AF314">
        <v>78.27</v>
      </c>
      <c r="AG314">
        <v>29.83</v>
      </c>
      <c r="AH314">
        <v>117.68</v>
      </c>
      <c r="AI314">
        <v>3878</v>
      </c>
      <c r="AJ314">
        <v>111.68</v>
      </c>
      <c r="AK314">
        <v>2385</v>
      </c>
      <c r="AL314">
        <v>190.18</v>
      </c>
      <c r="AM314">
        <v>159</v>
      </c>
      <c r="AN314">
        <v>0</v>
      </c>
      <c r="AO314" s="499">
        <v>0</v>
      </c>
      <c r="AP314" s="499">
        <v>0</v>
      </c>
      <c r="AQ314">
        <v>0</v>
      </c>
      <c r="AR314">
        <v>0</v>
      </c>
      <c r="AS314">
        <v>64.48</v>
      </c>
      <c r="AT314">
        <v>61.37</v>
      </c>
      <c r="AU314">
        <v>12.97</v>
      </c>
      <c r="AV314">
        <v>75.83</v>
      </c>
      <c r="AW314">
        <v>72</v>
      </c>
      <c r="AX314">
        <v>74.55</v>
      </c>
      <c r="AY314">
        <v>72</v>
      </c>
      <c r="AZ314">
        <v>9.6199999999999992</v>
      </c>
      <c r="BA314">
        <v>82.61</v>
      </c>
      <c r="BB314">
        <v>2480</v>
      </c>
      <c r="BC314">
        <v>84.37</v>
      </c>
      <c r="BD314">
        <v>82.01</v>
      </c>
      <c r="BE314">
        <v>9.0399999999999991</v>
      </c>
      <c r="BF314">
        <v>89.15</v>
      </c>
      <c r="BG314">
        <v>4100</v>
      </c>
      <c r="BH314">
        <v>94.34</v>
      </c>
      <c r="BI314">
        <v>92.05</v>
      </c>
      <c r="BJ314">
        <v>7.88</v>
      </c>
      <c r="BK314">
        <v>95.01</v>
      </c>
      <c r="BL314" s="214">
        <v>6501</v>
      </c>
      <c r="BM314" s="214">
        <v>102.05</v>
      </c>
      <c r="BN314">
        <v>100.51</v>
      </c>
      <c r="BO314" s="187">
        <v>7.33</v>
      </c>
      <c r="BP314" s="214">
        <v>102.66</v>
      </c>
      <c r="BQ314" s="214">
        <v>552</v>
      </c>
      <c r="BR314">
        <v>101.14</v>
      </c>
      <c r="BS314" s="187">
        <v>103.36</v>
      </c>
      <c r="BT314" s="214">
        <v>0</v>
      </c>
      <c r="BU314" s="214">
        <v>101.14</v>
      </c>
      <c r="BV314">
        <v>12</v>
      </c>
      <c r="BW314">
        <v>0</v>
      </c>
      <c r="BX314" s="214">
        <v>0</v>
      </c>
      <c r="BY314" s="214">
        <v>0</v>
      </c>
      <c r="BZ314">
        <v>0</v>
      </c>
      <c r="CA314" s="187">
        <v>0</v>
      </c>
      <c r="CB314" s="214">
        <v>87.94</v>
      </c>
      <c r="CC314" s="214">
        <v>85.61</v>
      </c>
      <c r="CD314">
        <v>9.19</v>
      </c>
      <c r="CE314" s="187">
        <v>91.23</v>
      </c>
      <c r="CF314" s="214">
        <v>13717</v>
      </c>
      <c r="CG314" s="214">
        <v>87.94</v>
      </c>
      <c r="CH314">
        <v>85.61</v>
      </c>
      <c r="CI314">
        <v>9.19</v>
      </c>
      <c r="CJ314">
        <v>91.23</v>
      </c>
      <c r="CK314">
        <v>13717</v>
      </c>
      <c r="CL314">
        <v>129.76</v>
      </c>
      <c r="CM314">
        <v>71.12</v>
      </c>
      <c r="CN314" s="187">
        <v>61.48</v>
      </c>
      <c r="CO314">
        <v>183.53</v>
      </c>
      <c r="CP314">
        <v>319</v>
      </c>
      <c r="CQ314">
        <v>71.239999999999995</v>
      </c>
      <c r="CR314">
        <v>69.81</v>
      </c>
      <c r="CS314" s="187">
        <v>40.229999999999997</v>
      </c>
      <c r="CT314">
        <v>102.96</v>
      </c>
      <c r="CU314">
        <v>52</v>
      </c>
      <c r="CV314">
        <v>83.79</v>
      </c>
      <c r="CW314">
        <v>76.12</v>
      </c>
      <c r="CX314" s="187">
        <v>28.68</v>
      </c>
      <c r="CY314">
        <v>111.25</v>
      </c>
      <c r="CZ314">
        <v>2851</v>
      </c>
      <c r="DA314">
        <v>95.65</v>
      </c>
      <c r="DB314">
        <v>89.06</v>
      </c>
      <c r="DC314" s="187">
        <v>19.850000000000001</v>
      </c>
      <c r="DD314">
        <v>114.53</v>
      </c>
      <c r="DE314">
        <v>638</v>
      </c>
      <c r="DF314">
        <v>101.12</v>
      </c>
      <c r="DG314">
        <v>96.37</v>
      </c>
      <c r="DH314" s="187">
        <v>26.22</v>
      </c>
      <c r="DI314">
        <v>122.97</v>
      </c>
      <c r="DJ314">
        <v>18</v>
      </c>
      <c r="DK314">
        <v>0</v>
      </c>
      <c r="DL314">
        <v>0</v>
      </c>
      <c r="DM314" s="187">
        <v>0</v>
      </c>
      <c r="DN314">
        <v>0</v>
      </c>
      <c r="DO314">
        <v>0</v>
      </c>
      <c r="DP314">
        <v>85.82</v>
      </c>
      <c r="DQ314">
        <v>78.53</v>
      </c>
      <c r="DR314" s="187">
        <v>27.23</v>
      </c>
      <c r="DS314">
        <v>111.77</v>
      </c>
      <c r="DT314">
        <v>3559</v>
      </c>
      <c r="DU314">
        <v>89.43</v>
      </c>
      <c r="DV314">
        <v>78.27</v>
      </c>
      <c r="DW314" s="187">
        <v>29.83</v>
      </c>
      <c r="DX314">
        <v>117.68</v>
      </c>
      <c r="DY314">
        <v>3878</v>
      </c>
      <c r="DZ314">
        <v>0</v>
      </c>
      <c r="EA314">
        <v>0</v>
      </c>
      <c r="EB314" s="187">
        <v>0</v>
      </c>
      <c r="EC314">
        <v>0</v>
      </c>
      <c r="ED314">
        <v>97.28</v>
      </c>
      <c r="EE314">
        <v>225</v>
      </c>
      <c r="EF314">
        <v>106.92</v>
      </c>
      <c r="EG314" s="187">
        <v>1203</v>
      </c>
      <c r="EH314">
        <v>118.84</v>
      </c>
      <c r="EI314">
        <v>830</v>
      </c>
      <c r="EJ314">
        <v>135.49</v>
      </c>
      <c r="EK314">
        <v>126</v>
      </c>
      <c r="EL314" s="187">
        <v>139.37</v>
      </c>
      <c r="EM314">
        <v>1</v>
      </c>
      <c r="EN314">
        <v>0</v>
      </c>
      <c r="EO314">
        <v>0</v>
      </c>
      <c r="EP314">
        <v>111.68</v>
      </c>
      <c r="EQ314" s="187">
        <v>2385</v>
      </c>
      <c r="ER314">
        <v>111.68</v>
      </c>
      <c r="ES314">
        <v>2385</v>
      </c>
      <c r="ET314">
        <v>87.82</v>
      </c>
      <c r="EU314">
        <v>10</v>
      </c>
      <c r="EV314" s="187">
        <v>141.41999999999999</v>
      </c>
      <c r="EW314">
        <v>11</v>
      </c>
      <c r="EX314">
        <v>207.01</v>
      </c>
      <c r="EY314">
        <v>105</v>
      </c>
      <c r="EZ314">
        <v>187.91</v>
      </c>
      <c r="FA314" s="187">
        <v>32</v>
      </c>
      <c r="FB314">
        <v>55.77</v>
      </c>
      <c r="FC314">
        <v>1</v>
      </c>
      <c r="FD314">
        <v>0</v>
      </c>
      <c r="FE314">
        <v>0</v>
      </c>
      <c r="FF314" s="187">
        <v>197.05</v>
      </c>
      <c r="FG314">
        <v>149</v>
      </c>
      <c r="FH314">
        <v>190.18</v>
      </c>
      <c r="FI314">
        <v>159</v>
      </c>
      <c r="FJ314">
        <v>0</v>
      </c>
      <c r="FK314" s="187">
        <v>80</v>
      </c>
      <c r="FL314">
        <v>44</v>
      </c>
      <c r="FM314">
        <v>18</v>
      </c>
      <c r="FN314">
        <v>2</v>
      </c>
    </row>
    <row r="315" spans="1:170" x14ac:dyDescent="0.35">
      <c r="A315" t="s">
        <v>1014</v>
      </c>
      <c r="B315" t="s">
        <v>1015</v>
      </c>
      <c r="C315" t="s">
        <v>2</v>
      </c>
      <c r="D315">
        <v>1135</v>
      </c>
      <c r="E315">
        <v>987</v>
      </c>
      <c r="F315">
        <v>4</v>
      </c>
      <c r="G315">
        <v>4</v>
      </c>
      <c r="H315">
        <v>173</v>
      </c>
      <c r="I315">
        <v>61</v>
      </c>
      <c r="J315">
        <v>342</v>
      </c>
      <c r="K315">
        <v>187</v>
      </c>
      <c r="L315">
        <v>250</v>
      </c>
      <c r="M315">
        <v>94</v>
      </c>
      <c r="N315">
        <v>1904</v>
      </c>
      <c r="O315">
        <v>1333</v>
      </c>
      <c r="P315">
        <v>1654</v>
      </c>
      <c r="Q315">
        <v>11</v>
      </c>
      <c r="R315">
        <v>7</v>
      </c>
      <c r="S315">
        <v>23</v>
      </c>
      <c r="T315">
        <v>356</v>
      </c>
      <c r="U315">
        <v>1548</v>
      </c>
      <c r="V315" s="498">
        <v>1025</v>
      </c>
      <c r="W315">
        <v>7</v>
      </c>
      <c r="X315" s="498">
        <v>2</v>
      </c>
      <c r="Y315" s="498">
        <v>9</v>
      </c>
      <c r="Z315" s="498">
        <v>134.05000000000001</v>
      </c>
      <c r="AA315" s="498">
        <v>123.12</v>
      </c>
      <c r="AB315">
        <v>9.24</v>
      </c>
      <c r="AC315">
        <v>142.03</v>
      </c>
      <c r="AD315">
        <v>954</v>
      </c>
      <c r="AE315">
        <v>104.6</v>
      </c>
      <c r="AF315">
        <v>97.7</v>
      </c>
      <c r="AG315">
        <v>35.450000000000003</v>
      </c>
      <c r="AH315">
        <v>134.66999999999999</v>
      </c>
      <c r="AI315">
        <v>244</v>
      </c>
      <c r="AJ315">
        <v>212.8</v>
      </c>
      <c r="AK315">
        <v>67</v>
      </c>
      <c r="AL315">
        <v>157.62</v>
      </c>
      <c r="AM315">
        <v>34</v>
      </c>
      <c r="AN315">
        <v>96.31</v>
      </c>
      <c r="AO315" s="499">
        <v>87.72</v>
      </c>
      <c r="AP315" s="499">
        <v>16.62</v>
      </c>
      <c r="AQ315">
        <v>112.93</v>
      </c>
      <c r="AR315">
        <v>4</v>
      </c>
      <c r="AS315">
        <v>98.32</v>
      </c>
      <c r="AT315">
        <v>92.48</v>
      </c>
      <c r="AU315">
        <v>19.239999999999998</v>
      </c>
      <c r="AV315">
        <v>117.56</v>
      </c>
      <c r="AW315">
        <v>2</v>
      </c>
      <c r="AX315">
        <v>109.9</v>
      </c>
      <c r="AY315">
        <v>103.83</v>
      </c>
      <c r="AZ315">
        <v>15.89</v>
      </c>
      <c r="BA315">
        <v>125.19</v>
      </c>
      <c r="BB315">
        <v>133</v>
      </c>
      <c r="BC315">
        <v>128.76</v>
      </c>
      <c r="BD315">
        <v>118.33</v>
      </c>
      <c r="BE315">
        <v>10.53</v>
      </c>
      <c r="BF315">
        <v>138.21</v>
      </c>
      <c r="BG315">
        <v>330</v>
      </c>
      <c r="BH315">
        <v>143.13</v>
      </c>
      <c r="BI315">
        <v>130.80000000000001</v>
      </c>
      <c r="BJ315">
        <v>5.63</v>
      </c>
      <c r="BK315">
        <v>147.69999999999999</v>
      </c>
      <c r="BL315" s="214">
        <v>449</v>
      </c>
      <c r="BM315" s="214">
        <v>164.58</v>
      </c>
      <c r="BN315">
        <v>159.11000000000001</v>
      </c>
      <c r="BO315" s="187">
        <v>10.45</v>
      </c>
      <c r="BP315" s="214">
        <v>173.24</v>
      </c>
      <c r="BQ315" s="214">
        <v>35</v>
      </c>
      <c r="BR315">
        <v>169.49</v>
      </c>
      <c r="BS315" s="187">
        <v>171.92</v>
      </c>
      <c r="BT315" s="214">
        <v>0</v>
      </c>
      <c r="BU315" s="214">
        <v>169.49</v>
      </c>
      <c r="BV315">
        <v>1</v>
      </c>
      <c r="BW315">
        <v>0</v>
      </c>
      <c r="BX315" s="214">
        <v>0</v>
      </c>
      <c r="BY315" s="214">
        <v>0</v>
      </c>
      <c r="BZ315">
        <v>0</v>
      </c>
      <c r="CA315" s="187">
        <v>0</v>
      </c>
      <c r="CB315" s="214">
        <v>134.21</v>
      </c>
      <c r="CC315" s="214">
        <v>123.32</v>
      </c>
      <c r="CD315">
        <v>9.1999999999999993</v>
      </c>
      <c r="CE315" s="187">
        <v>142.15</v>
      </c>
      <c r="CF315" s="214">
        <v>950</v>
      </c>
      <c r="CG315" s="214">
        <v>134.05000000000001</v>
      </c>
      <c r="CH315">
        <v>123.12</v>
      </c>
      <c r="CI315">
        <v>9.24</v>
      </c>
      <c r="CJ315">
        <v>142.03</v>
      </c>
      <c r="CK315">
        <v>954</v>
      </c>
      <c r="CL315">
        <v>113.45</v>
      </c>
      <c r="CM315">
        <v>83.96</v>
      </c>
      <c r="CN315" s="187">
        <v>58.72</v>
      </c>
      <c r="CO315">
        <v>172.17</v>
      </c>
      <c r="CP315">
        <v>37</v>
      </c>
      <c r="CQ315">
        <v>91.41</v>
      </c>
      <c r="CR315">
        <v>86.08</v>
      </c>
      <c r="CS315" s="187">
        <v>33.89</v>
      </c>
      <c r="CT315">
        <v>112.18</v>
      </c>
      <c r="CU315">
        <v>31</v>
      </c>
      <c r="CV315">
        <v>103.51</v>
      </c>
      <c r="CW315">
        <v>100.14</v>
      </c>
      <c r="CX315" s="187">
        <v>30.04</v>
      </c>
      <c r="CY315">
        <v>129.44999999999999</v>
      </c>
      <c r="CZ315">
        <v>161</v>
      </c>
      <c r="DA315">
        <v>118.9</v>
      </c>
      <c r="DB315">
        <v>117.94</v>
      </c>
      <c r="DC315" s="187">
        <v>27.88</v>
      </c>
      <c r="DD315">
        <v>140.35</v>
      </c>
      <c r="DE315">
        <v>13</v>
      </c>
      <c r="DF315">
        <v>139.38999999999999</v>
      </c>
      <c r="DG315">
        <v>137.49</v>
      </c>
      <c r="DH315" s="187">
        <v>33.89</v>
      </c>
      <c r="DI315">
        <v>173.28</v>
      </c>
      <c r="DJ315">
        <v>2</v>
      </c>
      <c r="DK315">
        <v>0</v>
      </c>
      <c r="DL315">
        <v>0</v>
      </c>
      <c r="DM315" s="187">
        <v>0</v>
      </c>
      <c r="DN315">
        <v>0</v>
      </c>
      <c r="DO315">
        <v>0</v>
      </c>
      <c r="DP315">
        <v>103.01</v>
      </c>
      <c r="DQ315">
        <v>99.51</v>
      </c>
      <c r="DR315" s="187">
        <v>30.39</v>
      </c>
      <c r="DS315">
        <v>127.97</v>
      </c>
      <c r="DT315">
        <v>207</v>
      </c>
      <c r="DU315">
        <v>104.6</v>
      </c>
      <c r="DV315">
        <v>97.7</v>
      </c>
      <c r="DW315" s="187">
        <v>35.450000000000003</v>
      </c>
      <c r="DX315">
        <v>134.66999999999999</v>
      </c>
      <c r="DY315">
        <v>244</v>
      </c>
      <c r="DZ315">
        <v>0</v>
      </c>
      <c r="EA315">
        <v>0</v>
      </c>
      <c r="EB315" s="187">
        <v>0</v>
      </c>
      <c r="EC315">
        <v>0</v>
      </c>
      <c r="ED315">
        <v>181.83</v>
      </c>
      <c r="EE315">
        <v>24</v>
      </c>
      <c r="EF315">
        <v>216.08</v>
      </c>
      <c r="EG315" s="187">
        <v>27</v>
      </c>
      <c r="EH315">
        <v>218.45</v>
      </c>
      <c r="EI315">
        <v>8</v>
      </c>
      <c r="EJ315">
        <v>288.95</v>
      </c>
      <c r="EK315">
        <v>8</v>
      </c>
      <c r="EL315" s="187">
        <v>0</v>
      </c>
      <c r="EM315">
        <v>0</v>
      </c>
      <c r="EN315">
        <v>0</v>
      </c>
      <c r="EO315">
        <v>0</v>
      </c>
      <c r="EP315">
        <v>212.8</v>
      </c>
      <c r="EQ315" s="187">
        <v>67</v>
      </c>
      <c r="ER315">
        <v>212.8</v>
      </c>
      <c r="ES315">
        <v>67</v>
      </c>
      <c r="ET315">
        <v>0</v>
      </c>
      <c r="EU315">
        <v>0</v>
      </c>
      <c r="EV315" s="187">
        <v>0</v>
      </c>
      <c r="EW315">
        <v>0</v>
      </c>
      <c r="EX315">
        <v>156.66</v>
      </c>
      <c r="EY315">
        <v>33</v>
      </c>
      <c r="EZ315">
        <v>189.23</v>
      </c>
      <c r="FA315" s="187">
        <v>1</v>
      </c>
      <c r="FB315">
        <v>0</v>
      </c>
      <c r="FC315">
        <v>0</v>
      </c>
      <c r="FD315">
        <v>0</v>
      </c>
      <c r="FE315">
        <v>0</v>
      </c>
      <c r="FF315" s="187">
        <v>157.62</v>
      </c>
      <c r="FG315">
        <v>34</v>
      </c>
      <c r="FH315">
        <v>157.62</v>
      </c>
      <c r="FI315">
        <v>34</v>
      </c>
      <c r="FJ315">
        <v>0</v>
      </c>
      <c r="FK315" s="187">
        <v>0</v>
      </c>
      <c r="FL315">
        <v>17</v>
      </c>
      <c r="FM315">
        <v>9</v>
      </c>
      <c r="FN315">
        <v>11</v>
      </c>
    </row>
    <row r="316" spans="1:170" x14ac:dyDescent="0.35">
      <c r="A316" t="s">
        <v>1016</v>
      </c>
      <c r="B316" t="s">
        <v>1017</v>
      </c>
      <c r="C316" t="s">
        <v>2</v>
      </c>
      <c r="D316">
        <v>2222</v>
      </c>
      <c r="E316">
        <v>2175</v>
      </c>
      <c r="F316">
        <v>0</v>
      </c>
      <c r="G316">
        <v>0</v>
      </c>
      <c r="H316">
        <v>192</v>
      </c>
      <c r="I316">
        <v>99</v>
      </c>
      <c r="J316">
        <v>219</v>
      </c>
      <c r="K316">
        <v>173</v>
      </c>
      <c r="L316">
        <v>1409</v>
      </c>
      <c r="M316">
        <v>394</v>
      </c>
      <c r="N316">
        <v>4042</v>
      </c>
      <c r="O316">
        <v>2841</v>
      </c>
      <c r="P316">
        <v>2633</v>
      </c>
      <c r="Q316">
        <v>1</v>
      </c>
      <c r="R316">
        <v>6</v>
      </c>
      <c r="S316">
        <v>29</v>
      </c>
      <c r="T316">
        <v>184</v>
      </c>
      <c r="U316">
        <v>3858</v>
      </c>
      <c r="V316" s="498">
        <v>2166</v>
      </c>
      <c r="W316">
        <v>6</v>
      </c>
      <c r="X316" s="498">
        <v>7</v>
      </c>
      <c r="Y316" s="498">
        <v>13</v>
      </c>
      <c r="Z316" s="498">
        <v>134.62</v>
      </c>
      <c r="AA316" s="498">
        <v>132.54</v>
      </c>
      <c r="AB316">
        <v>7.91</v>
      </c>
      <c r="AC316">
        <v>141.72999999999999</v>
      </c>
      <c r="AD316">
        <v>1909</v>
      </c>
      <c r="AE316">
        <v>114.27</v>
      </c>
      <c r="AF316">
        <v>111.15</v>
      </c>
      <c r="AG316">
        <v>49.93</v>
      </c>
      <c r="AH316">
        <v>164.02</v>
      </c>
      <c r="AI316">
        <v>283</v>
      </c>
      <c r="AJ316">
        <v>177.89</v>
      </c>
      <c r="AK316">
        <v>238</v>
      </c>
      <c r="AL316">
        <v>158.29</v>
      </c>
      <c r="AM316">
        <v>63</v>
      </c>
      <c r="AN316">
        <v>0</v>
      </c>
      <c r="AO316" s="499">
        <v>0</v>
      </c>
      <c r="AP316" s="499">
        <v>0</v>
      </c>
      <c r="AQ316">
        <v>0</v>
      </c>
      <c r="AR316">
        <v>0</v>
      </c>
      <c r="AS316">
        <v>0</v>
      </c>
      <c r="AT316">
        <v>0</v>
      </c>
      <c r="AU316">
        <v>0</v>
      </c>
      <c r="AV316">
        <v>0</v>
      </c>
      <c r="AW316">
        <v>0</v>
      </c>
      <c r="AX316">
        <v>107.94</v>
      </c>
      <c r="AY316">
        <v>106.47</v>
      </c>
      <c r="AZ316">
        <v>12.05</v>
      </c>
      <c r="BA316">
        <v>119.94</v>
      </c>
      <c r="BB316">
        <v>271</v>
      </c>
      <c r="BC316">
        <v>129.63999999999999</v>
      </c>
      <c r="BD316">
        <v>126.97</v>
      </c>
      <c r="BE316">
        <v>8.9</v>
      </c>
      <c r="BF316">
        <v>137.85</v>
      </c>
      <c r="BG316">
        <v>890</v>
      </c>
      <c r="BH316">
        <v>147.02000000000001</v>
      </c>
      <c r="BI316">
        <v>144.25</v>
      </c>
      <c r="BJ316">
        <v>4.84</v>
      </c>
      <c r="BK316">
        <v>151.03</v>
      </c>
      <c r="BL316" s="214">
        <v>609</v>
      </c>
      <c r="BM316" s="214">
        <v>163.91</v>
      </c>
      <c r="BN316">
        <v>167.06</v>
      </c>
      <c r="BO316" s="187">
        <v>4.79</v>
      </c>
      <c r="BP316" s="214">
        <v>168.09</v>
      </c>
      <c r="BQ316" s="214">
        <v>135</v>
      </c>
      <c r="BR316">
        <v>176.08</v>
      </c>
      <c r="BS316" s="187">
        <v>190.09</v>
      </c>
      <c r="BT316" s="214">
        <v>2.5099999999999998</v>
      </c>
      <c r="BU316" s="214">
        <v>178.59</v>
      </c>
      <c r="BV316">
        <v>4</v>
      </c>
      <c r="BW316">
        <v>0</v>
      </c>
      <c r="BX316" s="214">
        <v>0</v>
      </c>
      <c r="BY316" s="214">
        <v>0</v>
      </c>
      <c r="BZ316">
        <v>0</v>
      </c>
      <c r="CA316" s="187">
        <v>0</v>
      </c>
      <c r="CB316" s="214">
        <v>134.62</v>
      </c>
      <c r="CC316" s="214">
        <v>132.54</v>
      </c>
      <c r="CD316">
        <v>7.91</v>
      </c>
      <c r="CE316" s="187">
        <v>141.72999999999999</v>
      </c>
      <c r="CF316" s="214">
        <v>1909</v>
      </c>
      <c r="CG316" s="214">
        <v>134.62</v>
      </c>
      <c r="CH316">
        <v>132.54</v>
      </c>
      <c r="CI316">
        <v>7.91</v>
      </c>
      <c r="CJ316">
        <v>141.72999999999999</v>
      </c>
      <c r="CK316">
        <v>1909</v>
      </c>
      <c r="CL316">
        <v>104.53</v>
      </c>
      <c r="CM316">
        <v>86.74</v>
      </c>
      <c r="CN316" s="187">
        <v>54.6</v>
      </c>
      <c r="CO316">
        <v>159.13</v>
      </c>
      <c r="CP316">
        <v>45</v>
      </c>
      <c r="CQ316">
        <v>92.35</v>
      </c>
      <c r="CR316">
        <v>87.1</v>
      </c>
      <c r="CS316" s="187">
        <v>9.44</v>
      </c>
      <c r="CT316">
        <v>101.79</v>
      </c>
      <c r="CU316">
        <v>6</v>
      </c>
      <c r="CV316">
        <v>112.04</v>
      </c>
      <c r="CW316">
        <v>110.23</v>
      </c>
      <c r="CX316" s="187">
        <v>52.79</v>
      </c>
      <c r="CY316">
        <v>164.82</v>
      </c>
      <c r="CZ316">
        <v>174</v>
      </c>
      <c r="DA316">
        <v>131.5</v>
      </c>
      <c r="DB316">
        <v>125.34</v>
      </c>
      <c r="DC316" s="187">
        <v>42.1</v>
      </c>
      <c r="DD316">
        <v>173.6</v>
      </c>
      <c r="DE316">
        <v>56</v>
      </c>
      <c r="DF316">
        <v>119.64</v>
      </c>
      <c r="DG316">
        <v>113.93</v>
      </c>
      <c r="DH316" s="187">
        <v>0</v>
      </c>
      <c r="DI316">
        <v>119.64</v>
      </c>
      <c r="DJ316">
        <v>1</v>
      </c>
      <c r="DK316">
        <v>102.66</v>
      </c>
      <c r="DL316">
        <v>130.49</v>
      </c>
      <c r="DM316" s="187">
        <v>23.1</v>
      </c>
      <c r="DN316">
        <v>125.76</v>
      </c>
      <c r="DO316">
        <v>1</v>
      </c>
      <c r="DP316">
        <v>116.11</v>
      </c>
      <c r="DQ316">
        <v>113.31</v>
      </c>
      <c r="DR316" s="187">
        <v>49.04</v>
      </c>
      <c r="DS316">
        <v>164.95</v>
      </c>
      <c r="DT316">
        <v>238</v>
      </c>
      <c r="DU316">
        <v>114.27</v>
      </c>
      <c r="DV316">
        <v>111.15</v>
      </c>
      <c r="DW316" s="187">
        <v>49.93</v>
      </c>
      <c r="DX316">
        <v>164.02</v>
      </c>
      <c r="DY316">
        <v>283</v>
      </c>
      <c r="DZ316">
        <v>0</v>
      </c>
      <c r="EA316">
        <v>0</v>
      </c>
      <c r="EB316" s="187">
        <v>0</v>
      </c>
      <c r="EC316">
        <v>0</v>
      </c>
      <c r="ED316">
        <v>147.19</v>
      </c>
      <c r="EE316">
        <v>75</v>
      </c>
      <c r="EF316">
        <v>188.56</v>
      </c>
      <c r="EG316" s="187">
        <v>142</v>
      </c>
      <c r="EH316">
        <v>213.93</v>
      </c>
      <c r="EI316">
        <v>20</v>
      </c>
      <c r="EJ316">
        <v>243.95</v>
      </c>
      <c r="EK316">
        <v>1</v>
      </c>
      <c r="EL316" s="187">
        <v>0</v>
      </c>
      <c r="EM316">
        <v>0</v>
      </c>
      <c r="EN316">
        <v>0</v>
      </c>
      <c r="EO316">
        <v>0</v>
      </c>
      <c r="EP316">
        <v>177.89</v>
      </c>
      <c r="EQ316" s="187">
        <v>238</v>
      </c>
      <c r="ER316">
        <v>177.89</v>
      </c>
      <c r="ES316">
        <v>238</v>
      </c>
      <c r="ET316">
        <v>135.36000000000001</v>
      </c>
      <c r="EU316">
        <v>14</v>
      </c>
      <c r="EV316" s="187">
        <v>91.86</v>
      </c>
      <c r="EW316">
        <v>6</v>
      </c>
      <c r="EX316">
        <v>175.03</v>
      </c>
      <c r="EY316">
        <v>43</v>
      </c>
      <c r="EZ316">
        <v>0</v>
      </c>
      <c r="FA316" s="187">
        <v>0</v>
      </c>
      <c r="FB316">
        <v>0</v>
      </c>
      <c r="FC316">
        <v>0</v>
      </c>
      <c r="FD316">
        <v>0</v>
      </c>
      <c r="FE316">
        <v>0</v>
      </c>
      <c r="FF316" s="187">
        <v>164.85</v>
      </c>
      <c r="FG316">
        <v>49</v>
      </c>
      <c r="FH316">
        <v>158.29</v>
      </c>
      <c r="FI316">
        <v>63</v>
      </c>
      <c r="FJ316">
        <v>25</v>
      </c>
      <c r="FK316" s="187">
        <v>0</v>
      </c>
      <c r="FL316">
        <v>2</v>
      </c>
      <c r="FM316">
        <v>107</v>
      </c>
      <c r="FN316">
        <v>31</v>
      </c>
    </row>
    <row r="317" spans="1:170" x14ac:dyDescent="0.35">
      <c r="A317" t="s">
        <v>1018</v>
      </c>
      <c r="B317" t="s">
        <v>1019</v>
      </c>
      <c r="C317" t="s">
        <v>420</v>
      </c>
      <c r="D317">
        <v>5121</v>
      </c>
      <c r="E317">
        <v>6167</v>
      </c>
      <c r="F317">
        <v>34</v>
      </c>
      <c r="G317">
        <v>7</v>
      </c>
      <c r="H317">
        <v>539</v>
      </c>
      <c r="I317">
        <v>365</v>
      </c>
      <c r="J317">
        <v>1281</v>
      </c>
      <c r="K317">
        <v>1227</v>
      </c>
      <c r="L317">
        <v>337</v>
      </c>
      <c r="M317">
        <v>0</v>
      </c>
      <c r="N317">
        <v>7312</v>
      </c>
      <c r="O317">
        <v>7766</v>
      </c>
      <c r="P317">
        <v>6975</v>
      </c>
      <c r="Q317">
        <v>15</v>
      </c>
      <c r="R317">
        <v>9</v>
      </c>
      <c r="S317">
        <v>22</v>
      </c>
      <c r="T317">
        <v>265</v>
      </c>
      <c r="U317">
        <v>7047</v>
      </c>
      <c r="V317" s="498">
        <v>5085</v>
      </c>
      <c r="W317">
        <v>54</v>
      </c>
      <c r="X317" s="498">
        <v>5</v>
      </c>
      <c r="Y317" s="498">
        <v>59</v>
      </c>
      <c r="Z317" s="498">
        <v>90.33</v>
      </c>
      <c r="AA317" s="498">
        <v>86.51</v>
      </c>
      <c r="AB317">
        <v>7.69</v>
      </c>
      <c r="AC317">
        <v>97.11</v>
      </c>
      <c r="AD317">
        <v>4076</v>
      </c>
      <c r="AE317">
        <v>100.94</v>
      </c>
      <c r="AF317">
        <v>85.83</v>
      </c>
      <c r="AG317">
        <v>64.56</v>
      </c>
      <c r="AH317">
        <v>164.12</v>
      </c>
      <c r="AI317">
        <v>1582</v>
      </c>
      <c r="AJ317">
        <v>115.8</v>
      </c>
      <c r="AK317">
        <v>925</v>
      </c>
      <c r="AL317">
        <v>178.93</v>
      </c>
      <c r="AM317">
        <v>36</v>
      </c>
      <c r="AN317">
        <v>65.84</v>
      </c>
      <c r="AO317" s="499">
        <v>71.180000000000007</v>
      </c>
      <c r="AP317" s="499">
        <v>13.65</v>
      </c>
      <c r="AQ317">
        <v>79.489999999999995</v>
      </c>
      <c r="AR317">
        <v>7</v>
      </c>
      <c r="AS317">
        <v>69.239999999999995</v>
      </c>
      <c r="AT317">
        <v>69.17</v>
      </c>
      <c r="AU317">
        <v>14.16</v>
      </c>
      <c r="AV317">
        <v>83.41</v>
      </c>
      <c r="AW317">
        <v>77</v>
      </c>
      <c r="AX317">
        <v>79.81</v>
      </c>
      <c r="AY317">
        <v>76.16</v>
      </c>
      <c r="AZ317">
        <v>12.03</v>
      </c>
      <c r="BA317">
        <v>91.84</v>
      </c>
      <c r="BB317">
        <v>1096</v>
      </c>
      <c r="BC317">
        <v>90.87</v>
      </c>
      <c r="BD317">
        <v>86.94</v>
      </c>
      <c r="BE317">
        <v>7.13</v>
      </c>
      <c r="BF317">
        <v>97.13</v>
      </c>
      <c r="BG317">
        <v>1927</v>
      </c>
      <c r="BH317">
        <v>101.25</v>
      </c>
      <c r="BI317">
        <v>97.03</v>
      </c>
      <c r="BJ317">
        <v>1.64</v>
      </c>
      <c r="BK317">
        <v>102.47</v>
      </c>
      <c r="BL317" s="214">
        <v>809</v>
      </c>
      <c r="BM317" s="214">
        <v>110.97</v>
      </c>
      <c r="BN317">
        <v>107.31</v>
      </c>
      <c r="BO317" s="187">
        <v>1.81</v>
      </c>
      <c r="BP317" s="214">
        <v>112.31</v>
      </c>
      <c r="BQ317" s="214">
        <v>146</v>
      </c>
      <c r="BR317">
        <v>121.37</v>
      </c>
      <c r="BS317" s="187">
        <v>117.54</v>
      </c>
      <c r="BT317" s="214">
        <v>0.97</v>
      </c>
      <c r="BU317" s="214">
        <v>122.12</v>
      </c>
      <c r="BV317">
        <v>13</v>
      </c>
      <c r="BW317">
        <v>127.4</v>
      </c>
      <c r="BX317" s="214">
        <v>121.34</v>
      </c>
      <c r="BY317" s="214">
        <v>0.43</v>
      </c>
      <c r="BZ317">
        <v>127.83</v>
      </c>
      <c r="CA317" s="187">
        <v>1</v>
      </c>
      <c r="CB317" s="214">
        <v>90.38</v>
      </c>
      <c r="CC317" s="214">
        <v>86.53</v>
      </c>
      <c r="CD317">
        <v>7.68</v>
      </c>
      <c r="CE317" s="187">
        <v>97.14</v>
      </c>
      <c r="CF317" s="214">
        <v>4069</v>
      </c>
      <c r="CG317" s="214">
        <v>90.33</v>
      </c>
      <c r="CH317">
        <v>86.51</v>
      </c>
      <c r="CI317">
        <v>7.69</v>
      </c>
      <c r="CJ317">
        <v>97.11</v>
      </c>
      <c r="CK317">
        <v>4076</v>
      </c>
      <c r="CL317">
        <v>95.14</v>
      </c>
      <c r="CM317">
        <v>76.209999999999994</v>
      </c>
      <c r="CN317" s="187">
        <v>138.04</v>
      </c>
      <c r="CO317">
        <v>233.18</v>
      </c>
      <c r="CP317">
        <v>103</v>
      </c>
      <c r="CQ317">
        <v>74.33</v>
      </c>
      <c r="CR317">
        <v>68.95</v>
      </c>
      <c r="CS317" s="187">
        <v>50.09</v>
      </c>
      <c r="CT317">
        <v>117.27</v>
      </c>
      <c r="CU317">
        <v>56</v>
      </c>
      <c r="CV317">
        <v>101.95</v>
      </c>
      <c r="CW317">
        <v>85.42</v>
      </c>
      <c r="CX317" s="187">
        <v>60.92</v>
      </c>
      <c r="CY317">
        <v>162.07</v>
      </c>
      <c r="CZ317">
        <v>1209</v>
      </c>
      <c r="DA317">
        <v>104.85</v>
      </c>
      <c r="DB317">
        <v>95.78</v>
      </c>
      <c r="DC317" s="187">
        <v>53.38</v>
      </c>
      <c r="DD317">
        <v>155.65</v>
      </c>
      <c r="DE317">
        <v>207</v>
      </c>
      <c r="DF317">
        <v>109.07</v>
      </c>
      <c r="DG317">
        <v>99.38</v>
      </c>
      <c r="DH317" s="187">
        <v>18.22</v>
      </c>
      <c r="DI317">
        <v>127.29</v>
      </c>
      <c r="DJ317">
        <v>7</v>
      </c>
      <c r="DK317">
        <v>0</v>
      </c>
      <c r="DL317">
        <v>0</v>
      </c>
      <c r="DM317" s="187">
        <v>0</v>
      </c>
      <c r="DN317">
        <v>0</v>
      </c>
      <c r="DO317">
        <v>0</v>
      </c>
      <c r="DP317">
        <v>101.35</v>
      </c>
      <c r="DQ317">
        <v>86.37</v>
      </c>
      <c r="DR317" s="187">
        <v>59.33</v>
      </c>
      <c r="DS317">
        <v>159.31</v>
      </c>
      <c r="DT317">
        <v>1479</v>
      </c>
      <c r="DU317">
        <v>100.94</v>
      </c>
      <c r="DV317">
        <v>85.83</v>
      </c>
      <c r="DW317" s="187">
        <v>64.56</v>
      </c>
      <c r="DX317">
        <v>164.12</v>
      </c>
      <c r="DY317">
        <v>1582</v>
      </c>
      <c r="DZ317">
        <v>125</v>
      </c>
      <c r="EA317">
        <v>27</v>
      </c>
      <c r="EB317" s="187">
        <v>135</v>
      </c>
      <c r="EC317">
        <v>36</v>
      </c>
      <c r="ED317">
        <v>89.27</v>
      </c>
      <c r="EE317">
        <v>121</v>
      </c>
      <c r="EF317">
        <v>112.5</v>
      </c>
      <c r="EG317" s="187">
        <v>523</v>
      </c>
      <c r="EH317">
        <v>126.06</v>
      </c>
      <c r="EI317">
        <v>157</v>
      </c>
      <c r="EJ317">
        <v>154.93</v>
      </c>
      <c r="EK317">
        <v>61</v>
      </c>
      <c r="EL317" s="187">
        <v>0</v>
      </c>
      <c r="EM317">
        <v>0</v>
      </c>
      <c r="EN317">
        <v>0</v>
      </c>
      <c r="EO317">
        <v>0</v>
      </c>
      <c r="EP317">
        <v>115.52</v>
      </c>
      <c r="EQ317" s="187">
        <v>898</v>
      </c>
      <c r="ER317">
        <v>115.8</v>
      </c>
      <c r="ES317">
        <v>925</v>
      </c>
      <c r="ET317">
        <v>0</v>
      </c>
      <c r="EU317">
        <v>0</v>
      </c>
      <c r="EV317" s="187">
        <v>0</v>
      </c>
      <c r="EW317">
        <v>0</v>
      </c>
      <c r="EX317">
        <v>178.93</v>
      </c>
      <c r="EY317">
        <v>36</v>
      </c>
      <c r="EZ317">
        <v>0</v>
      </c>
      <c r="FA317" s="187">
        <v>0</v>
      </c>
      <c r="FB317">
        <v>0</v>
      </c>
      <c r="FC317">
        <v>0</v>
      </c>
      <c r="FD317">
        <v>0</v>
      </c>
      <c r="FE317">
        <v>0</v>
      </c>
      <c r="FF317" s="187">
        <v>178.93</v>
      </c>
      <c r="FG317">
        <v>36</v>
      </c>
      <c r="FH317">
        <v>178.93</v>
      </c>
      <c r="FI317">
        <v>36</v>
      </c>
      <c r="FJ317">
        <v>22</v>
      </c>
      <c r="FK317" s="187">
        <v>2</v>
      </c>
      <c r="FL317">
        <v>0</v>
      </c>
      <c r="FM317">
        <v>35</v>
      </c>
      <c r="FN317">
        <v>11</v>
      </c>
    </row>
    <row r="318" spans="1:170" x14ac:dyDescent="0.35">
      <c r="A318" t="s">
        <v>1020</v>
      </c>
      <c r="B318" t="s">
        <v>1021</v>
      </c>
      <c r="C318" t="s">
        <v>420</v>
      </c>
      <c r="D318">
        <v>6331</v>
      </c>
      <c r="E318">
        <v>5473</v>
      </c>
      <c r="F318">
        <v>46</v>
      </c>
      <c r="G318">
        <v>41</v>
      </c>
      <c r="H318">
        <v>457</v>
      </c>
      <c r="I318">
        <v>194</v>
      </c>
      <c r="J318">
        <v>993</v>
      </c>
      <c r="K318">
        <v>997</v>
      </c>
      <c r="L318">
        <v>442</v>
      </c>
      <c r="M318">
        <v>14</v>
      </c>
      <c r="N318">
        <v>8269</v>
      </c>
      <c r="O318">
        <v>6719</v>
      </c>
      <c r="P318">
        <v>7827</v>
      </c>
      <c r="Q318">
        <v>15</v>
      </c>
      <c r="R318">
        <v>11</v>
      </c>
      <c r="S318">
        <v>23</v>
      </c>
      <c r="T318">
        <v>277</v>
      </c>
      <c r="U318">
        <v>7992</v>
      </c>
      <c r="V318" s="498">
        <v>6257</v>
      </c>
      <c r="W318">
        <v>46</v>
      </c>
      <c r="X318" s="498">
        <v>13</v>
      </c>
      <c r="Y318" s="498">
        <v>59</v>
      </c>
      <c r="Z318" s="498">
        <v>89.18</v>
      </c>
      <c r="AA318" s="498">
        <v>90.48</v>
      </c>
      <c r="AB318">
        <v>5.83</v>
      </c>
      <c r="AC318">
        <v>94.57</v>
      </c>
      <c r="AD318">
        <v>5322</v>
      </c>
      <c r="AE318">
        <v>86.31</v>
      </c>
      <c r="AF318">
        <v>81.900000000000006</v>
      </c>
      <c r="AG318">
        <v>47.98</v>
      </c>
      <c r="AH318">
        <v>133.43</v>
      </c>
      <c r="AI318">
        <v>1121</v>
      </c>
      <c r="AJ318">
        <v>115.59</v>
      </c>
      <c r="AK318">
        <v>962</v>
      </c>
      <c r="AL318">
        <v>202.84</v>
      </c>
      <c r="AM318">
        <v>163</v>
      </c>
      <c r="AN318">
        <v>0</v>
      </c>
      <c r="AO318" s="499">
        <v>0</v>
      </c>
      <c r="AP318" s="499">
        <v>0</v>
      </c>
      <c r="AQ318">
        <v>0</v>
      </c>
      <c r="AR318">
        <v>0</v>
      </c>
      <c r="AS318">
        <v>63.12</v>
      </c>
      <c r="AT318">
        <v>63.28</v>
      </c>
      <c r="AU318">
        <v>10.78</v>
      </c>
      <c r="AV318">
        <v>73.900000000000006</v>
      </c>
      <c r="AW318">
        <v>178</v>
      </c>
      <c r="AX318">
        <v>74.849999999999994</v>
      </c>
      <c r="AY318">
        <v>75.48</v>
      </c>
      <c r="AZ318">
        <v>9.9600000000000009</v>
      </c>
      <c r="BA318">
        <v>84.74</v>
      </c>
      <c r="BB318">
        <v>1146</v>
      </c>
      <c r="BC318">
        <v>89.02</v>
      </c>
      <c r="BD318">
        <v>89.37</v>
      </c>
      <c r="BE318">
        <v>6.93</v>
      </c>
      <c r="BF318">
        <v>95.38</v>
      </c>
      <c r="BG318">
        <v>1799</v>
      </c>
      <c r="BH318">
        <v>97.56</v>
      </c>
      <c r="BI318">
        <v>100.19</v>
      </c>
      <c r="BJ318">
        <v>2.02</v>
      </c>
      <c r="BK318">
        <v>99.35</v>
      </c>
      <c r="BL318" s="214">
        <v>2033</v>
      </c>
      <c r="BM318" s="214">
        <v>114.63</v>
      </c>
      <c r="BN318">
        <v>116.11</v>
      </c>
      <c r="BO318" s="187">
        <v>2.31</v>
      </c>
      <c r="BP318" s="214">
        <v>116.71</v>
      </c>
      <c r="BQ318" s="214">
        <v>164</v>
      </c>
      <c r="BR318">
        <v>141.82</v>
      </c>
      <c r="BS318" s="187">
        <v>141.82</v>
      </c>
      <c r="BT318" s="214">
        <v>0</v>
      </c>
      <c r="BU318" s="214">
        <v>141.82</v>
      </c>
      <c r="BV318">
        <v>1</v>
      </c>
      <c r="BW318">
        <v>164.39</v>
      </c>
      <c r="BX318" s="214">
        <v>158.52000000000001</v>
      </c>
      <c r="BY318" s="214">
        <v>0</v>
      </c>
      <c r="BZ318">
        <v>164.39</v>
      </c>
      <c r="CA318" s="187">
        <v>1</v>
      </c>
      <c r="CB318" s="214">
        <v>89.18</v>
      </c>
      <c r="CC318" s="214">
        <v>90.48</v>
      </c>
      <c r="CD318">
        <v>5.83</v>
      </c>
      <c r="CE318" s="187">
        <v>94.57</v>
      </c>
      <c r="CF318" s="214">
        <v>5322</v>
      </c>
      <c r="CG318" s="214">
        <v>89.18</v>
      </c>
      <c r="CH318">
        <v>90.48</v>
      </c>
      <c r="CI318">
        <v>5.83</v>
      </c>
      <c r="CJ318">
        <v>94.57</v>
      </c>
      <c r="CK318">
        <v>5322</v>
      </c>
      <c r="CL318">
        <v>87.31</v>
      </c>
      <c r="CM318">
        <v>66.05</v>
      </c>
      <c r="CN318" s="187">
        <v>116.95</v>
      </c>
      <c r="CO318">
        <v>188.31</v>
      </c>
      <c r="CP318">
        <v>110</v>
      </c>
      <c r="CQ318">
        <v>75.72</v>
      </c>
      <c r="CR318">
        <v>73.05</v>
      </c>
      <c r="CS318" s="187">
        <v>55.14</v>
      </c>
      <c r="CT318">
        <v>130.85</v>
      </c>
      <c r="CU318">
        <v>41</v>
      </c>
      <c r="CV318">
        <v>83.26</v>
      </c>
      <c r="CW318">
        <v>80.69</v>
      </c>
      <c r="CX318" s="187">
        <v>43.29</v>
      </c>
      <c r="CY318">
        <v>126.39</v>
      </c>
      <c r="CZ318">
        <v>788</v>
      </c>
      <c r="DA318">
        <v>101.27</v>
      </c>
      <c r="DB318">
        <v>93.42</v>
      </c>
      <c r="DC318" s="187">
        <v>30.41</v>
      </c>
      <c r="DD318">
        <v>131.35</v>
      </c>
      <c r="DE318">
        <v>182</v>
      </c>
      <c r="DF318">
        <v>0</v>
      </c>
      <c r="DG318">
        <v>0</v>
      </c>
      <c r="DH318" s="187">
        <v>0</v>
      </c>
      <c r="DI318">
        <v>0</v>
      </c>
      <c r="DJ318">
        <v>0</v>
      </c>
      <c r="DK318">
        <v>0</v>
      </c>
      <c r="DL318">
        <v>0</v>
      </c>
      <c r="DM318" s="187">
        <v>0</v>
      </c>
      <c r="DN318">
        <v>0</v>
      </c>
      <c r="DO318">
        <v>0</v>
      </c>
      <c r="DP318">
        <v>86.2</v>
      </c>
      <c r="DQ318">
        <v>82.76</v>
      </c>
      <c r="DR318" s="187">
        <v>41.47</v>
      </c>
      <c r="DS318">
        <v>127.46</v>
      </c>
      <c r="DT318">
        <v>1011</v>
      </c>
      <c r="DU318">
        <v>86.31</v>
      </c>
      <c r="DV318">
        <v>81.900000000000006</v>
      </c>
      <c r="DW318" s="187">
        <v>47.98</v>
      </c>
      <c r="DX318">
        <v>133.43</v>
      </c>
      <c r="DY318">
        <v>1121</v>
      </c>
      <c r="DZ318">
        <v>0</v>
      </c>
      <c r="EA318">
        <v>0</v>
      </c>
      <c r="EB318" s="187">
        <v>108.48</v>
      </c>
      <c r="EC318">
        <v>5</v>
      </c>
      <c r="ED318">
        <v>102.92</v>
      </c>
      <c r="EE318">
        <v>179</v>
      </c>
      <c r="EF318">
        <v>117.61</v>
      </c>
      <c r="EG318" s="187">
        <v>399</v>
      </c>
      <c r="EH318">
        <v>117.71</v>
      </c>
      <c r="EI318">
        <v>349</v>
      </c>
      <c r="EJ318">
        <v>140.91999999999999</v>
      </c>
      <c r="EK318">
        <v>30</v>
      </c>
      <c r="EL318" s="187">
        <v>0</v>
      </c>
      <c r="EM318">
        <v>0</v>
      </c>
      <c r="EN318">
        <v>0</v>
      </c>
      <c r="EO318">
        <v>0</v>
      </c>
      <c r="EP318">
        <v>115.59</v>
      </c>
      <c r="EQ318" s="187">
        <v>962</v>
      </c>
      <c r="ER318">
        <v>115.59</v>
      </c>
      <c r="ES318">
        <v>962</v>
      </c>
      <c r="ET318">
        <v>0</v>
      </c>
      <c r="EU318">
        <v>0</v>
      </c>
      <c r="EV318" s="187">
        <v>0</v>
      </c>
      <c r="EW318">
        <v>0</v>
      </c>
      <c r="EX318">
        <v>198.08</v>
      </c>
      <c r="EY318">
        <v>103</v>
      </c>
      <c r="EZ318">
        <v>211</v>
      </c>
      <c r="FA318" s="187">
        <v>60</v>
      </c>
      <c r="FB318">
        <v>0</v>
      </c>
      <c r="FC318">
        <v>0</v>
      </c>
      <c r="FD318">
        <v>0</v>
      </c>
      <c r="FE318">
        <v>0</v>
      </c>
      <c r="FF318" s="187">
        <v>202.84</v>
      </c>
      <c r="FG318">
        <v>163</v>
      </c>
      <c r="FH318">
        <v>202.84</v>
      </c>
      <c r="FI318">
        <v>163</v>
      </c>
      <c r="FJ318">
        <v>0</v>
      </c>
      <c r="FK318" s="187">
        <v>13</v>
      </c>
      <c r="FL318">
        <v>2</v>
      </c>
      <c r="FM318">
        <v>73</v>
      </c>
      <c r="FN318">
        <v>11</v>
      </c>
    </row>
    <row r="319" spans="1:170" x14ac:dyDescent="0.35">
      <c r="A319" t="s">
        <v>1022</v>
      </c>
      <c r="B319" t="s">
        <v>1023</v>
      </c>
      <c r="C319" t="s">
        <v>2</v>
      </c>
      <c r="D319">
        <v>4119</v>
      </c>
      <c r="E319">
        <v>4094</v>
      </c>
      <c r="F319">
        <v>0</v>
      </c>
      <c r="G319">
        <v>0</v>
      </c>
      <c r="H319">
        <v>173</v>
      </c>
      <c r="I319">
        <v>59</v>
      </c>
      <c r="J319">
        <v>556</v>
      </c>
      <c r="K319">
        <v>524</v>
      </c>
      <c r="L319">
        <v>203</v>
      </c>
      <c r="M319">
        <v>0</v>
      </c>
      <c r="N319">
        <v>5051</v>
      </c>
      <c r="O319">
        <v>4677</v>
      </c>
      <c r="P319">
        <v>4848</v>
      </c>
      <c r="Q319">
        <v>35</v>
      </c>
      <c r="R319">
        <v>7</v>
      </c>
      <c r="S319">
        <v>16</v>
      </c>
      <c r="T319">
        <v>216</v>
      </c>
      <c r="U319">
        <v>4835</v>
      </c>
      <c r="V319" s="498">
        <v>4103</v>
      </c>
      <c r="W319">
        <v>19</v>
      </c>
      <c r="X319" s="498">
        <v>8</v>
      </c>
      <c r="Y319" s="498">
        <v>27</v>
      </c>
      <c r="Z319" s="498">
        <v>104.09</v>
      </c>
      <c r="AA319" s="498">
        <v>102.53</v>
      </c>
      <c r="AB319">
        <v>7.6</v>
      </c>
      <c r="AC319">
        <v>108.46</v>
      </c>
      <c r="AD319">
        <v>3726</v>
      </c>
      <c r="AE319">
        <v>91.15</v>
      </c>
      <c r="AF319">
        <v>84.56</v>
      </c>
      <c r="AG319">
        <v>42.12</v>
      </c>
      <c r="AH319">
        <v>132.80000000000001</v>
      </c>
      <c r="AI319">
        <v>529</v>
      </c>
      <c r="AJ319">
        <v>154.61000000000001</v>
      </c>
      <c r="AK319">
        <v>246</v>
      </c>
      <c r="AL319">
        <v>0</v>
      </c>
      <c r="AM319">
        <v>0</v>
      </c>
      <c r="AN319">
        <v>0</v>
      </c>
      <c r="AO319" s="499">
        <v>0</v>
      </c>
      <c r="AP319" s="499">
        <v>0</v>
      </c>
      <c r="AQ319">
        <v>0</v>
      </c>
      <c r="AR319">
        <v>0</v>
      </c>
      <c r="AS319">
        <v>74.52</v>
      </c>
      <c r="AT319">
        <v>72.42</v>
      </c>
      <c r="AU319">
        <v>7.78</v>
      </c>
      <c r="AV319">
        <v>82.31</v>
      </c>
      <c r="AW319">
        <v>113</v>
      </c>
      <c r="AX319">
        <v>88.67</v>
      </c>
      <c r="AY319">
        <v>85.68</v>
      </c>
      <c r="AZ319">
        <v>8.6300000000000008</v>
      </c>
      <c r="BA319">
        <v>96.44</v>
      </c>
      <c r="BB319">
        <v>1010</v>
      </c>
      <c r="BC319">
        <v>104.76</v>
      </c>
      <c r="BD319">
        <v>102.7</v>
      </c>
      <c r="BE319">
        <v>7.74</v>
      </c>
      <c r="BF319">
        <v>110.38</v>
      </c>
      <c r="BG319">
        <v>1228</v>
      </c>
      <c r="BH319">
        <v>116.45</v>
      </c>
      <c r="BI319">
        <v>116.23</v>
      </c>
      <c r="BJ319">
        <v>2.93</v>
      </c>
      <c r="BK319">
        <v>116.91</v>
      </c>
      <c r="BL319" s="214">
        <v>1302</v>
      </c>
      <c r="BM319" s="214">
        <v>131.6</v>
      </c>
      <c r="BN319">
        <v>133.63999999999999</v>
      </c>
      <c r="BO319" s="187">
        <v>2.2599999999999998</v>
      </c>
      <c r="BP319" s="214">
        <v>132.43</v>
      </c>
      <c r="BQ319" s="214">
        <v>68</v>
      </c>
      <c r="BR319">
        <v>123.39</v>
      </c>
      <c r="BS319" s="187">
        <v>147.55000000000001</v>
      </c>
      <c r="BT319" s="214">
        <v>0</v>
      </c>
      <c r="BU319" s="214">
        <v>123.39</v>
      </c>
      <c r="BV319">
        <v>2</v>
      </c>
      <c r="BW319">
        <v>134.77000000000001</v>
      </c>
      <c r="BX319" s="214">
        <v>156.05000000000001</v>
      </c>
      <c r="BY319" s="214">
        <v>1.56</v>
      </c>
      <c r="BZ319">
        <v>135.29</v>
      </c>
      <c r="CA319" s="187">
        <v>3</v>
      </c>
      <c r="CB319" s="214">
        <v>104.09</v>
      </c>
      <c r="CC319" s="214">
        <v>102.53</v>
      </c>
      <c r="CD319">
        <v>7.6</v>
      </c>
      <c r="CE319" s="187">
        <v>108.46</v>
      </c>
      <c r="CF319" s="214">
        <v>3726</v>
      </c>
      <c r="CG319" s="214">
        <v>104.09</v>
      </c>
      <c r="CH319">
        <v>102.53</v>
      </c>
      <c r="CI319">
        <v>7.6</v>
      </c>
      <c r="CJ319">
        <v>108.46</v>
      </c>
      <c r="CK319">
        <v>3726</v>
      </c>
      <c r="CL319">
        <v>112.02</v>
      </c>
      <c r="CM319">
        <v>81.040000000000006</v>
      </c>
      <c r="CN319" s="187">
        <v>79.23</v>
      </c>
      <c r="CO319">
        <v>191.25</v>
      </c>
      <c r="CP319">
        <v>35</v>
      </c>
      <c r="CQ319">
        <v>77.599999999999994</v>
      </c>
      <c r="CR319">
        <v>72.98</v>
      </c>
      <c r="CS319" s="187">
        <v>33.340000000000003</v>
      </c>
      <c r="CT319">
        <v>110.62</v>
      </c>
      <c r="CU319">
        <v>107</v>
      </c>
      <c r="CV319">
        <v>91.23</v>
      </c>
      <c r="CW319">
        <v>86.27</v>
      </c>
      <c r="CX319" s="187">
        <v>40.909999999999997</v>
      </c>
      <c r="CY319">
        <v>131.58000000000001</v>
      </c>
      <c r="CZ319">
        <v>360</v>
      </c>
      <c r="DA319">
        <v>116.53</v>
      </c>
      <c r="DB319">
        <v>111.23</v>
      </c>
      <c r="DC319" s="187">
        <v>44.78</v>
      </c>
      <c r="DD319">
        <v>161.31</v>
      </c>
      <c r="DE319">
        <v>24</v>
      </c>
      <c r="DF319">
        <v>119.18</v>
      </c>
      <c r="DG319">
        <v>115.95</v>
      </c>
      <c r="DH319" s="187">
        <v>41.7</v>
      </c>
      <c r="DI319">
        <v>160.88</v>
      </c>
      <c r="DJ319">
        <v>3</v>
      </c>
      <c r="DK319">
        <v>0</v>
      </c>
      <c r="DL319">
        <v>0</v>
      </c>
      <c r="DM319" s="187">
        <v>0</v>
      </c>
      <c r="DN319">
        <v>0</v>
      </c>
      <c r="DO319">
        <v>0</v>
      </c>
      <c r="DP319">
        <v>89.68</v>
      </c>
      <c r="DQ319">
        <v>84.77</v>
      </c>
      <c r="DR319" s="187">
        <v>39.46</v>
      </c>
      <c r="DS319">
        <v>128.66</v>
      </c>
      <c r="DT319">
        <v>494</v>
      </c>
      <c r="DU319">
        <v>91.15</v>
      </c>
      <c r="DV319">
        <v>84.56</v>
      </c>
      <c r="DW319" s="187">
        <v>42.12</v>
      </c>
      <c r="DX319">
        <v>132.80000000000001</v>
      </c>
      <c r="DY319">
        <v>529</v>
      </c>
      <c r="DZ319">
        <v>0</v>
      </c>
      <c r="EA319">
        <v>0</v>
      </c>
      <c r="EB319" s="187">
        <v>0</v>
      </c>
      <c r="EC319">
        <v>0</v>
      </c>
      <c r="ED319">
        <v>120.48</v>
      </c>
      <c r="EE319">
        <v>61</v>
      </c>
      <c r="EF319">
        <v>157.04</v>
      </c>
      <c r="EG319" s="187">
        <v>145</v>
      </c>
      <c r="EH319">
        <v>188.65</v>
      </c>
      <c r="EI319">
        <v>31</v>
      </c>
      <c r="EJ319">
        <v>229.42</v>
      </c>
      <c r="EK319">
        <v>9</v>
      </c>
      <c r="EL319" s="187">
        <v>0</v>
      </c>
      <c r="EM319">
        <v>0</v>
      </c>
      <c r="EN319">
        <v>0</v>
      </c>
      <c r="EO319">
        <v>0</v>
      </c>
      <c r="EP319">
        <v>154.61000000000001</v>
      </c>
      <c r="EQ319" s="187">
        <v>246</v>
      </c>
      <c r="ER319">
        <v>154.61000000000001</v>
      </c>
      <c r="ES319">
        <v>246</v>
      </c>
      <c r="ET319">
        <v>0</v>
      </c>
      <c r="EU319">
        <v>0</v>
      </c>
      <c r="EV319" s="187">
        <v>0</v>
      </c>
      <c r="EW319">
        <v>0</v>
      </c>
      <c r="EX319">
        <v>0</v>
      </c>
      <c r="EY319">
        <v>0</v>
      </c>
      <c r="EZ319">
        <v>0</v>
      </c>
      <c r="FA319" s="187">
        <v>0</v>
      </c>
      <c r="FB319">
        <v>0</v>
      </c>
      <c r="FC319">
        <v>0</v>
      </c>
      <c r="FD319">
        <v>0</v>
      </c>
      <c r="FE319">
        <v>0</v>
      </c>
      <c r="FF319" s="187">
        <v>0</v>
      </c>
      <c r="FG319">
        <v>0</v>
      </c>
      <c r="FH319">
        <v>0</v>
      </c>
      <c r="FI319">
        <v>0</v>
      </c>
      <c r="FJ319">
        <v>0</v>
      </c>
      <c r="FK319" s="187">
        <v>6</v>
      </c>
      <c r="FL319">
        <v>10</v>
      </c>
      <c r="FM319">
        <v>6</v>
      </c>
      <c r="FN319">
        <v>2</v>
      </c>
    </row>
    <row r="320" spans="1:170" x14ac:dyDescent="0.35">
      <c r="A320" t="s">
        <v>1024</v>
      </c>
      <c r="B320" t="s">
        <v>1025</v>
      </c>
      <c r="C320" t="s">
        <v>420</v>
      </c>
      <c r="D320">
        <v>8292</v>
      </c>
      <c r="E320">
        <v>8295</v>
      </c>
      <c r="F320">
        <v>0</v>
      </c>
      <c r="G320">
        <v>0</v>
      </c>
      <c r="H320">
        <v>121</v>
      </c>
      <c r="I320">
        <v>57</v>
      </c>
      <c r="J320">
        <v>906</v>
      </c>
      <c r="K320">
        <v>895</v>
      </c>
      <c r="L320">
        <v>705</v>
      </c>
      <c r="M320">
        <v>9</v>
      </c>
      <c r="N320">
        <v>10024</v>
      </c>
      <c r="O320">
        <v>9256</v>
      </c>
      <c r="P320">
        <v>9319</v>
      </c>
      <c r="Q320">
        <v>36</v>
      </c>
      <c r="R320">
        <v>3</v>
      </c>
      <c r="S320">
        <v>18</v>
      </c>
      <c r="T320">
        <v>70</v>
      </c>
      <c r="U320">
        <v>9954</v>
      </c>
      <c r="V320" s="498">
        <v>8282</v>
      </c>
      <c r="W320">
        <v>70</v>
      </c>
      <c r="X320" s="498">
        <v>22</v>
      </c>
      <c r="Y320" s="498">
        <v>92</v>
      </c>
      <c r="Z320" s="498">
        <v>97.06</v>
      </c>
      <c r="AA320" s="498">
        <v>95.28</v>
      </c>
      <c r="AB320">
        <v>4.28</v>
      </c>
      <c r="AC320">
        <v>99.44</v>
      </c>
      <c r="AD320">
        <v>7083</v>
      </c>
      <c r="AE320">
        <v>90.3</v>
      </c>
      <c r="AF320">
        <v>85.73</v>
      </c>
      <c r="AG320">
        <v>39.22</v>
      </c>
      <c r="AH320">
        <v>127.7</v>
      </c>
      <c r="AI320">
        <v>883</v>
      </c>
      <c r="AJ320">
        <v>122.14</v>
      </c>
      <c r="AK320">
        <v>1191</v>
      </c>
      <c r="AL320">
        <v>228</v>
      </c>
      <c r="AM320">
        <v>84</v>
      </c>
      <c r="AN320">
        <v>0</v>
      </c>
      <c r="AO320" s="499">
        <v>0</v>
      </c>
      <c r="AP320" s="499">
        <v>0</v>
      </c>
      <c r="AQ320">
        <v>0</v>
      </c>
      <c r="AR320">
        <v>0</v>
      </c>
      <c r="AS320">
        <v>65.84</v>
      </c>
      <c r="AT320">
        <v>63.64</v>
      </c>
      <c r="AU320">
        <v>10.91</v>
      </c>
      <c r="AV320">
        <v>72.510000000000005</v>
      </c>
      <c r="AW320">
        <v>85</v>
      </c>
      <c r="AX320">
        <v>81.569999999999993</v>
      </c>
      <c r="AY320">
        <v>79.88</v>
      </c>
      <c r="AZ320">
        <v>5.56</v>
      </c>
      <c r="BA320">
        <v>85.2</v>
      </c>
      <c r="BB320">
        <v>1587</v>
      </c>
      <c r="BC320">
        <v>96.11</v>
      </c>
      <c r="BD320">
        <v>94.08</v>
      </c>
      <c r="BE320">
        <v>4.78</v>
      </c>
      <c r="BF320">
        <v>98.87</v>
      </c>
      <c r="BG320">
        <v>2750</v>
      </c>
      <c r="BH320">
        <v>107.44</v>
      </c>
      <c r="BI320">
        <v>105.82</v>
      </c>
      <c r="BJ320">
        <v>2.31</v>
      </c>
      <c r="BK320">
        <v>108.47</v>
      </c>
      <c r="BL320" s="214">
        <v>2452</v>
      </c>
      <c r="BM320" s="214">
        <v>117.8</v>
      </c>
      <c r="BN320">
        <v>116.87</v>
      </c>
      <c r="BO320" s="187">
        <v>2.42</v>
      </c>
      <c r="BP320" s="214">
        <v>119.68</v>
      </c>
      <c r="BQ320" s="214">
        <v>207</v>
      </c>
      <c r="BR320">
        <v>148.91999999999999</v>
      </c>
      <c r="BS320" s="187">
        <v>141.83000000000001</v>
      </c>
      <c r="BT320" s="214">
        <v>0</v>
      </c>
      <c r="BU320" s="214">
        <v>148.91999999999999</v>
      </c>
      <c r="BV320">
        <v>1</v>
      </c>
      <c r="BW320">
        <v>156.49</v>
      </c>
      <c r="BX320" s="214">
        <v>149.04</v>
      </c>
      <c r="BY320" s="214">
        <v>3.32</v>
      </c>
      <c r="BZ320">
        <v>159.81</v>
      </c>
      <c r="CA320" s="187">
        <v>1</v>
      </c>
      <c r="CB320" s="214">
        <v>97.06</v>
      </c>
      <c r="CC320" s="214">
        <v>95.28</v>
      </c>
      <c r="CD320">
        <v>4.28</v>
      </c>
      <c r="CE320" s="187">
        <v>99.44</v>
      </c>
      <c r="CF320" s="214">
        <v>7083</v>
      </c>
      <c r="CG320" s="214">
        <v>97.06</v>
      </c>
      <c r="CH320">
        <v>95.28</v>
      </c>
      <c r="CI320">
        <v>4.28</v>
      </c>
      <c r="CJ320">
        <v>99.44</v>
      </c>
      <c r="CK320">
        <v>7083</v>
      </c>
      <c r="CL320">
        <v>67.2</v>
      </c>
      <c r="CM320">
        <v>64.930000000000007</v>
      </c>
      <c r="CN320" s="187">
        <v>102.03</v>
      </c>
      <c r="CO320">
        <v>169.23</v>
      </c>
      <c r="CP320">
        <v>14</v>
      </c>
      <c r="CQ320">
        <v>70.040000000000006</v>
      </c>
      <c r="CR320">
        <v>67.2</v>
      </c>
      <c r="CS320" s="187">
        <v>40.69</v>
      </c>
      <c r="CT320">
        <v>103.94</v>
      </c>
      <c r="CU320">
        <v>66</v>
      </c>
      <c r="CV320">
        <v>90.86</v>
      </c>
      <c r="CW320">
        <v>86.03</v>
      </c>
      <c r="CX320" s="187">
        <v>39.549999999999997</v>
      </c>
      <c r="CY320">
        <v>129.04</v>
      </c>
      <c r="CZ320">
        <v>691</v>
      </c>
      <c r="DA320">
        <v>101.14</v>
      </c>
      <c r="DB320">
        <v>97.03</v>
      </c>
      <c r="DC320" s="187">
        <v>27.59</v>
      </c>
      <c r="DD320">
        <v>127.17</v>
      </c>
      <c r="DE320">
        <v>106</v>
      </c>
      <c r="DF320">
        <v>111.52</v>
      </c>
      <c r="DG320">
        <v>106.46</v>
      </c>
      <c r="DH320" s="187">
        <v>35.31</v>
      </c>
      <c r="DI320">
        <v>146.84</v>
      </c>
      <c r="DJ320">
        <v>6</v>
      </c>
      <c r="DK320">
        <v>0</v>
      </c>
      <c r="DL320">
        <v>0</v>
      </c>
      <c r="DM320" s="187">
        <v>0</v>
      </c>
      <c r="DN320">
        <v>0</v>
      </c>
      <c r="DO320">
        <v>0</v>
      </c>
      <c r="DP320">
        <v>90.67</v>
      </c>
      <c r="DQ320">
        <v>86.07</v>
      </c>
      <c r="DR320" s="187">
        <v>38.15</v>
      </c>
      <c r="DS320">
        <v>127.03</v>
      </c>
      <c r="DT320">
        <v>869</v>
      </c>
      <c r="DU320">
        <v>90.3</v>
      </c>
      <c r="DV320">
        <v>85.73</v>
      </c>
      <c r="DW320" s="187">
        <v>39.22</v>
      </c>
      <c r="DX320">
        <v>127.7</v>
      </c>
      <c r="DY320">
        <v>883</v>
      </c>
      <c r="DZ320">
        <v>0</v>
      </c>
      <c r="EA320">
        <v>0</v>
      </c>
      <c r="EB320" s="187">
        <v>95.42</v>
      </c>
      <c r="EC320">
        <v>3</v>
      </c>
      <c r="ED320">
        <v>99.37</v>
      </c>
      <c r="EE320">
        <v>279</v>
      </c>
      <c r="EF320">
        <v>121.8</v>
      </c>
      <c r="EG320" s="187">
        <v>535</v>
      </c>
      <c r="EH320">
        <v>137.27000000000001</v>
      </c>
      <c r="EI320">
        <v>339</v>
      </c>
      <c r="EJ320">
        <v>164.7</v>
      </c>
      <c r="EK320">
        <v>35</v>
      </c>
      <c r="EL320" s="187">
        <v>0</v>
      </c>
      <c r="EM320">
        <v>0</v>
      </c>
      <c r="EN320">
        <v>0</v>
      </c>
      <c r="EO320">
        <v>0</v>
      </c>
      <c r="EP320">
        <v>122.14</v>
      </c>
      <c r="EQ320" s="187">
        <v>1191</v>
      </c>
      <c r="ER320">
        <v>122.14</v>
      </c>
      <c r="ES320">
        <v>1191</v>
      </c>
      <c r="ET320">
        <v>0</v>
      </c>
      <c r="EU320">
        <v>0</v>
      </c>
      <c r="EV320" s="187">
        <v>0</v>
      </c>
      <c r="EW320">
        <v>0</v>
      </c>
      <c r="EX320">
        <v>223.38</v>
      </c>
      <c r="EY320">
        <v>65</v>
      </c>
      <c r="EZ320">
        <v>243.83</v>
      </c>
      <c r="FA320" s="187">
        <v>19</v>
      </c>
      <c r="FB320">
        <v>0</v>
      </c>
      <c r="FC320">
        <v>0</v>
      </c>
      <c r="FD320">
        <v>0</v>
      </c>
      <c r="FE320">
        <v>0</v>
      </c>
      <c r="FF320" s="187">
        <v>228</v>
      </c>
      <c r="FG320">
        <v>84</v>
      </c>
      <c r="FH320">
        <v>228</v>
      </c>
      <c r="FI320">
        <v>84</v>
      </c>
      <c r="FJ320">
        <v>0</v>
      </c>
      <c r="FK320" s="187">
        <v>3</v>
      </c>
      <c r="FL320">
        <v>1</v>
      </c>
      <c r="FM320">
        <v>62</v>
      </c>
      <c r="FN320">
        <v>14</v>
      </c>
    </row>
    <row r="321" spans="1:170" x14ac:dyDescent="0.35">
      <c r="A321" t="s">
        <v>1026</v>
      </c>
      <c r="B321" t="s">
        <v>1027</v>
      </c>
      <c r="C321" t="s">
        <v>418</v>
      </c>
      <c r="D321">
        <v>3389</v>
      </c>
      <c r="E321">
        <v>3348</v>
      </c>
      <c r="F321">
        <v>0</v>
      </c>
      <c r="G321">
        <v>0</v>
      </c>
      <c r="H321">
        <v>252</v>
      </c>
      <c r="I321">
        <v>126</v>
      </c>
      <c r="J321">
        <v>475</v>
      </c>
      <c r="K321">
        <v>475</v>
      </c>
      <c r="L321">
        <v>327</v>
      </c>
      <c r="M321">
        <v>2</v>
      </c>
      <c r="N321">
        <v>4443</v>
      </c>
      <c r="O321">
        <v>3951</v>
      </c>
      <c r="P321">
        <v>4116</v>
      </c>
      <c r="Q321">
        <v>49</v>
      </c>
      <c r="R321">
        <v>12</v>
      </c>
      <c r="S321">
        <v>17</v>
      </c>
      <c r="T321">
        <v>130</v>
      </c>
      <c r="U321">
        <v>4313</v>
      </c>
      <c r="V321" s="498">
        <v>3341</v>
      </c>
      <c r="W321">
        <v>13</v>
      </c>
      <c r="X321" s="498">
        <v>20</v>
      </c>
      <c r="Y321" s="498">
        <v>33</v>
      </c>
      <c r="Z321" s="498">
        <v>88.62</v>
      </c>
      <c r="AA321" s="498">
        <v>88.02</v>
      </c>
      <c r="AB321">
        <v>4.4400000000000004</v>
      </c>
      <c r="AC321">
        <v>91.27</v>
      </c>
      <c r="AD321">
        <v>2835</v>
      </c>
      <c r="AE321">
        <v>97.18</v>
      </c>
      <c r="AF321">
        <v>87.82</v>
      </c>
      <c r="AG321">
        <v>35.619999999999997</v>
      </c>
      <c r="AH321">
        <v>131.27000000000001</v>
      </c>
      <c r="AI321">
        <v>557</v>
      </c>
      <c r="AJ321">
        <v>112.33</v>
      </c>
      <c r="AK321">
        <v>500</v>
      </c>
      <c r="AL321">
        <v>169.37</v>
      </c>
      <c r="AM321">
        <v>88</v>
      </c>
      <c r="AN321">
        <v>0</v>
      </c>
      <c r="AO321" s="499">
        <v>0</v>
      </c>
      <c r="AP321" s="499">
        <v>0</v>
      </c>
      <c r="AQ321">
        <v>0</v>
      </c>
      <c r="AR321">
        <v>0</v>
      </c>
      <c r="AS321">
        <v>67.77</v>
      </c>
      <c r="AT321">
        <v>67.239999999999995</v>
      </c>
      <c r="AU321">
        <v>9.42</v>
      </c>
      <c r="AV321">
        <v>75.84</v>
      </c>
      <c r="AW321">
        <v>21</v>
      </c>
      <c r="AX321">
        <v>75.66</v>
      </c>
      <c r="AY321">
        <v>74.81</v>
      </c>
      <c r="AZ321">
        <v>5.77</v>
      </c>
      <c r="BA321">
        <v>81.040000000000006</v>
      </c>
      <c r="BB321">
        <v>689</v>
      </c>
      <c r="BC321">
        <v>87</v>
      </c>
      <c r="BD321">
        <v>86.27</v>
      </c>
      <c r="BE321">
        <v>4.5999999999999996</v>
      </c>
      <c r="BF321">
        <v>90.06</v>
      </c>
      <c r="BG321">
        <v>933</v>
      </c>
      <c r="BH321">
        <v>97.45</v>
      </c>
      <c r="BI321">
        <v>97.13</v>
      </c>
      <c r="BJ321">
        <v>1.87</v>
      </c>
      <c r="BK321">
        <v>98.1</v>
      </c>
      <c r="BL321" s="214">
        <v>1161</v>
      </c>
      <c r="BM321" s="214">
        <v>107.07</v>
      </c>
      <c r="BN321">
        <v>105.38</v>
      </c>
      <c r="BO321" s="187">
        <v>3.13</v>
      </c>
      <c r="BP321" s="214">
        <v>108.21</v>
      </c>
      <c r="BQ321" s="214">
        <v>22</v>
      </c>
      <c r="BR321">
        <v>112.61</v>
      </c>
      <c r="BS321" s="187">
        <v>112.05</v>
      </c>
      <c r="BT321" s="214">
        <v>6.31</v>
      </c>
      <c r="BU321" s="214">
        <v>114.97</v>
      </c>
      <c r="BV321">
        <v>8</v>
      </c>
      <c r="BW321">
        <v>113.18</v>
      </c>
      <c r="BX321" s="214">
        <v>119.7</v>
      </c>
      <c r="BY321" s="214">
        <v>0</v>
      </c>
      <c r="BZ321">
        <v>113.18</v>
      </c>
      <c r="CA321" s="187">
        <v>1</v>
      </c>
      <c r="CB321" s="214">
        <v>88.62</v>
      </c>
      <c r="CC321" s="214">
        <v>88.02</v>
      </c>
      <c r="CD321">
        <v>4.4400000000000004</v>
      </c>
      <c r="CE321" s="187">
        <v>91.27</v>
      </c>
      <c r="CF321" s="214">
        <v>2835</v>
      </c>
      <c r="CG321" s="214">
        <v>88.62</v>
      </c>
      <c r="CH321">
        <v>88.02</v>
      </c>
      <c r="CI321">
        <v>4.4400000000000004</v>
      </c>
      <c r="CJ321">
        <v>91.27</v>
      </c>
      <c r="CK321">
        <v>2835</v>
      </c>
      <c r="CL321">
        <v>141.49</v>
      </c>
      <c r="CM321">
        <v>69.89</v>
      </c>
      <c r="CN321" s="187">
        <v>76.569999999999993</v>
      </c>
      <c r="CO321">
        <v>218.06</v>
      </c>
      <c r="CP321">
        <v>66</v>
      </c>
      <c r="CQ321">
        <v>82.11</v>
      </c>
      <c r="CR321">
        <v>88.77</v>
      </c>
      <c r="CS321" s="187">
        <v>37.56</v>
      </c>
      <c r="CT321">
        <v>112.06</v>
      </c>
      <c r="CU321">
        <v>79</v>
      </c>
      <c r="CV321">
        <v>91.82</v>
      </c>
      <c r="CW321">
        <v>86.47</v>
      </c>
      <c r="CX321" s="187">
        <v>27.29</v>
      </c>
      <c r="CY321">
        <v>118.51</v>
      </c>
      <c r="CZ321">
        <v>358</v>
      </c>
      <c r="DA321">
        <v>100.7</v>
      </c>
      <c r="DB321">
        <v>102.42</v>
      </c>
      <c r="DC321" s="187">
        <v>37.94</v>
      </c>
      <c r="DD321">
        <v>138.65</v>
      </c>
      <c r="DE321">
        <v>51</v>
      </c>
      <c r="DF321">
        <v>99.44</v>
      </c>
      <c r="DG321">
        <v>102.05</v>
      </c>
      <c r="DH321" s="187">
        <v>25.54</v>
      </c>
      <c r="DI321">
        <v>124.98</v>
      </c>
      <c r="DJ321">
        <v>3</v>
      </c>
      <c r="DK321">
        <v>0</v>
      </c>
      <c r="DL321">
        <v>0</v>
      </c>
      <c r="DM321" s="187">
        <v>0</v>
      </c>
      <c r="DN321">
        <v>0</v>
      </c>
      <c r="DO321">
        <v>0</v>
      </c>
      <c r="DP321">
        <v>91.23</v>
      </c>
      <c r="DQ321">
        <v>88.66</v>
      </c>
      <c r="DR321" s="187">
        <v>29.83</v>
      </c>
      <c r="DS321">
        <v>119.6</v>
      </c>
      <c r="DT321">
        <v>491</v>
      </c>
      <c r="DU321">
        <v>97.18</v>
      </c>
      <c r="DV321">
        <v>87.82</v>
      </c>
      <c r="DW321" s="187">
        <v>35.619999999999997</v>
      </c>
      <c r="DX321">
        <v>131.27000000000001</v>
      </c>
      <c r="DY321">
        <v>557</v>
      </c>
      <c r="DZ321">
        <v>0</v>
      </c>
      <c r="EA321">
        <v>0</v>
      </c>
      <c r="EB321" s="187">
        <v>0</v>
      </c>
      <c r="EC321">
        <v>0</v>
      </c>
      <c r="ED321">
        <v>89.56</v>
      </c>
      <c r="EE321">
        <v>74</v>
      </c>
      <c r="EF321">
        <v>110.64</v>
      </c>
      <c r="EG321" s="187">
        <v>244</v>
      </c>
      <c r="EH321">
        <v>123.7</v>
      </c>
      <c r="EI321">
        <v>180</v>
      </c>
      <c r="EJ321">
        <v>124.12</v>
      </c>
      <c r="EK321">
        <v>1</v>
      </c>
      <c r="EL321" s="187">
        <v>0</v>
      </c>
      <c r="EM321">
        <v>0</v>
      </c>
      <c r="EN321">
        <v>150</v>
      </c>
      <c r="EO321">
        <v>1</v>
      </c>
      <c r="EP321">
        <v>112.33</v>
      </c>
      <c r="EQ321" s="187">
        <v>500</v>
      </c>
      <c r="ER321">
        <v>112.33</v>
      </c>
      <c r="ES321">
        <v>500</v>
      </c>
      <c r="ET321">
        <v>0</v>
      </c>
      <c r="EU321">
        <v>0</v>
      </c>
      <c r="EV321" s="187">
        <v>0</v>
      </c>
      <c r="EW321">
        <v>0</v>
      </c>
      <c r="EX321">
        <v>166.91</v>
      </c>
      <c r="EY321">
        <v>74</v>
      </c>
      <c r="EZ321">
        <v>182.4</v>
      </c>
      <c r="FA321" s="187">
        <v>14</v>
      </c>
      <c r="FB321">
        <v>0</v>
      </c>
      <c r="FC321">
        <v>0</v>
      </c>
      <c r="FD321">
        <v>0</v>
      </c>
      <c r="FE321">
        <v>0</v>
      </c>
      <c r="FF321" s="187">
        <v>169.37</v>
      </c>
      <c r="FG321">
        <v>88</v>
      </c>
      <c r="FH321">
        <v>169.37</v>
      </c>
      <c r="FI321">
        <v>88</v>
      </c>
      <c r="FJ321">
        <v>7</v>
      </c>
      <c r="FK321" s="187">
        <v>5</v>
      </c>
      <c r="FL321">
        <v>0</v>
      </c>
      <c r="FM321">
        <v>53</v>
      </c>
      <c r="FN321">
        <v>8</v>
      </c>
    </row>
    <row r="322" spans="1:170" x14ac:dyDescent="0.35">
      <c r="A322" t="s">
        <v>1028</v>
      </c>
      <c r="B322" t="s">
        <v>1029</v>
      </c>
      <c r="C322" t="s">
        <v>420</v>
      </c>
      <c r="D322">
        <v>4506</v>
      </c>
      <c r="E322">
        <v>4151</v>
      </c>
      <c r="F322">
        <v>0</v>
      </c>
      <c r="G322">
        <v>0</v>
      </c>
      <c r="H322">
        <v>2154</v>
      </c>
      <c r="I322">
        <v>2100</v>
      </c>
      <c r="J322">
        <v>69</v>
      </c>
      <c r="K322">
        <v>39</v>
      </c>
      <c r="L322">
        <v>532</v>
      </c>
      <c r="M322">
        <v>0</v>
      </c>
      <c r="N322">
        <v>7261</v>
      </c>
      <c r="O322">
        <v>6290</v>
      </c>
      <c r="P322">
        <v>6729</v>
      </c>
      <c r="Q322">
        <v>44</v>
      </c>
      <c r="R322">
        <v>2</v>
      </c>
      <c r="S322">
        <v>14</v>
      </c>
      <c r="T322">
        <v>7</v>
      </c>
      <c r="U322">
        <v>7254</v>
      </c>
      <c r="V322" s="498">
        <v>4506</v>
      </c>
      <c r="W322">
        <v>32</v>
      </c>
      <c r="X322" s="498">
        <v>43</v>
      </c>
      <c r="Y322" s="498">
        <v>75</v>
      </c>
      <c r="Z322" s="498">
        <v>90.06</v>
      </c>
      <c r="AA322" s="498">
        <v>87.26</v>
      </c>
      <c r="AB322">
        <v>8.44</v>
      </c>
      <c r="AC322">
        <v>94.02</v>
      </c>
      <c r="AD322">
        <v>4028</v>
      </c>
      <c r="AE322">
        <v>88.8</v>
      </c>
      <c r="AF322">
        <v>80.86</v>
      </c>
      <c r="AG322">
        <v>17.72</v>
      </c>
      <c r="AH322">
        <v>106.51</v>
      </c>
      <c r="AI322">
        <v>2090</v>
      </c>
      <c r="AJ322">
        <v>109.4</v>
      </c>
      <c r="AK322">
        <v>450</v>
      </c>
      <c r="AL322">
        <v>210.73</v>
      </c>
      <c r="AM322">
        <v>126</v>
      </c>
      <c r="AN322">
        <v>0</v>
      </c>
      <c r="AO322" s="499">
        <v>0</v>
      </c>
      <c r="AP322" s="499">
        <v>0</v>
      </c>
      <c r="AQ322">
        <v>0</v>
      </c>
      <c r="AR322">
        <v>0</v>
      </c>
      <c r="AS322">
        <v>64.5</v>
      </c>
      <c r="AT322">
        <v>61.42</v>
      </c>
      <c r="AU322">
        <v>9.35</v>
      </c>
      <c r="AV322">
        <v>73.849999999999994</v>
      </c>
      <c r="AW322">
        <v>1</v>
      </c>
      <c r="AX322">
        <v>73.13</v>
      </c>
      <c r="AY322">
        <v>71.25</v>
      </c>
      <c r="AZ322">
        <v>11.86</v>
      </c>
      <c r="BA322">
        <v>84.69</v>
      </c>
      <c r="BB322">
        <v>509</v>
      </c>
      <c r="BC322">
        <v>87.05</v>
      </c>
      <c r="BD322">
        <v>84.51</v>
      </c>
      <c r="BE322">
        <v>8.85</v>
      </c>
      <c r="BF322">
        <v>92.98</v>
      </c>
      <c r="BG322">
        <v>1496</v>
      </c>
      <c r="BH322">
        <v>96.07</v>
      </c>
      <c r="BI322">
        <v>92.83</v>
      </c>
      <c r="BJ322">
        <v>3.05</v>
      </c>
      <c r="BK322">
        <v>96.66</v>
      </c>
      <c r="BL322" s="214">
        <v>1918</v>
      </c>
      <c r="BM322" s="214">
        <v>105.33</v>
      </c>
      <c r="BN322">
        <v>102.02</v>
      </c>
      <c r="BO322" s="187">
        <v>3.38</v>
      </c>
      <c r="BP322" s="214">
        <v>105.99</v>
      </c>
      <c r="BQ322" s="214">
        <v>97</v>
      </c>
      <c r="BR322">
        <v>110.88</v>
      </c>
      <c r="BS322" s="187">
        <v>111.16</v>
      </c>
      <c r="BT322" s="214">
        <v>0</v>
      </c>
      <c r="BU322" s="214">
        <v>110.88</v>
      </c>
      <c r="BV322">
        <v>7</v>
      </c>
      <c r="BW322">
        <v>0</v>
      </c>
      <c r="BX322" s="214">
        <v>0</v>
      </c>
      <c r="BY322" s="214">
        <v>0</v>
      </c>
      <c r="BZ322">
        <v>0</v>
      </c>
      <c r="CA322" s="187">
        <v>0</v>
      </c>
      <c r="CB322" s="214">
        <v>90.06</v>
      </c>
      <c r="CC322" s="214">
        <v>87.26</v>
      </c>
      <c r="CD322">
        <v>8.44</v>
      </c>
      <c r="CE322" s="187">
        <v>94.02</v>
      </c>
      <c r="CF322" s="214">
        <v>4028</v>
      </c>
      <c r="CG322" s="214">
        <v>90.06</v>
      </c>
      <c r="CH322">
        <v>87.26</v>
      </c>
      <c r="CI322">
        <v>8.44</v>
      </c>
      <c r="CJ322">
        <v>94.02</v>
      </c>
      <c r="CK322">
        <v>4028</v>
      </c>
      <c r="CL322">
        <v>93.33</v>
      </c>
      <c r="CM322">
        <v>71.48</v>
      </c>
      <c r="CN322" s="187">
        <v>98.4</v>
      </c>
      <c r="CO322">
        <v>191.74</v>
      </c>
      <c r="CP322">
        <v>39</v>
      </c>
      <c r="CQ322">
        <v>76.819999999999993</v>
      </c>
      <c r="CR322">
        <v>64.819999999999993</v>
      </c>
      <c r="CS322" s="187">
        <v>83.31</v>
      </c>
      <c r="CT322">
        <v>160.13</v>
      </c>
      <c r="CU322">
        <v>30</v>
      </c>
      <c r="CV322">
        <v>85.82</v>
      </c>
      <c r="CW322">
        <v>77.66</v>
      </c>
      <c r="CX322" s="187">
        <v>18.07</v>
      </c>
      <c r="CY322">
        <v>103.88</v>
      </c>
      <c r="CZ322">
        <v>1493</v>
      </c>
      <c r="DA322">
        <v>97.51</v>
      </c>
      <c r="DB322">
        <v>90.72</v>
      </c>
      <c r="DC322" s="187">
        <v>6.93</v>
      </c>
      <c r="DD322">
        <v>104.43</v>
      </c>
      <c r="DE322">
        <v>522</v>
      </c>
      <c r="DF322">
        <v>105.14</v>
      </c>
      <c r="DG322">
        <v>97.45</v>
      </c>
      <c r="DH322" s="187">
        <v>14.12</v>
      </c>
      <c r="DI322">
        <v>119.26</v>
      </c>
      <c r="DJ322">
        <v>6</v>
      </c>
      <c r="DK322">
        <v>0</v>
      </c>
      <c r="DL322">
        <v>0</v>
      </c>
      <c r="DM322" s="187">
        <v>0</v>
      </c>
      <c r="DN322">
        <v>0</v>
      </c>
      <c r="DO322">
        <v>0</v>
      </c>
      <c r="DP322">
        <v>88.72</v>
      </c>
      <c r="DQ322">
        <v>80.94</v>
      </c>
      <c r="DR322" s="187">
        <v>16.18</v>
      </c>
      <c r="DS322">
        <v>104.89</v>
      </c>
      <c r="DT322">
        <v>2051</v>
      </c>
      <c r="DU322">
        <v>88.8</v>
      </c>
      <c r="DV322">
        <v>80.86</v>
      </c>
      <c r="DW322" s="187">
        <v>17.72</v>
      </c>
      <c r="DX322">
        <v>106.51</v>
      </c>
      <c r="DY322">
        <v>2090</v>
      </c>
      <c r="DZ322">
        <v>0</v>
      </c>
      <c r="EA322">
        <v>0</v>
      </c>
      <c r="EB322" s="187">
        <v>0</v>
      </c>
      <c r="EC322">
        <v>0</v>
      </c>
      <c r="ED322">
        <v>93.89</v>
      </c>
      <c r="EE322">
        <v>98</v>
      </c>
      <c r="EF322">
        <v>108.09</v>
      </c>
      <c r="EG322" s="187">
        <v>231</v>
      </c>
      <c r="EH322">
        <v>124.56</v>
      </c>
      <c r="EI322">
        <v>108</v>
      </c>
      <c r="EJ322">
        <v>123.65</v>
      </c>
      <c r="EK322">
        <v>13</v>
      </c>
      <c r="EL322" s="187">
        <v>0</v>
      </c>
      <c r="EM322">
        <v>0</v>
      </c>
      <c r="EN322">
        <v>0</v>
      </c>
      <c r="EO322">
        <v>0</v>
      </c>
      <c r="EP322">
        <v>109.4</v>
      </c>
      <c r="EQ322" s="187">
        <v>450</v>
      </c>
      <c r="ER322">
        <v>109.4</v>
      </c>
      <c r="ES322">
        <v>450</v>
      </c>
      <c r="ET322">
        <v>0</v>
      </c>
      <c r="EU322">
        <v>0</v>
      </c>
      <c r="EV322" s="187">
        <v>0</v>
      </c>
      <c r="EW322">
        <v>0</v>
      </c>
      <c r="EX322">
        <v>202.14</v>
      </c>
      <c r="EY322">
        <v>56</v>
      </c>
      <c r="EZ322">
        <v>217.6</v>
      </c>
      <c r="FA322" s="187">
        <v>70</v>
      </c>
      <c r="FB322">
        <v>0</v>
      </c>
      <c r="FC322">
        <v>0</v>
      </c>
      <c r="FD322">
        <v>0</v>
      </c>
      <c r="FE322">
        <v>0</v>
      </c>
      <c r="FF322" s="187">
        <v>210.73</v>
      </c>
      <c r="FG322">
        <v>126</v>
      </c>
      <c r="FH322">
        <v>210.73</v>
      </c>
      <c r="FI322">
        <v>126</v>
      </c>
      <c r="FJ322">
        <v>0</v>
      </c>
      <c r="FK322" s="187">
        <v>22</v>
      </c>
      <c r="FL322">
        <v>15</v>
      </c>
      <c r="FM322">
        <v>67</v>
      </c>
      <c r="FN322">
        <v>19</v>
      </c>
    </row>
    <row r="323" spans="1:170" x14ac:dyDescent="0.35">
      <c r="A323" t="s">
        <v>1030</v>
      </c>
      <c r="B323" t="s">
        <v>1031</v>
      </c>
      <c r="C323" t="s">
        <v>1048</v>
      </c>
      <c r="D323">
        <v>4080</v>
      </c>
      <c r="E323">
        <v>3390</v>
      </c>
      <c r="F323">
        <v>6</v>
      </c>
      <c r="G323">
        <v>0</v>
      </c>
      <c r="H323">
        <v>290</v>
      </c>
      <c r="I323">
        <v>139</v>
      </c>
      <c r="J323">
        <v>713</v>
      </c>
      <c r="K323">
        <v>554</v>
      </c>
      <c r="L323">
        <v>554</v>
      </c>
      <c r="M323">
        <v>0</v>
      </c>
      <c r="N323">
        <v>5643</v>
      </c>
      <c r="O323">
        <v>4083</v>
      </c>
      <c r="P323">
        <v>5089</v>
      </c>
      <c r="Q323">
        <v>4</v>
      </c>
      <c r="R323">
        <v>7</v>
      </c>
      <c r="S323">
        <v>21</v>
      </c>
      <c r="T323">
        <v>648</v>
      </c>
      <c r="U323">
        <v>4995</v>
      </c>
      <c r="V323" s="498">
        <v>3723</v>
      </c>
      <c r="W323">
        <v>25</v>
      </c>
      <c r="X323" s="498">
        <v>12</v>
      </c>
      <c r="Y323" s="498">
        <v>37</v>
      </c>
      <c r="Z323" s="498">
        <v>96.01</v>
      </c>
      <c r="AA323" s="498">
        <v>94.89</v>
      </c>
      <c r="AB323">
        <v>7.79</v>
      </c>
      <c r="AC323">
        <v>99.76</v>
      </c>
      <c r="AD323">
        <v>3066</v>
      </c>
      <c r="AE323">
        <v>89.01</v>
      </c>
      <c r="AF323">
        <v>77.53</v>
      </c>
      <c r="AG323">
        <v>32.69</v>
      </c>
      <c r="AH323">
        <v>121.42</v>
      </c>
      <c r="AI323">
        <v>718</v>
      </c>
      <c r="AJ323">
        <v>112.32</v>
      </c>
      <c r="AK323">
        <v>568</v>
      </c>
      <c r="AL323">
        <v>0</v>
      </c>
      <c r="AM323">
        <v>0</v>
      </c>
      <c r="AN323">
        <v>0</v>
      </c>
      <c r="AO323" s="499">
        <v>0</v>
      </c>
      <c r="AP323" s="499">
        <v>0</v>
      </c>
      <c r="AQ323">
        <v>0</v>
      </c>
      <c r="AR323">
        <v>0</v>
      </c>
      <c r="AS323">
        <v>65.8</v>
      </c>
      <c r="AT323">
        <v>66.45</v>
      </c>
      <c r="AU323">
        <v>6.7</v>
      </c>
      <c r="AV323">
        <v>72.05</v>
      </c>
      <c r="AW323">
        <v>15</v>
      </c>
      <c r="AX323">
        <v>80.12</v>
      </c>
      <c r="AY323">
        <v>78.58</v>
      </c>
      <c r="AZ323">
        <v>11.88</v>
      </c>
      <c r="BA323">
        <v>85.67</v>
      </c>
      <c r="BB323">
        <v>377</v>
      </c>
      <c r="BC323">
        <v>93.12</v>
      </c>
      <c r="BD323">
        <v>91.46</v>
      </c>
      <c r="BE323">
        <v>8.94</v>
      </c>
      <c r="BF323">
        <v>98.51</v>
      </c>
      <c r="BG323">
        <v>1382</v>
      </c>
      <c r="BH323">
        <v>102.03</v>
      </c>
      <c r="BI323">
        <v>101.57</v>
      </c>
      <c r="BJ323">
        <v>4.13</v>
      </c>
      <c r="BK323">
        <v>103.46</v>
      </c>
      <c r="BL323" s="214">
        <v>1153</v>
      </c>
      <c r="BM323" s="214">
        <v>119.87</v>
      </c>
      <c r="BN323">
        <v>118.89</v>
      </c>
      <c r="BO323" s="187">
        <v>4.3</v>
      </c>
      <c r="BP323" s="214">
        <v>121.68</v>
      </c>
      <c r="BQ323" s="214">
        <v>128</v>
      </c>
      <c r="BR323">
        <v>135.26</v>
      </c>
      <c r="BS323" s="187">
        <v>142.33000000000001</v>
      </c>
      <c r="BT323" s="214">
        <v>2.91</v>
      </c>
      <c r="BU323" s="214">
        <v>135.91</v>
      </c>
      <c r="BV323">
        <v>9</v>
      </c>
      <c r="BW323">
        <v>133.03</v>
      </c>
      <c r="BX323" s="214">
        <v>146.03</v>
      </c>
      <c r="BY323" s="214">
        <v>0</v>
      </c>
      <c r="BZ323">
        <v>133.03</v>
      </c>
      <c r="CA323" s="187">
        <v>2</v>
      </c>
      <c r="CB323" s="214">
        <v>96.01</v>
      </c>
      <c r="CC323" s="214">
        <v>94.89</v>
      </c>
      <c r="CD323">
        <v>7.79</v>
      </c>
      <c r="CE323" s="187">
        <v>99.76</v>
      </c>
      <c r="CF323" s="214">
        <v>3066</v>
      </c>
      <c r="CG323" s="214">
        <v>96.01</v>
      </c>
      <c r="CH323">
        <v>94.89</v>
      </c>
      <c r="CI323">
        <v>7.79</v>
      </c>
      <c r="CJ323">
        <v>99.76</v>
      </c>
      <c r="CK323">
        <v>3066</v>
      </c>
      <c r="CL323">
        <v>114.48</v>
      </c>
      <c r="CM323">
        <v>67.349999999999994</v>
      </c>
      <c r="CN323" s="187">
        <v>69.37</v>
      </c>
      <c r="CO323">
        <v>178.07</v>
      </c>
      <c r="CP323">
        <v>72</v>
      </c>
      <c r="CQ323">
        <v>68.7</v>
      </c>
      <c r="CR323">
        <v>62.76</v>
      </c>
      <c r="CS323" s="187">
        <v>44.21</v>
      </c>
      <c r="CT323">
        <v>112.91</v>
      </c>
      <c r="CU323">
        <v>37</v>
      </c>
      <c r="CV323">
        <v>81.12</v>
      </c>
      <c r="CW323">
        <v>75.099999999999994</v>
      </c>
      <c r="CX323" s="187">
        <v>28.24</v>
      </c>
      <c r="CY323">
        <v>109.36</v>
      </c>
      <c r="CZ323">
        <v>419</v>
      </c>
      <c r="DA323">
        <v>101.24</v>
      </c>
      <c r="DB323">
        <v>87.2</v>
      </c>
      <c r="DC323" s="187">
        <v>27.66</v>
      </c>
      <c r="DD323">
        <v>128.9</v>
      </c>
      <c r="DE323">
        <v>187</v>
      </c>
      <c r="DF323">
        <v>66.78</v>
      </c>
      <c r="DG323">
        <v>93.92</v>
      </c>
      <c r="DH323" s="187">
        <v>17.16</v>
      </c>
      <c r="DI323">
        <v>83.94</v>
      </c>
      <c r="DJ323">
        <v>3</v>
      </c>
      <c r="DK323">
        <v>0</v>
      </c>
      <c r="DL323">
        <v>0</v>
      </c>
      <c r="DM323" s="187">
        <v>0</v>
      </c>
      <c r="DN323">
        <v>0</v>
      </c>
      <c r="DO323">
        <v>0</v>
      </c>
      <c r="DP323">
        <v>86.17</v>
      </c>
      <c r="DQ323">
        <v>77.709999999999994</v>
      </c>
      <c r="DR323" s="187">
        <v>28.94</v>
      </c>
      <c r="DS323">
        <v>115.1</v>
      </c>
      <c r="DT323">
        <v>646</v>
      </c>
      <c r="DU323">
        <v>89.01</v>
      </c>
      <c r="DV323">
        <v>77.53</v>
      </c>
      <c r="DW323" s="187">
        <v>32.69</v>
      </c>
      <c r="DX323">
        <v>121.42</v>
      </c>
      <c r="DY323">
        <v>718</v>
      </c>
      <c r="DZ323">
        <v>0</v>
      </c>
      <c r="EA323">
        <v>0</v>
      </c>
      <c r="EB323" s="187">
        <v>0</v>
      </c>
      <c r="EC323">
        <v>0</v>
      </c>
      <c r="ED323">
        <v>100.83</v>
      </c>
      <c r="EE323">
        <v>137</v>
      </c>
      <c r="EF323">
        <v>110.25</v>
      </c>
      <c r="EG323" s="187">
        <v>307</v>
      </c>
      <c r="EH323">
        <v>129.65</v>
      </c>
      <c r="EI323">
        <v>102</v>
      </c>
      <c r="EJ323">
        <v>130.76</v>
      </c>
      <c r="EK323">
        <v>18</v>
      </c>
      <c r="EL323" s="187">
        <v>140.22999999999999</v>
      </c>
      <c r="EM323">
        <v>4</v>
      </c>
      <c r="EN323">
        <v>0</v>
      </c>
      <c r="EO323">
        <v>0</v>
      </c>
      <c r="EP323">
        <v>112.32</v>
      </c>
      <c r="EQ323" s="187">
        <v>568</v>
      </c>
      <c r="ER323">
        <v>112.32</v>
      </c>
      <c r="ES323">
        <v>568</v>
      </c>
      <c r="ET323">
        <v>0</v>
      </c>
      <c r="EU323">
        <v>0</v>
      </c>
      <c r="EV323" s="187">
        <v>0</v>
      </c>
      <c r="EW323">
        <v>0</v>
      </c>
      <c r="EX323">
        <v>0</v>
      </c>
      <c r="EY323">
        <v>0</v>
      </c>
      <c r="EZ323">
        <v>0</v>
      </c>
      <c r="FA323" s="187">
        <v>0</v>
      </c>
      <c r="FB323">
        <v>0</v>
      </c>
      <c r="FC323">
        <v>0</v>
      </c>
      <c r="FD323">
        <v>0</v>
      </c>
      <c r="FE323">
        <v>0</v>
      </c>
      <c r="FF323" s="187">
        <v>0</v>
      </c>
      <c r="FG323">
        <v>0</v>
      </c>
      <c r="FH323">
        <v>0</v>
      </c>
      <c r="FI323">
        <v>0</v>
      </c>
      <c r="FJ323">
        <v>0</v>
      </c>
      <c r="FK323" s="187">
        <v>1</v>
      </c>
      <c r="FL323">
        <v>3</v>
      </c>
      <c r="FM323">
        <v>31</v>
      </c>
      <c r="FN323">
        <v>6</v>
      </c>
    </row>
  </sheetData>
  <pageMargins left="0.7" right="0.7" top="0.75" bottom="0.75" header="0.3" footer="0.3"/>
  <pageSetup paperSize="9" orientation="portrait" r:id="rId1"/>
  <headerFooter>
    <oddFooter>&amp;C&amp;1#&amp;"Calibri"&amp;12&amp;K0078D7OFFICIAL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EEBF9-420C-4F8C-8FA3-B7168C28CBAA}">
  <sheetPr codeName="Sheet8">
    <tabColor rgb="FFFFC000"/>
  </sheetPr>
  <dimension ref="A1:C321"/>
  <sheetViews>
    <sheetView topLeftCell="A7" workbookViewId="0">
      <selection activeCell="A3" sqref="A3:A321"/>
    </sheetView>
  </sheetViews>
  <sheetFormatPr defaultColWidth="9.1796875" defaultRowHeight="12.5" x14ac:dyDescent="0.25"/>
  <cols>
    <col min="1" max="1" width="27" style="468" bestFit="1" customWidth="1"/>
    <col min="2" max="2" width="12.54296875" style="468" customWidth="1"/>
    <col min="3" max="3" width="23.453125" style="468" bestFit="1" customWidth="1"/>
    <col min="4" max="5" width="18" style="468" customWidth="1"/>
    <col min="6" max="16384" width="9.1796875" style="468"/>
  </cols>
  <sheetData>
    <row r="1" spans="1:3" x14ac:dyDescent="0.25">
      <c r="A1" s="468" t="s">
        <v>1037</v>
      </c>
      <c r="B1" s="468" t="s">
        <v>78</v>
      </c>
      <c r="C1" s="468" t="s">
        <v>79</v>
      </c>
    </row>
    <row r="2" spans="1:3" x14ac:dyDescent="0.25">
      <c r="B2" s="468" t="s">
        <v>1038</v>
      </c>
      <c r="C2" s="468" t="s">
        <v>79</v>
      </c>
    </row>
    <row r="3" spans="1:3" x14ac:dyDescent="0.25">
      <c r="A3" s="468" t="s">
        <v>6</v>
      </c>
      <c r="B3" s="468" t="s">
        <v>1039</v>
      </c>
      <c r="C3" s="468" t="s">
        <v>6</v>
      </c>
    </row>
    <row r="4" spans="1:3" x14ac:dyDescent="0.25">
      <c r="A4" s="468" t="s">
        <v>414</v>
      </c>
      <c r="B4" s="468" t="s">
        <v>1040</v>
      </c>
      <c r="C4" s="468" t="s">
        <v>414</v>
      </c>
    </row>
    <row r="5" spans="1:3" x14ac:dyDescent="0.25">
      <c r="A5" s="468" t="s">
        <v>415</v>
      </c>
      <c r="B5" s="468" t="s">
        <v>1041</v>
      </c>
      <c r="C5" s="468" t="s">
        <v>415</v>
      </c>
    </row>
    <row r="6" spans="1:3" x14ac:dyDescent="0.25">
      <c r="A6" s="468" t="s">
        <v>416</v>
      </c>
      <c r="B6" s="468" t="s">
        <v>1042</v>
      </c>
      <c r="C6" s="468" t="s">
        <v>416</v>
      </c>
    </row>
    <row r="7" spans="1:3" x14ac:dyDescent="0.25">
      <c r="A7" s="468" t="s">
        <v>417</v>
      </c>
      <c r="B7" s="468" t="s">
        <v>1043</v>
      </c>
      <c r="C7" s="468" t="s">
        <v>417</v>
      </c>
    </row>
    <row r="8" spans="1:3" x14ac:dyDescent="0.25">
      <c r="A8" s="468" t="s">
        <v>418</v>
      </c>
      <c r="B8" s="468" t="s">
        <v>1044</v>
      </c>
      <c r="C8" s="468" t="s">
        <v>418</v>
      </c>
    </row>
    <row r="9" spans="1:3" x14ac:dyDescent="0.25">
      <c r="A9" s="468" t="s">
        <v>2</v>
      </c>
      <c r="B9" s="468" t="s">
        <v>1045</v>
      </c>
      <c r="C9" s="468" t="s">
        <v>2</v>
      </c>
    </row>
    <row r="10" spans="1:3" x14ac:dyDescent="0.25">
      <c r="A10" s="468" t="s">
        <v>419</v>
      </c>
      <c r="B10" s="468" t="s">
        <v>1046</v>
      </c>
      <c r="C10" s="468" t="s">
        <v>419</v>
      </c>
    </row>
    <row r="11" spans="1:3" x14ac:dyDescent="0.25">
      <c r="A11" s="468" t="s">
        <v>420</v>
      </c>
      <c r="B11" s="468" t="s">
        <v>1047</v>
      </c>
      <c r="C11" s="468" t="s">
        <v>420</v>
      </c>
    </row>
    <row r="12" spans="1:3" x14ac:dyDescent="0.25">
      <c r="A12" s="468" t="s">
        <v>1048</v>
      </c>
      <c r="B12" s="468" t="s">
        <v>1049</v>
      </c>
      <c r="C12" s="468" t="s">
        <v>1048</v>
      </c>
    </row>
    <row r="13" spans="1:3" x14ac:dyDescent="0.25">
      <c r="A13" s="468" t="s">
        <v>422</v>
      </c>
      <c r="B13" s="468" t="s">
        <v>423</v>
      </c>
      <c r="C13" s="468" t="s">
        <v>2</v>
      </c>
    </row>
    <row r="14" spans="1:3" x14ac:dyDescent="0.25">
      <c r="A14" s="468" t="s">
        <v>424</v>
      </c>
      <c r="B14" s="468" t="s">
        <v>425</v>
      </c>
      <c r="C14" s="468" t="s">
        <v>418</v>
      </c>
    </row>
    <row r="15" spans="1:3" x14ac:dyDescent="0.25">
      <c r="A15" s="468" t="s">
        <v>426</v>
      </c>
      <c r="B15" s="468" t="s">
        <v>427</v>
      </c>
      <c r="C15" s="468" t="s">
        <v>414</v>
      </c>
    </row>
    <row r="16" spans="1:3" x14ac:dyDescent="0.25">
      <c r="A16" s="468" t="s">
        <v>428</v>
      </c>
      <c r="B16" s="468" t="s">
        <v>429</v>
      </c>
      <c r="C16" s="468" t="s">
        <v>2</v>
      </c>
    </row>
    <row r="17" spans="1:3" x14ac:dyDescent="0.25">
      <c r="A17" s="468" t="s">
        <v>430</v>
      </c>
      <c r="B17" s="468" t="s">
        <v>431</v>
      </c>
      <c r="C17" s="468" t="s">
        <v>414</v>
      </c>
    </row>
    <row r="18" spans="1:3" x14ac:dyDescent="0.25">
      <c r="A18" s="468" t="s">
        <v>432</v>
      </c>
      <c r="B18" s="468" t="s">
        <v>433</v>
      </c>
      <c r="C18" s="468" t="s">
        <v>2</v>
      </c>
    </row>
    <row r="19" spans="1:3" x14ac:dyDescent="0.25">
      <c r="A19" s="468" t="s">
        <v>434</v>
      </c>
      <c r="B19" s="468" t="s">
        <v>435</v>
      </c>
      <c r="C19" s="468" t="s">
        <v>415</v>
      </c>
    </row>
    <row r="20" spans="1:3" x14ac:dyDescent="0.25">
      <c r="A20" s="468" t="s">
        <v>436</v>
      </c>
      <c r="B20" s="468" t="s">
        <v>437</v>
      </c>
      <c r="C20" s="468" t="s">
        <v>416</v>
      </c>
    </row>
    <row r="21" spans="1:3" x14ac:dyDescent="0.25">
      <c r="A21" s="468" t="s">
        <v>438</v>
      </c>
      <c r="B21" s="468" t="s">
        <v>439</v>
      </c>
      <c r="C21" s="468" t="s">
        <v>416</v>
      </c>
    </row>
    <row r="22" spans="1:3" x14ac:dyDescent="0.25">
      <c r="A22" s="468" t="s">
        <v>440</v>
      </c>
      <c r="B22" s="468" t="s">
        <v>441</v>
      </c>
      <c r="C22" s="468" t="s">
        <v>1048</v>
      </c>
    </row>
    <row r="23" spans="1:3" x14ac:dyDescent="0.25">
      <c r="A23" s="468" t="s">
        <v>442</v>
      </c>
      <c r="B23" s="468" t="s">
        <v>443</v>
      </c>
      <c r="C23" s="468" t="s">
        <v>418</v>
      </c>
    </row>
    <row r="24" spans="1:3" x14ac:dyDescent="0.25">
      <c r="A24" s="468" t="s">
        <v>444</v>
      </c>
      <c r="B24" s="468" t="s">
        <v>445</v>
      </c>
      <c r="C24" s="468" t="s">
        <v>415</v>
      </c>
    </row>
    <row r="25" spans="1:3" x14ac:dyDescent="0.25">
      <c r="A25" s="468" t="s">
        <v>446</v>
      </c>
      <c r="B25" s="468" t="s">
        <v>447</v>
      </c>
      <c r="C25" s="468" t="s">
        <v>2</v>
      </c>
    </row>
    <row r="26" spans="1:3" x14ac:dyDescent="0.25">
      <c r="A26" s="468" t="s">
        <v>448</v>
      </c>
      <c r="B26" s="468" t="s">
        <v>449</v>
      </c>
      <c r="C26" s="468" t="s">
        <v>414</v>
      </c>
    </row>
    <row r="27" spans="1:3" x14ac:dyDescent="0.25">
      <c r="A27" s="468" t="s">
        <v>450</v>
      </c>
      <c r="B27" s="468" t="s">
        <v>451</v>
      </c>
      <c r="C27" s="468" t="s">
        <v>419</v>
      </c>
    </row>
    <row r="28" spans="1:3" x14ac:dyDescent="0.25">
      <c r="A28" s="468" t="s">
        <v>452</v>
      </c>
      <c r="B28" s="468" t="s">
        <v>453</v>
      </c>
      <c r="C28" s="468" t="s">
        <v>415</v>
      </c>
    </row>
    <row r="29" spans="1:3" x14ac:dyDescent="0.25">
      <c r="A29" s="468" t="s">
        <v>454</v>
      </c>
      <c r="B29" s="468" t="s">
        <v>455</v>
      </c>
      <c r="C29" s="468" t="s">
        <v>416</v>
      </c>
    </row>
    <row r="30" spans="1:3" x14ac:dyDescent="0.25">
      <c r="A30" s="468" t="s">
        <v>456</v>
      </c>
      <c r="B30" s="468" t="s">
        <v>457</v>
      </c>
      <c r="C30" s="468" t="s">
        <v>420</v>
      </c>
    </row>
    <row r="31" spans="1:3" x14ac:dyDescent="0.25">
      <c r="A31" s="468" t="s">
        <v>458</v>
      </c>
      <c r="B31" s="468" t="s">
        <v>459</v>
      </c>
      <c r="C31" s="468" t="s">
        <v>414</v>
      </c>
    </row>
    <row r="32" spans="1:3" x14ac:dyDescent="0.25">
      <c r="A32" s="468" t="s">
        <v>460</v>
      </c>
      <c r="B32" s="468" t="s">
        <v>461</v>
      </c>
      <c r="C32" s="468" t="s">
        <v>418</v>
      </c>
    </row>
    <row r="33" spans="1:3" x14ac:dyDescent="0.25">
      <c r="A33" s="468" t="s">
        <v>462</v>
      </c>
      <c r="B33" s="468" t="s">
        <v>463</v>
      </c>
      <c r="C33" s="468" t="s">
        <v>418</v>
      </c>
    </row>
    <row r="34" spans="1:3" x14ac:dyDescent="0.25">
      <c r="A34" s="468" t="s">
        <v>464</v>
      </c>
      <c r="B34" s="468" t="s">
        <v>465</v>
      </c>
      <c r="C34" s="468" t="s">
        <v>414</v>
      </c>
    </row>
    <row r="35" spans="1:3" x14ac:dyDescent="0.25">
      <c r="A35" s="468" t="s">
        <v>466</v>
      </c>
      <c r="B35" s="468" t="s">
        <v>467</v>
      </c>
      <c r="C35" s="468" t="s">
        <v>418</v>
      </c>
    </row>
    <row r="36" spans="1:3" x14ac:dyDescent="0.25">
      <c r="A36" s="468" t="s">
        <v>468</v>
      </c>
      <c r="B36" s="468" t="s">
        <v>469</v>
      </c>
      <c r="C36" s="468" t="s">
        <v>414</v>
      </c>
    </row>
    <row r="37" spans="1:3" x14ac:dyDescent="0.25">
      <c r="A37" s="468" t="s">
        <v>14114</v>
      </c>
      <c r="B37" s="468" t="s">
        <v>470</v>
      </c>
      <c r="C37" s="468" t="s">
        <v>419</v>
      </c>
    </row>
    <row r="38" spans="1:3" x14ac:dyDescent="0.25">
      <c r="A38" s="468" t="s">
        <v>471</v>
      </c>
      <c r="B38" s="468" t="s">
        <v>472</v>
      </c>
      <c r="C38" s="468" t="s">
        <v>2</v>
      </c>
    </row>
    <row r="39" spans="1:3" x14ac:dyDescent="0.25">
      <c r="A39" s="468" t="s">
        <v>473</v>
      </c>
      <c r="B39" s="468" t="s">
        <v>474</v>
      </c>
      <c r="C39" s="468" t="s">
        <v>1048</v>
      </c>
    </row>
    <row r="40" spans="1:3" x14ac:dyDescent="0.25">
      <c r="A40" s="468" t="s">
        <v>475</v>
      </c>
      <c r="B40" s="468" t="s">
        <v>476</v>
      </c>
      <c r="C40" s="468" t="s">
        <v>415</v>
      </c>
    </row>
    <row r="41" spans="1:3" x14ac:dyDescent="0.25">
      <c r="A41" s="468" t="s">
        <v>477</v>
      </c>
      <c r="B41" s="468" t="s">
        <v>478</v>
      </c>
      <c r="C41" s="468" t="s">
        <v>415</v>
      </c>
    </row>
    <row r="42" spans="1:3" x14ac:dyDescent="0.25">
      <c r="A42" s="468" t="s">
        <v>479</v>
      </c>
      <c r="B42" s="468" t="s">
        <v>480</v>
      </c>
      <c r="C42" s="468" t="s">
        <v>416</v>
      </c>
    </row>
    <row r="43" spans="1:3" x14ac:dyDescent="0.25">
      <c r="A43" s="468" t="s">
        <v>481</v>
      </c>
      <c r="B43" s="468" t="s">
        <v>482</v>
      </c>
      <c r="C43" s="468" t="s">
        <v>415</v>
      </c>
    </row>
    <row r="44" spans="1:3" x14ac:dyDescent="0.25">
      <c r="A44" s="468" t="s">
        <v>483</v>
      </c>
      <c r="B44" s="468" t="s">
        <v>484</v>
      </c>
      <c r="C44" s="468" t="s">
        <v>2</v>
      </c>
    </row>
    <row r="45" spans="1:3" x14ac:dyDescent="0.25">
      <c r="A45" s="468" t="s">
        <v>485</v>
      </c>
      <c r="B45" s="468" t="s">
        <v>486</v>
      </c>
      <c r="C45" s="468" t="s">
        <v>419</v>
      </c>
    </row>
    <row r="46" spans="1:3" x14ac:dyDescent="0.25">
      <c r="A46" s="468" t="s">
        <v>487</v>
      </c>
      <c r="B46" s="468" t="s">
        <v>488</v>
      </c>
      <c r="C46" s="468" t="s">
        <v>415</v>
      </c>
    </row>
    <row r="47" spans="1:3" x14ac:dyDescent="0.25">
      <c r="A47" s="468" t="s">
        <v>489</v>
      </c>
      <c r="B47" s="468" t="s">
        <v>490</v>
      </c>
      <c r="C47" s="468" t="s">
        <v>416</v>
      </c>
    </row>
    <row r="48" spans="1:3" x14ac:dyDescent="0.25">
      <c r="A48" s="468" t="s">
        <v>491</v>
      </c>
      <c r="B48" s="468" t="s">
        <v>492</v>
      </c>
      <c r="C48" s="468" t="s">
        <v>420</v>
      </c>
    </row>
    <row r="49" spans="1:3" x14ac:dyDescent="0.25">
      <c r="A49" s="468" t="s">
        <v>493</v>
      </c>
      <c r="B49" s="468" t="s">
        <v>494</v>
      </c>
      <c r="C49" s="468" t="s">
        <v>415</v>
      </c>
    </row>
    <row r="50" spans="1:3" x14ac:dyDescent="0.25">
      <c r="A50" s="468" t="s">
        <v>495</v>
      </c>
      <c r="B50" s="468" t="s">
        <v>496</v>
      </c>
      <c r="C50" s="468" t="s">
        <v>414</v>
      </c>
    </row>
    <row r="51" spans="1:3" x14ac:dyDescent="0.25">
      <c r="A51" s="468" t="s">
        <v>11441</v>
      </c>
      <c r="B51" s="468" t="s">
        <v>11440</v>
      </c>
      <c r="C51" s="468" t="s">
        <v>2</v>
      </c>
    </row>
    <row r="52" spans="1:3" x14ac:dyDescent="0.25">
      <c r="A52" s="468" t="s">
        <v>497</v>
      </c>
      <c r="B52" s="468" t="s">
        <v>498</v>
      </c>
      <c r="C52" s="468" t="s">
        <v>418</v>
      </c>
    </row>
    <row r="53" spans="1:3" x14ac:dyDescent="0.25">
      <c r="A53" s="468" t="s">
        <v>499</v>
      </c>
      <c r="B53" s="468" t="s">
        <v>500</v>
      </c>
      <c r="C53" s="468" t="s">
        <v>418</v>
      </c>
    </row>
    <row r="54" spans="1:3" x14ac:dyDescent="0.25">
      <c r="A54" s="468" t="s">
        <v>501</v>
      </c>
      <c r="B54" s="468" t="s">
        <v>502</v>
      </c>
      <c r="C54" s="468" t="s">
        <v>1048</v>
      </c>
    </row>
    <row r="55" spans="1:3" x14ac:dyDescent="0.25">
      <c r="A55" s="468" t="s">
        <v>503</v>
      </c>
      <c r="B55" s="468" t="s">
        <v>504</v>
      </c>
      <c r="C55" s="468" t="s">
        <v>415</v>
      </c>
    </row>
    <row r="56" spans="1:3" x14ac:dyDescent="0.25">
      <c r="A56" s="468" t="s">
        <v>505</v>
      </c>
      <c r="B56" s="468" t="s">
        <v>506</v>
      </c>
      <c r="C56" s="468" t="s">
        <v>416</v>
      </c>
    </row>
    <row r="57" spans="1:3" x14ac:dyDescent="0.25">
      <c r="A57" s="468" t="s">
        <v>507</v>
      </c>
      <c r="B57" s="468" t="s">
        <v>508</v>
      </c>
      <c r="C57" s="468" t="s">
        <v>420</v>
      </c>
    </row>
    <row r="58" spans="1:3" x14ac:dyDescent="0.25">
      <c r="A58" s="468" t="s">
        <v>509</v>
      </c>
      <c r="B58" s="468" t="s">
        <v>510</v>
      </c>
      <c r="C58" s="468" t="s">
        <v>2</v>
      </c>
    </row>
    <row r="59" spans="1:3" x14ac:dyDescent="0.25">
      <c r="A59" s="468" t="s">
        <v>511</v>
      </c>
      <c r="B59" s="468" t="s">
        <v>512</v>
      </c>
      <c r="C59" s="468" t="s">
        <v>418</v>
      </c>
    </row>
    <row r="60" spans="1:3" x14ac:dyDescent="0.25">
      <c r="A60" s="468" t="s">
        <v>513</v>
      </c>
      <c r="B60" s="468" t="s">
        <v>514</v>
      </c>
      <c r="C60" s="468" t="s">
        <v>415</v>
      </c>
    </row>
    <row r="61" spans="1:3" x14ac:dyDescent="0.25">
      <c r="A61" s="468" t="s">
        <v>515</v>
      </c>
      <c r="B61" s="468" t="s">
        <v>516</v>
      </c>
      <c r="C61" s="468" t="s">
        <v>415</v>
      </c>
    </row>
    <row r="62" spans="1:3" x14ac:dyDescent="0.25">
      <c r="A62" s="468" t="s">
        <v>517</v>
      </c>
      <c r="B62" s="468" t="s">
        <v>518</v>
      </c>
      <c r="C62" s="468" t="s">
        <v>414</v>
      </c>
    </row>
    <row r="63" spans="1:3" x14ac:dyDescent="0.25">
      <c r="A63" s="468" t="s">
        <v>519</v>
      </c>
      <c r="B63" s="468" t="s">
        <v>520</v>
      </c>
      <c r="C63" s="468" t="s">
        <v>415</v>
      </c>
    </row>
    <row r="64" spans="1:3" x14ac:dyDescent="0.25">
      <c r="A64" s="468" t="s">
        <v>521</v>
      </c>
      <c r="B64" s="468" t="s">
        <v>522</v>
      </c>
      <c r="C64" s="468" t="s">
        <v>419</v>
      </c>
    </row>
    <row r="65" spans="1:3" x14ac:dyDescent="0.25">
      <c r="A65" s="468" t="s">
        <v>523</v>
      </c>
      <c r="B65" s="468" t="s">
        <v>524</v>
      </c>
      <c r="C65" s="468" t="s">
        <v>2</v>
      </c>
    </row>
    <row r="66" spans="1:3" x14ac:dyDescent="0.25">
      <c r="A66" s="468" t="s">
        <v>525</v>
      </c>
      <c r="B66" s="468" t="s">
        <v>526</v>
      </c>
      <c r="C66" s="468" t="s">
        <v>418</v>
      </c>
    </row>
    <row r="67" spans="1:3" x14ac:dyDescent="0.25">
      <c r="A67" s="468" t="s">
        <v>527</v>
      </c>
      <c r="B67" s="468" t="s">
        <v>528</v>
      </c>
      <c r="C67" s="468" t="s">
        <v>418</v>
      </c>
    </row>
    <row r="68" spans="1:3" x14ac:dyDescent="0.25">
      <c r="A68" s="468" t="s">
        <v>529</v>
      </c>
      <c r="B68" s="468" t="s">
        <v>530</v>
      </c>
      <c r="C68" s="468" t="s">
        <v>414</v>
      </c>
    </row>
    <row r="69" spans="1:3" x14ac:dyDescent="0.25">
      <c r="A69" s="468" t="s">
        <v>531</v>
      </c>
      <c r="B69" s="468" t="s">
        <v>532</v>
      </c>
      <c r="C69" s="468" t="s">
        <v>2</v>
      </c>
    </row>
    <row r="70" spans="1:3" x14ac:dyDescent="0.25">
      <c r="A70" s="468" t="s">
        <v>533</v>
      </c>
      <c r="B70" s="468" t="s">
        <v>534</v>
      </c>
      <c r="C70" s="468" t="s">
        <v>418</v>
      </c>
    </row>
    <row r="71" spans="1:3" x14ac:dyDescent="0.25">
      <c r="A71" s="468" t="s">
        <v>535</v>
      </c>
      <c r="B71" s="468" t="s">
        <v>536</v>
      </c>
      <c r="C71" s="468" t="s">
        <v>416</v>
      </c>
    </row>
    <row r="72" spans="1:3" x14ac:dyDescent="0.25">
      <c r="A72" s="468" t="s">
        <v>537</v>
      </c>
      <c r="B72" s="468" t="s">
        <v>538</v>
      </c>
      <c r="C72" s="468" t="s">
        <v>415</v>
      </c>
    </row>
    <row r="73" spans="1:3" x14ac:dyDescent="0.25">
      <c r="A73" s="468" t="s">
        <v>539</v>
      </c>
      <c r="B73" s="468" t="s">
        <v>540</v>
      </c>
      <c r="C73" s="468" t="s">
        <v>418</v>
      </c>
    </row>
    <row r="74" spans="1:3" x14ac:dyDescent="0.25">
      <c r="A74" s="468" t="s">
        <v>541</v>
      </c>
      <c r="B74" s="468" t="s">
        <v>542</v>
      </c>
      <c r="C74" s="468" t="s">
        <v>419</v>
      </c>
    </row>
    <row r="75" spans="1:3" x14ac:dyDescent="0.25">
      <c r="A75" s="468" t="s">
        <v>543</v>
      </c>
      <c r="B75" s="468" t="s">
        <v>544</v>
      </c>
      <c r="C75" s="468" t="s">
        <v>419</v>
      </c>
    </row>
    <row r="76" spans="1:3" x14ac:dyDescent="0.25">
      <c r="A76" s="468" t="s">
        <v>545</v>
      </c>
      <c r="B76" s="468" t="s">
        <v>546</v>
      </c>
      <c r="C76" s="468" t="s">
        <v>417</v>
      </c>
    </row>
    <row r="77" spans="1:3" x14ac:dyDescent="0.25">
      <c r="A77" s="468" t="s">
        <v>547</v>
      </c>
      <c r="B77" s="468" t="s">
        <v>548</v>
      </c>
      <c r="C77" s="468" t="s">
        <v>420</v>
      </c>
    </row>
    <row r="78" spans="1:3" x14ac:dyDescent="0.25">
      <c r="A78" s="468" t="s">
        <v>549</v>
      </c>
      <c r="B78" s="468" t="s">
        <v>550</v>
      </c>
      <c r="C78" s="468" t="s">
        <v>1048</v>
      </c>
    </row>
    <row r="79" spans="1:3" x14ac:dyDescent="0.25">
      <c r="A79" s="468" t="s">
        <v>551</v>
      </c>
      <c r="B79" s="468" t="s">
        <v>552</v>
      </c>
      <c r="C79" s="468" t="s">
        <v>2</v>
      </c>
    </row>
    <row r="80" spans="1:3" x14ac:dyDescent="0.25">
      <c r="A80" s="468" t="s">
        <v>553</v>
      </c>
      <c r="B80" s="468" t="s">
        <v>554</v>
      </c>
      <c r="C80" s="468" t="s">
        <v>416</v>
      </c>
    </row>
    <row r="81" spans="1:3" x14ac:dyDescent="0.25">
      <c r="A81" s="468" t="s">
        <v>555</v>
      </c>
      <c r="B81" s="468" t="s">
        <v>556</v>
      </c>
      <c r="C81" s="468" t="s">
        <v>415</v>
      </c>
    </row>
    <row r="82" spans="1:3" x14ac:dyDescent="0.25">
      <c r="A82" s="468" t="s">
        <v>557</v>
      </c>
      <c r="B82" s="468" t="s">
        <v>558</v>
      </c>
      <c r="C82" s="468" t="s">
        <v>417</v>
      </c>
    </row>
    <row r="83" spans="1:3" x14ac:dyDescent="0.25">
      <c r="A83" s="468" t="s">
        <v>559</v>
      </c>
      <c r="B83" s="468" t="s">
        <v>560</v>
      </c>
      <c r="C83" s="468" t="s">
        <v>2</v>
      </c>
    </row>
    <row r="84" spans="1:3" x14ac:dyDescent="0.25">
      <c r="A84" s="468" t="s">
        <v>561</v>
      </c>
      <c r="B84" s="468" t="s">
        <v>562</v>
      </c>
      <c r="C84" s="468" t="s">
        <v>414</v>
      </c>
    </row>
    <row r="85" spans="1:3" x14ac:dyDescent="0.25">
      <c r="A85" s="468" t="s">
        <v>563</v>
      </c>
      <c r="B85" s="468" t="s">
        <v>564</v>
      </c>
      <c r="C85" s="468" t="s">
        <v>414</v>
      </c>
    </row>
    <row r="86" spans="1:3" x14ac:dyDescent="0.25">
      <c r="A86" s="468" t="s">
        <v>565</v>
      </c>
      <c r="B86" s="468" t="s">
        <v>566</v>
      </c>
      <c r="C86" s="468" t="s">
        <v>1048</v>
      </c>
    </row>
    <row r="87" spans="1:3" x14ac:dyDescent="0.25">
      <c r="A87" s="468" t="s">
        <v>567</v>
      </c>
      <c r="B87" s="468" t="s">
        <v>568</v>
      </c>
      <c r="C87" s="468" t="s">
        <v>419</v>
      </c>
    </row>
    <row r="88" spans="1:3" x14ac:dyDescent="0.25">
      <c r="A88" s="468" t="s">
        <v>569</v>
      </c>
      <c r="B88" s="468" t="s">
        <v>570</v>
      </c>
      <c r="C88" s="468" t="s">
        <v>2</v>
      </c>
    </row>
    <row r="89" spans="1:3" x14ac:dyDescent="0.25">
      <c r="A89" s="468" t="s">
        <v>571</v>
      </c>
      <c r="B89" s="468" t="s">
        <v>572</v>
      </c>
      <c r="C89" s="468" t="s">
        <v>420</v>
      </c>
    </row>
    <row r="90" spans="1:3" x14ac:dyDescent="0.25">
      <c r="A90" s="468" t="s">
        <v>573</v>
      </c>
      <c r="B90" s="468" t="s">
        <v>574</v>
      </c>
      <c r="C90" s="468" t="s">
        <v>416</v>
      </c>
    </row>
    <row r="91" spans="1:3" x14ac:dyDescent="0.25">
      <c r="A91" s="468" t="s">
        <v>575</v>
      </c>
      <c r="B91" s="468" t="s">
        <v>576</v>
      </c>
      <c r="C91" s="468" t="s">
        <v>415</v>
      </c>
    </row>
    <row r="92" spans="1:3" x14ac:dyDescent="0.25">
      <c r="A92" s="468" t="s">
        <v>577</v>
      </c>
      <c r="B92" s="468" t="s">
        <v>578</v>
      </c>
      <c r="C92" s="468" t="s">
        <v>419</v>
      </c>
    </row>
    <row r="93" spans="1:3" x14ac:dyDescent="0.25">
      <c r="A93" s="468" t="s">
        <v>579</v>
      </c>
      <c r="B93" s="468" t="s">
        <v>580</v>
      </c>
      <c r="C93" s="468" t="s">
        <v>2</v>
      </c>
    </row>
    <row r="94" spans="1:3" x14ac:dyDescent="0.25">
      <c r="A94" s="468" t="s">
        <v>581</v>
      </c>
      <c r="B94" s="468" t="s">
        <v>582</v>
      </c>
      <c r="C94" s="468" t="s">
        <v>415</v>
      </c>
    </row>
    <row r="95" spans="1:3" x14ac:dyDescent="0.25">
      <c r="A95" s="468" t="s">
        <v>583</v>
      </c>
      <c r="B95" s="468" t="s">
        <v>584</v>
      </c>
      <c r="C95" s="468" t="s">
        <v>414</v>
      </c>
    </row>
    <row r="96" spans="1:3" x14ac:dyDescent="0.25">
      <c r="A96" s="468" t="s">
        <v>585</v>
      </c>
      <c r="B96" s="468" t="s">
        <v>586</v>
      </c>
      <c r="C96" s="468" t="s">
        <v>1048</v>
      </c>
    </row>
    <row r="97" spans="1:3" x14ac:dyDescent="0.25">
      <c r="A97" s="468" t="s">
        <v>587</v>
      </c>
      <c r="B97" s="468" t="s">
        <v>588</v>
      </c>
      <c r="C97" s="468" t="s">
        <v>420</v>
      </c>
    </row>
    <row r="98" spans="1:3" x14ac:dyDescent="0.25">
      <c r="A98" s="468" t="s">
        <v>589</v>
      </c>
      <c r="B98" s="468" t="s">
        <v>590</v>
      </c>
      <c r="C98" s="468" t="s">
        <v>415</v>
      </c>
    </row>
    <row r="99" spans="1:3" x14ac:dyDescent="0.25">
      <c r="A99" s="468" t="s">
        <v>591</v>
      </c>
      <c r="B99" s="468" t="s">
        <v>592</v>
      </c>
      <c r="C99" s="468" t="s">
        <v>2</v>
      </c>
    </row>
    <row r="100" spans="1:3" x14ac:dyDescent="0.25">
      <c r="A100" s="468" t="s">
        <v>593</v>
      </c>
      <c r="B100" s="468" t="s">
        <v>594</v>
      </c>
      <c r="C100" s="468" t="s">
        <v>2</v>
      </c>
    </row>
    <row r="101" spans="1:3" x14ac:dyDescent="0.25">
      <c r="A101" s="468" t="s">
        <v>595</v>
      </c>
      <c r="B101" s="468" t="s">
        <v>596</v>
      </c>
      <c r="C101" s="468" t="s">
        <v>418</v>
      </c>
    </row>
    <row r="102" spans="1:3" x14ac:dyDescent="0.25">
      <c r="A102" s="468" t="s">
        <v>597</v>
      </c>
      <c r="B102" s="468" t="s">
        <v>598</v>
      </c>
      <c r="C102" s="468" t="s">
        <v>2</v>
      </c>
    </row>
    <row r="103" spans="1:3" x14ac:dyDescent="0.25">
      <c r="A103" s="468" t="s">
        <v>599</v>
      </c>
      <c r="B103" s="468" t="s">
        <v>600</v>
      </c>
      <c r="C103" s="468" t="s">
        <v>416</v>
      </c>
    </row>
    <row r="104" spans="1:3" x14ac:dyDescent="0.25">
      <c r="A104" s="468" t="s">
        <v>601</v>
      </c>
      <c r="B104" s="468" t="s">
        <v>602</v>
      </c>
      <c r="C104" s="468" t="s">
        <v>415</v>
      </c>
    </row>
    <row r="105" spans="1:3" x14ac:dyDescent="0.25">
      <c r="A105" s="468" t="s">
        <v>603</v>
      </c>
      <c r="B105" s="468" t="s">
        <v>604</v>
      </c>
      <c r="C105" s="468" t="s">
        <v>2</v>
      </c>
    </row>
    <row r="106" spans="1:3" x14ac:dyDescent="0.25">
      <c r="A106" s="468" t="s">
        <v>605</v>
      </c>
      <c r="B106" s="468" t="s">
        <v>606</v>
      </c>
      <c r="C106" s="468" t="s">
        <v>414</v>
      </c>
    </row>
    <row r="107" spans="1:3" x14ac:dyDescent="0.25">
      <c r="A107" s="468" t="s">
        <v>607</v>
      </c>
      <c r="B107" s="468" t="s">
        <v>608</v>
      </c>
      <c r="C107" s="468" t="s">
        <v>419</v>
      </c>
    </row>
    <row r="108" spans="1:3" x14ac:dyDescent="0.25">
      <c r="A108" s="468" t="s">
        <v>609</v>
      </c>
      <c r="B108" s="468" t="s">
        <v>610</v>
      </c>
      <c r="C108" s="468" t="s">
        <v>2</v>
      </c>
    </row>
    <row r="109" spans="1:3" x14ac:dyDescent="0.25">
      <c r="A109" s="468" t="s">
        <v>611</v>
      </c>
      <c r="B109" s="468" t="s">
        <v>612</v>
      </c>
      <c r="C109" s="468" t="s">
        <v>415</v>
      </c>
    </row>
    <row r="110" spans="1:3" x14ac:dyDescent="0.25">
      <c r="A110" s="468" t="s">
        <v>613</v>
      </c>
      <c r="B110" s="468" t="s">
        <v>614</v>
      </c>
      <c r="C110" s="468" t="s">
        <v>2</v>
      </c>
    </row>
    <row r="111" spans="1:3" x14ac:dyDescent="0.25">
      <c r="A111" s="468" t="s">
        <v>615</v>
      </c>
      <c r="B111" s="468" t="s">
        <v>616</v>
      </c>
      <c r="C111" s="468" t="s">
        <v>419</v>
      </c>
    </row>
    <row r="112" spans="1:3" x14ac:dyDescent="0.25">
      <c r="A112" s="468" t="s">
        <v>617</v>
      </c>
      <c r="B112" s="468" t="s">
        <v>618</v>
      </c>
      <c r="C112" s="468" t="s">
        <v>418</v>
      </c>
    </row>
    <row r="113" spans="1:3" x14ac:dyDescent="0.25">
      <c r="A113" s="468" t="s">
        <v>619</v>
      </c>
      <c r="B113" s="468" t="s">
        <v>620</v>
      </c>
      <c r="C113" s="468" t="s">
        <v>417</v>
      </c>
    </row>
    <row r="114" spans="1:3" x14ac:dyDescent="0.25">
      <c r="A114" s="468" t="s">
        <v>621</v>
      </c>
      <c r="B114" s="468" t="s">
        <v>622</v>
      </c>
      <c r="C114" s="468" t="s">
        <v>414</v>
      </c>
    </row>
    <row r="115" spans="1:3" x14ac:dyDescent="0.25">
      <c r="A115" s="468" t="s">
        <v>623</v>
      </c>
      <c r="B115" s="468" t="s">
        <v>624</v>
      </c>
      <c r="C115" s="468" t="s">
        <v>419</v>
      </c>
    </row>
    <row r="116" spans="1:3" x14ac:dyDescent="0.25">
      <c r="A116" s="468" t="s">
        <v>625</v>
      </c>
      <c r="B116" s="468" t="s">
        <v>626</v>
      </c>
      <c r="C116" s="468" t="s">
        <v>2</v>
      </c>
    </row>
    <row r="117" spans="1:3" x14ac:dyDescent="0.25">
      <c r="A117" s="468" t="s">
        <v>627</v>
      </c>
      <c r="B117" s="468" t="s">
        <v>628</v>
      </c>
      <c r="C117" s="468" t="s">
        <v>2</v>
      </c>
    </row>
    <row r="118" spans="1:3" x14ac:dyDescent="0.25">
      <c r="A118" s="468" t="s">
        <v>629</v>
      </c>
      <c r="B118" s="468" t="s">
        <v>630</v>
      </c>
      <c r="C118" s="468" t="s">
        <v>415</v>
      </c>
    </row>
    <row r="119" spans="1:3" x14ac:dyDescent="0.25">
      <c r="A119" s="468" t="s">
        <v>631</v>
      </c>
      <c r="B119" s="468" t="s">
        <v>632</v>
      </c>
      <c r="C119" s="468" t="s">
        <v>416</v>
      </c>
    </row>
    <row r="120" spans="1:3" x14ac:dyDescent="0.25">
      <c r="A120" s="468" t="s">
        <v>633</v>
      </c>
      <c r="B120" s="468" t="s">
        <v>634</v>
      </c>
      <c r="C120" s="468" t="s">
        <v>2</v>
      </c>
    </row>
    <row r="121" spans="1:3" x14ac:dyDescent="0.25">
      <c r="A121" s="468" t="s">
        <v>635</v>
      </c>
      <c r="B121" s="468" t="s">
        <v>636</v>
      </c>
      <c r="C121" s="468" t="s">
        <v>416</v>
      </c>
    </row>
    <row r="122" spans="1:3" x14ac:dyDescent="0.25">
      <c r="A122" s="468" t="s">
        <v>637</v>
      </c>
      <c r="B122" s="468" t="s">
        <v>638</v>
      </c>
      <c r="C122" s="468" t="s">
        <v>418</v>
      </c>
    </row>
    <row r="123" spans="1:3" x14ac:dyDescent="0.25">
      <c r="A123" s="468" t="s">
        <v>639</v>
      </c>
      <c r="B123" s="468" t="s">
        <v>640</v>
      </c>
      <c r="C123" s="468" t="s">
        <v>1048</v>
      </c>
    </row>
    <row r="124" spans="1:3" x14ac:dyDescent="0.25">
      <c r="A124" s="468" t="s">
        <v>641</v>
      </c>
      <c r="B124" s="468" t="s">
        <v>642</v>
      </c>
      <c r="C124" s="468" t="s">
        <v>416</v>
      </c>
    </row>
    <row r="125" spans="1:3" x14ac:dyDescent="0.25">
      <c r="A125" s="468" t="s">
        <v>643</v>
      </c>
      <c r="B125" s="468" t="s">
        <v>644</v>
      </c>
      <c r="C125" s="468" t="s">
        <v>414</v>
      </c>
    </row>
    <row r="126" spans="1:3" x14ac:dyDescent="0.25">
      <c r="A126" s="468" t="s">
        <v>645</v>
      </c>
      <c r="B126" s="468" t="s">
        <v>646</v>
      </c>
      <c r="C126" s="468" t="s">
        <v>416</v>
      </c>
    </row>
    <row r="127" spans="1:3" x14ac:dyDescent="0.25">
      <c r="A127" s="468" t="s">
        <v>647</v>
      </c>
      <c r="B127" s="468" t="s">
        <v>648</v>
      </c>
      <c r="C127" s="468" t="s">
        <v>415</v>
      </c>
    </row>
    <row r="128" spans="1:3" x14ac:dyDescent="0.25">
      <c r="A128" s="468" t="s">
        <v>649</v>
      </c>
      <c r="B128" s="468" t="s">
        <v>650</v>
      </c>
      <c r="C128" s="468" t="s">
        <v>1048</v>
      </c>
    </row>
    <row r="129" spans="1:3" x14ac:dyDescent="0.25">
      <c r="A129" s="468" t="s">
        <v>651</v>
      </c>
      <c r="B129" s="468" t="s">
        <v>652</v>
      </c>
      <c r="C129" s="468" t="s">
        <v>416</v>
      </c>
    </row>
    <row r="130" spans="1:3" x14ac:dyDescent="0.25">
      <c r="A130" s="468" t="s">
        <v>653</v>
      </c>
      <c r="B130" s="468" t="s">
        <v>654</v>
      </c>
      <c r="C130" s="468" t="s">
        <v>2</v>
      </c>
    </row>
    <row r="131" spans="1:3" x14ac:dyDescent="0.25">
      <c r="A131" s="468" t="s">
        <v>655</v>
      </c>
      <c r="B131" s="468" t="s">
        <v>656</v>
      </c>
      <c r="C131" s="468" t="s">
        <v>417</v>
      </c>
    </row>
    <row r="132" spans="1:3" x14ac:dyDescent="0.25">
      <c r="A132" s="468" t="s">
        <v>657</v>
      </c>
      <c r="B132" s="468" t="s">
        <v>658</v>
      </c>
      <c r="C132" s="468" t="s">
        <v>2</v>
      </c>
    </row>
    <row r="133" spans="1:3" x14ac:dyDescent="0.25">
      <c r="A133" s="468" t="s">
        <v>659</v>
      </c>
      <c r="B133" s="468" t="s">
        <v>660</v>
      </c>
      <c r="C133" s="468" t="s">
        <v>2</v>
      </c>
    </row>
    <row r="134" spans="1:3" x14ac:dyDescent="0.25">
      <c r="A134" s="468" t="s">
        <v>661</v>
      </c>
      <c r="B134" s="468" t="s">
        <v>662</v>
      </c>
      <c r="C134" s="468" t="s">
        <v>416</v>
      </c>
    </row>
    <row r="135" spans="1:3" x14ac:dyDescent="0.25">
      <c r="A135" s="468" t="s">
        <v>663</v>
      </c>
      <c r="B135" s="468" t="s">
        <v>664</v>
      </c>
      <c r="C135" s="468" t="s">
        <v>420</v>
      </c>
    </row>
    <row r="136" spans="1:3" x14ac:dyDescent="0.25">
      <c r="A136" s="468" t="s">
        <v>665</v>
      </c>
      <c r="B136" s="468" t="s">
        <v>666</v>
      </c>
      <c r="C136" s="468" t="s">
        <v>415</v>
      </c>
    </row>
    <row r="137" spans="1:3" x14ac:dyDescent="0.25">
      <c r="A137" s="468" t="s">
        <v>667</v>
      </c>
      <c r="B137" s="468" t="s">
        <v>668</v>
      </c>
      <c r="C137" s="468" t="s">
        <v>414</v>
      </c>
    </row>
    <row r="138" spans="1:3" x14ac:dyDescent="0.25">
      <c r="A138" s="468" t="s">
        <v>669</v>
      </c>
      <c r="B138" s="468" t="s">
        <v>670</v>
      </c>
      <c r="C138" s="468" t="s">
        <v>416</v>
      </c>
    </row>
    <row r="139" spans="1:3" x14ac:dyDescent="0.25">
      <c r="A139" s="468" t="s">
        <v>671</v>
      </c>
      <c r="B139" s="468" t="s">
        <v>672</v>
      </c>
      <c r="C139" s="468" t="s">
        <v>414</v>
      </c>
    </row>
    <row r="140" spans="1:3" x14ac:dyDescent="0.25">
      <c r="A140" s="468" t="s">
        <v>673</v>
      </c>
      <c r="B140" s="468" t="s">
        <v>674</v>
      </c>
      <c r="C140" s="468" t="s">
        <v>2</v>
      </c>
    </row>
    <row r="141" spans="1:3" x14ac:dyDescent="0.25">
      <c r="A141" s="468" t="s">
        <v>675</v>
      </c>
      <c r="B141" s="468" t="s">
        <v>676</v>
      </c>
      <c r="C141" s="468" t="s">
        <v>416</v>
      </c>
    </row>
    <row r="142" spans="1:3" x14ac:dyDescent="0.25">
      <c r="A142" s="468" t="s">
        <v>677</v>
      </c>
      <c r="B142" s="468" t="s">
        <v>678</v>
      </c>
      <c r="C142" s="468" t="s">
        <v>415</v>
      </c>
    </row>
    <row r="143" spans="1:3" x14ac:dyDescent="0.25">
      <c r="A143" s="468" t="s">
        <v>679</v>
      </c>
      <c r="B143" s="468" t="s">
        <v>680</v>
      </c>
      <c r="C143" s="468" t="s">
        <v>418</v>
      </c>
    </row>
    <row r="144" spans="1:3" x14ac:dyDescent="0.25">
      <c r="A144" s="468" t="s">
        <v>681</v>
      </c>
      <c r="B144" s="468" t="s">
        <v>682</v>
      </c>
      <c r="C144" s="468" t="s">
        <v>415</v>
      </c>
    </row>
    <row r="145" spans="1:3" x14ac:dyDescent="0.25">
      <c r="A145" s="468" t="s">
        <v>683</v>
      </c>
      <c r="B145" s="468" t="s">
        <v>684</v>
      </c>
      <c r="C145" s="468" t="s">
        <v>2</v>
      </c>
    </row>
    <row r="146" spans="1:3" x14ac:dyDescent="0.25">
      <c r="A146" s="468" t="s">
        <v>685</v>
      </c>
      <c r="B146" s="468" t="s">
        <v>686</v>
      </c>
      <c r="C146" s="468" t="s">
        <v>419</v>
      </c>
    </row>
    <row r="147" spans="1:3" x14ac:dyDescent="0.25">
      <c r="A147" s="468" t="s">
        <v>687</v>
      </c>
      <c r="B147" s="468" t="s">
        <v>688</v>
      </c>
      <c r="C147" s="468" t="s">
        <v>416</v>
      </c>
    </row>
    <row r="148" spans="1:3" x14ac:dyDescent="0.25">
      <c r="A148" s="468" t="s">
        <v>689</v>
      </c>
      <c r="B148" s="468" t="s">
        <v>690</v>
      </c>
      <c r="C148" s="468" t="s">
        <v>416</v>
      </c>
    </row>
    <row r="149" spans="1:3" x14ac:dyDescent="0.25">
      <c r="A149" s="468" t="s">
        <v>691</v>
      </c>
      <c r="B149" s="468" t="s">
        <v>692</v>
      </c>
      <c r="C149" s="468" t="s">
        <v>415</v>
      </c>
    </row>
    <row r="150" spans="1:3" x14ac:dyDescent="0.25">
      <c r="A150" s="468" t="s">
        <v>693</v>
      </c>
      <c r="B150" s="468" t="s">
        <v>694</v>
      </c>
      <c r="C150" s="468" t="s">
        <v>1048</v>
      </c>
    </row>
    <row r="151" spans="1:3" x14ac:dyDescent="0.25">
      <c r="A151" s="468" t="s">
        <v>695</v>
      </c>
      <c r="B151" s="468" t="s">
        <v>696</v>
      </c>
      <c r="C151" s="468" t="s">
        <v>416</v>
      </c>
    </row>
    <row r="152" spans="1:3" x14ac:dyDescent="0.25">
      <c r="A152" s="468" t="s">
        <v>697</v>
      </c>
      <c r="B152" s="468" t="s">
        <v>698</v>
      </c>
      <c r="C152" s="468" t="s">
        <v>1048</v>
      </c>
    </row>
    <row r="153" spans="1:3" x14ac:dyDescent="0.25">
      <c r="A153" s="468" t="s">
        <v>699</v>
      </c>
      <c r="B153" s="468" t="s">
        <v>700</v>
      </c>
      <c r="C153" s="468" t="s">
        <v>418</v>
      </c>
    </row>
    <row r="154" spans="1:3" x14ac:dyDescent="0.25">
      <c r="A154" s="468" t="s">
        <v>701</v>
      </c>
      <c r="B154" s="468" t="s">
        <v>702</v>
      </c>
      <c r="C154" s="468" t="s">
        <v>416</v>
      </c>
    </row>
    <row r="155" spans="1:3" x14ac:dyDescent="0.25">
      <c r="A155" s="468" t="s">
        <v>703</v>
      </c>
      <c r="B155" s="468" t="s">
        <v>704</v>
      </c>
      <c r="C155" s="468" t="s">
        <v>418</v>
      </c>
    </row>
    <row r="156" spans="1:3" x14ac:dyDescent="0.25">
      <c r="A156" s="468" t="s">
        <v>705</v>
      </c>
      <c r="B156" s="468" t="s">
        <v>706</v>
      </c>
      <c r="C156" s="468" t="s">
        <v>1048</v>
      </c>
    </row>
    <row r="157" spans="1:3" x14ac:dyDescent="0.25">
      <c r="A157" s="468" t="s">
        <v>707</v>
      </c>
      <c r="B157" s="468" t="s">
        <v>708</v>
      </c>
      <c r="C157" s="468" t="s">
        <v>414</v>
      </c>
    </row>
    <row r="158" spans="1:3" x14ac:dyDescent="0.25">
      <c r="A158" s="468" t="s">
        <v>709</v>
      </c>
      <c r="B158" s="468" t="s">
        <v>710</v>
      </c>
      <c r="C158" s="468" t="s">
        <v>2</v>
      </c>
    </row>
    <row r="159" spans="1:3" x14ac:dyDescent="0.25">
      <c r="A159" s="468" t="s">
        <v>711</v>
      </c>
      <c r="B159" s="468" t="s">
        <v>712</v>
      </c>
      <c r="C159" s="468" t="s">
        <v>416</v>
      </c>
    </row>
    <row r="160" spans="1:3" x14ac:dyDescent="0.25">
      <c r="A160" s="468" t="s">
        <v>713</v>
      </c>
      <c r="B160" s="468" t="s">
        <v>714</v>
      </c>
      <c r="C160" s="468" t="s">
        <v>420</v>
      </c>
    </row>
    <row r="161" spans="1:3" x14ac:dyDescent="0.25">
      <c r="A161" s="468" t="s">
        <v>715</v>
      </c>
      <c r="B161" s="468" t="s">
        <v>716</v>
      </c>
      <c r="C161" s="468" t="s">
        <v>414</v>
      </c>
    </row>
    <row r="162" spans="1:3" x14ac:dyDescent="0.25">
      <c r="A162" s="468" t="s">
        <v>717</v>
      </c>
      <c r="B162" s="468" t="s">
        <v>718</v>
      </c>
      <c r="C162" s="468" t="s">
        <v>418</v>
      </c>
    </row>
    <row r="163" spans="1:3" x14ac:dyDescent="0.25">
      <c r="A163" s="468" t="s">
        <v>719</v>
      </c>
      <c r="B163" s="468" t="s">
        <v>720</v>
      </c>
      <c r="C163" s="468" t="s">
        <v>415</v>
      </c>
    </row>
    <row r="164" spans="1:3" x14ac:dyDescent="0.25">
      <c r="A164" s="468" t="s">
        <v>721</v>
      </c>
      <c r="B164" s="468" t="s">
        <v>722</v>
      </c>
      <c r="C164" s="468" t="s">
        <v>2</v>
      </c>
    </row>
    <row r="165" spans="1:3" x14ac:dyDescent="0.25">
      <c r="A165" s="468" t="s">
        <v>723</v>
      </c>
      <c r="B165" s="468" t="s">
        <v>724</v>
      </c>
      <c r="C165" s="468" t="s">
        <v>415</v>
      </c>
    </row>
    <row r="166" spans="1:3" x14ac:dyDescent="0.25">
      <c r="A166" s="468" t="s">
        <v>725</v>
      </c>
      <c r="B166" s="468" t="s">
        <v>726</v>
      </c>
      <c r="C166" s="468" t="s">
        <v>420</v>
      </c>
    </row>
    <row r="167" spans="1:3" x14ac:dyDescent="0.25">
      <c r="A167" s="468" t="s">
        <v>727</v>
      </c>
      <c r="B167" s="468" t="s">
        <v>728</v>
      </c>
      <c r="C167" s="468" t="s">
        <v>418</v>
      </c>
    </row>
    <row r="168" spans="1:3" x14ac:dyDescent="0.25">
      <c r="A168" s="468" t="s">
        <v>729</v>
      </c>
      <c r="B168" s="468" t="s">
        <v>730</v>
      </c>
      <c r="C168" s="468" t="s">
        <v>414</v>
      </c>
    </row>
    <row r="169" spans="1:3" x14ac:dyDescent="0.25">
      <c r="A169" s="468" t="s">
        <v>731</v>
      </c>
      <c r="B169" s="468" t="s">
        <v>732</v>
      </c>
      <c r="C169" s="468" t="s">
        <v>2</v>
      </c>
    </row>
    <row r="170" spans="1:3" x14ac:dyDescent="0.25">
      <c r="A170" s="468" t="s">
        <v>733</v>
      </c>
      <c r="B170" s="468" t="s">
        <v>734</v>
      </c>
      <c r="C170" s="468" t="s">
        <v>414</v>
      </c>
    </row>
    <row r="171" spans="1:3" x14ac:dyDescent="0.25">
      <c r="A171" s="468" t="s">
        <v>735</v>
      </c>
      <c r="B171" s="468" t="s">
        <v>736</v>
      </c>
      <c r="C171" s="468" t="s">
        <v>419</v>
      </c>
    </row>
    <row r="172" spans="1:3" x14ac:dyDescent="0.25">
      <c r="A172" s="468" t="s">
        <v>737</v>
      </c>
      <c r="B172" s="468" t="s">
        <v>738</v>
      </c>
      <c r="C172" s="468" t="s">
        <v>416</v>
      </c>
    </row>
    <row r="173" spans="1:3" x14ac:dyDescent="0.25">
      <c r="A173" s="468" t="s">
        <v>739</v>
      </c>
      <c r="B173" s="468" t="s">
        <v>740</v>
      </c>
      <c r="C173" s="468" t="s">
        <v>419</v>
      </c>
    </row>
    <row r="174" spans="1:3" x14ac:dyDescent="0.25">
      <c r="A174" s="468" t="s">
        <v>741</v>
      </c>
      <c r="B174" s="468" t="s">
        <v>742</v>
      </c>
      <c r="C174" s="468" t="s">
        <v>415</v>
      </c>
    </row>
    <row r="175" spans="1:3" x14ac:dyDescent="0.25">
      <c r="A175" s="468" t="s">
        <v>743</v>
      </c>
      <c r="B175" s="468" t="s">
        <v>744</v>
      </c>
      <c r="C175" s="468" t="s">
        <v>2</v>
      </c>
    </row>
    <row r="176" spans="1:3" x14ac:dyDescent="0.25">
      <c r="A176" s="468" t="s">
        <v>745</v>
      </c>
      <c r="B176" s="468" t="s">
        <v>746</v>
      </c>
      <c r="C176" s="468" t="s">
        <v>417</v>
      </c>
    </row>
    <row r="177" spans="1:3" x14ac:dyDescent="0.25">
      <c r="A177" s="468" t="s">
        <v>747</v>
      </c>
      <c r="B177" s="468" t="s">
        <v>748</v>
      </c>
      <c r="C177" s="468" t="s">
        <v>2</v>
      </c>
    </row>
    <row r="178" spans="1:3" x14ac:dyDescent="0.25">
      <c r="A178" s="468" t="s">
        <v>749</v>
      </c>
      <c r="B178" s="468" t="s">
        <v>750</v>
      </c>
      <c r="C178" s="468" t="s">
        <v>2</v>
      </c>
    </row>
    <row r="179" spans="1:3" x14ac:dyDescent="0.25">
      <c r="A179" s="468" t="s">
        <v>1</v>
      </c>
      <c r="B179" s="468" t="s">
        <v>751</v>
      </c>
      <c r="C179" s="468" t="s">
        <v>2</v>
      </c>
    </row>
    <row r="180" spans="1:3" x14ac:dyDescent="0.25">
      <c r="A180" s="468" t="s">
        <v>752</v>
      </c>
      <c r="B180" s="468" t="s">
        <v>753</v>
      </c>
      <c r="C180" s="468" t="s">
        <v>414</v>
      </c>
    </row>
    <row r="181" spans="1:3" x14ac:dyDescent="0.25">
      <c r="A181" s="468" t="s">
        <v>754</v>
      </c>
      <c r="B181" s="468" t="s">
        <v>755</v>
      </c>
      <c r="C181" s="468" t="s">
        <v>417</v>
      </c>
    </row>
    <row r="182" spans="1:3" x14ac:dyDescent="0.25">
      <c r="A182" s="468" t="s">
        <v>756</v>
      </c>
      <c r="B182" s="468" t="s">
        <v>757</v>
      </c>
      <c r="C182" s="468" t="s">
        <v>420</v>
      </c>
    </row>
    <row r="183" spans="1:3" x14ac:dyDescent="0.25">
      <c r="A183" s="468" t="s">
        <v>758</v>
      </c>
      <c r="B183" s="468" t="s">
        <v>759</v>
      </c>
      <c r="C183" s="468" t="s">
        <v>416</v>
      </c>
    </row>
    <row r="184" spans="1:3" x14ac:dyDescent="0.25">
      <c r="A184" s="468" t="s">
        <v>760</v>
      </c>
      <c r="B184" s="468" t="s">
        <v>761</v>
      </c>
      <c r="C184" s="468" t="s">
        <v>419</v>
      </c>
    </row>
    <row r="185" spans="1:3" x14ac:dyDescent="0.25">
      <c r="A185" s="468" t="s">
        <v>762</v>
      </c>
      <c r="B185" s="468" t="s">
        <v>763</v>
      </c>
      <c r="C185" s="468" t="s">
        <v>414</v>
      </c>
    </row>
    <row r="186" spans="1:3" x14ac:dyDescent="0.25">
      <c r="A186" s="468" t="s">
        <v>764</v>
      </c>
      <c r="B186" s="468" t="s">
        <v>765</v>
      </c>
      <c r="C186" s="468" t="s">
        <v>1048</v>
      </c>
    </row>
    <row r="187" spans="1:3" x14ac:dyDescent="0.25">
      <c r="A187" s="468" t="s">
        <v>766</v>
      </c>
      <c r="B187" s="468" t="s">
        <v>767</v>
      </c>
      <c r="C187" s="468" t="s">
        <v>415</v>
      </c>
    </row>
    <row r="188" spans="1:3" x14ac:dyDescent="0.25">
      <c r="A188" s="468" t="s">
        <v>768</v>
      </c>
      <c r="B188" s="468" t="s">
        <v>769</v>
      </c>
      <c r="C188" s="468" t="s">
        <v>414</v>
      </c>
    </row>
    <row r="189" spans="1:3" x14ac:dyDescent="0.25">
      <c r="A189" s="468" t="s">
        <v>770</v>
      </c>
      <c r="B189" s="468" t="s">
        <v>771</v>
      </c>
      <c r="C189" s="468" t="s">
        <v>1048</v>
      </c>
    </row>
    <row r="190" spans="1:3" x14ac:dyDescent="0.25">
      <c r="A190" s="468" t="s">
        <v>772</v>
      </c>
      <c r="B190" s="468" t="s">
        <v>773</v>
      </c>
      <c r="C190" s="468" t="s">
        <v>415</v>
      </c>
    </row>
    <row r="191" spans="1:3" x14ac:dyDescent="0.25">
      <c r="A191" s="468" t="s">
        <v>14115</v>
      </c>
      <c r="B191" s="468" t="s">
        <v>14116</v>
      </c>
      <c r="C191" s="468" t="s">
        <v>414</v>
      </c>
    </row>
    <row r="192" spans="1:3" x14ac:dyDescent="0.25">
      <c r="A192" s="468" t="s">
        <v>774</v>
      </c>
      <c r="B192" s="468" t="s">
        <v>775</v>
      </c>
      <c r="C192" s="468" t="s">
        <v>419</v>
      </c>
    </row>
    <row r="193" spans="1:3" x14ac:dyDescent="0.25">
      <c r="A193" s="468" t="s">
        <v>776</v>
      </c>
      <c r="B193" s="468" t="s">
        <v>777</v>
      </c>
      <c r="C193" s="468" t="s">
        <v>417</v>
      </c>
    </row>
    <row r="194" spans="1:3" x14ac:dyDescent="0.25">
      <c r="A194" s="468" t="s">
        <v>778</v>
      </c>
      <c r="B194" s="468" t="s">
        <v>779</v>
      </c>
      <c r="C194" s="468" t="s">
        <v>420</v>
      </c>
    </row>
    <row r="195" spans="1:3" x14ac:dyDescent="0.25">
      <c r="A195" s="468" t="s">
        <v>780</v>
      </c>
      <c r="B195" s="468" t="s">
        <v>781</v>
      </c>
      <c r="C195" s="468" t="s">
        <v>414</v>
      </c>
    </row>
    <row r="196" spans="1:3" x14ac:dyDescent="0.25">
      <c r="A196" s="468" t="s">
        <v>782</v>
      </c>
      <c r="B196" s="468" t="s">
        <v>783</v>
      </c>
      <c r="C196" s="468" t="s">
        <v>417</v>
      </c>
    </row>
    <row r="197" spans="1:3" x14ac:dyDescent="0.25">
      <c r="A197" s="468" t="s">
        <v>784</v>
      </c>
      <c r="B197" s="468" t="s">
        <v>785</v>
      </c>
      <c r="C197" s="468" t="s">
        <v>415</v>
      </c>
    </row>
    <row r="198" spans="1:3" x14ac:dyDescent="0.25">
      <c r="A198" s="468" t="s">
        <v>786</v>
      </c>
      <c r="B198" s="468" t="s">
        <v>787</v>
      </c>
      <c r="C198" s="468" t="s">
        <v>414</v>
      </c>
    </row>
    <row r="199" spans="1:3" x14ac:dyDescent="0.25">
      <c r="A199" s="468" t="s">
        <v>788</v>
      </c>
      <c r="B199" s="468" t="s">
        <v>789</v>
      </c>
      <c r="C199" s="468" t="s">
        <v>420</v>
      </c>
    </row>
    <row r="200" spans="1:3" x14ac:dyDescent="0.25">
      <c r="A200" s="468" t="s">
        <v>790</v>
      </c>
      <c r="B200" s="468" t="s">
        <v>791</v>
      </c>
      <c r="C200" s="468" t="s">
        <v>414</v>
      </c>
    </row>
    <row r="201" spans="1:3" x14ac:dyDescent="0.25">
      <c r="A201" s="468" t="s">
        <v>792</v>
      </c>
      <c r="B201" s="468" t="s">
        <v>793</v>
      </c>
      <c r="C201" s="468" t="s">
        <v>418</v>
      </c>
    </row>
    <row r="202" spans="1:3" x14ac:dyDescent="0.25">
      <c r="A202" s="468" t="s">
        <v>794</v>
      </c>
      <c r="B202" s="468" t="s">
        <v>795</v>
      </c>
      <c r="C202" s="468" t="s">
        <v>2</v>
      </c>
    </row>
    <row r="203" spans="1:3" x14ac:dyDescent="0.25">
      <c r="A203" s="468" t="s">
        <v>796</v>
      </c>
      <c r="B203" s="468" t="s">
        <v>797</v>
      </c>
      <c r="C203" s="468" t="s">
        <v>418</v>
      </c>
    </row>
    <row r="204" spans="1:3" x14ac:dyDescent="0.25">
      <c r="A204" s="468" t="s">
        <v>798</v>
      </c>
      <c r="B204" s="468" t="s">
        <v>799</v>
      </c>
      <c r="C204" s="468" t="s">
        <v>415</v>
      </c>
    </row>
    <row r="205" spans="1:3" x14ac:dyDescent="0.25">
      <c r="A205" s="468" t="s">
        <v>800</v>
      </c>
      <c r="B205" s="468" t="s">
        <v>801</v>
      </c>
      <c r="C205" s="468" t="s">
        <v>419</v>
      </c>
    </row>
    <row r="206" spans="1:3" x14ac:dyDescent="0.25">
      <c r="A206" s="468" t="s">
        <v>802</v>
      </c>
      <c r="B206" s="468" t="s">
        <v>803</v>
      </c>
      <c r="C206" s="468" t="s">
        <v>2</v>
      </c>
    </row>
    <row r="207" spans="1:3" x14ac:dyDescent="0.25">
      <c r="A207" s="468" t="s">
        <v>804</v>
      </c>
      <c r="B207" s="468" t="s">
        <v>805</v>
      </c>
      <c r="C207" s="468" t="s">
        <v>418</v>
      </c>
    </row>
    <row r="208" spans="1:3" x14ac:dyDescent="0.25">
      <c r="A208" s="468" t="s">
        <v>806</v>
      </c>
      <c r="B208" s="468" t="s">
        <v>807</v>
      </c>
      <c r="C208" s="468" t="s">
        <v>2</v>
      </c>
    </row>
    <row r="209" spans="1:3" x14ac:dyDescent="0.25">
      <c r="A209" s="468" t="s">
        <v>808</v>
      </c>
      <c r="B209" s="468" t="s">
        <v>809</v>
      </c>
      <c r="C209" s="468" t="s">
        <v>416</v>
      </c>
    </row>
    <row r="210" spans="1:3" x14ac:dyDescent="0.25">
      <c r="A210" s="468" t="s">
        <v>810</v>
      </c>
      <c r="B210" s="468" t="s">
        <v>811</v>
      </c>
      <c r="C210" s="468" t="s">
        <v>417</v>
      </c>
    </row>
    <row r="211" spans="1:3" x14ac:dyDescent="0.25">
      <c r="A211" s="468" t="s">
        <v>812</v>
      </c>
      <c r="B211" s="468" t="s">
        <v>813</v>
      </c>
      <c r="C211" s="468" t="s">
        <v>420</v>
      </c>
    </row>
    <row r="212" spans="1:3" x14ac:dyDescent="0.25">
      <c r="A212" s="468" t="s">
        <v>814</v>
      </c>
      <c r="B212" s="468" t="s">
        <v>815</v>
      </c>
      <c r="C212" s="468" t="s">
        <v>2</v>
      </c>
    </row>
    <row r="213" spans="1:3" x14ac:dyDescent="0.25">
      <c r="A213" s="468" t="s">
        <v>816</v>
      </c>
      <c r="B213" s="468" t="s">
        <v>817</v>
      </c>
      <c r="C213" s="468" t="s">
        <v>418</v>
      </c>
    </row>
    <row r="214" spans="1:3" x14ac:dyDescent="0.25">
      <c r="A214" s="468" t="s">
        <v>818</v>
      </c>
      <c r="B214" s="468" t="s">
        <v>819</v>
      </c>
      <c r="C214" s="468" t="s">
        <v>416</v>
      </c>
    </row>
    <row r="215" spans="1:3" x14ac:dyDescent="0.25">
      <c r="A215" s="468" t="s">
        <v>820</v>
      </c>
      <c r="B215" s="468" t="s">
        <v>821</v>
      </c>
      <c r="C215" s="468" t="s">
        <v>1048</v>
      </c>
    </row>
    <row r="216" spans="1:3" x14ac:dyDescent="0.25">
      <c r="A216" s="468" t="s">
        <v>822</v>
      </c>
      <c r="B216" s="468" t="s">
        <v>823</v>
      </c>
      <c r="C216" s="468" t="s">
        <v>418</v>
      </c>
    </row>
    <row r="217" spans="1:3" x14ac:dyDescent="0.25">
      <c r="A217" s="468" t="s">
        <v>824</v>
      </c>
      <c r="B217" s="468" t="s">
        <v>825</v>
      </c>
      <c r="C217" s="468" t="s">
        <v>415</v>
      </c>
    </row>
    <row r="218" spans="1:3" x14ac:dyDescent="0.25">
      <c r="A218" s="468" t="s">
        <v>826</v>
      </c>
      <c r="B218" s="468" t="s">
        <v>827</v>
      </c>
      <c r="C218" s="468" t="s">
        <v>418</v>
      </c>
    </row>
    <row r="219" spans="1:3" x14ac:dyDescent="0.25">
      <c r="A219" s="468" t="s">
        <v>828</v>
      </c>
      <c r="B219" s="468" t="s">
        <v>829</v>
      </c>
      <c r="C219" s="468" t="s">
        <v>2</v>
      </c>
    </row>
    <row r="220" spans="1:3" x14ac:dyDescent="0.25">
      <c r="A220" s="468" t="s">
        <v>830</v>
      </c>
      <c r="B220" s="468" t="s">
        <v>831</v>
      </c>
      <c r="C220" s="468" t="s">
        <v>1048</v>
      </c>
    </row>
    <row r="221" spans="1:3" x14ac:dyDescent="0.25">
      <c r="A221" s="468" t="s">
        <v>832</v>
      </c>
      <c r="B221" s="468" t="s">
        <v>833</v>
      </c>
      <c r="C221" s="468" t="s">
        <v>420</v>
      </c>
    </row>
    <row r="222" spans="1:3" x14ac:dyDescent="0.25">
      <c r="A222" s="468" t="s">
        <v>834</v>
      </c>
      <c r="B222" s="468" t="s">
        <v>835</v>
      </c>
      <c r="C222" s="468" t="s">
        <v>2</v>
      </c>
    </row>
    <row r="223" spans="1:3" x14ac:dyDescent="0.25">
      <c r="A223" s="468" t="s">
        <v>836</v>
      </c>
      <c r="B223" s="468" t="s">
        <v>837</v>
      </c>
      <c r="C223" s="468" t="s">
        <v>414</v>
      </c>
    </row>
    <row r="224" spans="1:3" x14ac:dyDescent="0.25">
      <c r="A224" s="468" t="s">
        <v>838</v>
      </c>
      <c r="B224" s="468" t="s">
        <v>839</v>
      </c>
      <c r="C224" s="468" t="s">
        <v>2</v>
      </c>
    </row>
    <row r="225" spans="1:3" x14ac:dyDescent="0.25">
      <c r="A225" s="468" t="s">
        <v>840</v>
      </c>
      <c r="B225" s="468" t="s">
        <v>841</v>
      </c>
      <c r="C225" s="468" t="s">
        <v>414</v>
      </c>
    </row>
    <row r="226" spans="1:3" x14ac:dyDescent="0.25">
      <c r="A226" s="468" t="s">
        <v>842</v>
      </c>
      <c r="B226" s="468" t="s">
        <v>843</v>
      </c>
      <c r="C226" s="468" t="s">
        <v>1048</v>
      </c>
    </row>
    <row r="227" spans="1:3" x14ac:dyDescent="0.25">
      <c r="A227" s="468" t="s">
        <v>844</v>
      </c>
      <c r="B227" s="468" t="s">
        <v>845</v>
      </c>
      <c r="C227" s="468" t="s">
        <v>418</v>
      </c>
    </row>
    <row r="228" spans="1:3" x14ac:dyDescent="0.25">
      <c r="A228" s="468" t="s">
        <v>846</v>
      </c>
      <c r="B228" s="468" t="s">
        <v>847</v>
      </c>
      <c r="C228" s="468" t="s">
        <v>420</v>
      </c>
    </row>
    <row r="229" spans="1:3" x14ac:dyDescent="0.25">
      <c r="A229" s="468" t="s">
        <v>848</v>
      </c>
      <c r="B229" s="468" t="s">
        <v>849</v>
      </c>
      <c r="C229" s="468" t="s">
        <v>1048</v>
      </c>
    </row>
    <row r="230" spans="1:3" x14ac:dyDescent="0.25">
      <c r="A230" s="468" t="s">
        <v>850</v>
      </c>
      <c r="B230" s="468" t="s">
        <v>851</v>
      </c>
      <c r="C230" s="468" t="s">
        <v>419</v>
      </c>
    </row>
    <row r="231" spans="1:3" x14ac:dyDescent="0.25">
      <c r="A231" s="468" t="s">
        <v>852</v>
      </c>
      <c r="B231" s="468" t="s">
        <v>853</v>
      </c>
      <c r="C231" s="468" t="s">
        <v>418</v>
      </c>
    </row>
    <row r="232" spans="1:3" x14ac:dyDescent="0.25">
      <c r="A232" s="468" t="s">
        <v>854</v>
      </c>
      <c r="B232" s="468" t="s">
        <v>855</v>
      </c>
      <c r="C232" s="468" t="s">
        <v>1048</v>
      </c>
    </row>
    <row r="233" spans="1:3" x14ac:dyDescent="0.25">
      <c r="A233" s="468" t="s">
        <v>856</v>
      </c>
      <c r="B233" s="468" t="s">
        <v>857</v>
      </c>
      <c r="C233" s="468" t="s">
        <v>2</v>
      </c>
    </row>
    <row r="234" spans="1:3" x14ac:dyDescent="0.25">
      <c r="A234" s="468" t="s">
        <v>858</v>
      </c>
      <c r="B234" s="468" t="s">
        <v>859</v>
      </c>
      <c r="C234" s="468" t="s">
        <v>1048</v>
      </c>
    </row>
    <row r="235" spans="1:3" x14ac:dyDescent="0.25">
      <c r="A235" s="468" t="s">
        <v>860</v>
      </c>
      <c r="B235" s="468" t="s">
        <v>861</v>
      </c>
      <c r="C235" s="468" t="s">
        <v>420</v>
      </c>
    </row>
    <row r="236" spans="1:3" x14ac:dyDescent="0.25">
      <c r="A236" s="468" t="s">
        <v>862</v>
      </c>
      <c r="B236" s="468" t="s">
        <v>863</v>
      </c>
      <c r="C236" s="468" t="s">
        <v>2</v>
      </c>
    </row>
    <row r="237" spans="1:3" x14ac:dyDescent="0.25">
      <c r="A237" s="468" t="s">
        <v>864</v>
      </c>
      <c r="B237" s="468" t="s">
        <v>865</v>
      </c>
      <c r="C237" s="468" t="s">
        <v>420</v>
      </c>
    </row>
    <row r="238" spans="1:3" x14ac:dyDescent="0.25">
      <c r="A238" s="468" t="s">
        <v>866</v>
      </c>
      <c r="B238" s="468" t="s">
        <v>867</v>
      </c>
      <c r="C238" s="468" t="s">
        <v>419</v>
      </c>
    </row>
    <row r="239" spans="1:3" x14ac:dyDescent="0.25">
      <c r="A239" s="468" t="s">
        <v>868</v>
      </c>
      <c r="B239" s="468" t="s">
        <v>869</v>
      </c>
      <c r="C239" s="468" t="s">
        <v>415</v>
      </c>
    </row>
    <row r="240" spans="1:3" x14ac:dyDescent="0.25">
      <c r="A240" s="468" t="s">
        <v>870</v>
      </c>
      <c r="B240" s="468" t="s">
        <v>871</v>
      </c>
      <c r="C240" s="468" t="s">
        <v>414</v>
      </c>
    </row>
    <row r="241" spans="1:3" x14ac:dyDescent="0.25">
      <c r="A241" s="468" t="s">
        <v>872</v>
      </c>
      <c r="B241" s="468" t="s">
        <v>873</v>
      </c>
      <c r="C241" s="468" t="s">
        <v>419</v>
      </c>
    </row>
    <row r="242" spans="1:3" x14ac:dyDescent="0.25">
      <c r="A242" s="468" t="s">
        <v>874</v>
      </c>
      <c r="B242" s="468" t="s">
        <v>875</v>
      </c>
      <c r="C242" s="468" t="s">
        <v>419</v>
      </c>
    </row>
    <row r="243" spans="1:3" x14ac:dyDescent="0.25">
      <c r="A243" s="468" t="s">
        <v>876</v>
      </c>
      <c r="B243" s="468" t="s">
        <v>877</v>
      </c>
      <c r="C243" s="468" t="s">
        <v>414</v>
      </c>
    </row>
    <row r="244" spans="1:3" x14ac:dyDescent="0.25">
      <c r="A244" s="468" t="s">
        <v>878</v>
      </c>
      <c r="B244" s="468" t="s">
        <v>879</v>
      </c>
      <c r="C244" s="468" t="s">
        <v>414</v>
      </c>
    </row>
    <row r="245" spans="1:3" x14ac:dyDescent="0.25">
      <c r="A245" s="468" t="s">
        <v>880</v>
      </c>
      <c r="B245" s="468" t="s">
        <v>881</v>
      </c>
      <c r="C245" s="468" t="s">
        <v>418</v>
      </c>
    </row>
    <row r="246" spans="1:3" x14ac:dyDescent="0.25">
      <c r="A246" s="468" t="s">
        <v>882</v>
      </c>
      <c r="B246" s="468" t="s">
        <v>883</v>
      </c>
      <c r="C246" s="468" t="s">
        <v>415</v>
      </c>
    </row>
    <row r="247" spans="1:3" x14ac:dyDescent="0.25">
      <c r="A247" s="468" t="s">
        <v>884</v>
      </c>
      <c r="B247" s="468" t="s">
        <v>885</v>
      </c>
      <c r="C247" s="468" t="s">
        <v>2</v>
      </c>
    </row>
    <row r="248" spans="1:3" x14ac:dyDescent="0.25">
      <c r="A248" s="468" t="s">
        <v>886</v>
      </c>
      <c r="B248" s="468" t="s">
        <v>887</v>
      </c>
      <c r="C248" s="468" t="s">
        <v>418</v>
      </c>
    </row>
    <row r="249" spans="1:3" x14ac:dyDescent="0.25">
      <c r="A249" s="468" t="s">
        <v>888</v>
      </c>
      <c r="B249" s="468" t="s">
        <v>889</v>
      </c>
      <c r="C249" s="468" t="s">
        <v>419</v>
      </c>
    </row>
    <row r="250" spans="1:3" x14ac:dyDescent="0.25">
      <c r="A250" s="468" t="s">
        <v>890</v>
      </c>
      <c r="B250" s="468" t="s">
        <v>891</v>
      </c>
      <c r="C250" s="468" t="s">
        <v>420</v>
      </c>
    </row>
    <row r="251" spans="1:3" x14ac:dyDescent="0.25">
      <c r="A251" s="468" t="s">
        <v>892</v>
      </c>
      <c r="B251" s="468" t="s">
        <v>893</v>
      </c>
      <c r="C251" s="468" t="s">
        <v>417</v>
      </c>
    </row>
    <row r="252" spans="1:3" x14ac:dyDescent="0.25">
      <c r="A252" s="468" t="s">
        <v>894</v>
      </c>
      <c r="B252" s="468" t="s">
        <v>895</v>
      </c>
      <c r="C252" s="468" t="s">
        <v>2</v>
      </c>
    </row>
    <row r="253" spans="1:3" x14ac:dyDescent="0.25">
      <c r="A253" s="468" t="s">
        <v>896</v>
      </c>
      <c r="B253" s="468" t="s">
        <v>897</v>
      </c>
      <c r="C253" s="468" t="s">
        <v>415</v>
      </c>
    </row>
    <row r="254" spans="1:3" x14ac:dyDescent="0.25">
      <c r="A254" s="468" t="s">
        <v>898</v>
      </c>
      <c r="B254" s="468" t="s">
        <v>899</v>
      </c>
      <c r="C254" s="468" t="s">
        <v>416</v>
      </c>
    </row>
    <row r="255" spans="1:3" x14ac:dyDescent="0.25">
      <c r="A255" s="468" t="s">
        <v>900</v>
      </c>
      <c r="B255" s="468" t="s">
        <v>901</v>
      </c>
      <c r="C255" s="468" t="s">
        <v>2</v>
      </c>
    </row>
    <row r="256" spans="1:3" x14ac:dyDescent="0.25">
      <c r="A256" s="468" t="s">
        <v>902</v>
      </c>
      <c r="B256" s="468" t="s">
        <v>903</v>
      </c>
      <c r="C256" s="468" t="s">
        <v>415</v>
      </c>
    </row>
    <row r="257" spans="1:3" x14ac:dyDescent="0.25">
      <c r="A257" s="468" t="s">
        <v>904</v>
      </c>
      <c r="B257" s="468" t="s">
        <v>905</v>
      </c>
      <c r="C257" s="468" t="s">
        <v>418</v>
      </c>
    </row>
    <row r="258" spans="1:3" x14ac:dyDescent="0.25">
      <c r="A258" s="468" t="s">
        <v>906</v>
      </c>
      <c r="B258" s="468" t="s">
        <v>907</v>
      </c>
      <c r="C258" s="468" t="s">
        <v>420</v>
      </c>
    </row>
    <row r="259" spans="1:3" x14ac:dyDescent="0.25">
      <c r="A259" s="468" t="s">
        <v>908</v>
      </c>
      <c r="B259" s="468" t="s">
        <v>909</v>
      </c>
      <c r="C259" s="468" t="s">
        <v>420</v>
      </c>
    </row>
    <row r="260" spans="1:3" x14ac:dyDescent="0.25">
      <c r="A260" s="468" t="s">
        <v>910</v>
      </c>
      <c r="B260" s="468" t="s">
        <v>911</v>
      </c>
      <c r="C260" s="468" t="s">
        <v>415</v>
      </c>
    </row>
    <row r="261" spans="1:3" x14ac:dyDescent="0.25">
      <c r="A261" s="468" t="s">
        <v>912</v>
      </c>
      <c r="B261" s="468" t="s">
        <v>913</v>
      </c>
      <c r="C261" s="468" t="s">
        <v>418</v>
      </c>
    </row>
    <row r="262" spans="1:3" x14ac:dyDescent="0.25">
      <c r="A262" s="468" t="s">
        <v>914</v>
      </c>
      <c r="B262" s="468" t="s">
        <v>915</v>
      </c>
      <c r="C262" s="468" t="s">
        <v>417</v>
      </c>
    </row>
    <row r="263" spans="1:3" x14ac:dyDescent="0.25">
      <c r="A263" s="468" t="s">
        <v>916</v>
      </c>
      <c r="B263" s="468" t="s">
        <v>917</v>
      </c>
      <c r="C263" s="468" t="s">
        <v>420</v>
      </c>
    </row>
    <row r="264" spans="1:3" x14ac:dyDescent="0.25">
      <c r="A264" s="468" t="s">
        <v>918</v>
      </c>
      <c r="B264" s="468" t="s">
        <v>919</v>
      </c>
      <c r="C264" s="468" t="s">
        <v>420</v>
      </c>
    </row>
    <row r="265" spans="1:3" x14ac:dyDescent="0.25">
      <c r="A265" s="468" t="s">
        <v>920</v>
      </c>
      <c r="B265" s="468" t="s">
        <v>921</v>
      </c>
      <c r="C265" s="468" t="s">
        <v>419</v>
      </c>
    </row>
    <row r="266" spans="1:3" x14ac:dyDescent="0.25">
      <c r="A266" s="468" t="s">
        <v>922</v>
      </c>
      <c r="B266" s="468" t="s">
        <v>923</v>
      </c>
      <c r="C266" s="468" t="s">
        <v>417</v>
      </c>
    </row>
    <row r="267" spans="1:3" x14ac:dyDescent="0.25">
      <c r="A267" s="468" t="s">
        <v>924</v>
      </c>
      <c r="B267" s="468" t="s">
        <v>925</v>
      </c>
      <c r="C267" s="468" t="s">
        <v>2</v>
      </c>
    </row>
    <row r="268" spans="1:3" x14ac:dyDescent="0.25">
      <c r="A268" s="468" t="s">
        <v>926</v>
      </c>
      <c r="B268" s="468" t="s">
        <v>927</v>
      </c>
      <c r="C268" s="468" t="s">
        <v>416</v>
      </c>
    </row>
    <row r="269" spans="1:3" x14ac:dyDescent="0.25">
      <c r="A269" s="468" t="s">
        <v>928</v>
      </c>
      <c r="B269" s="468" t="s">
        <v>929</v>
      </c>
      <c r="C269" s="468" t="s">
        <v>2</v>
      </c>
    </row>
    <row r="270" spans="1:3" x14ac:dyDescent="0.25">
      <c r="A270" s="468" t="s">
        <v>930</v>
      </c>
      <c r="B270" s="468" t="s">
        <v>931</v>
      </c>
      <c r="C270" s="468" t="s">
        <v>419</v>
      </c>
    </row>
    <row r="271" spans="1:3" x14ac:dyDescent="0.25">
      <c r="A271" s="468" t="s">
        <v>932</v>
      </c>
      <c r="B271" s="468" t="s">
        <v>933</v>
      </c>
      <c r="C271" s="468" t="s">
        <v>418</v>
      </c>
    </row>
    <row r="272" spans="1:3" x14ac:dyDescent="0.25">
      <c r="A272" s="468" t="s">
        <v>934</v>
      </c>
      <c r="B272" s="468" t="s">
        <v>935</v>
      </c>
      <c r="C272" s="468" t="s">
        <v>420</v>
      </c>
    </row>
    <row r="273" spans="1:3" x14ac:dyDescent="0.25">
      <c r="A273" s="468" t="s">
        <v>936</v>
      </c>
      <c r="B273" s="468" t="s">
        <v>937</v>
      </c>
      <c r="C273" s="468" t="s">
        <v>2</v>
      </c>
    </row>
    <row r="274" spans="1:3" x14ac:dyDescent="0.25">
      <c r="A274" s="468" t="s">
        <v>938</v>
      </c>
      <c r="B274" s="468" t="s">
        <v>939</v>
      </c>
      <c r="C274" s="468" t="s">
        <v>419</v>
      </c>
    </row>
    <row r="275" spans="1:3" x14ac:dyDescent="0.25">
      <c r="A275" s="468" t="s">
        <v>940</v>
      </c>
      <c r="B275" s="468" t="s">
        <v>941</v>
      </c>
      <c r="C275" s="468" t="s">
        <v>420</v>
      </c>
    </row>
    <row r="276" spans="1:3" x14ac:dyDescent="0.25">
      <c r="A276" s="468" t="s">
        <v>942</v>
      </c>
      <c r="B276" s="468" t="s">
        <v>943</v>
      </c>
      <c r="C276" s="468" t="s">
        <v>415</v>
      </c>
    </row>
    <row r="277" spans="1:3" x14ac:dyDescent="0.25">
      <c r="A277" s="468" t="s">
        <v>944</v>
      </c>
      <c r="B277" s="468" t="s">
        <v>945</v>
      </c>
      <c r="C277" s="468" t="s">
        <v>2</v>
      </c>
    </row>
    <row r="278" spans="1:3" x14ac:dyDescent="0.25">
      <c r="A278" s="468" t="s">
        <v>946</v>
      </c>
      <c r="B278" s="468" t="s">
        <v>947</v>
      </c>
      <c r="C278" s="468" t="s">
        <v>419</v>
      </c>
    </row>
    <row r="279" spans="1:3" x14ac:dyDescent="0.25">
      <c r="A279" s="468" t="s">
        <v>948</v>
      </c>
      <c r="B279" s="468" t="s">
        <v>949</v>
      </c>
      <c r="C279" s="468" t="s">
        <v>2</v>
      </c>
    </row>
    <row r="280" spans="1:3" x14ac:dyDescent="0.25">
      <c r="A280" s="468" t="s">
        <v>950</v>
      </c>
      <c r="B280" s="468" t="s">
        <v>951</v>
      </c>
      <c r="C280" s="468" t="s">
        <v>415</v>
      </c>
    </row>
    <row r="281" spans="1:3" x14ac:dyDescent="0.25">
      <c r="A281" s="468" t="s">
        <v>952</v>
      </c>
      <c r="B281" s="468" t="s">
        <v>953</v>
      </c>
      <c r="C281" s="468" t="s">
        <v>415</v>
      </c>
    </row>
    <row r="282" spans="1:3" x14ac:dyDescent="0.25">
      <c r="A282" s="468" t="s">
        <v>954</v>
      </c>
      <c r="B282" s="468" t="s">
        <v>955</v>
      </c>
      <c r="C282" s="468" t="s">
        <v>2</v>
      </c>
    </row>
    <row r="283" spans="1:3" x14ac:dyDescent="0.25">
      <c r="A283" s="468" t="s">
        <v>956</v>
      </c>
      <c r="B283" s="468" t="s">
        <v>957</v>
      </c>
      <c r="C283" s="468" t="s">
        <v>419</v>
      </c>
    </row>
    <row r="284" spans="1:3" x14ac:dyDescent="0.25">
      <c r="A284" s="468" t="s">
        <v>958</v>
      </c>
      <c r="B284" s="468" t="s">
        <v>959</v>
      </c>
      <c r="C284" s="468" t="s">
        <v>419</v>
      </c>
    </row>
    <row r="285" spans="1:3" x14ac:dyDescent="0.25">
      <c r="A285" s="468" t="s">
        <v>960</v>
      </c>
      <c r="B285" s="468" t="s">
        <v>961</v>
      </c>
      <c r="C285" s="468" t="s">
        <v>416</v>
      </c>
    </row>
    <row r="286" spans="1:3" x14ac:dyDescent="0.25">
      <c r="A286" s="468" t="s">
        <v>962</v>
      </c>
      <c r="B286" s="468" t="s">
        <v>963</v>
      </c>
      <c r="C286" s="468" t="s">
        <v>418</v>
      </c>
    </row>
    <row r="287" spans="1:3" x14ac:dyDescent="0.25">
      <c r="A287" s="468" t="s">
        <v>964</v>
      </c>
      <c r="B287" s="468" t="s">
        <v>965</v>
      </c>
      <c r="C287" s="468" t="s">
        <v>2</v>
      </c>
    </row>
    <row r="288" spans="1:3" x14ac:dyDescent="0.25">
      <c r="A288" s="468" t="s">
        <v>966</v>
      </c>
      <c r="B288" s="468" t="s">
        <v>967</v>
      </c>
      <c r="C288" s="468" t="s">
        <v>415</v>
      </c>
    </row>
    <row r="289" spans="1:3" x14ac:dyDescent="0.25">
      <c r="A289" s="468" t="s">
        <v>968</v>
      </c>
      <c r="B289" s="468" t="s">
        <v>969</v>
      </c>
      <c r="C289" s="468" t="s">
        <v>2</v>
      </c>
    </row>
    <row r="290" spans="1:3" x14ac:dyDescent="0.25">
      <c r="A290" s="468" t="s">
        <v>970</v>
      </c>
      <c r="B290" s="468" t="s">
        <v>971</v>
      </c>
      <c r="C290" s="468" t="s">
        <v>1048</v>
      </c>
    </row>
    <row r="291" spans="1:3" x14ac:dyDescent="0.25">
      <c r="A291" s="468" t="s">
        <v>972</v>
      </c>
      <c r="B291" s="468" t="s">
        <v>973</v>
      </c>
      <c r="C291" s="468" t="s">
        <v>420</v>
      </c>
    </row>
    <row r="292" spans="1:3" x14ac:dyDescent="0.25">
      <c r="A292" s="468" t="s">
        <v>974</v>
      </c>
      <c r="B292" s="468" t="s">
        <v>975</v>
      </c>
      <c r="C292" s="468" t="s">
        <v>416</v>
      </c>
    </row>
    <row r="293" spans="1:3" x14ac:dyDescent="0.25">
      <c r="A293" s="468" t="s">
        <v>976</v>
      </c>
      <c r="B293" s="468" t="s">
        <v>977</v>
      </c>
      <c r="C293" s="468" t="s">
        <v>416</v>
      </c>
    </row>
    <row r="294" spans="1:3" x14ac:dyDescent="0.25">
      <c r="A294" s="468" t="s">
        <v>978</v>
      </c>
      <c r="B294" s="468" t="s">
        <v>979</v>
      </c>
      <c r="C294" s="468" t="s">
        <v>418</v>
      </c>
    </row>
    <row r="295" spans="1:3" x14ac:dyDescent="0.25">
      <c r="A295" s="468" t="s">
        <v>980</v>
      </c>
      <c r="B295" s="468" t="s">
        <v>981</v>
      </c>
      <c r="C295" s="468" t="s">
        <v>420</v>
      </c>
    </row>
    <row r="296" spans="1:3" x14ac:dyDescent="0.25">
      <c r="A296" s="468" t="s">
        <v>982</v>
      </c>
      <c r="B296" s="468" t="s">
        <v>983</v>
      </c>
      <c r="C296" s="468" t="s">
        <v>415</v>
      </c>
    </row>
    <row r="297" spans="1:3" x14ac:dyDescent="0.25">
      <c r="A297" s="468" t="s">
        <v>984</v>
      </c>
      <c r="B297" s="468" t="s">
        <v>985</v>
      </c>
      <c r="C297" s="468" t="s">
        <v>2</v>
      </c>
    </row>
    <row r="298" spans="1:3" x14ac:dyDescent="0.25">
      <c r="A298" s="468" t="s">
        <v>986</v>
      </c>
      <c r="B298" s="468" t="s">
        <v>987</v>
      </c>
      <c r="C298" s="468" t="s">
        <v>2</v>
      </c>
    </row>
    <row r="299" spans="1:3" x14ac:dyDescent="0.25">
      <c r="A299" s="468" t="s">
        <v>988</v>
      </c>
      <c r="B299" s="468" t="s">
        <v>989</v>
      </c>
      <c r="C299" s="468" t="s">
        <v>415</v>
      </c>
    </row>
    <row r="300" spans="1:3" x14ac:dyDescent="0.25">
      <c r="A300" s="468" t="s">
        <v>990</v>
      </c>
      <c r="B300" s="468" t="s">
        <v>991</v>
      </c>
      <c r="C300" s="468" t="s">
        <v>2</v>
      </c>
    </row>
    <row r="301" spans="1:3" x14ac:dyDescent="0.25">
      <c r="A301" s="468" t="s">
        <v>992</v>
      </c>
      <c r="B301" s="468" t="s">
        <v>993</v>
      </c>
      <c r="C301" s="468" t="s">
        <v>419</v>
      </c>
    </row>
    <row r="302" spans="1:3" x14ac:dyDescent="0.25">
      <c r="A302" s="468" t="s">
        <v>994</v>
      </c>
      <c r="B302" s="468" t="s">
        <v>995</v>
      </c>
      <c r="C302" s="468" t="s">
        <v>418</v>
      </c>
    </row>
    <row r="303" spans="1:3" x14ac:dyDescent="0.25">
      <c r="A303" s="468" t="s">
        <v>996</v>
      </c>
      <c r="B303" s="468" t="s">
        <v>997</v>
      </c>
      <c r="C303" s="468" t="s">
        <v>414</v>
      </c>
    </row>
    <row r="304" spans="1:3" x14ac:dyDescent="0.25">
      <c r="A304" s="468" t="s">
        <v>14117</v>
      </c>
      <c r="B304" s="468" t="s">
        <v>14118</v>
      </c>
      <c r="C304" s="468" t="s">
        <v>414</v>
      </c>
    </row>
    <row r="305" spans="1:3" x14ac:dyDescent="0.25">
      <c r="A305" s="468" t="s">
        <v>998</v>
      </c>
      <c r="B305" s="468" t="s">
        <v>999</v>
      </c>
      <c r="C305" s="468" t="s">
        <v>2</v>
      </c>
    </row>
    <row r="306" spans="1:3" x14ac:dyDescent="0.25">
      <c r="A306" s="468" t="s">
        <v>1000</v>
      </c>
      <c r="B306" s="468" t="s">
        <v>1001</v>
      </c>
      <c r="C306" s="468" t="s">
        <v>415</v>
      </c>
    </row>
    <row r="307" spans="1:3" x14ac:dyDescent="0.25">
      <c r="A307" s="468" t="s">
        <v>1002</v>
      </c>
      <c r="B307" s="468" t="s">
        <v>1003</v>
      </c>
      <c r="C307" s="468" t="s">
        <v>416</v>
      </c>
    </row>
    <row r="308" spans="1:3" x14ac:dyDescent="0.25">
      <c r="A308" s="468" t="s">
        <v>1004</v>
      </c>
      <c r="B308" s="468" t="s">
        <v>1005</v>
      </c>
      <c r="C308" s="468" t="s">
        <v>418</v>
      </c>
    </row>
    <row r="309" spans="1:3" x14ac:dyDescent="0.25">
      <c r="A309" s="468" t="s">
        <v>1006</v>
      </c>
      <c r="B309" s="468" t="s">
        <v>1007</v>
      </c>
      <c r="C309" s="468" t="s">
        <v>419</v>
      </c>
    </row>
    <row r="310" spans="1:3" x14ac:dyDescent="0.25">
      <c r="A310" s="468" t="s">
        <v>1008</v>
      </c>
      <c r="B310" s="468" t="s">
        <v>1009</v>
      </c>
      <c r="C310" s="468" t="s">
        <v>2</v>
      </c>
    </row>
    <row r="311" spans="1:3" x14ac:dyDescent="0.25">
      <c r="A311" s="468" t="s">
        <v>1010</v>
      </c>
      <c r="B311" s="468" t="s">
        <v>1011</v>
      </c>
      <c r="C311" s="468" t="s">
        <v>2</v>
      </c>
    </row>
    <row r="312" spans="1:3" x14ac:dyDescent="0.25">
      <c r="A312" s="468" t="s">
        <v>1012</v>
      </c>
      <c r="B312" s="468" t="s">
        <v>1013</v>
      </c>
      <c r="C312" s="468" t="s">
        <v>418</v>
      </c>
    </row>
    <row r="313" spans="1:3" x14ac:dyDescent="0.25">
      <c r="A313" s="468" t="s">
        <v>1014</v>
      </c>
      <c r="B313" s="468" t="s">
        <v>1015</v>
      </c>
      <c r="C313" s="468" t="s">
        <v>2</v>
      </c>
    </row>
    <row r="314" spans="1:3" x14ac:dyDescent="0.25">
      <c r="A314" s="468" t="s">
        <v>1016</v>
      </c>
      <c r="B314" s="468" t="s">
        <v>1017</v>
      </c>
      <c r="C314" s="468" t="s">
        <v>2</v>
      </c>
    </row>
    <row r="315" spans="1:3" x14ac:dyDescent="0.25">
      <c r="A315" s="468" t="s">
        <v>1018</v>
      </c>
      <c r="B315" s="468" t="s">
        <v>1019</v>
      </c>
      <c r="C315" s="468" t="s">
        <v>420</v>
      </c>
    </row>
    <row r="316" spans="1:3" x14ac:dyDescent="0.25">
      <c r="A316" s="468" t="s">
        <v>1020</v>
      </c>
      <c r="B316" s="468" t="s">
        <v>1021</v>
      </c>
      <c r="C316" s="468" t="s">
        <v>420</v>
      </c>
    </row>
    <row r="317" spans="1:3" x14ac:dyDescent="0.25">
      <c r="A317" s="468" t="s">
        <v>1022</v>
      </c>
      <c r="B317" s="468" t="s">
        <v>1023</v>
      </c>
      <c r="C317" s="468" t="s">
        <v>2</v>
      </c>
    </row>
    <row r="318" spans="1:3" x14ac:dyDescent="0.25">
      <c r="A318" s="468" t="s">
        <v>1024</v>
      </c>
      <c r="B318" s="468" t="s">
        <v>1025</v>
      </c>
      <c r="C318" s="468" t="s">
        <v>420</v>
      </c>
    </row>
    <row r="319" spans="1:3" x14ac:dyDescent="0.25">
      <c r="A319" s="468" t="s">
        <v>1026</v>
      </c>
      <c r="B319" s="468" t="s">
        <v>1027</v>
      </c>
      <c r="C319" s="468" t="s">
        <v>418</v>
      </c>
    </row>
    <row r="320" spans="1:3" x14ac:dyDescent="0.25">
      <c r="A320" s="468" t="s">
        <v>1028</v>
      </c>
      <c r="B320" s="468" t="s">
        <v>1029</v>
      </c>
      <c r="C320" s="468" t="s">
        <v>420</v>
      </c>
    </row>
    <row r="321" spans="1:3" x14ac:dyDescent="0.25">
      <c r="A321" s="468" t="s">
        <v>1030</v>
      </c>
      <c r="B321" s="468" t="s">
        <v>1031</v>
      </c>
      <c r="C321" s="468" t="s">
        <v>1048</v>
      </c>
    </row>
  </sheetData>
  <pageMargins left="0.7" right="0.7" top="0.75" bottom="0.75" header="0.3" footer="0.3"/>
  <pageSetup paperSize="9" orientation="portrait" r:id="rId1"/>
  <headerFooter>
    <oddFooter>&amp;C&amp;1#&amp;"Calibri"&amp;12&amp;K0078D7OFFICIAL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BF1ED-23D9-48FB-90C2-1B6C15408124}">
  <sheetPr codeName="Sheet9">
    <tabColor rgb="FFFFC000"/>
  </sheetPr>
  <dimension ref="A1:MK324"/>
  <sheetViews>
    <sheetView topLeftCell="A13" zoomScale="80" zoomScaleNormal="80" workbookViewId="0">
      <selection activeCell="L35" sqref="L35"/>
    </sheetView>
  </sheetViews>
  <sheetFormatPr defaultColWidth="8.7265625" defaultRowHeight="12.5" x14ac:dyDescent="0.25"/>
  <cols>
    <col min="1" max="16384" width="8.7265625" style="467"/>
  </cols>
  <sheetData>
    <row r="1" spans="1:349" x14ac:dyDescent="0.25">
      <c r="A1" s="467" t="s">
        <v>1142</v>
      </c>
      <c r="B1" s="467" t="s">
        <v>6</v>
      </c>
      <c r="C1" s="467" t="s">
        <v>414</v>
      </c>
      <c r="D1" s="467" t="s">
        <v>415</v>
      </c>
      <c r="E1" s="467" t="s">
        <v>416</v>
      </c>
      <c r="F1" s="467" t="s">
        <v>417</v>
      </c>
      <c r="G1" s="467" t="s">
        <v>418</v>
      </c>
      <c r="H1" s="467" t="s">
        <v>2</v>
      </c>
      <c r="I1" s="467" t="s">
        <v>419</v>
      </c>
      <c r="J1" s="467" t="s">
        <v>420</v>
      </c>
      <c r="K1" s="467" t="s">
        <v>421</v>
      </c>
    </row>
    <row r="2" spans="1:349" x14ac:dyDescent="0.25">
      <c r="A2" s="467" t="s">
        <v>79</v>
      </c>
      <c r="B2" s="467" t="s">
        <v>414</v>
      </c>
      <c r="C2" s="467" t="s">
        <v>1193</v>
      </c>
      <c r="D2" s="467" t="s">
        <v>1143</v>
      </c>
      <c r="E2" s="467" t="s">
        <v>1145</v>
      </c>
      <c r="F2" s="467" t="s">
        <v>1146</v>
      </c>
      <c r="G2" s="467" t="s">
        <v>1147</v>
      </c>
      <c r="H2" s="467" t="s">
        <v>1093</v>
      </c>
      <c r="I2" s="467" t="s">
        <v>1148</v>
      </c>
      <c r="J2" s="467" t="s">
        <v>1096</v>
      </c>
      <c r="K2" s="467" t="s">
        <v>11361</v>
      </c>
      <c r="L2" s="467" t="s">
        <v>1149</v>
      </c>
      <c r="M2" s="467" t="s">
        <v>1150</v>
      </c>
      <c r="N2" s="467" t="s">
        <v>1151</v>
      </c>
      <c r="O2" s="467" t="s">
        <v>1152</v>
      </c>
      <c r="P2" s="467" t="s">
        <v>1153</v>
      </c>
      <c r="Q2" s="467" t="s">
        <v>11362</v>
      </c>
      <c r="R2" s="467" t="s">
        <v>11363</v>
      </c>
      <c r="S2" s="467" t="s">
        <v>1154</v>
      </c>
      <c r="T2" s="467" t="s">
        <v>1155</v>
      </c>
      <c r="U2" s="467" t="s">
        <v>1158</v>
      </c>
      <c r="V2" s="467" t="s">
        <v>1159</v>
      </c>
      <c r="W2" s="467" t="s">
        <v>1160</v>
      </c>
      <c r="X2" s="467" t="s">
        <v>1161</v>
      </c>
      <c r="Y2" s="467" t="s">
        <v>1162</v>
      </c>
      <c r="Z2" s="467" t="s">
        <v>1163</v>
      </c>
      <c r="AA2" s="467" t="s">
        <v>1164</v>
      </c>
      <c r="AB2" s="467" t="s">
        <v>1100</v>
      </c>
      <c r="AC2" s="467" t="s">
        <v>1166</v>
      </c>
      <c r="AD2" s="467" t="s">
        <v>1167</v>
      </c>
      <c r="AE2" s="467" t="s">
        <v>1168</v>
      </c>
      <c r="AF2" s="467" t="s">
        <v>1169</v>
      </c>
      <c r="AG2" s="467" t="s">
        <v>11364</v>
      </c>
      <c r="AH2" s="467" t="s">
        <v>1170</v>
      </c>
      <c r="AI2" s="467" t="s">
        <v>1171</v>
      </c>
      <c r="AJ2" s="467" t="s">
        <v>1172</v>
      </c>
      <c r="AK2" s="467" t="s">
        <v>1173</v>
      </c>
      <c r="AL2" s="467" t="s">
        <v>1102</v>
      </c>
      <c r="AM2" s="467" t="s">
        <v>1174</v>
      </c>
      <c r="AN2" s="467" t="s">
        <v>1175</v>
      </c>
      <c r="AO2" s="467" t="s">
        <v>14190</v>
      </c>
      <c r="AP2" s="467" t="s">
        <v>1176</v>
      </c>
      <c r="AQ2" s="467" t="s">
        <v>1177</v>
      </c>
      <c r="AR2" s="467" t="s">
        <v>1178</v>
      </c>
      <c r="AS2" s="467" t="s">
        <v>1179</v>
      </c>
      <c r="AT2" s="467" t="s">
        <v>1180</v>
      </c>
      <c r="AU2" s="467" t="s">
        <v>1181</v>
      </c>
      <c r="AV2" s="467" t="s">
        <v>14208</v>
      </c>
      <c r="AW2" s="467" t="s">
        <v>11365</v>
      </c>
      <c r="AX2" s="467" t="s">
        <v>1182</v>
      </c>
      <c r="AY2" s="467" t="s">
        <v>1183</v>
      </c>
      <c r="AZ2" s="467" t="s">
        <v>1184</v>
      </c>
      <c r="BA2" s="467" t="s">
        <v>14213</v>
      </c>
      <c r="BB2" s="467" t="s">
        <v>1185</v>
      </c>
      <c r="BC2" s="467" t="s">
        <v>1186</v>
      </c>
      <c r="BD2" s="467" t="s">
        <v>1187</v>
      </c>
      <c r="BE2" s="467" t="s">
        <v>1105</v>
      </c>
      <c r="BF2" s="467" t="s">
        <v>1188</v>
      </c>
      <c r="BG2" s="467" t="s">
        <v>1107</v>
      </c>
      <c r="BH2" s="467" t="s">
        <v>1109</v>
      </c>
      <c r="BI2" s="467" t="s">
        <v>1189</v>
      </c>
      <c r="BJ2" s="467" t="s">
        <v>1190</v>
      </c>
      <c r="BK2" s="467" t="s">
        <v>1191</v>
      </c>
      <c r="BL2" s="467" t="s">
        <v>1192</v>
      </c>
      <c r="BM2" s="467" t="s">
        <v>1194</v>
      </c>
      <c r="BN2" s="467" t="s">
        <v>1195</v>
      </c>
      <c r="BO2" s="467" t="s">
        <v>1196</v>
      </c>
      <c r="BP2" s="467" t="s">
        <v>14243</v>
      </c>
      <c r="BQ2" s="467" t="s">
        <v>1310</v>
      </c>
      <c r="BR2" s="467" t="s">
        <v>11366</v>
      </c>
      <c r="BS2" s="467" t="s">
        <v>1197</v>
      </c>
      <c r="BT2" s="467" t="s">
        <v>1198</v>
      </c>
      <c r="BU2" s="467" t="s">
        <v>1199</v>
      </c>
      <c r="BV2" s="467" t="s">
        <v>1200</v>
      </c>
      <c r="BW2" s="467" t="s">
        <v>1201</v>
      </c>
      <c r="BX2" s="467" t="s">
        <v>1111</v>
      </c>
      <c r="BY2" s="467" t="s">
        <v>1202</v>
      </c>
      <c r="BZ2" s="467" t="s">
        <v>1203</v>
      </c>
      <c r="CA2" s="467" t="s">
        <v>1204</v>
      </c>
      <c r="CB2" s="467" t="s">
        <v>1205</v>
      </c>
      <c r="CC2" s="467" t="s">
        <v>1206</v>
      </c>
      <c r="CD2" s="467" t="s">
        <v>1112</v>
      </c>
      <c r="CE2" s="467" t="s">
        <v>1207</v>
      </c>
      <c r="CF2" s="467" t="s">
        <v>1208</v>
      </c>
      <c r="CG2" s="467" t="s">
        <v>1209</v>
      </c>
      <c r="CH2" s="467" t="s">
        <v>1210</v>
      </c>
      <c r="CI2" s="467" t="s">
        <v>1211</v>
      </c>
      <c r="CJ2" s="467" t="s">
        <v>1212</v>
      </c>
      <c r="CK2" s="467" t="s">
        <v>1213</v>
      </c>
      <c r="CL2" s="467" t="s">
        <v>1214</v>
      </c>
      <c r="CM2" s="467" t="s">
        <v>1215</v>
      </c>
      <c r="CN2" s="467" t="s">
        <v>1216</v>
      </c>
      <c r="CO2" s="467" t="s">
        <v>1744</v>
      </c>
      <c r="CP2" s="467" t="s">
        <v>1217</v>
      </c>
      <c r="CQ2" s="467" t="s">
        <v>1218</v>
      </c>
      <c r="CR2" s="467" t="s">
        <v>11367</v>
      </c>
      <c r="CS2" s="467" t="s">
        <v>1219</v>
      </c>
      <c r="CT2" s="467" t="s">
        <v>1220</v>
      </c>
      <c r="CU2" s="467" t="s">
        <v>1221</v>
      </c>
      <c r="CV2" s="467" t="s">
        <v>1222</v>
      </c>
      <c r="CW2" s="467" t="s">
        <v>1223</v>
      </c>
      <c r="CX2" s="467" t="s">
        <v>1224</v>
      </c>
      <c r="CY2" s="467" t="s">
        <v>1122</v>
      </c>
      <c r="CZ2" s="467" t="s">
        <v>1225</v>
      </c>
      <c r="DA2" s="467" t="s">
        <v>1226</v>
      </c>
      <c r="DB2" s="467" t="s">
        <v>1227</v>
      </c>
      <c r="DC2" s="467" t="s">
        <v>1228</v>
      </c>
      <c r="DD2" s="467" t="s">
        <v>1124</v>
      </c>
      <c r="DE2" s="467" t="s">
        <v>1230</v>
      </c>
      <c r="DF2" s="467" t="s">
        <v>1231</v>
      </c>
      <c r="DG2" s="467" t="s">
        <v>1232</v>
      </c>
      <c r="DH2" s="467" t="s">
        <v>1233</v>
      </c>
      <c r="DI2" s="467" t="s">
        <v>11368</v>
      </c>
      <c r="DJ2" s="467" t="s">
        <v>1234</v>
      </c>
      <c r="DK2" s="467" t="s">
        <v>1235</v>
      </c>
      <c r="DL2" s="467" t="s">
        <v>1126</v>
      </c>
      <c r="DM2" s="467" t="s">
        <v>1236</v>
      </c>
      <c r="DN2" s="467" t="s">
        <v>1237</v>
      </c>
      <c r="DO2" s="467" t="s">
        <v>1238</v>
      </c>
      <c r="DP2" s="467" t="s">
        <v>1132</v>
      </c>
      <c r="DQ2" s="467" t="s">
        <v>1239</v>
      </c>
      <c r="DR2" s="467" t="s">
        <v>1240</v>
      </c>
      <c r="DS2" s="467" t="s">
        <v>1241</v>
      </c>
      <c r="DT2" s="467" t="s">
        <v>1134</v>
      </c>
      <c r="DU2" s="467" t="s">
        <v>1242</v>
      </c>
      <c r="DV2" s="467" t="s">
        <v>14420</v>
      </c>
      <c r="DW2" s="467" t="s">
        <v>1243</v>
      </c>
      <c r="DX2" s="467" t="s">
        <v>1245</v>
      </c>
      <c r="DY2" s="467" t="s">
        <v>1246</v>
      </c>
      <c r="DZ2" s="467" t="s">
        <v>1247</v>
      </c>
      <c r="EA2" s="467" t="s">
        <v>1248</v>
      </c>
      <c r="EB2" s="467" t="s">
        <v>1249</v>
      </c>
      <c r="EC2" s="467" t="s">
        <v>1250</v>
      </c>
      <c r="ED2" s="467" t="s">
        <v>1251</v>
      </c>
      <c r="EE2" s="467" t="s">
        <v>14364</v>
      </c>
      <c r="EF2" s="467" t="s">
        <v>11369</v>
      </c>
      <c r="EG2" s="467" t="s">
        <v>1252</v>
      </c>
      <c r="EH2" s="467" t="s">
        <v>1253</v>
      </c>
      <c r="EI2" s="467" t="s">
        <v>1254</v>
      </c>
      <c r="EJ2" s="467" t="s">
        <v>1255</v>
      </c>
      <c r="EK2" s="467" t="s">
        <v>1256</v>
      </c>
      <c r="EL2" s="467" t="s">
        <v>1257</v>
      </c>
      <c r="EM2" s="467" t="s">
        <v>1258</v>
      </c>
      <c r="EN2" s="467" t="s">
        <v>1259</v>
      </c>
      <c r="EO2" s="467" t="s">
        <v>1260</v>
      </c>
      <c r="EP2" s="467" t="s">
        <v>1261</v>
      </c>
      <c r="EQ2" s="467" t="s">
        <v>1262</v>
      </c>
      <c r="ER2" s="467" t="s">
        <v>1263</v>
      </c>
      <c r="ES2" s="467" t="s">
        <v>1264</v>
      </c>
      <c r="ET2" s="467" t="s">
        <v>1265</v>
      </c>
      <c r="EU2" s="467" t="s">
        <v>14389</v>
      </c>
      <c r="EV2" s="467" t="s">
        <v>1266</v>
      </c>
      <c r="EW2" s="467" t="s">
        <v>1156</v>
      </c>
    </row>
    <row r="3" spans="1:349" x14ac:dyDescent="0.25">
      <c r="A3" s="467" t="s">
        <v>79</v>
      </c>
      <c r="B3" s="467" t="s">
        <v>415</v>
      </c>
      <c r="C3" s="467" t="s">
        <v>1193</v>
      </c>
      <c r="D3" s="467" t="s">
        <v>1609</v>
      </c>
      <c r="E3" s="467" t="s">
        <v>1267</v>
      </c>
      <c r="F3" s="467" t="s">
        <v>1091</v>
      </c>
      <c r="G3" s="467" t="s">
        <v>1143</v>
      </c>
      <c r="H3" s="467" t="s">
        <v>1093</v>
      </c>
      <c r="I3" s="467" t="s">
        <v>1268</v>
      </c>
      <c r="J3" s="467" t="s">
        <v>1096</v>
      </c>
      <c r="K3" s="467" t="s">
        <v>1269</v>
      </c>
      <c r="L3" s="467" t="s">
        <v>1270</v>
      </c>
      <c r="M3" s="467" t="s">
        <v>1151</v>
      </c>
      <c r="N3" s="467" t="s">
        <v>1271</v>
      </c>
      <c r="O3" s="467" t="s">
        <v>11370</v>
      </c>
      <c r="P3" s="467" t="s">
        <v>1272</v>
      </c>
      <c r="Q3" s="467" t="s">
        <v>1273</v>
      </c>
      <c r="R3" s="467" t="s">
        <v>1274</v>
      </c>
      <c r="S3" s="467" t="s">
        <v>1275</v>
      </c>
      <c r="T3" s="467" t="s">
        <v>11363</v>
      </c>
      <c r="U3" s="467" t="s">
        <v>1276</v>
      </c>
      <c r="V3" s="467" t="s">
        <v>1277</v>
      </c>
      <c r="W3" s="467" t="s">
        <v>1278</v>
      </c>
      <c r="X3" s="467" t="s">
        <v>1279</v>
      </c>
      <c r="Y3" s="467" t="s">
        <v>14148</v>
      </c>
      <c r="Z3" s="467" t="s">
        <v>1280</v>
      </c>
      <c r="AA3" s="467" t="s">
        <v>1281</v>
      </c>
      <c r="AB3" s="467" t="s">
        <v>1282</v>
      </c>
      <c r="AC3" s="467" t="s">
        <v>1291</v>
      </c>
      <c r="AD3" s="467" t="s">
        <v>1161</v>
      </c>
      <c r="AE3" s="467" t="s">
        <v>1283</v>
      </c>
      <c r="AF3" s="467" t="s">
        <v>1284</v>
      </c>
      <c r="AG3" s="467" t="s">
        <v>1285</v>
      </c>
      <c r="AH3" s="467" t="s">
        <v>1286</v>
      </c>
      <c r="AI3" s="467" t="s">
        <v>1164</v>
      </c>
      <c r="AJ3" s="467" t="s">
        <v>1100</v>
      </c>
      <c r="AK3" s="467" t="s">
        <v>1287</v>
      </c>
      <c r="AL3" s="467" t="s">
        <v>1288</v>
      </c>
      <c r="AM3" s="467" t="s">
        <v>1289</v>
      </c>
      <c r="AN3" s="467" t="s">
        <v>1290</v>
      </c>
      <c r="AO3" s="467" t="s">
        <v>1168</v>
      </c>
      <c r="AP3" s="467" t="s">
        <v>1172</v>
      </c>
      <c r="AQ3" s="467" t="s">
        <v>1292</v>
      </c>
      <c r="AR3" s="467" t="s">
        <v>1173</v>
      </c>
      <c r="AS3" s="467" t="s">
        <v>1293</v>
      </c>
      <c r="AT3" s="467" t="s">
        <v>1102</v>
      </c>
      <c r="AU3" s="467" t="s">
        <v>1174</v>
      </c>
      <c r="AV3" s="467" t="s">
        <v>1175</v>
      </c>
      <c r="AW3" s="467" t="s">
        <v>1294</v>
      </c>
      <c r="AX3" s="467" t="s">
        <v>14190</v>
      </c>
      <c r="AY3" s="467" t="s">
        <v>1295</v>
      </c>
      <c r="AZ3" s="467" t="s">
        <v>1177</v>
      </c>
      <c r="BA3" s="467" t="s">
        <v>1296</v>
      </c>
      <c r="BB3" s="467" t="s">
        <v>1297</v>
      </c>
      <c r="BC3" s="467" t="s">
        <v>1179</v>
      </c>
      <c r="BD3" s="467" t="s">
        <v>1180</v>
      </c>
      <c r="BE3" s="467" t="s">
        <v>1298</v>
      </c>
      <c r="BF3" s="467" t="s">
        <v>1299</v>
      </c>
      <c r="BG3" s="467" t="s">
        <v>14208</v>
      </c>
      <c r="BH3" s="467" t="s">
        <v>14210</v>
      </c>
      <c r="BI3" s="467" t="s">
        <v>1182</v>
      </c>
      <c r="BJ3" s="467" t="s">
        <v>1300</v>
      </c>
      <c r="BK3" s="467" t="s">
        <v>1185</v>
      </c>
      <c r="BL3" s="467" t="s">
        <v>1301</v>
      </c>
      <c r="BM3" s="467" t="s">
        <v>1187</v>
      </c>
      <c r="BN3" s="467" t="s">
        <v>11371</v>
      </c>
      <c r="BO3" s="467" t="s">
        <v>11372</v>
      </c>
      <c r="BP3" s="467" t="s">
        <v>1105</v>
      </c>
      <c r="BQ3" s="467" t="s">
        <v>1302</v>
      </c>
      <c r="BR3" s="467" t="s">
        <v>1188</v>
      </c>
      <c r="BS3" s="467" t="s">
        <v>1107</v>
      </c>
      <c r="BT3" s="467" t="s">
        <v>1303</v>
      </c>
      <c r="BU3" s="467" t="s">
        <v>1304</v>
      </c>
      <c r="BV3" s="467" t="s">
        <v>1109</v>
      </c>
      <c r="BW3" s="467" t="s">
        <v>1305</v>
      </c>
      <c r="BX3" s="467" t="s">
        <v>1306</v>
      </c>
      <c r="BY3" s="467" t="s">
        <v>1189</v>
      </c>
      <c r="BZ3" s="467" t="s">
        <v>11373</v>
      </c>
      <c r="CA3" s="467" t="s">
        <v>1190</v>
      </c>
      <c r="CB3" s="467" t="s">
        <v>1307</v>
      </c>
      <c r="CC3" s="467" t="s">
        <v>1308</v>
      </c>
      <c r="CD3" s="467" t="s">
        <v>1309</v>
      </c>
      <c r="CE3" s="467" t="s">
        <v>1195</v>
      </c>
      <c r="CF3" s="467" t="s">
        <v>14243</v>
      </c>
      <c r="CG3" s="467" t="s">
        <v>1310</v>
      </c>
      <c r="CH3" s="467" t="s">
        <v>1197</v>
      </c>
      <c r="CI3" s="467" t="s">
        <v>1200</v>
      </c>
      <c r="CJ3" s="467" t="s">
        <v>1311</v>
      </c>
      <c r="CK3" s="467" t="s">
        <v>1202</v>
      </c>
      <c r="CL3" s="467" t="s">
        <v>1203</v>
      </c>
      <c r="CM3" s="467" t="s">
        <v>1860</v>
      </c>
      <c r="CN3" s="467" t="s">
        <v>11374</v>
      </c>
      <c r="CO3" s="467" t="s">
        <v>1312</v>
      </c>
      <c r="CP3" s="467" t="s">
        <v>1205</v>
      </c>
      <c r="CQ3" s="467" t="s">
        <v>1313</v>
      </c>
      <c r="CR3" s="467" t="s">
        <v>1112</v>
      </c>
      <c r="CS3" s="467" t="s">
        <v>1114</v>
      </c>
      <c r="CT3" s="467" t="s">
        <v>1314</v>
      </c>
      <c r="CU3" s="467" t="s">
        <v>1208</v>
      </c>
      <c r="CV3" s="467" t="s">
        <v>1209</v>
      </c>
      <c r="CW3" s="467" t="s">
        <v>1210</v>
      </c>
      <c r="CX3" s="467" t="s">
        <v>14400</v>
      </c>
      <c r="CY3" s="467" t="s">
        <v>1315</v>
      </c>
      <c r="CZ3" s="467" t="s">
        <v>1317</v>
      </c>
      <c r="DA3" s="467" t="s">
        <v>1318</v>
      </c>
      <c r="DB3" s="467" t="s">
        <v>1319</v>
      </c>
      <c r="DC3" s="467" t="s">
        <v>1120</v>
      </c>
      <c r="DD3" s="467" t="s">
        <v>1320</v>
      </c>
      <c r="DE3" s="467" t="s">
        <v>1321</v>
      </c>
      <c r="DF3" s="467" t="s">
        <v>1322</v>
      </c>
      <c r="DG3" s="467" t="s">
        <v>1323</v>
      </c>
      <c r="DH3" s="467" t="s">
        <v>1217</v>
      </c>
      <c r="DI3" s="467" t="s">
        <v>1218</v>
      </c>
      <c r="DJ3" s="467" t="s">
        <v>11367</v>
      </c>
      <c r="DK3" s="467" t="s">
        <v>1324</v>
      </c>
      <c r="DL3" s="467" t="s">
        <v>1325</v>
      </c>
      <c r="DM3" s="467" t="s">
        <v>1326</v>
      </c>
      <c r="DN3" s="467" t="s">
        <v>1327</v>
      </c>
      <c r="DO3" s="467" t="s">
        <v>1328</v>
      </c>
      <c r="DP3" s="467" t="s">
        <v>1220</v>
      </c>
      <c r="DQ3" s="467" t="s">
        <v>1221</v>
      </c>
      <c r="DR3" s="467" t="s">
        <v>1329</v>
      </c>
      <c r="DS3" s="467" t="s">
        <v>1332</v>
      </c>
      <c r="DT3" s="467" t="s">
        <v>1333</v>
      </c>
      <c r="DU3" s="467" t="s">
        <v>1334</v>
      </c>
      <c r="DV3" s="467" t="s">
        <v>1122</v>
      </c>
      <c r="DW3" s="467" t="s">
        <v>1225</v>
      </c>
      <c r="DX3" s="467" t="s">
        <v>1226</v>
      </c>
      <c r="DY3" s="467" t="s">
        <v>1228</v>
      </c>
      <c r="DZ3" s="467" t="s">
        <v>1335</v>
      </c>
      <c r="EA3" s="467" t="s">
        <v>1124</v>
      </c>
      <c r="EB3" s="467" t="s">
        <v>1336</v>
      </c>
      <c r="EC3" s="467" t="s">
        <v>1337</v>
      </c>
      <c r="ED3" s="467" t="s">
        <v>1338</v>
      </c>
      <c r="EE3" s="467" t="s">
        <v>1888</v>
      </c>
      <c r="EF3" s="467" t="s">
        <v>1339</v>
      </c>
      <c r="EG3" s="467" t="s">
        <v>1233</v>
      </c>
      <c r="EH3" s="467" t="s">
        <v>11368</v>
      </c>
      <c r="EI3" s="467" t="s">
        <v>1234</v>
      </c>
      <c r="EJ3" s="467" t="s">
        <v>1235</v>
      </c>
      <c r="EK3" s="467" t="s">
        <v>1126</v>
      </c>
      <c r="EL3" s="467" t="s">
        <v>1340</v>
      </c>
      <c r="EM3" s="467" t="s">
        <v>1341</v>
      </c>
      <c r="EN3" s="467" t="s">
        <v>1342</v>
      </c>
      <c r="EO3" s="467" t="s">
        <v>11375</v>
      </c>
      <c r="EP3" s="467" t="s">
        <v>1343</v>
      </c>
      <c r="EQ3" s="467" t="s">
        <v>1130</v>
      </c>
      <c r="ER3" s="467" t="s">
        <v>1132</v>
      </c>
      <c r="ES3" s="467" t="s">
        <v>1344</v>
      </c>
      <c r="ET3" s="467" t="s">
        <v>1345</v>
      </c>
      <c r="EU3" s="467" t="s">
        <v>1240</v>
      </c>
      <c r="EV3" s="467" t="s">
        <v>1241</v>
      </c>
      <c r="EW3" s="467" t="s">
        <v>1134</v>
      </c>
      <c r="EX3" s="467" t="s">
        <v>1346</v>
      </c>
      <c r="EY3" s="467" t="s">
        <v>1558</v>
      </c>
      <c r="EZ3" s="467" t="s">
        <v>1347</v>
      </c>
      <c r="FA3" s="467" t="s">
        <v>1348</v>
      </c>
      <c r="FB3" s="467" t="s">
        <v>1349</v>
      </c>
      <c r="FC3" s="467" t="s">
        <v>1351</v>
      </c>
      <c r="FD3" s="467" t="s">
        <v>1350</v>
      </c>
      <c r="FE3" s="467" t="s">
        <v>1352</v>
      </c>
      <c r="FF3" s="467" t="s">
        <v>1245</v>
      </c>
      <c r="FG3" s="467" t="s">
        <v>1353</v>
      </c>
      <c r="FH3" s="467" t="s">
        <v>1354</v>
      </c>
      <c r="FI3" s="467" t="s">
        <v>1355</v>
      </c>
      <c r="FJ3" s="467" t="s">
        <v>1356</v>
      </c>
      <c r="FK3" s="467" t="s">
        <v>1357</v>
      </c>
      <c r="FL3" s="467" t="s">
        <v>1248</v>
      </c>
      <c r="FM3" s="467" t="s">
        <v>1358</v>
      </c>
      <c r="FN3" s="467" t="s">
        <v>1359</v>
      </c>
      <c r="FO3" s="467" t="s">
        <v>1249</v>
      </c>
      <c r="FP3" s="467" t="s">
        <v>1360</v>
      </c>
      <c r="FQ3" s="467" t="s">
        <v>1361</v>
      </c>
      <c r="FR3" s="467" t="s">
        <v>1362</v>
      </c>
      <c r="FS3" s="467" t="s">
        <v>1363</v>
      </c>
      <c r="FT3" s="467" t="s">
        <v>11376</v>
      </c>
      <c r="FU3" s="467" t="s">
        <v>11377</v>
      </c>
      <c r="FV3" s="467" t="s">
        <v>11378</v>
      </c>
      <c r="FW3" s="467" t="s">
        <v>11473</v>
      </c>
      <c r="FX3" s="467" t="s">
        <v>1364</v>
      </c>
      <c r="FY3" s="467" t="s">
        <v>1252</v>
      </c>
      <c r="FZ3" s="467" t="s">
        <v>1253</v>
      </c>
      <c r="GA3" s="467" t="s">
        <v>1365</v>
      </c>
      <c r="GB3" s="467" t="s">
        <v>1366</v>
      </c>
      <c r="GC3" s="467" t="s">
        <v>1367</v>
      </c>
      <c r="GD3" s="467" t="s">
        <v>11379</v>
      </c>
      <c r="GE3" s="467" t="s">
        <v>1368</v>
      </c>
      <c r="GF3" s="467" t="s">
        <v>1369</v>
      </c>
      <c r="GG3" s="467" t="s">
        <v>1370</v>
      </c>
      <c r="GH3" s="467" t="s">
        <v>1260</v>
      </c>
      <c r="GI3" s="467" t="s">
        <v>1371</v>
      </c>
      <c r="GJ3" s="467" t="s">
        <v>1372</v>
      </c>
      <c r="GK3" s="467" t="s">
        <v>1373</v>
      </c>
      <c r="GL3" s="467" t="s">
        <v>1374</v>
      </c>
      <c r="GM3" s="467" t="s">
        <v>1375</v>
      </c>
      <c r="GN3" s="467" t="s">
        <v>1376</v>
      </c>
      <c r="GO3" s="467" t="s">
        <v>1377</v>
      </c>
      <c r="GP3" s="467" t="s">
        <v>1262</v>
      </c>
      <c r="GQ3" s="467" t="s">
        <v>1378</v>
      </c>
      <c r="GR3" s="467" t="s">
        <v>1264</v>
      </c>
      <c r="GS3" s="467" t="s">
        <v>1379</v>
      </c>
      <c r="GT3" s="467" t="s">
        <v>1380</v>
      </c>
      <c r="GU3" s="467" t="s">
        <v>1381</v>
      </c>
      <c r="GV3" s="467" t="s">
        <v>1382</v>
      </c>
      <c r="GW3" s="467" t="s">
        <v>1383</v>
      </c>
      <c r="GX3" s="467" t="s">
        <v>1384</v>
      </c>
      <c r="GY3" s="467" t="s">
        <v>1156</v>
      </c>
    </row>
    <row r="4" spans="1:349" x14ac:dyDescent="0.25">
      <c r="A4" s="467" t="s">
        <v>79</v>
      </c>
      <c r="B4" s="467" t="s">
        <v>416</v>
      </c>
      <c r="C4" s="467" t="s">
        <v>1385</v>
      </c>
      <c r="D4" s="467" t="s">
        <v>1386</v>
      </c>
      <c r="E4" s="467" t="s">
        <v>14139</v>
      </c>
      <c r="F4" s="467" t="s">
        <v>1387</v>
      </c>
      <c r="G4" s="467" t="s">
        <v>1388</v>
      </c>
      <c r="H4" s="467" t="s">
        <v>1091</v>
      </c>
      <c r="I4" s="467" t="s">
        <v>1143</v>
      </c>
      <c r="J4" s="467" t="s">
        <v>1389</v>
      </c>
      <c r="K4" s="467" t="s">
        <v>1390</v>
      </c>
      <c r="L4" s="467" t="s">
        <v>1093</v>
      </c>
      <c r="M4" s="467" t="s">
        <v>1391</v>
      </c>
      <c r="N4" s="467" t="s">
        <v>1392</v>
      </c>
      <c r="O4" s="467" t="s">
        <v>11380</v>
      </c>
      <c r="P4" s="467" t="s">
        <v>1096</v>
      </c>
      <c r="Q4" s="467" t="s">
        <v>11448</v>
      </c>
      <c r="R4" s="467" t="s">
        <v>1393</v>
      </c>
      <c r="S4" s="467" t="s">
        <v>1270</v>
      </c>
      <c r="T4" s="467" t="s">
        <v>11381</v>
      </c>
      <c r="U4" s="467" t="s">
        <v>1151</v>
      </c>
      <c r="V4" s="467" t="s">
        <v>1394</v>
      </c>
      <c r="W4" s="467" t="s">
        <v>1395</v>
      </c>
      <c r="X4" s="467" t="s">
        <v>1396</v>
      </c>
      <c r="Y4" s="467" t="s">
        <v>1397</v>
      </c>
      <c r="Z4" s="467" t="s">
        <v>11382</v>
      </c>
      <c r="AA4" s="467" t="s">
        <v>1398</v>
      </c>
      <c r="AB4" s="467" t="s">
        <v>1399</v>
      </c>
      <c r="AC4" s="467" t="s">
        <v>1400</v>
      </c>
      <c r="AD4" s="467" t="s">
        <v>1401</v>
      </c>
      <c r="AE4" s="467" t="s">
        <v>11363</v>
      </c>
      <c r="AF4" s="467" t="s">
        <v>11383</v>
      </c>
      <c r="AG4" s="467" t="s">
        <v>1402</v>
      </c>
      <c r="AH4" s="467" t="s">
        <v>1277</v>
      </c>
      <c r="AI4" s="467" t="s">
        <v>1403</v>
      </c>
      <c r="AJ4" s="467" t="s">
        <v>14142</v>
      </c>
      <c r="AK4" s="467" t="s">
        <v>1404</v>
      </c>
      <c r="AL4" s="467" t="s">
        <v>1405</v>
      </c>
      <c r="AM4" s="467" t="s">
        <v>1281</v>
      </c>
      <c r="AN4" s="467" t="s">
        <v>1406</v>
      </c>
      <c r="AO4" s="467" t="s">
        <v>1407</v>
      </c>
      <c r="AP4" s="467" t="s">
        <v>14154</v>
      </c>
      <c r="AQ4" s="467" t="s">
        <v>14158</v>
      </c>
      <c r="AR4" s="467" t="s">
        <v>14160</v>
      </c>
      <c r="AS4" s="467" t="s">
        <v>1408</v>
      </c>
      <c r="AT4" s="467" t="s">
        <v>1161</v>
      </c>
      <c r="AU4" s="467" t="s">
        <v>1409</v>
      </c>
      <c r="AV4" s="467" t="s">
        <v>1410</v>
      </c>
      <c r="AW4" s="467" t="s">
        <v>1411</v>
      </c>
      <c r="AX4" s="467" t="s">
        <v>1412</v>
      </c>
      <c r="AY4" s="467" t="s">
        <v>1413</v>
      </c>
      <c r="AZ4" s="467" t="s">
        <v>1414</v>
      </c>
      <c r="BA4" s="467" t="s">
        <v>1285</v>
      </c>
      <c r="BB4" s="467" t="s">
        <v>1415</v>
      </c>
      <c r="BC4" s="467" t="s">
        <v>1416</v>
      </c>
      <c r="BD4" s="467" t="s">
        <v>1417</v>
      </c>
      <c r="BE4" s="467" t="s">
        <v>1164</v>
      </c>
      <c r="BF4" s="467" t="s">
        <v>1100</v>
      </c>
      <c r="BG4" s="467" t="s">
        <v>1418</v>
      </c>
      <c r="BH4" s="467" t="s">
        <v>1287</v>
      </c>
      <c r="BI4" s="467" t="s">
        <v>1288</v>
      </c>
      <c r="BJ4" s="467" t="s">
        <v>1692</v>
      </c>
      <c r="BK4" s="467" t="s">
        <v>1419</v>
      </c>
      <c r="BL4" s="467" t="s">
        <v>1420</v>
      </c>
      <c r="BM4" s="467" t="s">
        <v>1421</v>
      </c>
      <c r="BN4" s="467" t="s">
        <v>1422</v>
      </c>
      <c r="BO4" s="467" t="s">
        <v>1423</v>
      </c>
      <c r="BP4" s="467" t="s">
        <v>1424</v>
      </c>
      <c r="BQ4" s="467" t="s">
        <v>1425</v>
      </c>
      <c r="BR4" s="467" t="s">
        <v>14179</v>
      </c>
      <c r="BS4" s="467" t="s">
        <v>1426</v>
      </c>
      <c r="BT4" s="467" t="s">
        <v>11384</v>
      </c>
      <c r="BU4" s="467" t="s">
        <v>1172</v>
      </c>
      <c r="BV4" s="467" t="s">
        <v>11385</v>
      </c>
      <c r="BW4" s="467" t="s">
        <v>1427</v>
      </c>
      <c r="BX4" s="467" t="s">
        <v>1428</v>
      </c>
      <c r="BY4" s="467" t="s">
        <v>1429</v>
      </c>
      <c r="BZ4" s="467" t="s">
        <v>1430</v>
      </c>
      <c r="CA4" s="467" t="s">
        <v>1431</v>
      </c>
      <c r="CB4" s="467" t="s">
        <v>1432</v>
      </c>
      <c r="CC4" s="467" t="s">
        <v>1433</v>
      </c>
      <c r="CD4" s="467" t="s">
        <v>1434</v>
      </c>
      <c r="CE4" s="467" t="s">
        <v>1435</v>
      </c>
      <c r="CF4" s="467" t="s">
        <v>1102</v>
      </c>
      <c r="CG4" s="467" t="s">
        <v>1174</v>
      </c>
      <c r="CH4" s="467" t="s">
        <v>1294</v>
      </c>
      <c r="CI4" s="467" t="s">
        <v>1436</v>
      </c>
      <c r="CJ4" s="467" t="s">
        <v>1437</v>
      </c>
      <c r="CK4" s="467" t="s">
        <v>1438</v>
      </c>
      <c r="CL4" s="467" t="s">
        <v>14194</v>
      </c>
      <c r="CM4" s="467" t="s">
        <v>1177</v>
      </c>
      <c r="CN4" s="467" t="s">
        <v>1439</v>
      </c>
      <c r="CO4" s="467" t="s">
        <v>1440</v>
      </c>
      <c r="CP4" s="467" t="s">
        <v>1298</v>
      </c>
      <c r="CQ4" s="467" t="s">
        <v>1441</v>
      </c>
      <c r="CR4" s="467" t="s">
        <v>1442</v>
      </c>
      <c r="CS4" s="467" t="s">
        <v>14208</v>
      </c>
      <c r="CT4" s="467" t="s">
        <v>1443</v>
      </c>
      <c r="CU4" s="467" t="s">
        <v>1444</v>
      </c>
      <c r="CV4" s="467" t="s">
        <v>1445</v>
      </c>
      <c r="CW4" s="467" t="s">
        <v>1446</v>
      </c>
      <c r="CX4" s="467" t="s">
        <v>1447</v>
      </c>
      <c r="CY4" s="467" t="s">
        <v>1448</v>
      </c>
      <c r="CZ4" s="467" t="s">
        <v>1460</v>
      </c>
      <c r="DA4" s="467" t="s">
        <v>1185</v>
      </c>
      <c r="DB4" s="467" t="s">
        <v>1449</v>
      </c>
      <c r="DC4" s="467" t="s">
        <v>1450</v>
      </c>
      <c r="DD4" s="467" t="s">
        <v>1451</v>
      </c>
      <c r="DE4" s="467" t="s">
        <v>1452</v>
      </c>
      <c r="DF4" s="467" t="s">
        <v>1453</v>
      </c>
      <c r="DG4" s="467" t="s">
        <v>1454</v>
      </c>
      <c r="DH4" s="467" t="s">
        <v>1187</v>
      </c>
      <c r="DI4" s="467" t="s">
        <v>11386</v>
      </c>
      <c r="DJ4" s="467" t="s">
        <v>1455</v>
      </c>
      <c r="DK4" s="467" t="s">
        <v>1456</v>
      </c>
      <c r="DL4" s="467" t="s">
        <v>1457</v>
      </c>
      <c r="DM4" s="467" t="s">
        <v>1458</v>
      </c>
      <c r="DN4" s="467" t="s">
        <v>1459</v>
      </c>
      <c r="DO4" s="467" t="s">
        <v>1105</v>
      </c>
      <c r="DP4" s="467" t="s">
        <v>1461</v>
      </c>
      <c r="DQ4" s="467" t="s">
        <v>1462</v>
      </c>
      <c r="DR4" s="467" t="s">
        <v>1188</v>
      </c>
      <c r="DS4" s="467" t="s">
        <v>1463</v>
      </c>
      <c r="DT4" s="467" t="s">
        <v>1107</v>
      </c>
      <c r="DU4" s="467" t="s">
        <v>1464</v>
      </c>
      <c r="DV4" s="467" t="s">
        <v>1465</v>
      </c>
      <c r="DW4" s="467" t="s">
        <v>1466</v>
      </c>
      <c r="DX4" s="467" t="s">
        <v>1467</v>
      </c>
      <c r="DY4" s="467" t="s">
        <v>1468</v>
      </c>
      <c r="DZ4" s="467" t="s">
        <v>1109</v>
      </c>
      <c r="EA4" s="467" t="s">
        <v>1469</v>
      </c>
      <c r="EB4" s="467" t="s">
        <v>1470</v>
      </c>
      <c r="EC4" s="467" t="s">
        <v>1189</v>
      </c>
      <c r="ED4" s="467" t="s">
        <v>1471</v>
      </c>
      <c r="EE4" s="467" t="s">
        <v>1472</v>
      </c>
      <c r="EF4" s="467" t="s">
        <v>1473</v>
      </c>
      <c r="EG4" s="467" t="s">
        <v>1190</v>
      </c>
      <c r="EH4" s="467" t="s">
        <v>1307</v>
      </c>
      <c r="EI4" s="467" t="s">
        <v>1474</v>
      </c>
      <c r="EJ4" s="467" t="s">
        <v>1475</v>
      </c>
      <c r="EK4" s="467" t="s">
        <v>1477</v>
      </c>
      <c r="EL4" s="467" t="s">
        <v>1476</v>
      </c>
      <c r="EM4" s="467" t="s">
        <v>1308</v>
      </c>
      <c r="EN4" s="467" t="s">
        <v>1478</v>
      </c>
      <c r="EO4" s="467" t="s">
        <v>1479</v>
      </c>
      <c r="EP4" s="467" t="s">
        <v>1480</v>
      </c>
      <c r="EQ4" s="467" t="s">
        <v>1481</v>
      </c>
      <c r="ER4" s="467" t="s">
        <v>14239</v>
      </c>
      <c r="ES4" s="467" t="s">
        <v>1482</v>
      </c>
      <c r="ET4" s="467" t="s">
        <v>1483</v>
      </c>
      <c r="EU4" s="467" t="s">
        <v>1484</v>
      </c>
      <c r="EV4" s="467" t="s">
        <v>1485</v>
      </c>
      <c r="EW4" s="467" t="s">
        <v>1486</v>
      </c>
      <c r="EX4" s="467" t="s">
        <v>1487</v>
      </c>
      <c r="EY4" s="467" t="s">
        <v>1195</v>
      </c>
      <c r="EZ4" s="467" t="s">
        <v>1488</v>
      </c>
      <c r="FA4" s="467" t="s">
        <v>1489</v>
      </c>
      <c r="FB4" s="467" t="s">
        <v>14243</v>
      </c>
      <c r="FC4" s="467" t="s">
        <v>1490</v>
      </c>
      <c r="FD4" s="467" t="s">
        <v>1310</v>
      </c>
      <c r="FE4" s="467" t="s">
        <v>1491</v>
      </c>
      <c r="FF4" s="467" t="s">
        <v>1311</v>
      </c>
      <c r="FG4" s="467" t="s">
        <v>1202</v>
      </c>
      <c r="FH4" s="467" t="s">
        <v>1492</v>
      </c>
      <c r="FI4" s="467" t="s">
        <v>1203</v>
      </c>
      <c r="FJ4" s="467" t="s">
        <v>1493</v>
      </c>
      <c r="FK4" s="467" t="s">
        <v>1494</v>
      </c>
      <c r="FL4" s="467" t="s">
        <v>1495</v>
      </c>
      <c r="FM4" s="467" t="s">
        <v>1496</v>
      </c>
      <c r="FN4" s="467" t="s">
        <v>1497</v>
      </c>
      <c r="FO4" s="467" t="s">
        <v>1112</v>
      </c>
      <c r="FP4" s="467" t="s">
        <v>1498</v>
      </c>
      <c r="FQ4" s="467" t="s">
        <v>1499</v>
      </c>
      <c r="FR4" s="467" t="s">
        <v>1114</v>
      </c>
      <c r="FS4" s="467" t="s">
        <v>1500</v>
      </c>
      <c r="FT4" s="467" t="s">
        <v>1501</v>
      </c>
      <c r="FU4" s="467" t="s">
        <v>1502</v>
      </c>
      <c r="FV4" s="467" t="s">
        <v>1210</v>
      </c>
      <c r="FW4" s="467" t="s">
        <v>14400</v>
      </c>
      <c r="FX4" s="467" t="s">
        <v>1315</v>
      </c>
      <c r="FY4" s="467" t="s">
        <v>1503</v>
      </c>
      <c r="FZ4" s="467" t="s">
        <v>1504</v>
      </c>
      <c r="GA4" s="467" t="s">
        <v>1505</v>
      </c>
      <c r="GB4" s="467" t="s">
        <v>1506</v>
      </c>
      <c r="GC4" s="467" t="s">
        <v>1316</v>
      </c>
      <c r="GD4" s="467" t="s">
        <v>1507</v>
      </c>
      <c r="GE4" s="467" t="s">
        <v>1508</v>
      </c>
      <c r="GF4" s="467" t="s">
        <v>1509</v>
      </c>
      <c r="GG4" s="467" t="s">
        <v>1319</v>
      </c>
      <c r="GH4" s="467" t="s">
        <v>1120</v>
      </c>
      <c r="GI4" s="467" t="s">
        <v>1320</v>
      </c>
      <c r="GJ4" s="467" t="s">
        <v>1510</v>
      </c>
      <c r="GK4" s="467" t="s">
        <v>1511</v>
      </c>
      <c r="GL4" s="467" t="s">
        <v>11387</v>
      </c>
      <c r="GM4" s="467" t="s">
        <v>1512</v>
      </c>
      <c r="GN4" s="467" t="s">
        <v>1321</v>
      </c>
      <c r="GO4" s="467" t="s">
        <v>1322</v>
      </c>
      <c r="GP4" s="467" t="s">
        <v>1217</v>
      </c>
      <c r="GQ4" s="467" t="s">
        <v>1218</v>
      </c>
      <c r="GR4" s="467" t="s">
        <v>11367</v>
      </c>
      <c r="GS4" s="467" t="s">
        <v>14267</v>
      </c>
      <c r="GT4" s="467" t="s">
        <v>1513</v>
      </c>
      <c r="GU4" s="467" t="s">
        <v>1324</v>
      </c>
      <c r="GV4" s="467" t="s">
        <v>1325</v>
      </c>
      <c r="GW4" s="467" t="s">
        <v>1514</v>
      </c>
      <c r="GX4" s="467" t="s">
        <v>11388</v>
      </c>
      <c r="GY4" s="467" t="s">
        <v>1515</v>
      </c>
      <c r="GZ4" s="467" t="s">
        <v>1516</v>
      </c>
      <c r="HA4" s="467" t="s">
        <v>1327</v>
      </c>
      <c r="HB4" s="467" t="s">
        <v>1220</v>
      </c>
      <c r="HC4" s="467" t="s">
        <v>1221</v>
      </c>
      <c r="HD4" s="467" t="s">
        <v>1517</v>
      </c>
      <c r="HE4" s="467" t="s">
        <v>1329</v>
      </c>
      <c r="HF4" s="467" t="s">
        <v>11389</v>
      </c>
      <c r="HG4" s="467" t="s">
        <v>1330</v>
      </c>
      <c r="HH4" s="467" t="s">
        <v>1332</v>
      </c>
      <c r="HI4" s="467" t="s">
        <v>1518</v>
      </c>
      <c r="HJ4" s="467" t="s">
        <v>1519</v>
      </c>
      <c r="HK4" s="467" t="s">
        <v>1520</v>
      </c>
      <c r="HL4" s="467" t="s">
        <v>1521</v>
      </c>
      <c r="HM4" s="467" t="s">
        <v>1522</v>
      </c>
      <c r="HN4" s="467" t="s">
        <v>1523</v>
      </c>
      <c r="HO4" s="467" t="s">
        <v>1524</v>
      </c>
      <c r="HP4" s="467" t="s">
        <v>1525</v>
      </c>
      <c r="HQ4" s="467" t="s">
        <v>2171</v>
      </c>
      <c r="HR4" s="467" t="s">
        <v>1526</v>
      </c>
      <c r="HS4" s="467" t="s">
        <v>1122</v>
      </c>
      <c r="HT4" s="467" t="s">
        <v>1225</v>
      </c>
      <c r="HU4" s="467" t="s">
        <v>1527</v>
      </c>
      <c r="HV4" s="467" t="s">
        <v>1528</v>
      </c>
      <c r="HW4" s="467" t="s">
        <v>11390</v>
      </c>
      <c r="HX4" s="467" t="s">
        <v>1529</v>
      </c>
      <c r="HY4" s="467" t="s">
        <v>1530</v>
      </c>
      <c r="HZ4" s="467" t="s">
        <v>1228</v>
      </c>
      <c r="IA4" s="467" t="s">
        <v>1531</v>
      </c>
      <c r="IB4" s="467" t="s">
        <v>1532</v>
      </c>
      <c r="IC4" s="467" t="s">
        <v>1533</v>
      </c>
      <c r="ID4" s="467" t="s">
        <v>1534</v>
      </c>
      <c r="IE4" s="467" t="s">
        <v>1535</v>
      </c>
      <c r="IF4" s="467" t="s">
        <v>1536</v>
      </c>
      <c r="IG4" s="467" t="s">
        <v>1537</v>
      </c>
      <c r="IH4" s="467" t="s">
        <v>1229</v>
      </c>
      <c r="II4" s="467" t="s">
        <v>1124</v>
      </c>
      <c r="IJ4" s="467" t="s">
        <v>1230</v>
      </c>
      <c r="IK4" s="467" t="s">
        <v>1538</v>
      </c>
      <c r="IL4" s="467" t="s">
        <v>11391</v>
      </c>
      <c r="IM4" s="467" t="s">
        <v>1539</v>
      </c>
      <c r="IN4" s="467" t="s">
        <v>1540</v>
      </c>
      <c r="IO4" s="467" t="s">
        <v>1541</v>
      </c>
      <c r="IP4" s="467" t="s">
        <v>1233</v>
      </c>
      <c r="IQ4" s="467" t="s">
        <v>11368</v>
      </c>
      <c r="IR4" s="467" t="s">
        <v>1234</v>
      </c>
      <c r="IS4" s="467" t="s">
        <v>1235</v>
      </c>
      <c r="IT4" s="467" t="s">
        <v>1126</v>
      </c>
      <c r="IU4" s="467" t="s">
        <v>1340</v>
      </c>
      <c r="IV4" s="467" t="s">
        <v>11392</v>
      </c>
      <c r="IW4" s="467" t="s">
        <v>14309</v>
      </c>
      <c r="IX4" s="467" t="s">
        <v>1542</v>
      </c>
      <c r="IY4" s="467" t="s">
        <v>1342</v>
      </c>
      <c r="IZ4" s="467" t="s">
        <v>1543</v>
      </c>
      <c r="JA4" s="467" t="s">
        <v>1544</v>
      </c>
      <c r="JB4" s="467" t="s">
        <v>1545</v>
      </c>
      <c r="JC4" s="467" t="s">
        <v>1546</v>
      </c>
      <c r="JD4" s="467" t="s">
        <v>1547</v>
      </c>
      <c r="JE4" s="467" t="s">
        <v>1130</v>
      </c>
      <c r="JF4" s="467" t="s">
        <v>1548</v>
      </c>
      <c r="JG4" s="467" t="s">
        <v>1549</v>
      </c>
      <c r="JH4" s="467" t="s">
        <v>11393</v>
      </c>
      <c r="JI4" s="467" t="s">
        <v>1550</v>
      </c>
      <c r="JJ4" s="467" t="s">
        <v>1551</v>
      </c>
      <c r="JK4" s="467" t="s">
        <v>1552</v>
      </c>
      <c r="JL4" s="467" t="s">
        <v>1553</v>
      </c>
      <c r="JM4" s="467" t="s">
        <v>1345</v>
      </c>
      <c r="JN4" s="467" t="s">
        <v>1134</v>
      </c>
      <c r="JO4" s="467" t="s">
        <v>1554</v>
      </c>
      <c r="JP4" s="467" t="s">
        <v>1555</v>
      </c>
      <c r="JQ4" s="467" t="s">
        <v>1346</v>
      </c>
      <c r="JR4" s="467" t="s">
        <v>1556</v>
      </c>
      <c r="JS4" s="467" t="s">
        <v>1557</v>
      </c>
      <c r="JT4" s="467" t="s">
        <v>1558</v>
      </c>
      <c r="JU4" s="467" t="s">
        <v>1347</v>
      </c>
      <c r="JV4" s="467" t="s">
        <v>1559</v>
      </c>
      <c r="JW4" s="467" t="s">
        <v>1560</v>
      </c>
      <c r="JX4" s="467" t="s">
        <v>11394</v>
      </c>
      <c r="JY4" s="467" t="s">
        <v>1561</v>
      </c>
      <c r="JZ4" s="467" t="s">
        <v>1562</v>
      </c>
      <c r="KA4" s="467" t="s">
        <v>1563</v>
      </c>
      <c r="KB4" s="467" t="s">
        <v>1564</v>
      </c>
      <c r="KC4" s="467" t="s">
        <v>1245</v>
      </c>
      <c r="KD4" s="467" t="s">
        <v>1565</v>
      </c>
      <c r="KE4" s="467" t="s">
        <v>1566</v>
      </c>
      <c r="KF4" s="467" t="s">
        <v>1567</v>
      </c>
      <c r="KG4" s="467" t="s">
        <v>1568</v>
      </c>
      <c r="KH4" s="467" t="s">
        <v>1358</v>
      </c>
      <c r="KI4" s="467" t="s">
        <v>1569</v>
      </c>
      <c r="KJ4" s="467" t="s">
        <v>1249</v>
      </c>
      <c r="KK4" s="467" t="s">
        <v>1570</v>
      </c>
      <c r="KL4" s="467" t="s">
        <v>1362</v>
      </c>
      <c r="KM4" s="467" t="s">
        <v>11395</v>
      </c>
      <c r="KN4" s="467" t="s">
        <v>1571</v>
      </c>
      <c r="KO4" s="467" t="s">
        <v>14363</v>
      </c>
      <c r="KP4" s="467" t="s">
        <v>1572</v>
      </c>
      <c r="KQ4" s="467" t="s">
        <v>1573</v>
      </c>
      <c r="KR4" s="467" t="s">
        <v>1252</v>
      </c>
      <c r="KS4" s="467" t="s">
        <v>1253</v>
      </c>
      <c r="KT4" s="467" t="s">
        <v>14365</v>
      </c>
      <c r="KU4" s="467" t="s">
        <v>1574</v>
      </c>
      <c r="KV4" s="467" t="s">
        <v>1575</v>
      </c>
      <c r="KW4" s="467" t="s">
        <v>1576</v>
      </c>
      <c r="KX4" s="467" t="s">
        <v>1577</v>
      </c>
      <c r="KY4" s="467" t="s">
        <v>1578</v>
      </c>
      <c r="KZ4" s="467" t="s">
        <v>1579</v>
      </c>
      <c r="LA4" s="467" t="s">
        <v>1580</v>
      </c>
      <c r="LB4" s="467" t="s">
        <v>1581</v>
      </c>
      <c r="LC4" s="467" t="s">
        <v>1582</v>
      </c>
      <c r="LD4" s="467" t="s">
        <v>1260</v>
      </c>
      <c r="LE4" s="467" t="s">
        <v>1371</v>
      </c>
      <c r="LF4" s="467" t="s">
        <v>1583</v>
      </c>
      <c r="LG4" s="467" t="s">
        <v>1584</v>
      </c>
      <c r="LH4" s="467" t="s">
        <v>1590</v>
      </c>
      <c r="LI4" s="467" t="s">
        <v>1585</v>
      </c>
      <c r="LJ4" s="467" t="s">
        <v>1586</v>
      </c>
      <c r="LK4" s="467" t="s">
        <v>1587</v>
      </c>
      <c r="LL4" s="467" t="s">
        <v>1588</v>
      </c>
      <c r="LM4" s="467" t="s">
        <v>1589</v>
      </c>
      <c r="LN4" s="467" t="s">
        <v>1591</v>
      </c>
      <c r="LO4" s="467" t="s">
        <v>1592</v>
      </c>
      <c r="LP4" s="467" t="s">
        <v>1593</v>
      </c>
      <c r="LQ4" s="467" t="s">
        <v>1594</v>
      </c>
      <c r="LR4" s="467" t="s">
        <v>1595</v>
      </c>
      <c r="LS4" s="467" t="s">
        <v>1376</v>
      </c>
      <c r="LT4" s="467" t="s">
        <v>1596</v>
      </c>
      <c r="LU4" s="467" t="s">
        <v>1597</v>
      </c>
      <c r="LV4" s="467" t="s">
        <v>1598</v>
      </c>
      <c r="LW4" s="467" t="s">
        <v>1262</v>
      </c>
      <c r="LX4" s="467" t="s">
        <v>1599</v>
      </c>
      <c r="LY4" s="467" t="s">
        <v>1600</v>
      </c>
      <c r="LZ4" s="467" t="s">
        <v>11396</v>
      </c>
      <c r="MA4" s="467" t="s">
        <v>1601</v>
      </c>
      <c r="MB4" s="467" t="s">
        <v>1264</v>
      </c>
      <c r="MC4" s="467" t="s">
        <v>1602</v>
      </c>
      <c r="MD4" s="467" t="s">
        <v>1603</v>
      </c>
      <c r="ME4" s="467" t="s">
        <v>1604</v>
      </c>
      <c r="MF4" s="467" t="s">
        <v>1605</v>
      </c>
      <c r="MG4" s="467" t="s">
        <v>1606</v>
      </c>
      <c r="MH4" s="467" t="s">
        <v>11479</v>
      </c>
      <c r="MI4" s="467" t="s">
        <v>1607</v>
      </c>
      <c r="MJ4" s="467" t="s">
        <v>1608</v>
      </c>
      <c r="MK4" s="467" t="s">
        <v>1266</v>
      </c>
    </row>
    <row r="5" spans="1:349" x14ac:dyDescent="0.25">
      <c r="A5" s="467" t="s">
        <v>79</v>
      </c>
      <c r="B5" s="467" t="s">
        <v>417</v>
      </c>
      <c r="C5" s="467" t="s">
        <v>1193</v>
      </c>
      <c r="D5" s="467" t="s">
        <v>1609</v>
      </c>
      <c r="E5" s="467" t="s">
        <v>1610</v>
      </c>
      <c r="F5" s="467" t="s">
        <v>1143</v>
      </c>
      <c r="G5" s="467" t="s">
        <v>1611</v>
      </c>
      <c r="H5" s="467" t="s">
        <v>1093</v>
      </c>
      <c r="I5" s="467" t="s">
        <v>1612</v>
      </c>
      <c r="J5" s="467" t="s">
        <v>1613</v>
      </c>
      <c r="K5" s="467" t="s">
        <v>1096</v>
      </c>
      <c r="L5" s="467" t="s">
        <v>1151</v>
      </c>
      <c r="M5" s="467" t="s">
        <v>1614</v>
      </c>
      <c r="N5" s="467" t="s">
        <v>11370</v>
      </c>
      <c r="O5" s="467" t="s">
        <v>1615</v>
      </c>
      <c r="P5" s="467" t="s">
        <v>1616</v>
      </c>
      <c r="Q5" s="467" t="s">
        <v>1617</v>
      </c>
      <c r="R5" s="467" t="s">
        <v>11363</v>
      </c>
      <c r="S5" s="467" t="s">
        <v>1618</v>
      </c>
      <c r="T5" s="467" t="s">
        <v>1278</v>
      </c>
      <c r="U5" s="467" t="s">
        <v>1619</v>
      </c>
      <c r="V5" s="467" t="s">
        <v>1620</v>
      </c>
      <c r="W5" s="467" t="s">
        <v>1621</v>
      </c>
      <c r="X5" s="467" t="s">
        <v>1160</v>
      </c>
      <c r="Y5" s="467" t="s">
        <v>1623</v>
      </c>
      <c r="Z5" s="467" t="s">
        <v>1411</v>
      </c>
      <c r="AA5" s="467" t="s">
        <v>1167</v>
      </c>
      <c r="AB5" s="467" t="s">
        <v>1624</v>
      </c>
      <c r="AC5" s="467" t="s">
        <v>1172</v>
      </c>
      <c r="AD5" s="467" t="s">
        <v>1625</v>
      </c>
      <c r="AE5" s="467" t="s">
        <v>1626</v>
      </c>
      <c r="AF5" s="467" t="s">
        <v>1102</v>
      </c>
      <c r="AG5" s="467" t="s">
        <v>1174</v>
      </c>
      <c r="AH5" s="467" t="s">
        <v>1627</v>
      </c>
      <c r="AI5" s="467" t="s">
        <v>1628</v>
      </c>
      <c r="AJ5" s="467" t="s">
        <v>1629</v>
      </c>
      <c r="AK5" s="467" t="s">
        <v>14208</v>
      </c>
      <c r="AL5" s="467" t="s">
        <v>1185</v>
      </c>
      <c r="AM5" s="467" t="s">
        <v>1186</v>
      </c>
      <c r="AN5" s="467" t="s">
        <v>1630</v>
      </c>
      <c r="AO5" s="467" t="s">
        <v>1105</v>
      </c>
      <c r="AP5" s="467" t="s">
        <v>1631</v>
      </c>
      <c r="AQ5" s="467" t="s">
        <v>1107</v>
      </c>
      <c r="AR5" s="467" t="s">
        <v>1632</v>
      </c>
      <c r="AS5" s="467" t="s">
        <v>1109</v>
      </c>
      <c r="AT5" s="467" t="s">
        <v>1633</v>
      </c>
      <c r="AU5" s="467" t="s">
        <v>1634</v>
      </c>
      <c r="AV5" s="467" t="s">
        <v>1190</v>
      </c>
      <c r="AW5" s="467" t="s">
        <v>1635</v>
      </c>
      <c r="AX5" s="467" t="s">
        <v>1636</v>
      </c>
      <c r="AY5" s="467" t="s">
        <v>1637</v>
      </c>
      <c r="AZ5" s="467" t="s">
        <v>1638</v>
      </c>
      <c r="BA5" s="467" t="s">
        <v>1639</v>
      </c>
      <c r="BB5" s="467" t="s">
        <v>1640</v>
      </c>
      <c r="BC5" s="467" t="s">
        <v>1641</v>
      </c>
      <c r="BD5" s="467" t="s">
        <v>1642</v>
      </c>
      <c r="BE5" s="467" t="s">
        <v>1202</v>
      </c>
      <c r="BF5" s="467" t="s">
        <v>1497</v>
      </c>
      <c r="BG5" s="467" t="s">
        <v>1112</v>
      </c>
      <c r="BH5" s="467" t="s">
        <v>1209</v>
      </c>
      <c r="BI5" s="467" t="s">
        <v>1210</v>
      </c>
      <c r="BJ5" s="467" t="s">
        <v>1643</v>
      </c>
      <c r="BK5" s="467" t="s">
        <v>1644</v>
      </c>
      <c r="BL5" s="467" t="s">
        <v>14403</v>
      </c>
      <c r="BM5" s="467" t="s">
        <v>1645</v>
      </c>
      <c r="BN5" s="467" t="s">
        <v>1646</v>
      </c>
      <c r="BO5" s="467" t="s">
        <v>1220</v>
      </c>
      <c r="BP5" s="467" t="s">
        <v>1223</v>
      </c>
      <c r="BQ5" s="467" t="s">
        <v>1647</v>
      </c>
      <c r="BR5" s="467" t="s">
        <v>1525</v>
      </c>
      <c r="BS5" s="467" t="s">
        <v>1122</v>
      </c>
      <c r="BT5" s="467" t="s">
        <v>1225</v>
      </c>
      <c r="BU5" s="467" t="s">
        <v>1228</v>
      </c>
      <c r="BV5" s="467" t="s">
        <v>14293</v>
      </c>
      <c r="BW5" s="467" t="s">
        <v>1648</v>
      </c>
      <c r="BX5" s="467" t="s">
        <v>1649</v>
      </c>
      <c r="BY5" s="467" t="s">
        <v>1124</v>
      </c>
      <c r="BZ5" s="467" t="s">
        <v>1233</v>
      </c>
      <c r="CA5" s="467" t="s">
        <v>1234</v>
      </c>
      <c r="CB5" s="467" t="s">
        <v>1235</v>
      </c>
      <c r="CC5" s="467" t="s">
        <v>1126</v>
      </c>
      <c r="CD5" s="467" t="s">
        <v>1650</v>
      </c>
      <c r="CE5" s="467" t="s">
        <v>1651</v>
      </c>
      <c r="CF5" s="467" t="s">
        <v>1652</v>
      </c>
      <c r="CG5" s="467" t="s">
        <v>1653</v>
      </c>
      <c r="CH5" s="467" t="s">
        <v>1654</v>
      </c>
      <c r="CI5" s="467" t="s">
        <v>11397</v>
      </c>
      <c r="CJ5" s="467" t="s">
        <v>1655</v>
      </c>
      <c r="CK5" s="467" t="s">
        <v>1656</v>
      </c>
      <c r="CL5" s="467" t="s">
        <v>14323</v>
      </c>
      <c r="CM5" s="467" t="s">
        <v>1657</v>
      </c>
      <c r="CN5" s="467" t="s">
        <v>1245</v>
      </c>
      <c r="CO5" s="467" t="s">
        <v>11398</v>
      </c>
      <c r="CP5" s="467" t="s">
        <v>1658</v>
      </c>
      <c r="CQ5" s="467" t="s">
        <v>1249</v>
      </c>
      <c r="CR5" s="467" t="s">
        <v>11399</v>
      </c>
      <c r="CS5" s="467" t="s">
        <v>1659</v>
      </c>
      <c r="CT5" s="467" t="s">
        <v>1252</v>
      </c>
      <c r="CU5" s="467" t="s">
        <v>1253</v>
      </c>
      <c r="CV5" s="467" t="s">
        <v>2123</v>
      </c>
      <c r="CW5" s="467" t="s">
        <v>1368</v>
      </c>
      <c r="CX5" s="467" t="s">
        <v>1660</v>
      </c>
      <c r="CY5" s="467" t="s">
        <v>1371</v>
      </c>
      <c r="CZ5" s="467" t="s">
        <v>1661</v>
      </c>
      <c r="DA5" s="467" t="s">
        <v>1662</v>
      </c>
      <c r="DB5" s="467" t="s">
        <v>14377</v>
      </c>
      <c r="DC5" s="467" t="s">
        <v>1663</v>
      </c>
      <c r="DD5" s="467" t="s">
        <v>1664</v>
      </c>
      <c r="DE5" s="467" t="s">
        <v>1262</v>
      </c>
      <c r="DF5" s="467" t="s">
        <v>1665</v>
      </c>
      <c r="DG5" s="467" t="s">
        <v>1666</v>
      </c>
    </row>
    <row r="6" spans="1:349" x14ac:dyDescent="0.25">
      <c r="A6" s="467" t="s">
        <v>79</v>
      </c>
      <c r="B6" s="467" t="s">
        <v>418</v>
      </c>
      <c r="C6" s="467" t="s">
        <v>1193</v>
      </c>
      <c r="D6" s="467" t="s">
        <v>1143</v>
      </c>
      <c r="E6" s="467" t="s">
        <v>1147</v>
      </c>
      <c r="F6" s="467" t="s">
        <v>1093</v>
      </c>
      <c r="G6" s="467" t="s">
        <v>1391</v>
      </c>
      <c r="H6" s="467" t="s">
        <v>1668</v>
      </c>
      <c r="I6" s="467" t="s">
        <v>1669</v>
      </c>
      <c r="J6" s="467" t="s">
        <v>1096</v>
      </c>
      <c r="K6" s="467" t="s">
        <v>1670</v>
      </c>
      <c r="L6" s="467" t="s">
        <v>1150</v>
      </c>
      <c r="M6" s="467" t="s">
        <v>1151</v>
      </c>
      <c r="N6" s="467" t="s">
        <v>1671</v>
      </c>
      <c r="O6" s="467" t="s">
        <v>1672</v>
      </c>
      <c r="P6" s="467" t="s">
        <v>1673</v>
      </c>
      <c r="Q6" s="467" t="s">
        <v>11370</v>
      </c>
      <c r="R6" s="467" t="s">
        <v>1674</v>
      </c>
      <c r="S6" s="467" t="s">
        <v>11363</v>
      </c>
      <c r="T6" s="467" t="s">
        <v>1676</v>
      </c>
      <c r="U6" s="467" t="s">
        <v>1278</v>
      </c>
      <c r="V6" s="467" t="s">
        <v>1677</v>
      </c>
      <c r="W6" s="467" t="s">
        <v>1403</v>
      </c>
      <c r="X6" s="467" t="s">
        <v>1678</v>
      </c>
      <c r="Y6" s="467" t="s">
        <v>1679</v>
      </c>
      <c r="Z6" s="467" t="s">
        <v>1680</v>
      </c>
      <c r="AA6" s="467" t="s">
        <v>1681</v>
      </c>
      <c r="AB6" s="467" t="s">
        <v>1160</v>
      </c>
      <c r="AC6" s="467" t="s">
        <v>1682</v>
      </c>
      <c r="AD6" s="467" t="s">
        <v>1623</v>
      </c>
      <c r="AE6" s="467" t="s">
        <v>1683</v>
      </c>
      <c r="AF6" s="467" t="s">
        <v>1411</v>
      </c>
      <c r="AG6" s="467" t="s">
        <v>1684</v>
      </c>
      <c r="AH6" s="467" t="s">
        <v>1685</v>
      </c>
      <c r="AI6" s="467" t="s">
        <v>1162</v>
      </c>
      <c r="AJ6" s="467" t="s">
        <v>1164</v>
      </c>
      <c r="AK6" s="467" t="s">
        <v>1687</v>
      </c>
      <c r="AL6" s="467" t="s">
        <v>1100</v>
      </c>
      <c r="AM6" s="467" t="s">
        <v>1693</v>
      </c>
      <c r="AN6" s="467" t="s">
        <v>1688</v>
      </c>
      <c r="AO6" s="467" t="s">
        <v>1689</v>
      </c>
      <c r="AP6" s="467" t="s">
        <v>1690</v>
      </c>
      <c r="AQ6" s="467" t="s">
        <v>1691</v>
      </c>
      <c r="AR6" s="467" t="s">
        <v>1692</v>
      </c>
      <c r="AS6" s="467" t="s">
        <v>1694</v>
      </c>
      <c r="AT6" s="467" t="s">
        <v>1167</v>
      </c>
      <c r="AU6" s="467" t="s">
        <v>11400</v>
      </c>
      <c r="AV6" s="467" t="s">
        <v>1695</v>
      </c>
      <c r="AW6" s="467" t="s">
        <v>1696</v>
      </c>
      <c r="AX6" s="467" t="s">
        <v>14178</v>
      </c>
      <c r="AY6" s="467" t="s">
        <v>1624</v>
      </c>
      <c r="AZ6" s="467" t="s">
        <v>1172</v>
      </c>
      <c r="BA6" s="467" t="s">
        <v>1697</v>
      </c>
      <c r="BB6" s="467" t="s">
        <v>11385</v>
      </c>
      <c r="BC6" s="467" t="s">
        <v>1698</v>
      </c>
      <c r="BD6" s="467" t="s">
        <v>11452</v>
      </c>
      <c r="BE6" s="467" t="s">
        <v>1102</v>
      </c>
      <c r="BF6" s="467" t="s">
        <v>1174</v>
      </c>
      <c r="BG6" s="467" t="s">
        <v>1175</v>
      </c>
      <c r="BH6" s="467" t="s">
        <v>1699</v>
      </c>
      <c r="BI6" s="467" t="s">
        <v>1700</v>
      </c>
      <c r="BJ6" s="467" t="s">
        <v>1627</v>
      </c>
      <c r="BK6" s="467" t="s">
        <v>1701</v>
      </c>
      <c r="BL6" s="467" t="s">
        <v>1702</v>
      </c>
      <c r="BM6" s="467" t="s">
        <v>1703</v>
      </c>
      <c r="BN6" s="467" t="s">
        <v>1177</v>
      </c>
      <c r="BO6" s="467" t="s">
        <v>1704</v>
      </c>
      <c r="BP6" s="467" t="s">
        <v>14199</v>
      </c>
      <c r="BQ6" s="467" t="s">
        <v>1705</v>
      </c>
      <c r="BR6" s="467" t="s">
        <v>1179</v>
      </c>
      <c r="BS6" s="467" t="s">
        <v>14208</v>
      </c>
      <c r="BT6" s="467" t="s">
        <v>1706</v>
      </c>
      <c r="BU6" s="467" t="s">
        <v>1183</v>
      </c>
      <c r="BV6" s="467" t="s">
        <v>1185</v>
      </c>
      <c r="BW6" s="467" t="s">
        <v>1186</v>
      </c>
      <c r="BX6" s="467" t="s">
        <v>1707</v>
      </c>
      <c r="BY6" s="467" t="s">
        <v>1708</v>
      </c>
      <c r="BZ6" s="467" t="s">
        <v>1709</v>
      </c>
      <c r="CA6" s="467" t="s">
        <v>1710</v>
      </c>
      <c r="CB6" s="467" t="s">
        <v>1105</v>
      </c>
      <c r="CC6" s="467" t="s">
        <v>1188</v>
      </c>
      <c r="CD6" s="467" t="s">
        <v>1711</v>
      </c>
      <c r="CE6" s="467" t="s">
        <v>1712</v>
      </c>
      <c r="CF6" s="467" t="s">
        <v>1107</v>
      </c>
      <c r="CG6" s="467" t="s">
        <v>1713</v>
      </c>
      <c r="CH6" s="467" t="s">
        <v>1714</v>
      </c>
      <c r="CI6" s="467" t="s">
        <v>1109</v>
      </c>
      <c r="CJ6" s="467" t="s">
        <v>1633</v>
      </c>
      <c r="CK6" s="467" t="s">
        <v>1715</v>
      </c>
      <c r="CL6" s="467" t="s">
        <v>14231</v>
      </c>
      <c r="CM6" s="467" t="s">
        <v>1190</v>
      </c>
      <c r="CN6" s="467" t="s">
        <v>2161</v>
      </c>
      <c r="CO6" s="467" t="s">
        <v>1716</v>
      </c>
      <c r="CP6" s="467" t="s">
        <v>1717</v>
      </c>
      <c r="CQ6" s="467" t="s">
        <v>1718</v>
      </c>
      <c r="CR6" s="467" t="s">
        <v>11401</v>
      </c>
      <c r="CS6" s="467" t="s">
        <v>11402</v>
      </c>
      <c r="CT6" s="467" t="s">
        <v>1719</v>
      </c>
      <c r="CU6" s="467" t="s">
        <v>1720</v>
      </c>
      <c r="CV6" s="467" t="s">
        <v>1721</v>
      </c>
      <c r="CW6" s="467" t="s">
        <v>11454</v>
      </c>
      <c r="CX6" s="467" t="s">
        <v>1722</v>
      </c>
      <c r="CY6" s="467" t="s">
        <v>1195</v>
      </c>
      <c r="CZ6" s="467" t="s">
        <v>1723</v>
      </c>
      <c r="DA6" s="467" t="s">
        <v>1724</v>
      </c>
      <c r="DB6" s="467" t="s">
        <v>1725</v>
      </c>
      <c r="DC6" s="467" t="s">
        <v>14243</v>
      </c>
      <c r="DD6" s="467" t="s">
        <v>1310</v>
      </c>
      <c r="DE6" s="467" t="s">
        <v>11403</v>
      </c>
      <c r="DF6" s="467" t="s">
        <v>1197</v>
      </c>
      <c r="DG6" s="467" t="s">
        <v>1727</v>
      </c>
      <c r="DH6" s="467" t="s">
        <v>1728</v>
      </c>
      <c r="DI6" s="467" t="s">
        <v>1729</v>
      </c>
      <c r="DJ6" s="467" t="s">
        <v>1730</v>
      </c>
      <c r="DK6" s="467" t="s">
        <v>1731</v>
      </c>
      <c r="DL6" s="467" t="s">
        <v>11404</v>
      </c>
      <c r="DM6" s="467" t="s">
        <v>1732</v>
      </c>
      <c r="DN6" s="467" t="s">
        <v>1733</v>
      </c>
      <c r="DO6" s="467" t="s">
        <v>1734</v>
      </c>
      <c r="DP6" s="467" t="s">
        <v>1735</v>
      </c>
      <c r="DQ6" s="467" t="s">
        <v>1736</v>
      </c>
      <c r="DR6" s="467" t="s">
        <v>1737</v>
      </c>
      <c r="DS6" s="467" t="s">
        <v>1497</v>
      </c>
      <c r="DT6" s="467" t="s">
        <v>11405</v>
      </c>
      <c r="DU6" s="467" t="s">
        <v>1738</v>
      </c>
      <c r="DV6" s="467" t="s">
        <v>1739</v>
      </c>
      <c r="DW6" s="467" t="s">
        <v>1208</v>
      </c>
      <c r="DX6" s="467" t="s">
        <v>1209</v>
      </c>
      <c r="DY6" s="467" t="s">
        <v>1210</v>
      </c>
      <c r="DZ6" s="467" t="s">
        <v>1503</v>
      </c>
      <c r="EA6" s="467" t="s">
        <v>1740</v>
      </c>
      <c r="EB6" s="467" t="s">
        <v>1741</v>
      </c>
      <c r="EC6" s="467" t="s">
        <v>1120</v>
      </c>
      <c r="ED6" s="467" t="s">
        <v>1742</v>
      </c>
      <c r="EE6" s="467" t="s">
        <v>1743</v>
      </c>
      <c r="EF6" s="467" t="s">
        <v>1744</v>
      </c>
      <c r="EG6" s="467" t="s">
        <v>1221</v>
      </c>
      <c r="EH6" s="467" t="s">
        <v>1223</v>
      </c>
      <c r="EI6" s="467" t="s">
        <v>1745</v>
      </c>
      <c r="EJ6" s="467" t="s">
        <v>1746</v>
      </c>
      <c r="EK6" s="467" t="s">
        <v>1525</v>
      </c>
      <c r="EL6" s="467" t="s">
        <v>1747</v>
      </c>
      <c r="EM6" s="467" t="s">
        <v>1122</v>
      </c>
      <c r="EN6" s="467" t="s">
        <v>1225</v>
      </c>
      <c r="EO6" s="467" t="s">
        <v>1227</v>
      </c>
      <c r="EP6" s="467" t="s">
        <v>1748</v>
      </c>
      <c r="EQ6" s="467" t="s">
        <v>11406</v>
      </c>
      <c r="ER6" s="467" t="s">
        <v>14287</v>
      </c>
      <c r="ES6" s="467" t="s">
        <v>1749</v>
      </c>
      <c r="ET6" s="467" t="s">
        <v>11407</v>
      </c>
      <c r="EU6" s="467" t="s">
        <v>1228</v>
      </c>
      <c r="EV6" s="467" t="s">
        <v>1750</v>
      </c>
      <c r="EW6" s="467" t="s">
        <v>1648</v>
      </c>
      <c r="EX6" s="467" t="s">
        <v>14295</v>
      </c>
      <c r="EY6" s="467" t="s">
        <v>1751</v>
      </c>
      <c r="EZ6" s="467" t="s">
        <v>1752</v>
      </c>
      <c r="FA6" s="467" t="s">
        <v>1124</v>
      </c>
      <c r="FB6" s="467" t="s">
        <v>1230</v>
      </c>
      <c r="FC6" s="467" t="s">
        <v>1754</v>
      </c>
      <c r="FD6" s="467" t="s">
        <v>1753</v>
      </c>
      <c r="FE6" s="467" t="s">
        <v>1233</v>
      </c>
      <c r="FF6" s="467" t="s">
        <v>11368</v>
      </c>
      <c r="FG6" s="467" t="s">
        <v>1755</v>
      </c>
      <c r="FH6" s="467" t="s">
        <v>1234</v>
      </c>
      <c r="FI6" s="467" t="s">
        <v>1235</v>
      </c>
      <c r="FJ6" s="467" t="s">
        <v>1126</v>
      </c>
      <c r="FK6" s="467" t="s">
        <v>1756</v>
      </c>
      <c r="FL6" s="467" t="s">
        <v>1757</v>
      </c>
      <c r="FM6" s="467" t="s">
        <v>1758</v>
      </c>
      <c r="FN6" s="467" t="s">
        <v>1759</v>
      </c>
      <c r="FO6" s="467" t="s">
        <v>1760</v>
      </c>
      <c r="FP6" s="467" t="s">
        <v>1761</v>
      </c>
      <c r="FQ6" s="467" t="s">
        <v>1762</v>
      </c>
      <c r="FR6" s="467" t="s">
        <v>1763</v>
      </c>
      <c r="FS6" s="467" t="s">
        <v>1764</v>
      </c>
      <c r="FT6" s="467" t="s">
        <v>1765</v>
      </c>
      <c r="FU6" s="467" t="s">
        <v>1766</v>
      </c>
      <c r="FV6" s="467" t="s">
        <v>14319</v>
      </c>
      <c r="FW6" s="467" t="s">
        <v>1767</v>
      </c>
      <c r="FX6" s="467" t="s">
        <v>1768</v>
      </c>
      <c r="FY6" s="467" t="s">
        <v>14418</v>
      </c>
      <c r="FZ6" s="467" t="s">
        <v>1778</v>
      </c>
      <c r="GA6" s="467" t="s">
        <v>1769</v>
      </c>
      <c r="GB6" s="467" t="s">
        <v>11408</v>
      </c>
      <c r="GC6" s="467" t="s">
        <v>1770</v>
      </c>
      <c r="GD6" s="467" t="s">
        <v>11409</v>
      </c>
      <c r="GE6" s="467" t="s">
        <v>1771</v>
      </c>
      <c r="GF6" s="467" t="s">
        <v>1772</v>
      </c>
      <c r="GG6" s="467" t="s">
        <v>1245</v>
      </c>
      <c r="GH6" s="467" t="s">
        <v>1773</v>
      </c>
      <c r="GI6" s="467" t="s">
        <v>1774</v>
      </c>
      <c r="GJ6" s="467" t="s">
        <v>1247</v>
      </c>
      <c r="GK6" s="467" t="s">
        <v>11398</v>
      </c>
      <c r="GL6" s="467" t="s">
        <v>1249</v>
      </c>
      <c r="GM6" s="467" t="s">
        <v>1775</v>
      </c>
      <c r="GN6" s="467" t="s">
        <v>1776</v>
      </c>
      <c r="GO6" s="467" t="s">
        <v>1252</v>
      </c>
      <c r="GP6" s="467" t="s">
        <v>1253</v>
      </c>
      <c r="GQ6" s="467" t="s">
        <v>1575</v>
      </c>
      <c r="GR6" s="467" t="s">
        <v>14366</v>
      </c>
      <c r="GS6" s="467" t="s">
        <v>1777</v>
      </c>
      <c r="GT6" s="467" t="s">
        <v>1257</v>
      </c>
      <c r="GU6" s="467" t="s">
        <v>1779</v>
      </c>
      <c r="GV6" s="467" t="s">
        <v>1780</v>
      </c>
      <c r="GW6" s="467" t="s">
        <v>1260</v>
      </c>
      <c r="GX6" s="467" t="s">
        <v>1371</v>
      </c>
      <c r="GY6" s="467" t="s">
        <v>1781</v>
      </c>
      <c r="GZ6" s="467" t="s">
        <v>1782</v>
      </c>
      <c r="HA6" s="467" t="s">
        <v>1783</v>
      </c>
      <c r="HB6" s="467" t="s">
        <v>1784</v>
      </c>
      <c r="HC6" s="467" t="s">
        <v>1785</v>
      </c>
      <c r="HD6" s="467" t="s">
        <v>1262</v>
      </c>
      <c r="HE6" s="467" t="s">
        <v>1786</v>
      </c>
      <c r="HF6" s="467" t="s">
        <v>1787</v>
      </c>
      <c r="HG6" s="467" t="s">
        <v>11410</v>
      </c>
      <c r="HH6" s="467" t="s">
        <v>1788</v>
      </c>
      <c r="HI6" s="467" t="s">
        <v>1384</v>
      </c>
      <c r="HJ6" s="467" t="s">
        <v>1789</v>
      </c>
      <c r="HK6" s="467" t="s">
        <v>1266</v>
      </c>
      <c r="HL6" s="467" t="s">
        <v>1790</v>
      </c>
    </row>
    <row r="7" spans="1:349" x14ac:dyDescent="0.25">
      <c r="A7" s="467" t="s">
        <v>79</v>
      </c>
      <c r="B7" s="467" t="s">
        <v>2</v>
      </c>
      <c r="C7" s="467" t="s">
        <v>1609</v>
      </c>
      <c r="D7" s="467" t="s">
        <v>1385</v>
      </c>
      <c r="E7" s="467" t="s">
        <v>1791</v>
      </c>
      <c r="F7" s="467" t="s">
        <v>1386</v>
      </c>
      <c r="G7" s="467" t="s">
        <v>11411</v>
      </c>
      <c r="H7" s="467" t="s">
        <v>1792</v>
      </c>
      <c r="I7" s="467" t="s">
        <v>1387</v>
      </c>
      <c r="J7" s="467" t="s">
        <v>1088</v>
      </c>
      <c r="K7" s="467" t="s">
        <v>1793</v>
      </c>
      <c r="L7" s="467" t="s">
        <v>1091</v>
      </c>
      <c r="M7" s="467" t="s">
        <v>14127</v>
      </c>
      <c r="N7" s="467" t="s">
        <v>1143</v>
      </c>
      <c r="O7" s="467" t="s">
        <v>1794</v>
      </c>
      <c r="P7" s="467" t="s">
        <v>1093</v>
      </c>
      <c r="Q7" s="467" t="s">
        <v>1795</v>
      </c>
      <c r="R7" s="467" t="s">
        <v>1796</v>
      </c>
      <c r="S7" s="467" t="s">
        <v>1797</v>
      </c>
      <c r="T7" s="467" t="s">
        <v>1798</v>
      </c>
      <c r="U7" s="467" t="s">
        <v>1096</v>
      </c>
      <c r="V7" s="467" t="s">
        <v>1799</v>
      </c>
      <c r="W7" s="467" t="s">
        <v>1800</v>
      </c>
      <c r="X7" s="467" t="s">
        <v>1151</v>
      </c>
      <c r="Y7" s="467" t="s">
        <v>1801</v>
      </c>
      <c r="Z7" s="467" t="s">
        <v>1802</v>
      </c>
      <c r="AA7" s="467" t="s">
        <v>1098</v>
      </c>
      <c r="AB7" s="467" t="s">
        <v>12382</v>
      </c>
      <c r="AC7" s="467" t="s">
        <v>1803</v>
      </c>
      <c r="AD7" s="467" t="s">
        <v>1804</v>
      </c>
      <c r="AE7" s="467" t="s">
        <v>1805</v>
      </c>
      <c r="AF7" s="467" t="s">
        <v>11363</v>
      </c>
      <c r="AG7" s="467" t="s">
        <v>1277</v>
      </c>
      <c r="AH7" s="467" t="s">
        <v>1278</v>
      </c>
      <c r="AI7" s="467" t="s">
        <v>1806</v>
      </c>
      <c r="AJ7" s="467" t="s">
        <v>1807</v>
      </c>
      <c r="AK7" s="467" t="s">
        <v>1808</v>
      </c>
      <c r="AL7" s="467" t="s">
        <v>1811</v>
      </c>
      <c r="AM7" s="467" t="s">
        <v>1812</v>
      </c>
      <c r="AN7" s="467" t="s">
        <v>1809</v>
      </c>
      <c r="AO7" s="467" t="s">
        <v>1810</v>
      </c>
      <c r="AP7" s="467" t="s">
        <v>1157</v>
      </c>
      <c r="AQ7" s="467" t="s">
        <v>1158</v>
      </c>
      <c r="AR7" s="467" t="s">
        <v>1813</v>
      </c>
      <c r="AS7" s="467" t="s">
        <v>1161</v>
      </c>
      <c r="AT7" s="467" t="s">
        <v>1410</v>
      </c>
      <c r="AU7" s="467" t="s">
        <v>1814</v>
      </c>
      <c r="AV7" s="467" t="s">
        <v>1815</v>
      </c>
      <c r="AW7" s="467" t="s">
        <v>1285</v>
      </c>
      <c r="AX7" s="467" t="s">
        <v>1286</v>
      </c>
      <c r="AY7" s="467" t="s">
        <v>1164</v>
      </c>
      <c r="AZ7" s="467" t="s">
        <v>1816</v>
      </c>
      <c r="BA7" s="467" t="s">
        <v>11412</v>
      </c>
      <c r="BB7" s="467" t="s">
        <v>1100</v>
      </c>
      <c r="BC7" s="467" t="s">
        <v>1287</v>
      </c>
      <c r="BD7" s="467" t="s">
        <v>1288</v>
      </c>
      <c r="BE7" s="467" t="s">
        <v>1817</v>
      </c>
      <c r="BF7" s="467" t="s">
        <v>1818</v>
      </c>
      <c r="BG7" s="467" t="s">
        <v>1819</v>
      </c>
      <c r="BH7" s="467" t="s">
        <v>1820</v>
      </c>
      <c r="BI7" s="467" t="s">
        <v>14175</v>
      </c>
      <c r="BJ7" s="467" t="s">
        <v>1167</v>
      </c>
      <c r="BK7" s="467" t="s">
        <v>1168</v>
      </c>
      <c r="BL7" s="467" t="s">
        <v>1821</v>
      </c>
      <c r="BM7" s="467" t="s">
        <v>1822</v>
      </c>
      <c r="BN7" s="467" t="s">
        <v>1823</v>
      </c>
      <c r="BO7" s="467" t="s">
        <v>1171</v>
      </c>
      <c r="BP7" s="467" t="s">
        <v>1172</v>
      </c>
      <c r="BQ7" s="467" t="s">
        <v>1824</v>
      </c>
      <c r="BR7" s="467" t="s">
        <v>1825</v>
      </c>
      <c r="BS7" s="467" t="s">
        <v>1428</v>
      </c>
      <c r="BT7" s="467" t="s">
        <v>1826</v>
      </c>
      <c r="BU7" s="467" t="s">
        <v>1827</v>
      </c>
      <c r="BV7" s="467" t="s">
        <v>1434</v>
      </c>
      <c r="BW7" s="467" t="s">
        <v>1828</v>
      </c>
      <c r="BX7" s="467" t="s">
        <v>1829</v>
      </c>
      <c r="BY7" s="467" t="s">
        <v>1102</v>
      </c>
      <c r="BZ7" s="467" t="s">
        <v>1174</v>
      </c>
      <c r="CA7" s="467" t="s">
        <v>1175</v>
      </c>
      <c r="CB7" s="467" t="s">
        <v>1830</v>
      </c>
      <c r="CC7" s="467" t="s">
        <v>1831</v>
      </c>
      <c r="CD7" s="467" t="s">
        <v>14190</v>
      </c>
      <c r="CE7" s="467" t="s">
        <v>1832</v>
      </c>
      <c r="CF7" s="467" t="s">
        <v>1627</v>
      </c>
      <c r="CG7" s="467" t="s">
        <v>1177</v>
      </c>
      <c r="CH7" s="467" t="s">
        <v>1833</v>
      </c>
      <c r="CI7" s="467" t="s">
        <v>1834</v>
      </c>
      <c r="CJ7" s="467" t="s">
        <v>1835</v>
      </c>
      <c r="CK7" s="467" t="s">
        <v>1836</v>
      </c>
      <c r="CL7" s="467" t="s">
        <v>1705</v>
      </c>
      <c r="CM7" s="467" t="s">
        <v>1179</v>
      </c>
      <c r="CN7" s="467" t="s">
        <v>14205</v>
      </c>
      <c r="CO7" s="467" t="s">
        <v>1837</v>
      </c>
      <c r="CP7" s="467" t="s">
        <v>14208</v>
      </c>
      <c r="CQ7" s="467" t="s">
        <v>1443</v>
      </c>
      <c r="CR7" s="467" t="s">
        <v>1444</v>
      </c>
      <c r="CS7" s="467" t="s">
        <v>1182</v>
      </c>
      <c r="CT7" s="467" t="s">
        <v>1838</v>
      </c>
      <c r="CU7" s="467" t="s">
        <v>1183</v>
      </c>
      <c r="CV7" s="467" t="s">
        <v>14213</v>
      </c>
      <c r="CW7" s="467" t="s">
        <v>1839</v>
      </c>
      <c r="CX7" s="467" t="s">
        <v>1841</v>
      </c>
      <c r="CY7" s="467" t="s">
        <v>1842</v>
      </c>
      <c r="CZ7" s="467" t="s">
        <v>1185</v>
      </c>
      <c r="DA7" s="467" t="s">
        <v>1186</v>
      </c>
      <c r="DB7" s="467" t="s">
        <v>1843</v>
      </c>
      <c r="DC7" s="467" t="s">
        <v>1454</v>
      </c>
      <c r="DD7" s="467" t="s">
        <v>1844</v>
      </c>
      <c r="DE7" s="467" t="s">
        <v>1187</v>
      </c>
      <c r="DF7" s="467" t="s">
        <v>1845</v>
      </c>
      <c r="DG7" s="467" t="s">
        <v>1846</v>
      </c>
      <c r="DH7" s="467" t="s">
        <v>14223</v>
      </c>
      <c r="DI7" s="467" t="s">
        <v>1848</v>
      </c>
      <c r="DJ7" s="467" t="s">
        <v>1847</v>
      </c>
      <c r="DK7" s="467" t="s">
        <v>1849</v>
      </c>
      <c r="DL7" s="467" t="s">
        <v>1459</v>
      </c>
      <c r="DM7" s="467" t="s">
        <v>1850</v>
      </c>
      <c r="DN7" s="467" t="s">
        <v>1105</v>
      </c>
      <c r="DO7" s="467" t="s">
        <v>1302</v>
      </c>
      <c r="DP7" s="467" t="s">
        <v>1188</v>
      </c>
      <c r="DQ7" s="467" t="s">
        <v>1851</v>
      </c>
      <c r="DR7" s="467" t="s">
        <v>1852</v>
      </c>
      <c r="DS7" s="467" t="s">
        <v>1107</v>
      </c>
      <c r="DT7" s="467" t="s">
        <v>1109</v>
      </c>
      <c r="DU7" s="467" t="s">
        <v>1305</v>
      </c>
      <c r="DV7" s="467" t="s">
        <v>1306</v>
      </c>
      <c r="DW7" s="467" t="s">
        <v>1189</v>
      </c>
      <c r="DX7" s="467" t="s">
        <v>1190</v>
      </c>
      <c r="DY7" s="467" t="s">
        <v>1474</v>
      </c>
      <c r="DZ7" s="467" t="s">
        <v>1853</v>
      </c>
      <c r="EA7" s="467" t="s">
        <v>1854</v>
      </c>
      <c r="EB7" s="467" t="s">
        <v>1308</v>
      </c>
      <c r="EC7" s="467" t="s">
        <v>1855</v>
      </c>
      <c r="ED7" s="467" t="s">
        <v>14237</v>
      </c>
      <c r="EE7" s="467" t="s">
        <v>1481</v>
      </c>
      <c r="EF7" s="467" t="s">
        <v>1856</v>
      </c>
      <c r="EG7" s="467" t="s">
        <v>1857</v>
      </c>
      <c r="EH7" s="467" t="s">
        <v>1482</v>
      </c>
      <c r="EI7" s="467" t="s">
        <v>1195</v>
      </c>
      <c r="EJ7" s="467" t="s">
        <v>14243</v>
      </c>
      <c r="EK7" s="467" t="s">
        <v>1310</v>
      </c>
      <c r="EL7" s="467" t="s">
        <v>1858</v>
      </c>
      <c r="EM7" s="467" t="s">
        <v>1111</v>
      </c>
      <c r="EN7" s="467" t="s">
        <v>1311</v>
      </c>
      <c r="EO7" s="467" t="s">
        <v>1859</v>
      </c>
      <c r="EP7" s="467" t="s">
        <v>1202</v>
      </c>
      <c r="EQ7" s="467" t="s">
        <v>1494</v>
      </c>
      <c r="ER7" s="467" t="s">
        <v>1861</v>
      </c>
      <c r="ES7" s="467" t="s">
        <v>1862</v>
      </c>
      <c r="ET7" s="467" t="s">
        <v>11413</v>
      </c>
      <c r="EU7" s="467" t="s">
        <v>1863</v>
      </c>
      <c r="EV7" s="467" t="s">
        <v>1205</v>
      </c>
      <c r="EW7" s="467" t="s">
        <v>1497</v>
      </c>
      <c r="EX7" s="467" t="s">
        <v>1112</v>
      </c>
      <c r="EY7" s="467" t="s">
        <v>1207</v>
      </c>
      <c r="EZ7" s="467" t="s">
        <v>1864</v>
      </c>
      <c r="FA7" s="467" t="s">
        <v>1865</v>
      </c>
      <c r="FB7" s="467" t="s">
        <v>1866</v>
      </c>
      <c r="FC7" s="467" t="s">
        <v>1114</v>
      </c>
      <c r="FD7" s="467" t="s">
        <v>1867</v>
      </c>
      <c r="FE7" s="467" t="s">
        <v>1501</v>
      </c>
      <c r="FF7" s="467" t="s">
        <v>1208</v>
      </c>
      <c r="FG7" s="467" t="s">
        <v>1116</v>
      </c>
      <c r="FH7" s="467" t="s">
        <v>1209</v>
      </c>
      <c r="FI7" s="467" t="s">
        <v>14400</v>
      </c>
      <c r="FJ7" s="467" t="s">
        <v>1315</v>
      </c>
      <c r="FK7" s="467" t="s">
        <v>1118</v>
      </c>
      <c r="FL7" s="467" t="s">
        <v>1503</v>
      </c>
      <c r="FM7" s="467" t="s">
        <v>1868</v>
      </c>
      <c r="FN7" s="467" t="s">
        <v>1319</v>
      </c>
      <c r="FO7" s="467" t="s">
        <v>1120</v>
      </c>
      <c r="FP7" s="467" t="s">
        <v>1320</v>
      </c>
      <c r="FQ7" s="467" t="s">
        <v>1869</v>
      </c>
      <c r="FR7" s="467" t="s">
        <v>1870</v>
      </c>
      <c r="FS7" s="467" t="s">
        <v>1871</v>
      </c>
      <c r="FT7" s="467" t="s">
        <v>11414</v>
      </c>
      <c r="FU7" s="467" t="s">
        <v>11387</v>
      </c>
      <c r="FV7" s="467" t="s">
        <v>1872</v>
      </c>
      <c r="FW7" s="467" t="s">
        <v>1321</v>
      </c>
      <c r="FX7" s="467" t="s">
        <v>1322</v>
      </c>
      <c r="FY7" s="467" t="s">
        <v>1323</v>
      </c>
      <c r="FZ7" s="467" t="s">
        <v>1217</v>
      </c>
      <c r="GA7" s="467" t="s">
        <v>1218</v>
      </c>
      <c r="GB7" s="467" t="s">
        <v>11367</v>
      </c>
      <c r="GC7" s="467" t="s">
        <v>1325</v>
      </c>
      <c r="GD7" s="467" t="s">
        <v>1873</v>
      </c>
      <c r="GE7" s="467" t="s">
        <v>11415</v>
      </c>
      <c r="GF7" s="467" t="s">
        <v>1327</v>
      </c>
      <c r="GG7" s="467" t="s">
        <v>1220</v>
      </c>
      <c r="GH7" s="467" t="s">
        <v>1221</v>
      </c>
      <c r="GI7" s="467" t="s">
        <v>1329</v>
      </c>
      <c r="GJ7" s="467" t="s">
        <v>1332</v>
      </c>
      <c r="GK7" s="467" t="s">
        <v>1874</v>
      </c>
      <c r="GL7" s="467" t="s">
        <v>1875</v>
      </c>
      <c r="GM7" s="467" t="s">
        <v>1876</v>
      </c>
      <c r="GN7" s="467" t="s">
        <v>1877</v>
      </c>
      <c r="GO7" s="467" t="s">
        <v>1122</v>
      </c>
      <c r="GP7" s="467" t="s">
        <v>1225</v>
      </c>
      <c r="GQ7" s="467" t="s">
        <v>1226</v>
      </c>
      <c r="GR7" s="467" t="s">
        <v>1227</v>
      </c>
      <c r="GS7" s="467" t="s">
        <v>1878</v>
      </c>
      <c r="GT7" s="467" t="s">
        <v>1879</v>
      </c>
      <c r="GU7" s="467" t="s">
        <v>1880</v>
      </c>
      <c r="GV7" s="467" t="s">
        <v>1228</v>
      </c>
      <c r="GW7" s="467" t="s">
        <v>1881</v>
      </c>
      <c r="GX7" s="467" t="s">
        <v>1534</v>
      </c>
      <c r="GY7" s="467" t="s">
        <v>1535</v>
      </c>
      <c r="GZ7" s="467" t="s">
        <v>1536</v>
      </c>
      <c r="HA7" s="467" t="s">
        <v>1882</v>
      </c>
      <c r="HB7" s="467" t="s">
        <v>1883</v>
      </c>
      <c r="HC7" s="467" t="s">
        <v>1124</v>
      </c>
      <c r="HD7" s="467" t="s">
        <v>1884</v>
      </c>
      <c r="HE7" s="467" t="s">
        <v>1885</v>
      </c>
      <c r="HF7" s="467" t="s">
        <v>1886</v>
      </c>
      <c r="HG7" s="467" t="s">
        <v>1887</v>
      </c>
      <c r="HH7" s="467" t="s">
        <v>1540</v>
      </c>
      <c r="HI7" s="467" t="s">
        <v>1888</v>
      </c>
      <c r="HJ7" s="467" t="s">
        <v>1889</v>
      </c>
      <c r="HK7" s="467" t="s">
        <v>1890</v>
      </c>
      <c r="HL7" s="467" t="s">
        <v>1891</v>
      </c>
      <c r="HM7" s="467" t="s">
        <v>1233</v>
      </c>
      <c r="HN7" s="467" t="s">
        <v>11368</v>
      </c>
      <c r="HO7" s="467" t="s">
        <v>1234</v>
      </c>
      <c r="HP7" s="467" t="s">
        <v>1235</v>
      </c>
      <c r="HQ7" s="467" t="s">
        <v>1126</v>
      </c>
      <c r="HR7" s="467" t="s">
        <v>1128</v>
      </c>
      <c r="HS7" s="467" t="s">
        <v>1892</v>
      </c>
      <c r="HT7" s="467" t="s">
        <v>1893</v>
      </c>
      <c r="HU7" s="467" t="s">
        <v>1341</v>
      </c>
      <c r="HV7" s="467" t="s">
        <v>1342</v>
      </c>
      <c r="HW7" s="467" t="s">
        <v>1894</v>
      </c>
      <c r="HX7" s="467" t="s">
        <v>1895</v>
      </c>
      <c r="HY7" s="467" t="s">
        <v>1896</v>
      </c>
      <c r="HZ7" s="467" t="s">
        <v>1897</v>
      </c>
      <c r="IA7" s="467" t="s">
        <v>1898</v>
      </c>
      <c r="IB7" s="467" t="s">
        <v>1899</v>
      </c>
      <c r="IC7" s="467" t="s">
        <v>1547</v>
      </c>
      <c r="ID7" s="467" t="s">
        <v>1130</v>
      </c>
      <c r="IE7" s="467" t="s">
        <v>1900</v>
      </c>
      <c r="IF7" s="467" t="s">
        <v>1901</v>
      </c>
      <c r="IG7" s="467" t="s">
        <v>1132</v>
      </c>
      <c r="IH7" s="467" t="s">
        <v>11393</v>
      </c>
      <c r="II7" s="467" t="s">
        <v>1902</v>
      </c>
      <c r="IJ7" s="467" t="s">
        <v>1345</v>
      </c>
      <c r="IK7" s="467" t="s">
        <v>11416</v>
      </c>
      <c r="IL7" s="467" t="s">
        <v>1903</v>
      </c>
      <c r="IM7" s="467" t="s">
        <v>1240</v>
      </c>
      <c r="IN7" s="467" t="s">
        <v>1241</v>
      </c>
      <c r="IO7" s="467" t="s">
        <v>1134</v>
      </c>
      <c r="IP7" s="467" t="s">
        <v>14418</v>
      </c>
      <c r="IQ7" s="467" t="s">
        <v>1904</v>
      </c>
      <c r="IR7" s="467" t="s">
        <v>1905</v>
      </c>
      <c r="IS7" s="467" t="s">
        <v>1136</v>
      </c>
      <c r="IT7" s="467" t="s">
        <v>1929</v>
      </c>
      <c r="IU7" s="467" t="s">
        <v>1559</v>
      </c>
      <c r="IV7" s="467" t="s">
        <v>1906</v>
      </c>
      <c r="IW7" s="467" t="s">
        <v>1907</v>
      </c>
      <c r="IX7" s="467" t="s">
        <v>1560</v>
      </c>
      <c r="IY7" s="467" t="s">
        <v>1908</v>
      </c>
      <c r="IZ7" s="467" t="s">
        <v>1909</v>
      </c>
      <c r="JA7" s="467" t="s">
        <v>1910</v>
      </c>
      <c r="JB7" s="467" t="s">
        <v>1911</v>
      </c>
      <c r="JC7" s="467" t="s">
        <v>1912</v>
      </c>
      <c r="JD7" s="467" t="s">
        <v>1913</v>
      </c>
      <c r="JE7" s="467" t="s">
        <v>1914</v>
      </c>
      <c r="JF7" s="467" t="s">
        <v>11417</v>
      </c>
      <c r="JG7" s="467" t="s">
        <v>1915</v>
      </c>
      <c r="JH7" s="467" t="s">
        <v>1916</v>
      </c>
      <c r="JI7" s="467" t="s">
        <v>1245</v>
      </c>
      <c r="JJ7" s="467" t="s">
        <v>1917</v>
      </c>
      <c r="JK7" s="467" t="s">
        <v>1918</v>
      </c>
      <c r="JL7" s="467" t="s">
        <v>14352</v>
      </c>
      <c r="JM7" s="467" t="s">
        <v>1248</v>
      </c>
      <c r="JN7" s="467" t="s">
        <v>11468</v>
      </c>
      <c r="JO7" s="467" t="s">
        <v>1919</v>
      </c>
      <c r="JP7" s="467" t="s">
        <v>1358</v>
      </c>
      <c r="JQ7" s="467" t="s">
        <v>1920</v>
      </c>
      <c r="JR7" s="467" t="s">
        <v>1249</v>
      </c>
      <c r="JS7" s="467" t="s">
        <v>11418</v>
      </c>
      <c r="JT7" s="467" t="s">
        <v>1921</v>
      </c>
      <c r="JU7" s="467" t="s">
        <v>14357</v>
      </c>
      <c r="JV7" s="467" t="s">
        <v>1922</v>
      </c>
      <c r="JW7" s="467" t="s">
        <v>11419</v>
      </c>
      <c r="JX7" s="467" t="s">
        <v>1923</v>
      </c>
      <c r="JY7" s="467" t="s">
        <v>11472</v>
      </c>
      <c r="JZ7" s="467" t="s">
        <v>1252</v>
      </c>
      <c r="KA7" s="467" t="s">
        <v>1253</v>
      </c>
      <c r="KB7" s="467" t="s">
        <v>14365</v>
      </c>
      <c r="KC7" s="467" t="s">
        <v>1924</v>
      </c>
      <c r="KD7" s="467" t="s">
        <v>1575</v>
      </c>
      <c r="KE7" s="467" t="s">
        <v>1138</v>
      </c>
      <c r="KF7" s="467" t="s">
        <v>14371</v>
      </c>
      <c r="KG7" s="467" t="s">
        <v>1926</v>
      </c>
      <c r="KH7" s="467" t="s">
        <v>1369</v>
      </c>
      <c r="KI7" s="467" t="s">
        <v>1927</v>
      </c>
      <c r="KJ7" s="467" t="s">
        <v>1928</v>
      </c>
      <c r="KK7" s="467" t="s">
        <v>1581</v>
      </c>
      <c r="KL7" s="467" t="s">
        <v>1260</v>
      </c>
      <c r="KM7" s="467" t="s">
        <v>1371</v>
      </c>
      <c r="KN7" s="467" t="s">
        <v>14375</v>
      </c>
      <c r="KO7" s="467" t="s">
        <v>1930</v>
      </c>
      <c r="KP7" s="467" t="s">
        <v>11420</v>
      </c>
      <c r="KQ7" s="467" t="s">
        <v>1931</v>
      </c>
      <c r="KR7" s="467" t="s">
        <v>1140</v>
      </c>
      <c r="KS7" s="467" t="s">
        <v>1932</v>
      </c>
      <c r="KT7" s="467" t="s">
        <v>1587</v>
      </c>
      <c r="KU7" s="467" t="s">
        <v>1933</v>
      </c>
      <c r="KV7" s="467" t="s">
        <v>1934</v>
      </c>
      <c r="KW7" s="467" t="s">
        <v>1935</v>
      </c>
      <c r="KX7" s="467" t="s">
        <v>1262</v>
      </c>
      <c r="KY7" s="467" t="s">
        <v>1937</v>
      </c>
      <c r="KZ7" s="467" t="s">
        <v>1938</v>
      </c>
      <c r="LA7" s="467" t="s">
        <v>1939</v>
      </c>
      <c r="LB7" s="467" t="s">
        <v>1940</v>
      </c>
      <c r="LC7" s="467" t="s">
        <v>1264</v>
      </c>
      <c r="LD7" s="467" t="s">
        <v>1941</v>
      </c>
      <c r="LE7" s="467" t="s">
        <v>1942</v>
      </c>
      <c r="LF7" s="467" t="s">
        <v>1944</v>
      </c>
      <c r="LG7" s="467" t="s">
        <v>1945</v>
      </c>
      <c r="LH7" s="467" t="s">
        <v>1946</v>
      </c>
      <c r="LI7" s="467" t="s">
        <v>1607</v>
      </c>
      <c r="LJ7" s="467" t="s">
        <v>1608</v>
      </c>
      <c r="LK7" s="467" t="s">
        <v>1156</v>
      </c>
    </row>
    <row r="8" spans="1:349" x14ac:dyDescent="0.25">
      <c r="A8" s="467" t="s">
        <v>79</v>
      </c>
      <c r="B8" s="467" t="s">
        <v>419</v>
      </c>
      <c r="C8" s="467" t="s">
        <v>1385</v>
      </c>
      <c r="D8" s="467" t="s">
        <v>1386</v>
      </c>
      <c r="E8" s="467" t="s">
        <v>1947</v>
      </c>
      <c r="F8" s="467" t="s">
        <v>11421</v>
      </c>
      <c r="G8" s="467" t="s">
        <v>1088</v>
      </c>
      <c r="H8" s="467" t="s">
        <v>1091</v>
      </c>
      <c r="I8" s="467" t="s">
        <v>14127</v>
      </c>
      <c r="J8" s="467" t="s">
        <v>1093</v>
      </c>
      <c r="K8" s="467" t="s">
        <v>14135</v>
      </c>
      <c r="L8" s="467" t="s">
        <v>1096</v>
      </c>
      <c r="M8" s="467" t="s">
        <v>1151</v>
      </c>
      <c r="N8" s="467" t="s">
        <v>1948</v>
      </c>
      <c r="O8" s="467" t="s">
        <v>1802</v>
      </c>
      <c r="P8" s="467" t="s">
        <v>1098</v>
      </c>
      <c r="Q8" s="467" t="s">
        <v>1949</v>
      </c>
      <c r="R8" s="467" t="s">
        <v>11363</v>
      </c>
      <c r="S8" s="467" t="s">
        <v>1277</v>
      </c>
      <c r="T8" s="467" t="s">
        <v>1278</v>
      </c>
      <c r="U8" s="467" t="s">
        <v>1403</v>
      </c>
      <c r="V8" s="467" t="s">
        <v>1950</v>
      </c>
      <c r="W8" s="467" t="s">
        <v>1808</v>
      </c>
      <c r="X8" s="467" t="s">
        <v>1951</v>
      </c>
      <c r="Y8" s="467" t="s">
        <v>11422</v>
      </c>
      <c r="Z8" s="467" t="s">
        <v>11423</v>
      </c>
      <c r="AA8" s="467" t="s">
        <v>1953</v>
      </c>
      <c r="AB8" s="467" t="s">
        <v>1952</v>
      </c>
      <c r="AC8" s="467" t="s">
        <v>1954</v>
      </c>
      <c r="AD8" s="467" t="s">
        <v>1158</v>
      </c>
      <c r="AE8" s="467" t="s">
        <v>1955</v>
      </c>
      <c r="AF8" s="467" t="s">
        <v>14161</v>
      </c>
      <c r="AG8" s="467" t="s">
        <v>1161</v>
      </c>
      <c r="AH8" s="467" t="s">
        <v>1956</v>
      </c>
      <c r="AI8" s="467" t="s">
        <v>11424</v>
      </c>
      <c r="AJ8" s="467" t="s">
        <v>1957</v>
      </c>
      <c r="AK8" s="467" t="s">
        <v>1958</v>
      </c>
      <c r="AL8" s="467" t="s">
        <v>1164</v>
      </c>
      <c r="AM8" s="467" t="s">
        <v>1959</v>
      </c>
      <c r="AN8" s="467" t="s">
        <v>1960</v>
      </c>
      <c r="AO8" s="467" t="s">
        <v>1961</v>
      </c>
      <c r="AP8" s="467" t="s">
        <v>1962</v>
      </c>
      <c r="AQ8" s="467" t="s">
        <v>1963</v>
      </c>
      <c r="AR8" s="467" t="s">
        <v>1100</v>
      </c>
      <c r="AS8" s="467" t="s">
        <v>1964</v>
      </c>
      <c r="AT8" s="467" t="s">
        <v>1965</v>
      </c>
      <c r="AU8" s="467" t="s">
        <v>1966</v>
      </c>
      <c r="AV8" s="467" t="s">
        <v>1967</v>
      </c>
      <c r="AW8" s="467" t="s">
        <v>1968</v>
      </c>
      <c r="AX8" s="467" t="s">
        <v>1969</v>
      </c>
      <c r="AY8" s="467" t="s">
        <v>1819</v>
      </c>
      <c r="AZ8" s="467" t="s">
        <v>1970</v>
      </c>
      <c r="BA8" s="467" t="s">
        <v>1971</v>
      </c>
      <c r="BB8" s="467" t="s">
        <v>1972</v>
      </c>
      <c r="BC8" s="467" t="s">
        <v>1171</v>
      </c>
      <c r="BD8" s="467" t="s">
        <v>1172</v>
      </c>
      <c r="BE8" s="467" t="s">
        <v>1973</v>
      </c>
      <c r="BF8" s="467" t="s">
        <v>1974</v>
      </c>
      <c r="BG8" s="467" t="s">
        <v>1975</v>
      </c>
      <c r="BH8" s="467" t="s">
        <v>1976</v>
      </c>
      <c r="BI8" s="467" t="s">
        <v>1102</v>
      </c>
      <c r="BJ8" s="467" t="s">
        <v>1174</v>
      </c>
      <c r="BK8" s="467" t="s">
        <v>1175</v>
      </c>
      <c r="BL8" s="467" t="s">
        <v>1977</v>
      </c>
      <c r="BM8" s="467" t="s">
        <v>1978</v>
      </c>
      <c r="BN8" s="467" t="s">
        <v>1177</v>
      </c>
      <c r="BO8" s="467" t="s">
        <v>1979</v>
      </c>
      <c r="BP8" s="467" t="s">
        <v>1980</v>
      </c>
      <c r="BQ8" s="467" t="s">
        <v>1981</v>
      </c>
      <c r="BR8" s="467" t="s">
        <v>1705</v>
      </c>
      <c r="BS8" s="467" t="s">
        <v>1179</v>
      </c>
      <c r="BT8" s="467" t="s">
        <v>14203</v>
      </c>
      <c r="BU8" s="467" t="s">
        <v>1982</v>
      </c>
      <c r="BV8" s="467" t="s">
        <v>1983</v>
      </c>
      <c r="BW8" s="467" t="s">
        <v>1984</v>
      </c>
      <c r="BX8" s="467" t="s">
        <v>14208</v>
      </c>
      <c r="BY8" s="467" t="s">
        <v>14213</v>
      </c>
      <c r="BZ8" s="467" t="s">
        <v>1985</v>
      </c>
      <c r="CA8" s="467" t="s">
        <v>1986</v>
      </c>
      <c r="CB8" s="467" t="s">
        <v>1987</v>
      </c>
      <c r="CC8" s="467" t="s">
        <v>1185</v>
      </c>
      <c r="CD8" s="467" t="s">
        <v>1187</v>
      </c>
      <c r="CE8" s="467" t="s">
        <v>1105</v>
      </c>
      <c r="CF8" s="467" t="s">
        <v>1188</v>
      </c>
      <c r="CG8" s="467" t="s">
        <v>1107</v>
      </c>
      <c r="CH8" s="467" t="s">
        <v>1109</v>
      </c>
      <c r="CI8" s="467" t="s">
        <v>1190</v>
      </c>
      <c r="CJ8" s="467" t="s">
        <v>1988</v>
      </c>
      <c r="CK8" s="467" t="s">
        <v>1989</v>
      </c>
      <c r="CL8" s="467" t="s">
        <v>1195</v>
      </c>
      <c r="CM8" s="467" t="s">
        <v>14243</v>
      </c>
      <c r="CN8" s="467" t="s">
        <v>1310</v>
      </c>
      <c r="CO8" s="467" t="s">
        <v>1197</v>
      </c>
      <c r="CP8" s="467" t="s">
        <v>1111</v>
      </c>
      <c r="CQ8" s="467" t="s">
        <v>1990</v>
      </c>
      <c r="CR8" s="467" t="s">
        <v>1202</v>
      </c>
      <c r="CS8" s="467" t="s">
        <v>1991</v>
      </c>
      <c r="CT8" s="467" t="s">
        <v>1992</v>
      </c>
      <c r="CU8" s="467" t="s">
        <v>1993</v>
      </c>
      <c r="CV8" s="467" t="s">
        <v>1994</v>
      </c>
      <c r="CW8" s="467" t="s">
        <v>1497</v>
      </c>
      <c r="CX8" s="467" t="s">
        <v>1112</v>
      </c>
      <c r="CY8" s="467" t="s">
        <v>1207</v>
      </c>
      <c r="CZ8" s="467" t="s">
        <v>1114</v>
      </c>
      <c r="DA8" s="467" t="s">
        <v>1995</v>
      </c>
      <c r="DB8" s="467" t="s">
        <v>1996</v>
      </c>
      <c r="DC8" s="467" t="s">
        <v>1998</v>
      </c>
      <c r="DD8" s="467" t="s">
        <v>14400</v>
      </c>
      <c r="DE8" s="467" t="s">
        <v>1503</v>
      </c>
      <c r="DF8" s="467" t="s">
        <v>1997</v>
      </c>
      <c r="DG8" s="467" t="s">
        <v>1120</v>
      </c>
      <c r="DH8" s="467" t="s">
        <v>1320</v>
      </c>
      <c r="DI8" s="467" t="s">
        <v>1999</v>
      </c>
      <c r="DJ8" s="467" t="s">
        <v>2000</v>
      </c>
      <c r="DK8" s="467" t="s">
        <v>1217</v>
      </c>
      <c r="DL8" s="467" t="s">
        <v>1218</v>
      </c>
      <c r="DM8" s="467" t="s">
        <v>2001</v>
      </c>
      <c r="DN8" s="467" t="s">
        <v>1219</v>
      </c>
      <c r="DO8" s="467" t="s">
        <v>1221</v>
      </c>
      <c r="DP8" s="467" t="s">
        <v>2002</v>
      </c>
      <c r="DQ8" s="467" t="s">
        <v>1122</v>
      </c>
      <c r="DR8" s="467" t="s">
        <v>1225</v>
      </c>
      <c r="DS8" s="467" t="s">
        <v>1226</v>
      </c>
      <c r="DT8" s="467" t="s">
        <v>1227</v>
      </c>
      <c r="DU8" s="467" t="s">
        <v>2003</v>
      </c>
      <c r="DV8" s="467" t="s">
        <v>2004</v>
      </c>
      <c r="DW8" s="467" t="s">
        <v>2005</v>
      </c>
      <c r="DX8" s="467" t="s">
        <v>1228</v>
      </c>
      <c r="DY8" s="467" t="s">
        <v>2006</v>
      </c>
      <c r="DZ8" s="467" t="s">
        <v>1124</v>
      </c>
      <c r="EA8" s="467" t="s">
        <v>2007</v>
      </c>
      <c r="EB8" s="467" t="s">
        <v>2008</v>
      </c>
      <c r="EC8" s="467" t="s">
        <v>2011</v>
      </c>
      <c r="ED8" s="467" t="s">
        <v>1233</v>
      </c>
      <c r="EE8" s="467" t="s">
        <v>11368</v>
      </c>
      <c r="EF8" s="467" t="s">
        <v>2009</v>
      </c>
      <c r="EG8" s="467" t="s">
        <v>1234</v>
      </c>
      <c r="EH8" s="467" t="s">
        <v>1235</v>
      </c>
      <c r="EI8" s="467" t="s">
        <v>1126</v>
      </c>
      <c r="EJ8" s="467" t="s">
        <v>1128</v>
      </c>
      <c r="EK8" s="467" t="s">
        <v>2010</v>
      </c>
      <c r="EL8" s="467" t="s">
        <v>1342</v>
      </c>
      <c r="EM8" s="467" t="s">
        <v>2012</v>
      </c>
      <c r="EN8" s="467" t="s">
        <v>2013</v>
      </c>
      <c r="EO8" s="467" t="s">
        <v>1898</v>
      </c>
      <c r="EP8" s="467" t="s">
        <v>2015</v>
      </c>
      <c r="EQ8" s="467" t="s">
        <v>2016</v>
      </c>
      <c r="ER8" s="467" t="s">
        <v>2017</v>
      </c>
      <c r="ES8" s="467" t="s">
        <v>1132</v>
      </c>
      <c r="ET8" s="467" t="s">
        <v>2018</v>
      </c>
      <c r="EU8" s="467" t="s">
        <v>1345</v>
      </c>
      <c r="EV8" s="467" t="s">
        <v>2019</v>
      </c>
      <c r="EW8" s="467" t="s">
        <v>1240</v>
      </c>
      <c r="EX8" s="467" t="s">
        <v>1241</v>
      </c>
      <c r="EY8" s="467" t="s">
        <v>1134</v>
      </c>
      <c r="EZ8" s="467" t="s">
        <v>2020</v>
      </c>
      <c r="FA8" s="467" t="s">
        <v>14418</v>
      </c>
      <c r="FB8" s="467" t="s">
        <v>1136</v>
      </c>
      <c r="FC8" s="467" t="s">
        <v>2022</v>
      </c>
      <c r="FD8" s="467" t="s">
        <v>2021</v>
      </c>
      <c r="FE8" s="467" t="s">
        <v>1559</v>
      </c>
      <c r="FF8" s="467" t="s">
        <v>2023</v>
      </c>
      <c r="FG8" s="467" t="s">
        <v>2024</v>
      </c>
      <c r="FH8" s="467" t="s">
        <v>11425</v>
      </c>
      <c r="FI8" s="467" t="s">
        <v>2025</v>
      </c>
      <c r="FJ8" s="467" t="s">
        <v>2026</v>
      </c>
      <c r="FK8" s="467" t="s">
        <v>2027</v>
      </c>
      <c r="FL8" s="467" t="s">
        <v>2028</v>
      </c>
      <c r="FM8" s="467" t="s">
        <v>14331</v>
      </c>
      <c r="FN8" s="467" t="s">
        <v>11426</v>
      </c>
      <c r="FO8" s="467" t="s">
        <v>2029</v>
      </c>
      <c r="FP8" s="467" t="s">
        <v>2030</v>
      </c>
      <c r="FQ8" s="467" t="s">
        <v>2031</v>
      </c>
      <c r="FR8" s="467" t="s">
        <v>2032</v>
      </c>
      <c r="FS8" s="467" t="s">
        <v>1245</v>
      </c>
      <c r="FT8" s="467" t="s">
        <v>2033</v>
      </c>
      <c r="FU8" s="467" t="s">
        <v>2034</v>
      </c>
      <c r="FV8" s="467" t="s">
        <v>2035</v>
      </c>
      <c r="FW8" s="467" t="s">
        <v>2036</v>
      </c>
      <c r="FX8" s="467" t="s">
        <v>2037</v>
      </c>
      <c r="FY8" s="467" t="s">
        <v>2038</v>
      </c>
      <c r="FZ8" s="467" t="s">
        <v>2039</v>
      </c>
      <c r="GA8" s="467" t="s">
        <v>1248</v>
      </c>
      <c r="GB8" s="467" t="s">
        <v>14354</v>
      </c>
      <c r="GC8" s="467" t="s">
        <v>2040</v>
      </c>
      <c r="GD8" s="467" t="s">
        <v>2041</v>
      </c>
      <c r="GE8" s="467" t="s">
        <v>1249</v>
      </c>
      <c r="GF8" s="467" t="s">
        <v>2042</v>
      </c>
      <c r="GG8" s="467" t="s">
        <v>11427</v>
      </c>
      <c r="GH8" s="467" t="s">
        <v>11475</v>
      </c>
      <c r="GI8" s="467" t="s">
        <v>14421</v>
      </c>
      <c r="GJ8" s="467" t="s">
        <v>2043</v>
      </c>
      <c r="GK8" s="467" t="s">
        <v>1252</v>
      </c>
      <c r="GL8" s="467" t="s">
        <v>1253</v>
      </c>
      <c r="GM8" s="467" t="s">
        <v>2044</v>
      </c>
      <c r="GN8" s="467" t="s">
        <v>1138</v>
      </c>
      <c r="GO8" s="467" t="s">
        <v>2045</v>
      </c>
      <c r="GP8" s="467" t="s">
        <v>11428</v>
      </c>
      <c r="GQ8" s="467" t="s">
        <v>2046</v>
      </c>
      <c r="GR8" s="467" t="s">
        <v>1260</v>
      </c>
      <c r="GS8" s="467" t="s">
        <v>1371</v>
      </c>
      <c r="GT8" s="467" t="s">
        <v>2047</v>
      </c>
      <c r="GU8" s="467" t="s">
        <v>2048</v>
      </c>
      <c r="GV8" s="467" t="s">
        <v>1140</v>
      </c>
      <c r="GW8" s="467" t="s">
        <v>14422</v>
      </c>
      <c r="GX8" s="467" t="s">
        <v>2049</v>
      </c>
      <c r="GY8" s="467" t="s">
        <v>1262</v>
      </c>
      <c r="GZ8" s="467" t="s">
        <v>2050</v>
      </c>
      <c r="HA8" s="467" t="s">
        <v>2051</v>
      </c>
      <c r="HB8" s="467" t="s">
        <v>1264</v>
      </c>
      <c r="HC8" s="467" t="s">
        <v>14386</v>
      </c>
      <c r="HD8" s="467" t="s">
        <v>14388</v>
      </c>
      <c r="HE8" s="467" t="s">
        <v>2052</v>
      </c>
      <c r="HF8" s="467" t="s">
        <v>2053</v>
      </c>
      <c r="HG8" s="467" t="s">
        <v>1156</v>
      </c>
    </row>
    <row r="9" spans="1:349" x14ac:dyDescent="0.25">
      <c r="A9" s="467" t="s">
        <v>79</v>
      </c>
      <c r="B9" s="467" t="s">
        <v>420</v>
      </c>
      <c r="C9" s="467" t="s">
        <v>2054</v>
      </c>
      <c r="D9" s="467" t="s">
        <v>1609</v>
      </c>
      <c r="E9" s="467" t="s">
        <v>1147</v>
      </c>
      <c r="F9" s="467" t="s">
        <v>1093</v>
      </c>
      <c r="G9" s="467" t="s">
        <v>1668</v>
      </c>
      <c r="H9" s="467" t="s">
        <v>2055</v>
      </c>
      <c r="I9" s="467" t="s">
        <v>1096</v>
      </c>
      <c r="J9" s="467" t="s">
        <v>1151</v>
      </c>
      <c r="K9" s="467" t="s">
        <v>1948</v>
      </c>
      <c r="L9" s="467" t="s">
        <v>1672</v>
      </c>
      <c r="M9" s="467" t="s">
        <v>2057</v>
      </c>
      <c r="N9" s="467" t="s">
        <v>1616</v>
      </c>
      <c r="O9" s="467" t="s">
        <v>11363</v>
      </c>
      <c r="P9" s="467" t="s">
        <v>2058</v>
      </c>
      <c r="Q9" s="467" t="s">
        <v>2059</v>
      </c>
      <c r="R9" s="467" t="s">
        <v>1277</v>
      </c>
      <c r="S9" s="467" t="s">
        <v>2060</v>
      </c>
      <c r="T9" s="467" t="s">
        <v>1278</v>
      </c>
      <c r="U9" s="467" t="s">
        <v>1403</v>
      </c>
      <c r="V9" s="467" t="s">
        <v>2061</v>
      </c>
      <c r="W9" s="467" t="s">
        <v>14144</v>
      </c>
      <c r="X9" s="467" t="s">
        <v>2062</v>
      </c>
      <c r="Y9" s="467" t="s">
        <v>2063</v>
      </c>
      <c r="Z9" s="467" t="s">
        <v>2064</v>
      </c>
      <c r="AA9" s="467" t="s">
        <v>2065</v>
      </c>
      <c r="AB9" s="467" t="s">
        <v>1157</v>
      </c>
      <c r="AC9" s="467" t="s">
        <v>1158</v>
      </c>
      <c r="AD9" s="467" t="s">
        <v>2066</v>
      </c>
      <c r="AE9" s="467" t="s">
        <v>2067</v>
      </c>
      <c r="AF9" s="467" t="s">
        <v>2068</v>
      </c>
      <c r="AG9" s="467" t="s">
        <v>2069</v>
      </c>
      <c r="AH9" s="467" t="s">
        <v>2070</v>
      </c>
      <c r="AI9" s="467" t="s">
        <v>1164</v>
      </c>
      <c r="AJ9" s="467" t="s">
        <v>11429</v>
      </c>
      <c r="AK9" s="467" t="s">
        <v>1961</v>
      </c>
      <c r="AL9" s="467" t="s">
        <v>1100</v>
      </c>
      <c r="AM9" s="467" t="s">
        <v>2071</v>
      </c>
      <c r="AN9" s="467" t="s">
        <v>2072</v>
      </c>
      <c r="AO9" s="467" t="s">
        <v>2073</v>
      </c>
      <c r="AP9" s="467" t="s">
        <v>11430</v>
      </c>
      <c r="AQ9" s="467" t="s">
        <v>2074</v>
      </c>
      <c r="AR9" s="467" t="s">
        <v>1819</v>
      </c>
      <c r="AS9" s="467" t="s">
        <v>2076</v>
      </c>
      <c r="AT9" s="467" t="s">
        <v>1167</v>
      </c>
      <c r="AU9" s="467" t="s">
        <v>1171</v>
      </c>
      <c r="AV9" s="467" t="s">
        <v>1172</v>
      </c>
      <c r="AW9" s="467" t="s">
        <v>1173</v>
      </c>
      <c r="AX9" s="467" t="s">
        <v>14189</v>
      </c>
      <c r="AY9" s="467" t="s">
        <v>1975</v>
      </c>
      <c r="AZ9" s="467" t="s">
        <v>2077</v>
      </c>
      <c r="BA9" s="467" t="s">
        <v>1102</v>
      </c>
      <c r="BB9" s="467" t="s">
        <v>2078</v>
      </c>
      <c r="BC9" s="467" t="s">
        <v>1174</v>
      </c>
      <c r="BD9" s="467" t="s">
        <v>2079</v>
      </c>
      <c r="BE9" s="467" t="s">
        <v>1832</v>
      </c>
      <c r="BF9" s="467" t="s">
        <v>14192</v>
      </c>
      <c r="BG9" s="467" t="s">
        <v>1177</v>
      </c>
      <c r="BH9" s="467" t="s">
        <v>1705</v>
      </c>
      <c r="BI9" s="467" t="s">
        <v>1179</v>
      </c>
      <c r="BJ9" s="467" t="s">
        <v>2080</v>
      </c>
      <c r="BK9" s="467" t="s">
        <v>14208</v>
      </c>
      <c r="BL9" s="467" t="s">
        <v>1183</v>
      </c>
      <c r="BM9" s="467" t="s">
        <v>14213</v>
      </c>
      <c r="BN9" s="467" t="s">
        <v>14215</v>
      </c>
      <c r="BO9" s="467" t="s">
        <v>1185</v>
      </c>
      <c r="BP9" s="467" t="s">
        <v>1186</v>
      </c>
      <c r="BQ9" s="467" t="s">
        <v>2081</v>
      </c>
      <c r="BR9" s="467" t="s">
        <v>2082</v>
      </c>
      <c r="BS9" s="467" t="s">
        <v>2083</v>
      </c>
      <c r="BT9" s="467" t="s">
        <v>2084</v>
      </c>
      <c r="BU9" s="467" t="s">
        <v>1105</v>
      </c>
      <c r="BV9" s="467" t="s">
        <v>2085</v>
      </c>
      <c r="BW9" s="467" t="s">
        <v>1188</v>
      </c>
      <c r="BX9" s="467" t="s">
        <v>2086</v>
      </c>
      <c r="BY9" s="467" t="s">
        <v>1107</v>
      </c>
      <c r="BZ9" s="467" t="s">
        <v>14226</v>
      </c>
      <c r="CA9" s="467" t="s">
        <v>1714</v>
      </c>
      <c r="CB9" s="467" t="s">
        <v>1109</v>
      </c>
      <c r="CC9" s="467" t="s">
        <v>1633</v>
      </c>
      <c r="CD9" s="467" t="s">
        <v>1634</v>
      </c>
      <c r="CE9" s="467" t="s">
        <v>1190</v>
      </c>
      <c r="CF9" s="467" t="s">
        <v>1195</v>
      </c>
      <c r="CG9" s="467" t="s">
        <v>14243</v>
      </c>
      <c r="CH9" s="467" t="s">
        <v>1310</v>
      </c>
      <c r="CI9" s="467" t="s">
        <v>2087</v>
      </c>
      <c r="CJ9" s="467" t="s">
        <v>1202</v>
      </c>
      <c r="CK9" s="467" t="s">
        <v>1203</v>
      </c>
      <c r="CL9" s="467" t="s">
        <v>2088</v>
      </c>
      <c r="CM9" s="467" t="s">
        <v>2089</v>
      </c>
      <c r="CN9" s="467" t="s">
        <v>1205</v>
      </c>
      <c r="CO9" s="467" t="s">
        <v>1994</v>
      </c>
      <c r="CP9" s="467" t="s">
        <v>1497</v>
      </c>
      <c r="CQ9" s="467" t="s">
        <v>1112</v>
      </c>
      <c r="CR9" s="467" t="s">
        <v>1207</v>
      </c>
      <c r="CS9" s="467" t="s">
        <v>1739</v>
      </c>
      <c r="CT9" s="467" t="s">
        <v>1208</v>
      </c>
      <c r="CU9" s="467" t="s">
        <v>1209</v>
      </c>
      <c r="CV9" s="467" t="s">
        <v>1210</v>
      </c>
      <c r="CW9" s="467" t="s">
        <v>14400</v>
      </c>
      <c r="CX9" s="467" t="s">
        <v>2090</v>
      </c>
      <c r="CY9" s="467" t="s">
        <v>1503</v>
      </c>
      <c r="CZ9" s="467" t="s">
        <v>2091</v>
      </c>
      <c r="DA9" s="467" t="s">
        <v>11431</v>
      </c>
      <c r="DB9" s="467" t="s">
        <v>11414</v>
      </c>
      <c r="DC9" s="467" t="s">
        <v>1321</v>
      </c>
      <c r="DD9" s="467" t="s">
        <v>1217</v>
      </c>
      <c r="DE9" s="467" t="s">
        <v>1218</v>
      </c>
      <c r="DF9" s="467" t="s">
        <v>11367</v>
      </c>
      <c r="DG9" s="467" t="s">
        <v>1219</v>
      </c>
      <c r="DH9" s="467" t="s">
        <v>2092</v>
      </c>
      <c r="DI9" s="467" t="s">
        <v>1220</v>
      </c>
      <c r="DJ9" s="467" t="s">
        <v>1221</v>
      </c>
      <c r="DK9" s="467" t="s">
        <v>1223</v>
      </c>
      <c r="DL9" s="467" t="s">
        <v>1224</v>
      </c>
      <c r="DM9" s="467" t="s">
        <v>1122</v>
      </c>
      <c r="DN9" s="467" t="s">
        <v>1225</v>
      </c>
      <c r="DO9" s="467" t="s">
        <v>2093</v>
      </c>
      <c r="DP9" s="467" t="s">
        <v>1226</v>
      </c>
      <c r="DQ9" s="467" t="s">
        <v>1748</v>
      </c>
      <c r="DR9" s="467" t="s">
        <v>1228</v>
      </c>
      <c r="DS9" s="467" t="s">
        <v>1648</v>
      </c>
      <c r="DT9" s="467" t="s">
        <v>2094</v>
      </c>
      <c r="DU9" s="467" t="s">
        <v>2095</v>
      </c>
      <c r="DV9" s="467" t="s">
        <v>1124</v>
      </c>
      <c r="DW9" s="467" t="s">
        <v>2008</v>
      </c>
      <c r="DX9" s="467" t="s">
        <v>1233</v>
      </c>
      <c r="DY9" s="467" t="s">
        <v>11368</v>
      </c>
      <c r="DZ9" s="467" t="s">
        <v>1234</v>
      </c>
      <c r="EA9" s="467" t="s">
        <v>2096</v>
      </c>
      <c r="EB9" s="467" t="s">
        <v>1235</v>
      </c>
      <c r="EC9" s="467" t="s">
        <v>1126</v>
      </c>
      <c r="ED9" s="467" t="s">
        <v>2097</v>
      </c>
      <c r="EE9" s="467" t="s">
        <v>2099</v>
      </c>
      <c r="EF9" s="467" t="s">
        <v>2100</v>
      </c>
      <c r="EG9" s="467" t="s">
        <v>2101</v>
      </c>
      <c r="EH9" s="467" t="s">
        <v>2102</v>
      </c>
      <c r="EI9" s="467" t="s">
        <v>11432</v>
      </c>
      <c r="EJ9" s="467" t="s">
        <v>2103</v>
      </c>
      <c r="EK9" s="467" t="s">
        <v>2104</v>
      </c>
      <c r="EL9" s="467" t="s">
        <v>2105</v>
      </c>
      <c r="EM9" s="467" t="s">
        <v>2106</v>
      </c>
      <c r="EN9" s="467" t="s">
        <v>2107</v>
      </c>
      <c r="EO9" s="467" t="s">
        <v>2108</v>
      </c>
      <c r="EP9" s="467" t="s">
        <v>2109</v>
      </c>
      <c r="EQ9" s="467" t="s">
        <v>2110</v>
      </c>
      <c r="ER9" s="467" t="s">
        <v>2111</v>
      </c>
      <c r="ES9" s="467" t="s">
        <v>2112</v>
      </c>
      <c r="ET9" s="467" t="s">
        <v>1240</v>
      </c>
      <c r="EU9" s="467" t="s">
        <v>1241</v>
      </c>
      <c r="EV9" s="467" t="s">
        <v>1134</v>
      </c>
      <c r="EW9" s="467" t="s">
        <v>1242</v>
      </c>
      <c r="EX9" s="467" t="s">
        <v>2113</v>
      </c>
      <c r="EY9" s="467" t="s">
        <v>1559</v>
      </c>
      <c r="EZ9" s="467" t="s">
        <v>11464</v>
      </c>
      <c r="FA9" s="467" t="s">
        <v>1245</v>
      </c>
      <c r="FB9" s="467" t="s">
        <v>2114</v>
      </c>
      <c r="FC9" s="467" t="s">
        <v>2116</v>
      </c>
      <c r="FD9" s="467" t="s">
        <v>2115</v>
      </c>
      <c r="FE9" s="467" t="s">
        <v>2117</v>
      </c>
      <c r="FF9" s="467" t="s">
        <v>11433</v>
      </c>
      <c r="FG9" s="467" t="s">
        <v>2118</v>
      </c>
      <c r="FH9" s="467" t="s">
        <v>1247</v>
      </c>
      <c r="FI9" s="467" t="s">
        <v>1248</v>
      </c>
      <c r="FJ9" s="467" t="s">
        <v>1249</v>
      </c>
      <c r="FK9" s="467" t="s">
        <v>2119</v>
      </c>
      <c r="FL9" s="467" t="s">
        <v>14355</v>
      </c>
      <c r="FM9" s="467" t="s">
        <v>11434</v>
      </c>
      <c r="FN9" s="467" t="s">
        <v>11435</v>
      </c>
      <c r="FO9" s="467" t="s">
        <v>2120</v>
      </c>
      <c r="FP9" s="467" t="s">
        <v>2121</v>
      </c>
      <c r="FQ9" s="467" t="s">
        <v>2122</v>
      </c>
      <c r="FR9" s="467" t="s">
        <v>1253</v>
      </c>
      <c r="FS9" s="467" t="s">
        <v>2123</v>
      </c>
      <c r="FT9" s="467" t="s">
        <v>1258</v>
      </c>
      <c r="FU9" s="467" t="s">
        <v>2124</v>
      </c>
      <c r="FV9" s="467" t="s">
        <v>1259</v>
      </c>
      <c r="FW9" s="467" t="s">
        <v>2125</v>
      </c>
      <c r="FX9" s="467" t="s">
        <v>1260</v>
      </c>
      <c r="FY9" s="467" t="s">
        <v>1261</v>
      </c>
      <c r="FZ9" s="467" t="s">
        <v>1371</v>
      </c>
      <c r="GA9" s="467" t="s">
        <v>2047</v>
      </c>
      <c r="GB9" s="467" t="s">
        <v>2126</v>
      </c>
      <c r="GC9" s="467" t="s">
        <v>1590</v>
      </c>
      <c r="GD9" s="467" t="s">
        <v>2127</v>
      </c>
      <c r="GE9" s="467" t="s">
        <v>2128</v>
      </c>
      <c r="GF9" s="467" t="s">
        <v>1262</v>
      </c>
      <c r="GG9" s="467" t="s">
        <v>2129</v>
      </c>
      <c r="GH9" s="467" t="s">
        <v>1264</v>
      </c>
      <c r="GI9" s="467" t="s">
        <v>14385</v>
      </c>
      <c r="GJ9" s="467" t="s">
        <v>11436</v>
      </c>
      <c r="GK9" s="467" t="s">
        <v>2130</v>
      </c>
      <c r="GL9" s="467" t="s">
        <v>2131</v>
      </c>
      <c r="GM9" s="467" t="s">
        <v>2052</v>
      </c>
      <c r="GN9" s="467" t="s">
        <v>2133</v>
      </c>
      <c r="GO9" s="467" t="s">
        <v>11437</v>
      </c>
      <c r="GP9" s="467" t="s">
        <v>2132</v>
      </c>
      <c r="GQ9" s="467" t="s">
        <v>1266</v>
      </c>
      <c r="GR9" s="467" t="s">
        <v>1156</v>
      </c>
    </row>
    <row r="10" spans="1:349" x14ac:dyDescent="0.25">
      <c r="A10" s="467" t="s">
        <v>79</v>
      </c>
      <c r="B10" s="467" t="s">
        <v>421</v>
      </c>
      <c r="C10" s="467" t="s">
        <v>1193</v>
      </c>
      <c r="D10" s="467" t="s">
        <v>2134</v>
      </c>
      <c r="E10" s="467" t="s">
        <v>1143</v>
      </c>
      <c r="F10" s="467" t="s">
        <v>1145</v>
      </c>
      <c r="G10" s="467" t="s">
        <v>1146</v>
      </c>
      <c r="H10" s="467" t="s">
        <v>1093</v>
      </c>
      <c r="I10" s="467" t="s">
        <v>1148</v>
      </c>
      <c r="J10" s="467" t="s">
        <v>2135</v>
      </c>
      <c r="K10" s="467" t="s">
        <v>1668</v>
      </c>
      <c r="L10" s="467" t="s">
        <v>1096</v>
      </c>
      <c r="M10" s="467" t="s">
        <v>1149</v>
      </c>
      <c r="N10" s="467" t="s">
        <v>1151</v>
      </c>
      <c r="O10" s="467" t="s">
        <v>11363</v>
      </c>
      <c r="P10" s="467" t="s">
        <v>1618</v>
      </c>
      <c r="Q10" s="467" t="s">
        <v>1278</v>
      </c>
      <c r="R10" s="467" t="s">
        <v>1403</v>
      </c>
      <c r="S10" s="467" t="s">
        <v>2136</v>
      </c>
      <c r="T10" s="467" t="s">
        <v>14146</v>
      </c>
      <c r="U10" s="467" t="s">
        <v>2137</v>
      </c>
      <c r="V10" s="467" t="s">
        <v>1621</v>
      </c>
      <c r="W10" s="467" t="s">
        <v>2138</v>
      </c>
      <c r="X10" s="467" t="s">
        <v>1160</v>
      </c>
      <c r="Y10" s="467" t="s">
        <v>1623</v>
      </c>
      <c r="Z10" s="467" t="s">
        <v>1161</v>
      </c>
      <c r="AA10" s="467" t="s">
        <v>1411</v>
      </c>
      <c r="AB10" s="467" t="s">
        <v>2139</v>
      </c>
      <c r="AC10" s="467" t="s">
        <v>11438</v>
      </c>
      <c r="AD10" s="467" t="s">
        <v>2140</v>
      </c>
      <c r="AE10" s="467" t="s">
        <v>1164</v>
      </c>
      <c r="AF10" s="467" t="s">
        <v>1100</v>
      </c>
      <c r="AG10" s="467" t="s">
        <v>2142</v>
      </c>
      <c r="AH10" s="467" t="s">
        <v>2143</v>
      </c>
      <c r="AI10" s="467" t="s">
        <v>1167</v>
      </c>
      <c r="AJ10" s="467" t="s">
        <v>1171</v>
      </c>
      <c r="AK10" s="467" t="s">
        <v>1172</v>
      </c>
      <c r="AL10" s="467" t="s">
        <v>2144</v>
      </c>
      <c r="AM10" s="467" t="s">
        <v>1173</v>
      </c>
      <c r="AN10" s="467" t="s">
        <v>2145</v>
      </c>
      <c r="AO10" s="467" t="s">
        <v>1174</v>
      </c>
      <c r="AP10" s="467" t="s">
        <v>2146</v>
      </c>
      <c r="AQ10" s="467" t="s">
        <v>1178</v>
      </c>
      <c r="AR10" s="467" t="s">
        <v>2147</v>
      </c>
      <c r="AS10" s="467" t="s">
        <v>1705</v>
      </c>
      <c r="AT10" s="467" t="s">
        <v>2148</v>
      </c>
      <c r="AU10" s="467" t="s">
        <v>14208</v>
      </c>
      <c r="AV10" s="467" t="s">
        <v>2149</v>
      </c>
      <c r="AW10" s="467" t="s">
        <v>2150</v>
      </c>
      <c r="AX10" s="467" t="s">
        <v>1183</v>
      </c>
      <c r="AY10" s="467" t="s">
        <v>2151</v>
      </c>
      <c r="AZ10" s="467" t="s">
        <v>1185</v>
      </c>
      <c r="BA10" s="467" t="s">
        <v>1186</v>
      </c>
      <c r="BB10" s="467" t="s">
        <v>14220</v>
      </c>
      <c r="BC10" s="467" t="s">
        <v>2152</v>
      </c>
      <c r="BD10" s="467" t="s">
        <v>2153</v>
      </c>
      <c r="BE10" s="467" t="s">
        <v>2154</v>
      </c>
      <c r="BF10" s="467" t="s">
        <v>1630</v>
      </c>
      <c r="BG10" s="467" t="s">
        <v>1105</v>
      </c>
      <c r="BH10" s="467" t="s">
        <v>2155</v>
      </c>
      <c r="BI10" s="467" t="s">
        <v>1188</v>
      </c>
      <c r="BJ10" s="467" t="s">
        <v>1107</v>
      </c>
      <c r="BK10" s="467" t="s">
        <v>1109</v>
      </c>
      <c r="BL10" s="467" t="s">
        <v>2157</v>
      </c>
      <c r="BM10" s="467" t="s">
        <v>2158</v>
      </c>
      <c r="BN10" s="467" t="s">
        <v>2159</v>
      </c>
      <c r="BO10" s="467" t="s">
        <v>2160</v>
      </c>
      <c r="BP10" s="467" t="s">
        <v>2156</v>
      </c>
      <c r="BQ10" s="467" t="s">
        <v>1633</v>
      </c>
      <c r="BR10" s="467" t="s">
        <v>1634</v>
      </c>
      <c r="BS10" s="467" t="s">
        <v>1190</v>
      </c>
      <c r="BT10" s="467" t="s">
        <v>2161</v>
      </c>
      <c r="BU10" s="467" t="s">
        <v>1717</v>
      </c>
      <c r="BV10" s="467" t="s">
        <v>11401</v>
      </c>
      <c r="BW10" s="467" t="s">
        <v>2162</v>
      </c>
      <c r="BX10" s="467" t="s">
        <v>2163</v>
      </c>
      <c r="BY10" s="467" t="s">
        <v>1638</v>
      </c>
      <c r="BZ10" s="467" t="s">
        <v>1639</v>
      </c>
      <c r="CA10" s="467" t="s">
        <v>2164</v>
      </c>
      <c r="CB10" s="467" t="s">
        <v>2165</v>
      </c>
      <c r="CC10" s="467" t="s">
        <v>1195</v>
      </c>
      <c r="CD10" s="467" t="s">
        <v>1196</v>
      </c>
      <c r="CE10" s="467" t="s">
        <v>2166</v>
      </c>
      <c r="CF10" s="467" t="s">
        <v>1726</v>
      </c>
      <c r="CG10" s="467" t="s">
        <v>14243</v>
      </c>
      <c r="CH10" s="467" t="s">
        <v>1310</v>
      </c>
      <c r="CI10" s="467" t="s">
        <v>1197</v>
      </c>
      <c r="CJ10" s="467" t="s">
        <v>1199</v>
      </c>
      <c r="CK10" s="467" t="s">
        <v>1200</v>
      </c>
      <c r="CL10" s="467" t="s">
        <v>1203</v>
      </c>
      <c r="CM10" s="467" t="s">
        <v>1732</v>
      </c>
      <c r="CN10" s="467" t="s">
        <v>2167</v>
      </c>
      <c r="CO10" s="467" t="s">
        <v>2168</v>
      </c>
      <c r="CP10" s="467" t="s">
        <v>1497</v>
      </c>
      <c r="CQ10" s="467" t="s">
        <v>1112</v>
      </c>
      <c r="CR10" s="467" t="s">
        <v>1739</v>
      </c>
      <c r="CS10" s="467" t="s">
        <v>1208</v>
      </c>
      <c r="CT10" s="467" t="s">
        <v>1209</v>
      </c>
      <c r="CU10" s="467" t="s">
        <v>14400</v>
      </c>
      <c r="CV10" s="467" t="s">
        <v>1503</v>
      </c>
      <c r="CW10" s="467" t="s">
        <v>1645</v>
      </c>
      <c r="CX10" s="467" t="s">
        <v>1120</v>
      </c>
      <c r="CY10" s="467" t="s">
        <v>1216</v>
      </c>
      <c r="CZ10" s="467" t="s">
        <v>2169</v>
      </c>
      <c r="DA10" s="467" t="s">
        <v>1221</v>
      </c>
      <c r="DB10" s="467" t="s">
        <v>1329</v>
      </c>
      <c r="DC10" s="467" t="s">
        <v>1223</v>
      </c>
      <c r="DD10" s="467" t="s">
        <v>1224</v>
      </c>
      <c r="DE10" s="467" t="s">
        <v>2170</v>
      </c>
      <c r="DF10" s="467" t="s">
        <v>2171</v>
      </c>
      <c r="DG10" s="467" t="s">
        <v>1122</v>
      </c>
      <c r="DH10" s="467" t="s">
        <v>1225</v>
      </c>
      <c r="DI10" s="467" t="s">
        <v>1227</v>
      </c>
      <c r="DJ10" s="467" t="s">
        <v>1228</v>
      </c>
      <c r="DK10" s="467" t="s">
        <v>1648</v>
      </c>
      <c r="DL10" s="467" t="s">
        <v>1124</v>
      </c>
      <c r="DM10" s="467" t="s">
        <v>2172</v>
      </c>
      <c r="DN10" s="467" t="s">
        <v>2173</v>
      </c>
      <c r="DO10" s="467" t="s">
        <v>1233</v>
      </c>
      <c r="DP10" s="467" t="s">
        <v>11368</v>
      </c>
      <c r="DQ10" s="467" t="s">
        <v>1234</v>
      </c>
      <c r="DR10" s="467" t="s">
        <v>1235</v>
      </c>
      <c r="DS10" s="467" t="s">
        <v>1126</v>
      </c>
      <c r="DT10" s="467" t="s">
        <v>1238</v>
      </c>
      <c r="DU10" s="467" t="s">
        <v>1130</v>
      </c>
      <c r="DV10" s="467" t="s">
        <v>2174</v>
      </c>
      <c r="DW10" s="467" t="s">
        <v>11439</v>
      </c>
      <c r="DX10" s="467" t="s">
        <v>1240</v>
      </c>
      <c r="DY10" s="467" t="s">
        <v>1134</v>
      </c>
      <c r="DZ10" s="467" t="s">
        <v>1656</v>
      </c>
      <c r="EA10" s="467" t="s">
        <v>2175</v>
      </c>
      <c r="EB10" s="467" t="s">
        <v>2176</v>
      </c>
      <c r="EC10" s="467" t="s">
        <v>1559</v>
      </c>
      <c r="ED10" s="467" t="s">
        <v>2177</v>
      </c>
      <c r="EE10" s="467" t="s">
        <v>1245</v>
      </c>
      <c r="EF10" s="467" t="s">
        <v>2178</v>
      </c>
      <c r="EG10" s="467" t="s">
        <v>2179</v>
      </c>
      <c r="EH10" s="467" t="s">
        <v>11466</v>
      </c>
      <c r="EI10" s="467" t="s">
        <v>2180</v>
      </c>
      <c r="EJ10" s="467" t="s">
        <v>1249</v>
      </c>
      <c r="EK10" s="467" t="s">
        <v>2181</v>
      </c>
      <c r="EL10" s="467" t="s">
        <v>2182</v>
      </c>
      <c r="EM10" s="467" t="s">
        <v>2183</v>
      </c>
      <c r="EN10" s="467" t="s">
        <v>1253</v>
      </c>
      <c r="EO10" s="467" t="s">
        <v>2184</v>
      </c>
      <c r="EP10" s="467" t="s">
        <v>11476</v>
      </c>
      <c r="EQ10" s="467" t="s">
        <v>2185</v>
      </c>
      <c r="ER10" s="467" t="s">
        <v>1368</v>
      </c>
      <c r="ES10" s="467" t="s">
        <v>1257</v>
      </c>
      <c r="ET10" s="467" t="s">
        <v>1260</v>
      </c>
      <c r="EU10" s="467" t="s">
        <v>2186</v>
      </c>
      <c r="EV10" s="467" t="s">
        <v>2187</v>
      </c>
      <c r="EW10" s="467" t="s">
        <v>2188</v>
      </c>
      <c r="EX10" s="467" t="s">
        <v>1262</v>
      </c>
      <c r="EY10" s="467" t="s">
        <v>2189</v>
      </c>
      <c r="EZ10" s="467" t="s">
        <v>2190</v>
      </c>
      <c r="FA10" s="467" t="s">
        <v>14389</v>
      </c>
      <c r="FB10" s="467" t="s">
        <v>2191</v>
      </c>
      <c r="FC10" s="467" t="s">
        <v>2192</v>
      </c>
      <c r="FD10" s="467" t="s">
        <v>1789</v>
      </c>
      <c r="FE10" s="467" t="s">
        <v>1266</v>
      </c>
      <c r="FF10" s="467" t="s">
        <v>1156</v>
      </c>
    </row>
    <row r="11" spans="1:349" x14ac:dyDescent="0.25">
      <c r="A11" s="467" t="s">
        <v>423</v>
      </c>
      <c r="B11" s="467" t="s">
        <v>422</v>
      </c>
      <c r="C11" s="467" t="s">
        <v>1100</v>
      </c>
      <c r="D11" s="467" t="s">
        <v>1185</v>
      </c>
      <c r="E11" s="467" t="s">
        <v>1107</v>
      </c>
      <c r="F11" s="467" t="s">
        <v>1109</v>
      </c>
      <c r="G11" s="467" t="s">
        <v>1189</v>
      </c>
      <c r="H11" s="467" t="s">
        <v>1202</v>
      </c>
      <c r="I11" s="467" t="s">
        <v>1112</v>
      </c>
      <c r="J11" s="467" t="s">
        <v>1114</v>
      </c>
      <c r="K11" s="467" t="s">
        <v>1217</v>
      </c>
      <c r="L11" s="467" t="s">
        <v>1218</v>
      </c>
      <c r="M11" s="467" t="s">
        <v>1126</v>
      </c>
      <c r="N11" s="467" t="s">
        <v>1899</v>
      </c>
      <c r="O11" s="467" t="s">
        <v>1130</v>
      </c>
      <c r="P11" s="467" t="s">
        <v>1134</v>
      </c>
      <c r="Q11" s="467" t="s">
        <v>1919</v>
      </c>
      <c r="R11" s="467" t="s">
        <v>1249</v>
      </c>
      <c r="S11" s="467" t="s">
        <v>1262</v>
      </c>
      <c r="T11" s="467" t="s">
        <v>1942</v>
      </c>
    </row>
    <row r="12" spans="1:349" x14ac:dyDescent="0.25">
      <c r="A12" s="467" t="s">
        <v>425</v>
      </c>
      <c r="B12" s="467" t="s">
        <v>424</v>
      </c>
      <c r="C12" s="467" t="s">
        <v>1096</v>
      </c>
      <c r="D12" s="467" t="s">
        <v>1623</v>
      </c>
      <c r="E12" s="467" t="s">
        <v>1698</v>
      </c>
      <c r="F12" s="467" t="s">
        <v>1102</v>
      </c>
      <c r="G12" s="467" t="s">
        <v>1105</v>
      </c>
      <c r="H12" s="467" t="s">
        <v>1107</v>
      </c>
      <c r="I12" s="467" t="s">
        <v>1109</v>
      </c>
      <c r="J12" s="467" t="s">
        <v>1190</v>
      </c>
      <c r="K12" s="467" t="s">
        <v>11454</v>
      </c>
      <c r="L12" s="467" t="s">
        <v>1738</v>
      </c>
      <c r="M12" s="467" t="s">
        <v>1503</v>
      </c>
      <c r="N12" s="467" t="s">
        <v>1223</v>
      </c>
      <c r="O12" s="467" t="s">
        <v>1245</v>
      </c>
      <c r="P12" s="467" t="s">
        <v>11398</v>
      </c>
      <c r="Q12" s="467" t="s">
        <v>1253</v>
      </c>
      <c r="R12" s="467" t="s">
        <v>1785</v>
      </c>
    </row>
    <row r="13" spans="1:349" x14ac:dyDescent="0.25">
      <c r="A13" s="467" t="s">
        <v>427</v>
      </c>
      <c r="B13" s="467" t="s">
        <v>426</v>
      </c>
      <c r="C13" s="467" t="s">
        <v>1147</v>
      </c>
      <c r="D13" s="467" t="s">
        <v>1093</v>
      </c>
      <c r="E13" s="467" t="s">
        <v>1096</v>
      </c>
      <c r="F13" s="467" t="s">
        <v>1170</v>
      </c>
      <c r="G13" s="467" t="s">
        <v>1171</v>
      </c>
      <c r="H13" s="467" t="s">
        <v>1173</v>
      </c>
      <c r="I13" s="467" t="s">
        <v>1178</v>
      </c>
      <c r="J13" s="467" t="s">
        <v>1180</v>
      </c>
      <c r="K13" s="467" t="s">
        <v>14208</v>
      </c>
      <c r="L13" s="467" t="s">
        <v>1105</v>
      </c>
      <c r="M13" s="467" t="s">
        <v>1107</v>
      </c>
      <c r="N13" s="467" t="s">
        <v>1203</v>
      </c>
      <c r="O13" s="467" t="s">
        <v>1112</v>
      </c>
      <c r="P13" s="467" t="s">
        <v>1215</v>
      </c>
      <c r="Q13" s="467" t="s">
        <v>11367</v>
      </c>
      <c r="R13" s="467" t="s">
        <v>1223</v>
      </c>
      <c r="S13" s="467" t="s">
        <v>1122</v>
      </c>
      <c r="T13" s="467" t="s">
        <v>1226</v>
      </c>
      <c r="U13" s="467" t="s">
        <v>1228</v>
      </c>
      <c r="V13" s="467" t="s">
        <v>1124</v>
      </c>
      <c r="W13" s="467" t="s">
        <v>1233</v>
      </c>
      <c r="X13" s="467" t="s">
        <v>1236</v>
      </c>
      <c r="Y13" s="467" t="s">
        <v>1134</v>
      </c>
      <c r="Z13" s="467" t="s">
        <v>1249</v>
      </c>
      <c r="AA13" s="467" t="s">
        <v>1253</v>
      </c>
      <c r="AB13" s="467" t="s">
        <v>1256</v>
      </c>
      <c r="AC13" s="467" t="s">
        <v>1265</v>
      </c>
    </row>
    <row r="14" spans="1:349" x14ac:dyDescent="0.25">
      <c r="A14" s="467" t="s">
        <v>429</v>
      </c>
      <c r="B14" s="467" t="s">
        <v>428</v>
      </c>
      <c r="C14" s="467" t="s">
        <v>11411</v>
      </c>
      <c r="D14" s="467" t="s">
        <v>1091</v>
      </c>
      <c r="E14" s="467" t="s">
        <v>1096</v>
      </c>
      <c r="F14" s="467" t="s">
        <v>1802</v>
      </c>
      <c r="G14" s="467" t="s">
        <v>1161</v>
      </c>
      <c r="H14" s="467" t="s">
        <v>1100</v>
      </c>
      <c r="I14" s="467" t="s">
        <v>14208</v>
      </c>
      <c r="J14" s="467" t="s">
        <v>1187</v>
      </c>
      <c r="K14" s="467" t="s">
        <v>1105</v>
      </c>
      <c r="L14" s="467" t="s">
        <v>1107</v>
      </c>
      <c r="M14" s="467" t="s">
        <v>1109</v>
      </c>
      <c r="N14" s="467" t="s">
        <v>1189</v>
      </c>
      <c r="O14" s="467" t="s">
        <v>1858</v>
      </c>
      <c r="P14" s="467" t="s">
        <v>1202</v>
      </c>
      <c r="Q14" s="467" t="s">
        <v>1863</v>
      </c>
      <c r="R14" s="467" t="s">
        <v>1114</v>
      </c>
      <c r="S14" s="467" t="s">
        <v>1120</v>
      </c>
      <c r="T14" s="467" t="s">
        <v>1217</v>
      </c>
      <c r="U14" s="467" t="s">
        <v>1220</v>
      </c>
      <c r="V14" s="467" t="s">
        <v>1122</v>
      </c>
      <c r="W14" s="467" t="s">
        <v>1124</v>
      </c>
      <c r="X14" s="467" t="s">
        <v>1126</v>
      </c>
      <c r="Y14" s="467" t="s">
        <v>1892</v>
      </c>
      <c r="Z14" s="467" t="s">
        <v>1899</v>
      </c>
      <c r="AA14" s="467" t="s">
        <v>1130</v>
      </c>
      <c r="AB14" s="467" t="s">
        <v>11416</v>
      </c>
      <c r="AC14" s="467" t="s">
        <v>1134</v>
      </c>
      <c r="AD14" s="467" t="s">
        <v>1136</v>
      </c>
      <c r="AE14" s="467" t="s">
        <v>1249</v>
      </c>
      <c r="AF14" s="467" t="s">
        <v>1587</v>
      </c>
      <c r="AG14" s="467" t="s">
        <v>1942</v>
      </c>
    </row>
    <row r="15" spans="1:349" x14ac:dyDescent="0.25">
      <c r="A15" s="467" t="s">
        <v>431</v>
      </c>
      <c r="B15" s="467" t="s">
        <v>430</v>
      </c>
      <c r="C15" s="467" t="s">
        <v>1145</v>
      </c>
      <c r="D15" s="467" t="s">
        <v>1096</v>
      </c>
      <c r="E15" s="467" t="s">
        <v>11363</v>
      </c>
      <c r="F15" s="467" t="s">
        <v>1171</v>
      </c>
      <c r="G15" s="467" t="s">
        <v>1173</v>
      </c>
      <c r="H15" s="467" t="s">
        <v>1178</v>
      </c>
      <c r="I15" s="467" t="s">
        <v>1179</v>
      </c>
      <c r="J15" s="467" t="s">
        <v>1180</v>
      </c>
      <c r="K15" s="467" t="s">
        <v>14208</v>
      </c>
      <c r="L15" s="467" t="s">
        <v>1105</v>
      </c>
      <c r="M15" s="467" t="s">
        <v>1109</v>
      </c>
      <c r="N15" s="467" t="s">
        <v>1190</v>
      </c>
      <c r="O15" s="467" t="s">
        <v>1202</v>
      </c>
      <c r="P15" s="467" t="s">
        <v>1112</v>
      </c>
      <c r="Q15" s="467" t="s">
        <v>1215</v>
      </c>
      <c r="R15" s="467" t="s">
        <v>1220</v>
      </c>
      <c r="S15" s="467" t="s">
        <v>1122</v>
      </c>
      <c r="T15" s="467" t="s">
        <v>1225</v>
      </c>
      <c r="U15" s="467" t="s">
        <v>1226</v>
      </c>
      <c r="V15" s="467" t="s">
        <v>1228</v>
      </c>
      <c r="W15" s="467" t="s">
        <v>1126</v>
      </c>
      <c r="X15" s="467" t="s">
        <v>1134</v>
      </c>
      <c r="Y15" s="467" t="s">
        <v>1249</v>
      </c>
      <c r="Z15" s="467" t="s">
        <v>1253</v>
      </c>
      <c r="AA15" s="467" t="s">
        <v>1261</v>
      </c>
    </row>
    <row r="16" spans="1:349" x14ac:dyDescent="0.25">
      <c r="A16" s="467" t="s">
        <v>433</v>
      </c>
      <c r="B16" s="467" t="s">
        <v>432</v>
      </c>
      <c r="C16" s="467" t="s">
        <v>1143</v>
      </c>
      <c r="D16" s="467" t="s">
        <v>1093</v>
      </c>
      <c r="E16" s="467" t="s">
        <v>1096</v>
      </c>
      <c r="F16" s="467" t="s">
        <v>1801</v>
      </c>
      <c r="G16" s="467" t="s">
        <v>1100</v>
      </c>
      <c r="H16" s="467" t="s">
        <v>1175</v>
      </c>
      <c r="I16" s="467" t="s">
        <v>1443</v>
      </c>
      <c r="J16" s="467" t="s">
        <v>1105</v>
      </c>
      <c r="K16" s="467" t="s">
        <v>1107</v>
      </c>
      <c r="L16" s="467" t="s">
        <v>1109</v>
      </c>
      <c r="M16" s="467" t="s">
        <v>1189</v>
      </c>
      <c r="N16" s="467" t="s">
        <v>1190</v>
      </c>
      <c r="O16" s="467" t="s">
        <v>1202</v>
      </c>
      <c r="P16" s="467" t="s">
        <v>1114</v>
      </c>
      <c r="Q16" s="467" t="s">
        <v>1217</v>
      </c>
      <c r="R16" s="467" t="s">
        <v>1218</v>
      </c>
      <c r="S16" s="467" t="s">
        <v>11367</v>
      </c>
      <c r="T16" s="467" t="s">
        <v>1122</v>
      </c>
      <c r="U16" s="467" t="s">
        <v>1225</v>
      </c>
      <c r="V16" s="467" t="s">
        <v>1124</v>
      </c>
      <c r="W16" s="467" t="s">
        <v>1233</v>
      </c>
      <c r="X16" s="467" t="s">
        <v>11368</v>
      </c>
      <c r="Y16" s="467" t="s">
        <v>1234</v>
      </c>
      <c r="Z16" s="467" t="s">
        <v>1126</v>
      </c>
      <c r="AA16" s="467" t="s">
        <v>1130</v>
      </c>
      <c r="AB16" s="467" t="s">
        <v>1249</v>
      </c>
      <c r="AC16" s="467" t="s">
        <v>1253</v>
      </c>
      <c r="AD16" s="467" t="s">
        <v>1928</v>
      </c>
      <c r="AE16" s="467" t="s">
        <v>1935</v>
      </c>
    </row>
    <row r="17" spans="1:84" x14ac:dyDescent="0.25">
      <c r="A17" s="467" t="s">
        <v>435</v>
      </c>
      <c r="B17" s="467" t="s">
        <v>434</v>
      </c>
      <c r="C17" s="467" t="s">
        <v>1096</v>
      </c>
      <c r="D17" s="467" t="s">
        <v>1283</v>
      </c>
      <c r="E17" s="467" t="s">
        <v>1100</v>
      </c>
      <c r="F17" s="467" t="s">
        <v>1293</v>
      </c>
      <c r="G17" s="467" t="s">
        <v>1102</v>
      </c>
      <c r="H17" s="467" t="s">
        <v>1294</v>
      </c>
      <c r="I17" s="467" t="s">
        <v>1296</v>
      </c>
      <c r="J17" s="467" t="s">
        <v>14208</v>
      </c>
      <c r="K17" s="467" t="s">
        <v>14210</v>
      </c>
      <c r="L17" s="467" t="s">
        <v>1187</v>
      </c>
      <c r="M17" s="467" t="s">
        <v>1105</v>
      </c>
      <c r="N17" s="467" t="s">
        <v>1109</v>
      </c>
      <c r="O17" s="467" t="s">
        <v>1190</v>
      </c>
      <c r="P17" s="467" t="s">
        <v>1112</v>
      </c>
      <c r="Q17" s="467" t="s">
        <v>1218</v>
      </c>
      <c r="R17" s="467" t="s">
        <v>11367</v>
      </c>
      <c r="S17" s="467" t="s">
        <v>1326</v>
      </c>
      <c r="T17" s="467" t="s">
        <v>1228</v>
      </c>
      <c r="U17" s="467" t="s">
        <v>1124</v>
      </c>
      <c r="V17" s="467" t="s">
        <v>1235</v>
      </c>
      <c r="W17" s="467" t="s">
        <v>1126</v>
      </c>
      <c r="X17" s="467" t="s">
        <v>11375</v>
      </c>
      <c r="Y17" s="467" t="s">
        <v>1360</v>
      </c>
      <c r="Z17" s="467" t="s">
        <v>1368</v>
      </c>
    </row>
    <row r="18" spans="1:84" x14ac:dyDescent="0.25">
      <c r="A18" s="467" t="s">
        <v>437</v>
      </c>
      <c r="B18" s="467" t="s">
        <v>436</v>
      </c>
      <c r="C18" s="467" t="s">
        <v>1096</v>
      </c>
      <c r="D18" s="467" t="s">
        <v>1100</v>
      </c>
      <c r="E18" s="467" t="s">
        <v>1420</v>
      </c>
      <c r="F18" s="467" t="s">
        <v>1174</v>
      </c>
      <c r="G18" s="467" t="s">
        <v>1294</v>
      </c>
      <c r="H18" s="467" t="s">
        <v>1105</v>
      </c>
      <c r="I18" s="467" t="s">
        <v>1107</v>
      </c>
      <c r="J18" s="467" t="s">
        <v>1311</v>
      </c>
      <c r="K18" s="467" t="s">
        <v>1202</v>
      </c>
      <c r="L18" s="467" t="s">
        <v>1494</v>
      </c>
      <c r="M18" s="467" t="s">
        <v>1112</v>
      </c>
      <c r="N18" s="467" t="s">
        <v>1114</v>
      </c>
      <c r="O18" s="467" t="s">
        <v>1315</v>
      </c>
      <c r="P18" s="467" t="s">
        <v>1316</v>
      </c>
      <c r="Q18" s="467" t="s">
        <v>1319</v>
      </c>
      <c r="R18" s="467" t="s">
        <v>1120</v>
      </c>
      <c r="S18" s="467" t="s">
        <v>1220</v>
      </c>
      <c r="T18" s="467" t="s">
        <v>1332</v>
      </c>
      <c r="U18" s="467" t="s">
        <v>1225</v>
      </c>
      <c r="V18" s="467" t="s">
        <v>1126</v>
      </c>
      <c r="W18" s="467" t="s">
        <v>1547</v>
      </c>
      <c r="X18" s="467" t="s">
        <v>1130</v>
      </c>
      <c r="Y18" s="467" t="s">
        <v>1346</v>
      </c>
      <c r="Z18" s="467" t="s">
        <v>1253</v>
      </c>
      <c r="AA18" s="467" t="s">
        <v>1608</v>
      </c>
    </row>
    <row r="19" spans="1:84" x14ac:dyDescent="0.25">
      <c r="A19" s="467" t="s">
        <v>439</v>
      </c>
      <c r="B19" s="467" t="s">
        <v>438</v>
      </c>
      <c r="C19" s="467" t="s">
        <v>1385</v>
      </c>
      <c r="D19" s="467" t="s">
        <v>1391</v>
      </c>
      <c r="E19" s="467" t="s">
        <v>1096</v>
      </c>
      <c r="F19" s="467" t="s">
        <v>1270</v>
      </c>
      <c r="G19" s="467" t="s">
        <v>1151</v>
      </c>
      <c r="H19" s="467" t="s">
        <v>1277</v>
      </c>
      <c r="I19" s="467" t="s">
        <v>1403</v>
      </c>
      <c r="J19" s="467" t="s">
        <v>1161</v>
      </c>
      <c r="K19" s="467" t="s">
        <v>1417</v>
      </c>
      <c r="L19" s="467" t="s">
        <v>1100</v>
      </c>
      <c r="M19" s="467" t="s">
        <v>1692</v>
      </c>
      <c r="N19" s="467" t="s">
        <v>14179</v>
      </c>
      <c r="O19" s="467" t="s">
        <v>1172</v>
      </c>
      <c r="P19" s="467" t="s">
        <v>11385</v>
      </c>
      <c r="Q19" s="467" t="s">
        <v>1435</v>
      </c>
      <c r="R19" s="467" t="s">
        <v>1102</v>
      </c>
      <c r="S19" s="467" t="s">
        <v>1174</v>
      </c>
      <c r="T19" s="467" t="s">
        <v>1439</v>
      </c>
      <c r="U19" s="467" t="s">
        <v>14208</v>
      </c>
      <c r="V19" s="467" t="s">
        <v>1185</v>
      </c>
      <c r="W19" s="467" t="s">
        <v>1458</v>
      </c>
      <c r="X19" s="467" t="s">
        <v>1462</v>
      </c>
      <c r="Y19" s="467" t="s">
        <v>1107</v>
      </c>
      <c r="Z19" s="467" t="s">
        <v>1308</v>
      </c>
      <c r="AA19" s="467" t="s">
        <v>1489</v>
      </c>
      <c r="AB19" s="467" t="s">
        <v>1202</v>
      </c>
      <c r="AC19" s="467" t="s">
        <v>1112</v>
      </c>
      <c r="AD19" s="467" t="s">
        <v>1315</v>
      </c>
      <c r="AE19" s="467" t="s">
        <v>1319</v>
      </c>
      <c r="AF19" s="467" t="s">
        <v>1120</v>
      </c>
      <c r="AG19" s="467" t="s">
        <v>1510</v>
      </c>
      <c r="AH19" s="467" t="s">
        <v>1511</v>
      </c>
      <c r="AI19" s="467" t="s">
        <v>1321</v>
      </c>
      <c r="AJ19" s="467" t="s">
        <v>1322</v>
      </c>
      <c r="AK19" s="467" t="s">
        <v>1217</v>
      </c>
      <c r="AL19" s="467" t="s">
        <v>11367</v>
      </c>
      <c r="AM19" s="467" t="s">
        <v>1513</v>
      </c>
      <c r="AN19" s="467" t="s">
        <v>1325</v>
      </c>
      <c r="AO19" s="467" t="s">
        <v>1514</v>
      </c>
      <c r="AP19" s="467" t="s">
        <v>1327</v>
      </c>
      <c r="AQ19" s="467" t="s">
        <v>1220</v>
      </c>
      <c r="AR19" s="467" t="s">
        <v>1221</v>
      </c>
      <c r="AS19" s="467" t="s">
        <v>1332</v>
      </c>
      <c r="AT19" s="467" t="s">
        <v>1122</v>
      </c>
      <c r="AU19" s="467" t="s">
        <v>1124</v>
      </c>
      <c r="AV19" s="467" t="s">
        <v>1230</v>
      </c>
      <c r="AW19" s="467" t="s">
        <v>1235</v>
      </c>
      <c r="AX19" s="467" t="s">
        <v>1126</v>
      </c>
      <c r="AY19" s="467" t="s">
        <v>1342</v>
      </c>
      <c r="AZ19" s="467" t="s">
        <v>1130</v>
      </c>
      <c r="BA19" s="467" t="s">
        <v>1558</v>
      </c>
      <c r="BB19" s="467" t="s">
        <v>1245</v>
      </c>
      <c r="BC19" s="467" t="s">
        <v>1569</v>
      </c>
      <c r="BD19" s="467" t="s">
        <v>1249</v>
      </c>
      <c r="BE19" s="467" t="s">
        <v>1362</v>
      </c>
      <c r="BF19" s="467" t="s">
        <v>1376</v>
      </c>
      <c r="BG19" s="467" t="s">
        <v>1597</v>
      </c>
      <c r="BH19" s="467" t="s">
        <v>1262</v>
      </c>
      <c r="BI19" s="467" t="s">
        <v>1599</v>
      </c>
      <c r="BJ19" s="467" t="s">
        <v>1264</v>
      </c>
    </row>
    <row r="20" spans="1:84" x14ac:dyDescent="0.25">
      <c r="A20" s="467" t="s">
        <v>441</v>
      </c>
      <c r="B20" s="467" t="s">
        <v>440</v>
      </c>
      <c r="C20" s="467" t="s">
        <v>1145</v>
      </c>
      <c r="D20" s="467" t="s">
        <v>1146</v>
      </c>
      <c r="E20" s="467" t="s">
        <v>1096</v>
      </c>
      <c r="F20" s="467" t="s">
        <v>11363</v>
      </c>
      <c r="G20" s="467" t="s">
        <v>14208</v>
      </c>
      <c r="H20" s="467" t="s">
        <v>1183</v>
      </c>
      <c r="I20" s="467" t="s">
        <v>1185</v>
      </c>
      <c r="J20" s="467" t="s">
        <v>1105</v>
      </c>
      <c r="K20" s="467" t="s">
        <v>2155</v>
      </c>
      <c r="L20" s="467" t="s">
        <v>1107</v>
      </c>
      <c r="M20" s="467" t="s">
        <v>1633</v>
      </c>
      <c r="N20" s="467" t="s">
        <v>1190</v>
      </c>
      <c r="O20" s="467" t="s">
        <v>1717</v>
      </c>
      <c r="P20" s="467" t="s">
        <v>1726</v>
      </c>
      <c r="Q20" s="467" t="s">
        <v>1209</v>
      </c>
      <c r="R20" s="467" t="s">
        <v>1221</v>
      </c>
      <c r="S20" s="467" t="s">
        <v>1122</v>
      </c>
      <c r="T20" s="467" t="s">
        <v>1124</v>
      </c>
      <c r="U20" s="467" t="s">
        <v>1235</v>
      </c>
      <c r="V20" s="467" t="s">
        <v>1126</v>
      </c>
      <c r="W20" s="467" t="s">
        <v>1238</v>
      </c>
      <c r="X20" s="467" t="s">
        <v>1249</v>
      </c>
      <c r="Y20" s="467" t="s">
        <v>1253</v>
      </c>
      <c r="Z20" s="467" t="s">
        <v>1257</v>
      </c>
      <c r="AA20" s="467" t="s">
        <v>2187</v>
      </c>
      <c r="AB20" s="467" t="s">
        <v>1789</v>
      </c>
    </row>
    <row r="21" spans="1:84" x14ac:dyDescent="0.25">
      <c r="A21" s="467" t="s">
        <v>443</v>
      </c>
      <c r="B21" s="467" t="s">
        <v>442</v>
      </c>
      <c r="C21" s="467" t="s">
        <v>1143</v>
      </c>
      <c r="D21" s="467" t="s">
        <v>1096</v>
      </c>
      <c r="E21" s="467" t="s">
        <v>1167</v>
      </c>
      <c r="F21" s="467" t="s">
        <v>14178</v>
      </c>
      <c r="G21" s="467" t="s">
        <v>1174</v>
      </c>
      <c r="H21" s="467" t="s">
        <v>1107</v>
      </c>
      <c r="I21" s="467" t="s">
        <v>1190</v>
      </c>
      <c r="J21" s="467" t="s">
        <v>1209</v>
      </c>
      <c r="K21" s="467" t="s">
        <v>1122</v>
      </c>
      <c r="L21" s="467" t="s">
        <v>1228</v>
      </c>
      <c r="M21" s="467" t="s">
        <v>1235</v>
      </c>
      <c r="N21" s="467" t="s">
        <v>1126</v>
      </c>
      <c r="O21" s="467" t="s">
        <v>1760</v>
      </c>
      <c r="P21" s="467" t="s">
        <v>1769</v>
      </c>
      <c r="Q21" s="467" t="s">
        <v>11398</v>
      </c>
      <c r="R21" s="467" t="s">
        <v>1253</v>
      </c>
    </row>
    <row r="22" spans="1:84" x14ac:dyDescent="0.25">
      <c r="A22" s="467" t="s">
        <v>445</v>
      </c>
      <c r="B22" s="467" t="s">
        <v>444</v>
      </c>
      <c r="C22" s="467" t="s">
        <v>1093</v>
      </c>
      <c r="D22" s="467" t="s">
        <v>1096</v>
      </c>
      <c r="E22" s="467" t="s">
        <v>1276</v>
      </c>
      <c r="F22" s="467" t="s">
        <v>1283</v>
      </c>
      <c r="G22" s="467" t="s">
        <v>1164</v>
      </c>
      <c r="H22" s="467" t="s">
        <v>1100</v>
      </c>
      <c r="I22" s="467" t="s">
        <v>1102</v>
      </c>
      <c r="J22" s="467" t="s">
        <v>1294</v>
      </c>
      <c r="K22" s="467" t="s">
        <v>1296</v>
      </c>
      <c r="L22" s="467" t="s">
        <v>1188</v>
      </c>
      <c r="M22" s="467" t="s">
        <v>1107</v>
      </c>
      <c r="N22" s="467" t="s">
        <v>1109</v>
      </c>
      <c r="O22" s="467" t="s">
        <v>1311</v>
      </c>
      <c r="P22" s="467" t="s">
        <v>1202</v>
      </c>
      <c r="Q22" s="467" t="s">
        <v>1112</v>
      </c>
      <c r="R22" s="467" t="s">
        <v>1114</v>
      </c>
      <c r="S22" s="467" t="s">
        <v>1210</v>
      </c>
      <c r="T22" s="467" t="s">
        <v>14400</v>
      </c>
      <c r="U22" s="467" t="s">
        <v>1319</v>
      </c>
      <c r="V22" s="467" t="s">
        <v>1218</v>
      </c>
      <c r="W22" s="467" t="s">
        <v>1332</v>
      </c>
      <c r="X22" s="467" t="s">
        <v>1122</v>
      </c>
      <c r="Y22" s="467" t="s">
        <v>1234</v>
      </c>
      <c r="Z22" s="467" t="s">
        <v>1126</v>
      </c>
      <c r="AA22" s="467" t="s">
        <v>1346</v>
      </c>
      <c r="AB22" s="467" t="s">
        <v>1349</v>
      </c>
      <c r="AC22" s="467" t="s">
        <v>1249</v>
      </c>
      <c r="AD22" s="467" t="s">
        <v>1364</v>
      </c>
    </row>
    <row r="23" spans="1:84" x14ac:dyDescent="0.25">
      <c r="A23" s="467" t="s">
        <v>447</v>
      </c>
      <c r="B23" s="467" t="s">
        <v>446</v>
      </c>
      <c r="C23" s="467" t="s">
        <v>1386</v>
      </c>
      <c r="D23" s="467" t="s">
        <v>1091</v>
      </c>
      <c r="E23" s="467" t="s">
        <v>14127</v>
      </c>
      <c r="F23" s="467" t="s">
        <v>1093</v>
      </c>
      <c r="G23" s="467" t="s">
        <v>1096</v>
      </c>
      <c r="H23" s="467" t="s">
        <v>1098</v>
      </c>
      <c r="I23" s="467" t="s">
        <v>1100</v>
      </c>
      <c r="J23" s="467" t="s">
        <v>1175</v>
      </c>
      <c r="K23" s="467" t="s">
        <v>1177</v>
      </c>
      <c r="L23" s="467" t="s">
        <v>14208</v>
      </c>
      <c r="M23" s="467" t="s">
        <v>1444</v>
      </c>
      <c r="N23" s="467" t="s">
        <v>1187</v>
      </c>
      <c r="O23" s="467" t="s">
        <v>1105</v>
      </c>
      <c r="P23" s="467" t="s">
        <v>1107</v>
      </c>
      <c r="Q23" s="467" t="s">
        <v>1109</v>
      </c>
      <c r="R23" s="467" t="s">
        <v>1305</v>
      </c>
      <c r="S23" s="467" t="s">
        <v>1857</v>
      </c>
      <c r="T23" s="467" t="s">
        <v>1202</v>
      </c>
      <c r="U23" s="467" t="s">
        <v>1112</v>
      </c>
      <c r="V23" s="467" t="s">
        <v>1114</v>
      </c>
      <c r="W23" s="467" t="s">
        <v>1217</v>
      </c>
      <c r="X23" s="467" t="s">
        <v>1122</v>
      </c>
      <c r="Y23" s="467" t="s">
        <v>1227</v>
      </c>
      <c r="Z23" s="467" t="s">
        <v>1233</v>
      </c>
      <c r="AA23" s="467" t="s">
        <v>11368</v>
      </c>
      <c r="AB23" s="467" t="s">
        <v>1126</v>
      </c>
      <c r="AC23" s="467" t="s">
        <v>1892</v>
      </c>
      <c r="AD23" s="467" t="s">
        <v>1897</v>
      </c>
      <c r="AE23" s="467" t="s">
        <v>1130</v>
      </c>
      <c r="AF23" s="467" t="s">
        <v>1132</v>
      </c>
      <c r="AG23" s="467" t="s">
        <v>1240</v>
      </c>
      <c r="AH23" s="467" t="s">
        <v>1134</v>
      </c>
      <c r="AI23" s="467" t="s">
        <v>1245</v>
      </c>
      <c r="AJ23" s="467" t="s">
        <v>1249</v>
      </c>
      <c r="AK23" s="467" t="s">
        <v>1138</v>
      </c>
      <c r="AL23" s="467" t="s">
        <v>1140</v>
      </c>
      <c r="AM23" s="467" t="s">
        <v>1946</v>
      </c>
    </row>
    <row r="24" spans="1:84" x14ac:dyDescent="0.25">
      <c r="A24" s="467" t="s">
        <v>449</v>
      </c>
      <c r="B24" s="467" t="s">
        <v>448</v>
      </c>
      <c r="C24" s="467" t="s">
        <v>1145</v>
      </c>
      <c r="D24" s="467" t="s">
        <v>1093</v>
      </c>
      <c r="E24" s="467" t="s">
        <v>1096</v>
      </c>
      <c r="F24" s="467" t="s">
        <v>11363</v>
      </c>
      <c r="G24" s="467" t="s">
        <v>1171</v>
      </c>
      <c r="H24" s="467" t="s">
        <v>1173</v>
      </c>
      <c r="I24" s="467" t="s">
        <v>1178</v>
      </c>
      <c r="J24" s="467" t="s">
        <v>14208</v>
      </c>
      <c r="K24" s="467" t="s">
        <v>1105</v>
      </c>
      <c r="L24" s="467" t="s">
        <v>1193</v>
      </c>
      <c r="M24" s="467" t="s">
        <v>1310</v>
      </c>
      <c r="N24" s="467" t="s">
        <v>1203</v>
      </c>
      <c r="O24" s="467" t="s">
        <v>1112</v>
      </c>
      <c r="P24" s="467" t="s">
        <v>1209</v>
      </c>
      <c r="Q24" s="467" t="s">
        <v>1210</v>
      </c>
      <c r="R24" s="467" t="s">
        <v>1215</v>
      </c>
      <c r="S24" s="467" t="s">
        <v>1216</v>
      </c>
      <c r="T24" s="467" t="s">
        <v>1122</v>
      </c>
      <c r="U24" s="467" t="s">
        <v>1226</v>
      </c>
      <c r="V24" s="467" t="s">
        <v>1228</v>
      </c>
      <c r="W24" s="467" t="s">
        <v>1235</v>
      </c>
      <c r="X24" s="467" t="s">
        <v>1238</v>
      </c>
      <c r="Y24" s="467" t="s">
        <v>1240</v>
      </c>
      <c r="Z24" s="467" t="s">
        <v>1249</v>
      </c>
      <c r="AA24" s="467" t="s">
        <v>1257</v>
      </c>
    </row>
    <row r="25" spans="1:84" x14ac:dyDescent="0.25">
      <c r="A25" s="467" t="s">
        <v>451</v>
      </c>
      <c r="B25" s="467" t="s">
        <v>450</v>
      </c>
      <c r="C25" s="467" t="s">
        <v>1947</v>
      </c>
      <c r="D25" s="467" t="s">
        <v>1093</v>
      </c>
      <c r="E25" s="467" t="s">
        <v>1096</v>
      </c>
      <c r="F25" s="467" t="s">
        <v>1098</v>
      </c>
      <c r="G25" s="467" t="s">
        <v>11422</v>
      </c>
      <c r="H25" s="467" t="s">
        <v>11423</v>
      </c>
      <c r="I25" s="467" t="s">
        <v>1161</v>
      </c>
      <c r="J25" s="467" t="s">
        <v>1971</v>
      </c>
      <c r="K25" s="467" t="s">
        <v>1172</v>
      </c>
      <c r="L25" s="467" t="s">
        <v>1975</v>
      </c>
      <c r="M25" s="467" t="s">
        <v>1175</v>
      </c>
      <c r="N25" s="467" t="s">
        <v>1982</v>
      </c>
      <c r="O25" s="467" t="s">
        <v>14208</v>
      </c>
      <c r="P25" s="467" t="s">
        <v>1986</v>
      </c>
      <c r="Q25" s="467" t="s">
        <v>1105</v>
      </c>
      <c r="R25" s="467" t="s">
        <v>1107</v>
      </c>
      <c r="S25" s="467" t="s">
        <v>1988</v>
      </c>
      <c r="T25" s="467" t="s">
        <v>1111</v>
      </c>
      <c r="U25" s="467" t="s">
        <v>1994</v>
      </c>
      <c r="V25" s="467" t="s">
        <v>1497</v>
      </c>
      <c r="W25" s="467" t="s">
        <v>1998</v>
      </c>
      <c r="X25" s="467" t="s">
        <v>1122</v>
      </c>
      <c r="Y25" s="467" t="s">
        <v>1225</v>
      </c>
      <c r="Z25" s="467" t="s">
        <v>1124</v>
      </c>
      <c r="AA25" s="467" t="s">
        <v>1126</v>
      </c>
      <c r="AB25" s="467" t="s">
        <v>2010</v>
      </c>
      <c r="AC25" s="467" t="s">
        <v>1342</v>
      </c>
      <c r="AD25" s="467" t="s">
        <v>1132</v>
      </c>
      <c r="AE25" s="467" t="s">
        <v>1249</v>
      </c>
      <c r="AF25" s="467" t="s">
        <v>1253</v>
      </c>
      <c r="AG25" s="467" t="s">
        <v>2051</v>
      </c>
    </row>
    <row r="26" spans="1:84" x14ac:dyDescent="0.25">
      <c r="A26" s="467" t="s">
        <v>453</v>
      </c>
      <c r="B26" s="467" t="s">
        <v>452</v>
      </c>
      <c r="C26" s="467" t="s">
        <v>1143</v>
      </c>
      <c r="D26" s="467" t="s">
        <v>1096</v>
      </c>
      <c r="E26" s="467" t="s">
        <v>1275</v>
      </c>
      <c r="F26" s="467" t="s">
        <v>11363</v>
      </c>
      <c r="G26" s="467" t="s">
        <v>1156</v>
      </c>
      <c r="H26" s="467" t="s">
        <v>1161</v>
      </c>
      <c r="I26" s="467" t="s">
        <v>1100</v>
      </c>
      <c r="J26" s="467" t="s">
        <v>1168</v>
      </c>
      <c r="K26" s="467" t="s">
        <v>1172</v>
      </c>
      <c r="L26" s="467" t="s">
        <v>14208</v>
      </c>
      <c r="M26" s="467" t="s">
        <v>1182</v>
      </c>
      <c r="N26" s="467" t="s">
        <v>1187</v>
      </c>
      <c r="O26" s="467" t="s">
        <v>1105</v>
      </c>
      <c r="P26" s="467" t="s">
        <v>1109</v>
      </c>
      <c r="Q26" s="467" t="s">
        <v>11373</v>
      </c>
      <c r="R26" s="467" t="s">
        <v>1190</v>
      </c>
      <c r="S26" s="467" t="s">
        <v>1195</v>
      </c>
      <c r="T26" s="467" t="s">
        <v>1202</v>
      </c>
      <c r="U26" s="467" t="s">
        <v>11374</v>
      </c>
      <c r="V26" s="467" t="s">
        <v>1112</v>
      </c>
      <c r="W26" s="467" t="s">
        <v>1114</v>
      </c>
      <c r="X26" s="467" t="s">
        <v>1319</v>
      </c>
      <c r="Y26" s="467" t="s">
        <v>1322</v>
      </c>
      <c r="Z26" s="467" t="s">
        <v>1218</v>
      </c>
      <c r="AA26" s="467" t="s">
        <v>11367</v>
      </c>
      <c r="AB26" s="467" t="s">
        <v>1327</v>
      </c>
      <c r="AC26" s="467" t="s">
        <v>1122</v>
      </c>
      <c r="AD26" s="467" t="s">
        <v>1225</v>
      </c>
      <c r="AE26" s="467" t="s">
        <v>1233</v>
      </c>
      <c r="AF26" s="467" t="s">
        <v>11368</v>
      </c>
      <c r="AG26" s="467" t="s">
        <v>1126</v>
      </c>
      <c r="AH26" s="467" t="s">
        <v>1341</v>
      </c>
      <c r="AI26" s="467" t="s">
        <v>1344</v>
      </c>
      <c r="AJ26" s="467" t="s">
        <v>1240</v>
      </c>
      <c r="AK26" s="467" t="s">
        <v>1241</v>
      </c>
      <c r="AL26" s="467" t="s">
        <v>1134</v>
      </c>
      <c r="AM26" s="467" t="s">
        <v>1558</v>
      </c>
      <c r="AN26" s="467" t="s">
        <v>1248</v>
      </c>
      <c r="AO26" s="467" t="s">
        <v>1249</v>
      </c>
      <c r="AP26" s="467" t="s">
        <v>1364</v>
      </c>
    </row>
    <row r="27" spans="1:84" x14ac:dyDescent="0.25">
      <c r="A27" s="467" t="s">
        <v>455</v>
      </c>
      <c r="B27" s="467" t="s">
        <v>454</v>
      </c>
      <c r="C27" s="467" t="s">
        <v>1385</v>
      </c>
      <c r="D27" s="467" t="s">
        <v>1093</v>
      </c>
      <c r="E27" s="467" t="s">
        <v>1096</v>
      </c>
      <c r="F27" s="467" t="s">
        <v>11383</v>
      </c>
      <c r="G27" s="467" t="s">
        <v>1402</v>
      </c>
      <c r="H27" s="467" t="s">
        <v>1412</v>
      </c>
      <c r="I27" s="467" t="s">
        <v>1415</v>
      </c>
      <c r="J27" s="467" t="s">
        <v>1164</v>
      </c>
      <c r="K27" s="467" t="s">
        <v>1100</v>
      </c>
      <c r="L27" s="467" t="s">
        <v>1288</v>
      </c>
      <c r="M27" s="467" t="s">
        <v>1419</v>
      </c>
      <c r="N27" s="467" t="s">
        <v>1420</v>
      </c>
      <c r="O27" s="467" t="s">
        <v>11385</v>
      </c>
      <c r="P27" s="467" t="s">
        <v>14208</v>
      </c>
      <c r="Q27" s="467" t="s">
        <v>1443</v>
      </c>
      <c r="R27" s="467" t="s">
        <v>1185</v>
      </c>
      <c r="S27" s="467" t="s">
        <v>1455</v>
      </c>
      <c r="T27" s="467" t="s">
        <v>1459</v>
      </c>
      <c r="U27" s="467" t="s">
        <v>1105</v>
      </c>
      <c r="V27" s="467" t="s">
        <v>1109</v>
      </c>
      <c r="W27" s="467" t="s">
        <v>1189</v>
      </c>
      <c r="X27" s="467" t="s">
        <v>1481</v>
      </c>
      <c r="Y27" s="467" t="s">
        <v>1202</v>
      </c>
      <c r="Z27" s="467" t="s">
        <v>1114</v>
      </c>
      <c r="AA27" s="467" t="s">
        <v>1319</v>
      </c>
      <c r="AB27" s="467" t="s">
        <v>1322</v>
      </c>
      <c r="AC27" s="467" t="s">
        <v>1217</v>
      </c>
      <c r="AD27" s="467" t="s">
        <v>1218</v>
      </c>
      <c r="AE27" s="467" t="s">
        <v>11367</v>
      </c>
      <c r="AF27" s="467" t="s">
        <v>1220</v>
      </c>
      <c r="AG27" s="467" t="s">
        <v>1332</v>
      </c>
      <c r="AH27" s="467" t="s">
        <v>1521</v>
      </c>
      <c r="AI27" s="467" t="s">
        <v>1122</v>
      </c>
      <c r="AJ27" s="467" t="s">
        <v>1124</v>
      </c>
      <c r="AK27" s="467" t="s">
        <v>1126</v>
      </c>
      <c r="AL27" s="467" t="s">
        <v>1130</v>
      </c>
      <c r="AM27" s="467" t="s">
        <v>1559</v>
      </c>
      <c r="AN27" s="467" t="s">
        <v>1253</v>
      </c>
      <c r="AO27" s="467" t="s">
        <v>1580</v>
      </c>
      <c r="AP27" s="467" t="s">
        <v>1260</v>
      </c>
      <c r="AQ27" s="467" t="s">
        <v>1587</v>
      </c>
      <c r="AR27" s="467" t="s">
        <v>1600</v>
      </c>
    </row>
    <row r="28" spans="1:84" x14ac:dyDescent="0.25">
      <c r="A28" s="467" t="s">
        <v>457</v>
      </c>
      <c r="B28" s="467" t="s">
        <v>456</v>
      </c>
      <c r="C28" s="467" t="s">
        <v>2054</v>
      </c>
      <c r="D28" s="467" t="s">
        <v>1609</v>
      </c>
      <c r="E28" s="467" t="s">
        <v>1147</v>
      </c>
      <c r="F28" s="467" t="s">
        <v>1093</v>
      </c>
      <c r="G28" s="467" t="s">
        <v>2055</v>
      </c>
      <c r="H28" s="467" t="s">
        <v>1096</v>
      </c>
      <c r="I28" s="467" t="s">
        <v>1151</v>
      </c>
      <c r="J28" s="467" t="s">
        <v>1948</v>
      </c>
      <c r="K28" s="467" t="s">
        <v>2057</v>
      </c>
      <c r="L28" s="467" t="s">
        <v>11363</v>
      </c>
      <c r="M28" s="467" t="s">
        <v>2058</v>
      </c>
      <c r="N28" s="467" t="s">
        <v>2059</v>
      </c>
      <c r="O28" s="467" t="s">
        <v>1277</v>
      </c>
      <c r="P28" s="467" t="s">
        <v>2060</v>
      </c>
      <c r="Q28" s="467" t="s">
        <v>2061</v>
      </c>
      <c r="R28" s="467" t="s">
        <v>2062</v>
      </c>
      <c r="S28" s="467" t="s">
        <v>2063</v>
      </c>
      <c r="T28" s="467" t="s">
        <v>2065</v>
      </c>
      <c r="U28" s="467" t="s">
        <v>1158</v>
      </c>
      <c r="V28" s="467" t="s">
        <v>2066</v>
      </c>
      <c r="W28" s="467" t="s">
        <v>1961</v>
      </c>
      <c r="X28" s="467" t="s">
        <v>1100</v>
      </c>
      <c r="Y28" s="467" t="s">
        <v>2074</v>
      </c>
      <c r="Z28" s="467" t="s">
        <v>1167</v>
      </c>
      <c r="AA28" s="467" t="s">
        <v>1172</v>
      </c>
      <c r="AB28" s="467" t="s">
        <v>14189</v>
      </c>
      <c r="AC28" s="467" t="s">
        <v>1975</v>
      </c>
      <c r="AD28" s="467" t="s">
        <v>2077</v>
      </c>
      <c r="AE28" s="467" t="s">
        <v>1174</v>
      </c>
      <c r="AF28" s="467" t="s">
        <v>2079</v>
      </c>
      <c r="AG28" s="467" t="s">
        <v>1177</v>
      </c>
      <c r="AH28" s="467" t="s">
        <v>2080</v>
      </c>
      <c r="AI28" s="467" t="s">
        <v>14208</v>
      </c>
      <c r="AJ28" s="467" t="s">
        <v>14213</v>
      </c>
      <c r="AK28" s="467" t="s">
        <v>1185</v>
      </c>
      <c r="AL28" s="467" t="s">
        <v>1186</v>
      </c>
      <c r="AM28" s="467" t="s">
        <v>2083</v>
      </c>
      <c r="AN28" s="467" t="s">
        <v>2084</v>
      </c>
      <c r="AO28" s="467" t="s">
        <v>1105</v>
      </c>
      <c r="AP28" s="467" t="s">
        <v>2086</v>
      </c>
      <c r="AQ28" s="467" t="s">
        <v>1107</v>
      </c>
      <c r="AR28" s="467" t="s">
        <v>1109</v>
      </c>
      <c r="AS28" s="467" t="s">
        <v>1190</v>
      </c>
      <c r="AT28" s="467" t="s">
        <v>2087</v>
      </c>
      <c r="AU28" s="467" t="s">
        <v>1203</v>
      </c>
      <c r="AV28" s="467" t="s">
        <v>1207</v>
      </c>
      <c r="AW28" s="467" t="s">
        <v>1739</v>
      </c>
      <c r="AX28" s="467" t="s">
        <v>2090</v>
      </c>
      <c r="AY28" s="467" t="s">
        <v>2091</v>
      </c>
      <c r="AZ28" s="467" t="s">
        <v>1321</v>
      </c>
      <c r="BA28" s="467" t="s">
        <v>1217</v>
      </c>
      <c r="BB28" s="467" t="s">
        <v>1122</v>
      </c>
      <c r="BC28" s="467" t="s">
        <v>1226</v>
      </c>
      <c r="BD28" s="467" t="s">
        <v>1228</v>
      </c>
      <c r="BE28" s="467" t="s">
        <v>2095</v>
      </c>
      <c r="BF28" s="467" t="s">
        <v>1233</v>
      </c>
      <c r="BG28" s="467" t="s">
        <v>1234</v>
      </c>
      <c r="BH28" s="467" t="s">
        <v>1235</v>
      </c>
      <c r="BI28" s="467" t="s">
        <v>1126</v>
      </c>
      <c r="BJ28" s="467" t="s">
        <v>2099</v>
      </c>
      <c r="BK28" s="467" t="s">
        <v>2103</v>
      </c>
      <c r="BL28" s="467" t="s">
        <v>2105</v>
      </c>
      <c r="BM28" s="467" t="s">
        <v>2107</v>
      </c>
      <c r="BN28" s="467" t="s">
        <v>2108</v>
      </c>
      <c r="BO28" s="467" t="s">
        <v>2109</v>
      </c>
      <c r="BP28" s="467" t="s">
        <v>2110</v>
      </c>
      <c r="BQ28" s="467" t="s">
        <v>1242</v>
      </c>
      <c r="BR28" s="467" t="s">
        <v>1559</v>
      </c>
      <c r="BS28" s="467" t="s">
        <v>1248</v>
      </c>
      <c r="BT28" s="467" t="s">
        <v>2119</v>
      </c>
      <c r="BU28" s="467" t="s">
        <v>2120</v>
      </c>
      <c r="BV28" s="467" t="s">
        <v>2122</v>
      </c>
      <c r="BW28" s="467" t="s">
        <v>1253</v>
      </c>
      <c r="BX28" s="467" t="s">
        <v>2124</v>
      </c>
      <c r="BY28" s="467" t="s">
        <v>1259</v>
      </c>
      <c r="BZ28" s="467" t="s">
        <v>1260</v>
      </c>
      <c r="CA28" s="467" t="s">
        <v>2126</v>
      </c>
      <c r="CB28" s="467" t="s">
        <v>2127</v>
      </c>
      <c r="CC28" s="467" t="s">
        <v>1262</v>
      </c>
      <c r="CD28" s="467" t="s">
        <v>1264</v>
      </c>
      <c r="CE28" s="467" t="s">
        <v>14385</v>
      </c>
      <c r="CF28" s="467" t="s">
        <v>2132</v>
      </c>
    </row>
    <row r="29" spans="1:84" x14ac:dyDescent="0.25">
      <c r="A29" s="467" t="s">
        <v>459</v>
      </c>
      <c r="B29" s="467" t="s">
        <v>458</v>
      </c>
      <c r="C29" s="467" t="s">
        <v>1093</v>
      </c>
      <c r="D29" s="467" t="s">
        <v>1096</v>
      </c>
      <c r="E29" s="467" t="s">
        <v>1167</v>
      </c>
      <c r="F29" s="467" t="s">
        <v>1171</v>
      </c>
      <c r="G29" s="467" t="s">
        <v>1173</v>
      </c>
      <c r="H29" s="467" t="s">
        <v>1175</v>
      </c>
      <c r="I29" s="467" t="s">
        <v>1180</v>
      </c>
      <c r="J29" s="467" t="s">
        <v>1105</v>
      </c>
      <c r="K29" s="467" t="s">
        <v>1203</v>
      </c>
      <c r="L29" s="467" t="s">
        <v>1207</v>
      </c>
      <c r="M29" s="467" t="s">
        <v>1215</v>
      </c>
      <c r="N29" s="467" t="s">
        <v>11367</v>
      </c>
      <c r="O29" s="467" t="s">
        <v>1220</v>
      </c>
      <c r="P29" s="467" t="s">
        <v>1122</v>
      </c>
      <c r="Q29" s="467" t="s">
        <v>1226</v>
      </c>
      <c r="R29" s="467" t="s">
        <v>1228</v>
      </c>
      <c r="S29" s="467" t="s">
        <v>1126</v>
      </c>
      <c r="T29" s="467" t="s">
        <v>1240</v>
      </c>
      <c r="U29" s="467" t="s">
        <v>1134</v>
      </c>
      <c r="V29" s="467" t="s">
        <v>1253</v>
      </c>
    </row>
    <row r="30" spans="1:84" x14ac:dyDescent="0.25">
      <c r="A30" s="467" t="s">
        <v>461</v>
      </c>
      <c r="B30" s="467" t="s">
        <v>460</v>
      </c>
      <c r="C30" s="467" t="s">
        <v>1147</v>
      </c>
      <c r="D30" s="467" t="s">
        <v>1096</v>
      </c>
      <c r="E30" s="467" t="s">
        <v>1151</v>
      </c>
      <c r="F30" s="467" t="s">
        <v>1673</v>
      </c>
      <c r="G30" s="467" t="s">
        <v>1278</v>
      </c>
      <c r="H30" s="467" t="s">
        <v>1160</v>
      </c>
      <c r="I30" s="467" t="s">
        <v>1102</v>
      </c>
      <c r="J30" s="467" t="s">
        <v>1183</v>
      </c>
      <c r="K30" s="467" t="s">
        <v>1186</v>
      </c>
      <c r="L30" s="467" t="s">
        <v>1107</v>
      </c>
      <c r="M30" s="467" t="s">
        <v>1109</v>
      </c>
      <c r="N30" s="467" t="s">
        <v>1190</v>
      </c>
      <c r="O30" s="467" t="s">
        <v>1727</v>
      </c>
      <c r="P30" s="467" t="s">
        <v>1739</v>
      </c>
      <c r="Q30" s="467" t="s">
        <v>1209</v>
      </c>
      <c r="R30" s="467" t="s">
        <v>1744</v>
      </c>
      <c r="S30" s="467" t="s">
        <v>1223</v>
      </c>
      <c r="T30" s="467" t="s">
        <v>1122</v>
      </c>
      <c r="U30" s="467" t="s">
        <v>1225</v>
      </c>
      <c r="V30" s="467" t="s">
        <v>1228</v>
      </c>
      <c r="W30" s="467" t="s">
        <v>1752</v>
      </c>
      <c r="X30" s="467" t="s">
        <v>1234</v>
      </c>
      <c r="Y30" s="467" t="s">
        <v>1126</v>
      </c>
      <c r="Z30" s="467" t="s">
        <v>1249</v>
      </c>
      <c r="AA30" s="467" t="s">
        <v>1257</v>
      </c>
      <c r="AB30" s="467" t="s">
        <v>1260</v>
      </c>
    </row>
    <row r="31" spans="1:84" x14ac:dyDescent="0.25">
      <c r="A31" s="467" t="s">
        <v>463</v>
      </c>
      <c r="B31" s="467" t="s">
        <v>462</v>
      </c>
      <c r="C31" s="467" t="s">
        <v>1096</v>
      </c>
      <c r="D31" s="467" t="s">
        <v>1151</v>
      </c>
      <c r="E31" s="467" t="s">
        <v>1673</v>
      </c>
      <c r="F31" s="467" t="s">
        <v>11363</v>
      </c>
      <c r="G31" s="467" t="s">
        <v>1403</v>
      </c>
      <c r="H31" s="467" t="s">
        <v>1691</v>
      </c>
      <c r="I31" s="467" t="s">
        <v>1167</v>
      </c>
      <c r="J31" s="467" t="s">
        <v>14178</v>
      </c>
      <c r="K31" s="467" t="s">
        <v>1102</v>
      </c>
      <c r="L31" s="467" t="s">
        <v>1179</v>
      </c>
      <c r="M31" s="467" t="s">
        <v>1183</v>
      </c>
      <c r="N31" s="467" t="s">
        <v>1186</v>
      </c>
      <c r="O31" s="467" t="s">
        <v>1105</v>
      </c>
      <c r="P31" s="467" t="s">
        <v>1107</v>
      </c>
      <c r="Q31" s="467" t="s">
        <v>1109</v>
      </c>
      <c r="R31" s="467" t="s">
        <v>1190</v>
      </c>
      <c r="S31" s="467" t="s">
        <v>11404</v>
      </c>
      <c r="T31" s="467" t="s">
        <v>1736</v>
      </c>
      <c r="U31" s="467" t="s">
        <v>1208</v>
      </c>
      <c r="V31" s="467" t="s">
        <v>1209</v>
      </c>
      <c r="W31" s="467" t="s">
        <v>1122</v>
      </c>
      <c r="X31" s="467" t="s">
        <v>1225</v>
      </c>
      <c r="Y31" s="467" t="s">
        <v>1228</v>
      </c>
      <c r="Z31" s="467" t="s">
        <v>1752</v>
      </c>
      <c r="AA31" s="467" t="s">
        <v>1234</v>
      </c>
      <c r="AB31" s="467" t="s">
        <v>1245</v>
      </c>
      <c r="AC31" s="467" t="s">
        <v>1249</v>
      </c>
      <c r="AD31" s="467" t="s">
        <v>1252</v>
      </c>
      <c r="AE31" s="467" t="s">
        <v>1266</v>
      </c>
    </row>
    <row r="32" spans="1:84" x14ac:dyDescent="0.25">
      <c r="A32" s="467" t="s">
        <v>465</v>
      </c>
      <c r="B32" s="467" t="s">
        <v>464</v>
      </c>
      <c r="C32" s="467" t="s">
        <v>1145</v>
      </c>
      <c r="D32" s="467" t="s">
        <v>1146</v>
      </c>
      <c r="E32" s="467" t="s">
        <v>11363</v>
      </c>
      <c r="F32" s="467" t="s">
        <v>1160</v>
      </c>
      <c r="G32" s="467" t="s">
        <v>1171</v>
      </c>
      <c r="H32" s="467" t="s">
        <v>1173</v>
      </c>
      <c r="I32" s="467" t="s">
        <v>1178</v>
      </c>
      <c r="J32" s="467" t="s">
        <v>1180</v>
      </c>
      <c r="K32" s="467" t="s">
        <v>14208</v>
      </c>
      <c r="L32" s="467" t="s">
        <v>1105</v>
      </c>
      <c r="M32" s="467" t="s">
        <v>1107</v>
      </c>
      <c r="N32" s="467" t="s">
        <v>1109</v>
      </c>
      <c r="O32" s="467" t="s">
        <v>1190</v>
      </c>
      <c r="P32" s="467" t="s">
        <v>1209</v>
      </c>
      <c r="Q32" s="467" t="s">
        <v>1220</v>
      </c>
      <c r="R32" s="467" t="s">
        <v>1225</v>
      </c>
      <c r="S32" s="467" t="s">
        <v>1228</v>
      </c>
      <c r="T32" s="467" t="s">
        <v>1238</v>
      </c>
      <c r="U32" s="467" t="s">
        <v>1249</v>
      </c>
      <c r="V32" s="467" t="s">
        <v>1253</v>
      </c>
      <c r="W32" s="467" t="s">
        <v>1257</v>
      </c>
      <c r="X32" s="467" t="s">
        <v>1259</v>
      </c>
    </row>
    <row r="33" spans="1:63" x14ac:dyDescent="0.25">
      <c r="A33" s="467" t="s">
        <v>467</v>
      </c>
      <c r="B33" s="467" t="s">
        <v>466</v>
      </c>
      <c r="C33" s="467" t="s">
        <v>1147</v>
      </c>
      <c r="D33" s="467" t="s">
        <v>1096</v>
      </c>
      <c r="E33" s="467" t="s">
        <v>1150</v>
      </c>
      <c r="F33" s="467" t="s">
        <v>1151</v>
      </c>
      <c r="G33" s="467" t="s">
        <v>1278</v>
      </c>
      <c r="H33" s="467" t="s">
        <v>1678</v>
      </c>
      <c r="I33" s="467" t="s">
        <v>1160</v>
      </c>
      <c r="J33" s="467" t="s">
        <v>1100</v>
      </c>
      <c r="K33" s="467" t="s">
        <v>14208</v>
      </c>
      <c r="L33" s="467" t="s">
        <v>1183</v>
      </c>
      <c r="M33" s="467" t="s">
        <v>1186</v>
      </c>
      <c r="N33" s="467" t="s">
        <v>1188</v>
      </c>
      <c r="O33" s="467" t="s">
        <v>1190</v>
      </c>
      <c r="P33" s="467" t="s">
        <v>1716</v>
      </c>
      <c r="Q33" s="467" t="s">
        <v>11401</v>
      </c>
      <c r="R33" s="467" t="s">
        <v>1739</v>
      </c>
      <c r="S33" s="467" t="s">
        <v>1209</v>
      </c>
      <c r="T33" s="467" t="s">
        <v>1744</v>
      </c>
      <c r="U33" s="467" t="s">
        <v>1122</v>
      </c>
      <c r="V33" s="467" t="s">
        <v>1225</v>
      </c>
      <c r="W33" s="467" t="s">
        <v>1227</v>
      </c>
      <c r="X33" s="467" t="s">
        <v>1228</v>
      </c>
      <c r="Y33" s="467" t="s">
        <v>1234</v>
      </c>
      <c r="Z33" s="467" t="s">
        <v>1126</v>
      </c>
      <c r="AA33" s="467" t="s">
        <v>1756</v>
      </c>
      <c r="AB33" s="467" t="s">
        <v>1249</v>
      </c>
      <c r="AC33" s="467" t="s">
        <v>1253</v>
      </c>
      <c r="AD33" s="467" t="s">
        <v>1266</v>
      </c>
    </row>
    <row r="34" spans="1:63" x14ac:dyDescent="0.25">
      <c r="A34" s="467" t="s">
        <v>469</v>
      </c>
      <c r="B34" s="467" t="s">
        <v>468</v>
      </c>
      <c r="C34" s="467" t="s">
        <v>1143</v>
      </c>
      <c r="D34" s="467" t="s">
        <v>1093</v>
      </c>
      <c r="E34" s="467" t="s">
        <v>1100</v>
      </c>
      <c r="F34" s="467" t="s">
        <v>1102</v>
      </c>
      <c r="G34" s="467" t="s">
        <v>1178</v>
      </c>
      <c r="H34" s="467" t="s">
        <v>14208</v>
      </c>
      <c r="I34" s="467" t="s">
        <v>1105</v>
      </c>
      <c r="J34" s="467" t="s">
        <v>1109</v>
      </c>
      <c r="K34" s="467" t="s">
        <v>1199</v>
      </c>
      <c r="L34" s="467" t="s">
        <v>1200</v>
      </c>
      <c r="M34" s="467" t="s">
        <v>1203</v>
      </c>
      <c r="N34" s="467" t="s">
        <v>1210</v>
      </c>
      <c r="O34" s="467" t="s">
        <v>1226</v>
      </c>
      <c r="P34" s="467" t="s">
        <v>1228</v>
      </c>
      <c r="Q34" s="467" t="s">
        <v>1239</v>
      </c>
    </row>
    <row r="35" spans="1:63" x14ac:dyDescent="0.25">
      <c r="A35" s="467" t="s">
        <v>470</v>
      </c>
      <c r="B35" s="467" t="s">
        <v>14114</v>
      </c>
      <c r="C35" s="467" t="s">
        <v>1088</v>
      </c>
      <c r="D35" s="467" t="s">
        <v>1091</v>
      </c>
      <c r="E35" s="467" t="s">
        <v>14127</v>
      </c>
      <c r="F35" s="467" t="s">
        <v>1093</v>
      </c>
      <c r="G35" s="467" t="s">
        <v>1096</v>
      </c>
      <c r="H35" s="467" t="s">
        <v>1098</v>
      </c>
      <c r="I35" s="467" t="s">
        <v>11363</v>
      </c>
      <c r="J35" s="467" t="s">
        <v>1950</v>
      </c>
      <c r="K35" s="467" t="s">
        <v>1808</v>
      </c>
      <c r="L35" s="467" t="s">
        <v>1951</v>
      </c>
      <c r="M35" s="467" t="s">
        <v>1161</v>
      </c>
      <c r="N35" s="467" t="s">
        <v>1100</v>
      </c>
      <c r="O35" s="467" t="s">
        <v>1974</v>
      </c>
      <c r="P35" s="467" t="s">
        <v>1179</v>
      </c>
      <c r="Q35" s="467" t="s">
        <v>1105</v>
      </c>
      <c r="R35" s="467" t="s">
        <v>1109</v>
      </c>
      <c r="S35" s="467" t="s">
        <v>1190</v>
      </c>
      <c r="T35" s="467" t="s">
        <v>1195</v>
      </c>
      <c r="U35" s="467" t="s">
        <v>1114</v>
      </c>
      <c r="V35" s="467" t="s">
        <v>1120</v>
      </c>
      <c r="W35" s="467" t="s">
        <v>2002</v>
      </c>
      <c r="X35" s="467" t="s">
        <v>1122</v>
      </c>
      <c r="Y35" s="467" t="s">
        <v>2005</v>
      </c>
      <c r="Z35" s="467" t="s">
        <v>1124</v>
      </c>
      <c r="AA35" s="467" t="s">
        <v>1233</v>
      </c>
      <c r="AB35" s="467" t="s">
        <v>11368</v>
      </c>
      <c r="AC35" s="467" t="s">
        <v>1234</v>
      </c>
      <c r="AD35" s="467" t="s">
        <v>1126</v>
      </c>
      <c r="AE35" s="467" t="s">
        <v>1128</v>
      </c>
      <c r="AF35" s="467" t="s">
        <v>1342</v>
      </c>
      <c r="AG35" s="467" t="s">
        <v>1132</v>
      </c>
      <c r="AH35" s="467" t="s">
        <v>1345</v>
      </c>
      <c r="AI35" s="467" t="s">
        <v>1241</v>
      </c>
      <c r="AJ35" s="467" t="s">
        <v>1134</v>
      </c>
      <c r="AK35" s="467" t="s">
        <v>1136</v>
      </c>
      <c r="AL35" s="467" t="s">
        <v>1138</v>
      </c>
      <c r="AM35" s="467" t="s">
        <v>14422</v>
      </c>
      <c r="AN35" s="467" t="s">
        <v>1262</v>
      </c>
      <c r="AO35" s="467" t="s">
        <v>1264</v>
      </c>
    </row>
    <row r="36" spans="1:63" x14ac:dyDescent="0.25">
      <c r="A36" s="467" t="s">
        <v>472</v>
      </c>
      <c r="B36" s="467" t="s">
        <v>471</v>
      </c>
      <c r="C36" s="467" t="s">
        <v>1386</v>
      </c>
      <c r="D36" s="467" t="s">
        <v>1091</v>
      </c>
      <c r="E36" s="467" t="s">
        <v>14127</v>
      </c>
      <c r="F36" s="467" t="s">
        <v>1143</v>
      </c>
      <c r="G36" s="467" t="s">
        <v>1093</v>
      </c>
      <c r="H36" s="467" t="s">
        <v>1096</v>
      </c>
      <c r="I36" s="467" t="s">
        <v>1161</v>
      </c>
      <c r="J36" s="467" t="s">
        <v>1100</v>
      </c>
      <c r="K36" s="467" t="s">
        <v>1428</v>
      </c>
      <c r="L36" s="467" t="s">
        <v>1832</v>
      </c>
      <c r="M36" s="467" t="s">
        <v>1177</v>
      </c>
      <c r="N36" s="467" t="s">
        <v>1105</v>
      </c>
      <c r="O36" s="467" t="s">
        <v>1107</v>
      </c>
      <c r="P36" s="467" t="s">
        <v>1109</v>
      </c>
      <c r="Q36" s="467" t="s">
        <v>1305</v>
      </c>
      <c r="R36" s="467" t="s">
        <v>1202</v>
      </c>
      <c r="S36" s="467" t="s">
        <v>1494</v>
      </c>
      <c r="T36" s="467" t="s">
        <v>1112</v>
      </c>
      <c r="U36" s="467" t="s">
        <v>1114</v>
      </c>
      <c r="V36" s="467" t="s">
        <v>1120</v>
      </c>
      <c r="W36" s="467" t="s">
        <v>1322</v>
      </c>
      <c r="X36" s="467" t="s">
        <v>1122</v>
      </c>
      <c r="Y36" s="467" t="s">
        <v>1225</v>
      </c>
      <c r="Z36" s="467" t="s">
        <v>1233</v>
      </c>
      <c r="AA36" s="467" t="s">
        <v>11368</v>
      </c>
      <c r="AB36" s="467" t="s">
        <v>1342</v>
      </c>
      <c r="AC36" s="467" t="s">
        <v>1896</v>
      </c>
      <c r="AD36" s="467" t="s">
        <v>1130</v>
      </c>
      <c r="AE36" s="467" t="s">
        <v>1132</v>
      </c>
      <c r="AF36" s="467" t="s">
        <v>1134</v>
      </c>
      <c r="AG36" s="467" t="s">
        <v>1138</v>
      </c>
      <c r="AH36" s="467" t="s">
        <v>1140</v>
      </c>
    </row>
    <row r="37" spans="1:63" x14ac:dyDescent="0.25">
      <c r="A37" s="467" t="s">
        <v>474</v>
      </c>
      <c r="B37" s="467" t="s">
        <v>473</v>
      </c>
      <c r="C37" s="467" t="s">
        <v>2134</v>
      </c>
      <c r="D37" s="467" t="s">
        <v>1143</v>
      </c>
      <c r="E37" s="467" t="s">
        <v>1096</v>
      </c>
      <c r="F37" s="467" t="s">
        <v>1151</v>
      </c>
      <c r="G37" s="467" t="s">
        <v>11363</v>
      </c>
      <c r="H37" s="467" t="s">
        <v>2136</v>
      </c>
      <c r="I37" s="467" t="s">
        <v>14146</v>
      </c>
      <c r="J37" s="467" t="s">
        <v>2137</v>
      </c>
      <c r="K37" s="467" t="s">
        <v>1160</v>
      </c>
      <c r="L37" s="467" t="s">
        <v>1411</v>
      </c>
      <c r="M37" s="467" t="s">
        <v>11438</v>
      </c>
      <c r="N37" s="467" t="s">
        <v>2140</v>
      </c>
      <c r="O37" s="467" t="s">
        <v>1100</v>
      </c>
      <c r="P37" s="467" t="s">
        <v>2142</v>
      </c>
      <c r="Q37" s="467" t="s">
        <v>1167</v>
      </c>
      <c r="R37" s="467" t="s">
        <v>1174</v>
      </c>
      <c r="S37" s="467" t="s">
        <v>2148</v>
      </c>
      <c r="T37" s="467" t="s">
        <v>1183</v>
      </c>
      <c r="U37" s="467" t="s">
        <v>1185</v>
      </c>
      <c r="V37" s="467" t="s">
        <v>1186</v>
      </c>
      <c r="W37" s="467" t="s">
        <v>1105</v>
      </c>
      <c r="X37" s="467" t="s">
        <v>1188</v>
      </c>
      <c r="Y37" s="467" t="s">
        <v>1107</v>
      </c>
      <c r="Z37" s="467" t="s">
        <v>1109</v>
      </c>
      <c r="AA37" s="467" t="s">
        <v>1633</v>
      </c>
      <c r="AB37" s="467" t="s">
        <v>1190</v>
      </c>
      <c r="AC37" s="467" t="s">
        <v>2161</v>
      </c>
      <c r="AD37" s="467" t="s">
        <v>1193</v>
      </c>
      <c r="AE37" s="467" t="s">
        <v>1195</v>
      </c>
      <c r="AF37" s="467" t="s">
        <v>1196</v>
      </c>
      <c r="AG37" s="467" t="s">
        <v>2167</v>
      </c>
      <c r="AH37" s="467" t="s">
        <v>1497</v>
      </c>
      <c r="AI37" s="467" t="s">
        <v>1208</v>
      </c>
      <c r="AJ37" s="467" t="s">
        <v>1209</v>
      </c>
      <c r="AK37" s="467" t="s">
        <v>1120</v>
      </c>
      <c r="AL37" s="467" t="s">
        <v>1122</v>
      </c>
      <c r="AM37" s="467" t="s">
        <v>1225</v>
      </c>
      <c r="AN37" s="467" t="s">
        <v>1227</v>
      </c>
      <c r="AO37" s="467" t="s">
        <v>1228</v>
      </c>
      <c r="AP37" s="467" t="s">
        <v>1235</v>
      </c>
      <c r="AQ37" s="467" t="s">
        <v>1126</v>
      </c>
      <c r="AR37" s="467" t="s">
        <v>1240</v>
      </c>
      <c r="AS37" s="467" t="s">
        <v>1134</v>
      </c>
      <c r="AT37" s="467" t="s">
        <v>1249</v>
      </c>
      <c r="AU37" s="467" t="s">
        <v>1253</v>
      </c>
      <c r="AV37" s="467" t="s">
        <v>1368</v>
      </c>
      <c r="AW37" s="467" t="s">
        <v>1257</v>
      </c>
      <c r="AX37" s="467" t="s">
        <v>2187</v>
      </c>
      <c r="AY37" s="467" t="s">
        <v>1262</v>
      </c>
      <c r="AZ37" s="467" t="s">
        <v>1789</v>
      </c>
      <c r="BA37" s="467" t="s">
        <v>1266</v>
      </c>
    </row>
    <row r="38" spans="1:63" x14ac:dyDescent="0.25">
      <c r="A38" s="467" t="s">
        <v>476</v>
      </c>
      <c r="B38" s="467" t="s">
        <v>475</v>
      </c>
      <c r="C38" s="467" t="s">
        <v>1267</v>
      </c>
      <c r="D38" s="467" t="s">
        <v>1096</v>
      </c>
      <c r="E38" s="467" t="s">
        <v>1279</v>
      </c>
      <c r="F38" s="467" t="s">
        <v>1283</v>
      </c>
      <c r="G38" s="467" t="s">
        <v>1100</v>
      </c>
      <c r="H38" s="467" t="s">
        <v>1292</v>
      </c>
      <c r="I38" s="467" t="s">
        <v>1293</v>
      </c>
      <c r="J38" s="467" t="s">
        <v>1175</v>
      </c>
      <c r="K38" s="467" t="s">
        <v>1294</v>
      </c>
      <c r="L38" s="467" t="s">
        <v>1296</v>
      </c>
      <c r="M38" s="467" t="s">
        <v>14208</v>
      </c>
      <c r="N38" s="467" t="s">
        <v>1185</v>
      </c>
      <c r="O38" s="467" t="s">
        <v>1187</v>
      </c>
      <c r="P38" s="467" t="s">
        <v>1105</v>
      </c>
      <c r="Q38" s="467" t="s">
        <v>1107</v>
      </c>
      <c r="R38" s="467" t="s">
        <v>1109</v>
      </c>
      <c r="S38" s="467" t="s">
        <v>1310</v>
      </c>
      <c r="T38" s="467" t="s">
        <v>1311</v>
      </c>
      <c r="U38" s="467" t="s">
        <v>1202</v>
      </c>
      <c r="V38" s="467" t="s">
        <v>1112</v>
      </c>
      <c r="W38" s="467" t="s">
        <v>1210</v>
      </c>
      <c r="X38" s="467" t="s">
        <v>1218</v>
      </c>
      <c r="Y38" s="467" t="s">
        <v>1332</v>
      </c>
      <c r="Z38" s="467" t="s">
        <v>1122</v>
      </c>
      <c r="AA38" s="467" t="s">
        <v>1124</v>
      </c>
      <c r="AB38" s="467" t="s">
        <v>1339</v>
      </c>
      <c r="AC38" s="467" t="s">
        <v>1233</v>
      </c>
      <c r="AD38" s="467" t="s">
        <v>11368</v>
      </c>
      <c r="AE38" s="467" t="s">
        <v>1234</v>
      </c>
      <c r="AF38" s="467" t="s">
        <v>1235</v>
      </c>
      <c r="AG38" s="467" t="s">
        <v>1126</v>
      </c>
      <c r="AH38" s="467" t="s">
        <v>1346</v>
      </c>
      <c r="AI38" s="467" t="s">
        <v>1249</v>
      </c>
      <c r="AJ38" s="467" t="s">
        <v>1360</v>
      </c>
      <c r="AK38" s="467" t="s">
        <v>1375</v>
      </c>
      <c r="AL38" s="467" t="s">
        <v>1382</v>
      </c>
    </row>
    <row r="39" spans="1:63" x14ac:dyDescent="0.25">
      <c r="A39" s="467" t="s">
        <v>478</v>
      </c>
      <c r="B39" s="467" t="s">
        <v>477</v>
      </c>
      <c r="C39" s="467" t="s">
        <v>1096</v>
      </c>
      <c r="D39" s="467" t="s">
        <v>1282</v>
      </c>
      <c r="E39" s="467" t="s">
        <v>1100</v>
      </c>
      <c r="F39" s="467" t="s">
        <v>1290</v>
      </c>
      <c r="G39" s="467" t="s">
        <v>1102</v>
      </c>
      <c r="H39" s="467" t="s">
        <v>1296</v>
      </c>
      <c r="I39" s="467" t="s">
        <v>1185</v>
      </c>
      <c r="J39" s="467" t="s">
        <v>1187</v>
      </c>
      <c r="K39" s="467" t="s">
        <v>1105</v>
      </c>
      <c r="L39" s="467" t="s">
        <v>1109</v>
      </c>
      <c r="M39" s="467" t="s">
        <v>1310</v>
      </c>
      <c r="N39" s="467" t="s">
        <v>1112</v>
      </c>
      <c r="O39" s="467" t="s">
        <v>1208</v>
      </c>
      <c r="P39" s="467" t="s">
        <v>1218</v>
      </c>
      <c r="Q39" s="467" t="s">
        <v>11367</v>
      </c>
      <c r="R39" s="467" t="s">
        <v>1326</v>
      </c>
      <c r="S39" s="467" t="s">
        <v>1228</v>
      </c>
      <c r="T39" s="467" t="s">
        <v>1339</v>
      </c>
      <c r="U39" s="467" t="s">
        <v>1233</v>
      </c>
      <c r="V39" s="467" t="s">
        <v>11368</v>
      </c>
      <c r="W39" s="467" t="s">
        <v>1235</v>
      </c>
      <c r="X39" s="467" t="s">
        <v>1126</v>
      </c>
      <c r="Y39" s="467" t="s">
        <v>11375</v>
      </c>
      <c r="Z39" s="467" t="s">
        <v>1360</v>
      </c>
      <c r="AA39" s="467" t="s">
        <v>1364</v>
      </c>
      <c r="AB39" s="467" t="s">
        <v>1372</v>
      </c>
    </row>
    <row r="40" spans="1:63" x14ac:dyDescent="0.25">
      <c r="A40" s="467" t="s">
        <v>480</v>
      </c>
      <c r="B40" s="467" t="s">
        <v>479</v>
      </c>
      <c r="C40" s="467" t="s">
        <v>1385</v>
      </c>
      <c r="D40" s="467" t="s">
        <v>1393</v>
      </c>
      <c r="E40" s="467" t="s">
        <v>1270</v>
      </c>
      <c r="F40" s="467" t="s">
        <v>11381</v>
      </c>
      <c r="G40" s="467" t="s">
        <v>1403</v>
      </c>
      <c r="H40" s="467" t="s">
        <v>1161</v>
      </c>
      <c r="I40" s="467" t="s">
        <v>1411</v>
      </c>
      <c r="J40" s="467" t="s">
        <v>1100</v>
      </c>
      <c r="K40" s="467" t="s">
        <v>1692</v>
      </c>
      <c r="L40" s="467" t="s">
        <v>1423</v>
      </c>
      <c r="M40" s="467" t="s">
        <v>1172</v>
      </c>
      <c r="N40" s="467" t="s">
        <v>11385</v>
      </c>
      <c r="O40" s="467" t="s">
        <v>1439</v>
      </c>
      <c r="P40" s="467" t="s">
        <v>14208</v>
      </c>
      <c r="Q40" s="467" t="s">
        <v>1185</v>
      </c>
      <c r="R40" s="467" t="s">
        <v>1187</v>
      </c>
      <c r="S40" s="467" t="s">
        <v>1463</v>
      </c>
      <c r="T40" s="467" t="s">
        <v>1107</v>
      </c>
      <c r="U40" s="467" t="s">
        <v>1469</v>
      </c>
      <c r="V40" s="467" t="s">
        <v>1189</v>
      </c>
      <c r="W40" s="467" t="s">
        <v>1307</v>
      </c>
      <c r="X40" s="467" t="s">
        <v>1474</v>
      </c>
      <c r="Y40" s="467" t="s">
        <v>1308</v>
      </c>
      <c r="Z40" s="467" t="s">
        <v>14239</v>
      </c>
      <c r="AA40" s="467" t="s">
        <v>1195</v>
      </c>
      <c r="AB40" s="467" t="s">
        <v>14243</v>
      </c>
      <c r="AC40" s="467" t="s">
        <v>1310</v>
      </c>
      <c r="AD40" s="467" t="s">
        <v>1202</v>
      </c>
      <c r="AE40" s="467" t="s">
        <v>1497</v>
      </c>
      <c r="AF40" s="467" t="s">
        <v>1112</v>
      </c>
      <c r="AG40" s="467" t="s">
        <v>1315</v>
      </c>
      <c r="AH40" s="467" t="s">
        <v>1319</v>
      </c>
      <c r="AI40" s="467" t="s">
        <v>1120</v>
      </c>
      <c r="AJ40" s="467" t="s">
        <v>1320</v>
      </c>
      <c r="AK40" s="467" t="s">
        <v>1510</v>
      </c>
      <c r="AL40" s="467" t="s">
        <v>1511</v>
      </c>
      <c r="AM40" s="467" t="s">
        <v>1322</v>
      </c>
      <c r="AN40" s="467" t="s">
        <v>1324</v>
      </c>
      <c r="AO40" s="467" t="s">
        <v>1325</v>
      </c>
      <c r="AP40" s="467" t="s">
        <v>1327</v>
      </c>
      <c r="AQ40" s="467" t="s">
        <v>1220</v>
      </c>
      <c r="AR40" s="467" t="s">
        <v>1221</v>
      </c>
      <c r="AS40" s="467" t="s">
        <v>1330</v>
      </c>
      <c r="AT40" s="467" t="s">
        <v>1332</v>
      </c>
      <c r="AU40" s="467" t="s">
        <v>1530</v>
      </c>
      <c r="AV40" s="467" t="s">
        <v>1124</v>
      </c>
      <c r="AW40" s="467" t="s">
        <v>1234</v>
      </c>
      <c r="AX40" s="467" t="s">
        <v>1126</v>
      </c>
      <c r="AY40" s="467" t="s">
        <v>1340</v>
      </c>
      <c r="AZ40" s="467" t="s">
        <v>1342</v>
      </c>
      <c r="BA40" s="467" t="s">
        <v>1130</v>
      </c>
      <c r="BB40" s="467" t="s">
        <v>1345</v>
      </c>
      <c r="BC40" s="467" t="s">
        <v>1347</v>
      </c>
      <c r="BD40" s="467" t="s">
        <v>1558</v>
      </c>
      <c r="BE40" s="467" t="s">
        <v>1559</v>
      </c>
      <c r="BF40" s="467" t="s">
        <v>1253</v>
      </c>
      <c r="BG40" s="467" t="s">
        <v>1595</v>
      </c>
      <c r="BH40" s="467" t="s">
        <v>1599</v>
      </c>
      <c r="BI40" s="467" t="s">
        <v>1601</v>
      </c>
      <c r="BJ40" s="467" t="s">
        <v>1264</v>
      </c>
      <c r="BK40" s="467" t="s">
        <v>1266</v>
      </c>
    </row>
    <row r="41" spans="1:63" x14ac:dyDescent="0.25">
      <c r="A41" s="467" t="s">
        <v>482</v>
      </c>
      <c r="B41" s="467" t="s">
        <v>481</v>
      </c>
      <c r="C41" s="467" t="s">
        <v>1096</v>
      </c>
      <c r="D41" s="467" t="s">
        <v>1273</v>
      </c>
      <c r="E41" s="467" t="s">
        <v>1281</v>
      </c>
      <c r="F41" s="467" t="s">
        <v>1283</v>
      </c>
      <c r="G41" s="467" t="s">
        <v>1100</v>
      </c>
      <c r="H41" s="467" t="s">
        <v>1294</v>
      </c>
      <c r="I41" s="467" t="s">
        <v>1298</v>
      </c>
      <c r="J41" s="467" t="s">
        <v>1105</v>
      </c>
      <c r="K41" s="467" t="s">
        <v>1107</v>
      </c>
      <c r="L41" s="467" t="s">
        <v>1202</v>
      </c>
      <c r="M41" s="467" t="s">
        <v>1112</v>
      </c>
      <c r="N41" s="467" t="s">
        <v>1114</v>
      </c>
      <c r="O41" s="467" t="s">
        <v>14400</v>
      </c>
      <c r="P41" s="467" t="s">
        <v>1319</v>
      </c>
      <c r="Q41" s="467" t="s">
        <v>1218</v>
      </c>
      <c r="R41" s="467" t="s">
        <v>1332</v>
      </c>
      <c r="S41" s="467" t="s">
        <v>1339</v>
      </c>
      <c r="T41" s="467" t="s">
        <v>1233</v>
      </c>
      <c r="U41" s="467" t="s">
        <v>11368</v>
      </c>
      <c r="V41" s="467" t="s">
        <v>1234</v>
      </c>
      <c r="W41" s="467" t="s">
        <v>1126</v>
      </c>
      <c r="X41" s="467" t="s">
        <v>1346</v>
      </c>
      <c r="Y41" s="467" t="s">
        <v>1366</v>
      </c>
    </row>
    <row r="42" spans="1:63" x14ac:dyDescent="0.25">
      <c r="A42" s="467" t="s">
        <v>484</v>
      </c>
      <c r="B42" s="467" t="s">
        <v>483</v>
      </c>
      <c r="C42" s="467" t="s">
        <v>1792</v>
      </c>
      <c r="D42" s="467" t="s">
        <v>1096</v>
      </c>
      <c r="E42" s="467" t="s">
        <v>11363</v>
      </c>
      <c r="F42" s="467" t="s">
        <v>12382</v>
      </c>
      <c r="G42" s="467" t="s">
        <v>1809</v>
      </c>
      <c r="H42" s="467" t="s">
        <v>1810</v>
      </c>
      <c r="I42" s="467" t="s">
        <v>1811</v>
      </c>
      <c r="J42" s="467" t="s">
        <v>1812</v>
      </c>
      <c r="K42" s="467" t="s">
        <v>1285</v>
      </c>
      <c r="L42" s="467" t="s">
        <v>1100</v>
      </c>
      <c r="M42" s="467" t="s">
        <v>1172</v>
      </c>
      <c r="N42" s="467" t="s">
        <v>14208</v>
      </c>
      <c r="O42" s="467" t="s">
        <v>1105</v>
      </c>
      <c r="P42" s="467" t="s">
        <v>1107</v>
      </c>
      <c r="Q42" s="467" t="s">
        <v>1189</v>
      </c>
      <c r="R42" s="467" t="s">
        <v>1202</v>
      </c>
      <c r="S42" s="467" t="s">
        <v>1114</v>
      </c>
      <c r="T42" s="467" t="s">
        <v>1120</v>
      </c>
      <c r="U42" s="467" t="s">
        <v>1217</v>
      </c>
      <c r="V42" s="467" t="s">
        <v>1218</v>
      </c>
      <c r="W42" s="467" t="s">
        <v>11367</v>
      </c>
      <c r="X42" s="467" t="s">
        <v>1325</v>
      </c>
      <c r="Y42" s="467" t="s">
        <v>1332</v>
      </c>
      <c r="Z42" s="467" t="s">
        <v>1122</v>
      </c>
      <c r="AA42" s="467" t="s">
        <v>1878</v>
      </c>
      <c r="AB42" s="467" t="s">
        <v>1124</v>
      </c>
      <c r="AC42" s="467" t="s">
        <v>1233</v>
      </c>
      <c r="AD42" s="467" t="s">
        <v>1126</v>
      </c>
      <c r="AE42" s="467" t="s">
        <v>1892</v>
      </c>
      <c r="AF42" s="467" t="s">
        <v>1342</v>
      </c>
      <c r="AG42" s="467" t="s">
        <v>1899</v>
      </c>
      <c r="AH42" s="467" t="s">
        <v>1130</v>
      </c>
      <c r="AI42" s="467" t="s">
        <v>1132</v>
      </c>
      <c r="AJ42" s="467" t="s">
        <v>1345</v>
      </c>
      <c r="AK42" s="467" t="s">
        <v>1240</v>
      </c>
      <c r="AL42" s="467" t="s">
        <v>1134</v>
      </c>
      <c r="AM42" s="467" t="s">
        <v>1904</v>
      </c>
      <c r="AN42" s="467" t="s">
        <v>1905</v>
      </c>
      <c r="AO42" s="467" t="s">
        <v>1559</v>
      </c>
      <c r="AP42" s="467" t="s">
        <v>1919</v>
      </c>
      <c r="AQ42" s="467" t="s">
        <v>1249</v>
      </c>
      <c r="AR42" s="467" t="s">
        <v>1253</v>
      </c>
      <c r="AS42" s="467" t="s">
        <v>14375</v>
      </c>
      <c r="AT42" s="467" t="s">
        <v>1262</v>
      </c>
      <c r="AU42" s="467" t="s">
        <v>1942</v>
      </c>
      <c r="AV42" s="467" t="s">
        <v>1944</v>
      </c>
    </row>
    <row r="43" spans="1:63" x14ac:dyDescent="0.25">
      <c r="A43" s="467" t="s">
        <v>486</v>
      </c>
      <c r="B43" s="467" t="s">
        <v>485</v>
      </c>
      <c r="C43" s="467" t="s">
        <v>1947</v>
      </c>
      <c r="D43" s="467" t="s">
        <v>14127</v>
      </c>
      <c r="E43" s="467" t="s">
        <v>1093</v>
      </c>
      <c r="F43" s="467" t="s">
        <v>1096</v>
      </c>
      <c r="G43" s="467" t="s">
        <v>1948</v>
      </c>
      <c r="H43" s="467" t="s">
        <v>1098</v>
      </c>
      <c r="I43" s="467" t="s">
        <v>11363</v>
      </c>
      <c r="J43" s="467" t="s">
        <v>11423</v>
      </c>
      <c r="K43" s="467" t="s">
        <v>1952</v>
      </c>
      <c r="L43" s="467" t="s">
        <v>1953</v>
      </c>
      <c r="M43" s="467" t="s">
        <v>1954</v>
      </c>
      <c r="N43" s="467" t="s">
        <v>1955</v>
      </c>
      <c r="O43" s="467" t="s">
        <v>1100</v>
      </c>
      <c r="P43" s="467" t="s">
        <v>1970</v>
      </c>
      <c r="Q43" s="467" t="s">
        <v>1971</v>
      </c>
      <c r="R43" s="467" t="s">
        <v>1172</v>
      </c>
      <c r="S43" s="467" t="s">
        <v>1975</v>
      </c>
      <c r="T43" s="467" t="s">
        <v>1177</v>
      </c>
      <c r="U43" s="467" t="s">
        <v>14208</v>
      </c>
      <c r="V43" s="467" t="s">
        <v>1986</v>
      </c>
      <c r="W43" s="467" t="s">
        <v>1185</v>
      </c>
      <c r="X43" s="467" t="s">
        <v>1105</v>
      </c>
      <c r="Y43" s="467" t="s">
        <v>1107</v>
      </c>
      <c r="Z43" s="467" t="s">
        <v>1109</v>
      </c>
      <c r="AA43" s="467" t="s">
        <v>1190</v>
      </c>
      <c r="AB43" s="467" t="s">
        <v>1989</v>
      </c>
      <c r="AC43" s="467" t="s">
        <v>1111</v>
      </c>
      <c r="AD43" s="467" t="s">
        <v>1994</v>
      </c>
      <c r="AE43" s="467" t="s">
        <v>1114</v>
      </c>
      <c r="AF43" s="467" t="s">
        <v>1998</v>
      </c>
      <c r="AG43" s="467" t="s">
        <v>2001</v>
      </c>
      <c r="AH43" s="467" t="s">
        <v>1122</v>
      </c>
      <c r="AI43" s="467" t="s">
        <v>1225</v>
      </c>
      <c r="AJ43" s="467" t="s">
        <v>1234</v>
      </c>
      <c r="AK43" s="467" t="s">
        <v>1126</v>
      </c>
      <c r="AL43" s="467" t="s">
        <v>2015</v>
      </c>
      <c r="AM43" s="467" t="s">
        <v>1132</v>
      </c>
      <c r="AN43" s="467" t="s">
        <v>2018</v>
      </c>
      <c r="AO43" s="467" t="s">
        <v>1345</v>
      </c>
      <c r="AP43" s="467" t="s">
        <v>1240</v>
      </c>
      <c r="AQ43" s="467" t="s">
        <v>1134</v>
      </c>
      <c r="AR43" s="467" t="s">
        <v>1248</v>
      </c>
      <c r="AS43" s="467" t="s">
        <v>1249</v>
      </c>
      <c r="AT43" s="467" t="s">
        <v>1253</v>
      </c>
      <c r="AU43" s="467" t="s">
        <v>2044</v>
      </c>
      <c r="AV43" s="467" t="s">
        <v>2049</v>
      </c>
    </row>
    <row r="44" spans="1:63" x14ac:dyDescent="0.25">
      <c r="A44" s="467" t="s">
        <v>488</v>
      </c>
      <c r="B44" s="467" t="s">
        <v>487</v>
      </c>
      <c r="C44" s="467" t="s">
        <v>1093</v>
      </c>
      <c r="D44" s="467" t="s">
        <v>1282</v>
      </c>
      <c r="E44" s="467" t="s">
        <v>1100</v>
      </c>
      <c r="F44" s="467" t="s">
        <v>1290</v>
      </c>
      <c r="G44" s="467" t="s">
        <v>1296</v>
      </c>
      <c r="H44" s="467" t="s">
        <v>1310</v>
      </c>
      <c r="I44" s="467" t="s">
        <v>1218</v>
      </c>
      <c r="J44" s="467" t="s">
        <v>11367</v>
      </c>
      <c r="K44" s="467" t="s">
        <v>1122</v>
      </c>
      <c r="L44" s="467" t="s">
        <v>1228</v>
      </c>
      <c r="M44" s="467" t="s">
        <v>1124</v>
      </c>
      <c r="N44" s="467" t="s">
        <v>1339</v>
      </c>
      <c r="O44" s="467" t="s">
        <v>1233</v>
      </c>
      <c r="P44" s="467" t="s">
        <v>11368</v>
      </c>
      <c r="Q44" s="467" t="s">
        <v>1235</v>
      </c>
      <c r="R44" s="467" t="s">
        <v>1342</v>
      </c>
      <c r="S44" s="467" t="s">
        <v>1364</v>
      </c>
      <c r="T44" s="467" t="s">
        <v>1372</v>
      </c>
    </row>
    <row r="45" spans="1:63" x14ac:dyDescent="0.25">
      <c r="A45" s="467" t="s">
        <v>490</v>
      </c>
      <c r="B45" s="467" t="s">
        <v>489</v>
      </c>
      <c r="C45" s="467" t="s">
        <v>1385</v>
      </c>
      <c r="D45" s="467" t="s">
        <v>1143</v>
      </c>
      <c r="E45" s="467" t="s">
        <v>1093</v>
      </c>
      <c r="F45" s="467" t="s">
        <v>11380</v>
      </c>
      <c r="G45" s="467" t="s">
        <v>1096</v>
      </c>
      <c r="H45" s="467" t="s">
        <v>11448</v>
      </c>
      <c r="I45" s="467" t="s">
        <v>11363</v>
      </c>
      <c r="J45" s="467" t="s">
        <v>1277</v>
      </c>
      <c r="K45" s="467" t="s">
        <v>14158</v>
      </c>
      <c r="L45" s="467" t="s">
        <v>14160</v>
      </c>
      <c r="M45" s="467" t="s">
        <v>1409</v>
      </c>
      <c r="N45" s="467" t="s">
        <v>1285</v>
      </c>
      <c r="O45" s="467" t="s">
        <v>1415</v>
      </c>
      <c r="P45" s="467" t="s">
        <v>1100</v>
      </c>
      <c r="Q45" s="467" t="s">
        <v>1420</v>
      </c>
      <c r="R45" s="467" t="s">
        <v>1422</v>
      </c>
      <c r="S45" s="467" t="s">
        <v>1433</v>
      </c>
      <c r="T45" s="467" t="s">
        <v>1442</v>
      </c>
      <c r="U45" s="467" t="s">
        <v>14208</v>
      </c>
      <c r="V45" s="467" t="s">
        <v>1185</v>
      </c>
      <c r="W45" s="467" t="s">
        <v>1459</v>
      </c>
      <c r="X45" s="467" t="s">
        <v>1105</v>
      </c>
      <c r="Y45" s="467" t="s">
        <v>1107</v>
      </c>
      <c r="Z45" s="467" t="s">
        <v>1189</v>
      </c>
      <c r="AA45" s="467" t="s">
        <v>1481</v>
      </c>
      <c r="AB45" s="467" t="s">
        <v>14243</v>
      </c>
      <c r="AC45" s="467" t="s">
        <v>1310</v>
      </c>
      <c r="AD45" s="467" t="s">
        <v>1202</v>
      </c>
      <c r="AE45" s="467" t="s">
        <v>1494</v>
      </c>
      <c r="AF45" s="467" t="s">
        <v>1112</v>
      </c>
      <c r="AG45" s="467" t="s">
        <v>1114</v>
      </c>
      <c r="AH45" s="467" t="s">
        <v>1319</v>
      </c>
      <c r="AI45" s="467" t="s">
        <v>1120</v>
      </c>
      <c r="AJ45" s="467" t="s">
        <v>1320</v>
      </c>
      <c r="AK45" s="467" t="s">
        <v>1322</v>
      </c>
      <c r="AL45" s="467" t="s">
        <v>1217</v>
      </c>
      <c r="AM45" s="467" t="s">
        <v>1218</v>
      </c>
      <c r="AN45" s="467" t="s">
        <v>11367</v>
      </c>
      <c r="AO45" s="467" t="s">
        <v>14267</v>
      </c>
      <c r="AP45" s="467" t="s">
        <v>1332</v>
      </c>
      <c r="AQ45" s="467" t="s">
        <v>1519</v>
      </c>
      <c r="AR45" s="467" t="s">
        <v>1523</v>
      </c>
      <c r="AS45" s="467" t="s">
        <v>1525</v>
      </c>
      <c r="AT45" s="467" t="s">
        <v>1534</v>
      </c>
      <c r="AU45" s="467" t="s">
        <v>1535</v>
      </c>
      <c r="AV45" s="467" t="s">
        <v>1124</v>
      </c>
      <c r="AW45" s="467" t="s">
        <v>1233</v>
      </c>
      <c r="AX45" s="467" t="s">
        <v>1126</v>
      </c>
      <c r="AY45" s="467" t="s">
        <v>1130</v>
      </c>
      <c r="AZ45" s="467" t="s">
        <v>1563</v>
      </c>
      <c r="BA45" s="467" t="s">
        <v>1249</v>
      </c>
      <c r="BB45" s="467" t="s">
        <v>1253</v>
      </c>
      <c r="BC45" s="467" t="s">
        <v>1587</v>
      </c>
      <c r="BD45" s="467" t="s">
        <v>1598</v>
      </c>
    </row>
    <row r="46" spans="1:63" x14ac:dyDescent="0.25">
      <c r="A46" s="467" t="s">
        <v>492</v>
      </c>
      <c r="B46" s="467" t="s">
        <v>491</v>
      </c>
      <c r="C46" s="467" t="s">
        <v>1158</v>
      </c>
      <c r="D46" s="467" t="s">
        <v>2066</v>
      </c>
      <c r="E46" s="467" t="s">
        <v>2067</v>
      </c>
      <c r="F46" s="467" t="s">
        <v>1961</v>
      </c>
      <c r="G46" s="467" t="s">
        <v>1100</v>
      </c>
      <c r="H46" s="467" t="s">
        <v>14213</v>
      </c>
      <c r="I46" s="467" t="s">
        <v>1109</v>
      </c>
      <c r="J46" s="467" t="s">
        <v>1190</v>
      </c>
      <c r="K46" s="467" t="s">
        <v>1203</v>
      </c>
      <c r="L46" s="467" t="s">
        <v>1207</v>
      </c>
      <c r="M46" s="467" t="s">
        <v>1217</v>
      </c>
      <c r="N46" s="467" t="s">
        <v>1226</v>
      </c>
      <c r="O46" s="467" t="s">
        <v>2008</v>
      </c>
      <c r="P46" s="467" t="s">
        <v>1134</v>
      </c>
      <c r="Q46" s="467" t="s">
        <v>2127</v>
      </c>
    </row>
    <row r="47" spans="1:63" x14ac:dyDescent="0.25">
      <c r="A47" s="467" t="s">
        <v>494</v>
      </c>
      <c r="B47" s="467" t="s">
        <v>493</v>
      </c>
      <c r="C47" s="467" t="s">
        <v>1096</v>
      </c>
      <c r="D47" s="467" t="s">
        <v>1273</v>
      </c>
      <c r="E47" s="467" t="s">
        <v>1156</v>
      </c>
      <c r="F47" s="467" t="s">
        <v>1161</v>
      </c>
      <c r="G47" s="467" t="s">
        <v>1100</v>
      </c>
      <c r="H47" s="467" t="s">
        <v>1187</v>
      </c>
      <c r="I47" s="467" t="s">
        <v>1302</v>
      </c>
      <c r="J47" s="467" t="s">
        <v>1107</v>
      </c>
      <c r="K47" s="467" t="s">
        <v>1305</v>
      </c>
      <c r="L47" s="467" t="s">
        <v>1202</v>
      </c>
      <c r="M47" s="467" t="s">
        <v>1112</v>
      </c>
      <c r="N47" s="467" t="s">
        <v>1319</v>
      </c>
      <c r="O47" s="467" t="s">
        <v>1120</v>
      </c>
      <c r="P47" s="467" t="s">
        <v>1323</v>
      </c>
      <c r="Q47" s="467" t="s">
        <v>1327</v>
      </c>
      <c r="R47" s="467" t="s">
        <v>1126</v>
      </c>
      <c r="S47" s="467" t="s">
        <v>1130</v>
      </c>
      <c r="T47" s="467" t="s">
        <v>1369</v>
      </c>
    </row>
    <row r="48" spans="1:63" x14ac:dyDescent="0.25">
      <c r="A48" s="467" t="s">
        <v>496</v>
      </c>
      <c r="B48" s="467" t="s">
        <v>495</v>
      </c>
      <c r="C48" s="467" t="s">
        <v>1143</v>
      </c>
      <c r="D48" s="467" t="s">
        <v>1093</v>
      </c>
      <c r="E48" s="467" t="s">
        <v>1096</v>
      </c>
      <c r="F48" s="467" t="s">
        <v>1171</v>
      </c>
      <c r="G48" s="467" t="s">
        <v>1173</v>
      </c>
      <c r="H48" s="467" t="s">
        <v>1178</v>
      </c>
      <c r="I48" s="467" t="s">
        <v>1180</v>
      </c>
      <c r="J48" s="467" t="s">
        <v>1181</v>
      </c>
      <c r="K48" s="467" t="s">
        <v>14208</v>
      </c>
      <c r="L48" s="467" t="s">
        <v>1105</v>
      </c>
      <c r="M48" s="467" t="s">
        <v>1203</v>
      </c>
      <c r="N48" s="467" t="s">
        <v>1112</v>
      </c>
      <c r="O48" s="467" t="s">
        <v>1207</v>
      </c>
      <c r="P48" s="467" t="s">
        <v>1215</v>
      </c>
      <c r="Q48" s="467" t="s">
        <v>1220</v>
      </c>
      <c r="R48" s="467" t="s">
        <v>1122</v>
      </c>
      <c r="S48" s="467" t="s">
        <v>1226</v>
      </c>
      <c r="T48" s="467" t="s">
        <v>1228</v>
      </c>
      <c r="U48" s="467" t="s">
        <v>1261</v>
      </c>
    </row>
    <row r="49" spans="1:65" x14ac:dyDescent="0.25">
      <c r="A49" s="467" t="s">
        <v>11440</v>
      </c>
      <c r="B49" s="467" t="s">
        <v>11441</v>
      </c>
      <c r="C49" s="467" t="s">
        <v>1386</v>
      </c>
      <c r="D49" s="467" t="s">
        <v>1091</v>
      </c>
      <c r="E49" s="467" t="s">
        <v>14127</v>
      </c>
      <c r="F49" s="467" t="s">
        <v>1093</v>
      </c>
      <c r="G49" s="467" t="s">
        <v>1096</v>
      </c>
      <c r="H49" s="467" t="s">
        <v>1156</v>
      </c>
      <c r="I49" s="467" t="s">
        <v>1158</v>
      </c>
      <c r="J49" s="467" t="s">
        <v>1813</v>
      </c>
      <c r="K49" s="467" t="s">
        <v>1161</v>
      </c>
      <c r="L49" s="467" t="s">
        <v>1100</v>
      </c>
      <c r="M49" s="467" t="s">
        <v>1825</v>
      </c>
      <c r="N49" s="467" t="s">
        <v>1175</v>
      </c>
      <c r="O49" s="467" t="s">
        <v>14190</v>
      </c>
      <c r="P49" s="467" t="s">
        <v>1832</v>
      </c>
      <c r="Q49" s="467" t="s">
        <v>14208</v>
      </c>
      <c r="R49" s="467" t="s">
        <v>1182</v>
      </c>
      <c r="S49" s="467" t="s">
        <v>14213</v>
      </c>
      <c r="T49" s="467" t="s">
        <v>1454</v>
      </c>
      <c r="U49" s="467" t="s">
        <v>1187</v>
      </c>
      <c r="V49" s="467" t="s">
        <v>1105</v>
      </c>
      <c r="W49" s="467" t="s">
        <v>1302</v>
      </c>
      <c r="X49" s="467" t="s">
        <v>1851</v>
      </c>
      <c r="Y49" s="467" t="s">
        <v>1107</v>
      </c>
      <c r="Z49" s="467" t="s">
        <v>1109</v>
      </c>
      <c r="AA49" s="467" t="s">
        <v>1305</v>
      </c>
      <c r="AB49" s="467" t="s">
        <v>1202</v>
      </c>
      <c r="AC49" s="467" t="s">
        <v>1205</v>
      </c>
      <c r="AD49" s="467" t="s">
        <v>1112</v>
      </c>
      <c r="AE49" s="467" t="s">
        <v>1114</v>
      </c>
      <c r="AF49" s="467" t="s">
        <v>1315</v>
      </c>
      <c r="AG49" s="467" t="s">
        <v>1120</v>
      </c>
      <c r="AH49" s="467" t="s">
        <v>1322</v>
      </c>
      <c r="AI49" s="467" t="s">
        <v>1323</v>
      </c>
      <c r="AJ49" s="467" t="s">
        <v>1218</v>
      </c>
      <c r="AK49" s="467" t="s">
        <v>1327</v>
      </c>
      <c r="AL49" s="467" t="s">
        <v>1220</v>
      </c>
      <c r="AM49" s="467" t="s">
        <v>1122</v>
      </c>
      <c r="AN49" s="467" t="s">
        <v>1225</v>
      </c>
      <c r="AO49" s="467" t="s">
        <v>1228</v>
      </c>
      <c r="AP49" s="467" t="s">
        <v>1883</v>
      </c>
      <c r="AQ49" s="467" t="s">
        <v>1124</v>
      </c>
      <c r="AR49" s="467" t="s">
        <v>1888</v>
      </c>
      <c r="AS49" s="467" t="s">
        <v>1233</v>
      </c>
      <c r="AT49" s="467" t="s">
        <v>11368</v>
      </c>
      <c r="AU49" s="467" t="s">
        <v>1234</v>
      </c>
      <c r="AV49" s="467" t="s">
        <v>1235</v>
      </c>
      <c r="AW49" s="467" t="s">
        <v>1126</v>
      </c>
      <c r="AX49" s="467" t="s">
        <v>1898</v>
      </c>
      <c r="AY49" s="467" t="s">
        <v>1130</v>
      </c>
      <c r="AZ49" s="467" t="s">
        <v>1240</v>
      </c>
      <c r="BA49" s="467" t="s">
        <v>1134</v>
      </c>
      <c r="BB49" s="467" t="s">
        <v>1906</v>
      </c>
      <c r="BC49" s="467" t="s">
        <v>1909</v>
      </c>
      <c r="BD49" s="467" t="s">
        <v>1912</v>
      </c>
      <c r="BE49" s="467" t="s">
        <v>1913</v>
      </c>
      <c r="BF49" s="467" t="s">
        <v>1245</v>
      </c>
      <c r="BG49" s="467" t="s">
        <v>1248</v>
      </c>
      <c r="BH49" s="467" t="s">
        <v>1249</v>
      </c>
      <c r="BI49" s="467" t="s">
        <v>1253</v>
      </c>
      <c r="BJ49" s="467" t="s">
        <v>1138</v>
      </c>
      <c r="BK49" s="467" t="s">
        <v>1369</v>
      </c>
      <c r="BL49" s="467" t="s">
        <v>1260</v>
      </c>
      <c r="BM49" s="467" t="s">
        <v>1262</v>
      </c>
    </row>
    <row r="50" spans="1:65" x14ac:dyDescent="0.25">
      <c r="A50" s="467" t="s">
        <v>498</v>
      </c>
      <c r="B50" s="467" t="s">
        <v>497</v>
      </c>
      <c r="C50" s="467" t="s">
        <v>1143</v>
      </c>
      <c r="D50" s="467" t="s">
        <v>1096</v>
      </c>
      <c r="E50" s="467" t="s">
        <v>1680</v>
      </c>
      <c r="F50" s="467" t="s">
        <v>1160</v>
      </c>
      <c r="G50" s="467" t="s">
        <v>1689</v>
      </c>
      <c r="H50" s="467" t="s">
        <v>1167</v>
      </c>
      <c r="I50" s="467" t="s">
        <v>1102</v>
      </c>
      <c r="J50" s="467" t="s">
        <v>1183</v>
      </c>
      <c r="K50" s="467" t="s">
        <v>1105</v>
      </c>
      <c r="L50" s="467" t="s">
        <v>1109</v>
      </c>
      <c r="M50" s="467" t="s">
        <v>1190</v>
      </c>
      <c r="N50" s="467" t="s">
        <v>1208</v>
      </c>
      <c r="O50" s="467" t="s">
        <v>1209</v>
      </c>
      <c r="P50" s="467" t="s">
        <v>1744</v>
      </c>
      <c r="Q50" s="467" t="s">
        <v>1122</v>
      </c>
      <c r="R50" s="467" t="s">
        <v>1228</v>
      </c>
      <c r="S50" s="467" t="s">
        <v>1752</v>
      </c>
      <c r="T50" s="467" t="s">
        <v>11408</v>
      </c>
      <c r="U50" s="467" t="s">
        <v>1257</v>
      </c>
      <c r="V50" s="467" t="s">
        <v>1266</v>
      </c>
    </row>
    <row r="51" spans="1:65" x14ac:dyDescent="0.25">
      <c r="A51" s="467" t="s">
        <v>500</v>
      </c>
      <c r="B51" s="467" t="s">
        <v>499</v>
      </c>
      <c r="C51" s="467" t="s">
        <v>1147</v>
      </c>
      <c r="D51" s="467" t="s">
        <v>1668</v>
      </c>
      <c r="E51" s="467" t="s">
        <v>1096</v>
      </c>
      <c r="F51" s="467" t="s">
        <v>1150</v>
      </c>
      <c r="G51" s="467" t="s">
        <v>1167</v>
      </c>
      <c r="H51" s="467" t="s">
        <v>1102</v>
      </c>
      <c r="I51" s="467" t="s">
        <v>1174</v>
      </c>
      <c r="J51" s="467" t="s">
        <v>14208</v>
      </c>
      <c r="K51" s="467" t="s">
        <v>1183</v>
      </c>
      <c r="L51" s="467" t="s">
        <v>1186</v>
      </c>
      <c r="M51" s="467" t="s">
        <v>1109</v>
      </c>
      <c r="N51" s="467" t="s">
        <v>1190</v>
      </c>
      <c r="O51" s="467" t="s">
        <v>1716</v>
      </c>
      <c r="P51" s="467" t="s">
        <v>11401</v>
      </c>
      <c r="Q51" s="467" t="s">
        <v>11402</v>
      </c>
      <c r="R51" s="467" t="s">
        <v>1193</v>
      </c>
      <c r="S51" s="467" t="s">
        <v>1735</v>
      </c>
      <c r="T51" s="467" t="s">
        <v>1739</v>
      </c>
      <c r="U51" s="467" t="s">
        <v>1208</v>
      </c>
      <c r="V51" s="467" t="s">
        <v>1209</v>
      </c>
      <c r="W51" s="467" t="s">
        <v>1744</v>
      </c>
      <c r="X51" s="467" t="s">
        <v>1223</v>
      </c>
      <c r="Y51" s="467" t="s">
        <v>1122</v>
      </c>
      <c r="Z51" s="467" t="s">
        <v>1225</v>
      </c>
      <c r="AA51" s="467" t="s">
        <v>11406</v>
      </c>
      <c r="AB51" s="467" t="s">
        <v>1228</v>
      </c>
      <c r="AC51" s="467" t="s">
        <v>1752</v>
      </c>
      <c r="AD51" s="467" t="s">
        <v>1126</v>
      </c>
      <c r="AE51" s="467" t="s">
        <v>1758</v>
      </c>
      <c r="AF51" s="467" t="s">
        <v>1770</v>
      </c>
      <c r="AG51" s="467" t="s">
        <v>1249</v>
      </c>
      <c r="AH51" s="467" t="s">
        <v>1253</v>
      </c>
      <c r="AI51" s="467" t="s">
        <v>1384</v>
      </c>
      <c r="AJ51" s="467" t="s">
        <v>1266</v>
      </c>
    </row>
    <row r="52" spans="1:65" x14ac:dyDescent="0.25">
      <c r="A52" s="467" t="s">
        <v>502</v>
      </c>
      <c r="B52" s="467" t="s">
        <v>501</v>
      </c>
      <c r="C52" s="467" t="s">
        <v>1143</v>
      </c>
      <c r="D52" s="467" t="s">
        <v>1096</v>
      </c>
      <c r="E52" s="467" t="s">
        <v>1151</v>
      </c>
      <c r="F52" s="467" t="s">
        <v>11363</v>
      </c>
      <c r="G52" s="467" t="s">
        <v>2138</v>
      </c>
      <c r="H52" s="467" t="s">
        <v>2139</v>
      </c>
      <c r="I52" s="467" t="s">
        <v>2140</v>
      </c>
      <c r="J52" s="467" t="s">
        <v>2142</v>
      </c>
      <c r="K52" s="467" t="s">
        <v>1167</v>
      </c>
      <c r="L52" s="467" t="s">
        <v>2147</v>
      </c>
      <c r="M52" s="467" t="s">
        <v>14208</v>
      </c>
      <c r="N52" s="467" t="s">
        <v>1105</v>
      </c>
      <c r="O52" s="467" t="s">
        <v>2155</v>
      </c>
      <c r="P52" s="467" t="s">
        <v>1188</v>
      </c>
      <c r="Q52" s="467" t="s">
        <v>1107</v>
      </c>
      <c r="R52" s="467" t="s">
        <v>1109</v>
      </c>
      <c r="S52" s="467" t="s">
        <v>1634</v>
      </c>
      <c r="T52" s="467" t="s">
        <v>1190</v>
      </c>
      <c r="U52" s="467" t="s">
        <v>2163</v>
      </c>
      <c r="V52" s="467" t="s">
        <v>1739</v>
      </c>
      <c r="W52" s="467" t="s">
        <v>1209</v>
      </c>
      <c r="X52" s="467" t="s">
        <v>1122</v>
      </c>
      <c r="Y52" s="467" t="s">
        <v>1225</v>
      </c>
      <c r="Z52" s="467" t="s">
        <v>1235</v>
      </c>
      <c r="AA52" s="467" t="s">
        <v>1126</v>
      </c>
      <c r="AB52" s="467" t="s">
        <v>1240</v>
      </c>
      <c r="AC52" s="467" t="s">
        <v>1134</v>
      </c>
      <c r="AD52" s="467" t="s">
        <v>1249</v>
      </c>
      <c r="AE52" s="467" t="s">
        <v>1253</v>
      </c>
      <c r="AF52" s="467" t="s">
        <v>11476</v>
      </c>
      <c r="AG52" s="467" t="s">
        <v>1257</v>
      </c>
      <c r="AH52" s="467" t="s">
        <v>1789</v>
      </c>
      <c r="AI52" s="467" t="s">
        <v>1266</v>
      </c>
    </row>
    <row r="53" spans="1:65" x14ac:dyDescent="0.25">
      <c r="A53" s="467" t="s">
        <v>504</v>
      </c>
      <c r="B53" s="467" t="s">
        <v>503</v>
      </c>
      <c r="C53" s="467" t="s">
        <v>1096</v>
      </c>
      <c r="D53" s="467" t="s">
        <v>1269</v>
      </c>
      <c r="E53" s="467" t="s">
        <v>1156</v>
      </c>
      <c r="F53" s="467" t="s">
        <v>1161</v>
      </c>
      <c r="G53" s="467" t="s">
        <v>1284</v>
      </c>
      <c r="H53" s="467" t="s">
        <v>1286</v>
      </c>
      <c r="I53" s="467" t="s">
        <v>1100</v>
      </c>
      <c r="J53" s="467" t="s">
        <v>1296</v>
      </c>
      <c r="K53" s="467" t="s">
        <v>1180</v>
      </c>
      <c r="L53" s="467" t="s">
        <v>1187</v>
      </c>
      <c r="M53" s="467" t="s">
        <v>1105</v>
      </c>
      <c r="N53" s="467" t="s">
        <v>1109</v>
      </c>
      <c r="O53" s="467" t="s">
        <v>1306</v>
      </c>
      <c r="P53" s="467" t="s">
        <v>1202</v>
      </c>
      <c r="Q53" s="467" t="s">
        <v>1112</v>
      </c>
      <c r="R53" s="467" t="s">
        <v>1218</v>
      </c>
      <c r="S53" s="467" t="s">
        <v>1325</v>
      </c>
      <c r="T53" s="467" t="s">
        <v>1326</v>
      </c>
      <c r="U53" s="467" t="s">
        <v>1328</v>
      </c>
      <c r="V53" s="467" t="s">
        <v>1233</v>
      </c>
      <c r="W53" s="467" t="s">
        <v>11368</v>
      </c>
      <c r="X53" s="467" t="s">
        <v>1126</v>
      </c>
      <c r="Y53" s="467" t="s">
        <v>1134</v>
      </c>
      <c r="Z53" s="467" t="s">
        <v>1245</v>
      </c>
      <c r="AA53" s="467" t="s">
        <v>1356</v>
      </c>
      <c r="AB53" s="467" t="s">
        <v>1364</v>
      </c>
      <c r="AC53" s="467" t="s">
        <v>1253</v>
      </c>
      <c r="AD53" s="467" t="s">
        <v>1373</v>
      </c>
      <c r="AE53" s="467" t="s">
        <v>1384</v>
      </c>
    </row>
    <row r="54" spans="1:65" x14ac:dyDescent="0.25">
      <c r="A54" s="467" t="s">
        <v>506</v>
      </c>
      <c r="B54" s="467" t="s">
        <v>505</v>
      </c>
      <c r="C54" s="467" t="s">
        <v>1385</v>
      </c>
      <c r="D54" s="467" t="s">
        <v>1388</v>
      </c>
      <c r="E54" s="467" t="s">
        <v>1270</v>
      </c>
      <c r="F54" s="467" t="s">
        <v>1161</v>
      </c>
      <c r="G54" s="467" t="s">
        <v>1410</v>
      </c>
      <c r="H54" s="467" t="s">
        <v>1411</v>
      </c>
      <c r="I54" s="467" t="s">
        <v>1100</v>
      </c>
      <c r="J54" s="467" t="s">
        <v>1288</v>
      </c>
      <c r="K54" s="467" t="s">
        <v>1438</v>
      </c>
      <c r="L54" s="467" t="s">
        <v>1185</v>
      </c>
      <c r="M54" s="467" t="s">
        <v>1453</v>
      </c>
      <c r="N54" s="467" t="s">
        <v>1456</v>
      </c>
      <c r="O54" s="467" t="s">
        <v>1469</v>
      </c>
      <c r="P54" s="467" t="s">
        <v>1307</v>
      </c>
      <c r="Q54" s="467" t="s">
        <v>1476</v>
      </c>
      <c r="R54" s="467" t="s">
        <v>1478</v>
      </c>
      <c r="S54" s="467" t="s">
        <v>1202</v>
      </c>
      <c r="T54" s="467" t="s">
        <v>1315</v>
      </c>
      <c r="U54" s="467" t="s">
        <v>1316</v>
      </c>
      <c r="V54" s="467" t="s">
        <v>1507</v>
      </c>
      <c r="W54" s="467" t="s">
        <v>1319</v>
      </c>
      <c r="X54" s="467" t="s">
        <v>1120</v>
      </c>
      <c r="Y54" s="467" t="s">
        <v>1510</v>
      </c>
      <c r="Z54" s="467" t="s">
        <v>1511</v>
      </c>
      <c r="AA54" s="467" t="s">
        <v>1322</v>
      </c>
      <c r="AB54" s="467" t="s">
        <v>1217</v>
      </c>
      <c r="AC54" s="467" t="s">
        <v>1324</v>
      </c>
      <c r="AD54" s="467" t="s">
        <v>1325</v>
      </c>
      <c r="AE54" s="467" t="s">
        <v>1516</v>
      </c>
      <c r="AF54" s="467" t="s">
        <v>1220</v>
      </c>
      <c r="AG54" s="467" t="s">
        <v>1332</v>
      </c>
      <c r="AH54" s="467" t="s">
        <v>1122</v>
      </c>
      <c r="AI54" s="467" t="s">
        <v>1225</v>
      </c>
      <c r="AJ54" s="467" t="s">
        <v>1234</v>
      </c>
      <c r="AK54" s="467" t="s">
        <v>1126</v>
      </c>
      <c r="AL54" s="467" t="s">
        <v>1340</v>
      </c>
      <c r="AM54" s="467" t="s">
        <v>11392</v>
      </c>
      <c r="AN54" s="467" t="s">
        <v>1544</v>
      </c>
      <c r="AO54" s="467" t="s">
        <v>1545</v>
      </c>
      <c r="AP54" s="467" t="s">
        <v>1130</v>
      </c>
      <c r="AQ54" s="467" t="s">
        <v>11393</v>
      </c>
      <c r="AR54" s="467" t="s">
        <v>1550</v>
      </c>
      <c r="AS54" s="467" t="s">
        <v>1345</v>
      </c>
      <c r="AT54" s="467" t="s">
        <v>1558</v>
      </c>
      <c r="AU54" s="467" t="s">
        <v>1249</v>
      </c>
      <c r="AV54" s="467" t="s">
        <v>1362</v>
      </c>
      <c r="AW54" s="467" t="s">
        <v>1253</v>
      </c>
      <c r="AX54" s="467" t="s">
        <v>1595</v>
      </c>
      <c r="AY54" s="467" t="s">
        <v>1605</v>
      </c>
    </row>
    <row r="55" spans="1:65" x14ac:dyDescent="0.25">
      <c r="A55" s="467" t="s">
        <v>508</v>
      </c>
      <c r="B55" s="467" t="s">
        <v>507</v>
      </c>
      <c r="C55" s="467" t="s">
        <v>1147</v>
      </c>
      <c r="D55" s="467" t="s">
        <v>1093</v>
      </c>
      <c r="E55" s="467" t="s">
        <v>1096</v>
      </c>
      <c r="F55" s="467" t="s">
        <v>1672</v>
      </c>
      <c r="G55" s="467" t="s">
        <v>11363</v>
      </c>
      <c r="H55" s="467" t="s">
        <v>1158</v>
      </c>
      <c r="I55" s="467" t="s">
        <v>1961</v>
      </c>
      <c r="J55" s="467" t="s">
        <v>1100</v>
      </c>
      <c r="K55" s="467" t="s">
        <v>1179</v>
      </c>
      <c r="L55" s="467" t="s">
        <v>14213</v>
      </c>
      <c r="M55" s="467" t="s">
        <v>14215</v>
      </c>
      <c r="N55" s="467" t="s">
        <v>1105</v>
      </c>
      <c r="O55" s="467" t="s">
        <v>14226</v>
      </c>
      <c r="P55" s="467" t="s">
        <v>1109</v>
      </c>
      <c r="Q55" s="467" t="s">
        <v>1190</v>
      </c>
      <c r="R55" s="467" t="s">
        <v>1205</v>
      </c>
      <c r="S55" s="467" t="s">
        <v>1207</v>
      </c>
      <c r="T55" s="467" t="s">
        <v>1226</v>
      </c>
      <c r="U55" s="467" t="s">
        <v>1233</v>
      </c>
      <c r="V55" s="467" t="s">
        <v>1126</v>
      </c>
      <c r="W55" s="467" t="s">
        <v>2117</v>
      </c>
      <c r="X55" s="467" t="s">
        <v>11434</v>
      </c>
      <c r="Y55" s="467" t="s">
        <v>2123</v>
      </c>
      <c r="Z55" s="467" t="s">
        <v>1259</v>
      </c>
      <c r="AA55" s="467" t="s">
        <v>2127</v>
      </c>
    </row>
    <row r="56" spans="1:65" x14ac:dyDescent="0.25">
      <c r="A56" s="467" t="s">
        <v>510</v>
      </c>
      <c r="B56" s="467" t="s">
        <v>509</v>
      </c>
      <c r="C56" s="467" t="s">
        <v>1093</v>
      </c>
      <c r="D56" s="467" t="s">
        <v>1096</v>
      </c>
      <c r="E56" s="467" t="s">
        <v>1100</v>
      </c>
      <c r="F56" s="467" t="s">
        <v>1288</v>
      </c>
      <c r="G56" s="467" t="s">
        <v>1836</v>
      </c>
      <c r="H56" s="467" t="s">
        <v>1837</v>
      </c>
      <c r="I56" s="467" t="s">
        <v>14208</v>
      </c>
      <c r="J56" s="467" t="s">
        <v>1443</v>
      </c>
      <c r="K56" s="467" t="s">
        <v>1188</v>
      </c>
      <c r="L56" s="467" t="s">
        <v>1107</v>
      </c>
      <c r="M56" s="467" t="s">
        <v>1109</v>
      </c>
      <c r="N56" s="467" t="s">
        <v>1189</v>
      </c>
      <c r="O56" s="467" t="s">
        <v>1190</v>
      </c>
      <c r="P56" s="467" t="s">
        <v>1202</v>
      </c>
      <c r="Q56" s="467" t="s">
        <v>1114</v>
      </c>
      <c r="R56" s="467" t="s">
        <v>14400</v>
      </c>
      <c r="S56" s="467" t="s">
        <v>1217</v>
      </c>
      <c r="T56" s="467" t="s">
        <v>1218</v>
      </c>
      <c r="U56" s="467" t="s">
        <v>11367</v>
      </c>
      <c r="V56" s="467" t="s">
        <v>1877</v>
      </c>
      <c r="W56" s="467" t="s">
        <v>1122</v>
      </c>
      <c r="X56" s="467" t="s">
        <v>1225</v>
      </c>
      <c r="Y56" s="467" t="s">
        <v>1126</v>
      </c>
      <c r="Z56" s="467" t="s">
        <v>1130</v>
      </c>
      <c r="AA56" s="467" t="s">
        <v>1245</v>
      </c>
      <c r="AB56" s="467" t="s">
        <v>14352</v>
      </c>
      <c r="AC56" s="467" t="s">
        <v>1253</v>
      </c>
      <c r="AD56" s="467" t="s">
        <v>1928</v>
      </c>
      <c r="AE56" s="467" t="s">
        <v>1371</v>
      </c>
      <c r="AF56" s="467" t="s">
        <v>1934</v>
      </c>
      <c r="AG56" s="467" t="s">
        <v>1935</v>
      </c>
      <c r="AH56" s="467" t="s">
        <v>1262</v>
      </c>
    </row>
    <row r="57" spans="1:65" x14ac:dyDescent="0.25">
      <c r="A57" s="467" t="s">
        <v>512</v>
      </c>
      <c r="B57" s="467" t="s">
        <v>511</v>
      </c>
      <c r="C57" s="467" t="s">
        <v>1096</v>
      </c>
      <c r="D57" s="467" t="s">
        <v>1623</v>
      </c>
      <c r="E57" s="467" t="s">
        <v>1167</v>
      </c>
      <c r="F57" s="467" t="s">
        <v>1172</v>
      </c>
      <c r="G57" s="467" t="s">
        <v>1698</v>
      </c>
      <c r="H57" s="467" t="s">
        <v>1174</v>
      </c>
      <c r="I57" s="467" t="s">
        <v>1177</v>
      </c>
      <c r="J57" s="467" t="s">
        <v>14208</v>
      </c>
      <c r="K57" s="467" t="s">
        <v>1105</v>
      </c>
      <c r="L57" s="467" t="s">
        <v>1107</v>
      </c>
      <c r="M57" s="467" t="s">
        <v>1190</v>
      </c>
      <c r="N57" s="467" t="s">
        <v>1737</v>
      </c>
      <c r="O57" s="467" t="s">
        <v>1738</v>
      </c>
      <c r="P57" s="467" t="s">
        <v>1209</v>
      </c>
      <c r="Q57" s="467" t="s">
        <v>1503</v>
      </c>
      <c r="R57" s="467" t="s">
        <v>1223</v>
      </c>
      <c r="S57" s="467" t="s">
        <v>1228</v>
      </c>
      <c r="T57" s="467" t="s">
        <v>1648</v>
      </c>
      <c r="U57" s="467" t="s">
        <v>1252</v>
      </c>
      <c r="V57" s="467" t="s">
        <v>1253</v>
      </c>
      <c r="W57" s="467" t="s">
        <v>1371</v>
      </c>
    </row>
    <row r="58" spans="1:65" x14ac:dyDescent="0.25">
      <c r="A58" s="467" t="s">
        <v>514</v>
      </c>
      <c r="B58" s="467" t="s">
        <v>513</v>
      </c>
      <c r="C58" s="467" t="s">
        <v>1093</v>
      </c>
      <c r="D58" s="467" t="s">
        <v>1096</v>
      </c>
      <c r="E58" s="467" t="s">
        <v>1283</v>
      </c>
      <c r="F58" s="467" t="s">
        <v>1294</v>
      </c>
      <c r="G58" s="467" t="s">
        <v>1107</v>
      </c>
      <c r="H58" s="467" t="s">
        <v>1190</v>
      </c>
      <c r="I58" s="467" t="s">
        <v>1311</v>
      </c>
      <c r="J58" s="467" t="s">
        <v>1202</v>
      </c>
      <c r="K58" s="467" t="s">
        <v>1114</v>
      </c>
      <c r="L58" s="467" t="s">
        <v>1210</v>
      </c>
      <c r="M58" s="467" t="s">
        <v>1319</v>
      </c>
      <c r="N58" s="467" t="s">
        <v>1120</v>
      </c>
      <c r="O58" s="467" t="s">
        <v>1322</v>
      </c>
      <c r="P58" s="467" t="s">
        <v>1218</v>
      </c>
      <c r="Q58" s="467" t="s">
        <v>1325</v>
      </c>
      <c r="R58" s="467" t="s">
        <v>1332</v>
      </c>
      <c r="S58" s="467" t="s">
        <v>1122</v>
      </c>
      <c r="T58" s="467" t="s">
        <v>1339</v>
      </c>
      <c r="U58" s="467" t="s">
        <v>1130</v>
      </c>
      <c r="V58" s="467" t="s">
        <v>1346</v>
      </c>
      <c r="W58" s="467" t="s">
        <v>1350</v>
      </c>
      <c r="X58" s="467" t="s">
        <v>1245</v>
      </c>
      <c r="Y58" s="467" t="s">
        <v>1362</v>
      </c>
      <c r="Z58" s="467" t="s">
        <v>1364</v>
      </c>
    </row>
    <row r="59" spans="1:65" x14ac:dyDescent="0.25">
      <c r="A59" s="467" t="s">
        <v>516</v>
      </c>
      <c r="B59" s="467" t="s">
        <v>515</v>
      </c>
      <c r="C59" s="467" t="s">
        <v>1093</v>
      </c>
      <c r="D59" s="467" t="s">
        <v>1096</v>
      </c>
      <c r="E59" s="467" t="s">
        <v>1156</v>
      </c>
      <c r="F59" s="467" t="s">
        <v>1161</v>
      </c>
      <c r="G59" s="467" t="s">
        <v>1100</v>
      </c>
      <c r="H59" s="467" t="s">
        <v>1168</v>
      </c>
      <c r="I59" s="467" t="s">
        <v>1172</v>
      </c>
      <c r="J59" s="467" t="s">
        <v>1295</v>
      </c>
      <c r="K59" s="467" t="s">
        <v>14208</v>
      </c>
      <c r="L59" s="467" t="s">
        <v>1182</v>
      </c>
      <c r="M59" s="467" t="s">
        <v>1185</v>
      </c>
      <c r="N59" s="467" t="s">
        <v>1105</v>
      </c>
      <c r="O59" s="467" t="s">
        <v>1302</v>
      </c>
      <c r="P59" s="467" t="s">
        <v>1107</v>
      </c>
      <c r="Q59" s="467" t="s">
        <v>1109</v>
      </c>
      <c r="R59" s="467" t="s">
        <v>1190</v>
      </c>
      <c r="S59" s="467" t="s">
        <v>1195</v>
      </c>
      <c r="T59" s="467" t="s">
        <v>1310</v>
      </c>
      <c r="U59" s="467" t="s">
        <v>1202</v>
      </c>
      <c r="V59" s="467" t="s">
        <v>14400</v>
      </c>
      <c r="W59" s="467" t="s">
        <v>1315</v>
      </c>
      <c r="X59" s="467" t="s">
        <v>1120</v>
      </c>
      <c r="Y59" s="467" t="s">
        <v>1321</v>
      </c>
      <c r="Z59" s="467" t="s">
        <v>1218</v>
      </c>
      <c r="AA59" s="467" t="s">
        <v>11367</v>
      </c>
      <c r="AB59" s="467" t="s">
        <v>1327</v>
      </c>
      <c r="AC59" s="467" t="s">
        <v>1122</v>
      </c>
      <c r="AD59" s="467" t="s">
        <v>1225</v>
      </c>
      <c r="AE59" s="467" t="s">
        <v>1124</v>
      </c>
      <c r="AF59" s="467" t="s">
        <v>1233</v>
      </c>
      <c r="AG59" s="467" t="s">
        <v>11368</v>
      </c>
      <c r="AH59" s="467" t="s">
        <v>1341</v>
      </c>
      <c r="AI59" s="467" t="s">
        <v>1240</v>
      </c>
      <c r="AJ59" s="467" t="s">
        <v>1241</v>
      </c>
      <c r="AK59" s="467" t="s">
        <v>1134</v>
      </c>
      <c r="AL59" s="467" t="s">
        <v>1249</v>
      </c>
      <c r="AM59" s="467" t="s">
        <v>1253</v>
      </c>
      <c r="AN59" s="467" t="s">
        <v>1369</v>
      </c>
      <c r="AO59" s="467" t="s">
        <v>1370</v>
      </c>
    </row>
    <row r="60" spans="1:65" x14ac:dyDescent="0.25">
      <c r="A60" s="467" t="s">
        <v>518</v>
      </c>
      <c r="B60" s="467" t="s">
        <v>517</v>
      </c>
      <c r="C60" s="467" t="s">
        <v>1147</v>
      </c>
      <c r="D60" s="467" t="s">
        <v>1093</v>
      </c>
      <c r="E60" s="467" t="s">
        <v>1096</v>
      </c>
      <c r="F60" s="467" t="s">
        <v>1171</v>
      </c>
      <c r="G60" s="467" t="s">
        <v>1173</v>
      </c>
      <c r="H60" s="467" t="s">
        <v>1102</v>
      </c>
      <c r="I60" s="467" t="s">
        <v>1174</v>
      </c>
      <c r="J60" s="467" t="s">
        <v>14208</v>
      </c>
      <c r="K60" s="467" t="s">
        <v>1183</v>
      </c>
      <c r="L60" s="467" t="s">
        <v>1186</v>
      </c>
      <c r="M60" s="467" t="s">
        <v>1105</v>
      </c>
      <c r="N60" s="467" t="s">
        <v>1109</v>
      </c>
      <c r="O60" s="467" t="s">
        <v>1190</v>
      </c>
      <c r="P60" s="467" t="s">
        <v>1203</v>
      </c>
      <c r="Q60" s="467" t="s">
        <v>1112</v>
      </c>
      <c r="R60" s="467" t="s">
        <v>1207</v>
      </c>
      <c r="S60" s="467" t="s">
        <v>1215</v>
      </c>
      <c r="T60" s="467" t="s">
        <v>1220</v>
      </c>
      <c r="U60" s="467" t="s">
        <v>1122</v>
      </c>
      <c r="V60" s="467" t="s">
        <v>1226</v>
      </c>
      <c r="W60" s="467" t="s">
        <v>1228</v>
      </c>
      <c r="X60" s="467" t="s">
        <v>1124</v>
      </c>
      <c r="Y60" s="467" t="s">
        <v>1233</v>
      </c>
      <c r="Z60" s="467" t="s">
        <v>11368</v>
      </c>
      <c r="AA60" s="467" t="s">
        <v>1240</v>
      </c>
      <c r="AB60" s="467" t="s">
        <v>1241</v>
      </c>
      <c r="AC60" s="467" t="s">
        <v>1134</v>
      </c>
      <c r="AD60" s="467" t="s">
        <v>1245</v>
      </c>
      <c r="AE60" s="467" t="s">
        <v>1247</v>
      </c>
      <c r="AF60" s="467" t="s">
        <v>1253</v>
      </c>
      <c r="AG60" s="467" t="s">
        <v>1260</v>
      </c>
      <c r="AH60" s="467" t="s">
        <v>1261</v>
      </c>
    </row>
    <row r="61" spans="1:65" x14ac:dyDescent="0.25">
      <c r="A61" s="467" t="s">
        <v>520</v>
      </c>
      <c r="B61" s="467" t="s">
        <v>519</v>
      </c>
      <c r="C61" s="467" t="s">
        <v>1283</v>
      </c>
      <c r="D61" s="467" t="s">
        <v>1100</v>
      </c>
      <c r="E61" s="467" t="s">
        <v>1293</v>
      </c>
      <c r="F61" s="467" t="s">
        <v>1175</v>
      </c>
      <c r="G61" s="467" t="s">
        <v>1294</v>
      </c>
      <c r="H61" s="467" t="s">
        <v>14208</v>
      </c>
      <c r="I61" s="467" t="s">
        <v>1185</v>
      </c>
      <c r="J61" s="467" t="s">
        <v>1187</v>
      </c>
      <c r="K61" s="467" t="s">
        <v>1105</v>
      </c>
      <c r="L61" s="467" t="s">
        <v>1188</v>
      </c>
      <c r="M61" s="467" t="s">
        <v>1107</v>
      </c>
      <c r="N61" s="467" t="s">
        <v>14243</v>
      </c>
      <c r="O61" s="467" t="s">
        <v>1310</v>
      </c>
      <c r="P61" s="467" t="s">
        <v>1202</v>
      </c>
      <c r="Q61" s="467" t="s">
        <v>1205</v>
      </c>
      <c r="R61" s="467" t="s">
        <v>1112</v>
      </c>
      <c r="S61" s="467" t="s">
        <v>1114</v>
      </c>
      <c r="T61" s="467" t="s">
        <v>1210</v>
      </c>
      <c r="U61" s="467" t="s">
        <v>14400</v>
      </c>
      <c r="V61" s="467" t="s">
        <v>1319</v>
      </c>
      <c r="W61" s="467" t="s">
        <v>1120</v>
      </c>
      <c r="X61" s="467" t="s">
        <v>1218</v>
      </c>
      <c r="Y61" s="467" t="s">
        <v>1325</v>
      </c>
      <c r="Z61" s="467" t="s">
        <v>1332</v>
      </c>
      <c r="AA61" s="467" t="s">
        <v>1122</v>
      </c>
      <c r="AB61" s="467" t="s">
        <v>1339</v>
      </c>
      <c r="AC61" s="467" t="s">
        <v>1233</v>
      </c>
      <c r="AD61" s="467" t="s">
        <v>11368</v>
      </c>
      <c r="AE61" s="467" t="s">
        <v>1126</v>
      </c>
      <c r="AF61" s="467" t="s">
        <v>1346</v>
      </c>
      <c r="AG61" s="467" t="s">
        <v>1249</v>
      </c>
      <c r="AH61" s="467" t="s">
        <v>1363</v>
      </c>
    </row>
    <row r="62" spans="1:65" x14ac:dyDescent="0.25">
      <c r="A62" s="467" t="s">
        <v>522</v>
      </c>
      <c r="B62" s="467" t="s">
        <v>521</v>
      </c>
      <c r="C62" s="467" t="s">
        <v>1093</v>
      </c>
      <c r="D62" s="467" t="s">
        <v>1096</v>
      </c>
      <c r="E62" s="467" t="s">
        <v>11363</v>
      </c>
      <c r="F62" s="467" t="s">
        <v>1158</v>
      </c>
      <c r="G62" s="467" t="s">
        <v>14161</v>
      </c>
      <c r="H62" s="467" t="s">
        <v>1957</v>
      </c>
      <c r="I62" s="467" t="s">
        <v>1958</v>
      </c>
      <c r="J62" s="467" t="s">
        <v>1819</v>
      </c>
      <c r="K62" s="467" t="s">
        <v>1975</v>
      </c>
      <c r="L62" s="467" t="s">
        <v>1177</v>
      </c>
      <c r="M62" s="467" t="s">
        <v>1983</v>
      </c>
      <c r="N62" s="467" t="s">
        <v>14213</v>
      </c>
      <c r="O62" s="467" t="s">
        <v>1105</v>
      </c>
      <c r="P62" s="467" t="s">
        <v>1188</v>
      </c>
      <c r="Q62" s="467" t="s">
        <v>1107</v>
      </c>
      <c r="R62" s="467" t="s">
        <v>1109</v>
      </c>
      <c r="S62" s="467" t="s">
        <v>1111</v>
      </c>
      <c r="T62" s="467" t="s">
        <v>1994</v>
      </c>
      <c r="U62" s="467" t="s">
        <v>1226</v>
      </c>
      <c r="V62" s="467" t="s">
        <v>2008</v>
      </c>
      <c r="W62" s="467" t="s">
        <v>1234</v>
      </c>
      <c r="X62" s="467" t="s">
        <v>1235</v>
      </c>
      <c r="Y62" s="467" t="s">
        <v>1126</v>
      </c>
      <c r="Z62" s="467" t="s">
        <v>1132</v>
      </c>
      <c r="AA62" s="467" t="s">
        <v>1249</v>
      </c>
      <c r="AB62" s="467" t="s">
        <v>1253</v>
      </c>
      <c r="AC62" s="467" t="s">
        <v>1262</v>
      </c>
    </row>
    <row r="63" spans="1:65" x14ac:dyDescent="0.25">
      <c r="A63" s="467" t="s">
        <v>524</v>
      </c>
      <c r="B63" s="467" t="s">
        <v>523</v>
      </c>
      <c r="C63" s="467" t="s">
        <v>1385</v>
      </c>
      <c r="D63" s="467" t="s">
        <v>1386</v>
      </c>
      <c r="E63" s="467" t="s">
        <v>1091</v>
      </c>
      <c r="F63" s="467" t="s">
        <v>1093</v>
      </c>
      <c r="G63" s="467" t="s">
        <v>1096</v>
      </c>
      <c r="H63" s="467" t="s">
        <v>1156</v>
      </c>
      <c r="I63" s="467" t="s">
        <v>1157</v>
      </c>
      <c r="J63" s="467" t="s">
        <v>1158</v>
      </c>
      <c r="K63" s="467" t="s">
        <v>1161</v>
      </c>
      <c r="L63" s="467" t="s">
        <v>1164</v>
      </c>
      <c r="M63" s="467" t="s">
        <v>1100</v>
      </c>
      <c r="N63" s="467" t="s">
        <v>1287</v>
      </c>
      <c r="O63" s="467" t="s">
        <v>1175</v>
      </c>
      <c r="P63" s="467" t="s">
        <v>14208</v>
      </c>
      <c r="Q63" s="467" t="s">
        <v>1182</v>
      </c>
      <c r="R63" s="467" t="s">
        <v>14213</v>
      </c>
      <c r="S63" s="467" t="s">
        <v>1850</v>
      </c>
      <c r="T63" s="467" t="s">
        <v>1105</v>
      </c>
      <c r="U63" s="467" t="s">
        <v>1107</v>
      </c>
      <c r="V63" s="467" t="s">
        <v>1109</v>
      </c>
      <c r="W63" s="467" t="s">
        <v>1190</v>
      </c>
      <c r="X63" s="467" t="s">
        <v>1202</v>
      </c>
      <c r="Y63" s="467" t="s">
        <v>1497</v>
      </c>
      <c r="Z63" s="467" t="s">
        <v>1112</v>
      </c>
      <c r="AA63" s="467" t="s">
        <v>1114</v>
      </c>
      <c r="AB63" s="467" t="s">
        <v>1327</v>
      </c>
      <c r="AC63" s="467" t="s">
        <v>1122</v>
      </c>
      <c r="AD63" s="467" t="s">
        <v>1226</v>
      </c>
      <c r="AE63" s="467" t="s">
        <v>1233</v>
      </c>
      <c r="AF63" s="467" t="s">
        <v>11368</v>
      </c>
      <c r="AG63" s="467" t="s">
        <v>1235</v>
      </c>
      <c r="AH63" s="467" t="s">
        <v>1126</v>
      </c>
      <c r="AI63" s="467" t="s">
        <v>1342</v>
      </c>
      <c r="AJ63" s="467" t="s">
        <v>1898</v>
      </c>
      <c r="AK63" s="467" t="s">
        <v>1132</v>
      </c>
      <c r="AL63" s="467" t="s">
        <v>1240</v>
      </c>
      <c r="AM63" s="467" t="s">
        <v>1241</v>
      </c>
      <c r="AN63" s="467" t="s">
        <v>1134</v>
      </c>
      <c r="AO63" s="467" t="s">
        <v>1136</v>
      </c>
      <c r="AP63" s="467" t="s">
        <v>1245</v>
      </c>
      <c r="AQ63" s="467" t="s">
        <v>1369</v>
      </c>
    </row>
    <row r="64" spans="1:65" x14ac:dyDescent="0.25">
      <c r="A64" s="467" t="s">
        <v>526</v>
      </c>
      <c r="B64" s="467" t="s">
        <v>525</v>
      </c>
      <c r="C64" s="467" t="s">
        <v>1143</v>
      </c>
      <c r="D64" s="467" t="s">
        <v>1147</v>
      </c>
      <c r="E64" s="467" t="s">
        <v>1668</v>
      </c>
      <c r="F64" s="467" t="s">
        <v>1096</v>
      </c>
      <c r="G64" s="467" t="s">
        <v>1150</v>
      </c>
      <c r="H64" s="467" t="s">
        <v>1151</v>
      </c>
      <c r="I64" s="467" t="s">
        <v>1672</v>
      </c>
      <c r="J64" s="467" t="s">
        <v>1674</v>
      </c>
      <c r="K64" s="467" t="s">
        <v>11363</v>
      </c>
      <c r="L64" s="467" t="s">
        <v>1403</v>
      </c>
      <c r="M64" s="467" t="s">
        <v>1684</v>
      </c>
      <c r="N64" s="467" t="s">
        <v>1162</v>
      </c>
      <c r="O64" s="467" t="s">
        <v>1100</v>
      </c>
      <c r="P64" s="467" t="s">
        <v>11400</v>
      </c>
      <c r="Q64" s="467" t="s">
        <v>1174</v>
      </c>
      <c r="R64" s="467" t="s">
        <v>1702</v>
      </c>
      <c r="S64" s="467" t="s">
        <v>1183</v>
      </c>
      <c r="T64" s="467" t="s">
        <v>1186</v>
      </c>
      <c r="U64" s="467" t="s">
        <v>1707</v>
      </c>
      <c r="V64" s="467" t="s">
        <v>1105</v>
      </c>
      <c r="W64" s="467" t="s">
        <v>1188</v>
      </c>
      <c r="X64" s="467" t="s">
        <v>1714</v>
      </c>
      <c r="Y64" s="467" t="s">
        <v>1190</v>
      </c>
      <c r="Z64" s="467" t="s">
        <v>11401</v>
      </c>
      <c r="AA64" s="467" t="s">
        <v>1193</v>
      </c>
      <c r="AB64" s="467" t="s">
        <v>14243</v>
      </c>
      <c r="AC64" s="467" t="s">
        <v>1310</v>
      </c>
      <c r="AD64" s="467" t="s">
        <v>1197</v>
      </c>
      <c r="AE64" s="467" t="s">
        <v>1734</v>
      </c>
      <c r="AF64" s="467" t="s">
        <v>1739</v>
      </c>
      <c r="AG64" s="467" t="s">
        <v>1208</v>
      </c>
      <c r="AH64" s="467" t="s">
        <v>1209</v>
      </c>
      <c r="AI64" s="467" t="s">
        <v>1743</v>
      </c>
      <c r="AJ64" s="467" t="s">
        <v>1744</v>
      </c>
      <c r="AK64" s="467" t="s">
        <v>1223</v>
      </c>
      <c r="AL64" s="467" t="s">
        <v>1122</v>
      </c>
      <c r="AM64" s="467" t="s">
        <v>1225</v>
      </c>
      <c r="AN64" s="467" t="s">
        <v>1227</v>
      </c>
      <c r="AO64" s="467" t="s">
        <v>1748</v>
      </c>
      <c r="AP64" s="467" t="s">
        <v>1228</v>
      </c>
      <c r="AQ64" s="467" t="s">
        <v>1752</v>
      </c>
      <c r="AR64" s="467" t="s">
        <v>1124</v>
      </c>
      <c r="AS64" s="467" t="s">
        <v>1233</v>
      </c>
      <c r="AT64" s="467" t="s">
        <v>11368</v>
      </c>
      <c r="AU64" s="467" t="s">
        <v>1235</v>
      </c>
      <c r="AV64" s="467" t="s">
        <v>1126</v>
      </c>
      <c r="AW64" s="467" t="s">
        <v>1764</v>
      </c>
      <c r="AX64" s="467" t="s">
        <v>14319</v>
      </c>
      <c r="AY64" s="467" t="s">
        <v>14418</v>
      </c>
      <c r="AZ64" s="467" t="s">
        <v>1249</v>
      </c>
      <c r="BA64" s="467" t="s">
        <v>1775</v>
      </c>
      <c r="BB64" s="467" t="s">
        <v>1776</v>
      </c>
      <c r="BC64" s="467" t="s">
        <v>1252</v>
      </c>
      <c r="BD64" s="467" t="s">
        <v>1253</v>
      </c>
      <c r="BE64" s="467" t="s">
        <v>1778</v>
      </c>
      <c r="BF64" s="467" t="s">
        <v>1779</v>
      </c>
      <c r="BG64" s="467" t="s">
        <v>1783</v>
      </c>
      <c r="BH64" s="467" t="s">
        <v>1262</v>
      </c>
      <c r="BI64" s="467" t="s">
        <v>11410</v>
      </c>
      <c r="BJ64" s="467" t="s">
        <v>1266</v>
      </c>
    </row>
    <row r="65" spans="1:63" x14ac:dyDescent="0.25">
      <c r="A65" s="467" t="s">
        <v>528</v>
      </c>
      <c r="B65" s="467" t="s">
        <v>527</v>
      </c>
      <c r="C65" s="467" t="s">
        <v>1668</v>
      </c>
      <c r="D65" s="467" t="s">
        <v>1096</v>
      </c>
      <c r="E65" s="467" t="s">
        <v>1672</v>
      </c>
      <c r="F65" s="467" t="s">
        <v>1674</v>
      </c>
      <c r="G65" s="467" t="s">
        <v>11363</v>
      </c>
      <c r="H65" s="467" t="s">
        <v>1676</v>
      </c>
      <c r="I65" s="467" t="s">
        <v>1162</v>
      </c>
      <c r="J65" s="467" t="s">
        <v>1100</v>
      </c>
      <c r="K65" s="467" t="s">
        <v>1102</v>
      </c>
      <c r="L65" s="467" t="s">
        <v>1174</v>
      </c>
      <c r="M65" s="467" t="s">
        <v>1175</v>
      </c>
      <c r="N65" s="467" t="s">
        <v>1177</v>
      </c>
      <c r="O65" s="467" t="s">
        <v>1704</v>
      </c>
      <c r="P65" s="467" t="s">
        <v>1705</v>
      </c>
      <c r="Q65" s="467" t="s">
        <v>14208</v>
      </c>
      <c r="R65" s="467" t="s">
        <v>1183</v>
      </c>
      <c r="S65" s="467" t="s">
        <v>1186</v>
      </c>
      <c r="T65" s="467" t="s">
        <v>1707</v>
      </c>
      <c r="U65" s="467" t="s">
        <v>1105</v>
      </c>
      <c r="V65" s="467" t="s">
        <v>1188</v>
      </c>
      <c r="W65" s="467" t="s">
        <v>1107</v>
      </c>
      <c r="X65" s="467" t="s">
        <v>1109</v>
      </c>
      <c r="Y65" s="467" t="s">
        <v>1190</v>
      </c>
      <c r="Z65" s="467" t="s">
        <v>11401</v>
      </c>
      <c r="AA65" s="467" t="s">
        <v>1197</v>
      </c>
      <c r="AB65" s="467" t="s">
        <v>1734</v>
      </c>
      <c r="AC65" s="467" t="s">
        <v>1208</v>
      </c>
      <c r="AD65" s="467" t="s">
        <v>1209</v>
      </c>
      <c r="AE65" s="467" t="s">
        <v>1743</v>
      </c>
      <c r="AF65" s="467" t="s">
        <v>1744</v>
      </c>
      <c r="AG65" s="467" t="s">
        <v>1122</v>
      </c>
      <c r="AH65" s="467" t="s">
        <v>1225</v>
      </c>
      <c r="AI65" s="467" t="s">
        <v>1227</v>
      </c>
      <c r="AJ65" s="467" t="s">
        <v>1748</v>
      </c>
      <c r="AK65" s="467" t="s">
        <v>1228</v>
      </c>
      <c r="AL65" s="467" t="s">
        <v>1752</v>
      </c>
      <c r="AM65" s="467" t="s">
        <v>1124</v>
      </c>
      <c r="AN65" s="467" t="s">
        <v>1233</v>
      </c>
      <c r="AO65" s="467" t="s">
        <v>11368</v>
      </c>
      <c r="AP65" s="467" t="s">
        <v>1235</v>
      </c>
      <c r="AQ65" s="467" t="s">
        <v>1126</v>
      </c>
      <c r="AR65" s="467" t="s">
        <v>1759</v>
      </c>
      <c r="AS65" s="467" t="s">
        <v>11409</v>
      </c>
      <c r="AT65" s="467" t="s">
        <v>1771</v>
      </c>
      <c r="AU65" s="467" t="s">
        <v>1249</v>
      </c>
      <c r="AV65" s="467" t="s">
        <v>1252</v>
      </c>
      <c r="AW65" s="467" t="s">
        <v>1253</v>
      </c>
      <c r="AX65" s="467" t="s">
        <v>1778</v>
      </c>
      <c r="AY65" s="467" t="s">
        <v>1779</v>
      </c>
      <c r="AZ65" s="467" t="s">
        <v>1783</v>
      </c>
      <c r="BA65" s="467" t="s">
        <v>1787</v>
      </c>
      <c r="BB65" s="467" t="s">
        <v>1266</v>
      </c>
    </row>
    <row r="66" spans="1:63" x14ac:dyDescent="0.25">
      <c r="A66" s="467" t="s">
        <v>530</v>
      </c>
      <c r="B66" s="467" t="s">
        <v>529</v>
      </c>
      <c r="C66" s="467" t="s">
        <v>1145</v>
      </c>
      <c r="D66" s="467" t="s">
        <v>1146</v>
      </c>
      <c r="E66" s="467" t="s">
        <v>1147</v>
      </c>
      <c r="F66" s="467" t="s">
        <v>1093</v>
      </c>
      <c r="G66" s="467" t="s">
        <v>1148</v>
      </c>
      <c r="H66" s="467" t="s">
        <v>1096</v>
      </c>
      <c r="I66" s="467" t="s">
        <v>1163</v>
      </c>
      <c r="J66" s="467" t="s">
        <v>1171</v>
      </c>
      <c r="K66" s="467" t="s">
        <v>1173</v>
      </c>
      <c r="L66" s="467" t="s">
        <v>1102</v>
      </c>
      <c r="M66" s="467" t="s">
        <v>1177</v>
      </c>
      <c r="N66" s="467" t="s">
        <v>1178</v>
      </c>
      <c r="O66" s="467" t="s">
        <v>14208</v>
      </c>
      <c r="P66" s="467" t="s">
        <v>1183</v>
      </c>
      <c r="Q66" s="467" t="s">
        <v>1185</v>
      </c>
      <c r="R66" s="467" t="s">
        <v>1105</v>
      </c>
      <c r="S66" s="467" t="s">
        <v>1107</v>
      </c>
      <c r="T66" s="467" t="s">
        <v>1109</v>
      </c>
      <c r="U66" s="467" t="s">
        <v>1190</v>
      </c>
      <c r="V66" s="467" t="s">
        <v>1193</v>
      </c>
      <c r="W66" s="467" t="s">
        <v>1112</v>
      </c>
      <c r="X66" s="467" t="s">
        <v>1215</v>
      </c>
      <c r="Y66" s="467" t="s">
        <v>1122</v>
      </c>
      <c r="Z66" s="467" t="s">
        <v>1225</v>
      </c>
      <c r="AA66" s="467" t="s">
        <v>1228</v>
      </c>
      <c r="AB66" s="467" t="s">
        <v>1124</v>
      </c>
      <c r="AC66" s="467" t="s">
        <v>1233</v>
      </c>
      <c r="AD66" s="467" t="s">
        <v>11368</v>
      </c>
      <c r="AE66" s="467" t="s">
        <v>1234</v>
      </c>
      <c r="AF66" s="467" t="s">
        <v>1235</v>
      </c>
      <c r="AG66" s="467" t="s">
        <v>1126</v>
      </c>
      <c r="AH66" s="467" t="s">
        <v>1238</v>
      </c>
      <c r="AI66" s="467" t="s">
        <v>1249</v>
      </c>
      <c r="AJ66" s="467" t="s">
        <v>1257</v>
      </c>
    </row>
    <row r="67" spans="1:63" x14ac:dyDescent="0.25">
      <c r="A67" s="467" t="s">
        <v>532</v>
      </c>
      <c r="B67" s="467" t="s">
        <v>531</v>
      </c>
      <c r="C67" s="467" t="s">
        <v>1385</v>
      </c>
      <c r="D67" s="467" t="s">
        <v>1386</v>
      </c>
      <c r="E67" s="467" t="s">
        <v>14127</v>
      </c>
      <c r="F67" s="467" t="s">
        <v>1096</v>
      </c>
      <c r="G67" s="467" t="s">
        <v>1802</v>
      </c>
      <c r="H67" s="467" t="s">
        <v>1815</v>
      </c>
      <c r="I67" s="467" t="s">
        <v>1100</v>
      </c>
      <c r="J67" s="467" t="s">
        <v>1820</v>
      </c>
      <c r="K67" s="467" t="s">
        <v>14208</v>
      </c>
      <c r="L67" s="467" t="s">
        <v>1839</v>
      </c>
      <c r="M67" s="467" t="s">
        <v>1187</v>
      </c>
      <c r="N67" s="467" t="s">
        <v>1107</v>
      </c>
      <c r="O67" s="467" t="s">
        <v>1189</v>
      </c>
      <c r="P67" s="467" t="s">
        <v>1863</v>
      </c>
      <c r="Q67" s="467" t="s">
        <v>1112</v>
      </c>
      <c r="R67" s="467" t="s">
        <v>1114</v>
      </c>
      <c r="S67" s="467" t="s">
        <v>1868</v>
      </c>
      <c r="T67" s="467" t="s">
        <v>1120</v>
      </c>
      <c r="U67" s="467" t="s">
        <v>1122</v>
      </c>
      <c r="V67" s="467" t="s">
        <v>1225</v>
      </c>
      <c r="W67" s="467" t="s">
        <v>1886</v>
      </c>
      <c r="X67" s="467" t="s">
        <v>1233</v>
      </c>
      <c r="Y67" s="467" t="s">
        <v>11368</v>
      </c>
      <c r="Z67" s="467" t="s">
        <v>1899</v>
      </c>
      <c r="AA67" s="467" t="s">
        <v>1130</v>
      </c>
      <c r="AB67" s="467" t="s">
        <v>11416</v>
      </c>
      <c r="AC67" s="467" t="s">
        <v>1134</v>
      </c>
      <c r="AD67" s="467" t="s">
        <v>1136</v>
      </c>
      <c r="AE67" s="467" t="s">
        <v>1249</v>
      </c>
      <c r="AF67" s="467" t="s">
        <v>1138</v>
      </c>
      <c r="AG67" s="467" t="s">
        <v>1930</v>
      </c>
      <c r="AH67" s="467" t="s">
        <v>1140</v>
      </c>
      <c r="AI67" s="467" t="s">
        <v>1942</v>
      </c>
    </row>
    <row r="68" spans="1:63" x14ac:dyDescent="0.25">
      <c r="A68" s="467" t="s">
        <v>534</v>
      </c>
      <c r="B68" s="467" t="s">
        <v>533</v>
      </c>
      <c r="C68" s="467" t="s">
        <v>1143</v>
      </c>
      <c r="D68" s="467" t="s">
        <v>1096</v>
      </c>
      <c r="E68" s="467" t="s">
        <v>1151</v>
      </c>
      <c r="F68" s="467" t="s">
        <v>1673</v>
      </c>
      <c r="G68" s="467" t="s">
        <v>1678</v>
      </c>
      <c r="H68" s="467" t="s">
        <v>1160</v>
      </c>
      <c r="I68" s="467" t="s">
        <v>1691</v>
      </c>
      <c r="J68" s="467" t="s">
        <v>1167</v>
      </c>
      <c r="K68" s="467" t="s">
        <v>1102</v>
      </c>
      <c r="L68" s="467" t="s">
        <v>14199</v>
      </c>
      <c r="M68" s="467" t="s">
        <v>1183</v>
      </c>
      <c r="N68" s="467" t="s">
        <v>1186</v>
      </c>
      <c r="O68" s="467" t="s">
        <v>1709</v>
      </c>
      <c r="P68" s="467" t="s">
        <v>1107</v>
      </c>
      <c r="Q68" s="467" t="s">
        <v>11401</v>
      </c>
      <c r="R68" s="467" t="s">
        <v>1209</v>
      </c>
      <c r="S68" s="467" t="s">
        <v>1503</v>
      </c>
      <c r="T68" s="467" t="s">
        <v>1743</v>
      </c>
      <c r="U68" s="467" t="s">
        <v>1744</v>
      </c>
      <c r="V68" s="467" t="s">
        <v>1122</v>
      </c>
      <c r="W68" s="467" t="s">
        <v>1225</v>
      </c>
      <c r="X68" s="467" t="s">
        <v>1227</v>
      </c>
      <c r="Y68" s="467" t="s">
        <v>1228</v>
      </c>
      <c r="Z68" s="467" t="s">
        <v>1752</v>
      </c>
      <c r="AA68" s="467" t="s">
        <v>1235</v>
      </c>
      <c r="AB68" s="467" t="s">
        <v>1249</v>
      </c>
      <c r="AC68" s="467" t="s">
        <v>1257</v>
      </c>
      <c r="AD68" s="467" t="s">
        <v>1266</v>
      </c>
    </row>
    <row r="69" spans="1:63" x14ac:dyDescent="0.25">
      <c r="A69" s="467" t="s">
        <v>536</v>
      </c>
      <c r="B69" s="467" t="s">
        <v>535</v>
      </c>
      <c r="C69" s="467" t="s">
        <v>1096</v>
      </c>
      <c r="D69" s="467" t="s">
        <v>1345</v>
      </c>
      <c r="E69" s="467" t="s">
        <v>1249</v>
      </c>
    </row>
    <row r="70" spans="1:63" x14ac:dyDescent="0.25">
      <c r="A70" s="467" t="s">
        <v>538</v>
      </c>
      <c r="B70" s="467" t="s">
        <v>537</v>
      </c>
      <c r="C70" s="467" t="s">
        <v>1093</v>
      </c>
      <c r="D70" s="467" t="s">
        <v>1096</v>
      </c>
      <c r="E70" s="467" t="s">
        <v>1151</v>
      </c>
      <c r="F70" s="467" t="s">
        <v>11370</v>
      </c>
      <c r="G70" s="467" t="s">
        <v>1274</v>
      </c>
      <c r="H70" s="467" t="s">
        <v>11363</v>
      </c>
      <c r="I70" s="467" t="s">
        <v>1278</v>
      </c>
      <c r="J70" s="467" t="s">
        <v>1283</v>
      </c>
      <c r="K70" s="467" t="s">
        <v>1285</v>
      </c>
      <c r="L70" s="467" t="s">
        <v>1100</v>
      </c>
      <c r="M70" s="467" t="s">
        <v>1288</v>
      </c>
      <c r="N70" s="467" t="s">
        <v>1172</v>
      </c>
      <c r="O70" s="467" t="s">
        <v>1293</v>
      </c>
      <c r="P70" s="467" t="s">
        <v>1102</v>
      </c>
      <c r="Q70" s="467" t="s">
        <v>1175</v>
      </c>
      <c r="R70" s="467" t="s">
        <v>1294</v>
      </c>
      <c r="S70" s="467" t="s">
        <v>1177</v>
      </c>
      <c r="T70" s="467" t="s">
        <v>1296</v>
      </c>
      <c r="U70" s="467" t="s">
        <v>14208</v>
      </c>
      <c r="V70" s="467" t="s">
        <v>1185</v>
      </c>
      <c r="W70" s="467" t="s">
        <v>1187</v>
      </c>
      <c r="X70" s="467" t="s">
        <v>1105</v>
      </c>
      <c r="Y70" s="467" t="s">
        <v>1107</v>
      </c>
      <c r="Z70" s="467" t="s">
        <v>1190</v>
      </c>
      <c r="AA70" s="467" t="s">
        <v>1310</v>
      </c>
      <c r="AB70" s="467" t="s">
        <v>1311</v>
      </c>
      <c r="AC70" s="467" t="s">
        <v>1202</v>
      </c>
      <c r="AD70" s="467" t="s">
        <v>1313</v>
      </c>
      <c r="AE70" s="467" t="s">
        <v>1210</v>
      </c>
      <c r="AF70" s="467" t="s">
        <v>1319</v>
      </c>
      <c r="AG70" s="467" t="s">
        <v>1326</v>
      </c>
      <c r="AH70" s="467" t="s">
        <v>1332</v>
      </c>
      <c r="AI70" s="467" t="s">
        <v>1122</v>
      </c>
      <c r="AJ70" s="467" t="s">
        <v>1225</v>
      </c>
      <c r="AK70" s="467" t="s">
        <v>1228</v>
      </c>
      <c r="AL70" s="467" t="s">
        <v>1339</v>
      </c>
      <c r="AM70" s="467" t="s">
        <v>1233</v>
      </c>
      <c r="AN70" s="467" t="s">
        <v>1234</v>
      </c>
      <c r="AO70" s="467" t="s">
        <v>1126</v>
      </c>
      <c r="AP70" s="467" t="s">
        <v>1346</v>
      </c>
      <c r="AQ70" s="467" t="s">
        <v>1249</v>
      </c>
      <c r="AR70" s="467" t="s">
        <v>11473</v>
      </c>
      <c r="AS70" s="467" t="s">
        <v>1365</v>
      </c>
      <c r="AT70" s="467" t="s">
        <v>1260</v>
      </c>
      <c r="AU70" s="467" t="s">
        <v>1379</v>
      </c>
    </row>
    <row r="71" spans="1:63" x14ac:dyDescent="0.25">
      <c r="A71" s="467" t="s">
        <v>540</v>
      </c>
      <c r="B71" s="467" t="s">
        <v>539</v>
      </c>
      <c r="C71" s="467" t="s">
        <v>1096</v>
      </c>
      <c r="D71" s="467" t="s">
        <v>1623</v>
      </c>
      <c r="E71" s="467" t="s">
        <v>1102</v>
      </c>
      <c r="F71" s="467" t="s">
        <v>1107</v>
      </c>
      <c r="G71" s="467" t="s">
        <v>1109</v>
      </c>
      <c r="H71" s="467" t="s">
        <v>1719</v>
      </c>
      <c r="I71" s="467" t="s">
        <v>1738</v>
      </c>
      <c r="J71" s="467" t="s">
        <v>1503</v>
      </c>
      <c r="K71" s="467" t="s">
        <v>1223</v>
      </c>
      <c r="L71" s="467" t="s">
        <v>1228</v>
      </c>
      <c r="M71" s="467" t="s">
        <v>1126</v>
      </c>
      <c r="N71" s="467" t="s">
        <v>1245</v>
      </c>
      <c r="O71" s="467" t="s">
        <v>1773</v>
      </c>
      <c r="P71" s="467" t="s">
        <v>1253</v>
      </c>
    </row>
    <row r="72" spans="1:63" x14ac:dyDescent="0.25">
      <c r="A72" s="467" t="s">
        <v>542</v>
      </c>
      <c r="B72" s="467" t="s">
        <v>541</v>
      </c>
      <c r="C72" s="467" t="s">
        <v>1093</v>
      </c>
      <c r="D72" s="467" t="s">
        <v>1096</v>
      </c>
      <c r="E72" s="467" t="s">
        <v>1098</v>
      </c>
      <c r="F72" s="467" t="s">
        <v>1278</v>
      </c>
      <c r="G72" s="467" t="s">
        <v>1956</v>
      </c>
      <c r="H72" s="467" t="s">
        <v>1100</v>
      </c>
      <c r="I72" s="467" t="s">
        <v>1964</v>
      </c>
      <c r="J72" s="467" t="s">
        <v>1967</v>
      </c>
      <c r="K72" s="467" t="s">
        <v>1968</v>
      </c>
      <c r="L72" s="467" t="s">
        <v>1969</v>
      </c>
      <c r="M72" s="467" t="s">
        <v>1973</v>
      </c>
      <c r="N72" s="467" t="s">
        <v>1976</v>
      </c>
      <c r="O72" s="467" t="s">
        <v>1174</v>
      </c>
      <c r="P72" s="467" t="s">
        <v>14208</v>
      </c>
      <c r="Q72" s="467" t="s">
        <v>1185</v>
      </c>
      <c r="R72" s="467" t="s">
        <v>1187</v>
      </c>
      <c r="S72" s="467" t="s">
        <v>1105</v>
      </c>
      <c r="T72" s="467" t="s">
        <v>1188</v>
      </c>
      <c r="U72" s="467" t="s">
        <v>1107</v>
      </c>
      <c r="V72" s="467" t="s">
        <v>1109</v>
      </c>
      <c r="W72" s="467" t="s">
        <v>14243</v>
      </c>
      <c r="X72" s="467" t="s">
        <v>1310</v>
      </c>
      <c r="Y72" s="467" t="s">
        <v>1111</v>
      </c>
      <c r="Z72" s="467" t="s">
        <v>1114</v>
      </c>
      <c r="AA72" s="467" t="s">
        <v>1120</v>
      </c>
      <c r="AB72" s="467" t="s">
        <v>1999</v>
      </c>
      <c r="AC72" s="467" t="s">
        <v>1217</v>
      </c>
      <c r="AD72" s="467" t="s">
        <v>2002</v>
      </c>
      <c r="AE72" s="467" t="s">
        <v>1122</v>
      </c>
      <c r="AF72" s="467" t="s">
        <v>2004</v>
      </c>
      <c r="AG72" s="467" t="s">
        <v>1124</v>
      </c>
      <c r="AH72" s="467" t="s">
        <v>1234</v>
      </c>
      <c r="AI72" s="467" t="s">
        <v>1235</v>
      </c>
      <c r="AJ72" s="467" t="s">
        <v>1126</v>
      </c>
      <c r="AK72" s="467" t="s">
        <v>1132</v>
      </c>
      <c r="AL72" s="467" t="s">
        <v>2019</v>
      </c>
      <c r="AM72" s="467" t="s">
        <v>1136</v>
      </c>
      <c r="AN72" s="467" t="s">
        <v>2021</v>
      </c>
      <c r="AO72" s="467" t="s">
        <v>11426</v>
      </c>
      <c r="AP72" s="467" t="s">
        <v>2031</v>
      </c>
      <c r="AQ72" s="467" t="s">
        <v>1245</v>
      </c>
      <c r="AR72" s="467" t="s">
        <v>2034</v>
      </c>
      <c r="AS72" s="467" t="s">
        <v>1249</v>
      </c>
      <c r="AT72" s="467" t="s">
        <v>11427</v>
      </c>
      <c r="AU72" s="467" t="s">
        <v>1262</v>
      </c>
      <c r="AV72" s="467" t="s">
        <v>2050</v>
      </c>
    </row>
    <row r="73" spans="1:63" x14ac:dyDescent="0.25">
      <c r="A73" s="467" t="s">
        <v>544</v>
      </c>
      <c r="B73" s="467" t="s">
        <v>543</v>
      </c>
      <c r="C73" s="467" t="s">
        <v>1093</v>
      </c>
      <c r="D73" s="467" t="s">
        <v>1096</v>
      </c>
      <c r="E73" s="467" t="s">
        <v>1158</v>
      </c>
      <c r="F73" s="467" t="s">
        <v>1960</v>
      </c>
      <c r="G73" s="467" t="s">
        <v>1819</v>
      </c>
      <c r="H73" s="467" t="s">
        <v>1971</v>
      </c>
      <c r="I73" s="467" t="s">
        <v>1984</v>
      </c>
      <c r="J73" s="467" t="s">
        <v>14213</v>
      </c>
      <c r="K73" s="467" t="s">
        <v>1105</v>
      </c>
      <c r="L73" s="467" t="s">
        <v>1109</v>
      </c>
      <c r="M73" s="467" t="s">
        <v>1994</v>
      </c>
      <c r="N73" s="467" t="s">
        <v>1207</v>
      </c>
      <c r="O73" s="467" t="s">
        <v>1226</v>
      </c>
      <c r="P73" s="467" t="s">
        <v>2008</v>
      </c>
      <c r="Q73" s="467" t="s">
        <v>1234</v>
      </c>
      <c r="R73" s="467" t="s">
        <v>1126</v>
      </c>
      <c r="S73" s="467" t="s">
        <v>1898</v>
      </c>
      <c r="T73" s="467" t="s">
        <v>1132</v>
      </c>
      <c r="U73" s="467" t="s">
        <v>1240</v>
      </c>
      <c r="V73" s="467" t="s">
        <v>1134</v>
      </c>
      <c r="W73" s="467" t="s">
        <v>2029</v>
      </c>
      <c r="X73" s="467" t="s">
        <v>1245</v>
      </c>
      <c r="Y73" s="467" t="s">
        <v>1249</v>
      </c>
      <c r="Z73" s="467" t="s">
        <v>2047</v>
      </c>
    </row>
    <row r="74" spans="1:63" x14ac:dyDescent="0.25">
      <c r="A74" s="467" t="s">
        <v>546</v>
      </c>
      <c r="B74" s="467" t="s">
        <v>545</v>
      </c>
      <c r="C74" s="467" t="s">
        <v>1143</v>
      </c>
      <c r="D74" s="467" t="s">
        <v>1096</v>
      </c>
      <c r="E74" s="467" t="s">
        <v>1615</v>
      </c>
      <c r="F74" s="467" t="s">
        <v>1617</v>
      </c>
      <c r="G74" s="467" t="s">
        <v>11363</v>
      </c>
      <c r="H74" s="467" t="s">
        <v>1620</v>
      </c>
      <c r="I74" s="467" t="s">
        <v>1623</v>
      </c>
      <c r="J74" s="467" t="s">
        <v>1625</v>
      </c>
      <c r="K74" s="467" t="s">
        <v>1626</v>
      </c>
      <c r="L74" s="467" t="s">
        <v>1627</v>
      </c>
      <c r="M74" s="467" t="s">
        <v>14208</v>
      </c>
      <c r="N74" s="467" t="s">
        <v>1630</v>
      </c>
      <c r="O74" s="467" t="s">
        <v>1105</v>
      </c>
      <c r="P74" s="467" t="s">
        <v>1107</v>
      </c>
      <c r="Q74" s="467" t="s">
        <v>1109</v>
      </c>
      <c r="R74" s="467" t="s">
        <v>1633</v>
      </c>
      <c r="S74" s="467" t="s">
        <v>1634</v>
      </c>
      <c r="T74" s="467" t="s">
        <v>1190</v>
      </c>
      <c r="U74" s="467" t="s">
        <v>1635</v>
      </c>
      <c r="V74" s="467" t="s">
        <v>1636</v>
      </c>
      <c r="W74" s="467" t="s">
        <v>1193</v>
      </c>
      <c r="X74" s="467" t="s">
        <v>1639</v>
      </c>
      <c r="Y74" s="467" t="s">
        <v>1642</v>
      </c>
      <c r="Z74" s="467" t="s">
        <v>1209</v>
      </c>
      <c r="AA74" s="467" t="s">
        <v>1645</v>
      </c>
      <c r="AB74" s="467" t="s">
        <v>1122</v>
      </c>
      <c r="AC74" s="467" t="s">
        <v>1225</v>
      </c>
      <c r="AD74" s="467" t="s">
        <v>1228</v>
      </c>
      <c r="AE74" s="467" t="s">
        <v>1648</v>
      </c>
      <c r="AF74" s="467" t="s">
        <v>1124</v>
      </c>
      <c r="AG74" s="467" t="s">
        <v>1235</v>
      </c>
      <c r="AH74" s="467" t="s">
        <v>1650</v>
      </c>
      <c r="AI74" s="467" t="s">
        <v>1656</v>
      </c>
      <c r="AJ74" s="467" t="s">
        <v>11398</v>
      </c>
      <c r="AK74" s="467" t="s">
        <v>1253</v>
      </c>
      <c r="AL74" s="467" t="s">
        <v>1368</v>
      </c>
      <c r="AM74" s="467" t="s">
        <v>1262</v>
      </c>
      <c r="AN74" s="467" t="s">
        <v>1665</v>
      </c>
    </row>
    <row r="75" spans="1:63" x14ac:dyDescent="0.25">
      <c r="A75" s="467" t="s">
        <v>548</v>
      </c>
      <c r="B75" s="467" t="s">
        <v>547</v>
      </c>
      <c r="C75" s="467" t="s">
        <v>1093</v>
      </c>
      <c r="D75" s="467" t="s">
        <v>1096</v>
      </c>
      <c r="E75" s="467" t="s">
        <v>1948</v>
      </c>
      <c r="F75" s="467" t="s">
        <v>11363</v>
      </c>
      <c r="G75" s="467" t="s">
        <v>1961</v>
      </c>
      <c r="H75" s="467" t="s">
        <v>1100</v>
      </c>
      <c r="I75" s="467" t="s">
        <v>2076</v>
      </c>
      <c r="J75" s="467" t="s">
        <v>1172</v>
      </c>
      <c r="K75" s="467" t="s">
        <v>1832</v>
      </c>
      <c r="L75" s="467" t="s">
        <v>14208</v>
      </c>
      <c r="M75" s="467" t="s">
        <v>14213</v>
      </c>
      <c r="N75" s="467" t="s">
        <v>1185</v>
      </c>
      <c r="O75" s="467" t="s">
        <v>2083</v>
      </c>
      <c r="P75" s="467" t="s">
        <v>1105</v>
      </c>
      <c r="Q75" s="467" t="s">
        <v>1107</v>
      </c>
      <c r="R75" s="467" t="s">
        <v>1109</v>
      </c>
      <c r="S75" s="467" t="s">
        <v>1634</v>
      </c>
      <c r="T75" s="467" t="s">
        <v>1190</v>
      </c>
      <c r="U75" s="467" t="s">
        <v>1195</v>
      </c>
      <c r="V75" s="467" t="s">
        <v>1207</v>
      </c>
      <c r="W75" s="467" t="s">
        <v>2090</v>
      </c>
      <c r="X75" s="467" t="s">
        <v>1217</v>
      </c>
      <c r="Y75" s="467" t="s">
        <v>1218</v>
      </c>
      <c r="Z75" s="467" t="s">
        <v>11367</v>
      </c>
      <c r="AA75" s="467" t="s">
        <v>1220</v>
      </c>
      <c r="AB75" s="467" t="s">
        <v>1122</v>
      </c>
      <c r="AC75" s="467" t="s">
        <v>1126</v>
      </c>
      <c r="AD75" s="467" t="s">
        <v>2109</v>
      </c>
      <c r="AE75" s="467" t="s">
        <v>2110</v>
      </c>
      <c r="AF75" s="467" t="s">
        <v>2111</v>
      </c>
      <c r="AG75" s="467" t="s">
        <v>1240</v>
      </c>
      <c r="AH75" s="467" t="s">
        <v>1134</v>
      </c>
      <c r="AI75" s="467" t="s">
        <v>1247</v>
      </c>
      <c r="AJ75" s="467" t="s">
        <v>1248</v>
      </c>
      <c r="AK75" s="467" t="s">
        <v>1260</v>
      </c>
      <c r="AL75" s="467" t="s">
        <v>1371</v>
      </c>
    </row>
    <row r="76" spans="1:63" x14ac:dyDescent="0.25">
      <c r="A76" s="467" t="s">
        <v>550</v>
      </c>
      <c r="B76" s="467" t="s">
        <v>549</v>
      </c>
      <c r="C76" s="467" t="s">
        <v>2134</v>
      </c>
      <c r="D76" s="467" t="s">
        <v>1143</v>
      </c>
      <c r="E76" s="467" t="s">
        <v>1096</v>
      </c>
      <c r="F76" s="467" t="s">
        <v>2140</v>
      </c>
      <c r="G76" s="467" t="s">
        <v>14208</v>
      </c>
      <c r="H76" s="467" t="s">
        <v>1107</v>
      </c>
      <c r="I76" s="467" t="s">
        <v>1109</v>
      </c>
      <c r="J76" s="467" t="s">
        <v>2161</v>
      </c>
      <c r="K76" s="467" t="s">
        <v>11401</v>
      </c>
      <c r="L76" s="467" t="s">
        <v>1732</v>
      </c>
      <c r="M76" s="467" t="s">
        <v>2167</v>
      </c>
      <c r="N76" s="467" t="s">
        <v>1208</v>
      </c>
      <c r="O76" s="467" t="s">
        <v>1122</v>
      </c>
      <c r="P76" s="467" t="s">
        <v>1228</v>
      </c>
      <c r="Q76" s="467" t="s">
        <v>1126</v>
      </c>
      <c r="R76" s="467" t="s">
        <v>1240</v>
      </c>
      <c r="S76" s="467" t="s">
        <v>1134</v>
      </c>
      <c r="T76" s="467" t="s">
        <v>1257</v>
      </c>
      <c r="U76" s="467" t="s">
        <v>2187</v>
      </c>
      <c r="V76" s="467" t="s">
        <v>1789</v>
      </c>
    </row>
    <row r="77" spans="1:63" x14ac:dyDescent="0.25">
      <c r="A77" s="467" t="s">
        <v>552</v>
      </c>
      <c r="B77" s="467" t="s">
        <v>551</v>
      </c>
      <c r="C77" s="467" t="s">
        <v>1386</v>
      </c>
      <c r="D77" s="467" t="s">
        <v>1093</v>
      </c>
      <c r="E77" s="467" t="s">
        <v>1096</v>
      </c>
      <c r="F77" s="467" t="s">
        <v>1156</v>
      </c>
      <c r="G77" s="467" t="s">
        <v>1100</v>
      </c>
      <c r="H77" s="467" t="s">
        <v>14175</v>
      </c>
      <c r="I77" s="467" t="s">
        <v>1183</v>
      </c>
      <c r="J77" s="467" t="s">
        <v>1105</v>
      </c>
      <c r="K77" s="467" t="s">
        <v>1188</v>
      </c>
      <c r="L77" s="467" t="s">
        <v>1109</v>
      </c>
      <c r="M77" s="467" t="s">
        <v>1189</v>
      </c>
      <c r="N77" s="467" t="s">
        <v>1190</v>
      </c>
      <c r="O77" s="467" t="s">
        <v>1481</v>
      </c>
      <c r="P77" s="467" t="s">
        <v>1202</v>
      </c>
      <c r="Q77" s="467" t="s">
        <v>1863</v>
      </c>
      <c r="R77" s="467" t="s">
        <v>1112</v>
      </c>
      <c r="S77" s="467" t="s">
        <v>1114</v>
      </c>
      <c r="T77" s="467" t="s">
        <v>1501</v>
      </c>
      <c r="U77" s="467" t="s">
        <v>1120</v>
      </c>
      <c r="V77" s="467" t="s">
        <v>1217</v>
      </c>
      <c r="W77" s="467" t="s">
        <v>1122</v>
      </c>
      <c r="X77" s="467" t="s">
        <v>1536</v>
      </c>
      <c r="Y77" s="467" t="s">
        <v>1887</v>
      </c>
      <c r="Z77" s="467" t="s">
        <v>1126</v>
      </c>
      <c r="AA77" s="467" t="s">
        <v>1899</v>
      </c>
      <c r="AB77" s="467" t="s">
        <v>1130</v>
      </c>
      <c r="AC77" s="467" t="s">
        <v>1134</v>
      </c>
      <c r="AD77" s="467" t="s">
        <v>1358</v>
      </c>
      <c r="AE77" s="467" t="s">
        <v>1249</v>
      </c>
      <c r="AF77" s="467" t="s">
        <v>1138</v>
      </c>
      <c r="AG77" s="467" t="s">
        <v>1928</v>
      </c>
      <c r="AH77" s="467" t="s">
        <v>1581</v>
      </c>
      <c r="AI77" s="467" t="s">
        <v>1944</v>
      </c>
    </row>
    <row r="78" spans="1:63" x14ac:dyDescent="0.25">
      <c r="A78" s="467" t="s">
        <v>554</v>
      </c>
      <c r="B78" s="467" t="s">
        <v>553</v>
      </c>
      <c r="C78" s="467" t="s">
        <v>1385</v>
      </c>
      <c r="D78" s="467" t="s">
        <v>1386</v>
      </c>
      <c r="E78" s="467" t="s">
        <v>1387</v>
      </c>
      <c r="F78" s="467" t="s">
        <v>1091</v>
      </c>
      <c r="G78" s="467" t="s">
        <v>1390</v>
      </c>
      <c r="H78" s="467" t="s">
        <v>1093</v>
      </c>
      <c r="I78" s="467" t="s">
        <v>1096</v>
      </c>
      <c r="J78" s="467" t="s">
        <v>1395</v>
      </c>
      <c r="K78" s="467" t="s">
        <v>11363</v>
      </c>
      <c r="L78" s="467" t="s">
        <v>14158</v>
      </c>
      <c r="M78" s="467" t="s">
        <v>1161</v>
      </c>
      <c r="N78" s="467" t="s">
        <v>1411</v>
      </c>
      <c r="O78" s="467" t="s">
        <v>1412</v>
      </c>
      <c r="P78" s="467" t="s">
        <v>1285</v>
      </c>
      <c r="Q78" s="467" t="s">
        <v>1100</v>
      </c>
      <c r="R78" s="467" t="s">
        <v>1420</v>
      </c>
      <c r="S78" s="467" t="s">
        <v>1422</v>
      </c>
      <c r="T78" s="467" t="s">
        <v>11385</v>
      </c>
      <c r="U78" s="467" t="s">
        <v>1433</v>
      </c>
      <c r="V78" s="467" t="s">
        <v>1434</v>
      </c>
      <c r="W78" s="467" t="s">
        <v>1174</v>
      </c>
      <c r="X78" s="467" t="s">
        <v>1437</v>
      </c>
      <c r="Y78" s="467" t="s">
        <v>14208</v>
      </c>
      <c r="Z78" s="467" t="s">
        <v>1185</v>
      </c>
      <c r="AA78" s="467" t="s">
        <v>1187</v>
      </c>
      <c r="AB78" s="467" t="s">
        <v>1459</v>
      </c>
      <c r="AC78" s="467" t="s">
        <v>1105</v>
      </c>
      <c r="AD78" s="467" t="s">
        <v>1107</v>
      </c>
      <c r="AE78" s="467" t="s">
        <v>1109</v>
      </c>
      <c r="AF78" s="467" t="s">
        <v>1189</v>
      </c>
      <c r="AG78" s="467" t="s">
        <v>1481</v>
      </c>
      <c r="AH78" s="467" t="s">
        <v>1195</v>
      </c>
      <c r="AI78" s="467" t="s">
        <v>1310</v>
      </c>
      <c r="AJ78" s="467" t="s">
        <v>1202</v>
      </c>
      <c r="AK78" s="467" t="s">
        <v>1494</v>
      </c>
      <c r="AL78" s="467" t="s">
        <v>1112</v>
      </c>
      <c r="AM78" s="467" t="s">
        <v>1114</v>
      </c>
      <c r="AN78" s="467" t="s">
        <v>1315</v>
      </c>
      <c r="AO78" s="467" t="s">
        <v>1319</v>
      </c>
      <c r="AP78" s="467" t="s">
        <v>1120</v>
      </c>
      <c r="AQ78" s="467" t="s">
        <v>1320</v>
      </c>
      <c r="AR78" s="467" t="s">
        <v>1217</v>
      </c>
      <c r="AS78" s="467" t="s">
        <v>1218</v>
      </c>
      <c r="AT78" s="467" t="s">
        <v>11367</v>
      </c>
      <c r="AU78" s="467" t="s">
        <v>1220</v>
      </c>
      <c r="AV78" s="467" t="s">
        <v>1332</v>
      </c>
      <c r="AW78" s="467" t="s">
        <v>1122</v>
      </c>
      <c r="AX78" s="467" t="s">
        <v>1533</v>
      </c>
      <c r="AY78" s="467" t="s">
        <v>1534</v>
      </c>
      <c r="AZ78" s="467" t="s">
        <v>1124</v>
      </c>
      <c r="BA78" s="467" t="s">
        <v>1233</v>
      </c>
      <c r="BB78" s="467" t="s">
        <v>11368</v>
      </c>
      <c r="BC78" s="467" t="s">
        <v>1126</v>
      </c>
      <c r="BD78" s="467" t="s">
        <v>1130</v>
      </c>
      <c r="BE78" s="467" t="s">
        <v>1345</v>
      </c>
      <c r="BF78" s="467" t="s">
        <v>1559</v>
      </c>
      <c r="BG78" s="467" t="s">
        <v>1564</v>
      </c>
      <c r="BH78" s="467" t="s">
        <v>1249</v>
      </c>
      <c r="BI78" s="467" t="s">
        <v>1253</v>
      </c>
      <c r="BJ78" s="467" t="s">
        <v>1587</v>
      </c>
      <c r="BK78" s="467" t="s">
        <v>1264</v>
      </c>
    </row>
    <row r="79" spans="1:63" x14ac:dyDescent="0.25">
      <c r="A79" s="467" t="s">
        <v>556</v>
      </c>
      <c r="B79" s="467" t="s">
        <v>555</v>
      </c>
      <c r="C79" s="467" t="s">
        <v>1096</v>
      </c>
      <c r="D79" s="467" t="s">
        <v>1161</v>
      </c>
      <c r="E79" s="467" t="s">
        <v>1100</v>
      </c>
      <c r="F79" s="467" t="s">
        <v>1288</v>
      </c>
      <c r="G79" s="467" t="s">
        <v>1172</v>
      </c>
      <c r="H79" s="467" t="s">
        <v>1175</v>
      </c>
      <c r="I79" s="467" t="s">
        <v>14190</v>
      </c>
      <c r="J79" s="467" t="s">
        <v>1177</v>
      </c>
      <c r="K79" s="467" t="s">
        <v>14208</v>
      </c>
      <c r="L79" s="467" t="s">
        <v>1182</v>
      </c>
      <c r="M79" s="467" t="s">
        <v>1187</v>
      </c>
      <c r="N79" s="467" t="s">
        <v>1105</v>
      </c>
      <c r="O79" s="467" t="s">
        <v>1302</v>
      </c>
      <c r="P79" s="467" t="s">
        <v>1308</v>
      </c>
      <c r="Q79" s="467" t="s">
        <v>14243</v>
      </c>
      <c r="R79" s="467" t="s">
        <v>1310</v>
      </c>
      <c r="S79" s="467" t="s">
        <v>1202</v>
      </c>
      <c r="T79" s="467" t="s">
        <v>1860</v>
      </c>
      <c r="U79" s="467" t="s">
        <v>1112</v>
      </c>
      <c r="V79" s="467" t="s">
        <v>1319</v>
      </c>
      <c r="W79" s="467" t="s">
        <v>1120</v>
      </c>
      <c r="X79" s="467" t="s">
        <v>1323</v>
      </c>
      <c r="Y79" s="467" t="s">
        <v>1327</v>
      </c>
      <c r="Z79" s="467" t="s">
        <v>1124</v>
      </c>
      <c r="AA79" s="467" t="s">
        <v>1888</v>
      </c>
      <c r="AB79" s="467" t="s">
        <v>1233</v>
      </c>
      <c r="AC79" s="467" t="s">
        <v>11368</v>
      </c>
      <c r="AD79" s="467" t="s">
        <v>1126</v>
      </c>
      <c r="AE79" s="467" t="s">
        <v>1341</v>
      </c>
      <c r="AF79" s="467" t="s">
        <v>1348</v>
      </c>
      <c r="AG79" s="467" t="s">
        <v>1351</v>
      </c>
      <c r="AH79" s="467" t="s">
        <v>1369</v>
      </c>
      <c r="AI79" s="467" t="s">
        <v>1374</v>
      </c>
      <c r="AJ79" s="467" t="s">
        <v>1262</v>
      </c>
    </row>
    <row r="80" spans="1:63" x14ac:dyDescent="0.25">
      <c r="A80" s="467" t="s">
        <v>558</v>
      </c>
      <c r="B80" s="467" t="s">
        <v>557</v>
      </c>
      <c r="C80" s="467" t="s">
        <v>1610</v>
      </c>
      <c r="D80" s="467" t="s">
        <v>1143</v>
      </c>
      <c r="E80" s="467" t="s">
        <v>1096</v>
      </c>
      <c r="F80" s="467" t="s">
        <v>1151</v>
      </c>
      <c r="G80" s="467" t="s">
        <v>1617</v>
      </c>
      <c r="H80" s="467" t="s">
        <v>11363</v>
      </c>
      <c r="I80" s="467" t="s">
        <v>1618</v>
      </c>
      <c r="J80" s="467" t="s">
        <v>1278</v>
      </c>
      <c r="K80" s="467" t="s">
        <v>1621</v>
      </c>
      <c r="L80" s="467" t="s">
        <v>1623</v>
      </c>
      <c r="M80" s="467" t="s">
        <v>1167</v>
      </c>
      <c r="N80" s="467" t="s">
        <v>1102</v>
      </c>
      <c r="O80" s="467" t="s">
        <v>14208</v>
      </c>
      <c r="P80" s="467" t="s">
        <v>1186</v>
      </c>
      <c r="Q80" s="467" t="s">
        <v>1630</v>
      </c>
      <c r="R80" s="467" t="s">
        <v>1105</v>
      </c>
      <c r="S80" s="467" t="s">
        <v>1107</v>
      </c>
      <c r="T80" s="467" t="s">
        <v>1109</v>
      </c>
      <c r="U80" s="467" t="s">
        <v>1633</v>
      </c>
      <c r="V80" s="467" t="s">
        <v>1636</v>
      </c>
      <c r="W80" s="467" t="s">
        <v>1639</v>
      </c>
      <c r="X80" s="467" t="s">
        <v>1642</v>
      </c>
      <c r="Y80" s="467" t="s">
        <v>1209</v>
      </c>
      <c r="Z80" s="467" t="s">
        <v>1644</v>
      </c>
      <c r="AA80" s="467" t="s">
        <v>1645</v>
      </c>
      <c r="AB80" s="467" t="s">
        <v>1122</v>
      </c>
      <c r="AC80" s="467" t="s">
        <v>1225</v>
      </c>
      <c r="AD80" s="467" t="s">
        <v>1228</v>
      </c>
      <c r="AE80" s="467" t="s">
        <v>1648</v>
      </c>
      <c r="AF80" s="467" t="s">
        <v>1124</v>
      </c>
      <c r="AG80" s="467" t="s">
        <v>1234</v>
      </c>
      <c r="AH80" s="467" t="s">
        <v>1126</v>
      </c>
      <c r="AI80" s="467" t="s">
        <v>1651</v>
      </c>
      <c r="AJ80" s="467" t="s">
        <v>14323</v>
      </c>
      <c r="AK80" s="467" t="s">
        <v>1368</v>
      </c>
    </row>
    <row r="81" spans="1:68" x14ac:dyDescent="0.25">
      <c r="A81" s="467" t="s">
        <v>560</v>
      </c>
      <c r="B81" s="467" t="s">
        <v>559</v>
      </c>
      <c r="C81" s="467" t="s">
        <v>1093</v>
      </c>
      <c r="D81" s="467" t="s">
        <v>1096</v>
      </c>
      <c r="E81" s="467" t="s">
        <v>1100</v>
      </c>
      <c r="F81" s="467" t="s">
        <v>1288</v>
      </c>
      <c r="G81" s="467" t="s">
        <v>1821</v>
      </c>
      <c r="H81" s="467" t="s">
        <v>1822</v>
      </c>
      <c r="I81" s="467" t="s">
        <v>14208</v>
      </c>
      <c r="J81" s="467" t="s">
        <v>1443</v>
      </c>
      <c r="K81" s="467" t="s">
        <v>1838</v>
      </c>
      <c r="L81" s="467" t="s">
        <v>1107</v>
      </c>
      <c r="M81" s="467" t="s">
        <v>1189</v>
      </c>
      <c r="N81" s="467" t="s">
        <v>1202</v>
      </c>
      <c r="O81" s="467" t="s">
        <v>1114</v>
      </c>
      <c r="P81" s="467" t="s">
        <v>1217</v>
      </c>
      <c r="Q81" s="467" t="s">
        <v>1218</v>
      </c>
      <c r="R81" s="467" t="s">
        <v>11367</v>
      </c>
      <c r="S81" s="467" t="s">
        <v>1122</v>
      </c>
      <c r="T81" s="467" t="s">
        <v>1124</v>
      </c>
      <c r="U81" s="467" t="s">
        <v>1233</v>
      </c>
      <c r="V81" s="467" t="s">
        <v>1234</v>
      </c>
      <c r="W81" s="467" t="s">
        <v>1253</v>
      </c>
      <c r="X81" s="467" t="s">
        <v>1928</v>
      </c>
      <c r="Y81" s="467" t="s">
        <v>1935</v>
      </c>
      <c r="Z81" s="467" t="s">
        <v>1608</v>
      </c>
    </row>
    <row r="82" spans="1:68" x14ac:dyDescent="0.25">
      <c r="A82" s="467" t="s">
        <v>562</v>
      </c>
      <c r="B82" s="467" t="s">
        <v>561</v>
      </c>
      <c r="C82" s="467" t="s">
        <v>1146</v>
      </c>
      <c r="D82" s="467" t="s">
        <v>1096</v>
      </c>
      <c r="E82" s="467" t="s">
        <v>11361</v>
      </c>
      <c r="F82" s="467" t="s">
        <v>11363</v>
      </c>
      <c r="G82" s="467" t="s">
        <v>1167</v>
      </c>
      <c r="H82" s="467" t="s">
        <v>1169</v>
      </c>
      <c r="I82" s="467" t="s">
        <v>11364</v>
      </c>
      <c r="J82" s="467" t="s">
        <v>1170</v>
      </c>
      <c r="K82" s="467" t="s">
        <v>1171</v>
      </c>
      <c r="L82" s="467" t="s">
        <v>1172</v>
      </c>
      <c r="M82" s="467" t="s">
        <v>1173</v>
      </c>
      <c r="N82" s="467" t="s">
        <v>1177</v>
      </c>
      <c r="O82" s="467" t="s">
        <v>1180</v>
      </c>
      <c r="P82" s="467" t="s">
        <v>14208</v>
      </c>
      <c r="Q82" s="467" t="s">
        <v>1105</v>
      </c>
      <c r="R82" s="467" t="s">
        <v>1107</v>
      </c>
      <c r="S82" s="467" t="s">
        <v>1109</v>
      </c>
      <c r="T82" s="467" t="s">
        <v>1190</v>
      </c>
      <c r="U82" s="467" t="s">
        <v>1202</v>
      </c>
      <c r="V82" s="467" t="s">
        <v>1203</v>
      </c>
      <c r="W82" s="467" t="s">
        <v>1112</v>
      </c>
      <c r="X82" s="467" t="s">
        <v>1209</v>
      </c>
      <c r="Y82" s="467" t="s">
        <v>1210</v>
      </c>
      <c r="Z82" s="467" t="s">
        <v>1215</v>
      </c>
      <c r="AA82" s="467" t="s">
        <v>1219</v>
      </c>
      <c r="AB82" s="467" t="s">
        <v>1122</v>
      </c>
      <c r="AC82" s="467" t="s">
        <v>1230</v>
      </c>
      <c r="AD82" s="467" t="s">
        <v>1233</v>
      </c>
      <c r="AE82" s="467" t="s">
        <v>11368</v>
      </c>
      <c r="AF82" s="467" t="s">
        <v>1234</v>
      </c>
      <c r="AG82" s="467" t="s">
        <v>1126</v>
      </c>
      <c r="AH82" s="467" t="s">
        <v>1134</v>
      </c>
      <c r="AI82" s="467" t="s">
        <v>1249</v>
      </c>
      <c r="AJ82" s="467" t="s">
        <v>1253</v>
      </c>
      <c r="AK82" s="467" t="s">
        <v>1258</v>
      </c>
      <c r="AL82" s="467" t="s">
        <v>1261</v>
      </c>
      <c r="AM82" s="467" t="s">
        <v>1264</v>
      </c>
      <c r="AN82" s="467" t="s">
        <v>1265</v>
      </c>
    </row>
    <row r="83" spans="1:68" x14ac:dyDescent="0.25">
      <c r="A83" s="467" t="s">
        <v>564</v>
      </c>
      <c r="B83" s="467" t="s">
        <v>563</v>
      </c>
      <c r="C83" s="467" t="s">
        <v>1152</v>
      </c>
      <c r="D83" s="467" t="s">
        <v>1171</v>
      </c>
      <c r="E83" s="467" t="s">
        <v>1173</v>
      </c>
      <c r="F83" s="467" t="s">
        <v>1180</v>
      </c>
      <c r="G83" s="467" t="s">
        <v>14208</v>
      </c>
      <c r="H83" s="467" t="s">
        <v>11365</v>
      </c>
      <c r="I83" s="467" t="s">
        <v>1183</v>
      </c>
      <c r="J83" s="467" t="s">
        <v>1105</v>
      </c>
      <c r="K83" s="467" t="s">
        <v>1109</v>
      </c>
      <c r="L83" s="467" t="s">
        <v>1192</v>
      </c>
      <c r="M83" s="467" t="s">
        <v>1112</v>
      </c>
      <c r="N83" s="467" t="s">
        <v>1215</v>
      </c>
      <c r="O83" s="467" t="s">
        <v>1224</v>
      </c>
      <c r="P83" s="467" t="s">
        <v>1226</v>
      </c>
      <c r="Q83" s="467" t="s">
        <v>1235</v>
      </c>
      <c r="R83" s="467" t="s">
        <v>1237</v>
      </c>
      <c r="S83" s="467" t="s">
        <v>1238</v>
      </c>
      <c r="T83" s="467" t="s">
        <v>1249</v>
      </c>
      <c r="U83" s="467" t="s">
        <v>1252</v>
      </c>
      <c r="V83" s="467" t="s">
        <v>1253</v>
      </c>
    </row>
    <row r="84" spans="1:68" x14ac:dyDescent="0.25">
      <c r="A84" s="467" t="s">
        <v>566</v>
      </c>
      <c r="B84" s="467" t="s">
        <v>565</v>
      </c>
      <c r="C84" s="467" t="s">
        <v>1145</v>
      </c>
      <c r="D84" s="467" t="s">
        <v>1146</v>
      </c>
      <c r="E84" s="467" t="s">
        <v>1093</v>
      </c>
      <c r="F84" s="467" t="s">
        <v>1148</v>
      </c>
      <c r="G84" s="467" t="s">
        <v>1096</v>
      </c>
      <c r="H84" s="467" t="s">
        <v>2143</v>
      </c>
      <c r="I84" s="467" t="s">
        <v>2144</v>
      </c>
      <c r="J84" s="467" t="s">
        <v>14208</v>
      </c>
      <c r="K84" s="467" t="s">
        <v>1105</v>
      </c>
      <c r="L84" s="467" t="s">
        <v>2155</v>
      </c>
      <c r="M84" s="467" t="s">
        <v>1107</v>
      </c>
      <c r="N84" s="467" t="s">
        <v>1109</v>
      </c>
      <c r="O84" s="467" t="s">
        <v>1634</v>
      </c>
      <c r="P84" s="467" t="s">
        <v>1190</v>
      </c>
      <c r="Q84" s="467" t="s">
        <v>1717</v>
      </c>
      <c r="R84" s="467" t="s">
        <v>1193</v>
      </c>
      <c r="S84" s="467" t="s">
        <v>14243</v>
      </c>
      <c r="T84" s="467" t="s">
        <v>1310</v>
      </c>
      <c r="U84" s="467" t="s">
        <v>1209</v>
      </c>
      <c r="V84" s="467" t="s">
        <v>14400</v>
      </c>
      <c r="W84" s="467" t="s">
        <v>1216</v>
      </c>
      <c r="X84" s="467" t="s">
        <v>1223</v>
      </c>
      <c r="Y84" s="467" t="s">
        <v>1122</v>
      </c>
      <c r="Z84" s="467" t="s">
        <v>1225</v>
      </c>
      <c r="AA84" s="467" t="s">
        <v>1228</v>
      </c>
      <c r="AB84" s="467" t="s">
        <v>1648</v>
      </c>
      <c r="AC84" s="467" t="s">
        <v>1233</v>
      </c>
      <c r="AD84" s="467" t="s">
        <v>1234</v>
      </c>
      <c r="AE84" s="467" t="s">
        <v>1235</v>
      </c>
      <c r="AF84" s="467" t="s">
        <v>1126</v>
      </c>
      <c r="AG84" s="467" t="s">
        <v>1238</v>
      </c>
      <c r="AH84" s="467" t="s">
        <v>1240</v>
      </c>
      <c r="AI84" s="467" t="s">
        <v>1134</v>
      </c>
      <c r="AJ84" s="467" t="s">
        <v>2176</v>
      </c>
      <c r="AK84" s="467" t="s">
        <v>1249</v>
      </c>
      <c r="AL84" s="467" t="s">
        <v>2183</v>
      </c>
      <c r="AM84" s="467" t="s">
        <v>1253</v>
      </c>
      <c r="AN84" s="467" t="s">
        <v>1257</v>
      </c>
      <c r="AO84" s="467" t="s">
        <v>1789</v>
      </c>
    </row>
    <row r="85" spans="1:68" x14ac:dyDescent="0.25">
      <c r="A85" s="467" t="s">
        <v>568</v>
      </c>
      <c r="B85" s="467" t="s">
        <v>567</v>
      </c>
      <c r="C85" s="467" t="s">
        <v>1088</v>
      </c>
      <c r="D85" s="467" t="s">
        <v>14127</v>
      </c>
      <c r="E85" s="467" t="s">
        <v>1093</v>
      </c>
      <c r="F85" s="467" t="s">
        <v>14135</v>
      </c>
      <c r="G85" s="467" t="s">
        <v>1096</v>
      </c>
      <c r="H85" s="467" t="s">
        <v>1802</v>
      </c>
      <c r="I85" s="467" t="s">
        <v>1098</v>
      </c>
      <c r="J85" s="467" t="s">
        <v>11363</v>
      </c>
      <c r="K85" s="467" t="s">
        <v>1808</v>
      </c>
      <c r="L85" s="467" t="s">
        <v>11424</v>
      </c>
      <c r="M85" s="467" t="s">
        <v>1164</v>
      </c>
      <c r="N85" s="467" t="s">
        <v>1959</v>
      </c>
      <c r="O85" s="467" t="s">
        <v>1172</v>
      </c>
      <c r="P85" s="467" t="s">
        <v>1974</v>
      </c>
      <c r="Q85" s="467" t="s">
        <v>1102</v>
      </c>
      <c r="R85" s="467" t="s">
        <v>1177</v>
      </c>
      <c r="S85" s="467" t="s">
        <v>1705</v>
      </c>
      <c r="T85" s="467" t="s">
        <v>14208</v>
      </c>
      <c r="U85" s="467" t="s">
        <v>1187</v>
      </c>
      <c r="V85" s="467" t="s">
        <v>1105</v>
      </c>
      <c r="W85" s="467" t="s">
        <v>1188</v>
      </c>
      <c r="X85" s="467" t="s">
        <v>1109</v>
      </c>
      <c r="Y85" s="467" t="s">
        <v>1190</v>
      </c>
      <c r="Z85" s="467" t="s">
        <v>1111</v>
      </c>
      <c r="AA85" s="467" t="s">
        <v>1991</v>
      </c>
      <c r="AB85" s="467" t="s">
        <v>1114</v>
      </c>
      <c r="AC85" s="467" t="s">
        <v>1995</v>
      </c>
      <c r="AD85" s="467" t="s">
        <v>1120</v>
      </c>
      <c r="AE85" s="467" t="s">
        <v>1221</v>
      </c>
      <c r="AF85" s="467" t="s">
        <v>1122</v>
      </c>
      <c r="AG85" s="467" t="s">
        <v>1124</v>
      </c>
      <c r="AH85" s="467" t="s">
        <v>1233</v>
      </c>
      <c r="AI85" s="467" t="s">
        <v>11368</v>
      </c>
      <c r="AJ85" s="467" t="s">
        <v>1126</v>
      </c>
      <c r="AK85" s="467" t="s">
        <v>1128</v>
      </c>
      <c r="AL85" s="467" t="s">
        <v>2017</v>
      </c>
      <c r="AM85" s="467" t="s">
        <v>1132</v>
      </c>
      <c r="AN85" s="467" t="s">
        <v>1241</v>
      </c>
      <c r="AO85" s="467" t="s">
        <v>1134</v>
      </c>
      <c r="AP85" s="467" t="s">
        <v>2020</v>
      </c>
      <c r="AQ85" s="467" t="s">
        <v>1136</v>
      </c>
      <c r="AR85" s="467" t="s">
        <v>2021</v>
      </c>
      <c r="AS85" s="467" t="s">
        <v>1559</v>
      </c>
      <c r="AT85" s="467" t="s">
        <v>11425</v>
      </c>
      <c r="AU85" s="467" t="s">
        <v>2026</v>
      </c>
      <c r="AV85" s="467" t="s">
        <v>1245</v>
      </c>
      <c r="AW85" s="467" t="s">
        <v>1249</v>
      </c>
      <c r="AX85" s="467" t="s">
        <v>2042</v>
      </c>
      <c r="AY85" s="467" t="s">
        <v>11475</v>
      </c>
      <c r="AZ85" s="467" t="s">
        <v>1138</v>
      </c>
      <c r="BA85" s="467" t="s">
        <v>2046</v>
      </c>
      <c r="BB85" s="467" t="s">
        <v>1262</v>
      </c>
    </row>
    <row r="86" spans="1:68" x14ac:dyDescent="0.25">
      <c r="A86" s="467" t="s">
        <v>570</v>
      </c>
      <c r="B86" s="467" t="s">
        <v>569</v>
      </c>
      <c r="C86" s="467" t="s">
        <v>1093</v>
      </c>
      <c r="D86" s="467" t="s">
        <v>1096</v>
      </c>
      <c r="E86" s="467" t="s">
        <v>11363</v>
      </c>
      <c r="F86" s="467" t="s">
        <v>1100</v>
      </c>
      <c r="G86" s="467" t="s">
        <v>1175</v>
      </c>
      <c r="H86" s="467" t="s">
        <v>14208</v>
      </c>
      <c r="I86" s="467" t="s">
        <v>1105</v>
      </c>
      <c r="J86" s="467" t="s">
        <v>1188</v>
      </c>
      <c r="K86" s="467" t="s">
        <v>1107</v>
      </c>
      <c r="L86" s="467" t="s">
        <v>1109</v>
      </c>
      <c r="M86" s="467" t="s">
        <v>1190</v>
      </c>
      <c r="N86" s="467" t="s">
        <v>1494</v>
      </c>
      <c r="O86" s="467" t="s">
        <v>1864</v>
      </c>
      <c r="P86" s="467" t="s">
        <v>1114</v>
      </c>
      <c r="Q86" s="467" t="s">
        <v>1320</v>
      </c>
      <c r="R86" s="467" t="s">
        <v>1218</v>
      </c>
      <c r="S86" s="467" t="s">
        <v>11367</v>
      </c>
      <c r="T86" s="467" t="s">
        <v>1122</v>
      </c>
      <c r="U86" s="467" t="s">
        <v>1225</v>
      </c>
      <c r="V86" s="467" t="s">
        <v>1124</v>
      </c>
      <c r="W86" s="467" t="s">
        <v>1884</v>
      </c>
      <c r="X86" s="467" t="s">
        <v>1233</v>
      </c>
      <c r="Y86" s="467" t="s">
        <v>1235</v>
      </c>
      <c r="Z86" s="467" t="s">
        <v>1126</v>
      </c>
      <c r="AA86" s="467" t="s">
        <v>1130</v>
      </c>
      <c r="AB86" s="467" t="s">
        <v>1245</v>
      </c>
      <c r="AC86" s="467" t="s">
        <v>1253</v>
      </c>
      <c r="AD86" s="467" t="s">
        <v>1928</v>
      </c>
      <c r="AE86" s="467" t="s">
        <v>1935</v>
      </c>
    </row>
    <row r="87" spans="1:68" x14ac:dyDescent="0.25">
      <c r="A87" s="467" t="s">
        <v>572</v>
      </c>
      <c r="B87" s="467" t="s">
        <v>571</v>
      </c>
      <c r="C87" s="467" t="s">
        <v>1093</v>
      </c>
      <c r="D87" s="467" t="s">
        <v>1096</v>
      </c>
      <c r="E87" s="467" t="s">
        <v>11363</v>
      </c>
      <c r="F87" s="467" t="s">
        <v>2060</v>
      </c>
      <c r="G87" s="467" t="s">
        <v>1156</v>
      </c>
      <c r="H87" s="467" t="s">
        <v>1158</v>
      </c>
      <c r="I87" s="467" t="s">
        <v>11429</v>
      </c>
      <c r="J87" s="467" t="s">
        <v>1961</v>
      </c>
      <c r="K87" s="467" t="s">
        <v>1100</v>
      </c>
      <c r="L87" s="467" t="s">
        <v>14208</v>
      </c>
      <c r="M87" s="467" t="s">
        <v>14213</v>
      </c>
      <c r="N87" s="467" t="s">
        <v>1105</v>
      </c>
      <c r="O87" s="467" t="s">
        <v>1107</v>
      </c>
      <c r="P87" s="467" t="s">
        <v>14226</v>
      </c>
      <c r="Q87" s="467" t="s">
        <v>1109</v>
      </c>
      <c r="R87" s="467" t="s">
        <v>1190</v>
      </c>
      <c r="S87" s="467" t="s">
        <v>1207</v>
      </c>
      <c r="T87" s="467" t="s">
        <v>2090</v>
      </c>
      <c r="U87" s="467" t="s">
        <v>1226</v>
      </c>
      <c r="V87" s="467" t="s">
        <v>2008</v>
      </c>
      <c r="W87" s="467" t="s">
        <v>1233</v>
      </c>
      <c r="X87" s="467" t="s">
        <v>1126</v>
      </c>
      <c r="Y87" s="467" t="s">
        <v>1240</v>
      </c>
      <c r="Z87" s="467" t="s">
        <v>1134</v>
      </c>
      <c r="AA87" s="467" t="s">
        <v>1259</v>
      </c>
      <c r="AB87" s="467" t="s">
        <v>2127</v>
      </c>
      <c r="AC87" s="467" t="s">
        <v>1262</v>
      </c>
    </row>
    <row r="88" spans="1:68" x14ac:dyDescent="0.25">
      <c r="A88" s="467" t="s">
        <v>574</v>
      </c>
      <c r="B88" s="467" t="s">
        <v>573</v>
      </c>
      <c r="C88" s="467" t="s">
        <v>1385</v>
      </c>
      <c r="D88" s="467" t="s">
        <v>1386</v>
      </c>
      <c r="E88" s="467" t="s">
        <v>1096</v>
      </c>
      <c r="F88" s="467" t="s">
        <v>1393</v>
      </c>
      <c r="G88" s="467" t="s">
        <v>14139</v>
      </c>
      <c r="H88" s="467" t="s">
        <v>11363</v>
      </c>
      <c r="I88" s="467" t="s">
        <v>1277</v>
      </c>
      <c r="J88" s="467" t="s">
        <v>1403</v>
      </c>
      <c r="K88" s="467" t="s">
        <v>14154</v>
      </c>
      <c r="L88" s="467" t="s">
        <v>1161</v>
      </c>
      <c r="M88" s="467" t="s">
        <v>1410</v>
      </c>
      <c r="N88" s="467" t="s">
        <v>1411</v>
      </c>
      <c r="O88" s="467" t="s">
        <v>1164</v>
      </c>
      <c r="P88" s="467" t="s">
        <v>1100</v>
      </c>
      <c r="Q88" s="467" t="s">
        <v>1692</v>
      </c>
      <c r="R88" s="467" t="s">
        <v>1287</v>
      </c>
      <c r="S88" s="467" t="s">
        <v>1420</v>
      </c>
      <c r="T88" s="467" t="s">
        <v>11384</v>
      </c>
      <c r="U88" s="467" t="s">
        <v>1439</v>
      </c>
      <c r="V88" s="467" t="s">
        <v>14208</v>
      </c>
      <c r="W88" s="467" t="s">
        <v>1185</v>
      </c>
      <c r="X88" s="467" t="s">
        <v>1458</v>
      </c>
      <c r="Y88" s="467" t="s">
        <v>1188</v>
      </c>
      <c r="Z88" s="467" t="s">
        <v>1107</v>
      </c>
      <c r="AA88" s="467" t="s">
        <v>1469</v>
      </c>
      <c r="AB88" s="467" t="s">
        <v>1470</v>
      </c>
      <c r="AC88" s="467" t="s">
        <v>1190</v>
      </c>
      <c r="AD88" s="467" t="s">
        <v>1307</v>
      </c>
      <c r="AE88" s="467" t="s">
        <v>1474</v>
      </c>
      <c r="AF88" s="467" t="s">
        <v>1483</v>
      </c>
      <c r="AG88" s="467" t="s">
        <v>1202</v>
      </c>
      <c r="AH88" s="467" t="s">
        <v>1492</v>
      </c>
      <c r="AI88" s="467" t="s">
        <v>1494</v>
      </c>
      <c r="AJ88" s="467" t="s">
        <v>1112</v>
      </c>
      <c r="AK88" s="467" t="s">
        <v>1114</v>
      </c>
      <c r="AL88" s="467" t="s">
        <v>1315</v>
      </c>
      <c r="AM88" s="467" t="s">
        <v>1503</v>
      </c>
      <c r="AN88" s="467" t="s">
        <v>1319</v>
      </c>
      <c r="AO88" s="467" t="s">
        <v>1120</v>
      </c>
      <c r="AP88" s="467" t="s">
        <v>1510</v>
      </c>
      <c r="AQ88" s="467" t="s">
        <v>1321</v>
      </c>
      <c r="AR88" s="467" t="s">
        <v>1322</v>
      </c>
      <c r="AS88" s="467" t="s">
        <v>1217</v>
      </c>
      <c r="AT88" s="467" t="s">
        <v>14267</v>
      </c>
      <c r="AU88" s="467" t="s">
        <v>1325</v>
      </c>
      <c r="AV88" s="467" t="s">
        <v>1220</v>
      </c>
      <c r="AW88" s="467" t="s">
        <v>1221</v>
      </c>
      <c r="AX88" s="467" t="s">
        <v>1332</v>
      </c>
      <c r="AY88" s="467" t="s">
        <v>1122</v>
      </c>
      <c r="AZ88" s="467" t="s">
        <v>1527</v>
      </c>
      <c r="BA88" s="467" t="s">
        <v>1126</v>
      </c>
      <c r="BB88" s="467" t="s">
        <v>1342</v>
      </c>
      <c r="BC88" s="467" t="s">
        <v>1130</v>
      </c>
      <c r="BD88" s="467" t="s">
        <v>1550</v>
      </c>
      <c r="BE88" s="467" t="s">
        <v>1345</v>
      </c>
      <c r="BF88" s="467" t="s">
        <v>1134</v>
      </c>
      <c r="BG88" s="467" t="s">
        <v>1560</v>
      </c>
      <c r="BH88" s="467" t="s">
        <v>1563</v>
      </c>
      <c r="BI88" s="467" t="s">
        <v>1249</v>
      </c>
      <c r="BJ88" s="467" t="s">
        <v>1587</v>
      </c>
      <c r="BK88" s="467" t="s">
        <v>1588</v>
      </c>
      <c r="BL88" s="467" t="s">
        <v>1596</v>
      </c>
      <c r="BM88" s="467" t="s">
        <v>1597</v>
      </c>
      <c r="BN88" s="467" t="s">
        <v>1599</v>
      </c>
      <c r="BO88" s="467" t="s">
        <v>1264</v>
      </c>
      <c r="BP88" s="467" t="s">
        <v>1605</v>
      </c>
    </row>
    <row r="89" spans="1:68" x14ac:dyDescent="0.25">
      <c r="A89" s="467" t="s">
        <v>576</v>
      </c>
      <c r="B89" s="467" t="s">
        <v>575</v>
      </c>
      <c r="C89" s="467" t="s">
        <v>1143</v>
      </c>
      <c r="D89" s="467" t="s">
        <v>1156</v>
      </c>
      <c r="E89" s="467" t="s">
        <v>1100</v>
      </c>
      <c r="F89" s="467" t="s">
        <v>1293</v>
      </c>
      <c r="G89" s="467" t="s">
        <v>1102</v>
      </c>
      <c r="H89" s="467" t="s">
        <v>1296</v>
      </c>
      <c r="I89" s="467" t="s">
        <v>1180</v>
      </c>
      <c r="J89" s="467" t="s">
        <v>1187</v>
      </c>
      <c r="K89" s="467" t="s">
        <v>1105</v>
      </c>
      <c r="L89" s="467" t="s">
        <v>1306</v>
      </c>
      <c r="M89" s="467" t="s">
        <v>1203</v>
      </c>
      <c r="N89" s="467" t="s">
        <v>1112</v>
      </c>
      <c r="O89" s="467" t="s">
        <v>1208</v>
      </c>
      <c r="P89" s="467" t="s">
        <v>1218</v>
      </c>
      <c r="Q89" s="467" t="s">
        <v>11367</v>
      </c>
      <c r="R89" s="467" t="s">
        <v>1225</v>
      </c>
      <c r="S89" s="467" t="s">
        <v>1228</v>
      </c>
      <c r="T89" s="467" t="s">
        <v>1339</v>
      </c>
      <c r="U89" s="467" t="s">
        <v>1233</v>
      </c>
      <c r="V89" s="467" t="s">
        <v>11368</v>
      </c>
      <c r="W89" s="467" t="s">
        <v>1235</v>
      </c>
      <c r="X89" s="467" t="s">
        <v>1126</v>
      </c>
      <c r="Y89" s="467" t="s">
        <v>1132</v>
      </c>
      <c r="Z89" s="467" t="s">
        <v>1240</v>
      </c>
      <c r="AA89" s="467" t="s">
        <v>1356</v>
      </c>
      <c r="AB89" s="467" t="s">
        <v>1357</v>
      </c>
      <c r="AC89" s="467" t="s">
        <v>1360</v>
      </c>
      <c r="AD89" s="467" t="s">
        <v>11377</v>
      </c>
      <c r="AE89" s="467" t="s">
        <v>1364</v>
      </c>
    </row>
    <row r="90" spans="1:68" x14ac:dyDescent="0.25">
      <c r="A90" s="467" t="s">
        <v>578</v>
      </c>
      <c r="B90" s="467" t="s">
        <v>577</v>
      </c>
      <c r="C90" s="467" t="s">
        <v>14127</v>
      </c>
      <c r="D90" s="467" t="s">
        <v>1093</v>
      </c>
      <c r="E90" s="467" t="s">
        <v>1098</v>
      </c>
      <c r="F90" s="467" t="s">
        <v>1949</v>
      </c>
      <c r="G90" s="467" t="s">
        <v>11363</v>
      </c>
      <c r="H90" s="467" t="s">
        <v>1961</v>
      </c>
      <c r="I90" s="467" t="s">
        <v>1966</v>
      </c>
      <c r="J90" s="467" t="s">
        <v>1175</v>
      </c>
      <c r="K90" s="467" t="s">
        <v>14208</v>
      </c>
      <c r="L90" s="467" t="s">
        <v>1985</v>
      </c>
      <c r="M90" s="467" t="s">
        <v>1187</v>
      </c>
      <c r="N90" s="467" t="s">
        <v>1105</v>
      </c>
      <c r="O90" s="467" t="s">
        <v>1109</v>
      </c>
      <c r="P90" s="467" t="s">
        <v>1190</v>
      </c>
      <c r="Q90" s="467" t="s">
        <v>1111</v>
      </c>
      <c r="R90" s="467" t="s">
        <v>1228</v>
      </c>
      <c r="S90" s="467" t="s">
        <v>1234</v>
      </c>
      <c r="T90" s="467" t="s">
        <v>1235</v>
      </c>
      <c r="U90" s="467" t="s">
        <v>1126</v>
      </c>
      <c r="V90" s="467" t="s">
        <v>1132</v>
      </c>
      <c r="W90" s="467" t="s">
        <v>1240</v>
      </c>
      <c r="X90" s="467" t="s">
        <v>1134</v>
      </c>
      <c r="Y90" s="467" t="s">
        <v>1136</v>
      </c>
      <c r="Z90" s="467" t="s">
        <v>2021</v>
      </c>
      <c r="AA90" s="467" t="s">
        <v>2023</v>
      </c>
      <c r="AB90" s="467" t="s">
        <v>2024</v>
      </c>
      <c r="AC90" s="467" t="s">
        <v>2032</v>
      </c>
      <c r="AD90" s="467" t="s">
        <v>2037</v>
      </c>
      <c r="AE90" s="467" t="s">
        <v>1249</v>
      </c>
      <c r="AF90" s="467" t="s">
        <v>1260</v>
      </c>
      <c r="AG90" s="467" t="s">
        <v>2050</v>
      </c>
    </row>
    <row r="91" spans="1:68" x14ac:dyDescent="0.25">
      <c r="A91" s="467" t="s">
        <v>580</v>
      </c>
      <c r="B91" s="467" t="s">
        <v>579</v>
      </c>
      <c r="C91" s="467" t="s">
        <v>1386</v>
      </c>
      <c r="D91" s="467" t="s">
        <v>1091</v>
      </c>
      <c r="E91" s="467" t="s">
        <v>14127</v>
      </c>
      <c r="F91" s="467" t="s">
        <v>1093</v>
      </c>
      <c r="G91" s="467" t="s">
        <v>1096</v>
      </c>
      <c r="H91" s="467" t="s">
        <v>1098</v>
      </c>
      <c r="I91" s="467" t="s">
        <v>1100</v>
      </c>
      <c r="J91" s="467" t="s">
        <v>14208</v>
      </c>
      <c r="K91" s="467" t="s">
        <v>1105</v>
      </c>
      <c r="L91" s="467" t="s">
        <v>1107</v>
      </c>
      <c r="M91" s="467" t="s">
        <v>1190</v>
      </c>
      <c r="N91" s="467" t="s">
        <v>1202</v>
      </c>
      <c r="O91" s="467" t="s">
        <v>1112</v>
      </c>
      <c r="P91" s="467" t="s">
        <v>1114</v>
      </c>
      <c r="Q91" s="467" t="s">
        <v>11415</v>
      </c>
      <c r="R91" s="467" t="s">
        <v>1122</v>
      </c>
      <c r="S91" s="467" t="s">
        <v>1124</v>
      </c>
      <c r="T91" s="467" t="s">
        <v>1233</v>
      </c>
      <c r="U91" s="467" t="s">
        <v>11368</v>
      </c>
      <c r="V91" s="467" t="s">
        <v>1126</v>
      </c>
      <c r="W91" s="467" t="s">
        <v>1896</v>
      </c>
      <c r="X91" s="467" t="s">
        <v>1130</v>
      </c>
      <c r="Y91" s="467" t="s">
        <v>1132</v>
      </c>
      <c r="Z91" s="467" t="s">
        <v>1240</v>
      </c>
      <c r="AA91" s="467" t="s">
        <v>1136</v>
      </c>
      <c r="AB91" s="467" t="s">
        <v>1249</v>
      </c>
      <c r="AC91" s="467" t="s">
        <v>1138</v>
      </c>
      <c r="AD91" s="467" t="s">
        <v>1930</v>
      </c>
      <c r="AE91" s="467" t="s">
        <v>1140</v>
      </c>
    </row>
    <row r="92" spans="1:68" x14ac:dyDescent="0.25">
      <c r="A92" s="467" t="s">
        <v>582</v>
      </c>
      <c r="B92" s="467" t="s">
        <v>581</v>
      </c>
      <c r="C92" s="467" t="s">
        <v>1273</v>
      </c>
      <c r="D92" s="467" t="s">
        <v>11363</v>
      </c>
      <c r="E92" s="467" t="s">
        <v>1280</v>
      </c>
      <c r="F92" s="467" t="s">
        <v>1161</v>
      </c>
      <c r="G92" s="467" t="s">
        <v>1100</v>
      </c>
      <c r="H92" s="467" t="s">
        <v>1175</v>
      </c>
      <c r="I92" s="467" t="s">
        <v>1295</v>
      </c>
      <c r="J92" s="467" t="s">
        <v>1177</v>
      </c>
      <c r="K92" s="467" t="s">
        <v>1187</v>
      </c>
      <c r="L92" s="467" t="s">
        <v>1302</v>
      </c>
      <c r="M92" s="467" t="s">
        <v>1107</v>
      </c>
      <c r="N92" s="467" t="s">
        <v>1109</v>
      </c>
      <c r="O92" s="467" t="s">
        <v>1190</v>
      </c>
      <c r="P92" s="467" t="s">
        <v>14243</v>
      </c>
      <c r="Q92" s="467" t="s">
        <v>1310</v>
      </c>
      <c r="R92" s="467" t="s">
        <v>1202</v>
      </c>
      <c r="S92" s="467" t="s">
        <v>1112</v>
      </c>
      <c r="T92" s="467" t="s">
        <v>1315</v>
      </c>
      <c r="U92" s="467" t="s">
        <v>1319</v>
      </c>
      <c r="V92" s="467" t="s">
        <v>1120</v>
      </c>
      <c r="W92" s="467" t="s">
        <v>1323</v>
      </c>
      <c r="X92" s="467" t="s">
        <v>1218</v>
      </c>
      <c r="Y92" s="467" t="s">
        <v>11367</v>
      </c>
      <c r="Z92" s="467" t="s">
        <v>1325</v>
      </c>
      <c r="AA92" s="467" t="s">
        <v>1327</v>
      </c>
      <c r="AB92" s="467" t="s">
        <v>1122</v>
      </c>
      <c r="AC92" s="467" t="s">
        <v>1233</v>
      </c>
      <c r="AD92" s="467" t="s">
        <v>11368</v>
      </c>
      <c r="AE92" s="467" t="s">
        <v>1126</v>
      </c>
      <c r="AF92" s="467" t="s">
        <v>1341</v>
      </c>
      <c r="AG92" s="467" t="s">
        <v>1364</v>
      </c>
      <c r="AH92" s="467" t="s">
        <v>1369</v>
      </c>
    </row>
    <row r="93" spans="1:68" x14ac:dyDescent="0.25">
      <c r="A93" s="467" t="s">
        <v>584</v>
      </c>
      <c r="B93" s="467" t="s">
        <v>583</v>
      </c>
      <c r="C93" s="467" t="s">
        <v>1145</v>
      </c>
      <c r="D93" s="467" t="s">
        <v>1093</v>
      </c>
      <c r="E93" s="467" t="s">
        <v>1096</v>
      </c>
      <c r="F93" s="467" t="s">
        <v>1161</v>
      </c>
      <c r="G93" s="467" t="s">
        <v>1172</v>
      </c>
      <c r="H93" s="467" t="s">
        <v>1173</v>
      </c>
      <c r="I93" s="467" t="s">
        <v>1178</v>
      </c>
      <c r="J93" s="467" t="s">
        <v>1183</v>
      </c>
      <c r="K93" s="467" t="s">
        <v>1109</v>
      </c>
      <c r="L93" s="467" t="s">
        <v>1194</v>
      </c>
      <c r="M93" s="467" t="s">
        <v>1196</v>
      </c>
      <c r="N93" s="467" t="s">
        <v>1199</v>
      </c>
      <c r="O93" s="467" t="s">
        <v>1200</v>
      </c>
      <c r="P93" s="467" t="s">
        <v>1203</v>
      </c>
      <c r="Q93" s="467" t="s">
        <v>1209</v>
      </c>
      <c r="R93" s="467" t="s">
        <v>1215</v>
      </c>
      <c r="S93" s="467" t="s">
        <v>1122</v>
      </c>
      <c r="T93" s="467" t="s">
        <v>1226</v>
      </c>
      <c r="U93" s="467" t="s">
        <v>1228</v>
      </c>
      <c r="V93" s="467" t="s">
        <v>1234</v>
      </c>
      <c r="W93" s="467" t="s">
        <v>1126</v>
      </c>
      <c r="X93" s="467" t="s">
        <v>1134</v>
      </c>
      <c r="Y93" s="467" t="s">
        <v>1243</v>
      </c>
    </row>
    <row r="94" spans="1:68" x14ac:dyDescent="0.25">
      <c r="A94" s="467" t="s">
        <v>586</v>
      </c>
      <c r="B94" s="467" t="s">
        <v>585</v>
      </c>
      <c r="C94" s="467" t="s">
        <v>1143</v>
      </c>
      <c r="D94" s="467" t="s">
        <v>1096</v>
      </c>
      <c r="E94" s="467" t="s">
        <v>1151</v>
      </c>
      <c r="F94" s="467" t="s">
        <v>11363</v>
      </c>
      <c r="G94" s="467" t="s">
        <v>1618</v>
      </c>
      <c r="H94" s="467" t="s">
        <v>1621</v>
      </c>
      <c r="I94" s="467" t="s">
        <v>1161</v>
      </c>
      <c r="J94" s="467" t="s">
        <v>1172</v>
      </c>
      <c r="K94" s="467" t="s">
        <v>14208</v>
      </c>
      <c r="L94" s="467" t="s">
        <v>1183</v>
      </c>
      <c r="M94" s="467" t="s">
        <v>1630</v>
      </c>
      <c r="N94" s="467" t="s">
        <v>1105</v>
      </c>
      <c r="O94" s="467" t="s">
        <v>1188</v>
      </c>
      <c r="P94" s="467" t="s">
        <v>1107</v>
      </c>
      <c r="Q94" s="467" t="s">
        <v>1109</v>
      </c>
      <c r="R94" s="467" t="s">
        <v>2157</v>
      </c>
      <c r="S94" s="467" t="s">
        <v>1633</v>
      </c>
      <c r="T94" s="467" t="s">
        <v>1190</v>
      </c>
      <c r="U94" s="467" t="s">
        <v>1638</v>
      </c>
      <c r="V94" s="467" t="s">
        <v>1639</v>
      </c>
      <c r="W94" s="467" t="s">
        <v>1209</v>
      </c>
      <c r="X94" s="467" t="s">
        <v>14400</v>
      </c>
      <c r="Y94" s="467" t="s">
        <v>2170</v>
      </c>
      <c r="Z94" s="467" t="s">
        <v>1122</v>
      </c>
      <c r="AA94" s="467" t="s">
        <v>1225</v>
      </c>
      <c r="AB94" s="467" t="s">
        <v>1648</v>
      </c>
      <c r="AC94" s="467" t="s">
        <v>1124</v>
      </c>
      <c r="AD94" s="467" t="s">
        <v>1233</v>
      </c>
      <c r="AE94" s="467" t="s">
        <v>11368</v>
      </c>
      <c r="AF94" s="467" t="s">
        <v>1235</v>
      </c>
      <c r="AG94" s="467" t="s">
        <v>1126</v>
      </c>
      <c r="AH94" s="467" t="s">
        <v>2174</v>
      </c>
      <c r="AI94" s="467" t="s">
        <v>1245</v>
      </c>
      <c r="AJ94" s="467" t="s">
        <v>1253</v>
      </c>
      <c r="AK94" s="467" t="s">
        <v>1368</v>
      </c>
      <c r="AL94" s="467" t="s">
        <v>1257</v>
      </c>
      <c r="AM94" s="467" t="s">
        <v>2187</v>
      </c>
      <c r="AN94" s="467" t="s">
        <v>1262</v>
      </c>
      <c r="AO94" s="467" t="s">
        <v>14389</v>
      </c>
      <c r="AP94" s="467" t="s">
        <v>2191</v>
      </c>
      <c r="AQ94" s="467" t="s">
        <v>1789</v>
      </c>
    </row>
    <row r="95" spans="1:68" x14ac:dyDescent="0.25">
      <c r="A95" s="467" t="s">
        <v>588</v>
      </c>
      <c r="B95" s="467" t="s">
        <v>587</v>
      </c>
      <c r="C95" s="467" t="s">
        <v>1093</v>
      </c>
      <c r="D95" s="467" t="s">
        <v>1096</v>
      </c>
      <c r="E95" s="467" t="s">
        <v>1672</v>
      </c>
      <c r="F95" s="467" t="s">
        <v>1164</v>
      </c>
      <c r="G95" s="467" t="s">
        <v>1171</v>
      </c>
      <c r="H95" s="467" t="s">
        <v>1173</v>
      </c>
      <c r="I95" s="467" t="s">
        <v>14208</v>
      </c>
      <c r="J95" s="467" t="s">
        <v>1105</v>
      </c>
      <c r="K95" s="467" t="s">
        <v>1109</v>
      </c>
      <c r="L95" s="467" t="s">
        <v>1190</v>
      </c>
      <c r="M95" s="467" t="s">
        <v>1112</v>
      </c>
      <c r="N95" s="467" t="s">
        <v>1207</v>
      </c>
      <c r="O95" s="467" t="s">
        <v>1226</v>
      </c>
      <c r="P95" s="467" t="s">
        <v>1233</v>
      </c>
      <c r="Q95" s="467" t="s">
        <v>11368</v>
      </c>
      <c r="R95" s="467" t="s">
        <v>1126</v>
      </c>
      <c r="S95" s="467" t="s">
        <v>1253</v>
      </c>
      <c r="T95" s="467" t="s">
        <v>1258</v>
      </c>
      <c r="U95" s="467" t="s">
        <v>1261</v>
      </c>
    </row>
    <row r="96" spans="1:68" x14ac:dyDescent="0.25">
      <c r="A96" s="467" t="s">
        <v>590</v>
      </c>
      <c r="B96" s="467" t="s">
        <v>589</v>
      </c>
      <c r="C96" s="467" t="s">
        <v>1096</v>
      </c>
      <c r="D96" s="467" t="s">
        <v>1271</v>
      </c>
      <c r="E96" s="467" t="s">
        <v>1282</v>
      </c>
      <c r="F96" s="467" t="s">
        <v>1161</v>
      </c>
      <c r="G96" s="467" t="s">
        <v>1100</v>
      </c>
      <c r="H96" s="467" t="s">
        <v>1290</v>
      </c>
      <c r="I96" s="467" t="s">
        <v>1293</v>
      </c>
      <c r="J96" s="467" t="s">
        <v>1175</v>
      </c>
      <c r="K96" s="467" t="s">
        <v>1296</v>
      </c>
      <c r="L96" s="467" t="s">
        <v>14208</v>
      </c>
      <c r="M96" s="467" t="s">
        <v>1187</v>
      </c>
      <c r="N96" s="467" t="s">
        <v>1107</v>
      </c>
      <c r="O96" s="467" t="s">
        <v>1109</v>
      </c>
      <c r="P96" s="467" t="s">
        <v>1218</v>
      </c>
      <c r="Q96" s="467" t="s">
        <v>11367</v>
      </c>
      <c r="R96" s="467" t="s">
        <v>1326</v>
      </c>
      <c r="S96" s="467" t="s">
        <v>1333</v>
      </c>
      <c r="T96" s="467" t="s">
        <v>1122</v>
      </c>
      <c r="U96" s="467" t="s">
        <v>1228</v>
      </c>
      <c r="V96" s="467" t="s">
        <v>1336</v>
      </c>
      <c r="W96" s="467" t="s">
        <v>1339</v>
      </c>
      <c r="X96" s="467" t="s">
        <v>11368</v>
      </c>
      <c r="Y96" s="467" t="s">
        <v>1235</v>
      </c>
      <c r="Z96" s="467" t="s">
        <v>1126</v>
      </c>
      <c r="AA96" s="467" t="s">
        <v>1245</v>
      </c>
      <c r="AB96" s="467" t="s">
        <v>1360</v>
      </c>
      <c r="AC96" s="467" t="s">
        <v>11376</v>
      </c>
      <c r="AD96" s="467" t="s">
        <v>11473</v>
      </c>
      <c r="AE96" s="467" t="s">
        <v>1364</v>
      </c>
      <c r="AF96" s="467" t="s">
        <v>11379</v>
      </c>
    </row>
    <row r="97" spans="1:52" x14ac:dyDescent="0.25">
      <c r="A97" s="467" t="s">
        <v>592</v>
      </c>
      <c r="B97" s="467" t="s">
        <v>591</v>
      </c>
      <c r="C97" s="467" t="s">
        <v>1385</v>
      </c>
      <c r="D97" s="467" t="s">
        <v>1792</v>
      </c>
      <c r="E97" s="467" t="s">
        <v>1096</v>
      </c>
      <c r="F97" s="467" t="s">
        <v>1151</v>
      </c>
      <c r="G97" s="467" t="s">
        <v>11363</v>
      </c>
      <c r="H97" s="467" t="s">
        <v>1100</v>
      </c>
      <c r="I97" s="467" t="s">
        <v>1177</v>
      </c>
      <c r="J97" s="467" t="s">
        <v>14208</v>
      </c>
      <c r="K97" s="467" t="s">
        <v>1187</v>
      </c>
      <c r="L97" s="467" t="s">
        <v>1105</v>
      </c>
      <c r="M97" s="467" t="s">
        <v>1107</v>
      </c>
      <c r="N97" s="467" t="s">
        <v>1109</v>
      </c>
      <c r="O97" s="467" t="s">
        <v>1202</v>
      </c>
      <c r="P97" s="467" t="s">
        <v>1114</v>
      </c>
      <c r="Q97" s="467" t="s">
        <v>1217</v>
      </c>
      <c r="R97" s="467" t="s">
        <v>1218</v>
      </c>
      <c r="S97" s="467" t="s">
        <v>11367</v>
      </c>
      <c r="T97" s="467" t="s">
        <v>1122</v>
      </c>
      <c r="U97" s="467" t="s">
        <v>1234</v>
      </c>
      <c r="V97" s="467" t="s">
        <v>1126</v>
      </c>
      <c r="W97" s="467" t="s">
        <v>1892</v>
      </c>
      <c r="X97" s="467" t="s">
        <v>1899</v>
      </c>
      <c r="Y97" s="467" t="s">
        <v>1130</v>
      </c>
      <c r="Z97" s="467" t="s">
        <v>1240</v>
      </c>
      <c r="AA97" s="467" t="s">
        <v>1241</v>
      </c>
      <c r="AB97" s="467" t="s">
        <v>1134</v>
      </c>
      <c r="AC97" s="467" t="s">
        <v>1904</v>
      </c>
      <c r="AD97" s="467" t="s">
        <v>1928</v>
      </c>
      <c r="AE97" s="467" t="s">
        <v>1944</v>
      </c>
    </row>
    <row r="98" spans="1:52" x14ac:dyDescent="0.25">
      <c r="A98" s="467" t="s">
        <v>594</v>
      </c>
      <c r="B98" s="467" t="s">
        <v>593</v>
      </c>
      <c r="C98" s="467" t="s">
        <v>1386</v>
      </c>
      <c r="D98" s="467" t="s">
        <v>14127</v>
      </c>
      <c r="E98" s="467" t="s">
        <v>1093</v>
      </c>
      <c r="F98" s="467" t="s">
        <v>1096</v>
      </c>
      <c r="G98" s="467" t="s">
        <v>1802</v>
      </c>
      <c r="H98" s="467" t="s">
        <v>1098</v>
      </c>
      <c r="I98" s="467" t="s">
        <v>11363</v>
      </c>
      <c r="J98" s="467" t="s">
        <v>1100</v>
      </c>
      <c r="K98" s="467" t="s">
        <v>1817</v>
      </c>
      <c r="L98" s="467" t="s">
        <v>1174</v>
      </c>
      <c r="M98" s="467" t="s">
        <v>14208</v>
      </c>
      <c r="N98" s="467" t="s">
        <v>1105</v>
      </c>
      <c r="O98" s="467" t="s">
        <v>1188</v>
      </c>
      <c r="P98" s="467" t="s">
        <v>1107</v>
      </c>
      <c r="Q98" s="467" t="s">
        <v>1109</v>
      </c>
      <c r="R98" s="467" t="s">
        <v>1189</v>
      </c>
      <c r="S98" s="467" t="s">
        <v>1202</v>
      </c>
      <c r="T98" s="467" t="s">
        <v>1112</v>
      </c>
      <c r="U98" s="467" t="s">
        <v>1120</v>
      </c>
      <c r="V98" s="467" t="s">
        <v>1221</v>
      </c>
      <c r="W98" s="467" t="s">
        <v>1122</v>
      </c>
      <c r="X98" s="467" t="s">
        <v>1124</v>
      </c>
      <c r="Y98" s="467" t="s">
        <v>1892</v>
      </c>
      <c r="Z98" s="467" t="s">
        <v>1130</v>
      </c>
      <c r="AA98" s="467" t="s">
        <v>1132</v>
      </c>
      <c r="AB98" s="467" t="s">
        <v>1134</v>
      </c>
      <c r="AC98" s="467" t="s">
        <v>1136</v>
      </c>
      <c r="AD98" s="467" t="s">
        <v>1138</v>
      </c>
      <c r="AE98" s="467" t="s">
        <v>1930</v>
      </c>
      <c r="AF98" s="467" t="s">
        <v>1140</v>
      </c>
    </row>
    <row r="99" spans="1:52" x14ac:dyDescent="0.25">
      <c r="A99" s="467" t="s">
        <v>596</v>
      </c>
      <c r="B99" s="467" t="s">
        <v>595</v>
      </c>
      <c r="C99" s="467" t="s">
        <v>1096</v>
      </c>
      <c r="D99" s="467" t="s">
        <v>1623</v>
      </c>
      <c r="E99" s="467" t="s">
        <v>1698</v>
      </c>
      <c r="F99" s="467" t="s">
        <v>14208</v>
      </c>
      <c r="G99" s="467" t="s">
        <v>1105</v>
      </c>
      <c r="H99" s="467" t="s">
        <v>1107</v>
      </c>
      <c r="I99" s="467" t="s">
        <v>1109</v>
      </c>
      <c r="J99" s="467" t="s">
        <v>1733</v>
      </c>
      <c r="K99" s="467" t="s">
        <v>1738</v>
      </c>
      <c r="L99" s="467" t="s">
        <v>1209</v>
      </c>
      <c r="M99" s="467" t="s">
        <v>1503</v>
      </c>
      <c r="N99" s="467" t="s">
        <v>1122</v>
      </c>
      <c r="O99" s="467" t="s">
        <v>1253</v>
      </c>
    </row>
    <row r="100" spans="1:52" x14ac:dyDescent="0.25">
      <c r="A100" s="467" t="s">
        <v>598</v>
      </c>
      <c r="B100" s="467" t="s">
        <v>597</v>
      </c>
      <c r="C100" s="467" t="s">
        <v>1386</v>
      </c>
      <c r="D100" s="467" t="s">
        <v>1093</v>
      </c>
      <c r="E100" s="467" t="s">
        <v>11363</v>
      </c>
      <c r="F100" s="467" t="s">
        <v>1161</v>
      </c>
      <c r="G100" s="467" t="s">
        <v>1187</v>
      </c>
      <c r="H100" s="467" t="s">
        <v>1105</v>
      </c>
      <c r="I100" s="467" t="s">
        <v>1474</v>
      </c>
      <c r="J100" s="467" t="s">
        <v>1482</v>
      </c>
      <c r="K100" s="467" t="s">
        <v>1202</v>
      </c>
      <c r="L100" s="467" t="s">
        <v>1112</v>
      </c>
      <c r="M100" s="467" t="s">
        <v>1501</v>
      </c>
      <c r="N100" s="467" t="s">
        <v>1217</v>
      </c>
      <c r="O100" s="467" t="s">
        <v>1220</v>
      </c>
      <c r="P100" s="467" t="s">
        <v>1124</v>
      </c>
      <c r="Q100" s="467" t="s">
        <v>1540</v>
      </c>
      <c r="R100" s="467" t="s">
        <v>1235</v>
      </c>
      <c r="S100" s="467" t="s">
        <v>1130</v>
      </c>
      <c r="T100" s="467" t="s">
        <v>1907</v>
      </c>
      <c r="U100" s="467" t="s">
        <v>1575</v>
      </c>
      <c r="V100" s="467" t="s">
        <v>1581</v>
      </c>
      <c r="W100" s="467" t="s">
        <v>1932</v>
      </c>
      <c r="X100" s="467" t="s">
        <v>1262</v>
      </c>
    </row>
    <row r="101" spans="1:52" x14ac:dyDescent="0.25">
      <c r="A101" s="467" t="s">
        <v>600</v>
      </c>
      <c r="B101" s="467" t="s">
        <v>599</v>
      </c>
      <c r="C101" s="467" t="s">
        <v>1385</v>
      </c>
      <c r="D101" s="467" t="s">
        <v>1096</v>
      </c>
      <c r="E101" s="467" t="s">
        <v>1270</v>
      </c>
      <c r="F101" s="467" t="s">
        <v>1151</v>
      </c>
      <c r="G101" s="467" t="s">
        <v>1403</v>
      </c>
      <c r="H101" s="467" t="s">
        <v>1161</v>
      </c>
      <c r="I101" s="467" t="s">
        <v>1417</v>
      </c>
      <c r="J101" s="467" t="s">
        <v>1100</v>
      </c>
      <c r="K101" s="467" t="s">
        <v>1692</v>
      </c>
      <c r="L101" s="467" t="s">
        <v>1420</v>
      </c>
      <c r="M101" s="467" t="s">
        <v>1428</v>
      </c>
      <c r="N101" s="467" t="s">
        <v>14208</v>
      </c>
      <c r="O101" s="467" t="s">
        <v>1185</v>
      </c>
      <c r="P101" s="467" t="s">
        <v>1188</v>
      </c>
      <c r="Q101" s="467" t="s">
        <v>1107</v>
      </c>
      <c r="R101" s="467" t="s">
        <v>1109</v>
      </c>
      <c r="S101" s="467" t="s">
        <v>1190</v>
      </c>
      <c r="T101" s="467" t="s">
        <v>1307</v>
      </c>
      <c r="U101" s="467" t="s">
        <v>1310</v>
      </c>
      <c r="V101" s="467" t="s">
        <v>1311</v>
      </c>
      <c r="W101" s="467" t="s">
        <v>1202</v>
      </c>
      <c r="X101" s="467" t="s">
        <v>1112</v>
      </c>
      <c r="Y101" s="467" t="s">
        <v>1114</v>
      </c>
      <c r="Z101" s="467" t="s">
        <v>1315</v>
      </c>
      <c r="AA101" s="467" t="s">
        <v>1316</v>
      </c>
      <c r="AB101" s="467" t="s">
        <v>1508</v>
      </c>
      <c r="AC101" s="467" t="s">
        <v>1319</v>
      </c>
      <c r="AD101" s="467" t="s">
        <v>1120</v>
      </c>
      <c r="AE101" s="467" t="s">
        <v>1321</v>
      </c>
      <c r="AF101" s="467" t="s">
        <v>1322</v>
      </c>
      <c r="AG101" s="467" t="s">
        <v>1217</v>
      </c>
      <c r="AH101" s="467" t="s">
        <v>1218</v>
      </c>
      <c r="AI101" s="467" t="s">
        <v>11367</v>
      </c>
      <c r="AJ101" s="467" t="s">
        <v>1324</v>
      </c>
      <c r="AK101" s="467" t="s">
        <v>1325</v>
      </c>
      <c r="AL101" s="467" t="s">
        <v>1327</v>
      </c>
      <c r="AM101" s="467" t="s">
        <v>1221</v>
      </c>
      <c r="AN101" s="467" t="s">
        <v>1332</v>
      </c>
      <c r="AO101" s="467" t="s">
        <v>1122</v>
      </c>
      <c r="AP101" s="467" t="s">
        <v>1126</v>
      </c>
      <c r="AQ101" s="467" t="s">
        <v>1342</v>
      </c>
      <c r="AR101" s="467" t="s">
        <v>1130</v>
      </c>
      <c r="AS101" s="467" t="s">
        <v>1345</v>
      </c>
      <c r="AT101" s="467" t="s">
        <v>1554</v>
      </c>
      <c r="AU101" s="467" t="s">
        <v>1347</v>
      </c>
      <c r="AV101" s="467" t="s">
        <v>1558</v>
      </c>
      <c r="AW101" s="467" t="s">
        <v>1573</v>
      </c>
      <c r="AX101" s="467" t="s">
        <v>1253</v>
      </c>
      <c r="AY101" s="467" t="s">
        <v>1574</v>
      </c>
      <c r="AZ101" s="467" t="s">
        <v>1599</v>
      </c>
    </row>
    <row r="102" spans="1:52" x14ac:dyDescent="0.25">
      <c r="A102" s="467" t="s">
        <v>602</v>
      </c>
      <c r="B102" s="467" t="s">
        <v>601</v>
      </c>
      <c r="C102" s="467" t="s">
        <v>1091</v>
      </c>
      <c r="D102" s="467" t="s">
        <v>1096</v>
      </c>
      <c r="E102" s="467" t="s">
        <v>1273</v>
      </c>
      <c r="F102" s="467" t="s">
        <v>1161</v>
      </c>
      <c r="G102" s="467" t="s">
        <v>1100</v>
      </c>
      <c r="H102" s="467" t="s">
        <v>1294</v>
      </c>
      <c r="I102" s="467" t="s">
        <v>1187</v>
      </c>
      <c r="J102" s="467" t="s">
        <v>1107</v>
      </c>
      <c r="K102" s="467" t="s">
        <v>1202</v>
      </c>
      <c r="L102" s="467" t="s">
        <v>1112</v>
      </c>
      <c r="M102" s="467" t="s">
        <v>1114</v>
      </c>
      <c r="N102" s="467" t="s">
        <v>1210</v>
      </c>
      <c r="O102" s="467" t="s">
        <v>1319</v>
      </c>
      <c r="P102" s="467" t="s">
        <v>1322</v>
      </c>
      <c r="Q102" s="467" t="s">
        <v>1218</v>
      </c>
      <c r="R102" s="467" t="s">
        <v>11367</v>
      </c>
      <c r="S102" s="467" t="s">
        <v>1332</v>
      </c>
      <c r="T102" s="467" t="s">
        <v>1122</v>
      </c>
      <c r="U102" s="467" t="s">
        <v>1339</v>
      </c>
      <c r="V102" s="467" t="s">
        <v>1126</v>
      </c>
      <c r="W102" s="467" t="s">
        <v>1346</v>
      </c>
      <c r="X102" s="467" t="s">
        <v>1355</v>
      </c>
      <c r="Y102" s="467" t="s">
        <v>1364</v>
      </c>
      <c r="Z102" s="467" t="s">
        <v>1253</v>
      </c>
    </row>
    <row r="103" spans="1:52" x14ac:dyDescent="0.25">
      <c r="A103" s="467" t="s">
        <v>604</v>
      </c>
      <c r="B103" s="467" t="s">
        <v>603</v>
      </c>
      <c r="C103" s="467" t="s">
        <v>1386</v>
      </c>
      <c r="D103" s="467" t="s">
        <v>1387</v>
      </c>
      <c r="E103" s="467" t="s">
        <v>1093</v>
      </c>
      <c r="F103" s="467" t="s">
        <v>11363</v>
      </c>
      <c r="G103" s="467" t="s">
        <v>1100</v>
      </c>
      <c r="H103" s="467" t="s">
        <v>1831</v>
      </c>
      <c r="I103" s="467" t="s">
        <v>1188</v>
      </c>
      <c r="J103" s="467" t="s">
        <v>1107</v>
      </c>
      <c r="K103" s="467" t="s">
        <v>1190</v>
      </c>
      <c r="L103" s="467" t="s">
        <v>1202</v>
      </c>
      <c r="M103" s="467" t="s">
        <v>1862</v>
      </c>
      <c r="N103" s="467" t="s">
        <v>1112</v>
      </c>
      <c r="O103" s="467" t="s">
        <v>1501</v>
      </c>
      <c r="P103" s="467" t="s">
        <v>1120</v>
      </c>
      <c r="Q103" s="467" t="s">
        <v>1218</v>
      </c>
      <c r="R103" s="467" t="s">
        <v>11367</v>
      </c>
      <c r="S103" s="467" t="s">
        <v>1220</v>
      </c>
      <c r="T103" s="467" t="s">
        <v>1536</v>
      </c>
      <c r="U103" s="467" t="s">
        <v>1887</v>
      </c>
      <c r="V103" s="467" t="s">
        <v>1235</v>
      </c>
      <c r="W103" s="467" t="s">
        <v>1342</v>
      </c>
      <c r="X103" s="467" t="s">
        <v>11393</v>
      </c>
      <c r="Y103" s="467" t="s">
        <v>1920</v>
      </c>
      <c r="Z103" s="467" t="s">
        <v>1253</v>
      </c>
      <c r="AA103" s="467" t="s">
        <v>1581</v>
      </c>
      <c r="AB103" s="467" t="s">
        <v>1587</v>
      </c>
      <c r="AC103" s="467" t="s">
        <v>1262</v>
      </c>
    </row>
    <row r="104" spans="1:52" x14ac:dyDescent="0.25">
      <c r="A104" s="467" t="s">
        <v>606</v>
      </c>
      <c r="B104" s="467" t="s">
        <v>605</v>
      </c>
      <c r="C104" s="467" t="s">
        <v>11364</v>
      </c>
      <c r="D104" s="467" t="s">
        <v>1171</v>
      </c>
      <c r="E104" s="467" t="s">
        <v>1173</v>
      </c>
      <c r="F104" s="467" t="s">
        <v>1178</v>
      </c>
      <c r="G104" s="467" t="s">
        <v>1180</v>
      </c>
      <c r="H104" s="467" t="s">
        <v>1181</v>
      </c>
      <c r="I104" s="467" t="s">
        <v>14208</v>
      </c>
      <c r="J104" s="467" t="s">
        <v>1109</v>
      </c>
      <c r="K104" s="467" t="s">
        <v>1203</v>
      </c>
      <c r="L104" s="467" t="s">
        <v>1112</v>
      </c>
      <c r="M104" s="467" t="s">
        <v>1207</v>
      </c>
      <c r="N104" s="467" t="s">
        <v>1215</v>
      </c>
      <c r="O104" s="467" t="s">
        <v>1219</v>
      </c>
      <c r="P104" s="467" t="s">
        <v>1122</v>
      </c>
      <c r="Q104" s="467" t="s">
        <v>1226</v>
      </c>
      <c r="R104" s="467" t="s">
        <v>1234</v>
      </c>
      <c r="S104" s="467" t="s">
        <v>1249</v>
      </c>
      <c r="T104" s="467" t="s">
        <v>1253</v>
      </c>
      <c r="U104" s="467" t="s">
        <v>1259</v>
      </c>
      <c r="V104" s="467" t="s">
        <v>1261</v>
      </c>
    </row>
    <row r="105" spans="1:52" x14ac:dyDescent="0.25">
      <c r="A105" s="467" t="s">
        <v>608</v>
      </c>
      <c r="B105" s="467" t="s">
        <v>607</v>
      </c>
      <c r="C105" s="467" t="s">
        <v>1093</v>
      </c>
      <c r="D105" s="467" t="s">
        <v>1098</v>
      </c>
      <c r="E105" s="467" t="s">
        <v>1808</v>
      </c>
      <c r="F105" s="467" t="s">
        <v>1962</v>
      </c>
      <c r="G105" s="467" t="s">
        <v>1100</v>
      </c>
      <c r="H105" s="467" t="s">
        <v>1966</v>
      </c>
      <c r="I105" s="467" t="s">
        <v>1977</v>
      </c>
      <c r="J105" s="467" t="s">
        <v>1177</v>
      </c>
      <c r="K105" s="467" t="s">
        <v>1179</v>
      </c>
      <c r="L105" s="467" t="s">
        <v>14208</v>
      </c>
      <c r="M105" s="467" t="s">
        <v>1985</v>
      </c>
      <c r="N105" s="467" t="s">
        <v>1107</v>
      </c>
      <c r="O105" s="467" t="s">
        <v>1190</v>
      </c>
      <c r="P105" s="467" t="s">
        <v>1111</v>
      </c>
      <c r="Q105" s="467" t="s">
        <v>1202</v>
      </c>
      <c r="R105" s="467" t="s">
        <v>1991</v>
      </c>
      <c r="S105" s="467" t="s">
        <v>1114</v>
      </c>
      <c r="T105" s="467" t="s">
        <v>1122</v>
      </c>
      <c r="U105" s="467" t="s">
        <v>1228</v>
      </c>
      <c r="V105" s="467" t="s">
        <v>1234</v>
      </c>
      <c r="W105" s="467" t="s">
        <v>1126</v>
      </c>
      <c r="X105" s="467" t="s">
        <v>2016</v>
      </c>
      <c r="Y105" s="467" t="s">
        <v>1132</v>
      </c>
      <c r="Z105" s="467" t="s">
        <v>1134</v>
      </c>
      <c r="AA105" s="467" t="s">
        <v>1136</v>
      </c>
      <c r="AB105" s="467" t="s">
        <v>2023</v>
      </c>
      <c r="AC105" s="467" t="s">
        <v>1249</v>
      </c>
      <c r="AD105" s="467" t="s">
        <v>2050</v>
      </c>
    </row>
    <row r="106" spans="1:52" x14ac:dyDescent="0.25">
      <c r="A106" s="467" t="s">
        <v>610</v>
      </c>
      <c r="B106" s="467" t="s">
        <v>609</v>
      </c>
      <c r="C106" s="467" t="s">
        <v>1386</v>
      </c>
      <c r="D106" s="467" t="s">
        <v>14127</v>
      </c>
      <c r="E106" s="467" t="s">
        <v>1093</v>
      </c>
      <c r="F106" s="467" t="s">
        <v>1096</v>
      </c>
      <c r="G106" s="467" t="s">
        <v>1098</v>
      </c>
      <c r="H106" s="467" t="s">
        <v>11363</v>
      </c>
      <c r="I106" s="467" t="s">
        <v>1808</v>
      </c>
      <c r="J106" s="467" t="s">
        <v>11412</v>
      </c>
      <c r="K106" s="467" t="s">
        <v>1100</v>
      </c>
      <c r="L106" s="467" t="s">
        <v>1172</v>
      </c>
      <c r="M106" s="467" t="s">
        <v>14208</v>
      </c>
      <c r="N106" s="467" t="s">
        <v>1105</v>
      </c>
      <c r="O106" s="467" t="s">
        <v>1188</v>
      </c>
      <c r="P106" s="467" t="s">
        <v>1107</v>
      </c>
      <c r="Q106" s="467" t="s">
        <v>1189</v>
      </c>
      <c r="R106" s="467" t="s">
        <v>1202</v>
      </c>
      <c r="S106" s="467" t="s">
        <v>1863</v>
      </c>
      <c r="T106" s="467" t="s">
        <v>1112</v>
      </c>
      <c r="U106" s="467" t="s">
        <v>1114</v>
      </c>
      <c r="V106" s="467" t="s">
        <v>1325</v>
      </c>
      <c r="W106" s="467" t="s">
        <v>1122</v>
      </c>
      <c r="X106" s="467" t="s">
        <v>1880</v>
      </c>
      <c r="Y106" s="467" t="s">
        <v>1228</v>
      </c>
      <c r="Z106" s="467" t="s">
        <v>1233</v>
      </c>
      <c r="AA106" s="467" t="s">
        <v>11368</v>
      </c>
      <c r="AB106" s="467" t="s">
        <v>1126</v>
      </c>
      <c r="AC106" s="467" t="s">
        <v>1134</v>
      </c>
      <c r="AD106" s="467" t="s">
        <v>1911</v>
      </c>
      <c r="AE106" s="467" t="s">
        <v>1245</v>
      </c>
      <c r="AF106" s="467" t="s">
        <v>1249</v>
      </c>
      <c r="AG106" s="467" t="s">
        <v>1138</v>
      </c>
      <c r="AH106" s="467" t="s">
        <v>1930</v>
      </c>
      <c r="AI106" s="467" t="s">
        <v>1140</v>
      </c>
    </row>
    <row r="107" spans="1:52" x14ac:dyDescent="0.25">
      <c r="A107" s="467" t="s">
        <v>612</v>
      </c>
      <c r="B107" s="467" t="s">
        <v>611</v>
      </c>
      <c r="C107" s="467" t="s">
        <v>1143</v>
      </c>
      <c r="D107" s="467" t="s">
        <v>1096</v>
      </c>
      <c r="E107" s="467" t="s">
        <v>11363</v>
      </c>
      <c r="F107" s="467" t="s">
        <v>1156</v>
      </c>
      <c r="G107" s="467" t="s">
        <v>1161</v>
      </c>
      <c r="H107" s="467" t="s">
        <v>1286</v>
      </c>
      <c r="I107" s="467" t="s">
        <v>1164</v>
      </c>
      <c r="J107" s="467" t="s">
        <v>1100</v>
      </c>
      <c r="K107" s="467" t="s">
        <v>1290</v>
      </c>
      <c r="L107" s="467" t="s">
        <v>1168</v>
      </c>
      <c r="M107" s="467" t="s">
        <v>1177</v>
      </c>
      <c r="N107" s="467" t="s">
        <v>1296</v>
      </c>
      <c r="O107" s="467" t="s">
        <v>1179</v>
      </c>
      <c r="P107" s="467" t="s">
        <v>1180</v>
      </c>
      <c r="Q107" s="467" t="s">
        <v>14208</v>
      </c>
      <c r="R107" s="467" t="s">
        <v>1107</v>
      </c>
      <c r="S107" s="467" t="s">
        <v>1109</v>
      </c>
      <c r="T107" s="467" t="s">
        <v>1306</v>
      </c>
      <c r="U107" s="467" t="s">
        <v>1190</v>
      </c>
      <c r="V107" s="467" t="s">
        <v>1203</v>
      </c>
      <c r="W107" s="467" t="s">
        <v>1112</v>
      </c>
      <c r="X107" s="467" t="s">
        <v>1208</v>
      </c>
      <c r="Y107" s="467" t="s">
        <v>1209</v>
      </c>
      <c r="Z107" s="467" t="s">
        <v>1122</v>
      </c>
      <c r="AA107" s="467" t="s">
        <v>1225</v>
      </c>
      <c r="AB107" s="467" t="s">
        <v>1124</v>
      </c>
      <c r="AC107" s="467" t="s">
        <v>1339</v>
      </c>
      <c r="AD107" s="467" t="s">
        <v>1235</v>
      </c>
      <c r="AE107" s="467" t="s">
        <v>1126</v>
      </c>
      <c r="AF107" s="467" t="s">
        <v>1356</v>
      </c>
      <c r="AG107" s="467" t="s">
        <v>1364</v>
      </c>
      <c r="AH107" s="467" t="s">
        <v>1380</v>
      </c>
    </row>
    <row r="108" spans="1:52" x14ac:dyDescent="0.25">
      <c r="A108" s="467" t="s">
        <v>614</v>
      </c>
      <c r="B108" s="467" t="s">
        <v>613</v>
      </c>
      <c r="C108" s="467" t="s">
        <v>1096</v>
      </c>
      <c r="D108" s="467" t="s">
        <v>1806</v>
      </c>
      <c r="E108" s="467" t="s">
        <v>1164</v>
      </c>
      <c r="F108" s="467" t="s">
        <v>1100</v>
      </c>
      <c r="G108" s="467" t="s">
        <v>1288</v>
      </c>
      <c r="H108" s="467" t="s">
        <v>1175</v>
      </c>
      <c r="I108" s="467" t="s">
        <v>14208</v>
      </c>
      <c r="J108" s="467" t="s">
        <v>1105</v>
      </c>
      <c r="K108" s="467" t="s">
        <v>1109</v>
      </c>
      <c r="L108" s="467" t="s">
        <v>1189</v>
      </c>
      <c r="M108" s="467" t="s">
        <v>1190</v>
      </c>
      <c r="N108" s="467" t="s">
        <v>1855</v>
      </c>
      <c r="O108" s="467" t="s">
        <v>1202</v>
      </c>
      <c r="P108" s="467" t="s">
        <v>1494</v>
      </c>
      <c r="Q108" s="467" t="s">
        <v>1497</v>
      </c>
      <c r="R108" s="467" t="s">
        <v>1867</v>
      </c>
      <c r="S108" s="467" t="s">
        <v>1114</v>
      </c>
      <c r="T108" s="467" t="s">
        <v>14400</v>
      </c>
      <c r="U108" s="467" t="s">
        <v>1320</v>
      </c>
      <c r="V108" s="467" t="s">
        <v>1218</v>
      </c>
      <c r="W108" s="467" t="s">
        <v>11367</v>
      </c>
      <c r="X108" s="467" t="s">
        <v>1122</v>
      </c>
      <c r="Y108" s="467" t="s">
        <v>1124</v>
      </c>
      <c r="Z108" s="467" t="s">
        <v>1233</v>
      </c>
      <c r="AA108" s="467" t="s">
        <v>11368</v>
      </c>
      <c r="AB108" s="467" t="s">
        <v>1234</v>
      </c>
      <c r="AC108" s="467" t="s">
        <v>1235</v>
      </c>
      <c r="AD108" s="467" t="s">
        <v>1126</v>
      </c>
      <c r="AE108" s="467" t="s">
        <v>1342</v>
      </c>
      <c r="AF108" s="467" t="s">
        <v>1895</v>
      </c>
      <c r="AG108" s="467" t="s">
        <v>1130</v>
      </c>
      <c r="AH108" s="467" t="s">
        <v>1900</v>
      </c>
      <c r="AI108" s="467" t="s">
        <v>1253</v>
      </c>
      <c r="AJ108" s="467" t="s">
        <v>1928</v>
      </c>
      <c r="AK108" s="467" t="s">
        <v>1260</v>
      </c>
    </row>
    <row r="109" spans="1:52" x14ac:dyDescent="0.25">
      <c r="A109" s="467" t="s">
        <v>616</v>
      </c>
      <c r="B109" s="467" t="s">
        <v>615</v>
      </c>
      <c r="C109" s="467" t="s">
        <v>1093</v>
      </c>
      <c r="D109" s="467" t="s">
        <v>1096</v>
      </c>
      <c r="E109" s="467" t="s">
        <v>11423</v>
      </c>
      <c r="F109" s="467" t="s">
        <v>1158</v>
      </c>
      <c r="G109" s="467" t="s">
        <v>1961</v>
      </c>
      <c r="H109" s="467" t="s">
        <v>1984</v>
      </c>
      <c r="I109" s="467" t="s">
        <v>14208</v>
      </c>
      <c r="J109" s="467" t="s">
        <v>1105</v>
      </c>
      <c r="K109" s="467" t="s">
        <v>1188</v>
      </c>
      <c r="L109" s="467" t="s">
        <v>1109</v>
      </c>
      <c r="M109" s="467" t="s">
        <v>14243</v>
      </c>
      <c r="N109" s="467" t="s">
        <v>1310</v>
      </c>
      <c r="O109" s="467" t="s">
        <v>1111</v>
      </c>
      <c r="P109" s="467" t="s">
        <v>1202</v>
      </c>
      <c r="Q109" s="467" t="s">
        <v>1994</v>
      </c>
      <c r="R109" s="467" t="s">
        <v>1219</v>
      </c>
      <c r="S109" s="467" t="s">
        <v>2008</v>
      </c>
      <c r="T109" s="467" t="s">
        <v>1126</v>
      </c>
      <c r="U109" s="467" t="s">
        <v>1132</v>
      </c>
      <c r="V109" s="467" t="s">
        <v>1240</v>
      </c>
      <c r="W109" s="467" t="s">
        <v>1134</v>
      </c>
      <c r="X109" s="467" t="s">
        <v>1249</v>
      </c>
      <c r="Y109" s="467" t="s">
        <v>2047</v>
      </c>
      <c r="Z109" s="467" t="s">
        <v>1262</v>
      </c>
      <c r="AA109" s="467" t="s">
        <v>2052</v>
      </c>
    </row>
    <row r="110" spans="1:52" x14ac:dyDescent="0.25">
      <c r="A110" s="467" t="s">
        <v>618</v>
      </c>
      <c r="B110" s="467" t="s">
        <v>617</v>
      </c>
      <c r="C110" s="467" t="s">
        <v>1143</v>
      </c>
      <c r="D110" s="467" t="s">
        <v>1151</v>
      </c>
      <c r="E110" s="467" t="s">
        <v>1674</v>
      </c>
      <c r="F110" s="467" t="s">
        <v>1278</v>
      </c>
      <c r="G110" s="467" t="s">
        <v>1160</v>
      </c>
      <c r="H110" s="467" t="s">
        <v>1691</v>
      </c>
      <c r="I110" s="467" t="s">
        <v>1102</v>
      </c>
      <c r="J110" s="467" t="s">
        <v>1704</v>
      </c>
      <c r="K110" s="467" t="s">
        <v>14208</v>
      </c>
      <c r="L110" s="467" t="s">
        <v>1183</v>
      </c>
      <c r="M110" s="467" t="s">
        <v>1105</v>
      </c>
      <c r="N110" s="467" t="s">
        <v>1190</v>
      </c>
      <c r="O110" s="467" t="s">
        <v>11401</v>
      </c>
      <c r="P110" s="467" t="s">
        <v>1310</v>
      </c>
      <c r="Q110" s="467" t="s">
        <v>1735</v>
      </c>
      <c r="R110" s="467" t="s">
        <v>1208</v>
      </c>
      <c r="S110" s="467" t="s">
        <v>1221</v>
      </c>
      <c r="T110" s="467" t="s">
        <v>1122</v>
      </c>
      <c r="U110" s="467" t="s">
        <v>1225</v>
      </c>
      <c r="V110" s="467" t="s">
        <v>1228</v>
      </c>
      <c r="W110" s="467" t="s">
        <v>1752</v>
      </c>
      <c r="X110" s="467" t="s">
        <v>1233</v>
      </c>
      <c r="Y110" s="467" t="s">
        <v>11368</v>
      </c>
      <c r="Z110" s="467" t="s">
        <v>1249</v>
      </c>
      <c r="AA110" s="467" t="s">
        <v>1266</v>
      </c>
    </row>
    <row r="111" spans="1:52" x14ac:dyDescent="0.25">
      <c r="A111" s="467" t="s">
        <v>620</v>
      </c>
      <c r="B111" s="467" t="s">
        <v>619</v>
      </c>
      <c r="C111" s="467" t="s">
        <v>1143</v>
      </c>
      <c r="D111" s="467" t="s">
        <v>1611</v>
      </c>
      <c r="E111" s="467" t="s">
        <v>1096</v>
      </c>
      <c r="F111" s="467" t="s">
        <v>1617</v>
      </c>
      <c r="G111" s="467" t="s">
        <v>11363</v>
      </c>
      <c r="H111" s="467" t="s">
        <v>1618</v>
      </c>
      <c r="I111" s="467" t="s">
        <v>1623</v>
      </c>
      <c r="J111" s="467" t="s">
        <v>1626</v>
      </c>
      <c r="K111" s="467" t="s">
        <v>14208</v>
      </c>
      <c r="L111" s="467" t="s">
        <v>1107</v>
      </c>
      <c r="M111" s="467" t="s">
        <v>1109</v>
      </c>
      <c r="N111" s="467" t="s">
        <v>1190</v>
      </c>
      <c r="O111" s="467" t="s">
        <v>1193</v>
      </c>
      <c r="P111" s="467" t="s">
        <v>1639</v>
      </c>
      <c r="Q111" s="467" t="s">
        <v>1640</v>
      </c>
      <c r="R111" s="467" t="s">
        <v>1209</v>
      </c>
      <c r="S111" s="467" t="s">
        <v>1122</v>
      </c>
      <c r="T111" s="467" t="s">
        <v>1225</v>
      </c>
      <c r="U111" s="467" t="s">
        <v>1648</v>
      </c>
      <c r="V111" s="467" t="s">
        <v>1656</v>
      </c>
      <c r="W111" s="467" t="s">
        <v>1252</v>
      </c>
      <c r="X111" s="467" t="s">
        <v>1253</v>
      </c>
      <c r="Y111" s="467" t="s">
        <v>1368</v>
      </c>
      <c r="Z111" s="467" t="s">
        <v>1661</v>
      </c>
    </row>
    <row r="112" spans="1:52" x14ac:dyDescent="0.25">
      <c r="A112" s="467" t="s">
        <v>622</v>
      </c>
      <c r="B112" s="467" t="s">
        <v>621</v>
      </c>
      <c r="C112" s="467" t="s">
        <v>1143</v>
      </c>
      <c r="D112" s="467" t="s">
        <v>1145</v>
      </c>
      <c r="E112" s="467" t="s">
        <v>1093</v>
      </c>
      <c r="F112" s="467" t="s">
        <v>1096</v>
      </c>
      <c r="G112" s="467" t="s">
        <v>11363</v>
      </c>
      <c r="H112" s="467" t="s">
        <v>1173</v>
      </c>
      <c r="I112" s="467" t="s">
        <v>1102</v>
      </c>
      <c r="J112" s="467" t="s">
        <v>1178</v>
      </c>
      <c r="K112" s="467" t="s">
        <v>14208</v>
      </c>
      <c r="L112" s="467" t="s">
        <v>1188</v>
      </c>
      <c r="M112" s="467" t="s">
        <v>1107</v>
      </c>
      <c r="N112" s="467" t="s">
        <v>1109</v>
      </c>
      <c r="O112" s="467" t="s">
        <v>1190</v>
      </c>
      <c r="P112" s="467" t="s">
        <v>1191</v>
      </c>
      <c r="Q112" s="467" t="s">
        <v>1203</v>
      </c>
      <c r="R112" s="467" t="s">
        <v>1112</v>
      </c>
      <c r="S112" s="467" t="s">
        <v>1215</v>
      </c>
      <c r="T112" s="467" t="s">
        <v>1220</v>
      </c>
      <c r="U112" s="467" t="s">
        <v>1122</v>
      </c>
      <c r="V112" s="467" t="s">
        <v>1226</v>
      </c>
      <c r="W112" s="467" t="s">
        <v>1228</v>
      </c>
      <c r="X112" s="467" t="s">
        <v>1249</v>
      </c>
      <c r="Y112" s="467" t="s">
        <v>1261</v>
      </c>
    </row>
    <row r="113" spans="1:64" x14ac:dyDescent="0.25">
      <c r="A113" s="467" t="s">
        <v>624</v>
      </c>
      <c r="B113" s="467" t="s">
        <v>623</v>
      </c>
      <c r="C113" s="467" t="s">
        <v>1093</v>
      </c>
      <c r="D113" s="467" t="s">
        <v>1096</v>
      </c>
      <c r="E113" s="467" t="s">
        <v>11363</v>
      </c>
      <c r="F113" s="467" t="s">
        <v>11423</v>
      </c>
      <c r="G113" s="467" t="s">
        <v>1158</v>
      </c>
      <c r="H113" s="467" t="s">
        <v>1958</v>
      </c>
      <c r="I113" s="467" t="s">
        <v>1819</v>
      </c>
      <c r="J113" s="467" t="s">
        <v>1975</v>
      </c>
      <c r="K113" s="467" t="s">
        <v>1102</v>
      </c>
      <c r="L113" s="467" t="s">
        <v>1177</v>
      </c>
      <c r="M113" s="467" t="s">
        <v>1983</v>
      </c>
      <c r="N113" s="467" t="s">
        <v>14208</v>
      </c>
      <c r="O113" s="467" t="s">
        <v>14213</v>
      </c>
      <c r="P113" s="467" t="s">
        <v>1986</v>
      </c>
      <c r="Q113" s="467" t="s">
        <v>1987</v>
      </c>
      <c r="R113" s="467" t="s">
        <v>1105</v>
      </c>
      <c r="S113" s="467" t="s">
        <v>1107</v>
      </c>
      <c r="T113" s="467" t="s">
        <v>1109</v>
      </c>
      <c r="U113" s="467" t="s">
        <v>1190</v>
      </c>
      <c r="V113" s="467" t="s">
        <v>1111</v>
      </c>
      <c r="W113" s="467" t="s">
        <v>1994</v>
      </c>
      <c r="X113" s="467" t="s">
        <v>1114</v>
      </c>
      <c r="Y113" s="467" t="s">
        <v>2002</v>
      </c>
      <c r="Z113" s="467" t="s">
        <v>1122</v>
      </c>
      <c r="AA113" s="467" t="s">
        <v>1225</v>
      </c>
      <c r="AB113" s="467" t="s">
        <v>1226</v>
      </c>
      <c r="AC113" s="467" t="s">
        <v>2008</v>
      </c>
      <c r="AD113" s="467" t="s">
        <v>1235</v>
      </c>
      <c r="AE113" s="467" t="s">
        <v>1132</v>
      </c>
      <c r="AF113" s="467" t="s">
        <v>1240</v>
      </c>
      <c r="AG113" s="467" t="s">
        <v>1134</v>
      </c>
      <c r="AH113" s="467" t="s">
        <v>1245</v>
      </c>
      <c r="AI113" s="467" t="s">
        <v>2041</v>
      </c>
      <c r="AJ113" s="467" t="s">
        <v>1249</v>
      </c>
      <c r="AK113" s="467" t="s">
        <v>1253</v>
      </c>
      <c r="AL113" s="467" t="s">
        <v>1260</v>
      </c>
      <c r="AM113" s="467" t="s">
        <v>2047</v>
      </c>
      <c r="AN113" s="467" t="s">
        <v>1262</v>
      </c>
    </row>
    <row r="114" spans="1:64" x14ac:dyDescent="0.25">
      <c r="A114" s="467" t="s">
        <v>626</v>
      </c>
      <c r="B114" s="467" t="s">
        <v>625</v>
      </c>
      <c r="C114" s="467" t="s">
        <v>14127</v>
      </c>
      <c r="D114" s="467" t="s">
        <v>1093</v>
      </c>
      <c r="E114" s="467" t="s">
        <v>1795</v>
      </c>
      <c r="F114" s="467" t="s">
        <v>1096</v>
      </c>
      <c r="G114" s="467" t="s">
        <v>11412</v>
      </c>
      <c r="H114" s="467" t="s">
        <v>1100</v>
      </c>
      <c r="I114" s="467" t="s">
        <v>1107</v>
      </c>
      <c r="J114" s="467" t="s">
        <v>1190</v>
      </c>
      <c r="K114" s="467" t="s">
        <v>1863</v>
      </c>
      <c r="L114" s="467" t="s">
        <v>1114</v>
      </c>
      <c r="M114" s="467" t="s">
        <v>1122</v>
      </c>
      <c r="N114" s="467" t="s">
        <v>1228</v>
      </c>
      <c r="O114" s="467" t="s">
        <v>1124</v>
      </c>
      <c r="P114" s="467" t="s">
        <v>1126</v>
      </c>
      <c r="Q114" s="467" t="s">
        <v>1130</v>
      </c>
      <c r="R114" s="467" t="s">
        <v>1134</v>
      </c>
      <c r="S114" s="467" t="s">
        <v>1245</v>
      </c>
      <c r="T114" s="467" t="s">
        <v>1249</v>
      </c>
      <c r="U114" s="467" t="s">
        <v>1924</v>
      </c>
      <c r="V114" s="467" t="s">
        <v>1138</v>
      </c>
      <c r="W114" s="467" t="s">
        <v>1926</v>
      </c>
      <c r="X114" s="467" t="s">
        <v>1930</v>
      </c>
      <c r="Y114" s="467" t="s">
        <v>1140</v>
      </c>
    </row>
    <row r="115" spans="1:64" x14ac:dyDescent="0.25">
      <c r="A115" s="467" t="s">
        <v>628</v>
      </c>
      <c r="B115" s="467" t="s">
        <v>627</v>
      </c>
      <c r="C115" s="467" t="s">
        <v>1093</v>
      </c>
      <c r="D115" s="467" t="s">
        <v>1100</v>
      </c>
      <c r="E115" s="467" t="s">
        <v>14208</v>
      </c>
      <c r="F115" s="467" t="s">
        <v>1838</v>
      </c>
      <c r="G115" s="467" t="s">
        <v>1105</v>
      </c>
      <c r="H115" s="467" t="s">
        <v>1107</v>
      </c>
      <c r="I115" s="467" t="s">
        <v>1189</v>
      </c>
      <c r="J115" s="467" t="s">
        <v>1202</v>
      </c>
      <c r="K115" s="467" t="s">
        <v>1114</v>
      </c>
      <c r="L115" s="467" t="s">
        <v>14400</v>
      </c>
      <c r="M115" s="467" t="s">
        <v>1320</v>
      </c>
      <c r="N115" s="467" t="s">
        <v>1217</v>
      </c>
      <c r="O115" s="467" t="s">
        <v>1218</v>
      </c>
      <c r="P115" s="467" t="s">
        <v>11367</v>
      </c>
      <c r="Q115" s="467" t="s">
        <v>1122</v>
      </c>
      <c r="R115" s="467" t="s">
        <v>1225</v>
      </c>
      <c r="S115" s="467" t="s">
        <v>1535</v>
      </c>
      <c r="T115" s="467" t="s">
        <v>1233</v>
      </c>
      <c r="U115" s="467" t="s">
        <v>11368</v>
      </c>
      <c r="V115" s="467" t="s">
        <v>1235</v>
      </c>
      <c r="W115" s="467" t="s">
        <v>11418</v>
      </c>
      <c r="X115" s="467" t="s">
        <v>1928</v>
      </c>
      <c r="Y115" s="467" t="s">
        <v>1935</v>
      </c>
    </row>
    <row r="116" spans="1:64" x14ac:dyDescent="0.25">
      <c r="A116" s="467" t="s">
        <v>630</v>
      </c>
      <c r="B116" s="467" t="s">
        <v>629</v>
      </c>
      <c r="C116" s="467" t="s">
        <v>1096</v>
      </c>
      <c r="D116" s="467" t="s">
        <v>1282</v>
      </c>
      <c r="E116" s="467" t="s">
        <v>1100</v>
      </c>
      <c r="F116" s="467" t="s">
        <v>1290</v>
      </c>
      <c r="G116" s="467" t="s">
        <v>1173</v>
      </c>
      <c r="H116" s="467" t="s">
        <v>1296</v>
      </c>
      <c r="I116" s="467" t="s">
        <v>14208</v>
      </c>
      <c r="J116" s="467" t="s">
        <v>11372</v>
      </c>
      <c r="K116" s="467" t="s">
        <v>1105</v>
      </c>
      <c r="L116" s="467" t="s">
        <v>1109</v>
      </c>
      <c r="M116" s="467" t="s">
        <v>1218</v>
      </c>
      <c r="N116" s="467" t="s">
        <v>11367</v>
      </c>
      <c r="O116" s="467" t="s">
        <v>1326</v>
      </c>
      <c r="P116" s="467" t="s">
        <v>1122</v>
      </c>
      <c r="Q116" s="467" t="s">
        <v>1228</v>
      </c>
      <c r="R116" s="467" t="s">
        <v>1339</v>
      </c>
      <c r="S116" s="467" t="s">
        <v>1233</v>
      </c>
      <c r="T116" s="467" t="s">
        <v>11368</v>
      </c>
      <c r="U116" s="467" t="s">
        <v>1235</v>
      </c>
      <c r="V116" s="467" t="s">
        <v>11375</v>
      </c>
      <c r="W116" s="467" t="s">
        <v>1245</v>
      </c>
      <c r="X116" s="467" t="s">
        <v>1359</v>
      </c>
      <c r="Y116" s="467" t="s">
        <v>1383</v>
      </c>
    </row>
    <row r="117" spans="1:64" x14ac:dyDescent="0.25">
      <c r="A117" s="467" t="s">
        <v>632</v>
      </c>
      <c r="B117" s="467" t="s">
        <v>631</v>
      </c>
      <c r="C117" s="467" t="s">
        <v>1385</v>
      </c>
      <c r="D117" s="467" t="s">
        <v>1096</v>
      </c>
      <c r="E117" s="467" t="s">
        <v>11363</v>
      </c>
      <c r="F117" s="467" t="s">
        <v>1411</v>
      </c>
      <c r="G117" s="467" t="s">
        <v>1412</v>
      </c>
      <c r="H117" s="467" t="s">
        <v>1413</v>
      </c>
      <c r="I117" s="467" t="s">
        <v>1285</v>
      </c>
      <c r="J117" s="467" t="s">
        <v>1420</v>
      </c>
      <c r="K117" s="467" t="s">
        <v>11385</v>
      </c>
      <c r="L117" s="467" t="s">
        <v>1433</v>
      </c>
      <c r="M117" s="467" t="s">
        <v>14208</v>
      </c>
      <c r="N117" s="467" t="s">
        <v>1448</v>
      </c>
      <c r="O117" s="467" t="s">
        <v>1185</v>
      </c>
      <c r="P117" s="467" t="s">
        <v>1459</v>
      </c>
      <c r="Q117" s="467" t="s">
        <v>1107</v>
      </c>
      <c r="R117" s="467" t="s">
        <v>1469</v>
      </c>
      <c r="S117" s="467" t="s">
        <v>1189</v>
      </c>
      <c r="T117" s="467" t="s">
        <v>1190</v>
      </c>
      <c r="U117" s="467" t="s">
        <v>1195</v>
      </c>
      <c r="V117" s="467" t="s">
        <v>1311</v>
      </c>
      <c r="W117" s="467" t="s">
        <v>1202</v>
      </c>
      <c r="X117" s="467" t="s">
        <v>1114</v>
      </c>
      <c r="Y117" s="467" t="s">
        <v>1506</v>
      </c>
      <c r="Z117" s="467" t="s">
        <v>1319</v>
      </c>
      <c r="AA117" s="467" t="s">
        <v>1120</v>
      </c>
      <c r="AB117" s="467" t="s">
        <v>1322</v>
      </c>
      <c r="AC117" s="467" t="s">
        <v>1217</v>
      </c>
      <c r="AD117" s="467" t="s">
        <v>1218</v>
      </c>
      <c r="AE117" s="467" t="s">
        <v>11367</v>
      </c>
      <c r="AF117" s="467" t="s">
        <v>1220</v>
      </c>
      <c r="AG117" s="467" t="s">
        <v>1221</v>
      </c>
      <c r="AH117" s="467" t="s">
        <v>1332</v>
      </c>
      <c r="AI117" s="467" t="s">
        <v>1520</v>
      </c>
      <c r="AJ117" s="467" t="s">
        <v>1124</v>
      </c>
      <c r="AK117" s="467" t="s">
        <v>1540</v>
      </c>
      <c r="AL117" s="467" t="s">
        <v>1126</v>
      </c>
      <c r="AM117" s="467" t="s">
        <v>1342</v>
      </c>
      <c r="AN117" s="467" t="s">
        <v>1130</v>
      </c>
      <c r="AO117" s="467" t="s">
        <v>1347</v>
      </c>
      <c r="AP117" s="467" t="s">
        <v>1568</v>
      </c>
      <c r="AQ117" s="467" t="s">
        <v>1573</v>
      </c>
      <c r="AR117" s="467" t="s">
        <v>1253</v>
      </c>
      <c r="AS117" s="467" t="s">
        <v>1262</v>
      </c>
    </row>
    <row r="118" spans="1:64" x14ac:dyDescent="0.25">
      <c r="A118" s="467" t="s">
        <v>634</v>
      </c>
      <c r="B118" s="467" t="s">
        <v>633</v>
      </c>
      <c r="C118" s="467" t="s">
        <v>1386</v>
      </c>
      <c r="D118" s="467" t="s">
        <v>1793</v>
      </c>
      <c r="E118" s="467" t="s">
        <v>14127</v>
      </c>
      <c r="F118" s="467" t="s">
        <v>1093</v>
      </c>
      <c r="G118" s="467" t="s">
        <v>1803</v>
      </c>
      <c r="H118" s="467" t="s">
        <v>1100</v>
      </c>
      <c r="I118" s="467" t="s">
        <v>1175</v>
      </c>
      <c r="J118" s="467" t="s">
        <v>1839</v>
      </c>
      <c r="K118" s="467" t="s">
        <v>1842</v>
      </c>
      <c r="L118" s="467" t="s">
        <v>1852</v>
      </c>
      <c r="M118" s="467" t="s">
        <v>1107</v>
      </c>
      <c r="N118" s="467" t="s">
        <v>1202</v>
      </c>
      <c r="O118" s="467" t="s">
        <v>1112</v>
      </c>
      <c r="P118" s="467" t="s">
        <v>1501</v>
      </c>
      <c r="Q118" s="467" t="s">
        <v>1321</v>
      </c>
      <c r="R118" s="467" t="s">
        <v>1220</v>
      </c>
      <c r="S118" s="467" t="s">
        <v>1225</v>
      </c>
      <c r="T118" s="467" t="s">
        <v>1881</v>
      </c>
      <c r="U118" s="467" t="s">
        <v>1887</v>
      </c>
      <c r="V118" s="467" t="s">
        <v>1540</v>
      </c>
      <c r="W118" s="467" t="s">
        <v>1233</v>
      </c>
      <c r="X118" s="467" t="s">
        <v>1234</v>
      </c>
      <c r="Y118" s="467" t="s">
        <v>1342</v>
      </c>
      <c r="Z118" s="467" t="s">
        <v>1132</v>
      </c>
      <c r="AA118" s="467" t="s">
        <v>1134</v>
      </c>
      <c r="AB118" s="467" t="s">
        <v>1915</v>
      </c>
      <c r="AC118" s="467" t="s">
        <v>14357</v>
      </c>
      <c r="AD118" s="467" t="s">
        <v>1253</v>
      </c>
      <c r="AE118" s="467" t="s">
        <v>1138</v>
      </c>
      <c r="AF118" s="467" t="s">
        <v>1581</v>
      </c>
      <c r="AG118" s="467" t="s">
        <v>1140</v>
      </c>
      <c r="AH118" s="467" t="s">
        <v>1262</v>
      </c>
      <c r="AI118" s="467" t="s">
        <v>1264</v>
      </c>
      <c r="AJ118" s="467" t="s">
        <v>1944</v>
      </c>
    </row>
    <row r="119" spans="1:64" x14ac:dyDescent="0.25">
      <c r="A119" s="467" t="s">
        <v>636</v>
      </c>
      <c r="B119" s="467" t="s">
        <v>635</v>
      </c>
      <c r="C119" s="467" t="s">
        <v>1385</v>
      </c>
      <c r="D119" s="467" t="s">
        <v>1389</v>
      </c>
      <c r="E119" s="467" t="s">
        <v>1093</v>
      </c>
      <c r="F119" s="467" t="s">
        <v>1391</v>
      </c>
      <c r="G119" s="467" t="s">
        <v>1096</v>
      </c>
      <c r="H119" s="467" t="s">
        <v>1393</v>
      </c>
      <c r="I119" s="467" t="s">
        <v>11382</v>
      </c>
      <c r="J119" s="467" t="s">
        <v>1161</v>
      </c>
      <c r="K119" s="467" t="s">
        <v>1410</v>
      </c>
      <c r="L119" s="467" t="s">
        <v>1411</v>
      </c>
      <c r="M119" s="467" t="s">
        <v>1100</v>
      </c>
      <c r="N119" s="467" t="s">
        <v>1418</v>
      </c>
      <c r="O119" s="467" t="s">
        <v>1436</v>
      </c>
      <c r="P119" s="467" t="s">
        <v>1298</v>
      </c>
      <c r="Q119" s="467" t="s">
        <v>1185</v>
      </c>
      <c r="R119" s="467" t="s">
        <v>1449</v>
      </c>
      <c r="S119" s="467" t="s">
        <v>1450</v>
      </c>
      <c r="T119" s="467" t="s">
        <v>1472</v>
      </c>
      <c r="U119" s="467" t="s">
        <v>1476</v>
      </c>
      <c r="V119" s="467" t="s">
        <v>1480</v>
      </c>
      <c r="W119" s="467" t="s">
        <v>1483</v>
      </c>
      <c r="X119" s="467" t="s">
        <v>1311</v>
      </c>
      <c r="Y119" s="467" t="s">
        <v>1202</v>
      </c>
      <c r="Z119" s="467" t="s">
        <v>1112</v>
      </c>
      <c r="AA119" s="467" t="s">
        <v>1210</v>
      </c>
      <c r="AB119" s="467" t="s">
        <v>1315</v>
      </c>
      <c r="AC119" s="467" t="s">
        <v>1316</v>
      </c>
      <c r="AD119" s="467" t="s">
        <v>1508</v>
      </c>
      <c r="AE119" s="467" t="s">
        <v>1319</v>
      </c>
      <c r="AF119" s="467" t="s">
        <v>1120</v>
      </c>
      <c r="AG119" s="467" t="s">
        <v>1320</v>
      </c>
      <c r="AH119" s="467" t="s">
        <v>1322</v>
      </c>
      <c r="AI119" s="467" t="s">
        <v>1217</v>
      </c>
      <c r="AJ119" s="467" t="s">
        <v>1325</v>
      </c>
      <c r="AK119" s="467" t="s">
        <v>11388</v>
      </c>
      <c r="AL119" s="467" t="s">
        <v>1327</v>
      </c>
      <c r="AM119" s="467" t="s">
        <v>1220</v>
      </c>
      <c r="AN119" s="467" t="s">
        <v>1332</v>
      </c>
      <c r="AO119" s="467" t="s">
        <v>1522</v>
      </c>
      <c r="AP119" s="467" t="s">
        <v>1524</v>
      </c>
      <c r="AQ119" s="467" t="s">
        <v>1122</v>
      </c>
      <c r="AR119" s="467" t="s">
        <v>1225</v>
      </c>
      <c r="AS119" s="467" t="s">
        <v>1528</v>
      </c>
      <c r="AT119" s="467" t="s">
        <v>1531</v>
      </c>
      <c r="AU119" s="467" t="s">
        <v>1532</v>
      </c>
      <c r="AV119" s="467" t="s">
        <v>1235</v>
      </c>
      <c r="AW119" s="467" t="s">
        <v>1126</v>
      </c>
      <c r="AX119" s="467" t="s">
        <v>1342</v>
      </c>
      <c r="AY119" s="467" t="s">
        <v>1543</v>
      </c>
      <c r="AZ119" s="467" t="s">
        <v>1547</v>
      </c>
      <c r="BA119" s="467" t="s">
        <v>1130</v>
      </c>
      <c r="BB119" s="467" t="s">
        <v>1345</v>
      </c>
      <c r="BC119" s="467" t="s">
        <v>1347</v>
      </c>
      <c r="BD119" s="467" t="s">
        <v>1249</v>
      </c>
      <c r="BE119" s="467" t="s">
        <v>1362</v>
      </c>
      <c r="BF119" s="467" t="s">
        <v>1573</v>
      </c>
      <c r="BG119" s="467" t="s">
        <v>1576</v>
      </c>
      <c r="BH119" s="467" t="s">
        <v>1264</v>
      </c>
      <c r="BI119" s="467" t="s">
        <v>11479</v>
      </c>
    </row>
    <row r="120" spans="1:64" x14ac:dyDescent="0.25">
      <c r="A120" s="467" t="s">
        <v>638</v>
      </c>
      <c r="B120" s="467" t="s">
        <v>637</v>
      </c>
      <c r="C120" s="467" t="s">
        <v>1096</v>
      </c>
      <c r="D120" s="467" t="s">
        <v>1278</v>
      </c>
      <c r="E120" s="467" t="s">
        <v>1160</v>
      </c>
      <c r="F120" s="467" t="s">
        <v>1100</v>
      </c>
      <c r="G120" s="467" t="s">
        <v>1167</v>
      </c>
      <c r="H120" s="467" t="s">
        <v>1174</v>
      </c>
      <c r="I120" s="467" t="s">
        <v>14208</v>
      </c>
      <c r="J120" s="467" t="s">
        <v>1707</v>
      </c>
      <c r="K120" s="467" t="s">
        <v>1105</v>
      </c>
      <c r="L120" s="467" t="s">
        <v>1109</v>
      </c>
      <c r="M120" s="467" t="s">
        <v>1190</v>
      </c>
      <c r="N120" s="467" t="s">
        <v>1730</v>
      </c>
      <c r="O120" s="467" t="s">
        <v>1209</v>
      </c>
      <c r="P120" s="467" t="s">
        <v>1744</v>
      </c>
      <c r="Q120" s="467" t="s">
        <v>1122</v>
      </c>
      <c r="R120" s="467" t="s">
        <v>1748</v>
      </c>
      <c r="S120" s="467" t="s">
        <v>1228</v>
      </c>
      <c r="T120" s="467" t="s">
        <v>1124</v>
      </c>
      <c r="U120" s="467" t="s">
        <v>1126</v>
      </c>
      <c r="V120" s="467" t="s">
        <v>1253</v>
      </c>
      <c r="W120" s="467" t="s">
        <v>1266</v>
      </c>
    </row>
    <row r="121" spans="1:64" x14ac:dyDescent="0.25">
      <c r="A121" s="467" t="s">
        <v>640</v>
      </c>
      <c r="B121" s="467" t="s">
        <v>639</v>
      </c>
      <c r="C121" s="467" t="s">
        <v>1143</v>
      </c>
      <c r="D121" s="467" t="s">
        <v>11363</v>
      </c>
      <c r="E121" s="467" t="s">
        <v>1618</v>
      </c>
      <c r="F121" s="467" t="s">
        <v>1621</v>
      </c>
      <c r="G121" s="467" t="s">
        <v>1623</v>
      </c>
      <c r="H121" s="467" t="s">
        <v>1172</v>
      </c>
      <c r="I121" s="467" t="s">
        <v>14208</v>
      </c>
      <c r="J121" s="467" t="s">
        <v>1105</v>
      </c>
      <c r="K121" s="467" t="s">
        <v>1107</v>
      </c>
      <c r="L121" s="467" t="s">
        <v>1109</v>
      </c>
      <c r="M121" s="467" t="s">
        <v>2162</v>
      </c>
      <c r="N121" s="467" t="s">
        <v>1638</v>
      </c>
      <c r="O121" s="467" t="s">
        <v>1639</v>
      </c>
      <c r="P121" s="467" t="s">
        <v>1208</v>
      </c>
      <c r="Q121" s="467" t="s">
        <v>1503</v>
      </c>
      <c r="R121" s="467" t="s">
        <v>1645</v>
      </c>
      <c r="S121" s="467" t="s">
        <v>1122</v>
      </c>
      <c r="T121" s="467" t="s">
        <v>1228</v>
      </c>
      <c r="U121" s="467" t="s">
        <v>1648</v>
      </c>
      <c r="V121" s="467" t="s">
        <v>1126</v>
      </c>
      <c r="W121" s="467" t="s">
        <v>2178</v>
      </c>
      <c r="X121" s="467" t="s">
        <v>1253</v>
      </c>
      <c r="Y121" s="467" t="s">
        <v>1368</v>
      </c>
      <c r="Z121" s="467" t="s">
        <v>1257</v>
      </c>
      <c r="AA121" s="467" t="s">
        <v>2187</v>
      </c>
      <c r="AB121" s="467" t="s">
        <v>2191</v>
      </c>
      <c r="AC121" s="467" t="s">
        <v>1789</v>
      </c>
    </row>
    <row r="122" spans="1:64" x14ac:dyDescent="0.25">
      <c r="A122" s="467" t="s">
        <v>642</v>
      </c>
      <c r="B122" s="467" t="s">
        <v>641</v>
      </c>
      <c r="C122" s="467" t="s">
        <v>1385</v>
      </c>
      <c r="D122" s="467" t="s">
        <v>1392</v>
      </c>
      <c r="E122" s="467" t="s">
        <v>1096</v>
      </c>
      <c r="F122" s="467" t="s">
        <v>1270</v>
      </c>
      <c r="G122" s="467" t="s">
        <v>1161</v>
      </c>
      <c r="H122" s="467" t="s">
        <v>1410</v>
      </c>
      <c r="I122" s="467" t="s">
        <v>1411</v>
      </c>
      <c r="J122" s="467" t="s">
        <v>1100</v>
      </c>
      <c r="K122" s="467" t="s">
        <v>1287</v>
      </c>
      <c r="L122" s="467" t="s">
        <v>1430</v>
      </c>
      <c r="M122" s="467" t="s">
        <v>14208</v>
      </c>
      <c r="N122" s="467" t="s">
        <v>1185</v>
      </c>
      <c r="O122" s="467" t="s">
        <v>1451</v>
      </c>
      <c r="P122" s="467" t="s">
        <v>1453</v>
      </c>
      <c r="Q122" s="467" t="s">
        <v>1107</v>
      </c>
      <c r="R122" s="467" t="s">
        <v>1307</v>
      </c>
      <c r="S122" s="467" t="s">
        <v>1202</v>
      </c>
      <c r="T122" s="467" t="s">
        <v>1494</v>
      </c>
      <c r="U122" s="467" t="s">
        <v>1112</v>
      </c>
      <c r="V122" s="467" t="s">
        <v>1315</v>
      </c>
      <c r="W122" s="467" t="s">
        <v>1319</v>
      </c>
      <c r="X122" s="467" t="s">
        <v>1120</v>
      </c>
      <c r="Y122" s="467" t="s">
        <v>1510</v>
      </c>
      <c r="Z122" s="467" t="s">
        <v>1322</v>
      </c>
      <c r="AA122" s="467" t="s">
        <v>1217</v>
      </c>
      <c r="AB122" s="467" t="s">
        <v>11367</v>
      </c>
      <c r="AC122" s="467" t="s">
        <v>1220</v>
      </c>
      <c r="AD122" s="467" t="s">
        <v>1332</v>
      </c>
      <c r="AE122" s="467" t="s">
        <v>1122</v>
      </c>
      <c r="AF122" s="467" t="s">
        <v>1234</v>
      </c>
      <c r="AG122" s="467" t="s">
        <v>1342</v>
      </c>
      <c r="AH122" s="467" t="s">
        <v>1130</v>
      </c>
      <c r="AI122" s="467" t="s">
        <v>1550</v>
      </c>
      <c r="AJ122" s="467" t="s">
        <v>1345</v>
      </c>
      <c r="AK122" s="467" t="s">
        <v>1560</v>
      </c>
      <c r="AL122" s="467" t="s">
        <v>11394</v>
      </c>
      <c r="AM122" s="467" t="s">
        <v>1249</v>
      </c>
      <c r="AN122" s="467" t="s">
        <v>11395</v>
      </c>
      <c r="AO122" s="467" t="s">
        <v>14365</v>
      </c>
      <c r="AP122" s="467" t="s">
        <v>1599</v>
      </c>
      <c r="AQ122" s="467" t="s">
        <v>1605</v>
      </c>
      <c r="AR122" s="467" t="s">
        <v>1607</v>
      </c>
    </row>
    <row r="123" spans="1:64" x14ac:dyDescent="0.25">
      <c r="A123" s="467" t="s">
        <v>644</v>
      </c>
      <c r="B123" s="467" t="s">
        <v>643</v>
      </c>
      <c r="C123" s="467" t="s">
        <v>1093</v>
      </c>
      <c r="D123" s="467" t="s">
        <v>1156</v>
      </c>
      <c r="E123" s="467" t="s">
        <v>1171</v>
      </c>
      <c r="F123" s="467" t="s">
        <v>1172</v>
      </c>
      <c r="G123" s="467" t="s">
        <v>1173</v>
      </c>
      <c r="H123" s="467" t="s">
        <v>1178</v>
      </c>
      <c r="I123" s="467" t="s">
        <v>14208</v>
      </c>
      <c r="J123" s="467" t="s">
        <v>1105</v>
      </c>
      <c r="K123" s="467" t="s">
        <v>1111</v>
      </c>
      <c r="L123" s="467" t="s">
        <v>1203</v>
      </c>
      <c r="M123" s="467" t="s">
        <v>1207</v>
      </c>
      <c r="N123" s="467" t="s">
        <v>1215</v>
      </c>
      <c r="O123" s="467" t="s">
        <v>11367</v>
      </c>
      <c r="P123" s="467" t="s">
        <v>1220</v>
      </c>
      <c r="Q123" s="467" t="s">
        <v>1226</v>
      </c>
      <c r="R123" s="467" t="s">
        <v>1233</v>
      </c>
      <c r="S123" s="467" t="s">
        <v>11368</v>
      </c>
      <c r="T123" s="467" t="s">
        <v>1240</v>
      </c>
      <c r="U123" s="467" t="s">
        <v>1134</v>
      </c>
      <c r="V123" s="467" t="s">
        <v>1249</v>
      </c>
      <c r="W123" s="467" t="s">
        <v>1253</v>
      </c>
      <c r="X123" s="467" t="s">
        <v>1260</v>
      </c>
    </row>
    <row r="124" spans="1:64" x14ac:dyDescent="0.25">
      <c r="A124" s="467" t="s">
        <v>646</v>
      </c>
      <c r="B124" s="467" t="s">
        <v>645</v>
      </c>
      <c r="C124" s="467" t="s">
        <v>1391</v>
      </c>
      <c r="D124" s="467" t="s">
        <v>1096</v>
      </c>
      <c r="E124" s="467" t="s">
        <v>1393</v>
      </c>
      <c r="F124" s="467" t="s">
        <v>1270</v>
      </c>
      <c r="G124" s="467" t="s">
        <v>1403</v>
      </c>
      <c r="H124" s="467" t="s">
        <v>1161</v>
      </c>
      <c r="I124" s="467" t="s">
        <v>1410</v>
      </c>
      <c r="J124" s="467" t="s">
        <v>1417</v>
      </c>
      <c r="K124" s="467" t="s">
        <v>1100</v>
      </c>
      <c r="L124" s="467" t="s">
        <v>1287</v>
      </c>
      <c r="M124" s="467" t="s">
        <v>11385</v>
      </c>
      <c r="N124" s="467" t="s">
        <v>1177</v>
      </c>
      <c r="O124" s="467" t="s">
        <v>14208</v>
      </c>
      <c r="P124" s="467" t="s">
        <v>1444</v>
      </c>
      <c r="Q124" s="467" t="s">
        <v>1185</v>
      </c>
      <c r="R124" s="467" t="s">
        <v>1105</v>
      </c>
      <c r="S124" s="467" t="s">
        <v>1462</v>
      </c>
      <c r="T124" s="467" t="s">
        <v>1107</v>
      </c>
      <c r="U124" s="467" t="s">
        <v>1467</v>
      </c>
      <c r="V124" s="467" t="s">
        <v>1307</v>
      </c>
      <c r="W124" s="467" t="s">
        <v>1476</v>
      </c>
      <c r="X124" s="467" t="s">
        <v>1308</v>
      </c>
      <c r="Y124" s="467" t="s">
        <v>1480</v>
      </c>
      <c r="Z124" s="467" t="s">
        <v>1485</v>
      </c>
      <c r="AA124" s="467" t="s">
        <v>1311</v>
      </c>
      <c r="AB124" s="467" t="s">
        <v>1202</v>
      </c>
      <c r="AC124" s="467" t="s">
        <v>1497</v>
      </c>
      <c r="AD124" s="467" t="s">
        <v>1112</v>
      </c>
      <c r="AE124" s="467" t="s">
        <v>1114</v>
      </c>
      <c r="AF124" s="467" t="s">
        <v>1315</v>
      </c>
      <c r="AG124" s="467" t="s">
        <v>1504</v>
      </c>
      <c r="AH124" s="467" t="s">
        <v>1316</v>
      </c>
      <c r="AI124" s="467" t="s">
        <v>1319</v>
      </c>
      <c r="AJ124" s="467" t="s">
        <v>1120</v>
      </c>
      <c r="AK124" s="467" t="s">
        <v>11387</v>
      </c>
      <c r="AL124" s="467" t="s">
        <v>1322</v>
      </c>
      <c r="AM124" s="467" t="s">
        <v>1217</v>
      </c>
      <c r="AN124" s="467" t="s">
        <v>1325</v>
      </c>
      <c r="AO124" s="467" t="s">
        <v>1220</v>
      </c>
      <c r="AP124" s="467" t="s">
        <v>1221</v>
      </c>
      <c r="AQ124" s="467" t="s">
        <v>1332</v>
      </c>
      <c r="AR124" s="467" t="s">
        <v>1122</v>
      </c>
      <c r="AS124" s="467" t="s">
        <v>1225</v>
      </c>
      <c r="AT124" s="467" t="s">
        <v>1532</v>
      </c>
      <c r="AU124" s="467" t="s">
        <v>1124</v>
      </c>
      <c r="AV124" s="467" t="s">
        <v>1235</v>
      </c>
      <c r="AW124" s="467" t="s">
        <v>1126</v>
      </c>
      <c r="AX124" s="467" t="s">
        <v>1543</v>
      </c>
      <c r="AY124" s="467" t="s">
        <v>1130</v>
      </c>
      <c r="AZ124" s="467" t="s">
        <v>1345</v>
      </c>
      <c r="BA124" s="467" t="s">
        <v>1554</v>
      </c>
      <c r="BB124" s="467" t="s">
        <v>1347</v>
      </c>
      <c r="BC124" s="467" t="s">
        <v>1558</v>
      </c>
      <c r="BD124" s="467" t="s">
        <v>1559</v>
      </c>
      <c r="BE124" s="467" t="s">
        <v>1245</v>
      </c>
      <c r="BF124" s="467" t="s">
        <v>1568</v>
      </c>
      <c r="BG124" s="467" t="s">
        <v>1362</v>
      </c>
      <c r="BH124" s="467" t="s">
        <v>1573</v>
      </c>
      <c r="BI124" s="467" t="s">
        <v>1253</v>
      </c>
      <c r="BJ124" s="467" t="s">
        <v>1604</v>
      </c>
      <c r="BK124" s="467" t="s">
        <v>1606</v>
      </c>
      <c r="BL124" s="467" t="s">
        <v>11479</v>
      </c>
    </row>
    <row r="125" spans="1:64" x14ac:dyDescent="0.25">
      <c r="A125" s="467" t="s">
        <v>648</v>
      </c>
      <c r="B125" s="467" t="s">
        <v>647</v>
      </c>
      <c r="C125" s="467" t="s">
        <v>1096</v>
      </c>
      <c r="D125" s="467" t="s">
        <v>1273</v>
      </c>
      <c r="E125" s="467" t="s">
        <v>1283</v>
      </c>
      <c r="F125" s="467" t="s">
        <v>1286</v>
      </c>
      <c r="G125" s="467" t="s">
        <v>1100</v>
      </c>
      <c r="H125" s="467" t="s">
        <v>1294</v>
      </c>
      <c r="I125" s="467" t="s">
        <v>1301</v>
      </c>
      <c r="J125" s="467" t="s">
        <v>1105</v>
      </c>
      <c r="K125" s="467" t="s">
        <v>1107</v>
      </c>
      <c r="L125" s="467" t="s">
        <v>14243</v>
      </c>
      <c r="M125" s="467" t="s">
        <v>1310</v>
      </c>
      <c r="N125" s="467" t="s">
        <v>1202</v>
      </c>
      <c r="O125" s="467" t="s">
        <v>1112</v>
      </c>
      <c r="P125" s="467" t="s">
        <v>1114</v>
      </c>
      <c r="Q125" s="467" t="s">
        <v>1314</v>
      </c>
      <c r="R125" s="467" t="s">
        <v>1210</v>
      </c>
      <c r="S125" s="467" t="s">
        <v>1319</v>
      </c>
      <c r="T125" s="467" t="s">
        <v>1322</v>
      </c>
      <c r="U125" s="467" t="s">
        <v>1218</v>
      </c>
      <c r="V125" s="467" t="s">
        <v>1332</v>
      </c>
      <c r="W125" s="467" t="s">
        <v>1233</v>
      </c>
      <c r="X125" s="467" t="s">
        <v>11368</v>
      </c>
      <c r="Y125" s="467" t="s">
        <v>1126</v>
      </c>
      <c r="Z125" s="467" t="s">
        <v>1346</v>
      </c>
      <c r="AA125" s="467" t="s">
        <v>1253</v>
      </c>
    </row>
    <row r="126" spans="1:64" x14ac:dyDescent="0.25">
      <c r="A126" s="467" t="s">
        <v>650</v>
      </c>
      <c r="B126" s="467" t="s">
        <v>649</v>
      </c>
      <c r="C126" s="467" t="s">
        <v>1143</v>
      </c>
      <c r="D126" s="467" t="s">
        <v>1096</v>
      </c>
      <c r="E126" s="467" t="s">
        <v>11363</v>
      </c>
      <c r="F126" s="467" t="s">
        <v>1621</v>
      </c>
      <c r="G126" s="467" t="s">
        <v>1174</v>
      </c>
      <c r="H126" s="467" t="s">
        <v>14208</v>
      </c>
      <c r="I126" s="467" t="s">
        <v>2152</v>
      </c>
      <c r="J126" s="467" t="s">
        <v>2153</v>
      </c>
      <c r="K126" s="467" t="s">
        <v>2154</v>
      </c>
      <c r="L126" s="467" t="s">
        <v>1105</v>
      </c>
      <c r="M126" s="467" t="s">
        <v>1107</v>
      </c>
      <c r="N126" s="467" t="s">
        <v>2161</v>
      </c>
      <c r="O126" s="467" t="s">
        <v>1638</v>
      </c>
      <c r="P126" s="467" t="s">
        <v>1639</v>
      </c>
      <c r="Q126" s="467" t="s">
        <v>1196</v>
      </c>
      <c r="R126" s="467" t="s">
        <v>1122</v>
      </c>
      <c r="S126" s="467" t="s">
        <v>1228</v>
      </c>
      <c r="T126" s="467" t="s">
        <v>1648</v>
      </c>
      <c r="U126" s="467" t="s">
        <v>2172</v>
      </c>
      <c r="V126" s="467" t="s">
        <v>2173</v>
      </c>
      <c r="W126" s="467" t="s">
        <v>1235</v>
      </c>
      <c r="X126" s="467" t="s">
        <v>1126</v>
      </c>
      <c r="Y126" s="467" t="s">
        <v>11439</v>
      </c>
      <c r="Z126" s="467" t="s">
        <v>1134</v>
      </c>
      <c r="AA126" s="467" t="s">
        <v>2177</v>
      </c>
      <c r="AB126" s="467" t="s">
        <v>1249</v>
      </c>
      <c r="AC126" s="467" t="s">
        <v>2181</v>
      </c>
      <c r="AD126" s="467" t="s">
        <v>1253</v>
      </c>
      <c r="AE126" s="467" t="s">
        <v>1368</v>
      </c>
      <c r="AF126" s="467" t="s">
        <v>1257</v>
      </c>
      <c r="AG126" s="467" t="s">
        <v>2187</v>
      </c>
      <c r="AH126" s="467" t="s">
        <v>1262</v>
      </c>
      <c r="AI126" s="467" t="s">
        <v>1789</v>
      </c>
      <c r="AJ126" s="467" t="s">
        <v>1266</v>
      </c>
    </row>
    <row r="127" spans="1:64" x14ac:dyDescent="0.25">
      <c r="A127" s="467" t="s">
        <v>652</v>
      </c>
      <c r="B127" s="467" t="s">
        <v>651</v>
      </c>
      <c r="C127" s="467" t="s">
        <v>1385</v>
      </c>
      <c r="D127" s="467" t="s">
        <v>1096</v>
      </c>
      <c r="E127" s="467" t="s">
        <v>1393</v>
      </c>
      <c r="F127" s="467" t="s">
        <v>11363</v>
      </c>
      <c r="G127" s="467" t="s">
        <v>1161</v>
      </c>
      <c r="H127" s="467" t="s">
        <v>1164</v>
      </c>
      <c r="I127" s="467" t="s">
        <v>1100</v>
      </c>
      <c r="J127" s="467" t="s">
        <v>1454</v>
      </c>
      <c r="K127" s="467" t="s">
        <v>1105</v>
      </c>
      <c r="L127" s="467" t="s">
        <v>1107</v>
      </c>
      <c r="M127" s="467" t="s">
        <v>1189</v>
      </c>
      <c r="N127" s="467" t="s">
        <v>1307</v>
      </c>
      <c r="O127" s="467" t="s">
        <v>1474</v>
      </c>
      <c r="P127" s="467" t="s">
        <v>1308</v>
      </c>
      <c r="Q127" s="467" t="s">
        <v>1202</v>
      </c>
      <c r="R127" s="467" t="s">
        <v>1112</v>
      </c>
      <c r="S127" s="467" t="s">
        <v>1114</v>
      </c>
      <c r="T127" s="467" t="s">
        <v>1315</v>
      </c>
      <c r="U127" s="467" t="s">
        <v>1319</v>
      </c>
      <c r="V127" s="467" t="s">
        <v>1120</v>
      </c>
      <c r="W127" s="467" t="s">
        <v>1510</v>
      </c>
      <c r="X127" s="467" t="s">
        <v>1322</v>
      </c>
      <c r="Y127" s="467" t="s">
        <v>1325</v>
      </c>
      <c r="Z127" s="467" t="s">
        <v>1327</v>
      </c>
      <c r="AA127" s="467" t="s">
        <v>1220</v>
      </c>
      <c r="AB127" s="467" t="s">
        <v>1332</v>
      </c>
      <c r="AC127" s="467" t="s">
        <v>1526</v>
      </c>
      <c r="AD127" s="467" t="s">
        <v>1233</v>
      </c>
      <c r="AE127" s="467" t="s">
        <v>11368</v>
      </c>
      <c r="AF127" s="467" t="s">
        <v>1234</v>
      </c>
      <c r="AG127" s="467" t="s">
        <v>1126</v>
      </c>
      <c r="AH127" s="467" t="s">
        <v>1342</v>
      </c>
      <c r="AI127" s="467" t="s">
        <v>1130</v>
      </c>
      <c r="AJ127" s="467" t="s">
        <v>1558</v>
      </c>
      <c r="AK127" s="467" t="s">
        <v>1249</v>
      </c>
      <c r="AL127" s="467" t="s">
        <v>1596</v>
      </c>
      <c r="AM127" s="467" t="s">
        <v>1264</v>
      </c>
      <c r="AN127" s="467" t="s">
        <v>1605</v>
      </c>
    </row>
    <row r="128" spans="1:64" x14ac:dyDescent="0.25">
      <c r="A128" s="467" t="s">
        <v>654</v>
      </c>
      <c r="B128" s="467" t="s">
        <v>653</v>
      </c>
      <c r="C128" s="467" t="s">
        <v>1385</v>
      </c>
      <c r="D128" s="467" t="s">
        <v>14127</v>
      </c>
      <c r="E128" s="467" t="s">
        <v>1143</v>
      </c>
      <c r="F128" s="467" t="s">
        <v>1093</v>
      </c>
      <c r="G128" s="467" t="s">
        <v>1096</v>
      </c>
      <c r="H128" s="467" t="s">
        <v>1098</v>
      </c>
      <c r="I128" s="467" t="s">
        <v>1161</v>
      </c>
      <c r="J128" s="467" t="s">
        <v>1100</v>
      </c>
      <c r="K128" s="467" t="s">
        <v>1175</v>
      </c>
      <c r="L128" s="467" t="s">
        <v>1105</v>
      </c>
      <c r="M128" s="467" t="s">
        <v>1107</v>
      </c>
      <c r="N128" s="467" t="s">
        <v>1202</v>
      </c>
      <c r="O128" s="467" t="s">
        <v>1112</v>
      </c>
      <c r="P128" s="467" t="s">
        <v>1114</v>
      </c>
      <c r="Q128" s="467" t="s">
        <v>1896</v>
      </c>
      <c r="R128" s="467" t="s">
        <v>1897</v>
      </c>
      <c r="S128" s="467" t="s">
        <v>1130</v>
      </c>
      <c r="T128" s="467" t="s">
        <v>1132</v>
      </c>
      <c r="U128" s="467" t="s">
        <v>1240</v>
      </c>
      <c r="V128" s="467" t="s">
        <v>1136</v>
      </c>
      <c r="W128" s="467" t="s">
        <v>1138</v>
      </c>
      <c r="X128" s="467" t="s">
        <v>1140</v>
      </c>
    </row>
    <row r="129" spans="1:56" x14ac:dyDescent="0.25">
      <c r="A129" s="467" t="s">
        <v>656</v>
      </c>
      <c r="B129" s="467" t="s">
        <v>655</v>
      </c>
      <c r="C129" s="467" t="s">
        <v>1143</v>
      </c>
      <c r="D129" s="467" t="s">
        <v>1096</v>
      </c>
      <c r="E129" s="467" t="s">
        <v>1617</v>
      </c>
      <c r="F129" s="467" t="s">
        <v>11363</v>
      </c>
      <c r="G129" s="467" t="s">
        <v>1172</v>
      </c>
      <c r="H129" s="467" t="s">
        <v>1105</v>
      </c>
      <c r="I129" s="467" t="s">
        <v>1107</v>
      </c>
      <c r="J129" s="467" t="s">
        <v>1109</v>
      </c>
      <c r="K129" s="467" t="s">
        <v>1633</v>
      </c>
      <c r="L129" s="467" t="s">
        <v>1638</v>
      </c>
      <c r="M129" s="467" t="s">
        <v>1639</v>
      </c>
      <c r="N129" s="467" t="s">
        <v>1210</v>
      </c>
      <c r="O129" s="467" t="s">
        <v>1645</v>
      </c>
      <c r="P129" s="467" t="s">
        <v>1648</v>
      </c>
      <c r="Q129" s="467" t="s">
        <v>1235</v>
      </c>
      <c r="R129" s="467" t="s">
        <v>1126</v>
      </c>
      <c r="S129" s="467" t="s">
        <v>11399</v>
      </c>
      <c r="T129" s="467" t="s">
        <v>1368</v>
      </c>
      <c r="U129" s="467" t="s">
        <v>14377</v>
      </c>
    </row>
    <row r="130" spans="1:56" x14ac:dyDescent="0.25">
      <c r="A130" s="467" t="s">
        <v>658</v>
      </c>
      <c r="B130" s="467" t="s">
        <v>657</v>
      </c>
      <c r="C130" s="467" t="s">
        <v>1091</v>
      </c>
      <c r="D130" s="467" t="s">
        <v>1096</v>
      </c>
      <c r="E130" s="467" t="s">
        <v>12382</v>
      </c>
      <c r="F130" s="467" t="s">
        <v>1100</v>
      </c>
      <c r="G130" s="467" t="s">
        <v>14208</v>
      </c>
      <c r="H130" s="467" t="s">
        <v>1107</v>
      </c>
      <c r="I130" s="467" t="s">
        <v>1109</v>
      </c>
      <c r="J130" s="467" t="s">
        <v>1311</v>
      </c>
      <c r="K130" s="467" t="s">
        <v>1202</v>
      </c>
      <c r="L130" s="467" t="s">
        <v>1217</v>
      </c>
      <c r="M130" s="467" t="s">
        <v>1218</v>
      </c>
      <c r="N130" s="467" t="s">
        <v>11367</v>
      </c>
      <c r="O130" s="467" t="s">
        <v>1122</v>
      </c>
      <c r="P130" s="467" t="s">
        <v>1534</v>
      </c>
      <c r="Q130" s="467" t="s">
        <v>1234</v>
      </c>
      <c r="R130" s="467" t="s">
        <v>1126</v>
      </c>
      <c r="S130" s="467" t="s">
        <v>1899</v>
      </c>
      <c r="T130" s="467" t="s">
        <v>1130</v>
      </c>
      <c r="U130" s="467" t="s">
        <v>1240</v>
      </c>
      <c r="V130" s="467" t="s">
        <v>1134</v>
      </c>
      <c r="W130" s="467" t="s">
        <v>1944</v>
      </c>
    </row>
    <row r="131" spans="1:56" x14ac:dyDescent="0.25">
      <c r="A131" s="467" t="s">
        <v>660</v>
      </c>
      <c r="B131" s="467" t="s">
        <v>659</v>
      </c>
      <c r="C131" s="467" t="s">
        <v>1091</v>
      </c>
      <c r="D131" s="467" t="s">
        <v>14127</v>
      </c>
      <c r="E131" s="467" t="s">
        <v>1093</v>
      </c>
      <c r="F131" s="467" t="s">
        <v>1795</v>
      </c>
      <c r="G131" s="467" t="s">
        <v>1098</v>
      </c>
      <c r="H131" s="467" t="s">
        <v>1100</v>
      </c>
      <c r="I131" s="467" t="s">
        <v>14208</v>
      </c>
      <c r="J131" s="467" t="s">
        <v>1444</v>
      </c>
      <c r="K131" s="467" t="s">
        <v>1846</v>
      </c>
      <c r="L131" s="467" t="s">
        <v>1105</v>
      </c>
      <c r="M131" s="467" t="s">
        <v>1107</v>
      </c>
      <c r="N131" s="467" t="s">
        <v>1109</v>
      </c>
      <c r="O131" s="467" t="s">
        <v>1189</v>
      </c>
      <c r="P131" s="467" t="s">
        <v>1190</v>
      </c>
      <c r="Q131" s="467" t="s">
        <v>1114</v>
      </c>
      <c r="R131" s="467" t="s">
        <v>11415</v>
      </c>
      <c r="S131" s="467" t="s">
        <v>1122</v>
      </c>
      <c r="T131" s="467" t="s">
        <v>1228</v>
      </c>
      <c r="U131" s="467" t="s">
        <v>1124</v>
      </c>
      <c r="V131" s="467" t="s">
        <v>1233</v>
      </c>
      <c r="W131" s="467" t="s">
        <v>11368</v>
      </c>
      <c r="X131" s="467" t="s">
        <v>1126</v>
      </c>
      <c r="Y131" s="467" t="s">
        <v>1892</v>
      </c>
      <c r="Z131" s="467" t="s">
        <v>1130</v>
      </c>
      <c r="AA131" s="467" t="s">
        <v>1134</v>
      </c>
      <c r="AB131" s="467" t="s">
        <v>1136</v>
      </c>
      <c r="AC131" s="467" t="s">
        <v>1245</v>
      </c>
      <c r="AD131" s="467" t="s">
        <v>1249</v>
      </c>
      <c r="AE131" s="467" t="s">
        <v>1138</v>
      </c>
      <c r="AF131" s="467" t="s">
        <v>1930</v>
      </c>
      <c r="AG131" s="467" t="s">
        <v>1140</v>
      </c>
    </row>
    <row r="132" spans="1:56" x14ac:dyDescent="0.25">
      <c r="A132" s="467" t="s">
        <v>662</v>
      </c>
      <c r="B132" s="467" t="s">
        <v>661</v>
      </c>
      <c r="C132" s="467" t="s">
        <v>1385</v>
      </c>
      <c r="D132" s="467" t="s">
        <v>1096</v>
      </c>
      <c r="E132" s="467" t="s">
        <v>11363</v>
      </c>
      <c r="F132" s="467" t="s">
        <v>1281</v>
      </c>
      <c r="G132" s="467" t="s">
        <v>1411</v>
      </c>
      <c r="H132" s="467" t="s">
        <v>1100</v>
      </c>
      <c r="I132" s="467" t="s">
        <v>1420</v>
      </c>
      <c r="J132" s="467" t="s">
        <v>1294</v>
      </c>
      <c r="K132" s="467" t="s">
        <v>1298</v>
      </c>
      <c r="L132" s="467" t="s">
        <v>14208</v>
      </c>
      <c r="M132" s="467" t="s">
        <v>1185</v>
      </c>
      <c r="N132" s="467" t="s">
        <v>1187</v>
      </c>
      <c r="O132" s="467" t="s">
        <v>1105</v>
      </c>
      <c r="P132" s="467" t="s">
        <v>1107</v>
      </c>
      <c r="Q132" s="467" t="s">
        <v>1109</v>
      </c>
      <c r="R132" s="467" t="s">
        <v>1311</v>
      </c>
      <c r="S132" s="467" t="s">
        <v>1202</v>
      </c>
      <c r="T132" s="467" t="s">
        <v>1494</v>
      </c>
      <c r="U132" s="467" t="s">
        <v>1112</v>
      </c>
      <c r="V132" s="467" t="s">
        <v>1114</v>
      </c>
      <c r="W132" s="467" t="s">
        <v>1316</v>
      </c>
      <c r="X132" s="467" t="s">
        <v>1319</v>
      </c>
      <c r="Y132" s="467" t="s">
        <v>1120</v>
      </c>
      <c r="Z132" s="467" t="s">
        <v>1322</v>
      </c>
      <c r="AA132" s="467" t="s">
        <v>1218</v>
      </c>
      <c r="AB132" s="467" t="s">
        <v>1325</v>
      </c>
      <c r="AC132" s="467" t="s">
        <v>1332</v>
      </c>
      <c r="AD132" s="467" t="s">
        <v>1342</v>
      </c>
      <c r="AE132" s="467" t="s">
        <v>1130</v>
      </c>
      <c r="AF132" s="467" t="s">
        <v>1346</v>
      </c>
      <c r="AG132" s="467" t="s">
        <v>1249</v>
      </c>
      <c r="AH132" s="467" t="s">
        <v>1253</v>
      </c>
      <c r="AI132" s="467" t="s">
        <v>1260</v>
      </c>
      <c r="AJ132" s="467" t="s">
        <v>1262</v>
      </c>
      <c r="AK132" s="467" t="s">
        <v>1608</v>
      </c>
    </row>
    <row r="133" spans="1:56" x14ac:dyDescent="0.25">
      <c r="A133" s="467" t="s">
        <v>664</v>
      </c>
      <c r="B133" s="467" t="s">
        <v>663</v>
      </c>
      <c r="C133" s="467" t="s">
        <v>1093</v>
      </c>
      <c r="D133" s="467" t="s">
        <v>1096</v>
      </c>
      <c r="E133" s="467" t="s">
        <v>11363</v>
      </c>
      <c r="F133" s="467" t="s">
        <v>1158</v>
      </c>
      <c r="G133" s="467" t="s">
        <v>1961</v>
      </c>
      <c r="H133" s="467" t="s">
        <v>11430</v>
      </c>
      <c r="I133" s="467" t="s">
        <v>1102</v>
      </c>
      <c r="J133" s="467" t="s">
        <v>14213</v>
      </c>
      <c r="K133" s="467" t="s">
        <v>1105</v>
      </c>
      <c r="L133" s="467" t="s">
        <v>1107</v>
      </c>
      <c r="M133" s="467" t="s">
        <v>1109</v>
      </c>
      <c r="N133" s="467" t="s">
        <v>1190</v>
      </c>
      <c r="O133" s="467" t="s">
        <v>14243</v>
      </c>
      <c r="P133" s="467" t="s">
        <v>1310</v>
      </c>
      <c r="Q133" s="467" t="s">
        <v>1207</v>
      </c>
      <c r="R133" s="467" t="s">
        <v>1208</v>
      </c>
      <c r="S133" s="467" t="s">
        <v>1226</v>
      </c>
      <c r="T133" s="467" t="s">
        <v>1648</v>
      </c>
      <c r="U133" s="467" t="s">
        <v>2008</v>
      </c>
      <c r="V133" s="467" t="s">
        <v>1235</v>
      </c>
      <c r="W133" s="467" t="s">
        <v>1126</v>
      </c>
      <c r="X133" s="467" t="s">
        <v>2104</v>
      </c>
      <c r="Y133" s="467" t="s">
        <v>1240</v>
      </c>
      <c r="Z133" s="467" t="s">
        <v>1134</v>
      </c>
      <c r="AA133" s="467" t="s">
        <v>11433</v>
      </c>
      <c r="AB133" s="467" t="s">
        <v>1249</v>
      </c>
      <c r="AC133" s="467" t="s">
        <v>2123</v>
      </c>
      <c r="AD133" s="467" t="s">
        <v>2047</v>
      </c>
      <c r="AE133" s="467" t="s">
        <v>2052</v>
      </c>
    </row>
    <row r="134" spans="1:56" x14ac:dyDescent="0.25">
      <c r="A134" s="467" t="s">
        <v>666</v>
      </c>
      <c r="B134" s="467" t="s">
        <v>665</v>
      </c>
      <c r="C134" s="467" t="s">
        <v>1270</v>
      </c>
      <c r="D134" s="467" t="s">
        <v>1273</v>
      </c>
      <c r="E134" s="467" t="s">
        <v>1161</v>
      </c>
      <c r="F134" s="467" t="s">
        <v>1100</v>
      </c>
      <c r="G134" s="467" t="s">
        <v>1295</v>
      </c>
      <c r="H134" s="467" t="s">
        <v>14208</v>
      </c>
      <c r="I134" s="467" t="s">
        <v>1182</v>
      </c>
      <c r="J134" s="467" t="s">
        <v>1185</v>
      </c>
      <c r="K134" s="467" t="s">
        <v>1105</v>
      </c>
      <c r="L134" s="467" t="s">
        <v>1302</v>
      </c>
      <c r="M134" s="467" t="s">
        <v>1107</v>
      </c>
      <c r="N134" s="467" t="s">
        <v>1109</v>
      </c>
      <c r="O134" s="467" t="s">
        <v>1307</v>
      </c>
      <c r="P134" s="467" t="s">
        <v>1202</v>
      </c>
      <c r="Q134" s="467" t="s">
        <v>1112</v>
      </c>
      <c r="R134" s="467" t="s">
        <v>1315</v>
      </c>
      <c r="S134" s="467" t="s">
        <v>1319</v>
      </c>
      <c r="T134" s="467" t="s">
        <v>1120</v>
      </c>
      <c r="U134" s="467" t="s">
        <v>1323</v>
      </c>
      <c r="V134" s="467" t="s">
        <v>1325</v>
      </c>
      <c r="W134" s="467" t="s">
        <v>1327</v>
      </c>
      <c r="X134" s="467" t="s">
        <v>1334</v>
      </c>
      <c r="Y134" s="467" t="s">
        <v>1122</v>
      </c>
      <c r="Z134" s="467" t="s">
        <v>1124</v>
      </c>
      <c r="AA134" s="467" t="s">
        <v>1126</v>
      </c>
      <c r="AB134" s="467" t="s">
        <v>1340</v>
      </c>
      <c r="AC134" s="467" t="s">
        <v>1341</v>
      </c>
      <c r="AD134" s="467" t="s">
        <v>1130</v>
      </c>
      <c r="AE134" s="467" t="s">
        <v>1347</v>
      </c>
      <c r="AF134" s="467" t="s">
        <v>1245</v>
      </c>
      <c r="AG134" s="467" t="s">
        <v>1249</v>
      </c>
      <c r="AH134" s="467" t="s">
        <v>1362</v>
      </c>
      <c r="AI134" s="467" t="s">
        <v>1369</v>
      </c>
      <c r="AJ134" s="467" t="s">
        <v>1374</v>
      </c>
      <c r="AK134" s="467" t="s">
        <v>1376</v>
      </c>
    </row>
    <row r="135" spans="1:56" x14ac:dyDescent="0.25">
      <c r="A135" s="467" t="s">
        <v>668</v>
      </c>
      <c r="B135" s="467" t="s">
        <v>667</v>
      </c>
      <c r="C135" s="467" t="s">
        <v>1147</v>
      </c>
      <c r="D135" s="467" t="s">
        <v>1096</v>
      </c>
      <c r="E135" s="467" t="s">
        <v>1150</v>
      </c>
      <c r="F135" s="467" t="s">
        <v>1162</v>
      </c>
      <c r="G135" s="467" t="s">
        <v>1171</v>
      </c>
      <c r="H135" s="467" t="s">
        <v>1173</v>
      </c>
      <c r="I135" s="467" t="s">
        <v>14208</v>
      </c>
      <c r="J135" s="467" t="s">
        <v>1183</v>
      </c>
      <c r="K135" s="467" t="s">
        <v>1105</v>
      </c>
      <c r="L135" s="467" t="s">
        <v>1190</v>
      </c>
      <c r="M135" s="467" t="s">
        <v>1193</v>
      </c>
      <c r="N135" s="467" t="s">
        <v>1215</v>
      </c>
      <c r="O135" s="467" t="s">
        <v>1744</v>
      </c>
      <c r="P135" s="467" t="s">
        <v>1223</v>
      </c>
      <c r="Q135" s="467" t="s">
        <v>1224</v>
      </c>
      <c r="R135" s="467" t="s">
        <v>1233</v>
      </c>
      <c r="S135" s="467" t="s">
        <v>11368</v>
      </c>
      <c r="T135" s="467" t="s">
        <v>1238</v>
      </c>
      <c r="U135" s="467" t="s">
        <v>1134</v>
      </c>
      <c r="V135" s="467" t="s">
        <v>1249</v>
      </c>
      <c r="W135" s="467" t="s">
        <v>1266</v>
      </c>
    </row>
    <row r="136" spans="1:56" x14ac:dyDescent="0.25">
      <c r="A136" s="467" t="s">
        <v>670</v>
      </c>
      <c r="B136" s="467" t="s">
        <v>669</v>
      </c>
      <c r="C136" s="467" t="s">
        <v>1385</v>
      </c>
      <c r="D136" s="467" t="s">
        <v>1386</v>
      </c>
      <c r="E136" s="467" t="s">
        <v>1091</v>
      </c>
      <c r="F136" s="467" t="s">
        <v>1096</v>
      </c>
      <c r="G136" s="467" t="s">
        <v>11363</v>
      </c>
      <c r="H136" s="467" t="s">
        <v>1161</v>
      </c>
      <c r="I136" s="467" t="s">
        <v>1410</v>
      </c>
      <c r="J136" s="467" t="s">
        <v>1287</v>
      </c>
      <c r="K136" s="467" t="s">
        <v>1420</v>
      </c>
      <c r="L136" s="467" t="s">
        <v>1425</v>
      </c>
      <c r="M136" s="467" t="s">
        <v>14208</v>
      </c>
      <c r="N136" s="467" t="s">
        <v>1185</v>
      </c>
      <c r="O136" s="467" t="s">
        <v>1452</v>
      </c>
      <c r="P136" s="467" t="s">
        <v>1454</v>
      </c>
      <c r="Q136" s="467" t="s">
        <v>1187</v>
      </c>
      <c r="R136" s="467" t="s">
        <v>1105</v>
      </c>
      <c r="S136" s="467" t="s">
        <v>1107</v>
      </c>
      <c r="T136" s="467" t="s">
        <v>1190</v>
      </c>
      <c r="U136" s="467" t="s">
        <v>1307</v>
      </c>
      <c r="V136" s="467" t="s">
        <v>1474</v>
      </c>
      <c r="W136" s="467" t="s">
        <v>1202</v>
      </c>
      <c r="X136" s="467" t="s">
        <v>1494</v>
      </c>
      <c r="Y136" s="467" t="s">
        <v>1112</v>
      </c>
      <c r="Z136" s="467" t="s">
        <v>1315</v>
      </c>
      <c r="AA136" s="467" t="s">
        <v>1319</v>
      </c>
      <c r="AB136" s="467" t="s">
        <v>1120</v>
      </c>
      <c r="AC136" s="467" t="s">
        <v>1320</v>
      </c>
      <c r="AD136" s="467" t="s">
        <v>1217</v>
      </c>
      <c r="AE136" s="467" t="s">
        <v>14267</v>
      </c>
      <c r="AF136" s="467" t="s">
        <v>1327</v>
      </c>
      <c r="AG136" s="467" t="s">
        <v>1220</v>
      </c>
      <c r="AH136" s="467" t="s">
        <v>1332</v>
      </c>
      <c r="AI136" s="467" t="s">
        <v>1122</v>
      </c>
      <c r="AJ136" s="467" t="s">
        <v>1539</v>
      </c>
      <c r="AK136" s="467" t="s">
        <v>1233</v>
      </c>
      <c r="AL136" s="467" t="s">
        <v>11368</v>
      </c>
      <c r="AM136" s="467" t="s">
        <v>1126</v>
      </c>
      <c r="AN136" s="467" t="s">
        <v>1342</v>
      </c>
      <c r="AO136" s="467" t="s">
        <v>1558</v>
      </c>
      <c r="AP136" s="467" t="s">
        <v>1565</v>
      </c>
      <c r="AQ136" s="467" t="s">
        <v>1249</v>
      </c>
      <c r="AR136" s="467" t="s">
        <v>1253</v>
      </c>
      <c r="AS136" s="467" t="s">
        <v>1596</v>
      </c>
      <c r="AT136" s="467" t="s">
        <v>1599</v>
      </c>
      <c r="AU136" s="467" t="s">
        <v>1605</v>
      </c>
    </row>
    <row r="137" spans="1:56" x14ac:dyDescent="0.25">
      <c r="A137" s="467" t="s">
        <v>672</v>
      </c>
      <c r="B137" s="467" t="s">
        <v>671</v>
      </c>
      <c r="C137" s="467" t="s">
        <v>1147</v>
      </c>
      <c r="D137" s="467" t="s">
        <v>1093</v>
      </c>
      <c r="E137" s="467" t="s">
        <v>1096</v>
      </c>
      <c r="F137" s="467" t="s">
        <v>11363</v>
      </c>
      <c r="G137" s="467" t="s">
        <v>1171</v>
      </c>
      <c r="H137" s="467" t="s">
        <v>1173</v>
      </c>
      <c r="I137" s="467" t="s">
        <v>1180</v>
      </c>
      <c r="J137" s="467" t="s">
        <v>14208</v>
      </c>
      <c r="K137" s="467" t="s">
        <v>1188</v>
      </c>
      <c r="L137" s="467" t="s">
        <v>1190</v>
      </c>
      <c r="M137" s="467" t="s">
        <v>1207</v>
      </c>
      <c r="N137" s="467" t="s">
        <v>1209</v>
      </c>
      <c r="O137" s="467" t="s">
        <v>1215</v>
      </c>
      <c r="P137" s="467" t="s">
        <v>1218</v>
      </c>
      <c r="Q137" s="467" t="s">
        <v>11367</v>
      </c>
      <c r="R137" s="467" t="s">
        <v>1220</v>
      </c>
      <c r="S137" s="467" t="s">
        <v>1226</v>
      </c>
      <c r="T137" s="467" t="s">
        <v>1228</v>
      </c>
      <c r="U137" s="467" t="s">
        <v>1134</v>
      </c>
      <c r="V137" s="467" t="s">
        <v>1252</v>
      </c>
      <c r="W137" s="467" t="s">
        <v>1253</v>
      </c>
      <c r="X137" s="467" t="s">
        <v>1260</v>
      </c>
      <c r="Y137" s="467" t="s">
        <v>1261</v>
      </c>
    </row>
    <row r="138" spans="1:56" x14ac:dyDescent="0.25">
      <c r="A138" s="467" t="s">
        <v>674</v>
      </c>
      <c r="B138" s="467" t="s">
        <v>673</v>
      </c>
      <c r="C138" s="467" t="s">
        <v>1386</v>
      </c>
      <c r="D138" s="467" t="s">
        <v>1096</v>
      </c>
      <c r="E138" s="467" t="s">
        <v>1098</v>
      </c>
      <c r="F138" s="467" t="s">
        <v>1100</v>
      </c>
      <c r="G138" s="467" t="s">
        <v>1175</v>
      </c>
      <c r="H138" s="467" t="s">
        <v>1839</v>
      </c>
      <c r="I138" s="467" t="s">
        <v>1187</v>
      </c>
      <c r="J138" s="467" t="s">
        <v>1105</v>
      </c>
      <c r="K138" s="467" t="s">
        <v>1107</v>
      </c>
      <c r="L138" s="467" t="s">
        <v>1109</v>
      </c>
      <c r="M138" s="467" t="s">
        <v>1189</v>
      </c>
      <c r="N138" s="467" t="s">
        <v>1310</v>
      </c>
      <c r="O138" s="467" t="s">
        <v>1202</v>
      </c>
      <c r="P138" s="467" t="s">
        <v>1112</v>
      </c>
      <c r="Q138" s="467" t="s">
        <v>1114</v>
      </c>
      <c r="R138" s="467" t="s">
        <v>1501</v>
      </c>
      <c r="S138" s="467" t="s">
        <v>1218</v>
      </c>
      <c r="T138" s="467" t="s">
        <v>11367</v>
      </c>
      <c r="U138" s="467" t="s">
        <v>1122</v>
      </c>
      <c r="V138" s="467" t="s">
        <v>1536</v>
      </c>
      <c r="W138" s="467" t="s">
        <v>1890</v>
      </c>
      <c r="X138" s="467" t="s">
        <v>1233</v>
      </c>
      <c r="Y138" s="467" t="s">
        <v>11368</v>
      </c>
      <c r="Z138" s="467" t="s">
        <v>1126</v>
      </c>
      <c r="AA138" s="467" t="s">
        <v>1892</v>
      </c>
      <c r="AB138" s="467" t="s">
        <v>1899</v>
      </c>
      <c r="AC138" s="467" t="s">
        <v>1130</v>
      </c>
      <c r="AD138" s="467" t="s">
        <v>1240</v>
      </c>
      <c r="AE138" s="467" t="s">
        <v>1241</v>
      </c>
      <c r="AF138" s="467" t="s">
        <v>1134</v>
      </c>
      <c r="AG138" s="467" t="s">
        <v>1249</v>
      </c>
      <c r="AH138" s="467" t="s">
        <v>1252</v>
      </c>
      <c r="AI138" s="467" t="s">
        <v>1140</v>
      </c>
      <c r="AJ138" s="467" t="s">
        <v>1944</v>
      </c>
    </row>
    <row r="139" spans="1:56" x14ac:dyDescent="0.25">
      <c r="A139" s="467" t="s">
        <v>676</v>
      </c>
      <c r="B139" s="467" t="s">
        <v>675</v>
      </c>
      <c r="C139" s="467" t="s">
        <v>1385</v>
      </c>
      <c r="D139" s="467" t="s">
        <v>1386</v>
      </c>
      <c r="E139" s="467" t="s">
        <v>1400</v>
      </c>
      <c r="F139" s="467" t="s">
        <v>1403</v>
      </c>
      <c r="G139" s="467" t="s">
        <v>1161</v>
      </c>
      <c r="H139" s="467" t="s">
        <v>1410</v>
      </c>
      <c r="I139" s="467" t="s">
        <v>1416</v>
      </c>
      <c r="J139" s="467" t="s">
        <v>1164</v>
      </c>
      <c r="K139" s="467" t="s">
        <v>1100</v>
      </c>
      <c r="L139" s="467" t="s">
        <v>1287</v>
      </c>
      <c r="M139" s="467" t="s">
        <v>1420</v>
      </c>
      <c r="N139" s="467" t="s">
        <v>1421</v>
      </c>
      <c r="O139" s="467" t="s">
        <v>1424</v>
      </c>
      <c r="P139" s="467" t="s">
        <v>1172</v>
      </c>
      <c r="Q139" s="467" t="s">
        <v>1447</v>
      </c>
      <c r="R139" s="467" t="s">
        <v>1185</v>
      </c>
      <c r="S139" s="467" t="s">
        <v>1454</v>
      </c>
      <c r="T139" s="467" t="s">
        <v>1105</v>
      </c>
      <c r="U139" s="467" t="s">
        <v>1107</v>
      </c>
      <c r="V139" s="467" t="s">
        <v>1109</v>
      </c>
      <c r="W139" s="467" t="s">
        <v>1469</v>
      </c>
      <c r="X139" s="467" t="s">
        <v>1470</v>
      </c>
      <c r="Y139" s="467" t="s">
        <v>1190</v>
      </c>
      <c r="Z139" s="467" t="s">
        <v>1474</v>
      </c>
      <c r="AA139" s="467" t="s">
        <v>1475</v>
      </c>
      <c r="AB139" s="467" t="s">
        <v>1310</v>
      </c>
      <c r="AC139" s="467" t="s">
        <v>1202</v>
      </c>
      <c r="AD139" s="467" t="s">
        <v>1492</v>
      </c>
      <c r="AE139" s="467" t="s">
        <v>1203</v>
      </c>
      <c r="AF139" s="467" t="s">
        <v>1112</v>
      </c>
      <c r="AG139" s="467" t="s">
        <v>1315</v>
      </c>
      <c r="AH139" s="467" t="s">
        <v>1319</v>
      </c>
      <c r="AI139" s="467" t="s">
        <v>1120</v>
      </c>
      <c r="AJ139" s="467" t="s">
        <v>1510</v>
      </c>
      <c r="AK139" s="467" t="s">
        <v>1512</v>
      </c>
      <c r="AL139" s="467" t="s">
        <v>1322</v>
      </c>
      <c r="AM139" s="467" t="s">
        <v>1325</v>
      </c>
      <c r="AN139" s="467" t="s">
        <v>1220</v>
      </c>
      <c r="AO139" s="467" t="s">
        <v>1122</v>
      </c>
      <c r="AP139" s="467" t="s">
        <v>1229</v>
      </c>
      <c r="AQ139" s="467" t="s">
        <v>1539</v>
      </c>
      <c r="AR139" s="467" t="s">
        <v>1233</v>
      </c>
      <c r="AS139" s="467" t="s">
        <v>11368</v>
      </c>
      <c r="AT139" s="467" t="s">
        <v>1126</v>
      </c>
      <c r="AU139" s="467" t="s">
        <v>1342</v>
      </c>
      <c r="AV139" s="467" t="s">
        <v>1130</v>
      </c>
      <c r="AW139" s="467" t="s">
        <v>1345</v>
      </c>
      <c r="AX139" s="467" t="s">
        <v>1558</v>
      </c>
      <c r="AY139" s="467" t="s">
        <v>1249</v>
      </c>
      <c r="AZ139" s="467" t="s">
        <v>14365</v>
      </c>
      <c r="BA139" s="467" t="s">
        <v>1574</v>
      </c>
      <c r="BB139" s="467" t="s">
        <v>1589</v>
      </c>
      <c r="BC139" s="467" t="s">
        <v>1593</v>
      </c>
      <c r="BD139" s="467" t="s">
        <v>1599</v>
      </c>
    </row>
    <row r="140" spans="1:56" x14ac:dyDescent="0.25">
      <c r="A140" s="467" t="s">
        <v>678</v>
      </c>
      <c r="B140" s="467" t="s">
        <v>677</v>
      </c>
      <c r="C140" s="467" t="s">
        <v>1143</v>
      </c>
      <c r="D140" s="467" t="s">
        <v>1096</v>
      </c>
      <c r="E140" s="467" t="s">
        <v>11363</v>
      </c>
      <c r="F140" s="467" t="s">
        <v>1156</v>
      </c>
      <c r="G140" s="467" t="s">
        <v>1161</v>
      </c>
      <c r="H140" s="467" t="s">
        <v>1286</v>
      </c>
      <c r="I140" s="467" t="s">
        <v>1100</v>
      </c>
      <c r="J140" s="467" t="s">
        <v>1290</v>
      </c>
      <c r="K140" s="467" t="s">
        <v>1168</v>
      </c>
      <c r="L140" s="467" t="s">
        <v>1172</v>
      </c>
      <c r="M140" s="467" t="s">
        <v>1102</v>
      </c>
      <c r="N140" s="467" t="s">
        <v>14208</v>
      </c>
      <c r="O140" s="467" t="s">
        <v>1187</v>
      </c>
      <c r="P140" s="467" t="s">
        <v>1105</v>
      </c>
      <c r="Q140" s="467" t="s">
        <v>1107</v>
      </c>
      <c r="R140" s="467" t="s">
        <v>1109</v>
      </c>
      <c r="S140" s="467" t="s">
        <v>1306</v>
      </c>
      <c r="T140" s="467" t="s">
        <v>1189</v>
      </c>
      <c r="U140" s="467" t="s">
        <v>1190</v>
      </c>
      <c r="V140" s="467" t="s">
        <v>1203</v>
      </c>
      <c r="W140" s="467" t="s">
        <v>1112</v>
      </c>
      <c r="X140" s="467" t="s">
        <v>1208</v>
      </c>
      <c r="Y140" s="467" t="s">
        <v>1218</v>
      </c>
      <c r="Z140" s="467" t="s">
        <v>1122</v>
      </c>
      <c r="AA140" s="467" t="s">
        <v>1225</v>
      </c>
      <c r="AB140" s="467" t="s">
        <v>1226</v>
      </c>
      <c r="AC140" s="467" t="s">
        <v>1228</v>
      </c>
      <c r="AD140" s="467" t="s">
        <v>1335</v>
      </c>
      <c r="AE140" s="467" t="s">
        <v>1124</v>
      </c>
      <c r="AF140" s="467" t="s">
        <v>1233</v>
      </c>
      <c r="AG140" s="467" t="s">
        <v>11368</v>
      </c>
      <c r="AH140" s="467" t="s">
        <v>1234</v>
      </c>
      <c r="AI140" s="467" t="s">
        <v>1134</v>
      </c>
      <c r="AJ140" s="467" t="s">
        <v>1356</v>
      </c>
      <c r="AK140" s="467" t="s">
        <v>1249</v>
      </c>
      <c r="AL140" s="467" t="s">
        <v>1360</v>
      </c>
      <c r="AM140" s="467" t="s">
        <v>1364</v>
      </c>
    </row>
    <row r="141" spans="1:56" x14ac:dyDescent="0.25">
      <c r="A141" s="467" t="s">
        <v>680</v>
      </c>
      <c r="B141" s="467" t="s">
        <v>679</v>
      </c>
      <c r="C141" s="467" t="s">
        <v>1143</v>
      </c>
      <c r="D141" s="467" t="s">
        <v>1096</v>
      </c>
      <c r="E141" s="467" t="s">
        <v>11370</v>
      </c>
      <c r="F141" s="467" t="s">
        <v>1680</v>
      </c>
      <c r="G141" s="467" t="s">
        <v>1160</v>
      </c>
      <c r="H141" s="467" t="s">
        <v>1167</v>
      </c>
      <c r="I141" s="467" t="s">
        <v>1102</v>
      </c>
      <c r="J141" s="467" t="s">
        <v>1174</v>
      </c>
      <c r="K141" s="467" t="s">
        <v>1183</v>
      </c>
      <c r="L141" s="467" t="s">
        <v>1186</v>
      </c>
      <c r="M141" s="467" t="s">
        <v>1105</v>
      </c>
      <c r="N141" s="467" t="s">
        <v>1188</v>
      </c>
      <c r="O141" s="467" t="s">
        <v>1109</v>
      </c>
      <c r="P141" s="467" t="s">
        <v>1190</v>
      </c>
      <c r="Q141" s="467" t="s">
        <v>1739</v>
      </c>
      <c r="R141" s="467" t="s">
        <v>1209</v>
      </c>
      <c r="S141" s="467" t="s">
        <v>1503</v>
      </c>
      <c r="T141" s="467" t="s">
        <v>1744</v>
      </c>
      <c r="U141" s="467" t="s">
        <v>1223</v>
      </c>
      <c r="V141" s="467" t="s">
        <v>1122</v>
      </c>
      <c r="W141" s="467" t="s">
        <v>1225</v>
      </c>
      <c r="X141" s="467" t="s">
        <v>1228</v>
      </c>
      <c r="Y141" s="467" t="s">
        <v>1233</v>
      </c>
      <c r="Z141" s="467" t="s">
        <v>11368</v>
      </c>
      <c r="AA141" s="467" t="s">
        <v>1257</v>
      </c>
      <c r="AB141" s="467" t="s">
        <v>1260</v>
      </c>
      <c r="AC141" s="467" t="s">
        <v>1266</v>
      </c>
    </row>
    <row r="142" spans="1:56" x14ac:dyDescent="0.25">
      <c r="A142" s="467" t="s">
        <v>682</v>
      </c>
      <c r="B142" s="467" t="s">
        <v>681</v>
      </c>
      <c r="C142" s="467" t="s">
        <v>1609</v>
      </c>
      <c r="D142" s="467" t="s">
        <v>1096</v>
      </c>
      <c r="E142" s="467" t="s">
        <v>1282</v>
      </c>
      <c r="F142" s="467" t="s">
        <v>1100</v>
      </c>
      <c r="G142" s="467" t="s">
        <v>1102</v>
      </c>
      <c r="H142" s="467" t="s">
        <v>1296</v>
      </c>
      <c r="I142" s="467" t="s">
        <v>1185</v>
      </c>
      <c r="J142" s="467" t="s">
        <v>1105</v>
      </c>
      <c r="K142" s="467" t="s">
        <v>1107</v>
      </c>
      <c r="L142" s="467" t="s">
        <v>1109</v>
      </c>
      <c r="M142" s="467" t="s">
        <v>1319</v>
      </c>
      <c r="N142" s="467" t="s">
        <v>1320</v>
      </c>
      <c r="O142" s="467" t="s">
        <v>1218</v>
      </c>
      <c r="P142" s="467" t="s">
        <v>11367</v>
      </c>
      <c r="Q142" s="467" t="s">
        <v>1326</v>
      </c>
      <c r="R142" s="467" t="s">
        <v>1225</v>
      </c>
      <c r="S142" s="467" t="s">
        <v>1228</v>
      </c>
      <c r="T142" s="467" t="s">
        <v>1339</v>
      </c>
      <c r="U142" s="467" t="s">
        <v>1233</v>
      </c>
      <c r="V142" s="467" t="s">
        <v>1234</v>
      </c>
      <c r="W142" s="467" t="s">
        <v>1235</v>
      </c>
      <c r="X142" s="467" t="s">
        <v>1126</v>
      </c>
      <c r="Y142" s="467" t="s">
        <v>1352</v>
      </c>
      <c r="Z142" s="467" t="s">
        <v>1245</v>
      </c>
      <c r="AA142" s="467" t="s">
        <v>1249</v>
      </c>
      <c r="AB142" s="467" t="s">
        <v>11378</v>
      </c>
      <c r="AC142" s="467" t="s">
        <v>1364</v>
      </c>
      <c r="AD142" s="467" t="s">
        <v>1252</v>
      </c>
      <c r="AE142" s="467" t="s">
        <v>1253</v>
      </c>
      <c r="AF142" s="467" t="s">
        <v>1378</v>
      </c>
      <c r="AG142" s="467" t="s">
        <v>1384</v>
      </c>
    </row>
    <row r="143" spans="1:56" x14ac:dyDescent="0.25">
      <c r="A143" s="467" t="s">
        <v>684</v>
      </c>
      <c r="B143" s="467" t="s">
        <v>683</v>
      </c>
      <c r="C143" s="467" t="s">
        <v>1093</v>
      </c>
      <c r="D143" s="467" t="s">
        <v>1096</v>
      </c>
      <c r="E143" s="467" t="s">
        <v>1105</v>
      </c>
      <c r="F143" s="467" t="s">
        <v>1107</v>
      </c>
      <c r="G143" s="467" t="s">
        <v>1109</v>
      </c>
      <c r="H143" s="467" t="s">
        <v>1853</v>
      </c>
      <c r="I143" s="467" t="s">
        <v>1114</v>
      </c>
      <c r="J143" s="467" t="s">
        <v>1122</v>
      </c>
      <c r="K143" s="467" t="s">
        <v>1124</v>
      </c>
      <c r="L143" s="467" t="s">
        <v>1130</v>
      </c>
      <c r="M143" s="467" t="s">
        <v>1132</v>
      </c>
      <c r="N143" s="467" t="s">
        <v>1916</v>
      </c>
      <c r="O143" s="467" t="s">
        <v>1245</v>
      </c>
      <c r="P143" s="467" t="s">
        <v>1138</v>
      </c>
      <c r="Q143" s="467" t="s">
        <v>1930</v>
      </c>
      <c r="R143" s="467" t="s">
        <v>1931</v>
      </c>
      <c r="S143" s="467" t="s">
        <v>1946</v>
      </c>
    </row>
    <row r="144" spans="1:56" x14ac:dyDescent="0.25">
      <c r="A144" s="467" t="s">
        <v>686</v>
      </c>
      <c r="B144" s="467" t="s">
        <v>685</v>
      </c>
      <c r="C144" s="467" t="s">
        <v>1096</v>
      </c>
      <c r="D144" s="467" t="s">
        <v>1969</v>
      </c>
      <c r="E144" s="467" t="s">
        <v>1171</v>
      </c>
      <c r="F144" s="467" t="s">
        <v>1111</v>
      </c>
    </row>
    <row r="145" spans="1:79" x14ac:dyDescent="0.25">
      <c r="A145" s="467" t="s">
        <v>688</v>
      </c>
      <c r="B145" s="467" t="s">
        <v>687</v>
      </c>
      <c r="C145" s="467" t="s">
        <v>1096</v>
      </c>
      <c r="D145" s="467" t="s">
        <v>1393</v>
      </c>
      <c r="E145" s="467" t="s">
        <v>1270</v>
      </c>
      <c r="F145" s="467" t="s">
        <v>11382</v>
      </c>
      <c r="G145" s="467" t="s">
        <v>1398</v>
      </c>
      <c r="H145" s="467" t="s">
        <v>1410</v>
      </c>
      <c r="I145" s="467" t="s">
        <v>1100</v>
      </c>
      <c r="J145" s="467" t="s">
        <v>14194</v>
      </c>
      <c r="K145" s="467" t="s">
        <v>1446</v>
      </c>
      <c r="L145" s="467" t="s">
        <v>1185</v>
      </c>
      <c r="M145" s="467" t="s">
        <v>1107</v>
      </c>
      <c r="N145" s="467" t="s">
        <v>1189</v>
      </c>
      <c r="O145" s="467" t="s">
        <v>1307</v>
      </c>
      <c r="P145" s="467" t="s">
        <v>1476</v>
      </c>
      <c r="Q145" s="467" t="s">
        <v>1477</v>
      </c>
      <c r="R145" s="467" t="s">
        <v>1481</v>
      </c>
      <c r="S145" s="467" t="s">
        <v>1202</v>
      </c>
      <c r="T145" s="467" t="s">
        <v>1112</v>
      </c>
      <c r="U145" s="467" t="s">
        <v>1315</v>
      </c>
      <c r="V145" s="467" t="s">
        <v>1504</v>
      </c>
      <c r="W145" s="467" t="s">
        <v>1316</v>
      </c>
      <c r="X145" s="467" t="s">
        <v>1319</v>
      </c>
      <c r="Y145" s="467" t="s">
        <v>1120</v>
      </c>
      <c r="Z145" s="467" t="s">
        <v>11387</v>
      </c>
      <c r="AA145" s="467" t="s">
        <v>1322</v>
      </c>
      <c r="AB145" s="467" t="s">
        <v>1325</v>
      </c>
      <c r="AC145" s="467" t="s">
        <v>1220</v>
      </c>
      <c r="AD145" s="467" t="s">
        <v>1332</v>
      </c>
      <c r="AE145" s="467" t="s">
        <v>1522</v>
      </c>
      <c r="AF145" s="467" t="s">
        <v>1525</v>
      </c>
      <c r="AG145" s="467" t="s">
        <v>1122</v>
      </c>
      <c r="AH145" s="467" t="s">
        <v>1225</v>
      </c>
      <c r="AI145" s="467" t="s">
        <v>1532</v>
      </c>
      <c r="AJ145" s="467" t="s">
        <v>1538</v>
      </c>
      <c r="AK145" s="467" t="s">
        <v>1126</v>
      </c>
      <c r="AL145" s="467" t="s">
        <v>1340</v>
      </c>
      <c r="AM145" s="467" t="s">
        <v>1543</v>
      </c>
      <c r="AN145" s="467" t="s">
        <v>1546</v>
      </c>
      <c r="AO145" s="467" t="s">
        <v>1547</v>
      </c>
      <c r="AP145" s="467" t="s">
        <v>1130</v>
      </c>
      <c r="AQ145" s="467" t="s">
        <v>1553</v>
      </c>
      <c r="AR145" s="467" t="s">
        <v>1345</v>
      </c>
      <c r="AS145" s="467" t="s">
        <v>1249</v>
      </c>
      <c r="AT145" s="467" t="s">
        <v>1252</v>
      </c>
      <c r="AU145" s="467" t="s">
        <v>1253</v>
      </c>
      <c r="AV145" s="467" t="s">
        <v>1591</v>
      </c>
      <c r="AW145" s="467" t="s">
        <v>11479</v>
      </c>
    </row>
    <row r="146" spans="1:79" x14ac:dyDescent="0.25">
      <c r="A146" s="467" t="s">
        <v>690</v>
      </c>
      <c r="B146" s="467" t="s">
        <v>689</v>
      </c>
      <c r="C146" s="467" t="s">
        <v>1385</v>
      </c>
      <c r="D146" s="467" t="s">
        <v>1096</v>
      </c>
      <c r="E146" s="467" t="s">
        <v>1270</v>
      </c>
      <c r="F146" s="467" t="s">
        <v>1161</v>
      </c>
      <c r="G146" s="467" t="s">
        <v>1410</v>
      </c>
      <c r="H146" s="467" t="s">
        <v>1100</v>
      </c>
      <c r="I146" s="467" t="s">
        <v>1437</v>
      </c>
      <c r="J146" s="467" t="s">
        <v>1185</v>
      </c>
      <c r="K146" s="467" t="s">
        <v>1453</v>
      </c>
      <c r="L146" s="467" t="s">
        <v>1469</v>
      </c>
      <c r="M146" s="467" t="s">
        <v>1474</v>
      </c>
      <c r="N146" s="467" t="s">
        <v>1202</v>
      </c>
      <c r="O146" s="467" t="s">
        <v>1494</v>
      </c>
      <c r="P146" s="467" t="s">
        <v>1112</v>
      </c>
      <c r="Q146" s="467" t="s">
        <v>1315</v>
      </c>
      <c r="R146" s="467" t="s">
        <v>1509</v>
      </c>
      <c r="S146" s="467" t="s">
        <v>1319</v>
      </c>
      <c r="T146" s="467" t="s">
        <v>1120</v>
      </c>
      <c r="U146" s="467" t="s">
        <v>1510</v>
      </c>
      <c r="V146" s="467" t="s">
        <v>1217</v>
      </c>
      <c r="W146" s="467" t="s">
        <v>1332</v>
      </c>
      <c r="X146" s="467" t="s">
        <v>1122</v>
      </c>
      <c r="Y146" s="467" t="s">
        <v>1530</v>
      </c>
      <c r="Z146" s="467" t="s">
        <v>1234</v>
      </c>
      <c r="AA146" s="467" t="s">
        <v>1126</v>
      </c>
      <c r="AB146" s="467" t="s">
        <v>1342</v>
      </c>
      <c r="AC146" s="467" t="s">
        <v>1130</v>
      </c>
      <c r="AD146" s="467" t="s">
        <v>1550</v>
      </c>
      <c r="AE146" s="467" t="s">
        <v>1552</v>
      </c>
      <c r="AF146" s="467" t="s">
        <v>1345</v>
      </c>
      <c r="AG146" s="467" t="s">
        <v>1358</v>
      </c>
      <c r="AH146" s="467" t="s">
        <v>1249</v>
      </c>
      <c r="AI146" s="467" t="s">
        <v>1252</v>
      </c>
      <c r="AJ146" s="467" t="s">
        <v>1253</v>
      </c>
      <c r="AK146" s="467" t="s">
        <v>1371</v>
      </c>
      <c r="AL146" s="467" t="s">
        <v>1599</v>
      </c>
      <c r="AM146" s="467" t="s">
        <v>1605</v>
      </c>
    </row>
    <row r="147" spans="1:79" x14ac:dyDescent="0.25">
      <c r="A147" s="467" t="s">
        <v>692</v>
      </c>
      <c r="B147" s="467" t="s">
        <v>691</v>
      </c>
      <c r="C147" s="467" t="s">
        <v>1096</v>
      </c>
      <c r="D147" s="467" t="s">
        <v>1282</v>
      </c>
      <c r="E147" s="467" t="s">
        <v>1100</v>
      </c>
      <c r="F147" s="467" t="s">
        <v>1290</v>
      </c>
      <c r="G147" s="467" t="s">
        <v>1177</v>
      </c>
      <c r="H147" s="467" t="s">
        <v>1296</v>
      </c>
      <c r="I147" s="467" t="s">
        <v>1297</v>
      </c>
      <c r="J147" s="467" t="s">
        <v>1187</v>
      </c>
      <c r="K147" s="467" t="s">
        <v>1109</v>
      </c>
      <c r="L147" s="467" t="s">
        <v>1200</v>
      </c>
      <c r="M147" s="467" t="s">
        <v>1203</v>
      </c>
      <c r="N147" s="467" t="s">
        <v>1112</v>
      </c>
      <c r="O147" s="467" t="s">
        <v>1208</v>
      </c>
      <c r="P147" s="467" t="s">
        <v>11367</v>
      </c>
      <c r="Q147" s="467" t="s">
        <v>1122</v>
      </c>
      <c r="R147" s="467" t="s">
        <v>1228</v>
      </c>
      <c r="S147" s="467" t="s">
        <v>1124</v>
      </c>
      <c r="T147" s="467" t="s">
        <v>1339</v>
      </c>
      <c r="U147" s="467" t="s">
        <v>1235</v>
      </c>
      <c r="V147" s="467" t="s">
        <v>1126</v>
      </c>
      <c r="W147" s="467" t="s">
        <v>1240</v>
      </c>
      <c r="X147" s="467" t="s">
        <v>1364</v>
      </c>
      <c r="Y147" s="467" t="s">
        <v>1377</v>
      </c>
      <c r="Z147" s="467" t="s">
        <v>1383</v>
      </c>
    </row>
    <row r="148" spans="1:79" x14ac:dyDescent="0.25">
      <c r="A148" s="467" t="s">
        <v>694</v>
      </c>
      <c r="B148" s="467" t="s">
        <v>693</v>
      </c>
      <c r="C148" s="467" t="s">
        <v>1096</v>
      </c>
      <c r="D148" s="467" t="s">
        <v>1151</v>
      </c>
      <c r="E148" s="467" t="s">
        <v>1174</v>
      </c>
      <c r="F148" s="467" t="s">
        <v>14208</v>
      </c>
      <c r="G148" s="467" t="s">
        <v>2149</v>
      </c>
      <c r="H148" s="467" t="s">
        <v>1183</v>
      </c>
      <c r="I148" s="467" t="s">
        <v>1185</v>
      </c>
      <c r="J148" s="467" t="s">
        <v>1188</v>
      </c>
      <c r="K148" s="467" t="s">
        <v>1107</v>
      </c>
      <c r="L148" s="467" t="s">
        <v>1109</v>
      </c>
      <c r="M148" s="467" t="s">
        <v>2156</v>
      </c>
      <c r="N148" s="467" t="s">
        <v>2157</v>
      </c>
      <c r="O148" s="467" t="s">
        <v>2158</v>
      </c>
      <c r="P148" s="467" t="s">
        <v>2159</v>
      </c>
      <c r="Q148" s="467" t="s">
        <v>2160</v>
      </c>
      <c r="R148" s="467" t="s">
        <v>1190</v>
      </c>
      <c r="S148" s="467" t="s">
        <v>1638</v>
      </c>
      <c r="T148" s="467" t="s">
        <v>1209</v>
      </c>
      <c r="U148" s="467" t="s">
        <v>14400</v>
      </c>
      <c r="V148" s="467" t="s">
        <v>2170</v>
      </c>
      <c r="W148" s="467" t="s">
        <v>1122</v>
      </c>
      <c r="X148" s="467" t="s">
        <v>1225</v>
      </c>
      <c r="Y148" s="467" t="s">
        <v>1648</v>
      </c>
      <c r="Z148" s="467" t="s">
        <v>1124</v>
      </c>
      <c r="AA148" s="467" t="s">
        <v>1234</v>
      </c>
      <c r="AB148" s="467" t="s">
        <v>1235</v>
      </c>
      <c r="AC148" s="467" t="s">
        <v>1126</v>
      </c>
      <c r="AD148" s="467" t="s">
        <v>2176</v>
      </c>
      <c r="AE148" s="467" t="s">
        <v>1559</v>
      </c>
      <c r="AF148" s="467" t="s">
        <v>1253</v>
      </c>
      <c r="AG148" s="467" t="s">
        <v>1368</v>
      </c>
      <c r="AH148" s="467" t="s">
        <v>1257</v>
      </c>
      <c r="AI148" s="467" t="s">
        <v>1262</v>
      </c>
      <c r="AJ148" s="467" t="s">
        <v>2190</v>
      </c>
    </row>
    <row r="149" spans="1:79" x14ac:dyDescent="0.25">
      <c r="A149" s="467" t="s">
        <v>696</v>
      </c>
      <c r="B149" s="467" t="s">
        <v>695</v>
      </c>
      <c r="C149" s="467" t="s">
        <v>1386</v>
      </c>
      <c r="D149" s="467" t="s">
        <v>1091</v>
      </c>
      <c r="E149" s="467" t="s">
        <v>1093</v>
      </c>
      <c r="F149" s="467" t="s">
        <v>1096</v>
      </c>
      <c r="G149" s="467" t="s">
        <v>1410</v>
      </c>
      <c r="H149" s="467" t="s">
        <v>1100</v>
      </c>
      <c r="I149" s="467" t="s">
        <v>14208</v>
      </c>
      <c r="J149" s="467" t="s">
        <v>1185</v>
      </c>
      <c r="K149" s="467" t="s">
        <v>1107</v>
      </c>
      <c r="L149" s="467" t="s">
        <v>1109</v>
      </c>
      <c r="M149" s="467" t="s">
        <v>1474</v>
      </c>
      <c r="N149" s="467" t="s">
        <v>1479</v>
      </c>
      <c r="O149" s="467" t="s">
        <v>1482</v>
      </c>
      <c r="P149" s="467" t="s">
        <v>1202</v>
      </c>
      <c r="Q149" s="467" t="s">
        <v>1112</v>
      </c>
      <c r="R149" s="467" t="s">
        <v>1498</v>
      </c>
      <c r="S149" s="467" t="s">
        <v>1501</v>
      </c>
      <c r="T149" s="467" t="s">
        <v>1315</v>
      </c>
      <c r="U149" s="467" t="s">
        <v>1120</v>
      </c>
      <c r="V149" s="467" t="s">
        <v>1322</v>
      </c>
      <c r="W149" s="467" t="s">
        <v>1217</v>
      </c>
      <c r="X149" s="467" t="s">
        <v>1325</v>
      </c>
      <c r="Y149" s="467" t="s">
        <v>1220</v>
      </c>
      <c r="Z149" s="467" t="s">
        <v>1329</v>
      </c>
      <c r="AA149" s="467" t="s">
        <v>1122</v>
      </c>
      <c r="AB149" s="467" t="s">
        <v>1124</v>
      </c>
      <c r="AC149" s="467" t="s">
        <v>1539</v>
      </c>
      <c r="AD149" s="467" t="s">
        <v>1233</v>
      </c>
      <c r="AE149" s="467" t="s">
        <v>11368</v>
      </c>
      <c r="AF149" s="467" t="s">
        <v>1342</v>
      </c>
      <c r="AG149" s="467" t="s">
        <v>1559</v>
      </c>
      <c r="AH149" s="467" t="s">
        <v>1575</v>
      </c>
      <c r="AI149" s="467" t="s">
        <v>1587</v>
      </c>
      <c r="AJ149" s="467" t="s">
        <v>1262</v>
      </c>
      <c r="AK149" s="467" t="s">
        <v>1607</v>
      </c>
    </row>
    <row r="150" spans="1:79" x14ac:dyDescent="0.25">
      <c r="A150" s="467" t="s">
        <v>698</v>
      </c>
      <c r="B150" s="467" t="s">
        <v>697</v>
      </c>
      <c r="C150" s="467" t="s">
        <v>1143</v>
      </c>
      <c r="D150" s="467" t="s">
        <v>1668</v>
      </c>
      <c r="E150" s="467" t="s">
        <v>1096</v>
      </c>
      <c r="F150" s="467" t="s">
        <v>1151</v>
      </c>
      <c r="G150" s="467" t="s">
        <v>1403</v>
      </c>
      <c r="H150" s="467" t="s">
        <v>1160</v>
      </c>
      <c r="I150" s="467" t="s">
        <v>2140</v>
      </c>
      <c r="J150" s="467" t="s">
        <v>2142</v>
      </c>
      <c r="K150" s="467" t="s">
        <v>1705</v>
      </c>
      <c r="L150" s="467" t="s">
        <v>14208</v>
      </c>
      <c r="M150" s="467" t="s">
        <v>1186</v>
      </c>
      <c r="N150" s="467" t="s">
        <v>1105</v>
      </c>
      <c r="O150" s="467" t="s">
        <v>2155</v>
      </c>
      <c r="P150" s="467" t="s">
        <v>1188</v>
      </c>
      <c r="Q150" s="467" t="s">
        <v>1107</v>
      </c>
      <c r="R150" s="467" t="s">
        <v>1109</v>
      </c>
      <c r="S150" s="467" t="s">
        <v>1190</v>
      </c>
      <c r="T150" s="467" t="s">
        <v>2161</v>
      </c>
      <c r="U150" s="467" t="s">
        <v>1193</v>
      </c>
      <c r="V150" s="467" t="s">
        <v>2164</v>
      </c>
      <c r="W150" s="467" t="s">
        <v>1726</v>
      </c>
      <c r="X150" s="467" t="s">
        <v>1497</v>
      </c>
      <c r="Y150" s="467" t="s">
        <v>1209</v>
      </c>
      <c r="Z150" s="467" t="s">
        <v>2171</v>
      </c>
      <c r="AA150" s="467" t="s">
        <v>1122</v>
      </c>
      <c r="AB150" s="467" t="s">
        <v>1233</v>
      </c>
      <c r="AC150" s="467" t="s">
        <v>11368</v>
      </c>
      <c r="AD150" s="467" t="s">
        <v>1235</v>
      </c>
      <c r="AE150" s="467" t="s">
        <v>11439</v>
      </c>
      <c r="AF150" s="467" t="s">
        <v>1240</v>
      </c>
      <c r="AG150" s="467" t="s">
        <v>1134</v>
      </c>
      <c r="AH150" s="467" t="s">
        <v>1253</v>
      </c>
      <c r="AI150" s="467" t="s">
        <v>1257</v>
      </c>
      <c r="AJ150" s="467" t="s">
        <v>1260</v>
      </c>
      <c r="AK150" s="467" t="s">
        <v>2186</v>
      </c>
      <c r="AL150" s="467" t="s">
        <v>2187</v>
      </c>
      <c r="AM150" s="467" t="s">
        <v>1789</v>
      </c>
      <c r="AN150" s="467" t="s">
        <v>1266</v>
      </c>
    </row>
    <row r="151" spans="1:79" x14ac:dyDescent="0.25">
      <c r="A151" s="467" t="s">
        <v>700</v>
      </c>
      <c r="B151" s="467" t="s">
        <v>699</v>
      </c>
      <c r="C151" s="467" t="s">
        <v>1096</v>
      </c>
      <c r="D151" s="467" t="s">
        <v>11363</v>
      </c>
      <c r="E151" s="467" t="s">
        <v>1685</v>
      </c>
      <c r="F151" s="467" t="s">
        <v>1688</v>
      </c>
      <c r="G151" s="467" t="s">
        <v>1102</v>
      </c>
      <c r="H151" s="467" t="s">
        <v>1174</v>
      </c>
      <c r="I151" s="467" t="s">
        <v>1704</v>
      </c>
      <c r="J151" s="467" t="s">
        <v>1186</v>
      </c>
      <c r="K151" s="467" t="s">
        <v>1709</v>
      </c>
      <c r="L151" s="467" t="s">
        <v>1105</v>
      </c>
      <c r="M151" s="467" t="s">
        <v>1109</v>
      </c>
      <c r="N151" s="467" t="s">
        <v>14231</v>
      </c>
      <c r="O151" s="467" t="s">
        <v>1722</v>
      </c>
      <c r="P151" s="467" t="s">
        <v>1197</v>
      </c>
      <c r="Q151" s="467" t="s">
        <v>1730</v>
      </c>
      <c r="R151" s="467" t="s">
        <v>1208</v>
      </c>
      <c r="S151" s="467" t="s">
        <v>1743</v>
      </c>
      <c r="T151" s="467" t="s">
        <v>1744</v>
      </c>
      <c r="U151" s="467" t="s">
        <v>1122</v>
      </c>
      <c r="V151" s="467" t="s">
        <v>1748</v>
      </c>
      <c r="W151" s="467" t="s">
        <v>14287</v>
      </c>
      <c r="X151" s="467" t="s">
        <v>1228</v>
      </c>
      <c r="Y151" s="467" t="s">
        <v>1752</v>
      </c>
      <c r="Z151" s="467" t="s">
        <v>1124</v>
      </c>
      <c r="AA151" s="467" t="s">
        <v>1754</v>
      </c>
      <c r="AB151" s="467" t="s">
        <v>1126</v>
      </c>
      <c r="AC151" s="467" t="s">
        <v>1762</v>
      </c>
      <c r="AD151" s="467" t="s">
        <v>1766</v>
      </c>
      <c r="AE151" s="467" t="s">
        <v>1253</v>
      </c>
      <c r="AF151" s="467" t="s">
        <v>1779</v>
      </c>
      <c r="AG151" s="467" t="s">
        <v>1260</v>
      </c>
      <c r="AH151" s="467" t="s">
        <v>1786</v>
      </c>
      <c r="AI151" s="467" t="s">
        <v>1266</v>
      </c>
    </row>
    <row r="152" spans="1:79" x14ac:dyDescent="0.25">
      <c r="A152" s="467" t="s">
        <v>702</v>
      </c>
      <c r="B152" s="467" t="s">
        <v>701</v>
      </c>
      <c r="C152" s="467" t="s">
        <v>1385</v>
      </c>
      <c r="D152" s="467" t="s">
        <v>1093</v>
      </c>
      <c r="E152" s="467" t="s">
        <v>1096</v>
      </c>
      <c r="F152" s="467" t="s">
        <v>1270</v>
      </c>
      <c r="G152" s="467" t="s">
        <v>1395</v>
      </c>
      <c r="H152" s="467" t="s">
        <v>14142</v>
      </c>
      <c r="I152" s="467" t="s">
        <v>1407</v>
      </c>
      <c r="J152" s="467" t="s">
        <v>1100</v>
      </c>
      <c r="K152" s="467" t="s">
        <v>1420</v>
      </c>
      <c r="L152" s="467" t="s">
        <v>1427</v>
      </c>
      <c r="M152" s="467" t="s">
        <v>1431</v>
      </c>
      <c r="N152" s="467" t="s">
        <v>1432</v>
      </c>
      <c r="O152" s="467" t="s">
        <v>1433</v>
      </c>
      <c r="P152" s="467" t="s">
        <v>1437</v>
      </c>
      <c r="Q152" s="467" t="s">
        <v>1298</v>
      </c>
      <c r="R152" s="467" t="s">
        <v>14208</v>
      </c>
      <c r="S152" s="467" t="s">
        <v>1453</v>
      </c>
      <c r="T152" s="467" t="s">
        <v>11386</v>
      </c>
      <c r="U152" s="467" t="s">
        <v>1459</v>
      </c>
      <c r="V152" s="467" t="s">
        <v>1460</v>
      </c>
      <c r="W152" s="467" t="s">
        <v>1461</v>
      </c>
      <c r="X152" s="467" t="s">
        <v>1188</v>
      </c>
      <c r="Y152" s="467" t="s">
        <v>1107</v>
      </c>
      <c r="Z152" s="467" t="s">
        <v>1468</v>
      </c>
      <c r="AA152" s="467" t="s">
        <v>1189</v>
      </c>
      <c r="AB152" s="467" t="s">
        <v>1471</v>
      </c>
      <c r="AC152" s="467" t="s">
        <v>1190</v>
      </c>
      <c r="AD152" s="467" t="s">
        <v>1307</v>
      </c>
      <c r="AE152" s="467" t="s">
        <v>1308</v>
      </c>
      <c r="AF152" s="467" t="s">
        <v>1481</v>
      </c>
      <c r="AG152" s="467" t="s">
        <v>1486</v>
      </c>
      <c r="AH152" s="467" t="s">
        <v>1487</v>
      </c>
      <c r="AI152" s="467" t="s">
        <v>1202</v>
      </c>
      <c r="AJ152" s="467" t="s">
        <v>1492</v>
      </c>
      <c r="AK152" s="467" t="s">
        <v>1112</v>
      </c>
      <c r="AL152" s="467" t="s">
        <v>1499</v>
      </c>
      <c r="AM152" s="467" t="s">
        <v>1502</v>
      </c>
      <c r="AN152" s="467" t="s">
        <v>1315</v>
      </c>
      <c r="AO152" s="467" t="s">
        <v>1506</v>
      </c>
      <c r="AP152" s="467" t="s">
        <v>1319</v>
      </c>
      <c r="AQ152" s="467" t="s">
        <v>1120</v>
      </c>
      <c r="AR152" s="467" t="s">
        <v>1322</v>
      </c>
      <c r="AS152" s="467" t="s">
        <v>1217</v>
      </c>
      <c r="AT152" s="467" t="s">
        <v>1325</v>
      </c>
      <c r="AU152" s="467" t="s">
        <v>1515</v>
      </c>
      <c r="AV152" s="467" t="s">
        <v>1220</v>
      </c>
      <c r="AW152" s="467" t="s">
        <v>1517</v>
      </c>
      <c r="AX152" s="467" t="s">
        <v>1332</v>
      </c>
      <c r="AY152" s="467" t="s">
        <v>1518</v>
      </c>
      <c r="AZ152" s="467" t="s">
        <v>1525</v>
      </c>
      <c r="BA152" s="467" t="s">
        <v>1122</v>
      </c>
      <c r="BB152" s="467" t="s">
        <v>1534</v>
      </c>
      <c r="BC152" s="467" t="s">
        <v>1234</v>
      </c>
      <c r="BD152" s="467" t="s">
        <v>1126</v>
      </c>
      <c r="BE152" s="467" t="s">
        <v>1342</v>
      </c>
      <c r="BF152" s="467" t="s">
        <v>1130</v>
      </c>
      <c r="BG152" s="467" t="s">
        <v>1553</v>
      </c>
      <c r="BH152" s="467" t="s">
        <v>1345</v>
      </c>
      <c r="BI152" s="467" t="s">
        <v>1249</v>
      </c>
      <c r="BJ152" s="467" t="s">
        <v>1253</v>
      </c>
      <c r="BK152" s="467" t="s">
        <v>1577</v>
      </c>
      <c r="BL152" s="467" t="s">
        <v>1582</v>
      </c>
      <c r="BM152" s="467" t="s">
        <v>1584</v>
      </c>
      <c r="BN152" s="467" t="s">
        <v>1587</v>
      </c>
      <c r="BO152" s="467" t="s">
        <v>1590</v>
      </c>
      <c r="BP152" s="467" t="s">
        <v>1262</v>
      </c>
      <c r="BQ152" s="467" t="s">
        <v>1264</v>
      </c>
    </row>
    <row r="153" spans="1:79" x14ac:dyDescent="0.25">
      <c r="A153" s="467" t="s">
        <v>704</v>
      </c>
      <c r="B153" s="467" t="s">
        <v>703</v>
      </c>
      <c r="C153" s="467" t="s">
        <v>1096</v>
      </c>
      <c r="D153" s="467" t="s">
        <v>1151</v>
      </c>
      <c r="E153" s="467" t="s">
        <v>1673</v>
      </c>
      <c r="F153" s="467" t="s">
        <v>11370</v>
      </c>
      <c r="G153" s="467" t="s">
        <v>1680</v>
      </c>
      <c r="H153" s="467" t="s">
        <v>1160</v>
      </c>
      <c r="I153" s="467" t="s">
        <v>1682</v>
      </c>
      <c r="J153" s="467" t="s">
        <v>1623</v>
      </c>
      <c r="K153" s="467" t="s">
        <v>1167</v>
      </c>
      <c r="L153" s="467" t="s">
        <v>1172</v>
      </c>
      <c r="M153" s="467" t="s">
        <v>1102</v>
      </c>
      <c r="N153" s="467" t="s">
        <v>1183</v>
      </c>
      <c r="O153" s="467" t="s">
        <v>1186</v>
      </c>
      <c r="P153" s="467" t="s">
        <v>1105</v>
      </c>
      <c r="Q153" s="467" t="s">
        <v>1188</v>
      </c>
      <c r="R153" s="467" t="s">
        <v>1109</v>
      </c>
      <c r="S153" s="467" t="s">
        <v>1190</v>
      </c>
      <c r="T153" s="467" t="s">
        <v>11401</v>
      </c>
      <c r="U153" s="467" t="s">
        <v>1193</v>
      </c>
      <c r="V153" s="467" t="s">
        <v>1195</v>
      </c>
      <c r="W153" s="467" t="s">
        <v>14243</v>
      </c>
      <c r="X153" s="467" t="s">
        <v>1310</v>
      </c>
      <c r="Y153" s="467" t="s">
        <v>1732</v>
      </c>
      <c r="Z153" s="467" t="s">
        <v>1209</v>
      </c>
      <c r="AA153" s="467" t="s">
        <v>1744</v>
      </c>
      <c r="AB153" s="467" t="s">
        <v>1122</v>
      </c>
      <c r="AC153" s="467" t="s">
        <v>1225</v>
      </c>
      <c r="AD153" s="467" t="s">
        <v>1228</v>
      </c>
      <c r="AE153" s="467" t="s">
        <v>1234</v>
      </c>
      <c r="AF153" s="467" t="s">
        <v>1126</v>
      </c>
      <c r="AG153" s="467" t="s">
        <v>1760</v>
      </c>
      <c r="AH153" s="467" t="s">
        <v>1245</v>
      </c>
      <c r="AI153" s="467" t="s">
        <v>1249</v>
      </c>
      <c r="AJ153" s="467" t="s">
        <v>1253</v>
      </c>
      <c r="AK153" s="467" t="s">
        <v>1266</v>
      </c>
    </row>
    <row r="154" spans="1:79" x14ac:dyDescent="0.25">
      <c r="A154" s="467" t="s">
        <v>706</v>
      </c>
      <c r="B154" s="467" t="s">
        <v>705</v>
      </c>
      <c r="C154" s="467" t="s">
        <v>2134</v>
      </c>
      <c r="D154" s="467" t="s">
        <v>1143</v>
      </c>
      <c r="E154" s="467" t="s">
        <v>1668</v>
      </c>
      <c r="F154" s="467" t="s">
        <v>1096</v>
      </c>
      <c r="G154" s="467" t="s">
        <v>1151</v>
      </c>
      <c r="H154" s="467" t="s">
        <v>11363</v>
      </c>
      <c r="I154" s="467" t="s">
        <v>1403</v>
      </c>
      <c r="J154" s="467" t="s">
        <v>1621</v>
      </c>
      <c r="K154" s="467" t="s">
        <v>1164</v>
      </c>
      <c r="L154" s="467" t="s">
        <v>1100</v>
      </c>
      <c r="M154" s="467" t="s">
        <v>2142</v>
      </c>
      <c r="N154" s="467" t="s">
        <v>1167</v>
      </c>
      <c r="O154" s="467" t="s">
        <v>1172</v>
      </c>
      <c r="P154" s="467" t="s">
        <v>2146</v>
      </c>
      <c r="Q154" s="467" t="s">
        <v>1705</v>
      </c>
      <c r="R154" s="467" t="s">
        <v>14208</v>
      </c>
      <c r="S154" s="467" t="s">
        <v>1185</v>
      </c>
      <c r="T154" s="467" t="s">
        <v>1186</v>
      </c>
      <c r="U154" s="467" t="s">
        <v>14220</v>
      </c>
      <c r="V154" s="467" t="s">
        <v>1630</v>
      </c>
      <c r="W154" s="467" t="s">
        <v>1105</v>
      </c>
      <c r="X154" s="467" t="s">
        <v>1107</v>
      </c>
      <c r="Y154" s="467" t="s">
        <v>1109</v>
      </c>
      <c r="Z154" s="467" t="s">
        <v>1634</v>
      </c>
      <c r="AA154" s="467" t="s">
        <v>1190</v>
      </c>
      <c r="AB154" s="467" t="s">
        <v>2161</v>
      </c>
      <c r="AC154" s="467" t="s">
        <v>1638</v>
      </c>
      <c r="AD154" s="467" t="s">
        <v>1639</v>
      </c>
      <c r="AE154" s="467" t="s">
        <v>1726</v>
      </c>
      <c r="AF154" s="467" t="s">
        <v>1196</v>
      </c>
      <c r="AG154" s="467" t="s">
        <v>2166</v>
      </c>
      <c r="AH154" s="467" t="s">
        <v>2168</v>
      </c>
      <c r="AI154" s="467" t="s">
        <v>1497</v>
      </c>
      <c r="AJ154" s="467" t="s">
        <v>1329</v>
      </c>
      <c r="AK154" s="467" t="s">
        <v>1223</v>
      </c>
      <c r="AL154" s="467" t="s">
        <v>1122</v>
      </c>
      <c r="AM154" s="467" t="s">
        <v>1225</v>
      </c>
      <c r="AN154" s="467" t="s">
        <v>1227</v>
      </c>
      <c r="AO154" s="467" t="s">
        <v>1228</v>
      </c>
      <c r="AP154" s="467" t="s">
        <v>1648</v>
      </c>
      <c r="AQ154" s="467" t="s">
        <v>1124</v>
      </c>
      <c r="AR154" s="467" t="s">
        <v>1234</v>
      </c>
      <c r="AS154" s="467" t="s">
        <v>1235</v>
      </c>
      <c r="AT154" s="467" t="s">
        <v>1126</v>
      </c>
      <c r="AU154" s="467" t="s">
        <v>11439</v>
      </c>
      <c r="AV154" s="467" t="s">
        <v>1240</v>
      </c>
      <c r="AW154" s="467" t="s">
        <v>1134</v>
      </c>
      <c r="AX154" s="467" t="s">
        <v>2175</v>
      </c>
      <c r="AY154" s="467" t="s">
        <v>11466</v>
      </c>
      <c r="AZ154" s="467" t="s">
        <v>1249</v>
      </c>
      <c r="BA154" s="467" t="s">
        <v>1253</v>
      </c>
      <c r="BB154" s="467" t="s">
        <v>2184</v>
      </c>
      <c r="BC154" s="467" t="s">
        <v>1257</v>
      </c>
      <c r="BD154" s="467" t="s">
        <v>2186</v>
      </c>
      <c r="BE154" s="467" t="s">
        <v>2187</v>
      </c>
      <c r="BF154" s="467" t="s">
        <v>1262</v>
      </c>
      <c r="BG154" s="467" t="s">
        <v>2191</v>
      </c>
      <c r="BH154" s="467" t="s">
        <v>1789</v>
      </c>
      <c r="BI154" s="467" t="s">
        <v>2192</v>
      </c>
      <c r="BJ154" s="467" t="s">
        <v>1266</v>
      </c>
    </row>
    <row r="155" spans="1:79" x14ac:dyDescent="0.25">
      <c r="A155" s="467" t="s">
        <v>708</v>
      </c>
      <c r="B155" s="467" t="s">
        <v>707</v>
      </c>
      <c r="C155" s="467" t="s">
        <v>1147</v>
      </c>
      <c r="D155" s="467" t="s">
        <v>1093</v>
      </c>
      <c r="E155" s="467" t="s">
        <v>1096</v>
      </c>
      <c r="F155" s="467" t="s">
        <v>1151</v>
      </c>
      <c r="G155" s="467" t="s">
        <v>11362</v>
      </c>
      <c r="H155" s="467" t="s">
        <v>11363</v>
      </c>
      <c r="I155" s="467" t="s">
        <v>1154</v>
      </c>
      <c r="J155" s="467" t="s">
        <v>1100</v>
      </c>
      <c r="K155" s="467" t="s">
        <v>1166</v>
      </c>
      <c r="L155" s="467" t="s">
        <v>1167</v>
      </c>
      <c r="M155" s="467" t="s">
        <v>1171</v>
      </c>
      <c r="N155" s="467" t="s">
        <v>1172</v>
      </c>
      <c r="O155" s="467" t="s">
        <v>1173</v>
      </c>
      <c r="P155" s="467" t="s">
        <v>1177</v>
      </c>
      <c r="Q155" s="467" t="s">
        <v>1178</v>
      </c>
      <c r="R155" s="467" t="s">
        <v>1186</v>
      </c>
      <c r="S155" s="467" t="s">
        <v>1188</v>
      </c>
      <c r="T155" s="467" t="s">
        <v>1107</v>
      </c>
      <c r="U155" s="467" t="s">
        <v>1190</v>
      </c>
      <c r="V155" s="467" t="s">
        <v>11366</v>
      </c>
      <c r="W155" s="467" t="s">
        <v>1197</v>
      </c>
      <c r="X155" s="467" t="s">
        <v>1203</v>
      </c>
      <c r="Y155" s="467" t="s">
        <v>1206</v>
      </c>
      <c r="Z155" s="467" t="s">
        <v>1112</v>
      </c>
      <c r="AA155" s="467" t="s">
        <v>1207</v>
      </c>
      <c r="AB155" s="467" t="s">
        <v>1213</v>
      </c>
      <c r="AC155" s="467" t="s">
        <v>1215</v>
      </c>
      <c r="AD155" s="467" t="s">
        <v>1220</v>
      </c>
      <c r="AE155" s="467" t="s">
        <v>1122</v>
      </c>
      <c r="AF155" s="467" t="s">
        <v>1225</v>
      </c>
      <c r="AG155" s="467" t="s">
        <v>1226</v>
      </c>
      <c r="AH155" s="467" t="s">
        <v>1228</v>
      </c>
      <c r="AI155" s="467" t="s">
        <v>1231</v>
      </c>
      <c r="AJ155" s="467" t="s">
        <v>11368</v>
      </c>
      <c r="AK155" s="467" t="s">
        <v>1126</v>
      </c>
      <c r="AL155" s="467" t="s">
        <v>1241</v>
      </c>
      <c r="AM155" s="467" t="s">
        <v>1134</v>
      </c>
      <c r="AN155" s="467" t="s">
        <v>1242</v>
      </c>
      <c r="AO155" s="467" t="s">
        <v>1253</v>
      </c>
      <c r="AP155" s="467" t="s">
        <v>1254</v>
      </c>
      <c r="AQ155" s="467" t="s">
        <v>1260</v>
      </c>
      <c r="AR155" s="467" t="s">
        <v>1261</v>
      </c>
    </row>
    <row r="156" spans="1:79" x14ac:dyDescent="0.25">
      <c r="A156" s="467" t="s">
        <v>710</v>
      </c>
      <c r="B156" s="467" t="s">
        <v>709</v>
      </c>
      <c r="C156" s="467" t="s">
        <v>1385</v>
      </c>
      <c r="D156" s="467" t="s">
        <v>1100</v>
      </c>
      <c r="E156" s="467" t="s">
        <v>1833</v>
      </c>
      <c r="F156" s="467" t="s">
        <v>14208</v>
      </c>
      <c r="G156" s="467" t="s">
        <v>1185</v>
      </c>
      <c r="H156" s="467" t="s">
        <v>1187</v>
      </c>
      <c r="I156" s="467" t="s">
        <v>1105</v>
      </c>
      <c r="J156" s="467" t="s">
        <v>1107</v>
      </c>
      <c r="K156" s="467" t="s">
        <v>1109</v>
      </c>
      <c r="L156" s="467" t="s">
        <v>1189</v>
      </c>
      <c r="M156" s="467" t="s">
        <v>1190</v>
      </c>
      <c r="N156" s="467" t="s">
        <v>1310</v>
      </c>
      <c r="O156" s="467" t="s">
        <v>1202</v>
      </c>
      <c r="P156" s="467" t="s">
        <v>1863</v>
      </c>
      <c r="Q156" s="467" t="s">
        <v>1114</v>
      </c>
      <c r="R156" s="467" t="s">
        <v>11414</v>
      </c>
      <c r="S156" s="467" t="s">
        <v>1217</v>
      </c>
      <c r="T156" s="467" t="s">
        <v>1218</v>
      </c>
      <c r="U156" s="467" t="s">
        <v>11367</v>
      </c>
      <c r="V156" s="467" t="s">
        <v>1875</v>
      </c>
      <c r="W156" s="467" t="s">
        <v>1122</v>
      </c>
      <c r="X156" s="467" t="s">
        <v>1536</v>
      </c>
      <c r="Y156" s="467" t="s">
        <v>1233</v>
      </c>
      <c r="Z156" s="467" t="s">
        <v>11368</v>
      </c>
      <c r="AA156" s="467" t="s">
        <v>1234</v>
      </c>
      <c r="AB156" s="467" t="s">
        <v>1126</v>
      </c>
      <c r="AC156" s="467" t="s">
        <v>1892</v>
      </c>
      <c r="AD156" s="467" t="s">
        <v>1899</v>
      </c>
      <c r="AE156" s="467" t="s">
        <v>1130</v>
      </c>
      <c r="AF156" s="467" t="s">
        <v>1134</v>
      </c>
      <c r="AG156" s="467" t="s">
        <v>1904</v>
      </c>
      <c r="AH156" s="467" t="s">
        <v>1910</v>
      </c>
      <c r="AI156" s="467" t="s">
        <v>1249</v>
      </c>
    </row>
    <row r="157" spans="1:79" x14ac:dyDescent="0.25">
      <c r="A157" s="467" t="s">
        <v>712</v>
      </c>
      <c r="B157" s="467" t="s">
        <v>711</v>
      </c>
      <c r="C157" s="467" t="s">
        <v>1385</v>
      </c>
      <c r="D157" s="467" t="s">
        <v>1096</v>
      </c>
      <c r="E157" s="467" t="s">
        <v>1270</v>
      </c>
      <c r="F157" s="467" t="s">
        <v>1277</v>
      </c>
      <c r="G157" s="467" t="s">
        <v>1410</v>
      </c>
      <c r="H157" s="467" t="s">
        <v>1411</v>
      </c>
      <c r="I157" s="467" t="s">
        <v>1285</v>
      </c>
      <c r="J157" s="467" t="s">
        <v>1415</v>
      </c>
      <c r="K157" s="467" t="s">
        <v>1100</v>
      </c>
      <c r="L157" s="467" t="s">
        <v>1692</v>
      </c>
      <c r="M157" s="467" t="s">
        <v>1420</v>
      </c>
      <c r="N157" s="467" t="s">
        <v>1426</v>
      </c>
      <c r="O157" s="467" t="s">
        <v>11385</v>
      </c>
      <c r="P157" s="467" t="s">
        <v>1433</v>
      </c>
      <c r="Q157" s="467" t="s">
        <v>1185</v>
      </c>
      <c r="R157" s="467" t="s">
        <v>1459</v>
      </c>
      <c r="S157" s="467" t="s">
        <v>1105</v>
      </c>
      <c r="T157" s="467" t="s">
        <v>1109</v>
      </c>
      <c r="U157" s="467" t="s">
        <v>1469</v>
      </c>
      <c r="V157" s="467" t="s">
        <v>1189</v>
      </c>
      <c r="W157" s="467" t="s">
        <v>1307</v>
      </c>
      <c r="X157" s="467" t="s">
        <v>1483</v>
      </c>
      <c r="Y157" s="467" t="s">
        <v>1484</v>
      </c>
      <c r="Z157" s="467" t="s">
        <v>1486</v>
      </c>
      <c r="AA157" s="467" t="s">
        <v>1490</v>
      </c>
      <c r="AB157" s="467" t="s">
        <v>1311</v>
      </c>
      <c r="AC157" s="467" t="s">
        <v>1202</v>
      </c>
      <c r="AD157" s="467" t="s">
        <v>1496</v>
      </c>
      <c r="AE157" s="467" t="s">
        <v>1112</v>
      </c>
      <c r="AF157" s="467" t="s">
        <v>1114</v>
      </c>
      <c r="AG157" s="467" t="s">
        <v>1505</v>
      </c>
      <c r="AH157" s="467" t="s">
        <v>1506</v>
      </c>
      <c r="AI157" s="467" t="s">
        <v>1319</v>
      </c>
      <c r="AJ157" s="467" t="s">
        <v>1120</v>
      </c>
      <c r="AK157" s="467" t="s">
        <v>1322</v>
      </c>
      <c r="AL157" s="467" t="s">
        <v>1217</v>
      </c>
      <c r="AM157" s="467" t="s">
        <v>1220</v>
      </c>
      <c r="AN157" s="467" t="s">
        <v>1330</v>
      </c>
      <c r="AO157" s="467" t="s">
        <v>1332</v>
      </c>
      <c r="AP157" s="467" t="s">
        <v>1523</v>
      </c>
      <c r="AQ157" s="467" t="s">
        <v>1525</v>
      </c>
      <c r="AR157" s="467" t="s">
        <v>2171</v>
      </c>
      <c r="AS157" s="467" t="s">
        <v>1122</v>
      </c>
      <c r="AT157" s="467" t="s">
        <v>1533</v>
      </c>
      <c r="AU157" s="467" t="s">
        <v>1124</v>
      </c>
      <c r="AV157" s="467" t="s">
        <v>1540</v>
      </c>
      <c r="AW157" s="467" t="s">
        <v>11368</v>
      </c>
      <c r="AX157" s="467" t="s">
        <v>1126</v>
      </c>
      <c r="AY157" s="467" t="s">
        <v>1130</v>
      </c>
      <c r="AZ157" s="467" t="s">
        <v>1550</v>
      </c>
      <c r="BA157" s="467" t="s">
        <v>1345</v>
      </c>
      <c r="BB157" s="467" t="s">
        <v>1557</v>
      </c>
      <c r="BC157" s="467" t="s">
        <v>1347</v>
      </c>
      <c r="BD157" s="467" t="s">
        <v>1561</v>
      </c>
      <c r="BE157" s="467" t="s">
        <v>1571</v>
      </c>
      <c r="BF157" s="467" t="s">
        <v>1253</v>
      </c>
      <c r="BG157" s="467" t="s">
        <v>1587</v>
      </c>
      <c r="BH157" s="467" t="s">
        <v>1264</v>
      </c>
    </row>
    <row r="158" spans="1:79" x14ac:dyDescent="0.25">
      <c r="A158" s="467" t="s">
        <v>714</v>
      </c>
      <c r="B158" s="467" t="s">
        <v>713</v>
      </c>
      <c r="C158" s="467" t="s">
        <v>1093</v>
      </c>
      <c r="D158" s="467" t="s">
        <v>1157</v>
      </c>
      <c r="E158" s="467" t="s">
        <v>1158</v>
      </c>
      <c r="F158" s="467" t="s">
        <v>1961</v>
      </c>
      <c r="G158" s="467" t="s">
        <v>1100</v>
      </c>
      <c r="H158" s="467" t="s">
        <v>14213</v>
      </c>
      <c r="I158" s="467" t="s">
        <v>1105</v>
      </c>
      <c r="J158" s="467" t="s">
        <v>1109</v>
      </c>
      <c r="K158" s="467" t="s">
        <v>1190</v>
      </c>
      <c r="L158" s="467" t="s">
        <v>1112</v>
      </c>
      <c r="M158" s="467" t="s">
        <v>1207</v>
      </c>
      <c r="N158" s="467" t="s">
        <v>1218</v>
      </c>
      <c r="O158" s="467" t="s">
        <v>11367</v>
      </c>
      <c r="P158" s="467" t="s">
        <v>1226</v>
      </c>
      <c r="Q158" s="467" t="s">
        <v>1126</v>
      </c>
      <c r="R158" s="467" t="s">
        <v>2110</v>
      </c>
      <c r="S158" s="467" t="s">
        <v>1240</v>
      </c>
      <c r="T158" s="467" t="s">
        <v>2117</v>
      </c>
      <c r="U158" s="467" t="s">
        <v>1253</v>
      </c>
      <c r="V158" s="467" t="s">
        <v>2123</v>
      </c>
      <c r="W158" s="467" t="s">
        <v>1258</v>
      </c>
      <c r="X158" s="467" t="s">
        <v>1259</v>
      </c>
      <c r="Y158" s="467" t="s">
        <v>2127</v>
      </c>
      <c r="Z158" s="467" t="s">
        <v>1266</v>
      </c>
    </row>
    <row r="159" spans="1:79" x14ac:dyDescent="0.25">
      <c r="A159" s="467" t="s">
        <v>716</v>
      </c>
      <c r="B159" s="467" t="s">
        <v>715</v>
      </c>
      <c r="C159" s="467" t="s">
        <v>1145</v>
      </c>
      <c r="D159" s="467" t="s">
        <v>1093</v>
      </c>
      <c r="E159" s="467" t="s">
        <v>1096</v>
      </c>
      <c r="F159" s="467" t="s">
        <v>11363</v>
      </c>
      <c r="G159" s="467" t="s">
        <v>1100</v>
      </c>
      <c r="H159" s="467" t="s">
        <v>1171</v>
      </c>
      <c r="I159" s="467" t="s">
        <v>1173</v>
      </c>
      <c r="J159" s="467" t="s">
        <v>1178</v>
      </c>
      <c r="K159" s="467" t="s">
        <v>14208</v>
      </c>
      <c r="L159" s="467" t="s">
        <v>1190</v>
      </c>
      <c r="M159" s="467" t="s">
        <v>1194</v>
      </c>
      <c r="N159" s="467" t="s">
        <v>1198</v>
      </c>
      <c r="O159" s="467" t="s">
        <v>1201</v>
      </c>
      <c r="P159" s="467" t="s">
        <v>1203</v>
      </c>
      <c r="Q159" s="467" t="s">
        <v>1210</v>
      </c>
      <c r="R159" s="467" t="s">
        <v>1215</v>
      </c>
      <c r="S159" s="467" t="s">
        <v>1216</v>
      </c>
      <c r="T159" s="467" t="s">
        <v>1221</v>
      </c>
      <c r="U159" s="467" t="s">
        <v>1122</v>
      </c>
      <c r="V159" s="467" t="s">
        <v>1226</v>
      </c>
      <c r="W159" s="467" t="s">
        <v>1228</v>
      </c>
      <c r="X159" s="467" t="s">
        <v>1124</v>
      </c>
      <c r="Y159" s="467" t="s">
        <v>1126</v>
      </c>
      <c r="Z159" s="467" t="s">
        <v>1245</v>
      </c>
      <c r="AA159" s="467" t="s">
        <v>1262</v>
      </c>
    </row>
    <row r="160" spans="1:79" x14ac:dyDescent="0.25">
      <c r="A160" s="467" t="s">
        <v>718</v>
      </c>
      <c r="B160" s="467" t="s">
        <v>717</v>
      </c>
      <c r="C160" s="467" t="s">
        <v>1147</v>
      </c>
      <c r="D160" s="467" t="s">
        <v>1669</v>
      </c>
      <c r="E160" s="467" t="s">
        <v>1096</v>
      </c>
      <c r="F160" s="467" t="s">
        <v>1673</v>
      </c>
      <c r="G160" s="467" t="s">
        <v>11363</v>
      </c>
      <c r="H160" s="467" t="s">
        <v>1403</v>
      </c>
      <c r="I160" s="467" t="s">
        <v>1679</v>
      </c>
      <c r="J160" s="467" t="s">
        <v>1681</v>
      </c>
      <c r="K160" s="467" t="s">
        <v>1160</v>
      </c>
      <c r="L160" s="467" t="s">
        <v>1683</v>
      </c>
      <c r="M160" s="467" t="s">
        <v>1687</v>
      </c>
      <c r="N160" s="467" t="s">
        <v>1688</v>
      </c>
      <c r="O160" s="467" t="s">
        <v>1693</v>
      </c>
      <c r="P160" s="467" t="s">
        <v>1694</v>
      </c>
      <c r="Q160" s="467" t="s">
        <v>1167</v>
      </c>
      <c r="R160" s="467" t="s">
        <v>1695</v>
      </c>
      <c r="S160" s="467" t="s">
        <v>1696</v>
      </c>
      <c r="T160" s="467" t="s">
        <v>1697</v>
      </c>
      <c r="U160" s="467" t="s">
        <v>11452</v>
      </c>
      <c r="V160" s="467" t="s">
        <v>1102</v>
      </c>
      <c r="W160" s="467" t="s">
        <v>1174</v>
      </c>
      <c r="X160" s="467" t="s">
        <v>1699</v>
      </c>
      <c r="Y160" s="467" t="s">
        <v>1177</v>
      </c>
      <c r="Z160" s="467" t="s">
        <v>14208</v>
      </c>
      <c r="AA160" s="467" t="s">
        <v>1706</v>
      </c>
      <c r="AB160" s="467" t="s">
        <v>1186</v>
      </c>
      <c r="AC160" s="467" t="s">
        <v>1708</v>
      </c>
      <c r="AD160" s="467" t="s">
        <v>1709</v>
      </c>
      <c r="AE160" s="467" t="s">
        <v>1710</v>
      </c>
      <c r="AF160" s="467" t="s">
        <v>1105</v>
      </c>
      <c r="AG160" s="467" t="s">
        <v>1188</v>
      </c>
      <c r="AH160" s="467" t="s">
        <v>1711</v>
      </c>
      <c r="AI160" s="467" t="s">
        <v>1712</v>
      </c>
      <c r="AJ160" s="467" t="s">
        <v>1109</v>
      </c>
      <c r="AK160" s="467" t="s">
        <v>1190</v>
      </c>
      <c r="AL160" s="467" t="s">
        <v>1193</v>
      </c>
      <c r="AM160" s="467" t="s">
        <v>1721</v>
      </c>
      <c r="AN160" s="467" t="s">
        <v>1723</v>
      </c>
      <c r="AO160" s="467" t="s">
        <v>1724</v>
      </c>
      <c r="AP160" s="467" t="s">
        <v>1728</v>
      </c>
      <c r="AQ160" s="467" t="s">
        <v>1729</v>
      </c>
      <c r="AR160" s="467" t="s">
        <v>1731</v>
      </c>
      <c r="AS160" s="467" t="s">
        <v>11405</v>
      </c>
      <c r="AT160" s="467" t="s">
        <v>1208</v>
      </c>
      <c r="AU160" s="467" t="s">
        <v>1209</v>
      </c>
      <c r="AV160" s="467" t="s">
        <v>1503</v>
      </c>
      <c r="AW160" s="467" t="s">
        <v>1741</v>
      </c>
      <c r="AX160" s="467" t="s">
        <v>1743</v>
      </c>
      <c r="AY160" s="467" t="s">
        <v>1744</v>
      </c>
      <c r="AZ160" s="467" t="s">
        <v>1223</v>
      </c>
      <c r="BA160" s="467" t="s">
        <v>1747</v>
      </c>
      <c r="BB160" s="467" t="s">
        <v>1122</v>
      </c>
      <c r="BC160" s="467" t="s">
        <v>1748</v>
      </c>
      <c r="BD160" s="467" t="s">
        <v>14287</v>
      </c>
      <c r="BE160" s="467" t="s">
        <v>1749</v>
      </c>
      <c r="BF160" s="467" t="s">
        <v>11407</v>
      </c>
      <c r="BG160" s="467" t="s">
        <v>1228</v>
      </c>
      <c r="BH160" s="467" t="s">
        <v>14295</v>
      </c>
      <c r="BI160" s="467" t="s">
        <v>1751</v>
      </c>
      <c r="BJ160" s="467" t="s">
        <v>1752</v>
      </c>
      <c r="BK160" s="467" t="s">
        <v>1124</v>
      </c>
      <c r="BL160" s="467" t="s">
        <v>1230</v>
      </c>
      <c r="BM160" s="467" t="s">
        <v>1234</v>
      </c>
      <c r="BN160" s="467" t="s">
        <v>1235</v>
      </c>
      <c r="BO160" s="467" t="s">
        <v>1126</v>
      </c>
      <c r="BP160" s="467" t="s">
        <v>1757</v>
      </c>
      <c r="BQ160" s="467" t="s">
        <v>1761</v>
      </c>
      <c r="BR160" s="467" t="s">
        <v>1763</v>
      </c>
      <c r="BS160" s="467" t="s">
        <v>1767</v>
      </c>
      <c r="BT160" s="467" t="s">
        <v>14418</v>
      </c>
      <c r="BU160" s="467" t="s">
        <v>1252</v>
      </c>
      <c r="BV160" s="467" t="s">
        <v>1253</v>
      </c>
      <c r="BW160" s="467" t="s">
        <v>1777</v>
      </c>
      <c r="BX160" s="467" t="s">
        <v>1779</v>
      </c>
      <c r="BY160" s="467" t="s">
        <v>1260</v>
      </c>
      <c r="BZ160" s="467" t="s">
        <v>1784</v>
      </c>
      <c r="CA160" s="467" t="s">
        <v>1266</v>
      </c>
    </row>
    <row r="161" spans="1:56" x14ac:dyDescent="0.25">
      <c r="A161" s="467" t="s">
        <v>720</v>
      </c>
      <c r="B161" s="467" t="s">
        <v>719</v>
      </c>
      <c r="C161" s="467" t="s">
        <v>1093</v>
      </c>
      <c r="D161" s="467" t="s">
        <v>1096</v>
      </c>
      <c r="E161" s="467" t="s">
        <v>1272</v>
      </c>
      <c r="F161" s="467" t="s">
        <v>1156</v>
      </c>
      <c r="G161" s="467" t="s">
        <v>1161</v>
      </c>
      <c r="H161" s="467" t="s">
        <v>1100</v>
      </c>
      <c r="I161" s="467" t="s">
        <v>1290</v>
      </c>
      <c r="J161" s="467" t="s">
        <v>1182</v>
      </c>
      <c r="K161" s="467" t="s">
        <v>1187</v>
      </c>
      <c r="L161" s="467" t="s">
        <v>1105</v>
      </c>
      <c r="M161" s="467" t="s">
        <v>1302</v>
      </c>
      <c r="N161" s="467" t="s">
        <v>1107</v>
      </c>
      <c r="O161" s="467" t="s">
        <v>11373</v>
      </c>
      <c r="P161" s="467" t="s">
        <v>1309</v>
      </c>
      <c r="Q161" s="467" t="s">
        <v>1195</v>
      </c>
      <c r="R161" s="467" t="s">
        <v>1202</v>
      </c>
      <c r="S161" s="467" t="s">
        <v>11374</v>
      </c>
      <c r="T161" s="467" t="s">
        <v>1112</v>
      </c>
      <c r="U161" s="467" t="s">
        <v>1319</v>
      </c>
      <c r="V161" s="467" t="s">
        <v>1321</v>
      </c>
      <c r="W161" s="467" t="s">
        <v>1217</v>
      </c>
      <c r="X161" s="467" t="s">
        <v>1327</v>
      </c>
      <c r="Y161" s="467" t="s">
        <v>1122</v>
      </c>
      <c r="Z161" s="467" t="s">
        <v>1225</v>
      </c>
      <c r="AA161" s="467" t="s">
        <v>1338</v>
      </c>
      <c r="AB161" s="467" t="s">
        <v>1126</v>
      </c>
      <c r="AC161" s="467" t="s">
        <v>1341</v>
      </c>
      <c r="AD161" s="467" t="s">
        <v>1342</v>
      </c>
      <c r="AE161" s="467" t="s">
        <v>1240</v>
      </c>
      <c r="AF161" s="467" t="s">
        <v>1134</v>
      </c>
      <c r="AG161" s="467" t="s">
        <v>1558</v>
      </c>
      <c r="AH161" s="467" t="s">
        <v>1364</v>
      </c>
    </row>
    <row r="162" spans="1:56" x14ac:dyDescent="0.25">
      <c r="A162" s="467" t="s">
        <v>722</v>
      </c>
      <c r="B162" s="467" t="s">
        <v>721</v>
      </c>
      <c r="C162" s="467" t="s">
        <v>1794</v>
      </c>
      <c r="D162" s="467" t="s">
        <v>1093</v>
      </c>
      <c r="E162" s="467" t="s">
        <v>1796</v>
      </c>
      <c r="F162" s="467" t="s">
        <v>1096</v>
      </c>
      <c r="G162" s="467" t="s">
        <v>1100</v>
      </c>
      <c r="H162" s="467" t="s">
        <v>1175</v>
      </c>
      <c r="I162" s="467" t="s">
        <v>1179</v>
      </c>
      <c r="J162" s="467" t="s">
        <v>14208</v>
      </c>
      <c r="K162" s="467" t="s">
        <v>1443</v>
      </c>
      <c r="L162" s="467" t="s">
        <v>1838</v>
      </c>
      <c r="M162" s="467" t="s">
        <v>14223</v>
      </c>
      <c r="N162" s="467" t="s">
        <v>1105</v>
      </c>
      <c r="O162" s="467" t="s">
        <v>1188</v>
      </c>
      <c r="P162" s="467" t="s">
        <v>1107</v>
      </c>
      <c r="Q162" s="467" t="s">
        <v>1109</v>
      </c>
      <c r="R162" s="467" t="s">
        <v>1189</v>
      </c>
      <c r="S162" s="467" t="s">
        <v>1190</v>
      </c>
      <c r="T162" s="467" t="s">
        <v>1202</v>
      </c>
      <c r="U162" s="467" t="s">
        <v>1114</v>
      </c>
      <c r="V162" s="467" t="s">
        <v>14400</v>
      </c>
      <c r="W162" s="467" t="s">
        <v>1320</v>
      </c>
      <c r="X162" s="467" t="s">
        <v>1869</v>
      </c>
      <c r="Y162" s="467" t="s">
        <v>1870</v>
      </c>
      <c r="Z162" s="467" t="s">
        <v>1217</v>
      </c>
      <c r="AA162" s="467" t="s">
        <v>1218</v>
      </c>
      <c r="AB162" s="467" t="s">
        <v>11367</v>
      </c>
      <c r="AC162" s="467" t="s">
        <v>1874</v>
      </c>
      <c r="AD162" s="467" t="s">
        <v>1122</v>
      </c>
      <c r="AE162" s="467" t="s">
        <v>1225</v>
      </c>
      <c r="AF162" s="467" t="s">
        <v>1124</v>
      </c>
      <c r="AG162" s="467" t="s">
        <v>1233</v>
      </c>
      <c r="AH162" s="467" t="s">
        <v>11368</v>
      </c>
      <c r="AI162" s="467" t="s">
        <v>1126</v>
      </c>
      <c r="AJ162" s="467" t="s">
        <v>1893</v>
      </c>
      <c r="AK162" s="467" t="s">
        <v>1921</v>
      </c>
      <c r="AL162" s="467" t="s">
        <v>1253</v>
      </c>
      <c r="AM162" s="467" t="s">
        <v>1928</v>
      </c>
      <c r="AN162" s="467" t="s">
        <v>1260</v>
      </c>
      <c r="AO162" s="467" t="s">
        <v>1935</v>
      </c>
      <c r="AP162" s="467" t="s">
        <v>1937</v>
      </c>
      <c r="AQ162" s="467" t="s">
        <v>1264</v>
      </c>
    </row>
    <row r="163" spans="1:56" x14ac:dyDescent="0.25">
      <c r="A163" s="467" t="s">
        <v>724</v>
      </c>
      <c r="B163" s="467" t="s">
        <v>723</v>
      </c>
      <c r="C163" s="467" t="s">
        <v>1283</v>
      </c>
      <c r="D163" s="467" t="s">
        <v>1100</v>
      </c>
      <c r="E163" s="467" t="s">
        <v>1293</v>
      </c>
      <c r="F163" s="467" t="s">
        <v>1175</v>
      </c>
      <c r="G163" s="467" t="s">
        <v>1294</v>
      </c>
      <c r="H163" s="467" t="s">
        <v>1187</v>
      </c>
      <c r="I163" s="467" t="s">
        <v>1105</v>
      </c>
      <c r="J163" s="467" t="s">
        <v>14243</v>
      </c>
      <c r="K163" s="467" t="s">
        <v>1310</v>
      </c>
      <c r="L163" s="467" t="s">
        <v>1202</v>
      </c>
      <c r="M163" s="467" t="s">
        <v>1312</v>
      </c>
      <c r="N163" s="467" t="s">
        <v>1112</v>
      </c>
      <c r="O163" s="467" t="s">
        <v>1114</v>
      </c>
      <c r="P163" s="467" t="s">
        <v>1210</v>
      </c>
      <c r="Q163" s="467" t="s">
        <v>1120</v>
      </c>
      <c r="R163" s="467" t="s">
        <v>1332</v>
      </c>
      <c r="S163" s="467" t="s">
        <v>1122</v>
      </c>
      <c r="T163" s="467" t="s">
        <v>1124</v>
      </c>
      <c r="U163" s="467" t="s">
        <v>1339</v>
      </c>
      <c r="V163" s="467" t="s">
        <v>1233</v>
      </c>
      <c r="W163" s="467" t="s">
        <v>1234</v>
      </c>
      <c r="X163" s="467" t="s">
        <v>1126</v>
      </c>
      <c r="Y163" s="467" t="s">
        <v>1346</v>
      </c>
      <c r="Z163" s="467" t="s">
        <v>1361</v>
      </c>
    </row>
    <row r="164" spans="1:56" x14ac:dyDescent="0.25">
      <c r="A164" s="467" t="s">
        <v>726</v>
      </c>
      <c r="B164" s="467" t="s">
        <v>725</v>
      </c>
      <c r="C164" s="467" t="s">
        <v>1093</v>
      </c>
      <c r="D164" s="467" t="s">
        <v>1096</v>
      </c>
      <c r="E164" s="467" t="s">
        <v>1157</v>
      </c>
      <c r="F164" s="467" t="s">
        <v>1158</v>
      </c>
      <c r="G164" s="467" t="s">
        <v>1961</v>
      </c>
      <c r="H164" s="467" t="s">
        <v>14208</v>
      </c>
      <c r="I164" s="467" t="s">
        <v>1105</v>
      </c>
      <c r="J164" s="467" t="s">
        <v>1109</v>
      </c>
      <c r="K164" s="467" t="s">
        <v>1310</v>
      </c>
      <c r="L164" s="467" t="s">
        <v>2093</v>
      </c>
      <c r="M164" s="467" t="s">
        <v>1226</v>
      </c>
      <c r="N164" s="467" t="s">
        <v>2008</v>
      </c>
      <c r="O164" s="467" t="s">
        <v>1126</v>
      </c>
      <c r="P164" s="467" t="s">
        <v>1240</v>
      </c>
      <c r="Q164" s="467" t="s">
        <v>1134</v>
      </c>
      <c r="R164" s="467" t="s">
        <v>2118</v>
      </c>
      <c r="S164" s="467" t="s">
        <v>2127</v>
      </c>
    </row>
    <row r="165" spans="1:56" x14ac:dyDescent="0.25">
      <c r="A165" s="467" t="s">
        <v>728</v>
      </c>
      <c r="B165" s="467" t="s">
        <v>727</v>
      </c>
      <c r="C165" s="467" t="s">
        <v>1391</v>
      </c>
      <c r="D165" s="467" t="s">
        <v>1096</v>
      </c>
      <c r="E165" s="467" t="s">
        <v>1670</v>
      </c>
      <c r="F165" s="467" t="s">
        <v>1150</v>
      </c>
      <c r="G165" s="467" t="s">
        <v>1151</v>
      </c>
      <c r="H165" s="467" t="s">
        <v>1680</v>
      </c>
      <c r="I165" s="467" t="s">
        <v>1160</v>
      </c>
      <c r="J165" s="467" t="s">
        <v>1411</v>
      </c>
      <c r="K165" s="467" t="s">
        <v>1100</v>
      </c>
      <c r="L165" s="467" t="s">
        <v>1690</v>
      </c>
      <c r="M165" s="467" t="s">
        <v>1167</v>
      </c>
      <c r="N165" s="467" t="s">
        <v>1624</v>
      </c>
      <c r="O165" s="467" t="s">
        <v>14208</v>
      </c>
      <c r="P165" s="467" t="s">
        <v>1183</v>
      </c>
      <c r="Q165" s="467" t="s">
        <v>1185</v>
      </c>
      <c r="R165" s="467" t="s">
        <v>1186</v>
      </c>
      <c r="S165" s="467" t="s">
        <v>1105</v>
      </c>
      <c r="T165" s="467" t="s">
        <v>1188</v>
      </c>
      <c r="U165" s="467" t="s">
        <v>1107</v>
      </c>
      <c r="V165" s="467" t="s">
        <v>1713</v>
      </c>
      <c r="W165" s="467" t="s">
        <v>1109</v>
      </c>
      <c r="X165" s="467" t="s">
        <v>1716</v>
      </c>
      <c r="Y165" s="467" t="s">
        <v>11401</v>
      </c>
      <c r="Z165" s="467" t="s">
        <v>1193</v>
      </c>
      <c r="AA165" s="467" t="s">
        <v>1735</v>
      </c>
      <c r="AB165" s="467" t="s">
        <v>1739</v>
      </c>
      <c r="AC165" s="467" t="s">
        <v>1210</v>
      </c>
      <c r="AD165" s="467" t="s">
        <v>1740</v>
      </c>
      <c r="AE165" s="467" t="s">
        <v>1742</v>
      </c>
      <c r="AF165" s="467" t="s">
        <v>1744</v>
      </c>
      <c r="AG165" s="467" t="s">
        <v>1223</v>
      </c>
      <c r="AH165" s="467" t="s">
        <v>1745</v>
      </c>
      <c r="AI165" s="467" t="s">
        <v>1122</v>
      </c>
      <c r="AJ165" s="467" t="s">
        <v>1225</v>
      </c>
      <c r="AK165" s="467" t="s">
        <v>1228</v>
      </c>
      <c r="AL165" s="467" t="s">
        <v>1752</v>
      </c>
      <c r="AM165" s="467" t="s">
        <v>1234</v>
      </c>
      <c r="AN165" s="467" t="s">
        <v>1126</v>
      </c>
      <c r="AO165" s="467" t="s">
        <v>1764</v>
      </c>
      <c r="AP165" s="467" t="s">
        <v>1774</v>
      </c>
      <c r="AQ165" s="467" t="s">
        <v>1247</v>
      </c>
      <c r="AR165" s="467" t="s">
        <v>1249</v>
      </c>
      <c r="AS165" s="467" t="s">
        <v>1252</v>
      </c>
      <c r="AT165" s="467" t="s">
        <v>1253</v>
      </c>
      <c r="AU165" s="467" t="s">
        <v>1260</v>
      </c>
      <c r="AV165" s="467" t="s">
        <v>1371</v>
      </c>
      <c r="AW165" s="467" t="s">
        <v>11410</v>
      </c>
      <c r="AX165" s="467" t="s">
        <v>1266</v>
      </c>
      <c r="AY165" s="467" t="s">
        <v>1790</v>
      </c>
    </row>
    <row r="166" spans="1:56" x14ac:dyDescent="0.25">
      <c r="A166" s="467" t="s">
        <v>730</v>
      </c>
      <c r="B166" s="467" t="s">
        <v>729</v>
      </c>
      <c r="C166" s="467" t="s">
        <v>1145</v>
      </c>
      <c r="D166" s="467" t="s">
        <v>1146</v>
      </c>
      <c r="E166" s="467" t="s">
        <v>1093</v>
      </c>
      <c r="F166" s="467" t="s">
        <v>11363</v>
      </c>
      <c r="G166" s="467" t="s">
        <v>1159</v>
      </c>
      <c r="H166" s="467" t="s">
        <v>1170</v>
      </c>
      <c r="I166" s="467" t="s">
        <v>1171</v>
      </c>
      <c r="J166" s="467" t="s">
        <v>1173</v>
      </c>
      <c r="K166" s="467" t="s">
        <v>1178</v>
      </c>
      <c r="L166" s="467" t="s">
        <v>14208</v>
      </c>
      <c r="M166" s="467" t="s">
        <v>1109</v>
      </c>
      <c r="N166" s="467" t="s">
        <v>1190</v>
      </c>
      <c r="O166" s="467" t="s">
        <v>1203</v>
      </c>
      <c r="P166" s="467" t="s">
        <v>1112</v>
      </c>
      <c r="Q166" s="467" t="s">
        <v>1215</v>
      </c>
      <c r="R166" s="467" t="s">
        <v>1218</v>
      </c>
      <c r="S166" s="467" t="s">
        <v>1220</v>
      </c>
      <c r="T166" s="467" t="s">
        <v>1122</v>
      </c>
      <c r="U166" s="467" t="s">
        <v>1228</v>
      </c>
      <c r="V166" s="467" t="s">
        <v>1124</v>
      </c>
      <c r="W166" s="467" t="s">
        <v>1126</v>
      </c>
      <c r="X166" s="467" t="s">
        <v>1238</v>
      </c>
      <c r="Y166" s="467" t="s">
        <v>1247</v>
      </c>
      <c r="Z166" s="467" t="s">
        <v>1249</v>
      </c>
      <c r="AA166" s="467" t="s">
        <v>1261</v>
      </c>
      <c r="AB166" s="467" t="s">
        <v>14389</v>
      </c>
    </row>
    <row r="167" spans="1:56" x14ac:dyDescent="0.25">
      <c r="A167" s="467" t="s">
        <v>732</v>
      </c>
      <c r="B167" s="467" t="s">
        <v>731</v>
      </c>
      <c r="C167" s="467" t="s">
        <v>1093</v>
      </c>
      <c r="D167" s="467" t="s">
        <v>1096</v>
      </c>
      <c r="E167" s="467" t="s">
        <v>1799</v>
      </c>
      <c r="F167" s="467" t="s">
        <v>1100</v>
      </c>
      <c r="G167" s="467" t="s">
        <v>1823</v>
      </c>
      <c r="H167" s="467" t="s">
        <v>1443</v>
      </c>
      <c r="I167" s="467" t="s">
        <v>1185</v>
      </c>
      <c r="J167" s="467" t="s">
        <v>14223</v>
      </c>
      <c r="K167" s="467" t="s">
        <v>1105</v>
      </c>
      <c r="L167" s="467" t="s">
        <v>1107</v>
      </c>
      <c r="M167" s="467" t="s">
        <v>1109</v>
      </c>
      <c r="N167" s="467" t="s">
        <v>1189</v>
      </c>
      <c r="O167" s="467" t="s">
        <v>1190</v>
      </c>
      <c r="P167" s="467" t="s">
        <v>1856</v>
      </c>
      <c r="Q167" s="467" t="s">
        <v>1195</v>
      </c>
      <c r="R167" s="467" t="s">
        <v>1202</v>
      </c>
      <c r="S167" s="467" t="s">
        <v>1114</v>
      </c>
      <c r="T167" s="467" t="s">
        <v>1120</v>
      </c>
      <c r="U167" s="467" t="s">
        <v>1320</v>
      </c>
      <c r="V167" s="467" t="s">
        <v>1217</v>
      </c>
      <c r="W167" s="467" t="s">
        <v>1218</v>
      </c>
      <c r="X167" s="467" t="s">
        <v>11367</v>
      </c>
      <c r="Y167" s="467" t="s">
        <v>1122</v>
      </c>
      <c r="Z167" s="467" t="s">
        <v>1124</v>
      </c>
      <c r="AA167" s="467" t="s">
        <v>1126</v>
      </c>
      <c r="AB167" s="467" t="s">
        <v>1130</v>
      </c>
      <c r="AC167" s="467" t="s">
        <v>1253</v>
      </c>
      <c r="AD167" s="467" t="s">
        <v>1928</v>
      </c>
      <c r="AE167" s="467" t="s">
        <v>1935</v>
      </c>
    </row>
    <row r="168" spans="1:56" x14ac:dyDescent="0.25">
      <c r="A168" s="467" t="s">
        <v>734</v>
      </c>
      <c r="B168" s="467" t="s">
        <v>733</v>
      </c>
      <c r="C168" s="467" t="s">
        <v>1093</v>
      </c>
      <c r="D168" s="467" t="s">
        <v>1155</v>
      </c>
      <c r="E168" s="467" t="s">
        <v>1171</v>
      </c>
      <c r="F168" s="467" t="s">
        <v>1173</v>
      </c>
      <c r="G168" s="467" t="s">
        <v>1175</v>
      </c>
      <c r="H168" s="467" t="s">
        <v>14208</v>
      </c>
      <c r="I168" s="467" t="s">
        <v>1105</v>
      </c>
      <c r="J168" s="467" t="s">
        <v>1109</v>
      </c>
      <c r="K168" s="467" t="s">
        <v>1203</v>
      </c>
      <c r="L168" s="467" t="s">
        <v>1208</v>
      </c>
      <c r="M168" s="467" t="s">
        <v>1215</v>
      </c>
      <c r="N168" s="467" t="s">
        <v>1220</v>
      </c>
      <c r="O168" s="467" t="s">
        <v>1226</v>
      </c>
      <c r="P168" s="467" t="s">
        <v>1228</v>
      </c>
      <c r="Q168" s="467" t="s">
        <v>1240</v>
      </c>
      <c r="R168" s="467" t="s">
        <v>1134</v>
      </c>
      <c r="S168" s="467" t="s">
        <v>1253</v>
      </c>
    </row>
    <row r="169" spans="1:56" x14ac:dyDescent="0.25">
      <c r="A169" s="467" t="s">
        <v>736</v>
      </c>
      <c r="B169" s="467" t="s">
        <v>735</v>
      </c>
      <c r="C169" s="467" t="s">
        <v>14127</v>
      </c>
      <c r="D169" s="467" t="s">
        <v>1093</v>
      </c>
      <c r="E169" s="467" t="s">
        <v>1096</v>
      </c>
      <c r="F169" s="467" t="s">
        <v>1098</v>
      </c>
      <c r="G169" s="467" t="s">
        <v>11423</v>
      </c>
      <c r="H169" s="467" t="s">
        <v>1963</v>
      </c>
      <c r="I169" s="467" t="s">
        <v>1971</v>
      </c>
      <c r="J169" s="467" t="s">
        <v>14208</v>
      </c>
      <c r="K169" s="467" t="s">
        <v>1986</v>
      </c>
      <c r="L169" s="467" t="s">
        <v>1187</v>
      </c>
      <c r="M169" s="467" t="s">
        <v>1105</v>
      </c>
      <c r="N169" s="467" t="s">
        <v>1107</v>
      </c>
      <c r="O169" s="467" t="s">
        <v>1109</v>
      </c>
      <c r="P169" s="467" t="s">
        <v>1111</v>
      </c>
      <c r="Q169" s="467" t="s">
        <v>1114</v>
      </c>
      <c r="R169" s="467" t="s">
        <v>1235</v>
      </c>
      <c r="S169" s="467" t="s">
        <v>1126</v>
      </c>
      <c r="T169" s="467" t="s">
        <v>2010</v>
      </c>
      <c r="U169" s="467" t="s">
        <v>2012</v>
      </c>
      <c r="V169" s="467" t="s">
        <v>2017</v>
      </c>
      <c r="W169" s="467" t="s">
        <v>1132</v>
      </c>
      <c r="X169" s="467" t="s">
        <v>1134</v>
      </c>
      <c r="Y169" s="467" t="s">
        <v>1136</v>
      </c>
      <c r="Z169" s="467" t="s">
        <v>2025</v>
      </c>
      <c r="AA169" s="467" t="s">
        <v>2038</v>
      </c>
      <c r="AB169" s="467" t="s">
        <v>1249</v>
      </c>
      <c r="AC169" s="467" t="s">
        <v>2051</v>
      </c>
      <c r="AD169" s="467" t="s">
        <v>2053</v>
      </c>
    </row>
    <row r="170" spans="1:56" x14ac:dyDescent="0.25">
      <c r="A170" s="467" t="s">
        <v>738</v>
      </c>
      <c r="B170" s="467" t="s">
        <v>737</v>
      </c>
      <c r="C170" s="467" t="s">
        <v>1385</v>
      </c>
      <c r="D170" s="467" t="s">
        <v>1386</v>
      </c>
      <c r="E170" s="467" t="s">
        <v>1091</v>
      </c>
      <c r="F170" s="467" t="s">
        <v>1093</v>
      </c>
      <c r="G170" s="467" t="s">
        <v>1096</v>
      </c>
      <c r="H170" s="467" t="s">
        <v>1161</v>
      </c>
      <c r="I170" s="467" t="s">
        <v>1410</v>
      </c>
      <c r="J170" s="467" t="s">
        <v>1412</v>
      </c>
      <c r="K170" s="467" t="s">
        <v>1100</v>
      </c>
      <c r="L170" s="467" t="s">
        <v>11385</v>
      </c>
      <c r="M170" s="467" t="s">
        <v>1433</v>
      </c>
      <c r="N170" s="467" t="s">
        <v>1105</v>
      </c>
      <c r="O170" s="467" t="s">
        <v>1107</v>
      </c>
      <c r="P170" s="467" t="s">
        <v>1109</v>
      </c>
      <c r="Q170" s="467" t="s">
        <v>1189</v>
      </c>
      <c r="R170" s="467" t="s">
        <v>1482</v>
      </c>
      <c r="S170" s="467" t="s">
        <v>1202</v>
      </c>
      <c r="T170" s="467" t="s">
        <v>1112</v>
      </c>
      <c r="U170" s="467" t="s">
        <v>1498</v>
      </c>
      <c r="V170" s="467" t="s">
        <v>1114</v>
      </c>
      <c r="W170" s="467" t="s">
        <v>14400</v>
      </c>
      <c r="X170" s="467" t="s">
        <v>1319</v>
      </c>
      <c r="Y170" s="467" t="s">
        <v>1120</v>
      </c>
      <c r="Z170" s="467" t="s">
        <v>1217</v>
      </c>
      <c r="AA170" s="467" t="s">
        <v>1218</v>
      </c>
      <c r="AB170" s="467" t="s">
        <v>1325</v>
      </c>
      <c r="AC170" s="467" t="s">
        <v>1220</v>
      </c>
      <c r="AD170" s="467" t="s">
        <v>1332</v>
      </c>
      <c r="AE170" s="467" t="s">
        <v>1122</v>
      </c>
      <c r="AF170" s="467" t="s">
        <v>1124</v>
      </c>
      <c r="AG170" s="467" t="s">
        <v>1540</v>
      </c>
      <c r="AH170" s="467" t="s">
        <v>1126</v>
      </c>
      <c r="AI170" s="467" t="s">
        <v>1342</v>
      </c>
      <c r="AJ170" s="467" t="s">
        <v>1550</v>
      </c>
      <c r="AK170" s="467" t="s">
        <v>1560</v>
      </c>
      <c r="AL170" s="467" t="s">
        <v>1567</v>
      </c>
      <c r="AM170" s="467" t="s">
        <v>1253</v>
      </c>
      <c r="AN170" s="467" t="s">
        <v>1587</v>
      </c>
      <c r="AO170" s="467" t="s">
        <v>1607</v>
      </c>
    </row>
    <row r="171" spans="1:56" x14ac:dyDescent="0.25">
      <c r="A171" s="467" t="s">
        <v>740</v>
      </c>
      <c r="B171" s="467" t="s">
        <v>739</v>
      </c>
      <c r="C171" s="467" t="s">
        <v>14127</v>
      </c>
      <c r="D171" s="467" t="s">
        <v>1093</v>
      </c>
      <c r="E171" s="467" t="s">
        <v>1098</v>
      </c>
      <c r="F171" s="467" t="s">
        <v>1100</v>
      </c>
      <c r="G171" s="467" t="s">
        <v>1966</v>
      </c>
      <c r="H171" s="467" t="s">
        <v>1978</v>
      </c>
      <c r="I171" s="467" t="s">
        <v>1985</v>
      </c>
      <c r="J171" s="467" t="s">
        <v>1187</v>
      </c>
      <c r="K171" s="467" t="s">
        <v>1105</v>
      </c>
      <c r="L171" s="467" t="s">
        <v>1109</v>
      </c>
      <c r="M171" s="467" t="s">
        <v>1111</v>
      </c>
      <c r="N171" s="467" t="s">
        <v>1228</v>
      </c>
      <c r="O171" s="467" t="s">
        <v>1126</v>
      </c>
      <c r="P171" s="467" t="s">
        <v>2017</v>
      </c>
      <c r="Q171" s="467" t="s">
        <v>1132</v>
      </c>
      <c r="R171" s="467" t="s">
        <v>1241</v>
      </c>
      <c r="S171" s="467" t="s">
        <v>1134</v>
      </c>
      <c r="T171" s="467" t="s">
        <v>2036</v>
      </c>
      <c r="U171" s="467" t="s">
        <v>1249</v>
      </c>
      <c r="V171" s="467" t="s">
        <v>2045</v>
      </c>
      <c r="W171" s="467" t="s">
        <v>2048</v>
      </c>
      <c r="X171" s="467" t="s">
        <v>1262</v>
      </c>
      <c r="Y171" s="467" t="s">
        <v>2050</v>
      </c>
    </row>
    <row r="172" spans="1:56" x14ac:dyDescent="0.25">
      <c r="A172" s="467" t="s">
        <v>742</v>
      </c>
      <c r="B172" s="467" t="s">
        <v>741</v>
      </c>
      <c r="C172" s="467" t="s">
        <v>1096</v>
      </c>
      <c r="D172" s="467" t="s">
        <v>1100</v>
      </c>
      <c r="E172" s="467" t="s">
        <v>1293</v>
      </c>
      <c r="F172" s="467" t="s">
        <v>1296</v>
      </c>
      <c r="G172" s="467" t="s">
        <v>14208</v>
      </c>
      <c r="H172" s="467" t="s">
        <v>1187</v>
      </c>
      <c r="I172" s="467" t="s">
        <v>1105</v>
      </c>
      <c r="J172" s="467" t="s">
        <v>1107</v>
      </c>
      <c r="K172" s="467" t="s">
        <v>1109</v>
      </c>
      <c r="L172" s="467" t="s">
        <v>1310</v>
      </c>
      <c r="M172" s="467" t="s">
        <v>1218</v>
      </c>
      <c r="N172" s="467" t="s">
        <v>11367</v>
      </c>
      <c r="O172" s="467" t="s">
        <v>1326</v>
      </c>
      <c r="P172" s="467" t="s">
        <v>1122</v>
      </c>
      <c r="Q172" s="467" t="s">
        <v>1228</v>
      </c>
      <c r="R172" s="467" t="s">
        <v>1339</v>
      </c>
      <c r="S172" s="467" t="s">
        <v>1233</v>
      </c>
      <c r="T172" s="467" t="s">
        <v>11368</v>
      </c>
      <c r="U172" s="467" t="s">
        <v>1235</v>
      </c>
      <c r="V172" s="467" t="s">
        <v>1126</v>
      </c>
      <c r="W172" s="467" t="s">
        <v>11375</v>
      </c>
      <c r="X172" s="467" t="s">
        <v>1360</v>
      </c>
      <c r="Y172" s="467" t="s">
        <v>1364</v>
      </c>
      <c r="Z172" s="467" t="s">
        <v>1252</v>
      </c>
      <c r="AA172" s="467" t="s">
        <v>1253</v>
      </c>
      <c r="AB172" s="467" t="s">
        <v>1372</v>
      </c>
    </row>
    <row r="173" spans="1:56" x14ac:dyDescent="0.25">
      <c r="A173" s="467" t="s">
        <v>744</v>
      </c>
      <c r="B173" s="467" t="s">
        <v>743</v>
      </c>
      <c r="C173" s="467" t="s">
        <v>14127</v>
      </c>
      <c r="D173" s="467" t="s">
        <v>1143</v>
      </c>
      <c r="E173" s="467" t="s">
        <v>1096</v>
      </c>
      <c r="F173" s="467" t="s">
        <v>11363</v>
      </c>
      <c r="G173" s="467" t="s">
        <v>12382</v>
      </c>
      <c r="H173" s="467" t="s">
        <v>1100</v>
      </c>
      <c r="I173" s="467" t="s">
        <v>1434</v>
      </c>
      <c r="J173" s="467" t="s">
        <v>1175</v>
      </c>
      <c r="K173" s="467" t="s">
        <v>1835</v>
      </c>
      <c r="L173" s="467" t="s">
        <v>14208</v>
      </c>
      <c r="M173" s="467" t="s">
        <v>1839</v>
      </c>
      <c r="N173" s="467" t="s">
        <v>1844</v>
      </c>
      <c r="O173" s="467" t="s">
        <v>1187</v>
      </c>
      <c r="P173" s="467" t="s">
        <v>1105</v>
      </c>
      <c r="Q173" s="467" t="s">
        <v>1107</v>
      </c>
      <c r="R173" s="467" t="s">
        <v>1109</v>
      </c>
      <c r="S173" s="467" t="s">
        <v>1189</v>
      </c>
      <c r="T173" s="467" t="s">
        <v>1854</v>
      </c>
      <c r="U173" s="467" t="s">
        <v>1310</v>
      </c>
      <c r="V173" s="467" t="s">
        <v>1202</v>
      </c>
      <c r="W173" s="467" t="s">
        <v>1112</v>
      </c>
      <c r="X173" s="467" t="s">
        <v>1114</v>
      </c>
      <c r="Y173" s="467" t="s">
        <v>1218</v>
      </c>
      <c r="Z173" s="467" t="s">
        <v>11367</v>
      </c>
      <c r="AA173" s="467" t="s">
        <v>1332</v>
      </c>
      <c r="AB173" s="467" t="s">
        <v>1536</v>
      </c>
      <c r="AC173" s="467" t="s">
        <v>1891</v>
      </c>
      <c r="AD173" s="467" t="s">
        <v>1233</v>
      </c>
      <c r="AE173" s="467" t="s">
        <v>11368</v>
      </c>
      <c r="AF173" s="467" t="s">
        <v>1892</v>
      </c>
      <c r="AG173" s="467" t="s">
        <v>1899</v>
      </c>
      <c r="AH173" s="467" t="s">
        <v>1130</v>
      </c>
      <c r="AI173" s="467" t="s">
        <v>1134</v>
      </c>
      <c r="AJ173" s="467" t="s">
        <v>14418</v>
      </c>
      <c r="AK173" s="467" t="s">
        <v>1904</v>
      </c>
      <c r="AL173" s="467" t="s">
        <v>1249</v>
      </c>
      <c r="AM173" s="467" t="s">
        <v>1138</v>
      </c>
      <c r="AN173" s="467" t="s">
        <v>1581</v>
      </c>
      <c r="AO173" s="467" t="s">
        <v>1942</v>
      </c>
    </row>
    <row r="174" spans="1:56" x14ac:dyDescent="0.25">
      <c r="A174" s="467" t="s">
        <v>746</v>
      </c>
      <c r="B174" s="467" t="s">
        <v>745</v>
      </c>
      <c r="C174" s="467" t="s">
        <v>1143</v>
      </c>
      <c r="D174" s="467" t="s">
        <v>1096</v>
      </c>
      <c r="E174" s="467" t="s">
        <v>1151</v>
      </c>
      <c r="F174" s="467" t="s">
        <v>1617</v>
      </c>
      <c r="G174" s="467" t="s">
        <v>1618</v>
      </c>
      <c r="H174" s="467" t="s">
        <v>1167</v>
      </c>
      <c r="I174" s="467" t="s">
        <v>1172</v>
      </c>
      <c r="J174" s="467" t="s">
        <v>1174</v>
      </c>
      <c r="K174" s="467" t="s">
        <v>14208</v>
      </c>
      <c r="L174" s="467" t="s">
        <v>1185</v>
      </c>
      <c r="M174" s="467" t="s">
        <v>1105</v>
      </c>
      <c r="N174" s="467" t="s">
        <v>1107</v>
      </c>
      <c r="O174" s="467" t="s">
        <v>1109</v>
      </c>
      <c r="P174" s="467" t="s">
        <v>1639</v>
      </c>
      <c r="Q174" s="467" t="s">
        <v>1209</v>
      </c>
      <c r="R174" s="467" t="s">
        <v>1644</v>
      </c>
      <c r="S174" s="467" t="s">
        <v>1645</v>
      </c>
      <c r="T174" s="467" t="s">
        <v>1646</v>
      </c>
      <c r="U174" s="467" t="s">
        <v>1220</v>
      </c>
      <c r="V174" s="467" t="s">
        <v>1122</v>
      </c>
      <c r="W174" s="467" t="s">
        <v>1228</v>
      </c>
      <c r="X174" s="467" t="s">
        <v>1648</v>
      </c>
      <c r="Y174" s="467" t="s">
        <v>1234</v>
      </c>
      <c r="Z174" s="467" t="s">
        <v>1126</v>
      </c>
      <c r="AA174" s="467" t="s">
        <v>1656</v>
      </c>
      <c r="AB174" s="467" t="s">
        <v>1253</v>
      </c>
      <c r="AC174" s="467" t="s">
        <v>1368</v>
      </c>
    </row>
    <row r="175" spans="1:56" x14ac:dyDescent="0.25">
      <c r="A175" s="467" t="s">
        <v>748</v>
      </c>
      <c r="B175" s="467" t="s">
        <v>747</v>
      </c>
      <c r="C175" s="467" t="s">
        <v>1609</v>
      </c>
      <c r="D175" s="467" t="s">
        <v>1385</v>
      </c>
      <c r="E175" s="467" t="s">
        <v>1143</v>
      </c>
      <c r="F175" s="467" t="s">
        <v>1093</v>
      </c>
      <c r="G175" s="467" t="s">
        <v>1798</v>
      </c>
      <c r="H175" s="467" t="s">
        <v>1096</v>
      </c>
      <c r="I175" s="467" t="s">
        <v>11363</v>
      </c>
      <c r="J175" s="467" t="s">
        <v>1156</v>
      </c>
      <c r="K175" s="467" t="s">
        <v>1161</v>
      </c>
      <c r="L175" s="467" t="s">
        <v>1286</v>
      </c>
      <c r="M175" s="467" t="s">
        <v>1100</v>
      </c>
      <c r="N175" s="467" t="s">
        <v>1288</v>
      </c>
      <c r="O175" s="467" t="s">
        <v>1168</v>
      </c>
      <c r="P175" s="467" t="s">
        <v>1171</v>
      </c>
      <c r="Q175" s="467" t="s">
        <v>1172</v>
      </c>
      <c r="R175" s="467" t="s">
        <v>14205</v>
      </c>
      <c r="S175" s="467" t="s">
        <v>14208</v>
      </c>
      <c r="T175" s="467" t="s">
        <v>1182</v>
      </c>
      <c r="U175" s="467" t="s">
        <v>1185</v>
      </c>
      <c r="V175" s="467" t="s">
        <v>1187</v>
      </c>
      <c r="W175" s="467" t="s">
        <v>1105</v>
      </c>
      <c r="X175" s="467" t="s">
        <v>1302</v>
      </c>
      <c r="Y175" s="467" t="s">
        <v>1107</v>
      </c>
      <c r="Z175" s="467" t="s">
        <v>1109</v>
      </c>
      <c r="AA175" s="467" t="s">
        <v>1189</v>
      </c>
      <c r="AB175" s="467" t="s">
        <v>14243</v>
      </c>
      <c r="AC175" s="467" t="s">
        <v>1310</v>
      </c>
      <c r="AD175" s="467" t="s">
        <v>1202</v>
      </c>
      <c r="AE175" s="467" t="s">
        <v>1112</v>
      </c>
      <c r="AF175" s="467" t="s">
        <v>1207</v>
      </c>
      <c r="AG175" s="467" t="s">
        <v>1865</v>
      </c>
      <c r="AH175" s="467" t="s">
        <v>1315</v>
      </c>
      <c r="AI175" s="467" t="s">
        <v>1319</v>
      </c>
      <c r="AJ175" s="467" t="s">
        <v>1120</v>
      </c>
      <c r="AK175" s="467" t="s">
        <v>1872</v>
      </c>
      <c r="AL175" s="467" t="s">
        <v>1321</v>
      </c>
      <c r="AM175" s="467" t="s">
        <v>1322</v>
      </c>
      <c r="AN175" s="467" t="s">
        <v>1217</v>
      </c>
      <c r="AO175" s="467" t="s">
        <v>1218</v>
      </c>
      <c r="AP175" s="467" t="s">
        <v>11367</v>
      </c>
      <c r="AQ175" s="467" t="s">
        <v>1327</v>
      </c>
      <c r="AR175" s="467" t="s">
        <v>1122</v>
      </c>
      <c r="AS175" s="467" t="s">
        <v>1225</v>
      </c>
      <c r="AT175" s="467" t="s">
        <v>1124</v>
      </c>
      <c r="AU175" s="467" t="s">
        <v>1233</v>
      </c>
      <c r="AV175" s="467" t="s">
        <v>11368</v>
      </c>
      <c r="AW175" s="467" t="s">
        <v>1126</v>
      </c>
      <c r="AX175" s="467" t="s">
        <v>1341</v>
      </c>
      <c r="AY175" s="467" t="s">
        <v>1240</v>
      </c>
      <c r="AZ175" s="467" t="s">
        <v>1134</v>
      </c>
      <c r="BA175" s="467" t="s">
        <v>1248</v>
      </c>
      <c r="BB175" s="467" t="s">
        <v>1249</v>
      </c>
      <c r="BC175" s="467" t="s">
        <v>1252</v>
      </c>
      <c r="BD175" s="467" t="s">
        <v>1369</v>
      </c>
    </row>
    <row r="176" spans="1:56" x14ac:dyDescent="0.25">
      <c r="A176" s="467" t="s">
        <v>750</v>
      </c>
      <c r="B176" s="467" t="s">
        <v>749</v>
      </c>
      <c r="C176" s="467" t="s">
        <v>1385</v>
      </c>
      <c r="D176" s="467" t="s">
        <v>1386</v>
      </c>
      <c r="E176" s="467" t="s">
        <v>1091</v>
      </c>
      <c r="F176" s="467" t="s">
        <v>1093</v>
      </c>
      <c r="G176" s="467" t="s">
        <v>1096</v>
      </c>
      <c r="H176" s="467" t="s">
        <v>11363</v>
      </c>
      <c r="I176" s="467" t="s">
        <v>1100</v>
      </c>
      <c r="J176" s="467" t="s">
        <v>1824</v>
      </c>
      <c r="K176" s="467" t="s">
        <v>1175</v>
      </c>
      <c r="L176" s="467" t="s">
        <v>1177</v>
      </c>
      <c r="M176" s="467" t="s">
        <v>1105</v>
      </c>
      <c r="N176" s="467" t="s">
        <v>1107</v>
      </c>
      <c r="O176" s="467" t="s">
        <v>1202</v>
      </c>
      <c r="P176" s="467" t="s">
        <v>1112</v>
      </c>
      <c r="Q176" s="467" t="s">
        <v>1501</v>
      </c>
      <c r="R176" s="467" t="s">
        <v>1120</v>
      </c>
      <c r="S176" s="467" t="s">
        <v>1871</v>
      </c>
      <c r="T176" s="467" t="s">
        <v>1220</v>
      </c>
      <c r="U176" s="467" t="s">
        <v>1536</v>
      </c>
      <c r="V176" s="467" t="s">
        <v>1124</v>
      </c>
      <c r="W176" s="467" t="s">
        <v>1887</v>
      </c>
      <c r="X176" s="467" t="s">
        <v>1540</v>
      </c>
      <c r="Y176" s="467" t="s">
        <v>1130</v>
      </c>
      <c r="Z176" s="467" t="s">
        <v>1132</v>
      </c>
      <c r="AA176" s="467" t="s">
        <v>1358</v>
      </c>
      <c r="AB176" s="467" t="s">
        <v>1920</v>
      </c>
      <c r="AC176" s="467" t="s">
        <v>1253</v>
      </c>
      <c r="AD176" s="467" t="s">
        <v>1928</v>
      </c>
      <c r="AE176" s="467" t="s">
        <v>1581</v>
      </c>
    </row>
    <row r="177" spans="1:56" x14ac:dyDescent="0.25">
      <c r="A177" s="467" t="s">
        <v>751</v>
      </c>
      <c r="B177" s="467" t="s">
        <v>1</v>
      </c>
      <c r="C177" s="467" t="s">
        <v>1088</v>
      </c>
      <c r="D177" s="467" t="s">
        <v>1091</v>
      </c>
      <c r="E177" s="467" t="s">
        <v>14127</v>
      </c>
      <c r="F177" s="467" t="s">
        <v>1093</v>
      </c>
      <c r="G177" s="467" t="s">
        <v>1096</v>
      </c>
      <c r="H177" s="467" t="s">
        <v>1098</v>
      </c>
      <c r="I177" s="467" t="s">
        <v>1100</v>
      </c>
      <c r="J177" s="467" t="s">
        <v>1102</v>
      </c>
      <c r="K177" s="467" t="s">
        <v>14208</v>
      </c>
      <c r="L177" s="467" t="s">
        <v>1105</v>
      </c>
      <c r="M177" s="467" t="s">
        <v>1107</v>
      </c>
      <c r="N177" s="467" t="s">
        <v>1109</v>
      </c>
      <c r="O177" s="467" t="s">
        <v>1112</v>
      </c>
      <c r="P177" s="467" t="s">
        <v>1114</v>
      </c>
      <c r="Q177" s="467" t="s">
        <v>1116</v>
      </c>
      <c r="R177" s="467" t="s">
        <v>14400</v>
      </c>
      <c r="S177" s="467" t="s">
        <v>1118</v>
      </c>
      <c r="T177" s="467" t="s">
        <v>1120</v>
      </c>
      <c r="U177" s="467" t="s">
        <v>1122</v>
      </c>
      <c r="V177" s="467" t="s">
        <v>1124</v>
      </c>
      <c r="W177" s="467" t="s">
        <v>1126</v>
      </c>
      <c r="X177" s="467" t="s">
        <v>1128</v>
      </c>
      <c r="Y177" s="467" t="s">
        <v>1130</v>
      </c>
      <c r="Z177" s="467" t="s">
        <v>1132</v>
      </c>
      <c r="AA177" s="467" t="s">
        <v>1134</v>
      </c>
      <c r="AB177" s="467" t="s">
        <v>1136</v>
      </c>
      <c r="AC177" s="467" t="s">
        <v>1138</v>
      </c>
      <c r="AD177" s="467" t="s">
        <v>1140</v>
      </c>
    </row>
    <row r="178" spans="1:56" x14ac:dyDescent="0.25">
      <c r="A178" s="467" t="s">
        <v>753</v>
      </c>
      <c r="B178" s="467" t="s">
        <v>752</v>
      </c>
      <c r="C178" s="467" t="s">
        <v>1143</v>
      </c>
      <c r="D178" s="467" t="s">
        <v>1145</v>
      </c>
      <c r="E178" s="467" t="s">
        <v>1093</v>
      </c>
      <c r="F178" s="467" t="s">
        <v>1096</v>
      </c>
      <c r="G178" s="467" t="s">
        <v>11363</v>
      </c>
      <c r="H178" s="467" t="s">
        <v>1171</v>
      </c>
      <c r="I178" s="467" t="s">
        <v>1173</v>
      </c>
      <c r="J178" s="467" t="s">
        <v>1102</v>
      </c>
      <c r="K178" s="467" t="s">
        <v>1178</v>
      </c>
      <c r="L178" s="467" t="s">
        <v>14208</v>
      </c>
      <c r="M178" s="467" t="s">
        <v>1105</v>
      </c>
      <c r="N178" s="467" t="s">
        <v>1107</v>
      </c>
      <c r="O178" s="467" t="s">
        <v>1191</v>
      </c>
      <c r="P178" s="467" t="s">
        <v>1193</v>
      </c>
      <c r="Q178" s="467" t="s">
        <v>1203</v>
      </c>
      <c r="R178" s="467" t="s">
        <v>1112</v>
      </c>
      <c r="S178" s="467" t="s">
        <v>1211</v>
      </c>
      <c r="T178" s="467" t="s">
        <v>1215</v>
      </c>
      <c r="U178" s="467" t="s">
        <v>1220</v>
      </c>
      <c r="V178" s="467" t="s">
        <v>1122</v>
      </c>
      <c r="W178" s="467" t="s">
        <v>1225</v>
      </c>
      <c r="X178" s="467" t="s">
        <v>1226</v>
      </c>
      <c r="Y178" s="467" t="s">
        <v>1228</v>
      </c>
      <c r="Z178" s="467" t="s">
        <v>1241</v>
      </c>
      <c r="AA178" s="467" t="s">
        <v>1246</v>
      </c>
      <c r="AB178" s="467" t="s">
        <v>1249</v>
      </c>
      <c r="AC178" s="467" t="s">
        <v>14364</v>
      </c>
      <c r="AD178" s="467" t="s">
        <v>1253</v>
      </c>
      <c r="AE178" s="467" t="s">
        <v>1260</v>
      </c>
    </row>
    <row r="179" spans="1:56" x14ac:dyDescent="0.25">
      <c r="A179" s="467" t="s">
        <v>755</v>
      </c>
      <c r="B179" s="467" t="s">
        <v>754</v>
      </c>
      <c r="C179" s="467" t="s">
        <v>1613</v>
      </c>
      <c r="D179" s="467" t="s">
        <v>1096</v>
      </c>
      <c r="E179" s="467" t="s">
        <v>1151</v>
      </c>
      <c r="F179" s="467" t="s">
        <v>1617</v>
      </c>
      <c r="G179" s="467" t="s">
        <v>1618</v>
      </c>
      <c r="H179" s="467" t="s">
        <v>1623</v>
      </c>
      <c r="I179" s="467" t="s">
        <v>1172</v>
      </c>
      <c r="J179" s="467" t="s">
        <v>1628</v>
      </c>
      <c r="K179" s="467" t="s">
        <v>1105</v>
      </c>
      <c r="L179" s="467" t="s">
        <v>1107</v>
      </c>
      <c r="M179" s="467" t="s">
        <v>1632</v>
      </c>
      <c r="N179" s="467" t="s">
        <v>1109</v>
      </c>
      <c r="O179" s="467" t="s">
        <v>1190</v>
      </c>
      <c r="P179" s="467" t="s">
        <v>1193</v>
      </c>
      <c r="Q179" s="467" t="s">
        <v>1639</v>
      </c>
      <c r="R179" s="467" t="s">
        <v>1641</v>
      </c>
      <c r="S179" s="467" t="s">
        <v>1497</v>
      </c>
      <c r="T179" s="467" t="s">
        <v>1209</v>
      </c>
      <c r="U179" s="467" t="s">
        <v>1643</v>
      </c>
      <c r="V179" s="467" t="s">
        <v>14403</v>
      </c>
      <c r="W179" s="467" t="s">
        <v>1525</v>
      </c>
      <c r="X179" s="467" t="s">
        <v>1122</v>
      </c>
      <c r="Y179" s="467" t="s">
        <v>1225</v>
      </c>
      <c r="Z179" s="467" t="s">
        <v>1228</v>
      </c>
      <c r="AA179" s="467" t="s">
        <v>1648</v>
      </c>
      <c r="AB179" s="467" t="s">
        <v>11397</v>
      </c>
      <c r="AC179" s="467" t="s">
        <v>1656</v>
      </c>
      <c r="AD179" s="467" t="s">
        <v>1253</v>
      </c>
      <c r="AE179" s="467" t="s">
        <v>2123</v>
      </c>
      <c r="AF179" s="467" t="s">
        <v>1368</v>
      </c>
      <c r="AG179" s="467" t="s">
        <v>1661</v>
      </c>
      <c r="AH179" s="467" t="s">
        <v>1664</v>
      </c>
    </row>
    <row r="180" spans="1:56" x14ac:dyDescent="0.25">
      <c r="A180" s="467" t="s">
        <v>757</v>
      </c>
      <c r="B180" s="467" t="s">
        <v>756</v>
      </c>
      <c r="C180" s="467" t="s">
        <v>1668</v>
      </c>
      <c r="D180" s="467" t="s">
        <v>1096</v>
      </c>
      <c r="E180" s="467" t="s">
        <v>1672</v>
      </c>
      <c r="F180" s="467" t="s">
        <v>11363</v>
      </c>
      <c r="G180" s="467" t="s">
        <v>2064</v>
      </c>
      <c r="H180" s="467" t="s">
        <v>2070</v>
      </c>
      <c r="I180" s="467" t="s">
        <v>1100</v>
      </c>
      <c r="J180" s="467" t="s">
        <v>2078</v>
      </c>
      <c r="K180" s="467" t="s">
        <v>14208</v>
      </c>
      <c r="L180" s="467" t="s">
        <v>14213</v>
      </c>
      <c r="M180" s="467" t="s">
        <v>1714</v>
      </c>
      <c r="N180" s="467" t="s">
        <v>1109</v>
      </c>
      <c r="O180" s="467" t="s">
        <v>1207</v>
      </c>
      <c r="P180" s="467" t="s">
        <v>1748</v>
      </c>
      <c r="Q180" s="467" t="s">
        <v>1233</v>
      </c>
      <c r="R180" s="467" t="s">
        <v>1126</v>
      </c>
      <c r="S180" s="467" t="s">
        <v>1249</v>
      </c>
      <c r="T180" s="467" t="s">
        <v>1253</v>
      </c>
      <c r="U180" s="467" t="s">
        <v>2123</v>
      </c>
    </row>
    <row r="181" spans="1:56" x14ac:dyDescent="0.25">
      <c r="A181" s="467" t="s">
        <v>759</v>
      </c>
      <c r="B181" s="467" t="s">
        <v>758</v>
      </c>
      <c r="C181" s="467" t="s">
        <v>1385</v>
      </c>
      <c r="D181" s="467" t="s">
        <v>1096</v>
      </c>
      <c r="E181" s="467" t="s">
        <v>1270</v>
      </c>
      <c r="F181" s="467" t="s">
        <v>1396</v>
      </c>
      <c r="G181" s="467" t="s">
        <v>1397</v>
      </c>
      <c r="H181" s="467" t="s">
        <v>1408</v>
      </c>
      <c r="I181" s="467" t="s">
        <v>1161</v>
      </c>
      <c r="J181" s="467" t="s">
        <v>1411</v>
      </c>
      <c r="K181" s="467" t="s">
        <v>1100</v>
      </c>
      <c r="L181" s="467" t="s">
        <v>1298</v>
      </c>
      <c r="M181" s="467" t="s">
        <v>14208</v>
      </c>
      <c r="N181" s="467" t="s">
        <v>1444</v>
      </c>
      <c r="O181" s="467" t="s">
        <v>1185</v>
      </c>
      <c r="P181" s="467" t="s">
        <v>1105</v>
      </c>
      <c r="Q181" s="467" t="s">
        <v>1464</v>
      </c>
      <c r="R181" s="467" t="s">
        <v>1107</v>
      </c>
      <c r="S181" s="467" t="s">
        <v>1480</v>
      </c>
      <c r="T181" s="467" t="s">
        <v>1311</v>
      </c>
      <c r="U181" s="467" t="s">
        <v>1202</v>
      </c>
      <c r="V181" s="467" t="s">
        <v>1493</v>
      </c>
      <c r="W181" s="467" t="s">
        <v>1494</v>
      </c>
      <c r="X181" s="467" t="s">
        <v>1495</v>
      </c>
      <c r="Y181" s="467" t="s">
        <v>1112</v>
      </c>
      <c r="Z181" s="467" t="s">
        <v>1315</v>
      </c>
      <c r="AA181" s="467" t="s">
        <v>1508</v>
      </c>
      <c r="AB181" s="467" t="s">
        <v>1319</v>
      </c>
      <c r="AC181" s="467" t="s">
        <v>1120</v>
      </c>
      <c r="AD181" s="467" t="s">
        <v>1321</v>
      </c>
      <c r="AE181" s="467" t="s">
        <v>1322</v>
      </c>
      <c r="AF181" s="467" t="s">
        <v>1218</v>
      </c>
      <c r="AG181" s="467" t="s">
        <v>1220</v>
      </c>
      <c r="AH181" s="467" t="s">
        <v>1332</v>
      </c>
      <c r="AI181" s="467" t="s">
        <v>1524</v>
      </c>
      <c r="AJ181" s="467" t="s">
        <v>1122</v>
      </c>
      <c r="AK181" s="467" t="s">
        <v>1225</v>
      </c>
      <c r="AL181" s="467" t="s">
        <v>11390</v>
      </c>
      <c r="AM181" s="467" t="s">
        <v>1233</v>
      </c>
      <c r="AN181" s="467" t="s">
        <v>11368</v>
      </c>
      <c r="AO181" s="467" t="s">
        <v>1235</v>
      </c>
      <c r="AP181" s="467" t="s">
        <v>1126</v>
      </c>
      <c r="AQ181" s="467" t="s">
        <v>1130</v>
      </c>
      <c r="AR181" s="467" t="s">
        <v>1549</v>
      </c>
      <c r="AS181" s="467" t="s">
        <v>1346</v>
      </c>
      <c r="AT181" s="467" t="s">
        <v>1347</v>
      </c>
      <c r="AU181" s="467" t="s">
        <v>1558</v>
      </c>
      <c r="AV181" s="467" t="s">
        <v>1249</v>
      </c>
      <c r="AW181" s="467" t="s">
        <v>1573</v>
      </c>
      <c r="AX181" s="467" t="s">
        <v>1253</v>
      </c>
      <c r="AY181" s="467" t="s">
        <v>1594</v>
      </c>
      <c r="AZ181" s="467" t="s">
        <v>1603</v>
      </c>
    </row>
    <row r="182" spans="1:56" x14ac:dyDescent="0.25">
      <c r="A182" s="467" t="s">
        <v>761</v>
      </c>
      <c r="B182" s="467" t="s">
        <v>760</v>
      </c>
      <c r="C182" s="467" t="s">
        <v>1093</v>
      </c>
      <c r="D182" s="467" t="s">
        <v>1096</v>
      </c>
      <c r="E182" s="467" t="s">
        <v>1151</v>
      </c>
      <c r="F182" s="467" t="s">
        <v>1802</v>
      </c>
      <c r="G182" s="467" t="s">
        <v>1098</v>
      </c>
      <c r="H182" s="467" t="s">
        <v>1705</v>
      </c>
      <c r="I182" s="467" t="s">
        <v>1179</v>
      </c>
      <c r="J182" s="467" t="s">
        <v>14208</v>
      </c>
      <c r="K182" s="467" t="s">
        <v>1187</v>
      </c>
      <c r="L182" s="467" t="s">
        <v>1105</v>
      </c>
      <c r="M182" s="467" t="s">
        <v>1109</v>
      </c>
      <c r="N182" s="467" t="s">
        <v>14243</v>
      </c>
      <c r="O182" s="467" t="s">
        <v>1310</v>
      </c>
      <c r="P182" s="467" t="s">
        <v>1111</v>
      </c>
      <c r="Q182" s="467" t="s">
        <v>1497</v>
      </c>
      <c r="R182" s="467" t="s">
        <v>1114</v>
      </c>
      <c r="S182" s="467" t="s">
        <v>1503</v>
      </c>
      <c r="T182" s="467" t="s">
        <v>1997</v>
      </c>
      <c r="U182" s="467" t="s">
        <v>2002</v>
      </c>
      <c r="V182" s="467" t="s">
        <v>1228</v>
      </c>
      <c r="W182" s="467" t="s">
        <v>1235</v>
      </c>
      <c r="X182" s="467" t="s">
        <v>1126</v>
      </c>
      <c r="Y182" s="467" t="s">
        <v>1136</v>
      </c>
      <c r="Z182" s="467" t="s">
        <v>2033</v>
      </c>
      <c r="AA182" s="467" t="s">
        <v>1260</v>
      </c>
      <c r="AB182" s="467" t="s">
        <v>2050</v>
      </c>
    </row>
    <row r="183" spans="1:56" x14ac:dyDescent="0.25">
      <c r="A183" s="467" t="s">
        <v>763</v>
      </c>
      <c r="B183" s="467" t="s">
        <v>762</v>
      </c>
      <c r="C183" s="467" t="s">
        <v>1145</v>
      </c>
      <c r="D183" s="467" t="s">
        <v>1146</v>
      </c>
      <c r="E183" s="467" t="s">
        <v>1147</v>
      </c>
      <c r="F183" s="467" t="s">
        <v>1149</v>
      </c>
      <c r="G183" s="467" t="s">
        <v>1170</v>
      </c>
      <c r="H183" s="467" t="s">
        <v>1171</v>
      </c>
      <c r="I183" s="467" t="s">
        <v>1173</v>
      </c>
      <c r="J183" s="467" t="s">
        <v>1178</v>
      </c>
      <c r="K183" s="467" t="s">
        <v>1180</v>
      </c>
      <c r="L183" s="467" t="s">
        <v>14208</v>
      </c>
      <c r="M183" s="467" t="s">
        <v>1183</v>
      </c>
      <c r="N183" s="467" t="s">
        <v>1105</v>
      </c>
      <c r="O183" s="467" t="s">
        <v>1109</v>
      </c>
      <c r="P183" s="467" t="s">
        <v>1190</v>
      </c>
      <c r="Q183" s="467" t="s">
        <v>1112</v>
      </c>
      <c r="R183" s="467" t="s">
        <v>1209</v>
      </c>
      <c r="S183" s="467" t="s">
        <v>1224</v>
      </c>
      <c r="T183" s="467" t="s">
        <v>1225</v>
      </c>
      <c r="U183" s="467" t="s">
        <v>1226</v>
      </c>
      <c r="V183" s="467" t="s">
        <v>1124</v>
      </c>
      <c r="W183" s="467" t="s">
        <v>1232</v>
      </c>
      <c r="X183" s="467" t="s">
        <v>1233</v>
      </c>
      <c r="Y183" s="467" t="s">
        <v>11368</v>
      </c>
      <c r="Z183" s="467" t="s">
        <v>1235</v>
      </c>
      <c r="AA183" s="467" t="s">
        <v>1126</v>
      </c>
      <c r="AB183" s="467" t="s">
        <v>1238</v>
      </c>
      <c r="AC183" s="467" t="s">
        <v>1249</v>
      </c>
      <c r="AD183" s="467" t="s">
        <v>1257</v>
      </c>
    </row>
    <row r="184" spans="1:56" x14ac:dyDescent="0.25">
      <c r="A184" s="467" t="s">
        <v>765</v>
      </c>
      <c r="B184" s="467" t="s">
        <v>764</v>
      </c>
      <c r="C184" s="467" t="s">
        <v>1145</v>
      </c>
      <c r="D184" s="467" t="s">
        <v>1096</v>
      </c>
      <c r="E184" s="467" t="s">
        <v>1151</v>
      </c>
      <c r="F184" s="467" t="s">
        <v>11363</v>
      </c>
      <c r="G184" s="467" t="s">
        <v>1164</v>
      </c>
      <c r="H184" s="467" t="s">
        <v>14208</v>
      </c>
      <c r="I184" s="467" t="s">
        <v>2150</v>
      </c>
      <c r="J184" s="467" t="s">
        <v>2151</v>
      </c>
      <c r="K184" s="467" t="s">
        <v>1109</v>
      </c>
      <c r="L184" s="467" t="s">
        <v>1190</v>
      </c>
      <c r="M184" s="467" t="s">
        <v>1199</v>
      </c>
      <c r="N184" s="467" t="s">
        <v>1203</v>
      </c>
      <c r="O184" s="467" t="s">
        <v>1209</v>
      </c>
      <c r="P184" s="467" t="s">
        <v>1122</v>
      </c>
      <c r="Q184" s="467" t="s">
        <v>1225</v>
      </c>
      <c r="R184" s="467" t="s">
        <v>1228</v>
      </c>
      <c r="S184" s="467" t="s">
        <v>1126</v>
      </c>
      <c r="T184" s="467" t="s">
        <v>1249</v>
      </c>
      <c r="U184" s="467" t="s">
        <v>1253</v>
      </c>
      <c r="V184" s="467" t="s">
        <v>1257</v>
      </c>
    </row>
    <row r="185" spans="1:56" x14ac:dyDescent="0.25">
      <c r="A185" s="467" t="s">
        <v>767</v>
      </c>
      <c r="B185" s="467" t="s">
        <v>766</v>
      </c>
      <c r="C185" s="467" t="s">
        <v>1093</v>
      </c>
      <c r="D185" s="467" t="s">
        <v>1096</v>
      </c>
      <c r="E185" s="467" t="s">
        <v>1273</v>
      </c>
      <c r="F185" s="467" t="s">
        <v>1161</v>
      </c>
      <c r="G185" s="467" t="s">
        <v>1100</v>
      </c>
      <c r="H185" s="467" t="s">
        <v>1295</v>
      </c>
      <c r="I185" s="467" t="s">
        <v>1185</v>
      </c>
      <c r="J185" s="467" t="s">
        <v>1187</v>
      </c>
      <c r="K185" s="467" t="s">
        <v>11371</v>
      </c>
      <c r="L185" s="467" t="s">
        <v>1105</v>
      </c>
      <c r="M185" s="467" t="s">
        <v>1302</v>
      </c>
      <c r="N185" s="467" t="s">
        <v>1107</v>
      </c>
      <c r="O185" s="467" t="s">
        <v>1109</v>
      </c>
      <c r="P185" s="467" t="s">
        <v>1190</v>
      </c>
      <c r="Q185" s="467" t="s">
        <v>1193</v>
      </c>
      <c r="R185" s="467" t="s">
        <v>1112</v>
      </c>
      <c r="S185" s="467" t="s">
        <v>1319</v>
      </c>
      <c r="T185" s="467" t="s">
        <v>1120</v>
      </c>
      <c r="U185" s="467" t="s">
        <v>1324</v>
      </c>
      <c r="V185" s="467" t="s">
        <v>1325</v>
      </c>
      <c r="W185" s="467" t="s">
        <v>1327</v>
      </c>
      <c r="X185" s="467" t="s">
        <v>1122</v>
      </c>
      <c r="Y185" s="467" t="s">
        <v>1124</v>
      </c>
      <c r="Z185" s="467" t="s">
        <v>1233</v>
      </c>
      <c r="AA185" s="467" t="s">
        <v>1126</v>
      </c>
      <c r="AB185" s="467" t="s">
        <v>1341</v>
      </c>
      <c r="AC185" s="467" t="s">
        <v>1130</v>
      </c>
      <c r="AD185" s="467" t="s">
        <v>1345</v>
      </c>
      <c r="AE185" s="467" t="s">
        <v>1240</v>
      </c>
      <c r="AF185" s="467" t="s">
        <v>1134</v>
      </c>
      <c r="AG185" s="467" t="s">
        <v>1249</v>
      </c>
      <c r="AH185" s="467" t="s">
        <v>1364</v>
      </c>
      <c r="AI185" s="467" t="s">
        <v>1369</v>
      </c>
    </row>
    <row r="186" spans="1:56" x14ac:dyDescent="0.25">
      <c r="A186" s="467" t="s">
        <v>769</v>
      </c>
      <c r="B186" s="467" t="s">
        <v>768</v>
      </c>
      <c r="C186" s="467" t="s">
        <v>1145</v>
      </c>
      <c r="D186" s="467" t="s">
        <v>1093</v>
      </c>
      <c r="E186" s="467" t="s">
        <v>11363</v>
      </c>
      <c r="F186" s="467" t="s">
        <v>1171</v>
      </c>
      <c r="G186" s="467" t="s">
        <v>1173</v>
      </c>
      <c r="H186" s="467" t="s">
        <v>1102</v>
      </c>
      <c r="I186" s="467" t="s">
        <v>1178</v>
      </c>
      <c r="J186" s="467" t="s">
        <v>14208</v>
      </c>
      <c r="K186" s="467" t="s">
        <v>1105</v>
      </c>
      <c r="L186" s="467" t="s">
        <v>1109</v>
      </c>
      <c r="M186" s="467" t="s">
        <v>1190</v>
      </c>
      <c r="N186" s="467" t="s">
        <v>1194</v>
      </c>
      <c r="O186" s="467" t="s">
        <v>1200</v>
      </c>
      <c r="P186" s="467" t="s">
        <v>1203</v>
      </c>
      <c r="Q186" s="467" t="s">
        <v>1215</v>
      </c>
      <c r="R186" s="467" t="s">
        <v>1216</v>
      </c>
      <c r="S186" s="467" t="s">
        <v>1221</v>
      </c>
      <c r="T186" s="467" t="s">
        <v>1223</v>
      </c>
      <c r="U186" s="467" t="s">
        <v>1122</v>
      </c>
      <c r="V186" s="467" t="s">
        <v>1226</v>
      </c>
      <c r="W186" s="467" t="s">
        <v>1228</v>
      </c>
      <c r="X186" s="467" t="s">
        <v>1124</v>
      </c>
      <c r="Y186" s="467" t="s">
        <v>1233</v>
      </c>
      <c r="Z186" s="467" t="s">
        <v>11368</v>
      </c>
      <c r="AA186" s="467" t="s">
        <v>1126</v>
      </c>
      <c r="AB186" s="467" t="s">
        <v>1255</v>
      </c>
    </row>
    <row r="187" spans="1:56" x14ac:dyDescent="0.25">
      <c r="A187" s="467" t="s">
        <v>771</v>
      </c>
      <c r="B187" s="467" t="s">
        <v>770</v>
      </c>
      <c r="C187" s="467" t="s">
        <v>1145</v>
      </c>
      <c r="D187" s="467" t="s">
        <v>1096</v>
      </c>
      <c r="E187" s="467" t="s">
        <v>11363</v>
      </c>
      <c r="F187" s="467" t="s">
        <v>1160</v>
      </c>
      <c r="G187" s="467" t="s">
        <v>1178</v>
      </c>
      <c r="H187" s="467" t="s">
        <v>14208</v>
      </c>
      <c r="I187" s="467" t="s">
        <v>1107</v>
      </c>
      <c r="J187" s="467" t="s">
        <v>1109</v>
      </c>
      <c r="K187" s="467" t="s">
        <v>1190</v>
      </c>
      <c r="L187" s="467" t="s">
        <v>1200</v>
      </c>
      <c r="M187" s="467" t="s">
        <v>1203</v>
      </c>
      <c r="N187" s="467" t="s">
        <v>1216</v>
      </c>
      <c r="O187" s="467" t="s">
        <v>1122</v>
      </c>
      <c r="P187" s="467" t="s">
        <v>1225</v>
      </c>
      <c r="Q187" s="467" t="s">
        <v>1228</v>
      </c>
      <c r="R187" s="467" t="s">
        <v>1126</v>
      </c>
      <c r="S187" s="467" t="s">
        <v>1249</v>
      </c>
      <c r="T187" s="467" t="s">
        <v>1253</v>
      </c>
    </row>
    <row r="188" spans="1:56" x14ac:dyDescent="0.25">
      <c r="A188" s="467" t="s">
        <v>773</v>
      </c>
      <c r="B188" s="467" t="s">
        <v>772</v>
      </c>
      <c r="C188" s="467" t="s">
        <v>1096</v>
      </c>
      <c r="D188" s="467" t="s">
        <v>1282</v>
      </c>
      <c r="E188" s="467" t="s">
        <v>1100</v>
      </c>
      <c r="F188" s="467" t="s">
        <v>1290</v>
      </c>
      <c r="G188" s="467" t="s">
        <v>1102</v>
      </c>
      <c r="H188" s="467" t="s">
        <v>1296</v>
      </c>
      <c r="I188" s="467" t="s">
        <v>1185</v>
      </c>
      <c r="J188" s="467" t="s">
        <v>1187</v>
      </c>
      <c r="K188" s="467" t="s">
        <v>1107</v>
      </c>
      <c r="L188" s="467" t="s">
        <v>1304</v>
      </c>
      <c r="M188" s="467" t="s">
        <v>1109</v>
      </c>
      <c r="N188" s="467" t="s">
        <v>1190</v>
      </c>
      <c r="O188" s="467" t="s">
        <v>11367</v>
      </c>
      <c r="P188" s="467" t="s">
        <v>1122</v>
      </c>
      <c r="Q188" s="467" t="s">
        <v>1228</v>
      </c>
      <c r="R188" s="467" t="s">
        <v>1339</v>
      </c>
      <c r="S188" s="467" t="s">
        <v>1235</v>
      </c>
      <c r="T188" s="467" t="s">
        <v>1262</v>
      </c>
    </row>
    <row r="189" spans="1:56" x14ac:dyDescent="0.25">
      <c r="A189" s="467" t="s">
        <v>14116</v>
      </c>
      <c r="B189" s="467" t="s">
        <v>14115</v>
      </c>
      <c r="C189" s="467" t="s">
        <v>1143</v>
      </c>
      <c r="D189" s="467" t="s">
        <v>1093</v>
      </c>
      <c r="E189" s="467" t="s">
        <v>1096</v>
      </c>
      <c r="F189" s="467" t="s">
        <v>11363</v>
      </c>
      <c r="G189" s="467" t="s">
        <v>1156</v>
      </c>
      <c r="H189" s="467" t="s">
        <v>1161</v>
      </c>
      <c r="I189" s="467" t="s">
        <v>1164</v>
      </c>
      <c r="J189" s="467" t="s">
        <v>1100</v>
      </c>
      <c r="K189" s="467" t="s">
        <v>1167</v>
      </c>
      <c r="L189" s="467" t="s">
        <v>1168</v>
      </c>
      <c r="M189" s="467" t="s">
        <v>1171</v>
      </c>
      <c r="N189" s="467" t="s">
        <v>1172</v>
      </c>
      <c r="O189" s="467" t="s">
        <v>1173</v>
      </c>
      <c r="P189" s="467" t="s">
        <v>1102</v>
      </c>
      <c r="Q189" s="467" t="s">
        <v>1179</v>
      </c>
      <c r="R189" s="467" t="s">
        <v>1180</v>
      </c>
      <c r="S189" s="467" t="s">
        <v>14208</v>
      </c>
      <c r="T189" s="467" t="s">
        <v>1182</v>
      </c>
      <c r="U189" s="467" t="s">
        <v>1184</v>
      </c>
      <c r="V189" s="467" t="s">
        <v>14213</v>
      </c>
      <c r="W189" s="467" t="s">
        <v>1105</v>
      </c>
      <c r="X189" s="467" t="s">
        <v>1107</v>
      </c>
      <c r="Y189" s="467" t="s">
        <v>1109</v>
      </c>
      <c r="Z189" s="467" t="s">
        <v>1189</v>
      </c>
      <c r="AA189" s="467" t="s">
        <v>1190</v>
      </c>
      <c r="AB189" s="467" t="s">
        <v>1195</v>
      </c>
      <c r="AC189" s="467" t="s">
        <v>1310</v>
      </c>
      <c r="AD189" s="467" t="s">
        <v>1202</v>
      </c>
      <c r="AE189" s="467" t="s">
        <v>1203</v>
      </c>
      <c r="AF189" s="467" t="s">
        <v>1205</v>
      </c>
      <c r="AG189" s="467" t="s">
        <v>1112</v>
      </c>
      <c r="AH189" s="467" t="s">
        <v>1207</v>
      </c>
      <c r="AI189" s="467" t="s">
        <v>1212</v>
      </c>
      <c r="AJ189" s="467" t="s">
        <v>1215</v>
      </c>
      <c r="AK189" s="467" t="s">
        <v>1217</v>
      </c>
      <c r="AL189" s="467" t="s">
        <v>1218</v>
      </c>
      <c r="AM189" s="467" t="s">
        <v>11367</v>
      </c>
      <c r="AN189" s="467" t="s">
        <v>1220</v>
      </c>
      <c r="AO189" s="467" t="s">
        <v>1222</v>
      </c>
      <c r="AP189" s="467" t="s">
        <v>1122</v>
      </c>
      <c r="AQ189" s="467" t="s">
        <v>1225</v>
      </c>
      <c r="AR189" s="467" t="s">
        <v>1226</v>
      </c>
      <c r="AS189" s="467" t="s">
        <v>1233</v>
      </c>
      <c r="AT189" s="467" t="s">
        <v>1126</v>
      </c>
      <c r="AU189" s="467" t="s">
        <v>1240</v>
      </c>
      <c r="AV189" s="467" t="s">
        <v>1241</v>
      </c>
      <c r="AW189" s="467" t="s">
        <v>1134</v>
      </c>
      <c r="AX189" s="467" t="s">
        <v>1245</v>
      </c>
      <c r="AY189" s="467" t="s">
        <v>1248</v>
      </c>
      <c r="AZ189" s="467" t="s">
        <v>1249</v>
      </c>
      <c r="BA189" s="467" t="s">
        <v>1251</v>
      </c>
      <c r="BB189" s="467" t="s">
        <v>1252</v>
      </c>
      <c r="BC189" s="467" t="s">
        <v>1253</v>
      </c>
      <c r="BD189" s="467" t="s">
        <v>1262</v>
      </c>
    </row>
    <row r="190" spans="1:56" x14ac:dyDescent="0.25">
      <c r="A190" s="467" t="s">
        <v>775</v>
      </c>
      <c r="B190" s="467" t="s">
        <v>774</v>
      </c>
      <c r="C190" s="467" t="s">
        <v>14127</v>
      </c>
      <c r="D190" s="467" t="s">
        <v>1093</v>
      </c>
      <c r="E190" s="467" t="s">
        <v>1096</v>
      </c>
      <c r="F190" s="467" t="s">
        <v>1098</v>
      </c>
      <c r="G190" s="467" t="s">
        <v>11422</v>
      </c>
      <c r="H190" s="467" t="s">
        <v>11423</v>
      </c>
      <c r="I190" s="467" t="s">
        <v>1954</v>
      </c>
      <c r="J190" s="467" t="s">
        <v>1955</v>
      </c>
      <c r="K190" s="467" t="s">
        <v>1971</v>
      </c>
      <c r="L190" s="467" t="s">
        <v>1975</v>
      </c>
      <c r="M190" s="467" t="s">
        <v>1175</v>
      </c>
      <c r="N190" s="467" t="s">
        <v>14208</v>
      </c>
      <c r="O190" s="467" t="s">
        <v>1185</v>
      </c>
      <c r="P190" s="467" t="s">
        <v>1105</v>
      </c>
      <c r="Q190" s="467" t="s">
        <v>1188</v>
      </c>
      <c r="R190" s="467" t="s">
        <v>1107</v>
      </c>
      <c r="S190" s="467" t="s">
        <v>1109</v>
      </c>
      <c r="T190" s="467" t="s">
        <v>1190</v>
      </c>
      <c r="U190" s="467" t="s">
        <v>1111</v>
      </c>
      <c r="V190" s="467" t="s">
        <v>1990</v>
      </c>
      <c r="W190" s="467" t="s">
        <v>1202</v>
      </c>
      <c r="X190" s="467" t="s">
        <v>1994</v>
      </c>
      <c r="Y190" s="467" t="s">
        <v>1497</v>
      </c>
      <c r="Z190" s="467" t="s">
        <v>1114</v>
      </c>
      <c r="AA190" s="467" t="s">
        <v>1503</v>
      </c>
      <c r="AB190" s="467" t="s">
        <v>1998</v>
      </c>
      <c r="AC190" s="467" t="s">
        <v>1122</v>
      </c>
      <c r="AD190" s="467" t="s">
        <v>1225</v>
      </c>
      <c r="AE190" s="467" t="s">
        <v>2008</v>
      </c>
      <c r="AF190" s="467" t="s">
        <v>1234</v>
      </c>
      <c r="AG190" s="467" t="s">
        <v>1126</v>
      </c>
      <c r="AH190" s="467" t="s">
        <v>2013</v>
      </c>
      <c r="AI190" s="467" t="s">
        <v>2017</v>
      </c>
      <c r="AJ190" s="467" t="s">
        <v>1132</v>
      </c>
      <c r="AK190" s="467" t="s">
        <v>1134</v>
      </c>
      <c r="AL190" s="467" t="s">
        <v>1245</v>
      </c>
      <c r="AM190" s="467" t="s">
        <v>1249</v>
      </c>
      <c r="AN190" s="467" t="s">
        <v>1252</v>
      </c>
      <c r="AO190" s="467" t="s">
        <v>1262</v>
      </c>
    </row>
    <row r="191" spans="1:56" x14ac:dyDescent="0.25">
      <c r="A191" s="467" t="s">
        <v>777</v>
      </c>
      <c r="B191" s="467" t="s">
        <v>776</v>
      </c>
      <c r="C191" s="467" t="s">
        <v>1096</v>
      </c>
      <c r="D191" s="467" t="s">
        <v>1151</v>
      </c>
      <c r="E191" s="467" t="s">
        <v>1617</v>
      </c>
      <c r="F191" s="467" t="s">
        <v>11363</v>
      </c>
      <c r="G191" s="467" t="s">
        <v>1623</v>
      </c>
      <c r="H191" s="467" t="s">
        <v>1167</v>
      </c>
      <c r="I191" s="467" t="s">
        <v>1624</v>
      </c>
      <c r="J191" s="467" t="s">
        <v>1172</v>
      </c>
      <c r="K191" s="467" t="s">
        <v>1629</v>
      </c>
      <c r="L191" s="467" t="s">
        <v>1185</v>
      </c>
      <c r="M191" s="467" t="s">
        <v>1186</v>
      </c>
      <c r="N191" s="467" t="s">
        <v>1630</v>
      </c>
      <c r="O191" s="467" t="s">
        <v>1105</v>
      </c>
      <c r="P191" s="467" t="s">
        <v>1107</v>
      </c>
      <c r="Q191" s="467" t="s">
        <v>1109</v>
      </c>
      <c r="R191" s="467" t="s">
        <v>1190</v>
      </c>
      <c r="S191" s="467" t="s">
        <v>1193</v>
      </c>
      <c r="T191" s="467" t="s">
        <v>1639</v>
      </c>
      <c r="U191" s="467" t="s">
        <v>1202</v>
      </c>
      <c r="V191" s="467" t="s">
        <v>1112</v>
      </c>
      <c r="W191" s="467" t="s">
        <v>1209</v>
      </c>
      <c r="X191" s="467" t="s">
        <v>1644</v>
      </c>
      <c r="Y191" s="467" t="s">
        <v>1122</v>
      </c>
      <c r="Z191" s="467" t="s">
        <v>1225</v>
      </c>
      <c r="AA191" s="467" t="s">
        <v>1228</v>
      </c>
      <c r="AB191" s="467" t="s">
        <v>1648</v>
      </c>
      <c r="AC191" s="467" t="s">
        <v>1649</v>
      </c>
      <c r="AD191" s="467" t="s">
        <v>1124</v>
      </c>
      <c r="AE191" s="467" t="s">
        <v>1654</v>
      </c>
      <c r="AF191" s="467" t="s">
        <v>1656</v>
      </c>
      <c r="AG191" s="467" t="s">
        <v>1252</v>
      </c>
      <c r="AH191" s="467" t="s">
        <v>1253</v>
      </c>
      <c r="AI191" s="467" t="s">
        <v>1368</v>
      </c>
      <c r="AJ191" s="467" t="s">
        <v>1371</v>
      </c>
      <c r="AK191" s="467" t="s">
        <v>1661</v>
      </c>
      <c r="AL191" s="467" t="s">
        <v>1662</v>
      </c>
      <c r="AM191" s="467" t="s">
        <v>1666</v>
      </c>
    </row>
    <row r="192" spans="1:56" x14ac:dyDescent="0.25">
      <c r="A192" s="467" t="s">
        <v>779</v>
      </c>
      <c r="B192" s="467" t="s">
        <v>778</v>
      </c>
      <c r="C192" s="467" t="s">
        <v>1093</v>
      </c>
      <c r="D192" s="467" t="s">
        <v>1961</v>
      </c>
      <c r="E192" s="467" t="s">
        <v>1171</v>
      </c>
      <c r="F192" s="467" t="s">
        <v>1832</v>
      </c>
      <c r="G192" s="467" t="s">
        <v>1310</v>
      </c>
      <c r="H192" s="467" t="s">
        <v>1207</v>
      </c>
      <c r="I192" s="467" t="s">
        <v>1217</v>
      </c>
      <c r="J192" s="467" t="s">
        <v>1218</v>
      </c>
      <c r="K192" s="467" t="s">
        <v>11367</v>
      </c>
      <c r="L192" s="467" t="s">
        <v>1220</v>
      </c>
      <c r="M192" s="467" t="s">
        <v>1226</v>
      </c>
      <c r="N192" s="467" t="s">
        <v>1233</v>
      </c>
      <c r="O192" s="467" t="s">
        <v>11368</v>
      </c>
      <c r="P192" s="467" t="s">
        <v>1240</v>
      </c>
      <c r="Q192" s="467" t="s">
        <v>1134</v>
      </c>
      <c r="R192" s="467" t="s">
        <v>1258</v>
      </c>
      <c r="S192" s="467" t="s">
        <v>2128</v>
      </c>
      <c r="T192" s="467" t="s">
        <v>1262</v>
      </c>
    </row>
    <row r="193" spans="1:45" x14ac:dyDescent="0.25">
      <c r="A193" s="467" t="s">
        <v>781</v>
      </c>
      <c r="B193" s="467" t="s">
        <v>780</v>
      </c>
      <c r="C193" s="467" t="s">
        <v>1147</v>
      </c>
      <c r="D193" s="467" t="s">
        <v>1093</v>
      </c>
      <c r="E193" s="467" t="s">
        <v>1171</v>
      </c>
      <c r="F193" s="467" t="s">
        <v>1173</v>
      </c>
      <c r="G193" s="467" t="s">
        <v>1175</v>
      </c>
      <c r="H193" s="467" t="s">
        <v>1176</v>
      </c>
      <c r="I193" s="467" t="s">
        <v>1179</v>
      </c>
      <c r="J193" s="467" t="s">
        <v>1180</v>
      </c>
      <c r="K193" s="467" t="s">
        <v>1181</v>
      </c>
      <c r="L193" s="467" t="s">
        <v>14208</v>
      </c>
      <c r="M193" s="467" t="s">
        <v>1105</v>
      </c>
      <c r="N193" s="467" t="s">
        <v>1109</v>
      </c>
      <c r="O193" s="467" t="s">
        <v>1310</v>
      </c>
      <c r="P193" s="467" t="s">
        <v>1203</v>
      </c>
      <c r="Q193" s="467" t="s">
        <v>1207</v>
      </c>
      <c r="R193" s="467" t="s">
        <v>1215</v>
      </c>
      <c r="S193" s="467" t="s">
        <v>1220</v>
      </c>
      <c r="T193" s="467" t="s">
        <v>1122</v>
      </c>
      <c r="U193" s="467" t="s">
        <v>1226</v>
      </c>
      <c r="V193" s="467" t="s">
        <v>1235</v>
      </c>
      <c r="W193" s="467" t="s">
        <v>1126</v>
      </c>
      <c r="X193" s="467" t="s">
        <v>1240</v>
      </c>
      <c r="Y193" s="467" t="s">
        <v>1247</v>
      </c>
      <c r="Z193" s="467" t="s">
        <v>1253</v>
      </c>
      <c r="AA193" s="467" t="s">
        <v>1258</v>
      </c>
    </row>
    <row r="194" spans="1:45" x14ac:dyDescent="0.25">
      <c r="A194" s="467" t="s">
        <v>783</v>
      </c>
      <c r="B194" s="467" t="s">
        <v>782</v>
      </c>
      <c r="C194" s="467" t="s">
        <v>1093</v>
      </c>
      <c r="D194" s="467" t="s">
        <v>1096</v>
      </c>
      <c r="E194" s="467" t="s">
        <v>1151</v>
      </c>
      <c r="F194" s="467" t="s">
        <v>1616</v>
      </c>
      <c r="G194" s="467" t="s">
        <v>1617</v>
      </c>
      <c r="H194" s="467" t="s">
        <v>11363</v>
      </c>
      <c r="I194" s="467" t="s">
        <v>1619</v>
      </c>
      <c r="J194" s="467" t="s">
        <v>1623</v>
      </c>
      <c r="K194" s="467" t="s">
        <v>1172</v>
      </c>
      <c r="L194" s="467" t="s">
        <v>1174</v>
      </c>
      <c r="M194" s="467" t="s">
        <v>1629</v>
      </c>
      <c r="N194" s="467" t="s">
        <v>14208</v>
      </c>
      <c r="O194" s="467" t="s">
        <v>1186</v>
      </c>
      <c r="P194" s="467" t="s">
        <v>1630</v>
      </c>
      <c r="Q194" s="467" t="s">
        <v>1105</v>
      </c>
      <c r="R194" s="467" t="s">
        <v>1631</v>
      </c>
      <c r="S194" s="467" t="s">
        <v>1107</v>
      </c>
      <c r="T194" s="467" t="s">
        <v>1109</v>
      </c>
      <c r="U194" s="467" t="s">
        <v>1190</v>
      </c>
      <c r="V194" s="467" t="s">
        <v>1193</v>
      </c>
      <c r="W194" s="467" t="s">
        <v>1639</v>
      </c>
      <c r="X194" s="467" t="s">
        <v>1209</v>
      </c>
      <c r="Y194" s="467" t="s">
        <v>1122</v>
      </c>
      <c r="Z194" s="467" t="s">
        <v>1225</v>
      </c>
      <c r="AA194" s="467" t="s">
        <v>1648</v>
      </c>
      <c r="AB194" s="467" t="s">
        <v>1124</v>
      </c>
      <c r="AC194" s="467" t="s">
        <v>1233</v>
      </c>
      <c r="AD194" s="467" t="s">
        <v>1656</v>
      </c>
      <c r="AE194" s="467" t="s">
        <v>1657</v>
      </c>
      <c r="AF194" s="467" t="s">
        <v>1245</v>
      </c>
      <c r="AG194" s="467" t="s">
        <v>11398</v>
      </c>
      <c r="AH194" s="467" t="s">
        <v>1658</v>
      </c>
      <c r="AI194" s="467" t="s">
        <v>1659</v>
      </c>
      <c r="AJ194" s="467" t="s">
        <v>1253</v>
      </c>
      <c r="AK194" s="467" t="s">
        <v>1368</v>
      </c>
      <c r="AL194" s="467" t="s">
        <v>1661</v>
      </c>
      <c r="AM194" s="467" t="s">
        <v>1262</v>
      </c>
    </row>
    <row r="195" spans="1:45" x14ac:dyDescent="0.25">
      <c r="A195" s="467" t="s">
        <v>785</v>
      </c>
      <c r="B195" s="467" t="s">
        <v>784</v>
      </c>
      <c r="C195" s="467" t="s">
        <v>1096</v>
      </c>
      <c r="D195" s="467" t="s">
        <v>1156</v>
      </c>
      <c r="E195" s="467" t="s">
        <v>1282</v>
      </c>
      <c r="F195" s="467" t="s">
        <v>1100</v>
      </c>
      <c r="G195" s="467" t="s">
        <v>1287</v>
      </c>
      <c r="H195" s="467" t="s">
        <v>1289</v>
      </c>
      <c r="I195" s="467" t="s">
        <v>1290</v>
      </c>
      <c r="J195" s="467" t="s">
        <v>1172</v>
      </c>
      <c r="K195" s="467" t="s">
        <v>1296</v>
      </c>
      <c r="L195" s="467" t="s">
        <v>14208</v>
      </c>
      <c r="M195" s="467" t="s">
        <v>1300</v>
      </c>
      <c r="N195" s="467" t="s">
        <v>1185</v>
      </c>
      <c r="O195" s="467" t="s">
        <v>1107</v>
      </c>
      <c r="P195" s="467" t="s">
        <v>1109</v>
      </c>
      <c r="Q195" s="467" t="s">
        <v>1202</v>
      </c>
      <c r="R195" s="467" t="s">
        <v>1112</v>
      </c>
      <c r="S195" s="467" t="s">
        <v>1114</v>
      </c>
      <c r="T195" s="467" t="s">
        <v>1317</v>
      </c>
      <c r="U195" s="467" t="s">
        <v>1318</v>
      </c>
      <c r="V195" s="467" t="s">
        <v>1218</v>
      </c>
      <c r="W195" s="467" t="s">
        <v>11367</v>
      </c>
      <c r="X195" s="467" t="s">
        <v>1326</v>
      </c>
      <c r="Y195" s="467" t="s">
        <v>1122</v>
      </c>
      <c r="Z195" s="467" t="s">
        <v>1124</v>
      </c>
      <c r="AA195" s="467" t="s">
        <v>1339</v>
      </c>
      <c r="AB195" s="467" t="s">
        <v>1235</v>
      </c>
      <c r="AC195" s="467" t="s">
        <v>1130</v>
      </c>
      <c r="AD195" s="467" t="s">
        <v>1134</v>
      </c>
      <c r="AE195" s="467" t="s">
        <v>1249</v>
      </c>
      <c r="AF195" s="467" t="s">
        <v>1367</v>
      </c>
      <c r="AG195" s="467" t="s">
        <v>1383</v>
      </c>
    </row>
    <row r="196" spans="1:45" x14ac:dyDescent="0.25">
      <c r="A196" s="467" t="s">
        <v>787</v>
      </c>
      <c r="B196" s="467" t="s">
        <v>786</v>
      </c>
      <c r="C196" s="467" t="s">
        <v>1143</v>
      </c>
      <c r="D196" s="467" t="s">
        <v>1093</v>
      </c>
      <c r="E196" s="467" t="s">
        <v>1096</v>
      </c>
      <c r="F196" s="467" t="s">
        <v>11363</v>
      </c>
      <c r="G196" s="467" t="s">
        <v>1160</v>
      </c>
      <c r="H196" s="467" t="s">
        <v>1164</v>
      </c>
      <c r="I196" s="467" t="s">
        <v>1100</v>
      </c>
      <c r="J196" s="467" t="s">
        <v>1170</v>
      </c>
      <c r="K196" s="467" t="s">
        <v>1171</v>
      </c>
      <c r="L196" s="467" t="s">
        <v>1173</v>
      </c>
      <c r="M196" s="467" t="s">
        <v>1178</v>
      </c>
      <c r="N196" s="467" t="s">
        <v>14208</v>
      </c>
      <c r="O196" s="467" t="s">
        <v>1186</v>
      </c>
      <c r="P196" s="467" t="s">
        <v>1105</v>
      </c>
      <c r="Q196" s="467" t="s">
        <v>1188</v>
      </c>
      <c r="R196" s="467" t="s">
        <v>1109</v>
      </c>
      <c r="S196" s="467" t="s">
        <v>1190</v>
      </c>
      <c r="T196" s="467" t="s">
        <v>1193</v>
      </c>
      <c r="U196" s="467" t="s">
        <v>1203</v>
      </c>
      <c r="V196" s="467" t="s">
        <v>1204</v>
      </c>
      <c r="W196" s="467" t="s">
        <v>1112</v>
      </c>
      <c r="X196" s="467" t="s">
        <v>1207</v>
      </c>
      <c r="Y196" s="467" t="s">
        <v>1210</v>
      </c>
      <c r="Z196" s="467" t="s">
        <v>1214</v>
      </c>
      <c r="AA196" s="467" t="s">
        <v>1215</v>
      </c>
      <c r="AB196" s="467" t="s">
        <v>1220</v>
      </c>
      <c r="AC196" s="467" t="s">
        <v>1223</v>
      </c>
      <c r="AD196" s="467" t="s">
        <v>1122</v>
      </c>
      <c r="AE196" s="467" t="s">
        <v>1225</v>
      </c>
      <c r="AF196" s="467" t="s">
        <v>1226</v>
      </c>
      <c r="AG196" s="467" t="s">
        <v>1228</v>
      </c>
      <c r="AH196" s="467" t="s">
        <v>1234</v>
      </c>
      <c r="AI196" s="467" t="s">
        <v>1132</v>
      </c>
      <c r="AJ196" s="467" t="s">
        <v>1241</v>
      </c>
      <c r="AK196" s="467" t="s">
        <v>1134</v>
      </c>
      <c r="AL196" s="467" t="s">
        <v>1245</v>
      </c>
      <c r="AM196" s="467" t="s">
        <v>1248</v>
      </c>
      <c r="AN196" s="467" t="s">
        <v>1249</v>
      </c>
      <c r="AO196" s="467" t="s">
        <v>1253</v>
      </c>
      <c r="AP196" s="467" t="s">
        <v>1261</v>
      </c>
      <c r="AQ196" s="467" t="s">
        <v>1263</v>
      </c>
      <c r="AR196" s="467" t="s">
        <v>1264</v>
      </c>
      <c r="AS196" s="467" t="s">
        <v>14389</v>
      </c>
    </row>
    <row r="197" spans="1:45" x14ac:dyDescent="0.25">
      <c r="A197" s="467" t="s">
        <v>789</v>
      </c>
      <c r="B197" s="467" t="s">
        <v>788</v>
      </c>
      <c r="C197" s="467" t="s">
        <v>1093</v>
      </c>
      <c r="D197" s="467" t="s">
        <v>1096</v>
      </c>
      <c r="E197" s="467" t="s">
        <v>11363</v>
      </c>
      <c r="F197" s="467" t="s">
        <v>1158</v>
      </c>
      <c r="G197" s="467" t="s">
        <v>1961</v>
      </c>
      <c r="H197" s="467" t="s">
        <v>1100</v>
      </c>
      <c r="I197" s="467" t="s">
        <v>1171</v>
      </c>
      <c r="J197" s="467" t="s">
        <v>1173</v>
      </c>
      <c r="K197" s="467" t="s">
        <v>1832</v>
      </c>
      <c r="L197" s="467" t="s">
        <v>14208</v>
      </c>
      <c r="M197" s="467" t="s">
        <v>14213</v>
      </c>
      <c r="N197" s="467" t="s">
        <v>1105</v>
      </c>
      <c r="O197" s="467" t="s">
        <v>1109</v>
      </c>
      <c r="P197" s="467" t="s">
        <v>1634</v>
      </c>
      <c r="Q197" s="467" t="s">
        <v>1190</v>
      </c>
      <c r="R197" s="467" t="s">
        <v>1310</v>
      </c>
      <c r="S197" s="467" t="s">
        <v>1203</v>
      </c>
      <c r="T197" s="467" t="s">
        <v>1497</v>
      </c>
      <c r="U197" s="467" t="s">
        <v>1207</v>
      </c>
      <c r="V197" s="467" t="s">
        <v>1209</v>
      </c>
      <c r="W197" s="467" t="s">
        <v>11431</v>
      </c>
      <c r="X197" s="467" t="s">
        <v>1218</v>
      </c>
      <c r="Y197" s="467" t="s">
        <v>11367</v>
      </c>
      <c r="Z197" s="467" t="s">
        <v>1220</v>
      </c>
      <c r="AA197" s="467" t="s">
        <v>1225</v>
      </c>
      <c r="AB197" s="467" t="s">
        <v>1226</v>
      </c>
      <c r="AC197" s="467" t="s">
        <v>1124</v>
      </c>
      <c r="AD197" s="467" t="s">
        <v>1233</v>
      </c>
      <c r="AE197" s="467" t="s">
        <v>11368</v>
      </c>
      <c r="AF197" s="467" t="s">
        <v>1126</v>
      </c>
      <c r="AG197" s="467" t="s">
        <v>1240</v>
      </c>
      <c r="AH197" s="467" t="s">
        <v>1134</v>
      </c>
      <c r="AI197" s="467" t="s">
        <v>1247</v>
      </c>
      <c r="AJ197" s="467" t="s">
        <v>1260</v>
      </c>
      <c r="AK197" s="467" t="s">
        <v>1371</v>
      </c>
      <c r="AL197" s="467" t="s">
        <v>1262</v>
      </c>
    </row>
    <row r="198" spans="1:45" x14ac:dyDescent="0.25">
      <c r="A198" s="467" t="s">
        <v>791</v>
      </c>
      <c r="B198" s="467" t="s">
        <v>790</v>
      </c>
      <c r="C198" s="467" t="s">
        <v>1147</v>
      </c>
      <c r="D198" s="467" t="s">
        <v>1093</v>
      </c>
      <c r="E198" s="467" t="s">
        <v>1096</v>
      </c>
      <c r="F198" s="467" t="s">
        <v>1173</v>
      </c>
      <c r="G198" s="467" t="s">
        <v>1109</v>
      </c>
      <c r="H198" s="467" t="s">
        <v>14243</v>
      </c>
      <c r="I198" s="467" t="s">
        <v>1310</v>
      </c>
      <c r="J198" s="467" t="s">
        <v>1203</v>
      </c>
      <c r="K198" s="467" t="s">
        <v>1112</v>
      </c>
      <c r="L198" s="467" t="s">
        <v>1207</v>
      </c>
      <c r="M198" s="467" t="s">
        <v>1209</v>
      </c>
      <c r="N198" s="467" t="s">
        <v>1213</v>
      </c>
      <c r="O198" s="467" t="s">
        <v>1215</v>
      </c>
      <c r="P198" s="467" t="s">
        <v>1220</v>
      </c>
      <c r="Q198" s="467" t="s">
        <v>1226</v>
      </c>
      <c r="R198" s="467" t="s">
        <v>1228</v>
      </c>
      <c r="S198" s="467" t="s">
        <v>1134</v>
      </c>
      <c r="T198" s="467" t="s">
        <v>11369</v>
      </c>
      <c r="U198" s="467" t="s">
        <v>1253</v>
      </c>
      <c r="V198" s="467" t="s">
        <v>1260</v>
      </c>
    </row>
    <row r="199" spans="1:45" x14ac:dyDescent="0.25">
      <c r="A199" s="467" t="s">
        <v>793</v>
      </c>
      <c r="B199" s="467" t="s">
        <v>792</v>
      </c>
      <c r="C199" s="467" t="s">
        <v>1096</v>
      </c>
      <c r="D199" s="467" t="s">
        <v>1150</v>
      </c>
      <c r="E199" s="467" t="s">
        <v>11385</v>
      </c>
      <c r="F199" s="467" t="s">
        <v>1174</v>
      </c>
      <c r="G199" s="467" t="s">
        <v>1703</v>
      </c>
      <c r="H199" s="467" t="s">
        <v>1704</v>
      </c>
      <c r="I199" s="467" t="s">
        <v>14208</v>
      </c>
      <c r="J199" s="467" t="s">
        <v>1183</v>
      </c>
      <c r="K199" s="467" t="s">
        <v>1186</v>
      </c>
      <c r="L199" s="467" t="s">
        <v>1109</v>
      </c>
      <c r="M199" s="467" t="s">
        <v>11401</v>
      </c>
      <c r="N199" s="467" t="s">
        <v>11402</v>
      </c>
      <c r="O199" s="467" t="s">
        <v>1503</v>
      </c>
      <c r="P199" s="467" t="s">
        <v>1744</v>
      </c>
      <c r="Q199" s="467" t="s">
        <v>1223</v>
      </c>
      <c r="R199" s="467" t="s">
        <v>1122</v>
      </c>
      <c r="S199" s="467" t="s">
        <v>1225</v>
      </c>
      <c r="T199" s="467" t="s">
        <v>1751</v>
      </c>
      <c r="U199" s="467" t="s">
        <v>1752</v>
      </c>
      <c r="V199" s="467" t="s">
        <v>1249</v>
      </c>
      <c r="W199" s="467" t="s">
        <v>1253</v>
      </c>
      <c r="X199" s="467" t="s">
        <v>1371</v>
      </c>
    </row>
    <row r="200" spans="1:45" x14ac:dyDescent="0.25">
      <c r="A200" s="467" t="s">
        <v>795</v>
      </c>
      <c r="B200" s="467" t="s">
        <v>794</v>
      </c>
      <c r="C200" s="467" t="s">
        <v>1385</v>
      </c>
      <c r="D200" s="467" t="s">
        <v>1386</v>
      </c>
      <c r="E200" s="467" t="s">
        <v>1093</v>
      </c>
      <c r="F200" s="467" t="s">
        <v>1096</v>
      </c>
      <c r="G200" s="467" t="s">
        <v>1156</v>
      </c>
      <c r="H200" s="467" t="s">
        <v>1158</v>
      </c>
      <c r="I200" s="467" t="s">
        <v>1161</v>
      </c>
      <c r="J200" s="467" t="s">
        <v>1705</v>
      </c>
      <c r="K200" s="467" t="s">
        <v>14208</v>
      </c>
      <c r="L200" s="467" t="s">
        <v>14213</v>
      </c>
      <c r="M200" s="467" t="s">
        <v>1187</v>
      </c>
      <c r="N200" s="467" t="s">
        <v>1107</v>
      </c>
      <c r="O200" s="467" t="s">
        <v>1109</v>
      </c>
      <c r="P200" s="467" t="s">
        <v>1190</v>
      </c>
      <c r="Q200" s="467" t="s">
        <v>1112</v>
      </c>
      <c r="R200" s="467" t="s">
        <v>11367</v>
      </c>
      <c r="S200" s="467" t="s">
        <v>1233</v>
      </c>
      <c r="T200" s="467" t="s">
        <v>11368</v>
      </c>
      <c r="U200" s="467" t="s">
        <v>1898</v>
      </c>
      <c r="V200" s="467" t="s">
        <v>1132</v>
      </c>
      <c r="W200" s="467" t="s">
        <v>1902</v>
      </c>
      <c r="X200" s="467" t="s">
        <v>1345</v>
      </c>
      <c r="Y200" s="467" t="s">
        <v>1240</v>
      </c>
      <c r="Z200" s="467" t="s">
        <v>1134</v>
      </c>
      <c r="AA200" s="467" t="s">
        <v>11417</v>
      </c>
      <c r="AB200" s="467" t="s">
        <v>1253</v>
      </c>
    </row>
    <row r="201" spans="1:45" x14ac:dyDescent="0.25">
      <c r="A201" s="467" t="s">
        <v>797</v>
      </c>
      <c r="B201" s="467" t="s">
        <v>796</v>
      </c>
      <c r="C201" s="467" t="s">
        <v>1143</v>
      </c>
      <c r="D201" s="467" t="s">
        <v>1096</v>
      </c>
      <c r="E201" s="467" t="s">
        <v>1151</v>
      </c>
      <c r="F201" s="467" t="s">
        <v>1680</v>
      </c>
      <c r="G201" s="467" t="s">
        <v>1160</v>
      </c>
      <c r="H201" s="467" t="s">
        <v>1102</v>
      </c>
      <c r="I201" s="467" t="s">
        <v>1183</v>
      </c>
      <c r="J201" s="467" t="s">
        <v>1105</v>
      </c>
      <c r="K201" s="467" t="s">
        <v>1109</v>
      </c>
      <c r="L201" s="467" t="s">
        <v>1190</v>
      </c>
      <c r="M201" s="467" t="s">
        <v>2161</v>
      </c>
      <c r="N201" s="467" t="s">
        <v>1716</v>
      </c>
      <c r="O201" s="467" t="s">
        <v>11401</v>
      </c>
      <c r="P201" s="467" t="s">
        <v>1739</v>
      </c>
      <c r="Q201" s="467" t="s">
        <v>1208</v>
      </c>
      <c r="R201" s="467" t="s">
        <v>1209</v>
      </c>
      <c r="S201" s="467" t="s">
        <v>1746</v>
      </c>
      <c r="T201" s="467" t="s">
        <v>1122</v>
      </c>
      <c r="U201" s="467" t="s">
        <v>1228</v>
      </c>
      <c r="V201" s="467" t="s">
        <v>1235</v>
      </c>
      <c r="W201" s="467" t="s">
        <v>1257</v>
      </c>
      <c r="X201" s="467" t="s">
        <v>1780</v>
      </c>
      <c r="Y201" s="467" t="s">
        <v>1789</v>
      </c>
      <c r="Z201" s="467" t="s">
        <v>1266</v>
      </c>
    </row>
    <row r="202" spans="1:45" x14ac:dyDescent="0.25">
      <c r="A202" s="467" t="s">
        <v>799</v>
      </c>
      <c r="B202" s="467" t="s">
        <v>798</v>
      </c>
      <c r="C202" s="467" t="s">
        <v>1143</v>
      </c>
      <c r="D202" s="467" t="s">
        <v>1096</v>
      </c>
      <c r="E202" s="467" t="s">
        <v>11363</v>
      </c>
      <c r="F202" s="467" t="s">
        <v>1156</v>
      </c>
      <c r="G202" s="467" t="s">
        <v>1286</v>
      </c>
      <c r="H202" s="467" t="s">
        <v>1164</v>
      </c>
      <c r="I202" s="467" t="s">
        <v>1100</v>
      </c>
      <c r="J202" s="467" t="s">
        <v>1168</v>
      </c>
      <c r="K202" s="467" t="s">
        <v>1177</v>
      </c>
      <c r="L202" s="467" t="s">
        <v>1179</v>
      </c>
      <c r="M202" s="467" t="s">
        <v>1180</v>
      </c>
      <c r="N202" s="467" t="s">
        <v>14208</v>
      </c>
      <c r="O202" s="467" t="s">
        <v>1182</v>
      </c>
      <c r="P202" s="467" t="s">
        <v>1185</v>
      </c>
      <c r="Q202" s="467" t="s">
        <v>1105</v>
      </c>
      <c r="R202" s="467" t="s">
        <v>1107</v>
      </c>
      <c r="S202" s="467" t="s">
        <v>1109</v>
      </c>
      <c r="T202" s="467" t="s">
        <v>1306</v>
      </c>
      <c r="U202" s="467" t="s">
        <v>1189</v>
      </c>
      <c r="V202" s="467" t="s">
        <v>1190</v>
      </c>
      <c r="W202" s="467" t="s">
        <v>1202</v>
      </c>
      <c r="X202" s="467" t="s">
        <v>1203</v>
      </c>
      <c r="Y202" s="467" t="s">
        <v>1208</v>
      </c>
      <c r="Z202" s="467" t="s">
        <v>14400</v>
      </c>
      <c r="AA202" s="467" t="s">
        <v>1122</v>
      </c>
      <c r="AB202" s="467" t="s">
        <v>1225</v>
      </c>
      <c r="AC202" s="467" t="s">
        <v>1339</v>
      </c>
      <c r="AD202" s="467" t="s">
        <v>1233</v>
      </c>
      <c r="AE202" s="467" t="s">
        <v>11368</v>
      </c>
      <c r="AF202" s="467" t="s">
        <v>1558</v>
      </c>
      <c r="AG202" s="467" t="s">
        <v>1249</v>
      </c>
      <c r="AH202" s="467" t="s">
        <v>1364</v>
      </c>
      <c r="AI202" s="467" t="s">
        <v>1262</v>
      </c>
      <c r="AJ202" s="467" t="s">
        <v>1264</v>
      </c>
      <c r="AK202" s="467" t="s">
        <v>1384</v>
      </c>
    </row>
    <row r="203" spans="1:45" x14ac:dyDescent="0.25">
      <c r="A203" s="467" t="s">
        <v>801</v>
      </c>
      <c r="B203" s="467" t="s">
        <v>800</v>
      </c>
      <c r="C203" s="467" t="s">
        <v>1093</v>
      </c>
      <c r="D203" s="467" t="s">
        <v>1096</v>
      </c>
      <c r="E203" s="467" t="s">
        <v>1098</v>
      </c>
      <c r="F203" s="467" t="s">
        <v>1808</v>
      </c>
      <c r="G203" s="467" t="s">
        <v>1161</v>
      </c>
      <c r="H203" s="467" t="s">
        <v>1100</v>
      </c>
      <c r="I203" s="467" t="s">
        <v>1174</v>
      </c>
      <c r="J203" s="467" t="s">
        <v>14208</v>
      </c>
      <c r="K203" s="467" t="s">
        <v>1187</v>
      </c>
      <c r="L203" s="467" t="s">
        <v>1105</v>
      </c>
      <c r="M203" s="467" t="s">
        <v>1107</v>
      </c>
      <c r="N203" s="467" t="s">
        <v>1109</v>
      </c>
      <c r="O203" s="467" t="s">
        <v>1197</v>
      </c>
      <c r="P203" s="467" t="s">
        <v>1111</v>
      </c>
      <c r="Q203" s="467" t="s">
        <v>1114</v>
      </c>
      <c r="R203" s="467" t="s">
        <v>1996</v>
      </c>
      <c r="S203" s="467" t="s">
        <v>1122</v>
      </c>
      <c r="T203" s="467" t="s">
        <v>2003</v>
      </c>
      <c r="U203" s="467" t="s">
        <v>2004</v>
      </c>
      <c r="V203" s="467" t="s">
        <v>1234</v>
      </c>
      <c r="W203" s="467" t="s">
        <v>1235</v>
      </c>
      <c r="X203" s="467" t="s">
        <v>1126</v>
      </c>
      <c r="Y203" s="467" t="s">
        <v>1132</v>
      </c>
      <c r="Z203" s="467" t="s">
        <v>2021</v>
      </c>
      <c r="AA203" s="467" t="s">
        <v>1245</v>
      </c>
      <c r="AB203" s="467" t="s">
        <v>1249</v>
      </c>
      <c r="AC203" s="467" t="s">
        <v>2050</v>
      </c>
    </row>
    <row r="204" spans="1:45" x14ac:dyDescent="0.25">
      <c r="A204" s="467" t="s">
        <v>803</v>
      </c>
      <c r="B204" s="467" t="s">
        <v>802</v>
      </c>
      <c r="C204" s="467" t="s">
        <v>14127</v>
      </c>
      <c r="D204" s="467" t="s">
        <v>1093</v>
      </c>
      <c r="E204" s="467" t="s">
        <v>1795</v>
      </c>
      <c r="F204" s="467" t="s">
        <v>1096</v>
      </c>
      <c r="G204" s="467" t="s">
        <v>11363</v>
      </c>
      <c r="H204" s="467" t="s">
        <v>1277</v>
      </c>
      <c r="I204" s="467" t="s">
        <v>1808</v>
      </c>
      <c r="J204" s="467" t="s">
        <v>11412</v>
      </c>
      <c r="K204" s="467" t="s">
        <v>1100</v>
      </c>
      <c r="L204" s="467" t="s">
        <v>1829</v>
      </c>
      <c r="M204" s="467" t="s">
        <v>14208</v>
      </c>
      <c r="N204" s="467" t="s">
        <v>1185</v>
      </c>
      <c r="O204" s="467" t="s">
        <v>1846</v>
      </c>
      <c r="P204" s="467" t="s">
        <v>1105</v>
      </c>
      <c r="Q204" s="467" t="s">
        <v>1107</v>
      </c>
      <c r="R204" s="467" t="s">
        <v>1109</v>
      </c>
      <c r="S204" s="467" t="s">
        <v>1189</v>
      </c>
      <c r="T204" s="467" t="s">
        <v>1863</v>
      </c>
      <c r="U204" s="467" t="s">
        <v>1114</v>
      </c>
      <c r="V204" s="467" t="s">
        <v>1122</v>
      </c>
      <c r="W204" s="467" t="s">
        <v>1879</v>
      </c>
      <c r="X204" s="467" t="s">
        <v>1880</v>
      </c>
      <c r="Y204" s="467" t="s">
        <v>1234</v>
      </c>
      <c r="Z204" s="467" t="s">
        <v>1126</v>
      </c>
      <c r="AA204" s="467" t="s">
        <v>1130</v>
      </c>
      <c r="AB204" s="467" t="s">
        <v>1901</v>
      </c>
      <c r="AC204" s="467" t="s">
        <v>1132</v>
      </c>
      <c r="AD204" s="467" t="s">
        <v>1134</v>
      </c>
      <c r="AE204" s="467" t="s">
        <v>1249</v>
      </c>
      <c r="AF204" s="467" t="s">
        <v>11419</v>
      </c>
      <c r="AG204" s="467" t="s">
        <v>1924</v>
      </c>
      <c r="AH204" s="467" t="s">
        <v>1138</v>
      </c>
      <c r="AI204" s="467" t="s">
        <v>1930</v>
      </c>
      <c r="AJ204" s="467" t="s">
        <v>1140</v>
      </c>
      <c r="AK204" s="467" t="s">
        <v>1262</v>
      </c>
    </row>
    <row r="205" spans="1:45" x14ac:dyDescent="0.25">
      <c r="A205" s="467" t="s">
        <v>805</v>
      </c>
      <c r="B205" s="467" t="s">
        <v>804</v>
      </c>
      <c r="C205" s="467" t="s">
        <v>1096</v>
      </c>
      <c r="D205" s="467" t="s">
        <v>1151</v>
      </c>
      <c r="E205" s="467" t="s">
        <v>1673</v>
      </c>
      <c r="F205" s="467" t="s">
        <v>1674</v>
      </c>
      <c r="G205" s="467" t="s">
        <v>11363</v>
      </c>
      <c r="H205" s="467" t="s">
        <v>1678</v>
      </c>
      <c r="I205" s="467" t="s">
        <v>1680</v>
      </c>
      <c r="J205" s="467" t="s">
        <v>1160</v>
      </c>
      <c r="K205" s="467" t="s">
        <v>1691</v>
      </c>
      <c r="L205" s="467" t="s">
        <v>1167</v>
      </c>
      <c r="M205" s="467" t="s">
        <v>1102</v>
      </c>
      <c r="N205" s="467" t="s">
        <v>1174</v>
      </c>
      <c r="O205" s="467" t="s">
        <v>14208</v>
      </c>
      <c r="P205" s="467" t="s">
        <v>1183</v>
      </c>
      <c r="Q205" s="467" t="s">
        <v>1186</v>
      </c>
      <c r="R205" s="467" t="s">
        <v>1105</v>
      </c>
      <c r="S205" s="467" t="s">
        <v>1188</v>
      </c>
      <c r="T205" s="467" t="s">
        <v>1109</v>
      </c>
      <c r="U205" s="467" t="s">
        <v>1190</v>
      </c>
      <c r="V205" s="467" t="s">
        <v>11401</v>
      </c>
      <c r="W205" s="467" t="s">
        <v>1310</v>
      </c>
      <c r="X205" s="467" t="s">
        <v>1730</v>
      </c>
      <c r="Y205" s="467" t="s">
        <v>1209</v>
      </c>
      <c r="Z205" s="467" t="s">
        <v>1503</v>
      </c>
      <c r="AA205" s="467" t="s">
        <v>1744</v>
      </c>
      <c r="AB205" s="467" t="s">
        <v>1525</v>
      </c>
      <c r="AC205" s="467" t="s">
        <v>1122</v>
      </c>
      <c r="AD205" s="467" t="s">
        <v>1225</v>
      </c>
      <c r="AE205" s="467" t="s">
        <v>1228</v>
      </c>
      <c r="AF205" s="467" t="s">
        <v>1233</v>
      </c>
      <c r="AG205" s="467" t="s">
        <v>11368</v>
      </c>
      <c r="AH205" s="467" t="s">
        <v>1234</v>
      </c>
      <c r="AI205" s="467" t="s">
        <v>1257</v>
      </c>
      <c r="AJ205" s="467" t="s">
        <v>1266</v>
      </c>
    </row>
    <row r="206" spans="1:45" x14ac:dyDescent="0.25">
      <c r="A206" s="467" t="s">
        <v>807</v>
      </c>
      <c r="B206" s="467" t="s">
        <v>806</v>
      </c>
      <c r="C206" s="467" t="s">
        <v>1385</v>
      </c>
      <c r="D206" s="467" t="s">
        <v>1791</v>
      </c>
      <c r="E206" s="467" t="s">
        <v>1386</v>
      </c>
      <c r="F206" s="467" t="s">
        <v>1091</v>
      </c>
      <c r="G206" s="467" t="s">
        <v>14127</v>
      </c>
      <c r="H206" s="467" t="s">
        <v>1093</v>
      </c>
      <c r="I206" s="467" t="s">
        <v>1096</v>
      </c>
      <c r="J206" s="467" t="s">
        <v>11363</v>
      </c>
      <c r="K206" s="467" t="s">
        <v>1161</v>
      </c>
      <c r="L206" s="467" t="s">
        <v>1100</v>
      </c>
      <c r="M206" s="467" t="s">
        <v>1287</v>
      </c>
      <c r="N206" s="467" t="s">
        <v>1167</v>
      </c>
      <c r="O206" s="467" t="s">
        <v>1172</v>
      </c>
      <c r="P206" s="467" t="s">
        <v>1832</v>
      </c>
      <c r="Q206" s="467" t="s">
        <v>1105</v>
      </c>
      <c r="R206" s="467" t="s">
        <v>1107</v>
      </c>
      <c r="S206" s="467" t="s">
        <v>1305</v>
      </c>
      <c r="T206" s="467" t="s">
        <v>1202</v>
      </c>
      <c r="U206" s="467" t="s">
        <v>1862</v>
      </c>
      <c r="V206" s="467" t="s">
        <v>1112</v>
      </c>
      <c r="W206" s="467" t="s">
        <v>1208</v>
      </c>
      <c r="X206" s="467" t="s">
        <v>1315</v>
      </c>
      <c r="Y206" s="467" t="s">
        <v>1322</v>
      </c>
      <c r="Z206" s="467" t="s">
        <v>1873</v>
      </c>
      <c r="AA206" s="467" t="s">
        <v>1220</v>
      </c>
      <c r="AB206" s="467" t="s">
        <v>1122</v>
      </c>
      <c r="AC206" s="467" t="s">
        <v>1882</v>
      </c>
      <c r="AD206" s="467" t="s">
        <v>1233</v>
      </c>
      <c r="AE206" s="467" t="s">
        <v>11368</v>
      </c>
      <c r="AF206" s="467" t="s">
        <v>1234</v>
      </c>
      <c r="AG206" s="467" t="s">
        <v>1126</v>
      </c>
      <c r="AH206" s="467" t="s">
        <v>1898</v>
      </c>
      <c r="AI206" s="467" t="s">
        <v>1130</v>
      </c>
      <c r="AJ206" s="467" t="s">
        <v>1132</v>
      </c>
      <c r="AK206" s="467" t="s">
        <v>1345</v>
      </c>
      <c r="AL206" s="467" t="s">
        <v>1240</v>
      </c>
      <c r="AM206" s="467" t="s">
        <v>1134</v>
      </c>
      <c r="AN206" s="467" t="s">
        <v>1253</v>
      </c>
      <c r="AO206" s="467" t="s">
        <v>1138</v>
      </c>
      <c r="AP206" s="467" t="s">
        <v>1260</v>
      </c>
    </row>
    <row r="207" spans="1:45" x14ac:dyDescent="0.25">
      <c r="A207" s="467" t="s">
        <v>809</v>
      </c>
      <c r="B207" s="467" t="s">
        <v>808</v>
      </c>
      <c r="C207" s="467" t="s">
        <v>1093</v>
      </c>
      <c r="D207" s="467" t="s">
        <v>1096</v>
      </c>
      <c r="E207" s="467" t="s">
        <v>1411</v>
      </c>
      <c r="F207" s="467" t="s">
        <v>1100</v>
      </c>
      <c r="G207" s="467" t="s">
        <v>1420</v>
      </c>
      <c r="H207" s="467" t="s">
        <v>1294</v>
      </c>
      <c r="I207" s="467" t="s">
        <v>1440</v>
      </c>
      <c r="J207" s="467" t="s">
        <v>14208</v>
      </c>
      <c r="K207" s="467" t="s">
        <v>1185</v>
      </c>
      <c r="L207" s="467" t="s">
        <v>1105</v>
      </c>
      <c r="M207" s="467" t="s">
        <v>1107</v>
      </c>
      <c r="N207" s="467" t="s">
        <v>1465</v>
      </c>
      <c r="O207" s="467" t="s">
        <v>1109</v>
      </c>
      <c r="P207" s="467" t="s">
        <v>1311</v>
      </c>
      <c r="Q207" s="467" t="s">
        <v>1202</v>
      </c>
      <c r="R207" s="467" t="s">
        <v>1494</v>
      </c>
      <c r="S207" s="467" t="s">
        <v>1112</v>
      </c>
      <c r="T207" s="467" t="s">
        <v>1315</v>
      </c>
      <c r="U207" s="467" t="s">
        <v>1316</v>
      </c>
      <c r="V207" s="467" t="s">
        <v>1319</v>
      </c>
      <c r="W207" s="467" t="s">
        <v>1120</v>
      </c>
      <c r="X207" s="467" t="s">
        <v>1322</v>
      </c>
      <c r="Y207" s="467" t="s">
        <v>1218</v>
      </c>
      <c r="Z207" s="467" t="s">
        <v>1325</v>
      </c>
      <c r="AA207" s="467" t="s">
        <v>1220</v>
      </c>
      <c r="AB207" s="467" t="s">
        <v>1332</v>
      </c>
      <c r="AC207" s="467" t="s">
        <v>1122</v>
      </c>
      <c r="AD207" s="467" t="s">
        <v>1225</v>
      </c>
      <c r="AE207" s="467" t="s">
        <v>1126</v>
      </c>
      <c r="AF207" s="467" t="s">
        <v>1342</v>
      </c>
      <c r="AG207" s="467" t="s">
        <v>1130</v>
      </c>
      <c r="AH207" s="467" t="s">
        <v>1346</v>
      </c>
      <c r="AI207" s="467" t="s">
        <v>1245</v>
      </c>
      <c r="AJ207" s="467" t="s">
        <v>1362</v>
      </c>
      <c r="AK207" s="467" t="s">
        <v>1253</v>
      </c>
      <c r="AL207" s="467" t="s">
        <v>1592</v>
      </c>
    </row>
    <row r="208" spans="1:45" x14ac:dyDescent="0.25">
      <c r="A208" s="467" t="s">
        <v>811</v>
      </c>
      <c r="B208" s="467" t="s">
        <v>810</v>
      </c>
      <c r="C208" s="467" t="s">
        <v>1143</v>
      </c>
      <c r="D208" s="467" t="s">
        <v>1096</v>
      </c>
      <c r="E208" s="467" t="s">
        <v>1617</v>
      </c>
      <c r="F208" s="467" t="s">
        <v>11363</v>
      </c>
      <c r="G208" s="467" t="s">
        <v>1618</v>
      </c>
      <c r="H208" s="467" t="s">
        <v>1621</v>
      </c>
      <c r="I208" s="467" t="s">
        <v>1167</v>
      </c>
      <c r="J208" s="467" t="s">
        <v>1174</v>
      </c>
      <c r="K208" s="467" t="s">
        <v>1629</v>
      </c>
      <c r="L208" s="467" t="s">
        <v>14208</v>
      </c>
      <c r="M208" s="467" t="s">
        <v>1105</v>
      </c>
      <c r="N208" s="467" t="s">
        <v>1107</v>
      </c>
      <c r="O208" s="467" t="s">
        <v>1639</v>
      </c>
      <c r="P208" s="467" t="s">
        <v>1645</v>
      </c>
      <c r="Q208" s="467" t="s">
        <v>1223</v>
      </c>
      <c r="R208" s="467" t="s">
        <v>1122</v>
      </c>
      <c r="S208" s="467" t="s">
        <v>1228</v>
      </c>
      <c r="T208" s="467" t="s">
        <v>1648</v>
      </c>
      <c r="U208" s="467" t="s">
        <v>14293</v>
      </c>
      <c r="V208" s="467" t="s">
        <v>1124</v>
      </c>
      <c r="W208" s="467" t="s">
        <v>1652</v>
      </c>
      <c r="X208" s="467" t="s">
        <v>1252</v>
      </c>
      <c r="Y208" s="467" t="s">
        <v>1253</v>
      </c>
      <c r="Z208" s="467" t="s">
        <v>1368</v>
      </c>
    </row>
    <row r="209" spans="1:36" x14ac:dyDescent="0.25">
      <c r="A209" s="467" t="s">
        <v>813</v>
      </c>
      <c r="B209" s="467" t="s">
        <v>812</v>
      </c>
      <c r="C209" s="467" t="s">
        <v>1093</v>
      </c>
      <c r="D209" s="467" t="s">
        <v>1096</v>
      </c>
      <c r="E209" s="467" t="s">
        <v>1158</v>
      </c>
      <c r="F209" s="467" t="s">
        <v>2066</v>
      </c>
      <c r="G209" s="467" t="s">
        <v>1961</v>
      </c>
      <c r="H209" s="467" t="s">
        <v>1172</v>
      </c>
      <c r="I209" s="467" t="s">
        <v>14213</v>
      </c>
      <c r="J209" s="467" t="s">
        <v>1186</v>
      </c>
      <c r="K209" s="467" t="s">
        <v>1105</v>
      </c>
      <c r="L209" s="467" t="s">
        <v>1109</v>
      </c>
      <c r="M209" s="467" t="s">
        <v>1190</v>
      </c>
      <c r="N209" s="467" t="s">
        <v>1207</v>
      </c>
      <c r="O209" s="467" t="s">
        <v>2091</v>
      </c>
      <c r="P209" s="467" t="s">
        <v>11367</v>
      </c>
      <c r="Q209" s="467" t="s">
        <v>1226</v>
      </c>
      <c r="R209" s="467" t="s">
        <v>2008</v>
      </c>
      <c r="S209" s="467" t="s">
        <v>1235</v>
      </c>
      <c r="T209" s="467" t="s">
        <v>1126</v>
      </c>
      <c r="U209" s="467" t="s">
        <v>1240</v>
      </c>
      <c r="V209" s="467" t="s">
        <v>1259</v>
      </c>
      <c r="W209" s="467" t="s">
        <v>2127</v>
      </c>
      <c r="X209" s="467" t="s">
        <v>2131</v>
      </c>
    </row>
    <row r="210" spans="1:36" x14ac:dyDescent="0.25">
      <c r="A210" s="467" t="s">
        <v>815</v>
      </c>
      <c r="B210" s="467" t="s">
        <v>814</v>
      </c>
      <c r="C210" s="467" t="s">
        <v>1386</v>
      </c>
      <c r="D210" s="467" t="s">
        <v>1143</v>
      </c>
      <c r="E210" s="467" t="s">
        <v>1093</v>
      </c>
      <c r="F210" s="467" t="s">
        <v>1096</v>
      </c>
      <c r="G210" s="467" t="s">
        <v>11363</v>
      </c>
      <c r="H210" s="467" t="s">
        <v>14208</v>
      </c>
      <c r="I210" s="467" t="s">
        <v>1105</v>
      </c>
      <c r="J210" s="467" t="s">
        <v>1188</v>
      </c>
      <c r="K210" s="467" t="s">
        <v>1107</v>
      </c>
      <c r="L210" s="467" t="s">
        <v>1109</v>
      </c>
      <c r="M210" s="467" t="s">
        <v>1189</v>
      </c>
      <c r="N210" s="467" t="s">
        <v>1190</v>
      </c>
      <c r="O210" s="467" t="s">
        <v>1202</v>
      </c>
      <c r="P210" s="467" t="s">
        <v>1112</v>
      </c>
      <c r="Q210" s="467" t="s">
        <v>1114</v>
      </c>
      <c r="R210" s="467" t="s">
        <v>1501</v>
      </c>
      <c r="S210" s="467" t="s">
        <v>1120</v>
      </c>
      <c r="T210" s="467" t="s">
        <v>1217</v>
      </c>
      <c r="U210" s="467" t="s">
        <v>1218</v>
      </c>
      <c r="V210" s="467" t="s">
        <v>11367</v>
      </c>
      <c r="W210" s="467" t="s">
        <v>1329</v>
      </c>
      <c r="X210" s="467" t="s">
        <v>1536</v>
      </c>
      <c r="Y210" s="467" t="s">
        <v>1124</v>
      </c>
      <c r="Z210" s="467" t="s">
        <v>1887</v>
      </c>
      <c r="AA210" s="467" t="s">
        <v>1540</v>
      </c>
      <c r="AB210" s="467" t="s">
        <v>1233</v>
      </c>
      <c r="AC210" s="467" t="s">
        <v>1235</v>
      </c>
      <c r="AD210" s="467" t="s">
        <v>1130</v>
      </c>
      <c r="AE210" s="467" t="s">
        <v>1134</v>
      </c>
      <c r="AF210" s="467" t="s">
        <v>1358</v>
      </c>
      <c r="AG210" s="467" t="s">
        <v>1249</v>
      </c>
      <c r="AH210" s="467" t="s">
        <v>1581</v>
      </c>
      <c r="AI210" s="467" t="s">
        <v>1262</v>
      </c>
      <c r="AJ210" s="467" t="s">
        <v>1945</v>
      </c>
    </row>
    <row r="211" spans="1:36" x14ac:dyDescent="0.25">
      <c r="A211" s="467" t="s">
        <v>817</v>
      </c>
      <c r="B211" s="467" t="s">
        <v>816</v>
      </c>
      <c r="C211" s="467" t="s">
        <v>1143</v>
      </c>
      <c r="D211" s="467" t="s">
        <v>1680</v>
      </c>
      <c r="E211" s="467" t="s">
        <v>1160</v>
      </c>
      <c r="F211" s="467" t="s">
        <v>14208</v>
      </c>
      <c r="G211" s="467" t="s">
        <v>1183</v>
      </c>
      <c r="H211" s="467" t="s">
        <v>1105</v>
      </c>
      <c r="I211" s="467" t="s">
        <v>1109</v>
      </c>
      <c r="J211" s="467" t="s">
        <v>11401</v>
      </c>
      <c r="K211" s="467" t="s">
        <v>1739</v>
      </c>
      <c r="L211" s="467" t="s">
        <v>1209</v>
      </c>
      <c r="M211" s="467" t="s">
        <v>1503</v>
      </c>
      <c r="N211" s="467" t="s">
        <v>1744</v>
      </c>
      <c r="O211" s="467" t="s">
        <v>1122</v>
      </c>
      <c r="P211" s="467" t="s">
        <v>1225</v>
      </c>
      <c r="Q211" s="467" t="s">
        <v>1228</v>
      </c>
      <c r="R211" s="467" t="s">
        <v>1752</v>
      </c>
      <c r="S211" s="467" t="s">
        <v>1233</v>
      </c>
      <c r="T211" s="467" t="s">
        <v>11368</v>
      </c>
      <c r="U211" s="467" t="s">
        <v>1126</v>
      </c>
      <c r="V211" s="467" t="s">
        <v>1772</v>
      </c>
      <c r="W211" s="467" t="s">
        <v>1257</v>
      </c>
      <c r="X211" s="467" t="s">
        <v>1781</v>
      </c>
      <c r="Y211" s="467" t="s">
        <v>1266</v>
      </c>
    </row>
    <row r="212" spans="1:36" x14ac:dyDescent="0.25">
      <c r="A212" s="467" t="s">
        <v>819</v>
      </c>
      <c r="B212" s="467" t="s">
        <v>818</v>
      </c>
      <c r="C212" s="467" t="s">
        <v>1385</v>
      </c>
      <c r="D212" s="467" t="s">
        <v>1386</v>
      </c>
      <c r="E212" s="467" t="s">
        <v>1096</v>
      </c>
      <c r="F212" s="467" t="s">
        <v>1161</v>
      </c>
      <c r="G212" s="467" t="s">
        <v>1410</v>
      </c>
      <c r="H212" s="467" t="s">
        <v>1692</v>
      </c>
      <c r="I212" s="467" t="s">
        <v>14208</v>
      </c>
      <c r="J212" s="467" t="s">
        <v>1187</v>
      </c>
      <c r="K212" s="467" t="s">
        <v>1107</v>
      </c>
      <c r="L212" s="467" t="s">
        <v>1109</v>
      </c>
      <c r="M212" s="467" t="s">
        <v>1474</v>
      </c>
      <c r="N212" s="467" t="s">
        <v>1202</v>
      </c>
      <c r="O212" s="467" t="s">
        <v>1492</v>
      </c>
      <c r="P212" s="467" t="s">
        <v>1494</v>
      </c>
      <c r="Q212" s="467" t="s">
        <v>1112</v>
      </c>
      <c r="R212" s="467" t="s">
        <v>1501</v>
      </c>
      <c r="S212" s="467" t="s">
        <v>1315</v>
      </c>
      <c r="T212" s="467" t="s">
        <v>1319</v>
      </c>
      <c r="U212" s="467" t="s">
        <v>1120</v>
      </c>
      <c r="V212" s="467" t="s">
        <v>1220</v>
      </c>
      <c r="W212" s="467" t="s">
        <v>1122</v>
      </c>
      <c r="X212" s="467" t="s">
        <v>1124</v>
      </c>
      <c r="Y212" s="467" t="s">
        <v>11391</v>
      </c>
      <c r="Z212" s="467" t="s">
        <v>1539</v>
      </c>
      <c r="AA212" s="467" t="s">
        <v>1342</v>
      </c>
      <c r="AB212" s="467" t="s">
        <v>1245</v>
      </c>
      <c r="AC212" s="467" t="s">
        <v>1566</v>
      </c>
      <c r="AD212" s="467" t="s">
        <v>1249</v>
      </c>
      <c r="AE212" s="467" t="s">
        <v>1570</v>
      </c>
      <c r="AF212" s="467" t="s">
        <v>1575</v>
      </c>
    </row>
    <row r="213" spans="1:36" x14ac:dyDescent="0.25">
      <c r="A213" s="467" t="s">
        <v>821</v>
      </c>
      <c r="B213" s="467" t="s">
        <v>820</v>
      </c>
      <c r="C213" s="467" t="s">
        <v>1143</v>
      </c>
      <c r="D213" s="467" t="s">
        <v>1096</v>
      </c>
      <c r="E213" s="467" t="s">
        <v>1621</v>
      </c>
      <c r="F213" s="467" t="s">
        <v>1172</v>
      </c>
      <c r="G213" s="467" t="s">
        <v>1105</v>
      </c>
      <c r="H213" s="467" t="s">
        <v>1107</v>
      </c>
      <c r="I213" s="467" t="s">
        <v>1109</v>
      </c>
      <c r="J213" s="467" t="s">
        <v>1645</v>
      </c>
      <c r="K213" s="467" t="s">
        <v>1122</v>
      </c>
      <c r="L213" s="467" t="s">
        <v>1126</v>
      </c>
      <c r="M213" s="467" t="s">
        <v>1253</v>
      </c>
      <c r="N213" s="467" t="s">
        <v>1368</v>
      </c>
      <c r="O213" s="467" t="s">
        <v>1257</v>
      </c>
    </row>
    <row r="214" spans="1:36" x14ac:dyDescent="0.25">
      <c r="A214" s="467" t="s">
        <v>823</v>
      </c>
      <c r="B214" s="467" t="s">
        <v>822</v>
      </c>
      <c r="C214" s="467" t="s">
        <v>1143</v>
      </c>
      <c r="D214" s="467" t="s">
        <v>1096</v>
      </c>
      <c r="E214" s="467" t="s">
        <v>1150</v>
      </c>
      <c r="F214" s="467" t="s">
        <v>1677</v>
      </c>
      <c r="G214" s="467" t="s">
        <v>1160</v>
      </c>
      <c r="H214" s="467" t="s">
        <v>11385</v>
      </c>
      <c r="I214" s="467" t="s">
        <v>1627</v>
      </c>
      <c r="J214" s="467" t="s">
        <v>1703</v>
      </c>
      <c r="K214" s="467" t="s">
        <v>14208</v>
      </c>
      <c r="L214" s="467" t="s">
        <v>1183</v>
      </c>
      <c r="M214" s="467" t="s">
        <v>1186</v>
      </c>
      <c r="N214" s="467" t="s">
        <v>1105</v>
      </c>
      <c r="O214" s="467" t="s">
        <v>1109</v>
      </c>
      <c r="P214" s="467" t="s">
        <v>1190</v>
      </c>
      <c r="Q214" s="467" t="s">
        <v>1717</v>
      </c>
      <c r="R214" s="467" t="s">
        <v>11401</v>
      </c>
      <c r="S214" s="467" t="s">
        <v>1193</v>
      </c>
      <c r="T214" s="467" t="s">
        <v>1195</v>
      </c>
      <c r="U214" s="467" t="s">
        <v>1739</v>
      </c>
      <c r="V214" s="467" t="s">
        <v>1209</v>
      </c>
      <c r="W214" s="467" t="s">
        <v>1744</v>
      </c>
      <c r="X214" s="467" t="s">
        <v>1223</v>
      </c>
      <c r="Y214" s="467" t="s">
        <v>1122</v>
      </c>
      <c r="Z214" s="467" t="s">
        <v>1228</v>
      </c>
      <c r="AA214" s="467" t="s">
        <v>1751</v>
      </c>
      <c r="AB214" s="467" t="s">
        <v>1752</v>
      </c>
      <c r="AC214" s="467" t="s">
        <v>1124</v>
      </c>
      <c r="AD214" s="467" t="s">
        <v>1753</v>
      </c>
      <c r="AE214" s="467" t="s">
        <v>1765</v>
      </c>
      <c r="AF214" s="467" t="s">
        <v>1249</v>
      </c>
      <c r="AG214" s="467" t="s">
        <v>1253</v>
      </c>
      <c r="AH214" s="467" t="s">
        <v>1260</v>
      </c>
      <c r="AI214" s="467" t="s">
        <v>1266</v>
      </c>
    </row>
    <row r="215" spans="1:36" x14ac:dyDescent="0.25">
      <c r="A215" s="467" t="s">
        <v>825</v>
      </c>
      <c r="B215" s="467" t="s">
        <v>824</v>
      </c>
      <c r="C215" s="467" t="s">
        <v>1093</v>
      </c>
      <c r="D215" s="467" t="s">
        <v>1096</v>
      </c>
      <c r="E215" s="467" t="s">
        <v>1283</v>
      </c>
      <c r="F215" s="467" t="s">
        <v>1100</v>
      </c>
      <c r="G215" s="467" t="s">
        <v>1102</v>
      </c>
      <c r="H215" s="467" t="s">
        <v>1294</v>
      </c>
      <c r="I215" s="467" t="s">
        <v>1185</v>
      </c>
      <c r="J215" s="467" t="s">
        <v>1109</v>
      </c>
      <c r="K215" s="467" t="s">
        <v>1310</v>
      </c>
      <c r="L215" s="467" t="s">
        <v>1202</v>
      </c>
      <c r="M215" s="467" t="s">
        <v>1114</v>
      </c>
      <c r="N215" s="467" t="s">
        <v>1210</v>
      </c>
      <c r="O215" s="467" t="s">
        <v>1319</v>
      </c>
      <c r="P215" s="467" t="s">
        <v>1122</v>
      </c>
      <c r="Q215" s="467" t="s">
        <v>1235</v>
      </c>
      <c r="R215" s="467" t="s">
        <v>1126</v>
      </c>
      <c r="S215" s="467" t="s">
        <v>1130</v>
      </c>
      <c r="T215" s="467" t="s">
        <v>1346</v>
      </c>
    </row>
    <row r="216" spans="1:36" x14ac:dyDescent="0.25">
      <c r="A216" s="467" t="s">
        <v>827</v>
      </c>
      <c r="B216" s="467" t="s">
        <v>826</v>
      </c>
      <c r="C216" s="467" t="s">
        <v>1096</v>
      </c>
      <c r="D216" s="467" t="s">
        <v>1680</v>
      </c>
      <c r="E216" s="467" t="s">
        <v>1160</v>
      </c>
      <c r="F216" s="467" t="s">
        <v>1692</v>
      </c>
      <c r="G216" s="467" t="s">
        <v>1102</v>
      </c>
      <c r="H216" s="467" t="s">
        <v>1183</v>
      </c>
      <c r="I216" s="467" t="s">
        <v>1186</v>
      </c>
      <c r="J216" s="467" t="s">
        <v>1109</v>
      </c>
      <c r="K216" s="467" t="s">
        <v>1716</v>
      </c>
      <c r="L216" s="467" t="s">
        <v>1195</v>
      </c>
      <c r="M216" s="467" t="s">
        <v>1739</v>
      </c>
      <c r="N216" s="467" t="s">
        <v>1209</v>
      </c>
      <c r="O216" s="467" t="s">
        <v>1503</v>
      </c>
      <c r="P216" s="467" t="s">
        <v>1744</v>
      </c>
      <c r="Q216" s="467" t="s">
        <v>1223</v>
      </c>
      <c r="R216" s="467" t="s">
        <v>1122</v>
      </c>
      <c r="S216" s="467" t="s">
        <v>1225</v>
      </c>
      <c r="T216" s="467" t="s">
        <v>1228</v>
      </c>
      <c r="U216" s="467" t="s">
        <v>1752</v>
      </c>
      <c r="V216" s="467" t="s">
        <v>1249</v>
      </c>
      <c r="W216" s="467" t="s">
        <v>1257</v>
      </c>
      <c r="X216" s="467" t="s">
        <v>1266</v>
      </c>
    </row>
    <row r="217" spans="1:36" x14ac:dyDescent="0.25">
      <c r="A217" s="467" t="s">
        <v>829</v>
      </c>
      <c r="B217" s="467" t="s">
        <v>828</v>
      </c>
      <c r="C217" s="467" t="s">
        <v>1091</v>
      </c>
      <c r="D217" s="467" t="s">
        <v>11363</v>
      </c>
      <c r="E217" s="467" t="s">
        <v>1100</v>
      </c>
      <c r="F217" s="467" t="s">
        <v>1175</v>
      </c>
      <c r="G217" s="467" t="s">
        <v>1834</v>
      </c>
      <c r="H217" s="467" t="s">
        <v>1187</v>
      </c>
      <c r="I217" s="467" t="s">
        <v>1105</v>
      </c>
      <c r="J217" s="467" t="s">
        <v>1107</v>
      </c>
      <c r="K217" s="467" t="s">
        <v>1109</v>
      </c>
      <c r="L217" s="467" t="s">
        <v>1310</v>
      </c>
      <c r="M217" s="467" t="s">
        <v>1202</v>
      </c>
      <c r="N217" s="467" t="s">
        <v>1114</v>
      </c>
      <c r="O217" s="467" t="s">
        <v>1217</v>
      </c>
      <c r="P217" s="467" t="s">
        <v>1218</v>
      </c>
      <c r="Q217" s="467" t="s">
        <v>11367</v>
      </c>
      <c r="R217" s="467" t="s">
        <v>1332</v>
      </c>
      <c r="S217" s="467" t="s">
        <v>1122</v>
      </c>
      <c r="T217" s="467" t="s">
        <v>1233</v>
      </c>
      <c r="U217" s="467" t="s">
        <v>1126</v>
      </c>
      <c r="V217" s="467" t="s">
        <v>1892</v>
      </c>
      <c r="W217" s="467" t="s">
        <v>1130</v>
      </c>
      <c r="X217" s="467" t="s">
        <v>1134</v>
      </c>
      <c r="Y217" s="467" t="s">
        <v>1904</v>
      </c>
    </row>
    <row r="218" spans="1:36" x14ac:dyDescent="0.25">
      <c r="A218" s="467" t="s">
        <v>831</v>
      </c>
      <c r="B218" s="467" t="s">
        <v>830</v>
      </c>
      <c r="C218" s="467" t="s">
        <v>1145</v>
      </c>
      <c r="D218" s="467" t="s">
        <v>1146</v>
      </c>
      <c r="E218" s="467" t="s">
        <v>1148</v>
      </c>
      <c r="F218" s="467" t="s">
        <v>1096</v>
      </c>
      <c r="G218" s="467" t="s">
        <v>1149</v>
      </c>
      <c r="H218" s="467" t="s">
        <v>11363</v>
      </c>
      <c r="I218" s="467" t="s">
        <v>14208</v>
      </c>
      <c r="J218" s="467" t="s">
        <v>1183</v>
      </c>
      <c r="K218" s="467" t="s">
        <v>1185</v>
      </c>
      <c r="L218" s="467" t="s">
        <v>1105</v>
      </c>
      <c r="M218" s="467" t="s">
        <v>1188</v>
      </c>
      <c r="N218" s="467" t="s">
        <v>1109</v>
      </c>
      <c r="O218" s="467" t="s">
        <v>2161</v>
      </c>
      <c r="P218" s="467" t="s">
        <v>1193</v>
      </c>
      <c r="Q218" s="467" t="s">
        <v>1209</v>
      </c>
      <c r="R218" s="467" t="s">
        <v>1223</v>
      </c>
      <c r="S218" s="467" t="s">
        <v>1122</v>
      </c>
      <c r="T218" s="467" t="s">
        <v>1225</v>
      </c>
      <c r="U218" s="467" t="s">
        <v>1228</v>
      </c>
      <c r="V218" s="467" t="s">
        <v>1234</v>
      </c>
      <c r="W218" s="467" t="s">
        <v>1126</v>
      </c>
      <c r="X218" s="467" t="s">
        <v>1238</v>
      </c>
      <c r="Y218" s="467" t="s">
        <v>1240</v>
      </c>
      <c r="Z218" s="467" t="s">
        <v>1134</v>
      </c>
      <c r="AA218" s="467" t="s">
        <v>2176</v>
      </c>
      <c r="AB218" s="467" t="s">
        <v>1249</v>
      </c>
      <c r="AC218" s="467" t="s">
        <v>1257</v>
      </c>
      <c r="AD218" s="467" t="s">
        <v>2187</v>
      </c>
      <c r="AE218" s="467" t="s">
        <v>1789</v>
      </c>
    </row>
    <row r="219" spans="1:36" x14ac:dyDescent="0.25">
      <c r="A219" s="467" t="s">
        <v>833</v>
      </c>
      <c r="B219" s="467" t="s">
        <v>832</v>
      </c>
      <c r="C219" s="467" t="s">
        <v>1093</v>
      </c>
      <c r="D219" s="467" t="s">
        <v>1096</v>
      </c>
      <c r="E219" s="467" t="s">
        <v>1616</v>
      </c>
      <c r="F219" s="467" t="s">
        <v>1158</v>
      </c>
      <c r="G219" s="467" t="s">
        <v>2068</v>
      </c>
      <c r="H219" s="467" t="s">
        <v>1961</v>
      </c>
      <c r="I219" s="467" t="s">
        <v>1100</v>
      </c>
      <c r="J219" s="467" t="s">
        <v>2072</v>
      </c>
      <c r="K219" s="467" t="s">
        <v>1167</v>
      </c>
      <c r="L219" s="467" t="s">
        <v>1171</v>
      </c>
      <c r="M219" s="467" t="s">
        <v>14208</v>
      </c>
      <c r="N219" s="467" t="s">
        <v>1105</v>
      </c>
      <c r="O219" s="467" t="s">
        <v>1109</v>
      </c>
      <c r="P219" s="467" t="s">
        <v>1202</v>
      </c>
      <c r="Q219" s="467" t="s">
        <v>1203</v>
      </c>
      <c r="R219" s="467" t="s">
        <v>1207</v>
      </c>
      <c r="S219" s="467" t="s">
        <v>1218</v>
      </c>
      <c r="T219" s="467" t="s">
        <v>11367</v>
      </c>
      <c r="U219" s="467" t="s">
        <v>1220</v>
      </c>
      <c r="V219" s="467" t="s">
        <v>1226</v>
      </c>
      <c r="W219" s="467" t="s">
        <v>1233</v>
      </c>
      <c r="X219" s="467" t="s">
        <v>11368</v>
      </c>
      <c r="Y219" s="467" t="s">
        <v>1235</v>
      </c>
      <c r="Z219" s="467" t="s">
        <v>1126</v>
      </c>
      <c r="AA219" s="467" t="s">
        <v>1240</v>
      </c>
      <c r="AB219" s="467" t="s">
        <v>1249</v>
      </c>
      <c r="AC219" s="467" t="s">
        <v>1253</v>
      </c>
      <c r="AD219" s="467" t="s">
        <v>2128</v>
      </c>
    </row>
    <row r="220" spans="1:36" x14ac:dyDescent="0.25">
      <c r="A220" s="467" t="s">
        <v>835</v>
      </c>
      <c r="B220" s="467" t="s">
        <v>834</v>
      </c>
      <c r="C220" s="467" t="s">
        <v>1385</v>
      </c>
      <c r="D220" s="467" t="s">
        <v>1386</v>
      </c>
      <c r="E220" s="467" t="s">
        <v>1143</v>
      </c>
      <c r="F220" s="467" t="s">
        <v>1093</v>
      </c>
      <c r="G220" s="467" t="s">
        <v>1096</v>
      </c>
      <c r="H220" s="467" t="s">
        <v>1161</v>
      </c>
      <c r="I220" s="467" t="s">
        <v>14208</v>
      </c>
      <c r="J220" s="467" t="s">
        <v>1109</v>
      </c>
      <c r="K220" s="467" t="s">
        <v>1202</v>
      </c>
      <c r="L220" s="467" t="s">
        <v>1112</v>
      </c>
      <c r="M220" s="467" t="s">
        <v>1501</v>
      </c>
      <c r="N220" s="467" t="s">
        <v>1120</v>
      </c>
      <c r="O220" s="467" t="s">
        <v>1321</v>
      </c>
      <c r="P220" s="467" t="s">
        <v>1217</v>
      </c>
      <c r="Q220" s="467" t="s">
        <v>1220</v>
      </c>
      <c r="R220" s="467" t="s">
        <v>1887</v>
      </c>
      <c r="S220" s="467" t="s">
        <v>1540</v>
      </c>
      <c r="T220" s="467" t="s">
        <v>1547</v>
      </c>
      <c r="U220" s="467" t="s">
        <v>1130</v>
      </c>
      <c r="V220" s="467" t="s">
        <v>1903</v>
      </c>
      <c r="W220" s="467" t="s">
        <v>1240</v>
      </c>
      <c r="X220" s="467" t="s">
        <v>1253</v>
      </c>
      <c r="Y220" s="467" t="s">
        <v>1581</v>
      </c>
      <c r="Z220" s="467" t="s">
        <v>1140</v>
      </c>
    </row>
    <row r="221" spans="1:36" x14ac:dyDescent="0.25">
      <c r="A221" s="467" t="s">
        <v>837</v>
      </c>
      <c r="B221" s="467" t="s">
        <v>836</v>
      </c>
      <c r="C221" s="467" t="s">
        <v>1143</v>
      </c>
      <c r="D221" s="467" t="s">
        <v>1145</v>
      </c>
      <c r="E221" s="467" t="s">
        <v>1093</v>
      </c>
      <c r="F221" s="467" t="s">
        <v>1096</v>
      </c>
      <c r="G221" s="467" t="s">
        <v>1171</v>
      </c>
      <c r="H221" s="467" t="s">
        <v>1173</v>
      </c>
      <c r="I221" s="467" t="s">
        <v>1102</v>
      </c>
      <c r="J221" s="467" t="s">
        <v>1175</v>
      </c>
      <c r="K221" s="467" t="s">
        <v>1178</v>
      </c>
      <c r="L221" s="467" t="s">
        <v>1180</v>
      </c>
      <c r="M221" s="467" t="s">
        <v>14208</v>
      </c>
      <c r="N221" s="467" t="s">
        <v>1105</v>
      </c>
      <c r="O221" s="467" t="s">
        <v>1190</v>
      </c>
      <c r="P221" s="467" t="s">
        <v>1191</v>
      </c>
      <c r="Q221" s="467" t="s">
        <v>1310</v>
      </c>
      <c r="R221" s="467" t="s">
        <v>1203</v>
      </c>
      <c r="S221" s="467" t="s">
        <v>1112</v>
      </c>
      <c r="T221" s="467" t="s">
        <v>1215</v>
      </c>
      <c r="U221" s="467" t="s">
        <v>1220</v>
      </c>
      <c r="V221" s="467" t="s">
        <v>1122</v>
      </c>
      <c r="W221" s="467" t="s">
        <v>1226</v>
      </c>
      <c r="X221" s="467" t="s">
        <v>1228</v>
      </c>
      <c r="Y221" s="467" t="s">
        <v>1233</v>
      </c>
      <c r="Z221" s="467" t="s">
        <v>11368</v>
      </c>
      <c r="AA221" s="467" t="s">
        <v>1134</v>
      </c>
      <c r="AB221" s="467" t="s">
        <v>14420</v>
      </c>
      <c r="AC221" s="467" t="s">
        <v>1253</v>
      </c>
      <c r="AD221" s="467" t="s">
        <v>1261</v>
      </c>
      <c r="AE221" s="467" t="s">
        <v>1262</v>
      </c>
    </row>
    <row r="222" spans="1:36" x14ac:dyDescent="0.25">
      <c r="A222" s="467" t="s">
        <v>839</v>
      </c>
      <c r="B222" s="467" t="s">
        <v>838</v>
      </c>
      <c r="C222" s="467" t="s">
        <v>1386</v>
      </c>
      <c r="D222" s="467" t="s">
        <v>14127</v>
      </c>
      <c r="E222" s="467" t="s">
        <v>1143</v>
      </c>
      <c r="F222" s="467" t="s">
        <v>1093</v>
      </c>
      <c r="G222" s="467" t="s">
        <v>1096</v>
      </c>
      <c r="H222" s="467" t="s">
        <v>1161</v>
      </c>
      <c r="I222" s="467" t="s">
        <v>1828</v>
      </c>
      <c r="J222" s="467" t="s">
        <v>14208</v>
      </c>
      <c r="K222" s="467" t="s">
        <v>1444</v>
      </c>
      <c r="L222" s="467" t="s">
        <v>1105</v>
      </c>
      <c r="M222" s="467" t="s">
        <v>1107</v>
      </c>
      <c r="N222" s="467" t="s">
        <v>1109</v>
      </c>
      <c r="O222" s="467" t="s">
        <v>1202</v>
      </c>
      <c r="P222" s="467" t="s">
        <v>1112</v>
      </c>
      <c r="Q222" s="467" t="s">
        <v>1114</v>
      </c>
      <c r="R222" s="467" t="s">
        <v>1120</v>
      </c>
      <c r="S222" s="467" t="s">
        <v>1321</v>
      </c>
      <c r="T222" s="467" t="s">
        <v>1227</v>
      </c>
      <c r="U222" s="467" t="s">
        <v>1124</v>
      </c>
      <c r="V222" s="467" t="s">
        <v>1126</v>
      </c>
      <c r="W222" s="467" t="s">
        <v>1130</v>
      </c>
      <c r="X222" s="467" t="s">
        <v>1132</v>
      </c>
      <c r="Y222" s="467" t="s">
        <v>1134</v>
      </c>
      <c r="Z222" s="467" t="s">
        <v>1136</v>
      </c>
      <c r="AA222" s="467" t="s">
        <v>1253</v>
      </c>
      <c r="AB222" s="467" t="s">
        <v>14365</v>
      </c>
      <c r="AC222" s="467" t="s">
        <v>1924</v>
      </c>
      <c r="AD222" s="467" t="s">
        <v>1138</v>
      </c>
      <c r="AE222" s="467" t="s">
        <v>1140</v>
      </c>
    </row>
    <row r="223" spans="1:36" x14ac:dyDescent="0.25">
      <c r="A223" s="467" t="s">
        <v>841</v>
      </c>
      <c r="B223" s="467" t="s">
        <v>840</v>
      </c>
      <c r="C223" s="467" t="s">
        <v>1143</v>
      </c>
      <c r="D223" s="467" t="s">
        <v>1093</v>
      </c>
      <c r="E223" s="467" t="s">
        <v>1168</v>
      </c>
      <c r="F223" s="467" t="s">
        <v>1173</v>
      </c>
      <c r="G223" s="467" t="s">
        <v>14208</v>
      </c>
      <c r="H223" s="467" t="s">
        <v>1105</v>
      </c>
      <c r="I223" s="467" t="s">
        <v>1200</v>
      </c>
      <c r="J223" s="467" t="s">
        <v>1203</v>
      </c>
      <c r="K223" s="467" t="s">
        <v>1215</v>
      </c>
      <c r="L223" s="467" t="s">
        <v>1220</v>
      </c>
      <c r="M223" s="467" t="s">
        <v>1226</v>
      </c>
      <c r="N223" s="467" t="s">
        <v>1228</v>
      </c>
      <c r="O223" s="467" t="s">
        <v>1134</v>
      </c>
      <c r="P223" s="467" t="s">
        <v>1250</v>
      </c>
    </row>
    <row r="224" spans="1:36" x14ac:dyDescent="0.25">
      <c r="A224" s="467" t="s">
        <v>843</v>
      </c>
      <c r="B224" s="467" t="s">
        <v>842</v>
      </c>
      <c r="C224" s="467" t="s">
        <v>1278</v>
      </c>
      <c r="D224" s="467" t="s">
        <v>1621</v>
      </c>
      <c r="E224" s="467" t="s">
        <v>1105</v>
      </c>
      <c r="F224" s="467" t="s">
        <v>1107</v>
      </c>
      <c r="G224" s="467" t="s">
        <v>1109</v>
      </c>
      <c r="H224" s="467" t="s">
        <v>1190</v>
      </c>
      <c r="I224" s="467" t="s">
        <v>1638</v>
      </c>
      <c r="J224" s="467" t="s">
        <v>1639</v>
      </c>
      <c r="K224" s="467" t="s">
        <v>2165</v>
      </c>
      <c r="L224" s="467" t="s">
        <v>1645</v>
      </c>
      <c r="M224" s="467" t="s">
        <v>1648</v>
      </c>
      <c r="N224" s="467" t="s">
        <v>1126</v>
      </c>
      <c r="O224" s="467" t="s">
        <v>1134</v>
      </c>
      <c r="P224" s="467" t="s">
        <v>1368</v>
      </c>
      <c r="Q224" s="467" t="s">
        <v>1257</v>
      </c>
      <c r="R224" s="467" t="s">
        <v>2191</v>
      </c>
      <c r="S224" s="467" t="s">
        <v>1789</v>
      </c>
    </row>
    <row r="225" spans="1:45" x14ac:dyDescent="0.25">
      <c r="A225" s="467" t="s">
        <v>845</v>
      </c>
      <c r="B225" s="467" t="s">
        <v>844</v>
      </c>
      <c r="C225" s="467" t="s">
        <v>1147</v>
      </c>
      <c r="D225" s="467" t="s">
        <v>1391</v>
      </c>
      <c r="E225" s="467" t="s">
        <v>1096</v>
      </c>
      <c r="F225" s="467" t="s">
        <v>1150</v>
      </c>
      <c r="G225" s="467" t="s">
        <v>1100</v>
      </c>
      <c r="H225" s="467" t="s">
        <v>1167</v>
      </c>
      <c r="I225" s="467" t="s">
        <v>1102</v>
      </c>
      <c r="J225" s="467" t="s">
        <v>1704</v>
      </c>
      <c r="K225" s="467" t="s">
        <v>14208</v>
      </c>
      <c r="L225" s="467" t="s">
        <v>1183</v>
      </c>
      <c r="M225" s="467" t="s">
        <v>1188</v>
      </c>
      <c r="N225" s="467" t="s">
        <v>1109</v>
      </c>
      <c r="O225" s="467" t="s">
        <v>1715</v>
      </c>
      <c r="P225" s="467" t="s">
        <v>1716</v>
      </c>
      <c r="Q225" s="467" t="s">
        <v>11401</v>
      </c>
      <c r="R225" s="467" t="s">
        <v>1735</v>
      </c>
      <c r="S225" s="467" t="s">
        <v>1739</v>
      </c>
      <c r="T225" s="467" t="s">
        <v>1209</v>
      </c>
      <c r="U225" s="467" t="s">
        <v>1744</v>
      </c>
      <c r="V225" s="467" t="s">
        <v>1122</v>
      </c>
      <c r="W225" s="467" t="s">
        <v>1225</v>
      </c>
      <c r="X225" s="467" t="s">
        <v>1228</v>
      </c>
      <c r="Y225" s="467" t="s">
        <v>1750</v>
      </c>
      <c r="Z225" s="467" t="s">
        <v>1752</v>
      </c>
      <c r="AA225" s="467" t="s">
        <v>1124</v>
      </c>
      <c r="AB225" s="467" t="s">
        <v>1230</v>
      </c>
      <c r="AC225" s="467" t="s">
        <v>1755</v>
      </c>
      <c r="AD225" s="467" t="s">
        <v>1234</v>
      </c>
      <c r="AE225" s="467" t="s">
        <v>1126</v>
      </c>
      <c r="AF225" s="467" t="s">
        <v>1245</v>
      </c>
      <c r="AG225" s="467" t="s">
        <v>1249</v>
      </c>
      <c r="AH225" s="467" t="s">
        <v>1253</v>
      </c>
      <c r="AI225" s="467" t="s">
        <v>1778</v>
      </c>
      <c r="AJ225" s="467" t="s">
        <v>1257</v>
      </c>
      <c r="AK225" s="467" t="s">
        <v>1260</v>
      </c>
      <c r="AL225" s="467" t="s">
        <v>1266</v>
      </c>
    </row>
    <row r="226" spans="1:45" x14ac:dyDescent="0.25">
      <c r="A226" s="467" t="s">
        <v>847</v>
      </c>
      <c r="B226" s="467" t="s">
        <v>846</v>
      </c>
      <c r="C226" s="467" t="s">
        <v>1147</v>
      </c>
      <c r="D226" s="467" t="s">
        <v>1093</v>
      </c>
      <c r="E226" s="467" t="s">
        <v>1096</v>
      </c>
      <c r="F226" s="467" t="s">
        <v>11363</v>
      </c>
      <c r="G226" s="467" t="s">
        <v>2060</v>
      </c>
      <c r="H226" s="467" t="s">
        <v>1158</v>
      </c>
      <c r="I226" s="467" t="s">
        <v>1961</v>
      </c>
      <c r="J226" s="467" t="s">
        <v>1100</v>
      </c>
      <c r="K226" s="467" t="s">
        <v>1174</v>
      </c>
      <c r="L226" s="467" t="s">
        <v>14208</v>
      </c>
      <c r="M226" s="467" t="s">
        <v>14213</v>
      </c>
      <c r="N226" s="467" t="s">
        <v>1185</v>
      </c>
      <c r="O226" s="467" t="s">
        <v>1105</v>
      </c>
      <c r="P226" s="467" t="s">
        <v>1109</v>
      </c>
      <c r="Q226" s="467" t="s">
        <v>1190</v>
      </c>
      <c r="R226" s="467" t="s">
        <v>2088</v>
      </c>
      <c r="S226" s="467" t="s">
        <v>1207</v>
      </c>
      <c r="T226" s="467" t="s">
        <v>2090</v>
      </c>
      <c r="U226" s="467" t="s">
        <v>1217</v>
      </c>
      <c r="V226" s="467" t="s">
        <v>1122</v>
      </c>
      <c r="W226" s="467" t="s">
        <v>1226</v>
      </c>
      <c r="X226" s="467" t="s">
        <v>1235</v>
      </c>
      <c r="Y226" s="467" t="s">
        <v>1126</v>
      </c>
      <c r="Z226" s="467" t="s">
        <v>2097</v>
      </c>
      <c r="AA226" s="467" t="s">
        <v>2109</v>
      </c>
      <c r="AB226" s="467" t="s">
        <v>1240</v>
      </c>
      <c r="AC226" s="467" t="s">
        <v>1134</v>
      </c>
      <c r="AD226" s="467" t="s">
        <v>2119</v>
      </c>
      <c r="AE226" s="467" t="s">
        <v>1253</v>
      </c>
      <c r="AF226" s="467" t="s">
        <v>1259</v>
      </c>
      <c r="AG226" s="467" t="s">
        <v>1260</v>
      </c>
      <c r="AH226" s="467" t="s">
        <v>2127</v>
      </c>
      <c r="AI226" s="467" t="s">
        <v>2133</v>
      </c>
    </row>
    <row r="227" spans="1:45" x14ac:dyDescent="0.25">
      <c r="A227" s="467" t="s">
        <v>849</v>
      </c>
      <c r="B227" s="467" t="s">
        <v>848</v>
      </c>
      <c r="C227" s="467" t="s">
        <v>1143</v>
      </c>
      <c r="D227" s="467" t="s">
        <v>1096</v>
      </c>
      <c r="E227" s="467" t="s">
        <v>1618</v>
      </c>
      <c r="F227" s="467" t="s">
        <v>1621</v>
      </c>
      <c r="G227" s="467" t="s">
        <v>1164</v>
      </c>
      <c r="H227" s="467" t="s">
        <v>1172</v>
      </c>
      <c r="I227" s="467" t="s">
        <v>1173</v>
      </c>
      <c r="J227" s="467" t="s">
        <v>2146</v>
      </c>
      <c r="K227" s="467" t="s">
        <v>1705</v>
      </c>
      <c r="L227" s="467" t="s">
        <v>14208</v>
      </c>
      <c r="M227" s="467" t="s">
        <v>1105</v>
      </c>
      <c r="N227" s="467" t="s">
        <v>1188</v>
      </c>
      <c r="O227" s="467" t="s">
        <v>1107</v>
      </c>
      <c r="P227" s="467" t="s">
        <v>1109</v>
      </c>
      <c r="Q227" s="467" t="s">
        <v>1633</v>
      </c>
      <c r="R227" s="467" t="s">
        <v>1638</v>
      </c>
      <c r="S227" s="467" t="s">
        <v>1726</v>
      </c>
      <c r="T227" s="467" t="s">
        <v>1209</v>
      </c>
      <c r="U227" s="467" t="s">
        <v>1122</v>
      </c>
      <c r="V227" s="467" t="s">
        <v>1648</v>
      </c>
      <c r="W227" s="467" t="s">
        <v>1235</v>
      </c>
      <c r="X227" s="467" t="s">
        <v>1126</v>
      </c>
      <c r="Y227" s="467" t="s">
        <v>1245</v>
      </c>
      <c r="Z227" s="467" t="s">
        <v>1249</v>
      </c>
      <c r="AA227" s="467" t="s">
        <v>1253</v>
      </c>
      <c r="AB227" s="467" t="s">
        <v>1368</v>
      </c>
      <c r="AC227" s="467" t="s">
        <v>1257</v>
      </c>
      <c r="AD227" s="467" t="s">
        <v>2189</v>
      </c>
      <c r="AE227" s="467" t="s">
        <v>2191</v>
      </c>
      <c r="AF227" s="467" t="s">
        <v>1789</v>
      </c>
    </row>
    <row r="228" spans="1:45" x14ac:dyDescent="0.25">
      <c r="A228" s="467" t="s">
        <v>851</v>
      </c>
      <c r="B228" s="467" t="s">
        <v>850</v>
      </c>
      <c r="C228" s="467" t="s">
        <v>14127</v>
      </c>
      <c r="D228" s="467" t="s">
        <v>1093</v>
      </c>
      <c r="E228" s="467" t="s">
        <v>1096</v>
      </c>
      <c r="F228" s="467" t="s">
        <v>1098</v>
      </c>
      <c r="G228" s="467" t="s">
        <v>11422</v>
      </c>
      <c r="H228" s="467" t="s">
        <v>1965</v>
      </c>
      <c r="I228" s="467" t="s">
        <v>1102</v>
      </c>
      <c r="J228" s="467" t="s">
        <v>1978</v>
      </c>
      <c r="K228" s="467" t="s">
        <v>14208</v>
      </c>
      <c r="L228" s="467" t="s">
        <v>1185</v>
      </c>
      <c r="M228" s="467" t="s">
        <v>1187</v>
      </c>
      <c r="N228" s="467" t="s">
        <v>1109</v>
      </c>
      <c r="O228" s="467" t="s">
        <v>1111</v>
      </c>
      <c r="P228" s="467" t="s">
        <v>1991</v>
      </c>
      <c r="Q228" s="467" t="s">
        <v>1114</v>
      </c>
      <c r="R228" s="467" t="s">
        <v>1221</v>
      </c>
      <c r="S228" s="467" t="s">
        <v>1225</v>
      </c>
      <c r="T228" s="467" t="s">
        <v>1124</v>
      </c>
      <c r="U228" s="467" t="s">
        <v>1233</v>
      </c>
      <c r="V228" s="467" t="s">
        <v>11368</v>
      </c>
      <c r="W228" s="467" t="s">
        <v>1126</v>
      </c>
      <c r="X228" s="467" t="s">
        <v>2011</v>
      </c>
      <c r="Y228" s="467" t="s">
        <v>2017</v>
      </c>
      <c r="Z228" s="467" t="s">
        <v>1132</v>
      </c>
      <c r="AA228" s="467" t="s">
        <v>1240</v>
      </c>
      <c r="AB228" s="467" t="s">
        <v>1134</v>
      </c>
      <c r="AC228" s="467" t="s">
        <v>1136</v>
      </c>
      <c r="AD228" s="467" t="s">
        <v>2021</v>
      </c>
      <c r="AE228" s="467" t="s">
        <v>14331</v>
      </c>
      <c r="AF228" s="467" t="s">
        <v>1249</v>
      </c>
      <c r="AG228" s="467" t="s">
        <v>1262</v>
      </c>
    </row>
    <row r="229" spans="1:45" x14ac:dyDescent="0.25">
      <c r="A229" s="467" t="s">
        <v>853</v>
      </c>
      <c r="B229" s="467" t="s">
        <v>852</v>
      </c>
      <c r="C229" s="467" t="s">
        <v>1096</v>
      </c>
      <c r="D229" s="467" t="s">
        <v>1676</v>
      </c>
      <c r="E229" s="467" t="s">
        <v>1403</v>
      </c>
      <c r="F229" s="467" t="s">
        <v>1696</v>
      </c>
      <c r="G229" s="467" t="s">
        <v>1699</v>
      </c>
      <c r="H229" s="467" t="s">
        <v>1177</v>
      </c>
      <c r="I229" s="467" t="s">
        <v>14208</v>
      </c>
      <c r="J229" s="467" t="s">
        <v>1183</v>
      </c>
      <c r="K229" s="467" t="s">
        <v>1185</v>
      </c>
      <c r="L229" s="467" t="s">
        <v>1186</v>
      </c>
      <c r="M229" s="467" t="s">
        <v>1709</v>
      </c>
      <c r="N229" s="467" t="s">
        <v>1188</v>
      </c>
      <c r="O229" s="467" t="s">
        <v>1109</v>
      </c>
      <c r="P229" s="467" t="s">
        <v>1633</v>
      </c>
      <c r="Q229" s="467" t="s">
        <v>11401</v>
      </c>
      <c r="R229" s="467" t="s">
        <v>1728</v>
      </c>
      <c r="S229" s="467" t="s">
        <v>1209</v>
      </c>
      <c r="T229" s="467" t="s">
        <v>1743</v>
      </c>
      <c r="U229" s="467" t="s">
        <v>1744</v>
      </c>
      <c r="V229" s="467" t="s">
        <v>1122</v>
      </c>
      <c r="W229" s="467" t="s">
        <v>1748</v>
      </c>
      <c r="X229" s="467" t="s">
        <v>14287</v>
      </c>
      <c r="Y229" s="467" t="s">
        <v>1228</v>
      </c>
      <c r="Z229" s="467" t="s">
        <v>1751</v>
      </c>
      <c r="AA229" s="467" t="s">
        <v>1752</v>
      </c>
      <c r="AB229" s="467" t="s">
        <v>1126</v>
      </c>
      <c r="AC229" s="467" t="s">
        <v>1245</v>
      </c>
      <c r="AD229" s="467" t="s">
        <v>1253</v>
      </c>
      <c r="AE229" s="467" t="s">
        <v>1779</v>
      </c>
      <c r="AF229" s="467" t="s">
        <v>1260</v>
      </c>
      <c r="AG229" s="467" t="s">
        <v>1266</v>
      </c>
    </row>
    <row r="230" spans="1:45" x14ac:dyDescent="0.25">
      <c r="A230" s="467" t="s">
        <v>855</v>
      </c>
      <c r="B230" s="467" t="s">
        <v>854</v>
      </c>
      <c r="C230" s="467" t="s">
        <v>1143</v>
      </c>
      <c r="D230" s="467" t="s">
        <v>1096</v>
      </c>
      <c r="E230" s="467" t="s">
        <v>1621</v>
      </c>
      <c r="F230" s="467" t="s">
        <v>14208</v>
      </c>
      <c r="G230" s="467" t="s">
        <v>1105</v>
      </c>
      <c r="H230" s="467" t="s">
        <v>1107</v>
      </c>
      <c r="I230" s="467" t="s">
        <v>1638</v>
      </c>
      <c r="J230" s="467" t="s">
        <v>1639</v>
      </c>
      <c r="K230" s="467" t="s">
        <v>1196</v>
      </c>
      <c r="L230" s="467" t="s">
        <v>1122</v>
      </c>
      <c r="M230" s="467" t="s">
        <v>1228</v>
      </c>
      <c r="N230" s="467" t="s">
        <v>1648</v>
      </c>
      <c r="O230" s="467" t="s">
        <v>1233</v>
      </c>
      <c r="P230" s="467" t="s">
        <v>11368</v>
      </c>
      <c r="Q230" s="467" t="s">
        <v>1238</v>
      </c>
      <c r="R230" s="467" t="s">
        <v>1240</v>
      </c>
      <c r="S230" s="467" t="s">
        <v>1134</v>
      </c>
      <c r="T230" s="467" t="s">
        <v>1249</v>
      </c>
      <c r="U230" s="467" t="s">
        <v>2182</v>
      </c>
      <c r="V230" s="467" t="s">
        <v>1368</v>
      </c>
      <c r="W230" s="467" t="s">
        <v>1257</v>
      </c>
      <c r="X230" s="467" t="s">
        <v>2187</v>
      </c>
      <c r="Y230" s="467" t="s">
        <v>2191</v>
      </c>
      <c r="Z230" s="467" t="s">
        <v>1789</v>
      </c>
      <c r="AA230" s="467" t="s">
        <v>1266</v>
      </c>
    </row>
    <row r="231" spans="1:45" x14ac:dyDescent="0.25">
      <c r="A231" s="467" t="s">
        <v>857</v>
      </c>
      <c r="B231" s="467" t="s">
        <v>856</v>
      </c>
      <c r="C231" s="467" t="s">
        <v>1093</v>
      </c>
      <c r="D231" s="467" t="s">
        <v>1096</v>
      </c>
      <c r="E231" s="467" t="s">
        <v>1804</v>
      </c>
      <c r="F231" s="467" t="s">
        <v>1172</v>
      </c>
      <c r="G231" s="467" t="s">
        <v>1175</v>
      </c>
      <c r="H231" s="467" t="s">
        <v>14208</v>
      </c>
      <c r="I231" s="467" t="s">
        <v>1443</v>
      </c>
      <c r="J231" s="467" t="s">
        <v>1182</v>
      </c>
      <c r="K231" s="467" t="s">
        <v>1105</v>
      </c>
      <c r="L231" s="467" t="s">
        <v>1189</v>
      </c>
      <c r="M231" s="467" t="s">
        <v>1202</v>
      </c>
      <c r="N231" s="467" t="s">
        <v>11413</v>
      </c>
      <c r="O231" s="467" t="s">
        <v>1112</v>
      </c>
      <c r="P231" s="467" t="s">
        <v>1114</v>
      </c>
      <c r="Q231" s="467" t="s">
        <v>1322</v>
      </c>
      <c r="R231" s="467" t="s">
        <v>1217</v>
      </c>
      <c r="S231" s="467" t="s">
        <v>1218</v>
      </c>
      <c r="T231" s="467" t="s">
        <v>11367</v>
      </c>
      <c r="U231" s="467" t="s">
        <v>1122</v>
      </c>
      <c r="V231" s="467" t="s">
        <v>1534</v>
      </c>
      <c r="W231" s="467" t="s">
        <v>1885</v>
      </c>
      <c r="X231" s="467" t="s">
        <v>1130</v>
      </c>
      <c r="Y231" s="467" t="s">
        <v>1252</v>
      </c>
      <c r="Z231" s="467" t="s">
        <v>1928</v>
      </c>
      <c r="AA231" s="467" t="s">
        <v>1935</v>
      </c>
    </row>
    <row r="232" spans="1:45" x14ac:dyDescent="0.25">
      <c r="A232" s="467" t="s">
        <v>859</v>
      </c>
      <c r="B232" s="467" t="s">
        <v>858</v>
      </c>
      <c r="C232" s="467" t="s">
        <v>1145</v>
      </c>
      <c r="D232" s="467" t="s">
        <v>1146</v>
      </c>
      <c r="E232" s="467" t="s">
        <v>1093</v>
      </c>
      <c r="F232" s="467" t="s">
        <v>1148</v>
      </c>
      <c r="G232" s="467" t="s">
        <v>2135</v>
      </c>
      <c r="H232" s="467" t="s">
        <v>1668</v>
      </c>
      <c r="I232" s="467" t="s">
        <v>1096</v>
      </c>
      <c r="J232" s="467" t="s">
        <v>1149</v>
      </c>
      <c r="K232" s="467" t="s">
        <v>11363</v>
      </c>
      <c r="L232" s="467" t="s">
        <v>1156</v>
      </c>
      <c r="M232" s="467" t="s">
        <v>1100</v>
      </c>
      <c r="N232" s="467" t="s">
        <v>1171</v>
      </c>
      <c r="O232" s="467" t="s">
        <v>1172</v>
      </c>
      <c r="P232" s="467" t="s">
        <v>1173</v>
      </c>
      <c r="Q232" s="467" t="s">
        <v>14208</v>
      </c>
      <c r="R232" s="467" t="s">
        <v>1183</v>
      </c>
      <c r="S232" s="467" t="s">
        <v>1186</v>
      </c>
      <c r="T232" s="467" t="s">
        <v>1107</v>
      </c>
      <c r="U232" s="467" t="s">
        <v>1109</v>
      </c>
      <c r="V232" s="467" t="s">
        <v>1634</v>
      </c>
      <c r="W232" s="467" t="s">
        <v>1190</v>
      </c>
      <c r="X232" s="467" t="s">
        <v>2161</v>
      </c>
      <c r="Y232" s="467" t="s">
        <v>1193</v>
      </c>
      <c r="Z232" s="467" t="s">
        <v>1197</v>
      </c>
      <c r="AA232" s="467" t="s">
        <v>1112</v>
      </c>
      <c r="AB232" s="467" t="s">
        <v>2169</v>
      </c>
      <c r="AC232" s="467" t="s">
        <v>1223</v>
      </c>
      <c r="AD232" s="467" t="s">
        <v>1224</v>
      </c>
      <c r="AE232" s="467" t="s">
        <v>1122</v>
      </c>
      <c r="AF232" s="467" t="s">
        <v>1225</v>
      </c>
      <c r="AG232" s="467" t="s">
        <v>1228</v>
      </c>
      <c r="AH232" s="467" t="s">
        <v>1234</v>
      </c>
      <c r="AI232" s="467" t="s">
        <v>1235</v>
      </c>
      <c r="AJ232" s="467" t="s">
        <v>1126</v>
      </c>
      <c r="AK232" s="467" t="s">
        <v>1238</v>
      </c>
      <c r="AL232" s="467" t="s">
        <v>1130</v>
      </c>
      <c r="AM232" s="467" t="s">
        <v>11439</v>
      </c>
      <c r="AN232" s="467" t="s">
        <v>2176</v>
      </c>
      <c r="AO232" s="467" t="s">
        <v>1249</v>
      </c>
      <c r="AP232" s="467" t="s">
        <v>1257</v>
      </c>
      <c r="AQ232" s="467" t="s">
        <v>1260</v>
      </c>
      <c r="AR232" s="467" t="s">
        <v>1789</v>
      </c>
      <c r="AS232" s="467" t="s">
        <v>1266</v>
      </c>
    </row>
    <row r="233" spans="1:45" x14ac:dyDescent="0.25">
      <c r="A233" s="467" t="s">
        <v>861</v>
      </c>
      <c r="B233" s="467" t="s">
        <v>860</v>
      </c>
      <c r="C233" s="467" t="s">
        <v>1668</v>
      </c>
      <c r="D233" s="467" t="s">
        <v>1096</v>
      </c>
      <c r="E233" s="467" t="s">
        <v>1277</v>
      </c>
      <c r="F233" s="467" t="s">
        <v>1158</v>
      </c>
      <c r="G233" s="467" t="s">
        <v>1961</v>
      </c>
      <c r="H233" s="467" t="s">
        <v>1100</v>
      </c>
      <c r="I233" s="467" t="s">
        <v>11430</v>
      </c>
      <c r="J233" s="467" t="s">
        <v>14208</v>
      </c>
      <c r="K233" s="467" t="s">
        <v>1183</v>
      </c>
      <c r="L233" s="467" t="s">
        <v>14213</v>
      </c>
      <c r="M233" s="467" t="s">
        <v>1185</v>
      </c>
      <c r="N233" s="467" t="s">
        <v>1105</v>
      </c>
      <c r="O233" s="467" t="s">
        <v>1107</v>
      </c>
      <c r="P233" s="467" t="s">
        <v>14226</v>
      </c>
      <c r="Q233" s="467" t="s">
        <v>1109</v>
      </c>
      <c r="R233" s="467" t="s">
        <v>1112</v>
      </c>
      <c r="S233" s="467" t="s">
        <v>1207</v>
      </c>
      <c r="T233" s="467" t="s">
        <v>1124</v>
      </c>
      <c r="U233" s="467" t="s">
        <v>2008</v>
      </c>
      <c r="V233" s="467" t="s">
        <v>1235</v>
      </c>
      <c r="W233" s="467" t="s">
        <v>1126</v>
      </c>
      <c r="X233" s="467" t="s">
        <v>2100</v>
      </c>
      <c r="Y233" s="467" t="s">
        <v>2101</v>
      </c>
      <c r="Z233" s="467" t="s">
        <v>2102</v>
      </c>
      <c r="AA233" s="467" t="s">
        <v>11432</v>
      </c>
      <c r="AB233" s="467" t="s">
        <v>1240</v>
      </c>
      <c r="AC233" s="467" t="s">
        <v>1134</v>
      </c>
      <c r="AD233" s="467" t="s">
        <v>11464</v>
      </c>
      <c r="AE233" s="467" t="s">
        <v>2118</v>
      </c>
      <c r="AF233" s="467" t="s">
        <v>11435</v>
      </c>
      <c r="AG233" s="467" t="s">
        <v>2123</v>
      </c>
      <c r="AH233" s="467" t="s">
        <v>1259</v>
      </c>
      <c r="AI233" s="467" t="s">
        <v>2125</v>
      </c>
      <c r="AJ233" s="467" t="s">
        <v>2127</v>
      </c>
    </row>
    <row r="234" spans="1:45" x14ac:dyDescent="0.25">
      <c r="A234" s="467" t="s">
        <v>863</v>
      </c>
      <c r="B234" s="467" t="s">
        <v>862</v>
      </c>
      <c r="C234" s="467" t="s">
        <v>1386</v>
      </c>
      <c r="D234" s="467" t="s">
        <v>1091</v>
      </c>
      <c r="E234" s="467" t="s">
        <v>14127</v>
      </c>
      <c r="F234" s="467" t="s">
        <v>1093</v>
      </c>
      <c r="G234" s="467" t="s">
        <v>1096</v>
      </c>
      <c r="H234" s="467" t="s">
        <v>11363</v>
      </c>
      <c r="I234" s="467" t="s">
        <v>1813</v>
      </c>
      <c r="J234" s="467" t="s">
        <v>1161</v>
      </c>
      <c r="K234" s="467" t="s">
        <v>1287</v>
      </c>
      <c r="L234" s="467" t="s">
        <v>14208</v>
      </c>
      <c r="M234" s="467" t="s">
        <v>1185</v>
      </c>
      <c r="N234" s="467" t="s">
        <v>1187</v>
      </c>
      <c r="O234" s="467" t="s">
        <v>1107</v>
      </c>
      <c r="P234" s="467" t="s">
        <v>1305</v>
      </c>
      <c r="Q234" s="467" t="s">
        <v>1306</v>
      </c>
      <c r="R234" s="467" t="s">
        <v>1474</v>
      </c>
      <c r="S234" s="467" t="s">
        <v>1202</v>
      </c>
      <c r="T234" s="467" t="s">
        <v>1494</v>
      </c>
      <c r="U234" s="467" t="s">
        <v>1112</v>
      </c>
      <c r="V234" s="467" t="s">
        <v>1315</v>
      </c>
      <c r="W234" s="467" t="s">
        <v>1120</v>
      </c>
      <c r="X234" s="467" t="s">
        <v>1327</v>
      </c>
      <c r="Y234" s="467" t="s">
        <v>1220</v>
      </c>
      <c r="Z234" s="467" t="s">
        <v>1122</v>
      </c>
      <c r="AA234" s="467" t="s">
        <v>1124</v>
      </c>
      <c r="AB234" s="467" t="s">
        <v>1126</v>
      </c>
      <c r="AC234" s="467" t="s">
        <v>1132</v>
      </c>
      <c r="AD234" s="467" t="s">
        <v>1138</v>
      </c>
      <c r="AE234" s="467" t="s">
        <v>1262</v>
      </c>
      <c r="AF234" s="467" t="s">
        <v>1264</v>
      </c>
      <c r="AG234" s="467" t="s">
        <v>1607</v>
      </c>
    </row>
    <row r="235" spans="1:45" x14ac:dyDescent="0.25">
      <c r="A235" s="467" t="s">
        <v>865</v>
      </c>
      <c r="B235" s="467" t="s">
        <v>864</v>
      </c>
      <c r="C235" s="467" t="s">
        <v>1093</v>
      </c>
      <c r="D235" s="467" t="s">
        <v>1096</v>
      </c>
      <c r="E235" s="467" t="s">
        <v>1158</v>
      </c>
      <c r="F235" s="467" t="s">
        <v>1961</v>
      </c>
      <c r="G235" s="467" t="s">
        <v>1100</v>
      </c>
      <c r="H235" s="467" t="s">
        <v>14208</v>
      </c>
      <c r="I235" s="467" t="s">
        <v>14213</v>
      </c>
      <c r="J235" s="467" t="s">
        <v>2084</v>
      </c>
      <c r="K235" s="467" t="s">
        <v>1105</v>
      </c>
      <c r="L235" s="467" t="s">
        <v>1188</v>
      </c>
      <c r="M235" s="467" t="s">
        <v>1107</v>
      </c>
      <c r="N235" s="467" t="s">
        <v>1109</v>
      </c>
      <c r="O235" s="467" t="s">
        <v>1190</v>
      </c>
      <c r="P235" s="467" t="s">
        <v>1207</v>
      </c>
      <c r="Q235" s="467" t="s">
        <v>1217</v>
      </c>
      <c r="R235" s="467" t="s">
        <v>1218</v>
      </c>
      <c r="S235" s="467" t="s">
        <v>11367</v>
      </c>
      <c r="T235" s="467" t="s">
        <v>1226</v>
      </c>
      <c r="U235" s="467" t="s">
        <v>2094</v>
      </c>
      <c r="V235" s="467" t="s">
        <v>1126</v>
      </c>
      <c r="W235" s="467" t="s">
        <v>2103</v>
      </c>
      <c r="X235" s="467" t="s">
        <v>2106</v>
      </c>
      <c r="Y235" s="467" t="s">
        <v>2109</v>
      </c>
      <c r="Z235" s="467" t="s">
        <v>2110</v>
      </c>
      <c r="AA235" s="467" t="s">
        <v>1134</v>
      </c>
      <c r="AB235" s="467" t="s">
        <v>1245</v>
      </c>
      <c r="AC235" s="467" t="s">
        <v>2116</v>
      </c>
      <c r="AD235" s="467" t="s">
        <v>1248</v>
      </c>
      <c r="AE235" s="467" t="s">
        <v>1259</v>
      </c>
      <c r="AF235" s="467" t="s">
        <v>2127</v>
      </c>
      <c r="AG235" s="467" t="s">
        <v>2128</v>
      </c>
      <c r="AH235" s="467" t="s">
        <v>1262</v>
      </c>
      <c r="AI235" s="467" t="s">
        <v>1264</v>
      </c>
    </row>
    <row r="236" spans="1:45" x14ac:dyDescent="0.25">
      <c r="A236" s="467" t="s">
        <v>867</v>
      </c>
      <c r="B236" s="467" t="s">
        <v>866</v>
      </c>
      <c r="C236" s="467" t="s">
        <v>11421</v>
      </c>
      <c r="D236" s="467" t="s">
        <v>14127</v>
      </c>
      <c r="E236" s="467" t="s">
        <v>1093</v>
      </c>
      <c r="F236" s="467" t="s">
        <v>1096</v>
      </c>
      <c r="G236" s="467" t="s">
        <v>1802</v>
      </c>
      <c r="H236" s="467" t="s">
        <v>1098</v>
      </c>
      <c r="I236" s="467" t="s">
        <v>11363</v>
      </c>
      <c r="J236" s="467" t="s">
        <v>1156</v>
      </c>
      <c r="K236" s="467" t="s">
        <v>11422</v>
      </c>
      <c r="L236" s="467" t="s">
        <v>1978</v>
      </c>
      <c r="M236" s="467" t="s">
        <v>1177</v>
      </c>
      <c r="N236" s="467" t="s">
        <v>1981</v>
      </c>
      <c r="O236" s="467" t="s">
        <v>14208</v>
      </c>
      <c r="P236" s="467" t="s">
        <v>1185</v>
      </c>
      <c r="Q236" s="467" t="s">
        <v>1187</v>
      </c>
      <c r="R236" s="467" t="s">
        <v>1105</v>
      </c>
      <c r="S236" s="467" t="s">
        <v>1107</v>
      </c>
      <c r="T236" s="467" t="s">
        <v>1109</v>
      </c>
      <c r="U236" s="467" t="s">
        <v>1190</v>
      </c>
      <c r="V236" s="467" t="s">
        <v>1111</v>
      </c>
      <c r="W236" s="467" t="s">
        <v>1991</v>
      </c>
      <c r="X236" s="467" t="s">
        <v>1114</v>
      </c>
      <c r="Y236" s="467" t="s">
        <v>2000</v>
      </c>
      <c r="Z236" s="467" t="s">
        <v>1218</v>
      </c>
      <c r="AA236" s="467" t="s">
        <v>1221</v>
      </c>
      <c r="AB236" s="467" t="s">
        <v>1122</v>
      </c>
      <c r="AC236" s="467" t="s">
        <v>1225</v>
      </c>
      <c r="AD236" s="467" t="s">
        <v>1226</v>
      </c>
      <c r="AE236" s="467" t="s">
        <v>1124</v>
      </c>
      <c r="AF236" s="467" t="s">
        <v>1126</v>
      </c>
      <c r="AG236" s="467" t="s">
        <v>2011</v>
      </c>
      <c r="AH236" s="467" t="s">
        <v>2017</v>
      </c>
      <c r="AI236" s="467" t="s">
        <v>1132</v>
      </c>
      <c r="AJ236" s="467" t="s">
        <v>1240</v>
      </c>
      <c r="AK236" s="467" t="s">
        <v>1241</v>
      </c>
      <c r="AL236" s="467" t="s">
        <v>1134</v>
      </c>
      <c r="AM236" s="467" t="s">
        <v>1136</v>
      </c>
      <c r="AN236" s="467" t="s">
        <v>2022</v>
      </c>
      <c r="AO236" s="467" t="s">
        <v>1245</v>
      </c>
      <c r="AP236" s="467" t="s">
        <v>1262</v>
      </c>
    </row>
    <row r="237" spans="1:45" x14ac:dyDescent="0.25">
      <c r="A237" s="467" t="s">
        <v>869</v>
      </c>
      <c r="B237" s="467" t="s">
        <v>868</v>
      </c>
      <c r="C237" s="467" t="s">
        <v>1143</v>
      </c>
      <c r="D237" s="467" t="s">
        <v>1096</v>
      </c>
      <c r="E237" s="467" t="s">
        <v>1156</v>
      </c>
      <c r="F237" s="467" t="s">
        <v>1161</v>
      </c>
      <c r="G237" s="467" t="s">
        <v>1286</v>
      </c>
      <c r="H237" s="467" t="s">
        <v>1100</v>
      </c>
      <c r="I237" s="467" t="s">
        <v>1168</v>
      </c>
      <c r="J237" s="467" t="s">
        <v>1296</v>
      </c>
      <c r="K237" s="467" t="s">
        <v>1180</v>
      </c>
      <c r="L237" s="467" t="s">
        <v>1182</v>
      </c>
      <c r="M237" s="467" t="s">
        <v>1187</v>
      </c>
      <c r="N237" s="467" t="s">
        <v>1105</v>
      </c>
      <c r="O237" s="467" t="s">
        <v>1306</v>
      </c>
      <c r="P237" s="467" t="s">
        <v>1202</v>
      </c>
      <c r="Q237" s="467" t="s">
        <v>1203</v>
      </c>
      <c r="R237" s="467" t="s">
        <v>1112</v>
      </c>
      <c r="S237" s="467" t="s">
        <v>1218</v>
      </c>
      <c r="T237" s="467" t="s">
        <v>11367</v>
      </c>
      <c r="U237" s="467" t="s">
        <v>1327</v>
      </c>
      <c r="V237" s="467" t="s">
        <v>1122</v>
      </c>
      <c r="W237" s="467" t="s">
        <v>1339</v>
      </c>
      <c r="X237" s="467" t="s">
        <v>1233</v>
      </c>
      <c r="Y237" s="467" t="s">
        <v>11368</v>
      </c>
      <c r="Z237" s="467" t="s">
        <v>1235</v>
      </c>
      <c r="AA237" s="467" t="s">
        <v>1126</v>
      </c>
      <c r="AB237" s="467" t="s">
        <v>1341</v>
      </c>
      <c r="AC237" s="467" t="s">
        <v>1240</v>
      </c>
      <c r="AD237" s="467" t="s">
        <v>1134</v>
      </c>
      <c r="AE237" s="467" t="s">
        <v>1356</v>
      </c>
      <c r="AF237" s="467" t="s">
        <v>1357</v>
      </c>
      <c r="AG237" s="467" t="s">
        <v>1249</v>
      </c>
      <c r="AH237" s="467" t="s">
        <v>1360</v>
      </c>
      <c r="AI237" s="467" t="s">
        <v>1364</v>
      </c>
      <c r="AJ237" s="467" t="s">
        <v>1253</v>
      </c>
    </row>
    <row r="238" spans="1:45" x14ac:dyDescent="0.25">
      <c r="A238" s="467" t="s">
        <v>871</v>
      </c>
      <c r="B238" s="467" t="s">
        <v>870</v>
      </c>
      <c r="C238" s="467" t="s">
        <v>1153</v>
      </c>
      <c r="D238" s="467" t="s">
        <v>11363</v>
      </c>
      <c r="E238" s="467" t="s">
        <v>1171</v>
      </c>
      <c r="F238" s="467" t="s">
        <v>1173</v>
      </c>
      <c r="G238" s="467" t="s">
        <v>1102</v>
      </c>
      <c r="H238" s="467" t="s">
        <v>1178</v>
      </c>
      <c r="I238" s="467" t="s">
        <v>1181</v>
      </c>
      <c r="J238" s="467" t="s">
        <v>1105</v>
      </c>
      <c r="K238" s="467" t="s">
        <v>1107</v>
      </c>
      <c r="L238" s="467" t="s">
        <v>1109</v>
      </c>
      <c r="M238" s="467" t="s">
        <v>1203</v>
      </c>
      <c r="N238" s="467" t="s">
        <v>1112</v>
      </c>
      <c r="O238" s="467" t="s">
        <v>1207</v>
      </c>
      <c r="P238" s="467" t="s">
        <v>1209</v>
      </c>
      <c r="Q238" s="467" t="s">
        <v>1215</v>
      </c>
      <c r="R238" s="467" t="s">
        <v>1219</v>
      </c>
      <c r="S238" s="467" t="s">
        <v>1224</v>
      </c>
      <c r="T238" s="467" t="s">
        <v>1226</v>
      </c>
      <c r="U238" s="467" t="s">
        <v>1227</v>
      </c>
      <c r="V238" s="467" t="s">
        <v>1233</v>
      </c>
      <c r="W238" s="467" t="s">
        <v>11368</v>
      </c>
      <c r="X238" s="467" t="s">
        <v>1126</v>
      </c>
      <c r="Y238" s="467" t="s">
        <v>1249</v>
      </c>
      <c r="Z238" s="467" t="s">
        <v>1253</v>
      </c>
      <c r="AA238" s="467" t="s">
        <v>1258</v>
      </c>
      <c r="AB238" s="467" t="s">
        <v>1259</v>
      </c>
    </row>
    <row r="239" spans="1:45" x14ac:dyDescent="0.25">
      <c r="A239" s="467" t="s">
        <v>873</v>
      </c>
      <c r="B239" s="467" t="s">
        <v>872</v>
      </c>
      <c r="C239" s="467" t="s">
        <v>1947</v>
      </c>
      <c r="D239" s="467" t="s">
        <v>1093</v>
      </c>
      <c r="E239" s="467" t="s">
        <v>1096</v>
      </c>
      <c r="F239" s="467" t="s">
        <v>11423</v>
      </c>
      <c r="G239" s="467" t="s">
        <v>1954</v>
      </c>
      <c r="H239" s="467" t="s">
        <v>1158</v>
      </c>
      <c r="I239" s="467" t="s">
        <v>1164</v>
      </c>
      <c r="J239" s="467" t="s">
        <v>1100</v>
      </c>
      <c r="K239" s="467" t="s">
        <v>1971</v>
      </c>
      <c r="L239" s="467" t="s">
        <v>1975</v>
      </c>
      <c r="M239" s="467" t="s">
        <v>1175</v>
      </c>
      <c r="N239" s="467" t="s">
        <v>14208</v>
      </c>
      <c r="O239" s="467" t="s">
        <v>1986</v>
      </c>
      <c r="P239" s="467" t="s">
        <v>1185</v>
      </c>
      <c r="Q239" s="467" t="s">
        <v>1987</v>
      </c>
      <c r="R239" s="467" t="s">
        <v>1105</v>
      </c>
      <c r="S239" s="467" t="s">
        <v>1109</v>
      </c>
      <c r="T239" s="467" t="s">
        <v>1190</v>
      </c>
      <c r="U239" s="467" t="s">
        <v>1989</v>
      </c>
      <c r="V239" s="467" t="s">
        <v>1111</v>
      </c>
      <c r="W239" s="467" t="s">
        <v>1993</v>
      </c>
      <c r="X239" s="467" t="s">
        <v>1994</v>
      </c>
      <c r="Y239" s="467" t="s">
        <v>1998</v>
      </c>
      <c r="Z239" s="467" t="s">
        <v>1122</v>
      </c>
      <c r="AA239" s="467" t="s">
        <v>1225</v>
      </c>
      <c r="AB239" s="467" t="s">
        <v>1126</v>
      </c>
      <c r="AC239" s="467" t="s">
        <v>2017</v>
      </c>
      <c r="AD239" s="467" t="s">
        <v>1132</v>
      </c>
      <c r="AE239" s="467" t="s">
        <v>2018</v>
      </c>
      <c r="AF239" s="467" t="s">
        <v>1240</v>
      </c>
      <c r="AG239" s="467" t="s">
        <v>1241</v>
      </c>
      <c r="AH239" s="467" t="s">
        <v>1134</v>
      </c>
      <c r="AI239" s="467" t="s">
        <v>2029</v>
      </c>
      <c r="AJ239" s="467" t="s">
        <v>1248</v>
      </c>
      <c r="AK239" s="467" t="s">
        <v>1249</v>
      </c>
      <c r="AL239" s="467" t="s">
        <v>14421</v>
      </c>
      <c r="AM239" s="467" t="s">
        <v>1253</v>
      </c>
    </row>
    <row r="240" spans="1:45" x14ac:dyDescent="0.25">
      <c r="A240" s="467" t="s">
        <v>875</v>
      </c>
      <c r="B240" s="467" t="s">
        <v>874</v>
      </c>
      <c r="C240" s="467" t="s">
        <v>1093</v>
      </c>
      <c r="D240" s="467" t="s">
        <v>1096</v>
      </c>
      <c r="E240" s="467" t="s">
        <v>1098</v>
      </c>
      <c r="F240" s="467" t="s">
        <v>1808</v>
      </c>
      <c r="G240" s="467" t="s">
        <v>1161</v>
      </c>
      <c r="H240" s="467" t="s">
        <v>1100</v>
      </c>
      <c r="I240" s="467" t="s">
        <v>1102</v>
      </c>
      <c r="J240" s="467" t="s">
        <v>14208</v>
      </c>
      <c r="K240" s="467" t="s">
        <v>1985</v>
      </c>
      <c r="L240" s="467" t="s">
        <v>1187</v>
      </c>
      <c r="M240" s="467" t="s">
        <v>1105</v>
      </c>
      <c r="N240" s="467" t="s">
        <v>1190</v>
      </c>
      <c r="O240" s="467" t="s">
        <v>1310</v>
      </c>
      <c r="P240" s="467" t="s">
        <v>1111</v>
      </c>
      <c r="Q240" s="467" t="s">
        <v>2004</v>
      </c>
      <c r="R240" s="467" t="s">
        <v>1228</v>
      </c>
      <c r="S240" s="467" t="s">
        <v>1126</v>
      </c>
      <c r="T240" s="467" t="s">
        <v>2016</v>
      </c>
      <c r="U240" s="467" t="s">
        <v>2017</v>
      </c>
      <c r="V240" s="467" t="s">
        <v>1132</v>
      </c>
      <c r="W240" s="467" t="s">
        <v>2021</v>
      </c>
      <c r="X240" s="467" t="s">
        <v>2023</v>
      </c>
      <c r="Y240" s="467" t="s">
        <v>1245</v>
      </c>
      <c r="Z240" s="467" t="s">
        <v>2034</v>
      </c>
      <c r="AA240" s="467" t="s">
        <v>1249</v>
      </c>
      <c r="AB240" s="467" t="s">
        <v>2050</v>
      </c>
    </row>
    <row r="241" spans="1:64" x14ac:dyDescent="0.25">
      <c r="A241" s="467" t="s">
        <v>877</v>
      </c>
      <c r="B241" s="467" t="s">
        <v>876</v>
      </c>
      <c r="C241" s="467" t="s">
        <v>1143</v>
      </c>
      <c r="D241" s="467" t="s">
        <v>1093</v>
      </c>
      <c r="E241" s="467" t="s">
        <v>1161</v>
      </c>
      <c r="F241" s="467" t="s">
        <v>1100</v>
      </c>
      <c r="G241" s="467" t="s">
        <v>1168</v>
      </c>
      <c r="H241" s="467" t="s">
        <v>1174</v>
      </c>
      <c r="I241" s="467" t="s">
        <v>1178</v>
      </c>
      <c r="J241" s="467" t="s">
        <v>14208</v>
      </c>
      <c r="K241" s="467" t="s">
        <v>1182</v>
      </c>
      <c r="L241" s="467" t="s">
        <v>1187</v>
      </c>
      <c r="M241" s="467" t="s">
        <v>1105</v>
      </c>
      <c r="N241" s="467" t="s">
        <v>1199</v>
      </c>
      <c r="O241" s="467" t="s">
        <v>1200</v>
      </c>
      <c r="P241" s="467" t="s">
        <v>1111</v>
      </c>
      <c r="Q241" s="467" t="s">
        <v>1203</v>
      </c>
      <c r="R241" s="467" t="s">
        <v>1208</v>
      </c>
      <c r="S241" s="467" t="s">
        <v>1215</v>
      </c>
      <c r="T241" s="467" t="s">
        <v>1223</v>
      </c>
      <c r="U241" s="467" t="s">
        <v>1226</v>
      </c>
      <c r="V241" s="467" t="s">
        <v>1228</v>
      </c>
      <c r="W241" s="467" t="s">
        <v>1124</v>
      </c>
    </row>
    <row r="242" spans="1:64" x14ac:dyDescent="0.25">
      <c r="A242" s="467" t="s">
        <v>879</v>
      </c>
      <c r="B242" s="467" t="s">
        <v>878</v>
      </c>
      <c r="C242" s="467" t="s">
        <v>1143</v>
      </c>
      <c r="D242" s="467" t="s">
        <v>1093</v>
      </c>
      <c r="E242" s="467" t="s">
        <v>1096</v>
      </c>
      <c r="F242" s="467" t="s">
        <v>1155</v>
      </c>
      <c r="G242" s="467" t="s">
        <v>1156</v>
      </c>
      <c r="H242" s="467" t="s">
        <v>1100</v>
      </c>
      <c r="I242" s="467" t="s">
        <v>1168</v>
      </c>
      <c r="J242" s="467" t="s">
        <v>1171</v>
      </c>
      <c r="K242" s="467" t="s">
        <v>1173</v>
      </c>
      <c r="L242" s="467" t="s">
        <v>14208</v>
      </c>
      <c r="M242" s="467" t="s">
        <v>1105</v>
      </c>
      <c r="N242" s="467" t="s">
        <v>1109</v>
      </c>
      <c r="O242" s="467" t="s">
        <v>1194</v>
      </c>
      <c r="P242" s="467" t="s">
        <v>14243</v>
      </c>
      <c r="Q242" s="467" t="s">
        <v>1310</v>
      </c>
      <c r="R242" s="467" t="s">
        <v>1199</v>
      </c>
      <c r="S242" s="467" t="s">
        <v>1200</v>
      </c>
      <c r="T242" s="467" t="s">
        <v>1111</v>
      </c>
      <c r="U242" s="467" t="s">
        <v>1202</v>
      </c>
      <c r="V242" s="467" t="s">
        <v>1203</v>
      </c>
      <c r="W242" s="467" t="s">
        <v>1112</v>
      </c>
      <c r="X242" s="467" t="s">
        <v>1208</v>
      </c>
      <c r="Y242" s="467" t="s">
        <v>1209</v>
      </c>
      <c r="Z242" s="467" t="s">
        <v>1210</v>
      </c>
      <c r="AA242" s="467" t="s">
        <v>1215</v>
      </c>
      <c r="AB242" s="467" t="s">
        <v>11367</v>
      </c>
      <c r="AC242" s="467" t="s">
        <v>1223</v>
      </c>
      <c r="AD242" s="467" t="s">
        <v>1122</v>
      </c>
      <c r="AE242" s="467" t="s">
        <v>1226</v>
      </c>
      <c r="AF242" s="467" t="s">
        <v>1228</v>
      </c>
      <c r="AG242" s="467" t="s">
        <v>1233</v>
      </c>
      <c r="AH242" s="467" t="s">
        <v>11368</v>
      </c>
      <c r="AI242" s="467" t="s">
        <v>1126</v>
      </c>
    </row>
    <row r="243" spans="1:64" x14ac:dyDescent="0.25">
      <c r="A243" s="467" t="s">
        <v>881</v>
      </c>
      <c r="B243" s="467" t="s">
        <v>880</v>
      </c>
      <c r="C243" s="467" t="s">
        <v>1623</v>
      </c>
      <c r="D243" s="467" t="s">
        <v>1172</v>
      </c>
      <c r="E243" s="467" t="s">
        <v>1698</v>
      </c>
      <c r="F243" s="467" t="s">
        <v>1102</v>
      </c>
      <c r="G243" s="467" t="s">
        <v>1105</v>
      </c>
      <c r="H243" s="467" t="s">
        <v>1188</v>
      </c>
      <c r="I243" s="467" t="s">
        <v>1107</v>
      </c>
      <c r="J243" s="467" t="s">
        <v>1193</v>
      </c>
      <c r="K243" s="467" t="s">
        <v>1720</v>
      </c>
      <c r="L243" s="467" t="s">
        <v>1738</v>
      </c>
      <c r="M243" s="467" t="s">
        <v>1209</v>
      </c>
      <c r="N243" s="467" t="s">
        <v>1503</v>
      </c>
      <c r="O243" s="467" t="s">
        <v>1228</v>
      </c>
      <c r="P243" s="467" t="s">
        <v>1126</v>
      </c>
      <c r="Q243" s="467" t="s">
        <v>1760</v>
      </c>
      <c r="R243" s="467" t="s">
        <v>1245</v>
      </c>
      <c r="S243" s="467" t="s">
        <v>11398</v>
      </c>
      <c r="T243" s="467" t="s">
        <v>1253</v>
      </c>
    </row>
    <row r="244" spans="1:64" x14ac:dyDescent="0.25">
      <c r="A244" s="467" t="s">
        <v>883</v>
      </c>
      <c r="B244" s="467" t="s">
        <v>882</v>
      </c>
      <c r="C244" s="467" t="s">
        <v>1096</v>
      </c>
      <c r="D244" s="467" t="s">
        <v>1282</v>
      </c>
      <c r="E244" s="467" t="s">
        <v>1100</v>
      </c>
      <c r="F244" s="467" t="s">
        <v>1290</v>
      </c>
      <c r="G244" s="467" t="s">
        <v>1296</v>
      </c>
      <c r="H244" s="467" t="s">
        <v>1187</v>
      </c>
      <c r="I244" s="467" t="s">
        <v>1105</v>
      </c>
      <c r="J244" s="467" t="s">
        <v>1107</v>
      </c>
      <c r="K244" s="467" t="s">
        <v>1109</v>
      </c>
      <c r="L244" s="467" t="s">
        <v>1190</v>
      </c>
      <c r="M244" s="467" t="s">
        <v>1112</v>
      </c>
      <c r="N244" s="467" t="s">
        <v>1218</v>
      </c>
      <c r="O244" s="467" t="s">
        <v>11367</v>
      </c>
      <c r="P244" s="467" t="s">
        <v>1326</v>
      </c>
      <c r="Q244" s="467" t="s">
        <v>1122</v>
      </c>
      <c r="R244" s="467" t="s">
        <v>1228</v>
      </c>
      <c r="S244" s="467" t="s">
        <v>1339</v>
      </c>
      <c r="T244" s="467" t="s">
        <v>1233</v>
      </c>
      <c r="U244" s="467" t="s">
        <v>11368</v>
      </c>
      <c r="V244" s="467" t="s">
        <v>1235</v>
      </c>
      <c r="W244" s="467" t="s">
        <v>1126</v>
      </c>
      <c r="X244" s="467" t="s">
        <v>11375</v>
      </c>
      <c r="Y244" s="467" t="s">
        <v>1360</v>
      </c>
      <c r="Z244" s="467" t="s">
        <v>1372</v>
      </c>
    </row>
    <row r="245" spans="1:64" x14ac:dyDescent="0.25">
      <c r="A245" s="467" t="s">
        <v>885</v>
      </c>
      <c r="B245" s="467" t="s">
        <v>884</v>
      </c>
      <c r="C245" s="467" t="s">
        <v>1385</v>
      </c>
      <c r="D245" s="467" t="s">
        <v>1791</v>
      </c>
      <c r="E245" s="467" t="s">
        <v>1386</v>
      </c>
      <c r="F245" s="467" t="s">
        <v>1091</v>
      </c>
      <c r="G245" s="467" t="s">
        <v>1093</v>
      </c>
      <c r="H245" s="467" t="s">
        <v>1096</v>
      </c>
      <c r="I245" s="467" t="s">
        <v>1800</v>
      </c>
      <c r="J245" s="467" t="s">
        <v>1802</v>
      </c>
      <c r="K245" s="467" t="s">
        <v>1098</v>
      </c>
      <c r="L245" s="467" t="s">
        <v>1156</v>
      </c>
      <c r="M245" s="467" t="s">
        <v>1813</v>
      </c>
      <c r="N245" s="467" t="s">
        <v>1161</v>
      </c>
      <c r="O245" s="467" t="s">
        <v>1100</v>
      </c>
      <c r="P245" s="467" t="s">
        <v>1172</v>
      </c>
      <c r="Q245" s="467" t="s">
        <v>1102</v>
      </c>
      <c r="R245" s="467" t="s">
        <v>1175</v>
      </c>
      <c r="S245" s="467" t="s">
        <v>14190</v>
      </c>
      <c r="T245" s="467" t="s">
        <v>14208</v>
      </c>
      <c r="U245" s="467" t="s">
        <v>14213</v>
      </c>
      <c r="V245" s="467" t="s">
        <v>1187</v>
      </c>
      <c r="W245" s="467" t="s">
        <v>1847</v>
      </c>
      <c r="X245" s="467" t="s">
        <v>1848</v>
      </c>
      <c r="Y245" s="467" t="s">
        <v>1105</v>
      </c>
      <c r="Z245" s="467" t="s">
        <v>1107</v>
      </c>
      <c r="AA245" s="467" t="s">
        <v>1190</v>
      </c>
      <c r="AB245" s="467" t="s">
        <v>1202</v>
      </c>
      <c r="AC245" s="467" t="s">
        <v>1112</v>
      </c>
      <c r="AD245" s="467" t="s">
        <v>1114</v>
      </c>
      <c r="AE245" s="467" t="s">
        <v>1120</v>
      </c>
      <c r="AF245" s="467" t="s">
        <v>1322</v>
      </c>
      <c r="AG245" s="467" t="s">
        <v>1883</v>
      </c>
      <c r="AH245" s="467" t="s">
        <v>1233</v>
      </c>
      <c r="AI245" s="467" t="s">
        <v>11368</v>
      </c>
      <c r="AJ245" s="467" t="s">
        <v>1896</v>
      </c>
      <c r="AK245" s="467" t="s">
        <v>1898</v>
      </c>
      <c r="AL245" s="467" t="s">
        <v>1132</v>
      </c>
      <c r="AM245" s="467" t="s">
        <v>1240</v>
      </c>
      <c r="AN245" s="467" t="s">
        <v>1134</v>
      </c>
      <c r="AO245" s="467" t="s">
        <v>1906</v>
      </c>
    </row>
    <row r="246" spans="1:64" x14ac:dyDescent="0.25">
      <c r="A246" s="467" t="s">
        <v>887</v>
      </c>
      <c r="B246" s="467" t="s">
        <v>886</v>
      </c>
      <c r="C246" s="467" t="s">
        <v>1143</v>
      </c>
      <c r="D246" s="467" t="s">
        <v>1673</v>
      </c>
      <c r="E246" s="467" t="s">
        <v>11363</v>
      </c>
      <c r="F246" s="467" t="s">
        <v>1678</v>
      </c>
      <c r="G246" s="467" t="s">
        <v>1160</v>
      </c>
      <c r="H246" s="467" t="s">
        <v>1691</v>
      </c>
      <c r="I246" s="467" t="s">
        <v>1102</v>
      </c>
      <c r="J246" s="467" t="s">
        <v>1179</v>
      </c>
      <c r="K246" s="467" t="s">
        <v>1183</v>
      </c>
      <c r="L246" s="467" t="s">
        <v>1185</v>
      </c>
      <c r="M246" s="467" t="s">
        <v>1186</v>
      </c>
      <c r="N246" s="467" t="s">
        <v>1105</v>
      </c>
      <c r="O246" s="467" t="s">
        <v>1188</v>
      </c>
      <c r="P246" s="467" t="s">
        <v>1107</v>
      </c>
      <c r="Q246" s="467" t="s">
        <v>11401</v>
      </c>
      <c r="R246" s="467" t="s">
        <v>1209</v>
      </c>
      <c r="S246" s="467" t="s">
        <v>1503</v>
      </c>
      <c r="T246" s="467" t="s">
        <v>1744</v>
      </c>
      <c r="U246" s="467" t="s">
        <v>1223</v>
      </c>
      <c r="V246" s="467" t="s">
        <v>1122</v>
      </c>
      <c r="W246" s="467" t="s">
        <v>1225</v>
      </c>
      <c r="X246" s="467" t="s">
        <v>1228</v>
      </c>
      <c r="Y246" s="467" t="s">
        <v>1752</v>
      </c>
      <c r="Z246" s="467" t="s">
        <v>1235</v>
      </c>
      <c r="AA246" s="467" t="s">
        <v>1257</v>
      </c>
      <c r="AB246" s="467" t="s">
        <v>1266</v>
      </c>
    </row>
    <row r="247" spans="1:64" x14ac:dyDescent="0.25">
      <c r="A247" s="467" t="s">
        <v>889</v>
      </c>
      <c r="B247" s="467" t="s">
        <v>888</v>
      </c>
      <c r="C247" s="467" t="s">
        <v>14127</v>
      </c>
      <c r="D247" s="467" t="s">
        <v>1093</v>
      </c>
      <c r="E247" s="467" t="s">
        <v>1096</v>
      </c>
      <c r="F247" s="467" t="s">
        <v>1098</v>
      </c>
      <c r="G247" s="467" t="s">
        <v>1808</v>
      </c>
      <c r="H247" s="467" t="s">
        <v>1164</v>
      </c>
      <c r="I247" s="467" t="s">
        <v>1100</v>
      </c>
      <c r="J247" s="467" t="s">
        <v>1172</v>
      </c>
      <c r="K247" s="467" t="s">
        <v>14208</v>
      </c>
      <c r="L247" s="467" t="s">
        <v>1187</v>
      </c>
      <c r="M247" s="467" t="s">
        <v>1105</v>
      </c>
      <c r="N247" s="467" t="s">
        <v>1107</v>
      </c>
      <c r="O247" s="467" t="s">
        <v>1109</v>
      </c>
      <c r="P247" s="467" t="s">
        <v>1190</v>
      </c>
      <c r="Q247" s="467" t="s">
        <v>14243</v>
      </c>
      <c r="R247" s="467" t="s">
        <v>1310</v>
      </c>
      <c r="S247" s="467" t="s">
        <v>1111</v>
      </c>
      <c r="T247" s="467" t="s">
        <v>1991</v>
      </c>
      <c r="U247" s="467" t="s">
        <v>1114</v>
      </c>
      <c r="V247" s="467" t="s">
        <v>1221</v>
      </c>
      <c r="W247" s="467" t="s">
        <v>1122</v>
      </c>
      <c r="X247" s="467" t="s">
        <v>1124</v>
      </c>
      <c r="Y247" s="467" t="s">
        <v>1234</v>
      </c>
      <c r="Z247" s="467" t="s">
        <v>1126</v>
      </c>
      <c r="AA247" s="467" t="s">
        <v>2017</v>
      </c>
      <c r="AB247" s="467" t="s">
        <v>1132</v>
      </c>
      <c r="AC247" s="467" t="s">
        <v>1240</v>
      </c>
      <c r="AD247" s="467" t="s">
        <v>1241</v>
      </c>
      <c r="AE247" s="467" t="s">
        <v>1134</v>
      </c>
      <c r="AF247" s="467" t="s">
        <v>1136</v>
      </c>
      <c r="AG247" s="467" t="s">
        <v>2021</v>
      </c>
      <c r="AH247" s="467" t="s">
        <v>1249</v>
      </c>
      <c r="AI247" s="467" t="s">
        <v>1138</v>
      </c>
      <c r="AJ247" s="467" t="s">
        <v>2051</v>
      </c>
      <c r="AK247" s="467" t="s">
        <v>14386</v>
      </c>
    </row>
    <row r="248" spans="1:64" x14ac:dyDescent="0.25">
      <c r="A248" s="467" t="s">
        <v>891</v>
      </c>
      <c r="B248" s="467" t="s">
        <v>890</v>
      </c>
      <c r="C248" s="467" t="s">
        <v>1096</v>
      </c>
      <c r="D248" s="467" t="s">
        <v>11363</v>
      </c>
      <c r="E248" s="467" t="s">
        <v>1158</v>
      </c>
      <c r="F248" s="467" t="s">
        <v>14213</v>
      </c>
      <c r="G248" s="467" t="s">
        <v>1105</v>
      </c>
      <c r="H248" s="467" t="s">
        <v>14226</v>
      </c>
      <c r="I248" s="467" t="s">
        <v>1190</v>
      </c>
      <c r="J248" s="467" t="s">
        <v>1207</v>
      </c>
      <c r="K248" s="467" t="s">
        <v>1221</v>
      </c>
      <c r="L248" s="467" t="s">
        <v>1233</v>
      </c>
      <c r="M248" s="467" t="s">
        <v>11368</v>
      </c>
      <c r="N248" s="467" t="s">
        <v>1126</v>
      </c>
      <c r="O248" s="467" t="s">
        <v>1240</v>
      </c>
      <c r="P248" s="467" t="s">
        <v>2123</v>
      </c>
      <c r="Q248" s="467" t="s">
        <v>2127</v>
      </c>
      <c r="R248" s="467" t="s">
        <v>1262</v>
      </c>
    </row>
    <row r="249" spans="1:64" x14ac:dyDescent="0.25">
      <c r="A249" s="467" t="s">
        <v>893</v>
      </c>
      <c r="B249" s="467" t="s">
        <v>892</v>
      </c>
      <c r="C249" s="467" t="s">
        <v>1609</v>
      </c>
      <c r="D249" s="467" t="s">
        <v>1143</v>
      </c>
      <c r="E249" s="467" t="s">
        <v>1096</v>
      </c>
      <c r="F249" s="467" t="s">
        <v>1617</v>
      </c>
      <c r="G249" s="467" t="s">
        <v>1619</v>
      </c>
      <c r="H249" s="467" t="s">
        <v>1172</v>
      </c>
      <c r="I249" s="467" t="s">
        <v>1626</v>
      </c>
      <c r="J249" s="467" t="s">
        <v>1174</v>
      </c>
      <c r="K249" s="467" t="s">
        <v>1629</v>
      </c>
      <c r="L249" s="467" t="s">
        <v>14208</v>
      </c>
      <c r="M249" s="467" t="s">
        <v>1186</v>
      </c>
      <c r="N249" s="467" t="s">
        <v>1105</v>
      </c>
      <c r="O249" s="467" t="s">
        <v>1107</v>
      </c>
      <c r="P249" s="467" t="s">
        <v>1109</v>
      </c>
      <c r="Q249" s="467" t="s">
        <v>1636</v>
      </c>
      <c r="R249" s="467" t="s">
        <v>1639</v>
      </c>
      <c r="S249" s="467" t="s">
        <v>1645</v>
      </c>
      <c r="T249" s="467" t="s">
        <v>1122</v>
      </c>
      <c r="U249" s="467" t="s">
        <v>1225</v>
      </c>
      <c r="V249" s="467" t="s">
        <v>1648</v>
      </c>
      <c r="W249" s="467" t="s">
        <v>1126</v>
      </c>
      <c r="X249" s="467" t="s">
        <v>1653</v>
      </c>
      <c r="Y249" s="467" t="s">
        <v>1656</v>
      </c>
      <c r="Z249" s="467" t="s">
        <v>1253</v>
      </c>
      <c r="AA249" s="467" t="s">
        <v>1368</v>
      </c>
      <c r="AB249" s="467" t="s">
        <v>1661</v>
      </c>
    </row>
    <row r="250" spans="1:64" x14ac:dyDescent="0.25">
      <c r="A250" s="467" t="s">
        <v>895</v>
      </c>
      <c r="B250" s="467" t="s">
        <v>894</v>
      </c>
      <c r="C250" s="467" t="s">
        <v>1385</v>
      </c>
      <c r="D250" s="467" t="s">
        <v>1091</v>
      </c>
      <c r="E250" s="467" t="s">
        <v>14127</v>
      </c>
      <c r="F250" s="467" t="s">
        <v>1093</v>
      </c>
      <c r="G250" s="467" t="s">
        <v>1096</v>
      </c>
      <c r="H250" s="467" t="s">
        <v>1098</v>
      </c>
      <c r="I250" s="467" t="s">
        <v>11363</v>
      </c>
      <c r="J250" s="467" t="s">
        <v>1277</v>
      </c>
      <c r="K250" s="467" t="s">
        <v>1100</v>
      </c>
      <c r="L250" s="467" t="s">
        <v>14208</v>
      </c>
      <c r="M250" s="467" t="s">
        <v>1185</v>
      </c>
      <c r="N250" s="467" t="s">
        <v>1843</v>
      </c>
      <c r="O250" s="467" t="s">
        <v>1105</v>
      </c>
      <c r="P250" s="467" t="s">
        <v>1188</v>
      </c>
      <c r="Q250" s="467" t="s">
        <v>1107</v>
      </c>
      <c r="R250" s="467" t="s">
        <v>1109</v>
      </c>
      <c r="S250" s="467" t="s">
        <v>1189</v>
      </c>
      <c r="T250" s="467" t="s">
        <v>1190</v>
      </c>
      <c r="U250" s="467" t="s">
        <v>1202</v>
      </c>
      <c r="V250" s="467" t="s">
        <v>1863</v>
      </c>
      <c r="W250" s="467" t="s">
        <v>1114</v>
      </c>
      <c r="X250" s="467" t="s">
        <v>1122</v>
      </c>
      <c r="Y250" s="467" t="s">
        <v>1225</v>
      </c>
      <c r="Z250" s="467" t="s">
        <v>1124</v>
      </c>
      <c r="AA250" s="467" t="s">
        <v>1126</v>
      </c>
      <c r="AB250" s="467" t="s">
        <v>1892</v>
      </c>
      <c r="AC250" s="467" t="s">
        <v>1130</v>
      </c>
      <c r="AD250" s="467" t="s">
        <v>1132</v>
      </c>
      <c r="AE250" s="467" t="s">
        <v>1241</v>
      </c>
      <c r="AF250" s="467" t="s">
        <v>1134</v>
      </c>
      <c r="AG250" s="467" t="s">
        <v>1245</v>
      </c>
      <c r="AH250" s="467" t="s">
        <v>1249</v>
      </c>
      <c r="AI250" s="467" t="s">
        <v>1924</v>
      </c>
      <c r="AJ250" s="467" t="s">
        <v>1138</v>
      </c>
      <c r="AK250" s="467" t="s">
        <v>14371</v>
      </c>
      <c r="AL250" s="467" t="s">
        <v>1930</v>
      </c>
      <c r="AM250" s="467" t="s">
        <v>1140</v>
      </c>
      <c r="AN250" s="467" t="s">
        <v>1946</v>
      </c>
    </row>
    <row r="251" spans="1:64" x14ac:dyDescent="0.25">
      <c r="A251" s="467" t="s">
        <v>897</v>
      </c>
      <c r="B251" s="467" t="s">
        <v>896</v>
      </c>
      <c r="C251" s="467" t="s">
        <v>1096</v>
      </c>
      <c r="D251" s="467" t="s">
        <v>1283</v>
      </c>
      <c r="E251" s="467" t="s">
        <v>1164</v>
      </c>
      <c r="F251" s="467" t="s">
        <v>1291</v>
      </c>
      <c r="G251" s="467" t="s">
        <v>1102</v>
      </c>
      <c r="H251" s="467" t="s">
        <v>1174</v>
      </c>
      <c r="I251" s="467" t="s">
        <v>1294</v>
      </c>
      <c r="J251" s="467" t="s">
        <v>14208</v>
      </c>
      <c r="K251" s="467" t="s">
        <v>1185</v>
      </c>
      <c r="L251" s="467" t="s">
        <v>1187</v>
      </c>
      <c r="M251" s="467" t="s">
        <v>1105</v>
      </c>
      <c r="N251" s="467" t="s">
        <v>1107</v>
      </c>
      <c r="O251" s="467" t="s">
        <v>1303</v>
      </c>
      <c r="P251" s="467" t="s">
        <v>1190</v>
      </c>
      <c r="Q251" s="467" t="s">
        <v>1310</v>
      </c>
      <c r="R251" s="467" t="s">
        <v>1311</v>
      </c>
      <c r="S251" s="467" t="s">
        <v>1202</v>
      </c>
      <c r="T251" s="467" t="s">
        <v>1112</v>
      </c>
      <c r="U251" s="467" t="s">
        <v>1114</v>
      </c>
      <c r="V251" s="467" t="s">
        <v>1319</v>
      </c>
      <c r="W251" s="467" t="s">
        <v>1218</v>
      </c>
      <c r="X251" s="467" t="s">
        <v>1332</v>
      </c>
      <c r="Y251" s="467" t="s">
        <v>1122</v>
      </c>
      <c r="Z251" s="467" t="s">
        <v>1233</v>
      </c>
      <c r="AA251" s="467" t="s">
        <v>1234</v>
      </c>
      <c r="AB251" s="467" t="s">
        <v>1235</v>
      </c>
      <c r="AC251" s="467" t="s">
        <v>1126</v>
      </c>
      <c r="AD251" s="467" t="s">
        <v>1342</v>
      </c>
      <c r="AE251" s="467" t="s">
        <v>1343</v>
      </c>
      <c r="AF251" s="467" t="s">
        <v>1130</v>
      </c>
      <c r="AG251" s="467" t="s">
        <v>1346</v>
      </c>
      <c r="AH251" s="467" t="s">
        <v>1353</v>
      </c>
      <c r="AI251" s="467" t="s">
        <v>1358</v>
      </c>
      <c r="AJ251" s="467" t="s">
        <v>1249</v>
      </c>
      <c r="AK251" s="467" t="s">
        <v>1252</v>
      </c>
      <c r="AL251" s="467" t="s">
        <v>1253</v>
      </c>
    </row>
    <row r="252" spans="1:64" x14ac:dyDescent="0.25">
      <c r="A252" s="467" t="s">
        <v>899</v>
      </c>
      <c r="B252" s="467" t="s">
        <v>898</v>
      </c>
      <c r="C252" s="467" t="s">
        <v>1385</v>
      </c>
      <c r="D252" s="467" t="s">
        <v>1096</v>
      </c>
      <c r="E252" s="467" t="s">
        <v>1270</v>
      </c>
      <c r="F252" s="467" t="s">
        <v>1394</v>
      </c>
      <c r="G252" s="467" t="s">
        <v>1395</v>
      </c>
      <c r="H252" s="467" t="s">
        <v>1405</v>
      </c>
      <c r="I252" s="467" t="s">
        <v>1406</v>
      </c>
      <c r="J252" s="467" t="s">
        <v>1410</v>
      </c>
      <c r="K252" s="467" t="s">
        <v>1411</v>
      </c>
      <c r="L252" s="467" t="s">
        <v>1100</v>
      </c>
      <c r="M252" s="467" t="s">
        <v>1692</v>
      </c>
      <c r="N252" s="467" t="s">
        <v>1433</v>
      </c>
      <c r="O252" s="467" t="s">
        <v>14208</v>
      </c>
      <c r="P252" s="467" t="s">
        <v>1185</v>
      </c>
      <c r="Q252" s="467" t="s">
        <v>1457</v>
      </c>
      <c r="R252" s="467" t="s">
        <v>1459</v>
      </c>
      <c r="S252" s="467" t="s">
        <v>1105</v>
      </c>
      <c r="T252" s="467" t="s">
        <v>1466</v>
      </c>
      <c r="U252" s="467" t="s">
        <v>1109</v>
      </c>
      <c r="V252" s="467" t="s">
        <v>1469</v>
      </c>
      <c r="W252" s="467" t="s">
        <v>1189</v>
      </c>
      <c r="X252" s="467" t="s">
        <v>1481</v>
      </c>
      <c r="Y252" s="467" t="s">
        <v>1486</v>
      </c>
      <c r="Z252" s="467" t="s">
        <v>1311</v>
      </c>
      <c r="AA252" s="467" t="s">
        <v>1202</v>
      </c>
      <c r="AB252" s="467" t="s">
        <v>1492</v>
      </c>
      <c r="AC252" s="467" t="s">
        <v>1494</v>
      </c>
      <c r="AD252" s="467" t="s">
        <v>1112</v>
      </c>
      <c r="AE252" s="467" t="s">
        <v>1114</v>
      </c>
      <c r="AF252" s="467" t="s">
        <v>1503</v>
      </c>
      <c r="AG252" s="467" t="s">
        <v>1506</v>
      </c>
      <c r="AH252" s="467" t="s">
        <v>1319</v>
      </c>
      <c r="AI252" s="467" t="s">
        <v>1120</v>
      </c>
      <c r="AJ252" s="467" t="s">
        <v>1320</v>
      </c>
      <c r="AK252" s="467" t="s">
        <v>1510</v>
      </c>
      <c r="AL252" s="467" t="s">
        <v>1321</v>
      </c>
      <c r="AM252" s="467" t="s">
        <v>1322</v>
      </c>
      <c r="AN252" s="467" t="s">
        <v>1217</v>
      </c>
      <c r="AO252" s="467" t="s">
        <v>14267</v>
      </c>
      <c r="AP252" s="467" t="s">
        <v>1325</v>
      </c>
      <c r="AQ252" s="467" t="s">
        <v>1220</v>
      </c>
      <c r="AR252" s="467" t="s">
        <v>1332</v>
      </c>
      <c r="AS252" s="467" t="s">
        <v>1531</v>
      </c>
      <c r="AT252" s="467" t="s">
        <v>1534</v>
      </c>
      <c r="AU252" s="467" t="s">
        <v>1537</v>
      </c>
      <c r="AV252" s="467" t="s">
        <v>1541</v>
      </c>
      <c r="AW252" s="467" t="s">
        <v>1234</v>
      </c>
      <c r="AX252" s="467" t="s">
        <v>1126</v>
      </c>
      <c r="AY252" s="467" t="s">
        <v>1130</v>
      </c>
      <c r="AZ252" s="467" t="s">
        <v>1551</v>
      </c>
      <c r="BA252" s="467" t="s">
        <v>1345</v>
      </c>
      <c r="BB252" s="467" t="s">
        <v>1556</v>
      </c>
      <c r="BC252" s="467" t="s">
        <v>1562</v>
      </c>
      <c r="BD252" s="467" t="s">
        <v>1568</v>
      </c>
      <c r="BE252" s="467" t="s">
        <v>1249</v>
      </c>
      <c r="BF252" s="467" t="s">
        <v>1362</v>
      </c>
      <c r="BG252" s="467" t="s">
        <v>1572</v>
      </c>
      <c r="BH252" s="467" t="s">
        <v>1253</v>
      </c>
      <c r="BI252" s="467" t="s">
        <v>1371</v>
      </c>
      <c r="BJ252" s="467" t="s">
        <v>1587</v>
      </c>
      <c r="BK252" s="467" t="s">
        <v>1262</v>
      </c>
      <c r="BL252" s="467" t="s">
        <v>1602</v>
      </c>
    </row>
    <row r="253" spans="1:64" x14ac:dyDescent="0.25">
      <c r="A253" s="467" t="s">
        <v>901</v>
      </c>
      <c r="B253" s="467" t="s">
        <v>900</v>
      </c>
      <c r="C253" s="467" t="s">
        <v>1791</v>
      </c>
      <c r="D253" s="467" t="s">
        <v>1386</v>
      </c>
      <c r="E253" s="467" t="s">
        <v>1091</v>
      </c>
      <c r="F253" s="467" t="s">
        <v>1161</v>
      </c>
      <c r="G253" s="467" t="s">
        <v>1100</v>
      </c>
      <c r="H253" s="467" t="s">
        <v>14208</v>
      </c>
      <c r="I253" s="467" t="s">
        <v>1105</v>
      </c>
      <c r="J253" s="467" t="s">
        <v>1202</v>
      </c>
      <c r="K253" s="467" t="s">
        <v>1112</v>
      </c>
      <c r="L253" s="467" t="s">
        <v>1501</v>
      </c>
      <c r="M253" s="467" t="s">
        <v>1319</v>
      </c>
      <c r="N253" s="467" t="s">
        <v>1120</v>
      </c>
      <c r="O253" s="467" t="s">
        <v>1220</v>
      </c>
      <c r="P253" s="467" t="s">
        <v>1889</v>
      </c>
      <c r="Q253" s="467" t="s">
        <v>1342</v>
      </c>
      <c r="R253" s="467" t="s">
        <v>1581</v>
      </c>
    </row>
    <row r="254" spans="1:64" x14ac:dyDescent="0.25">
      <c r="A254" s="467" t="s">
        <v>903</v>
      </c>
      <c r="B254" s="467" t="s">
        <v>902</v>
      </c>
      <c r="C254" s="467" t="s">
        <v>1091</v>
      </c>
      <c r="D254" s="467" t="s">
        <v>1096</v>
      </c>
      <c r="E254" s="467" t="s">
        <v>1273</v>
      </c>
      <c r="F254" s="467" t="s">
        <v>1156</v>
      </c>
      <c r="G254" s="467" t="s">
        <v>1161</v>
      </c>
      <c r="H254" s="467" t="s">
        <v>1100</v>
      </c>
      <c r="I254" s="467" t="s">
        <v>1172</v>
      </c>
      <c r="J254" s="467" t="s">
        <v>1177</v>
      </c>
      <c r="K254" s="467" t="s">
        <v>14208</v>
      </c>
      <c r="L254" s="467" t="s">
        <v>1182</v>
      </c>
      <c r="M254" s="467" t="s">
        <v>1302</v>
      </c>
      <c r="N254" s="467" t="s">
        <v>1107</v>
      </c>
      <c r="O254" s="467" t="s">
        <v>1109</v>
      </c>
      <c r="P254" s="467" t="s">
        <v>1112</v>
      </c>
      <c r="Q254" s="467" t="s">
        <v>1315</v>
      </c>
      <c r="R254" s="467" t="s">
        <v>1319</v>
      </c>
      <c r="S254" s="467" t="s">
        <v>1120</v>
      </c>
      <c r="T254" s="467" t="s">
        <v>1327</v>
      </c>
      <c r="U254" s="467" t="s">
        <v>1220</v>
      </c>
      <c r="V254" s="467" t="s">
        <v>1122</v>
      </c>
      <c r="W254" s="467" t="s">
        <v>1124</v>
      </c>
      <c r="X254" s="467" t="s">
        <v>1233</v>
      </c>
      <c r="Y254" s="467" t="s">
        <v>11368</v>
      </c>
      <c r="Z254" s="467" t="s">
        <v>1341</v>
      </c>
      <c r="AA254" s="467" t="s">
        <v>1369</v>
      </c>
      <c r="AB254" s="467" t="s">
        <v>1374</v>
      </c>
      <c r="AC254" s="467" t="s">
        <v>1376</v>
      </c>
    </row>
    <row r="255" spans="1:64" x14ac:dyDescent="0.25">
      <c r="A255" s="467" t="s">
        <v>905</v>
      </c>
      <c r="B255" s="467" t="s">
        <v>904</v>
      </c>
      <c r="C255" s="467" t="s">
        <v>1143</v>
      </c>
      <c r="D255" s="467" t="s">
        <v>1668</v>
      </c>
      <c r="E255" s="467" t="s">
        <v>11363</v>
      </c>
      <c r="F255" s="467" t="s">
        <v>1100</v>
      </c>
      <c r="G255" s="467" t="s">
        <v>1102</v>
      </c>
      <c r="H255" s="467" t="s">
        <v>1704</v>
      </c>
      <c r="I255" s="467" t="s">
        <v>14208</v>
      </c>
      <c r="J255" s="467" t="s">
        <v>1183</v>
      </c>
      <c r="K255" s="467" t="s">
        <v>1105</v>
      </c>
      <c r="L255" s="467" t="s">
        <v>1109</v>
      </c>
      <c r="M255" s="467" t="s">
        <v>1190</v>
      </c>
      <c r="N255" s="467" t="s">
        <v>11401</v>
      </c>
      <c r="O255" s="467" t="s">
        <v>1730</v>
      </c>
      <c r="P255" s="467" t="s">
        <v>1739</v>
      </c>
      <c r="Q255" s="467" t="s">
        <v>1209</v>
      </c>
      <c r="R255" s="467" t="s">
        <v>1743</v>
      </c>
      <c r="S255" s="467" t="s">
        <v>1744</v>
      </c>
      <c r="T255" s="467" t="s">
        <v>1223</v>
      </c>
      <c r="U255" s="467" t="s">
        <v>1122</v>
      </c>
      <c r="V255" s="467" t="s">
        <v>1225</v>
      </c>
      <c r="W255" s="467" t="s">
        <v>1748</v>
      </c>
      <c r="X255" s="467" t="s">
        <v>1228</v>
      </c>
      <c r="Y255" s="467" t="s">
        <v>1752</v>
      </c>
      <c r="Z255" s="467" t="s">
        <v>1124</v>
      </c>
      <c r="AA255" s="467" t="s">
        <v>1234</v>
      </c>
      <c r="AB255" s="467" t="s">
        <v>1235</v>
      </c>
      <c r="AC255" s="467" t="s">
        <v>1126</v>
      </c>
      <c r="AD255" s="467" t="s">
        <v>1245</v>
      </c>
      <c r="AE255" s="467" t="s">
        <v>1253</v>
      </c>
      <c r="AF255" s="467" t="s">
        <v>1779</v>
      </c>
      <c r="AG255" s="467" t="s">
        <v>1788</v>
      </c>
      <c r="AH255" s="467" t="s">
        <v>1266</v>
      </c>
    </row>
    <row r="256" spans="1:64" x14ac:dyDescent="0.25">
      <c r="A256" s="467" t="s">
        <v>907</v>
      </c>
      <c r="B256" s="467" t="s">
        <v>906</v>
      </c>
      <c r="C256" s="467" t="s">
        <v>1672</v>
      </c>
      <c r="D256" s="467" t="s">
        <v>11363</v>
      </c>
      <c r="E256" s="467" t="s">
        <v>1158</v>
      </c>
      <c r="F256" s="467" t="s">
        <v>14213</v>
      </c>
      <c r="G256" s="467" t="s">
        <v>1186</v>
      </c>
      <c r="H256" s="467" t="s">
        <v>1105</v>
      </c>
      <c r="I256" s="467" t="s">
        <v>14226</v>
      </c>
      <c r="J256" s="467" t="s">
        <v>1714</v>
      </c>
      <c r="K256" s="467" t="s">
        <v>1109</v>
      </c>
      <c r="L256" s="467" t="s">
        <v>1633</v>
      </c>
      <c r="M256" s="467" t="s">
        <v>1190</v>
      </c>
      <c r="N256" s="467" t="s">
        <v>1112</v>
      </c>
      <c r="O256" s="467" t="s">
        <v>1207</v>
      </c>
      <c r="P256" s="467" t="s">
        <v>1226</v>
      </c>
      <c r="Q256" s="467" t="s">
        <v>1233</v>
      </c>
      <c r="R256" s="467" t="s">
        <v>11368</v>
      </c>
      <c r="S256" s="467" t="s">
        <v>1235</v>
      </c>
      <c r="T256" s="467" t="s">
        <v>1126</v>
      </c>
      <c r="U256" s="467" t="s">
        <v>1253</v>
      </c>
      <c r="V256" s="467" t="s">
        <v>2123</v>
      </c>
      <c r="W256" s="467" t="s">
        <v>2127</v>
      </c>
    </row>
    <row r="257" spans="1:46" x14ac:dyDescent="0.25">
      <c r="A257" s="467" t="s">
        <v>909</v>
      </c>
      <c r="B257" s="467" t="s">
        <v>908</v>
      </c>
      <c r="C257" s="467" t="s">
        <v>1096</v>
      </c>
      <c r="D257" s="467" t="s">
        <v>1672</v>
      </c>
      <c r="E257" s="467" t="s">
        <v>11363</v>
      </c>
      <c r="F257" s="467" t="s">
        <v>2064</v>
      </c>
      <c r="G257" s="467" t="s">
        <v>2073</v>
      </c>
      <c r="H257" s="467" t="s">
        <v>1173</v>
      </c>
      <c r="I257" s="467" t="s">
        <v>2078</v>
      </c>
      <c r="J257" s="467" t="s">
        <v>1183</v>
      </c>
      <c r="K257" s="467" t="s">
        <v>14213</v>
      </c>
      <c r="L257" s="467" t="s">
        <v>1186</v>
      </c>
      <c r="M257" s="467" t="s">
        <v>1105</v>
      </c>
      <c r="N257" s="467" t="s">
        <v>1714</v>
      </c>
      <c r="O257" s="467" t="s">
        <v>1190</v>
      </c>
      <c r="P257" s="467" t="s">
        <v>1207</v>
      </c>
      <c r="Q257" s="467" t="s">
        <v>1224</v>
      </c>
      <c r="R257" s="467" t="s">
        <v>1748</v>
      </c>
      <c r="S257" s="467" t="s">
        <v>1233</v>
      </c>
      <c r="T257" s="467" t="s">
        <v>11368</v>
      </c>
      <c r="U257" s="467" t="s">
        <v>1126</v>
      </c>
      <c r="V257" s="467" t="s">
        <v>2115</v>
      </c>
      <c r="W257" s="467" t="s">
        <v>1253</v>
      </c>
      <c r="X257" s="467" t="s">
        <v>2123</v>
      </c>
      <c r="Y257" s="467" t="s">
        <v>1266</v>
      </c>
    </row>
    <row r="258" spans="1:46" x14ac:dyDescent="0.25">
      <c r="A258" s="467" t="s">
        <v>911</v>
      </c>
      <c r="B258" s="467" t="s">
        <v>910</v>
      </c>
      <c r="C258" s="467" t="s">
        <v>1093</v>
      </c>
      <c r="D258" s="467" t="s">
        <v>1096</v>
      </c>
      <c r="E258" s="467" t="s">
        <v>1273</v>
      </c>
      <c r="F258" s="467" t="s">
        <v>11363</v>
      </c>
      <c r="G258" s="467" t="s">
        <v>1156</v>
      </c>
      <c r="H258" s="467" t="s">
        <v>1161</v>
      </c>
      <c r="I258" s="467" t="s">
        <v>1100</v>
      </c>
      <c r="J258" s="467" t="s">
        <v>1295</v>
      </c>
      <c r="K258" s="467" t="s">
        <v>1177</v>
      </c>
      <c r="L258" s="467" t="s">
        <v>1299</v>
      </c>
      <c r="M258" s="467" t="s">
        <v>14208</v>
      </c>
      <c r="N258" s="467" t="s">
        <v>1187</v>
      </c>
      <c r="O258" s="467" t="s">
        <v>11371</v>
      </c>
      <c r="P258" s="467" t="s">
        <v>1105</v>
      </c>
      <c r="Q258" s="467" t="s">
        <v>1302</v>
      </c>
      <c r="R258" s="467" t="s">
        <v>1188</v>
      </c>
      <c r="S258" s="467" t="s">
        <v>1107</v>
      </c>
      <c r="T258" s="467" t="s">
        <v>1109</v>
      </c>
      <c r="U258" s="467" t="s">
        <v>1202</v>
      </c>
      <c r="V258" s="467" t="s">
        <v>1112</v>
      </c>
      <c r="W258" s="467" t="s">
        <v>1315</v>
      </c>
      <c r="X258" s="467" t="s">
        <v>1319</v>
      </c>
      <c r="Y258" s="467" t="s">
        <v>1120</v>
      </c>
      <c r="Z258" s="467" t="s">
        <v>1323</v>
      </c>
      <c r="AA258" s="467" t="s">
        <v>1325</v>
      </c>
      <c r="AB258" s="467" t="s">
        <v>1327</v>
      </c>
      <c r="AC258" s="467" t="s">
        <v>1124</v>
      </c>
      <c r="AD258" s="467" t="s">
        <v>1341</v>
      </c>
      <c r="AE258" s="467" t="s">
        <v>1342</v>
      </c>
      <c r="AF258" s="467" t="s">
        <v>1245</v>
      </c>
      <c r="AG258" s="467" t="s">
        <v>1249</v>
      </c>
      <c r="AH258" s="467" t="s">
        <v>1371</v>
      </c>
      <c r="AI258" s="467" t="s">
        <v>1381</v>
      </c>
    </row>
    <row r="259" spans="1:46" x14ac:dyDescent="0.25">
      <c r="A259" s="467" t="s">
        <v>913</v>
      </c>
      <c r="B259" s="467" t="s">
        <v>912</v>
      </c>
      <c r="C259" s="467" t="s">
        <v>1096</v>
      </c>
      <c r="D259" s="467" t="s">
        <v>1670</v>
      </c>
      <c r="E259" s="467" t="s">
        <v>1150</v>
      </c>
      <c r="F259" s="467" t="s">
        <v>1160</v>
      </c>
      <c r="G259" s="467" t="s">
        <v>1167</v>
      </c>
      <c r="H259" s="467" t="s">
        <v>1102</v>
      </c>
      <c r="I259" s="467" t="s">
        <v>1174</v>
      </c>
      <c r="J259" s="467" t="s">
        <v>14208</v>
      </c>
      <c r="K259" s="467" t="s">
        <v>1183</v>
      </c>
      <c r="L259" s="467" t="s">
        <v>1186</v>
      </c>
      <c r="M259" s="467" t="s">
        <v>1109</v>
      </c>
      <c r="N259" s="467" t="s">
        <v>1190</v>
      </c>
      <c r="O259" s="467" t="s">
        <v>1716</v>
      </c>
      <c r="P259" s="467" t="s">
        <v>11401</v>
      </c>
      <c r="Q259" s="467" t="s">
        <v>11402</v>
      </c>
      <c r="R259" s="467" t="s">
        <v>1193</v>
      </c>
      <c r="S259" s="467" t="s">
        <v>1197</v>
      </c>
      <c r="T259" s="467" t="s">
        <v>1730</v>
      </c>
      <c r="U259" s="467" t="s">
        <v>1739</v>
      </c>
      <c r="V259" s="467" t="s">
        <v>1208</v>
      </c>
      <c r="W259" s="467" t="s">
        <v>1744</v>
      </c>
      <c r="X259" s="467" t="s">
        <v>1223</v>
      </c>
      <c r="Y259" s="467" t="s">
        <v>1122</v>
      </c>
      <c r="Z259" s="467" t="s">
        <v>1225</v>
      </c>
      <c r="AA259" s="467" t="s">
        <v>1228</v>
      </c>
      <c r="AB259" s="467" t="s">
        <v>1233</v>
      </c>
      <c r="AC259" s="467" t="s">
        <v>11368</v>
      </c>
      <c r="AD259" s="467" t="s">
        <v>1768</v>
      </c>
      <c r="AE259" s="467" t="s">
        <v>1245</v>
      </c>
      <c r="AF259" s="467" t="s">
        <v>1249</v>
      </c>
      <c r="AG259" s="467" t="s">
        <v>1253</v>
      </c>
      <c r="AH259" s="467" t="s">
        <v>1780</v>
      </c>
      <c r="AI259" s="467" t="s">
        <v>1266</v>
      </c>
    </row>
    <row r="260" spans="1:46" x14ac:dyDescent="0.25">
      <c r="A260" s="467" t="s">
        <v>915</v>
      </c>
      <c r="B260" s="467" t="s">
        <v>914</v>
      </c>
      <c r="C260" s="467" t="s">
        <v>1143</v>
      </c>
      <c r="D260" s="467" t="s">
        <v>1096</v>
      </c>
      <c r="E260" s="467" t="s">
        <v>1151</v>
      </c>
      <c r="F260" s="467" t="s">
        <v>1615</v>
      </c>
      <c r="G260" s="467" t="s">
        <v>1617</v>
      </c>
      <c r="H260" s="467" t="s">
        <v>1618</v>
      </c>
      <c r="I260" s="467" t="s">
        <v>1160</v>
      </c>
      <c r="J260" s="467" t="s">
        <v>1167</v>
      </c>
      <c r="K260" s="467" t="s">
        <v>1172</v>
      </c>
      <c r="L260" s="467" t="s">
        <v>1185</v>
      </c>
      <c r="M260" s="467" t="s">
        <v>1630</v>
      </c>
      <c r="N260" s="467" t="s">
        <v>1105</v>
      </c>
      <c r="O260" s="467" t="s">
        <v>1107</v>
      </c>
      <c r="P260" s="467" t="s">
        <v>1109</v>
      </c>
      <c r="Q260" s="467" t="s">
        <v>1639</v>
      </c>
      <c r="R260" s="467" t="s">
        <v>1642</v>
      </c>
      <c r="S260" s="467" t="s">
        <v>1209</v>
      </c>
      <c r="T260" s="467" t="s">
        <v>1644</v>
      </c>
      <c r="U260" s="467" t="s">
        <v>1645</v>
      </c>
      <c r="V260" s="467" t="s">
        <v>1122</v>
      </c>
      <c r="W260" s="467" t="s">
        <v>1648</v>
      </c>
      <c r="X260" s="467" t="s">
        <v>1249</v>
      </c>
      <c r="Y260" s="467" t="s">
        <v>1253</v>
      </c>
      <c r="Z260" s="467" t="s">
        <v>1368</v>
      </c>
    </row>
    <row r="261" spans="1:46" x14ac:dyDescent="0.25">
      <c r="A261" s="467" t="s">
        <v>917</v>
      </c>
      <c r="B261" s="467" t="s">
        <v>916</v>
      </c>
      <c r="C261" s="467" t="s">
        <v>1147</v>
      </c>
      <c r="D261" s="467" t="s">
        <v>1096</v>
      </c>
      <c r="E261" s="467" t="s">
        <v>1672</v>
      </c>
      <c r="F261" s="467" t="s">
        <v>1403</v>
      </c>
      <c r="G261" s="467" t="s">
        <v>2064</v>
      </c>
      <c r="H261" s="467" t="s">
        <v>2070</v>
      </c>
      <c r="I261" s="467" t="s">
        <v>1100</v>
      </c>
      <c r="J261" s="467" t="s">
        <v>1171</v>
      </c>
      <c r="K261" s="467" t="s">
        <v>2078</v>
      </c>
      <c r="L261" s="467" t="s">
        <v>14208</v>
      </c>
      <c r="M261" s="467" t="s">
        <v>1183</v>
      </c>
      <c r="N261" s="467" t="s">
        <v>2082</v>
      </c>
      <c r="O261" s="467" t="s">
        <v>1105</v>
      </c>
      <c r="P261" s="467" t="s">
        <v>1188</v>
      </c>
      <c r="Q261" s="467" t="s">
        <v>1714</v>
      </c>
      <c r="R261" s="467" t="s">
        <v>1109</v>
      </c>
      <c r="S261" s="467" t="s">
        <v>1190</v>
      </c>
      <c r="T261" s="467" t="s">
        <v>1207</v>
      </c>
      <c r="U261" s="467" t="s">
        <v>1210</v>
      </c>
      <c r="V261" s="467" t="s">
        <v>1234</v>
      </c>
      <c r="W261" s="467" t="s">
        <v>1235</v>
      </c>
      <c r="X261" s="467" t="s">
        <v>1126</v>
      </c>
      <c r="Y261" s="467" t="s">
        <v>2112</v>
      </c>
      <c r="Z261" s="467" t="s">
        <v>1559</v>
      </c>
      <c r="AA261" s="467" t="s">
        <v>1253</v>
      </c>
      <c r="AB261" s="467" t="s">
        <v>2123</v>
      </c>
      <c r="AC261" s="467" t="s">
        <v>1262</v>
      </c>
      <c r="AD261" s="467" t="s">
        <v>11437</v>
      </c>
      <c r="AE261" s="467" t="s">
        <v>1266</v>
      </c>
    </row>
    <row r="262" spans="1:46" x14ac:dyDescent="0.25">
      <c r="A262" s="467" t="s">
        <v>919</v>
      </c>
      <c r="B262" s="467" t="s">
        <v>918</v>
      </c>
      <c r="C262" s="467" t="s">
        <v>1093</v>
      </c>
      <c r="D262" s="467" t="s">
        <v>11363</v>
      </c>
      <c r="E262" s="467" t="s">
        <v>1157</v>
      </c>
      <c r="F262" s="467" t="s">
        <v>1158</v>
      </c>
      <c r="G262" s="467" t="s">
        <v>1961</v>
      </c>
      <c r="H262" s="467" t="s">
        <v>1167</v>
      </c>
      <c r="I262" s="467" t="s">
        <v>1832</v>
      </c>
      <c r="J262" s="467" t="s">
        <v>14192</v>
      </c>
      <c r="K262" s="467" t="s">
        <v>1705</v>
      </c>
      <c r="L262" s="467" t="s">
        <v>1105</v>
      </c>
      <c r="M262" s="467" t="s">
        <v>1107</v>
      </c>
      <c r="N262" s="467" t="s">
        <v>1109</v>
      </c>
      <c r="O262" s="467" t="s">
        <v>1190</v>
      </c>
      <c r="P262" s="467" t="s">
        <v>1310</v>
      </c>
      <c r="Q262" s="467" t="s">
        <v>1202</v>
      </c>
      <c r="R262" s="467" t="s">
        <v>1218</v>
      </c>
      <c r="S262" s="467" t="s">
        <v>11367</v>
      </c>
      <c r="T262" s="467" t="s">
        <v>1226</v>
      </c>
      <c r="U262" s="467" t="s">
        <v>1233</v>
      </c>
      <c r="V262" s="467" t="s">
        <v>11368</v>
      </c>
      <c r="W262" s="467" t="s">
        <v>2096</v>
      </c>
      <c r="X262" s="467" t="s">
        <v>1235</v>
      </c>
      <c r="Y262" s="467" t="s">
        <v>1126</v>
      </c>
      <c r="Z262" s="467" t="s">
        <v>1240</v>
      </c>
      <c r="AA262" s="467" t="s">
        <v>1134</v>
      </c>
      <c r="AB262" s="467" t="s">
        <v>2121</v>
      </c>
      <c r="AC262" s="467" t="s">
        <v>2128</v>
      </c>
      <c r="AD262" s="467" t="s">
        <v>2129</v>
      </c>
    </row>
    <row r="263" spans="1:46" x14ac:dyDescent="0.25">
      <c r="A263" s="467" t="s">
        <v>921</v>
      </c>
      <c r="B263" s="467" t="s">
        <v>920</v>
      </c>
      <c r="C263" s="467" t="s">
        <v>1093</v>
      </c>
      <c r="D263" s="467" t="s">
        <v>1096</v>
      </c>
      <c r="E263" s="467" t="s">
        <v>1098</v>
      </c>
      <c r="F263" s="467" t="s">
        <v>1277</v>
      </c>
      <c r="G263" s="467" t="s">
        <v>1403</v>
      </c>
      <c r="H263" s="467" t="s">
        <v>1158</v>
      </c>
      <c r="I263" s="467" t="s">
        <v>1819</v>
      </c>
      <c r="J263" s="467" t="s">
        <v>1172</v>
      </c>
      <c r="K263" s="467" t="s">
        <v>1975</v>
      </c>
      <c r="L263" s="467" t="s">
        <v>1174</v>
      </c>
      <c r="M263" s="467" t="s">
        <v>1177</v>
      </c>
      <c r="N263" s="467" t="s">
        <v>1980</v>
      </c>
      <c r="O263" s="467" t="s">
        <v>14203</v>
      </c>
      <c r="P263" s="467" t="s">
        <v>1983</v>
      </c>
      <c r="Q263" s="467" t="s">
        <v>1984</v>
      </c>
      <c r="R263" s="467" t="s">
        <v>14208</v>
      </c>
      <c r="S263" s="467" t="s">
        <v>14213</v>
      </c>
      <c r="T263" s="467" t="s">
        <v>1105</v>
      </c>
      <c r="U263" s="467" t="s">
        <v>1188</v>
      </c>
      <c r="V263" s="467" t="s">
        <v>1107</v>
      </c>
      <c r="W263" s="467" t="s">
        <v>1109</v>
      </c>
      <c r="X263" s="467" t="s">
        <v>1111</v>
      </c>
      <c r="Y263" s="467" t="s">
        <v>1994</v>
      </c>
      <c r="Z263" s="467" t="s">
        <v>14400</v>
      </c>
      <c r="AA263" s="467" t="s">
        <v>1120</v>
      </c>
      <c r="AB263" s="467" t="s">
        <v>1122</v>
      </c>
      <c r="AC263" s="467" t="s">
        <v>1225</v>
      </c>
      <c r="AD263" s="467" t="s">
        <v>1226</v>
      </c>
      <c r="AE263" s="467" t="s">
        <v>2008</v>
      </c>
      <c r="AF263" s="467" t="s">
        <v>1233</v>
      </c>
      <c r="AG263" s="467" t="s">
        <v>11368</v>
      </c>
      <c r="AH263" s="467" t="s">
        <v>1234</v>
      </c>
      <c r="AI263" s="467" t="s">
        <v>1235</v>
      </c>
      <c r="AJ263" s="467" t="s">
        <v>1126</v>
      </c>
      <c r="AK263" s="467" t="s">
        <v>1132</v>
      </c>
      <c r="AL263" s="467" t="s">
        <v>1240</v>
      </c>
      <c r="AM263" s="467" t="s">
        <v>1134</v>
      </c>
      <c r="AN263" s="467" t="s">
        <v>14418</v>
      </c>
      <c r="AO263" s="467" t="s">
        <v>1249</v>
      </c>
      <c r="AP263" s="467" t="s">
        <v>2043</v>
      </c>
      <c r="AQ263" s="467" t="s">
        <v>1253</v>
      </c>
      <c r="AR263" s="467" t="s">
        <v>1260</v>
      </c>
      <c r="AS263" s="467" t="s">
        <v>2047</v>
      </c>
      <c r="AT263" s="467" t="s">
        <v>1262</v>
      </c>
    </row>
    <row r="264" spans="1:46" x14ac:dyDescent="0.25">
      <c r="A264" s="467" t="s">
        <v>923</v>
      </c>
      <c r="B264" s="467" t="s">
        <v>922</v>
      </c>
      <c r="C264" s="467" t="s">
        <v>1143</v>
      </c>
      <c r="D264" s="467" t="s">
        <v>1612</v>
      </c>
      <c r="E264" s="467" t="s">
        <v>1096</v>
      </c>
      <c r="F264" s="467" t="s">
        <v>1614</v>
      </c>
      <c r="G264" s="467" t="s">
        <v>11370</v>
      </c>
      <c r="H264" s="467" t="s">
        <v>1615</v>
      </c>
      <c r="I264" s="467" t="s">
        <v>1617</v>
      </c>
      <c r="J264" s="467" t="s">
        <v>11363</v>
      </c>
      <c r="K264" s="467" t="s">
        <v>1623</v>
      </c>
      <c r="L264" s="467" t="s">
        <v>1411</v>
      </c>
      <c r="M264" s="467" t="s">
        <v>1626</v>
      </c>
      <c r="N264" s="467" t="s">
        <v>1629</v>
      </c>
      <c r="O264" s="467" t="s">
        <v>14208</v>
      </c>
      <c r="P264" s="467" t="s">
        <v>1630</v>
      </c>
      <c r="Q264" s="467" t="s">
        <v>1105</v>
      </c>
      <c r="R264" s="467" t="s">
        <v>1107</v>
      </c>
      <c r="S264" s="467" t="s">
        <v>1109</v>
      </c>
      <c r="T264" s="467" t="s">
        <v>1190</v>
      </c>
      <c r="U264" s="467" t="s">
        <v>1637</v>
      </c>
      <c r="V264" s="467" t="s">
        <v>1639</v>
      </c>
      <c r="W264" s="467" t="s">
        <v>1209</v>
      </c>
      <c r="X264" s="467" t="s">
        <v>1645</v>
      </c>
      <c r="Y264" s="467" t="s">
        <v>1647</v>
      </c>
      <c r="Z264" s="467" t="s">
        <v>1122</v>
      </c>
      <c r="AA264" s="467" t="s">
        <v>1225</v>
      </c>
      <c r="AB264" s="467" t="s">
        <v>1648</v>
      </c>
      <c r="AC264" s="467" t="s">
        <v>1124</v>
      </c>
      <c r="AD264" s="467" t="s">
        <v>1234</v>
      </c>
      <c r="AE264" s="467" t="s">
        <v>1126</v>
      </c>
      <c r="AF264" s="467" t="s">
        <v>1655</v>
      </c>
      <c r="AG264" s="467" t="s">
        <v>1656</v>
      </c>
      <c r="AH264" s="467" t="s">
        <v>1245</v>
      </c>
      <c r="AI264" s="467" t="s">
        <v>1253</v>
      </c>
      <c r="AJ264" s="467" t="s">
        <v>1368</v>
      </c>
      <c r="AK264" s="467" t="s">
        <v>1660</v>
      </c>
      <c r="AL264" s="467" t="s">
        <v>1663</v>
      </c>
    </row>
    <row r="265" spans="1:46" x14ac:dyDescent="0.25">
      <c r="A265" s="467" t="s">
        <v>925</v>
      </c>
      <c r="B265" s="467" t="s">
        <v>924</v>
      </c>
      <c r="C265" s="467" t="s">
        <v>1386</v>
      </c>
      <c r="D265" s="467" t="s">
        <v>1143</v>
      </c>
      <c r="E265" s="467" t="s">
        <v>1093</v>
      </c>
      <c r="F265" s="467" t="s">
        <v>1096</v>
      </c>
      <c r="G265" s="467" t="s">
        <v>1098</v>
      </c>
      <c r="H265" s="467" t="s">
        <v>11363</v>
      </c>
      <c r="I265" s="467" t="s">
        <v>1100</v>
      </c>
      <c r="J265" s="467" t="s">
        <v>1174</v>
      </c>
      <c r="K265" s="467" t="s">
        <v>1105</v>
      </c>
      <c r="L265" s="467" t="s">
        <v>1107</v>
      </c>
      <c r="M265" s="467" t="s">
        <v>1190</v>
      </c>
      <c r="N265" s="467" t="s">
        <v>1202</v>
      </c>
      <c r="O265" s="467" t="s">
        <v>1112</v>
      </c>
      <c r="P265" s="467" t="s">
        <v>1501</v>
      </c>
      <c r="Q265" s="467" t="s">
        <v>1209</v>
      </c>
      <c r="R265" s="467" t="s">
        <v>1124</v>
      </c>
      <c r="S265" s="467" t="s">
        <v>1540</v>
      </c>
      <c r="T265" s="467" t="s">
        <v>1132</v>
      </c>
      <c r="U265" s="467" t="s">
        <v>1358</v>
      </c>
      <c r="V265" s="467" t="s">
        <v>1252</v>
      </c>
      <c r="W265" s="467" t="s">
        <v>1581</v>
      </c>
      <c r="X265" s="467" t="s">
        <v>1140</v>
      </c>
      <c r="Y265" s="467" t="s">
        <v>1262</v>
      </c>
      <c r="Z265" s="467" t="s">
        <v>1264</v>
      </c>
    </row>
    <row r="266" spans="1:46" x14ac:dyDescent="0.25">
      <c r="A266" s="467" t="s">
        <v>927</v>
      </c>
      <c r="B266" s="467" t="s">
        <v>926</v>
      </c>
      <c r="C266" s="467" t="s">
        <v>1385</v>
      </c>
      <c r="D266" s="467" t="s">
        <v>1387</v>
      </c>
      <c r="E266" s="467" t="s">
        <v>1091</v>
      </c>
      <c r="F266" s="467" t="s">
        <v>1093</v>
      </c>
      <c r="G266" s="467" t="s">
        <v>1096</v>
      </c>
      <c r="H266" s="467" t="s">
        <v>1100</v>
      </c>
      <c r="I266" s="467" t="s">
        <v>1420</v>
      </c>
      <c r="J266" s="467" t="s">
        <v>1422</v>
      </c>
      <c r="K266" s="467" t="s">
        <v>14208</v>
      </c>
      <c r="L266" s="467" t="s">
        <v>1105</v>
      </c>
      <c r="M266" s="467" t="s">
        <v>1107</v>
      </c>
      <c r="N266" s="467" t="s">
        <v>1109</v>
      </c>
      <c r="O266" s="467" t="s">
        <v>1488</v>
      </c>
      <c r="P266" s="467" t="s">
        <v>1202</v>
      </c>
      <c r="Q266" s="467" t="s">
        <v>1112</v>
      </c>
      <c r="R266" s="467" t="s">
        <v>1498</v>
      </c>
      <c r="S266" s="467" t="s">
        <v>1114</v>
      </c>
      <c r="T266" s="467" t="s">
        <v>1319</v>
      </c>
      <c r="U266" s="467" t="s">
        <v>1120</v>
      </c>
      <c r="V266" s="467" t="s">
        <v>1321</v>
      </c>
      <c r="W266" s="467" t="s">
        <v>1217</v>
      </c>
      <c r="X266" s="467" t="s">
        <v>1218</v>
      </c>
      <c r="Y266" s="467" t="s">
        <v>11367</v>
      </c>
      <c r="Z266" s="467" t="s">
        <v>1332</v>
      </c>
      <c r="AA266" s="467" t="s">
        <v>1122</v>
      </c>
      <c r="AB266" s="467" t="s">
        <v>1228</v>
      </c>
      <c r="AC266" s="467" t="s">
        <v>1536</v>
      </c>
      <c r="AD266" s="467" t="s">
        <v>1124</v>
      </c>
      <c r="AE266" s="467" t="s">
        <v>1540</v>
      </c>
      <c r="AF266" s="467" t="s">
        <v>1233</v>
      </c>
      <c r="AG266" s="467" t="s">
        <v>11368</v>
      </c>
      <c r="AH266" s="467" t="s">
        <v>1342</v>
      </c>
      <c r="AI266" s="467" t="s">
        <v>1130</v>
      </c>
      <c r="AJ266" s="467" t="s">
        <v>1345</v>
      </c>
      <c r="AK266" s="467" t="s">
        <v>1555</v>
      </c>
      <c r="AL266" s="467" t="s">
        <v>1560</v>
      </c>
      <c r="AM266" s="467" t="s">
        <v>1253</v>
      </c>
      <c r="AN266" s="467" t="s">
        <v>1581</v>
      </c>
      <c r="AO266" s="467" t="s">
        <v>1587</v>
      </c>
      <c r="AP266" s="467" t="s">
        <v>1262</v>
      </c>
    </row>
    <row r="267" spans="1:46" x14ac:dyDescent="0.25">
      <c r="A267" s="467" t="s">
        <v>929</v>
      </c>
      <c r="B267" s="467" t="s">
        <v>928</v>
      </c>
      <c r="C267" s="467" t="s">
        <v>1096</v>
      </c>
      <c r="D267" s="467" t="s">
        <v>1814</v>
      </c>
      <c r="E267" s="467" t="s">
        <v>1100</v>
      </c>
      <c r="F267" s="467" t="s">
        <v>1175</v>
      </c>
      <c r="G267" s="467" t="s">
        <v>1443</v>
      </c>
      <c r="H267" s="467" t="s">
        <v>1444</v>
      </c>
      <c r="I267" s="467" t="s">
        <v>1185</v>
      </c>
      <c r="J267" s="467" t="s">
        <v>1459</v>
      </c>
      <c r="K267" s="467" t="s">
        <v>1105</v>
      </c>
      <c r="L267" s="467" t="s">
        <v>1109</v>
      </c>
      <c r="M267" s="467" t="s">
        <v>1189</v>
      </c>
      <c r="N267" s="467" t="s">
        <v>1202</v>
      </c>
      <c r="O267" s="467" t="s">
        <v>1861</v>
      </c>
      <c r="P267" s="467" t="s">
        <v>1866</v>
      </c>
      <c r="Q267" s="467" t="s">
        <v>1114</v>
      </c>
      <c r="R267" s="467" t="s">
        <v>14400</v>
      </c>
      <c r="S267" s="467" t="s">
        <v>1320</v>
      </c>
      <c r="T267" s="467" t="s">
        <v>1217</v>
      </c>
      <c r="U267" s="467" t="s">
        <v>1218</v>
      </c>
      <c r="V267" s="467" t="s">
        <v>11367</v>
      </c>
      <c r="W267" s="467" t="s">
        <v>1122</v>
      </c>
      <c r="X267" s="467" t="s">
        <v>1225</v>
      </c>
      <c r="Y267" s="467" t="s">
        <v>1124</v>
      </c>
      <c r="Z267" s="467" t="s">
        <v>1233</v>
      </c>
      <c r="AA267" s="467" t="s">
        <v>11368</v>
      </c>
      <c r="AB267" s="467" t="s">
        <v>1235</v>
      </c>
      <c r="AC267" s="467" t="s">
        <v>1126</v>
      </c>
      <c r="AD267" s="467" t="s">
        <v>11468</v>
      </c>
      <c r="AE267" s="467" t="s">
        <v>1253</v>
      </c>
      <c r="AF267" s="467" t="s">
        <v>1935</v>
      </c>
    </row>
    <row r="268" spans="1:46" x14ac:dyDescent="0.25">
      <c r="A268" s="467" t="s">
        <v>931</v>
      </c>
      <c r="B268" s="467" t="s">
        <v>930</v>
      </c>
      <c r="C268" s="467" t="s">
        <v>1385</v>
      </c>
      <c r="D268" s="467" t="s">
        <v>1091</v>
      </c>
      <c r="E268" s="467" t="s">
        <v>1093</v>
      </c>
      <c r="F268" s="467" t="s">
        <v>1096</v>
      </c>
      <c r="G268" s="467" t="s">
        <v>1802</v>
      </c>
      <c r="H268" s="467" t="s">
        <v>1098</v>
      </c>
      <c r="I268" s="467" t="s">
        <v>11423</v>
      </c>
      <c r="J268" s="467" t="s">
        <v>1158</v>
      </c>
      <c r="K268" s="467" t="s">
        <v>1819</v>
      </c>
      <c r="L268" s="467" t="s">
        <v>1705</v>
      </c>
      <c r="M268" s="467" t="s">
        <v>14213</v>
      </c>
      <c r="N268" s="467" t="s">
        <v>1185</v>
      </c>
      <c r="O268" s="467" t="s">
        <v>1105</v>
      </c>
      <c r="P268" s="467" t="s">
        <v>1107</v>
      </c>
      <c r="Q268" s="467" t="s">
        <v>1109</v>
      </c>
      <c r="R268" s="467" t="s">
        <v>1111</v>
      </c>
      <c r="S268" s="467" t="s">
        <v>1202</v>
      </c>
      <c r="T268" s="467" t="s">
        <v>1497</v>
      </c>
      <c r="U268" s="467" t="s">
        <v>1114</v>
      </c>
      <c r="V268" s="467" t="s">
        <v>1122</v>
      </c>
      <c r="W268" s="467" t="s">
        <v>1225</v>
      </c>
      <c r="X268" s="467" t="s">
        <v>1234</v>
      </c>
      <c r="Y268" s="467" t="s">
        <v>1126</v>
      </c>
      <c r="Z268" s="467" t="s">
        <v>1898</v>
      </c>
      <c r="AA268" s="467" t="s">
        <v>1132</v>
      </c>
      <c r="AB268" s="467" t="s">
        <v>1240</v>
      </c>
      <c r="AC268" s="467" t="s">
        <v>1241</v>
      </c>
      <c r="AD268" s="467" t="s">
        <v>1134</v>
      </c>
      <c r="AE268" s="467" t="s">
        <v>1136</v>
      </c>
      <c r="AF268" s="467" t="s">
        <v>1249</v>
      </c>
      <c r="AG268" s="467" t="s">
        <v>1253</v>
      </c>
      <c r="AH268" s="467" t="s">
        <v>2051</v>
      </c>
    </row>
    <row r="269" spans="1:46" x14ac:dyDescent="0.25">
      <c r="A269" s="467" t="s">
        <v>933</v>
      </c>
      <c r="B269" s="467" t="s">
        <v>932</v>
      </c>
      <c r="C269" s="467" t="s">
        <v>1143</v>
      </c>
      <c r="D269" s="467" t="s">
        <v>1147</v>
      </c>
      <c r="E269" s="467" t="s">
        <v>1093</v>
      </c>
      <c r="F269" s="467" t="s">
        <v>1096</v>
      </c>
      <c r="G269" s="467" t="s">
        <v>1150</v>
      </c>
      <c r="H269" s="467" t="s">
        <v>1671</v>
      </c>
      <c r="I269" s="467" t="s">
        <v>1160</v>
      </c>
      <c r="J269" s="467" t="s">
        <v>1167</v>
      </c>
      <c r="K269" s="467" t="s">
        <v>1700</v>
      </c>
      <c r="L269" s="467" t="s">
        <v>1177</v>
      </c>
      <c r="M269" s="467" t="s">
        <v>14208</v>
      </c>
      <c r="N269" s="467" t="s">
        <v>1183</v>
      </c>
      <c r="O269" s="467" t="s">
        <v>1186</v>
      </c>
      <c r="P269" s="467" t="s">
        <v>1105</v>
      </c>
      <c r="Q269" s="467" t="s">
        <v>1188</v>
      </c>
      <c r="R269" s="467" t="s">
        <v>1109</v>
      </c>
      <c r="S269" s="467" t="s">
        <v>1190</v>
      </c>
      <c r="T269" s="467" t="s">
        <v>1716</v>
      </c>
      <c r="U269" s="467" t="s">
        <v>1718</v>
      </c>
      <c r="V269" s="467" t="s">
        <v>11401</v>
      </c>
      <c r="W269" s="467" t="s">
        <v>11402</v>
      </c>
      <c r="X269" s="467" t="s">
        <v>1193</v>
      </c>
      <c r="Y269" s="467" t="s">
        <v>1739</v>
      </c>
      <c r="Z269" s="467" t="s">
        <v>1744</v>
      </c>
      <c r="AA269" s="467" t="s">
        <v>1122</v>
      </c>
      <c r="AB269" s="467" t="s">
        <v>1752</v>
      </c>
      <c r="AC269" s="467" t="s">
        <v>1126</v>
      </c>
      <c r="AD269" s="467" t="s">
        <v>1764</v>
      </c>
      <c r="AE269" s="467" t="s">
        <v>1249</v>
      </c>
      <c r="AF269" s="467" t="s">
        <v>1266</v>
      </c>
    </row>
    <row r="270" spans="1:46" x14ac:dyDescent="0.25">
      <c r="A270" s="467" t="s">
        <v>935</v>
      </c>
      <c r="B270" s="467" t="s">
        <v>934</v>
      </c>
      <c r="C270" s="467" t="s">
        <v>1096</v>
      </c>
      <c r="D270" s="467" t="s">
        <v>1158</v>
      </c>
      <c r="E270" s="467" t="s">
        <v>1961</v>
      </c>
      <c r="F270" s="467" t="s">
        <v>1100</v>
      </c>
      <c r="G270" s="467" t="s">
        <v>1171</v>
      </c>
      <c r="H270" s="467" t="s">
        <v>1173</v>
      </c>
      <c r="I270" s="467" t="s">
        <v>1102</v>
      </c>
      <c r="J270" s="467" t="s">
        <v>14208</v>
      </c>
      <c r="K270" s="467" t="s">
        <v>1183</v>
      </c>
      <c r="L270" s="467" t="s">
        <v>1112</v>
      </c>
      <c r="M270" s="467" t="s">
        <v>1207</v>
      </c>
      <c r="N270" s="467" t="s">
        <v>1218</v>
      </c>
      <c r="O270" s="467" t="s">
        <v>11367</v>
      </c>
      <c r="P270" s="467" t="s">
        <v>1226</v>
      </c>
      <c r="Q270" s="467" t="s">
        <v>1233</v>
      </c>
      <c r="R270" s="467" t="s">
        <v>11368</v>
      </c>
      <c r="S270" s="467" t="s">
        <v>2113</v>
      </c>
      <c r="T270" s="467" t="s">
        <v>1253</v>
      </c>
      <c r="U270" s="467" t="s">
        <v>1259</v>
      </c>
      <c r="V270" s="467" t="s">
        <v>2127</v>
      </c>
    </row>
    <row r="271" spans="1:46" x14ac:dyDescent="0.25">
      <c r="A271" s="467" t="s">
        <v>937</v>
      </c>
      <c r="B271" s="467" t="s">
        <v>936</v>
      </c>
      <c r="C271" s="467" t="s">
        <v>1385</v>
      </c>
      <c r="D271" s="467" t="s">
        <v>1386</v>
      </c>
      <c r="E271" s="467" t="s">
        <v>1093</v>
      </c>
      <c r="F271" s="467" t="s">
        <v>1100</v>
      </c>
      <c r="G271" s="467" t="s">
        <v>1175</v>
      </c>
      <c r="H271" s="467" t="s">
        <v>14208</v>
      </c>
      <c r="I271" s="467" t="s">
        <v>1839</v>
      </c>
      <c r="J271" s="467" t="s">
        <v>1185</v>
      </c>
      <c r="K271" s="467" t="s">
        <v>1186</v>
      </c>
      <c r="L271" s="467" t="s">
        <v>1306</v>
      </c>
      <c r="M271" s="467" t="s">
        <v>1189</v>
      </c>
      <c r="N271" s="467" t="s">
        <v>1202</v>
      </c>
      <c r="O271" s="467" t="s">
        <v>1112</v>
      </c>
      <c r="P271" s="467" t="s">
        <v>1501</v>
      </c>
      <c r="Q271" s="467" t="s">
        <v>1322</v>
      </c>
      <c r="R271" s="467" t="s">
        <v>1217</v>
      </c>
      <c r="S271" s="467" t="s">
        <v>1534</v>
      </c>
      <c r="T271" s="467" t="s">
        <v>1536</v>
      </c>
      <c r="U271" s="467" t="s">
        <v>1124</v>
      </c>
      <c r="V271" s="467" t="s">
        <v>1887</v>
      </c>
      <c r="W271" s="467" t="s">
        <v>1540</v>
      </c>
      <c r="X271" s="467" t="s">
        <v>1342</v>
      </c>
      <c r="Y271" s="467" t="s">
        <v>1130</v>
      </c>
      <c r="Z271" s="467" t="s">
        <v>1134</v>
      </c>
      <c r="AA271" s="467" t="s">
        <v>1914</v>
      </c>
      <c r="AB271" s="467" t="s">
        <v>1358</v>
      </c>
      <c r="AC271" s="467" t="s">
        <v>1249</v>
      </c>
      <c r="AD271" s="467" t="s">
        <v>11472</v>
      </c>
      <c r="AE271" s="467" t="s">
        <v>1581</v>
      </c>
    </row>
    <row r="272" spans="1:46" x14ac:dyDescent="0.25">
      <c r="A272" s="467" t="s">
        <v>939</v>
      </c>
      <c r="B272" s="467" t="s">
        <v>938</v>
      </c>
      <c r="C272" s="467" t="s">
        <v>1093</v>
      </c>
      <c r="D272" s="467" t="s">
        <v>1096</v>
      </c>
      <c r="E272" s="467" t="s">
        <v>1098</v>
      </c>
      <c r="F272" s="467" t="s">
        <v>11363</v>
      </c>
      <c r="G272" s="467" t="s">
        <v>1100</v>
      </c>
      <c r="H272" s="467" t="s">
        <v>1966</v>
      </c>
      <c r="I272" s="467" t="s">
        <v>1102</v>
      </c>
      <c r="J272" s="467" t="s">
        <v>1174</v>
      </c>
      <c r="K272" s="467" t="s">
        <v>14208</v>
      </c>
      <c r="L272" s="467" t="s">
        <v>1985</v>
      </c>
      <c r="M272" s="467" t="s">
        <v>1187</v>
      </c>
      <c r="N272" s="467" t="s">
        <v>1105</v>
      </c>
      <c r="O272" s="467" t="s">
        <v>1197</v>
      </c>
      <c r="P272" s="467" t="s">
        <v>1111</v>
      </c>
      <c r="Q272" s="467" t="s">
        <v>1112</v>
      </c>
      <c r="R272" s="467" t="s">
        <v>1114</v>
      </c>
      <c r="S272" s="467" t="s">
        <v>1228</v>
      </c>
      <c r="T272" s="467" t="s">
        <v>2006</v>
      </c>
      <c r="U272" s="467" t="s">
        <v>1235</v>
      </c>
      <c r="V272" s="467" t="s">
        <v>1126</v>
      </c>
      <c r="W272" s="467" t="s">
        <v>2016</v>
      </c>
      <c r="X272" s="467" t="s">
        <v>2017</v>
      </c>
      <c r="Y272" s="467" t="s">
        <v>1132</v>
      </c>
      <c r="Z272" s="467" t="s">
        <v>1134</v>
      </c>
      <c r="AA272" s="467" t="s">
        <v>2023</v>
      </c>
      <c r="AB272" s="467" t="s">
        <v>14354</v>
      </c>
      <c r="AC272" s="467" t="s">
        <v>1249</v>
      </c>
      <c r="AD272" s="467" t="s">
        <v>2050</v>
      </c>
    </row>
    <row r="273" spans="1:51" x14ac:dyDescent="0.25">
      <c r="A273" s="467" t="s">
        <v>941</v>
      </c>
      <c r="B273" s="467" t="s">
        <v>940</v>
      </c>
      <c r="C273" s="467" t="s">
        <v>1668</v>
      </c>
      <c r="D273" s="467" t="s">
        <v>1096</v>
      </c>
      <c r="E273" s="467" t="s">
        <v>1278</v>
      </c>
      <c r="F273" s="467" t="s">
        <v>14144</v>
      </c>
      <c r="G273" s="467" t="s">
        <v>2062</v>
      </c>
      <c r="H273" s="467" t="s">
        <v>1158</v>
      </c>
      <c r="I273" s="467" t="s">
        <v>11430</v>
      </c>
      <c r="J273" s="467" t="s">
        <v>1172</v>
      </c>
      <c r="K273" s="467" t="s">
        <v>1832</v>
      </c>
      <c r="L273" s="467" t="s">
        <v>14208</v>
      </c>
      <c r="M273" s="467" t="s">
        <v>14213</v>
      </c>
      <c r="N273" s="467" t="s">
        <v>1185</v>
      </c>
      <c r="O273" s="467" t="s">
        <v>1186</v>
      </c>
      <c r="P273" s="467" t="s">
        <v>1105</v>
      </c>
      <c r="Q273" s="467" t="s">
        <v>1107</v>
      </c>
      <c r="R273" s="467" t="s">
        <v>14226</v>
      </c>
      <c r="S273" s="467" t="s">
        <v>1109</v>
      </c>
      <c r="T273" s="467" t="s">
        <v>1190</v>
      </c>
      <c r="U273" s="467" t="s">
        <v>1209</v>
      </c>
      <c r="V273" s="467" t="s">
        <v>14400</v>
      </c>
      <c r="W273" s="467" t="s">
        <v>11414</v>
      </c>
      <c r="X273" s="467" t="s">
        <v>1122</v>
      </c>
      <c r="Y273" s="467" t="s">
        <v>1124</v>
      </c>
      <c r="Z273" s="467" t="s">
        <v>1235</v>
      </c>
      <c r="AA273" s="467" t="s">
        <v>1126</v>
      </c>
      <c r="AB273" s="467" t="s">
        <v>2102</v>
      </c>
      <c r="AC273" s="467" t="s">
        <v>2123</v>
      </c>
      <c r="AD273" s="467" t="s">
        <v>1259</v>
      </c>
      <c r="AE273" s="467" t="s">
        <v>2127</v>
      </c>
    </row>
    <row r="274" spans="1:51" x14ac:dyDescent="0.25">
      <c r="A274" s="467" t="s">
        <v>943</v>
      </c>
      <c r="B274" s="467" t="s">
        <v>942</v>
      </c>
      <c r="C274" s="467" t="s">
        <v>1609</v>
      </c>
      <c r="D274" s="467" t="s">
        <v>1093</v>
      </c>
      <c r="E274" s="467" t="s">
        <v>1096</v>
      </c>
      <c r="F274" s="467" t="s">
        <v>1283</v>
      </c>
      <c r="G274" s="467" t="s">
        <v>1100</v>
      </c>
      <c r="H274" s="467" t="s">
        <v>1172</v>
      </c>
      <c r="I274" s="467" t="s">
        <v>1293</v>
      </c>
      <c r="J274" s="467" t="s">
        <v>1102</v>
      </c>
      <c r="K274" s="467" t="s">
        <v>1175</v>
      </c>
      <c r="L274" s="467" t="s">
        <v>1294</v>
      </c>
      <c r="M274" s="467" t="s">
        <v>1296</v>
      </c>
      <c r="N274" s="467" t="s">
        <v>14208</v>
      </c>
      <c r="O274" s="467" t="s">
        <v>1185</v>
      </c>
      <c r="P274" s="467" t="s">
        <v>1187</v>
      </c>
      <c r="Q274" s="467" t="s">
        <v>1105</v>
      </c>
      <c r="R274" s="467" t="s">
        <v>1107</v>
      </c>
      <c r="S274" s="467" t="s">
        <v>1109</v>
      </c>
      <c r="T274" s="467" t="s">
        <v>1190</v>
      </c>
      <c r="U274" s="467" t="s">
        <v>1310</v>
      </c>
      <c r="V274" s="467" t="s">
        <v>1197</v>
      </c>
      <c r="W274" s="467" t="s">
        <v>1202</v>
      </c>
      <c r="X274" s="467" t="s">
        <v>1112</v>
      </c>
      <c r="Y274" s="467" t="s">
        <v>1210</v>
      </c>
      <c r="Z274" s="467" t="s">
        <v>1326</v>
      </c>
      <c r="AA274" s="467" t="s">
        <v>1332</v>
      </c>
      <c r="AB274" s="467" t="s">
        <v>1122</v>
      </c>
      <c r="AC274" s="467" t="s">
        <v>1228</v>
      </c>
      <c r="AD274" s="467" t="s">
        <v>1124</v>
      </c>
      <c r="AE274" s="467" t="s">
        <v>1339</v>
      </c>
      <c r="AF274" s="467" t="s">
        <v>1233</v>
      </c>
      <c r="AG274" s="467" t="s">
        <v>11368</v>
      </c>
      <c r="AH274" s="467" t="s">
        <v>1234</v>
      </c>
      <c r="AI274" s="467" t="s">
        <v>1235</v>
      </c>
      <c r="AJ274" s="467" t="s">
        <v>1126</v>
      </c>
      <c r="AK274" s="467" t="s">
        <v>1346</v>
      </c>
      <c r="AL274" s="467" t="s">
        <v>1249</v>
      </c>
      <c r="AM274" s="467" t="s">
        <v>1253</v>
      </c>
    </row>
    <row r="275" spans="1:51" x14ac:dyDescent="0.25">
      <c r="A275" s="467" t="s">
        <v>945</v>
      </c>
      <c r="B275" s="467" t="s">
        <v>944</v>
      </c>
      <c r="C275" s="467" t="s">
        <v>1088</v>
      </c>
      <c r="D275" s="467" t="s">
        <v>14127</v>
      </c>
      <c r="E275" s="467" t="s">
        <v>1093</v>
      </c>
      <c r="F275" s="467" t="s">
        <v>1096</v>
      </c>
      <c r="G275" s="467" t="s">
        <v>1802</v>
      </c>
      <c r="H275" s="467" t="s">
        <v>1098</v>
      </c>
      <c r="I275" s="467" t="s">
        <v>1100</v>
      </c>
      <c r="J275" s="467" t="s">
        <v>1172</v>
      </c>
      <c r="K275" s="467" t="s">
        <v>1175</v>
      </c>
      <c r="L275" s="467" t="s">
        <v>1830</v>
      </c>
      <c r="M275" s="467" t="s">
        <v>1107</v>
      </c>
      <c r="N275" s="467" t="s">
        <v>1109</v>
      </c>
      <c r="O275" s="467" t="s">
        <v>1111</v>
      </c>
      <c r="P275" s="467" t="s">
        <v>1202</v>
      </c>
      <c r="Q275" s="467" t="s">
        <v>1114</v>
      </c>
      <c r="R275" s="467" t="s">
        <v>1221</v>
      </c>
      <c r="S275" s="467" t="s">
        <v>1122</v>
      </c>
      <c r="T275" s="467" t="s">
        <v>1225</v>
      </c>
      <c r="U275" s="467" t="s">
        <v>1233</v>
      </c>
      <c r="V275" s="467" t="s">
        <v>11368</v>
      </c>
      <c r="W275" s="467" t="s">
        <v>1234</v>
      </c>
      <c r="X275" s="467" t="s">
        <v>1126</v>
      </c>
      <c r="Y275" s="467" t="s">
        <v>1132</v>
      </c>
      <c r="Z275" s="467" t="s">
        <v>1134</v>
      </c>
      <c r="AA275" s="467" t="s">
        <v>1136</v>
      </c>
      <c r="AB275" s="467" t="s">
        <v>1917</v>
      </c>
      <c r="AC275" s="467" t="s">
        <v>1138</v>
      </c>
      <c r="AD275" s="467" t="s">
        <v>1930</v>
      </c>
      <c r="AE275" s="467" t="s">
        <v>1140</v>
      </c>
    </row>
    <row r="276" spans="1:51" x14ac:dyDescent="0.25">
      <c r="A276" s="467" t="s">
        <v>947</v>
      </c>
      <c r="B276" s="467" t="s">
        <v>946</v>
      </c>
      <c r="C276" s="467" t="s">
        <v>1093</v>
      </c>
      <c r="D276" s="467" t="s">
        <v>1096</v>
      </c>
      <c r="E276" s="467" t="s">
        <v>1098</v>
      </c>
      <c r="F276" s="467" t="s">
        <v>1158</v>
      </c>
      <c r="G276" s="467" t="s">
        <v>1961</v>
      </c>
      <c r="H276" s="467" t="s">
        <v>1819</v>
      </c>
      <c r="I276" s="467" t="s">
        <v>1175</v>
      </c>
      <c r="J276" s="467" t="s">
        <v>1983</v>
      </c>
      <c r="K276" s="467" t="s">
        <v>1984</v>
      </c>
      <c r="L276" s="467" t="s">
        <v>14208</v>
      </c>
      <c r="M276" s="467" t="s">
        <v>14213</v>
      </c>
      <c r="N276" s="467" t="s">
        <v>1105</v>
      </c>
      <c r="O276" s="467" t="s">
        <v>1109</v>
      </c>
      <c r="P276" s="467" t="s">
        <v>1195</v>
      </c>
      <c r="Q276" s="467" t="s">
        <v>1111</v>
      </c>
      <c r="R276" s="467" t="s">
        <v>1994</v>
      </c>
      <c r="S276" s="467" t="s">
        <v>1114</v>
      </c>
      <c r="T276" s="467" t="s">
        <v>1226</v>
      </c>
      <c r="U276" s="467" t="s">
        <v>2008</v>
      </c>
      <c r="V276" s="467" t="s">
        <v>1233</v>
      </c>
      <c r="W276" s="467" t="s">
        <v>1126</v>
      </c>
      <c r="X276" s="467" t="s">
        <v>1132</v>
      </c>
      <c r="Y276" s="467" t="s">
        <v>1240</v>
      </c>
      <c r="Z276" s="467" t="s">
        <v>1134</v>
      </c>
      <c r="AA276" s="467" t="s">
        <v>1249</v>
      </c>
      <c r="AB276" s="467" t="s">
        <v>2047</v>
      </c>
      <c r="AC276" s="467" t="s">
        <v>1262</v>
      </c>
    </row>
    <row r="277" spans="1:51" x14ac:dyDescent="0.25">
      <c r="A277" s="467" t="s">
        <v>949</v>
      </c>
      <c r="B277" s="467" t="s">
        <v>948</v>
      </c>
      <c r="C277" s="467" t="s">
        <v>1093</v>
      </c>
      <c r="D277" s="467" t="s">
        <v>1096</v>
      </c>
      <c r="E277" s="467" t="s">
        <v>11363</v>
      </c>
      <c r="F277" s="467" t="s">
        <v>1100</v>
      </c>
      <c r="G277" s="467" t="s">
        <v>1627</v>
      </c>
      <c r="H277" s="467" t="s">
        <v>14208</v>
      </c>
      <c r="I277" s="467" t="s">
        <v>1105</v>
      </c>
      <c r="J277" s="467" t="s">
        <v>1107</v>
      </c>
      <c r="K277" s="467" t="s">
        <v>1109</v>
      </c>
      <c r="L277" s="467" t="s">
        <v>1308</v>
      </c>
      <c r="M277" s="467" t="s">
        <v>1202</v>
      </c>
      <c r="N277" s="467" t="s">
        <v>1114</v>
      </c>
      <c r="O277" s="467" t="s">
        <v>1503</v>
      </c>
      <c r="P277" s="467" t="s">
        <v>1320</v>
      </c>
      <c r="Q277" s="467" t="s">
        <v>1217</v>
      </c>
      <c r="R277" s="467" t="s">
        <v>1218</v>
      </c>
      <c r="S277" s="467" t="s">
        <v>11367</v>
      </c>
      <c r="T277" s="467" t="s">
        <v>1122</v>
      </c>
      <c r="U277" s="467" t="s">
        <v>1124</v>
      </c>
      <c r="V277" s="467" t="s">
        <v>1126</v>
      </c>
      <c r="W277" s="467" t="s">
        <v>1130</v>
      </c>
      <c r="X277" s="467" t="s">
        <v>1245</v>
      </c>
      <c r="Y277" s="467" t="s">
        <v>1253</v>
      </c>
      <c r="Z277" s="467" t="s">
        <v>1928</v>
      </c>
      <c r="AA277" s="467" t="s">
        <v>1935</v>
      </c>
      <c r="AB277" s="467" t="s">
        <v>1262</v>
      </c>
    </row>
    <row r="278" spans="1:51" x14ac:dyDescent="0.25">
      <c r="A278" s="467" t="s">
        <v>951</v>
      </c>
      <c r="B278" s="467" t="s">
        <v>950</v>
      </c>
      <c r="C278" s="467" t="s">
        <v>1096</v>
      </c>
      <c r="D278" s="467" t="s">
        <v>1161</v>
      </c>
      <c r="E278" s="467" t="s">
        <v>1100</v>
      </c>
      <c r="F278" s="467" t="s">
        <v>1182</v>
      </c>
      <c r="G278" s="467" t="s">
        <v>1185</v>
      </c>
      <c r="H278" s="467" t="s">
        <v>1302</v>
      </c>
      <c r="I278" s="467" t="s">
        <v>1107</v>
      </c>
      <c r="J278" s="467" t="s">
        <v>1109</v>
      </c>
      <c r="K278" s="467" t="s">
        <v>1112</v>
      </c>
      <c r="L278" s="467" t="s">
        <v>1315</v>
      </c>
      <c r="M278" s="467" t="s">
        <v>1319</v>
      </c>
      <c r="N278" s="467" t="s">
        <v>1120</v>
      </c>
      <c r="O278" s="467" t="s">
        <v>1323</v>
      </c>
      <c r="P278" s="467" t="s">
        <v>1325</v>
      </c>
      <c r="Q278" s="467" t="s">
        <v>1327</v>
      </c>
      <c r="R278" s="467" t="s">
        <v>1122</v>
      </c>
      <c r="S278" s="467" t="s">
        <v>1225</v>
      </c>
      <c r="T278" s="467" t="s">
        <v>1124</v>
      </c>
      <c r="U278" s="467" t="s">
        <v>1337</v>
      </c>
      <c r="V278" s="467" t="s">
        <v>1126</v>
      </c>
      <c r="W278" s="467" t="s">
        <v>1341</v>
      </c>
      <c r="X278" s="467" t="s">
        <v>1342</v>
      </c>
      <c r="Y278" s="467" t="s">
        <v>1354</v>
      </c>
      <c r="Z278" s="467" t="s">
        <v>1253</v>
      </c>
      <c r="AA278" s="467" t="s">
        <v>1369</v>
      </c>
      <c r="AB278" s="467" t="s">
        <v>1374</v>
      </c>
    </row>
    <row r="279" spans="1:51" x14ac:dyDescent="0.25">
      <c r="A279" s="467" t="s">
        <v>953</v>
      </c>
      <c r="B279" s="467" t="s">
        <v>952</v>
      </c>
      <c r="C279" s="467" t="s">
        <v>1096</v>
      </c>
      <c r="D279" s="467" t="s">
        <v>11363</v>
      </c>
      <c r="E279" s="467" t="s">
        <v>1277</v>
      </c>
      <c r="F279" s="467" t="s">
        <v>1283</v>
      </c>
      <c r="G279" s="467" t="s">
        <v>1100</v>
      </c>
      <c r="H279" s="467" t="s">
        <v>1291</v>
      </c>
      <c r="I279" s="467" t="s">
        <v>1294</v>
      </c>
      <c r="J279" s="467" t="s">
        <v>1105</v>
      </c>
      <c r="K279" s="467" t="s">
        <v>1310</v>
      </c>
      <c r="L279" s="467" t="s">
        <v>1311</v>
      </c>
      <c r="M279" s="467" t="s">
        <v>1202</v>
      </c>
      <c r="N279" s="467" t="s">
        <v>1114</v>
      </c>
      <c r="O279" s="467" t="s">
        <v>1319</v>
      </c>
      <c r="P279" s="467" t="s">
        <v>1320</v>
      </c>
      <c r="Q279" s="467" t="s">
        <v>1218</v>
      </c>
      <c r="R279" s="467" t="s">
        <v>1332</v>
      </c>
      <c r="S279" s="467" t="s">
        <v>1122</v>
      </c>
      <c r="T279" s="467" t="s">
        <v>1233</v>
      </c>
      <c r="U279" s="467" t="s">
        <v>1126</v>
      </c>
      <c r="V279" s="467" t="s">
        <v>1130</v>
      </c>
      <c r="W279" s="467" t="s">
        <v>1346</v>
      </c>
      <c r="X279" s="467" t="s">
        <v>1253</v>
      </c>
    </row>
    <row r="280" spans="1:51" x14ac:dyDescent="0.25">
      <c r="A280" s="467" t="s">
        <v>955</v>
      </c>
      <c r="B280" s="467" t="s">
        <v>954</v>
      </c>
      <c r="C280" s="467" t="s">
        <v>1385</v>
      </c>
      <c r="D280" s="467" t="s">
        <v>1093</v>
      </c>
      <c r="E280" s="467" t="s">
        <v>1797</v>
      </c>
      <c r="F280" s="467" t="s">
        <v>1096</v>
      </c>
      <c r="G280" s="467" t="s">
        <v>1278</v>
      </c>
      <c r="H280" s="467" t="s">
        <v>1807</v>
      </c>
      <c r="I280" s="467" t="s">
        <v>1100</v>
      </c>
      <c r="J280" s="467" t="s">
        <v>1177</v>
      </c>
      <c r="K280" s="467" t="s">
        <v>1443</v>
      </c>
      <c r="L280" s="467" t="s">
        <v>1107</v>
      </c>
      <c r="M280" s="467" t="s">
        <v>1109</v>
      </c>
      <c r="N280" s="467" t="s">
        <v>1189</v>
      </c>
      <c r="O280" s="467" t="s">
        <v>1310</v>
      </c>
      <c r="P280" s="467" t="s">
        <v>1111</v>
      </c>
      <c r="Q280" s="467" t="s">
        <v>1202</v>
      </c>
      <c r="R280" s="467" t="s">
        <v>1114</v>
      </c>
      <c r="S280" s="467" t="s">
        <v>1320</v>
      </c>
      <c r="T280" s="467" t="s">
        <v>1218</v>
      </c>
      <c r="U280" s="467" t="s">
        <v>11367</v>
      </c>
      <c r="V280" s="467" t="s">
        <v>1221</v>
      </c>
      <c r="W280" s="467" t="s">
        <v>1122</v>
      </c>
      <c r="X280" s="467" t="s">
        <v>1225</v>
      </c>
      <c r="Y280" s="467" t="s">
        <v>1535</v>
      </c>
      <c r="Z280" s="467" t="s">
        <v>1124</v>
      </c>
      <c r="AA280" s="467" t="s">
        <v>1235</v>
      </c>
      <c r="AB280" s="467" t="s">
        <v>1126</v>
      </c>
      <c r="AC280" s="467" t="s">
        <v>1130</v>
      </c>
      <c r="AD280" s="467" t="s">
        <v>1922</v>
      </c>
      <c r="AE280" s="467" t="s">
        <v>1253</v>
      </c>
      <c r="AF280" s="467" t="s">
        <v>1927</v>
      </c>
      <c r="AG280" s="467" t="s">
        <v>1928</v>
      </c>
      <c r="AH280" s="467" t="s">
        <v>1935</v>
      </c>
    </row>
    <row r="281" spans="1:51" x14ac:dyDescent="0.25">
      <c r="A281" s="467" t="s">
        <v>957</v>
      </c>
      <c r="B281" s="467" t="s">
        <v>956</v>
      </c>
      <c r="C281" s="467" t="s">
        <v>1093</v>
      </c>
      <c r="D281" s="467" t="s">
        <v>1096</v>
      </c>
      <c r="E281" s="467" t="s">
        <v>1098</v>
      </c>
      <c r="F281" s="467" t="s">
        <v>11363</v>
      </c>
      <c r="G281" s="467" t="s">
        <v>14208</v>
      </c>
      <c r="H281" s="467" t="s">
        <v>1985</v>
      </c>
      <c r="I281" s="467" t="s">
        <v>1105</v>
      </c>
      <c r="J281" s="467" t="s">
        <v>1107</v>
      </c>
      <c r="K281" s="467" t="s">
        <v>1195</v>
      </c>
      <c r="L281" s="467" t="s">
        <v>1310</v>
      </c>
      <c r="M281" s="467" t="s">
        <v>1197</v>
      </c>
      <c r="N281" s="467" t="s">
        <v>1111</v>
      </c>
      <c r="O281" s="467" t="s">
        <v>1991</v>
      </c>
      <c r="P281" s="467" t="s">
        <v>1114</v>
      </c>
      <c r="Q281" s="467" t="s">
        <v>1320</v>
      </c>
      <c r="R281" s="467" t="s">
        <v>1225</v>
      </c>
      <c r="S281" s="467" t="s">
        <v>1227</v>
      </c>
      <c r="T281" s="467" t="s">
        <v>1228</v>
      </c>
      <c r="U281" s="467" t="s">
        <v>1124</v>
      </c>
      <c r="V281" s="467" t="s">
        <v>1234</v>
      </c>
      <c r="W281" s="467" t="s">
        <v>1235</v>
      </c>
      <c r="X281" s="467" t="s">
        <v>1126</v>
      </c>
      <c r="Y281" s="467" t="s">
        <v>1132</v>
      </c>
      <c r="Z281" s="467" t="s">
        <v>1241</v>
      </c>
      <c r="AA281" s="467" t="s">
        <v>1134</v>
      </c>
      <c r="AB281" s="467" t="s">
        <v>1559</v>
      </c>
      <c r="AC281" s="467" t="s">
        <v>2034</v>
      </c>
      <c r="AD281" s="467" t="s">
        <v>1249</v>
      </c>
      <c r="AE281" s="467" t="s">
        <v>11428</v>
      </c>
      <c r="AF281" s="467" t="s">
        <v>2050</v>
      </c>
    </row>
    <row r="282" spans="1:51" x14ac:dyDescent="0.25">
      <c r="A282" s="467" t="s">
        <v>959</v>
      </c>
      <c r="B282" s="467" t="s">
        <v>958</v>
      </c>
      <c r="C282" s="467" t="s">
        <v>1093</v>
      </c>
      <c r="D282" s="467" t="s">
        <v>1151</v>
      </c>
      <c r="E282" s="467" t="s">
        <v>1098</v>
      </c>
      <c r="F282" s="467" t="s">
        <v>11363</v>
      </c>
      <c r="G282" s="467" t="s">
        <v>14208</v>
      </c>
      <c r="H282" s="467" t="s">
        <v>1187</v>
      </c>
      <c r="I282" s="467" t="s">
        <v>1105</v>
      </c>
      <c r="J282" s="467" t="s">
        <v>1111</v>
      </c>
      <c r="K282" s="467" t="s">
        <v>1114</v>
      </c>
      <c r="L282" s="467" t="s">
        <v>1997</v>
      </c>
      <c r="M282" s="467" t="s">
        <v>2002</v>
      </c>
      <c r="N282" s="467" t="s">
        <v>2007</v>
      </c>
      <c r="O282" s="467" t="s">
        <v>1235</v>
      </c>
      <c r="P282" s="467" t="s">
        <v>1126</v>
      </c>
      <c r="Q282" s="467" t="s">
        <v>2017</v>
      </c>
      <c r="R282" s="467" t="s">
        <v>1132</v>
      </c>
      <c r="S282" s="467" t="s">
        <v>2030</v>
      </c>
      <c r="T282" s="467" t="s">
        <v>2034</v>
      </c>
      <c r="U282" s="467" t="s">
        <v>2050</v>
      </c>
      <c r="V282" s="467" t="s">
        <v>14388</v>
      </c>
    </row>
    <row r="283" spans="1:51" x14ac:dyDescent="0.25">
      <c r="A283" s="467" t="s">
        <v>961</v>
      </c>
      <c r="B283" s="467" t="s">
        <v>960</v>
      </c>
      <c r="C283" s="467" t="s">
        <v>1385</v>
      </c>
      <c r="D283" s="467" t="s">
        <v>1389</v>
      </c>
      <c r="E283" s="467" t="s">
        <v>1270</v>
      </c>
      <c r="F283" s="467" t="s">
        <v>1401</v>
      </c>
      <c r="G283" s="467" t="s">
        <v>1100</v>
      </c>
      <c r="H283" s="467" t="s">
        <v>1288</v>
      </c>
      <c r="I283" s="467" t="s">
        <v>1429</v>
      </c>
      <c r="J283" s="467" t="s">
        <v>1298</v>
      </c>
      <c r="K283" s="467" t="s">
        <v>1441</v>
      </c>
      <c r="L283" s="467" t="s">
        <v>1445</v>
      </c>
      <c r="M283" s="467" t="s">
        <v>1185</v>
      </c>
      <c r="N283" s="467" t="s">
        <v>1105</v>
      </c>
      <c r="O283" s="467" t="s">
        <v>1107</v>
      </c>
      <c r="P283" s="467" t="s">
        <v>1476</v>
      </c>
      <c r="Q283" s="467" t="s">
        <v>1480</v>
      </c>
      <c r="R283" s="467" t="s">
        <v>1310</v>
      </c>
      <c r="S283" s="467" t="s">
        <v>1311</v>
      </c>
      <c r="T283" s="467" t="s">
        <v>1202</v>
      </c>
      <c r="U283" s="467" t="s">
        <v>1494</v>
      </c>
      <c r="V283" s="467" t="s">
        <v>1112</v>
      </c>
      <c r="W283" s="467" t="s">
        <v>1315</v>
      </c>
      <c r="X283" s="467" t="s">
        <v>1316</v>
      </c>
      <c r="Y283" s="467" t="s">
        <v>1508</v>
      </c>
      <c r="Z283" s="467" t="s">
        <v>1319</v>
      </c>
      <c r="AA283" s="467" t="s">
        <v>1120</v>
      </c>
      <c r="AB283" s="467" t="s">
        <v>1320</v>
      </c>
      <c r="AC283" s="467" t="s">
        <v>1322</v>
      </c>
      <c r="AD283" s="467" t="s">
        <v>1217</v>
      </c>
      <c r="AE283" s="467" t="s">
        <v>1218</v>
      </c>
      <c r="AF283" s="467" t="s">
        <v>1325</v>
      </c>
      <c r="AG283" s="467" t="s">
        <v>1220</v>
      </c>
      <c r="AH283" s="467" t="s">
        <v>1332</v>
      </c>
      <c r="AI283" s="467" t="s">
        <v>1122</v>
      </c>
      <c r="AJ283" s="467" t="s">
        <v>1528</v>
      </c>
      <c r="AK283" s="467" t="s">
        <v>1531</v>
      </c>
      <c r="AL283" s="467" t="s">
        <v>1234</v>
      </c>
      <c r="AM283" s="467" t="s">
        <v>1126</v>
      </c>
      <c r="AN283" s="467" t="s">
        <v>14309</v>
      </c>
      <c r="AO283" s="467" t="s">
        <v>1547</v>
      </c>
      <c r="AP283" s="467" t="s">
        <v>1130</v>
      </c>
      <c r="AQ283" s="467" t="s">
        <v>1549</v>
      </c>
      <c r="AR283" s="467" t="s">
        <v>1346</v>
      </c>
      <c r="AS283" s="467" t="s">
        <v>1558</v>
      </c>
      <c r="AT283" s="467" t="s">
        <v>1249</v>
      </c>
      <c r="AU283" s="467" t="s">
        <v>1362</v>
      </c>
      <c r="AV283" s="467" t="s">
        <v>14363</v>
      </c>
      <c r="AW283" s="467" t="s">
        <v>1579</v>
      </c>
      <c r="AX283" s="467" t="s">
        <v>1583</v>
      </c>
      <c r="AY283" s="467" t="s">
        <v>11396</v>
      </c>
    </row>
    <row r="284" spans="1:51" x14ac:dyDescent="0.25">
      <c r="A284" s="467" t="s">
        <v>963</v>
      </c>
      <c r="B284" s="467" t="s">
        <v>962</v>
      </c>
      <c r="C284" s="467" t="s">
        <v>1096</v>
      </c>
      <c r="D284" s="467" t="s">
        <v>1670</v>
      </c>
      <c r="E284" s="467" t="s">
        <v>1150</v>
      </c>
      <c r="F284" s="467" t="s">
        <v>11363</v>
      </c>
      <c r="G284" s="467" t="s">
        <v>1167</v>
      </c>
      <c r="H284" s="467" t="s">
        <v>1174</v>
      </c>
      <c r="I284" s="467" t="s">
        <v>1704</v>
      </c>
      <c r="J284" s="467" t="s">
        <v>1705</v>
      </c>
      <c r="K284" s="467" t="s">
        <v>14208</v>
      </c>
      <c r="L284" s="467" t="s">
        <v>1183</v>
      </c>
      <c r="M284" s="467" t="s">
        <v>1188</v>
      </c>
      <c r="N284" s="467" t="s">
        <v>1109</v>
      </c>
      <c r="O284" s="467" t="s">
        <v>1190</v>
      </c>
      <c r="P284" s="467" t="s">
        <v>1716</v>
      </c>
      <c r="Q284" s="467" t="s">
        <v>11401</v>
      </c>
      <c r="R284" s="467" t="s">
        <v>11402</v>
      </c>
      <c r="S284" s="467" t="s">
        <v>1193</v>
      </c>
      <c r="T284" s="467" t="s">
        <v>1197</v>
      </c>
      <c r="U284" s="467" t="s">
        <v>1739</v>
      </c>
      <c r="V284" s="467" t="s">
        <v>1209</v>
      </c>
      <c r="W284" s="467" t="s">
        <v>1503</v>
      </c>
      <c r="X284" s="467" t="s">
        <v>1742</v>
      </c>
      <c r="Y284" s="467" t="s">
        <v>1744</v>
      </c>
      <c r="Z284" s="467" t="s">
        <v>1223</v>
      </c>
      <c r="AA284" s="467" t="s">
        <v>1122</v>
      </c>
      <c r="AB284" s="467" t="s">
        <v>1228</v>
      </c>
      <c r="AC284" s="467" t="s">
        <v>1752</v>
      </c>
      <c r="AD284" s="467" t="s">
        <v>1234</v>
      </c>
      <c r="AE284" s="467" t="s">
        <v>1249</v>
      </c>
      <c r="AF284" s="467" t="s">
        <v>1253</v>
      </c>
      <c r="AG284" s="467" t="s">
        <v>1778</v>
      </c>
      <c r="AH284" s="467" t="s">
        <v>1780</v>
      </c>
      <c r="AI284" s="467" t="s">
        <v>11410</v>
      </c>
      <c r="AJ284" s="467" t="s">
        <v>1266</v>
      </c>
    </row>
    <row r="285" spans="1:51" x14ac:dyDescent="0.25">
      <c r="A285" s="467" t="s">
        <v>965</v>
      </c>
      <c r="B285" s="467" t="s">
        <v>964</v>
      </c>
      <c r="C285" s="467" t="s">
        <v>1385</v>
      </c>
      <c r="D285" s="467" t="s">
        <v>1792</v>
      </c>
      <c r="E285" s="467" t="s">
        <v>1093</v>
      </c>
      <c r="F285" s="467" t="s">
        <v>1096</v>
      </c>
      <c r="G285" s="467" t="s">
        <v>1805</v>
      </c>
      <c r="H285" s="467" t="s">
        <v>1100</v>
      </c>
      <c r="I285" s="467" t="s">
        <v>1288</v>
      </c>
      <c r="J285" s="467" t="s">
        <v>1827</v>
      </c>
      <c r="K285" s="467" t="s">
        <v>1175</v>
      </c>
      <c r="L285" s="467" t="s">
        <v>14208</v>
      </c>
      <c r="M285" s="467" t="s">
        <v>1443</v>
      </c>
      <c r="N285" s="467" t="s">
        <v>1185</v>
      </c>
      <c r="O285" s="467" t="s">
        <v>1187</v>
      </c>
      <c r="P285" s="467" t="s">
        <v>1845</v>
      </c>
      <c r="Q285" s="467" t="s">
        <v>1105</v>
      </c>
      <c r="R285" s="467" t="s">
        <v>1107</v>
      </c>
      <c r="S285" s="467" t="s">
        <v>1189</v>
      </c>
      <c r="T285" s="467" t="s">
        <v>1114</v>
      </c>
      <c r="U285" s="467" t="s">
        <v>1320</v>
      </c>
      <c r="V285" s="467" t="s">
        <v>1322</v>
      </c>
      <c r="W285" s="467" t="s">
        <v>1218</v>
      </c>
      <c r="X285" s="467" t="s">
        <v>11367</v>
      </c>
      <c r="Y285" s="467" t="s">
        <v>1221</v>
      </c>
      <c r="Z285" s="467" t="s">
        <v>1534</v>
      </c>
      <c r="AA285" s="467" t="s">
        <v>1535</v>
      </c>
      <c r="AB285" s="467" t="s">
        <v>1233</v>
      </c>
      <c r="AC285" s="467" t="s">
        <v>11368</v>
      </c>
      <c r="AD285" s="467" t="s">
        <v>1234</v>
      </c>
      <c r="AE285" s="467" t="s">
        <v>1126</v>
      </c>
      <c r="AF285" s="467" t="s">
        <v>1894</v>
      </c>
      <c r="AG285" s="467" t="s">
        <v>1923</v>
      </c>
      <c r="AH285" s="467" t="s">
        <v>1253</v>
      </c>
      <c r="AI285" s="467" t="s">
        <v>1928</v>
      </c>
      <c r="AJ285" s="467" t="s">
        <v>1935</v>
      </c>
    </row>
    <row r="286" spans="1:51" x14ac:dyDescent="0.25">
      <c r="A286" s="467" t="s">
        <v>967</v>
      </c>
      <c r="B286" s="467" t="s">
        <v>966</v>
      </c>
      <c r="C286" s="467" t="s">
        <v>1096</v>
      </c>
      <c r="D286" s="467" t="s">
        <v>1273</v>
      </c>
      <c r="E286" s="467" t="s">
        <v>1283</v>
      </c>
      <c r="F286" s="467" t="s">
        <v>1100</v>
      </c>
      <c r="G286" s="467" t="s">
        <v>1172</v>
      </c>
      <c r="H286" s="467" t="s">
        <v>1293</v>
      </c>
      <c r="I286" s="467" t="s">
        <v>1175</v>
      </c>
      <c r="J286" s="467" t="s">
        <v>1294</v>
      </c>
      <c r="K286" s="467" t="s">
        <v>14208</v>
      </c>
      <c r="L286" s="467" t="s">
        <v>1185</v>
      </c>
      <c r="M286" s="467" t="s">
        <v>1187</v>
      </c>
      <c r="N286" s="467" t="s">
        <v>1107</v>
      </c>
      <c r="O286" s="467" t="s">
        <v>1109</v>
      </c>
      <c r="P286" s="467" t="s">
        <v>1306</v>
      </c>
      <c r="Q286" s="467" t="s">
        <v>1190</v>
      </c>
      <c r="R286" s="467" t="s">
        <v>1310</v>
      </c>
      <c r="S286" s="467" t="s">
        <v>1202</v>
      </c>
      <c r="T286" s="467" t="s">
        <v>1112</v>
      </c>
      <c r="U286" s="467" t="s">
        <v>1114</v>
      </c>
      <c r="V286" s="467" t="s">
        <v>1218</v>
      </c>
      <c r="W286" s="467" t="s">
        <v>1332</v>
      </c>
      <c r="X286" s="467" t="s">
        <v>1122</v>
      </c>
      <c r="Y286" s="467" t="s">
        <v>1124</v>
      </c>
      <c r="Z286" s="467" t="s">
        <v>1233</v>
      </c>
      <c r="AA286" s="467" t="s">
        <v>11368</v>
      </c>
      <c r="AB286" s="467" t="s">
        <v>1235</v>
      </c>
      <c r="AC286" s="467" t="s">
        <v>1346</v>
      </c>
      <c r="AD286" s="467" t="s">
        <v>1356</v>
      </c>
      <c r="AE286" s="467" t="s">
        <v>1357</v>
      </c>
    </row>
    <row r="287" spans="1:51" x14ac:dyDescent="0.25">
      <c r="A287" s="467" t="s">
        <v>969</v>
      </c>
      <c r="B287" s="467" t="s">
        <v>968</v>
      </c>
      <c r="C287" s="467" t="s">
        <v>1385</v>
      </c>
      <c r="D287" s="467" t="s">
        <v>1093</v>
      </c>
      <c r="E287" s="467" t="s">
        <v>1096</v>
      </c>
      <c r="F287" s="467" t="s">
        <v>1098</v>
      </c>
      <c r="G287" s="467" t="s">
        <v>1156</v>
      </c>
      <c r="H287" s="467" t="s">
        <v>1161</v>
      </c>
      <c r="I287" s="467" t="s">
        <v>1164</v>
      </c>
      <c r="J287" s="467" t="s">
        <v>1816</v>
      </c>
      <c r="K287" s="467" t="s">
        <v>1100</v>
      </c>
      <c r="L287" s="467" t="s">
        <v>1172</v>
      </c>
      <c r="M287" s="467" t="s">
        <v>1826</v>
      </c>
      <c r="N287" s="467" t="s">
        <v>1102</v>
      </c>
      <c r="O287" s="467" t="s">
        <v>1182</v>
      </c>
      <c r="P287" s="467" t="s">
        <v>14213</v>
      </c>
      <c r="Q287" s="467" t="s">
        <v>1105</v>
      </c>
      <c r="R287" s="467" t="s">
        <v>1188</v>
      </c>
      <c r="S287" s="467" t="s">
        <v>1107</v>
      </c>
      <c r="T287" s="467" t="s">
        <v>14243</v>
      </c>
      <c r="U287" s="467" t="s">
        <v>1310</v>
      </c>
      <c r="V287" s="467" t="s">
        <v>1202</v>
      </c>
      <c r="W287" s="467" t="s">
        <v>1112</v>
      </c>
      <c r="X287" s="467" t="s">
        <v>1114</v>
      </c>
      <c r="Y287" s="467" t="s">
        <v>1226</v>
      </c>
      <c r="Z287" s="467" t="s">
        <v>1126</v>
      </c>
      <c r="AA287" s="467" t="s">
        <v>1896</v>
      </c>
      <c r="AB287" s="467" t="s">
        <v>1898</v>
      </c>
      <c r="AC287" s="467" t="s">
        <v>1132</v>
      </c>
      <c r="AD287" s="467" t="s">
        <v>1240</v>
      </c>
      <c r="AE287" s="467" t="s">
        <v>1134</v>
      </c>
      <c r="AF287" s="467" t="s">
        <v>1136</v>
      </c>
      <c r="AG287" s="467" t="s">
        <v>1249</v>
      </c>
    </row>
    <row r="288" spans="1:51" x14ac:dyDescent="0.25">
      <c r="A288" s="467" t="s">
        <v>971</v>
      </c>
      <c r="B288" s="467" t="s">
        <v>970</v>
      </c>
      <c r="C288" s="467" t="s">
        <v>1143</v>
      </c>
      <c r="D288" s="467" t="s">
        <v>1096</v>
      </c>
      <c r="E288" s="467" t="s">
        <v>1151</v>
      </c>
      <c r="F288" s="467" t="s">
        <v>11363</v>
      </c>
      <c r="G288" s="467" t="s">
        <v>2137</v>
      </c>
      <c r="H288" s="467" t="s">
        <v>2142</v>
      </c>
      <c r="I288" s="467" t="s">
        <v>2145</v>
      </c>
      <c r="J288" s="467" t="s">
        <v>1174</v>
      </c>
      <c r="K288" s="467" t="s">
        <v>14208</v>
      </c>
      <c r="L288" s="467" t="s">
        <v>1183</v>
      </c>
      <c r="M288" s="467" t="s">
        <v>1185</v>
      </c>
      <c r="N288" s="467" t="s">
        <v>1105</v>
      </c>
      <c r="O288" s="467" t="s">
        <v>2155</v>
      </c>
      <c r="P288" s="467" t="s">
        <v>1107</v>
      </c>
      <c r="Q288" s="467" t="s">
        <v>1109</v>
      </c>
      <c r="R288" s="467" t="s">
        <v>1634</v>
      </c>
      <c r="S288" s="467" t="s">
        <v>1190</v>
      </c>
      <c r="T288" s="467" t="s">
        <v>2161</v>
      </c>
      <c r="U288" s="467" t="s">
        <v>1639</v>
      </c>
      <c r="V288" s="467" t="s">
        <v>1195</v>
      </c>
      <c r="W288" s="467" t="s">
        <v>1726</v>
      </c>
      <c r="X288" s="467" t="s">
        <v>1196</v>
      </c>
      <c r="Y288" s="467" t="s">
        <v>1209</v>
      </c>
      <c r="Z288" s="467" t="s">
        <v>1221</v>
      </c>
      <c r="AA288" s="467" t="s">
        <v>1122</v>
      </c>
      <c r="AB288" s="467" t="s">
        <v>1227</v>
      </c>
      <c r="AC288" s="467" t="s">
        <v>1233</v>
      </c>
      <c r="AD288" s="467" t="s">
        <v>11368</v>
      </c>
      <c r="AE288" s="467" t="s">
        <v>1238</v>
      </c>
      <c r="AF288" s="467" t="s">
        <v>1240</v>
      </c>
      <c r="AG288" s="467" t="s">
        <v>1134</v>
      </c>
      <c r="AH288" s="467" t="s">
        <v>2180</v>
      </c>
      <c r="AI288" s="467" t="s">
        <v>1249</v>
      </c>
      <c r="AJ288" s="467" t="s">
        <v>1253</v>
      </c>
      <c r="AK288" s="467" t="s">
        <v>1257</v>
      </c>
      <c r="AL288" s="467" t="s">
        <v>2187</v>
      </c>
      <c r="AM288" s="467" t="s">
        <v>2188</v>
      </c>
      <c r="AN288" s="467" t="s">
        <v>1789</v>
      </c>
      <c r="AO288" s="467" t="s">
        <v>1266</v>
      </c>
    </row>
    <row r="289" spans="1:49" x14ac:dyDescent="0.25">
      <c r="A289" s="467" t="s">
        <v>973</v>
      </c>
      <c r="B289" s="467" t="s">
        <v>972</v>
      </c>
      <c r="C289" s="467" t="s">
        <v>1096</v>
      </c>
      <c r="D289" s="467" t="s">
        <v>2060</v>
      </c>
      <c r="E289" s="467" t="s">
        <v>1158</v>
      </c>
      <c r="F289" s="467" t="s">
        <v>2069</v>
      </c>
      <c r="G289" s="467" t="s">
        <v>1961</v>
      </c>
      <c r="H289" s="467" t="s">
        <v>1100</v>
      </c>
      <c r="I289" s="467" t="s">
        <v>14208</v>
      </c>
      <c r="J289" s="467" t="s">
        <v>14213</v>
      </c>
      <c r="K289" s="467" t="s">
        <v>1186</v>
      </c>
      <c r="L289" s="467" t="s">
        <v>2081</v>
      </c>
      <c r="M289" s="467" t="s">
        <v>14226</v>
      </c>
      <c r="N289" s="467" t="s">
        <v>1109</v>
      </c>
      <c r="O289" s="467" t="s">
        <v>1190</v>
      </c>
      <c r="P289" s="467" t="s">
        <v>1203</v>
      </c>
      <c r="Q289" s="467" t="s">
        <v>2089</v>
      </c>
      <c r="R289" s="467" t="s">
        <v>1207</v>
      </c>
      <c r="S289" s="467" t="s">
        <v>2090</v>
      </c>
      <c r="T289" s="467" t="s">
        <v>1503</v>
      </c>
      <c r="U289" s="467" t="s">
        <v>1217</v>
      </c>
      <c r="V289" s="467" t="s">
        <v>2092</v>
      </c>
      <c r="W289" s="467" t="s">
        <v>1223</v>
      </c>
      <c r="X289" s="467" t="s">
        <v>1226</v>
      </c>
      <c r="Y289" s="467" t="s">
        <v>1235</v>
      </c>
      <c r="Z289" s="467" t="s">
        <v>1126</v>
      </c>
      <c r="AA289" s="467" t="s">
        <v>1240</v>
      </c>
      <c r="AB289" s="467" t="s">
        <v>1134</v>
      </c>
      <c r="AC289" s="467" t="s">
        <v>14355</v>
      </c>
      <c r="AD289" s="467" t="s">
        <v>1259</v>
      </c>
      <c r="AE289" s="467" t="s">
        <v>1260</v>
      </c>
      <c r="AF289" s="467" t="s">
        <v>2127</v>
      </c>
      <c r="AG289" s="467" t="s">
        <v>1590</v>
      </c>
      <c r="AH289" s="467" t="s">
        <v>1264</v>
      </c>
      <c r="AI289" s="467" t="s">
        <v>2133</v>
      </c>
    </row>
    <row r="290" spans="1:49" x14ac:dyDescent="0.25">
      <c r="A290" s="467" t="s">
        <v>975</v>
      </c>
      <c r="B290" s="467" t="s">
        <v>974</v>
      </c>
      <c r="C290" s="467" t="s">
        <v>1385</v>
      </c>
      <c r="D290" s="467" t="s">
        <v>1096</v>
      </c>
      <c r="E290" s="467" t="s">
        <v>11382</v>
      </c>
      <c r="F290" s="467" t="s">
        <v>1411</v>
      </c>
      <c r="G290" s="467" t="s">
        <v>1417</v>
      </c>
      <c r="H290" s="467" t="s">
        <v>1100</v>
      </c>
      <c r="I290" s="467" t="s">
        <v>1427</v>
      </c>
      <c r="J290" s="467" t="s">
        <v>1185</v>
      </c>
      <c r="K290" s="467" t="s">
        <v>1464</v>
      </c>
      <c r="L290" s="467" t="s">
        <v>1107</v>
      </c>
      <c r="M290" s="467" t="s">
        <v>1476</v>
      </c>
      <c r="N290" s="467" t="s">
        <v>1480</v>
      </c>
      <c r="O290" s="467" t="s">
        <v>1491</v>
      </c>
      <c r="P290" s="467" t="s">
        <v>1311</v>
      </c>
      <c r="Q290" s="467" t="s">
        <v>1202</v>
      </c>
      <c r="R290" s="467" t="s">
        <v>1494</v>
      </c>
      <c r="S290" s="467" t="s">
        <v>1112</v>
      </c>
      <c r="T290" s="467" t="s">
        <v>1315</v>
      </c>
      <c r="U290" s="467" t="s">
        <v>1316</v>
      </c>
      <c r="V290" s="467" t="s">
        <v>1508</v>
      </c>
      <c r="W290" s="467" t="s">
        <v>1319</v>
      </c>
      <c r="X290" s="467" t="s">
        <v>1120</v>
      </c>
      <c r="Y290" s="467" t="s">
        <v>1322</v>
      </c>
      <c r="Z290" s="467" t="s">
        <v>1218</v>
      </c>
      <c r="AA290" s="467" t="s">
        <v>11367</v>
      </c>
      <c r="AB290" s="467" t="s">
        <v>1325</v>
      </c>
      <c r="AC290" s="467" t="s">
        <v>1220</v>
      </c>
      <c r="AD290" s="467" t="s">
        <v>1332</v>
      </c>
      <c r="AE290" s="467" t="s">
        <v>1524</v>
      </c>
      <c r="AF290" s="467" t="s">
        <v>1122</v>
      </c>
      <c r="AG290" s="467" t="s">
        <v>1225</v>
      </c>
      <c r="AH290" s="467" t="s">
        <v>1124</v>
      </c>
      <c r="AI290" s="467" t="s">
        <v>1234</v>
      </c>
      <c r="AJ290" s="467" t="s">
        <v>1235</v>
      </c>
      <c r="AK290" s="467" t="s">
        <v>1126</v>
      </c>
      <c r="AL290" s="467" t="s">
        <v>1342</v>
      </c>
      <c r="AM290" s="467" t="s">
        <v>1130</v>
      </c>
      <c r="AN290" s="467" t="s">
        <v>1347</v>
      </c>
      <c r="AO290" s="467" t="s">
        <v>1559</v>
      </c>
      <c r="AP290" s="467" t="s">
        <v>1573</v>
      </c>
      <c r="AQ290" s="467" t="s">
        <v>1252</v>
      </c>
      <c r="AR290" s="467" t="s">
        <v>1253</v>
      </c>
      <c r="AS290" s="467" t="s">
        <v>1586</v>
      </c>
      <c r="AT290" s="467" t="s">
        <v>1262</v>
      </c>
      <c r="AU290" s="467" t="s">
        <v>1607</v>
      </c>
    </row>
    <row r="291" spans="1:49" x14ac:dyDescent="0.25">
      <c r="A291" s="467" t="s">
        <v>977</v>
      </c>
      <c r="B291" s="467" t="s">
        <v>976</v>
      </c>
      <c r="C291" s="467" t="s">
        <v>1385</v>
      </c>
      <c r="D291" s="467" t="s">
        <v>1386</v>
      </c>
      <c r="E291" s="467" t="s">
        <v>1096</v>
      </c>
      <c r="F291" s="467" t="s">
        <v>1399</v>
      </c>
      <c r="G291" s="467" t="s">
        <v>1404</v>
      </c>
      <c r="H291" s="467" t="s">
        <v>1161</v>
      </c>
      <c r="I291" s="467" t="s">
        <v>1100</v>
      </c>
      <c r="J291" s="467" t="s">
        <v>1420</v>
      </c>
      <c r="K291" s="467" t="s">
        <v>1433</v>
      </c>
      <c r="L291" s="467" t="s">
        <v>14208</v>
      </c>
      <c r="M291" s="467" t="s">
        <v>1185</v>
      </c>
      <c r="N291" s="467" t="s">
        <v>1107</v>
      </c>
      <c r="O291" s="467" t="s">
        <v>1189</v>
      </c>
      <c r="P291" s="467" t="s">
        <v>1473</v>
      </c>
      <c r="Q291" s="467" t="s">
        <v>1190</v>
      </c>
      <c r="R291" s="467" t="s">
        <v>1202</v>
      </c>
      <c r="S291" s="467" t="s">
        <v>1497</v>
      </c>
      <c r="T291" s="467" t="s">
        <v>1112</v>
      </c>
      <c r="U291" s="467" t="s">
        <v>1210</v>
      </c>
      <c r="V291" s="467" t="s">
        <v>1315</v>
      </c>
      <c r="W291" s="467" t="s">
        <v>1506</v>
      </c>
      <c r="X291" s="467" t="s">
        <v>1319</v>
      </c>
      <c r="Y291" s="467" t="s">
        <v>1120</v>
      </c>
      <c r="Z291" s="467" t="s">
        <v>1320</v>
      </c>
      <c r="AA291" s="467" t="s">
        <v>1510</v>
      </c>
      <c r="AB291" s="467" t="s">
        <v>1322</v>
      </c>
      <c r="AC291" s="467" t="s">
        <v>1217</v>
      </c>
      <c r="AD291" s="467" t="s">
        <v>1325</v>
      </c>
      <c r="AE291" s="467" t="s">
        <v>1220</v>
      </c>
      <c r="AF291" s="467" t="s">
        <v>1332</v>
      </c>
      <c r="AG291" s="467" t="s">
        <v>1234</v>
      </c>
      <c r="AH291" s="467" t="s">
        <v>1126</v>
      </c>
      <c r="AI291" s="467" t="s">
        <v>1342</v>
      </c>
      <c r="AJ291" s="467" t="s">
        <v>1548</v>
      </c>
      <c r="AK291" s="467" t="s">
        <v>1560</v>
      </c>
      <c r="AL291" s="467" t="s">
        <v>1563</v>
      </c>
      <c r="AM291" s="467" t="s">
        <v>1573</v>
      </c>
      <c r="AN291" s="467" t="s">
        <v>1578</v>
      </c>
      <c r="AO291" s="467" t="s">
        <v>1587</v>
      </c>
      <c r="AP291" s="467" t="s">
        <v>1262</v>
      </c>
      <c r="AQ291" s="467" t="s">
        <v>1605</v>
      </c>
    </row>
    <row r="292" spans="1:49" x14ac:dyDescent="0.25">
      <c r="A292" s="467" t="s">
        <v>979</v>
      </c>
      <c r="B292" s="467" t="s">
        <v>978</v>
      </c>
      <c r="C292" s="467" t="s">
        <v>1143</v>
      </c>
      <c r="D292" s="467" t="s">
        <v>1096</v>
      </c>
      <c r="E292" s="467" t="s">
        <v>1676</v>
      </c>
      <c r="F292" s="467" t="s">
        <v>1160</v>
      </c>
      <c r="G292" s="467" t="s">
        <v>1100</v>
      </c>
      <c r="H292" s="467" t="s">
        <v>1167</v>
      </c>
      <c r="I292" s="467" t="s">
        <v>1174</v>
      </c>
      <c r="J292" s="467" t="s">
        <v>1177</v>
      </c>
      <c r="K292" s="467" t="s">
        <v>1705</v>
      </c>
      <c r="L292" s="467" t="s">
        <v>14208</v>
      </c>
      <c r="M292" s="467" t="s">
        <v>1183</v>
      </c>
      <c r="N292" s="467" t="s">
        <v>1186</v>
      </c>
      <c r="O292" s="467" t="s">
        <v>1707</v>
      </c>
      <c r="P292" s="467" t="s">
        <v>1105</v>
      </c>
      <c r="Q292" s="467" t="s">
        <v>1109</v>
      </c>
      <c r="R292" s="467" t="s">
        <v>1190</v>
      </c>
      <c r="S292" s="467" t="s">
        <v>11401</v>
      </c>
      <c r="T292" s="467" t="s">
        <v>1739</v>
      </c>
      <c r="U292" s="467" t="s">
        <v>1208</v>
      </c>
      <c r="V292" s="467" t="s">
        <v>1209</v>
      </c>
      <c r="W292" s="467" t="s">
        <v>1120</v>
      </c>
      <c r="X292" s="467" t="s">
        <v>1743</v>
      </c>
      <c r="Y292" s="467" t="s">
        <v>1744</v>
      </c>
      <c r="Z292" s="467" t="s">
        <v>1122</v>
      </c>
      <c r="AA292" s="467" t="s">
        <v>1225</v>
      </c>
      <c r="AB292" s="467" t="s">
        <v>1748</v>
      </c>
      <c r="AC292" s="467" t="s">
        <v>1233</v>
      </c>
      <c r="AD292" s="467" t="s">
        <v>11368</v>
      </c>
      <c r="AE292" s="467" t="s">
        <v>1126</v>
      </c>
      <c r="AF292" s="467" t="s">
        <v>1253</v>
      </c>
      <c r="AG292" s="467" t="s">
        <v>1779</v>
      </c>
      <c r="AH292" s="467" t="s">
        <v>1782</v>
      </c>
      <c r="AI292" s="467" t="s">
        <v>1783</v>
      </c>
      <c r="AJ292" s="467" t="s">
        <v>1266</v>
      </c>
    </row>
    <row r="293" spans="1:49" x14ac:dyDescent="0.25">
      <c r="A293" s="467" t="s">
        <v>981</v>
      </c>
      <c r="B293" s="467" t="s">
        <v>980</v>
      </c>
      <c r="C293" s="467" t="s">
        <v>1093</v>
      </c>
      <c r="D293" s="467" t="s">
        <v>1158</v>
      </c>
      <c r="E293" s="467" t="s">
        <v>1961</v>
      </c>
      <c r="F293" s="467" t="s">
        <v>1100</v>
      </c>
      <c r="G293" s="467" t="s">
        <v>2071</v>
      </c>
      <c r="H293" s="467" t="s">
        <v>1167</v>
      </c>
      <c r="I293" s="467" t="s">
        <v>1172</v>
      </c>
      <c r="J293" s="467" t="s">
        <v>1832</v>
      </c>
      <c r="K293" s="467" t="s">
        <v>14208</v>
      </c>
      <c r="L293" s="467" t="s">
        <v>14213</v>
      </c>
      <c r="M293" s="467" t="s">
        <v>1105</v>
      </c>
      <c r="N293" s="467" t="s">
        <v>1109</v>
      </c>
      <c r="O293" s="467" t="s">
        <v>1634</v>
      </c>
      <c r="P293" s="467" t="s">
        <v>1190</v>
      </c>
      <c r="Q293" s="467" t="s">
        <v>1202</v>
      </c>
      <c r="R293" s="467" t="s">
        <v>1203</v>
      </c>
      <c r="S293" s="467" t="s">
        <v>1205</v>
      </c>
      <c r="T293" s="467" t="s">
        <v>1207</v>
      </c>
      <c r="U293" s="467" t="s">
        <v>1217</v>
      </c>
      <c r="V293" s="467" t="s">
        <v>1218</v>
      </c>
      <c r="W293" s="467" t="s">
        <v>11367</v>
      </c>
      <c r="X293" s="467" t="s">
        <v>1226</v>
      </c>
      <c r="Y293" s="467" t="s">
        <v>1124</v>
      </c>
      <c r="Z293" s="467" t="s">
        <v>1233</v>
      </c>
      <c r="AA293" s="467" t="s">
        <v>1234</v>
      </c>
      <c r="AB293" s="467" t="s">
        <v>1235</v>
      </c>
      <c r="AC293" s="467" t="s">
        <v>2109</v>
      </c>
      <c r="AD293" s="467" t="s">
        <v>1240</v>
      </c>
      <c r="AE293" s="467" t="s">
        <v>1241</v>
      </c>
      <c r="AF293" s="467" t="s">
        <v>1134</v>
      </c>
      <c r="AG293" s="467" t="s">
        <v>1253</v>
      </c>
      <c r="AH293" s="467" t="s">
        <v>2127</v>
      </c>
      <c r="AI293" s="467" t="s">
        <v>2128</v>
      </c>
    </row>
    <row r="294" spans="1:49" x14ac:dyDescent="0.25">
      <c r="A294" s="467" t="s">
        <v>983</v>
      </c>
      <c r="B294" s="467" t="s">
        <v>982</v>
      </c>
      <c r="C294" s="467" t="s">
        <v>1096</v>
      </c>
      <c r="D294" s="467" t="s">
        <v>1151</v>
      </c>
      <c r="E294" s="467" t="s">
        <v>1161</v>
      </c>
      <c r="F294" s="467" t="s">
        <v>1164</v>
      </c>
      <c r="G294" s="467" t="s">
        <v>1100</v>
      </c>
      <c r="H294" s="467" t="s">
        <v>1177</v>
      </c>
      <c r="I294" s="467" t="s">
        <v>1302</v>
      </c>
      <c r="J294" s="467" t="s">
        <v>1107</v>
      </c>
      <c r="K294" s="467" t="s">
        <v>1310</v>
      </c>
      <c r="L294" s="467" t="s">
        <v>1202</v>
      </c>
      <c r="M294" s="467" t="s">
        <v>1112</v>
      </c>
      <c r="N294" s="467" t="s">
        <v>1315</v>
      </c>
      <c r="O294" s="467" t="s">
        <v>1120</v>
      </c>
      <c r="P294" s="467" t="s">
        <v>1323</v>
      </c>
      <c r="Q294" s="467" t="s">
        <v>1324</v>
      </c>
      <c r="R294" s="467" t="s">
        <v>1325</v>
      </c>
      <c r="S294" s="467" t="s">
        <v>1327</v>
      </c>
      <c r="T294" s="467" t="s">
        <v>1220</v>
      </c>
      <c r="U294" s="467" t="s">
        <v>1221</v>
      </c>
      <c r="V294" s="467" t="s">
        <v>1122</v>
      </c>
      <c r="W294" s="467" t="s">
        <v>1225</v>
      </c>
      <c r="X294" s="467" t="s">
        <v>1124</v>
      </c>
      <c r="Y294" s="467" t="s">
        <v>1234</v>
      </c>
      <c r="Z294" s="467" t="s">
        <v>1126</v>
      </c>
      <c r="AA294" s="467" t="s">
        <v>1341</v>
      </c>
      <c r="AB294" s="467" t="s">
        <v>1130</v>
      </c>
      <c r="AC294" s="467" t="s">
        <v>1253</v>
      </c>
      <c r="AD294" s="467" t="s">
        <v>1369</v>
      </c>
      <c r="AE294" s="467" t="s">
        <v>1374</v>
      </c>
      <c r="AF294" s="467" t="s">
        <v>1376</v>
      </c>
    </row>
    <row r="295" spans="1:49" x14ac:dyDescent="0.25">
      <c r="A295" s="467" t="s">
        <v>985</v>
      </c>
      <c r="B295" s="467" t="s">
        <v>984</v>
      </c>
      <c r="C295" s="467" t="s">
        <v>1386</v>
      </c>
      <c r="D295" s="467" t="s">
        <v>1793</v>
      </c>
      <c r="E295" s="467" t="s">
        <v>1091</v>
      </c>
      <c r="F295" s="467" t="s">
        <v>1143</v>
      </c>
      <c r="G295" s="467" t="s">
        <v>1093</v>
      </c>
      <c r="H295" s="467" t="s">
        <v>1802</v>
      </c>
      <c r="I295" s="467" t="s">
        <v>1098</v>
      </c>
      <c r="J295" s="467" t="s">
        <v>1100</v>
      </c>
      <c r="K295" s="467" t="s">
        <v>1175</v>
      </c>
      <c r="L295" s="467" t="s">
        <v>14208</v>
      </c>
      <c r="M295" s="467" t="s">
        <v>1849</v>
      </c>
      <c r="N295" s="467" t="s">
        <v>1105</v>
      </c>
      <c r="O295" s="467" t="s">
        <v>1189</v>
      </c>
      <c r="P295" s="467" t="s">
        <v>1202</v>
      </c>
      <c r="Q295" s="467" t="s">
        <v>1112</v>
      </c>
      <c r="R295" s="467" t="s">
        <v>1501</v>
      </c>
      <c r="S295" s="467" t="s">
        <v>1540</v>
      </c>
      <c r="T295" s="467" t="s">
        <v>1233</v>
      </c>
      <c r="U295" s="467" t="s">
        <v>11368</v>
      </c>
      <c r="V295" s="467" t="s">
        <v>1547</v>
      </c>
      <c r="W295" s="467" t="s">
        <v>1130</v>
      </c>
      <c r="X295" s="467" t="s">
        <v>1132</v>
      </c>
      <c r="Y295" s="467" t="s">
        <v>1241</v>
      </c>
      <c r="Z295" s="467" t="s">
        <v>1134</v>
      </c>
      <c r="AA295" s="467" t="s">
        <v>1136</v>
      </c>
      <c r="AB295" s="467" t="s">
        <v>1253</v>
      </c>
      <c r="AC295" s="467" t="s">
        <v>1581</v>
      </c>
      <c r="AD295" s="467" t="s">
        <v>1140</v>
      </c>
      <c r="AE295" s="467" t="s">
        <v>1262</v>
      </c>
      <c r="AF295" s="467" t="s">
        <v>1938</v>
      </c>
      <c r="AG295" s="467" t="s">
        <v>1264</v>
      </c>
    </row>
    <row r="296" spans="1:49" x14ac:dyDescent="0.25">
      <c r="A296" s="467" t="s">
        <v>987</v>
      </c>
      <c r="B296" s="467" t="s">
        <v>986</v>
      </c>
      <c r="C296" s="467" t="s">
        <v>1386</v>
      </c>
      <c r="D296" s="467" t="s">
        <v>1096</v>
      </c>
      <c r="E296" s="467" t="s">
        <v>1100</v>
      </c>
      <c r="F296" s="467" t="s">
        <v>1443</v>
      </c>
      <c r="G296" s="467" t="s">
        <v>1185</v>
      </c>
      <c r="H296" s="467" t="s">
        <v>1187</v>
      </c>
      <c r="I296" s="467" t="s">
        <v>1105</v>
      </c>
      <c r="J296" s="467" t="s">
        <v>1188</v>
      </c>
      <c r="K296" s="467" t="s">
        <v>1107</v>
      </c>
      <c r="L296" s="467" t="s">
        <v>14243</v>
      </c>
      <c r="M296" s="467" t="s">
        <v>1310</v>
      </c>
      <c r="N296" s="467" t="s">
        <v>1202</v>
      </c>
      <c r="O296" s="467" t="s">
        <v>1114</v>
      </c>
      <c r="P296" s="467" t="s">
        <v>1217</v>
      </c>
      <c r="Q296" s="467" t="s">
        <v>1218</v>
      </c>
      <c r="R296" s="467" t="s">
        <v>11367</v>
      </c>
      <c r="S296" s="467" t="s">
        <v>1122</v>
      </c>
      <c r="T296" s="467" t="s">
        <v>1233</v>
      </c>
      <c r="U296" s="467" t="s">
        <v>11368</v>
      </c>
      <c r="V296" s="467" t="s">
        <v>1126</v>
      </c>
      <c r="W296" s="467" t="s">
        <v>1892</v>
      </c>
      <c r="X296" s="467" t="s">
        <v>1899</v>
      </c>
      <c r="Y296" s="467" t="s">
        <v>1130</v>
      </c>
      <c r="Z296" s="467" t="s">
        <v>1134</v>
      </c>
      <c r="AA296" s="467" t="s">
        <v>1904</v>
      </c>
      <c r="AB296" s="467" t="s">
        <v>1928</v>
      </c>
      <c r="AC296" s="467" t="s">
        <v>11420</v>
      </c>
    </row>
    <row r="297" spans="1:49" x14ac:dyDescent="0.25">
      <c r="A297" s="467" t="s">
        <v>989</v>
      </c>
      <c r="B297" s="467" t="s">
        <v>988</v>
      </c>
      <c r="C297" s="467" t="s">
        <v>1268</v>
      </c>
      <c r="D297" s="467" t="s">
        <v>1096</v>
      </c>
      <c r="E297" s="467" t="s">
        <v>1273</v>
      </c>
      <c r="F297" s="467" t="s">
        <v>1161</v>
      </c>
      <c r="G297" s="467" t="s">
        <v>1100</v>
      </c>
      <c r="H297" s="467" t="s">
        <v>1288</v>
      </c>
      <c r="I297" s="467" t="s">
        <v>1295</v>
      </c>
      <c r="J297" s="467" t="s">
        <v>14208</v>
      </c>
      <c r="K297" s="467" t="s">
        <v>1182</v>
      </c>
      <c r="L297" s="467" t="s">
        <v>1105</v>
      </c>
      <c r="M297" s="467" t="s">
        <v>1302</v>
      </c>
      <c r="N297" s="467" t="s">
        <v>1107</v>
      </c>
      <c r="O297" s="467" t="s">
        <v>1190</v>
      </c>
      <c r="P297" s="467" t="s">
        <v>1112</v>
      </c>
      <c r="Q297" s="467" t="s">
        <v>1114</v>
      </c>
      <c r="R297" s="467" t="s">
        <v>1315</v>
      </c>
      <c r="S297" s="467" t="s">
        <v>1319</v>
      </c>
      <c r="T297" s="467" t="s">
        <v>1323</v>
      </c>
      <c r="U297" s="467" t="s">
        <v>1325</v>
      </c>
      <c r="V297" s="467" t="s">
        <v>1327</v>
      </c>
      <c r="W297" s="467" t="s">
        <v>1122</v>
      </c>
      <c r="X297" s="467" t="s">
        <v>1225</v>
      </c>
      <c r="Y297" s="467" t="s">
        <v>1126</v>
      </c>
      <c r="Z297" s="467" t="s">
        <v>1341</v>
      </c>
      <c r="AA297" s="467" t="s">
        <v>1130</v>
      </c>
      <c r="AB297" s="467" t="s">
        <v>1249</v>
      </c>
      <c r="AC297" s="467" t="s">
        <v>1369</v>
      </c>
      <c r="AD297" s="467" t="s">
        <v>1374</v>
      </c>
    </row>
    <row r="298" spans="1:49" x14ac:dyDescent="0.25">
      <c r="A298" s="467" t="s">
        <v>991</v>
      </c>
      <c r="B298" s="467" t="s">
        <v>990</v>
      </c>
      <c r="C298" s="467" t="s">
        <v>1385</v>
      </c>
      <c r="D298" s="467" t="s">
        <v>1386</v>
      </c>
      <c r="E298" s="467" t="s">
        <v>1091</v>
      </c>
      <c r="F298" s="467" t="s">
        <v>14127</v>
      </c>
      <c r="G298" s="467" t="s">
        <v>1093</v>
      </c>
      <c r="H298" s="467" t="s">
        <v>1096</v>
      </c>
      <c r="I298" s="467" t="s">
        <v>1802</v>
      </c>
      <c r="J298" s="467" t="s">
        <v>1098</v>
      </c>
      <c r="K298" s="467" t="s">
        <v>1161</v>
      </c>
      <c r="L298" s="467" t="s">
        <v>1100</v>
      </c>
      <c r="M298" s="467" t="s">
        <v>1175</v>
      </c>
      <c r="N298" s="467" t="s">
        <v>14208</v>
      </c>
      <c r="O298" s="467" t="s">
        <v>1185</v>
      </c>
      <c r="P298" s="467" t="s">
        <v>1107</v>
      </c>
      <c r="Q298" s="467" t="s">
        <v>1109</v>
      </c>
      <c r="R298" s="467" t="s">
        <v>1202</v>
      </c>
      <c r="S298" s="467" t="s">
        <v>1112</v>
      </c>
      <c r="T298" s="467" t="s">
        <v>1120</v>
      </c>
      <c r="U298" s="467" t="s">
        <v>1322</v>
      </c>
      <c r="V298" s="467" t="s">
        <v>1325</v>
      </c>
      <c r="W298" s="467" t="s">
        <v>1122</v>
      </c>
      <c r="X298" s="467" t="s">
        <v>1233</v>
      </c>
      <c r="Y298" s="467" t="s">
        <v>11368</v>
      </c>
      <c r="Z298" s="467" t="s">
        <v>1126</v>
      </c>
      <c r="AA298" s="467" t="s">
        <v>1896</v>
      </c>
      <c r="AB298" s="467" t="s">
        <v>1130</v>
      </c>
      <c r="AC298" s="467" t="s">
        <v>1132</v>
      </c>
      <c r="AD298" s="467" t="s">
        <v>1240</v>
      </c>
      <c r="AE298" s="467" t="s">
        <v>1134</v>
      </c>
      <c r="AF298" s="467" t="s">
        <v>1136</v>
      </c>
      <c r="AG298" s="467" t="s">
        <v>1918</v>
      </c>
      <c r="AH298" s="467" t="s">
        <v>1253</v>
      </c>
      <c r="AI298" s="467" t="s">
        <v>1138</v>
      </c>
      <c r="AJ298" s="467" t="s">
        <v>1930</v>
      </c>
      <c r="AK298" s="467" t="s">
        <v>1140</v>
      </c>
      <c r="AL298" s="467" t="s">
        <v>1262</v>
      </c>
    </row>
    <row r="299" spans="1:49" x14ac:dyDescent="0.25">
      <c r="A299" s="467" t="s">
        <v>993</v>
      </c>
      <c r="B299" s="467" t="s">
        <v>992</v>
      </c>
      <c r="C299" s="467" t="s">
        <v>1093</v>
      </c>
      <c r="D299" s="467" t="s">
        <v>1096</v>
      </c>
      <c r="E299" s="467" t="s">
        <v>1098</v>
      </c>
      <c r="F299" s="467" t="s">
        <v>1979</v>
      </c>
      <c r="G299" s="467" t="s">
        <v>14208</v>
      </c>
      <c r="H299" s="467" t="s">
        <v>1985</v>
      </c>
      <c r="I299" s="467" t="s">
        <v>1187</v>
      </c>
      <c r="J299" s="467" t="s">
        <v>1105</v>
      </c>
      <c r="K299" s="467" t="s">
        <v>1111</v>
      </c>
      <c r="L299" s="467" t="s">
        <v>2004</v>
      </c>
      <c r="M299" s="467" t="s">
        <v>1126</v>
      </c>
      <c r="N299" s="467" t="s">
        <v>2016</v>
      </c>
      <c r="O299" s="467" t="s">
        <v>2017</v>
      </c>
      <c r="P299" s="467" t="s">
        <v>1132</v>
      </c>
      <c r="Q299" s="467" t="s">
        <v>2021</v>
      </c>
      <c r="R299" s="467" t="s">
        <v>2028</v>
      </c>
      <c r="S299" s="467" t="s">
        <v>2035</v>
      </c>
      <c r="T299" s="467" t="s">
        <v>1249</v>
      </c>
      <c r="U299" s="467" t="s">
        <v>2050</v>
      </c>
    </row>
    <row r="300" spans="1:49" x14ac:dyDescent="0.25">
      <c r="A300" s="467" t="s">
        <v>995</v>
      </c>
      <c r="B300" s="467" t="s">
        <v>994</v>
      </c>
      <c r="C300" s="467" t="s">
        <v>1096</v>
      </c>
      <c r="D300" s="467" t="s">
        <v>1673</v>
      </c>
      <c r="E300" s="467" t="s">
        <v>1674</v>
      </c>
      <c r="F300" s="467" t="s">
        <v>1678</v>
      </c>
      <c r="G300" s="467" t="s">
        <v>1160</v>
      </c>
      <c r="H300" s="467" t="s">
        <v>1691</v>
      </c>
      <c r="I300" s="467" t="s">
        <v>1102</v>
      </c>
      <c r="J300" s="467" t="s">
        <v>1183</v>
      </c>
      <c r="K300" s="467" t="s">
        <v>1186</v>
      </c>
      <c r="L300" s="467" t="s">
        <v>1105</v>
      </c>
      <c r="M300" s="467" t="s">
        <v>1109</v>
      </c>
      <c r="N300" s="467" t="s">
        <v>1716</v>
      </c>
      <c r="O300" s="467" t="s">
        <v>11401</v>
      </c>
      <c r="P300" s="467" t="s">
        <v>1208</v>
      </c>
      <c r="Q300" s="467" t="s">
        <v>1209</v>
      </c>
      <c r="R300" s="467" t="s">
        <v>1503</v>
      </c>
      <c r="S300" s="467" t="s">
        <v>1743</v>
      </c>
      <c r="T300" s="467" t="s">
        <v>1744</v>
      </c>
      <c r="U300" s="467" t="s">
        <v>1223</v>
      </c>
      <c r="V300" s="467" t="s">
        <v>1122</v>
      </c>
      <c r="W300" s="467" t="s">
        <v>1748</v>
      </c>
      <c r="X300" s="467" t="s">
        <v>1228</v>
      </c>
      <c r="Y300" s="467" t="s">
        <v>1752</v>
      </c>
      <c r="Z300" s="467" t="s">
        <v>1233</v>
      </c>
      <c r="AA300" s="467" t="s">
        <v>11368</v>
      </c>
      <c r="AB300" s="467" t="s">
        <v>1234</v>
      </c>
      <c r="AC300" s="467" t="s">
        <v>1126</v>
      </c>
      <c r="AD300" s="467" t="s">
        <v>1253</v>
      </c>
      <c r="AE300" s="467" t="s">
        <v>1575</v>
      </c>
      <c r="AF300" s="467" t="s">
        <v>14366</v>
      </c>
      <c r="AG300" s="467" t="s">
        <v>1778</v>
      </c>
      <c r="AH300" s="467" t="s">
        <v>1779</v>
      </c>
      <c r="AI300" s="467" t="s">
        <v>1266</v>
      </c>
    </row>
    <row r="301" spans="1:49" x14ac:dyDescent="0.25">
      <c r="A301" s="467" t="s">
        <v>997</v>
      </c>
      <c r="B301" s="467" t="s">
        <v>996</v>
      </c>
      <c r="C301" s="467" t="s">
        <v>1145</v>
      </c>
      <c r="D301" s="467" t="s">
        <v>1093</v>
      </c>
      <c r="E301" s="467" t="s">
        <v>1096</v>
      </c>
      <c r="F301" s="467" t="s">
        <v>1171</v>
      </c>
      <c r="G301" s="467" t="s">
        <v>1178</v>
      </c>
      <c r="H301" s="467" t="s">
        <v>14208</v>
      </c>
      <c r="I301" s="467" t="s">
        <v>1105</v>
      </c>
      <c r="J301" s="467" t="s">
        <v>1194</v>
      </c>
      <c r="K301" s="467" t="s">
        <v>1199</v>
      </c>
      <c r="L301" s="467" t="s">
        <v>1200</v>
      </c>
      <c r="M301" s="467" t="s">
        <v>1203</v>
      </c>
      <c r="N301" s="467" t="s">
        <v>1209</v>
      </c>
      <c r="O301" s="467" t="s">
        <v>1216</v>
      </c>
      <c r="P301" s="467" t="s">
        <v>1219</v>
      </c>
      <c r="Q301" s="467" t="s">
        <v>1221</v>
      </c>
      <c r="R301" s="467" t="s">
        <v>1122</v>
      </c>
      <c r="S301" s="467" t="s">
        <v>1226</v>
      </c>
      <c r="T301" s="467" t="s">
        <v>1228</v>
      </c>
      <c r="U301" s="467" t="s">
        <v>1124</v>
      </c>
      <c r="V301" s="467" t="s">
        <v>1126</v>
      </c>
    </row>
    <row r="302" spans="1:49" x14ac:dyDescent="0.25">
      <c r="A302" s="467" t="s">
        <v>14118</v>
      </c>
      <c r="B302" s="467" t="s">
        <v>14117</v>
      </c>
      <c r="C302" s="467" t="s">
        <v>1143</v>
      </c>
      <c r="D302" s="467" t="s">
        <v>1093</v>
      </c>
      <c r="E302" s="467" t="s">
        <v>1096</v>
      </c>
      <c r="F302" s="467" t="s">
        <v>1156</v>
      </c>
      <c r="G302" s="467" t="s">
        <v>1158</v>
      </c>
      <c r="H302" s="467" t="s">
        <v>1161</v>
      </c>
      <c r="I302" s="467" t="s">
        <v>1100</v>
      </c>
      <c r="J302" s="467" t="s">
        <v>1171</v>
      </c>
      <c r="K302" s="467" t="s">
        <v>1172</v>
      </c>
      <c r="L302" s="467" t="s">
        <v>1173</v>
      </c>
      <c r="M302" s="467" t="s">
        <v>14190</v>
      </c>
      <c r="N302" s="467" t="s">
        <v>1180</v>
      </c>
      <c r="O302" s="467" t="s">
        <v>1181</v>
      </c>
      <c r="P302" s="467" t="s">
        <v>1182</v>
      </c>
      <c r="Q302" s="467" t="s">
        <v>1184</v>
      </c>
      <c r="R302" s="467" t="s">
        <v>14213</v>
      </c>
      <c r="S302" s="467" t="s">
        <v>1105</v>
      </c>
      <c r="T302" s="467" t="s">
        <v>1109</v>
      </c>
      <c r="U302" s="467" t="s">
        <v>1189</v>
      </c>
      <c r="V302" s="467" t="s">
        <v>1190</v>
      </c>
      <c r="W302" s="467" t="s">
        <v>1195</v>
      </c>
      <c r="X302" s="467" t="s">
        <v>1310</v>
      </c>
      <c r="Y302" s="467" t="s">
        <v>1202</v>
      </c>
      <c r="Z302" s="467" t="s">
        <v>1203</v>
      </c>
      <c r="AA302" s="467" t="s">
        <v>1112</v>
      </c>
      <c r="AB302" s="467" t="s">
        <v>1207</v>
      </c>
      <c r="AC302" s="467" t="s">
        <v>1208</v>
      </c>
      <c r="AD302" s="467" t="s">
        <v>1212</v>
      </c>
      <c r="AE302" s="467" t="s">
        <v>1215</v>
      </c>
      <c r="AF302" s="467" t="s">
        <v>1217</v>
      </c>
      <c r="AG302" s="467" t="s">
        <v>1218</v>
      </c>
      <c r="AH302" s="467" t="s">
        <v>11367</v>
      </c>
      <c r="AI302" s="467" t="s">
        <v>1220</v>
      </c>
      <c r="AJ302" s="467" t="s">
        <v>1122</v>
      </c>
      <c r="AK302" s="467" t="s">
        <v>1225</v>
      </c>
      <c r="AL302" s="467" t="s">
        <v>1226</v>
      </c>
      <c r="AM302" s="467" t="s">
        <v>1124</v>
      </c>
      <c r="AN302" s="467" t="s">
        <v>1233</v>
      </c>
      <c r="AO302" s="467" t="s">
        <v>11368</v>
      </c>
      <c r="AP302" s="467" t="s">
        <v>1126</v>
      </c>
      <c r="AQ302" s="467" t="s">
        <v>1240</v>
      </c>
      <c r="AR302" s="467" t="s">
        <v>1134</v>
      </c>
      <c r="AS302" s="467" t="s">
        <v>1245</v>
      </c>
      <c r="AT302" s="467" t="s">
        <v>1249</v>
      </c>
      <c r="AU302" s="467" t="s">
        <v>1253</v>
      </c>
      <c r="AV302" s="467" t="s">
        <v>1260</v>
      </c>
      <c r="AW302" s="467" t="s">
        <v>1262</v>
      </c>
    </row>
    <row r="303" spans="1:49" x14ac:dyDescent="0.25">
      <c r="A303" s="467" t="s">
        <v>999</v>
      </c>
      <c r="B303" s="467" t="s">
        <v>998</v>
      </c>
      <c r="C303" s="467" t="s">
        <v>1385</v>
      </c>
      <c r="D303" s="467" t="s">
        <v>1093</v>
      </c>
      <c r="E303" s="467" t="s">
        <v>1096</v>
      </c>
      <c r="F303" s="467" t="s">
        <v>1098</v>
      </c>
      <c r="G303" s="467" t="s">
        <v>1161</v>
      </c>
      <c r="H303" s="467" t="s">
        <v>1100</v>
      </c>
      <c r="I303" s="467" t="s">
        <v>1818</v>
      </c>
      <c r="J303" s="467" t="s">
        <v>1819</v>
      </c>
      <c r="K303" s="467" t="s">
        <v>1175</v>
      </c>
      <c r="L303" s="467" t="s">
        <v>1182</v>
      </c>
      <c r="M303" s="467" t="s">
        <v>14213</v>
      </c>
      <c r="N303" s="467" t="s">
        <v>1105</v>
      </c>
      <c r="O303" s="467" t="s">
        <v>1107</v>
      </c>
      <c r="P303" s="467" t="s">
        <v>1109</v>
      </c>
      <c r="Q303" s="467" t="s">
        <v>1202</v>
      </c>
      <c r="R303" s="467" t="s">
        <v>1114</v>
      </c>
      <c r="S303" s="467" t="s">
        <v>1226</v>
      </c>
      <c r="T303" s="467" t="s">
        <v>1233</v>
      </c>
      <c r="U303" s="467" t="s">
        <v>11368</v>
      </c>
      <c r="V303" s="467" t="s">
        <v>1126</v>
      </c>
      <c r="W303" s="467" t="s">
        <v>1898</v>
      </c>
      <c r="X303" s="467" t="s">
        <v>1132</v>
      </c>
      <c r="Y303" s="467" t="s">
        <v>1134</v>
      </c>
      <c r="Z303" s="467" t="s">
        <v>1245</v>
      </c>
    </row>
    <row r="304" spans="1:49" x14ac:dyDescent="0.25">
      <c r="A304" s="467" t="s">
        <v>1001</v>
      </c>
      <c r="B304" s="467" t="s">
        <v>1000</v>
      </c>
      <c r="C304" s="467" t="s">
        <v>1096</v>
      </c>
      <c r="D304" s="467" t="s">
        <v>1156</v>
      </c>
      <c r="E304" s="467" t="s">
        <v>14148</v>
      </c>
      <c r="F304" s="467" t="s">
        <v>1282</v>
      </c>
      <c r="G304" s="467" t="s">
        <v>1161</v>
      </c>
      <c r="H304" s="467" t="s">
        <v>1100</v>
      </c>
      <c r="I304" s="467" t="s">
        <v>1287</v>
      </c>
      <c r="J304" s="467" t="s">
        <v>1290</v>
      </c>
      <c r="K304" s="467" t="s">
        <v>1294</v>
      </c>
      <c r="L304" s="467" t="s">
        <v>1296</v>
      </c>
      <c r="M304" s="467" t="s">
        <v>14208</v>
      </c>
      <c r="N304" s="467" t="s">
        <v>1187</v>
      </c>
      <c r="O304" s="467" t="s">
        <v>1105</v>
      </c>
      <c r="P304" s="467" t="s">
        <v>1109</v>
      </c>
      <c r="Q304" s="467" t="s">
        <v>1190</v>
      </c>
      <c r="R304" s="467" t="s">
        <v>14243</v>
      </c>
      <c r="S304" s="467" t="s">
        <v>1310</v>
      </c>
      <c r="T304" s="467" t="s">
        <v>1202</v>
      </c>
      <c r="U304" s="467" t="s">
        <v>1112</v>
      </c>
      <c r="V304" s="467" t="s">
        <v>1218</v>
      </c>
      <c r="W304" s="467" t="s">
        <v>11367</v>
      </c>
      <c r="X304" s="467" t="s">
        <v>1326</v>
      </c>
      <c r="Y304" s="467" t="s">
        <v>1329</v>
      </c>
      <c r="Z304" s="467" t="s">
        <v>1124</v>
      </c>
      <c r="AA304" s="467" t="s">
        <v>1339</v>
      </c>
      <c r="AB304" s="467" t="s">
        <v>1233</v>
      </c>
      <c r="AC304" s="467" t="s">
        <v>11368</v>
      </c>
      <c r="AD304" s="467" t="s">
        <v>1235</v>
      </c>
      <c r="AE304" s="467" t="s">
        <v>1126</v>
      </c>
      <c r="AF304" s="467" t="s">
        <v>1130</v>
      </c>
      <c r="AG304" s="467" t="s">
        <v>1240</v>
      </c>
      <c r="AH304" s="467" t="s">
        <v>1134</v>
      </c>
      <c r="AI304" s="467" t="s">
        <v>1356</v>
      </c>
      <c r="AJ304" s="467" t="s">
        <v>1360</v>
      </c>
      <c r="AK304" s="467" t="s">
        <v>1364</v>
      </c>
      <c r="AL304" s="467" t="s">
        <v>1253</v>
      </c>
    </row>
    <row r="305" spans="1:63" x14ac:dyDescent="0.25">
      <c r="A305" s="467" t="s">
        <v>1003</v>
      </c>
      <c r="B305" s="467" t="s">
        <v>1002</v>
      </c>
      <c r="C305" s="467" t="s">
        <v>1385</v>
      </c>
      <c r="D305" s="467" t="s">
        <v>1096</v>
      </c>
      <c r="E305" s="467" t="s">
        <v>1270</v>
      </c>
      <c r="F305" s="467" t="s">
        <v>1161</v>
      </c>
      <c r="G305" s="467" t="s">
        <v>1410</v>
      </c>
      <c r="H305" s="467" t="s">
        <v>1411</v>
      </c>
      <c r="I305" s="467" t="s">
        <v>1414</v>
      </c>
      <c r="J305" s="467" t="s">
        <v>1100</v>
      </c>
      <c r="K305" s="467" t="s">
        <v>1172</v>
      </c>
      <c r="L305" s="467" t="s">
        <v>1427</v>
      </c>
      <c r="M305" s="467" t="s">
        <v>1453</v>
      </c>
      <c r="N305" s="467" t="s">
        <v>1469</v>
      </c>
      <c r="O305" s="467" t="s">
        <v>1308</v>
      </c>
      <c r="P305" s="467" t="s">
        <v>1483</v>
      </c>
      <c r="Q305" s="467" t="s">
        <v>1202</v>
      </c>
      <c r="R305" s="467" t="s">
        <v>1494</v>
      </c>
      <c r="S305" s="467" t="s">
        <v>1112</v>
      </c>
      <c r="T305" s="467" t="s">
        <v>1500</v>
      </c>
      <c r="U305" s="467" t="s">
        <v>1315</v>
      </c>
      <c r="V305" s="467" t="s">
        <v>1319</v>
      </c>
      <c r="W305" s="467" t="s">
        <v>1120</v>
      </c>
      <c r="X305" s="467" t="s">
        <v>1510</v>
      </c>
      <c r="Y305" s="467" t="s">
        <v>1322</v>
      </c>
      <c r="Z305" s="467" t="s">
        <v>1217</v>
      </c>
      <c r="AA305" s="467" t="s">
        <v>1325</v>
      </c>
      <c r="AB305" s="467" t="s">
        <v>11389</v>
      </c>
      <c r="AC305" s="467" t="s">
        <v>1332</v>
      </c>
      <c r="AD305" s="467" t="s">
        <v>1122</v>
      </c>
      <c r="AE305" s="467" t="s">
        <v>1529</v>
      </c>
      <c r="AF305" s="467" t="s">
        <v>1234</v>
      </c>
      <c r="AG305" s="467" t="s">
        <v>1126</v>
      </c>
      <c r="AH305" s="467" t="s">
        <v>14309</v>
      </c>
      <c r="AI305" s="467" t="s">
        <v>1542</v>
      </c>
      <c r="AJ305" s="467" t="s">
        <v>1544</v>
      </c>
      <c r="AK305" s="467" t="s">
        <v>1130</v>
      </c>
      <c r="AL305" s="467" t="s">
        <v>1345</v>
      </c>
      <c r="AM305" s="467" t="s">
        <v>1253</v>
      </c>
      <c r="AN305" s="467" t="s">
        <v>1585</v>
      </c>
      <c r="AO305" s="467" t="s">
        <v>1595</v>
      </c>
      <c r="AP305" s="467" t="s">
        <v>1598</v>
      </c>
      <c r="AQ305" s="467" t="s">
        <v>1599</v>
      </c>
      <c r="AR305" s="467" t="s">
        <v>1605</v>
      </c>
    </row>
    <row r="306" spans="1:63" x14ac:dyDescent="0.25">
      <c r="A306" s="467" t="s">
        <v>1005</v>
      </c>
      <c r="B306" s="467" t="s">
        <v>1004</v>
      </c>
      <c r="C306" s="467" t="s">
        <v>1096</v>
      </c>
      <c r="D306" s="467" t="s">
        <v>11363</v>
      </c>
      <c r="E306" s="467" t="s">
        <v>1678</v>
      </c>
      <c r="F306" s="467" t="s">
        <v>1160</v>
      </c>
      <c r="G306" s="467" t="s">
        <v>1102</v>
      </c>
      <c r="H306" s="467" t="s">
        <v>1183</v>
      </c>
      <c r="I306" s="467" t="s">
        <v>1186</v>
      </c>
      <c r="J306" s="467" t="s">
        <v>1105</v>
      </c>
      <c r="K306" s="467" t="s">
        <v>1188</v>
      </c>
      <c r="L306" s="467" t="s">
        <v>1109</v>
      </c>
      <c r="M306" s="467" t="s">
        <v>1190</v>
      </c>
      <c r="N306" s="467" t="s">
        <v>11401</v>
      </c>
      <c r="O306" s="467" t="s">
        <v>14243</v>
      </c>
      <c r="P306" s="467" t="s">
        <v>1310</v>
      </c>
      <c r="Q306" s="467" t="s">
        <v>1197</v>
      </c>
      <c r="R306" s="467" t="s">
        <v>1209</v>
      </c>
      <c r="S306" s="467" t="s">
        <v>1503</v>
      </c>
      <c r="T306" s="467" t="s">
        <v>1223</v>
      </c>
      <c r="U306" s="467" t="s">
        <v>1122</v>
      </c>
      <c r="V306" s="467" t="s">
        <v>1225</v>
      </c>
      <c r="W306" s="467" t="s">
        <v>1227</v>
      </c>
      <c r="X306" s="467" t="s">
        <v>1748</v>
      </c>
      <c r="Y306" s="467" t="s">
        <v>1228</v>
      </c>
      <c r="Z306" s="467" t="s">
        <v>1126</v>
      </c>
      <c r="AA306" s="467" t="s">
        <v>1249</v>
      </c>
      <c r="AB306" s="467" t="s">
        <v>1253</v>
      </c>
      <c r="AC306" s="467" t="s">
        <v>1257</v>
      </c>
      <c r="AD306" s="467" t="s">
        <v>1779</v>
      </c>
      <c r="AE306" s="467" t="s">
        <v>1266</v>
      </c>
    </row>
    <row r="307" spans="1:63" x14ac:dyDescent="0.25">
      <c r="A307" s="467" t="s">
        <v>1007</v>
      </c>
      <c r="B307" s="467" t="s">
        <v>1006</v>
      </c>
      <c r="C307" s="467" t="s">
        <v>1386</v>
      </c>
      <c r="D307" s="467" t="s">
        <v>14127</v>
      </c>
      <c r="E307" s="467" t="s">
        <v>1093</v>
      </c>
      <c r="F307" s="467" t="s">
        <v>1096</v>
      </c>
      <c r="G307" s="467" t="s">
        <v>1802</v>
      </c>
      <c r="H307" s="467" t="s">
        <v>1098</v>
      </c>
      <c r="I307" s="467" t="s">
        <v>11363</v>
      </c>
      <c r="J307" s="467" t="s">
        <v>1808</v>
      </c>
      <c r="K307" s="467" t="s">
        <v>1156</v>
      </c>
      <c r="L307" s="467" t="s">
        <v>11423</v>
      </c>
      <c r="M307" s="467" t="s">
        <v>1158</v>
      </c>
      <c r="N307" s="467" t="s">
        <v>1161</v>
      </c>
      <c r="O307" s="467" t="s">
        <v>1960</v>
      </c>
      <c r="P307" s="467" t="s">
        <v>1100</v>
      </c>
      <c r="Q307" s="467" t="s">
        <v>1819</v>
      </c>
      <c r="R307" s="467" t="s">
        <v>1971</v>
      </c>
      <c r="S307" s="467" t="s">
        <v>1972</v>
      </c>
      <c r="T307" s="467" t="s">
        <v>1172</v>
      </c>
      <c r="U307" s="467" t="s">
        <v>1102</v>
      </c>
      <c r="V307" s="467" t="s">
        <v>1175</v>
      </c>
      <c r="W307" s="467" t="s">
        <v>1705</v>
      </c>
      <c r="X307" s="467" t="s">
        <v>14208</v>
      </c>
      <c r="Y307" s="467" t="s">
        <v>14213</v>
      </c>
      <c r="Z307" s="467" t="s">
        <v>1986</v>
      </c>
      <c r="AA307" s="467" t="s">
        <v>1185</v>
      </c>
      <c r="AB307" s="467" t="s">
        <v>1187</v>
      </c>
      <c r="AC307" s="467" t="s">
        <v>1105</v>
      </c>
      <c r="AD307" s="467" t="s">
        <v>1107</v>
      </c>
      <c r="AE307" s="467" t="s">
        <v>1109</v>
      </c>
      <c r="AF307" s="467" t="s">
        <v>1988</v>
      </c>
      <c r="AG307" s="467" t="s">
        <v>1111</v>
      </c>
      <c r="AH307" s="467" t="s">
        <v>1202</v>
      </c>
      <c r="AI307" s="467" t="s">
        <v>1992</v>
      </c>
      <c r="AJ307" s="467" t="s">
        <v>1994</v>
      </c>
      <c r="AK307" s="467" t="s">
        <v>1114</v>
      </c>
      <c r="AL307" s="467" t="s">
        <v>1320</v>
      </c>
      <c r="AM307" s="467" t="s">
        <v>1122</v>
      </c>
      <c r="AN307" s="467" t="s">
        <v>1225</v>
      </c>
      <c r="AO307" s="467" t="s">
        <v>1233</v>
      </c>
      <c r="AP307" s="467" t="s">
        <v>11368</v>
      </c>
      <c r="AQ307" s="467" t="s">
        <v>2009</v>
      </c>
      <c r="AR307" s="467" t="s">
        <v>1234</v>
      </c>
      <c r="AS307" s="467" t="s">
        <v>1126</v>
      </c>
      <c r="AT307" s="467" t="s">
        <v>2010</v>
      </c>
      <c r="AU307" s="467" t="s">
        <v>1898</v>
      </c>
      <c r="AV307" s="467" t="s">
        <v>2017</v>
      </c>
      <c r="AW307" s="467" t="s">
        <v>1132</v>
      </c>
      <c r="AX307" s="467" t="s">
        <v>1240</v>
      </c>
      <c r="AY307" s="467" t="s">
        <v>1241</v>
      </c>
      <c r="AZ307" s="467" t="s">
        <v>1134</v>
      </c>
      <c r="BA307" s="467" t="s">
        <v>1136</v>
      </c>
      <c r="BB307" s="467" t="s">
        <v>2027</v>
      </c>
      <c r="BC307" s="467" t="s">
        <v>1245</v>
      </c>
      <c r="BD307" s="467" t="s">
        <v>2039</v>
      </c>
      <c r="BE307" s="467" t="s">
        <v>2040</v>
      </c>
      <c r="BF307" s="467" t="s">
        <v>1249</v>
      </c>
      <c r="BG307" s="467" t="s">
        <v>1138</v>
      </c>
      <c r="BH307" s="467" t="s">
        <v>1371</v>
      </c>
      <c r="BI307" s="467" t="s">
        <v>1140</v>
      </c>
      <c r="BJ307" s="467" t="s">
        <v>2050</v>
      </c>
      <c r="BK307" s="467" t="s">
        <v>2051</v>
      </c>
    </row>
    <row r="308" spans="1:63" x14ac:dyDescent="0.25">
      <c r="A308" s="467" t="s">
        <v>1009</v>
      </c>
      <c r="B308" s="467" t="s">
        <v>1008</v>
      </c>
      <c r="C308" s="467" t="s">
        <v>1791</v>
      </c>
      <c r="D308" s="467" t="s">
        <v>1386</v>
      </c>
      <c r="E308" s="467" t="s">
        <v>1091</v>
      </c>
      <c r="F308" s="467" t="s">
        <v>14127</v>
      </c>
      <c r="G308" s="467" t="s">
        <v>1093</v>
      </c>
      <c r="H308" s="467" t="s">
        <v>1096</v>
      </c>
      <c r="I308" s="467" t="s">
        <v>1098</v>
      </c>
      <c r="J308" s="467" t="s">
        <v>11363</v>
      </c>
      <c r="K308" s="467" t="s">
        <v>1808</v>
      </c>
      <c r="L308" s="467" t="s">
        <v>1100</v>
      </c>
      <c r="M308" s="467" t="s">
        <v>14208</v>
      </c>
      <c r="N308" s="467" t="s">
        <v>1444</v>
      </c>
      <c r="O308" s="467" t="s">
        <v>1105</v>
      </c>
      <c r="P308" s="467" t="s">
        <v>1107</v>
      </c>
      <c r="Q308" s="467" t="s">
        <v>1109</v>
      </c>
      <c r="R308" s="467" t="s">
        <v>1189</v>
      </c>
      <c r="S308" s="467" t="s">
        <v>1863</v>
      </c>
      <c r="T308" s="467" t="s">
        <v>1112</v>
      </c>
      <c r="U308" s="467" t="s">
        <v>1126</v>
      </c>
      <c r="V308" s="467" t="s">
        <v>1132</v>
      </c>
      <c r="W308" s="467" t="s">
        <v>1240</v>
      </c>
      <c r="X308" s="467" t="s">
        <v>1241</v>
      </c>
      <c r="Y308" s="467" t="s">
        <v>1134</v>
      </c>
      <c r="Z308" s="467" t="s">
        <v>1136</v>
      </c>
      <c r="AA308" s="467" t="s">
        <v>1908</v>
      </c>
      <c r="AB308" s="467" t="s">
        <v>1249</v>
      </c>
      <c r="AC308" s="467" t="s">
        <v>1138</v>
      </c>
      <c r="AD308" s="467" t="s">
        <v>1930</v>
      </c>
      <c r="AE308" s="467" t="s">
        <v>1140</v>
      </c>
      <c r="AF308" s="467" t="s">
        <v>1939</v>
      </c>
      <c r="AG308" s="467" t="s">
        <v>1940</v>
      </c>
    </row>
    <row r="309" spans="1:63" x14ac:dyDescent="0.25">
      <c r="A309" s="467" t="s">
        <v>1011</v>
      </c>
      <c r="B309" s="467" t="s">
        <v>1010</v>
      </c>
      <c r="C309" s="467" t="s">
        <v>1386</v>
      </c>
      <c r="D309" s="467" t="s">
        <v>14127</v>
      </c>
      <c r="E309" s="467" t="s">
        <v>1093</v>
      </c>
      <c r="F309" s="467" t="s">
        <v>1096</v>
      </c>
      <c r="G309" s="467" t="s">
        <v>1277</v>
      </c>
      <c r="H309" s="467" t="s">
        <v>1161</v>
      </c>
      <c r="I309" s="467" t="s">
        <v>1107</v>
      </c>
      <c r="J309" s="467" t="s">
        <v>1305</v>
      </c>
      <c r="K309" s="467" t="s">
        <v>14237</v>
      </c>
      <c r="L309" s="467" t="s">
        <v>1202</v>
      </c>
      <c r="M309" s="467" t="s">
        <v>1494</v>
      </c>
      <c r="N309" s="467" t="s">
        <v>1112</v>
      </c>
      <c r="O309" s="467" t="s">
        <v>1114</v>
      </c>
      <c r="P309" s="467" t="s">
        <v>1120</v>
      </c>
      <c r="Q309" s="467" t="s">
        <v>11387</v>
      </c>
      <c r="R309" s="467" t="s">
        <v>1322</v>
      </c>
      <c r="S309" s="467" t="s">
        <v>1327</v>
      </c>
      <c r="T309" s="467" t="s">
        <v>1122</v>
      </c>
      <c r="U309" s="467" t="s">
        <v>1233</v>
      </c>
      <c r="V309" s="467" t="s">
        <v>1130</v>
      </c>
      <c r="W309" s="467" t="s">
        <v>1132</v>
      </c>
      <c r="X309" s="467" t="s">
        <v>1138</v>
      </c>
      <c r="Y309" s="467" t="s">
        <v>1929</v>
      </c>
    </row>
    <row r="310" spans="1:63" x14ac:dyDescent="0.25">
      <c r="A310" s="467" t="s">
        <v>1013</v>
      </c>
      <c r="B310" s="467" t="s">
        <v>1012</v>
      </c>
      <c r="C310" s="467" t="s">
        <v>1668</v>
      </c>
      <c r="D310" s="467" t="s">
        <v>1096</v>
      </c>
      <c r="E310" s="467" t="s">
        <v>11363</v>
      </c>
      <c r="F310" s="467" t="s">
        <v>1676</v>
      </c>
      <c r="G310" s="467" t="s">
        <v>1164</v>
      </c>
      <c r="H310" s="467" t="s">
        <v>1174</v>
      </c>
      <c r="I310" s="467" t="s">
        <v>1699</v>
      </c>
      <c r="J310" s="467" t="s">
        <v>1701</v>
      </c>
      <c r="K310" s="467" t="s">
        <v>1177</v>
      </c>
      <c r="L310" s="467" t="s">
        <v>14208</v>
      </c>
      <c r="M310" s="467" t="s">
        <v>1183</v>
      </c>
      <c r="N310" s="467" t="s">
        <v>1186</v>
      </c>
      <c r="O310" s="467" t="s">
        <v>1709</v>
      </c>
      <c r="P310" s="467" t="s">
        <v>1105</v>
      </c>
      <c r="Q310" s="467" t="s">
        <v>1188</v>
      </c>
      <c r="R310" s="467" t="s">
        <v>1109</v>
      </c>
      <c r="S310" s="467" t="s">
        <v>1190</v>
      </c>
      <c r="T310" s="467" t="s">
        <v>11401</v>
      </c>
      <c r="U310" s="467" t="s">
        <v>1725</v>
      </c>
      <c r="V310" s="467" t="s">
        <v>11403</v>
      </c>
      <c r="W310" s="467" t="s">
        <v>1734</v>
      </c>
      <c r="X310" s="467" t="s">
        <v>1497</v>
      </c>
      <c r="Y310" s="467" t="s">
        <v>1209</v>
      </c>
      <c r="Z310" s="467" t="s">
        <v>1743</v>
      </c>
      <c r="AA310" s="467" t="s">
        <v>1744</v>
      </c>
      <c r="AB310" s="467" t="s">
        <v>1747</v>
      </c>
      <c r="AC310" s="467" t="s">
        <v>1748</v>
      </c>
      <c r="AD310" s="467" t="s">
        <v>14287</v>
      </c>
      <c r="AE310" s="467" t="s">
        <v>1751</v>
      </c>
      <c r="AF310" s="467" t="s">
        <v>1752</v>
      </c>
      <c r="AG310" s="467" t="s">
        <v>1124</v>
      </c>
      <c r="AH310" s="467" t="s">
        <v>1235</v>
      </c>
      <c r="AI310" s="467" t="s">
        <v>1126</v>
      </c>
      <c r="AJ310" s="467" t="s">
        <v>1253</v>
      </c>
      <c r="AK310" s="467" t="s">
        <v>1779</v>
      </c>
      <c r="AL310" s="467" t="s">
        <v>1260</v>
      </c>
      <c r="AM310" s="467" t="s">
        <v>1787</v>
      </c>
    </row>
    <row r="311" spans="1:63" x14ac:dyDescent="0.25">
      <c r="A311" s="467" t="s">
        <v>1015</v>
      </c>
      <c r="B311" s="467" t="s">
        <v>1014</v>
      </c>
      <c r="C311" s="467" t="s">
        <v>1386</v>
      </c>
      <c r="D311" s="467" t="s">
        <v>1091</v>
      </c>
      <c r="E311" s="467" t="s">
        <v>14127</v>
      </c>
      <c r="F311" s="467" t="s">
        <v>1143</v>
      </c>
      <c r="G311" s="467" t="s">
        <v>1093</v>
      </c>
      <c r="H311" s="467" t="s">
        <v>1096</v>
      </c>
      <c r="I311" s="467" t="s">
        <v>1100</v>
      </c>
      <c r="J311" s="467" t="s">
        <v>1174</v>
      </c>
      <c r="K311" s="467" t="s">
        <v>1177</v>
      </c>
      <c r="L311" s="467" t="s">
        <v>14208</v>
      </c>
      <c r="M311" s="467" t="s">
        <v>1839</v>
      </c>
      <c r="N311" s="467" t="s">
        <v>1107</v>
      </c>
      <c r="O311" s="467" t="s">
        <v>1109</v>
      </c>
      <c r="P311" s="467" t="s">
        <v>1189</v>
      </c>
      <c r="Q311" s="467" t="s">
        <v>1202</v>
      </c>
      <c r="R311" s="467" t="s">
        <v>1112</v>
      </c>
      <c r="S311" s="467" t="s">
        <v>1114</v>
      </c>
      <c r="T311" s="467" t="s">
        <v>1501</v>
      </c>
      <c r="U311" s="467" t="s">
        <v>1220</v>
      </c>
      <c r="V311" s="467" t="s">
        <v>1536</v>
      </c>
      <c r="W311" s="467" t="s">
        <v>1126</v>
      </c>
      <c r="X311" s="467" t="s">
        <v>1342</v>
      </c>
      <c r="Y311" s="467" t="s">
        <v>1130</v>
      </c>
      <c r="Z311" s="467" t="s">
        <v>1134</v>
      </c>
      <c r="AA311" s="467" t="s">
        <v>1560</v>
      </c>
      <c r="AB311" s="467" t="s">
        <v>1919</v>
      </c>
      <c r="AC311" s="467" t="s">
        <v>1249</v>
      </c>
      <c r="AD311" s="467" t="s">
        <v>1253</v>
      </c>
      <c r="AE311" s="467" t="s">
        <v>1581</v>
      </c>
      <c r="AF311" s="467" t="s">
        <v>1260</v>
      </c>
    </row>
    <row r="312" spans="1:63" x14ac:dyDescent="0.25">
      <c r="A312" s="467" t="s">
        <v>1017</v>
      </c>
      <c r="B312" s="467" t="s">
        <v>1016</v>
      </c>
      <c r="C312" s="467" t="s">
        <v>1385</v>
      </c>
      <c r="D312" s="467" t="s">
        <v>1386</v>
      </c>
      <c r="E312" s="467" t="s">
        <v>1091</v>
      </c>
      <c r="F312" s="467" t="s">
        <v>14127</v>
      </c>
      <c r="G312" s="467" t="s">
        <v>1093</v>
      </c>
      <c r="H312" s="467" t="s">
        <v>1096</v>
      </c>
      <c r="I312" s="467" t="s">
        <v>1161</v>
      </c>
      <c r="J312" s="467" t="s">
        <v>1410</v>
      </c>
      <c r="K312" s="467" t="s">
        <v>1174</v>
      </c>
      <c r="L312" s="467" t="s">
        <v>1832</v>
      </c>
      <c r="M312" s="467" t="s">
        <v>1705</v>
      </c>
      <c r="N312" s="467" t="s">
        <v>1187</v>
      </c>
      <c r="O312" s="467" t="s">
        <v>1105</v>
      </c>
      <c r="P312" s="467" t="s">
        <v>1107</v>
      </c>
      <c r="Q312" s="467" t="s">
        <v>1109</v>
      </c>
      <c r="R312" s="467" t="s">
        <v>1305</v>
      </c>
      <c r="S312" s="467" t="s">
        <v>1859</v>
      </c>
      <c r="T312" s="467" t="s">
        <v>1202</v>
      </c>
      <c r="U312" s="467" t="s">
        <v>1112</v>
      </c>
      <c r="V312" s="467" t="s">
        <v>1114</v>
      </c>
      <c r="W312" s="467" t="s">
        <v>1208</v>
      </c>
      <c r="X312" s="467" t="s">
        <v>1322</v>
      </c>
      <c r="Y312" s="467" t="s">
        <v>1122</v>
      </c>
      <c r="Z312" s="467" t="s">
        <v>1233</v>
      </c>
      <c r="AA312" s="467" t="s">
        <v>11368</v>
      </c>
      <c r="AB312" s="467" t="s">
        <v>1126</v>
      </c>
      <c r="AC312" s="467" t="s">
        <v>1896</v>
      </c>
      <c r="AD312" s="467" t="s">
        <v>1130</v>
      </c>
      <c r="AE312" s="467" t="s">
        <v>1132</v>
      </c>
      <c r="AF312" s="467" t="s">
        <v>1240</v>
      </c>
      <c r="AG312" s="467" t="s">
        <v>1134</v>
      </c>
      <c r="AH312" s="467" t="s">
        <v>1138</v>
      </c>
      <c r="AI312" s="467" t="s">
        <v>1140</v>
      </c>
      <c r="AJ312" s="467" t="s">
        <v>1933</v>
      </c>
      <c r="AK312" s="467" t="s">
        <v>1941</v>
      </c>
    </row>
    <row r="313" spans="1:63" x14ac:dyDescent="0.25">
      <c r="A313" s="467" t="s">
        <v>1019</v>
      </c>
      <c r="B313" s="467" t="s">
        <v>1018</v>
      </c>
      <c r="C313" s="467" t="s">
        <v>1096</v>
      </c>
      <c r="D313" s="467" t="s">
        <v>1948</v>
      </c>
      <c r="E313" s="467" t="s">
        <v>11363</v>
      </c>
      <c r="F313" s="467" t="s">
        <v>2060</v>
      </c>
      <c r="G313" s="467" t="s">
        <v>1158</v>
      </c>
      <c r="H313" s="467" t="s">
        <v>1164</v>
      </c>
      <c r="I313" s="467" t="s">
        <v>1961</v>
      </c>
      <c r="J313" s="467" t="s">
        <v>1100</v>
      </c>
      <c r="K313" s="467" t="s">
        <v>14208</v>
      </c>
      <c r="L313" s="467" t="s">
        <v>14213</v>
      </c>
      <c r="M313" s="467" t="s">
        <v>1186</v>
      </c>
      <c r="N313" s="467" t="s">
        <v>1105</v>
      </c>
      <c r="O313" s="467" t="s">
        <v>2085</v>
      </c>
      <c r="P313" s="467" t="s">
        <v>1107</v>
      </c>
      <c r="Q313" s="467" t="s">
        <v>1109</v>
      </c>
      <c r="R313" s="467" t="s">
        <v>1190</v>
      </c>
      <c r="S313" s="467" t="s">
        <v>1310</v>
      </c>
      <c r="T313" s="467" t="s">
        <v>1497</v>
      </c>
      <c r="U313" s="467" t="s">
        <v>1207</v>
      </c>
      <c r="V313" s="467" t="s">
        <v>2090</v>
      </c>
      <c r="W313" s="467" t="s">
        <v>1218</v>
      </c>
      <c r="X313" s="467" t="s">
        <v>1219</v>
      </c>
      <c r="Y313" s="467" t="s">
        <v>1221</v>
      </c>
      <c r="Z313" s="467" t="s">
        <v>1226</v>
      </c>
      <c r="AA313" s="467" t="s">
        <v>1124</v>
      </c>
      <c r="AB313" s="467" t="s">
        <v>1126</v>
      </c>
      <c r="AC313" s="467" t="s">
        <v>1245</v>
      </c>
      <c r="AD313" s="467" t="s">
        <v>2123</v>
      </c>
      <c r="AE313" s="467" t="s">
        <v>2127</v>
      </c>
      <c r="AF313" s="467" t="s">
        <v>11436</v>
      </c>
      <c r="AG313" s="467" t="s">
        <v>2133</v>
      </c>
    </row>
    <row r="314" spans="1:63" x14ac:dyDescent="0.25">
      <c r="A314" s="467" t="s">
        <v>1021</v>
      </c>
      <c r="B314" s="467" t="s">
        <v>1020</v>
      </c>
      <c r="C314" s="467" t="s">
        <v>1093</v>
      </c>
      <c r="D314" s="467" t="s">
        <v>1096</v>
      </c>
      <c r="E314" s="467" t="s">
        <v>1403</v>
      </c>
      <c r="F314" s="467" t="s">
        <v>1158</v>
      </c>
      <c r="G314" s="467" t="s">
        <v>1961</v>
      </c>
      <c r="H314" s="467" t="s">
        <v>1100</v>
      </c>
      <c r="I314" s="467" t="s">
        <v>1172</v>
      </c>
      <c r="J314" s="467" t="s">
        <v>1173</v>
      </c>
      <c r="K314" s="467" t="s">
        <v>1705</v>
      </c>
      <c r="L314" s="467" t="s">
        <v>14208</v>
      </c>
      <c r="M314" s="467" t="s">
        <v>14213</v>
      </c>
      <c r="N314" s="467" t="s">
        <v>1105</v>
      </c>
      <c r="O314" s="467" t="s">
        <v>1107</v>
      </c>
      <c r="P314" s="467" t="s">
        <v>1109</v>
      </c>
      <c r="Q314" s="467" t="s">
        <v>1634</v>
      </c>
      <c r="R314" s="467" t="s">
        <v>1190</v>
      </c>
      <c r="S314" s="467" t="s">
        <v>1207</v>
      </c>
      <c r="T314" s="467" t="s">
        <v>1208</v>
      </c>
      <c r="U314" s="467" t="s">
        <v>1218</v>
      </c>
      <c r="V314" s="467" t="s">
        <v>11367</v>
      </c>
      <c r="W314" s="467" t="s">
        <v>2093</v>
      </c>
      <c r="X314" s="467" t="s">
        <v>1226</v>
      </c>
      <c r="Y314" s="467" t="s">
        <v>2008</v>
      </c>
      <c r="Z314" s="467" t="s">
        <v>1235</v>
      </c>
      <c r="AA314" s="467" t="s">
        <v>1126</v>
      </c>
      <c r="AB314" s="467" t="s">
        <v>2109</v>
      </c>
      <c r="AC314" s="467" t="s">
        <v>2114</v>
      </c>
      <c r="AD314" s="467" t="s">
        <v>2118</v>
      </c>
      <c r="AE314" s="467" t="s">
        <v>1247</v>
      </c>
      <c r="AF314" s="467" t="s">
        <v>1260</v>
      </c>
      <c r="AG314" s="467" t="s">
        <v>2127</v>
      </c>
      <c r="AH314" s="467" t="s">
        <v>1262</v>
      </c>
      <c r="AI314" s="467" t="s">
        <v>2130</v>
      </c>
      <c r="AJ314" s="467" t="s">
        <v>2131</v>
      </c>
    </row>
    <row r="315" spans="1:63" x14ac:dyDescent="0.25">
      <c r="A315" s="467" t="s">
        <v>1023</v>
      </c>
      <c r="B315" s="467" t="s">
        <v>1022</v>
      </c>
      <c r="C315" s="467" t="s">
        <v>1091</v>
      </c>
      <c r="D315" s="467" t="s">
        <v>1096</v>
      </c>
      <c r="E315" s="467" t="s">
        <v>1100</v>
      </c>
      <c r="F315" s="467" t="s">
        <v>14208</v>
      </c>
      <c r="G315" s="467" t="s">
        <v>1841</v>
      </c>
      <c r="H315" s="467" t="s">
        <v>1107</v>
      </c>
      <c r="I315" s="467" t="s">
        <v>1109</v>
      </c>
      <c r="J315" s="467" t="s">
        <v>1189</v>
      </c>
      <c r="K315" s="467" t="s">
        <v>1202</v>
      </c>
      <c r="L315" s="467" t="s">
        <v>1114</v>
      </c>
      <c r="M315" s="467" t="s">
        <v>1217</v>
      </c>
      <c r="N315" s="467" t="s">
        <v>1876</v>
      </c>
      <c r="O315" s="467" t="s">
        <v>1122</v>
      </c>
      <c r="P315" s="467" t="s">
        <v>1126</v>
      </c>
      <c r="Q315" s="467" t="s">
        <v>1892</v>
      </c>
      <c r="R315" s="467" t="s">
        <v>1899</v>
      </c>
      <c r="S315" s="467" t="s">
        <v>1130</v>
      </c>
      <c r="T315" s="467" t="s">
        <v>1134</v>
      </c>
      <c r="U315" s="467" t="s">
        <v>1919</v>
      </c>
      <c r="V315" s="467" t="s">
        <v>1249</v>
      </c>
      <c r="W315" s="467" t="s">
        <v>1930</v>
      </c>
      <c r="X315" s="467" t="s">
        <v>1942</v>
      </c>
      <c r="Y315" s="467" t="s">
        <v>1944</v>
      </c>
    </row>
    <row r="316" spans="1:63" x14ac:dyDescent="0.25">
      <c r="A316" s="467" t="s">
        <v>1025</v>
      </c>
      <c r="B316" s="467" t="s">
        <v>1024</v>
      </c>
      <c r="C316" s="467" t="s">
        <v>1093</v>
      </c>
      <c r="D316" s="467" t="s">
        <v>1096</v>
      </c>
      <c r="E316" s="467" t="s">
        <v>1157</v>
      </c>
      <c r="F316" s="467" t="s">
        <v>1158</v>
      </c>
      <c r="G316" s="467" t="s">
        <v>2066</v>
      </c>
      <c r="H316" s="467" t="s">
        <v>1961</v>
      </c>
      <c r="I316" s="467" t="s">
        <v>1819</v>
      </c>
      <c r="J316" s="467" t="s">
        <v>1105</v>
      </c>
      <c r="K316" s="467" t="s">
        <v>1109</v>
      </c>
      <c r="L316" s="467" t="s">
        <v>1190</v>
      </c>
      <c r="M316" s="467" t="s">
        <v>1994</v>
      </c>
      <c r="N316" s="467" t="s">
        <v>1207</v>
      </c>
      <c r="O316" s="467" t="s">
        <v>1226</v>
      </c>
      <c r="P316" s="467" t="s">
        <v>2008</v>
      </c>
      <c r="Q316" s="467" t="s">
        <v>1235</v>
      </c>
      <c r="R316" s="467" t="s">
        <v>1126</v>
      </c>
      <c r="S316" s="467" t="s">
        <v>1134</v>
      </c>
      <c r="T316" s="467" t="s">
        <v>1249</v>
      </c>
      <c r="U316" s="467" t="s">
        <v>1260</v>
      </c>
      <c r="V316" s="467" t="s">
        <v>2127</v>
      </c>
      <c r="W316" s="467" t="s">
        <v>1262</v>
      </c>
    </row>
    <row r="317" spans="1:63" x14ac:dyDescent="0.25">
      <c r="A317" s="467" t="s">
        <v>1027</v>
      </c>
      <c r="B317" s="467" t="s">
        <v>1026</v>
      </c>
      <c r="C317" s="467" t="s">
        <v>1143</v>
      </c>
      <c r="D317" s="467" t="s">
        <v>1151</v>
      </c>
      <c r="E317" s="467" t="s">
        <v>1673</v>
      </c>
      <c r="F317" s="467" t="s">
        <v>1674</v>
      </c>
      <c r="G317" s="467" t="s">
        <v>11363</v>
      </c>
      <c r="H317" s="467" t="s">
        <v>1278</v>
      </c>
      <c r="I317" s="467" t="s">
        <v>1160</v>
      </c>
      <c r="J317" s="467" t="s">
        <v>1623</v>
      </c>
      <c r="K317" s="467" t="s">
        <v>1167</v>
      </c>
      <c r="L317" s="467" t="s">
        <v>1102</v>
      </c>
      <c r="M317" s="467" t="s">
        <v>1183</v>
      </c>
      <c r="N317" s="467" t="s">
        <v>1186</v>
      </c>
      <c r="O317" s="467" t="s">
        <v>1105</v>
      </c>
      <c r="P317" s="467" t="s">
        <v>1190</v>
      </c>
      <c r="Q317" s="467" t="s">
        <v>11401</v>
      </c>
      <c r="R317" s="467" t="s">
        <v>1195</v>
      </c>
      <c r="S317" s="467" t="s">
        <v>14243</v>
      </c>
      <c r="T317" s="467" t="s">
        <v>1310</v>
      </c>
      <c r="U317" s="467" t="s">
        <v>1732</v>
      </c>
      <c r="V317" s="467" t="s">
        <v>1208</v>
      </c>
      <c r="W317" s="467" t="s">
        <v>1221</v>
      </c>
      <c r="X317" s="467" t="s">
        <v>1122</v>
      </c>
      <c r="Y317" s="467" t="s">
        <v>1228</v>
      </c>
      <c r="Z317" s="467" t="s">
        <v>1752</v>
      </c>
      <c r="AA317" s="467" t="s">
        <v>1233</v>
      </c>
      <c r="AB317" s="467" t="s">
        <v>1245</v>
      </c>
      <c r="AC317" s="467" t="s">
        <v>1249</v>
      </c>
      <c r="AD317" s="467" t="s">
        <v>1780</v>
      </c>
      <c r="AE317" s="467" t="s">
        <v>1266</v>
      </c>
    </row>
    <row r="318" spans="1:63" x14ac:dyDescent="0.25">
      <c r="A318" s="467" t="s">
        <v>1029</v>
      </c>
      <c r="B318" s="467" t="s">
        <v>1028</v>
      </c>
      <c r="C318" s="467" t="s">
        <v>1093</v>
      </c>
      <c r="D318" s="467" t="s">
        <v>1158</v>
      </c>
      <c r="E318" s="467" t="s">
        <v>2066</v>
      </c>
      <c r="F318" s="467" t="s">
        <v>1961</v>
      </c>
      <c r="G318" s="467" t="s">
        <v>1102</v>
      </c>
      <c r="H318" s="467" t="s">
        <v>14213</v>
      </c>
      <c r="I318" s="467" t="s">
        <v>1107</v>
      </c>
      <c r="J318" s="467" t="s">
        <v>1190</v>
      </c>
      <c r="K318" s="467" t="s">
        <v>1207</v>
      </c>
      <c r="L318" s="467" t="s">
        <v>1226</v>
      </c>
      <c r="M318" s="467" t="s">
        <v>2008</v>
      </c>
      <c r="N318" s="467" t="s">
        <v>1126</v>
      </c>
      <c r="O318" s="467" t="s">
        <v>1240</v>
      </c>
      <c r="P318" s="467" t="s">
        <v>1134</v>
      </c>
      <c r="Q318" s="467" t="s">
        <v>2118</v>
      </c>
      <c r="R318" s="467" t="s">
        <v>1262</v>
      </c>
    </row>
    <row r="319" spans="1:63" x14ac:dyDescent="0.25">
      <c r="A319" s="467" t="s">
        <v>1031</v>
      </c>
      <c r="B319" s="467" t="s">
        <v>1030</v>
      </c>
      <c r="C319" s="467" t="s">
        <v>1143</v>
      </c>
      <c r="D319" s="467" t="s">
        <v>1093</v>
      </c>
      <c r="E319" s="467" t="s">
        <v>1096</v>
      </c>
      <c r="F319" s="467" t="s">
        <v>11363</v>
      </c>
      <c r="G319" s="467" t="s">
        <v>1403</v>
      </c>
      <c r="H319" s="467" t="s">
        <v>1621</v>
      </c>
      <c r="I319" s="467" t="s">
        <v>1172</v>
      </c>
      <c r="J319" s="467" t="s">
        <v>14208</v>
      </c>
      <c r="K319" s="467" t="s">
        <v>1185</v>
      </c>
      <c r="L319" s="467" t="s">
        <v>1107</v>
      </c>
      <c r="M319" s="467" t="s">
        <v>1109</v>
      </c>
      <c r="N319" s="467" t="s">
        <v>1190</v>
      </c>
      <c r="O319" s="467" t="s">
        <v>1638</v>
      </c>
      <c r="P319" s="467" t="s">
        <v>1639</v>
      </c>
      <c r="Q319" s="467" t="s">
        <v>1497</v>
      </c>
      <c r="R319" s="467" t="s">
        <v>1122</v>
      </c>
      <c r="S319" s="467" t="s">
        <v>1228</v>
      </c>
      <c r="T319" s="467" t="s">
        <v>1648</v>
      </c>
      <c r="U319" s="467" t="s">
        <v>1656</v>
      </c>
      <c r="V319" s="467" t="s">
        <v>2179</v>
      </c>
      <c r="W319" s="467" t="s">
        <v>1249</v>
      </c>
      <c r="X319" s="467" t="s">
        <v>1253</v>
      </c>
      <c r="Y319" s="467" t="s">
        <v>2185</v>
      </c>
      <c r="Z319" s="467" t="s">
        <v>1368</v>
      </c>
      <c r="AA319" s="467" t="s">
        <v>1257</v>
      </c>
      <c r="AB319" s="467" t="s">
        <v>2187</v>
      </c>
      <c r="AC319" s="467" t="s">
        <v>2191</v>
      </c>
      <c r="AD319" s="467" t="s">
        <v>1789</v>
      </c>
    </row>
    <row r="320" spans="1:63" x14ac:dyDescent="0.25">
      <c r="A320" s="467" t="s">
        <v>1023</v>
      </c>
      <c r="B320" s="467" t="s">
        <v>1022</v>
      </c>
      <c r="C320" s="467" t="s">
        <v>1091</v>
      </c>
      <c r="D320" s="467" t="s">
        <v>1096</v>
      </c>
      <c r="E320" s="467" t="s">
        <v>1100</v>
      </c>
      <c r="F320" s="467" t="s">
        <v>1104</v>
      </c>
      <c r="G320" s="467" t="s">
        <v>1841</v>
      </c>
      <c r="H320" s="467" t="s">
        <v>1107</v>
      </c>
      <c r="I320" s="467" t="s">
        <v>1109</v>
      </c>
      <c r="J320" s="467" t="s">
        <v>1189</v>
      </c>
      <c r="K320" s="467" t="s">
        <v>1202</v>
      </c>
      <c r="L320" s="467" t="s">
        <v>1114</v>
      </c>
      <c r="M320" s="467" t="s">
        <v>1217</v>
      </c>
      <c r="N320" s="467" t="s">
        <v>1876</v>
      </c>
      <c r="O320" s="467" t="s">
        <v>1122</v>
      </c>
      <c r="P320" s="467" t="s">
        <v>1126</v>
      </c>
      <c r="Q320" s="467" t="s">
        <v>1892</v>
      </c>
      <c r="R320" s="467" t="s">
        <v>1342</v>
      </c>
      <c r="S320" s="467" t="s">
        <v>1899</v>
      </c>
      <c r="T320" s="467" t="s">
        <v>1130</v>
      </c>
      <c r="U320" s="467" t="s">
        <v>1134</v>
      </c>
      <c r="V320" s="467" t="s">
        <v>1919</v>
      </c>
      <c r="W320" s="467" t="s">
        <v>1249</v>
      </c>
      <c r="X320" s="467" t="s">
        <v>1930</v>
      </c>
      <c r="Y320" s="467" t="s">
        <v>1942</v>
      </c>
      <c r="Z320" s="467" t="s">
        <v>1944</v>
      </c>
    </row>
    <row r="321" spans="1:30" x14ac:dyDescent="0.25">
      <c r="A321" s="467" t="s">
        <v>1025</v>
      </c>
      <c r="B321" s="467" t="s">
        <v>1024</v>
      </c>
      <c r="C321" s="467" t="s">
        <v>1093</v>
      </c>
      <c r="D321" s="467" t="s">
        <v>1157</v>
      </c>
      <c r="E321" s="467" t="s">
        <v>1158</v>
      </c>
      <c r="F321" s="467" t="s">
        <v>2066</v>
      </c>
      <c r="G321" s="467" t="s">
        <v>1961</v>
      </c>
      <c r="H321" s="467" t="s">
        <v>1819</v>
      </c>
      <c r="I321" s="467" t="s">
        <v>1105</v>
      </c>
      <c r="J321" s="467" t="s">
        <v>1109</v>
      </c>
      <c r="K321" s="467" t="s">
        <v>1994</v>
      </c>
      <c r="L321" s="467" t="s">
        <v>1207</v>
      </c>
      <c r="M321" s="467" t="s">
        <v>1226</v>
      </c>
      <c r="N321" s="467" t="s">
        <v>2008</v>
      </c>
      <c r="O321" s="467" t="s">
        <v>1235</v>
      </c>
      <c r="P321" s="467" t="s">
        <v>1126</v>
      </c>
      <c r="Q321" s="467" t="s">
        <v>1134</v>
      </c>
      <c r="R321" s="467" t="s">
        <v>1249</v>
      </c>
      <c r="S321" s="467" t="s">
        <v>1260</v>
      </c>
      <c r="T321" s="467" t="s">
        <v>2127</v>
      </c>
      <c r="U321" s="467" t="s">
        <v>1262</v>
      </c>
    </row>
    <row r="322" spans="1:30" x14ac:dyDescent="0.25">
      <c r="A322" s="467" t="s">
        <v>1027</v>
      </c>
      <c r="B322" s="467" t="s">
        <v>1026</v>
      </c>
      <c r="C322" s="467" t="s">
        <v>1143</v>
      </c>
      <c r="D322" s="467" t="s">
        <v>1151</v>
      </c>
      <c r="E322" s="467" t="s">
        <v>1673</v>
      </c>
      <c r="F322" s="467" t="s">
        <v>1674</v>
      </c>
      <c r="G322" s="467" t="s">
        <v>11363</v>
      </c>
      <c r="H322" s="467" t="s">
        <v>1278</v>
      </c>
      <c r="I322" s="467" t="s">
        <v>1160</v>
      </c>
      <c r="J322" s="467" t="s">
        <v>1623</v>
      </c>
      <c r="K322" s="467" t="s">
        <v>1686</v>
      </c>
      <c r="L322" s="467" t="s">
        <v>1167</v>
      </c>
      <c r="M322" s="467" t="s">
        <v>1102</v>
      </c>
      <c r="N322" s="467" t="s">
        <v>1183</v>
      </c>
      <c r="O322" s="467" t="s">
        <v>1186</v>
      </c>
      <c r="P322" s="467" t="s">
        <v>1105</v>
      </c>
      <c r="Q322" s="467" t="s">
        <v>1190</v>
      </c>
      <c r="R322" s="467" t="s">
        <v>11401</v>
      </c>
      <c r="S322" s="467" t="s">
        <v>1195</v>
      </c>
      <c r="T322" s="467" t="s">
        <v>1732</v>
      </c>
      <c r="U322" s="467" t="s">
        <v>1208</v>
      </c>
      <c r="V322" s="467" t="s">
        <v>1221</v>
      </c>
      <c r="W322" s="467" t="s">
        <v>1122</v>
      </c>
      <c r="X322" s="467" t="s">
        <v>1228</v>
      </c>
      <c r="Y322" s="467" t="s">
        <v>1752</v>
      </c>
      <c r="Z322" s="467" t="s">
        <v>1233</v>
      </c>
      <c r="AA322" s="467" t="s">
        <v>1245</v>
      </c>
      <c r="AB322" s="467" t="s">
        <v>1249</v>
      </c>
      <c r="AC322" s="467" t="s">
        <v>1266</v>
      </c>
    </row>
    <row r="323" spans="1:30" x14ac:dyDescent="0.25">
      <c r="A323" s="467" t="s">
        <v>1029</v>
      </c>
      <c r="B323" s="467" t="s">
        <v>1028</v>
      </c>
      <c r="C323" s="467" t="s">
        <v>1144</v>
      </c>
      <c r="D323" s="467" t="s">
        <v>1093</v>
      </c>
      <c r="E323" s="467" t="s">
        <v>1157</v>
      </c>
      <c r="F323" s="467" t="s">
        <v>1158</v>
      </c>
      <c r="G323" s="467" t="s">
        <v>1961</v>
      </c>
      <c r="H323" s="467" t="s">
        <v>1102</v>
      </c>
      <c r="I323" s="467" t="s">
        <v>1107</v>
      </c>
      <c r="J323" s="467" t="s">
        <v>1207</v>
      </c>
      <c r="K323" s="467" t="s">
        <v>1226</v>
      </c>
      <c r="L323" s="467" t="s">
        <v>2008</v>
      </c>
      <c r="M323" s="467" t="s">
        <v>1126</v>
      </c>
      <c r="N323" s="467" t="s">
        <v>1240</v>
      </c>
      <c r="O323" s="467" t="s">
        <v>1134</v>
      </c>
      <c r="P323" s="467" t="s">
        <v>2118</v>
      </c>
      <c r="Q323" s="467" t="s">
        <v>1262</v>
      </c>
    </row>
    <row r="324" spans="1:30" x14ac:dyDescent="0.25">
      <c r="A324" s="467" t="s">
        <v>1031</v>
      </c>
      <c r="B324" s="467" t="s">
        <v>1030</v>
      </c>
      <c r="C324" s="467" t="s">
        <v>1143</v>
      </c>
      <c r="D324" s="467" t="s">
        <v>1093</v>
      </c>
      <c r="E324" s="467" t="s">
        <v>1096</v>
      </c>
      <c r="F324" s="467" t="s">
        <v>11363</v>
      </c>
      <c r="G324" s="467" t="s">
        <v>1403</v>
      </c>
      <c r="H324" s="467" t="s">
        <v>1621</v>
      </c>
      <c r="I324" s="467" t="s">
        <v>2141</v>
      </c>
      <c r="J324" s="467" t="s">
        <v>1172</v>
      </c>
      <c r="K324" s="467" t="s">
        <v>1185</v>
      </c>
      <c r="L324" s="467" t="s">
        <v>1107</v>
      </c>
      <c r="M324" s="467" t="s">
        <v>1109</v>
      </c>
      <c r="N324" s="467" t="s">
        <v>1190</v>
      </c>
      <c r="O324" s="467" t="s">
        <v>1638</v>
      </c>
      <c r="P324" s="467" t="s">
        <v>1639</v>
      </c>
      <c r="Q324" s="467" t="s">
        <v>1497</v>
      </c>
      <c r="R324" s="467" t="s">
        <v>1122</v>
      </c>
      <c r="S324" s="467" t="s">
        <v>1228</v>
      </c>
      <c r="T324" s="467" t="s">
        <v>1648</v>
      </c>
      <c r="U324" s="467" t="s">
        <v>1656</v>
      </c>
      <c r="V324" s="467" t="s">
        <v>2179</v>
      </c>
      <c r="W324" s="467" t="s">
        <v>1249</v>
      </c>
      <c r="X324" s="467" t="s">
        <v>1253</v>
      </c>
      <c r="Y324" s="467" t="s">
        <v>2185</v>
      </c>
      <c r="Z324" s="467" t="s">
        <v>1368</v>
      </c>
      <c r="AA324" s="467" t="s">
        <v>1257</v>
      </c>
      <c r="AB324" s="467" t="s">
        <v>2187</v>
      </c>
      <c r="AC324" s="467" t="s">
        <v>2191</v>
      </c>
      <c r="AD324" s="467" t="s">
        <v>1789</v>
      </c>
    </row>
  </sheetData>
  <pageMargins left="0.7" right="0.7" top="0.75" bottom="0.75" header="0.3" footer="0.3"/>
  <pageSetup paperSize="9" orientation="portrait" r:id="rId1"/>
  <headerFooter>
    <oddFooter>&amp;C&amp;1#&amp;"Calibri"&amp;12&amp;K0078D7OFFICIAL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6D1ED10495DE94DB1659A33E5BC6327" ma:contentTypeVersion="11" ma:contentTypeDescription="Create a new document." ma:contentTypeScope="" ma:versionID="78ec334556cb2511db941a74b32f8ac8">
  <xsd:schema xmlns:xsd="http://www.w3.org/2001/XMLSchema" xmlns:xs="http://www.w3.org/2001/XMLSchema" xmlns:p="http://schemas.microsoft.com/office/2006/metadata/properties" xmlns:ns3="ca0888e1-ea96-4789-bf97-35736e00a9ce" xmlns:ns4="d9c622cc-8e44-42df-8592-1faa16b6fa1e" targetNamespace="http://schemas.microsoft.com/office/2006/metadata/properties" ma:root="true" ma:fieldsID="e0d5e9a7be2498717e6d3a78d5299426" ns3:_="" ns4:_="">
    <xsd:import namespace="ca0888e1-ea96-4789-bf97-35736e00a9ce"/>
    <xsd:import namespace="d9c622cc-8e44-42df-8592-1faa16b6fa1e"/>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0888e1-ea96-4789-bf97-35736e00a9c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9c622cc-8e44-42df-8592-1faa16b6fa1e"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8FD04FC-2556-4FE7-9607-A98B27AE395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0888e1-ea96-4789-bf97-35736e00a9ce"/>
    <ds:schemaRef ds:uri="d9c622cc-8e44-42df-8592-1faa16b6fa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C394CC-5BD8-4703-A0B4-BAF178656BC6}">
  <ds:schemaRefs>
    <ds:schemaRef ds:uri="ca0888e1-ea96-4789-bf97-35736e00a9ce"/>
    <ds:schemaRef ds:uri="http://www.w3.org/XML/1998/namespace"/>
    <ds:schemaRef ds:uri="d9c622cc-8e44-42df-8592-1faa16b6fa1e"/>
    <ds:schemaRef ds:uri="http://purl.org/dc/term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infopath/2007/PartnerControls"/>
    <ds:schemaRef ds:uri="http://schemas.microsoft.com/office/2006/metadata/properties"/>
  </ds:schemaRefs>
</ds:datastoreItem>
</file>

<file path=customXml/itemProps3.xml><?xml version="1.0" encoding="utf-8"?>
<ds:datastoreItem xmlns:ds="http://schemas.openxmlformats.org/officeDocument/2006/customXml" ds:itemID="{B7EEB93C-9B0B-4166-8240-B20ED623B5B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Introduction and contents</vt:lpstr>
      <vt:lpstr>Glossary</vt:lpstr>
      <vt:lpstr>Version History</vt:lpstr>
      <vt:lpstr>Area summary</vt:lpstr>
      <vt:lpstr>PRPs in area</vt:lpstr>
      <vt:lpstr>How to use the search function</vt:lpstr>
      <vt:lpstr>LA_Data</vt:lpstr>
      <vt:lpstr>Lookup_Source</vt:lpstr>
      <vt:lpstr>Stock_By_LA</vt:lpstr>
      <vt:lpstr>Totals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 Parker</dc:creator>
  <cp:lastModifiedBy>Nick Parker</cp:lastModifiedBy>
  <dcterms:created xsi:type="dcterms:W3CDTF">2021-04-07T09:14:16Z</dcterms:created>
  <dcterms:modified xsi:type="dcterms:W3CDTF">2022-10-19T15:12:31Z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0x010100E6D1ED10495DE94DB1659A33E5BC6327</vt:lpwstr>
  </property>
  <property fmtid="{D5CDD505-2E9C-101B-9397-08002B2CF9AE}" pid="3" name="MSIP_Label_727fb50e-81d5-40a5-b712-4eff31972ce4_Enabled">
    <vt:lpwstr>True</vt:lpwstr>
  </property>
  <property fmtid="{D5CDD505-2E9C-101B-9397-08002B2CF9AE}" pid="4" name="MSIP_Label_727fb50e-81d5-40a5-b712-4eff31972ce4_SiteId">
    <vt:lpwstr>faa8e269-0811-4538-82e7-4d29009219bf</vt:lpwstr>
  </property>
  <property fmtid="{D5CDD505-2E9C-101B-9397-08002B2CF9AE}" pid="5" name="MSIP_Label_727fb50e-81d5-40a5-b712-4eff31972ce4_Owner">
    <vt:lpwstr>Kelly.Barrett@rsh.gov.uk</vt:lpwstr>
  </property>
  <property fmtid="{D5CDD505-2E9C-101B-9397-08002B2CF9AE}" pid="6" name="MSIP_Label_727fb50e-81d5-40a5-b712-4eff31972ce4_SetDate">
    <vt:lpwstr>2021-09-14T08:11:01.3015793Z</vt:lpwstr>
  </property>
  <property fmtid="{D5CDD505-2E9C-101B-9397-08002B2CF9AE}" pid="7" name="MSIP_Label_727fb50e-81d5-40a5-b712-4eff31972ce4_Name">
    <vt:lpwstr>Official</vt:lpwstr>
  </property>
  <property fmtid="{D5CDD505-2E9C-101B-9397-08002B2CF9AE}" pid="8" name="MSIP_Label_727fb50e-81d5-40a5-b712-4eff31972ce4_Application">
    <vt:lpwstr>Microsoft Azure Information Protection</vt:lpwstr>
  </property>
  <property fmtid="{D5CDD505-2E9C-101B-9397-08002B2CF9AE}" pid="9" name="MSIP_Label_727fb50e-81d5-40a5-b712-4eff31972ce4_ActionId">
    <vt:lpwstr>718a7994-6e62-4220-96cf-e7cbc8087b4c</vt:lpwstr>
  </property>
  <property fmtid="{D5CDD505-2E9C-101B-9397-08002B2CF9AE}" pid="10" name="MSIP_Label_727fb50e-81d5-40a5-b712-4eff31972ce4_Extended_MSFT_Method">
    <vt:lpwstr>Automatic</vt:lpwstr>
  </property>
  <property fmtid="{D5CDD505-2E9C-101B-9397-08002B2CF9AE}" pid="11" name="Sensitivity">
    <vt:lpwstr>Official</vt:lpwstr>
  </property>
</Properties>
</file>